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480" yWindow="105" windowWidth="20055" windowHeight="12240"/>
  </bookViews>
  <sheets>
    <sheet name="Report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<sst xmlns="http://schemas.openxmlformats.org/spreadsheetml/2006/main" count="34893" uniqueCount="34893">
  <si>
    <t>Mazda_2024_yearly</t>
  </si>
  <si>
    <t>Report Completed:</t>
  </si>
  <si>
    <t>11/8/2025 13:43:35 EDT</t>
  </si>
  <si>
    <t>Reported Time Period:</t>
  </si>
  <si>
    <t>1/1/2024-12/31/2024 </t>
  </si>
  <si>
    <t>CREATIVE</t>
  </si>
  <si>
    <t>MASTER CREATIVE ID</t>
  </si>
  <si>
    <t>DETAIL CREATIVE ID</t>
  </si>
  <si>
    <t>PARENT CREATIVE ID</t>
  </si>
  <si>
    <t>ADVERTISER</t>
  </si>
  <si>
    <t>PRODUCT</t>
  </si>
  <si>
    <t>15284473805</t>
  </si>
  <si>
    <t>58427912</t>
  </si>
  <si>
    <t>Mazda CX-50</t>
  </si>
  <si>
    <t>Mazda CX-50 Leasing : Asian Crossover Utility Vehicle</t>
  </si>
  <si>
    <t>15261540929</t>
  </si>
  <si>
    <t>54313578</t>
  </si>
  <si>
    <t>Mazda CX-5</t>
  </si>
  <si>
    <t>Mazda CX-5 : Asian Crossover Utility Vehicle : Sales Event</t>
  </si>
  <si>
    <t>15270796268</t>
  </si>
  <si>
    <t>55418993</t>
  </si>
  <si>
    <t>Mazda CX-30</t>
  </si>
  <si>
    <t>Mazda CX-30 : Asian Crossover Utility Vehicle</t>
  </si>
  <si>
    <t>15272418423</t>
  </si>
  <si>
    <t>55727770</t>
  </si>
  <si>
    <t>15278666931</t>
  </si>
  <si>
    <t>57162763</t>
  </si>
  <si>
    <t>56710912</t>
  </si>
  <si>
    <t>Mazda CX-90</t>
  </si>
  <si>
    <t>Mazda CX-90 : Asian Crossover Utility Vehicle</t>
  </si>
  <si>
    <t>15284790557</t>
  </si>
  <si>
    <t>58607749</t>
  </si>
  <si>
    <t>15281472907</t>
  </si>
  <si>
    <t>Mazda CX-5 : Asian Crossover Utility Vehicle</t>
  </si>
  <si>
    <t>15261993589</t>
  </si>
  <si>
    <t>54388936</t>
  </si>
  <si>
    <t>Mazda CX-50 : Asian Crossover Utility Vehicle : Sales Event</t>
  </si>
  <si>
    <t>15263210365</t>
  </si>
  <si>
    <t>54526959</t>
  </si>
  <si>
    <t>15260151360</t>
  </si>
  <si>
    <t>54138117</t>
  </si>
  <si>
    <t>15280130720</t>
  </si>
  <si>
    <t>57496003</t>
  </si>
  <si>
    <t>15280130792</t>
  </si>
  <si>
    <t>57495795</t>
  </si>
  <si>
    <t>15259349065</t>
  </si>
  <si>
    <t>54032221</t>
  </si>
  <si>
    <t>15283085169</t>
  </si>
  <si>
    <t>58081525</t>
  </si>
  <si>
    <t>Mazda CX-50 : Asian Crossover Utility Vehicle</t>
  </si>
  <si>
    <t>15278157723</t>
  </si>
  <si>
    <t>57148801</t>
  </si>
  <si>
    <t>Mazda Cx-70</t>
  </si>
  <si>
    <t>Mazda CX-70 : Asian Crossover Utility Vehicle : Sales Event</t>
  </si>
  <si>
    <t>15262888734</t>
  </si>
  <si>
    <t>54501578</t>
  </si>
  <si>
    <t>Mazda CX-90 Plug-In Hybrid</t>
  </si>
  <si>
    <t>Mazda CX-90 Plug-In Hybrid : Asian EV/Electric Crossover Utility Vehicle</t>
  </si>
  <si>
    <t>15263065784</t>
  </si>
  <si>
    <t>53284216</t>
  </si>
  <si>
    <t>15265391789</t>
  </si>
  <si>
    <t>15267354680</t>
  </si>
  <si>
    <t>54991852</t>
  </si>
  <si>
    <t>15252849907</t>
  </si>
  <si>
    <t>53327234</t>
  </si>
  <si>
    <t>15272762843</t>
  </si>
  <si>
    <t>55833132</t>
  </si>
  <si>
    <t>15276138798</t>
  </si>
  <si>
    <t>15255155654</t>
  </si>
  <si>
    <t>53584629</t>
  </si>
  <si>
    <t>52304021</t>
  </si>
  <si>
    <t>15259273886</t>
  </si>
  <si>
    <t>54011606</t>
  </si>
  <si>
    <t>15260133949</t>
  </si>
  <si>
    <t>54174152</t>
  </si>
  <si>
    <t>15260551613</t>
  </si>
  <si>
    <t>54225556</t>
  </si>
  <si>
    <t>15260553964</t>
  </si>
  <si>
    <t>54246038</t>
  </si>
  <si>
    <t>54224546</t>
  </si>
  <si>
    <t>15279773114</t>
  </si>
  <si>
    <t>15261006754</t>
  </si>
  <si>
    <t>54290327</t>
  </si>
  <si>
    <t>15261934565</t>
  </si>
  <si>
    <t>54368863</t>
  </si>
  <si>
    <t>15263282335</t>
  </si>
  <si>
    <t>54567183</t>
  </si>
  <si>
    <t>15264029438</t>
  </si>
  <si>
    <t>54290533</t>
  </si>
  <si>
    <t>15264601045</t>
  </si>
  <si>
    <t>54722263</t>
  </si>
  <si>
    <t>15265140137</t>
  </si>
  <si>
    <t>15263116601</t>
  </si>
  <si>
    <t>54524380</t>
  </si>
  <si>
    <t>52198368</t>
  </si>
  <si>
    <t>15284893073</t>
  </si>
  <si>
    <t>58525344</t>
  </si>
  <si>
    <t>Mazda CX-5 Leasing : Asian Crossover Utility Vehicle</t>
  </si>
  <si>
    <t>15272116330</t>
  </si>
  <si>
    <t>15264549594</t>
  </si>
  <si>
    <t>54719643</t>
  </si>
  <si>
    <t>15283907317</t>
  </si>
  <si>
    <t>58313735</t>
  </si>
  <si>
    <t>15253818085</t>
  </si>
  <si>
    <t>53426729</t>
  </si>
  <si>
    <t>15253820056</t>
  </si>
  <si>
    <t>53365944</t>
  </si>
  <si>
    <t>15253836475</t>
  </si>
  <si>
    <t>53440229</t>
  </si>
  <si>
    <t>15267796461</t>
  </si>
  <si>
    <t>55051880</t>
  </si>
  <si>
    <t>15268814740</t>
  </si>
  <si>
    <t>55136370</t>
  </si>
  <si>
    <t>15280376727</t>
  </si>
  <si>
    <t>59566093</t>
  </si>
  <si>
    <t>Mazda Cx-70 Plug-In Hybrid</t>
  </si>
  <si>
    <t>Mazda CX-70 Plug-In Hybrid : Asian Hybrid Crossover Utility Vehicle : Sales Event</t>
  </si>
  <si>
    <t>15284681999</t>
  </si>
  <si>
    <t>61038541</t>
  </si>
  <si>
    <t>15284698176</t>
  </si>
  <si>
    <t>Mazda CX-90 Plug-In Hybrid : Asian EV/Electric Crossover Utility Vehicle : Sales Event</t>
  </si>
  <si>
    <t>15285596344</t>
  </si>
  <si>
    <t>58820131</t>
  </si>
  <si>
    <t>15285616087</t>
  </si>
  <si>
    <t>58787104</t>
  </si>
  <si>
    <t>Mazda Cx-50 Hybrid</t>
  </si>
  <si>
    <t>Mazda CX-50 Hybrid : Asian Hybrid Crossover Utility Vehicle : Sales Event</t>
  </si>
  <si>
    <t>15285618033</t>
  </si>
  <si>
    <t>58786013</t>
  </si>
  <si>
    <t>15283854040</t>
  </si>
  <si>
    <t>58266575</t>
  </si>
  <si>
    <t>15283861790</t>
  </si>
  <si>
    <t>58286502</t>
  </si>
  <si>
    <t>15283867161</t>
  </si>
  <si>
    <t>58265332</t>
  </si>
  <si>
    <t>Mazda CX-90 : Asian Crossover Utility Vehicle : Sales Event</t>
  </si>
  <si>
    <t>15283869545</t>
  </si>
  <si>
    <t>58324550</t>
  </si>
  <si>
    <t>15285703686</t>
  </si>
  <si>
    <t>58858664</t>
  </si>
  <si>
    <t>15283882143</t>
  </si>
  <si>
    <t>58268737</t>
  </si>
  <si>
    <t>15283904839</t>
  </si>
  <si>
    <t>58278561</t>
  </si>
  <si>
    <t>15262815708</t>
  </si>
  <si>
    <t>54501109</t>
  </si>
  <si>
    <t>15276785301</t>
  </si>
  <si>
    <t>15264958470</t>
  </si>
  <si>
    <t>54762610</t>
  </si>
  <si>
    <t>15260094148</t>
  </si>
  <si>
    <t>15260824862</t>
  </si>
  <si>
    <t>54246554</t>
  </si>
  <si>
    <t>15261003140</t>
  </si>
  <si>
    <t>54231929</t>
  </si>
  <si>
    <t>15261005467</t>
  </si>
  <si>
    <t>54231914</t>
  </si>
  <si>
    <t>15261107142</t>
  </si>
  <si>
    <t>54290361</t>
  </si>
  <si>
    <t>15263212641</t>
  </si>
  <si>
    <t>54529079</t>
  </si>
  <si>
    <t>15263967872</t>
  </si>
  <si>
    <t>54662424</t>
  </si>
  <si>
    <t>15261584759</t>
  </si>
  <si>
    <t>54314765</t>
  </si>
  <si>
    <t>15263967261</t>
  </si>
  <si>
    <t>54661029</t>
  </si>
  <si>
    <t>15261237496</t>
  </si>
  <si>
    <t>54290498</t>
  </si>
  <si>
    <t>15262856608</t>
  </si>
  <si>
    <t>54691941</t>
  </si>
  <si>
    <t>15281522953</t>
  </si>
  <si>
    <t>Mazda : Online</t>
  </si>
  <si>
    <t>15265626056</t>
  </si>
  <si>
    <t>54832098</t>
  </si>
  <si>
    <t>15269585109</t>
  </si>
  <si>
    <t>55215896</t>
  </si>
  <si>
    <t>15266051211</t>
  </si>
  <si>
    <t>54860718</t>
  </si>
  <si>
    <t>15263388603</t>
  </si>
  <si>
    <t>54594857</t>
  </si>
  <si>
    <t>15264758765</t>
  </si>
  <si>
    <t>586486782</t>
  </si>
  <si>
    <t>55127444</t>
  </si>
  <si>
    <t>15261238308</t>
  </si>
  <si>
    <t>54290499</t>
  </si>
  <si>
    <t>15261205549</t>
  </si>
  <si>
    <t>54268679</t>
  </si>
  <si>
    <t>15283972911</t>
  </si>
  <si>
    <t>15264820510</t>
  </si>
  <si>
    <t>54740420</t>
  </si>
  <si>
    <t>15273860468</t>
  </si>
  <si>
    <t>15277254467</t>
  </si>
  <si>
    <t>56856134</t>
  </si>
  <si>
    <t>15279419733</t>
  </si>
  <si>
    <t>57324155</t>
  </si>
  <si>
    <t>15261630687</t>
  </si>
  <si>
    <t>15275412401</t>
  </si>
  <si>
    <t>57777096</t>
  </si>
  <si>
    <t>15267010636</t>
  </si>
  <si>
    <t>54953829</t>
  </si>
  <si>
    <t>15276156734</t>
  </si>
  <si>
    <t>56559461</t>
  </si>
  <si>
    <t>15267066980</t>
  </si>
  <si>
    <t>58662315</t>
  </si>
  <si>
    <t>Mazda.ca</t>
  </si>
  <si>
    <t>Mazda.ca : Online</t>
  </si>
  <si>
    <t>15274368473</t>
  </si>
  <si>
    <t>61677057</t>
  </si>
  <si>
    <t>15275118096</t>
  </si>
  <si>
    <t>15276034751</t>
  </si>
  <si>
    <t>Mazda : General Promotion - Asian Autos &amp; Trucks</t>
  </si>
  <si>
    <t>15278364497</t>
  </si>
  <si>
    <t>15268116959</t>
  </si>
  <si>
    <t>55073039</t>
  </si>
  <si>
    <t>Mazda Trucks</t>
  </si>
  <si>
    <t>Mazda Trucks : Various Asian Trucks</t>
  </si>
  <si>
    <t>15267028179</t>
  </si>
  <si>
    <t>15275880764</t>
  </si>
  <si>
    <t>28707686</t>
  </si>
  <si>
    <t>54703675</t>
  </si>
  <si>
    <t>586298421</t>
  </si>
  <si>
    <t>54703676</t>
  </si>
  <si>
    <t>15284530408</t>
  </si>
  <si>
    <t>58441629</t>
  </si>
  <si>
    <t>586561042</t>
  </si>
  <si>
    <t>55376963</t>
  </si>
  <si>
    <t>15276756757</t>
  </si>
  <si>
    <t>56692129</t>
  </si>
  <si>
    <t>15278159267</t>
  </si>
  <si>
    <t>57066435</t>
  </si>
  <si>
    <t>15283972913</t>
  </si>
  <si>
    <t>15285775005</t>
  </si>
  <si>
    <t>58866773</t>
  </si>
  <si>
    <t>15257682520</t>
  </si>
  <si>
    <t>52316385</t>
  </si>
  <si>
    <t>15255194006</t>
  </si>
  <si>
    <t>53584683</t>
  </si>
  <si>
    <t>15276301041</t>
  </si>
  <si>
    <t>56587861</t>
  </si>
  <si>
    <t>15284048952</t>
  </si>
  <si>
    <t>58320450</t>
  </si>
  <si>
    <t>15269456855</t>
  </si>
  <si>
    <t>55202155</t>
  </si>
  <si>
    <t>15281568749</t>
  </si>
  <si>
    <t>587007381</t>
  </si>
  <si>
    <t>15284565796</t>
  </si>
  <si>
    <t>58449714</t>
  </si>
  <si>
    <t>15252367688</t>
  </si>
  <si>
    <t>53252721</t>
  </si>
  <si>
    <t>15283850892</t>
  </si>
  <si>
    <t>58268270</t>
  </si>
  <si>
    <t>15260612541</t>
  </si>
  <si>
    <t>15274739407</t>
  </si>
  <si>
    <t>56306179</t>
  </si>
  <si>
    <t>15266561504</t>
  </si>
  <si>
    <t>54987392</t>
  </si>
  <si>
    <t>CREATIVE UNKNOWN</t>
  </si>
  <si>
    <t>15272427169</t>
  </si>
  <si>
    <t>55739414</t>
  </si>
  <si>
    <t>15263507720</t>
  </si>
  <si>
    <t>54598540</t>
  </si>
  <si>
    <t>15283319876</t>
  </si>
  <si>
    <t>58127486</t>
  </si>
  <si>
    <t>15280057906</t>
  </si>
  <si>
    <t>15257670545</t>
  </si>
  <si>
    <t>52304028</t>
  </si>
  <si>
    <t>15277075006</t>
  </si>
  <si>
    <t>56778928</t>
  </si>
  <si>
    <t>15282589855</t>
  </si>
  <si>
    <t>15284767034</t>
  </si>
  <si>
    <t>58522764</t>
  </si>
  <si>
    <t>15276164959</t>
  </si>
  <si>
    <t>15279288552</t>
  </si>
  <si>
    <t>15279248681</t>
  </si>
  <si>
    <t>15282600468</t>
  </si>
  <si>
    <t>15268230792</t>
  </si>
  <si>
    <t>55086102</t>
  </si>
  <si>
    <t>15274296533</t>
  </si>
  <si>
    <t>56192081</t>
  </si>
  <si>
    <t>15275867652</t>
  </si>
  <si>
    <t>15276538888</t>
  </si>
  <si>
    <t>15277121290</t>
  </si>
  <si>
    <t>15278585477</t>
  </si>
  <si>
    <t>15279237444</t>
  </si>
  <si>
    <t>15282582869</t>
  </si>
  <si>
    <t>15255114296</t>
  </si>
  <si>
    <t>53584638</t>
  </si>
  <si>
    <t>15255170919</t>
  </si>
  <si>
    <t>53584685</t>
  </si>
  <si>
    <t>15283970236</t>
  </si>
  <si>
    <t>58286504</t>
  </si>
  <si>
    <t>15263860492</t>
  </si>
  <si>
    <t>54690875</t>
  </si>
  <si>
    <t>15274054043</t>
  </si>
  <si>
    <t>56213524</t>
  </si>
  <si>
    <t>Mazda CX-90 Leasing : Asian Crossover Utility Vehicle</t>
  </si>
  <si>
    <t>15260127960</t>
  </si>
  <si>
    <t>54174054</t>
  </si>
  <si>
    <t>15260586879</t>
  </si>
  <si>
    <t>54225099</t>
  </si>
  <si>
    <t>15269165185</t>
  </si>
  <si>
    <t>61736932</t>
  </si>
  <si>
    <t>15266817661</t>
  </si>
  <si>
    <t>15281465592</t>
  </si>
  <si>
    <t>58030366</t>
  </si>
  <si>
    <t>57495796</t>
  </si>
  <si>
    <t>15280185947</t>
  </si>
  <si>
    <t>57520421</t>
  </si>
  <si>
    <t>15284790554</t>
  </si>
  <si>
    <t>58511920</t>
  </si>
  <si>
    <t>15284564211</t>
  </si>
  <si>
    <t>58436957</t>
  </si>
  <si>
    <t>15283920515</t>
  </si>
  <si>
    <t>58274968</t>
  </si>
  <si>
    <t>Mazda CX-30 : Asian Crossover Utility Vehicle : Sales Event</t>
  </si>
  <si>
    <t>15280146646</t>
  </si>
  <si>
    <t>57496001</t>
  </si>
  <si>
    <t>55976659</t>
  </si>
  <si>
    <t>15281781891</t>
  </si>
  <si>
    <t>57824807</t>
  </si>
  <si>
    <t>586446816</t>
  </si>
  <si>
    <t>49145398</t>
  </si>
  <si>
    <t>586417487</t>
  </si>
  <si>
    <t>15280129347</t>
  </si>
  <si>
    <t>57519680</t>
  </si>
  <si>
    <t>Mazda CX-70 : Asian Crossover Utility Vehicle</t>
  </si>
  <si>
    <t>15281461832</t>
  </si>
  <si>
    <t>57781012</t>
  </si>
  <si>
    <t>15278690722</t>
  </si>
  <si>
    <t>57160651</t>
  </si>
  <si>
    <t>Mazda Cx-70 Hybrid</t>
  </si>
  <si>
    <t>Mazda CX-70 Hybrid : Asian Hybrid Crossover Utility Vehicle</t>
  </si>
  <si>
    <t>15283575359</t>
  </si>
  <si>
    <t>15261573904</t>
  </si>
  <si>
    <t>54318586</t>
  </si>
  <si>
    <t>15283514977</t>
  </si>
  <si>
    <t>58182173</t>
  </si>
  <si>
    <t>15281561720</t>
  </si>
  <si>
    <t>57795538</t>
  </si>
  <si>
    <t>15281865135</t>
  </si>
  <si>
    <t>15283948718</t>
  </si>
  <si>
    <t>58275314</t>
  </si>
  <si>
    <t>15281462894</t>
  </si>
  <si>
    <t>15283972910</t>
  </si>
  <si>
    <t>15285701982</t>
  </si>
  <si>
    <t>58858662</t>
  </si>
  <si>
    <t>Mazda CX-50 Hybrid : Asian Hybrid Crossover Utility Vehicle</t>
  </si>
  <si>
    <t>15274836469</t>
  </si>
  <si>
    <t>57322437</t>
  </si>
  <si>
    <t>15278011084</t>
  </si>
  <si>
    <t>57074772</t>
  </si>
  <si>
    <t>15283514978</t>
  </si>
  <si>
    <t>58182151</t>
  </si>
  <si>
    <t>15284062781</t>
  </si>
  <si>
    <t>58308972</t>
  </si>
  <si>
    <t>15284062849</t>
  </si>
  <si>
    <t>58309946</t>
  </si>
  <si>
    <t>15284772656</t>
  </si>
  <si>
    <t>58508109</t>
  </si>
  <si>
    <t>15285374470</t>
  </si>
  <si>
    <t>58711428</t>
  </si>
  <si>
    <t>15276462163</t>
  </si>
  <si>
    <t>56614659</t>
  </si>
  <si>
    <t>15281080501</t>
  </si>
  <si>
    <t>57709871</t>
  </si>
  <si>
    <t>Mazda CX-70 Plug-In Hybrid : Asian Hybrid Crossover Utility Vehicle</t>
  </si>
  <si>
    <t>15283906844</t>
  </si>
  <si>
    <t>58278253</t>
  </si>
  <si>
    <t>15272916637</t>
  </si>
  <si>
    <t>Mazda 3</t>
  </si>
  <si>
    <t>Mazda 3 : Asian Passenger Auto</t>
  </si>
  <si>
    <t>28481025</t>
  </si>
  <si>
    <t>54293370</t>
  </si>
  <si>
    <t>15256823765</t>
  </si>
  <si>
    <t>53738868</t>
  </si>
  <si>
    <t>50969774</t>
  </si>
  <si>
    <t>15276183458</t>
  </si>
  <si>
    <t>56574998</t>
  </si>
  <si>
    <t>15276777251</t>
  </si>
  <si>
    <t>56693478</t>
  </si>
  <si>
    <t>15276663317</t>
  </si>
  <si>
    <t>56671290</t>
  </si>
  <si>
    <t>15278357989</t>
  </si>
  <si>
    <t>57134539</t>
  </si>
  <si>
    <t>15276200285</t>
  </si>
  <si>
    <t>56575107</t>
  </si>
  <si>
    <t>15276294419</t>
  </si>
  <si>
    <t>59819178</t>
  </si>
  <si>
    <t>15261585723</t>
  </si>
  <si>
    <t>Mazda Trucks : Various Asian Trucks : Sales Event</t>
  </si>
  <si>
    <t>15261595961</t>
  </si>
  <si>
    <t>15268980563</t>
  </si>
  <si>
    <t>55143865</t>
  </si>
  <si>
    <t>15267130916</t>
  </si>
  <si>
    <t>55012188</t>
  </si>
  <si>
    <t>15268929133</t>
  </si>
  <si>
    <t>55141059</t>
  </si>
  <si>
    <t>15274634917</t>
  </si>
  <si>
    <t>56218413</t>
  </si>
  <si>
    <t>15267425157</t>
  </si>
  <si>
    <t>54999727</t>
  </si>
  <si>
    <t>15275528142</t>
  </si>
  <si>
    <t>56535047</t>
  </si>
  <si>
    <t>15280409607</t>
  </si>
  <si>
    <t>57566986</t>
  </si>
  <si>
    <t>15278152130</t>
  </si>
  <si>
    <t>57031790</t>
  </si>
  <si>
    <t>15270895602</t>
  </si>
  <si>
    <t>55420472</t>
  </si>
  <si>
    <t>15270797189</t>
  </si>
  <si>
    <t>55402964</t>
  </si>
  <si>
    <t>15281580072</t>
  </si>
  <si>
    <t>57797627</t>
  </si>
  <si>
    <t>57494817</t>
  </si>
  <si>
    <t>15280108798</t>
  </si>
  <si>
    <t>57484202</t>
  </si>
  <si>
    <t>15280137319</t>
  </si>
  <si>
    <t>15283508023</t>
  </si>
  <si>
    <t>58183331</t>
  </si>
  <si>
    <t>15276872417</t>
  </si>
  <si>
    <t>28060588</t>
  </si>
  <si>
    <t>53474246</t>
  </si>
  <si>
    <t>15278589070</t>
  </si>
  <si>
    <t>57133296</t>
  </si>
  <si>
    <t>15282724787</t>
  </si>
  <si>
    <t>58018077</t>
  </si>
  <si>
    <t>15281751463</t>
  </si>
  <si>
    <t>57809487</t>
  </si>
  <si>
    <t>15277281825</t>
  </si>
  <si>
    <t>56828524</t>
  </si>
  <si>
    <t>15277661986</t>
  </si>
  <si>
    <t>56938894</t>
  </si>
  <si>
    <t>15280130246</t>
  </si>
  <si>
    <t>15280130195</t>
  </si>
  <si>
    <t>57496002</t>
  </si>
  <si>
    <t>15281459809</t>
  </si>
  <si>
    <t>57790469</t>
  </si>
  <si>
    <t>15280556830</t>
  </si>
  <si>
    <t>57603088</t>
  </si>
  <si>
    <t>15280356444</t>
  </si>
  <si>
    <t>57576476</t>
  </si>
  <si>
    <t>15280462707</t>
  </si>
  <si>
    <t>57568917</t>
  </si>
  <si>
    <t>15276231924</t>
  </si>
  <si>
    <t>56587748</t>
  </si>
  <si>
    <t>15278574371</t>
  </si>
  <si>
    <t>57135817</t>
  </si>
  <si>
    <t>15280277896</t>
  </si>
  <si>
    <t>57513433</t>
  </si>
  <si>
    <t>15280504540</t>
  </si>
  <si>
    <t>57579997</t>
  </si>
  <si>
    <t>15280780145</t>
  </si>
  <si>
    <t>57655552</t>
  </si>
  <si>
    <t>15282761234</t>
  </si>
  <si>
    <t>58043333</t>
  </si>
  <si>
    <t>15284000012</t>
  </si>
  <si>
    <t>58290682</t>
  </si>
  <si>
    <t>15284328918</t>
  </si>
  <si>
    <t>58376165</t>
  </si>
  <si>
    <t>15285382702</t>
  </si>
  <si>
    <t>58732120</t>
  </si>
  <si>
    <t>15285421917</t>
  </si>
  <si>
    <t>58723942</t>
  </si>
  <si>
    <t>15285648425</t>
  </si>
  <si>
    <t>58819763</t>
  </si>
  <si>
    <t>15286021325</t>
  </si>
  <si>
    <t>58996712</t>
  </si>
  <si>
    <t>15281473404</t>
  </si>
  <si>
    <t>57784648</t>
  </si>
  <si>
    <t>15281596171</t>
  </si>
  <si>
    <t>57803627</t>
  </si>
  <si>
    <t>15278606608</t>
  </si>
  <si>
    <t>57171837</t>
  </si>
  <si>
    <t>15276377200</t>
  </si>
  <si>
    <t>56601743</t>
  </si>
  <si>
    <t>15280050975</t>
  </si>
  <si>
    <t>57511905</t>
  </si>
  <si>
    <t>15281571413</t>
  </si>
  <si>
    <t>57794581</t>
  </si>
  <si>
    <t>15280054759</t>
  </si>
  <si>
    <t>57513480</t>
  </si>
  <si>
    <t>15278145259</t>
  </si>
  <si>
    <t>57063918</t>
  </si>
  <si>
    <t>15280322644</t>
  </si>
  <si>
    <t>57534642</t>
  </si>
  <si>
    <t>15275869780</t>
  </si>
  <si>
    <t>56490359</t>
  </si>
  <si>
    <t>15284001361</t>
  </si>
  <si>
    <t>58290683</t>
  </si>
  <si>
    <t>15283908616</t>
  </si>
  <si>
    <t>58278260</t>
  </si>
  <si>
    <t>15284754197</t>
  </si>
  <si>
    <t>58669792</t>
  </si>
  <si>
    <t>15277969330</t>
  </si>
  <si>
    <t>57050750</t>
  </si>
  <si>
    <t>15252270465</t>
  </si>
  <si>
    <t>53276782</t>
  </si>
  <si>
    <t>15279242723</t>
  </si>
  <si>
    <t>57375367</t>
  </si>
  <si>
    <t>15285349839</t>
  </si>
  <si>
    <t>58727566</t>
  </si>
  <si>
    <t>15280437657</t>
  </si>
  <si>
    <t>57559358</t>
  </si>
  <si>
    <t>15280133630</t>
  </si>
  <si>
    <t>57495462</t>
  </si>
  <si>
    <t>Mazda : General Promotion - Asian Autos &amp; Trucks : Sales Event</t>
  </si>
  <si>
    <t>15284564051</t>
  </si>
  <si>
    <t>58465980</t>
  </si>
  <si>
    <t>15285383055</t>
  </si>
  <si>
    <t>58732156</t>
  </si>
  <si>
    <t>15277794820</t>
  </si>
  <si>
    <t>56953416</t>
  </si>
  <si>
    <t>15276748440</t>
  </si>
  <si>
    <t>56693103</t>
  </si>
  <si>
    <t>15283843832</t>
  </si>
  <si>
    <t>58253039</t>
  </si>
  <si>
    <t>15276762507</t>
  </si>
  <si>
    <t>56708581</t>
  </si>
  <si>
    <t>15283902062</t>
  </si>
  <si>
    <t>58264288</t>
  </si>
  <si>
    <t>15275411581</t>
  </si>
  <si>
    <t>56403813</t>
  </si>
  <si>
    <t>15277586055</t>
  </si>
  <si>
    <t>56892092</t>
  </si>
  <si>
    <t>15280321103</t>
  </si>
  <si>
    <t>57560361</t>
  </si>
  <si>
    <t>15256810647</t>
  </si>
  <si>
    <t>53738240</t>
  </si>
  <si>
    <t>51264162</t>
  </si>
  <si>
    <t>15274155230</t>
  </si>
  <si>
    <t>56121878</t>
  </si>
  <si>
    <t>15263437744</t>
  </si>
  <si>
    <t>15271022044</t>
  </si>
  <si>
    <t>15276499454</t>
  </si>
  <si>
    <t>56631622</t>
  </si>
  <si>
    <t>15269853189</t>
  </si>
  <si>
    <t>60820462</t>
  </si>
  <si>
    <t>15276051615</t>
  </si>
  <si>
    <t>56644802</t>
  </si>
  <si>
    <t>15281671826</t>
  </si>
  <si>
    <t>57837520</t>
  </si>
  <si>
    <t>15285647899</t>
  </si>
  <si>
    <t>58819773</t>
  </si>
  <si>
    <t>15267827123</t>
  </si>
  <si>
    <t>15272282613</t>
  </si>
  <si>
    <t>55767961</t>
  </si>
  <si>
    <t>15276255719</t>
  </si>
  <si>
    <t>56575051</t>
  </si>
  <si>
    <t>15276748234</t>
  </si>
  <si>
    <t>56710875</t>
  </si>
  <si>
    <t>15279249916</t>
  </si>
  <si>
    <t>61695752</t>
  </si>
  <si>
    <t>15280545501</t>
  </si>
  <si>
    <t>15274035133</t>
  </si>
  <si>
    <t>56170831</t>
  </si>
  <si>
    <t>15277581455</t>
  </si>
  <si>
    <t>56892533</t>
  </si>
  <si>
    <t>15278883420</t>
  </si>
  <si>
    <t>61690872</t>
  </si>
  <si>
    <t>15279303272</t>
  </si>
  <si>
    <t>15279304071</t>
  </si>
  <si>
    <t>61689778</t>
  </si>
  <si>
    <t>15282740444</t>
  </si>
  <si>
    <t>15264698343</t>
  </si>
  <si>
    <t>54730712</t>
  </si>
  <si>
    <t>15265119868</t>
  </si>
  <si>
    <t>54773934</t>
  </si>
  <si>
    <t>15277331621</t>
  </si>
  <si>
    <t>56844058</t>
  </si>
  <si>
    <t>15278131266</t>
  </si>
  <si>
    <t>57039360</t>
  </si>
  <si>
    <t>15277305162</t>
  </si>
  <si>
    <t>15281872367</t>
  </si>
  <si>
    <t>15273677873</t>
  </si>
  <si>
    <t>56024041</t>
  </si>
  <si>
    <t>15272591466</t>
  </si>
  <si>
    <t>55835518</t>
  </si>
  <si>
    <t>15252766364</t>
  </si>
  <si>
    <t>53318891</t>
  </si>
  <si>
    <t>15251915857</t>
  </si>
  <si>
    <t>53236682</t>
  </si>
  <si>
    <t>15260055933</t>
  </si>
  <si>
    <t>54165597</t>
  </si>
  <si>
    <t>15277197621</t>
  </si>
  <si>
    <t>56874445</t>
  </si>
  <si>
    <t>15277275562</t>
  </si>
  <si>
    <t>56862024</t>
  </si>
  <si>
    <t>15278813268</t>
  </si>
  <si>
    <t>57217604</t>
  </si>
  <si>
    <t>15279303957</t>
  </si>
  <si>
    <t>57627556</t>
  </si>
  <si>
    <t>15262802439</t>
  </si>
  <si>
    <t>15263024000</t>
  </si>
  <si>
    <t>54505154</t>
  </si>
  <si>
    <t>15251916097</t>
  </si>
  <si>
    <t>53227390</t>
  </si>
  <si>
    <t>15263612301</t>
  </si>
  <si>
    <t>54600466</t>
  </si>
  <si>
    <t>15252341740</t>
  </si>
  <si>
    <t>53284214</t>
  </si>
  <si>
    <t>15273021917</t>
  </si>
  <si>
    <t>55896182</t>
  </si>
  <si>
    <t>15251918369</t>
  </si>
  <si>
    <t>53227956</t>
  </si>
  <si>
    <t>15251916050</t>
  </si>
  <si>
    <t>53237470</t>
  </si>
  <si>
    <t>15271603602</t>
  </si>
  <si>
    <t>55543024</t>
  </si>
  <si>
    <t>15252351044</t>
  </si>
  <si>
    <t>53281308</t>
  </si>
  <si>
    <t>15252421322</t>
  </si>
  <si>
    <t>15267773970</t>
  </si>
  <si>
    <t>15252414425</t>
  </si>
  <si>
    <t>15253758112</t>
  </si>
  <si>
    <t>53418927</t>
  </si>
  <si>
    <t>15277278712</t>
  </si>
  <si>
    <t>15256054796</t>
  </si>
  <si>
    <t>53654649</t>
  </si>
  <si>
    <t>15252413703</t>
  </si>
  <si>
    <t>53284867</t>
  </si>
  <si>
    <t>15252414501</t>
  </si>
  <si>
    <t>53285104</t>
  </si>
  <si>
    <t>15275927055</t>
  </si>
  <si>
    <t>56504015</t>
  </si>
  <si>
    <t>15273475055</t>
  </si>
  <si>
    <t>15256767259</t>
  </si>
  <si>
    <t>53738215</t>
  </si>
  <si>
    <t>50808170</t>
  </si>
  <si>
    <t>15259961692</t>
  </si>
  <si>
    <t>15266443013</t>
  </si>
  <si>
    <t>55038736</t>
  </si>
  <si>
    <t>15268225043</t>
  </si>
  <si>
    <t>55159670</t>
  </si>
  <si>
    <t>15268230782</t>
  </si>
  <si>
    <t>55215199</t>
  </si>
  <si>
    <t>15278877025</t>
  </si>
  <si>
    <t>57233146</t>
  </si>
  <si>
    <t>15269446198</t>
  </si>
  <si>
    <t>60833676</t>
  </si>
  <si>
    <t>15279906565</t>
  </si>
  <si>
    <t>57450180</t>
  </si>
  <si>
    <t>15284565797</t>
  </si>
  <si>
    <t>58464816</t>
  </si>
  <si>
    <t>15281773880</t>
  </si>
  <si>
    <t>57823951</t>
  </si>
  <si>
    <t>15256682498</t>
  </si>
  <si>
    <t>53738794</t>
  </si>
  <si>
    <t>50808940</t>
  </si>
  <si>
    <t>15281716591</t>
  </si>
  <si>
    <t>59309766</t>
  </si>
  <si>
    <t>15285701980</t>
  </si>
  <si>
    <t>58858668</t>
  </si>
  <si>
    <t>15269392822</t>
  </si>
  <si>
    <t>15284789576</t>
  </si>
  <si>
    <t>58508573</t>
  </si>
  <si>
    <t>15267820861</t>
  </si>
  <si>
    <t>15260598438</t>
  </si>
  <si>
    <t>15280543671</t>
  </si>
  <si>
    <t>15220363290</t>
  </si>
  <si>
    <t>50214437</t>
  </si>
  <si>
    <t>15246652176</t>
  </si>
  <si>
    <t>52724299</t>
  </si>
  <si>
    <t>Mazda Pre-Owned : General Promotion - Asian Autos</t>
  </si>
  <si>
    <t>15248625535</t>
  </si>
  <si>
    <t>15248879746</t>
  </si>
  <si>
    <t>52920237</t>
  </si>
  <si>
    <t>Mazda MX-5 Miata</t>
  </si>
  <si>
    <t>Mazda MX-5 Miata : Asian Passenger Auto</t>
  </si>
  <si>
    <t>15249771528</t>
  </si>
  <si>
    <t>53046759</t>
  </si>
  <si>
    <t>50215059</t>
  </si>
  <si>
    <t>15250901871</t>
  </si>
  <si>
    <t>53126490</t>
  </si>
  <si>
    <t>15252545638</t>
  </si>
  <si>
    <t>15252884428</t>
  </si>
  <si>
    <t>53669759</t>
  </si>
  <si>
    <t>15252924240</t>
  </si>
  <si>
    <t>53332881</t>
  </si>
  <si>
    <t>15252927179</t>
  </si>
  <si>
    <t>53335023</t>
  </si>
  <si>
    <t>15252928285</t>
  </si>
  <si>
    <t>53338038</t>
  </si>
  <si>
    <t>15252930134</t>
  </si>
  <si>
    <t>53334037</t>
  </si>
  <si>
    <t>15252940828</t>
  </si>
  <si>
    <t>53340564</t>
  </si>
  <si>
    <t>15252941304</t>
  </si>
  <si>
    <t>53347859</t>
  </si>
  <si>
    <t>15252953218</t>
  </si>
  <si>
    <t>53342430</t>
  </si>
  <si>
    <t>15252974282</t>
  </si>
  <si>
    <t>53341680</t>
  </si>
  <si>
    <t>15253006157</t>
  </si>
  <si>
    <t>53662707</t>
  </si>
  <si>
    <t>15253012020</t>
  </si>
  <si>
    <t>53346599</t>
  </si>
  <si>
    <t>15253016296</t>
  </si>
  <si>
    <t>53346572</t>
  </si>
  <si>
    <t>15253084406</t>
  </si>
  <si>
    <t>53664541</t>
  </si>
  <si>
    <t>15253100891</t>
  </si>
  <si>
    <t>53351850</t>
  </si>
  <si>
    <t>15253132731</t>
  </si>
  <si>
    <t>53352470</t>
  </si>
  <si>
    <t>15253156758</t>
  </si>
  <si>
    <t>53353147</t>
  </si>
  <si>
    <t>15253159881</t>
  </si>
  <si>
    <t>53664133</t>
  </si>
  <si>
    <t>15253173991</t>
  </si>
  <si>
    <t>53356888</t>
  </si>
  <si>
    <t>15253224077</t>
  </si>
  <si>
    <t>53359744</t>
  </si>
  <si>
    <t>15253233553</t>
  </si>
  <si>
    <t>53361213</t>
  </si>
  <si>
    <t>15253249917</t>
  </si>
  <si>
    <t>53360916</t>
  </si>
  <si>
    <t>15253308894</t>
  </si>
  <si>
    <t>53370384</t>
  </si>
  <si>
    <t>15253322099</t>
  </si>
  <si>
    <t>53370075</t>
  </si>
  <si>
    <t>15253340564</t>
  </si>
  <si>
    <t>53376653</t>
  </si>
  <si>
    <t>15253364424</t>
  </si>
  <si>
    <t>53375885</t>
  </si>
  <si>
    <t>15253364664</t>
  </si>
  <si>
    <t>53375931</t>
  </si>
  <si>
    <t>15253376127</t>
  </si>
  <si>
    <t>53378721</t>
  </si>
  <si>
    <t>15253381582</t>
  </si>
  <si>
    <t>53378750</t>
  </si>
  <si>
    <t>15253398412</t>
  </si>
  <si>
    <t>15253436676</t>
  </si>
  <si>
    <t>53387706</t>
  </si>
  <si>
    <t>15253436677</t>
  </si>
  <si>
    <t>53387681</t>
  </si>
  <si>
    <t>15253439793</t>
  </si>
  <si>
    <t>53387733</t>
  </si>
  <si>
    <t>15253478187</t>
  </si>
  <si>
    <t>53391650</t>
  </si>
  <si>
    <t>15253534468</t>
  </si>
  <si>
    <t>15253546877</t>
  </si>
  <si>
    <t>55046909</t>
  </si>
  <si>
    <t>15253635640</t>
  </si>
  <si>
    <t>53403844</t>
  </si>
  <si>
    <t>15253639157</t>
  </si>
  <si>
    <t>53408326</t>
  </si>
  <si>
    <t>15253677776</t>
  </si>
  <si>
    <t>53408356</t>
  </si>
  <si>
    <t>15253687259</t>
  </si>
  <si>
    <t>53409395</t>
  </si>
  <si>
    <t>15253816312</t>
  </si>
  <si>
    <t>53426784</t>
  </si>
  <si>
    <t>15253823998</t>
  </si>
  <si>
    <t>53428255</t>
  </si>
  <si>
    <t>15253835892</t>
  </si>
  <si>
    <t>53428702</t>
  </si>
  <si>
    <t>15253845897</t>
  </si>
  <si>
    <t>53439217</t>
  </si>
  <si>
    <t>15253864692</t>
  </si>
  <si>
    <t>53434730</t>
  </si>
  <si>
    <t>15253871399</t>
  </si>
  <si>
    <t>53435539</t>
  </si>
  <si>
    <t>15253871562</t>
  </si>
  <si>
    <t>53443632</t>
  </si>
  <si>
    <t>15253943142</t>
  </si>
  <si>
    <t>53443610</t>
  </si>
  <si>
    <t>15254180741</t>
  </si>
  <si>
    <t>15254253447</t>
  </si>
  <si>
    <t>53468241</t>
  </si>
  <si>
    <t>15254415447</t>
  </si>
  <si>
    <t>53490346</t>
  </si>
  <si>
    <t>15254498734</t>
  </si>
  <si>
    <t>53502761</t>
  </si>
  <si>
    <t>15254499978</t>
  </si>
  <si>
    <t>15254549964</t>
  </si>
  <si>
    <t>53514727</t>
  </si>
  <si>
    <t>15254610918</t>
  </si>
  <si>
    <t>53509820</t>
  </si>
  <si>
    <t>15254610919</t>
  </si>
  <si>
    <t>53509833</t>
  </si>
  <si>
    <t>15254669562</t>
  </si>
  <si>
    <t>53517948</t>
  </si>
  <si>
    <t>15254822421</t>
  </si>
  <si>
    <t>53534855</t>
  </si>
  <si>
    <t>15254824403</t>
  </si>
  <si>
    <t>53533862</t>
  </si>
  <si>
    <t>15254851310</t>
  </si>
  <si>
    <t>53533869</t>
  </si>
  <si>
    <t>15254886019</t>
  </si>
  <si>
    <t>53533470</t>
  </si>
  <si>
    <t>15254967186</t>
  </si>
  <si>
    <t>15255106889</t>
  </si>
  <si>
    <t>53569719</t>
  </si>
  <si>
    <t>52044096</t>
  </si>
  <si>
    <t>15255360299</t>
  </si>
  <si>
    <t>53587940</t>
  </si>
  <si>
    <t>15255412009</t>
  </si>
  <si>
    <t>53584784</t>
  </si>
  <si>
    <t>15255564666</t>
  </si>
  <si>
    <t>15255816939</t>
  </si>
  <si>
    <t>53613025</t>
  </si>
  <si>
    <t>15256101281</t>
  </si>
  <si>
    <t>53677721</t>
  </si>
  <si>
    <t>15256101282</t>
  </si>
  <si>
    <t>53673237</t>
  </si>
  <si>
    <t>15256243382</t>
  </si>
  <si>
    <t>53663880</t>
  </si>
  <si>
    <t>15256339574</t>
  </si>
  <si>
    <t>53213452</t>
  </si>
  <si>
    <t>50289653</t>
  </si>
  <si>
    <t>15256913369</t>
  </si>
  <si>
    <t>53744164</t>
  </si>
  <si>
    <t>15256922109</t>
  </si>
  <si>
    <t>53512625</t>
  </si>
  <si>
    <t>15256953791</t>
  </si>
  <si>
    <t>53757542</t>
  </si>
  <si>
    <t>15257106843</t>
  </si>
  <si>
    <t>53770015</t>
  </si>
  <si>
    <t>15257661969</t>
  </si>
  <si>
    <t>53836795</t>
  </si>
  <si>
    <t>15257797272</t>
  </si>
  <si>
    <t>53843119</t>
  </si>
  <si>
    <t>15257896593</t>
  </si>
  <si>
    <t>53856469</t>
  </si>
  <si>
    <t>15257954804</t>
  </si>
  <si>
    <t>15258028012</t>
  </si>
  <si>
    <t>53868120</t>
  </si>
  <si>
    <t>15258120489</t>
  </si>
  <si>
    <t>53883812</t>
  </si>
  <si>
    <t>15258381107</t>
  </si>
  <si>
    <t>15258441455</t>
  </si>
  <si>
    <t>53907720</t>
  </si>
  <si>
    <t>15258520331</t>
  </si>
  <si>
    <t>53924354</t>
  </si>
  <si>
    <t>15258611238</t>
  </si>
  <si>
    <t>53936054</t>
  </si>
  <si>
    <t>15258756713</t>
  </si>
  <si>
    <t>53947917</t>
  </si>
  <si>
    <t>15258817937</t>
  </si>
  <si>
    <t>53961151</t>
  </si>
  <si>
    <t>15258877908</t>
  </si>
  <si>
    <t>53966523</t>
  </si>
  <si>
    <t>15258916779</t>
  </si>
  <si>
    <t>53970325</t>
  </si>
  <si>
    <t>15258956767</t>
  </si>
  <si>
    <t>53975495</t>
  </si>
  <si>
    <t>15259005115</t>
  </si>
  <si>
    <t>53982193</t>
  </si>
  <si>
    <t>15259035773</t>
  </si>
  <si>
    <t>54320417</t>
  </si>
  <si>
    <t>15259041212</t>
  </si>
  <si>
    <t>54320453</t>
  </si>
  <si>
    <t>15259042213</t>
  </si>
  <si>
    <t>53990410</t>
  </si>
  <si>
    <t>15259083633</t>
  </si>
  <si>
    <t>53988747</t>
  </si>
  <si>
    <t>15259116617</t>
  </si>
  <si>
    <t>53994552</t>
  </si>
  <si>
    <t>15259117394</t>
  </si>
  <si>
    <t>53993998</t>
  </si>
  <si>
    <t>15259133441</t>
  </si>
  <si>
    <t>54316681</t>
  </si>
  <si>
    <t>15259133442</t>
  </si>
  <si>
    <t>15259133917</t>
  </si>
  <si>
    <t>53995937</t>
  </si>
  <si>
    <t>15259188926</t>
  </si>
  <si>
    <t>53999971</t>
  </si>
  <si>
    <t>15259267197</t>
  </si>
  <si>
    <t>15259279801</t>
  </si>
  <si>
    <t>54020813</t>
  </si>
  <si>
    <t>15259282799</t>
  </si>
  <si>
    <t>54016597</t>
  </si>
  <si>
    <t>15259283029</t>
  </si>
  <si>
    <t>54016621</t>
  </si>
  <si>
    <t>15259286339</t>
  </si>
  <si>
    <t>54016253</t>
  </si>
  <si>
    <t>15259348702</t>
  </si>
  <si>
    <t>54025208</t>
  </si>
  <si>
    <t>15259407112</t>
  </si>
  <si>
    <t>15259695726</t>
  </si>
  <si>
    <t>54063031</t>
  </si>
  <si>
    <t>15259762801</t>
  </si>
  <si>
    <t>15259770548</t>
  </si>
  <si>
    <t>54084210</t>
  </si>
  <si>
    <t>15259770991</t>
  </si>
  <si>
    <t>54083863</t>
  </si>
  <si>
    <t>15259809922</t>
  </si>
  <si>
    <t>54094695</t>
  </si>
  <si>
    <t>15259812815</t>
  </si>
  <si>
    <t>54091945</t>
  </si>
  <si>
    <t>15259970386</t>
  </si>
  <si>
    <t>54105875</t>
  </si>
  <si>
    <t>15260014302</t>
  </si>
  <si>
    <t>54115040</t>
  </si>
  <si>
    <t>15260021491</t>
  </si>
  <si>
    <t>54116583</t>
  </si>
  <si>
    <t>15260066572</t>
  </si>
  <si>
    <t>54123204</t>
  </si>
  <si>
    <t>15260067898</t>
  </si>
  <si>
    <t>54124894</t>
  </si>
  <si>
    <t>15260095230</t>
  </si>
  <si>
    <t>54131831</t>
  </si>
  <si>
    <t>15260249202</t>
  </si>
  <si>
    <t>15260293682</t>
  </si>
  <si>
    <t>54157150</t>
  </si>
  <si>
    <t>15260313837</t>
  </si>
  <si>
    <t>54161671</t>
  </si>
  <si>
    <t>15260405492</t>
  </si>
  <si>
    <t>54170979</t>
  </si>
  <si>
    <t>15260483338</t>
  </si>
  <si>
    <t>55048292</t>
  </si>
  <si>
    <t>15260485496</t>
  </si>
  <si>
    <t>55048181</t>
  </si>
  <si>
    <t>15260492250</t>
  </si>
  <si>
    <t>54187104</t>
  </si>
  <si>
    <t>15260592017</t>
  </si>
  <si>
    <t>15260594669</t>
  </si>
  <si>
    <t>15260617775</t>
  </si>
  <si>
    <t>54203106</t>
  </si>
  <si>
    <t>15260712158</t>
  </si>
  <si>
    <t>54211310</t>
  </si>
  <si>
    <t>15260716627</t>
  </si>
  <si>
    <t>54217950</t>
  </si>
  <si>
    <t>15260725867</t>
  </si>
  <si>
    <t>54215611</t>
  </si>
  <si>
    <t>15260851585</t>
  </si>
  <si>
    <t>54222275</t>
  </si>
  <si>
    <t>15260978229</t>
  </si>
  <si>
    <t>54233184</t>
  </si>
  <si>
    <t>15260995526</t>
  </si>
  <si>
    <t>15261014251</t>
  </si>
  <si>
    <t>54236320</t>
  </si>
  <si>
    <t>15261015968</t>
  </si>
  <si>
    <t>54242585</t>
  </si>
  <si>
    <t>15261016174</t>
  </si>
  <si>
    <t>54242750</t>
  </si>
  <si>
    <t>15261016809</t>
  </si>
  <si>
    <t>54242767</t>
  </si>
  <si>
    <t>15261018686</t>
  </si>
  <si>
    <t>54240360</t>
  </si>
  <si>
    <t>15261019742</t>
  </si>
  <si>
    <t>54244522</t>
  </si>
  <si>
    <t>15261020549</t>
  </si>
  <si>
    <t>54243936</t>
  </si>
  <si>
    <t>15261022326</t>
  </si>
  <si>
    <t>54240661</t>
  </si>
  <si>
    <t>15261023352</t>
  </si>
  <si>
    <t>54243215</t>
  </si>
  <si>
    <t>15261023381</t>
  </si>
  <si>
    <t>54243263</t>
  </si>
  <si>
    <t>15261026867</t>
  </si>
  <si>
    <t>54240646</t>
  </si>
  <si>
    <t>15261047910</t>
  </si>
  <si>
    <t>54240775</t>
  </si>
  <si>
    <t>15261061871</t>
  </si>
  <si>
    <t>54244271</t>
  </si>
  <si>
    <t>15261072082</t>
  </si>
  <si>
    <t>54274141</t>
  </si>
  <si>
    <t>15261072918</t>
  </si>
  <si>
    <t>54250712</t>
  </si>
  <si>
    <t>15261079247</t>
  </si>
  <si>
    <t>54250627</t>
  </si>
  <si>
    <t>15261079596</t>
  </si>
  <si>
    <t>54250828</t>
  </si>
  <si>
    <t>15261079797</t>
  </si>
  <si>
    <t>54250124</t>
  </si>
  <si>
    <t>15261080310</t>
  </si>
  <si>
    <t>54250746</t>
  </si>
  <si>
    <t>15261080724</t>
  </si>
  <si>
    <t>54251056</t>
  </si>
  <si>
    <t>15261080801</t>
  </si>
  <si>
    <t>54250197</t>
  </si>
  <si>
    <t>15261081304</t>
  </si>
  <si>
    <t>54250581</t>
  </si>
  <si>
    <t>15261082507</t>
  </si>
  <si>
    <t>54250562</t>
  </si>
  <si>
    <t>15261084379</t>
  </si>
  <si>
    <t>54250453</t>
  </si>
  <si>
    <t>15261084892</t>
  </si>
  <si>
    <t>54250211</t>
  </si>
  <si>
    <t>15261085205</t>
  </si>
  <si>
    <t>54250276</t>
  </si>
  <si>
    <t>15261087158</t>
  </si>
  <si>
    <t>54250291</t>
  </si>
  <si>
    <t>15261089151</t>
  </si>
  <si>
    <t>54251929</t>
  </si>
  <si>
    <t>15261108394</t>
  </si>
  <si>
    <t>54251946</t>
  </si>
  <si>
    <t>15261112927</t>
  </si>
  <si>
    <t>54251885</t>
  </si>
  <si>
    <t>15261115721</t>
  </si>
  <si>
    <t>54252690</t>
  </si>
  <si>
    <t>15261118695</t>
  </si>
  <si>
    <t>54252829</t>
  </si>
  <si>
    <t>15261118818</t>
  </si>
  <si>
    <t>54252867</t>
  </si>
  <si>
    <t>15261120402</t>
  </si>
  <si>
    <t>54252895</t>
  </si>
  <si>
    <t>15261121710</t>
  </si>
  <si>
    <t>54252685</t>
  </si>
  <si>
    <t>15261122143</t>
  </si>
  <si>
    <t>54252647</t>
  </si>
  <si>
    <t>15261122415</t>
  </si>
  <si>
    <t>54252583</t>
  </si>
  <si>
    <t>15261123338</t>
  </si>
  <si>
    <t>15261127814</t>
  </si>
  <si>
    <t>54256942</t>
  </si>
  <si>
    <t>15261130266</t>
  </si>
  <si>
    <t>54256493</t>
  </si>
  <si>
    <t>15261137872</t>
  </si>
  <si>
    <t>54257216</t>
  </si>
  <si>
    <t>15261140513</t>
  </si>
  <si>
    <t>54257823</t>
  </si>
  <si>
    <t>15261144531</t>
  </si>
  <si>
    <t>54257613</t>
  </si>
  <si>
    <t>15261145734</t>
  </si>
  <si>
    <t>54257181</t>
  </si>
  <si>
    <t>15261147386</t>
  </si>
  <si>
    <t>54256497</t>
  </si>
  <si>
    <t>15261166037</t>
  </si>
  <si>
    <t>54266487</t>
  </si>
  <si>
    <t>15261166109</t>
  </si>
  <si>
    <t>15261166354</t>
  </si>
  <si>
    <t>54266481</t>
  </si>
  <si>
    <t>15261166500</t>
  </si>
  <si>
    <t>54266516</t>
  </si>
  <si>
    <t>15261167663</t>
  </si>
  <si>
    <t>54259689</t>
  </si>
  <si>
    <t>15261168313</t>
  </si>
  <si>
    <t>54266338</t>
  </si>
  <si>
    <t>15261168364</t>
  </si>
  <si>
    <t>54266252</t>
  </si>
  <si>
    <t>15261168752</t>
  </si>
  <si>
    <t>15261169409</t>
  </si>
  <si>
    <t>54266114</t>
  </si>
  <si>
    <t>15261169525</t>
  </si>
  <si>
    <t>54268911</t>
  </si>
  <si>
    <t>15261169640</t>
  </si>
  <si>
    <t>15261170012</t>
  </si>
  <si>
    <t>54265919</t>
  </si>
  <si>
    <t>15261170143</t>
  </si>
  <si>
    <t>54268903</t>
  </si>
  <si>
    <t>15261170410</t>
  </si>
  <si>
    <t>54265759</t>
  </si>
  <si>
    <t>15261170527</t>
  </si>
  <si>
    <t>54265319</t>
  </si>
  <si>
    <t>15261172048</t>
  </si>
  <si>
    <t>54264923</t>
  </si>
  <si>
    <t>15261172522</t>
  </si>
  <si>
    <t>54265096</t>
  </si>
  <si>
    <t>15261173167</t>
  </si>
  <si>
    <t>15261173761</t>
  </si>
  <si>
    <t>54263872</t>
  </si>
  <si>
    <t>15261174212</t>
  </si>
  <si>
    <t>54264278</t>
  </si>
  <si>
    <t>15261174761</t>
  </si>
  <si>
    <t>54268897</t>
  </si>
  <si>
    <t>15261174869</t>
  </si>
  <si>
    <t>54264155</t>
  </si>
  <si>
    <t>15261174973</t>
  </si>
  <si>
    <t>54264153</t>
  </si>
  <si>
    <t>15261176682</t>
  </si>
  <si>
    <t>54266257</t>
  </si>
  <si>
    <t>15261177946</t>
  </si>
  <si>
    <t>54265254</t>
  </si>
  <si>
    <t>15261181325</t>
  </si>
  <si>
    <t>54264877</t>
  </si>
  <si>
    <t>15261185434</t>
  </si>
  <si>
    <t>54266460</t>
  </si>
  <si>
    <t>15261198274</t>
  </si>
  <si>
    <t>15261208378</t>
  </si>
  <si>
    <t>15261210073</t>
  </si>
  <si>
    <t>54264762</t>
  </si>
  <si>
    <t>15261228745</t>
  </si>
  <si>
    <t>54264760</t>
  </si>
  <si>
    <t>15261230023</t>
  </si>
  <si>
    <t>54264453</t>
  </si>
  <si>
    <t>15261234671</t>
  </si>
  <si>
    <t>54265923</t>
  </si>
  <si>
    <t>15261235607</t>
  </si>
  <si>
    <t>54265920</t>
  </si>
  <si>
    <t>15261236306</t>
  </si>
  <si>
    <t>54265882</t>
  </si>
  <si>
    <t>15261238419</t>
  </si>
  <si>
    <t>54265481</t>
  </si>
  <si>
    <t>15261238875</t>
  </si>
  <si>
    <t>54265653</t>
  </si>
  <si>
    <t>15261239218</t>
  </si>
  <si>
    <t>54266669</t>
  </si>
  <si>
    <t>15261239221</t>
  </si>
  <si>
    <t>54266547</t>
  </si>
  <si>
    <t>15261239258</t>
  </si>
  <si>
    <t>54266463</t>
  </si>
  <si>
    <t>15261239610</t>
  </si>
  <si>
    <t>54266534</t>
  </si>
  <si>
    <t>15261240260</t>
  </si>
  <si>
    <t>54266068</t>
  </si>
  <si>
    <t>15261240584</t>
  </si>
  <si>
    <t>54316065</t>
  </si>
  <si>
    <t>15261240585</t>
  </si>
  <si>
    <t>54316051</t>
  </si>
  <si>
    <t>15261240734</t>
  </si>
  <si>
    <t>54316105</t>
  </si>
  <si>
    <t>15261240923</t>
  </si>
  <si>
    <t>54316047</t>
  </si>
  <si>
    <t>15261241183</t>
  </si>
  <si>
    <t>54316088</t>
  </si>
  <si>
    <t>15261241303</t>
  </si>
  <si>
    <t>54316093</t>
  </si>
  <si>
    <t>15261242991</t>
  </si>
  <si>
    <t>54266726</t>
  </si>
  <si>
    <t>15261260253</t>
  </si>
  <si>
    <t>54315739</t>
  </si>
  <si>
    <t>15261262743</t>
  </si>
  <si>
    <t>54271859</t>
  </si>
  <si>
    <t>15261266470</t>
  </si>
  <si>
    <t>54271355</t>
  </si>
  <si>
    <t>15261268261</t>
  </si>
  <si>
    <t>54269986</t>
  </si>
  <si>
    <t>15261270013</t>
  </si>
  <si>
    <t>54269971</t>
  </si>
  <si>
    <t>15261270039</t>
  </si>
  <si>
    <t>54269800</t>
  </si>
  <si>
    <t>15261271239</t>
  </si>
  <si>
    <t>54269362</t>
  </si>
  <si>
    <t>15261272210</t>
  </si>
  <si>
    <t>54268925</t>
  </si>
  <si>
    <t>15261272868</t>
  </si>
  <si>
    <t>54270889</t>
  </si>
  <si>
    <t>15261273165</t>
  </si>
  <si>
    <t>54270901</t>
  </si>
  <si>
    <t>15261273439</t>
  </si>
  <si>
    <t>54270929</t>
  </si>
  <si>
    <t>15261273863</t>
  </si>
  <si>
    <t>54270564</t>
  </si>
  <si>
    <t>15261275449</t>
  </si>
  <si>
    <t>54270555</t>
  </si>
  <si>
    <t>15261275747</t>
  </si>
  <si>
    <t>54270638</t>
  </si>
  <si>
    <t>15261284262</t>
  </si>
  <si>
    <t>54269217</t>
  </si>
  <si>
    <t>15261286321</t>
  </si>
  <si>
    <t>54271285</t>
  </si>
  <si>
    <t>15261288652</t>
  </si>
  <si>
    <t>54270560</t>
  </si>
  <si>
    <t>15261291036</t>
  </si>
  <si>
    <t>54269627</t>
  </si>
  <si>
    <t>15261292632</t>
  </si>
  <si>
    <t>54271276</t>
  </si>
  <si>
    <t>15261312098</t>
  </si>
  <si>
    <t>54275955</t>
  </si>
  <si>
    <t>15261312479</t>
  </si>
  <si>
    <t>54276004</t>
  </si>
  <si>
    <t>15261313437</t>
  </si>
  <si>
    <t>54275685</t>
  </si>
  <si>
    <t>15261315180</t>
  </si>
  <si>
    <t>54275681</t>
  </si>
  <si>
    <t>15261319215</t>
  </si>
  <si>
    <t>54277500</t>
  </si>
  <si>
    <t>15261320019</t>
  </si>
  <si>
    <t>54277491</t>
  </si>
  <si>
    <t>15261330921</t>
  </si>
  <si>
    <t>54275402</t>
  </si>
  <si>
    <t>15261352701</t>
  </si>
  <si>
    <t>54285465</t>
  </si>
  <si>
    <t>15261352754</t>
  </si>
  <si>
    <t>54285793</t>
  </si>
  <si>
    <t>15261360766</t>
  </si>
  <si>
    <t>54285638</t>
  </si>
  <si>
    <t>15261365660</t>
  </si>
  <si>
    <t>54283954</t>
  </si>
  <si>
    <t>15261375665</t>
  </si>
  <si>
    <t>54285633</t>
  </si>
  <si>
    <t>15261386624</t>
  </si>
  <si>
    <t>54288382</t>
  </si>
  <si>
    <t>15261388342</t>
  </si>
  <si>
    <t>54295358</t>
  </si>
  <si>
    <t>15261389332</t>
  </si>
  <si>
    <t>54295101</t>
  </si>
  <si>
    <t>15261392618</t>
  </si>
  <si>
    <t>54292770</t>
  </si>
  <si>
    <t>15261392967</t>
  </si>
  <si>
    <t>54292787</t>
  </si>
  <si>
    <t>15261407443</t>
  </si>
  <si>
    <t>54291964</t>
  </si>
  <si>
    <t>15261408984</t>
  </si>
  <si>
    <t>54292057</t>
  </si>
  <si>
    <t>15261409301</t>
  </si>
  <si>
    <t>54292047</t>
  </si>
  <si>
    <t>15261415579</t>
  </si>
  <si>
    <t>54292953</t>
  </si>
  <si>
    <t>15261416723</t>
  </si>
  <si>
    <t>54292145</t>
  </si>
  <si>
    <t>15261432210</t>
  </si>
  <si>
    <t>15261436025</t>
  </si>
  <si>
    <t>54296378</t>
  </si>
  <si>
    <t>15261442416</t>
  </si>
  <si>
    <t>54296893</t>
  </si>
  <si>
    <t>15261445086</t>
  </si>
  <si>
    <t>15261465728</t>
  </si>
  <si>
    <t>54301844</t>
  </si>
  <si>
    <t>15261466902</t>
  </si>
  <si>
    <t>54301451</t>
  </si>
  <si>
    <t>15261468986</t>
  </si>
  <si>
    <t>15261472552</t>
  </si>
  <si>
    <t>54302389</t>
  </si>
  <si>
    <t>15261476760</t>
  </si>
  <si>
    <t>15261482004</t>
  </si>
  <si>
    <t>15261496683</t>
  </si>
  <si>
    <t>54303774</t>
  </si>
  <si>
    <t>15261511270</t>
  </si>
  <si>
    <t>54309029</t>
  </si>
  <si>
    <t>15261516347</t>
  </si>
  <si>
    <t>54308585</t>
  </si>
  <si>
    <t>15261520864</t>
  </si>
  <si>
    <t>54308425</t>
  </si>
  <si>
    <t>15261524903</t>
  </si>
  <si>
    <t>54307903</t>
  </si>
  <si>
    <t>15261529187</t>
  </si>
  <si>
    <t>54307915</t>
  </si>
  <si>
    <t>15261530879</t>
  </si>
  <si>
    <t>54311429</t>
  </si>
  <si>
    <t>15261534317</t>
  </si>
  <si>
    <t>54310755</t>
  </si>
  <si>
    <t>15261534577</t>
  </si>
  <si>
    <t>54310555</t>
  </si>
  <si>
    <t>15261537840</t>
  </si>
  <si>
    <t>54310627</t>
  </si>
  <si>
    <t>15261539134</t>
  </si>
  <si>
    <t>54310229</t>
  </si>
  <si>
    <t>15261551280</t>
  </si>
  <si>
    <t>54310912</t>
  </si>
  <si>
    <t>15261551463</t>
  </si>
  <si>
    <t>54310962</t>
  </si>
  <si>
    <t>15261551838</t>
  </si>
  <si>
    <t>54311265</t>
  </si>
  <si>
    <t>15261557180</t>
  </si>
  <si>
    <t>54316354</t>
  </si>
  <si>
    <t>15261574461</t>
  </si>
  <si>
    <t>54314550</t>
  </si>
  <si>
    <t>15261582715</t>
  </si>
  <si>
    <t>54314667</t>
  </si>
  <si>
    <t>15261590287</t>
  </si>
  <si>
    <t>54315697</t>
  </si>
  <si>
    <t>15261669650</t>
  </si>
  <si>
    <t>54326488</t>
  </si>
  <si>
    <t>15261674171</t>
  </si>
  <si>
    <t>54326491</t>
  </si>
  <si>
    <t>15261675418</t>
  </si>
  <si>
    <t>54329320</t>
  </si>
  <si>
    <t>15261676325</t>
  </si>
  <si>
    <t>15261676326</t>
  </si>
  <si>
    <t>15261685860</t>
  </si>
  <si>
    <t>54330259</t>
  </si>
  <si>
    <t>15261712412</t>
  </si>
  <si>
    <t>54334125</t>
  </si>
  <si>
    <t>15261825605</t>
  </si>
  <si>
    <t>54350295</t>
  </si>
  <si>
    <t>15261854800</t>
  </si>
  <si>
    <t>54351930</t>
  </si>
  <si>
    <t>15261912162</t>
  </si>
  <si>
    <t>54367665</t>
  </si>
  <si>
    <t>15261947699</t>
  </si>
  <si>
    <t>54366566</t>
  </si>
  <si>
    <t>15261977804</t>
  </si>
  <si>
    <t>54373031</t>
  </si>
  <si>
    <t>15261977808</t>
  </si>
  <si>
    <t>15261993591</t>
  </si>
  <si>
    <t>53883683</t>
  </si>
  <si>
    <t>50639019</t>
  </si>
  <si>
    <t>15262040903</t>
  </si>
  <si>
    <t>54376223</t>
  </si>
  <si>
    <t>15262046143</t>
  </si>
  <si>
    <t>15262075098</t>
  </si>
  <si>
    <t>15262091751</t>
  </si>
  <si>
    <t>54388746</t>
  </si>
  <si>
    <t>15262241768</t>
  </si>
  <si>
    <t>54409000</t>
  </si>
  <si>
    <t>15262295568</t>
  </si>
  <si>
    <t>54415940</t>
  </si>
  <si>
    <t>15262295593</t>
  </si>
  <si>
    <t>54415946</t>
  </si>
  <si>
    <t>15262297826</t>
  </si>
  <si>
    <t>54416287</t>
  </si>
  <si>
    <t>15262317962</t>
  </si>
  <si>
    <t>54415392</t>
  </si>
  <si>
    <t>15262520679</t>
  </si>
  <si>
    <t>54441287</t>
  </si>
  <si>
    <t>15262570328</t>
  </si>
  <si>
    <t>54449056</t>
  </si>
  <si>
    <t>15262621423</t>
  </si>
  <si>
    <t>54455370</t>
  </si>
  <si>
    <t>15262645723</t>
  </si>
  <si>
    <t>54461499</t>
  </si>
  <si>
    <t>15262687879</t>
  </si>
  <si>
    <t>54461850</t>
  </si>
  <si>
    <t>15262692825</t>
  </si>
  <si>
    <t>54462011</t>
  </si>
  <si>
    <t>15262695032</t>
  </si>
  <si>
    <t>54461924</t>
  </si>
  <si>
    <t>15262700240</t>
  </si>
  <si>
    <t>54466377</t>
  </si>
  <si>
    <t>15262737305</t>
  </si>
  <si>
    <t>54464520</t>
  </si>
  <si>
    <t>15262742674</t>
  </si>
  <si>
    <t>54467280</t>
  </si>
  <si>
    <t>15262760079</t>
  </si>
  <si>
    <t>54472091</t>
  </si>
  <si>
    <t>15262806945</t>
  </si>
  <si>
    <t>15262862905</t>
  </si>
  <si>
    <t>54482579</t>
  </si>
  <si>
    <t>15262875005</t>
  </si>
  <si>
    <t>15262877745</t>
  </si>
  <si>
    <t>54491396</t>
  </si>
  <si>
    <t>15262924753</t>
  </si>
  <si>
    <t>54491818</t>
  </si>
  <si>
    <t>15262938776</t>
  </si>
  <si>
    <t>15262996444</t>
  </si>
  <si>
    <t>54506207</t>
  </si>
  <si>
    <t>15263017752</t>
  </si>
  <si>
    <t>54507972</t>
  </si>
  <si>
    <t>15263021036</t>
  </si>
  <si>
    <t>54508061</t>
  </si>
  <si>
    <t>15263036585</t>
  </si>
  <si>
    <t>54509012</t>
  </si>
  <si>
    <t>15263041962</t>
  </si>
  <si>
    <t>15263051981</t>
  </si>
  <si>
    <t>54535327</t>
  </si>
  <si>
    <t>Mazda 2</t>
  </si>
  <si>
    <t>Mazda 2 &amp; Mazda 5 : Asian Autos &amp; Trucks</t>
  </si>
  <si>
    <t>15263184713</t>
  </si>
  <si>
    <t>54528392</t>
  </si>
  <si>
    <t>15263201117</t>
  </si>
  <si>
    <t>54527968</t>
  </si>
  <si>
    <t>15263227270</t>
  </si>
  <si>
    <t>54531091</t>
  </si>
  <si>
    <t>15263227271</t>
  </si>
  <si>
    <t>54531127</t>
  </si>
  <si>
    <t>15263278522</t>
  </si>
  <si>
    <t>15263297044</t>
  </si>
  <si>
    <t>54554928</t>
  </si>
  <si>
    <t>15263310161</t>
  </si>
  <si>
    <t>54553159</t>
  </si>
  <si>
    <t>15263331115</t>
  </si>
  <si>
    <t>54558635</t>
  </si>
  <si>
    <t>15263338089</t>
  </si>
  <si>
    <t>54565191</t>
  </si>
  <si>
    <t>15263389043</t>
  </si>
  <si>
    <t>54563849</t>
  </si>
  <si>
    <t>15263397581</t>
  </si>
  <si>
    <t>54576605</t>
  </si>
  <si>
    <t>15263402075</t>
  </si>
  <si>
    <t>54578470</t>
  </si>
  <si>
    <t>15263406374</t>
  </si>
  <si>
    <t>55047190</t>
  </si>
  <si>
    <t>15263406684</t>
  </si>
  <si>
    <t>55048077</t>
  </si>
  <si>
    <t>15263409839</t>
  </si>
  <si>
    <t>55047803</t>
  </si>
  <si>
    <t>15263422358</t>
  </si>
  <si>
    <t>54573707</t>
  </si>
  <si>
    <t>15263422359</t>
  </si>
  <si>
    <t>15263426328</t>
  </si>
  <si>
    <t>15263439575</t>
  </si>
  <si>
    <t>55047727</t>
  </si>
  <si>
    <t>15263440375</t>
  </si>
  <si>
    <t>15263441455</t>
  </si>
  <si>
    <t>15263441713</t>
  </si>
  <si>
    <t>58661973</t>
  </si>
  <si>
    <t>15263443114</t>
  </si>
  <si>
    <t>15263443325</t>
  </si>
  <si>
    <t>55048317</t>
  </si>
  <si>
    <t>15263443949</t>
  </si>
  <si>
    <t>15263446568</t>
  </si>
  <si>
    <t>54575052</t>
  </si>
  <si>
    <t>15263448379</t>
  </si>
  <si>
    <t>55048993</t>
  </si>
  <si>
    <t>15263451739</t>
  </si>
  <si>
    <t>54575523</t>
  </si>
  <si>
    <t>15263455790</t>
  </si>
  <si>
    <t>54584342</t>
  </si>
  <si>
    <t>15263455902</t>
  </si>
  <si>
    <t>54584564</t>
  </si>
  <si>
    <t>15263456272</t>
  </si>
  <si>
    <t>54584528</t>
  </si>
  <si>
    <t>15263456372</t>
  </si>
  <si>
    <t>54584350</t>
  </si>
  <si>
    <t>15263456560</t>
  </si>
  <si>
    <t>54584067</t>
  </si>
  <si>
    <t>15263456762</t>
  </si>
  <si>
    <t>54584331</t>
  </si>
  <si>
    <t>15263456874</t>
  </si>
  <si>
    <t>54584568</t>
  </si>
  <si>
    <t>15263456877</t>
  </si>
  <si>
    <t>54584515</t>
  </si>
  <si>
    <t>15263458394</t>
  </si>
  <si>
    <t>54584523</t>
  </si>
  <si>
    <t>15263458419</t>
  </si>
  <si>
    <t>15263458905</t>
  </si>
  <si>
    <t>54584535</t>
  </si>
  <si>
    <t>15263459489</t>
  </si>
  <si>
    <t>54583828</t>
  </si>
  <si>
    <t>15263459766</t>
  </si>
  <si>
    <t>54583847</t>
  </si>
  <si>
    <t>15263460945</t>
  </si>
  <si>
    <t>54583718</t>
  </si>
  <si>
    <t>15263461534</t>
  </si>
  <si>
    <t>54583162</t>
  </si>
  <si>
    <t>15263461639</t>
  </si>
  <si>
    <t>54583130</t>
  </si>
  <si>
    <t>15263462581</t>
  </si>
  <si>
    <t>54587779</t>
  </si>
  <si>
    <t>15263462595</t>
  </si>
  <si>
    <t>53627849</t>
  </si>
  <si>
    <t>15263462601</t>
  </si>
  <si>
    <t>15263463210</t>
  </si>
  <si>
    <t>54585555</t>
  </si>
  <si>
    <t>15263464089</t>
  </si>
  <si>
    <t>54584848</t>
  </si>
  <si>
    <t>15263468274</t>
  </si>
  <si>
    <t>54586295</t>
  </si>
  <si>
    <t>15263471967</t>
  </si>
  <si>
    <t>54583164</t>
  </si>
  <si>
    <t>15263472415</t>
  </si>
  <si>
    <t>54583109</t>
  </si>
  <si>
    <t>15263490311</t>
  </si>
  <si>
    <t>54585488</t>
  </si>
  <si>
    <t>15263498544</t>
  </si>
  <si>
    <t>54592332</t>
  </si>
  <si>
    <t>15263500481</t>
  </si>
  <si>
    <t>54592160</t>
  </si>
  <si>
    <t>15263502545</t>
  </si>
  <si>
    <t>54586488</t>
  </si>
  <si>
    <t>15263516026</t>
  </si>
  <si>
    <t>54591088</t>
  </si>
  <si>
    <t>15263516249</t>
  </si>
  <si>
    <t>54590275</t>
  </si>
  <si>
    <t>15263561956</t>
  </si>
  <si>
    <t>54603034</t>
  </si>
  <si>
    <t>15263618843</t>
  </si>
  <si>
    <t>54611902</t>
  </si>
  <si>
    <t>15263620206</t>
  </si>
  <si>
    <t>54609456</t>
  </si>
  <si>
    <t>15263621297</t>
  </si>
  <si>
    <t>15263621497</t>
  </si>
  <si>
    <t>54608808</t>
  </si>
  <si>
    <t>15263654994</t>
  </si>
  <si>
    <t>54615279</t>
  </si>
  <si>
    <t>15263662842</t>
  </si>
  <si>
    <t>54625772</t>
  </si>
  <si>
    <t>15263692102</t>
  </si>
  <si>
    <t>54626693</t>
  </si>
  <si>
    <t>Mazda Motor Corp</t>
  </si>
  <si>
    <t>Mazda Motor Corp : Corporate Promotion</t>
  </si>
  <si>
    <t>15263740986</t>
  </si>
  <si>
    <t>15263754926</t>
  </si>
  <si>
    <t>15263766636</t>
  </si>
  <si>
    <t>54642683</t>
  </si>
  <si>
    <t>15263766641</t>
  </si>
  <si>
    <t>15263807105</t>
  </si>
  <si>
    <t>15263808919</t>
  </si>
  <si>
    <t>15263817865</t>
  </si>
  <si>
    <t>54642836</t>
  </si>
  <si>
    <t>15263819389</t>
  </si>
  <si>
    <t>54651251</t>
  </si>
  <si>
    <t>15263822042</t>
  </si>
  <si>
    <t>54649623</t>
  </si>
  <si>
    <t>15263822679</t>
  </si>
  <si>
    <t>54648935</t>
  </si>
  <si>
    <t>15263851824</t>
  </si>
  <si>
    <t>54649648</t>
  </si>
  <si>
    <t>15263851843</t>
  </si>
  <si>
    <t>54649954</t>
  </si>
  <si>
    <t>15263852211</t>
  </si>
  <si>
    <t>54649507</t>
  </si>
  <si>
    <t>15263856372</t>
  </si>
  <si>
    <t>54649124</t>
  </si>
  <si>
    <t>15263857805</t>
  </si>
  <si>
    <t>54648933</t>
  </si>
  <si>
    <t>15263860052</t>
  </si>
  <si>
    <t>54650600</t>
  </si>
  <si>
    <t>15263866272</t>
  </si>
  <si>
    <t>54659446</t>
  </si>
  <si>
    <t>15263867628</t>
  </si>
  <si>
    <t>54659449</t>
  </si>
  <si>
    <t>15263867727</t>
  </si>
  <si>
    <t>54659427</t>
  </si>
  <si>
    <t>15263869500</t>
  </si>
  <si>
    <t>15263869959</t>
  </si>
  <si>
    <t>15263870194</t>
  </si>
  <si>
    <t>15263870219</t>
  </si>
  <si>
    <t>15263871074</t>
  </si>
  <si>
    <t>15263872491</t>
  </si>
  <si>
    <t>15263874409</t>
  </si>
  <si>
    <t>15263877663</t>
  </si>
  <si>
    <t>54651488</t>
  </si>
  <si>
    <t>15263880977</t>
  </si>
  <si>
    <t>54659481</t>
  </si>
  <si>
    <t>15263881211</t>
  </si>
  <si>
    <t>54655961</t>
  </si>
  <si>
    <t>15263881662</t>
  </si>
  <si>
    <t>54659468</t>
  </si>
  <si>
    <t>15263884439</t>
  </si>
  <si>
    <t>54655783</t>
  </si>
  <si>
    <t>15263908040</t>
  </si>
  <si>
    <t>54651125</t>
  </si>
  <si>
    <t>15263908281</t>
  </si>
  <si>
    <t>54654619</t>
  </si>
  <si>
    <t>15263912344</t>
  </si>
  <si>
    <t>54659476</t>
  </si>
  <si>
    <t>15263912351</t>
  </si>
  <si>
    <t>54659477</t>
  </si>
  <si>
    <t>15263912545</t>
  </si>
  <si>
    <t>54656273</t>
  </si>
  <si>
    <t>15263916643</t>
  </si>
  <si>
    <t>54654356</t>
  </si>
  <si>
    <t>15263917563</t>
  </si>
  <si>
    <t>54656339</t>
  </si>
  <si>
    <t>15263921434</t>
  </si>
  <si>
    <t>54656817</t>
  </si>
  <si>
    <t>15263922869</t>
  </si>
  <si>
    <t>54656746</t>
  </si>
  <si>
    <t>15263926811</t>
  </si>
  <si>
    <t>15263926893</t>
  </si>
  <si>
    <t>15263926939</t>
  </si>
  <si>
    <t>15263930143</t>
  </si>
  <si>
    <t>54662972</t>
  </si>
  <si>
    <t>15263935547</t>
  </si>
  <si>
    <t>54662349</t>
  </si>
  <si>
    <t>15263936418</t>
  </si>
  <si>
    <t>54661825</t>
  </si>
  <si>
    <t>15263950145</t>
  </si>
  <si>
    <t>54662346</t>
  </si>
  <si>
    <t>15263965747</t>
  </si>
  <si>
    <t>54661194</t>
  </si>
  <si>
    <t>15263965748</t>
  </si>
  <si>
    <t>54661510</t>
  </si>
  <si>
    <t>15263965749</t>
  </si>
  <si>
    <t>54661675</t>
  </si>
  <si>
    <t>15263965750</t>
  </si>
  <si>
    <t>54661256</t>
  </si>
  <si>
    <t>15263965751</t>
  </si>
  <si>
    <t>54661246</t>
  </si>
  <si>
    <t>15263965752</t>
  </si>
  <si>
    <t>54661559</t>
  </si>
  <si>
    <t>15263965814</t>
  </si>
  <si>
    <t>54662233</t>
  </si>
  <si>
    <t>15263968834</t>
  </si>
  <si>
    <t>54661905</t>
  </si>
  <si>
    <t>15263975213</t>
  </si>
  <si>
    <t>54664340</t>
  </si>
  <si>
    <t>15263977585</t>
  </si>
  <si>
    <t>54667509</t>
  </si>
  <si>
    <t>15263978631</t>
  </si>
  <si>
    <t>54666526</t>
  </si>
  <si>
    <t>15263979400</t>
  </si>
  <si>
    <t>54664329</t>
  </si>
  <si>
    <t>15263980106</t>
  </si>
  <si>
    <t>54664247</t>
  </si>
  <si>
    <t>15263980147</t>
  </si>
  <si>
    <t>54664384</t>
  </si>
  <si>
    <t>15263980260</t>
  </si>
  <si>
    <t>54664402</t>
  </si>
  <si>
    <t>15263981783</t>
  </si>
  <si>
    <t>54664605</t>
  </si>
  <si>
    <t>15263982627</t>
  </si>
  <si>
    <t>15263982824</t>
  </si>
  <si>
    <t>15263986594</t>
  </si>
  <si>
    <t>Mazda.mx</t>
  </si>
  <si>
    <t>Mazda.mx : Online</t>
  </si>
  <si>
    <t>15263987512</t>
  </si>
  <si>
    <t>54674363</t>
  </si>
  <si>
    <t>15263990494</t>
  </si>
  <si>
    <t>54681390</t>
  </si>
  <si>
    <t>15264003028</t>
  </si>
  <si>
    <t>54668518</t>
  </si>
  <si>
    <t>15264024234</t>
  </si>
  <si>
    <t>54669530</t>
  </si>
  <si>
    <t>15264024534</t>
  </si>
  <si>
    <t>15264026417</t>
  </si>
  <si>
    <t>54674952</t>
  </si>
  <si>
    <t>15264028006</t>
  </si>
  <si>
    <t>54674986</t>
  </si>
  <si>
    <t>15264028254</t>
  </si>
  <si>
    <t>54675208</t>
  </si>
  <si>
    <t>15264038126</t>
  </si>
  <si>
    <t>15264038130</t>
  </si>
  <si>
    <t>15264040081</t>
  </si>
  <si>
    <t>54676777</t>
  </si>
  <si>
    <t>15264043054</t>
  </si>
  <si>
    <t>54681937</t>
  </si>
  <si>
    <t>15264043062</t>
  </si>
  <si>
    <t>54676576</t>
  </si>
  <si>
    <t>15264043063</t>
  </si>
  <si>
    <t>54677284</t>
  </si>
  <si>
    <t>15264043064</t>
  </si>
  <si>
    <t>54681981</t>
  </si>
  <si>
    <t>15264043089</t>
  </si>
  <si>
    <t>54681957</t>
  </si>
  <si>
    <t>15264043120</t>
  </si>
  <si>
    <t>54676619</t>
  </si>
  <si>
    <t>15264043178</t>
  </si>
  <si>
    <t>54677122</t>
  </si>
  <si>
    <t>15264044150</t>
  </si>
  <si>
    <t>54676014</t>
  </si>
  <si>
    <t>15264046061</t>
  </si>
  <si>
    <t>54668034</t>
  </si>
  <si>
    <t>15264051072</t>
  </si>
  <si>
    <t>15264056592</t>
  </si>
  <si>
    <t>54676705</t>
  </si>
  <si>
    <t>15264058653</t>
  </si>
  <si>
    <t>54676079</t>
  </si>
  <si>
    <t>15264079441</t>
  </si>
  <si>
    <t>54677694</t>
  </si>
  <si>
    <t>15264089866</t>
  </si>
  <si>
    <t>54677429</t>
  </si>
  <si>
    <t>15264140626</t>
  </si>
  <si>
    <t>54680010</t>
  </si>
  <si>
    <t>15264152560</t>
  </si>
  <si>
    <t>54682126</t>
  </si>
  <si>
    <t>15264161325</t>
  </si>
  <si>
    <t>15264175059</t>
  </si>
  <si>
    <t>54687213</t>
  </si>
  <si>
    <t>15264175335</t>
  </si>
  <si>
    <t>54687238</t>
  </si>
  <si>
    <t>15264176717</t>
  </si>
  <si>
    <t>54687010</t>
  </si>
  <si>
    <t>15264192587</t>
  </si>
  <si>
    <t>54688637</t>
  </si>
  <si>
    <t>15264229017</t>
  </si>
  <si>
    <t>15264238072</t>
  </si>
  <si>
    <t>54693120</t>
  </si>
  <si>
    <t>15264238318</t>
  </si>
  <si>
    <t>54693075</t>
  </si>
  <si>
    <t>15264238484</t>
  </si>
  <si>
    <t>54692729</t>
  </si>
  <si>
    <t>15264244143</t>
  </si>
  <si>
    <t>54692618</t>
  </si>
  <si>
    <t>15264244609</t>
  </si>
  <si>
    <t>54692324</t>
  </si>
  <si>
    <t>15264244672</t>
  </si>
  <si>
    <t>54699773</t>
  </si>
  <si>
    <t>54457901</t>
  </si>
  <si>
    <t>15264298095</t>
  </si>
  <si>
    <t>15264315817</t>
  </si>
  <si>
    <t>54699582</t>
  </si>
  <si>
    <t>15264355778</t>
  </si>
  <si>
    <t>54697549</t>
  </si>
  <si>
    <t>15264370994</t>
  </si>
  <si>
    <t>54698485</t>
  </si>
  <si>
    <t>15264372780</t>
  </si>
  <si>
    <t>54698073</t>
  </si>
  <si>
    <t>15264374897</t>
  </si>
  <si>
    <t>54698786</t>
  </si>
  <si>
    <t>15264375061</t>
  </si>
  <si>
    <t>54700082</t>
  </si>
  <si>
    <t>15264378381</t>
  </si>
  <si>
    <t>54703540</t>
  </si>
  <si>
    <t>15264386053</t>
  </si>
  <si>
    <t>15264403129</t>
  </si>
  <si>
    <t>54704150</t>
  </si>
  <si>
    <t>15264407893</t>
  </si>
  <si>
    <t>54703136</t>
  </si>
  <si>
    <t>15264424524</t>
  </si>
  <si>
    <t>54704340</t>
  </si>
  <si>
    <t>15264441957</t>
  </si>
  <si>
    <t>15264469925</t>
  </si>
  <si>
    <t>54708825</t>
  </si>
  <si>
    <t>15264482433</t>
  </si>
  <si>
    <t>54719479</t>
  </si>
  <si>
    <t>15264484827</t>
  </si>
  <si>
    <t>15264492085</t>
  </si>
  <si>
    <t>15264495120</t>
  </si>
  <si>
    <t>15264497438</t>
  </si>
  <si>
    <t>15264499015</t>
  </si>
  <si>
    <t>15264503439</t>
  </si>
  <si>
    <t>54714094</t>
  </si>
  <si>
    <t>15264505059</t>
  </si>
  <si>
    <t>54715654</t>
  </si>
  <si>
    <t>15264505485</t>
  </si>
  <si>
    <t>54715601</t>
  </si>
  <si>
    <t>15264505756</t>
  </si>
  <si>
    <t>54715688</t>
  </si>
  <si>
    <t>15264510352</t>
  </si>
  <si>
    <t>54717962</t>
  </si>
  <si>
    <t>15264510509</t>
  </si>
  <si>
    <t>54717991</t>
  </si>
  <si>
    <t>15264516617</t>
  </si>
  <si>
    <t>54713629</t>
  </si>
  <si>
    <t>15264517432</t>
  </si>
  <si>
    <t>54716248</t>
  </si>
  <si>
    <t>15264532850</t>
  </si>
  <si>
    <t>54714088</t>
  </si>
  <si>
    <t>15264543796</t>
  </si>
  <si>
    <t>54715036</t>
  </si>
  <si>
    <t>15264554692</t>
  </si>
  <si>
    <t>15264555146</t>
  </si>
  <si>
    <t>15264565116</t>
  </si>
  <si>
    <t>54721528</t>
  </si>
  <si>
    <t>15264565117</t>
  </si>
  <si>
    <t>54721578</t>
  </si>
  <si>
    <t>15264565118</t>
  </si>
  <si>
    <t>54721606</t>
  </si>
  <si>
    <t>15264565347</t>
  </si>
  <si>
    <t>54721568</t>
  </si>
  <si>
    <t>15264567010</t>
  </si>
  <si>
    <t>54722276</t>
  </si>
  <si>
    <t>15264568164</t>
  </si>
  <si>
    <t>54721779</t>
  </si>
  <si>
    <t>15264568258</t>
  </si>
  <si>
    <t>54722064</t>
  </si>
  <si>
    <t>15264572009</t>
  </si>
  <si>
    <t>54721417</t>
  </si>
  <si>
    <t>15264572543</t>
  </si>
  <si>
    <t>54723160</t>
  </si>
  <si>
    <t>15264574172</t>
  </si>
  <si>
    <t>54721395</t>
  </si>
  <si>
    <t>15264574478</t>
  </si>
  <si>
    <t>54721427</t>
  </si>
  <si>
    <t>15264646952</t>
  </si>
  <si>
    <t>54727487</t>
  </si>
  <si>
    <t>15264647427</t>
  </si>
  <si>
    <t>54727167</t>
  </si>
  <si>
    <t>15264648317</t>
  </si>
  <si>
    <t>54727003</t>
  </si>
  <si>
    <t>15264648558</t>
  </si>
  <si>
    <t>54727902</t>
  </si>
  <si>
    <t>15264648909</t>
  </si>
  <si>
    <t>54727634</t>
  </si>
  <si>
    <t>15264649315</t>
  </si>
  <si>
    <t>54727495</t>
  </si>
  <si>
    <t>15264649406</t>
  </si>
  <si>
    <t>54727698</t>
  </si>
  <si>
    <t>15264649415</t>
  </si>
  <si>
    <t>54727633</t>
  </si>
  <si>
    <t>15264650505</t>
  </si>
  <si>
    <t>54727441</t>
  </si>
  <si>
    <t>15264654682</t>
  </si>
  <si>
    <t>15264657131</t>
  </si>
  <si>
    <t>54728421</t>
  </si>
  <si>
    <t>15264660826</t>
  </si>
  <si>
    <t>54728958</t>
  </si>
  <si>
    <t>15264665859</t>
  </si>
  <si>
    <t>54729476</t>
  </si>
  <si>
    <t>15264666610</t>
  </si>
  <si>
    <t>54729028</t>
  </si>
  <si>
    <t>15264667949</t>
  </si>
  <si>
    <t>54729206</t>
  </si>
  <si>
    <t>15264669247</t>
  </si>
  <si>
    <t>54729281</t>
  </si>
  <si>
    <t>15264684945</t>
  </si>
  <si>
    <t>54729834</t>
  </si>
  <si>
    <t>15264685012</t>
  </si>
  <si>
    <t>54729449</t>
  </si>
  <si>
    <t>15264686726</t>
  </si>
  <si>
    <t>54729791</t>
  </si>
  <si>
    <t>15264686899</t>
  </si>
  <si>
    <t>54730060</t>
  </si>
  <si>
    <t>15264687009</t>
  </si>
  <si>
    <t>54729849</t>
  </si>
  <si>
    <t>15264687363</t>
  </si>
  <si>
    <t>54729764</t>
  </si>
  <si>
    <t>15264688631</t>
  </si>
  <si>
    <t>15264690007</t>
  </si>
  <si>
    <t>15264690982</t>
  </si>
  <si>
    <t>15264691033</t>
  </si>
  <si>
    <t>55048720</t>
  </si>
  <si>
    <t>15264691402</t>
  </si>
  <si>
    <t>15264696051</t>
  </si>
  <si>
    <t>15264696569</t>
  </si>
  <si>
    <t>15264701298</t>
  </si>
  <si>
    <t>15264703718</t>
  </si>
  <si>
    <t>15264703721</t>
  </si>
  <si>
    <t>15264705947</t>
  </si>
  <si>
    <t>15264707786</t>
  </si>
  <si>
    <t>15264708973</t>
  </si>
  <si>
    <t>54741487</t>
  </si>
  <si>
    <t>15264709820</t>
  </si>
  <si>
    <t>54733957</t>
  </si>
  <si>
    <t>15264710794</t>
  </si>
  <si>
    <t>54733423</t>
  </si>
  <si>
    <t>15264711616</t>
  </si>
  <si>
    <t>54732792</t>
  </si>
  <si>
    <t>15264711925</t>
  </si>
  <si>
    <t>54733400</t>
  </si>
  <si>
    <t>15264715198</t>
  </si>
  <si>
    <t>54733097</t>
  </si>
  <si>
    <t>15264715199</t>
  </si>
  <si>
    <t>54733042</t>
  </si>
  <si>
    <t>15264715912</t>
  </si>
  <si>
    <t>54732782</t>
  </si>
  <si>
    <t>15264716078</t>
  </si>
  <si>
    <t>54734431</t>
  </si>
  <si>
    <t>15264716146</t>
  </si>
  <si>
    <t>15264716478</t>
  </si>
  <si>
    <t>54734072</t>
  </si>
  <si>
    <t>15264717405</t>
  </si>
  <si>
    <t>54733669</t>
  </si>
  <si>
    <t>15264717503</t>
  </si>
  <si>
    <t>54733758</t>
  </si>
  <si>
    <t>15264719827</t>
  </si>
  <si>
    <t>54732713</t>
  </si>
  <si>
    <t>15264720294</t>
  </si>
  <si>
    <t>54732623</t>
  </si>
  <si>
    <t>15264722070</t>
  </si>
  <si>
    <t>54733250</t>
  </si>
  <si>
    <t>15264727791</t>
  </si>
  <si>
    <t>54734182</t>
  </si>
  <si>
    <t>15264749138</t>
  </si>
  <si>
    <t>15264753170</t>
  </si>
  <si>
    <t>15264758679</t>
  </si>
  <si>
    <t>15264761728</t>
  </si>
  <si>
    <t>58662170</t>
  </si>
  <si>
    <t>15264761729</t>
  </si>
  <si>
    <t>15264765073</t>
  </si>
  <si>
    <t>54734651</t>
  </si>
  <si>
    <t>15264770680</t>
  </si>
  <si>
    <t>54738701</t>
  </si>
  <si>
    <t>15264770768</t>
  </si>
  <si>
    <t>54738732</t>
  </si>
  <si>
    <t>15264772345</t>
  </si>
  <si>
    <t>54738080</t>
  </si>
  <si>
    <t>15264777654</t>
  </si>
  <si>
    <t>15264778293</t>
  </si>
  <si>
    <t>54739607</t>
  </si>
  <si>
    <t>15264779849</t>
  </si>
  <si>
    <t>54738635</t>
  </si>
  <si>
    <t>15264780747</t>
  </si>
  <si>
    <t>54738142</t>
  </si>
  <si>
    <t>15264783019</t>
  </si>
  <si>
    <t>54739319</t>
  </si>
  <si>
    <t>15264789397</t>
  </si>
  <si>
    <t>54737291</t>
  </si>
  <si>
    <t>15264794506</t>
  </si>
  <si>
    <t>15264804700</t>
  </si>
  <si>
    <t>15264805601</t>
  </si>
  <si>
    <t>15264806550</t>
  </si>
  <si>
    <t>55048091</t>
  </si>
  <si>
    <t>15264818594</t>
  </si>
  <si>
    <t>15264820096</t>
  </si>
  <si>
    <t>15264823047</t>
  </si>
  <si>
    <t>54739292</t>
  </si>
  <si>
    <t>15264823068</t>
  </si>
  <si>
    <t>54739499</t>
  </si>
  <si>
    <t>15264824514</t>
  </si>
  <si>
    <t>54739386</t>
  </si>
  <si>
    <t>15264825529</t>
  </si>
  <si>
    <t>54739358</t>
  </si>
  <si>
    <t>15264825682</t>
  </si>
  <si>
    <t>54739308</t>
  </si>
  <si>
    <t>15264828729</t>
  </si>
  <si>
    <t>15264829911</t>
  </si>
  <si>
    <t>54743029</t>
  </si>
  <si>
    <t>15264831487</t>
  </si>
  <si>
    <t>54742194</t>
  </si>
  <si>
    <t>15264833973</t>
  </si>
  <si>
    <t>54742764</t>
  </si>
  <si>
    <t>15264836672</t>
  </si>
  <si>
    <t>54742181</t>
  </si>
  <si>
    <t>15264851186</t>
  </si>
  <si>
    <t>54744861</t>
  </si>
  <si>
    <t>15264854821</t>
  </si>
  <si>
    <t>54742495</t>
  </si>
  <si>
    <t>15264865753</t>
  </si>
  <si>
    <t>54742660</t>
  </si>
  <si>
    <t>15264867130</t>
  </si>
  <si>
    <t>54746516</t>
  </si>
  <si>
    <t>15264874600</t>
  </si>
  <si>
    <t>54744147</t>
  </si>
  <si>
    <t>15264874932</t>
  </si>
  <si>
    <t>54746120</t>
  </si>
  <si>
    <t>15264875650</t>
  </si>
  <si>
    <t>54746142</t>
  </si>
  <si>
    <t>15264876766</t>
  </si>
  <si>
    <t>54752738</t>
  </si>
  <si>
    <t>15264876921</t>
  </si>
  <si>
    <t>54752639</t>
  </si>
  <si>
    <t>15264878327</t>
  </si>
  <si>
    <t>54746136</t>
  </si>
  <si>
    <t>15264880227</t>
  </si>
  <si>
    <t>54758453</t>
  </si>
  <si>
    <t>15264912966</t>
  </si>
  <si>
    <t>54751139</t>
  </si>
  <si>
    <t>15264916659</t>
  </si>
  <si>
    <t>15264917267</t>
  </si>
  <si>
    <t>54751726</t>
  </si>
  <si>
    <t>15264918244</t>
  </si>
  <si>
    <t>54751149</t>
  </si>
  <si>
    <t>15264921828</t>
  </si>
  <si>
    <t>54751676</t>
  </si>
  <si>
    <t>15264921941</t>
  </si>
  <si>
    <t>54751098</t>
  </si>
  <si>
    <t>15264922400</t>
  </si>
  <si>
    <t>15264928020</t>
  </si>
  <si>
    <t>54756336</t>
  </si>
  <si>
    <t>15264929770</t>
  </si>
  <si>
    <t>54756428</t>
  </si>
  <si>
    <t>15264931878</t>
  </si>
  <si>
    <t>15264933592</t>
  </si>
  <si>
    <t>54758458</t>
  </si>
  <si>
    <t>15264938094</t>
  </si>
  <si>
    <t>15264938158</t>
  </si>
  <si>
    <t>15264940476</t>
  </si>
  <si>
    <t>54761799</t>
  </si>
  <si>
    <t>15264941935</t>
  </si>
  <si>
    <t>54765325</t>
  </si>
  <si>
    <t>15264944383</t>
  </si>
  <si>
    <t>54762551</t>
  </si>
  <si>
    <t>15264944702</t>
  </si>
  <si>
    <t>54762306</t>
  </si>
  <si>
    <t>15264945842</t>
  </si>
  <si>
    <t>54761784</t>
  </si>
  <si>
    <t>15264945887</t>
  </si>
  <si>
    <t>54761170</t>
  </si>
  <si>
    <t>15264945962</t>
  </si>
  <si>
    <t>54761088</t>
  </si>
  <si>
    <t>15264946257</t>
  </si>
  <si>
    <t>54760984</t>
  </si>
  <si>
    <t>15264947138</t>
  </si>
  <si>
    <t>54760800</t>
  </si>
  <si>
    <t>15264947165</t>
  </si>
  <si>
    <t>54761063</t>
  </si>
  <si>
    <t>15264952391</t>
  </si>
  <si>
    <t>15264975966</t>
  </si>
  <si>
    <t>54760892</t>
  </si>
  <si>
    <t>15264975971</t>
  </si>
  <si>
    <t>54761636</t>
  </si>
  <si>
    <t>15264981269</t>
  </si>
  <si>
    <t>54761066</t>
  </si>
  <si>
    <t>15264983661</t>
  </si>
  <si>
    <t>54760608</t>
  </si>
  <si>
    <t>15264987122</t>
  </si>
  <si>
    <t>15264988581</t>
  </si>
  <si>
    <t>15264992447</t>
  </si>
  <si>
    <t>54763220</t>
  </si>
  <si>
    <t>15264994227</t>
  </si>
  <si>
    <t>54825014</t>
  </si>
  <si>
    <t>54778654</t>
  </si>
  <si>
    <t>15264997451</t>
  </si>
  <si>
    <t>54765327</t>
  </si>
  <si>
    <t>15264999184</t>
  </si>
  <si>
    <t>15265006298</t>
  </si>
  <si>
    <t>54768349</t>
  </si>
  <si>
    <t>15265007517</t>
  </si>
  <si>
    <t>54766937</t>
  </si>
  <si>
    <t>15265010006</t>
  </si>
  <si>
    <t>54767029</t>
  </si>
  <si>
    <t>15265018080</t>
  </si>
  <si>
    <t>54768415</t>
  </si>
  <si>
    <t>15265034773</t>
  </si>
  <si>
    <t>54779001</t>
  </si>
  <si>
    <t>15265044545</t>
  </si>
  <si>
    <t>54769715</t>
  </si>
  <si>
    <t>15265056524</t>
  </si>
  <si>
    <t>15265058020</t>
  </si>
  <si>
    <t>15265063539</t>
  </si>
  <si>
    <t>15265063761</t>
  </si>
  <si>
    <t>15265065404</t>
  </si>
  <si>
    <t>55048036</t>
  </si>
  <si>
    <t>15265072833</t>
  </si>
  <si>
    <t>15265096201</t>
  </si>
  <si>
    <t>15265104869</t>
  </si>
  <si>
    <t>54779135</t>
  </si>
  <si>
    <t>15265106493</t>
  </si>
  <si>
    <t>54775453</t>
  </si>
  <si>
    <t>15265108836</t>
  </si>
  <si>
    <t>54774504</t>
  </si>
  <si>
    <t>15265112086</t>
  </si>
  <si>
    <t>54778913</t>
  </si>
  <si>
    <t>15265112087</t>
  </si>
  <si>
    <t>54778815</t>
  </si>
  <si>
    <t>15265112169</t>
  </si>
  <si>
    <t>54778905</t>
  </si>
  <si>
    <t>15265112382</t>
  </si>
  <si>
    <t>54775441</t>
  </si>
  <si>
    <t>15265112458</t>
  </si>
  <si>
    <t>54775790</t>
  </si>
  <si>
    <t>15265115180</t>
  </si>
  <si>
    <t>54774135</t>
  </si>
  <si>
    <t>15265116836</t>
  </si>
  <si>
    <t>54777275</t>
  </si>
  <si>
    <t>15265123242</t>
  </si>
  <si>
    <t>54774939</t>
  </si>
  <si>
    <t>15265124920</t>
  </si>
  <si>
    <t>54778519</t>
  </si>
  <si>
    <t>15265124921</t>
  </si>
  <si>
    <t>54773940</t>
  </si>
  <si>
    <t>15265130088</t>
  </si>
  <si>
    <t>54776540</t>
  </si>
  <si>
    <t>15265131321</t>
  </si>
  <si>
    <t>54777221</t>
  </si>
  <si>
    <t>15265132210</t>
  </si>
  <si>
    <t>Mazda : General Promotion - Asian Trucks</t>
  </si>
  <si>
    <t>15265133212</t>
  </si>
  <si>
    <t>15265133455</t>
  </si>
  <si>
    <t>15265135947</t>
  </si>
  <si>
    <t>54781694</t>
  </si>
  <si>
    <t>15265137020</t>
  </si>
  <si>
    <t>54780590</t>
  </si>
  <si>
    <t>15265139335</t>
  </si>
  <si>
    <t>54784974</t>
  </si>
  <si>
    <t>15265139369</t>
  </si>
  <si>
    <t>54781112</t>
  </si>
  <si>
    <t>15265139371</t>
  </si>
  <si>
    <t>54781049</t>
  </si>
  <si>
    <t>15265141216</t>
  </si>
  <si>
    <t>15265141989</t>
  </si>
  <si>
    <t>54782005</t>
  </si>
  <si>
    <t>15265148907</t>
  </si>
  <si>
    <t>58661657</t>
  </si>
  <si>
    <t>15265149885</t>
  </si>
  <si>
    <t>15265152150</t>
  </si>
  <si>
    <t>54790807</t>
  </si>
  <si>
    <t>15265174291</t>
  </si>
  <si>
    <t>15265174791</t>
  </si>
  <si>
    <t>15265175532</t>
  </si>
  <si>
    <t>55048966</t>
  </si>
  <si>
    <t>15265175812</t>
  </si>
  <si>
    <t>55048703</t>
  </si>
  <si>
    <t>15265177498</t>
  </si>
  <si>
    <t>15265178648</t>
  </si>
  <si>
    <t>54780124</t>
  </si>
  <si>
    <t>15265181754</t>
  </si>
  <si>
    <t>15265185026</t>
  </si>
  <si>
    <t>55047858</t>
  </si>
  <si>
    <t>15265185547</t>
  </si>
  <si>
    <t>15265195059</t>
  </si>
  <si>
    <t>55047768</t>
  </si>
  <si>
    <t>15265195933</t>
  </si>
  <si>
    <t>55047266</t>
  </si>
  <si>
    <t>15265196631</t>
  </si>
  <si>
    <t>15265198489</t>
  </si>
  <si>
    <t>54787493</t>
  </si>
  <si>
    <t>15265201570</t>
  </si>
  <si>
    <t>54785923</t>
  </si>
  <si>
    <t>15265224314</t>
  </si>
  <si>
    <t>54785714</t>
  </si>
  <si>
    <t>15265228962</t>
  </si>
  <si>
    <t>54786385</t>
  </si>
  <si>
    <t>15265229251</t>
  </si>
  <si>
    <t>54786352</t>
  </si>
  <si>
    <t>15265229594</t>
  </si>
  <si>
    <t>54786413</t>
  </si>
  <si>
    <t>15265231670</t>
  </si>
  <si>
    <t>54785388</t>
  </si>
  <si>
    <t>15265231672</t>
  </si>
  <si>
    <t>54785313</t>
  </si>
  <si>
    <t>15265232203</t>
  </si>
  <si>
    <t>54785253</t>
  </si>
  <si>
    <t>15265243147</t>
  </si>
  <si>
    <t>54787697</t>
  </si>
  <si>
    <t>15265243151</t>
  </si>
  <si>
    <t>54787675</t>
  </si>
  <si>
    <t>15265243195</t>
  </si>
  <si>
    <t>54787663</t>
  </si>
  <si>
    <t>15265244941</t>
  </si>
  <si>
    <t>54787938</t>
  </si>
  <si>
    <t>15265245334</t>
  </si>
  <si>
    <t>54787939</t>
  </si>
  <si>
    <t>15265245619</t>
  </si>
  <si>
    <t>54788107</t>
  </si>
  <si>
    <t>15265248641</t>
  </si>
  <si>
    <t>15265251778</t>
  </si>
  <si>
    <t>54804004</t>
  </si>
  <si>
    <t>15265254693</t>
  </si>
  <si>
    <t>54792855</t>
  </si>
  <si>
    <t>15265255748</t>
  </si>
  <si>
    <t>54791289</t>
  </si>
  <si>
    <t>15265258117</t>
  </si>
  <si>
    <t>54792947</t>
  </si>
  <si>
    <t>15265261019</t>
  </si>
  <si>
    <t>15265261524</t>
  </si>
  <si>
    <t>54790955</t>
  </si>
  <si>
    <t>15265261894</t>
  </si>
  <si>
    <t>54790972</t>
  </si>
  <si>
    <t>15265267089</t>
  </si>
  <si>
    <t>54792851</t>
  </si>
  <si>
    <t>15265281982</t>
  </si>
  <si>
    <t>15265292104</t>
  </si>
  <si>
    <t>54794643</t>
  </si>
  <si>
    <t>15265294669</t>
  </si>
  <si>
    <t>54794212</t>
  </si>
  <si>
    <t>15265299631</t>
  </si>
  <si>
    <t>54795244</t>
  </si>
  <si>
    <t>15265302012</t>
  </si>
  <si>
    <t>15265302121</t>
  </si>
  <si>
    <t>15265303001</t>
  </si>
  <si>
    <t>58662354</t>
  </si>
  <si>
    <t>15265305008</t>
  </si>
  <si>
    <t>15265305062</t>
  </si>
  <si>
    <t>58661868</t>
  </si>
  <si>
    <t>15265305080</t>
  </si>
  <si>
    <t>15265305168</t>
  </si>
  <si>
    <t>15265307866</t>
  </si>
  <si>
    <t>54801726</t>
  </si>
  <si>
    <t>15265309059</t>
  </si>
  <si>
    <t>15265310755</t>
  </si>
  <si>
    <t>54799130</t>
  </si>
  <si>
    <t>15265351302</t>
  </si>
  <si>
    <t>54803254</t>
  </si>
  <si>
    <t>15265354947</t>
  </si>
  <si>
    <t>54803266</t>
  </si>
  <si>
    <t>15265374179</t>
  </si>
  <si>
    <t>54800682</t>
  </si>
  <si>
    <t>15265374180</t>
  </si>
  <si>
    <t>54800729</t>
  </si>
  <si>
    <t>15265374185</t>
  </si>
  <si>
    <t>54800689</t>
  </si>
  <si>
    <t>15265374186</t>
  </si>
  <si>
    <t>54800708</t>
  </si>
  <si>
    <t>15265378651</t>
  </si>
  <si>
    <t>54809011</t>
  </si>
  <si>
    <t>15265391654</t>
  </si>
  <si>
    <t>54807023</t>
  </si>
  <si>
    <t>15265392120</t>
  </si>
  <si>
    <t>54806631</t>
  </si>
  <si>
    <t>15265393034</t>
  </si>
  <si>
    <t>54805791</t>
  </si>
  <si>
    <t>15265405561</t>
  </si>
  <si>
    <t>54806261</t>
  </si>
  <si>
    <t>15265411013</t>
  </si>
  <si>
    <t>15265416714</t>
  </si>
  <si>
    <t>54808152</t>
  </si>
  <si>
    <t>15265416715</t>
  </si>
  <si>
    <t>54808145</t>
  </si>
  <si>
    <t>15265417251</t>
  </si>
  <si>
    <t>54808128</t>
  </si>
  <si>
    <t>15265437455</t>
  </si>
  <si>
    <t>15265439524</t>
  </si>
  <si>
    <t>55048704</t>
  </si>
  <si>
    <t>15265440291</t>
  </si>
  <si>
    <t>15265440577</t>
  </si>
  <si>
    <t>15265440815</t>
  </si>
  <si>
    <t>15265443621</t>
  </si>
  <si>
    <t>54805662</t>
  </si>
  <si>
    <t>15265445625</t>
  </si>
  <si>
    <t>58662307</t>
  </si>
  <si>
    <t>15265448142</t>
  </si>
  <si>
    <t>55046844</t>
  </si>
  <si>
    <t>15265448803</t>
  </si>
  <si>
    <t>54813782</t>
  </si>
  <si>
    <t>15265449235</t>
  </si>
  <si>
    <t>15265452047</t>
  </si>
  <si>
    <t>54813701</t>
  </si>
  <si>
    <t>15265493548</t>
  </si>
  <si>
    <t>15265494358</t>
  </si>
  <si>
    <t>54815250</t>
  </si>
  <si>
    <t>15265499098</t>
  </si>
  <si>
    <t>54813772</t>
  </si>
  <si>
    <t>15265571873</t>
  </si>
  <si>
    <t>54825412</t>
  </si>
  <si>
    <t>15265578823</t>
  </si>
  <si>
    <t>54819859</t>
  </si>
  <si>
    <t>15265587274</t>
  </si>
  <si>
    <t>54823390</t>
  </si>
  <si>
    <t>15265587288</t>
  </si>
  <si>
    <t>54823431</t>
  </si>
  <si>
    <t>15265599651</t>
  </si>
  <si>
    <t>54826272</t>
  </si>
  <si>
    <t>15265646481</t>
  </si>
  <si>
    <t>15265653344</t>
  </si>
  <si>
    <t>54832474</t>
  </si>
  <si>
    <t>15265659119</t>
  </si>
  <si>
    <t>54829839</t>
  </si>
  <si>
    <t>15265659984</t>
  </si>
  <si>
    <t>54832465</t>
  </si>
  <si>
    <t>15265664938</t>
  </si>
  <si>
    <t>54830047</t>
  </si>
  <si>
    <t>15265707242</t>
  </si>
  <si>
    <t>15265715786</t>
  </si>
  <si>
    <t>54835788</t>
  </si>
  <si>
    <t>15265724886</t>
  </si>
  <si>
    <t>54834280</t>
  </si>
  <si>
    <t>15265727715</t>
  </si>
  <si>
    <t>54835531</t>
  </si>
  <si>
    <t>15265727733</t>
  </si>
  <si>
    <t>54835441</t>
  </si>
  <si>
    <t>15265727742</t>
  </si>
  <si>
    <t>54835511</t>
  </si>
  <si>
    <t>15265727755</t>
  </si>
  <si>
    <t>54835510</t>
  </si>
  <si>
    <t>15265773902</t>
  </si>
  <si>
    <t>54835177</t>
  </si>
  <si>
    <t>15265773914</t>
  </si>
  <si>
    <t>54835274</t>
  </si>
  <si>
    <t>15265777671</t>
  </si>
  <si>
    <t>54843297</t>
  </si>
  <si>
    <t>15265779748</t>
  </si>
  <si>
    <t>54836243</t>
  </si>
  <si>
    <t>15265786601</t>
  </si>
  <si>
    <t>54836608</t>
  </si>
  <si>
    <t>15265789632</t>
  </si>
  <si>
    <t>15265826029</t>
  </si>
  <si>
    <t>54848929</t>
  </si>
  <si>
    <t>15265830898</t>
  </si>
  <si>
    <t>54855586</t>
  </si>
  <si>
    <t>15265830980</t>
  </si>
  <si>
    <t>54850437</t>
  </si>
  <si>
    <t>15265836218</t>
  </si>
  <si>
    <t>54842248</t>
  </si>
  <si>
    <t>15265837739</t>
  </si>
  <si>
    <t>54857816</t>
  </si>
  <si>
    <t>15265839321</t>
  </si>
  <si>
    <t>54842680</t>
  </si>
  <si>
    <t>15265848503</t>
  </si>
  <si>
    <t>54841173</t>
  </si>
  <si>
    <t>15265854621</t>
  </si>
  <si>
    <t>54841113</t>
  </si>
  <si>
    <t>54456065</t>
  </si>
  <si>
    <t>15265904663</t>
  </si>
  <si>
    <t>54849194</t>
  </si>
  <si>
    <t>15265907736</t>
  </si>
  <si>
    <t>54848854</t>
  </si>
  <si>
    <t>15265908441</t>
  </si>
  <si>
    <t>54849162</t>
  </si>
  <si>
    <t>15265926659</t>
  </si>
  <si>
    <t>54855087</t>
  </si>
  <si>
    <t>15265941783</t>
  </si>
  <si>
    <t>54861036</t>
  </si>
  <si>
    <t>15265964686</t>
  </si>
  <si>
    <t>54872451</t>
  </si>
  <si>
    <t>15265978521</t>
  </si>
  <si>
    <t>54862626</t>
  </si>
  <si>
    <t>15265979424</t>
  </si>
  <si>
    <t>54857625</t>
  </si>
  <si>
    <t>15265985259</t>
  </si>
  <si>
    <t>15265987554</t>
  </si>
  <si>
    <t>54866822</t>
  </si>
  <si>
    <t>15265990944</t>
  </si>
  <si>
    <t>54860752</t>
  </si>
  <si>
    <t>15266001591</t>
  </si>
  <si>
    <t>15266025917</t>
  </si>
  <si>
    <t>54861863</t>
  </si>
  <si>
    <t>15266030126</t>
  </si>
  <si>
    <t>54871505</t>
  </si>
  <si>
    <t>15266030138</t>
  </si>
  <si>
    <t>54871509</t>
  </si>
  <si>
    <t>15266035412</t>
  </si>
  <si>
    <t>54870987</t>
  </si>
  <si>
    <t>15266035674</t>
  </si>
  <si>
    <t>15266036432</t>
  </si>
  <si>
    <t>15266038669</t>
  </si>
  <si>
    <t>58662134</t>
  </si>
  <si>
    <t>15266046374</t>
  </si>
  <si>
    <t>54867311</t>
  </si>
  <si>
    <t>15266052054</t>
  </si>
  <si>
    <t>54865448</t>
  </si>
  <si>
    <t>15266052895</t>
  </si>
  <si>
    <t>54865278</t>
  </si>
  <si>
    <t>15266053572</t>
  </si>
  <si>
    <t>54895723</t>
  </si>
  <si>
    <t>15266054439</t>
  </si>
  <si>
    <t>54866198</t>
  </si>
  <si>
    <t>15266055833</t>
  </si>
  <si>
    <t>54865418</t>
  </si>
  <si>
    <t>15266056623</t>
  </si>
  <si>
    <t>54865268</t>
  </si>
  <si>
    <t>15266059106</t>
  </si>
  <si>
    <t>15266083888</t>
  </si>
  <si>
    <t>54887067</t>
  </si>
  <si>
    <t>15266090785</t>
  </si>
  <si>
    <t>54882896</t>
  </si>
  <si>
    <t>15266091902</t>
  </si>
  <si>
    <t>54882828</t>
  </si>
  <si>
    <t>15266093287</t>
  </si>
  <si>
    <t>54883033</t>
  </si>
  <si>
    <t>15266093792</t>
  </si>
  <si>
    <t>54887523</t>
  </si>
  <si>
    <t>15266094791</t>
  </si>
  <si>
    <t>54887941</t>
  </si>
  <si>
    <t>15266094807</t>
  </si>
  <si>
    <t>54887876</t>
  </si>
  <si>
    <t>15266096351</t>
  </si>
  <si>
    <t>54886804</t>
  </si>
  <si>
    <t>Mazda Leasing : General Promotion - Asian Trucks</t>
  </si>
  <si>
    <t>15266097498</t>
  </si>
  <si>
    <t>54886176</t>
  </si>
  <si>
    <t>15266098185</t>
  </si>
  <si>
    <t>54885938</t>
  </si>
  <si>
    <t>15266098307</t>
  </si>
  <si>
    <t>54911305</t>
  </si>
  <si>
    <t>53300823</t>
  </si>
  <si>
    <t>15266098323</t>
  </si>
  <si>
    <t>54911303</t>
  </si>
  <si>
    <t>15266100745</t>
  </si>
  <si>
    <t>54886524</t>
  </si>
  <si>
    <t>15266100756</t>
  </si>
  <si>
    <t>54886586</t>
  </si>
  <si>
    <t>15266100800</t>
  </si>
  <si>
    <t>54911359</t>
  </si>
  <si>
    <t>Mazda CX-5 Pre-Owned : Asian Crossover Utility Vehicle</t>
  </si>
  <si>
    <t>15266100806</t>
  </si>
  <si>
    <t>54911355</t>
  </si>
  <si>
    <t>15266101062</t>
  </si>
  <si>
    <t>54864926</t>
  </si>
  <si>
    <t>15266102389</t>
  </si>
  <si>
    <t>54892622</t>
  </si>
  <si>
    <t>15266102804</t>
  </si>
  <si>
    <t>54964297</t>
  </si>
  <si>
    <t>15266102812</t>
  </si>
  <si>
    <t>15266103002</t>
  </si>
  <si>
    <t>54892288</t>
  </si>
  <si>
    <t>15266106026</t>
  </si>
  <si>
    <t>54888360</t>
  </si>
  <si>
    <t>15266106107</t>
  </si>
  <si>
    <t>54888487</t>
  </si>
  <si>
    <t>15266106179</t>
  </si>
  <si>
    <t>54888461</t>
  </si>
  <si>
    <t>15266106185</t>
  </si>
  <si>
    <t>54888361</t>
  </si>
  <si>
    <t>15266107068</t>
  </si>
  <si>
    <t>54888294</t>
  </si>
  <si>
    <t>15266107160</t>
  </si>
  <si>
    <t>55046925</t>
  </si>
  <si>
    <t>15266109065</t>
  </si>
  <si>
    <t>15266112689</t>
  </si>
  <si>
    <t>54964211</t>
  </si>
  <si>
    <t>15266115372</t>
  </si>
  <si>
    <t>54869092</t>
  </si>
  <si>
    <t>15266116919</t>
  </si>
  <si>
    <t>15266117003</t>
  </si>
  <si>
    <t>15266118499</t>
  </si>
  <si>
    <t>54895725</t>
  </si>
  <si>
    <t>15266119442</t>
  </si>
  <si>
    <t>54864982</t>
  </si>
  <si>
    <t>15266119605</t>
  </si>
  <si>
    <t>15266123663</t>
  </si>
  <si>
    <t>54869657</t>
  </si>
  <si>
    <t>15266123779</t>
  </si>
  <si>
    <t>54869761</t>
  </si>
  <si>
    <t>15266123991</t>
  </si>
  <si>
    <t>54869601</t>
  </si>
  <si>
    <t>15266138809</t>
  </si>
  <si>
    <t>54902866</t>
  </si>
  <si>
    <t>50861615</t>
  </si>
  <si>
    <t>15266141552</t>
  </si>
  <si>
    <t>54868986</t>
  </si>
  <si>
    <t>15266145855</t>
  </si>
  <si>
    <t>15266154236</t>
  </si>
  <si>
    <t>54869289</t>
  </si>
  <si>
    <t>15266155584</t>
  </si>
  <si>
    <t>54869768</t>
  </si>
  <si>
    <t>15266158070</t>
  </si>
  <si>
    <t>54869558</t>
  </si>
  <si>
    <t>15266158072</t>
  </si>
  <si>
    <t>54869395</t>
  </si>
  <si>
    <t>15266159617</t>
  </si>
  <si>
    <t>54902897</t>
  </si>
  <si>
    <t>15266160646</t>
  </si>
  <si>
    <t>54875655</t>
  </si>
  <si>
    <t>15266162980</t>
  </si>
  <si>
    <t>54872914</t>
  </si>
  <si>
    <t>15266163514</t>
  </si>
  <si>
    <t>54875347</t>
  </si>
  <si>
    <t>15266164346</t>
  </si>
  <si>
    <t>54874153</t>
  </si>
  <si>
    <t>15266164650</t>
  </si>
  <si>
    <t>54881901</t>
  </si>
  <si>
    <t>15266166550</t>
  </si>
  <si>
    <t>54964406</t>
  </si>
  <si>
    <t>15266166558</t>
  </si>
  <si>
    <t>54873125</t>
  </si>
  <si>
    <t>15266167154</t>
  </si>
  <si>
    <t>15266170132</t>
  </si>
  <si>
    <t>58661560</t>
  </si>
  <si>
    <t>15266170595</t>
  </si>
  <si>
    <t>54875856</t>
  </si>
  <si>
    <t>15266170673</t>
  </si>
  <si>
    <t>54875884</t>
  </si>
  <si>
    <t>15266170943</t>
  </si>
  <si>
    <t>54876207</t>
  </si>
  <si>
    <t>15266170944</t>
  </si>
  <si>
    <t>54876070</t>
  </si>
  <si>
    <t>15266170945</t>
  </si>
  <si>
    <t>54876168</t>
  </si>
  <si>
    <t>15266171904</t>
  </si>
  <si>
    <t>15266172170</t>
  </si>
  <si>
    <t>54875933</t>
  </si>
  <si>
    <t>15266172560</t>
  </si>
  <si>
    <t>54911157</t>
  </si>
  <si>
    <t>15266172780</t>
  </si>
  <si>
    <t>54876278</t>
  </si>
  <si>
    <t>15266172818</t>
  </si>
  <si>
    <t>54875813</t>
  </si>
  <si>
    <t>15266173395</t>
  </si>
  <si>
    <t>54875680</t>
  </si>
  <si>
    <t>15266175902</t>
  </si>
  <si>
    <t>15266175910</t>
  </si>
  <si>
    <t>54874286</t>
  </si>
  <si>
    <t>15266175929</t>
  </si>
  <si>
    <t>54964407</t>
  </si>
  <si>
    <t>15266176127</t>
  </si>
  <si>
    <t>54874240</t>
  </si>
  <si>
    <t>15266176134</t>
  </si>
  <si>
    <t>54874588</t>
  </si>
  <si>
    <t>15266176135</t>
  </si>
  <si>
    <t>54874333</t>
  </si>
  <si>
    <t>15266177020</t>
  </si>
  <si>
    <t>54903001</t>
  </si>
  <si>
    <t>15266177891</t>
  </si>
  <si>
    <t>54902968</t>
  </si>
  <si>
    <t>15266178366</t>
  </si>
  <si>
    <t>54874134</t>
  </si>
  <si>
    <t>15266180599</t>
  </si>
  <si>
    <t>54875706</t>
  </si>
  <si>
    <t>15266180640</t>
  </si>
  <si>
    <t>54875466</t>
  </si>
  <si>
    <t>15266191267</t>
  </si>
  <si>
    <t>54872767</t>
  </si>
  <si>
    <t>15266194010</t>
  </si>
  <si>
    <t>54911155</t>
  </si>
  <si>
    <t>15266194057</t>
  </si>
  <si>
    <t>54879930</t>
  </si>
  <si>
    <t>Mazda : General Promotion - Asian Autos</t>
  </si>
  <si>
    <t>15266194225</t>
  </si>
  <si>
    <t>54902933</t>
  </si>
  <si>
    <t>15266194238</t>
  </si>
  <si>
    <t>54903008</t>
  </si>
  <si>
    <t>15266195507</t>
  </si>
  <si>
    <t>54873296</t>
  </si>
  <si>
    <t>15266211141</t>
  </si>
  <si>
    <t>54876433</t>
  </si>
  <si>
    <t>15266225541</t>
  </si>
  <si>
    <t>54876214</t>
  </si>
  <si>
    <t>15266231254</t>
  </si>
  <si>
    <t>54911154</t>
  </si>
  <si>
    <t>15266231255</t>
  </si>
  <si>
    <t>54902932</t>
  </si>
  <si>
    <t>Mazda CX-30 Leasing : Asian Crossover Utility Vehicle</t>
  </si>
  <si>
    <t>15266231256</t>
  </si>
  <si>
    <t>54964397</t>
  </si>
  <si>
    <t>15266231280</t>
  </si>
  <si>
    <t>54911694</t>
  </si>
  <si>
    <t>15266231281</t>
  </si>
  <si>
    <t>54911673</t>
  </si>
  <si>
    <t>15266232120</t>
  </si>
  <si>
    <t>54881542</t>
  </si>
  <si>
    <t>15266233349</t>
  </si>
  <si>
    <t>15266233646</t>
  </si>
  <si>
    <t>54957010</t>
  </si>
  <si>
    <t>15266235134</t>
  </si>
  <si>
    <t>54873619</t>
  </si>
  <si>
    <t>15266235216</t>
  </si>
  <si>
    <t>54880598</t>
  </si>
  <si>
    <t>15266237824</t>
  </si>
  <si>
    <t>54873244</t>
  </si>
  <si>
    <t>15266238135</t>
  </si>
  <si>
    <t>54911149</t>
  </si>
  <si>
    <t>15266254864</t>
  </si>
  <si>
    <t>54875056</t>
  </si>
  <si>
    <t>15266266485</t>
  </si>
  <si>
    <t>15266267551</t>
  </si>
  <si>
    <t>54881314</t>
  </si>
  <si>
    <t>15266270621</t>
  </si>
  <si>
    <t>54879979</t>
  </si>
  <si>
    <t>15266271795</t>
  </si>
  <si>
    <t>54888995</t>
  </si>
  <si>
    <t>15266272184</t>
  </si>
  <si>
    <t>54964409</t>
  </si>
  <si>
    <t>15266284864</t>
  </si>
  <si>
    <t>54882174</t>
  </si>
  <si>
    <t>15266288510</t>
  </si>
  <si>
    <t>54880969</t>
  </si>
  <si>
    <t>15266288555</t>
  </si>
  <si>
    <t>54880866</t>
  </si>
  <si>
    <t>15266292022</t>
  </si>
  <si>
    <t>54880836</t>
  </si>
  <si>
    <t>15266293236</t>
  </si>
  <si>
    <t>54883019</t>
  </si>
  <si>
    <t>15266293772</t>
  </si>
  <si>
    <t>54880786</t>
  </si>
  <si>
    <t>15266293886</t>
  </si>
  <si>
    <t>54880490</t>
  </si>
  <si>
    <t>15266293924</t>
  </si>
  <si>
    <t>54911169</t>
  </si>
  <si>
    <t>15266293940</t>
  </si>
  <si>
    <t>54911167</t>
  </si>
  <si>
    <t>15266293959</t>
  </si>
  <si>
    <t>54879874</t>
  </si>
  <si>
    <t>15266294011</t>
  </si>
  <si>
    <t>54880078</t>
  </si>
  <si>
    <t>15266294458</t>
  </si>
  <si>
    <t>54888691</t>
  </si>
  <si>
    <t>15266294707</t>
  </si>
  <si>
    <t>54886050</t>
  </si>
  <si>
    <t>15266294771</t>
  </si>
  <si>
    <t>54886922</t>
  </si>
  <si>
    <t>15266296172</t>
  </si>
  <si>
    <t>15266296311</t>
  </si>
  <si>
    <t>54888539</t>
  </si>
  <si>
    <t>15266298271</t>
  </si>
  <si>
    <t>54879914</t>
  </si>
  <si>
    <t>15266299110</t>
  </si>
  <si>
    <t>54882975</t>
  </si>
  <si>
    <t>15266299424</t>
  </si>
  <si>
    <t>54964132</t>
  </si>
  <si>
    <t>15266301110</t>
  </si>
  <si>
    <t>54879993</t>
  </si>
  <si>
    <t>15266301789</t>
  </si>
  <si>
    <t>54888711</t>
  </si>
  <si>
    <t>15266302493</t>
  </si>
  <si>
    <t>54880454</t>
  </si>
  <si>
    <t>15266304390</t>
  </si>
  <si>
    <t>54883068</t>
  </si>
  <si>
    <t>15266304417</t>
  </si>
  <si>
    <t>54882977</t>
  </si>
  <si>
    <t>15266306720</t>
  </si>
  <si>
    <t>54882291</t>
  </si>
  <si>
    <t>15266307333</t>
  </si>
  <si>
    <t>54882831</t>
  </si>
  <si>
    <t>15266307521</t>
  </si>
  <si>
    <t>54911284</t>
  </si>
  <si>
    <t>15266307734</t>
  </si>
  <si>
    <t>54882167</t>
  </si>
  <si>
    <t>15266307750</t>
  </si>
  <si>
    <t>54882187</t>
  </si>
  <si>
    <t>15266307817</t>
  </si>
  <si>
    <t>54882164</t>
  </si>
  <si>
    <t>15266307818</t>
  </si>
  <si>
    <t>54881871</t>
  </si>
  <si>
    <t>15266308035</t>
  </si>
  <si>
    <t>54881614</t>
  </si>
  <si>
    <t>15266314978</t>
  </si>
  <si>
    <t>54886275</t>
  </si>
  <si>
    <t>15266324787</t>
  </si>
  <si>
    <t>54886008</t>
  </si>
  <si>
    <t>15266326355</t>
  </si>
  <si>
    <t>54892869</t>
  </si>
  <si>
    <t>15266332356</t>
  </si>
  <si>
    <t>54964212</t>
  </si>
  <si>
    <t>15266341017</t>
  </si>
  <si>
    <t>54894431</t>
  </si>
  <si>
    <t>15266341048</t>
  </si>
  <si>
    <t>54894559</t>
  </si>
  <si>
    <t>15266344918</t>
  </si>
  <si>
    <t>15266345234</t>
  </si>
  <si>
    <t>54887119</t>
  </si>
  <si>
    <t>15266345355</t>
  </si>
  <si>
    <t>54887223</t>
  </si>
  <si>
    <t>15266346403</t>
  </si>
  <si>
    <t>15266346432</t>
  </si>
  <si>
    <t>58661892</t>
  </si>
  <si>
    <t>15266346489</t>
  </si>
  <si>
    <t>15266346512</t>
  </si>
  <si>
    <t>54899019</t>
  </si>
  <si>
    <t>15266353992</t>
  </si>
  <si>
    <t>54894150</t>
  </si>
  <si>
    <t>15266354148</t>
  </si>
  <si>
    <t>54888983</t>
  </si>
  <si>
    <t>15266356098</t>
  </si>
  <si>
    <t>15266356099</t>
  </si>
  <si>
    <t>54893271</t>
  </si>
  <si>
    <t>15266356327</t>
  </si>
  <si>
    <t>15266361648</t>
  </si>
  <si>
    <t>54892557</t>
  </si>
  <si>
    <t>15266362926</t>
  </si>
  <si>
    <t>54897561</t>
  </si>
  <si>
    <t>15266365583</t>
  </si>
  <si>
    <t>54888642</t>
  </si>
  <si>
    <t>15266366492</t>
  </si>
  <si>
    <t>15266367223</t>
  </si>
  <si>
    <t>54887873</t>
  </si>
  <si>
    <t>15266367250</t>
  </si>
  <si>
    <t>54887308</t>
  </si>
  <si>
    <t>15266369031</t>
  </si>
  <si>
    <t>54886936</t>
  </si>
  <si>
    <t>15266369536</t>
  </si>
  <si>
    <t>54886508</t>
  </si>
  <si>
    <t>15266374051</t>
  </si>
  <si>
    <t>54892744</t>
  </si>
  <si>
    <t>15266376181</t>
  </si>
  <si>
    <t>54892508</t>
  </si>
  <si>
    <t>15266376851</t>
  </si>
  <si>
    <t>15266376876</t>
  </si>
  <si>
    <t>54891658</t>
  </si>
  <si>
    <t>15266377976</t>
  </si>
  <si>
    <t>54891566</t>
  </si>
  <si>
    <t>15266388542</t>
  </si>
  <si>
    <t>54899644</t>
  </si>
  <si>
    <t>15266389499</t>
  </si>
  <si>
    <t>54933463</t>
  </si>
  <si>
    <t>15266391926</t>
  </si>
  <si>
    <t>54933275</t>
  </si>
  <si>
    <t>15266393959</t>
  </si>
  <si>
    <t>54933182</t>
  </si>
  <si>
    <t>15266399717</t>
  </si>
  <si>
    <t>54891955</t>
  </si>
  <si>
    <t>15266401048</t>
  </si>
  <si>
    <t>54892684</t>
  </si>
  <si>
    <t>15266402945</t>
  </si>
  <si>
    <t>54891613</t>
  </si>
  <si>
    <t>15266404287</t>
  </si>
  <si>
    <t>54893356</t>
  </si>
  <si>
    <t>15266404289</t>
  </si>
  <si>
    <t>54893292</t>
  </si>
  <si>
    <t>15266404300</t>
  </si>
  <si>
    <t>54893664</t>
  </si>
  <si>
    <t>15266404726</t>
  </si>
  <si>
    <t>54893021</t>
  </si>
  <si>
    <t>15266404924</t>
  </si>
  <si>
    <t>54904554</t>
  </si>
  <si>
    <t>15266404991</t>
  </si>
  <si>
    <t>54934122</t>
  </si>
  <si>
    <t>15266405005</t>
  </si>
  <si>
    <t>54933186</t>
  </si>
  <si>
    <t>15266405062</t>
  </si>
  <si>
    <t>54899904</t>
  </si>
  <si>
    <t>15266405682</t>
  </si>
  <si>
    <t>54899764</t>
  </si>
  <si>
    <t>15266406242</t>
  </si>
  <si>
    <t>54899789</t>
  </si>
  <si>
    <t>15266406256</t>
  </si>
  <si>
    <t>54899594</t>
  </si>
  <si>
    <t>15266406257</t>
  </si>
  <si>
    <t>54899616</t>
  </si>
  <si>
    <t>15266406273</t>
  </si>
  <si>
    <t>54893781</t>
  </si>
  <si>
    <t>15266406908</t>
  </si>
  <si>
    <t>54893699</t>
  </si>
  <si>
    <t>15266407077</t>
  </si>
  <si>
    <t>54899611</t>
  </si>
  <si>
    <t>15266407774</t>
  </si>
  <si>
    <t>54893092</t>
  </si>
  <si>
    <t>15266407829</t>
  </si>
  <si>
    <t>15266408002</t>
  </si>
  <si>
    <t>54893698</t>
  </si>
  <si>
    <t>15266408018</t>
  </si>
  <si>
    <t>54933770</t>
  </si>
  <si>
    <t>15266408928</t>
  </si>
  <si>
    <t>54893760</t>
  </si>
  <si>
    <t>15266409080</t>
  </si>
  <si>
    <t>54933261</t>
  </si>
  <si>
    <t>15266410819</t>
  </si>
  <si>
    <t>54891765</t>
  </si>
  <si>
    <t>15266411538</t>
  </si>
  <si>
    <t>54892066</t>
  </si>
  <si>
    <t>15266413267</t>
  </si>
  <si>
    <t>54900467</t>
  </si>
  <si>
    <t>15266414191</t>
  </si>
  <si>
    <t>54892803</t>
  </si>
  <si>
    <t>15266415701</t>
  </si>
  <si>
    <t>54939609</t>
  </si>
  <si>
    <t>15266415702</t>
  </si>
  <si>
    <t>54939580</t>
  </si>
  <si>
    <t>Mazda 3 Pre-Owned : Asian Passenger Auto</t>
  </si>
  <si>
    <t>15266415761</t>
  </si>
  <si>
    <t>54892510</t>
  </si>
  <si>
    <t>15266416605</t>
  </si>
  <si>
    <t>54892948</t>
  </si>
  <si>
    <t>15266417435</t>
  </si>
  <si>
    <t>54893229</t>
  </si>
  <si>
    <t>15266417860</t>
  </si>
  <si>
    <t>54893231</t>
  </si>
  <si>
    <t>15266418286</t>
  </si>
  <si>
    <t>54933269</t>
  </si>
  <si>
    <t>15266418625</t>
  </si>
  <si>
    <t>54893896</t>
  </si>
  <si>
    <t>15266419403</t>
  </si>
  <si>
    <t>54893825</t>
  </si>
  <si>
    <t>15266419504</t>
  </si>
  <si>
    <t>58662283</t>
  </si>
  <si>
    <t>15266419801</t>
  </si>
  <si>
    <t>58661722</t>
  </si>
  <si>
    <t>15266420074</t>
  </si>
  <si>
    <t>15266420281</t>
  </si>
  <si>
    <t>15266420791</t>
  </si>
  <si>
    <t>55048349</t>
  </si>
  <si>
    <t>15266421071</t>
  </si>
  <si>
    <t>55048517</t>
  </si>
  <si>
    <t>15266422248</t>
  </si>
  <si>
    <t>15266422456</t>
  </si>
  <si>
    <t>55046953</t>
  </si>
  <si>
    <t>15266422533</t>
  </si>
  <si>
    <t>55048683</t>
  </si>
  <si>
    <t>15266424013</t>
  </si>
  <si>
    <t>55047037</t>
  </si>
  <si>
    <t>15266425036</t>
  </si>
  <si>
    <t>54900030</t>
  </si>
  <si>
    <t>15266425037</t>
  </si>
  <si>
    <t>54898202</t>
  </si>
  <si>
    <t>15266425072</t>
  </si>
  <si>
    <t>15266426096</t>
  </si>
  <si>
    <t>54898105</t>
  </si>
  <si>
    <t>15266426097</t>
  </si>
  <si>
    <t>54898154</t>
  </si>
  <si>
    <t>15266426438</t>
  </si>
  <si>
    <t>58662157</t>
  </si>
  <si>
    <t>15266426486</t>
  </si>
  <si>
    <t>15266426980</t>
  </si>
  <si>
    <t>15266427606</t>
  </si>
  <si>
    <t>54897578</t>
  </si>
  <si>
    <t>15266428375</t>
  </si>
  <si>
    <t>15266428649</t>
  </si>
  <si>
    <t>55048650</t>
  </si>
  <si>
    <t>15266428693</t>
  </si>
  <si>
    <t>15266428771</t>
  </si>
  <si>
    <t>55047171</t>
  </si>
  <si>
    <t>15266429160</t>
  </si>
  <si>
    <t>55047812</t>
  </si>
  <si>
    <t>15266429203</t>
  </si>
  <si>
    <t>15266429750</t>
  </si>
  <si>
    <t>54897827</t>
  </si>
  <si>
    <t>15266429905</t>
  </si>
  <si>
    <t>54897916</t>
  </si>
  <si>
    <t>15266430651</t>
  </si>
  <si>
    <t>54897038</t>
  </si>
  <si>
    <t>15266430794</t>
  </si>
  <si>
    <t>54897228</t>
  </si>
  <si>
    <t>15266430917</t>
  </si>
  <si>
    <t>54897122</t>
  </si>
  <si>
    <t>15266431051</t>
  </si>
  <si>
    <t>54897556</t>
  </si>
  <si>
    <t>15266431441</t>
  </si>
  <si>
    <t>54896860</t>
  </si>
  <si>
    <t>15266431693</t>
  </si>
  <si>
    <t>54904011</t>
  </si>
  <si>
    <t>15266431893</t>
  </si>
  <si>
    <t>54903799</t>
  </si>
  <si>
    <t>15266432866</t>
  </si>
  <si>
    <t>54900690</t>
  </si>
  <si>
    <t>15266432889</t>
  </si>
  <si>
    <t>54900613</t>
  </si>
  <si>
    <t>15266433401</t>
  </si>
  <si>
    <t>54900084</t>
  </si>
  <si>
    <t>15266433769</t>
  </si>
  <si>
    <t>54965595</t>
  </si>
  <si>
    <t>15266434012</t>
  </si>
  <si>
    <t>54965593</t>
  </si>
  <si>
    <t>15266434371</t>
  </si>
  <si>
    <t>54899086</t>
  </si>
  <si>
    <t>15266435605</t>
  </si>
  <si>
    <t>54898970</t>
  </si>
  <si>
    <t>15266437001</t>
  </si>
  <si>
    <t>15266441828</t>
  </si>
  <si>
    <t>54900025</t>
  </si>
  <si>
    <t>15266468173</t>
  </si>
  <si>
    <t>54899897</t>
  </si>
  <si>
    <t>15266473098</t>
  </si>
  <si>
    <t>54933590</t>
  </si>
  <si>
    <t>15266473391</t>
  </si>
  <si>
    <t>54900260</t>
  </si>
  <si>
    <t>15266478635</t>
  </si>
  <si>
    <t>54900643</t>
  </si>
  <si>
    <t>15266479237</t>
  </si>
  <si>
    <t>54900787</t>
  </si>
  <si>
    <t>15266481632</t>
  </si>
  <si>
    <t>54902791</t>
  </si>
  <si>
    <t>15266485028</t>
  </si>
  <si>
    <t>54965629</t>
  </si>
  <si>
    <t>15266485170</t>
  </si>
  <si>
    <t>15266485188</t>
  </si>
  <si>
    <t>15266488692</t>
  </si>
  <si>
    <t>15266488805</t>
  </si>
  <si>
    <t>15266490781</t>
  </si>
  <si>
    <t>15266493297</t>
  </si>
  <si>
    <t>15266493300</t>
  </si>
  <si>
    <t>55048810</t>
  </si>
  <si>
    <t>15266493301</t>
  </si>
  <si>
    <t>55046767</t>
  </si>
  <si>
    <t>15266494286</t>
  </si>
  <si>
    <t>54908941</t>
  </si>
  <si>
    <t>15266494890</t>
  </si>
  <si>
    <t>54905264</t>
  </si>
  <si>
    <t>15266494914</t>
  </si>
  <si>
    <t>54905269</t>
  </si>
  <si>
    <t>15266495784</t>
  </si>
  <si>
    <t>58661779</t>
  </si>
  <si>
    <t>15266495817</t>
  </si>
  <si>
    <t>15266496194</t>
  </si>
  <si>
    <t>15266497342</t>
  </si>
  <si>
    <t>54904929</t>
  </si>
  <si>
    <t>15266497343</t>
  </si>
  <si>
    <t>54904807</t>
  </si>
  <si>
    <t>15266497609</t>
  </si>
  <si>
    <t>54904690</t>
  </si>
  <si>
    <t>15266498008</t>
  </si>
  <si>
    <t>54904247</t>
  </si>
  <si>
    <t>15266498010</t>
  </si>
  <si>
    <t>54904665</t>
  </si>
  <si>
    <t>15266498561</t>
  </si>
  <si>
    <t>54904222</t>
  </si>
  <si>
    <t>15266498731</t>
  </si>
  <si>
    <t>54904616</t>
  </si>
  <si>
    <t>15266500281</t>
  </si>
  <si>
    <t>54904031</t>
  </si>
  <si>
    <t>15266501112</t>
  </si>
  <si>
    <t>54903780</t>
  </si>
  <si>
    <t>15266502110</t>
  </si>
  <si>
    <t>54905059</t>
  </si>
  <si>
    <t>15266503377</t>
  </si>
  <si>
    <t>54904108</t>
  </si>
  <si>
    <t>15266503991</t>
  </si>
  <si>
    <t>15266509342</t>
  </si>
  <si>
    <t>54933952</t>
  </si>
  <si>
    <t>15266520521</t>
  </si>
  <si>
    <t>54905237</t>
  </si>
  <si>
    <t>15266525840</t>
  </si>
  <si>
    <t>54914783</t>
  </si>
  <si>
    <t>15266526479</t>
  </si>
  <si>
    <t>54921309</t>
  </si>
  <si>
    <t>15266527525</t>
  </si>
  <si>
    <t>15266528458</t>
  </si>
  <si>
    <t>15266528493</t>
  </si>
  <si>
    <t>58662077</t>
  </si>
  <si>
    <t>15266544428</t>
  </si>
  <si>
    <t>55047333</t>
  </si>
  <si>
    <t>15266547098</t>
  </si>
  <si>
    <t>15266547801</t>
  </si>
  <si>
    <t>55048757</t>
  </si>
  <si>
    <t>15266549478</t>
  </si>
  <si>
    <t>55046813</t>
  </si>
  <si>
    <t>15266549749</t>
  </si>
  <si>
    <t>15266550967</t>
  </si>
  <si>
    <t>55047563</t>
  </si>
  <si>
    <t>15266553632</t>
  </si>
  <si>
    <t>15266557240</t>
  </si>
  <si>
    <t>15266557480</t>
  </si>
  <si>
    <t>15266559665</t>
  </si>
  <si>
    <t>15266561788</t>
  </si>
  <si>
    <t>15266562146</t>
  </si>
  <si>
    <t>55047606</t>
  </si>
  <si>
    <t>15266576661</t>
  </si>
  <si>
    <t>54908856</t>
  </si>
  <si>
    <t>15266576772</t>
  </si>
  <si>
    <t>15266577046</t>
  </si>
  <si>
    <t>54908575</t>
  </si>
  <si>
    <t>15266577816</t>
  </si>
  <si>
    <t>54908096</t>
  </si>
  <si>
    <t>15266577987</t>
  </si>
  <si>
    <t>54908103</t>
  </si>
  <si>
    <t>15266581443</t>
  </si>
  <si>
    <t>54906933</t>
  </si>
  <si>
    <t>15266585880</t>
  </si>
  <si>
    <t>54908502</t>
  </si>
  <si>
    <t>15266593954</t>
  </si>
  <si>
    <t>54908026</t>
  </si>
  <si>
    <t>15266595447</t>
  </si>
  <si>
    <t>54964241</t>
  </si>
  <si>
    <t>15266602275</t>
  </si>
  <si>
    <t>54908227</t>
  </si>
  <si>
    <t>15266603099</t>
  </si>
  <si>
    <t>54908123</t>
  </si>
  <si>
    <t>15266612323</t>
  </si>
  <si>
    <t>54909750</t>
  </si>
  <si>
    <t>15266616333</t>
  </si>
  <si>
    <t>15266619559</t>
  </si>
  <si>
    <t>15266624466</t>
  </si>
  <si>
    <t>15266625199</t>
  </si>
  <si>
    <t>15266625662</t>
  </si>
  <si>
    <t>15266626136</t>
  </si>
  <si>
    <t>15266626144</t>
  </si>
  <si>
    <t>58661781</t>
  </si>
  <si>
    <t>15266628564</t>
  </si>
  <si>
    <t>55047357</t>
  </si>
  <si>
    <t>15266630297</t>
  </si>
  <si>
    <t>55048120</t>
  </si>
  <si>
    <t>15266635060</t>
  </si>
  <si>
    <t>54913550</t>
  </si>
  <si>
    <t>15266637061</t>
  </si>
  <si>
    <t>54912518</t>
  </si>
  <si>
    <t>15266639434</t>
  </si>
  <si>
    <t>54913380</t>
  </si>
  <si>
    <t>15266640269</t>
  </si>
  <si>
    <t>54912269</t>
  </si>
  <si>
    <t>15266640534</t>
  </si>
  <si>
    <t>54912599</t>
  </si>
  <si>
    <t>15266641093</t>
  </si>
  <si>
    <t>54911595</t>
  </si>
  <si>
    <t>15266643194</t>
  </si>
  <si>
    <t>54919231</t>
  </si>
  <si>
    <t>15266643495</t>
  </si>
  <si>
    <t>54923536</t>
  </si>
  <si>
    <t>15266643745</t>
  </si>
  <si>
    <t>54923581</t>
  </si>
  <si>
    <t>15266643966</t>
  </si>
  <si>
    <t>54923533</t>
  </si>
  <si>
    <t>15266644024</t>
  </si>
  <si>
    <t>54922266</t>
  </si>
  <si>
    <t>15266644182</t>
  </si>
  <si>
    <t>54923385</t>
  </si>
  <si>
    <t>15266663524</t>
  </si>
  <si>
    <t>54922083</t>
  </si>
  <si>
    <t>15266668265</t>
  </si>
  <si>
    <t>54912571</t>
  </si>
  <si>
    <t>15266668285</t>
  </si>
  <si>
    <t>54912620</t>
  </si>
  <si>
    <t>15266668599</t>
  </si>
  <si>
    <t>54912558</t>
  </si>
  <si>
    <t>15266669487</t>
  </si>
  <si>
    <t>54912567</t>
  </si>
  <si>
    <t>15266669691</t>
  </si>
  <si>
    <t>54912650</t>
  </si>
  <si>
    <t>15266670485</t>
  </si>
  <si>
    <t>55048227</t>
  </si>
  <si>
    <t>15266671332</t>
  </si>
  <si>
    <t>54915175</t>
  </si>
  <si>
    <t>15266673461</t>
  </si>
  <si>
    <t>54912398</t>
  </si>
  <si>
    <t>15266673951</t>
  </si>
  <si>
    <t>54920650</t>
  </si>
  <si>
    <t>15266674500</t>
  </si>
  <si>
    <t>54920829</t>
  </si>
  <si>
    <t>15266674794</t>
  </si>
  <si>
    <t>15266675442</t>
  </si>
  <si>
    <t>54915777</t>
  </si>
  <si>
    <t>15266675891</t>
  </si>
  <si>
    <t>54915438</t>
  </si>
  <si>
    <t>15266675968</t>
  </si>
  <si>
    <t>54915447</t>
  </si>
  <si>
    <t>15266676241</t>
  </si>
  <si>
    <t>54915279</t>
  </si>
  <si>
    <t>15266676668</t>
  </si>
  <si>
    <t>54915303</t>
  </si>
  <si>
    <t>15266677346</t>
  </si>
  <si>
    <t>54915020</t>
  </si>
  <si>
    <t>15266677919</t>
  </si>
  <si>
    <t>54912279</t>
  </si>
  <si>
    <t>15266678060</t>
  </si>
  <si>
    <t>54911602</t>
  </si>
  <si>
    <t>15266679124</t>
  </si>
  <si>
    <t>54920475</t>
  </si>
  <si>
    <t>15266680486</t>
  </si>
  <si>
    <t>54914484</t>
  </si>
  <si>
    <t>15266680916</t>
  </si>
  <si>
    <t>54912264</t>
  </si>
  <si>
    <t>15266682317</t>
  </si>
  <si>
    <t>54919888</t>
  </si>
  <si>
    <t>15266684612</t>
  </si>
  <si>
    <t>54913631</t>
  </si>
  <si>
    <t>15266685100</t>
  </si>
  <si>
    <t>55047339</t>
  </si>
  <si>
    <t>15266686278</t>
  </si>
  <si>
    <t>15266687298</t>
  </si>
  <si>
    <t>54914766</t>
  </si>
  <si>
    <t>15266687324</t>
  </si>
  <si>
    <t>54914737</t>
  </si>
  <si>
    <t>15266687325</t>
  </si>
  <si>
    <t>54912653</t>
  </si>
  <si>
    <t>15266687368</t>
  </si>
  <si>
    <t>54912325</t>
  </si>
  <si>
    <t>15266687415</t>
  </si>
  <si>
    <t>54914760</t>
  </si>
  <si>
    <t>15266688339</t>
  </si>
  <si>
    <t>54921857</t>
  </si>
  <si>
    <t>15266689362</t>
  </si>
  <si>
    <t>54921898</t>
  </si>
  <si>
    <t>15266690215</t>
  </si>
  <si>
    <t>54921317</t>
  </si>
  <si>
    <t>15266690739</t>
  </si>
  <si>
    <t>15266691315</t>
  </si>
  <si>
    <t>54915492</t>
  </si>
  <si>
    <t>15266692604</t>
  </si>
  <si>
    <t>54964306</t>
  </si>
  <si>
    <t>15266693894</t>
  </si>
  <si>
    <t>54915071</t>
  </si>
  <si>
    <t>15266694037</t>
  </si>
  <si>
    <t>54964300</t>
  </si>
  <si>
    <t>15266694920</t>
  </si>
  <si>
    <t>54912941</t>
  </si>
  <si>
    <t>15266695959</t>
  </si>
  <si>
    <t>54912580</t>
  </si>
  <si>
    <t>15266697509</t>
  </si>
  <si>
    <t>54913955</t>
  </si>
  <si>
    <t>15266701549</t>
  </si>
  <si>
    <t>54934586</t>
  </si>
  <si>
    <t>15266702371</t>
  </si>
  <si>
    <t>54964305</t>
  </si>
  <si>
    <t>15266702869</t>
  </si>
  <si>
    <t>54913366</t>
  </si>
  <si>
    <t>15266703579</t>
  </si>
  <si>
    <t>54912994</t>
  </si>
  <si>
    <t>15266706008</t>
  </si>
  <si>
    <t>54913246</t>
  </si>
  <si>
    <t>15266709014</t>
  </si>
  <si>
    <t>54964825</t>
  </si>
  <si>
    <t>15266719581</t>
  </si>
  <si>
    <t>54923000</t>
  </si>
  <si>
    <t>15266731898</t>
  </si>
  <si>
    <t>54919604</t>
  </si>
  <si>
    <t>15266735861</t>
  </si>
  <si>
    <t>54920295</t>
  </si>
  <si>
    <t>15266736555</t>
  </si>
  <si>
    <t>54919241</t>
  </si>
  <si>
    <t>15266741080</t>
  </si>
  <si>
    <t>54916175</t>
  </si>
  <si>
    <t>15266741204</t>
  </si>
  <si>
    <t>54921947</t>
  </si>
  <si>
    <t>15266741510</t>
  </si>
  <si>
    <t>54922438</t>
  </si>
  <si>
    <t>15266742656</t>
  </si>
  <si>
    <t>54920893</t>
  </si>
  <si>
    <t>15266742832</t>
  </si>
  <si>
    <t>54920963</t>
  </si>
  <si>
    <t>15266744863</t>
  </si>
  <si>
    <t>54937678</t>
  </si>
  <si>
    <t>15266745204</t>
  </si>
  <si>
    <t>54937561</t>
  </si>
  <si>
    <t>15266747029</t>
  </si>
  <si>
    <t>54961332</t>
  </si>
  <si>
    <t>15266749728</t>
  </si>
  <si>
    <t>54921447</t>
  </si>
  <si>
    <t>15266749954</t>
  </si>
  <si>
    <t>54921458</t>
  </si>
  <si>
    <t>15266749977</t>
  </si>
  <si>
    <t>54921058</t>
  </si>
  <si>
    <t>15266753394</t>
  </si>
  <si>
    <t>54919366</t>
  </si>
  <si>
    <t>15266753981</t>
  </si>
  <si>
    <t>54919525</t>
  </si>
  <si>
    <t>15266754299</t>
  </si>
  <si>
    <t>54937315</t>
  </si>
  <si>
    <t>15266756245</t>
  </si>
  <si>
    <t>54930309</t>
  </si>
  <si>
    <t>15266757006</t>
  </si>
  <si>
    <t>54919363</t>
  </si>
  <si>
    <t>15266757848</t>
  </si>
  <si>
    <t>54923413</t>
  </si>
  <si>
    <t>15266758749</t>
  </si>
  <si>
    <t>15266760146</t>
  </si>
  <si>
    <t>54922638</t>
  </si>
  <si>
    <t>15266761045</t>
  </si>
  <si>
    <t>54966838</t>
  </si>
  <si>
    <t>15266761857</t>
  </si>
  <si>
    <t>54920187</t>
  </si>
  <si>
    <t>15266762334</t>
  </si>
  <si>
    <t>54920217</t>
  </si>
  <si>
    <t>15266762569</t>
  </si>
  <si>
    <t>54930457</t>
  </si>
  <si>
    <t>15266763690</t>
  </si>
  <si>
    <t>54926991</t>
  </si>
  <si>
    <t>15266764563</t>
  </si>
  <si>
    <t>54919359</t>
  </si>
  <si>
    <t>15266765884</t>
  </si>
  <si>
    <t>54923296</t>
  </si>
  <si>
    <t>15266766741</t>
  </si>
  <si>
    <t>54923055</t>
  </si>
  <si>
    <t>15266768182</t>
  </si>
  <si>
    <t>54922546</t>
  </si>
  <si>
    <t>15266769175</t>
  </si>
  <si>
    <t>54921866</t>
  </si>
  <si>
    <t>15266769307</t>
  </si>
  <si>
    <t>54922203</t>
  </si>
  <si>
    <t>15266769768</t>
  </si>
  <si>
    <t>54919381</t>
  </si>
  <si>
    <t>15266773027</t>
  </si>
  <si>
    <t>54921278</t>
  </si>
  <si>
    <t>15266778626</t>
  </si>
  <si>
    <t>54929237</t>
  </si>
  <si>
    <t>15266780875</t>
  </si>
  <si>
    <t>54927655</t>
  </si>
  <si>
    <t>15266783804</t>
  </si>
  <si>
    <t>54929783</t>
  </si>
  <si>
    <t>15266799706</t>
  </si>
  <si>
    <t>54936796</t>
  </si>
  <si>
    <t>15266801829</t>
  </si>
  <si>
    <t>15266804520</t>
  </si>
  <si>
    <t>54930532</t>
  </si>
  <si>
    <t>15266809251</t>
  </si>
  <si>
    <t>54929214</t>
  </si>
  <si>
    <t>15266810176</t>
  </si>
  <si>
    <t>54928770</t>
  </si>
  <si>
    <t>15266814854</t>
  </si>
  <si>
    <t>54927198</t>
  </si>
  <si>
    <t>15266815892</t>
  </si>
  <si>
    <t>54930121</t>
  </si>
  <si>
    <t>15266820941</t>
  </si>
  <si>
    <t>54927113</t>
  </si>
  <si>
    <t>15266824058</t>
  </si>
  <si>
    <t>54928330</t>
  </si>
  <si>
    <t>15266824507</t>
  </si>
  <si>
    <t>54927918</t>
  </si>
  <si>
    <t>15266825823</t>
  </si>
  <si>
    <t>54928946</t>
  </si>
  <si>
    <t>15266827561</t>
  </si>
  <si>
    <t>54928936</t>
  </si>
  <si>
    <t>15266827599</t>
  </si>
  <si>
    <t>54928984</t>
  </si>
  <si>
    <t>15266827653</t>
  </si>
  <si>
    <t>54928631</t>
  </si>
  <si>
    <t>15266827712</t>
  </si>
  <si>
    <t>54928933</t>
  </si>
  <si>
    <t>15266829482</t>
  </si>
  <si>
    <t>54930629</t>
  </si>
  <si>
    <t>15266831999</t>
  </si>
  <si>
    <t>54928667</t>
  </si>
  <si>
    <t>15266832607</t>
  </si>
  <si>
    <t>54928423</t>
  </si>
  <si>
    <t>15266833886</t>
  </si>
  <si>
    <t>54930362</t>
  </si>
  <si>
    <t>15266834606</t>
  </si>
  <si>
    <t>54929224</t>
  </si>
  <si>
    <t>15266834881</t>
  </si>
  <si>
    <t>54929405</t>
  </si>
  <si>
    <t>15266834884</t>
  </si>
  <si>
    <t>54929465</t>
  </si>
  <si>
    <t>15266834906</t>
  </si>
  <si>
    <t>54929499</t>
  </si>
  <si>
    <t>15266835273</t>
  </si>
  <si>
    <t>54957452</t>
  </si>
  <si>
    <t>15266838960</t>
  </si>
  <si>
    <t>54933788</t>
  </si>
  <si>
    <t>15266840455</t>
  </si>
  <si>
    <t>54930549</t>
  </si>
  <si>
    <t>15266876877</t>
  </si>
  <si>
    <t>54935353</t>
  </si>
  <si>
    <t>15266877909</t>
  </si>
  <si>
    <t>15266877911</t>
  </si>
  <si>
    <t>54957572</t>
  </si>
  <si>
    <t>Mazda CX-9</t>
  </si>
  <si>
    <t>Mazda CX-9 Pre-Owned : Asian Crossover Utility Vehicle</t>
  </si>
  <si>
    <t>15266884462</t>
  </si>
  <si>
    <t>54936755</t>
  </si>
  <si>
    <t>15266884463</t>
  </si>
  <si>
    <t>54936771</t>
  </si>
  <si>
    <t>15266900422</t>
  </si>
  <si>
    <t>15266902755</t>
  </si>
  <si>
    <t>54940917</t>
  </si>
  <si>
    <t>15266903019</t>
  </si>
  <si>
    <t>58662086</t>
  </si>
  <si>
    <t>15266905217</t>
  </si>
  <si>
    <t>54940368</t>
  </si>
  <si>
    <t>15266908724</t>
  </si>
  <si>
    <t>15266910731</t>
  </si>
  <si>
    <t>54941090</t>
  </si>
  <si>
    <t>15266912332</t>
  </si>
  <si>
    <t>54941034</t>
  </si>
  <si>
    <t>15266921403</t>
  </si>
  <si>
    <t>54940669</t>
  </si>
  <si>
    <t>15266928541</t>
  </si>
  <si>
    <t>54942390</t>
  </si>
  <si>
    <t>15266937924</t>
  </si>
  <si>
    <t>54957918</t>
  </si>
  <si>
    <t>15266938341</t>
  </si>
  <si>
    <t>54943709</t>
  </si>
  <si>
    <t>15266941724</t>
  </si>
  <si>
    <t>54943103</t>
  </si>
  <si>
    <t>15266944724</t>
  </si>
  <si>
    <t>15266946938</t>
  </si>
  <si>
    <t>54943346</t>
  </si>
  <si>
    <t>15266948608</t>
  </si>
  <si>
    <t>54943821</t>
  </si>
  <si>
    <t>15266956792</t>
  </si>
  <si>
    <t>54944670</t>
  </si>
  <si>
    <t>15266958173</t>
  </si>
  <si>
    <t>54944236</t>
  </si>
  <si>
    <t>15266958512</t>
  </si>
  <si>
    <t>54944032</t>
  </si>
  <si>
    <t>15266958513</t>
  </si>
  <si>
    <t>54964370</t>
  </si>
  <si>
    <t>15266958540</t>
  </si>
  <si>
    <t>15266958549</t>
  </si>
  <si>
    <t>54958046</t>
  </si>
  <si>
    <t>15266959208</t>
  </si>
  <si>
    <t>54958888</t>
  </si>
  <si>
    <t>15266959793</t>
  </si>
  <si>
    <t>54944353</t>
  </si>
  <si>
    <t>15266959875</t>
  </si>
  <si>
    <t>54958049</t>
  </si>
  <si>
    <t>15266960315</t>
  </si>
  <si>
    <t>54944518</t>
  </si>
  <si>
    <t>15266960418</t>
  </si>
  <si>
    <t>54955823</t>
  </si>
  <si>
    <t>15266960459</t>
  </si>
  <si>
    <t>54955819</t>
  </si>
  <si>
    <t>15266961692</t>
  </si>
  <si>
    <t>54944288</t>
  </si>
  <si>
    <t>15266962574</t>
  </si>
  <si>
    <t>54944525</t>
  </si>
  <si>
    <t>15266962682</t>
  </si>
  <si>
    <t>54958886</t>
  </si>
  <si>
    <t>15266962806</t>
  </si>
  <si>
    <t>54944526</t>
  </si>
  <si>
    <t>15266964978</t>
  </si>
  <si>
    <t>54950797</t>
  </si>
  <si>
    <t>15266965007</t>
  </si>
  <si>
    <t>54950834</t>
  </si>
  <si>
    <t>15266965202</t>
  </si>
  <si>
    <t>54950846</t>
  </si>
  <si>
    <t>15266965212</t>
  </si>
  <si>
    <t>54950798</t>
  </si>
  <si>
    <t>15266965271</t>
  </si>
  <si>
    <t>54950773</t>
  </si>
  <si>
    <t>15266965371</t>
  </si>
  <si>
    <t>54950784</t>
  </si>
  <si>
    <t>15266965378</t>
  </si>
  <si>
    <t>54950829</t>
  </si>
  <si>
    <t>15266965388</t>
  </si>
  <si>
    <t>54950848</t>
  </si>
  <si>
    <t>15266966418</t>
  </si>
  <si>
    <t>54944761</t>
  </si>
  <si>
    <t>15266967871</t>
  </si>
  <si>
    <t>54949798</t>
  </si>
  <si>
    <t>15266967872</t>
  </si>
  <si>
    <t>54950461</t>
  </si>
  <si>
    <t>15266968110</t>
  </si>
  <si>
    <t>54949884</t>
  </si>
  <si>
    <t>15266968625</t>
  </si>
  <si>
    <t>54950162</t>
  </si>
  <si>
    <t>15266968742</t>
  </si>
  <si>
    <t>54950396</t>
  </si>
  <si>
    <t>15266969407</t>
  </si>
  <si>
    <t>54949883</t>
  </si>
  <si>
    <t>15266969572</t>
  </si>
  <si>
    <t>54949646</t>
  </si>
  <si>
    <t>15266969764</t>
  </si>
  <si>
    <t>54949685</t>
  </si>
  <si>
    <t>15266971019</t>
  </si>
  <si>
    <t>54949238</t>
  </si>
  <si>
    <t>15266971102</t>
  </si>
  <si>
    <t>54949889</t>
  </si>
  <si>
    <t>15266971412</t>
  </si>
  <si>
    <t>54949239</t>
  </si>
  <si>
    <t>15266972616</t>
  </si>
  <si>
    <t>54949370</t>
  </si>
  <si>
    <t>15266973908</t>
  </si>
  <si>
    <t>54950714</t>
  </si>
  <si>
    <t>15266974255</t>
  </si>
  <si>
    <t>54950475</t>
  </si>
  <si>
    <t>15266976414</t>
  </si>
  <si>
    <t>54949035</t>
  </si>
  <si>
    <t>15266989879</t>
  </si>
  <si>
    <t>54951440</t>
  </si>
  <si>
    <t>15266990448</t>
  </si>
  <si>
    <t>54950424</t>
  </si>
  <si>
    <t>15266999540</t>
  </si>
  <si>
    <t>54950813</t>
  </si>
  <si>
    <t>15267001337</t>
  </si>
  <si>
    <t>54951288</t>
  </si>
  <si>
    <t>15267003735</t>
  </si>
  <si>
    <t>15267004350</t>
  </si>
  <si>
    <t>54951525</t>
  </si>
  <si>
    <t>15267004504</t>
  </si>
  <si>
    <t>54959026</t>
  </si>
  <si>
    <t>15267006003</t>
  </si>
  <si>
    <t>15267007682</t>
  </si>
  <si>
    <t>15267008498</t>
  </si>
  <si>
    <t>15267008974</t>
  </si>
  <si>
    <t>15267017189</t>
  </si>
  <si>
    <t>15267022962</t>
  </si>
  <si>
    <t>55046718</t>
  </si>
  <si>
    <t>15267024803</t>
  </si>
  <si>
    <t>55048462</t>
  </si>
  <si>
    <t>15267026692</t>
  </si>
  <si>
    <t>15267026866</t>
  </si>
  <si>
    <t>55048766</t>
  </si>
  <si>
    <t>15267027296</t>
  </si>
  <si>
    <t>15267027307</t>
  </si>
  <si>
    <t>15267027956</t>
  </si>
  <si>
    <t>58662085</t>
  </si>
  <si>
    <t>15267027993</t>
  </si>
  <si>
    <t>58662104</t>
  </si>
  <si>
    <t>15267028158</t>
  </si>
  <si>
    <t>15267028920</t>
  </si>
  <si>
    <t>55048266</t>
  </si>
  <si>
    <t>15267034308</t>
  </si>
  <si>
    <t>54953390</t>
  </si>
  <si>
    <t>15267034654</t>
  </si>
  <si>
    <t>54953260</t>
  </si>
  <si>
    <t>15267035144</t>
  </si>
  <si>
    <t>58661960</t>
  </si>
  <si>
    <t>15267036771</t>
  </si>
  <si>
    <t>54952951</t>
  </si>
  <si>
    <t>15267036835</t>
  </si>
  <si>
    <t>54953125</t>
  </si>
  <si>
    <t>15267038445</t>
  </si>
  <si>
    <t>54953506</t>
  </si>
  <si>
    <t>15267039442</t>
  </si>
  <si>
    <t>54954405</t>
  </si>
  <si>
    <t>15267039505</t>
  </si>
  <si>
    <t>54954403</t>
  </si>
  <si>
    <t>15267039670</t>
  </si>
  <si>
    <t>54954483</t>
  </si>
  <si>
    <t>15267040705</t>
  </si>
  <si>
    <t>54955538</t>
  </si>
  <si>
    <t>15267041064</t>
  </si>
  <si>
    <t>54955467</t>
  </si>
  <si>
    <t>15267041083</t>
  </si>
  <si>
    <t>54947908</t>
  </si>
  <si>
    <t>15267041789</t>
  </si>
  <si>
    <t>54955187</t>
  </si>
  <si>
    <t>15267042238</t>
  </si>
  <si>
    <t>54955193</t>
  </si>
  <si>
    <t>15267042330</t>
  </si>
  <si>
    <t>54954675</t>
  </si>
  <si>
    <t>15267042599</t>
  </si>
  <si>
    <t>54954681</t>
  </si>
  <si>
    <t>15267042730</t>
  </si>
  <si>
    <t>54954593</t>
  </si>
  <si>
    <t>15267042973</t>
  </si>
  <si>
    <t>55048179</t>
  </si>
  <si>
    <t>15267043020</t>
  </si>
  <si>
    <t>54954706</t>
  </si>
  <si>
    <t>15267043057</t>
  </si>
  <si>
    <t>54954600</t>
  </si>
  <si>
    <t>15267043260</t>
  </si>
  <si>
    <t>54954775</t>
  </si>
  <si>
    <t>15267043330</t>
  </si>
  <si>
    <t>54954115</t>
  </si>
  <si>
    <t>15267043503</t>
  </si>
  <si>
    <t>54953908</t>
  </si>
  <si>
    <t>15267043592</t>
  </si>
  <si>
    <t>54954238</t>
  </si>
  <si>
    <t>15267043780</t>
  </si>
  <si>
    <t>54954360</t>
  </si>
  <si>
    <t>15267043812</t>
  </si>
  <si>
    <t>15267043938</t>
  </si>
  <si>
    <t>54954407</t>
  </si>
  <si>
    <t>15267044120</t>
  </si>
  <si>
    <t>54954145</t>
  </si>
  <si>
    <t>15267044214</t>
  </si>
  <si>
    <t>54953901</t>
  </si>
  <si>
    <t>15267045227</t>
  </si>
  <si>
    <t>54955653</t>
  </si>
  <si>
    <t>15267045229</t>
  </si>
  <si>
    <t>54955676</t>
  </si>
  <si>
    <t>15267045230</t>
  </si>
  <si>
    <t>54955666</t>
  </si>
  <si>
    <t>15267045363</t>
  </si>
  <si>
    <t>54955786</t>
  </si>
  <si>
    <t>15267045893</t>
  </si>
  <si>
    <t>54955151</t>
  </si>
  <si>
    <t>15267050230</t>
  </si>
  <si>
    <t>54955552</t>
  </si>
  <si>
    <t>15267050983</t>
  </si>
  <si>
    <t>54955394</t>
  </si>
  <si>
    <t>15267052175</t>
  </si>
  <si>
    <t>54954746</t>
  </si>
  <si>
    <t>15267053368</t>
  </si>
  <si>
    <t>54959028</t>
  </si>
  <si>
    <t>15267053424</t>
  </si>
  <si>
    <t>54953966</t>
  </si>
  <si>
    <t>15267059256</t>
  </si>
  <si>
    <t>54954032</t>
  </si>
  <si>
    <t>15267059389</t>
  </si>
  <si>
    <t>54954149</t>
  </si>
  <si>
    <t>15267059665</t>
  </si>
  <si>
    <t>54955449</t>
  </si>
  <si>
    <t>15267064965</t>
  </si>
  <si>
    <t>54955233</t>
  </si>
  <si>
    <t>15267065006</t>
  </si>
  <si>
    <t>54955220</t>
  </si>
  <si>
    <t>15267065586</t>
  </si>
  <si>
    <t>15267066080</t>
  </si>
  <si>
    <t>54955162</t>
  </si>
  <si>
    <t>15267067658</t>
  </si>
  <si>
    <t>54954636</t>
  </si>
  <si>
    <t>15267067949</t>
  </si>
  <si>
    <t>54954330</t>
  </si>
  <si>
    <t>15267067959</t>
  </si>
  <si>
    <t>54954727</t>
  </si>
  <si>
    <t>15267067986</t>
  </si>
  <si>
    <t>54954905</t>
  </si>
  <si>
    <t>15267068220</t>
  </si>
  <si>
    <t>54954473</t>
  </si>
  <si>
    <t>15267068316</t>
  </si>
  <si>
    <t>54954027</t>
  </si>
  <si>
    <t>15267069057</t>
  </si>
  <si>
    <t>54953849</t>
  </si>
  <si>
    <t>15267070313</t>
  </si>
  <si>
    <t>54953924</t>
  </si>
  <si>
    <t>15267071049</t>
  </si>
  <si>
    <t>54955931</t>
  </si>
  <si>
    <t>15267071067</t>
  </si>
  <si>
    <t>54955869</t>
  </si>
  <si>
    <t>15267071126</t>
  </si>
  <si>
    <t>54955828</t>
  </si>
  <si>
    <t>15267073221</t>
  </si>
  <si>
    <t>54955698</t>
  </si>
  <si>
    <t>15267073365</t>
  </si>
  <si>
    <t>54953771</t>
  </si>
  <si>
    <t>15267073791</t>
  </si>
  <si>
    <t>54955655</t>
  </si>
  <si>
    <t>15267074137</t>
  </si>
  <si>
    <t>55047659</t>
  </si>
  <si>
    <t>15267074389</t>
  </si>
  <si>
    <t>15267074946</t>
  </si>
  <si>
    <t>54955920</t>
  </si>
  <si>
    <t>15267075313</t>
  </si>
  <si>
    <t>54956155</t>
  </si>
  <si>
    <t>15267076198</t>
  </si>
  <si>
    <t>54956129</t>
  </si>
  <si>
    <t>15267076203</t>
  </si>
  <si>
    <t>54953886</t>
  </si>
  <si>
    <t>15267076946</t>
  </si>
  <si>
    <t>54955890</t>
  </si>
  <si>
    <t>15267077296</t>
  </si>
  <si>
    <t>54956094</t>
  </si>
  <si>
    <t>15267077357</t>
  </si>
  <si>
    <t>54956179</t>
  </si>
  <si>
    <t>15267077546</t>
  </si>
  <si>
    <t>54956120</t>
  </si>
  <si>
    <t>15267078019</t>
  </si>
  <si>
    <t>54956086</t>
  </si>
  <si>
    <t>15267078059</t>
  </si>
  <si>
    <t>54956134</t>
  </si>
  <si>
    <t>15267078208</t>
  </si>
  <si>
    <t>54956029</t>
  </si>
  <si>
    <t>15267079091</t>
  </si>
  <si>
    <t>15267079436</t>
  </si>
  <si>
    <t>55047310</t>
  </si>
  <si>
    <t>15267079847</t>
  </si>
  <si>
    <t>15267079902</t>
  </si>
  <si>
    <t>58661842</t>
  </si>
  <si>
    <t>15267080266</t>
  </si>
  <si>
    <t>15267081600</t>
  </si>
  <si>
    <t>15267082040</t>
  </si>
  <si>
    <t>58661711</t>
  </si>
  <si>
    <t>15267082400</t>
  </si>
  <si>
    <t>15267082577</t>
  </si>
  <si>
    <t>15267082824</t>
  </si>
  <si>
    <t>15267083199</t>
  </si>
  <si>
    <t>15267083713</t>
  </si>
  <si>
    <t>15267083720</t>
  </si>
  <si>
    <t>55047021</t>
  </si>
  <si>
    <t>15267084124</t>
  </si>
  <si>
    <t>55048244</t>
  </si>
  <si>
    <t>15267084307</t>
  </si>
  <si>
    <t>15267084587</t>
  </si>
  <si>
    <t>15267084980</t>
  </si>
  <si>
    <t>55049027</t>
  </si>
  <si>
    <t>15267084981</t>
  </si>
  <si>
    <t>55047905</t>
  </si>
  <si>
    <t>15267085369</t>
  </si>
  <si>
    <t>15267085484</t>
  </si>
  <si>
    <t>15267085588</t>
  </si>
  <si>
    <t>15267085589</t>
  </si>
  <si>
    <t>15267085607</t>
  </si>
  <si>
    <t>15267085688</t>
  </si>
  <si>
    <t>15267085784</t>
  </si>
  <si>
    <t>15267085987</t>
  </si>
  <si>
    <t>54953704</t>
  </si>
  <si>
    <t>15267086085</t>
  </si>
  <si>
    <t>55046704</t>
  </si>
  <si>
    <t>15267086244</t>
  </si>
  <si>
    <t>15267086490</t>
  </si>
  <si>
    <t>15267087158</t>
  </si>
  <si>
    <t>15267087548</t>
  </si>
  <si>
    <t>15267087791</t>
  </si>
  <si>
    <t>15267087932</t>
  </si>
  <si>
    <t>15267087933</t>
  </si>
  <si>
    <t>15267088333</t>
  </si>
  <si>
    <t>15267089028</t>
  </si>
  <si>
    <t>15267090992</t>
  </si>
  <si>
    <t>15267091151</t>
  </si>
  <si>
    <t>54953857</t>
  </si>
  <si>
    <t>15267093182</t>
  </si>
  <si>
    <t>15267094007</t>
  </si>
  <si>
    <t>15267094263</t>
  </si>
  <si>
    <t>55048470</t>
  </si>
  <si>
    <t>15267094901</t>
  </si>
  <si>
    <t>15267094902</t>
  </si>
  <si>
    <t>15267095244</t>
  </si>
  <si>
    <t>55048760</t>
  </si>
  <si>
    <t>15267096722</t>
  </si>
  <si>
    <t>15267097248</t>
  </si>
  <si>
    <t>15267097751</t>
  </si>
  <si>
    <t>54970533</t>
  </si>
  <si>
    <t>15267099360</t>
  </si>
  <si>
    <t>54975357</t>
  </si>
  <si>
    <t>15267099446</t>
  </si>
  <si>
    <t>54975372</t>
  </si>
  <si>
    <t>15267100236</t>
  </si>
  <si>
    <t>54960912</t>
  </si>
  <si>
    <t>15267100380</t>
  </si>
  <si>
    <t>54961177</t>
  </si>
  <si>
    <t>15267101116</t>
  </si>
  <si>
    <t>54958725</t>
  </si>
  <si>
    <t>15267101118</t>
  </si>
  <si>
    <t>54958761</t>
  </si>
  <si>
    <t>15267101545</t>
  </si>
  <si>
    <t>54969812</t>
  </si>
  <si>
    <t>15267101744</t>
  </si>
  <si>
    <t>54969670</t>
  </si>
  <si>
    <t>15267102891</t>
  </si>
  <si>
    <t>54959770</t>
  </si>
  <si>
    <t>15267103725</t>
  </si>
  <si>
    <t>54959675</t>
  </si>
  <si>
    <t>15267103984</t>
  </si>
  <si>
    <t>54959198</t>
  </si>
  <si>
    <t>15267104942</t>
  </si>
  <si>
    <t>54959812</t>
  </si>
  <si>
    <t>15267105160</t>
  </si>
  <si>
    <t>54959858</t>
  </si>
  <si>
    <t>15267105528</t>
  </si>
  <si>
    <t>54959764</t>
  </si>
  <si>
    <t>15267106991</t>
  </si>
  <si>
    <t>54962762</t>
  </si>
  <si>
    <t>15267108883</t>
  </si>
  <si>
    <t>54960536</t>
  </si>
  <si>
    <t>15267116900</t>
  </si>
  <si>
    <t>54960166</t>
  </si>
  <si>
    <t>15267118098</t>
  </si>
  <si>
    <t>54961319</t>
  </si>
  <si>
    <t>15267119881</t>
  </si>
  <si>
    <t>54972225</t>
  </si>
  <si>
    <t>15267141870</t>
  </si>
  <si>
    <t>54959199</t>
  </si>
  <si>
    <t>15267143098</t>
  </si>
  <si>
    <t>54958962</t>
  </si>
  <si>
    <t>15267143135</t>
  </si>
  <si>
    <t>54958620</t>
  </si>
  <si>
    <t>15267143256</t>
  </si>
  <si>
    <t>54958597</t>
  </si>
  <si>
    <t>15267143637</t>
  </si>
  <si>
    <t>54970184</t>
  </si>
  <si>
    <t>15267148897</t>
  </si>
  <si>
    <t>54961043</t>
  </si>
  <si>
    <t>15267149214</t>
  </si>
  <si>
    <t>15267149635</t>
  </si>
  <si>
    <t>54960688</t>
  </si>
  <si>
    <t>15267152689</t>
  </si>
  <si>
    <t>54960582</t>
  </si>
  <si>
    <t>15267153029</t>
  </si>
  <si>
    <t>54961814</t>
  </si>
  <si>
    <t>15267155081</t>
  </si>
  <si>
    <t>54960715</t>
  </si>
  <si>
    <t>15267155372</t>
  </si>
  <si>
    <t>54963230</t>
  </si>
  <si>
    <t>15267155712</t>
  </si>
  <si>
    <t>54962698</t>
  </si>
  <si>
    <t>15267159143</t>
  </si>
  <si>
    <t>54963038</t>
  </si>
  <si>
    <t>15267160973</t>
  </si>
  <si>
    <t>54963145</t>
  </si>
  <si>
    <t>15267161402</t>
  </si>
  <si>
    <t>54962952</t>
  </si>
  <si>
    <t>15267163277</t>
  </si>
  <si>
    <t>54970028</t>
  </si>
  <si>
    <t>15267164962</t>
  </si>
  <si>
    <t>54968880</t>
  </si>
  <si>
    <t>15267191339</t>
  </si>
  <si>
    <t>54968474</t>
  </si>
  <si>
    <t>15267191740</t>
  </si>
  <si>
    <t>54968604</t>
  </si>
  <si>
    <t>15267191741</t>
  </si>
  <si>
    <t>54968261</t>
  </si>
  <si>
    <t>15267192511</t>
  </si>
  <si>
    <t>54968230</t>
  </si>
  <si>
    <t>15267194286</t>
  </si>
  <si>
    <t>54978439</t>
  </si>
  <si>
    <t>15267194300</t>
  </si>
  <si>
    <t>54978441</t>
  </si>
  <si>
    <t>15267195888</t>
  </si>
  <si>
    <t>54968087</t>
  </si>
  <si>
    <t>15267197360</t>
  </si>
  <si>
    <t>54989097</t>
  </si>
  <si>
    <t>15267206320</t>
  </si>
  <si>
    <t>54970224</t>
  </si>
  <si>
    <t>15267206321</t>
  </si>
  <si>
    <t>54970392</t>
  </si>
  <si>
    <t>15267206322</t>
  </si>
  <si>
    <t>54970247</t>
  </si>
  <si>
    <t>15267206959</t>
  </si>
  <si>
    <t>54970255</t>
  </si>
  <si>
    <t>15267207022</t>
  </si>
  <si>
    <t>54970407</t>
  </si>
  <si>
    <t>15267207113</t>
  </si>
  <si>
    <t>54970276</t>
  </si>
  <si>
    <t>15267209392</t>
  </si>
  <si>
    <t>54968519</t>
  </si>
  <si>
    <t>15267209646</t>
  </si>
  <si>
    <t>15267210788</t>
  </si>
  <si>
    <t>54978476</t>
  </si>
  <si>
    <t>15267211807</t>
  </si>
  <si>
    <t>54968941</t>
  </si>
  <si>
    <t>15267212465</t>
  </si>
  <si>
    <t>54968871</t>
  </si>
  <si>
    <t>15267212667</t>
  </si>
  <si>
    <t>54968216</t>
  </si>
  <si>
    <t>15267213941</t>
  </si>
  <si>
    <t>54993372</t>
  </si>
  <si>
    <t>15267215664</t>
  </si>
  <si>
    <t>54968993</t>
  </si>
  <si>
    <t>15267218600</t>
  </si>
  <si>
    <t>54967604</t>
  </si>
  <si>
    <t>15267218752</t>
  </si>
  <si>
    <t>54967639</t>
  </si>
  <si>
    <t>15267219629</t>
  </si>
  <si>
    <t>54969584</t>
  </si>
  <si>
    <t>15267221100</t>
  </si>
  <si>
    <t>54967833</t>
  </si>
  <si>
    <t>15267221560</t>
  </si>
  <si>
    <t>54967561</t>
  </si>
  <si>
    <t>15267221561</t>
  </si>
  <si>
    <t>54967563</t>
  </si>
  <si>
    <t>15267222078</t>
  </si>
  <si>
    <t>54979819</t>
  </si>
  <si>
    <t>15267222483</t>
  </si>
  <si>
    <t>54969769</t>
  </si>
  <si>
    <t>15267222846</t>
  </si>
  <si>
    <t>54969298</t>
  </si>
  <si>
    <t>15267223204</t>
  </si>
  <si>
    <t>54969142</t>
  </si>
  <si>
    <t>15267223682</t>
  </si>
  <si>
    <t>54969867</t>
  </si>
  <si>
    <t>15267224108</t>
  </si>
  <si>
    <t>54969967</t>
  </si>
  <si>
    <t>15267224160</t>
  </si>
  <si>
    <t>54970015</t>
  </si>
  <si>
    <t>15267224426</t>
  </si>
  <si>
    <t>54969657</t>
  </si>
  <si>
    <t>15267224764</t>
  </si>
  <si>
    <t>54969796</t>
  </si>
  <si>
    <t>15267224812</t>
  </si>
  <si>
    <t>54969659</t>
  </si>
  <si>
    <t>15267225207</t>
  </si>
  <si>
    <t>54969688</t>
  </si>
  <si>
    <t>15267225764</t>
  </si>
  <si>
    <t>54970143</t>
  </si>
  <si>
    <t>15267225869</t>
  </si>
  <si>
    <t>54969552</t>
  </si>
  <si>
    <t>15267226839</t>
  </si>
  <si>
    <t>54969608</t>
  </si>
  <si>
    <t>15267228178</t>
  </si>
  <si>
    <t>54974816</t>
  </si>
  <si>
    <t>15267228411</t>
  </si>
  <si>
    <t>54975774</t>
  </si>
  <si>
    <t>Mazda Pre-Owned : General Promotion - Asian Trucks</t>
  </si>
  <si>
    <t>15267228617</t>
  </si>
  <si>
    <t>54975859</t>
  </si>
  <si>
    <t>15267229251</t>
  </si>
  <si>
    <t>54974879</t>
  </si>
  <si>
    <t>15267229912</t>
  </si>
  <si>
    <t>54974490</t>
  </si>
  <si>
    <t>15267237816</t>
  </si>
  <si>
    <t>54974590</t>
  </si>
  <si>
    <t>15267241636</t>
  </si>
  <si>
    <t>54983147</t>
  </si>
  <si>
    <t>15267262332</t>
  </si>
  <si>
    <t>15267265073</t>
  </si>
  <si>
    <t>54975752</t>
  </si>
  <si>
    <t>15267267679</t>
  </si>
  <si>
    <t>54977082</t>
  </si>
  <si>
    <t>15267269915</t>
  </si>
  <si>
    <t>54975360</t>
  </si>
  <si>
    <t>15267270679</t>
  </si>
  <si>
    <t>54976211</t>
  </si>
  <si>
    <t>15267274855</t>
  </si>
  <si>
    <t>54997634</t>
  </si>
  <si>
    <t>15267274856</t>
  </si>
  <si>
    <t>54986949</t>
  </si>
  <si>
    <t>15267275748</t>
  </si>
  <si>
    <t>54975822</t>
  </si>
  <si>
    <t>15267277570</t>
  </si>
  <si>
    <t>54976596</t>
  </si>
  <si>
    <t>15267277580</t>
  </si>
  <si>
    <t>54976751</t>
  </si>
  <si>
    <t>15267278663</t>
  </si>
  <si>
    <t>54976601</t>
  </si>
  <si>
    <t>15267278885</t>
  </si>
  <si>
    <t>54976226</t>
  </si>
  <si>
    <t>15267280042</t>
  </si>
  <si>
    <t>54976703</t>
  </si>
  <si>
    <t>15267281157</t>
  </si>
  <si>
    <t>54976673</t>
  </si>
  <si>
    <t>15267281165</t>
  </si>
  <si>
    <t>54976781</t>
  </si>
  <si>
    <t>15267281521</t>
  </si>
  <si>
    <t>54977250</t>
  </si>
  <si>
    <t>15267284543</t>
  </si>
  <si>
    <t>54976807</t>
  </si>
  <si>
    <t>15267285569</t>
  </si>
  <si>
    <t>54977234</t>
  </si>
  <si>
    <t>15267286125</t>
  </si>
  <si>
    <t>54977354</t>
  </si>
  <si>
    <t>15267286356</t>
  </si>
  <si>
    <t>54977072</t>
  </si>
  <si>
    <t>15267286543</t>
  </si>
  <si>
    <t>54977005</t>
  </si>
  <si>
    <t>15267286781</t>
  </si>
  <si>
    <t>54976921</t>
  </si>
  <si>
    <t>15267287780</t>
  </si>
  <si>
    <t>54993415</t>
  </si>
  <si>
    <t>Mazda MX-5 Miata Leasing : Asian Passenger Auto</t>
  </si>
  <si>
    <t>15267288092</t>
  </si>
  <si>
    <t>54977525</t>
  </si>
  <si>
    <t>15267289353</t>
  </si>
  <si>
    <t>54981372</t>
  </si>
  <si>
    <t>15267289539</t>
  </si>
  <si>
    <t>54981024</t>
  </si>
  <si>
    <t>15267289787</t>
  </si>
  <si>
    <t>54981057</t>
  </si>
  <si>
    <t>15267294161</t>
  </si>
  <si>
    <t>54980733</t>
  </si>
  <si>
    <t>15267295129</t>
  </si>
  <si>
    <t>54981374</t>
  </si>
  <si>
    <t>15267299463</t>
  </si>
  <si>
    <t>54993416</t>
  </si>
  <si>
    <t>15267301945</t>
  </si>
  <si>
    <t>15267305923</t>
  </si>
  <si>
    <t>54982112</t>
  </si>
  <si>
    <t>15267319693</t>
  </si>
  <si>
    <t>54982277</t>
  </si>
  <si>
    <t>15267323746</t>
  </si>
  <si>
    <t>54983392</t>
  </si>
  <si>
    <t>15267326924</t>
  </si>
  <si>
    <t>54987893</t>
  </si>
  <si>
    <t>15267329603</t>
  </si>
  <si>
    <t>54983087</t>
  </si>
  <si>
    <t>15267333968</t>
  </si>
  <si>
    <t>54983766</t>
  </si>
  <si>
    <t>15267339914</t>
  </si>
  <si>
    <t>15267340093</t>
  </si>
  <si>
    <t>54984954</t>
  </si>
  <si>
    <t>15267342232</t>
  </si>
  <si>
    <t>54984893</t>
  </si>
  <si>
    <t>15267342265</t>
  </si>
  <si>
    <t>54984696</t>
  </si>
  <si>
    <t>15267343724</t>
  </si>
  <si>
    <t>54984871</t>
  </si>
  <si>
    <t>15267344050</t>
  </si>
  <si>
    <t>54988693</t>
  </si>
  <si>
    <t>15267344255</t>
  </si>
  <si>
    <t>54988756</t>
  </si>
  <si>
    <t>15267346161</t>
  </si>
  <si>
    <t>54985249</t>
  </si>
  <si>
    <t>15267348195</t>
  </si>
  <si>
    <t>15267350988</t>
  </si>
  <si>
    <t>54988163</t>
  </si>
  <si>
    <t>15267354114</t>
  </si>
  <si>
    <t>54988324</t>
  </si>
  <si>
    <t>15267356216</t>
  </si>
  <si>
    <t>15267357557</t>
  </si>
  <si>
    <t>55006381</t>
  </si>
  <si>
    <t>15267364814</t>
  </si>
  <si>
    <t>54989916</t>
  </si>
  <si>
    <t>15267385833</t>
  </si>
  <si>
    <t>54990455</t>
  </si>
  <si>
    <t>15267386163</t>
  </si>
  <si>
    <t>54991020</t>
  </si>
  <si>
    <t>15267386165</t>
  </si>
  <si>
    <t>54991208</t>
  </si>
  <si>
    <t>15267386944</t>
  </si>
  <si>
    <t>54991187</t>
  </si>
  <si>
    <t>15267387145</t>
  </si>
  <si>
    <t>54991012</t>
  </si>
  <si>
    <t>15267393258</t>
  </si>
  <si>
    <t>54990306</t>
  </si>
  <si>
    <t>15267394138</t>
  </si>
  <si>
    <t>54991599</t>
  </si>
  <si>
    <t>15267401662</t>
  </si>
  <si>
    <t>54991681</t>
  </si>
  <si>
    <t>15267401845</t>
  </si>
  <si>
    <t>54991481</t>
  </si>
  <si>
    <t>15267402416</t>
  </si>
  <si>
    <t>54991620</t>
  </si>
  <si>
    <t>15267402859</t>
  </si>
  <si>
    <t>54991661</t>
  </si>
  <si>
    <t>15267402927</t>
  </si>
  <si>
    <t>54996906</t>
  </si>
  <si>
    <t>15267403155</t>
  </si>
  <si>
    <t>54997027</t>
  </si>
  <si>
    <t>15267403369</t>
  </si>
  <si>
    <t>54997068</t>
  </si>
  <si>
    <t>15267403804</t>
  </si>
  <si>
    <t>54996590</t>
  </si>
  <si>
    <t>15267404645</t>
  </si>
  <si>
    <t>54996600</t>
  </si>
  <si>
    <t>15267404807</t>
  </si>
  <si>
    <t>54996632</t>
  </si>
  <si>
    <t>15267404990</t>
  </si>
  <si>
    <t>55000029</t>
  </si>
  <si>
    <t>15267405710</t>
  </si>
  <si>
    <t>58661498</t>
  </si>
  <si>
    <t>15267407559</t>
  </si>
  <si>
    <t>54995265</t>
  </si>
  <si>
    <t>15267407690</t>
  </si>
  <si>
    <t>54995161</t>
  </si>
  <si>
    <t>15267407916</t>
  </si>
  <si>
    <t>54995178</t>
  </si>
  <si>
    <t>15267407973</t>
  </si>
  <si>
    <t>54994967</t>
  </si>
  <si>
    <t>15267408086</t>
  </si>
  <si>
    <t>54995056</t>
  </si>
  <si>
    <t>15267408296</t>
  </si>
  <si>
    <t>55001684</t>
  </si>
  <si>
    <t>15267408376</t>
  </si>
  <si>
    <t>54994959</t>
  </si>
  <si>
    <t>15267408622</t>
  </si>
  <si>
    <t>54994925</t>
  </si>
  <si>
    <t>15267408750</t>
  </si>
  <si>
    <t>54994715</t>
  </si>
  <si>
    <t>15267408950</t>
  </si>
  <si>
    <t>54994573</t>
  </si>
  <si>
    <t>15267409220</t>
  </si>
  <si>
    <t>54994801</t>
  </si>
  <si>
    <t>15267409222</t>
  </si>
  <si>
    <t>54994623</t>
  </si>
  <si>
    <t>15267409273</t>
  </si>
  <si>
    <t>54996402</t>
  </si>
  <si>
    <t>15267409841</t>
  </si>
  <si>
    <t>54996153</t>
  </si>
  <si>
    <t>15267409969</t>
  </si>
  <si>
    <t>54996261</t>
  </si>
  <si>
    <t>15267410276</t>
  </si>
  <si>
    <t>54995979</t>
  </si>
  <si>
    <t>15267410772</t>
  </si>
  <si>
    <t>54995652</t>
  </si>
  <si>
    <t>15267411349</t>
  </si>
  <si>
    <t>54995660</t>
  </si>
  <si>
    <t>15267412609</t>
  </si>
  <si>
    <t>54996223</t>
  </si>
  <si>
    <t>15267413639</t>
  </si>
  <si>
    <t>15267414001</t>
  </si>
  <si>
    <t>15267416127</t>
  </si>
  <si>
    <t>54995791</t>
  </si>
  <si>
    <t>15267416927</t>
  </si>
  <si>
    <t>55002939</t>
  </si>
  <si>
    <t>15267418137</t>
  </si>
  <si>
    <t>54996615</t>
  </si>
  <si>
    <t>15267418290</t>
  </si>
  <si>
    <t>54996472</t>
  </si>
  <si>
    <t>15267418989</t>
  </si>
  <si>
    <t>54996502</t>
  </si>
  <si>
    <t>15267422224</t>
  </si>
  <si>
    <t>54996367</t>
  </si>
  <si>
    <t>15267422434</t>
  </si>
  <si>
    <t>54996425</t>
  </si>
  <si>
    <t>15267422954</t>
  </si>
  <si>
    <t>54996248</t>
  </si>
  <si>
    <t>15267425532</t>
  </si>
  <si>
    <t>54997062</t>
  </si>
  <si>
    <t>15267443246</t>
  </si>
  <si>
    <t>54996923</t>
  </si>
  <si>
    <t>15267444317</t>
  </si>
  <si>
    <t>54997021</t>
  </si>
  <si>
    <t>15267444487</t>
  </si>
  <si>
    <t>54996994</t>
  </si>
  <si>
    <t>15267444852</t>
  </si>
  <si>
    <t>58662230</t>
  </si>
  <si>
    <t>15267447504</t>
  </si>
  <si>
    <t>15267448992</t>
  </si>
  <si>
    <t>15267449543</t>
  </si>
  <si>
    <t>55047974</t>
  </si>
  <si>
    <t>15267452332</t>
  </si>
  <si>
    <t>15267452726</t>
  </si>
  <si>
    <t>55047573</t>
  </si>
  <si>
    <t>15267459471</t>
  </si>
  <si>
    <t>15267459472</t>
  </si>
  <si>
    <t>15267463165</t>
  </si>
  <si>
    <t>55048706</t>
  </si>
  <si>
    <t>15267463999</t>
  </si>
  <si>
    <t>55048563</t>
  </si>
  <si>
    <t>15267464210</t>
  </si>
  <si>
    <t>15267467989</t>
  </si>
  <si>
    <t>15267469196</t>
  </si>
  <si>
    <t>15267470980</t>
  </si>
  <si>
    <t>55002001</t>
  </si>
  <si>
    <t>15267471316</t>
  </si>
  <si>
    <t>55001666</t>
  </si>
  <si>
    <t>15267472741</t>
  </si>
  <si>
    <t>15267472800</t>
  </si>
  <si>
    <t>55047275</t>
  </si>
  <si>
    <t>15267474440</t>
  </si>
  <si>
    <t>55001565</t>
  </si>
  <si>
    <t>15267477204</t>
  </si>
  <si>
    <t>54999879</t>
  </si>
  <si>
    <t>15267477205</t>
  </si>
  <si>
    <t>54999888</t>
  </si>
  <si>
    <t>15267477749</t>
  </si>
  <si>
    <t>54999878</t>
  </si>
  <si>
    <t>15267480318</t>
  </si>
  <si>
    <t>55008417</t>
  </si>
  <si>
    <t>15267481525</t>
  </si>
  <si>
    <t>54999429</t>
  </si>
  <si>
    <t>15267482005</t>
  </si>
  <si>
    <t>55000086</t>
  </si>
  <si>
    <t>15267482872</t>
  </si>
  <si>
    <t>55001668</t>
  </si>
  <si>
    <t>15267484444</t>
  </si>
  <si>
    <t>55001006</t>
  </si>
  <si>
    <t>15267484445</t>
  </si>
  <si>
    <t>55001057</t>
  </si>
  <si>
    <t>15267484477</t>
  </si>
  <si>
    <t>55000998</t>
  </si>
  <si>
    <t>15267504367</t>
  </si>
  <si>
    <t>55000853</t>
  </si>
  <si>
    <t>15267513611</t>
  </si>
  <si>
    <t>15267513663</t>
  </si>
  <si>
    <t>15267514238</t>
  </si>
  <si>
    <t>55047474</t>
  </si>
  <si>
    <t>15267516319</t>
  </si>
  <si>
    <t>15267517363</t>
  </si>
  <si>
    <t>58662312</t>
  </si>
  <si>
    <t>15267517963</t>
  </si>
  <si>
    <t>15267519636</t>
  </si>
  <si>
    <t>55047228</t>
  </si>
  <si>
    <t>15267519895</t>
  </si>
  <si>
    <t>15267519946</t>
  </si>
  <si>
    <t>15267520093</t>
  </si>
  <si>
    <t>15267524404</t>
  </si>
  <si>
    <t>55002195</t>
  </si>
  <si>
    <t>15267525491</t>
  </si>
  <si>
    <t>15267525837</t>
  </si>
  <si>
    <t>15267526085</t>
  </si>
  <si>
    <t>15267526093</t>
  </si>
  <si>
    <t>55047392</t>
  </si>
  <si>
    <t>15267526201</t>
  </si>
  <si>
    <t>55002194</t>
  </si>
  <si>
    <t>15267526648</t>
  </si>
  <si>
    <t>55002088</t>
  </si>
  <si>
    <t>15267526989</t>
  </si>
  <si>
    <t>55002155</t>
  </si>
  <si>
    <t>15267528901</t>
  </si>
  <si>
    <t>55014280</t>
  </si>
  <si>
    <t>15267529020</t>
  </si>
  <si>
    <t>55009865</t>
  </si>
  <si>
    <t>15267529194</t>
  </si>
  <si>
    <t>55007970</t>
  </si>
  <si>
    <t>15267529197</t>
  </si>
  <si>
    <t>55008345</t>
  </si>
  <si>
    <t>15267530585</t>
  </si>
  <si>
    <t>54999235</t>
  </si>
  <si>
    <t>15267532428</t>
  </si>
  <si>
    <t>55006043</t>
  </si>
  <si>
    <t>15267533062</t>
  </si>
  <si>
    <t>55027262</t>
  </si>
  <si>
    <t>15267533149</t>
  </si>
  <si>
    <t>55012575</t>
  </si>
  <si>
    <t>15267533456</t>
  </si>
  <si>
    <t>55008767</t>
  </si>
  <si>
    <t>15267533992</t>
  </si>
  <si>
    <t>55007268</t>
  </si>
  <si>
    <t>15267537581</t>
  </si>
  <si>
    <t>55007707</t>
  </si>
  <si>
    <t>15267538113</t>
  </si>
  <si>
    <t>55007226</t>
  </si>
  <si>
    <t>15267538498</t>
  </si>
  <si>
    <t>55007706</t>
  </si>
  <si>
    <t>15267539518</t>
  </si>
  <si>
    <t>55009768</t>
  </si>
  <si>
    <t>15267540079</t>
  </si>
  <si>
    <t>55006670</t>
  </si>
  <si>
    <t>15267540759</t>
  </si>
  <si>
    <t>55006454</t>
  </si>
  <si>
    <t>15267540791</t>
  </si>
  <si>
    <t>55006353</t>
  </si>
  <si>
    <t>15267541644</t>
  </si>
  <si>
    <t>55009811</t>
  </si>
  <si>
    <t>15267542135</t>
  </si>
  <si>
    <t>55007298</t>
  </si>
  <si>
    <t>15267543680</t>
  </si>
  <si>
    <t>55006879</t>
  </si>
  <si>
    <t>15267546255</t>
  </si>
  <si>
    <t>55009511</t>
  </si>
  <si>
    <t>15267546306</t>
  </si>
  <si>
    <t>55005666</t>
  </si>
  <si>
    <t>15267546864</t>
  </si>
  <si>
    <t>55004917</t>
  </si>
  <si>
    <t>15267547318</t>
  </si>
  <si>
    <t>55008678</t>
  </si>
  <si>
    <t>15267547800</t>
  </si>
  <si>
    <t>55008161</t>
  </si>
  <si>
    <t>15267548382</t>
  </si>
  <si>
    <t>55001551</t>
  </si>
  <si>
    <t>15267548422</t>
  </si>
  <si>
    <t>55007787</t>
  </si>
  <si>
    <t>15267549067</t>
  </si>
  <si>
    <t>55006316</t>
  </si>
  <si>
    <t>15267549079</t>
  </si>
  <si>
    <t>55006182</t>
  </si>
  <si>
    <t>15267549218</t>
  </si>
  <si>
    <t>55005767</t>
  </si>
  <si>
    <t>15267549513</t>
  </si>
  <si>
    <t>55006214</t>
  </si>
  <si>
    <t>15267549975</t>
  </si>
  <si>
    <t>55006023</t>
  </si>
  <si>
    <t>15267550145</t>
  </si>
  <si>
    <t>55006076</t>
  </si>
  <si>
    <t>15267550443</t>
  </si>
  <si>
    <t>55005884</t>
  </si>
  <si>
    <t>15267550720</t>
  </si>
  <si>
    <t>55004728</t>
  </si>
  <si>
    <t>15267550735</t>
  </si>
  <si>
    <t>55005615</t>
  </si>
  <si>
    <t>Mazda MX-30</t>
  </si>
  <si>
    <t>Mazda MX-30 : Asian EV/Electric SUV</t>
  </si>
  <si>
    <t>15267550932</t>
  </si>
  <si>
    <t>55004841</t>
  </si>
  <si>
    <t>15267553314</t>
  </si>
  <si>
    <t>55007342</t>
  </si>
  <si>
    <t>15267554101</t>
  </si>
  <si>
    <t>55006643</t>
  </si>
  <si>
    <t>15267555033</t>
  </si>
  <si>
    <t>55006171</t>
  </si>
  <si>
    <t>15267555895</t>
  </si>
  <si>
    <t>55014424</t>
  </si>
  <si>
    <t>15267556781</t>
  </si>
  <si>
    <t>55006519</t>
  </si>
  <si>
    <t>15267557237</t>
  </si>
  <si>
    <t>55005016</t>
  </si>
  <si>
    <t>15267557258</t>
  </si>
  <si>
    <t>55005019</t>
  </si>
  <si>
    <t>15267557329</t>
  </si>
  <si>
    <t>55004963</t>
  </si>
  <si>
    <t>15267557876</t>
  </si>
  <si>
    <t>15267558609</t>
  </si>
  <si>
    <t>55013086</t>
  </si>
  <si>
    <t>15267558785</t>
  </si>
  <si>
    <t>55009867</t>
  </si>
  <si>
    <t>15267559109</t>
  </si>
  <si>
    <t>55008746</t>
  </si>
  <si>
    <t>15267560211</t>
  </si>
  <si>
    <t>55012067</t>
  </si>
  <si>
    <t>15267560446</t>
  </si>
  <si>
    <t>55047873</t>
  </si>
  <si>
    <t>15267560796</t>
  </si>
  <si>
    <t>55017790</t>
  </si>
  <si>
    <t>15267560866</t>
  </si>
  <si>
    <t>15267561098</t>
  </si>
  <si>
    <t>55017752</t>
  </si>
  <si>
    <t>15267561581</t>
  </si>
  <si>
    <t>55008737</t>
  </si>
  <si>
    <t>15267561834</t>
  </si>
  <si>
    <t>55008590</t>
  </si>
  <si>
    <t>15267562672</t>
  </si>
  <si>
    <t>55007631</t>
  </si>
  <si>
    <t>15267575760</t>
  </si>
  <si>
    <t>55005230</t>
  </si>
  <si>
    <t>15267576337</t>
  </si>
  <si>
    <t>55004954</t>
  </si>
  <si>
    <t>15267576557</t>
  </si>
  <si>
    <t>55004995</t>
  </si>
  <si>
    <t>15267576920</t>
  </si>
  <si>
    <t>55007311</t>
  </si>
  <si>
    <t>15267577431</t>
  </si>
  <si>
    <t>55004827</t>
  </si>
  <si>
    <t>15267577527</t>
  </si>
  <si>
    <t>55009512</t>
  </si>
  <si>
    <t>15267577863</t>
  </si>
  <si>
    <t>55004800</t>
  </si>
  <si>
    <t>15267578314</t>
  </si>
  <si>
    <t>55013993</t>
  </si>
  <si>
    <t>15267579246</t>
  </si>
  <si>
    <t>55007300</t>
  </si>
  <si>
    <t>15267581153</t>
  </si>
  <si>
    <t>55005337</t>
  </si>
  <si>
    <t>15267581654</t>
  </si>
  <si>
    <t>55005640</t>
  </si>
  <si>
    <t>15267581869</t>
  </si>
  <si>
    <t>55005673</t>
  </si>
  <si>
    <t>15267582606</t>
  </si>
  <si>
    <t>55009663</t>
  </si>
  <si>
    <t>15267582633</t>
  </si>
  <si>
    <t>55005210</t>
  </si>
  <si>
    <t>15267582634</t>
  </si>
  <si>
    <t>55005482</t>
  </si>
  <si>
    <t>15267582743</t>
  </si>
  <si>
    <t>55005467</t>
  </si>
  <si>
    <t>15267582926</t>
  </si>
  <si>
    <t>55005166</t>
  </si>
  <si>
    <t>15267583327</t>
  </si>
  <si>
    <t>55005295</t>
  </si>
  <si>
    <t>15267583495</t>
  </si>
  <si>
    <t>55005197</t>
  </si>
  <si>
    <t>15267584771</t>
  </si>
  <si>
    <t>55009542</t>
  </si>
  <si>
    <t>15267584816</t>
  </si>
  <si>
    <t>55009546</t>
  </si>
  <si>
    <t>15267584842</t>
  </si>
  <si>
    <t>55009662</t>
  </si>
  <si>
    <t>15267584882</t>
  </si>
  <si>
    <t>55004835</t>
  </si>
  <si>
    <t>15267584897</t>
  </si>
  <si>
    <t>55009513</t>
  </si>
  <si>
    <t>15267584898</t>
  </si>
  <si>
    <t>55009514</t>
  </si>
  <si>
    <t>15267584901</t>
  </si>
  <si>
    <t>55009515</t>
  </si>
  <si>
    <t>15267584912</t>
  </si>
  <si>
    <t>15267584920</t>
  </si>
  <si>
    <t>55009520</t>
  </si>
  <si>
    <t>15267584929</t>
  </si>
  <si>
    <t>55009517</t>
  </si>
  <si>
    <t>15267587858</t>
  </si>
  <si>
    <t>15267616796</t>
  </si>
  <si>
    <t>55012233</t>
  </si>
  <si>
    <t>15267617493</t>
  </si>
  <si>
    <t>55022044</t>
  </si>
  <si>
    <t>15267618415</t>
  </si>
  <si>
    <t>55013236</t>
  </si>
  <si>
    <t>15267619272</t>
  </si>
  <si>
    <t>55014086</t>
  </si>
  <si>
    <t>15267620439</t>
  </si>
  <si>
    <t>55024713</t>
  </si>
  <si>
    <t>15267622521</t>
  </si>
  <si>
    <t>55023896</t>
  </si>
  <si>
    <t>15267625899</t>
  </si>
  <si>
    <t>55035247</t>
  </si>
  <si>
    <t>15267628104</t>
  </si>
  <si>
    <t>55013222</t>
  </si>
  <si>
    <t>15267630429</t>
  </si>
  <si>
    <t>55025095</t>
  </si>
  <si>
    <t>15267632724</t>
  </si>
  <si>
    <t>55013290</t>
  </si>
  <si>
    <t>15267634300</t>
  </si>
  <si>
    <t>55025274</t>
  </si>
  <si>
    <t>15267634947</t>
  </si>
  <si>
    <t>55022046</t>
  </si>
  <si>
    <t>15267635992</t>
  </si>
  <si>
    <t>55012503</t>
  </si>
  <si>
    <t>15267636080</t>
  </si>
  <si>
    <t>55024442</t>
  </si>
  <si>
    <t>15267636158</t>
  </si>
  <si>
    <t>55021852</t>
  </si>
  <si>
    <t>15267636159</t>
  </si>
  <si>
    <t>55024494</t>
  </si>
  <si>
    <t>15267636238</t>
  </si>
  <si>
    <t>55024545</t>
  </si>
  <si>
    <t>15267636303</t>
  </si>
  <si>
    <t>55024534</t>
  </si>
  <si>
    <t>15267636304</t>
  </si>
  <si>
    <t>55024508</t>
  </si>
  <si>
    <t>15267638562</t>
  </si>
  <si>
    <t>55035248</t>
  </si>
  <si>
    <t>15267638598</t>
  </si>
  <si>
    <t>55036021</t>
  </si>
  <si>
    <t>15267641711</t>
  </si>
  <si>
    <t>55024464</t>
  </si>
  <si>
    <t>15267641790</t>
  </si>
  <si>
    <t>55024395</t>
  </si>
  <si>
    <t>15267641795</t>
  </si>
  <si>
    <t>55039583</t>
  </si>
  <si>
    <t>15267642313</t>
  </si>
  <si>
    <t>55023463</t>
  </si>
  <si>
    <t>15267652512</t>
  </si>
  <si>
    <t>15267662874</t>
  </si>
  <si>
    <t>55021526</t>
  </si>
  <si>
    <t>15267664705</t>
  </si>
  <si>
    <t>55022525</t>
  </si>
  <si>
    <t>15267671516</t>
  </si>
  <si>
    <t>55035611</t>
  </si>
  <si>
    <t>15267671698</t>
  </si>
  <si>
    <t>55029106</t>
  </si>
  <si>
    <t>15267671745</t>
  </si>
  <si>
    <t>15267677419</t>
  </si>
  <si>
    <t>55022302</t>
  </si>
  <si>
    <t>15267682379</t>
  </si>
  <si>
    <t>55022222</t>
  </si>
  <si>
    <t>15267685276</t>
  </si>
  <si>
    <t>55036764</t>
  </si>
  <si>
    <t>15267685298</t>
  </si>
  <si>
    <t>15267688101</t>
  </si>
  <si>
    <t>55024927</t>
  </si>
  <si>
    <t>15267688672</t>
  </si>
  <si>
    <t>55029419</t>
  </si>
  <si>
    <t>15267689747</t>
  </si>
  <si>
    <t>55029215</t>
  </si>
  <si>
    <t>15267690588</t>
  </si>
  <si>
    <t>55029413</t>
  </si>
  <si>
    <t>15267690622</t>
  </si>
  <si>
    <t>55029375</t>
  </si>
  <si>
    <t>15267691324</t>
  </si>
  <si>
    <t>15267691326</t>
  </si>
  <si>
    <t>58661554</t>
  </si>
  <si>
    <t>15267691691</t>
  </si>
  <si>
    <t>55036495</t>
  </si>
  <si>
    <t>15267691695</t>
  </si>
  <si>
    <t>15267694109</t>
  </si>
  <si>
    <t>55038647</t>
  </si>
  <si>
    <t>15267694116</t>
  </si>
  <si>
    <t>55038624</t>
  </si>
  <si>
    <t>15267694117</t>
  </si>
  <si>
    <t>55038679</t>
  </si>
  <si>
    <t>15267695204</t>
  </si>
  <si>
    <t>58662175</t>
  </si>
  <si>
    <t>15267695205</t>
  </si>
  <si>
    <t>15267695218</t>
  </si>
  <si>
    <t>58610686</t>
  </si>
  <si>
    <t>Mazda 3 Leasing : Asian Passenger Auto</t>
  </si>
  <si>
    <t>15267695240</t>
  </si>
  <si>
    <t>15267717844</t>
  </si>
  <si>
    <t>15267722205</t>
  </si>
  <si>
    <t>55032375</t>
  </si>
  <si>
    <t>15267730588</t>
  </si>
  <si>
    <t>15267734866</t>
  </si>
  <si>
    <t>15267739378</t>
  </si>
  <si>
    <t>55035813</t>
  </si>
  <si>
    <t>15267741161</t>
  </si>
  <si>
    <t>55037590</t>
  </si>
  <si>
    <t>15267742146</t>
  </si>
  <si>
    <t>55038765</t>
  </si>
  <si>
    <t>15267744122</t>
  </si>
  <si>
    <t>15267744684</t>
  </si>
  <si>
    <t>15267744708</t>
  </si>
  <si>
    <t>15267750822</t>
  </si>
  <si>
    <t>55036706</t>
  </si>
  <si>
    <t>15267763802</t>
  </si>
  <si>
    <t>15267778762</t>
  </si>
  <si>
    <t>55037925</t>
  </si>
  <si>
    <t>15267786984</t>
  </si>
  <si>
    <t>55039542</t>
  </si>
  <si>
    <t>15267788434</t>
  </si>
  <si>
    <t>15267788769</t>
  </si>
  <si>
    <t>55039664</t>
  </si>
  <si>
    <t>15267789788</t>
  </si>
  <si>
    <t>15267837467</t>
  </si>
  <si>
    <t>15267847124</t>
  </si>
  <si>
    <t>15267850876</t>
  </si>
  <si>
    <t>55194548</t>
  </si>
  <si>
    <t>55064121</t>
  </si>
  <si>
    <t>15267851231</t>
  </si>
  <si>
    <t>55050224</t>
  </si>
  <si>
    <t>15267852884</t>
  </si>
  <si>
    <t>55050378</t>
  </si>
  <si>
    <t>15267853072</t>
  </si>
  <si>
    <t>55050293</t>
  </si>
  <si>
    <t>15267853296</t>
  </si>
  <si>
    <t>55051425</t>
  </si>
  <si>
    <t>15267855585</t>
  </si>
  <si>
    <t>15267855631</t>
  </si>
  <si>
    <t>15267856391</t>
  </si>
  <si>
    <t>15267859091</t>
  </si>
  <si>
    <t>15267859093</t>
  </si>
  <si>
    <t>15267859281</t>
  </si>
  <si>
    <t>15267868440</t>
  </si>
  <si>
    <t>15267873413</t>
  </si>
  <si>
    <t>15267880188</t>
  </si>
  <si>
    <t>15267881149</t>
  </si>
  <si>
    <t>15267903550</t>
  </si>
  <si>
    <t>15267906515</t>
  </si>
  <si>
    <t>15267908177</t>
  </si>
  <si>
    <t>55056802</t>
  </si>
  <si>
    <t>15267909548</t>
  </si>
  <si>
    <t>15267910057</t>
  </si>
  <si>
    <t>55056174</t>
  </si>
  <si>
    <t>15267910210</t>
  </si>
  <si>
    <t>55054892</t>
  </si>
  <si>
    <t>15267910329</t>
  </si>
  <si>
    <t>55054870</t>
  </si>
  <si>
    <t>15267910554</t>
  </si>
  <si>
    <t>15267911114</t>
  </si>
  <si>
    <t>55056506</t>
  </si>
  <si>
    <t>15267911229</t>
  </si>
  <si>
    <t>55056114</t>
  </si>
  <si>
    <t>15267911939</t>
  </si>
  <si>
    <t>15267912503</t>
  </si>
  <si>
    <t>15267915023</t>
  </si>
  <si>
    <t>15267915205</t>
  </si>
  <si>
    <t>55056473</t>
  </si>
  <si>
    <t>15267917033</t>
  </si>
  <si>
    <t>55069610</t>
  </si>
  <si>
    <t>15267917480</t>
  </si>
  <si>
    <t>15267918574</t>
  </si>
  <si>
    <t>55057523</t>
  </si>
  <si>
    <t>15267918707</t>
  </si>
  <si>
    <t>55058695</t>
  </si>
  <si>
    <t>15267919830</t>
  </si>
  <si>
    <t>15267932085</t>
  </si>
  <si>
    <t>15267932086</t>
  </si>
  <si>
    <t>15267935043</t>
  </si>
  <si>
    <t>15267935044</t>
  </si>
  <si>
    <t>15267935050</t>
  </si>
  <si>
    <t>15267942476</t>
  </si>
  <si>
    <t>15267947709</t>
  </si>
  <si>
    <t>61728875</t>
  </si>
  <si>
    <t>15267947866</t>
  </si>
  <si>
    <t>15267948968</t>
  </si>
  <si>
    <t>61700083</t>
  </si>
  <si>
    <t>15267953115</t>
  </si>
  <si>
    <t>15267954838</t>
  </si>
  <si>
    <t>15267955892</t>
  </si>
  <si>
    <t>61688506</t>
  </si>
  <si>
    <t>15267955912</t>
  </si>
  <si>
    <t>15267955913</t>
  </si>
  <si>
    <t>15267958174</t>
  </si>
  <si>
    <t>15267959371</t>
  </si>
  <si>
    <t>61685300</t>
  </si>
  <si>
    <t>15267963353</t>
  </si>
  <si>
    <t>15267965808</t>
  </si>
  <si>
    <t>15267969752</t>
  </si>
  <si>
    <t>61687450</t>
  </si>
  <si>
    <t>15267971908</t>
  </si>
  <si>
    <t>15267975350</t>
  </si>
  <si>
    <t>55065174</t>
  </si>
  <si>
    <t>15267976752</t>
  </si>
  <si>
    <t>15267979238</t>
  </si>
  <si>
    <t>15268005580</t>
  </si>
  <si>
    <t>55065152</t>
  </si>
  <si>
    <t>15268013878</t>
  </si>
  <si>
    <t>15268015480</t>
  </si>
  <si>
    <t>15268016752</t>
  </si>
  <si>
    <t>15268016754</t>
  </si>
  <si>
    <t>15268016755</t>
  </si>
  <si>
    <t>15268017175</t>
  </si>
  <si>
    <t>15268017575</t>
  </si>
  <si>
    <t>15268018076</t>
  </si>
  <si>
    <t>15268018484</t>
  </si>
  <si>
    <t>15268018598</t>
  </si>
  <si>
    <t>15268019227</t>
  </si>
  <si>
    <t>15268021795</t>
  </si>
  <si>
    <t>15268022861</t>
  </si>
  <si>
    <t>15268023889</t>
  </si>
  <si>
    <t>15268024640</t>
  </si>
  <si>
    <t>15268025248</t>
  </si>
  <si>
    <t>15268025605</t>
  </si>
  <si>
    <t>15268025755</t>
  </si>
  <si>
    <t>15268025812</t>
  </si>
  <si>
    <t>61680946</t>
  </si>
  <si>
    <t>15268026211</t>
  </si>
  <si>
    <t>15268026978</t>
  </si>
  <si>
    <t>15268027689</t>
  </si>
  <si>
    <t>15268027712</t>
  </si>
  <si>
    <t>15268028755</t>
  </si>
  <si>
    <t>15268028953</t>
  </si>
  <si>
    <t>57308181</t>
  </si>
  <si>
    <t>Mazda Leasing : General Promotion - Asian Autos &amp; Trucks</t>
  </si>
  <si>
    <t>15268030163</t>
  </si>
  <si>
    <t>15268030834</t>
  </si>
  <si>
    <t>15268030838</t>
  </si>
  <si>
    <t>15268031691</t>
  </si>
  <si>
    <t>15268032080</t>
  </si>
  <si>
    <t>15268032410</t>
  </si>
  <si>
    <t>15268042515</t>
  </si>
  <si>
    <t>15268042727</t>
  </si>
  <si>
    <t>55069389</t>
  </si>
  <si>
    <t>15268075675</t>
  </si>
  <si>
    <t>15268079087</t>
  </si>
  <si>
    <t>15268079497</t>
  </si>
  <si>
    <t>57309838</t>
  </si>
  <si>
    <t>15268084449</t>
  </si>
  <si>
    <t>15268084453</t>
  </si>
  <si>
    <t>15268084486</t>
  </si>
  <si>
    <t>15268084839</t>
  </si>
  <si>
    <t>55072596</t>
  </si>
  <si>
    <t>15268084853</t>
  </si>
  <si>
    <t>55073588</t>
  </si>
  <si>
    <t>15268087000</t>
  </si>
  <si>
    <t>55086013</t>
  </si>
  <si>
    <t>15268087442</t>
  </si>
  <si>
    <t>55075266</t>
  </si>
  <si>
    <t>15268087864</t>
  </si>
  <si>
    <t>55073586</t>
  </si>
  <si>
    <t>55072422</t>
  </si>
  <si>
    <t>15268088297</t>
  </si>
  <si>
    <t>55073915</t>
  </si>
  <si>
    <t>15268088394</t>
  </si>
  <si>
    <t>15268089127</t>
  </si>
  <si>
    <t>55073854</t>
  </si>
  <si>
    <t>15268093550</t>
  </si>
  <si>
    <t>55074541</t>
  </si>
  <si>
    <t>15268113361</t>
  </si>
  <si>
    <t>15268117046</t>
  </si>
  <si>
    <t>15268117360</t>
  </si>
  <si>
    <t>15268117365</t>
  </si>
  <si>
    <t>15268118549</t>
  </si>
  <si>
    <t>61691392</t>
  </si>
  <si>
    <t>15268119452</t>
  </si>
  <si>
    <t>15268130916</t>
  </si>
  <si>
    <t>15268137727</t>
  </si>
  <si>
    <t>15268138348</t>
  </si>
  <si>
    <t>15268139385</t>
  </si>
  <si>
    <t>15268139930</t>
  </si>
  <si>
    <t>15268140223</t>
  </si>
  <si>
    <t>15268141152</t>
  </si>
  <si>
    <t>15268142402</t>
  </si>
  <si>
    <t>15268145866</t>
  </si>
  <si>
    <t>15268147261</t>
  </si>
  <si>
    <t>15268147379</t>
  </si>
  <si>
    <t>15268151973</t>
  </si>
  <si>
    <t>61732728</t>
  </si>
  <si>
    <t>15268153424</t>
  </si>
  <si>
    <t>15268153451</t>
  </si>
  <si>
    <t>15268154227</t>
  </si>
  <si>
    <t>15268154456</t>
  </si>
  <si>
    <t>15268155006</t>
  </si>
  <si>
    <t>15268155672</t>
  </si>
  <si>
    <t>15268155816</t>
  </si>
  <si>
    <t>15268161172</t>
  </si>
  <si>
    <t>15268162186</t>
  </si>
  <si>
    <t>15268167084</t>
  </si>
  <si>
    <t>15268169619</t>
  </si>
  <si>
    <t>15268169852</t>
  </si>
  <si>
    <t>15268171602</t>
  </si>
  <si>
    <t>15268171630</t>
  </si>
  <si>
    <t>15268174383</t>
  </si>
  <si>
    <t>15268174414</t>
  </si>
  <si>
    <t>15268174519</t>
  </si>
  <si>
    <t>15268175987</t>
  </si>
  <si>
    <t>15268176170</t>
  </si>
  <si>
    <t>15268177602</t>
  </si>
  <si>
    <t>15268177824</t>
  </si>
  <si>
    <t>15268178195</t>
  </si>
  <si>
    <t>15268178777</t>
  </si>
  <si>
    <t>15268179264</t>
  </si>
  <si>
    <t>15268179265</t>
  </si>
  <si>
    <t>15268185543</t>
  </si>
  <si>
    <t>15268185883</t>
  </si>
  <si>
    <t>15268186131</t>
  </si>
  <si>
    <t>15268187878</t>
  </si>
  <si>
    <t>55081216</t>
  </si>
  <si>
    <t>15268188080</t>
  </si>
  <si>
    <t>55079861</t>
  </si>
  <si>
    <t>15268189537</t>
  </si>
  <si>
    <t>15268189825</t>
  </si>
  <si>
    <t>15268190032</t>
  </si>
  <si>
    <t>15268191374</t>
  </si>
  <si>
    <t>55079825</t>
  </si>
  <si>
    <t>15268191397</t>
  </si>
  <si>
    <t>55081056</t>
  </si>
  <si>
    <t>15268192576</t>
  </si>
  <si>
    <t>55080780</t>
  </si>
  <si>
    <t>15268192851</t>
  </si>
  <si>
    <t>55081057</t>
  </si>
  <si>
    <t>15268193117</t>
  </si>
  <si>
    <t>55080331</t>
  </si>
  <si>
    <t>15268193650</t>
  </si>
  <si>
    <t>55080593</t>
  </si>
  <si>
    <t>15268193803</t>
  </si>
  <si>
    <t>55080778</t>
  </si>
  <si>
    <t>15268193942</t>
  </si>
  <si>
    <t>55078694</t>
  </si>
  <si>
    <t>15268193985</t>
  </si>
  <si>
    <t>15268193986</t>
  </si>
  <si>
    <t>55081109</t>
  </si>
  <si>
    <t>15268194035</t>
  </si>
  <si>
    <t>61691041</t>
  </si>
  <si>
    <t>15268194264</t>
  </si>
  <si>
    <t>55079901</t>
  </si>
  <si>
    <t>15268194404</t>
  </si>
  <si>
    <t>55081055</t>
  </si>
  <si>
    <t>15268194671</t>
  </si>
  <si>
    <t>55080773</t>
  </si>
  <si>
    <t>15268194979</t>
  </si>
  <si>
    <t>55079906</t>
  </si>
  <si>
    <t>15268195006</t>
  </si>
  <si>
    <t>55080399</t>
  </si>
  <si>
    <t>15268195069</t>
  </si>
  <si>
    <t>55081054</t>
  </si>
  <si>
    <t>15268195095</t>
  </si>
  <si>
    <t>55079902</t>
  </si>
  <si>
    <t>15268195262</t>
  </si>
  <si>
    <t>55082266</t>
  </si>
  <si>
    <t>15268195525</t>
  </si>
  <si>
    <t>55081295</t>
  </si>
  <si>
    <t>15268196429</t>
  </si>
  <si>
    <t>55079237</t>
  </si>
  <si>
    <t>15268196519</t>
  </si>
  <si>
    <t>55081293</t>
  </si>
  <si>
    <t>15268196906</t>
  </si>
  <si>
    <t>55080595</t>
  </si>
  <si>
    <t>15268197020</t>
  </si>
  <si>
    <t>55079883</t>
  </si>
  <si>
    <t>15268197603</t>
  </si>
  <si>
    <t>55079759</t>
  </si>
  <si>
    <t>15268198182</t>
  </si>
  <si>
    <t>55081212</t>
  </si>
  <si>
    <t>15268198297</t>
  </si>
  <si>
    <t>55080600</t>
  </si>
  <si>
    <t>15268198794</t>
  </si>
  <si>
    <t>55080398</t>
  </si>
  <si>
    <t>15268199389</t>
  </si>
  <si>
    <t>55081298</t>
  </si>
  <si>
    <t>15268199392</t>
  </si>
  <si>
    <t>55080467</t>
  </si>
  <si>
    <t>15268199393</t>
  </si>
  <si>
    <t>55081297</t>
  </si>
  <si>
    <t>15268200259</t>
  </si>
  <si>
    <t>15268200781</t>
  </si>
  <si>
    <t>55081097</t>
  </si>
  <si>
    <t>15268200937</t>
  </si>
  <si>
    <t>55081105</t>
  </si>
  <si>
    <t>15268201156</t>
  </si>
  <si>
    <t>55081325</t>
  </si>
  <si>
    <t>15268201166</t>
  </si>
  <si>
    <t>55080772</t>
  </si>
  <si>
    <t>15268202313</t>
  </si>
  <si>
    <t>15268202673</t>
  </si>
  <si>
    <t>55086396</t>
  </si>
  <si>
    <t>15268202855</t>
  </si>
  <si>
    <t>15268203030</t>
  </si>
  <si>
    <t>61721919</t>
  </si>
  <si>
    <t>15268203560</t>
  </si>
  <si>
    <t>61684618</t>
  </si>
  <si>
    <t>15268203909</t>
  </si>
  <si>
    <t>15268203910</t>
  </si>
  <si>
    <t>15268204018</t>
  </si>
  <si>
    <t>15268204077</t>
  </si>
  <si>
    <t>15268204140</t>
  </si>
  <si>
    <t>15268204387</t>
  </si>
  <si>
    <t>15268205001</t>
  </si>
  <si>
    <t>15268205207</t>
  </si>
  <si>
    <t>61689140</t>
  </si>
  <si>
    <t>15268206395</t>
  </si>
  <si>
    <t>15268207178</t>
  </si>
  <si>
    <t>15268207240</t>
  </si>
  <si>
    <t>15268207576</t>
  </si>
  <si>
    <t>61675452</t>
  </si>
  <si>
    <t>15268207719</t>
  </si>
  <si>
    <t>15268207771</t>
  </si>
  <si>
    <t>15268207774</t>
  </si>
  <si>
    <t>15268209111</t>
  </si>
  <si>
    <t>15268210012</t>
  </si>
  <si>
    <t>15268210321</t>
  </si>
  <si>
    <t>57556068</t>
  </si>
  <si>
    <t>15268210621</t>
  </si>
  <si>
    <t>15268210883</t>
  </si>
  <si>
    <t>15268210949</t>
  </si>
  <si>
    <t>15268211300</t>
  </si>
  <si>
    <t>15268211864</t>
  </si>
  <si>
    <t>15268212350</t>
  </si>
  <si>
    <t>61706417</t>
  </si>
  <si>
    <t>15268212403</t>
  </si>
  <si>
    <t>15268212602</t>
  </si>
  <si>
    <t>15268212655</t>
  </si>
  <si>
    <t>61712695</t>
  </si>
  <si>
    <t>15268212680</t>
  </si>
  <si>
    <t>15268212685</t>
  </si>
  <si>
    <t>15268212720</t>
  </si>
  <si>
    <t>61728242</t>
  </si>
  <si>
    <t>15268212749</t>
  </si>
  <si>
    <t>15268212937</t>
  </si>
  <si>
    <t>15268213128</t>
  </si>
  <si>
    <t>15268215378</t>
  </si>
  <si>
    <t>15268215379</t>
  </si>
  <si>
    <t>15268215563</t>
  </si>
  <si>
    <t>15268215654</t>
  </si>
  <si>
    <t>15268216456</t>
  </si>
  <si>
    <t>61699520</t>
  </si>
  <si>
    <t>15268216815</t>
  </si>
  <si>
    <t>58787491</t>
  </si>
  <si>
    <t>15268217016</t>
  </si>
  <si>
    <t>15268217017</t>
  </si>
  <si>
    <t>15268218433</t>
  </si>
  <si>
    <t>15268219416</t>
  </si>
  <si>
    <t>15268220252</t>
  </si>
  <si>
    <t>15268220621</t>
  </si>
  <si>
    <t>15268221227</t>
  </si>
  <si>
    <t>15268221429</t>
  </si>
  <si>
    <t>15268221976</t>
  </si>
  <si>
    <t>15268222216</t>
  </si>
  <si>
    <t>15268225108</t>
  </si>
  <si>
    <t>15268225485</t>
  </si>
  <si>
    <t>15268226432</t>
  </si>
  <si>
    <t>15268227259</t>
  </si>
  <si>
    <t>61701440</t>
  </si>
  <si>
    <t>15268227503</t>
  </si>
  <si>
    <t>61715681</t>
  </si>
  <si>
    <t>15268227724</t>
  </si>
  <si>
    <t>15268227945</t>
  </si>
  <si>
    <t>15268228008</t>
  </si>
  <si>
    <t>58789200</t>
  </si>
  <si>
    <t>15268228174</t>
  </si>
  <si>
    <t>61677469</t>
  </si>
  <si>
    <t>15268228574</t>
  </si>
  <si>
    <t>15268228678</t>
  </si>
  <si>
    <t>15268228887</t>
  </si>
  <si>
    <t>15268228896</t>
  </si>
  <si>
    <t>15268229647</t>
  </si>
  <si>
    <t>15268229873</t>
  </si>
  <si>
    <t>15268230225</t>
  </si>
  <si>
    <t>15268230630</t>
  </si>
  <si>
    <t>15268231112</t>
  </si>
  <si>
    <t>15268232453</t>
  </si>
  <si>
    <t>15268234702</t>
  </si>
  <si>
    <t>61688329</t>
  </si>
  <si>
    <t>15268235111</t>
  </si>
  <si>
    <t>15268235404</t>
  </si>
  <si>
    <t>15268237401</t>
  </si>
  <si>
    <t>15268237402</t>
  </si>
  <si>
    <t>15268239413</t>
  </si>
  <si>
    <t>15268240930</t>
  </si>
  <si>
    <t>15268241086</t>
  </si>
  <si>
    <t>58799285</t>
  </si>
  <si>
    <t>15268242019</t>
  </si>
  <si>
    <t>61695563</t>
  </si>
  <si>
    <t>15268242574</t>
  </si>
  <si>
    <t>15268242575</t>
  </si>
  <si>
    <t>15268243794</t>
  </si>
  <si>
    <t>15268246272</t>
  </si>
  <si>
    <t>61709473</t>
  </si>
  <si>
    <t>15268246285</t>
  </si>
  <si>
    <t>15268247061</t>
  </si>
  <si>
    <t>61701695</t>
  </si>
  <si>
    <t>15268247802</t>
  </si>
  <si>
    <t>15268247823</t>
  </si>
  <si>
    <t>15268247861</t>
  </si>
  <si>
    <t>15268248907</t>
  </si>
  <si>
    <t>58789818</t>
  </si>
  <si>
    <t>15268250573</t>
  </si>
  <si>
    <t>61723755</t>
  </si>
  <si>
    <t>15268251303</t>
  </si>
  <si>
    <t>15268251681</t>
  </si>
  <si>
    <t>61677826</t>
  </si>
  <si>
    <t>15268252246</t>
  </si>
  <si>
    <t>15268253409</t>
  </si>
  <si>
    <t>55087105</t>
  </si>
  <si>
    <t>15268254273</t>
  </si>
  <si>
    <t>55086004</t>
  </si>
  <si>
    <t>15268254276</t>
  </si>
  <si>
    <t>61716286</t>
  </si>
  <si>
    <t>15268254814</t>
  </si>
  <si>
    <t>15268254935</t>
  </si>
  <si>
    <t>58614070</t>
  </si>
  <si>
    <t>15268255902</t>
  </si>
  <si>
    <t>55085183</t>
  </si>
  <si>
    <t>15268256115</t>
  </si>
  <si>
    <t>55085180</t>
  </si>
  <si>
    <t>15268256351</t>
  </si>
  <si>
    <t>55085449</t>
  </si>
  <si>
    <t>15268256798</t>
  </si>
  <si>
    <t>55084691</t>
  </si>
  <si>
    <t>15268257181</t>
  </si>
  <si>
    <t>55086094</t>
  </si>
  <si>
    <t>15268257967</t>
  </si>
  <si>
    <t>55085751</t>
  </si>
  <si>
    <t>15268268739</t>
  </si>
  <si>
    <t>15268269871</t>
  </si>
  <si>
    <t>55085446</t>
  </si>
  <si>
    <t>15268270414</t>
  </si>
  <si>
    <t>15268270415</t>
  </si>
  <si>
    <t>15268270689</t>
  </si>
  <si>
    <t>15268271208</t>
  </si>
  <si>
    <t>15268271477</t>
  </si>
  <si>
    <t>15268272570</t>
  </si>
  <si>
    <t>15268272753</t>
  </si>
  <si>
    <t>15268272966</t>
  </si>
  <si>
    <t>61698219</t>
  </si>
  <si>
    <t>15268273224</t>
  </si>
  <si>
    <t>15268273302</t>
  </si>
  <si>
    <t>15268273353</t>
  </si>
  <si>
    <t>15268273360</t>
  </si>
  <si>
    <t>15268273409</t>
  </si>
  <si>
    <t>15268273538</t>
  </si>
  <si>
    <t>15268274410</t>
  </si>
  <si>
    <t>55087104</t>
  </si>
  <si>
    <t>15268274924</t>
  </si>
  <si>
    <t>15268275157</t>
  </si>
  <si>
    <t>15268275415</t>
  </si>
  <si>
    <t>61736573</t>
  </si>
  <si>
    <t>15268275501</t>
  </si>
  <si>
    <t>15268275503</t>
  </si>
  <si>
    <t>15268275975</t>
  </si>
  <si>
    <t>61735260</t>
  </si>
  <si>
    <t>15268276242</t>
  </si>
  <si>
    <t>15268276659</t>
  </si>
  <si>
    <t>15268278468</t>
  </si>
  <si>
    <t>15268279712</t>
  </si>
  <si>
    <t>55087849</t>
  </si>
  <si>
    <t>15268279908</t>
  </si>
  <si>
    <t>55086398</t>
  </si>
  <si>
    <t>15268280139</t>
  </si>
  <si>
    <t>55087782</t>
  </si>
  <si>
    <t>15268280353</t>
  </si>
  <si>
    <t>55087439</t>
  </si>
  <si>
    <t>15268280431</t>
  </si>
  <si>
    <t>55086823</t>
  </si>
  <si>
    <t>15268280546</t>
  </si>
  <si>
    <t>55087438</t>
  </si>
  <si>
    <t>15268280603</t>
  </si>
  <si>
    <t>55087440</t>
  </si>
  <si>
    <t>15268280708</t>
  </si>
  <si>
    <t>55087780</t>
  </si>
  <si>
    <t>15268280956</t>
  </si>
  <si>
    <t>15268281506</t>
  </si>
  <si>
    <t>15268281663</t>
  </si>
  <si>
    <t>15268281705</t>
  </si>
  <si>
    <t>61739195</t>
  </si>
  <si>
    <t>15268282183</t>
  </si>
  <si>
    <t>55086984</t>
  </si>
  <si>
    <t>15268282507</t>
  </si>
  <si>
    <t>15268282862</t>
  </si>
  <si>
    <t>15268283187</t>
  </si>
  <si>
    <t>15268283318</t>
  </si>
  <si>
    <t>61706633</t>
  </si>
  <si>
    <t>15268284966</t>
  </si>
  <si>
    <t>15268285381</t>
  </si>
  <si>
    <t>15268286071</t>
  </si>
  <si>
    <t>61721662</t>
  </si>
  <si>
    <t>15268287027</t>
  </si>
  <si>
    <t>58788537</t>
  </si>
  <si>
    <t>15268287042</t>
  </si>
  <si>
    <t>58790353</t>
  </si>
  <si>
    <t>15268287515</t>
  </si>
  <si>
    <t>15268288095</t>
  </si>
  <si>
    <t>15268288290</t>
  </si>
  <si>
    <t>15268288534</t>
  </si>
  <si>
    <t>15268288601</t>
  </si>
  <si>
    <t>15268289065</t>
  </si>
  <si>
    <t>15268289158</t>
  </si>
  <si>
    <t>61687205</t>
  </si>
  <si>
    <t>15268289272</t>
  </si>
  <si>
    <t>15268289289</t>
  </si>
  <si>
    <t>15268289525</t>
  </si>
  <si>
    <t>15268289537</t>
  </si>
  <si>
    <t>15268289905</t>
  </si>
  <si>
    <t>15268290093</t>
  </si>
  <si>
    <t>15268290528</t>
  </si>
  <si>
    <t>15268290844</t>
  </si>
  <si>
    <t>15268290885</t>
  </si>
  <si>
    <t>15268291488</t>
  </si>
  <si>
    <t>61691775</t>
  </si>
  <si>
    <t>15268291576</t>
  </si>
  <si>
    <t>55091592</t>
  </si>
  <si>
    <t>15268292367</t>
  </si>
  <si>
    <t>15268292890</t>
  </si>
  <si>
    <t>15268293790</t>
  </si>
  <si>
    <t>15268293802</t>
  </si>
  <si>
    <t>61675199</t>
  </si>
  <si>
    <t>15268294029</t>
  </si>
  <si>
    <t>15268294622</t>
  </si>
  <si>
    <t>15268294678</t>
  </si>
  <si>
    <t>15268294950</t>
  </si>
  <si>
    <t>15268295097</t>
  </si>
  <si>
    <t>15268295966</t>
  </si>
  <si>
    <t>15268296501</t>
  </si>
  <si>
    <t>55092188</t>
  </si>
  <si>
    <t>15268296722</t>
  </si>
  <si>
    <t>15268298128</t>
  </si>
  <si>
    <t>61704269</t>
  </si>
  <si>
    <t>15268298961</t>
  </si>
  <si>
    <t>15268301184</t>
  </si>
  <si>
    <t>15268303884</t>
  </si>
  <si>
    <t>15268304387</t>
  </si>
  <si>
    <t>15268305809</t>
  </si>
  <si>
    <t>15268306252</t>
  </si>
  <si>
    <t>15268306849</t>
  </si>
  <si>
    <t>61706460</t>
  </si>
  <si>
    <t>15268306975</t>
  </si>
  <si>
    <t>61713557</t>
  </si>
  <si>
    <t>15268307475</t>
  </si>
  <si>
    <t>15268307609</t>
  </si>
  <si>
    <t>61720967</t>
  </si>
  <si>
    <t>15268307671</t>
  </si>
  <si>
    <t>15268309163</t>
  </si>
  <si>
    <t>15268309205</t>
  </si>
  <si>
    <t>61735974</t>
  </si>
  <si>
    <t>15268309836</t>
  </si>
  <si>
    <t>15268310690</t>
  </si>
  <si>
    <t>61674830</t>
  </si>
  <si>
    <t>15268310841</t>
  </si>
  <si>
    <t>15268313305</t>
  </si>
  <si>
    <t>15268313815</t>
  </si>
  <si>
    <t>15268314912</t>
  </si>
  <si>
    <t>15268317190</t>
  </si>
  <si>
    <t>15268317464</t>
  </si>
  <si>
    <t>61736771</t>
  </si>
  <si>
    <t>15268324951</t>
  </si>
  <si>
    <t>15268325349</t>
  </si>
  <si>
    <t>15268326878</t>
  </si>
  <si>
    <t>15268327459</t>
  </si>
  <si>
    <t>15268327660</t>
  </si>
  <si>
    <t>61685788</t>
  </si>
  <si>
    <t>15268327949</t>
  </si>
  <si>
    <t>58800725</t>
  </si>
  <si>
    <t>15268336439</t>
  </si>
  <si>
    <t>55091371</t>
  </si>
  <si>
    <t>15268336675</t>
  </si>
  <si>
    <t>15268337570</t>
  </si>
  <si>
    <t>15268337579</t>
  </si>
  <si>
    <t>55091598</t>
  </si>
  <si>
    <t>15268338323</t>
  </si>
  <si>
    <t>15268338701</t>
  </si>
  <si>
    <t>15268338702</t>
  </si>
  <si>
    <t>15268339362</t>
  </si>
  <si>
    <t>15268340431</t>
  </si>
  <si>
    <t>15268342090</t>
  </si>
  <si>
    <t>15268342353</t>
  </si>
  <si>
    <t>15268342702</t>
  </si>
  <si>
    <t>15268342703</t>
  </si>
  <si>
    <t>61692701</t>
  </si>
  <si>
    <t>15268343696</t>
  </si>
  <si>
    <t>55091519</t>
  </si>
  <si>
    <t>15268343714</t>
  </si>
  <si>
    <t>15268345054</t>
  </si>
  <si>
    <t>15268346614</t>
  </si>
  <si>
    <t>55090113</t>
  </si>
  <si>
    <t>15268348368</t>
  </si>
  <si>
    <t>55103651</t>
  </si>
  <si>
    <t>15268349080</t>
  </si>
  <si>
    <t>55109028</t>
  </si>
  <si>
    <t>15268349318</t>
  </si>
  <si>
    <t>55091113</t>
  </si>
  <si>
    <t>15268350994</t>
  </si>
  <si>
    <t>55091109</t>
  </si>
  <si>
    <t>15268351040</t>
  </si>
  <si>
    <t>55090998</t>
  </si>
  <si>
    <t>15268351226</t>
  </si>
  <si>
    <t>61694251</t>
  </si>
  <si>
    <t>55090640</t>
  </si>
  <si>
    <t>15268351833</t>
  </si>
  <si>
    <t>55091774</t>
  </si>
  <si>
    <t>15268351835</t>
  </si>
  <si>
    <t>55091516</t>
  </si>
  <si>
    <t>15268352621</t>
  </si>
  <si>
    <t>15268352674</t>
  </si>
  <si>
    <t>55090871</t>
  </si>
  <si>
    <t>15268353358</t>
  </si>
  <si>
    <t>55091318</t>
  </si>
  <si>
    <t>15268353369</t>
  </si>
  <si>
    <t>55103656</t>
  </si>
  <si>
    <t>15268353370</t>
  </si>
  <si>
    <t>55091239</t>
  </si>
  <si>
    <t>15268353555</t>
  </si>
  <si>
    <t>55091238</t>
  </si>
  <si>
    <t>15268353705</t>
  </si>
  <si>
    <t>55091393</t>
  </si>
  <si>
    <t>15268353901</t>
  </si>
  <si>
    <t>55097710</t>
  </si>
  <si>
    <t>15268354094</t>
  </si>
  <si>
    <t>55091027</t>
  </si>
  <si>
    <t>15268354171</t>
  </si>
  <si>
    <t>55091072</t>
  </si>
  <si>
    <t>15268354279</t>
  </si>
  <si>
    <t>15268354280</t>
  </si>
  <si>
    <t>55091773</t>
  </si>
  <si>
    <t>15268354586</t>
  </si>
  <si>
    <t>55091713</t>
  </si>
  <si>
    <t>15268354675</t>
  </si>
  <si>
    <t>55091677</t>
  </si>
  <si>
    <t>15268355119</t>
  </si>
  <si>
    <t>55091323</t>
  </si>
  <si>
    <t>15268357102</t>
  </si>
  <si>
    <t>61708759</t>
  </si>
  <si>
    <t>15268357739</t>
  </si>
  <si>
    <t>15268357788</t>
  </si>
  <si>
    <t>61710835</t>
  </si>
  <si>
    <t>15268357959</t>
  </si>
  <si>
    <t>61704758</t>
  </si>
  <si>
    <t>15268358531</t>
  </si>
  <si>
    <t>15268359134</t>
  </si>
  <si>
    <t>15268359317</t>
  </si>
  <si>
    <t>15268359554</t>
  </si>
  <si>
    <t>15268359573</t>
  </si>
  <si>
    <t>15268359706</t>
  </si>
  <si>
    <t>15268360238</t>
  </si>
  <si>
    <t>58802441</t>
  </si>
  <si>
    <t>15268360440</t>
  </si>
  <si>
    <t>55103661</t>
  </si>
  <si>
    <t>15268360476</t>
  </si>
  <si>
    <t>55092185</t>
  </si>
  <si>
    <t>15268360613</t>
  </si>
  <si>
    <t>55091515</t>
  </si>
  <si>
    <t>15268360648</t>
  </si>
  <si>
    <t>55091509</t>
  </si>
  <si>
    <t>15268360677</t>
  </si>
  <si>
    <t>55091597</t>
  </si>
  <si>
    <t>15268360678</t>
  </si>
  <si>
    <t>55091596</t>
  </si>
  <si>
    <t>15268360679</t>
  </si>
  <si>
    <t>55091517</t>
  </si>
  <si>
    <t>15268360830</t>
  </si>
  <si>
    <t>55091518</t>
  </si>
  <si>
    <t>15268360879</t>
  </si>
  <si>
    <t>55091707</t>
  </si>
  <si>
    <t>15268361007</t>
  </si>
  <si>
    <t>55091678</t>
  </si>
  <si>
    <t>15268361080</t>
  </si>
  <si>
    <t>55092207</t>
  </si>
  <si>
    <t>15268361732</t>
  </si>
  <si>
    <t>55103662</t>
  </si>
  <si>
    <t>15268361737</t>
  </si>
  <si>
    <t>55092187</t>
  </si>
  <si>
    <t>15268361924</t>
  </si>
  <si>
    <t>55092189</t>
  </si>
  <si>
    <t>15268362270</t>
  </si>
  <si>
    <t>15268362427</t>
  </si>
  <si>
    <t>15268362879</t>
  </si>
  <si>
    <t>55128111</t>
  </si>
  <si>
    <t>15268362973</t>
  </si>
  <si>
    <t>55091767</t>
  </si>
  <si>
    <t>15268363158</t>
  </si>
  <si>
    <t>55091705</t>
  </si>
  <si>
    <t>15268363160</t>
  </si>
  <si>
    <t>55091770</t>
  </si>
  <si>
    <t>15268363212</t>
  </si>
  <si>
    <t>55091680</t>
  </si>
  <si>
    <t>15268363608</t>
  </si>
  <si>
    <t>61702716</t>
  </si>
  <si>
    <t>15268363758</t>
  </si>
  <si>
    <t>15268363986</t>
  </si>
  <si>
    <t>61724299</t>
  </si>
  <si>
    <t>15268364162</t>
  </si>
  <si>
    <t>15268364163</t>
  </si>
  <si>
    <t>15268364264</t>
  </si>
  <si>
    <t>58790183</t>
  </si>
  <si>
    <t>15268364457</t>
  </si>
  <si>
    <t>15268364733</t>
  </si>
  <si>
    <t>15268364738</t>
  </si>
  <si>
    <t>15268364806</t>
  </si>
  <si>
    <t>15268364870</t>
  </si>
  <si>
    <t>61695316</t>
  </si>
  <si>
    <t>15268364888</t>
  </si>
  <si>
    <t>15268364933</t>
  </si>
  <si>
    <t>61725024</t>
  </si>
  <si>
    <t>15268364948</t>
  </si>
  <si>
    <t>15268365361</t>
  </si>
  <si>
    <t>58788204</t>
  </si>
  <si>
    <t>15268365425</t>
  </si>
  <si>
    <t>15268365441</t>
  </si>
  <si>
    <t>15268365602</t>
  </si>
  <si>
    <t>15268365838</t>
  </si>
  <si>
    <t>15268366347</t>
  </si>
  <si>
    <t>15268366670</t>
  </si>
  <si>
    <t>15268366689</t>
  </si>
  <si>
    <t>15268366720</t>
  </si>
  <si>
    <t>15268366739</t>
  </si>
  <si>
    <t>15268366765</t>
  </si>
  <si>
    <t>15268366926</t>
  </si>
  <si>
    <t>15268367696</t>
  </si>
  <si>
    <t>15268367933</t>
  </si>
  <si>
    <t>15268368028</t>
  </si>
  <si>
    <t>15268368139</t>
  </si>
  <si>
    <t>15268368659</t>
  </si>
  <si>
    <t>61732632</t>
  </si>
  <si>
    <t>15268369642</t>
  </si>
  <si>
    <t>61724123</t>
  </si>
  <si>
    <t>15268369664</t>
  </si>
  <si>
    <t>15268369807</t>
  </si>
  <si>
    <t>15268370302</t>
  </si>
  <si>
    <t>61701684</t>
  </si>
  <si>
    <t>15268370347</t>
  </si>
  <si>
    <t>15268370556</t>
  </si>
  <si>
    <t>15268370559</t>
  </si>
  <si>
    <t>15268370644</t>
  </si>
  <si>
    <t>15268370810</t>
  </si>
  <si>
    <t>15268371262</t>
  </si>
  <si>
    <t>15268371335</t>
  </si>
  <si>
    <t>15268371444</t>
  </si>
  <si>
    <t>15268371782</t>
  </si>
  <si>
    <t>15268372248</t>
  </si>
  <si>
    <t>15268372250</t>
  </si>
  <si>
    <t>15268372958</t>
  </si>
  <si>
    <t>61701302</t>
  </si>
  <si>
    <t>15268373075</t>
  </si>
  <si>
    <t>15268373183</t>
  </si>
  <si>
    <t>58790632</t>
  </si>
  <si>
    <t>15268373289</t>
  </si>
  <si>
    <t>15268373305</t>
  </si>
  <si>
    <t>61710227</t>
  </si>
  <si>
    <t>15268373486</t>
  </si>
  <si>
    <t>61736393</t>
  </si>
  <si>
    <t>15268373505</t>
  </si>
  <si>
    <t>15268374192</t>
  </si>
  <si>
    <t>58799958</t>
  </si>
  <si>
    <t>15268374231</t>
  </si>
  <si>
    <t>15268374362</t>
  </si>
  <si>
    <t>15268374401</t>
  </si>
  <si>
    <t>55101413</t>
  </si>
  <si>
    <t>15268374664</t>
  </si>
  <si>
    <t>55106786</t>
  </si>
  <si>
    <t>15268375133</t>
  </si>
  <si>
    <t>15268375318</t>
  </si>
  <si>
    <t>15268375319</t>
  </si>
  <si>
    <t>15268375790</t>
  </si>
  <si>
    <t>15268375807</t>
  </si>
  <si>
    <t>15268375917</t>
  </si>
  <si>
    <t>15268377259</t>
  </si>
  <si>
    <t>15268377433</t>
  </si>
  <si>
    <t>15268377659</t>
  </si>
  <si>
    <t>61702222</t>
  </si>
  <si>
    <t>15268377770</t>
  </si>
  <si>
    <t>15268378353</t>
  </si>
  <si>
    <t>55126534</t>
  </si>
  <si>
    <t>15268379236</t>
  </si>
  <si>
    <t>15268380774</t>
  </si>
  <si>
    <t>15268381991</t>
  </si>
  <si>
    <t>15268382203</t>
  </si>
  <si>
    <t>15268382345</t>
  </si>
  <si>
    <t>15268382477</t>
  </si>
  <si>
    <t>15268383196</t>
  </si>
  <si>
    <t>15268383719</t>
  </si>
  <si>
    <t>15268386782</t>
  </si>
  <si>
    <t>15268386887</t>
  </si>
  <si>
    <t>15268387157</t>
  </si>
  <si>
    <t>15268390619</t>
  </si>
  <si>
    <t>15268392559</t>
  </si>
  <si>
    <t>15268394402</t>
  </si>
  <si>
    <t>15268395590</t>
  </si>
  <si>
    <t>15268395738</t>
  </si>
  <si>
    <t>15268397245</t>
  </si>
  <si>
    <t>15268398413</t>
  </si>
  <si>
    <t>15268398959</t>
  </si>
  <si>
    <t>15268399203</t>
  </si>
  <si>
    <t>61702832</t>
  </si>
  <si>
    <t>15268406111</t>
  </si>
  <si>
    <t>15268408659</t>
  </si>
  <si>
    <t>15268408694</t>
  </si>
  <si>
    <t>15268410388</t>
  </si>
  <si>
    <t>61710142</t>
  </si>
  <si>
    <t>15268416474</t>
  </si>
  <si>
    <t>15268417186</t>
  </si>
  <si>
    <t>61680630</t>
  </si>
  <si>
    <t>15268420485</t>
  </si>
  <si>
    <t>15268420890</t>
  </si>
  <si>
    <t>15268421963</t>
  </si>
  <si>
    <t>15268422673</t>
  </si>
  <si>
    <t>15268422726</t>
  </si>
  <si>
    <t>15268422742</t>
  </si>
  <si>
    <t>15268423084</t>
  </si>
  <si>
    <t>61719370</t>
  </si>
  <si>
    <t>15268423947</t>
  </si>
  <si>
    <t>61731515</t>
  </si>
  <si>
    <t>15268424034</t>
  </si>
  <si>
    <t>15268425617</t>
  </si>
  <si>
    <t>15268426868</t>
  </si>
  <si>
    <t>15268427333</t>
  </si>
  <si>
    <t>58800892</t>
  </si>
  <si>
    <t>15268431288</t>
  </si>
  <si>
    <t>15268431435</t>
  </si>
  <si>
    <t>15268431436</t>
  </si>
  <si>
    <t>15268431862</t>
  </si>
  <si>
    <t>15268432568</t>
  </si>
  <si>
    <t>15268432922</t>
  </si>
  <si>
    <t>61714151</t>
  </si>
  <si>
    <t>15268433368</t>
  </si>
  <si>
    <t>15268433945</t>
  </si>
  <si>
    <t>55096770</t>
  </si>
  <si>
    <t>15268434925</t>
  </si>
  <si>
    <t>55103659</t>
  </si>
  <si>
    <t>15268435210</t>
  </si>
  <si>
    <t>55096992</t>
  </si>
  <si>
    <t>15268436046</t>
  </si>
  <si>
    <t>55097029</t>
  </si>
  <si>
    <t>15268436061</t>
  </si>
  <si>
    <t>55100549</t>
  </si>
  <si>
    <t>15268438541</t>
  </si>
  <si>
    <t>55097708</t>
  </si>
  <si>
    <t>15268438863</t>
  </si>
  <si>
    <t>55096702</t>
  </si>
  <si>
    <t>15268439402</t>
  </si>
  <si>
    <t>55097721</t>
  </si>
  <si>
    <t>15268439930</t>
  </si>
  <si>
    <t>55100673</t>
  </si>
  <si>
    <t>15268439979</t>
  </si>
  <si>
    <t>55097028</t>
  </si>
  <si>
    <t>15268440265</t>
  </si>
  <si>
    <t>55105674</t>
  </si>
  <si>
    <t>15268440992</t>
  </si>
  <si>
    <t>55097709</t>
  </si>
  <si>
    <t>15268442020</t>
  </si>
  <si>
    <t>55100677</t>
  </si>
  <si>
    <t>15268442214</t>
  </si>
  <si>
    <t>55097256</t>
  </si>
  <si>
    <t>15268444447</t>
  </si>
  <si>
    <t>55100550</t>
  </si>
  <si>
    <t>15268444559</t>
  </si>
  <si>
    <t>55100632</t>
  </si>
  <si>
    <t>15268444942</t>
  </si>
  <si>
    <t>55097808</t>
  </si>
  <si>
    <t>15268445354</t>
  </si>
  <si>
    <t>55100633</t>
  </si>
  <si>
    <t>15268445806</t>
  </si>
  <si>
    <t>55106793</t>
  </si>
  <si>
    <t>15268446580</t>
  </si>
  <si>
    <t>15268447149</t>
  </si>
  <si>
    <t>15268447695</t>
  </si>
  <si>
    <t>15268448329</t>
  </si>
  <si>
    <t>15268449363</t>
  </si>
  <si>
    <t>15268449395</t>
  </si>
  <si>
    <t>15268449750</t>
  </si>
  <si>
    <t>61732670</t>
  </si>
  <si>
    <t>15268449914</t>
  </si>
  <si>
    <t>15268449998</t>
  </si>
  <si>
    <t>61690527</t>
  </si>
  <si>
    <t>15268450027</t>
  </si>
  <si>
    <t>15268450066</t>
  </si>
  <si>
    <t>15268450941</t>
  </si>
  <si>
    <t>61685812</t>
  </si>
  <si>
    <t>15268451873</t>
  </si>
  <si>
    <t>15268452009</t>
  </si>
  <si>
    <t>15268452804</t>
  </si>
  <si>
    <t>15268453254</t>
  </si>
  <si>
    <t>55106274</t>
  </si>
  <si>
    <t>15268453292</t>
  </si>
  <si>
    <t>15268455034</t>
  </si>
  <si>
    <t>55106078</t>
  </si>
  <si>
    <t>15268455189</t>
  </si>
  <si>
    <t>55109052</t>
  </si>
  <si>
    <t>15268455390</t>
  </si>
  <si>
    <t>55105879</t>
  </si>
  <si>
    <t>61727040</t>
  </si>
  <si>
    <t>15268456360</t>
  </si>
  <si>
    <t>55106275</t>
  </si>
  <si>
    <t>15268456677</t>
  </si>
  <si>
    <t>55108207</t>
  </si>
  <si>
    <t>15268457837</t>
  </si>
  <si>
    <t>15268457956</t>
  </si>
  <si>
    <t>15268458023</t>
  </si>
  <si>
    <t>61716049</t>
  </si>
  <si>
    <t>15268458416</t>
  </si>
  <si>
    <t>15268458989</t>
  </si>
  <si>
    <t>15268459133</t>
  </si>
  <si>
    <t>61720535</t>
  </si>
  <si>
    <t>15268459814</t>
  </si>
  <si>
    <t>15268459855</t>
  </si>
  <si>
    <t>61698368</t>
  </si>
  <si>
    <t>15268459939</t>
  </si>
  <si>
    <t>15268460215</t>
  </si>
  <si>
    <t>15268460247</t>
  </si>
  <si>
    <t>61737976</t>
  </si>
  <si>
    <t>15268460333</t>
  </si>
  <si>
    <t>15268460502</t>
  </si>
  <si>
    <t>61704817</t>
  </si>
  <si>
    <t>15268462977</t>
  </si>
  <si>
    <t>15268463668</t>
  </si>
  <si>
    <t>15268465168</t>
  </si>
  <si>
    <t>61732490</t>
  </si>
  <si>
    <t>15268465324</t>
  </si>
  <si>
    <t>15268465402</t>
  </si>
  <si>
    <t>15268466108</t>
  </si>
  <si>
    <t>15268468243</t>
  </si>
  <si>
    <t>15268468245</t>
  </si>
  <si>
    <t>15268469223</t>
  </si>
  <si>
    <t>15268469294</t>
  </si>
  <si>
    <t>15268470701</t>
  </si>
  <si>
    <t>15268476342</t>
  </si>
  <si>
    <t>61727219</t>
  </si>
  <si>
    <t>15268477396</t>
  </si>
  <si>
    <t>15268479867</t>
  </si>
  <si>
    <t>15268480411</t>
  </si>
  <si>
    <t>15268480439</t>
  </si>
  <si>
    <t>61732253</t>
  </si>
  <si>
    <t>15268482384</t>
  </si>
  <si>
    <t>15268483454</t>
  </si>
  <si>
    <t>15268486420</t>
  </si>
  <si>
    <t>15268486528</t>
  </si>
  <si>
    <t>15268486608</t>
  </si>
  <si>
    <t>15268486677</t>
  </si>
  <si>
    <t>15268487830</t>
  </si>
  <si>
    <t>15268488329</t>
  </si>
  <si>
    <t>15268488639</t>
  </si>
  <si>
    <t>15268489291</t>
  </si>
  <si>
    <t>15268489449</t>
  </si>
  <si>
    <t>58800039</t>
  </si>
  <si>
    <t>15268489556</t>
  </si>
  <si>
    <t>15268491941</t>
  </si>
  <si>
    <t>58788102</t>
  </si>
  <si>
    <t>15268492892</t>
  </si>
  <si>
    <t>15268492952</t>
  </si>
  <si>
    <t>15268493047</t>
  </si>
  <si>
    <t>15268493051</t>
  </si>
  <si>
    <t>15268493074</t>
  </si>
  <si>
    <t>61724933</t>
  </si>
  <si>
    <t>15268493128</t>
  </si>
  <si>
    <t>15268493760</t>
  </si>
  <si>
    <t>15268493801</t>
  </si>
  <si>
    <t>15268494046</t>
  </si>
  <si>
    <t>15268494113</t>
  </si>
  <si>
    <t>61692878</t>
  </si>
  <si>
    <t>15268494259</t>
  </si>
  <si>
    <t>58801075</t>
  </si>
  <si>
    <t>15268494550</t>
  </si>
  <si>
    <t>15268494552</t>
  </si>
  <si>
    <t>15268495076</t>
  </si>
  <si>
    <t>61708892</t>
  </si>
  <si>
    <t>15268495527</t>
  </si>
  <si>
    <t>61732155</t>
  </si>
  <si>
    <t>15268495550</t>
  </si>
  <si>
    <t>15268496062</t>
  </si>
  <si>
    <t>15268496267</t>
  </si>
  <si>
    <t>15268496307</t>
  </si>
  <si>
    <t>61722255</t>
  </si>
  <si>
    <t>15268496393</t>
  </si>
  <si>
    <t>15268496470</t>
  </si>
  <si>
    <t>15268496644</t>
  </si>
  <si>
    <t>15268496703</t>
  </si>
  <si>
    <t>15268496999</t>
  </si>
  <si>
    <t>15268497059</t>
  </si>
  <si>
    <t>15268497514</t>
  </si>
  <si>
    <t>61679829</t>
  </si>
  <si>
    <t>15268498064</t>
  </si>
  <si>
    <t>15268504227</t>
  </si>
  <si>
    <t>15268504732</t>
  </si>
  <si>
    <t>15268504806</t>
  </si>
  <si>
    <t>15268504889</t>
  </si>
  <si>
    <t>15268505181</t>
  </si>
  <si>
    <t>15268506523</t>
  </si>
  <si>
    <t>15268507871</t>
  </si>
  <si>
    <t>15268511134</t>
  </si>
  <si>
    <t>15268512909</t>
  </si>
  <si>
    <t>15268512911</t>
  </si>
  <si>
    <t>15268514477</t>
  </si>
  <si>
    <t>58801324</t>
  </si>
  <si>
    <t>15268514991</t>
  </si>
  <si>
    <t>15268516062</t>
  </si>
  <si>
    <t>15268516612</t>
  </si>
  <si>
    <t>15268516774</t>
  </si>
  <si>
    <t>58790211</t>
  </si>
  <si>
    <t>15268517107</t>
  </si>
  <si>
    <t>15268517154</t>
  </si>
  <si>
    <t>15268517155</t>
  </si>
  <si>
    <t>15268517439</t>
  </si>
  <si>
    <t>61675130</t>
  </si>
  <si>
    <t>15268517496</t>
  </si>
  <si>
    <t>15268517498</t>
  </si>
  <si>
    <t>15268517688</t>
  </si>
  <si>
    <t>15268517884</t>
  </si>
  <si>
    <t>15268517889</t>
  </si>
  <si>
    <t>58798925</t>
  </si>
  <si>
    <t>15268517890</t>
  </si>
  <si>
    <t>15268518019</t>
  </si>
  <si>
    <t>15268518306</t>
  </si>
  <si>
    <t>15268518588</t>
  </si>
  <si>
    <t>15268518784</t>
  </si>
  <si>
    <t>15268518855</t>
  </si>
  <si>
    <t>15268521476</t>
  </si>
  <si>
    <t>15268521785</t>
  </si>
  <si>
    <t>15268521921</t>
  </si>
  <si>
    <t>15268522984</t>
  </si>
  <si>
    <t>15268523020</t>
  </si>
  <si>
    <t>61737398</t>
  </si>
  <si>
    <t>15268523057</t>
  </si>
  <si>
    <t>15268523330</t>
  </si>
  <si>
    <t>15268523753</t>
  </si>
  <si>
    <t>15268525794</t>
  </si>
  <si>
    <t>15268526658</t>
  </si>
  <si>
    <t>15268526928</t>
  </si>
  <si>
    <t>15268526995</t>
  </si>
  <si>
    <t>15268527298</t>
  </si>
  <si>
    <t>15268527844</t>
  </si>
  <si>
    <t>61703921</t>
  </si>
  <si>
    <t>15268527978</t>
  </si>
  <si>
    <t>15268529443</t>
  </si>
  <si>
    <t>55106012</t>
  </si>
  <si>
    <t>15268530437</t>
  </si>
  <si>
    <t>55105755</t>
  </si>
  <si>
    <t>15268530585</t>
  </si>
  <si>
    <t>55109971</t>
  </si>
  <si>
    <t>15268530587</t>
  </si>
  <si>
    <t>55109125</t>
  </si>
  <si>
    <t>15268530877</t>
  </si>
  <si>
    <t>15268530878</t>
  </si>
  <si>
    <t>55106702</t>
  </si>
  <si>
    <t>15268531467</t>
  </si>
  <si>
    <t>55105033</t>
  </si>
  <si>
    <t>15268531781</t>
  </si>
  <si>
    <t>15268532366</t>
  </si>
  <si>
    <t>15268532548</t>
  </si>
  <si>
    <t>55104053</t>
  </si>
  <si>
    <t>15268532563</t>
  </si>
  <si>
    <t>55104181</t>
  </si>
  <si>
    <t>15268533499</t>
  </si>
  <si>
    <t>55103713</t>
  </si>
  <si>
    <t>15268533521</t>
  </si>
  <si>
    <t>55103747</t>
  </si>
  <si>
    <t>15268533570</t>
  </si>
  <si>
    <t>61696677</t>
  </si>
  <si>
    <t>15268534219</t>
  </si>
  <si>
    <t>55105977</t>
  </si>
  <si>
    <t>15268537462</t>
  </si>
  <si>
    <t>55103831</t>
  </si>
  <si>
    <t>15268537844</t>
  </si>
  <si>
    <t>15268538263</t>
  </si>
  <si>
    <t>15268538339</t>
  </si>
  <si>
    <t>55105758</t>
  </si>
  <si>
    <t>15268538913</t>
  </si>
  <si>
    <t>55109165</t>
  </si>
  <si>
    <t>15268539336</t>
  </si>
  <si>
    <t>15268539338</t>
  </si>
  <si>
    <t>55109967</t>
  </si>
  <si>
    <t>15268541143</t>
  </si>
  <si>
    <t>61722241</t>
  </si>
  <si>
    <t>15268541256</t>
  </si>
  <si>
    <t>15268541530</t>
  </si>
  <si>
    <t>15268542137</t>
  </si>
  <si>
    <t>55114407</t>
  </si>
  <si>
    <t>15268543153</t>
  </si>
  <si>
    <t>61704813</t>
  </si>
  <si>
    <t>15268543245</t>
  </si>
  <si>
    <t>15268543301</t>
  </si>
  <si>
    <t>58799050</t>
  </si>
  <si>
    <t>15268544067</t>
  </si>
  <si>
    <t>15268544161</t>
  </si>
  <si>
    <t>15268544676</t>
  </si>
  <si>
    <t>15268544735</t>
  </si>
  <si>
    <t>15268544737</t>
  </si>
  <si>
    <t>15268544959</t>
  </si>
  <si>
    <t>15268545407</t>
  </si>
  <si>
    <t>15268545427</t>
  </si>
  <si>
    <t>15268545837</t>
  </si>
  <si>
    <t>58809562</t>
  </si>
  <si>
    <t>15268546029</t>
  </si>
  <si>
    <t>15268547044</t>
  </si>
  <si>
    <t>15268547307</t>
  </si>
  <si>
    <t>61708120</t>
  </si>
  <si>
    <t>15268547533</t>
  </si>
  <si>
    <t>61716526</t>
  </si>
  <si>
    <t>15268548631</t>
  </si>
  <si>
    <t>15268549010</t>
  </si>
  <si>
    <t>15268549203</t>
  </si>
  <si>
    <t>61688145</t>
  </si>
  <si>
    <t>15268549525</t>
  </si>
  <si>
    <t>58789217</t>
  </si>
  <si>
    <t>15268551477</t>
  </si>
  <si>
    <t>15268552294</t>
  </si>
  <si>
    <t>15268552651</t>
  </si>
  <si>
    <t>15268552788</t>
  </si>
  <si>
    <t>55116262</t>
  </si>
  <si>
    <t>15268552979</t>
  </si>
  <si>
    <t>55118658</t>
  </si>
  <si>
    <t>15268553412</t>
  </si>
  <si>
    <t>55118515</t>
  </si>
  <si>
    <t>15268553562</t>
  </si>
  <si>
    <t>55118656</t>
  </si>
  <si>
    <t>15268554202</t>
  </si>
  <si>
    <t>55114800</t>
  </si>
  <si>
    <t>15268554423</t>
  </si>
  <si>
    <t>55119015</t>
  </si>
  <si>
    <t>15268555009</t>
  </si>
  <si>
    <t>55114819</t>
  </si>
  <si>
    <t>15268556489</t>
  </si>
  <si>
    <t>15268556553</t>
  </si>
  <si>
    <t>15268556600</t>
  </si>
  <si>
    <t>15268556693</t>
  </si>
  <si>
    <t>15268556980</t>
  </si>
  <si>
    <t>15268557067</t>
  </si>
  <si>
    <t>15268558664</t>
  </si>
  <si>
    <t>58791194</t>
  </si>
  <si>
    <t>15268558801</t>
  </si>
  <si>
    <t>15268559291</t>
  </si>
  <si>
    <t>15268560132</t>
  </si>
  <si>
    <t>15268560524</t>
  </si>
  <si>
    <t>15268560644</t>
  </si>
  <si>
    <t>15268561081</t>
  </si>
  <si>
    <t>15268561284</t>
  </si>
  <si>
    <t>15268561450</t>
  </si>
  <si>
    <t>15268562243</t>
  </si>
  <si>
    <t>58798251</t>
  </si>
  <si>
    <t>15268562447</t>
  </si>
  <si>
    <t>15268563688</t>
  </si>
  <si>
    <t>15268584970</t>
  </si>
  <si>
    <t>15268585042</t>
  </si>
  <si>
    <t>61713852</t>
  </si>
  <si>
    <t>15268585456</t>
  </si>
  <si>
    <t>55127405</t>
  </si>
  <si>
    <t>15268593964</t>
  </si>
  <si>
    <t>15268594677</t>
  </si>
  <si>
    <t>15268598586</t>
  </si>
  <si>
    <t>15268598613</t>
  </si>
  <si>
    <t>15268600202</t>
  </si>
  <si>
    <t>15268601222</t>
  </si>
  <si>
    <t>15268601588</t>
  </si>
  <si>
    <t>15268602879</t>
  </si>
  <si>
    <t>55117149</t>
  </si>
  <si>
    <t>15268603460</t>
  </si>
  <si>
    <t>55111809</t>
  </si>
  <si>
    <t>15268603835</t>
  </si>
  <si>
    <t>55117525</t>
  </si>
  <si>
    <t>15268606704</t>
  </si>
  <si>
    <t>55117150</t>
  </si>
  <si>
    <t>15268606769</t>
  </si>
  <si>
    <t>55118148</t>
  </si>
  <si>
    <t>15268607063</t>
  </si>
  <si>
    <t>55117132</t>
  </si>
  <si>
    <t>15268607552</t>
  </si>
  <si>
    <t>55112818</t>
  </si>
  <si>
    <t>15268608297</t>
  </si>
  <si>
    <t>15268608303</t>
  </si>
  <si>
    <t>15268608997</t>
  </si>
  <si>
    <t>15268612200</t>
  </si>
  <si>
    <t>58790419</t>
  </si>
  <si>
    <t>15268612568</t>
  </si>
  <si>
    <t>15268613094</t>
  </si>
  <si>
    <t>15268613212</t>
  </si>
  <si>
    <t>15268614503</t>
  </si>
  <si>
    <t>15268617559</t>
  </si>
  <si>
    <t>15268622024</t>
  </si>
  <si>
    <t>15268622501</t>
  </si>
  <si>
    <t>15268622672</t>
  </si>
  <si>
    <t>15268622732</t>
  </si>
  <si>
    <t>15268622849</t>
  </si>
  <si>
    <t>61683463</t>
  </si>
  <si>
    <t>15268622870</t>
  </si>
  <si>
    <t>15268626332</t>
  </si>
  <si>
    <t>15268626450</t>
  </si>
  <si>
    <t>15268628268</t>
  </si>
  <si>
    <t>61714512</t>
  </si>
  <si>
    <t>55114490</t>
  </si>
  <si>
    <t>15268628914</t>
  </si>
  <si>
    <t>55118269</t>
  </si>
  <si>
    <t>15268628970</t>
  </si>
  <si>
    <t>55118438</t>
  </si>
  <si>
    <t>15268629367</t>
  </si>
  <si>
    <t>15268629514</t>
  </si>
  <si>
    <t>58802024</t>
  </si>
  <si>
    <t>15268629788</t>
  </si>
  <si>
    <t>60833689</t>
  </si>
  <si>
    <t>55123822</t>
  </si>
  <si>
    <t>15268630198</t>
  </si>
  <si>
    <t>15268632070</t>
  </si>
  <si>
    <t>58798380</t>
  </si>
  <si>
    <t>15268633288</t>
  </si>
  <si>
    <t>57805649</t>
  </si>
  <si>
    <t>15268633304</t>
  </si>
  <si>
    <t>57805655</t>
  </si>
  <si>
    <t>15268635128</t>
  </si>
  <si>
    <t>15268635518</t>
  </si>
  <si>
    <t>15268635885</t>
  </si>
  <si>
    <t>61704890</t>
  </si>
  <si>
    <t>55121620</t>
  </si>
  <si>
    <t>15268636205</t>
  </si>
  <si>
    <t>15268636218</t>
  </si>
  <si>
    <t>61728812</t>
  </si>
  <si>
    <t>15268636531</t>
  </si>
  <si>
    <t>15268636594</t>
  </si>
  <si>
    <t>15268636634</t>
  </si>
  <si>
    <t>15268637014</t>
  </si>
  <si>
    <t>61702919</t>
  </si>
  <si>
    <t>15268637220</t>
  </si>
  <si>
    <t>15268637250</t>
  </si>
  <si>
    <t>15268637419</t>
  </si>
  <si>
    <t>15268637978</t>
  </si>
  <si>
    <t>15268638171</t>
  </si>
  <si>
    <t>15268638438</t>
  </si>
  <si>
    <t>15268638607</t>
  </si>
  <si>
    <t>61689467</t>
  </si>
  <si>
    <t>15268638994</t>
  </si>
  <si>
    <t>15268639471</t>
  </si>
  <si>
    <t>15268639478</t>
  </si>
  <si>
    <t>15268640104</t>
  </si>
  <si>
    <t>15268640728</t>
  </si>
  <si>
    <t>15268641185</t>
  </si>
  <si>
    <t>15268641260</t>
  </si>
  <si>
    <t>58801978</t>
  </si>
  <si>
    <t>15268641365</t>
  </si>
  <si>
    <t>15268641367</t>
  </si>
  <si>
    <t>15268641544</t>
  </si>
  <si>
    <t>15268641618</t>
  </si>
  <si>
    <t>15268641774</t>
  </si>
  <si>
    <t>55122946</t>
  </si>
  <si>
    <t>15268641839</t>
  </si>
  <si>
    <t>15268641859</t>
  </si>
  <si>
    <t>15268641982</t>
  </si>
  <si>
    <t>15268642388</t>
  </si>
  <si>
    <t>61691298</t>
  </si>
  <si>
    <t>15268642426</t>
  </si>
  <si>
    <t>15268642447</t>
  </si>
  <si>
    <t>15268642755</t>
  </si>
  <si>
    <t>15268643193</t>
  </si>
  <si>
    <t>15268643588</t>
  </si>
  <si>
    <t>15268643762</t>
  </si>
  <si>
    <t>15268645509</t>
  </si>
  <si>
    <t>57805739</t>
  </si>
  <si>
    <t>55379899</t>
  </si>
  <si>
    <t>15268645706</t>
  </si>
  <si>
    <t>55126403</t>
  </si>
  <si>
    <t>15268645942</t>
  </si>
  <si>
    <t>55123333</t>
  </si>
  <si>
    <t>15268645966</t>
  </si>
  <si>
    <t>55126160</t>
  </si>
  <si>
    <t>15268646163</t>
  </si>
  <si>
    <t>55123611</t>
  </si>
  <si>
    <t>15268646332</t>
  </si>
  <si>
    <t>55123896</t>
  </si>
  <si>
    <t>15268646368</t>
  </si>
  <si>
    <t>15268646536</t>
  </si>
  <si>
    <t>15268646537</t>
  </si>
  <si>
    <t>15268646567</t>
  </si>
  <si>
    <t>55127371</t>
  </si>
  <si>
    <t>15268646601</t>
  </si>
  <si>
    <t>61678419</t>
  </si>
  <si>
    <t>15268646690</t>
  </si>
  <si>
    <t>15268646776</t>
  </si>
  <si>
    <t>15268649606</t>
  </si>
  <si>
    <t>15268650200</t>
  </si>
  <si>
    <t>15268650939</t>
  </si>
  <si>
    <t>15268650940</t>
  </si>
  <si>
    <t>15268651098</t>
  </si>
  <si>
    <t>15268651893</t>
  </si>
  <si>
    <t>15268651969</t>
  </si>
  <si>
    <t>15268651970</t>
  </si>
  <si>
    <t>61710295</t>
  </si>
  <si>
    <t>15268652462</t>
  </si>
  <si>
    <t>15268652993</t>
  </si>
  <si>
    <t>15268654595</t>
  </si>
  <si>
    <t>15268654952</t>
  </si>
  <si>
    <t>15268654953</t>
  </si>
  <si>
    <t>15268654954</t>
  </si>
  <si>
    <t>15268655061</t>
  </si>
  <si>
    <t>15268656742</t>
  </si>
  <si>
    <t>15268657563</t>
  </si>
  <si>
    <t>15268658484</t>
  </si>
  <si>
    <t>15268661059</t>
  </si>
  <si>
    <t>15268661645</t>
  </si>
  <si>
    <t>15268661648</t>
  </si>
  <si>
    <t>15268661800</t>
  </si>
  <si>
    <t>15268670215</t>
  </si>
  <si>
    <t>15268672948</t>
  </si>
  <si>
    <t>15268673182</t>
  </si>
  <si>
    <t>15268673700</t>
  </si>
  <si>
    <t>15268673845</t>
  </si>
  <si>
    <t>58797754</t>
  </si>
  <si>
    <t>15268674255</t>
  </si>
  <si>
    <t>15268675257</t>
  </si>
  <si>
    <t>61686319</t>
  </si>
  <si>
    <t>15268675387</t>
  </si>
  <si>
    <t>15268676039</t>
  </si>
  <si>
    <t>15268676241</t>
  </si>
  <si>
    <t>15268692352</t>
  </si>
  <si>
    <t>15268692369</t>
  </si>
  <si>
    <t>15268692475</t>
  </si>
  <si>
    <t>58790225</t>
  </si>
  <si>
    <t>15268694539</t>
  </si>
  <si>
    <t>15268694755</t>
  </si>
  <si>
    <t>15268700018</t>
  </si>
  <si>
    <t>15268700435</t>
  </si>
  <si>
    <t>15268700523</t>
  </si>
  <si>
    <t>58801916</t>
  </si>
  <si>
    <t>15268701195</t>
  </si>
  <si>
    <t>15268703161</t>
  </si>
  <si>
    <t>15268703940</t>
  </si>
  <si>
    <t>15268704270</t>
  </si>
  <si>
    <t>15268705588</t>
  </si>
  <si>
    <t>61700589</t>
  </si>
  <si>
    <t>15268706325</t>
  </si>
  <si>
    <t>15268706634</t>
  </si>
  <si>
    <t>15268707015</t>
  </si>
  <si>
    <t>61675647</t>
  </si>
  <si>
    <t>15268710457</t>
  </si>
  <si>
    <t>61697657</t>
  </si>
  <si>
    <t>15268712780</t>
  </si>
  <si>
    <t>61691551</t>
  </si>
  <si>
    <t>15268716010</t>
  </si>
  <si>
    <t>55122870</t>
  </si>
  <si>
    <t>15268719174</t>
  </si>
  <si>
    <t>55128136</t>
  </si>
  <si>
    <t>15268719543</t>
  </si>
  <si>
    <t>55121792</t>
  </si>
  <si>
    <t>15268719544</t>
  </si>
  <si>
    <t>55120428</t>
  </si>
  <si>
    <t>15268719874</t>
  </si>
  <si>
    <t>55122093</t>
  </si>
  <si>
    <t>15268720383</t>
  </si>
  <si>
    <t>55122804</t>
  </si>
  <si>
    <t>15268722056</t>
  </si>
  <si>
    <t>55126535</t>
  </si>
  <si>
    <t>15268722289</t>
  </si>
  <si>
    <t>55128171</t>
  </si>
  <si>
    <t>15268722475</t>
  </si>
  <si>
    <t>55126996</t>
  </si>
  <si>
    <t>15268724271</t>
  </si>
  <si>
    <t>55122091</t>
  </si>
  <si>
    <t>15268724824</t>
  </si>
  <si>
    <t>55122092</t>
  </si>
  <si>
    <t>15268724858</t>
  </si>
  <si>
    <t>55122095</t>
  </si>
  <si>
    <t>15268725078</t>
  </si>
  <si>
    <t>55122453</t>
  </si>
  <si>
    <t>15268726202</t>
  </si>
  <si>
    <t>55124684</t>
  </si>
  <si>
    <t>15268728986</t>
  </si>
  <si>
    <t>58788980</t>
  </si>
  <si>
    <t>15268729748</t>
  </si>
  <si>
    <t>61698764</t>
  </si>
  <si>
    <t>15268731525</t>
  </si>
  <si>
    <t>15268732450</t>
  </si>
  <si>
    <t>61699492</t>
  </si>
  <si>
    <t>15268732452</t>
  </si>
  <si>
    <t>55122877</t>
  </si>
  <si>
    <t>15268734134</t>
  </si>
  <si>
    <t>57808634</t>
  </si>
  <si>
    <t>15268734395</t>
  </si>
  <si>
    <t>15268734898</t>
  </si>
  <si>
    <t>15268735144</t>
  </si>
  <si>
    <t>15268735273</t>
  </si>
  <si>
    <t>58801116</t>
  </si>
  <si>
    <t>15268736034</t>
  </si>
  <si>
    <t>15268737370</t>
  </si>
  <si>
    <t>15268737544</t>
  </si>
  <si>
    <t>15268737676</t>
  </si>
  <si>
    <t>15268737976</t>
  </si>
  <si>
    <t>15268738052</t>
  </si>
  <si>
    <t>15268738193</t>
  </si>
  <si>
    <t>15268738514</t>
  </si>
  <si>
    <t>15268739172</t>
  </si>
  <si>
    <t>55135050</t>
  </si>
  <si>
    <t>15268740260</t>
  </si>
  <si>
    <t>55138347</t>
  </si>
  <si>
    <t>15268740423</t>
  </si>
  <si>
    <t>55140877</t>
  </si>
  <si>
    <t>15268740562</t>
  </si>
  <si>
    <t>61716980</t>
  </si>
  <si>
    <t>15268740583</t>
  </si>
  <si>
    <t>15268740725</t>
  </si>
  <si>
    <t>15268740950</t>
  </si>
  <si>
    <t>61735511</t>
  </si>
  <si>
    <t>15268741005</t>
  </si>
  <si>
    <t>15268741172</t>
  </si>
  <si>
    <t>15268741173</t>
  </si>
  <si>
    <t>15268741195</t>
  </si>
  <si>
    <t>55143068</t>
  </si>
  <si>
    <t>15268741197</t>
  </si>
  <si>
    <t>15268741285</t>
  </si>
  <si>
    <t>15268741325</t>
  </si>
  <si>
    <t>15268741364</t>
  </si>
  <si>
    <t>15268741383</t>
  </si>
  <si>
    <t>61707744</t>
  </si>
  <si>
    <t>15268741472</t>
  </si>
  <si>
    <t>15268741526</t>
  </si>
  <si>
    <t>15268741617</t>
  </si>
  <si>
    <t>15268741719</t>
  </si>
  <si>
    <t>15268742323</t>
  </si>
  <si>
    <t>15268742325</t>
  </si>
  <si>
    <t>15268742414</t>
  </si>
  <si>
    <t>15268743440</t>
  </si>
  <si>
    <t>15268743717</t>
  </si>
  <si>
    <t>15268744189</t>
  </si>
  <si>
    <t>15268744874</t>
  </si>
  <si>
    <t>15268744935</t>
  </si>
  <si>
    <t>55143237</t>
  </si>
  <si>
    <t>15268744971</t>
  </si>
  <si>
    <t>15268745179</t>
  </si>
  <si>
    <t>55144518</t>
  </si>
  <si>
    <t>15268745868</t>
  </si>
  <si>
    <t>15268745945</t>
  </si>
  <si>
    <t>58801736</t>
  </si>
  <si>
    <t>15268745960</t>
  </si>
  <si>
    <t>15268745964</t>
  </si>
  <si>
    <t>15268746411</t>
  </si>
  <si>
    <t>55144599</t>
  </si>
  <si>
    <t>15268746574</t>
  </si>
  <si>
    <t>61727901</t>
  </si>
  <si>
    <t>15268746804</t>
  </si>
  <si>
    <t>15268747110</t>
  </si>
  <si>
    <t>15268747179</t>
  </si>
  <si>
    <t>15268747268</t>
  </si>
  <si>
    <t>15268747346</t>
  </si>
  <si>
    <t>15268747348</t>
  </si>
  <si>
    <t>15268747374</t>
  </si>
  <si>
    <t>15268747379</t>
  </si>
  <si>
    <t>61683869</t>
  </si>
  <si>
    <t>15268747475</t>
  </si>
  <si>
    <t>15268747552</t>
  </si>
  <si>
    <t>15268747914</t>
  </si>
  <si>
    <t>58797706</t>
  </si>
  <si>
    <t>15268748627</t>
  </si>
  <si>
    <t>15268748708</t>
  </si>
  <si>
    <t>15268748982</t>
  </si>
  <si>
    <t>15268749041</t>
  </si>
  <si>
    <t>15268749128</t>
  </si>
  <si>
    <t>55139574</t>
  </si>
  <si>
    <t>15268749130</t>
  </si>
  <si>
    <t>55139436</t>
  </si>
  <si>
    <t>15268749132</t>
  </si>
  <si>
    <t>15268749133</t>
  </si>
  <si>
    <t>15268749161</t>
  </si>
  <si>
    <t>15268749215</t>
  </si>
  <si>
    <t>15268749303</t>
  </si>
  <si>
    <t>15268749308</t>
  </si>
  <si>
    <t>15268749333</t>
  </si>
  <si>
    <t>15268749396</t>
  </si>
  <si>
    <t>15268749588</t>
  </si>
  <si>
    <t>61676932</t>
  </si>
  <si>
    <t>15268749590</t>
  </si>
  <si>
    <t>15268749708</t>
  </si>
  <si>
    <t>15268749780</t>
  </si>
  <si>
    <t>15268752976</t>
  </si>
  <si>
    <t>15268753080</t>
  </si>
  <si>
    <t>15268753726</t>
  </si>
  <si>
    <t>15268761610</t>
  </si>
  <si>
    <t>15268767578</t>
  </si>
  <si>
    <t>61690610</t>
  </si>
  <si>
    <t>15268770479</t>
  </si>
  <si>
    <t>15268775437</t>
  </si>
  <si>
    <t>15268777513</t>
  </si>
  <si>
    <t>15268791826</t>
  </si>
  <si>
    <t>15268792005</t>
  </si>
  <si>
    <t>58789381</t>
  </si>
  <si>
    <t>15268792302</t>
  </si>
  <si>
    <t>15268793050</t>
  </si>
  <si>
    <t>15268796199</t>
  </si>
  <si>
    <t>15268802808</t>
  </si>
  <si>
    <t>15268804678</t>
  </si>
  <si>
    <t>61711895</t>
  </si>
  <si>
    <t>15268806012</t>
  </si>
  <si>
    <t>15268807663</t>
  </si>
  <si>
    <t>15268808785</t>
  </si>
  <si>
    <t>55134500</t>
  </si>
  <si>
    <t>15268810301</t>
  </si>
  <si>
    <t>55130367</t>
  </si>
  <si>
    <t>15268812800</t>
  </si>
  <si>
    <t>55136240</t>
  </si>
  <si>
    <t>15268813120</t>
  </si>
  <si>
    <t>55136352</t>
  </si>
  <si>
    <t>15268813988</t>
  </si>
  <si>
    <t>55129311</t>
  </si>
  <si>
    <t>15268814014</t>
  </si>
  <si>
    <t>55135704</t>
  </si>
  <si>
    <t>15268815984</t>
  </si>
  <si>
    <t>55130352</t>
  </si>
  <si>
    <t>15268816664</t>
  </si>
  <si>
    <t>55135088</t>
  </si>
  <si>
    <t>15268816832</t>
  </si>
  <si>
    <t>55129993</t>
  </si>
  <si>
    <t>15268817840</t>
  </si>
  <si>
    <t>15268818087</t>
  </si>
  <si>
    <t>15268818187</t>
  </si>
  <si>
    <t>58788090</t>
  </si>
  <si>
    <t>15268818268</t>
  </si>
  <si>
    <t>15268818827</t>
  </si>
  <si>
    <t>15268819032</t>
  </si>
  <si>
    <t>55150680</t>
  </si>
  <si>
    <t>15268820251</t>
  </si>
  <si>
    <t>15268820252</t>
  </si>
  <si>
    <t>15268823107</t>
  </si>
  <si>
    <t>15268823617</t>
  </si>
  <si>
    <t>15268824116</t>
  </si>
  <si>
    <t>55131107</t>
  </si>
  <si>
    <t>15268825126</t>
  </si>
  <si>
    <t>15268826161</t>
  </si>
  <si>
    <t>55135566</t>
  </si>
  <si>
    <t>15268826427</t>
  </si>
  <si>
    <t>55135542</t>
  </si>
  <si>
    <t>15268826553</t>
  </si>
  <si>
    <t>55143345</t>
  </si>
  <si>
    <t>15268826576</t>
  </si>
  <si>
    <t>55135502</t>
  </si>
  <si>
    <t>15268827183</t>
  </si>
  <si>
    <t>61689131</t>
  </si>
  <si>
    <t>15268828711</t>
  </si>
  <si>
    <t>15268828842</t>
  </si>
  <si>
    <t>55153132</t>
  </si>
  <si>
    <t>15268829664</t>
  </si>
  <si>
    <t>61706277</t>
  </si>
  <si>
    <t>15268829665</t>
  </si>
  <si>
    <t>61700212</t>
  </si>
  <si>
    <t>15268831191</t>
  </si>
  <si>
    <t>62170128</t>
  </si>
  <si>
    <t>15268831283</t>
  </si>
  <si>
    <t>15268831318</t>
  </si>
  <si>
    <t>15268831767</t>
  </si>
  <si>
    <t>15268832210</t>
  </si>
  <si>
    <t>61684993</t>
  </si>
  <si>
    <t>15268832494</t>
  </si>
  <si>
    <t>58787605</t>
  </si>
  <si>
    <t>15268832528</t>
  </si>
  <si>
    <t>61722693</t>
  </si>
  <si>
    <t>15268832742</t>
  </si>
  <si>
    <t>15268832743</t>
  </si>
  <si>
    <t>15268833291</t>
  </si>
  <si>
    <t>15268833994</t>
  </si>
  <si>
    <t>15268834720</t>
  </si>
  <si>
    <t>55140991</t>
  </si>
  <si>
    <t>15268835072</t>
  </si>
  <si>
    <t>55141016</t>
  </si>
  <si>
    <t>15268835973</t>
  </si>
  <si>
    <t>55141000</t>
  </si>
  <si>
    <t>15268836330</t>
  </si>
  <si>
    <t>55141004</t>
  </si>
  <si>
    <t>15268836521</t>
  </si>
  <si>
    <t>15268836918</t>
  </si>
  <si>
    <t>55140296</t>
  </si>
  <si>
    <t>15268837056</t>
  </si>
  <si>
    <t>61733446</t>
  </si>
  <si>
    <t>15268837310</t>
  </si>
  <si>
    <t>61686029</t>
  </si>
  <si>
    <t>15268837322</t>
  </si>
  <si>
    <t>15268839614</t>
  </si>
  <si>
    <t>15268839771</t>
  </si>
  <si>
    <t>15268839779</t>
  </si>
  <si>
    <t>15268839780</t>
  </si>
  <si>
    <t>58789280</t>
  </si>
  <si>
    <t>15268840299</t>
  </si>
  <si>
    <t>15268840701</t>
  </si>
  <si>
    <t>15268841355</t>
  </si>
  <si>
    <t>15268841356</t>
  </si>
  <si>
    <t>61718967</t>
  </si>
  <si>
    <t>15268841505</t>
  </si>
  <si>
    <t>55150537</t>
  </si>
  <si>
    <t>15268841625</t>
  </si>
  <si>
    <t>60833692</t>
  </si>
  <si>
    <t>55150531</t>
  </si>
  <si>
    <t>15268842657</t>
  </si>
  <si>
    <t>61733015</t>
  </si>
  <si>
    <t>15268842735</t>
  </si>
  <si>
    <t>61710544</t>
  </si>
  <si>
    <t>15268843563</t>
  </si>
  <si>
    <t>61733663</t>
  </si>
  <si>
    <t>15268844359</t>
  </si>
  <si>
    <t>61684600</t>
  </si>
  <si>
    <t>15268844421</t>
  </si>
  <si>
    <t>15268844634</t>
  </si>
  <si>
    <t>15268845024</t>
  </si>
  <si>
    <t>55150728</t>
  </si>
  <si>
    <t>15268845074</t>
  </si>
  <si>
    <t>15268845240</t>
  </si>
  <si>
    <t>15268845819</t>
  </si>
  <si>
    <t>15268846204</t>
  </si>
  <si>
    <t>15268846459</t>
  </si>
  <si>
    <t>61689972</t>
  </si>
  <si>
    <t>15268847394</t>
  </si>
  <si>
    <t>58798479</t>
  </si>
  <si>
    <t>15268848027</t>
  </si>
  <si>
    <t>15268848044</t>
  </si>
  <si>
    <t>15268848943</t>
  </si>
  <si>
    <t>15268849725</t>
  </si>
  <si>
    <t>15268856333</t>
  </si>
  <si>
    <t>15268859114</t>
  </si>
  <si>
    <t>58787877</t>
  </si>
  <si>
    <t>15268860381</t>
  </si>
  <si>
    <t>15268860500</t>
  </si>
  <si>
    <t>15268861223</t>
  </si>
  <si>
    <t>15268863292</t>
  </si>
  <si>
    <t>58799569</t>
  </si>
  <si>
    <t>15268863550</t>
  </si>
  <si>
    <t>15268863703</t>
  </si>
  <si>
    <t>15268863866</t>
  </si>
  <si>
    <t>61674713</t>
  </si>
  <si>
    <t>15268864948</t>
  </si>
  <si>
    <t>15268869824</t>
  </si>
  <si>
    <t>15268869957</t>
  </si>
  <si>
    <t>15268870492</t>
  </si>
  <si>
    <t>15268871271</t>
  </si>
  <si>
    <t>15268871558</t>
  </si>
  <si>
    <t>15268871847</t>
  </si>
  <si>
    <t>15268872338</t>
  </si>
  <si>
    <t>15268879233</t>
  </si>
  <si>
    <t>61675247</t>
  </si>
  <si>
    <t>15268880216</t>
  </si>
  <si>
    <t>15268880464</t>
  </si>
  <si>
    <t>15268881678</t>
  </si>
  <si>
    <t>15268881679</t>
  </si>
  <si>
    <t>15268883841</t>
  </si>
  <si>
    <t>58787451</t>
  </si>
  <si>
    <t>15268884373</t>
  </si>
  <si>
    <t>15268884649</t>
  </si>
  <si>
    <t>15268885176</t>
  </si>
  <si>
    <t>15268886718</t>
  </si>
  <si>
    <t>15268887845</t>
  </si>
  <si>
    <t>15268888305</t>
  </si>
  <si>
    <t>58798846</t>
  </si>
  <si>
    <t>15268888801</t>
  </si>
  <si>
    <t>15268889291</t>
  </si>
  <si>
    <t>15268889585</t>
  </si>
  <si>
    <t>15268892898</t>
  </si>
  <si>
    <t>15268892942</t>
  </si>
  <si>
    <t>58800394</t>
  </si>
  <si>
    <t>15268894007</t>
  </si>
  <si>
    <t>61676308</t>
  </si>
  <si>
    <t>15268894350</t>
  </si>
  <si>
    <t>15268894985</t>
  </si>
  <si>
    <t>15268895235</t>
  </si>
  <si>
    <t>15268896641</t>
  </si>
  <si>
    <t>15268896642</t>
  </si>
  <si>
    <t>15268896825</t>
  </si>
  <si>
    <t>61679317</t>
  </si>
  <si>
    <t>15268898822</t>
  </si>
  <si>
    <t>61696129</t>
  </si>
  <si>
    <t>15268899561</t>
  </si>
  <si>
    <t>15268901602</t>
  </si>
  <si>
    <t>15268902353</t>
  </si>
  <si>
    <t>15268903035</t>
  </si>
  <si>
    <t>15268903559</t>
  </si>
  <si>
    <t>58790644</t>
  </si>
  <si>
    <t>15268904703</t>
  </si>
  <si>
    <t>15268907461</t>
  </si>
  <si>
    <t>55140966</t>
  </si>
  <si>
    <t>15268907983</t>
  </si>
  <si>
    <t>55140958</t>
  </si>
  <si>
    <t>15268909331</t>
  </si>
  <si>
    <t>55141047</t>
  </si>
  <si>
    <t>15268910416</t>
  </si>
  <si>
    <t>55140961</t>
  </si>
  <si>
    <t>15268911769</t>
  </si>
  <si>
    <t>55141049</t>
  </si>
  <si>
    <t>15268911856</t>
  </si>
  <si>
    <t>55141140</t>
  </si>
  <si>
    <t>15268912718</t>
  </si>
  <si>
    <t>15268913045</t>
  </si>
  <si>
    <t>15268913911</t>
  </si>
  <si>
    <t>58802188</t>
  </si>
  <si>
    <t>15268914091</t>
  </si>
  <si>
    <t>15268914093</t>
  </si>
  <si>
    <t>15268914819</t>
  </si>
  <si>
    <t>15268914948</t>
  </si>
  <si>
    <t>15268915048</t>
  </si>
  <si>
    <t>15268915328</t>
  </si>
  <si>
    <t>61708718</t>
  </si>
  <si>
    <t>15268915557</t>
  </si>
  <si>
    <t>15268915807</t>
  </si>
  <si>
    <t>15268915893</t>
  </si>
  <si>
    <t>15268916010</t>
  </si>
  <si>
    <t>61697115</t>
  </si>
  <si>
    <t>15268916858</t>
  </si>
  <si>
    <t>61727698</t>
  </si>
  <si>
    <t>15268918203</t>
  </si>
  <si>
    <t>15268920270</t>
  </si>
  <si>
    <t>55141013</t>
  </si>
  <si>
    <t>15268920380</t>
  </si>
  <si>
    <t>55141031</t>
  </si>
  <si>
    <t>15268920418</t>
  </si>
  <si>
    <t>55141002</t>
  </si>
  <si>
    <t>15268920498</t>
  </si>
  <si>
    <t>15268920587</t>
  </si>
  <si>
    <t>15268920983</t>
  </si>
  <si>
    <t>55140971</t>
  </si>
  <si>
    <t>15268921757</t>
  </si>
  <si>
    <t>15268921758</t>
  </si>
  <si>
    <t>55140984</t>
  </si>
  <si>
    <t>15268921807</t>
  </si>
  <si>
    <t>61694125</t>
  </si>
  <si>
    <t>15268922541</t>
  </si>
  <si>
    <t>15268922672</t>
  </si>
  <si>
    <t>15268922673</t>
  </si>
  <si>
    <t>55140967</t>
  </si>
  <si>
    <t>15268922674</t>
  </si>
  <si>
    <t>15268922784</t>
  </si>
  <si>
    <t>15268922996</t>
  </si>
  <si>
    <t>55139660</t>
  </si>
  <si>
    <t>15268923002</t>
  </si>
  <si>
    <t>55139605</t>
  </si>
  <si>
    <t>15268923029</t>
  </si>
  <si>
    <t>55141052</t>
  </si>
  <si>
    <t>15268923126</t>
  </si>
  <si>
    <t>55159765</t>
  </si>
  <si>
    <t>15268923214</t>
  </si>
  <si>
    <t>15268923228</t>
  </si>
  <si>
    <t>58799769</t>
  </si>
  <si>
    <t>15268923411</t>
  </si>
  <si>
    <t>55159799</t>
  </si>
  <si>
    <t>15268923452</t>
  </si>
  <si>
    <t>15268923632</t>
  </si>
  <si>
    <t>55141030</t>
  </si>
  <si>
    <t>15268923633</t>
  </si>
  <si>
    <t>61679108</t>
  </si>
  <si>
    <t>15268923785</t>
  </si>
  <si>
    <t>61709821</t>
  </si>
  <si>
    <t>15268923806</t>
  </si>
  <si>
    <t>61725598</t>
  </si>
  <si>
    <t>15268923833</t>
  </si>
  <si>
    <t>55141011</t>
  </si>
  <si>
    <t>15268923945</t>
  </si>
  <si>
    <t>15268923993</t>
  </si>
  <si>
    <t>55141017</t>
  </si>
  <si>
    <t>15268924499</t>
  </si>
  <si>
    <t>55140994</t>
  </si>
  <si>
    <t>15268924535</t>
  </si>
  <si>
    <t>55140995</t>
  </si>
  <si>
    <t>15268924697</t>
  </si>
  <si>
    <t>61707065</t>
  </si>
  <si>
    <t>15268924820</t>
  </si>
  <si>
    <t>15268924853</t>
  </si>
  <si>
    <t>58787423</t>
  </si>
  <si>
    <t>15268924920</t>
  </si>
  <si>
    <t>15268924961</t>
  </si>
  <si>
    <t>61675266</t>
  </si>
  <si>
    <t>15268925098</t>
  </si>
  <si>
    <t>58798202</t>
  </si>
  <si>
    <t>15268925287</t>
  </si>
  <si>
    <t>55141053</t>
  </si>
  <si>
    <t>15268925452</t>
  </si>
  <si>
    <t>15268925891</t>
  </si>
  <si>
    <t>15268926133</t>
  </si>
  <si>
    <t>55140972</t>
  </si>
  <si>
    <t>15268926244</t>
  </si>
  <si>
    <t>55140973</t>
  </si>
  <si>
    <t>15268926353</t>
  </si>
  <si>
    <t>55140974</t>
  </si>
  <si>
    <t>15268926600</t>
  </si>
  <si>
    <t>61723113</t>
  </si>
  <si>
    <t>55159472</t>
  </si>
  <si>
    <t>15268926666</t>
  </si>
  <si>
    <t>15268926686</t>
  </si>
  <si>
    <t>15268926820</t>
  </si>
  <si>
    <t>15268926838</t>
  </si>
  <si>
    <t>61685763</t>
  </si>
  <si>
    <t>15268926964</t>
  </si>
  <si>
    <t>15268927002</t>
  </si>
  <si>
    <t>15268927105</t>
  </si>
  <si>
    <t>15268927212</t>
  </si>
  <si>
    <t>15268927312</t>
  </si>
  <si>
    <t>15268927361</t>
  </si>
  <si>
    <t>15268927485</t>
  </si>
  <si>
    <t>15268927502</t>
  </si>
  <si>
    <t>15268927738</t>
  </si>
  <si>
    <t>15268927820</t>
  </si>
  <si>
    <t>15268927842</t>
  </si>
  <si>
    <t>61693145</t>
  </si>
  <si>
    <t>15268927854</t>
  </si>
  <si>
    <t>15268928098</t>
  </si>
  <si>
    <t>15268928106</t>
  </si>
  <si>
    <t>15268928108</t>
  </si>
  <si>
    <t>15268928314</t>
  </si>
  <si>
    <t>15268928334</t>
  </si>
  <si>
    <t>61711395</t>
  </si>
  <si>
    <t>15268930596</t>
  </si>
  <si>
    <t>55144277</t>
  </si>
  <si>
    <t>15268930819</t>
  </si>
  <si>
    <t>55144266</t>
  </si>
  <si>
    <t>15268930862</t>
  </si>
  <si>
    <t>55144192</t>
  </si>
  <si>
    <t>15268931294</t>
  </si>
  <si>
    <t>55144276</t>
  </si>
  <si>
    <t>15268931360</t>
  </si>
  <si>
    <t>55144161</t>
  </si>
  <si>
    <t>15268931448</t>
  </si>
  <si>
    <t>55144278</t>
  </si>
  <si>
    <t>15268931582</t>
  </si>
  <si>
    <t>55144159</t>
  </si>
  <si>
    <t>15268931619</t>
  </si>
  <si>
    <t>60833835</t>
  </si>
  <si>
    <t>55144141</t>
  </si>
  <si>
    <t>15268932305</t>
  </si>
  <si>
    <t>55144501</t>
  </si>
  <si>
    <t>15268932741</t>
  </si>
  <si>
    <t>15268933308</t>
  </si>
  <si>
    <t>15268933551</t>
  </si>
  <si>
    <t>61680656</t>
  </si>
  <si>
    <t>15268933572</t>
  </si>
  <si>
    <t>15268933706</t>
  </si>
  <si>
    <t>15268933830</t>
  </si>
  <si>
    <t>15268933856</t>
  </si>
  <si>
    <t>15268933862</t>
  </si>
  <si>
    <t>61685260</t>
  </si>
  <si>
    <t>15268934081</t>
  </si>
  <si>
    <t>15268934142</t>
  </si>
  <si>
    <t>15268934160</t>
  </si>
  <si>
    <t>61728701</t>
  </si>
  <si>
    <t>15268934274</t>
  </si>
  <si>
    <t>15268934275</t>
  </si>
  <si>
    <t>61729921</t>
  </si>
  <si>
    <t>15268934302</t>
  </si>
  <si>
    <t>15268934931</t>
  </si>
  <si>
    <t>15268934960</t>
  </si>
  <si>
    <t>15268935014</t>
  </si>
  <si>
    <t>15268935297</t>
  </si>
  <si>
    <t>15268935640</t>
  </si>
  <si>
    <t>15268935843</t>
  </si>
  <si>
    <t>15268935989</t>
  </si>
  <si>
    <t>15268936053</t>
  </si>
  <si>
    <t>15268936438</t>
  </si>
  <si>
    <t>15268937038</t>
  </si>
  <si>
    <t>15268937063</t>
  </si>
  <si>
    <t>15268937089</t>
  </si>
  <si>
    <t>15268937212</t>
  </si>
  <si>
    <t>15268937372</t>
  </si>
  <si>
    <t>15268937986</t>
  </si>
  <si>
    <t>15268938850</t>
  </si>
  <si>
    <t>15268939066</t>
  </si>
  <si>
    <t>15268939363</t>
  </si>
  <si>
    <t>15268939471</t>
  </si>
  <si>
    <t>15268939625</t>
  </si>
  <si>
    <t>15268940406</t>
  </si>
  <si>
    <t>55168373</t>
  </si>
  <si>
    <t>15268940414</t>
  </si>
  <si>
    <t>15268940470</t>
  </si>
  <si>
    <t>15268940537</t>
  </si>
  <si>
    <t>15268940655</t>
  </si>
  <si>
    <t>15268940829</t>
  </si>
  <si>
    <t>15268940861</t>
  </si>
  <si>
    <t>15268940874</t>
  </si>
  <si>
    <t>15268941292</t>
  </si>
  <si>
    <t>15268941568</t>
  </si>
  <si>
    <t>55193768</t>
  </si>
  <si>
    <t>15268941649</t>
  </si>
  <si>
    <t>15268941962</t>
  </si>
  <si>
    <t>59799398</t>
  </si>
  <si>
    <t>15268942025</t>
  </si>
  <si>
    <t>15268942062</t>
  </si>
  <si>
    <t>15268943487</t>
  </si>
  <si>
    <t>15268944337</t>
  </si>
  <si>
    <t>15268944388</t>
  </si>
  <si>
    <t>15268944984</t>
  </si>
  <si>
    <t>15268945482</t>
  </si>
  <si>
    <t>61705783</t>
  </si>
  <si>
    <t>15268945803</t>
  </si>
  <si>
    <t>55193770</t>
  </si>
  <si>
    <t>15268945986</t>
  </si>
  <si>
    <t>15268946422</t>
  </si>
  <si>
    <t>55193769</t>
  </si>
  <si>
    <t>15268948276</t>
  </si>
  <si>
    <t>15268949433</t>
  </si>
  <si>
    <t>15268951462</t>
  </si>
  <si>
    <t>15268951601</t>
  </si>
  <si>
    <t>15268952163</t>
  </si>
  <si>
    <t>61706513</t>
  </si>
  <si>
    <t>15268952484</t>
  </si>
  <si>
    <t>15268955224</t>
  </si>
  <si>
    <t>15268955869</t>
  </si>
  <si>
    <t>15268955877</t>
  </si>
  <si>
    <t>61685040</t>
  </si>
  <si>
    <t>15268956524</t>
  </si>
  <si>
    <t>15268956703</t>
  </si>
  <si>
    <t>61720782</t>
  </si>
  <si>
    <t>15268956985</t>
  </si>
  <si>
    <t>15268957759</t>
  </si>
  <si>
    <t>15268957865</t>
  </si>
  <si>
    <t>55213246</t>
  </si>
  <si>
    <t>55213248</t>
  </si>
  <si>
    <t>15268958252</t>
  </si>
  <si>
    <t>15268958402</t>
  </si>
  <si>
    <t>15268958455</t>
  </si>
  <si>
    <t>15268958748</t>
  </si>
  <si>
    <t>55193547</t>
  </si>
  <si>
    <t>55153785</t>
  </si>
  <si>
    <t>15268959093</t>
  </si>
  <si>
    <t>15268959328</t>
  </si>
  <si>
    <t>15268959374</t>
  </si>
  <si>
    <t>61714468</t>
  </si>
  <si>
    <t>15268960067</t>
  </si>
  <si>
    <t>15268960219</t>
  </si>
  <si>
    <t>15268960354</t>
  </si>
  <si>
    <t>61695831</t>
  </si>
  <si>
    <t>15268960444</t>
  </si>
  <si>
    <t>15268961509</t>
  </si>
  <si>
    <t>15268962354</t>
  </si>
  <si>
    <t>15268964291</t>
  </si>
  <si>
    <t>15268964977</t>
  </si>
  <si>
    <t>55186230</t>
  </si>
  <si>
    <t>15268965551</t>
  </si>
  <si>
    <t>15268967502</t>
  </si>
  <si>
    <t>15268968103</t>
  </si>
  <si>
    <t>55180693</t>
  </si>
  <si>
    <t>15268969127</t>
  </si>
  <si>
    <t>15268969234</t>
  </si>
  <si>
    <t>15268969394</t>
  </si>
  <si>
    <t>15268969395</t>
  </si>
  <si>
    <t>15268976762</t>
  </si>
  <si>
    <t>15268977105</t>
  </si>
  <si>
    <t>15268977269</t>
  </si>
  <si>
    <t>15268979136</t>
  </si>
  <si>
    <t>15268988070</t>
  </si>
  <si>
    <t>15268990087</t>
  </si>
  <si>
    <t>15268990804</t>
  </si>
  <si>
    <t>15268990959</t>
  </si>
  <si>
    <t>15268991400</t>
  </si>
  <si>
    <t>15268992169</t>
  </si>
  <si>
    <t>15268992245</t>
  </si>
  <si>
    <t>15268992522</t>
  </si>
  <si>
    <t>15268992678</t>
  </si>
  <si>
    <t>15268993200</t>
  </si>
  <si>
    <t>15268993229</t>
  </si>
  <si>
    <t>15268993308</t>
  </si>
  <si>
    <t>15268993382</t>
  </si>
  <si>
    <t>15268993645</t>
  </si>
  <si>
    <t>15268993646</t>
  </si>
  <si>
    <t>15268994610</t>
  </si>
  <si>
    <t>15268994787</t>
  </si>
  <si>
    <t>15268994793</t>
  </si>
  <si>
    <t>61725694</t>
  </si>
  <si>
    <t>15268994997</t>
  </si>
  <si>
    <t>15268995077</t>
  </si>
  <si>
    <t>15268995136</t>
  </si>
  <si>
    <t>61699175</t>
  </si>
  <si>
    <t>15268995618</t>
  </si>
  <si>
    <t>61737900</t>
  </si>
  <si>
    <t>15268996649</t>
  </si>
  <si>
    <t>15268997052</t>
  </si>
  <si>
    <t>61678795</t>
  </si>
  <si>
    <t>15268997579</t>
  </si>
  <si>
    <t>55143349</t>
  </si>
  <si>
    <t>15268998894</t>
  </si>
  <si>
    <t>55142318</t>
  </si>
  <si>
    <t>55142076</t>
  </si>
  <si>
    <t>15268998950</t>
  </si>
  <si>
    <t>61679105</t>
  </si>
  <si>
    <t>15268998954</t>
  </si>
  <si>
    <t>55142016</t>
  </si>
  <si>
    <t>15268999526</t>
  </si>
  <si>
    <t>15268999868</t>
  </si>
  <si>
    <t>55143399</t>
  </si>
  <si>
    <t>15269000071</t>
  </si>
  <si>
    <t>55144122</t>
  </si>
  <si>
    <t>15269000238</t>
  </si>
  <si>
    <t>55143084</t>
  </si>
  <si>
    <t>15269000323</t>
  </si>
  <si>
    <t>55142930</t>
  </si>
  <si>
    <t>15269000915</t>
  </si>
  <si>
    <t>55142933</t>
  </si>
  <si>
    <t>15269001288</t>
  </si>
  <si>
    <t>55142688</t>
  </si>
  <si>
    <t>15269001405</t>
  </si>
  <si>
    <t>55143039</t>
  </si>
  <si>
    <t>15269001424</t>
  </si>
  <si>
    <t>55143059</t>
  </si>
  <si>
    <t>15269002141</t>
  </si>
  <si>
    <t>55141943</t>
  </si>
  <si>
    <t>15269002368</t>
  </si>
  <si>
    <t>15269002517</t>
  </si>
  <si>
    <t>55143781</t>
  </si>
  <si>
    <t>15269002840</t>
  </si>
  <si>
    <t>55143864</t>
  </si>
  <si>
    <t>15269003288</t>
  </si>
  <si>
    <t>55142558</t>
  </si>
  <si>
    <t>15269003290</t>
  </si>
  <si>
    <t>55144633</t>
  </si>
  <si>
    <t>15269003487</t>
  </si>
  <si>
    <t>55143060</t>
  </si>
  <si>
    <t>15269003533</t>
  </si>
  <si>
    <t>55142316</t>
  </si>
  <si>
    <t>15269003930</t>
  </si>
  <si>
    <t>15269004530</t>
  </si>
  <si>
    <t>55143870</t>
  </si>
  <si>
    <t>15269004885</t>
  </si>
  <si>
    <t>55142966</t>
  </si>
  <si>
    <t>15269005153</t>
  </si>
  <si>
    <t>55143002</t>
  </si>
  <si>
    <t>15269005154</t>
  </si>
  <si>
    <t>55142962</t>
  </si>
  <si>
    <t>15269005290</t>
  </si>
  <si>
    <t>55143038</t>
  </si>
  <si>
    <t>15269006051</t>
  </si>
  <si>
    <t>15269006499</t>
  </si>
  <si>
    <t>15269006532</t>
  </si>
  <si>
    <t>15269006648</t>
  </si>
  <si>
    <t>15269006664</t>
  </si>
  <si>
    <t>15269006977</t>
  </si>
  <si>
    <t>15269006980</t>
  </si>
  <si>
    <t>15269007225</t>
  </si>
  <si>
    <t>15269007662</t>
  </si>
  <si>
    <t>15269008599</t>
  </si>
  <si>
    <t>15269009737</t>
  </si>
  <si>
    <t>15269010720</t>
  </si>
  <si>
    <t>55143778</t>
  </si>
  <si>
    <t>15269010736</t>
  </si>
  <si>
    <t>55143404</t>
  </si>
  <si>
    <t>15269011591</t>
  </si>
  <si>
    <t>15269011777</t>
  </si>
  <si>
    <t>55144517</t>
  </si>
  <si>
    <t>15269012131</t>
  </si>
  <si>
    <t>55143717</t>
  </si>
  <si>
    <t>15269012425</t>
  </si>
  <si>
    <t>55144500</t>
  </si>
  <si>
    <t>15269012980</t>
  </si>
  <si>
    <t>15269014065</t>
  </si>
  <si>
    <t>15269014709</t>
  </si>
  <si>
    <t>15269014771</t>
  </si>
  <si>
    <t>61716352</t>
  </si>
  <si>
    <t>15269015023</t>
  </si>
  <si>
    <t>61677816</t>
  </si>
  <si>
    <t>15269015226</t>
  </si>
  <si>
    <t>15269015329</t>
  </si>
  <si>
    <t>61723702</t>
  </si>
  <si>
    <t>15269015493</t>
  </si>
  <si>
    <t>15269015774</t>
  </si>
  <si>
    <t>15269017022</t>
  </si>
  <si>
    <t>15269017538</t>
  </si>
  <si>
    <t>15269017565</t>
  </si>
  <si>
    <t>15269017847</t>
  </si>
  <si>
    <t>15269017913</t>
  </si>
  <si>
    <t>15269018099</t>
  </si>
  <si>
    <t>15269018209</t>
  </si>
  <si>
    <t>61683465</t>
  </si>
  <si>
    <t>15269018574</t>
  </si>
  <si>
    <t>15269018695</t>
  </si>
  <si>
    <t>55153222</t>
  </si>
  <si>
    <t>15269018719</t>
  </si>
  <si>
    <t>55153225</t>
  </si>
  <si>
    <t>15269019164</t>
  </si>
  <si>
    <t>55151936</t>
  </si>
  <si>
    <t>15269019317</t>
  </si>
  <si>
    <t>55152777</t>
  </si>
  <si>
    <t>15269019460</t>
  </si>
  <si>
    <t>55152172</t>
  </si>
  <si>
    <t>15269019476</t>
  </si>
  <si>
    <t>55153133</t>
  </si>
  <si>
    <t>15269019934</t>
  </si>
  <si>
    <t>55151401</t>
  </si>
  <si>
    <t>15269020289</t>
  </si>
  <si>
    <t>55152171</t>
  </si>
  <si>
    <t>15269021153</t>
  </si>
  <si>
    <t>55153221</t>
  </si>
  <si>
    <t>15269021593</t>
  </si>
  <si>
    <t>15269021829</t>
  </si>
  <si>
    <t>15269022411</t>
  </si>
  <si>
    <t>55194551</t>
  </si>
  <si>
    <t>15269022511</t>
  </si>
  <si>
    <t>55153768</t>
  </si>
  <si>
    <t>15269022969</t>
  </si>
  <si>
    <t>55153782</t>
  </si>
  <si>
    <t>15269023077</t>
  </si>
  <si>
    <t>55153786</t>
  </si>
  <si>
    <t>15269023164</t>
  </si>
  <si>
    <t>55152771</t>
  </si>
  <si>
    <t>15269023544</t>
  </si>
  <si>
    <t>15269023754</t>
  </si>
  <si>
    <t>15269024216</t>
  </si>
  <si>
    <t>15269024350</t>
  </si>
  <si>
    <t>15269024680</t>
  </si>
  <si>
    <t>15269025092</t>
  </si>
  <si>
    <t>15269025368</t>
  </si>
  <si>
    <t>15269025999</t>
  </si>
  <si>
    <t>15269026097</t>
  </si>
  <si>
    <t>61721365</t>
  </si>
  <si>
    <t>15269026610</t>
  </si>
  <si>
    <t>15269027115</t>
  </si>
  <si>
    <t>15269027767</t>
  </si>
  <si>
    <t>15269028155</t>
  </si>
  <si>
    <t>15269028748</t>
  </si>
  <si>
    <t>15269028885</t>
  </si>
  <si>
    <t>15269028970</t>
  </si>
  <si>
    <t>15269029452</t>
  </si>
  <si>
    <t>61685695</t>
  </si>
  <si>
    <t>15269029520</t>
  </si>
  <si>
    <t>15269029792</t>
  </si>
  <si>
    <t>15269033614</t>
  </si>
  <si>
    <t>15269033692</t>
  </si>
  <si>
    <t>15269036199</t>
  </si>
  <si>
    <t>15269038735</t>
  </si>
  <si>
    <t>61681235</t>
  </si>
  <si>
    <t>15269038950</t>
  </si>
  <si>
    <t>55196629</t>
  </si>
  <si>
    <t>15269041437</t>
  </si>
  <si>
    <t>15269045776</t>
  </si>
  <si>
    <t>15269066779</t>
  </si>
  <si>
    <t>15269067289</t>
  </si>
  <si>
    <t>55196750</t>
  </si>
  <si>
    <t>15269073132</t>
  </si>
  <si>
    <t>15269075853</t>
  </si>
  <si>
    <t>61684850</t>
  </si>
  <si>
    <t>15269075855</t>
  </si>
  <si>
    <t>61691738</t>
  </si>
  <si>
    <t>15269080001</t>
  </si>
  <si>
    <t>15269080124</t>
  </si>
  <si>
    <t>61689686</t>
  </si>
  <si>
    <t>15269081668</t>
  </si>
  <si>
    <t>55146227</t>
  </si>
  <si>
    <t>15269081749</t>
  </si>
  <si>
    <t>55146183</t>
  </si>
  <si>
    <t>15269082015</t>
  </si>
  <si>
    <t>55145979</t>
  </si>
  <si>
    <t>15269082021</t>
  </si>
  <si>
    <t>55146111</t>
  </si>
  <si>
    <t>15269083275</t>
  </si>
  <si>
    <t>55149675</t>
  </si>
  <si>
    <t>15269083298</t>
  </si>
  <si>
    <t>55149689</t>
  </si>
  <si>
    <t>15269085879</t>
  </si>
  <si>
    <t>55146196</t>
  </si>
  <si>
    <t>15269086250</t>
  </si>
  <si>
    <t>55153820</t>
  </si>
  <si>
    <t>15269087834</t>
  </si>
  <si>
    <t>55150215</t>
  </si>
  <si>
    <t>15269088185</t>
  </si>
  <si>
    <t>15269088285</t>
  </si>
  <si>
    <t>15269090443</t>
  </si>
  <si>
    <t>15269090657</t>
  </si>
  <si>
    <t>15269090720</t>
  </si>
  <si>
    <t>15269091181</t>
  </si>
  <si>
    <t>55170481</t>
  </si>
  <si>
    <t>15269091314</t>
  </si>
  <si>
    <t>61736879</t>
  </si>
  <si>
    <t>15269091484</t>
  </si>
  <si>
    <t>15269091708</t>
  </si>
  <si>
    <t>15269091709</t>
  </si>
  <si>
    <t>15269092132</t>
  </si>
  <si>
    <t>15269092344</t>
  </si>
  <si>
    <t>15269092815</t>
  </si>
  <si>
    <t>55196747</t>
  </si>
  <si>
    <t>15269092838</t>
  </si>
  <si>
    <t>15269093553</t>
  </si>
  <si>
    <t>15269094284</t>
  </si>
  <si>
    <t>15269094461</t>
  </si>
  <si>
    <t>61691421</t>
  </si>
  <si>
    <t>15269095720</t>
  </si>
  <si>
    <t>15269095953</t>
  </si>
  <si>
    <t>15269096298</t>
  </si>
  <si>
    <t>15269096647</t>
  </si>
  <si>
    <t>15269096693</t>
  </si>
  <si>
    <t>15269096848</t>
  </si>
  <si>
    <t>15269097148</t>
  </si>
  <si>
    <t>55150894</t>
  </si>
  <si>
    <t>15269097667</t>
  </si>
  <si>
    <t>55150068</t>
  </si>
  <si>
    <t>15269097808</t>
  </si>
  <si>
    <t>55149680</t>
  </si>
  <si>
    <t>15269098099</t>
  </si>
  <si>
    <t>15269098142</t>
  </si>
  <si>
    <t>15269098285</t>
  </si>
  <si>
    <t>15269098659</t>
  </si>
  <si>
    <t>15269099070</t>
  </si>
  <si>
    <t>15269100092</t>
  </si>
  <si>
    <t>15269101458</t>
  </si>
  <si>
    <t>15269101821</t>
  </si>
  <si>
    <t>15269102012</t>
  </si>
  <si>
    <t>15269102378</t>
  </si>
  <si>
    <t>15269102497</t>
  </si>
  <si>
    <t>15269102754</t>
  </si>
  <si>
    <t>15269102873</t>
  </si>
  <si>
    <t>61712229</t>
  </si>
  <si>
    <t>15269103457</t>
  </si>
  <si>
    <t>15269103598</t>
  </si>
  <si>
    <t>15269103682</t>
  </si>
  <si>
    <t>15269103800</t>
  </si>
  <si>
    <t>15269103822</t>
  </si>
  <si>
    <t>61706672</t>
  </si>
  <si>
    <t>15269104306</t>
  </si>
  <si>
    <t>15269104828</t>
  </si>
  <si>
    <t>61686885</t>
  </si>
  <si>
    <t>15269105142</t>
  </si>
  <si>
    <t>15269105476</t>
  </si>
  <si>
    <t>15269105634</t>
  </si>
  <si>
    <t>15269105884</t>
  </si>
  <si>
    <t>15269105988</t>
  </si>
  <si>
    <t>15269106294</t>
  </si>
  <si>
    <t>15269107283</t>
  </si>
  <si>
    <t>15269112417</t>
  </si>
  <si>
    <t>15269114895</t>
  </si>
  <si>
    <t>15269126039</t>
  </si>
  <si>
    <t>15269127197</t>
  </si>
  <si>
    <t>15269128070</t>
  </si>
  <si>
    <t>15269128801</t>
  </si>
  <si>
    <t>15269133653</t>
  </si>
  <si>
    <t>15269134316</t>
  </si>
  <si>
    <t>15269137120</t>
  </si>
  <si>
    <t>15269138324</t>
  </si>
  <si>
    <t>15269144799</t>
  </si>
  <si>
    <t>15269146157</t>
  </si>
  <si>
    <t>15269149437</t>
  </si>
  <si>
    <t>61729602</t>
  </si>
  <si>
    <t>15269150242</t>
  </si>
  <si>
    <t>15269152030</t>
  </si>
  <si>
    <t>15269153762</t>
  </si>
  <si>
    <t>55196797</t>
  </si>
  <si>
    <t>15269158083</t>
  </si>
  <si>
    <t>15269159168</t>
  </si>
  <si>
    <t>15269159456</t>
  </si>
  <si>
    <t>15269160001</t>
  </si>
  <si>
    <t>15269160171</t>
  </si>
  <si>
    <t>15269160321</t>
  </si>
  <si>
    <t>15269162059</t>
  </si>
  <si>
    <t>55196924</t>
  </si>
  <si>
    <t>15269162121</t>
  </si>
  <si>
    <t>55196898</t>
  </si>
  <si>
    <t>15269162666</t>
  </si>
  <si>
    <t>55196968</t>
  </si>
  <si>
    <t>15269162667</t>
  </si>
  <si>
    <t>55196969</t>
  </si>
  <si>
    <t>15269162676</t>
  </si>
  <si>
    <t>55197932</t>
  </si>
  <si>
    <t>15269164345</t>
  </si>
  <si>
    <t>15269164578</t>
  </si>
  <si>
    <t>15269164780</t>
  </si>
  <si>
    <t>15269164870</t>
  </si>
  <si>
    <t>15269165065</t>
  </si>
  <si>
    <t>61714938</t>
  </si>
  <si>
    <t>15269165118</t>
  </si>
  <si>
    <t>15269167771</t>
  </si>
  <si>
    <t>55196963</t>
  </si>
  <si>
    <t>15269168080</t>
  </si>
  <si>
    <t>55198087</t>
  </si>
  <si>
    <t>15269168177</t>
  </si>
  <si>
    <t>55173341</t>
  </si>
  <si>
    <t>15269168778</t>
  </si>
  <si>
    <t>55199742</t>
  </si>
  <si>
    <t>15269169574</t>
  </si>
  <si>
    <t>15269170037</t>
  </si>
  <si>
    <t>15269170081</t>
  </si>
  <si>
    <t>15269171500</t>
  </si>
  <si>
    <t>57819064</t>
  </si>
  <si>
    <t>15269171686</t>
  </si>
  <si>
    <t>55197971</t>
  </si>
  <si>
    <t>15269173796</t>
  </si>
  <si>
    <t>15269175220</t>
  </si>
  <si>
    <t>15269177342</t>
  </si>
  <si>
    <t>15269177710</t>
  </si>
  <si>
    <t>15269177790</t>
  </si>
  <si>
    <t>15269178540</t>
  </si>
  <si>
    <t>15269178914</t>
  </si>
  <si>
    <t>15269178930</t>
  </si>
  <si>
    <t>15269179466</t>
  </si>
  <si>
    <t>15269179531</t>
  </si>
  <si>
    <t>15269180882</t>
  </si>
  <si>
    <t>15269182386</t>
  </si>
  <si>
    <t>15269182801</t>
  </si>
  <si>
    <t>15269183550</t>
  </si>
  <si>
    <t>15269183551</t>
  </si>
  <si>
    <t>15269184043</t>
  </si>
  <si>
    <t>15269184239</t>
  </si>
  <si>
    <t>15269184418</t>
  </si>
  <si>
    <t>15269184459</t>
  </si>
  <si>
    <t>15269184485</t>
  </si>
  <si>
    <t>15269184892</t>
  </si>
  <si>
    <t>15269184918</t>
  </si>
  <si>
    <t>61704629</t>
  </si>
  <si>
    <t>15269186982</t>
  </si>
  <si>
    <t>61709300</t>
  </si>
  <si>
    <t>15269187325</t>
  </si>
  <si>
    <t>15269189365</t>
  </si>
  <si>
    <t>61735887</t>
  </si>
  <si>
    <t>15269189835</t>
  </si>
  <si>
    <t>15269190930</t>
  </si>
  <si>
    <t>15269191006</t>
  </si>
  <si>
    <t>15269191654</t>
  </si>
  <si>
    <t>15269191728</t>
  </si>
  <si>
    <t>61726826</t>
  </si>
  <si>
    <t>15269192193</t>
  </si>
  <si>
    <t>15269192933</t>
  </si>
  <si>
    <t>15269198067</t>
  </si>
  <si>
    <t>15269211566</t>
  </si>
  <si>
    <t>15269218310</t>
  </si>
  <si>
    <t>15269218576</t>
  </si>
  <si>
    <t>15269218982</t>
  </si>
  <si>
    <t>15269219034</t>
  </si>
  <si>
    <t>15269219113</t>
  </si>
  <si>
    <t>15269219130</t>
  </si>
  <si>
    <t>15269219174</t>
  </si>
  <si>
    <t>15269219222</t>
  </si>
  <si>
    <t>61714163</t>
  </si>
  <si>
    <t>15269219225</t>
  </si>
  <si>
    <t>15269219902</t>
  </si>
  <si>
    <t>15269220297</t>
  </si>
  <si>
    <t>15269221124</t>
  </si>
  <si>
    <t>15269222060</t>
  </si>
  <si>
    <t>15269222125</t>
  </si>
  <si>
    <t>15269224347</t>
  </si>
  <si>
    <t>15269224524</t>
  </si>
  <si>
    <t>15269224701</t>
  </si>
  <si>
    <t>15269224919</t>
  </si>
  <si>
    <t>15269225039</t>
  </si>
  <si>
    <t>15269226302</t>
  </si>
  <si>
    <t>15269227592</t>
  </si>
  <si>
    <t>15269229365</t>
  </si>
  <si>
    <t>15269234808</t>
  </si>
  <si>
    <t>15269235700</t>
  </si>
  <si>
    <t>15269235737</t>
  </si>
  <si>
    <t>15269237012</t>
  </si>
  <si>
    <t>15269237170</t>
  </si>
  <si>
    <t>15269237674</t>
  </si>
  <si>
    <t>15269237889</t>
  </si>
  <si>
    <t>15269238235</t>
  </si>
  <si>
    <t>15269238527</t>
  </si>
  <si>
    <t>15269238881</t>
  </si>
  <si>
    <t>15269239683</t>
  </si>
  <si>
    <t>15269241394</t>
  </si>
  <si>
    <t>15269241461</t>
  </si>
  <si>
    <t>61680645</t>
  </si>
  <si>
    <t>15269244605</t>
  </si>
  <si>
    <t>15269246052</t>
  </si>
  <si>
    <t>55222792</t>
  </si>
  <si>
    <t>15269249640</t>
  </si>
  <si>
    <t>15269251016</t>
  </si>
  <si>
    <t>15269251189</t>
  </si>
  <si>
    <t>15269252579</t>
  </si>
  <si>
    <t>61695496</t>
  </si>
  <si>
    <t>15269252887</t>
  </si>
  <si>
    <t>15269258239</t>
  </si>
  <si>
    <t>55180545</t>
  </si>
  <si>
    <t>15269258713</t>
  </si>
  <si>
    <t>55170355</t>
  </si>
  <si>
    <t>15269258994</t>
  </si>
  <si>
    <t>55223236</t>
  </si>
  <si>
    <t>15269259858</t>
  </si>
  <si>
    <t>55172599</t>
  </si>
  <si>
    <t>15269260034</t>
  </si>
  <si>
    <t>55192464</t>
  </si>
  <si>
    <t>15269260481</t>
  </si>
  <si>
    <t>55223187</t>
  </si>
  <si>
    <t>15269260602</t>
  </si>
  <si>
    <t>55175357</t>
  </si>
  <si>
    <t>15269261795</t>
  </si>
  <si>
    <t>15269263261</t>
  </si>
  <si>
    <t>15269263518</t>
  </si>
  <si>
    <t>15269263760</t>
  </si>
  <si>
    <t>15269263775</t>
  </si>
  <si>
    <t>15269263976</t>
  </si>
  <si>
    <t>61711029</t>
  </si>
  <si>
    <t>15269264339</t>
  </si>
  <si>
    <t>55177059</t>
  </si>
  <si>
    <t>15269264454</t>
  </si>
  <si>
    <t>15269264693</t>
  </si>
  <si>
    <t>15269264843</t>
  </si>
  <si>
    <t>15269264890</t>
  </si>
  <si>
    <t>61687953</t>
  </si>
  <si>
    <t>15269265399</t>
  </si>
  <si>
    <t>61723978</t>
  </si>
  <si>
    <t>15269266336</t>
  </si>
  <si>
    <t>15269268211</t>
  </si>
  <si>
    <t>15269269676</t>
  </si>
  <si>
    <t>15269271206</t>
  </si>
  <si>
    <t>15269271406</t>
  </si>
  <si>
    <t>15269271636</t>
  </si>
  <si>
    <t>61701821</t>
  </si>
  <si>
    <t>15269271955</t>
  </si>
  <si>
    <t>15269272464</t>
  </si>
  <si>
    <t>15269272723</t>
  </si>
  <si>
    <t>15269273461</t>
  </si>
  <si>
    <t>15269273522</t>
  </si>
  <si>
    <t>61684214</t>
  </si>
  <si>
    <t>15269273555</t>
  </si>
  <si>
    <t>15269274655</t>
  </si>
  <si>
    <t>15269274899</t>
  </si>
  <si>
    <t>15269274933</t>
  </si>
  <si>
    <t>61686884</t>
  </si>
  <si>
    <t>15269274997</t>
  </si>
  <si>
    <t>15269276513</t>
  </si>
  <si>
    <t>61705648</t>
  </si>
  <si>
    <t>15269276710</t>
  </si>
  <si>
    <t>15269276955</t>
  </si>
  <si>
    <t>15269277363</t>
  </si>
  <si>
    <t>15269277393</t>
  </si>
  <si>
    <t>15269277435</t>
  </si>
  <si>
    <t>15269277545</t>
  </si>
  <si>
    <t>15269277577</t>
  </si>
  <si>
    <t>15269277578</t>
  </si>
  <si>
    <t>15269277894</t>
  </si>
  <si>
    <t>61738380</t>
  </si>
  <si>
    <t>15269278415</t>
  </si>
  <si>
    <t>15269278849</t>
  </si>
  <si>
    <t>15269278882</t>
  </si>
  <si>
    <t>15269278918</t>
  </si>
  <si>
    <t>15269279673</t>
  </si>
  <si>
    <t>15269279947</t>
  </si>
  <si>
    <t>15269280209</t>
  </si>
  <si>
    <t>15269280612</t>
  </si>
  <si>
    <t>15269280631</t>
  </si>
  <si>
    <t>15269280635</t>
  </si>
  <si>
    <t>61719828</t>
  </si>
  <si>
    <t>15269280802</t>
  </si>
  <si>
    <t>15269280810</t>
  </si>
  <si>
    <t>15269280812</t>
  </si>
  <si>
    <t>15269280863</t>
  </si>
  <si>
    <t>15269291505</t>
  </si>
  <si>
    <t>15269291624</t>
  </si>
  <si>
    <t>61703791</t>
  </si>
  <si>
    <t>15269291984</t>
  </si>
  <si>
    <t>15269292120</t>
  </si>
  <si>
    <t>15269292174</t>
  </si>
  <si>
    <t>15269292190</t>
  </si>
  <si>
    <t>15269292222</t>
  </si>
  <si>
    <t>15269292438</t>
  </si>
  <si>
    <t>61694192</t>
  </si>
  <si>
    <t>15269292522</t>
  </si>
  <si>
    <t>61714493</t>
  </si>
  <si>
    <t>15269292542</t>
  </si>
  <si>
    <t>55198902</t>
  </si>
  <si>
    <t>15269292558</t>
  </si>
  <si>
    <t>61690580</t>
  </si>
  <si>
    <t>15269292596</t>
  </si>
  <si>
    <t>15269292598</t>
  </si>
  <si>
    <t>15269292774</t>
  </si>
  <si>
    <t>15269292815</t>
  </si>
  <si>
    <t>15269292830</t>
  </si>
  <si>
    <t>15269292874</t>
  </si>
  <si>
    <t>61678933</t>
  </si>
  <si>
    <t>15269292910</t>
  </si>
  <si>
    <t>15269293015</t>
  </si>
  <si>
    <t>61682191</t>
  </si>
  <si>
    <t>15269293065</t>
  </si>
  <si>
    <t>15269293231</t>
  </si>
  <si>
    <t>15269293258</t>
  </si>
  <si>
    <t>15269293325</t>
  </si>
  <si>
    <t>15269293412</t>
  </si>
  <si>
    <t>61712221</t>
  </si>
  <si>
    <t>15269293413</t>
  </si>
  <si>
    <t>15269293415</t>
  </si>
  <si>
    <t>15269293498</t>
  </si>
  <si>
    <t>15269294311</t>
  </si>
  <si>
    <t>15269294356</t>
  </si>
  <si>
    <t>61698992</t>
  </si>
  <si>
    <t>15269294479</t>
  </si>
  <si>
    <t>15269294587</t>
  </si>
  <si>
    <t>15269294720</t>
  </si>
  <si>
    <t>15269294778</t>
  </si>
  <si>
    <t>15269294814</t>
  </si>
  <si>
    <t>55223190</t>
  </si>
  <si>
    <t>15269295193</t>
  </si>
  <si>
    <t>55223241</t>
  </si>
  <si>
    <t>15269295248</t>
  </si>
  <si>
    <t>55222773</t>
  </si>
  <si>
    <t>15269295535</t>
  </si>
  <si>
    <t>55223184</t>
  </si>
  <si>
    <t>15269295556</t>
  </si>
  <si>
    <t>55223242</t>
  </si>
  <si>
    <t>15269295654</t>
  </si>
  <si>
    <t>55223229</t>
  </si>
  <si>
    <t>15269295695</t>
  </si>
  <si>
    <t>55223225</t>
  </si>
  <si>
    <t>15269295816</t>
  </si>
  <si>
    <t>55223274</t>
  </si>
  <si>
    <t>15269295957</t>
  </si>
  <si>
    <t>15269296384</t>
  </si>
  <si>
    <t>55223227</t>
  </si>
  <si>
    <t>15269296398</t>
  </si>
  <si>
    <t>55223185</t>
  </si>
  <si>
    <t>15269296401</t>
  </si>
  <si>
    <t>55223325</t>
  </si>
  <si>
    <t>15269296522</t>
  </si>
  <si>
    <t>55223235</t>
  </si>
  <si>
    <t>15269296527</t>
  </si>
  <si>
    <t>55223268</t>
  </si>
  <si>
    <t>15269296562</t>
  </si>
  <si>
    <t>55178378</t>
  </si>
  <si>
    <t>15269296614</t>
  </si>
  <si>
    <t>55223383</t>
  </si>
  <si>
    <t>55223280</t>
  </si>
  <si>
    <t>15269297032</t>
  </si>
  <si>
    <t>55223378</t>
  </si>
  <si>
    <t>15269297033</t>
  </si>
  <si>
    <t>55223279</t>
  </si>
  <si>
    <t>55212500</t>
  </si>
  <si>
    <t>15269297203</t>
  </si>
  <si>
    <t>55223348</t>
  </si>
  <si>
    <t>55212713</t>
  </si>
  <si>
    <t>15269297402</t>
  </si>
  <si>
    <t>55190152</t>
  </si>
  <si>
    <t>15269297466</t>
  </si>
  <si>
    <t>55223412</t>
  </si>
  <si>
    <t>15269297662</t>
  </si>
  <si>
    <t>55223328</t>
  </si>
  <si>
    <t>55212716</t>
  </si>
  <si>
    <t>15269298198</t>
  </si>
  <si>
    <t>55223314</t>
  </si>
  <si>
    <t>15269298849</t>
  </si>
  <si>
    <t>55223380</t>
  </si>
  <si>
    <t>15269298944</t>
  </si>
  <si>
    <t>55223382</t>
  </si>
  <si>
    <t>15269299114</t>
  </si>
  <si>
    <t>55223373</t>
  </si>
  <si>
    <t>15269299206</t>
  </si>
  <si>
    <t>55223272</t>
  </si>
  <si>
    <t>15269299438</t>
  </si>
  <si>
    <t>55223277</t>
  </si>
  <si>
    <t>15269299728</t>
  </si>
  <si>
    <t>61716831</t>
  </si>
  <si>
    <t>15269299738</t>
  </si>
  <si>
    <t>15269299942</t>
  </si>
  <si>
    <t>15269299957</t>
  </si>
  <si>
    <t>61696926</t>
  </si>
  <si>
    <t>15269300167</t>
  </si>
  <si>
    <t>15269300242</t>
  </si>
  <si>
    <t>15269300602</t>
  </si>
  <si>
    <t>15269300751</t>
  </si>
  <si>
    <t>15269300908</t>
  </si>
  <si>
    <t>15269301303</t>
  </si>
  <si>
    <t>15269301304</t>
  </si>
  <si>
    <t>15269302413</t>
  </si>
  <si>
    <t>15269302518</t>
  </si>
  <si>
    <t>15269302871</t>
  </si>
  <si>
    <t>15269302872</t>
  </si>
  <si>
    <t>15269303166</t>
  </si>
  <si>
    <t>15269303491</t>
  </si>
  <si>
    <t>15269303646</t>
  </si>
  <si>
    <t>15269303967</t>
  </si>
  <si>
    <t>61738540</t>
  </si>
  <si>
    <t>15269304076</t>
  </si>
  <si>
    <t>15269304138</t>
  </si>
  <si>
    <t>15269304426</t>
  </si>
  <si>
    <t>15269304818</t>
  </si>
  <si>
    <t>15269304939</t>
  </si>
  <si>
    <t>15269305072</t>
  </si>
  <si>
    <t>15269305485</t>
  </si>
  <si>
    <t>61730154</t>
  </si>
  <si>
    <t>15269305524</t>
  </si>
  <si>
    <t>15269305579</t>
  </si>
  <si>
    <t>15269305667</t>
  </si>
  <si>
    <t>15269305832</t>
  </si>
  <si>
    <t>15269305962</t>
  </si>
  <si>
    <t>15269306144</t>
  </si>
  <si>
    <t>15269306148</t>
  </si>
  <si>
    <t>15269306607</t>
  </si>
  <si>
    <t>61693012</t>
  </si>
  <si>
    <t>15269306855</t>
  </si>
  <si>
    <t>15269306982</t>
  </si>
  <si>
    <t>15269307684</t>
  </si>
  <si>
    <t>15269307889</t>
  </si>
  <si>
    <t>15269307941</t>
  </si>
  <si>
    <t>61693888</t>
  </si>
  <si>
    <t>15269308184</t>
  </si>
  <si>
    <t>15269308921</t>
  </si>
  <si>
    <t>15269309497</t>
  </si>
  <si>
    <t>15269309519</t>
  </si>
  <si>
    <t>61686243</t>
  </si>
  <si>
    <t>15269309622</t>
  </si>
  <si>
    <t>15269309725</t>
  </si>
  <si>
    <t>15269309837</t>
  </si>
  <si>
    <t>15269309953</t>
  </si>
  <si>
    <t>15269310119</t>
  </si>
  <si>
    <t>15269310324</t>
  </si>
  <si>
    <t>15269310412</t>
  </si>
  <si>
    <t>15269310448</t>
  </si>
  <si>
    <t>15269310571</t>
  </si>
  <si>
    <t>61722541</t>
  </si>
  <si>
    <t>15269310775</t>
  </si>
  <si>
    <t>61685534</t>
  </si>
  <si>
    <t>15269310903</t>
  </si>
  <si>
    <t>61725806</t>
  </si>
  <si>
    <t>15269311366</t>
  </si>
  <si>
    <t>15269311831</t>
  </si>
  <si>
    <t>15269312039</t>
  </si>
  <si>
    <t>15269312091</t>
  </si>
  <si>
    <t>15269312120</t>
  </si>
  <si>
    <t>55223968</t>
  </si>
  <si>
    <t>15269312467</t>
  </si>
  <si>
    <t>55223341</t>
  </si>
  <si>
    <t>15269312741</t>
  </si>
  <si>
    <t>55223340</t>
  </si>
  <si>
    <t>15269312911</t>
  </si>
  <si>
    <t>55174471</t>
  </si>
  <si>
    <t>15269313106</t>
  </si>
  <si>
    <t>55223262</t>
  </si>
  <si>
    <t>15269313239</t>
  </si>
  <si>
    <t>55223349</t>
  </si>
  <si>
    <t>15269313322</t>
  </si>
  <si>
    <t>55223346</t>
  </si>
  <si>
    <t>15269313323</t>
  </si>
  <si>
    <t>55223352</t>
  </si>
  <si>
    <t>15269313555</t>
  </si>
  <si>
    <t>55223324</t>
  </si>
  <si>
    <t>15269313602</t>
  </si>
  <si>
    <t>55223243</t>
  </si>
  <si>
    <t>15269313726</t>
  </si>
  <si>
    <t>15269313855</t>
  </si>
  <si>
    <t>55223269</t>
  </si>
  <si>
    <t>15269314275</t>
  </si>
  <si>
    <t>55223308</t>
  </si>
  <si>
    <t>15269314378</t>
  </si>
  <si>
    <t>55176490</t>
  </si>
  <si>
    <t>15269314827</t>
  </si>
  <si>
    <t>55172171</t>
  </si>
  <si>
    <t>15269314898</t>
  </si>
  <si>
    <t>55167842</t>
  </si>
  <si>
    <t>15269315502</t>
  </si>
  <si>
    <t>55223426</t>
  </si>
  <si>
    <t>15269315710</t>
  </si>
  <si>
    <t>15269315809</t>
  </si>
  <si>
    <t>15269315811</t>
  </si>
  <si>
    <t>15269315849</t>
  </si>
  <si>
    <t>15269315985</t>
  </si>
  <si>
    <t>15269315995</t>
  </si>
  <si>
    <t>15269316038</t>
  </si>
  <si>
    <t>15269316202</t>
  </si>
  <si>
    <t>15269316565</t>
  </si>
  <si>
    <t>61705985</t>
  </si>
  <si>
    <t>15269316585</t>
  </si>
  <si>
    <t>61685597</t>
  </si>
  <si>
    <t>15269316832</t>
  </si>
  <si>
    <t>15269316835</t>
  </si>
  <si>
    <t>15269316856</t>
  </si>
  <si>
    <t>15269316947</t>
  </si>
  <si>
    <t>15269317141</t>
  </si>
  <si>
    <t>15269317181</t>
  </si>
  <si>
    <t>15269317247</t>
  </si>
  <si>
    <t>15269317248</t>
  </si>
  <si>
    <t>15269317302</t>
  </si>
  <si>
    <t>61703224</t>
  </si>
  <si>
    <t>15269317335</t>
  </si>
  <si>
    <t>15269317375</t>
  </si>
  <si>
    <t>15269317395</t>
  </si>
  <si>
    <t>15269317458</t>
  </si>
  <si>
    <t>15269317496</t>
  </si>
  <si>
    <t>15269317560</t>
  </si>
  <si>
    <t>15269317564</t>
  </si>
  <si>
    <t>55170971</t>
  </si>
  <si>
    <t>15269317649</t>
  </si>
  <si>
    <t>15269317650</t>
  </si>
  <si>
    <t>15269317653</t>
  </si>
  <si>
    <t>15269317882</t>
  </si>
  <si>
    <t>15269317952</t>
  </si>
  <si>
    <t>15269318274</t>
  </si>
  <si>
    <t>15269318430</t>
  </si>
  <si>
    <t>15269318431</t>
  </si>
  <si>
    <t>15269318689</t>
  </si>
  <si>
    <t>15269318916</t>
  </si>
  <si>
    <t>55172410</t>
  </si>
  <si>
    <t>15269318991</t>
  </si>
  <si>
    <t>15269319118</t>
  </si>
  <si>
    <t>15269319289</t>
  </si>
  <si>
    <t>15269319300</t>
  </si>
  <si>
    <t>15269319301</t>
  </si>
  <si>
    <t>15269319302</t>
  </si>
  <si>
    <t>15269319303</t>
  </si>
  <si>
    <t>15269319449</t>
  </si>
  <si>
    <t>15269319524</t>
  </si>
  <si>
    <t>15269319624</t>
  </si>
  <si>
    <t>15269319711</t>
  </si>
  <si>
    <t>15269319718</t>
  </si>
  <si>
    <t>15269319769</t>
  </si>
  <si>
    <t>15269320072</t>
  </si>
  <si>
    <t>61721864</t>
  </si>
  <si>
    <t>15269320173</t>
  </si>
  <si>
    <t>15269320187</t>
  </si>
  <si>
    <t>15269320189</t>
  </si>
  <si>
    <t>15269320190</t>
  </si>
  <si>
    <t>15269320364</t>
  </si>
  <si>
    <t>15269320579</t>
  </si>
  <si>
    <t>15269320709</t>
  </si>
  <si>
    <t>15269321149</t>
  </si>
  <si>
    <t>15269321200</t>
  </si>
  <si>
    <t>15269321426</t>
  </si>
  <si>
    <t>15269321567</t>
  </si>
  <si>
    <t>15269321673</t>
  </si>
  <si>
    <t>15269321752</t>
  </si>
  <si>
    <t>61688871</t>
  </si>
  <si>
    <t>15269321764</t>
  </si>
  <si>
    <t>61705480</t>
  </si>
  <si>
    <t>15269321849</t>
  </si>
  <si>
    <t>61676338</t>
  </si>
  <si>
    <t>15269321952</t>
  </si>
  <si>
    <t>61676394</t>
  </si>
  <si>
    <t>15269322009</t>
  </si>
  <si>
    <t>15269322126</t>
  </si>
  <si>
    <t>15269322175</t>
  </si>
  <si>
    <t>15269322232</t>
  </si>
  <si>
    <t>15269322482</t>
  </si>
  <si>
    <t>15269322515</t>
  </si>
  <si>
    <t>15269322526</t>
  </si>
  <si>
    <t>61713874</t>
  </si>
  <si>
    <t>15269322741</t>
  </si>
  <si>
    <t>15269322765</t>
  </si>
  <si>
    <t>15269322959</t>
  </si>
  <si>
    <t>15269323003</t>
  </si>
  <si>
    <t>15269323037</t>
  </si>
  <si>
    <t>15269323215</t>
  </si>
  <si>
    <t>15269323370</t>
  </si>
  <si>
    <t>61728164</t>
  </si>
  <si>
    <t>15269323391</t>
  </si>
  <si>
    <t>61710008</t>
  </si>
  <si>
    <t>15269323612</t>
  </si>
  <si>
    <t>15269323905</t>
  </si>
  <si>
    <t>15269325078</t>
  </si>
  <si>
    <t>55223284</t>
  </si>
  <si>
    <t>15269325268</t>
  </si>
  <si>
    <t>55187530</t>
  </si>
  <si>
    <t>15269325296</t>
  </si>
  <si>
    <t>55223322</t>
  </si>
  <si>
    <t>15269325971</t>
  </si>
  <si>
    <t>55180417</t>
  </si>
  <si>
    <t>15269326364</t>
  </si>
  <si>
    <t>55223318</t>
  </si>
  <si>
    <t>15269326412</t>
  </si>
  <si>
    <t>55223391</t>
  </si>
  <si>
    <t>15269326458</t>
  </si>
  <si>
    <t>55223339</t>
  </si>
  <si>
    <t>15269326502</t>
  </si>
  <si>
    <t>55223377</t>
  </si>
  <si>
    <t>15269326575</t>
  </si>
  <si>
    <t>55223353</t>
  </si>
  <si>
    <t>15269326667</t>
  </si>
  <si>
    <t>55223389</t>
  </si>
  <si>
    <t>15269326873</t>
  </si>
  <si>
    <t>55223928</t>
  </si>
  <si>
    <t>15269326992</t>
  </si>
  <si>
    <t>55192031</t>
  </si>
  <si>
    <t>15269327199</t>
  </si>
  <si>
    <t>55177900</t>
  </si>
  <si>
    <t>15269327479</t>
  </si>
  <si>
    <t>55223926</t>
  </si>
  <si>
    <t>55247696</t>
  </si>
  <si>
    <t>15269327480</t>
  </si>
  <si>
    <t>55223411</t>
  </si>
  <si>
    <t>15269327944</t>
  </si>
  <si>
    <t>55225273</t>
  </si>
  <si>
    <t>15269328208</t>
  </si>
  <si>
    <t>55199684</t>
  </si>
  <si>
    <t>15269328255</t>
  </si>
  <si>
    <t>55223313</t>
  </si>
  <si>
    <t>15269328447</t>
  </si>
  <si>
    <t>55223407</t>
  </si>
  <si>
    <t>15269328611</t>
  </si>
  <si>
    <t>55223375</t>
  </si>
  <si>
    <t>15269328718</t>
  </si>
  <si>
    <t>55223424</t>
  </si>
  <si>
    <t>15269328780</t>
  </si>
  <si>
    <t>55170100</t>
  </si>
  <si>
    <t>15269328783</t>
  </si>
  <si>
    <t>55187301</t>
  </si>
  <si>
    <t>15269329040</t>
  </si>
  <si>
    <t>55223387</t>
  </si>
  <si>
    <t>15269329698</t>
  </si>
  <si>
    <t>15269330050</t>
  </si>
  <si>
    <t>61722367</t>
  </si>
  <si>
    <t>15269330192</t>
  </si>
  <si>
    <t>15269330640</t>
  </si>
  <si>
    <t>15269330799</t>
  </si>
  <si>
    <t>15269330800</t>
  </si>
  <si>
    <t>15269330801</t>
  </si>
  <si>
    <t>15269330813</t>
  </si>
  <si>
    <t>15269330876</t>
  </si>
  <si>
    <t>15269330877</t>
  </si>
  <si>
    <t>61708639</t>
  </si>
  <si>
    <t>15269330938</t>
  </si>
  <si>
    <t>15269331265</t>
  </si>
  <si>
    <t>15269331353</t>
  </si>
  <si>
    <t>15269331404</t>
  </si>
  <si>
    <t>15269331500</t>
  </si>
  <si>
    <t>15269331517</t>
  </si>
  <si>
    <t>15269331682</t>
  </si>
  <si>
    <t>61693678</t>
  </si>
  <si>
    <t>15269331827</t>
  </si>
  <si>
    <t>15269331860</t>
  </si>
  <si>
    <t>15269331868</t>
  </si>
  <si>
    <t>15269332027</t>
  </si>
  <si>
    <t>15269332292</t>
  </si>
  <si>
    <t>15269332525</t>
  </si>
  <si>
    <t>15269332767</t>
  </si>
  <si>
    <t>15269332856</t>
  </si>
  <si>
    <t>61727824</t>
  </si>
  <si>
    <t>15269333213</t>
  </si>
  <si>
    <t>61720887</t>
  </si>
  <si>
    <t>15269333318</t>
  </si>
  <si>
    <t>15269333835</t>
  </si>
  <si>
    <t>15269333836</t>
  </si>
  <si>
    <t>15269334040</t>
  </si>
  <si>
    <t>61684331</t>
  </si>
  <si>
    <t>15269334041</t>
  </si>
  <si>
    <t>61713355</t>
  </si>
  <si>
    <t>15269334042</t>
  </si>
  <si>
    <t>61722730</t>
  </si>
  <si>
    <t>15269334079</t>
  </si>
  <si>
    <t>15269334159</t>
  </si>
  <si>
    <t>61730236</t>
  </si>
  <si>
    <t>15269334160</t>
  </si>
  <si>
    <t>15269334178</t>
  </si>
  <si>
    <t>15269334559</t>
  </si>
  <si>
    <t>15269334690</t>
  </si>
  <si>
    <t>61715092</t>
  </si>
  <si>
    <t>15269335072</t>
  </si>
  <si>
    <t>15269335267</t>
  </si>
  <si>
    <t>15269335399</t>
  </si>
  <si>
    <t>55194346</t>
  </si>
  <si>
    <t>15269335422</t>
  </si>
  <si>
    <t>55199741</t>
  </si>
  <si>
    <t>15269335575</t>
  </si>
  <si>
    <t>15269335584</t>
  </si>
  <si>
    <t>61689946</t>
  </si>
  <si>
    <t>15269335738</t>
  </si>
  <si>
    <t>15269336608</t>
  </si>
  <si>
    <t>15269336761</t>
  </si>
  <si>
    <t>15269336965</t>
  </si>
  <si>
    <t>61676936</t>
  </si>
  <si>
    <t>15269337084</t>
  </si>
  <si>
    <t>15269337139</t>
  </si>
  <si>
    <t>15269337422</t>
  </si>
  <si>
    <t>15269337778</t>
  </si>
  <si>
    <t>15269337831</t>
  </si>
  <si>
    <t>15269338485</t>
  </si>
  <si>
    <t>15269338609</t>
  </si>
  <si>
    <t>15269338751</t>
  </si>
  <si>
    <t>61700103</t>
  </si>
  <si>
    <t>15269338775</t>
  </si>
  <si>
    <t>15269338806</t>
  </si>
  <si>
    <t>15269339238</t>
  </si>
  <si>
    <t>15269339271</t>
  </si>
  <si>
    <t>15269340309</t>
  </si>
  <si>
    <t>15269342335</t>
  </si>
  <si>
    <t>15269342527</t>
  </si>
  <si>
    <t>15269342772</t>
  </si>
  <si>
    <t>61730800</t>
  </si>
  <si>
    <t>15269345501</t>
  </si>
  <si>
    <t>15269347854</t>
  </si>
  <si>
    <t>15269348691</t>
  </si>
  <si>
    <t>15269351912</t>
  </si>
  <si>
    <t>15269355693</t>
  </si>
  <si>
    <t>15269356358</t>
  </si>
  <si>
    <t>15269356927</t>
  </si>
  <si>
    <t>61675732</t>
  </si>
  <si>
    <t>15269357124</t>
  </si>
  <si>
    <t>15269370237</t>
  </si>
  <si>
    <t>15269372820</t>
  </si>
  <si>
    <t>55185722</t>
  </si>
  <si>
    <t>15269376286</t>
  </si>
  <si>
    <t>15269376715</t>
  </si>
  <si>
    <t>61718010</t>
  </si>
  <si>
    <t>15269376946</t>
  </si>
  <si>
    <t>15269377866</t>
  </si>
  <si>
    <t>15269377998</t>
  </si>
  <si>
    <t>15269379235</t>
  </si>
  <si>
    <t>15269379587</t>
  </si>
  <si>
    <t>15269379717</t>
  </si>
  <si>
    <t>15269379902</t>
  </si>
  <si>
    <t>15269381580</t>
  </si>
  <si>
    <t>15269384085</t>
  </si>
  <si>
    <t>15269384271</t>
  </si>
  <si>
    <t>15269384818</t>
  </si>
  <si>
    <t>61724347</t>
  </si>
  <si>
    <t>15269390479</t>
  </si>
  <si>
    <t>15269390843</t>
  </si>
  <si>
    <t>55175253</t>
  </si>
  <si>
    <t>60833738</t>
  </si>
  <si>
    <t>15269392312</t>
  </si>
  <si>
    <t>55224671</t>
  </si>
  <si>
    <t>15269394654</t>
  </si>
  <si>
    <t>55181137</t>
  </si>
  <si>
    <t>15269396371</t>
  </si>
  <si>
    <t>55223981</t>
  </si>
  <si>
    <t>15269396588</t>
  </si>
  <si>
    <t>55180388</t>
  </si>
  <si>
    <t>15269397472</t>
  </si>
  <si>
    <t>55182917</t>
  </si>
  <si>
    <t>15269398657</t>
  </si>
  <si>
    <t>55168976</t>
  </si>
  <si>
    <t>15269399824</t>
  </si>
  <si>
    <t>60033114</t>
  </si>
  <si>
    <t>15269399992</t>
  </si>
  <si>
    <t>55252980</t>
  </si>
  <si>
    <t>15269401211</t>
  </si>
  <si>
    <t>61685698</t>
  </si>
  <si>
    <t>15269401954</t>
  </si>
  <si>
    <t>15269402125</t>
  </si>
  <si>
    <t>60833614</t>
  </si>
  <si>
    <t>15269402884</t>
  </si>
  <si>
    <t>55171263</t>
  </si>
  <si>
    <t>15269403081</t>
  </si>
  <si>
    <t>55201735</t>
  </si>
  <si>
    <t>15269403237</t>
  </si>
  <si>
    <t>15269403418</t>
  </si>
  <si>
    <t>55180399</t>
  </si>
  <si>
    <t>15269403700</t>
  </si>
  <si>
    <t>15269403932</t>
  </si>
  <si>
    <t>15269404275</t>
  </si>
  <si>
    <t>15269404363</t>
  </si>
  <si>
    <t>15269404460</t>
  </si>
  <si>
    <t>15269404779</t>
  </si>
  <si>
    <t>55193513</t>
  </si>
  <si>
    <t>15269404806</t>
  </si>
  <si>
    <t>55193699</t>
  </si>
  <si>
    <t>15269404807</t>
  </si>
  <si>
    <t>55187854</t>
  </si>
  <si>
    <t>15269405009</t>
  </si>
  <si>
    <t>55193833</t>
  </si>
  <si>
    <t>15269405048</t>
  </si>
  <si>
    <t>55199233</t>
  </si>
  <si>
    <t>15269405180</t>
  </si>
  <si>
    <t>15269405190</t>
  </si>
  <si>
    <t>55193755</t>
  </si>
  <si>
    <t>15269405586</t>
  </si>
  <si>
    <t>15269406214</t>
  </si>
  <si>
    <t>15269406310</t>
  </si>
  <si>
    <t>15269406334</t>
  </si>
  <si>
    <t>15269407080</t>
  </si>
  <si>
    <t>15269407166</t>
  </si>
  <si>
    <t>15269407527</t>
  </si>
  <si>
    <t>15269408442</t>
  </si>
  <si>
    <t>15269408641</t>
  </si>
  <si>
    <t>15269408712</t>
  </si>
  <si>
    <t>15269409182</t>
  </si>
  <si>
    <t>15269409667</t>
  </si>
  <si>
    <t>15269409749</t>
  </si>
  <si>
    <t>15269410002</t>
  </si>
  <si>
    <t>15269410265</t>
  </si>
  <si>
    <t>55206520</t>
  </si>
  <si>
    <t>15269410308</t>
  </si>
  <si>
    <t>15269410309</t>
  </si>
  <si>
    <t>61676944</t>
  </si>
  <si>
    <t>15269410522</t>
  </si>
  <si>
    <t>15269410545</t>
  </si>
  <si>
    <t>15269410644</t>
  </si>
  <si>
    <t>61736102</t>
  </si>
  <si>
    <t>15269410920</t>
  </si>
  <si>
    <t>15269411312</t>
  </si>
  <si>
    <t>15269411517</t>
  </si>
  <si>
    <t>15269411535</t>
  </si>
  <si>
    <t>15269411589</t>
  </si>
  <si>
    <t>15269411799</t>
  </si>
  <si>
    <t>61685033</t>
  </si>
  <si>
    <t>15269411821</t>
  </si>
  <si>
    <t>15269411828</t>
  </si>
  <si>
    <t>15269412104</t>
  </si>
  <si>
    <t>15269412455</t>
  </si>
  <si>
    <t>15269412705</t>
  </si>
  <si>
    <t>15269412957</t>
  </si>
  <si>
    <t>61686784</t>
  </si>
  <si>
    <t>15269413019</t>
  </si>
  <si>
    <t>61735116</t>
  </si>
  <si>
    <t>15269413619</t>
  </si>
  <si>
    <t>15269413880</t>
  </si>
  <si>
    <t>15269413931</t>
  </si>
  <si>
    <t>15269414091</t>
  </si>
  <si>
    <t>15269414512</t>
  </si>
  <si>
    <t>15269414528</t>
  </si>
  <si>
    <t>15269414629</t>
  </si>
  <si>
    <t>15269414630</t>
  </si>
  <si>
    <t>15269414674</t>
  </si>
  <si>
    <t>15269414963</t>
  </si>
  <si>
    <t>15269415581</t>
  </si>
  <si>
    <t>15269415945</t>
  </si>
  <si>
    <t>15269415970</t>
  </si>
  <si>
    <t>15269416166</t>
  </si>
  <si>
    <t>15269416172</t>
  </si>
  <si>
    <t>15269416240</t>
  </si>
  <si>
    <t>61722143</t>
  </si>
  <si>
    <t>15269416439</t>
  </si>
  <si>
    <t>15269416749</t>
  </si>
  <si>
    <t>61698560</t>
  </si>
  <si>
    <t>15269416781</t>
  </si>
  <si>
    <t>15269416882</t>
  </si>
  <si>
    <t>15269416891</t>
  </si>
  <si>
    <t>15269416926</t>
  </si>
  <si>
    <t>15269416974</t>
  </si>
  <si>
    <t>15269417107</t>
  </si>
  <si>
    <t>15269417108</t>
  </si>
  <si>
    <t>15269417412</t>
  </si>
  <si>
    <t>15269417518</t>
  </si>
  <si>
    <t>15269418305</t>
  </si>
  <si>
    <t>15269418368</t>
  </si>
  <si>
    <t>15269418407</t>
  </si>
  <si>
    <t>15269418438</t>
  </si>
  <si>
    <t>15269418475</t>
  </si>
  <si>
    <t>15269418504</t>
  </si>
  <si>
    <t>15269419122</t>
  </si>
  <si>
    <t>15269419288</t>
  </si>
  <si>
    <t>61710764</t>
  </si>
  <si>
    <t>15269420402</t>
  </si>
  <si>
    <t>15269421943</t>
  </si>
  <si>
    <t>15269422169</t>
  </si>
  <si>
    <t>15269422201</t>
  </si>
  <si>
    <t>61726744</t>
  </si>
  <si>
    <t>15269422622</t>
  </si>
  <si>
    <t>15269422702</t>
  </si>
  <si>
    <t>15269422725</t>
  </si>
  <si>
    <t>15269422936</t>
  </si>
  <si>
    <t>15269426609</t>
  </si>
  <si>
    <t>15269444419</t>
  </si>
  <si>
    <t>15269445740</t>
  </si>
  <si>
    <t>15269448921</t>
  </si>
  <si>
    <t>15269451182</t>
  </si>
  <si>
    <t>15269452910</t>
  </si>
  <si>
    <t>15269453508</t>
  </si>
  <si>
    <t>15269453710</t>
  </si>
  <si>
    <t>15269454861</t>
  </si>
  <si>
    <t>15269455679</t>
  </si>
  <si>
    <t>15269457089</t>
  </si>
  <si>
    <t>15269458867</t>
  </si>
  <si>
    <t>15269459175</t>
  </si>
  <si>
    <t>15269459431</t>
  </si>
  <si>
    <t>15269460048</t>
  </si>
  <si>
    <t>55201199</t>
  </si>
  <si>
    <t>15269460728</t>
  </si>
  <si>
    <t>55201857</t>
  </si>
  <si>
    <t>15269460918</t>
  </si>
  <si>
    <t>55200403</t>
  </si>
  <si>
    <t>15269460922</t>
  </si>
  <si>
    <t>55205591</t>
  </si>
  <si>
    <t>15269461647</t>
  </si>
  <si>
    <t>55202116</t>
  </si>
  <si>
    <t>15269462813</t>
  </si>
  <si>
    <t>15269464683</t>
  </si>
  <si>
    <t>55205679</t>
  </si>
  <si>
    <t>15269465195</t>
  </si>
  <si>
    <t>55206569</t>
  </si>
  <si>
    <t>15269465395</t>
  </si>
  <si>
    <t>15269465849</t>
  </si>
  <si>
    <t>15269466281</t>
  </si>
  <si>
    <t>15269467080</t>
  </si>
  <si>
    <t>15269468875</t>
  </si>
  <si>
    <t>61693600</t>
  </si>
  <si>
    <t>15269469230</t>
  </si>
  <si>
    <t>15269469392</t>
  </si>
  <si>
    <t>15269469922</t>
  </si>
  <si>
    <t>15269470131</t>
  </si>
  <si>
    <t>15269470529</t>
  </si>
  <si>
    <t>15269470913</t>
  </si>
  <si>
    <t>15269474390</t>
  </si>
  <si>
    <t>55209634</t>
  </si>
  <si>
    <t>15269475248</t>
  </si>
  <si>
    <t>61699104</t>
  </si>
  <si>
    <t>15269476229</t>
  </si>
  <si>
    <t>55212404</t>
  </si>
  <si>
    <t>15269477569</t>
  </si>
  <si>
    <t>55202914</t>
  </si>
  <si>
    <t>15269477877</t>
  </si>
  <si>
    <t>55206521</t>
  </si>
  <si>
    <t>15269478134</t>
  </si>
  <si>
    <t>15269478143</t>
  </si>
  <si>
    <t>15269479571</t>
  </si>
  <si>
    <t>55207565</t>
  </si>
  <si>
    <t>15269480057</t>
  </si>
  <si>
    <t>15269480659</t>
  </si>
  <si>
    <t>15269480973</t>
  </si>
  <si>
    <t>15269481036</t>
  </si>
  <si>
    <t>15269481218</t>
  </si>
  <si>
    <t>15269482042</t>
  </si>
  <si>
    <t>15269482291</t>
  </si>
  <si>
    <t>61734701</t>
  </si>
  <si>
    <t>15269482814</t>
  </si>
  <si>
    <t>15269483410</t>
  </si>
  <si>
    <t>15269483455</t>
  </si>
  <si>
    <t>15269483570</t>
  </si>
  <si>
    <t>15269483580</t>
  </si>
  <si>
    <t>15269483966</t>
  </si>
  <si>
    <t>15269484371</t>
  </si>
  <si>
    <t>15269485023</t>
  </si>
  <si>
    <t>15269485210</t>
  </si>
  <si>
    <t>15269485387</t>
  </si>
  <si>
    <t>15269485753</t>
  </si>
  <si>
    <t>15269485801</t>
  </si>
  <si>
    <t>61713985</t>
  </si>
  <si>
    <t>15269485831</t>
  </si>
  <si>
    <t>15269486540</t>
  </si>
  <si>
    <t>15269486679</t>
  </si>
  <si>
    <t>15269486846</t>
  </si>
  <si>
    <t>61730670</t>
  </si>
  <si>
    <t>15269486960</t>
  </si>
  <si>
    <t>15269486962</t>
  </si>
  <si>
    <t>15269487936</t>
  </si>
  <si>
    <t>55210574</t>
  </si>
  <si>
    <t>15269488003</t>
  </si>
  <si>
    <t>55212306</t>
  </si>
  <si>
    <t>15269488468</t>
  </si>
  <si>
    <t>15269488485</t>
  </si>
  <si>
    <t>61711490</t>
  </si>
  <si>
    <t>15269488564</t>
  </si>
  <si>
    <t>15269488676</t>
  </si>
  <si>
    <t>15269488700</t>
  </si>
  <si>
    <t>61699259</t>
  </si>
  <si>
    <t>15269488771</t>
  </si>
  <si>
    <t>15269489046</t>
  </si>
  <si>
    <t>15269489089</t>
  </si>
  <si>
    <t>15269489158</t>
  </si>
  <si>
    <t>61683213</t>
  </si>
  <si>
    <t>15269489658</t>
  </si>
  <si>
    <t>61707078</t>
  </si>
  <si>
    <t>15269489728</t>
  </si>
  <si>
    <t>15269490155</t>
  </si>
  <si>
    <t>15269490238</t>
  </si>
  <si>
    <t>15269490539</t>
  </si>
  <si>
    <t>61688193</t>
  </si>
  <si>
    <t>15269490831</t>
  </si>
  <si>
    <t>15269490857</t>
  </si>
  <si>
    <t>15269490869</t>
  </si>
  <si>
    <t>15269490905</t>
  </si>
  <si>
    <t>15269490906</t>
  </si>
  <si>
    <t>55221577</t>
  </si>
  <si>
    <t>15269491142</t>
  </si>
  <si>
    <t>15269491328</t>
  </si>
  <si>
    <t>15269491395</t>
  </si>
  <si>
    <t>61732707</t>
  </si>
  <si>
    <t>15269491599</t>
  </si>
  <si>
    <t>15269491932</t>
  </si>
  <si>
    <t>61693605</t>
  </si>
  <si>
    <t>15269492066</t>
  </si>
  <si>
    <t>15269492110</t>
  </si>
  <si>
    <t>15269492301</t>
  </si>
  <si>
    <t>15269492442</t>
  </si>
  <si>
    <t>15269493465</t>
  </si>
  <si>
    <t>15269494024</t>
  </si>
  <si>
    <t>15269494040</t>
  </si>
  <si>
    <t>61675955</t>
  </si>
  <si>
    <t>15269494276</t>
  </si>
  <si>
    <t>15269494440</t>
  </si>
  <si>
    <t>15269494529</t>
  </si>
  <si>
    <t>15269495984</t>
  </si>
  <si>
    <t>15269496481</t>
  </si>
  <si>
    <t>15269496878</t>
  </si>
  <si>
    <t>15269498053</t>
  </si>
  <si>
    <t>15269498195</t>
  </si>
  <si>
    <t>15269498463</t>
  </si>
  <si>
    <t>15269499264</t>
  </si>
  <si>
    <t>15269499895</t>
  </si>
  <si>
    <t>15269500345</t>
  </si>
  <si>
    <t>15269503446</t>
  </si>
  <si>
    <t>15269503517</t>
  </si>
  <si>
    <t>15269503839</t>
  </si>
  <si>
    <t>15269505083</t>
  </si>
  <si>
    <t>15269505687</t>
  </si>
  <si>
    <t>61702116</t>
  </si>
  <si>
    <t>15269507084</t>
  </si>
  <si>
    <t>15269507327</t>
  </si>
  <si>
    <t>15269508001</t>
  </si>
  <si>
    <t>15269508170</t>
  </si>
  <si>
    <t>15269509839</t>
  </si>
  <si>
    <t>15269510316</t>
  </si>
  <si>
    <t>15269511574</t>
  </si>
  <si>
    <t>15269523173</t>
  </si>
  <si>
    <t>55212503</t>
  </si>
  <si>
    <t>15269523174</t>
  </si>
  <si>
    <t>15269524183</t>
  </si>
  <si>
    <t>15269525684</t>
  </si>
  <si>
    <t>61710107</t>
  </si>
  <si>
    <t>15269525973</t>
  </si>
  <si>
    <t>15269527008</t>
  </si>
  <si>
    <t>15269528015</t>
  </si>
  <si>
    <t>15269528220</t>
  </si>
  <si>
    <t>15269529783</t>
  </si>
  <si>
    <t>15269531289</t>
  </si>
  <si>
    <t>15269531456</t>
  </si>
  <si>
    <t>15269531646</t>
  </si>
  <si>
    <t>15269532156</t>
  </si>
  <si>
    <t>15269532925</t>
  </si>
  <si>
    <t>15269533610</t>
  </si>
  <si>
    <t>15269534364</t>
  </si>
  <si>
    <t>15269534565</t>
  </si>
  <si>
    <t>15269534630</t>
  </si>
  <si>
    <t>61713551</t>
  </si>
  <si>
    <t>15269534818</t>
  </si>
  <si>
    <t>15269535954</t>
  </si>
  <si>
    <t>15269536443</t>
  </si>
  <si>
    <t>15269536444</t>
  </si>
  <si>
    <t>15269536783</t>
  </si>
  <si>
    <t>15269536836</t>
  </si>
  <si>
    <t>15269537091</t>
  </si>
  <si>
    <t>15269537122</t>
  </si>
  <si>
    <t>15269537123</t>
  </si>
  <si>
    <t>15269537194</t>
  </si>
  <si>
    <t>15269537258</t>
  </si>
  <si>
    <t>15269538975</t>
  </si>
  <si>
    <t>55210405</t>
  </si>
  <si>
    <t>15269539148</t>
  </si>
  <si>
    <t>55209513</t>
  </si>
  <si>
    <t>55208825</t>
  </si>
  <si>
    <t>15269539175</t>
  </si>
  <si>
    <t>55209379</t>
  </si>
  <si>
    <t>15269539850</t>
  </si>
  <si>
    <t>55208369</t>
  </si>
  <si>
    <t>15269539851</t>
  </si>
  <si>
    <t>15269540196</t>
  </si>
  <si>
    <t>55212304</t>
  </si>
  <si>
    <t>15269540338</t>
  </si>
  <si>
    <t>55210404</t>
  </si>
  <si>
    <t>15269540612</t>
  </si>
  <si>
    <t>55209824</t>
  </si>
  <si>
    <t>15269541046</t>
  </si>
  <si>
    <t>55208461</t>
  </si>
  <si>
    <t>15269542117</t>
  </si>
  <si>
    <t>55209828</t>
  </si>
  <si>
    <t>15269542580</t>
  </si>
  <si>
    <t>15269543988</t>
  </si>
  <si>
    <t>55209787</t>
  </si>
  <si>
    <t>15269543992</t>
  </si>
  <si>
    <t>55208371</t>
  </si>
  <si>
    <t>15269544008</t>
  </si>
  <si>
    <t>15269544148</t>
  </si>
  <si>
    <t>15269544840</t>
  </si>
  <si>
    <t>55212307</t>
  </si>
  <si>
    <t>15269544842</t>
  </si>
  <si>
    <t>55209788</t>
  </si>
  <si>
    <t>15269545332</t>
  </si>
  <si>
    <t>15269545431</t>
  </si>
  <si>
    <t>61729954</t>
  </si>
  <si>
    <t>15269545485</t>
  </si>
  <si>
    <t>15269546983</t>
  </si>
  <si>
    <t>15269548538</t>
  </si>
  <si>
    <t>15269548883</t>
  </si>
  <si>
    <t>55212380</t>
  </si>
  <si>
    <t>15269550029</t>
  </si>
  <si>
    <t>55210604</t>
  </si>
  <si>
    <t>15269550343</t>
  </si>
  <si>
    <t>55214067</t>
  </si>
  <si>
    <t>15269550697</t>
  </si>
  <si>
    <t>55212478</t>
  </si>
  <si>
    <t>15269550824</t>
  </si>
  <si>
    <t>55212479</t>
  </si>
  <si>
    <t>15269550929</t>
  </si>
  <si>
    <t>55212502</t>
  </si>
  <si>
    <t>15269551644</t>
  </si>
  <si>
    <t>55212443</t>
  </si>
  <si>
    <t>15269551950</t>
  </si>
  <si>
    <t>55217983</t>
  </si>
  <si>
    <t>15269552093</t>
  </si>
  <si>
    <t>15269552305</t>
  </si>
  <si>
    <t>55210567</t>
  </si>
  <si>
    <t>15269553387</t>
  </si>
  <si>
    <t>55212440</t>
  </si>
  <si>
    <t>15269553682</t>
  </si>
  <si>
    <t>15269553738</t>
  </si>
  <si>
    <t>15269556247</t>
  </si>
  <si>
    <t>15269557220</t>
  </si>
  <si>
    <t>15269557352</t>
  </si>
  <si>
    <t>15269558474</t>
  </si>
  <si>
    <t>15269558866</t>
  </si>
  <si>
    <t>15269559361</t>
  </si>
  <si>
    <t>15269559401</t>
  </si>
  <si>
    <t>55222636</t>
  </si>
  <si>
    <t>15269559427</t>
  </si>
  <si>
    <t>15269560274</t>
  </si>
  <si>
    <t>15269560695</t>
  </si>
  <si>
    <t>61678324</t>
  </si>
  <si>
    <t>15269561687</t>
  </si>
  <si>
    <t>15269562278</t>
  </si>
  <si>
    <t>15269562290</t>
  </si>
  <si>
    <t>15269562365</t>
  </si>
  <si>
    <t>61703011</t>
  </si>
  <si>
    <t>15269562668</t>
  </si>
  <si>
    <t>61705054</t>
  </si>
  <si>
    <t>15269564034</t>
  </si>
  <si>
    <t>15269564127</t>
  </si>
  <si>
    <t>15269564712</t>
  </si>
  <si>
    <t>15269565271</t>
  </si>
  <si>
    <t>15269565755</t>
  </si>
  <si>
    <t>15269566084</t>
  </si>
  <si>
    <t>15269566113</t>
  </si>
  <si>
    <t>15269567490</t>
  </si>
  <si>
    <t>15269570011</t>
  </si>
  <si>
    <t>15269573533</t>
  </si>
  <si>
    <t>15269574927</t>
  </si>
  <si>
    <t>15269580335</t>
  </si>
  <si>
    <t>15269585489</t>
  </si>
  <si>
    <t>15269587287</t>
  </si>
  <si>
    <t>55218149</t>
  </si>
  <si>
    <t>15269588643</t>
  </si>
  <si>
    <t>55222641</t>
  </si>
  <si>
    <t>15269588644</t>
  </si>
  <si>
    <t>55221499</t>
  </si>
  <si>
    <t>15269588645</t>
  </si>
  <si>
    <t>55221541</t>
  </si>
  <si>
    <t>15269590131</t>
  </si>
  <si>
    <t>15269590310</t>
  </si>
  <si>
    <t>15269601767</t>
  </si>
  <si>
    <t>15269604686</t>
  </si>
  <si>
    <t>15269605106</t>
  </si>
  <si>
    <t>61730238</t>
  </si>
  <si>
    <t>15269605768</t>
  </si>
  <si>
    <t>15269606080</t>
  </si>
  <si>
    <t>15269607647</t>
  </si>
  <si>
    <t>15269608376</t>
  </si>
  <si>
    <t>55215367</t>
  </si>
  <si>
    <t>15269611507</t>
  </si>
  <si>
    <t>55214518</t>
  </si>
  <si>
    <t>15269612135</t>
  </si>
  <si>
    <t>55215973</t>
  </si>
  <si>
    <t>15269612136</t>
  </si>
  <si>
    <t>55220614</t>
  </si>
  <si>
    <t>15269612139</t>
  </si>
  <si>
    <t>55221466</t>
  </si>
  <si>
    <t>15269613107</t>
  </si>
  <si>
    <t>55214880</t>
  </si>
  <si>
    <t>15269613691</t>
  </si>
  <si>
    <t>15269614768</t>
  </si>
  <si>
    <t>61713696</t>
  </si>
  <si>
    <t>15269615843</t>
  </si>
  <si>
    <t>15269615994</t>
  </si>
  <si>
    <t>15269616475</t>
  </si>
  <si>
    <t>15269616800</t>
  </si>
  <si>
    <t>15269618614</t>
  </si>
  <si>
    <t>55221750</t>
  </si>
  <si>
    <t>15269619084</t>
  </si>
  <si>
    <t>55221751</t>
  </si>
  <si>
    <t>15269619509</t>
  </si>
  <si>
    <t>15269619654</t>
  </si>
  <si>
    <t>15269620173</t>
  </si>
  <si>
    <t>15269621003</t>
  </si>
  <si>
    <t>15269621070</t>
  </si>
  <si>
    <t>15269621276</t>
  </si>
  <si>
    <t>15269621653</t>
  </si>
  <si>
    <t>15269622438</t>
  </si>
  <si>
    <t>61731511</t>
  </si>
  <si>
    <t>15269623064</t>
  </si>
  <si>
    <t>15269623273</t>
  </si>
  <si>
    <t>15269624764</t>
  </si>
  <si>
    <t>15269625122</t>
  </si>
  <si>
    <t>15269625215</t>
  </si>
  <si>
    <t>15269625662</t>
  </si>
  <si>
    <t>15269625792</t>
  </si>
  <si>
    <t>55228091</t>
  </si>
  <si>
    <t>15269626105</t>
  </si>
  <si>
    <t>15269626344</t>
  </si>
  <si>
    <t>15269626552</t>
  </si>
  <si>
    <t>15269626956</t>
  </si>
  <si>
    <t>15269626957</t>
  </si>
  <si>
    <t>15269627762</t>
  </si>
  <si>
    <t>15269627967</t>
  </si>
  <si>
    <t>59927378</t>
  </si>
  <si>
    <t>15269628262</t>
  </si>
  <si>
    <t>15269631168</t>
  </si>
  <si>
    <t>61683910</t>
  </si>
  <si>
    <t>15269631217</t>
  </si>
  <si>
    <t>15269631305</t>
  </si>
  <si>
    <t>61712199</t>
  </si>
  <si>
    <t>15269631566</t>
  </si>
  <si>
    <t>15269631628</t>
  </si>
  <si>
    <t>15269631646</t>
  </si>
  <si>
    <t>15269632344</t>
  </si>
  <si>
    <t>15269632585</t>
  </si>
  <si>
    <t>15269634944</t>
  </si>
  <si>
    <t>15269635823</t>
  </si>
  <si>
    <t>15269636139</t>
  </si>
  <si>
    <t>15269636738</t>
  </si>
  <si>
    <t>15269637625</t>
  </si>
  <si>
    <t>15269638549</t>
  </si>
  <si>
    <t>15269639569</t>
  </si>
  <si>
    <t>15269640164</t>
  </si>
  <si>
    <t>15269640258</t>
  </si>
  <si>
    <t>15269640437</t>
  </si>
  <si>
    <t>15269640638</t>
  </si>
  <si>
    <t>15269641336</t>
  </si>
  <si>
    <t>15269642127</t>
  </si>
  <si>
    <t>15269642146</t>
  </si>
  <si>
    <t>15269649676</t>
  </si>
  <si>
    <t>15269650395</t>
  </si>
  <si>
    <t>61735314</t>
  </si>
  <si>
    <t>15269650730</t>
  </si>
  <si>
    <t>15269651610</t>
  </si>
  <si>
    <t>15269652899</t>
  </si>
  <si>
    <t>15269653043</t>
  </si>
  <si>
    <t>15269653290</t>
  </si>
  <si>
    <t>61733483</t>
  </si>
  <si>
    <t>15269661915</t>
  </si>
  <si>
    <t>55228790</t>
  </si>
  <si>
    <t>15269663860</t>
  </si>
  <si>
    <t>15269664356</t>
  </si>
  <si>
    <t>15269665068</t>
  </si>
  <si>
    <t>15269665114</t>
  </si>
  <si>
    <t>59927096</t>
  </si>
  <si>
    <t>15269666116</t>
  </si>
  <si>
    <t>15269667560</t>
  </si>
  <si>
    <t>61694230</t>
  </si>
  <si>
    <t>15269667665</t>
  </si>
  <si>
    <t>15269670102</t>
  </si>
  <si>
    <t>15269671481</t>
  </si>
  <si>
    <t>15269671482</t>
  </si>
  <si>
    <t>15269671683</t>
  </si>
  <si>
    <t>61706901</t>
  </si>
  <si>
    <t>15269671860</t>
  </si>
  <si>
    <t>61679729</t>
  </si>
  <si>
    <t>15269674254</t>
  </si>
  <si>
    <t>15269674881</t>
  </si>
  <si>
    <t>15269677887</t>
  </si>
  <si>
    <t>55228095</t>
  </si>
  <si>
    <t>15269679301</t>
  </si>
  <si>
    <t>55227265</t>
  </si>
  <si>
    <t>15269681374</t>
  </si>
  <si>
    <t>15269684095</t>
  </si>
  <si>
    <t>15269685014</t>
  </si>
  <si>
    <t>15269687637</t>
  </si>
  <si>
    <t>15269687807</t>
  </si>
  <si>
    <t>15269689508</t>
  </si>
  <si>
    <t>61706486</t>
  </si>
  <si>
    <t>15269690247</t>
  </si>
  <si>
    <t>15269690735</t>
  </si>
  <si>
    <t>55227604</t>
  </si>
  <si>
    <t>15269692932</t>
  </si>
  <si>
    <t>15269692994</t>
  </si>
  <si>
    <t>15269693946</t>
  </si>
  <si>
    <t>15269693947</t>
  </si>
  <si>
    <t>15269693948</t>
  </si>
  <si>
    <t>15269693949</t>
  </si>
  <si>
    <t>61696176</t>
  </si>
  <si>
    <t>15269694102</t>
  </si>
  <si>
    <t>15269694803</t>
  </si>
  <si>
    <t>15269695964</t>
  </si>
  <si>
    <t>15269697240</t>
  </si>
  <si>
    <t>15269697551</t>
  </si>
  <si>
    <t>15269699421</t>
  </si>
  <si>
    <t>15269699455</t>
  </si>
  <si>
    <t>15269700019</t>
  </si>
  <si>
    <t>15269700604</t>
  </si>
  <si>
    <t>15269700714</t>
  </si>
  <si>
    <t>61693594</t>
  </si>
  <si>
    <t>15269700978</t>
  </si>
  <si>
    <t>15269701262</t>
  </si>
  <si>
    <t>15269701432</t>
  </si>
  <si>
    <t>15269701585</t>
  </si>
  <si>
    <t>15269701710</t>
  </si>
  <si>
    <t>55252981</t>
  </si>
  <si>
    <t>15269701777</t>
  </si>
  <si>
    <t>15269702073</t>
  </si>
  <si>
    <t>15269702251</t>
  </si>
  <si>
    <t>15269702267</t>
  </si>
  <si>
    <t>15269703864</t>
  </si>
  <si>
    <t>15269703942</t>
  </si>
  <si>
    <t>61708353</t>
  </si>
  <si>
    <t>15269705225</t>
  </si>
  <si>
    <t>15269705562</t>
  </si>
  <si>
    <t>15269706023</t>
  </si>
  <si>
    <t>15269706066</t>
  </si>
  <si>
    <t>15269706261</t>
  </si>
  <si>
    <t>15269706402</t>
  </si>
  <si>
    <t>15269706462</t>
  </si>
  <si>
    <t>15269706463</t>
  </si>
  <si>
    <t>15269707139</t>
  </si>
  <si>
    <t>15269707222</t>
  </si>
  <si>
    <t>15269707244</t>
  </si>
  <si>
    <t>15269707517</t>
  </si>
  <si>
    <t>15269707854</t>
  </si>
  <si>
    <t>15269707855</t>
  </si>
  <si>
    <t>15269708158</t>
  </si>
  <si>
    <t>15269708520</t>
  </si>
  <si>
    <t>15269708666</t>
  </si>
  <si>
    <t>15269708730</t>
  </si>
  <si>
    <t>15269709297</t>
  </si>
  <si>
    <t>61730758</t>
  </si>
  <si>
    <t>15269709361</t>
  </si>
  <si>
    <t>15269709555</t>
  </si>
  <si>
    <t>15269711117</t>
  </si>
  <si>
    <t>15269714598</t>
  </si>
  <si>
    <t>15269715257</t>
  </si>
  <si>
    <t>15269715617</t>
  </si>
  <si>
    <t>15269716833</t>
  </si>
  <si>
    <t>15269723582</t>
  </si>
  <si>
    <t>15269724038</t>
  </si>
  <si>
    <t>15269726424</t>
  </si>
  <si>
    <t>15269729019</t>
  </si>
  <si>
    <t>15269731528</t>
  </si>
  <si>
    <t>15269731894</t>
  </si>
  <si>
    <t>15269732320</t>
  </si>
  <si>
    <t>61708889</t>
  </si>
  <si>
    <t>15269732406</t>
  </si>
  <si>
    <t>61708081</t>
  </si>
  <si>
    <t>15269733440</t>
  </si>
  <si>
    <t>61703097</t>
  </si>
  <si>
    <t>15269734926</t>
  </si>
  <si>
    <t>15269737390</t>
  </si>
  <si>
    <t>15269739205</t>
  </si>
  <si>
    <t>60833939</t>
  </si>
  <si>
    <t>15269739490</t>
  </si>
  <si>
    <t>15269739696</t>
  </si>
  <si>
    <t>60833981</t>
  </si>
  <si>
    <t>15269741368</t>
  </si>
  <si>
    <t>15269741558</t>
  </si>
  <si>
    <t>15269741769</t>
  </si>
  <si>
    <t>15269741805</t>
  </si>
  <si>
    <t>15269742747</t>
  </si>
  <si>
    <t>15269743386</t>
  </si>
  <si>
    <t>15269743432</t>
  </si>
  <si>
    <t>61719916</t>
  </si>
  <si>
    <t>15269744151</t>
  </si>
  <si>
    <t>15269744209</t>
  </si>
  <si>
    <t>15269755989</t>
  </si>
  <si>
    <t>15269756045</t>
  </si>
  <si>
    <t>15269757090</t>
  </si>
  <si>
    <t>15269757116</t>
  </si>
  <si>
    <t>15269757301</t>
  </si>
  <si>
    <t>15269757685</t>
  </si>
  <si>
    <t>61677514</t>
  </si>
  <si>
    <t>15269757787</t>
  </si>
  <si>
    <t>15269758569</t>
  </si>
  <si>
    <t>61731867</t>
  </si>
  <si>
    <t>15269758570</t>
  </si>
  <si>
    <t>15269758840</t>
  </si>
  <si>
    <t>15269759718</t>
  </si>
  <si>
    <t>15269761406</t>
  </si>
  <si>
    <t>15269761492</t>
  </si>
  <si>
    <t>15269761547</t>
  </si>
  <si>
    <t>15269762598</t>
  </si>
  <si>
    <t>15269762600</t>
  </si>
  <si>
    <t>15269762601</t>
  </si>
  <si>
    <t>15269762683</t>
  </si>
  <si>
    <t>15269762792</t>
  </si>
  <si>
    <t>15269762793</t>
  </si>
  <si>
    <t>15269765442</t>
  </si>
  <si>
    <t>60833935</t>
  </si>
  <si>
    <t>15269765706</t>
  </si>
  <si>
    <t>15269765764</t>
  </si>
  <si>
    <t>60833687</t>
  </si>
  <si>
    <t>15269766219</t>
  </si>
  <si>
    <t>15269766337</t>
  </si>
  <si>
    <t>15269766456</t>
  </si>
  <si>
    <t>15269766560</t>
  </si>
  <si>
    <t>60833943</t>
  </si>
  <si>
    <t>15269766564</t>
  </si>
  <si>
    <t>15269766807</t>
  </si>
  <si>
    <t>60833674</t>
  </si>
  <si>
    <t>15269766901</t>
  </si>
  <si>
    <t>15269766913</t>
  </si>
  <si>
    <t>60833769</t>
  </si>
  <si>
    <t>15269767116</t>
  </si>
  <si>
    <t>15269767215</t>
  </si>
  <si>
    <t>61699039</t>
  </si>
  <si>
    <t>15269767295</t>
  </si>
  <si>
    <t>15269767362</t>
  </si>
  <si>
    <t>15269767587</t>
  </si>
  <si>
    <t>60833971</t>
  </si>
  <si>
    <t>15269767785</t>
  </si>
  <si>
    <t>61728949</t>
  </si>
  <si>
    <t>15269767809</t>
  </si>
  <si>
    <t>15269767813</t>
  </si>
  <si>
    <t>15269767832</t>
  </si>
  <si>
    <t>15269767968</t>
  </si>
  <si>
    <t>15269768125</t>
  </si>
  <si>
    <t>15269768784</t>
  </si>
  <si>
    <t>15269768873</t>
  </si>
  <si>
    <t>15269768932</t>
  </si>
  <si>
    <t>61722575</t>
  </si>
  <si>
    <t>15269769334</t>
  </si>
  <si>
    <t>61732654</t>
  </si>
  <si>
    <t>15269769409</t>
  </si>
  <si>
    <t>15269769775</t>
  </si>
  <si>
    <t>15269769916</t>
  </si>
  <si>
    <t>15269770122</t>
  </si>
  <si>
    <t>15269770502</t>
  </si>
  <si>
    <t>15269770516</t>
  </si>
  <si>
    <t>15269770675</t>
  </si>
  <si>
    <t>15269770744</t>
  </si>
  <si>
    <t>15269771220</t>
  </si>
  <si>
    <t>15269771299</t>
  </si>
  <si>
    <t>15269771327</t>
  </si>
  <si>
    <t>61733071</t>
  </si>
  <si>
    <t>15269771351</t>
  </si>
  <si>
    <t>15269771367</t>
  </si>
  <si>
    <t>15269771675</t>
  </si>
  <si>
    <t>15269771733</t>
  </si>
  <si>
    <t>15269771790</t>
  </si>
  <si>
    <t>15269771994</t>
  </si>
  <si>
    <t>15269772143</t>
  </si>
  <si>
    <t>15269772150</t>
  </si>
  <si>
    <t>15269772224</t>
  </si>
  <si>
    <t>61702013</t>
  </si>
  <si>
    <t>15269772277</t>
  </si>
  <si>
    <t>61738334</t>
  </si>
  <si>
    <t>15269772343</t>
  </si>
  <si>
    <t>15269772431</t>
  </si>
  <si>
    <t>15269772581</t>
  </si>
  <si>
    <t>15269772631</t>
  </si>
  <si>
    <t>15269772841</t>
  </si>
  <si>
    <t>15269773011</t>
  </si>
  <si>
    <t>61677180</t>
  </si>
  <si>
    <t>15269773033</t>
  </si>
  <si>
    <t>15269773225</t>
  </si>
  <si>
    <t>15269773587</t>
  </si>
  <si>
    <t>15269773648</t>
  </si>
  <si>
    <t>15269774205</t>
  </si>
  <si>
    <t>15269774221</t>
  </si>
  <si>
    <t>61726352</t>
  </si>
  <si>
    <t>15269774625</t>
  </si>
  <si>
    <t>15269774880</t>
  </si>
  <si>
    <t>15269774895</t>
  </si>
  <si>
    <t>15269774930</t>
  </si>
  <si>
    <t>15269774954</t>
  </si>
  <si>
    <t>15269775075</t>
  </si>
  <si>
    <t>15269775136</t>
  </si>
  <si>
    <t>15269775181</t>
  </si>
  <si>
    <t>60833961</t>
  </si>
  <si>
    <t>15269775289</t>
  </si>
  <si>
    <t>15269775354</t>
  </si>
  <si>
    <t>60833937</t>
  </si>
  <si>
    <t>15269775369</t>
  </si>
  <si>
    <t>15269775371</t>
  </si>
  <si>
    <t>15269775957</t>
  </si>
  <si>
    <t>15269776183</t>
  </si>
  <si>
    <t>15269776389</t>
  </si>
  <si>
    <t>15269776460</t>
  </si>
  <si>
    <t>15269777330</t>
  </si>
  <si>
    <t>15269777839</t>
  </si>
  <si>
    <t>60833980</t>
  </si>
  <si>
    <t>15269778063</t>
  </si>
  <si>
    <t>61703746</t>
  </si>
  <si>
    <t>15269778096</t>
  </si>
  <si>
    <t>15269778270</t>
  </si>
  <si>
    <t>15269778391</t>
  </si>
  <si>
    <t>15269778652</t>
  </si>
  <si>
    <t>15269778720</t>
  </si>
  <si>
    <t>15269778891</t>
  </si>
  <si>
    <t>15269779512</t>
  </si>
  <si>
    <t>15269779921</t>
  </si>
  <si>
    <t>15269780122</t>
  </si>
  <si>
    <t>15269780242</t>
  </si>
  <si>
    <t>15269780274</t>
  </si>
  <si>
    <t>15269780319</t>
  </si>
  <si>
    <t>15269780834</t>
  </si>
  <si>
    <t>15269781135</t>
  </si>
  <si>
    <t>61702265</t>
  </si>
  <si>
    <t>15269781256</t>
  </si>
  <si>
    <t>15269781257</t>
  </si>
  <si>
    <t>15269781398</t>
  </si>
  <si>
    <t>15269781659</t>
  </si>
  <si>
    <t>15269781689</t>
  </si>
  <si>
    <t>15269781967</t>
  </si>
  <si>
    <t>15269781968</t>
  </si>
  <si>
    <t>15269782064</t>
  </si>
  <si>
    <t>15269782190</t>
  </si>
  <si>
    <t>15269782271</t>
  </si>
  <si>
    <t>15269782901</t>
  </si>
  <si>
    <t>15269783430</t>
  </si>
  <si>
    <t>61676579</t>
  </si>
  <si>
    <t>15269783516</t>
  </si>
  <si>
    <t>15269783723</t>
  </si>
  <si>
    <t>15269783826</t>
  </si>
  <si>
    <t>15269783833</t>
  </si>
  <si>
    <t>15269784432</t>
  </si>
  <si>
    <t>15269786426</t>
  </si>
  <si>
    <t>15269786866</t>
  </si>
  <si>
    <t>15269786991</t>
  </si>
  <si>
    <t>15269788558</t>
  </si>
  <si>
    <t>15269788928</t>
  </si>
  <si>
    <t>15269790603</t>
  </si>
  <si>
    <t>15269802501</t>
  </si>
  <si>
    <t>15269804006</t>
  </si>
  <si>
    <t>15269804759</t>
  </si>
  <si>
    <t>15269804811</t>
  </si>
  <si>
    <t>15269805760</t>
  </si>
  <si>
    <t>15269807209</t>
  </si>
  <si>
    <t>15269808425</t>
  </si>
  <si>
    <t>61683741</t>
  </si>
  <si>
    <t>15269808735</t>
  </si>
  <si>
    <t>15269808779</t>
  </si>
  <si>
    <t>15269809293</t>
  </si>
  <si>
    <t>15269810357</t>
  </si>
  <si>
    <t>15269818714</t>
  </si>
  <si>
    <t>15269818734</t>
  </si>
  <si>
    <t>15269819014</t>
  </si>
  <si>
    <t>61692851</t>
  </si>
  <si>
    <t>15269819232</t>
  </si>
  <si>
    <t>15269820328</t>
  </si>
  <si>
    <t>61707883</t>
  </si>
  <si>
    <t>15269820792</t>
  </si>
  <si>
    <t>15269821708</t>
  </si>
  <si>
    <t>15269821816</t>
  </si>
  <si>
    <t>15269821911</t>
  </si>
  <si>
    <t>15269821912</t>
  </si>
  <si>
    <t>15269822997</t>
  </si>
  <si>
    <t>61716656</t>
  </si>
  <si>
    <t>15269823024</t>
  </si>
  <si>
    <t>15269823502</t>
  </si>
  <si>
    <t>15269823874</t>
  </si>
  <si>
    <t>15269824349</t>
  </si>
  <si>
    <t>15269825680</t>
  </si>
  <si>
    <t>15269825709</t>
  </si>
  <si>
    <t>15269825784</t>
  </si>
  <si>
    <t>15269825860</t>
  </si>
  <si>
    <t>15269825894</t>
  </si>
  <si>
    <t>15269826120</t>
  </si>
  <si>
    <t>15269826432</t>
  </si>
  <si>
    <t>15269826642</t>
  </si>
  <si>
    <t>15269826643</t>
  </si>
  <si>
    <t>15269826741</t>
  </si>
  <si>
    <t>15269826751</t>
  </si>
  <si>
    <t>15269827892</t>
  </si>
  <si>
    <t>15269828346</t>
  </si>
  <si>
    <t>15269828985</t>
  </si>
  <si>
    <t>15269830813</t>
  </si>
  <si>
    <t>15269830834</t>
  </si>
  <si>
    <t>15269831239</t>
  </si>
  <si>
    <t>15269831271</t>
  </si>
  <si>
    <t>61732877</t>
  </si>
  <si>
    <t>15269831686</t>
  </si>
  <si>
    <t>15269831874</t>
  </si>
  <si>
    <t>15269832135</t>
  </si>
  <si>
    <t>15269835199</t>
  </si>
  <si>
    <t>15269835463</t>
  </si>
  <si>
    <t>15269835599</t>
  </si>
  <si>
    <t>15269837348</t>
  </si>
  <si>
    <t>15269837916</t>
  </si>
  <si>
    <t>15269838428</t>
  </si>
  <si>
    <t>15269838581</t>
  </si>
  <si>
    <t>15269838583</t>
  </si>
  <si>
    <t>15269838592</t>
  </si>
  <si>
    <t>61683719</t>
  </si>
  <si>
    <t>15269838755</t>
  </si>
  <si>
    <t>61688966</t>
  </si>
  <si>
    <t>15269839985</t>
  </si>
  <si>
    <t>60833951</t>
  </si>
  <si>
    <t>15269840028</t>
  </si>
  <si>
    <t>15269840099</t>
  </si>
  <si>
    <t>15269840990</t>
  </si>
  <si>
    <t>15269841792</t>
  </si>
  <si>
    <t>15269842338</t>
  </si>
  <si>
    <t>60833987</t>
  </si>
  <si>
    <t>15269842666</t>
  </si>
  <si>
    <t>55277348</t>
  </si>
  <si>
    <t>15269843066</t>
  </si>
  <si>
    <t>60833969</t>
  </si>
  <si>
    <t>15269843566</t>
  </si>
  <si>
    <t>15269843993</t>
  </si>
  <si>
    <t>15269844066</t>
  </si>
  <si>
    <t>15269844434</t>
  </si>
  <si>
    <t>15269845086</t>
  </si>
  <si>
    <t>15269845349</t>
  </si>
  <si>
    <t>15269845913</t>
  </si>
  <si>
    <t>15269846066</t>
  </si>
  <si>
    <t>15269846248</t>
  </si>
  <si>
    <t>15269846262</t>
  </si>
  <si>
    <t>15269846289</t>
  </si>
  <si>
    <t>15269846395</t>
  </si>
  <si>
    <t>15269846452</t>
  </si>
  <si>
    <t>55232865</t>
  </si>
  <si>
    <t>15269846775</t>
  </si>
  <si>
    <t>15269847136</t>
  </si>
  <si>
    <t>15269847172</t>
  </si>
  <si>
    <t>15269847366</t>
  </si>
  <si>
    <t>15269847394</t>
  </si>
  <si>
    <t>61692499</t>
  </si>
  <si>
    <t>15269847395</t>
  </si>
  <si>
    <t>15269847533</t>
  </si>
  <si>
    <t>15269848048</t>
  </si>
  <si>
    <t>15269848099</t>
  </si>
  <si>
    <t>15269848100</t>
  </si>
  <si>
    <t>15269848175</t>
  </si>
  <si>
    <t>61676592</t>
  </si>
  <si>
    <t>15269848419</t>
  </si>
  <si>
    <t>15269848583</t>
  </si>
  <si>
    <t>15269848636</t>
  </si>
  <si>
    <t>15269848842</t>
  </si>
  <si>
    <t>15269848843</t>
  </si>
  <si>
    <t>15269849254</t>
  </si>
  <si>
    <t>15269849327</t>
  </si>
  <si>
    <t>Mazda CX-9 : Asian Crossover Utility Vehicle : Sales Event</t>
  </si>
  <si>
    <t>15269852429</t>
  </si>
  <si>
    <t>15269852998</t>
  </si>
  <si>
    <t>15269853099</t>
  </si>
  <si>
    <t>15269853245</t>
  </si>
  <si>
    <t>15269853550</t>
  </si>
  <si>
    <t>15269853552</t>
  </si>
  <si>
    <t>15269853553</t>
  </si>
  <si>
    <t>15269853609</t>
  </si>
  <si>
    <t>60833626</t>
  </si>
  <si>
    <t>15269854007</t>
  </si>
  <si>
    <t>15269854064</t>
  </si>
  <si>
    <t>60833716</t>
  </si>
  <si>
    <t>15269854089</t>
  </si>
  <si>
    <t>15269854754</t>
  </si>
  <si>
    <t>15269854786</t>
  </si>
  <si>
    <t>15269854854</t>
  </si>
  <si>
    <t>15269855266</t>
  </si>
  <si>
    <t>15269855580</t>
  </si>
  <si>
    <t>15269856220</t>
  </si>
  <si>
    <t>61704064</t>
  </si>
  <si>
    <t>15269856370</t>
  </si>
  <si>
    <t>15269856701</t>
  </si>
  <si>
    <t>61736067</t>
  </si>
  <si>
    <t>15269857009</t>
  </si>
  <si>
    <t>15269857210</t>
  </si>
  <si>
    <t>15269857212</t>
  </si>
  <si>
    <t>61727668</t>
  </si>
  <si>
    <t>15269857318</t>
  </si>
  <si>
    <t>15269858184</t>
  </si>
  <si>
    <t>15269858290</t>
  </si>
  <si>
    <t>15269858590</t>
  </si>
  <si>
    <t>15269858667</t>
  </si>
  <si>
    <t>61720982</t>
  </si>
  <si>
    <t>15269858889</t>
  </si>
  <si>
    <t>15269859293</t>
  </si>
  <si>
    <t>15269859294</t>
  </si>
  <si>
    <t>15269859738</t>
  </si>
  <si>
    <t>15269859797</t>
  </si>
  <si>
    <t>15269860301</t>
  </si>
  <si>
    <t>15269862337</t>
  </si>
  <si>
    <t>15269862441</t>
  </si>
  <si>
    <t>15269862582</t>
  </si>
  <si>
    <t>15269862637</t>
  </si>
  <si>
    <t>60833945</t>
  </si>
  <si>
    <t>61739184</t>
  </si>
  <si>
    <t>15269862663</t>
  </si>
  <si>
    <t>15269862681</t>
  </si>
  <si>
    <t>15269862784</t>
  </si>
  <si>
    <t>57556001</t>
  </si>
  <si>
    <t>15269862905</t>
  </si>
  <si>
    <t>60833936</t>
  </si>
  <si>
    <t>15269863153</t>
  </si>
  <si>
    <t>15269863358</t>
  </si>
  <si>
    <t>15269863471</t>
  </si>
  <si>
    <t>15269863491</t>
  </si>
  <si>
    <t>15269863540</t>
  </si>
  <si>
    <t>15269863601</t>
  </si>
  <si>
    <t>15269863689</t>
  </si>
  <si>
    <t>15269863760</t>
  </si>
  <si>
    <t>61684976</t>
  </si>
  <si>
    <t>15269863761</t>
  </si>
  <si>
    <t>15269863988</t>
  </si>
  <si>
    <t>61720959</t>
  </si>
  <si>
    <t>15269864150</t>
  </si>
  <si>
    <t>15269864315</t>
  </si>
  <si>
    <t>15269864325</t>
  </si>
  <si>
    <t>61676544</t>
  </si>
  <si>
    <t>15269864677</t>
  </si>
  <si>
    <t>15269864928</t>
  </si>
  <si>
    <t>61735935</t>
  </si>
  <si>
    <t>15269864995</t>
  </si>
  <si>
    <t>15269864998</t>
  </si>
  <si>
    <t>15269865274</t>
  </si>
  <si>
    <t>15269865582</t>
  </si>
  <si>
    <t>15269865672</t>
  </si>
  <si>
    <t>15269865921</t>
  </si>
  <si>
    <t>15269866375</t>
  </si>
  <si>
    <t>15269866415</t>
  </si>
  <si>
    <t>15269866615</t>
  </si>
  <si>
    <t>15269866675</t>
  </si>
  <si>
    <t>15269866808</t>
  </si>
  <si>
    <t>15269866837</t>
  </si>
  <si>
    <t>15269867176</t>
  </si>
  <si>
    <t>15269867253</t>
  </si>
  <si>
    <t>15269867626</t>
  </si>
  <si>
    <t>15269867679</t>
  </si>
  <si>
    <t>15269867836</t>
  </si>
  <si>
    <t>15269867848</t>
  </si>
  <si>
    <t>15269868244</t>
  </si>
  <si>
    <t>15269868360</t>
  </si>
  <si>
    <t>15269868485</t>
  </si>
  <si>
    <t>15269868608</t>
  </si>
  <si>
    <t>55232867</t>
  </si>
  <si>
    <t>15269868634</t>
  </si>
  <si>
    <t>15269868735</t>
  </si>
  <si>
    <t>15269868760</t>
  </si>
  <si>
    <t>15269868933</t>
  </si>
  <si>
    <t>15269868999</t>
  </si>
  <si>
    <t>61730740</t>
  </si>
  <si>
    <t>15269869284</t>
  </si>
  <si>
    <t>15269869285</t>
  </si>
  <si>
    <t>15269869657</t>
  </si>
  <si>
    <t>15269869711</t>
  </si>
  <si>
    <t>15269869913</t>
  </si>
  <si>
    <t>15269870084</t>
  </si>
  <si>
    <t>15269870160</t>
  </si>
  <si>
    <t>61693290</t>
  </si>
  <si>
    <t>15269870179</t>
  </si>
  <si>
    <t>15269870282</t>
  </si>
  <si>
    <t>15269870375</t>
  </si>
  <si>
    <t>61721945</t>
  </si>
  <si>
    <t>15269870517</t>
  </si>
  <si>
    <t>15269870531</t>
  </si>
  <si>
    <t>15269870596</t>
  </si>
  <si>
    <t>15269870727</t>
  </si>
  <si>
    <t>61698287</t>
  </si>
  <si>
    <t>15269870874</t>
  </si>
  <si>
    <t>61714198</t>
  </si>
  <si>
    <t>15269871047</t>
  </si>
  <si>
    <t>15269871192</t>
  </si>
  <si>
    <t>15269871374</t>
  </si>
  <si>
    <t>15269871403</t>
  </si>
  <si>
    <t>15269871418</t>
  </si>
  <si>
    <t>61680282</t>
  </si>
  <si>
    <t>15269871419</t>
  </si>
  <si>
    <t>15269871498</t>
  </si>
  <si>
    <t>15269871513</t>
  </si>
  <si>
    <t>61706297</t>
  </si>
  <si>
    <t>15269871534</t>
  </si>
  <si>
    <t>15269871835</t>
  </si>
  <si>
    <t>15269871876</t>
  </si>
  <si>
    <t>61738431</t>
  </si>
  <si>
    <t>15269871878</t>
  </si>
  <si>
    <t>15269872024</t>
  </si>
  <si>
    <t>15269872362</t>
  </si>
  <si>
    <t>15269872363</t>
  </si>
  <si>
    <t>61688883</t>
  </si>
  <si>
    <t>15269872582</t>
  </si>
  <si>
    <t>15269872665</t>
  </si>
  <si>
    <t>15269872736</t>
  </si>
  <si>
    <t>15269872810</t>
  </si>
  <si>
    <t>15269873283</t>
  </si>
  <si>
    <t>15269873749</t>
  </si>
  <si>
    <t>15269873782</t>
  </si>
  <si>
    <t>15269873799</t>
  </si>
  <si>
    <t>15269874815</t>
  </si>
  <si>
    <t>15269877318</t>
  </si>
  <si>
    <t>61678181</t>
  </si>
  <si>
    <t>15269877621</t>
  </si>
  <si>
    <t>15269877839</t>
  </si>
  <si>
    <t>15269878612</t>
  </si>
  <si>
    <t>61722521</t>
  </si>
  <si>
    <t>15269878763</t>
  </si>
  <si>
    <t>15269879770</t>
  </si>
  <si>
    <t>15269881503</t>
  </si>
  <si>
    <t>15269882966</t>
  </si>
  <si>
    <t>15269883105</t>
  </si>
  <si>
    <t>15269883429</t>
  </si>
  <si>
    <t>61735745</t>
  </si>
  <si>
    <t>15269883448</t>
  </si>
  <si>
    <t>15269884441</t>
  </si>
  <si>
    <t>15269886725</t>
  </si>
  <si>
    <t>15269887440</t>
  </si>
  <si>
    <t>15269888328</t>
  </si>
  <si>
    <t>15269888565</t>
  </si>
  <si>
    <t>15269888566</t>
  </si>
  <si>
    <t>15269888568</t>
  </si>
  <si>
    <t>15269889024</t>
  </si>
  <si>
    <t>15269899822</t>
  </si>
  <si>
    <t>15269900191</t>
  </si>
  <si>
    <t>15269900326</t>
  </si>
  <si>
    <t>15269900329</t>
  </si>
  <si>
    <t>15269900703</t>
  </si>
  <si>
    <t>15269901370</t>
  </si>
  <si>
    <t>15269901531</t>
  </si>
  <si>
    <t>15269901545</t>
  </si>
  <si>
    <t>15269910038</t>
  </si>
  <si>
    <t>15269910050</t>
  </si>
  <si>
    <t>60820514</t>
  </si>
  <si>
    <t>15269910107</t>
  </si>
  <si>
    <t>55247410</t>
  </si>
  <si>
    <t>15269910213</t>
  </si>
  <si>
    <t>60820513</t>
  </si>
  <si>
    <t>15269911243</t>
  </si>
  <si>
    <t>60820524</t>
  </si>
  <si>
    <t>15269911967</t>
  </si>
  <si>
    <t>57149075</t>
  </si>
  <si>
    <t>15269912515</t>
  </si>
  <si>
    <t>60033077</t>
  </si>
  <si>
    <t>15269919257</t>
  </si>
  <si>
    <t>15269919342</t>
  </si>
  <si>
    <t>55232837</t>
  </si>
  <si>
    <t>15269919435</t>
  </si>
  <si>
    <t>15269919757</t>
  </si>
  <si>
    <t>60833950</t>
  </si>
  <si>
    <t>15269920170</t>
  </si>
  <si>
    <t>55244650</t>
  </si>
  <si>
    <t>15269920278</t>
  </si>
  <si>
    <t>60833964</t>
  </si>
  <si>
    <t>15269921175</t>
  </si>
  <si>
    <t>55232853</t>
  </si>
  <si>
    <t>15269921202</t>
  </si>
  <si>
    <t>15269921224</t>
  </si>
  <si>
    <t>15269921295</t>
  </si>
  <si>
    <t>55244645</t>
  </si>
  <si>
    <t>15269923875</t>
  </si>
  <si>
    <t>60833957</t>
  </si>
  <si>
    <t>15269924623</t>
  </si>
  <si>
    <t>15269924754</t>
  </si>
  <si>
    <t>15269924887</t>
  </si>
  <si>
    <t>15269925498</t>
  </si>
  <si>
    <t>15269926500</t>
  </si>
  <si>
    <t>15269926643</t>
  </si>
  <si>
    <t>15269927387</t>
  </si>
  <si>
    <t>15269927388</t>
  </si>
  <si>
    <t>15269927420</t>
  </si>
  <si>
    <t>15269927424</t>
  </si>
  <si>
    <t>61714485</t>
  </si>
  <si>
    <t>15269927814</t>
  </si>
  <si>
    <t>15269928453</t>
  </si>
  <si>
    <t>15269928756</t>
  </si>
  <si>
    <t>15269928775</t>
  </si>
  <si>
    <t>15269929028</t>
  </si>
  <si>
    <t>15269929150</t>
  </si>
  <si>
    <t>15269929271</t>
  </si>
  <si>
    <t>15269930425</t>
  </si>
  <si>
    <t>15269931922</t>
  </si>
  <si>
    <t>61735279</t>
  </si>
  <si>
    <t>15269932579</t>
  </si>
  <si>
    <t>15269933288</t>
  </si>
  <si>
    <t>15269933723</t>
  </si>
  <si>
    <t>55232860</t>
  </si>
  <si>
    <t>15269933766</t>
  </si>
  <si>
    <t>15269933899</t>
  </si>
  <si>
    <t>15269934405</t>
  </si>
  <si>
    <t>61719014</t>
  </si>
  <si>
    <t>15269934957</t>
  </si>
  <si>
    <t>15269935589</t>
  </si>
  <si>
    <t>55230273</t>
  </si>
  <si>
    <t>15269935710</t>
  </si>
  <si>
    <t>61687746</t>
  </si>
  <si>
    <t>15269936315</t>
  </si>
  <si>
    <t>15269936648</t>
  </si>
  <si>
    <t>15269936904</t>
  </si>
  <si>
    <t>55246470</t>
  </si>
  <si>
    <t>55244646</t>
  </si>
  <si>
    <t>15269937050</t>
  </si>
  <si>
    <t>15269938371</t>
  </si>
  <si>
    <t>55232840</t>
  </si>
  <si>
    <t>15269938579</t>
  </si>
  <si>
    <t>61695153</t>
  </si>
  <si>
    <t>15269938744</t>
  </si>
  <si>
    <t>15269938856</t>
  </si>
  <si>
    <t>15269939925</t>
  </si>
  <si>
    <t>55232491</t>
  </si>
  <si>
    <t>15269940003</t>
  </si>
  <si>
    <t>15269940176</t>
  </si>
  <si>
    <t>61735905</t>
  </si>
  <si>
    <t>15269940310</t>
  </si>
  <si>
    <t>15269940427</t>
  </si>
  <si>
    <t>15269940671</t>
  </si>
  <si>
    <t>55232848</t>
  </si>
  <si>
    <t>15269940911</t>
  </si>
  <si>
    <t>15269940944</t>
  </si>
  <si>
    <t>55232836</t>
  </si>
  <si>
    <t>15269941463</t>
  </si>
  <si>
    <t>15269941586</t>
  </si>
  <si>
    <t>15269941727</t>
  </si>
  <si>
    <t>15269942268</t>
  </si>
  <si>
    <t>15269942350</t>
  </si>
  <si>
    <t>15269942393</t>
  </si>
  <si>
    <t>15269942444</t>
  </si>
  <si>
    <t>15269942545</t>
  </si>
  <si>
    <t>15269942590</t>
  </si>
  <si>
    <t>15269942848</t>
  </si>
  <si>
    <t>61700200</t>
  </si>
  <si>
    <t>15269943089</t>
  </si>
  <si>
    <t>60833974</t>
  </si>
  <si>
    <t>15269943489</t>
  </si>
  <si>
    <t>15269943560</t>
  </si>
  <si>
    <t>15269944277</t>
  </si>
  <si>
    <t>15269945119</t>
  </si>
  <si>
    <t>15269945435</t>
  </si>
  <si>
    <t>15269945526</t>
  </si>
  <si>
    <t>15269945613</t>
  </si>
  <si>
    <t>61684655</t>
  </si>
  <si>
    <t>15269945767</t>
  </si>
  <si>
    <t>15269946116</t>
  </si>
  <si>
    <t>15269946270</t>
  </si>
  <si>
    <t>15269947137</t>
  </si>
  <si>
    <t>15269947256</t>
  </si>
  <si>
    <t>15269947446</t>
  </si>
  <si>
    <t>15269947453</t>
  </si>
  <si>
    <t>15269948046</t>
  </si>
  <si>
    <t>15269948149</t>
  </si>
  <si>
    <t>15269948290</t>
  </si>
  <si>
    <t>15269948314</t>
  </si>
  <si>
    <t>15269948420</t>
  </si>
  <si>
    <t>15269949874</t>
  </si>
  <si>
    <t>61698022</t>
  </si>
  <si>
    <t>15269950560</t>
  </si>
  <si>
    <t>15269950629</t>
  </si>
  <si>
    <t>15269950816</t>
  </si>
  <si>
    <t>15269950964</t>
  </si>
  <si>
    <t>15269951109</t>
  </si>
  <si>
    <t>15269951582</t>
  </si>
  <si>
    <t>15269951688</t>
  </si>
  <si>
    <t>61726104</t>
  </si>
  <si>
    <t>15269952163</t>
  </si>
  <si>
    <t>15269952424</t>
  </si>
  <si>
    <t>15269952572</t>
  </si>
  <si>
    <t>15269952815</t>
  </si>
  <si>
    <t>15269952965</t>
  </si>
  <si>
    <t>61700163</t>
  </si>
  <si>
    <t>15269952966</t>
  </si>
  <si>
    <t>15269953421</t>
  </si>
  <si>
    <t>15269953834</t>
  </si>
  <si>
    <t>61683333</t>
  </si>
  <si>
    <t>15269953948</t>
  </si>
  <si>
    <t>15269954003</t>
  </si>
  <si>
    <t>15269954056</t>
  </si>
  <si>
    <t>61714206</t>
  </si>
  <si>
    <t>15269954126</t>
  </si>
  <si>
    <t>61700504</t>
  </si>
  <si>
    <t>15269954551</t>
  </si>
  <si>
    <t>15269954778</t>
  </si>
  <si>
    <t>15269954804</t>
  </si>
  <si>
    <t>15269954968</t>
  </si>
  <si>
    <t>15269954996</t>
  </si>
  <si>
    <t>15269955129</t>
  </si>
  <si>
    <t>15269955150</t>
  </si>
  <si>
    <t>61683553</t>
  </si>
  <si>
    <t>15269955162</t>
  </si>
  <si>
    <t>15269955254</t>
  </si>
  <si>
    <t>15269955436</t>
  </si>
  <si>
    <t>15269955646</t>
  </si>
  <si>
    <t>15269956193</t>
  </si>
  <si>
    <t>15269956308</t>
  </si>
  <si>
    <t>15269956330</t>
  </si>
  <si>
    <t>15269956355</t>
  </si>
  <si>
    <t>15269956850</t>
  </si>
  <si>
    <t>15269957085</t>
  </si>
  <si>
    <t>61696374</t>
  </si>
  <si>
    <t>15269957416</t>
  </si>
  <si>
    <t>15269957869</t>
  </si>
  <si>
    <t>15269957890</t>
  </si>
  <si>
    <t>61678594</t>
  </si>
  <si>
    <t>15269958032</t>
  </si>
  <si>
    <t>15269958040</t>
  </si>
  <si>
    <t>15269958041</t>
  </si>
  <si>
    <t>15269958116</t>
  </si>
  <si>
    <t>15269958281</t>
  </si>
  <si>
    <t>15269958499</t>
  </si>
  <si>
    <t>15269958684</t>
  </si>
  <si>
    <t>61709429</t>
  </si>
  <si>
    <t>15269959036</t>
  </si>
  <si>
    <t>15269959320</t>
  </si>
  <si>
    <t>15269959575</t>
  </si>
  <si>
    <t>15269959636</t>
  </si>
  <si>
    <t>15269959684</t>
  </si>
  <si>
    <t>15269960012</t>
  </si>
  <si>
    <t>61699186</t>
  </si>
  <si>
    <t>15269960035</t>
  </si>
  <si>
    <t>15269960472</t>
  </si>
  <si>
    <t>15269960511</t>
  </si>
  <si>
    <t>15269960730</t>
  </si>
  <si>
    <t>15269961070</t>
  </si>
  <si>
    <t>15269961272</t>
  </si>
  <si>
    <t>15269961526</t>
  </si>
  <si>
    <t>15269961635</t>
  </si>
  <si>
    <t>15269961644</t>
  </si>
  <si>
    <t>15269962540</t>
  </si>
  <si>
    <t>15269962764</t>
  </si>
  <si>
    <t>15269963097</t>
  </si>
  <si>
    <t>15269963215</t>
  </si>
  <si>
    <t>15269963385</t>
  </si>
  <si>
    <t>15269963517</t>
  </si>
  <si>
    <t>61730145</t>
  </si>
  <si>
    <t>15269963595</t>
  </si>
  <si>
    <t>15269963661</t>
  </si>
  <si>
    <t>15269963671</t>
  </si>
  <si>
    <t>61688310</t>
  </si>
  <si>
    <t>15269963765</t>
  </si>
  <si>
    <t>15269963961</t>
  </si>
  <si>
    <t>15269964556</t>
  </si>
  <si>
    <t>55272752</t>
  </si>
  <si>
    <t>15269964804</t>
  </si>
  <si>
    <t>15269965127</t>
  </si>
  <si>
    <t>15269965336</t>
  </si>
  <si>
    <t>15269965427</t>
  </si>
  <si>
    <t>15269965455</t>
  </si>
  <si>
    <t>61709918</t>
  </si>
  <si>
    <t>15269965659</t>
  </si>
  <si>
    <t>15269965687</t>
  </si>
  <si>
    <t>15269965724</t>
  </si>
  <si>
    <t>15269966030</t>
  </si>
  <si>
    <t>15269966129</t>
  </si>
  <si>
    <t>15269966899</t>
  </si>
  <si>
    <t>15269966941</t>
  </si>
  <si>
    <t>61723192</t>
  </si>
  <si>
    <t>15269967159</t>
  </si>
  <si>
    <t>15269967300</t>
  </si>
  <si>
    <t>15269967380</t>
  </si>
  <si>
    <t>15269967599</t>
  </si>
  <si>
    <t>15269967670</t>
  </si>
  <si>
    <t>15269967726</t>
  </si>
  <si>
    <t>15269967773</t>
  </si>
  <si>
    <t>15269968061</t>
  </si>
  <si>
    <t>15269968114</t>
  </si>
  <si>
    <t>15269968458</t>
  </si>
  <si>
    <t>15269968793</t>
  </si>
  <si>
    <t>61728870</t>
  </si>
  <si>
    <t>15269969121</t>
  </si>
  <si>
    <t>15269969366</t>
  </si>
  <si>
    <t>15269969420</t>
  </si>
  <si>
    <t>15269969538</t>
  </si>
  <si>
    <t>15269969620</t>
  </si>
  <si>
    <t>15269970199</t>
  </si>
  <si>
    <t>61700901</t>
  </si>
  <si>
    <t>15269970337</t>
  </si>
  <si>
    <t>15269970399</t>
  </si>
  <si>
    <t>15269971037</t>
  </si>
  <si>
    <t>15269971912</t>
  </si>
  <si>
    <t>15269972715</t>
  </si>
  <si>
    <t>15269972855</t>
  </si>
  <si>
    <t>15269973808</t>
  </si>
  <si>
    <t>61696450</t>
  </si>
  <si>
    <t>15269973809</t>
  </si>
  <si>
    <t>15269974401</t>
  </si>
  <si>
    <t>15269974535</t>
  </si>
  <si>
    <t>15269978982</t>
  </si>
  <si>
    <t>15269979802</t>
  </si>
  <si>
    <t>61723451</t>
  </si>
  <si>
    <t>15269979920</t>
  </si>
  <si>
    <t>15269980344</t>
  </si>
  <si>
    <t>15269981223</t>
  </si>
  <si>
    <t>15269982339</t>
  </si>
  <si>
    <t>15269982734</t>
  </si>
  <si>
    <t>15269983010</t>
  </si>
  <si>
    <t>15269983993</t>
  </si>
  <si>
    <t>15269984353</t>
  </si>
  <si>
    <t>15269984354</t>
  </si>
  <si>
    <t>61687731</t>
  </si>
  <si>
    <t>15269984679</t>
  </si>
  <si>
    <t>15269984680</t>
  </si>
  <si>
    <t>15269985239</t>
  </si>
  <si>
    <t>15269986518</t>
  </si>
  <si>
    <t>15269986892</t>
  </si>
  <si>
    <t>15269996116</t>
  </si>
  <si>
    <t>15269996230</t>
  </si>
  <si>
    <t>61681059</t>
  </si>
  <si>
    <t>15269997319</t>
  </si>
  <si>
    <t>61733126</t>
  </si>
  <si>
    <t>15269997763</t>
  </si>
  <si>
    <t>15269998378</t>
  </si>
  <si>
    <t>15269998627</t>
  </si>
  <si>
    <t>61685316</t>
  </si>
  <si>
    <t>15269999658</t>
  </si>
  <si>
    <t>15269999721</t>
  </si>
  <si>
    <t>15269999843</t>
  </si>
  <si>
    <t>15270000957</t>
  </si>
  <si>
    <t>15270002137</t>
  </si>
  <si>
    <t>15270006289</t>
  </si>
  <si>
    <t>15270006494</t>
  </si>
  <si>
    <t>55232889</t>
  </si>
  <si>
    <t>15270006495</t>
  </si>
  <si>
    <t>15270007145</t>
  </si>
  <si>
    <t>55232821</t>
  </si>
  <si>
    <t>15270007213</t>
  </si>
  <si>
    <t>55232897</t>
  </si>
  <si>
    <t>15270008886</t>
  </si>
  <si>
    <t>55232906</t>
  </si>
  <si>
    <t>15270009121</t>
  </si>
  <si>
    <t>60833925</t>
  </si>
  <si>
    <t>15270011184</t>
  </si>
  <si>
    <t>15270011204</t>
  </si>
  <si>
    <t>55232928</t>
  </si>
  <si>
    <t>15270011593</t>
  </si>
  <si>
    <t>15270011821</t>
  </si>
  <si>
    <t>60833966</t>
  </si>
  <si>
    <t>15270012610</t>
  </si>
  <si>
    <t>55232922</t>
  </si>
  <si>
    <t>15270013344</t>
  </si>
  <si>
    <t>15270014835</t>
  </si>
  <si>
    <t>55232954</t>
  </si>
  <si>
    <t>55232920</t>
  </si>
  <si>
    <t>15270014836</t>
  </si>
  <si>
    <t>55232934</t>
  </si>
  <si>
    <t>15270015136</t>
  </si>
  <si>
    <t>55232913</t>
  </si>
  <si>
    <t>15270016256</t>
  </si>
  <si>
    <t>55232847</t>
  </si>
  <si>
    <t>15270017348</t>
  </si>
  <si>
    <t>55232938</t>
  </si>
  <si>
    <t>15270017751</t>
  </si>
  <si>
    <t>55272778</t>
  </si>
  <si>
    <t>15270018222</t>
  </si>
  <si>
    <t>55232932</t>
  </si>
  <si>
    <t>15270018720</t>
  </si>
  <si>
    <t>55232951</t>
  </si>
  <si>
    <t>15270018901</t>
  </si>
  <si>
    <t>15270022274</t>
  </si>
  <si>
    <t>15270022649</t>
  </si>
  <si>
    <t>60833852</t>
  </si>
  <si>
    <t>15270022702</t>
  </si>
  <si>
    <t>15270023761</t>
  </si>
  <si>
    <t>15270023911</t>
  </si>
  <si>
    <t>15270024885</t>
  </si>
  <si>
    <t>55232832</t>
  </si>
  <si>
    <t>15270025440</t>
  </si>
  <si>
    <t>60833628</t>
  </si>
  <si>
    <t>15270025608</t>
  </si>
  <si>
    <t>60833576</t>
  </si>
  <si>
    <t>15270026217</t>
  </si>
  <si>
    <t>60833591</t>
  </si>
  <si>
    <t>15270026744</t>
  </si>
  <si>
    <t>15270026937</t>
  </si>
  <si>
    <t>15270027444</t>
  </si>
  <si>
    <t>55247409</t>
  </si>
  <si>
    <t>15270028365</t>
  </si>
  <si>
    <t>61678869</t>
  </si>
  <si>
    <t>15270029239</t>
  </si>
  <si>
    <t>15270029254</t>
  </si>
  <si>
    <t>60833780</t>
  </si>
  <si>
    <t>15270029312</t>
  </si>
  <si>
    <t>15270029658</t>
  </si>
  <si>
    <t>55248005</t>
  </si>
  <si>
    <t>15270030344</t>
  </si>
  <si>
    <t>60833857</t>
  </si>
  <si>
    <t>15270030347</t>
  </si>
  <si>
    <t>15270030659</t>
  </si>
  <si>
    <t>15270031518</t>
  </si>
  <si>
    <t>15270031691</t>
  </si>
  <si>
    <t>15270032037</t>
  </si>
  <si>
    <t>60833798</t>
  </si>
  <si>
    <t>15270032360</t>
  </si>
  <si>
    <t>60833568</t>
  </si>
  <si>
    <t>15270032799</t>
  </si>
  <si>
    <t>60833930</t>
  </si>
  <si>
    <t>15270033026</t>
  </si>
  <si>
    <t>15270033124</t>
  </si>
  <si>
    <t>55232490</t>
  </si>
  <si>
    <t>15270033174</t>
  </si>
  <si>
    <t>60833587</t>
  </si>
  <si>
    <t>15270033537</t>
  </si>
  <si>
    <t>15270033679</t>
  </si>
  <si>
    <t>60833719</t>
  </si>
  <si>
    <t>15270033697</t>
  </si>
  <si>
    <t>58237047</t>
  </si>
  <si>
    <t>15270033753</t>
  </si>
  <si>
    <t>55232874</t>
  </si>
  <si>
    <t>15270034029</t>
  </si>
  <si>
    <t>15270034386</t>
  </si>
  <si>
    <t>55232875</t>
  </si>
  <si>
    <t>15270035078</t>
  </si>
  <si>
    <t>55232898</t>
  </si>
  <si>
    <t>15270035104</t>
  </si>
  <si>
    <t>55232918</t>
  </si>
  <si>
    <t>15270035470</t>
  </si>
  <si>
    <t>15270035516</t>
  </si>
  <si>
    <t>55232908</t>
  </si>
  <si>
    <t>15270035798</t>
  </si>
  <si>
    <t>60833677</t>
  </si>
  <si>
    <t>15270035968</t>
  </si>
  <si>
    <t>15270036029</t>
  </si>
  <si>
    <t>60833817</t>
  </si>
  <si>
    <t>15270036214</t>
  </si>
  <si>
    <t>15270036322</t>
  </si>
  <si>
    <t>15270038730</t>
  </si>
  <si>
    <t>55232905</t>
  </si>
  <si>
    <t>15270038996</t>
  </si>
  <si>
    <t>60833661</t>
  </si>
  <si>
    <t>15270039047</t>
  </si>
  <si>
    <t>55232888</t>
  </si>
  <si>
    <t>15270039057</t>
  </si>
  <si>
    <t>60833976</t>
  </si>
  <si>
    <t>15270039354</t>
  </si>
  <si>
    <t>55232873</t>
  </si>
  <si>
    <t>15270040239</t>
  </si>
  <si>
    <t>55232863</t>
  </si>
  <si>
    <t>15270040255</t>
  </si>
  <si>
    <t>55232871</t>
  </si>
  <si>
    <t>15270040442</t>
  </si>
  <si>
    <t>55232872</t>
  </si>
  <si>
    <t>15270041487</t>
  </si>
  <si>
    <t>55232907</t>
  </si>
  <si>
    <t>15270041491</t>
  </si>
  <si>
    <t>55232915</t>
  </si>
  <si>
    <t>15270041721</t>
  </si>
  <si>
    <t>55232912</t>
  </si>
  <si>
    <t>15270041904</t>
  </si>
  <si>
    <t>55232896</t>
  </si>
  <si>
    <t>15270041905</t>
  </si>
  <si>
    <t>55232879</t>
  </si>
  <si>
    <t>15270041906</t>
  </si>
  <si>
    <t>55232902</t>
  </si>
  <si>
    <t>15270041908</t>
  </si>
  <si>
    <t>55232909</t>
  </si>
  <si>
    <t>15270042130</t>
  </si>
  <si>
    <t>15270042501</t>
  </si>
  <si>
    <t>55232935</t>
  </si>
  <si>
    <t>15270042771</t>
  </si>
  <si>
    <t>55232937</t>
  </si>
  <si>
    <t>15270042941</t>
  </si>
  <si>
    <t>55232929</t>
  </si>
  <si>
    <t>15270043488</t>
  </si>
  <si>
    <t>15270043815</t>
  </si>
  <si>
    <t>55232903</t>
  </si>
  <si>
    <t>15270044094</t>
  </si>
  <si>
    <t>61737170</t>
  </si>
  <si>
    <t>15270044101</t>
  </si>
  <si>
    <t>15270044103</t>
  </si>
  <si>
    <t>15270044306</t>
  </si>
  <si>
    <t>61732616</t>
  </si>
  <si>
    <t>15270044381</t>
  </si>
  <si>
    <t>15270044414</t>
  </si>
  <si>
    <t>15270044498</t>
  </si>
  <si>
    <t>15270044608</t>
  </si>
  <si>
    <t>15270044618</t>
  </si>
  <si>
    <t>15270044619</t>
  </si>
  <si>
    <t>15270045253</t>
  </si>
  <si>
    <t>55232910</t>
  </si>
  <si>
    <t>15270045283</t>
  </si>
  <si>
    <t>15270045907</t>
  </si>
  <si>
    <t>60833924</t>
  </si>
  <si>
    <t>15270046206</t>
  </si>
  <si>
    <t>55232921</t>
  </si>
  <si>
    <t>15270046447</t>
  </si>
  <si>
    <t>55232204</t>
  </si>
  <si>
    <t>15270046567</t>
  </si>
  <si>
    <t>55232904</t>
  </si>
  <si>
    <t>15270046813</t>
  </si>
  <si>
    <t>55245216</t>
  </si>
  <si>
    <t>15270046875</t>
  </si>
  <si>
    <t>55245210</t>
  </si>
  <si>
    <t>15270047702</t>
  </si>
  <si>
    <t>15270047737</t>
  </si>
  <si>
    <t>15270048175</t>
  </si>
  <si>
    <t>55252967</t>
  </si>
  <si>
    <t>15270048209</t>
  </si>
  <si>
    <t>55252958</t>
  </si>
  <si>
    <t>15270048261</t>
  </si>
  <si>
    <t>55264202</t>
  </si>
  <si>
    <t>15270048469</t>
  </si>
  <si>
    <t>55252952</t>
  </si>
  <si>
    <t>15270048585</t>
  </si>
  <si>
    <t>55252254</t>
  </si>
  <si>
    <t>15270048734</t>
  </si>
  <si>
    <t>55252976</t>
  </si>
  <si>
    <t>15270048740</t>
  </si>
  <si>
    <t>55252993</t>
  </si>
  <si>
    <t>15270048844</t>
  </si>
  <si>
    <t>55252968</t>
  </si>
  <si>
    <t>15270049012</t>
  </si>
  <si>
    <t>55253182</t>
  </si>
  <si>
    <t>15270049727</t>
  </si>
  <si>
    <t>15270050067</t>
  </si>
  <si>
    <t>55246428</t>
  </si>
  <si>
    <t>15270050100</t>
  </si>
  <si>
    <t>55246385</t>
  </si>
  <si>
    <t>60833748</t>
  </si>
  <si>
    <t>15270050189</t>
  </si>
  <si>
    <t>55247193</t>
  </si>
  <si>
    <t>15270050228</t>
  </si>
  <si>
    <t>55246273</t>
  </si>
  <si>
    <t>15270050267</t>
  </si>
  <si>
    <t>55246476</t>
  </si>
  <si>
    <t>15270050534</t>
  </si>
  <si>
    <t>55247407</t>
  </si>
  <si>
    <t>15270050535</t>
  </si>
  <si>
    <t>55246472</t>
  </si>
  <si>
    <t>15270050574</t>
  </si>
  <si>
    <t>55247196</t>
  </si>
  <si>
    <t>15270050607</t>
  </si>
  <si>
    <t>55247408</t>
  </si>
  <si>
    <t>15270050876</t>
  </si>
  <si>
    <t>15270051334</t>
  </si>
  <si>
    <t>55246190</t>
  </si>
  <si>
    <t>15270051507</t>
  </si>
  <si>
    <t>55246469</t>
  </si>
  <si>
    <t>15270051621</t>
  </si>
  <si>
    <t>55272753</t>
  </si>
  <si>
    <t>15270051816</t>
  </si>
  <si>
    <t>55247406</t>
  </si>
  <si>
    <t>15270051874</t>
  </si>
  <si>
    <t>55246395</t>
  </si>
  <si>
    <t>15270052032</t>
  </si>
  <si>
    <t>55272754</t>
  </si>
  <si>
    <t>15270052116</t>
  </si>
  <si>
    <t>55252956</t>
  </si>
  <si>
    <t>15270052117</t>
  </si>
  <si>
    <t>55252256</t>
  </si>
  <si>
    <t>15270052341</t>
  </si>
  <si>
    <t>55246437</t>
  </si>
  <si>
    <t>15270052482</t>
  </si>
  <si>
    <t>15270052570</t>
  </si>
  <si>
    <t>15270052589</t>
  </si>
  <si>
    <t>15270052615</t>
  </si>
  <si>
    <t>15270052858</t>
  </si>
  <si>
    <t>15270052864</t>
  </si>
  <si>
    <t>15270052871</t>
  </si>
  <si>
    <t>15270052880</t>
  </si>
  <si>
    <t>15270053248</t>
  </si>
  <si>
    <t>15270053304</t>
  </si>
  <si>
    <t>15270053645</t>
  </si>
  <si>
    <t>15270053668</t>
  </si>
  <si>
    <t>15270053834</t>
  </si>
  <si>
    <t>15270053843</t>
  </si>
  <si>
    <t>61696779</t>
  </si>
  <si>
    <t>15270054134</t>
  </si>
  <si>
    <t>15270054162</t>
  </si>
  <si>
    <t>15270054290</t>
  </si>
  <si>
    <t>15270054362</t>
  </si>
  <si>
    <t>15270054533</t>
  </si>
  <si>
    <t>15270054590</t>
  </si>
  <si>
    <t>61691828</t>
  </si>
  <si>
    <t>15270054641</t>
  </si>
  <si>
    <t>15270054800</t>
  </si>
  <si>
    <t>15270054831</t>
  </si>
  <si>
    <t>15270054860</t>
  </si>
  <si>
    <t>55287043</t>
  </si>
  <si>
    <t>15270054940</t>
  </si>
  <si>
    <t>15270054982</t>
  </si>
  <si>
    <t>15270055221</t>
  </si>
  <si>
    <t>15270055259</t>
  </si>
  <si>
    <t>15270055456</t>
  </si>
  <si>
    <t>15270055493</t>
  </si>
  <si>
    <t>61698502</t>
  </si>
  <si>
    <t>15270055775</t>
  </si>
  <si>
    <t>15270055908</t>
  </si>
  <si>
    <t>15270055937</t>
  </si>
  <si>
    <t>15270055995</t>
  </si>
  <si>
    <t>61695878</t>
  </si>
  <si>
    <t>15270056167</t>
  </si>
  <si>
    <t>15270056258</t>
  </si>
  <si>
    <t>15270056403</t>
  </si>
  <si>
    <t>15270056613</t>
  </si>
  <si>
    <t>15270056672</t>
  </si>
  <si>
    <t>61727335</t>
  </si>
  <si>
    <t>15270056731</t>
  </si>
  <si>
    <t>15270056769</t>
  </si>
  <si>
    <t>15270056836</t>
  </si>
  <si>
    <t>15270056934</t>
  </si>
  <si>
    <t>15270057096</t>
  </si>
  <si>
    <t>15270057407</t>
  </si>
  <si>
    <t>15270057562</t>
  </si>
  <si>
    <t>15270057970</t>
  </si>
  <si>
    <t>15270058389</t>
  </si>
  <si>
    <t>15270060156</t>
  </si>
  <si>
    <t>15270060246</t>
  </si>
  <si>
    <t>15270060288</t>
  </si>
  <si>
    <t>15270060450</t>
  </si>
  <si>
    <t>15270060689</t>
  </si>
  <si>
    <t>61684279</t>
  </si>
  <si>
    <t>15270062097</t>
  </si>
  <si>
    <t>15270062162</t>
  </si>
  <si>
    <t>15270063923</t>
  </si>
  <si>
    <t>15270064059</t>
  </si>
  <si>
    <t>15270064060</t>
  </si>
  <si>
    <t>15270064282</t>
  </si>
  <si>
    <t>15270064377</t>
  </si>
  <si>
    <t>15270064828</t>
  </si>
  <si>
    <t>15270065469</t>
  </si>
  <si>
    <t>15270065898</t>
  </si>
  <si>
    <t>15270066223</t>
  </si>
  <si>
    <t>15270066300</t>
  </si>
  <si>
    <t>15270066629</t>
  </si>
  <si>
    <t>61692296</t>
  </si>
  <si>
    <t>15270066794</t>
  </si>
  <si>
    <t>61698282</t>
  </si>
  <si>
    <t>15270066999</t>
  </si>
  <si>
    <t>15270067056</t>
  </si>
  <si>
    <t>15270068799</t>
  </si>
  <si>
    <t>15270069054</t>
  </si>
  <si>
    <t>61712886</t>
  </si>
  <si>
    <t>15270069295</t>
  </si>
  <si>
    <t>15270069791</t>
  </si>
  <si>
    <t>15270070413</t>
  </si>
  <si>
    <t>15270070596</t>
  </si>
  <si>
    <t>15270071564</t>
  </si>
  <si>
    <t>15270071709</t>
  </si>
  <si>
    <t>61728002</t>
  </si>
  <si>
    <t>15270072931</t>
  </si>
  <si>
    <t>15270073491</t>
  </si>
  <si>
    <t>15270073814</t>
  </si>
  <si>
    <t>15270075342</t>
  </si>
  <si>
    <t>15270075654</t>
  </si>
  <si>
    <t>61739085</t>
  </si>
  <si>
    <t>15270075780</t>
  </si>
  <si>
    <t>15270075834</t>
  </si>
  <si>
    <t>15270085518</t>
  </si>
  <si>
    <t>15270086600</t>
  </si>
  <si>
    <t>15270087146</t>
  </si>
  <si>
    <t>15270089752</t>
  </si>
  <si>
    <t>15270089787</t>
  </si>
  <si>
    <t>61731580</t>
  </si>
  <si>
    <t>15270090902</t>
  </si>
  <si>
    <t>15270091710</t>
  </si>
  <si>
    <t>15270092081</t>
  </si>
  <si>
    <t>55296853</t>
  </si>
  <si>
    <t>15270092503</t>
  </si>
  <si>
    <t>15270092870</t>
  </si>
  <si>
    <t>15270092871</t>
  </si>
  <si>
    <t>61677519</t>
  </si>
  <si>
    <t>15270093063</t>
  </si>
  <si>
    <t>15270093065</t>
  </si>
  <si>
    <t>15270093066</t>
  </si>
  <si>
    <t>15270093273</t>
  </si>
  <si>
    <t>15270093934</t>
  </si>
  <si>
    <t>15270094046</t>
  </si>
  <si>
    <t>15270094359</t>
  </si>
  <si>
    <t>15270094795</t>
  </si>
  <si>
    <t>61728980</t>
  </si>
  <si>
    <t>15270095563</t>
  </si>
  <si>
    <t>15270095595</t>
  </si>
  <si>
    <t>15270095912</t>
  </si>
  <si>
    <t>15270095925</t>
  </si>
  <si>
    <t>15270096137</t>
  </si>
  <si>
    <t>15270096736</t>
  </si>
  <si>
    <t>55246471</t>
  </si>
  <si>
    <t>15270097380</t>
  </si>
  <si>
    <t>55245057</t>
  </si>
  <si>
    <t>15270097501</t>
  </si>
  <si>
    <t>55244575</t>
  </si>
  <si>
    <t>15270097739</t>
  </si>
  <si>
    <t>55247195</t>
  </si>
  <si>
    <t>15270098200</t>
  </si>
  <si>
    <t>55243547</t>
  </si>
  <si>
    <t>15270098238</t>
  </si>
  <si>
    <t>15270098590</t>
  </si>
  <si>
    <t>55296854</t>
  </si>
  <si>
    <t>15270099660</t>
  </si>
  <si>
    <t>55245052</t>
  </si>
  <si>
    <t>15270099661</t>
  </si>
  <si>
    <t>55245055</t>
  </si>
  <si>
    <t>15270100083</t>
  </si>
  <si>
    <t>55244629</t>
  </si>
  <si>
    <t>15270100088</t>
  </si>
  <si>
    <t>55246373</t>
  </si>
  <si>
    <t>15270100339</t>
  </si>
  <si>
    <t>55246477</t>
  </si>
  <si>
    <t>15270100748</t>
  </si>
  <si>
    <t>55244547</t>
  </si>
  <si>
    <t>15270101486</t>
  </si>
  <si>
    <t>55244037</t>
  </si>
  <si>
    <t>15270102159</t>
  </si>
  <si>
    <t>55243573</t>
  </si>
  <si>
    <t>15270102550</t>
  </si>
  <si>
    <t>55243570</t>
  </si>
  <si>
    <t>15270103050</t>
  </si>
  <si>
    <t>55243534</t>
  </si>
  <si>
    <t>15270103208</t>
  </si>
  <si>
    <t>55253143</t>
  </si>
  <si>
    <t>15270103642</t>
  </si>
  <si>
    <t>55248014</t>
  </si>
  <si>
    <t>15270103760</t>
  </si>
  <si>
    <t>55252252</t>
  </si>
  <si>
    <t>15270104104</t>
  </si>
  <si>
    <t>55252251</t>
  </si>
  <si>
    <t>15270104743</t>
  </si>
  <si>
    <t>55245009</t>
  </si>
  <si>
    <t>15270105024</t>
  </si>
  <si>
    <t>55244839</t>
  </si>
  <si>
    <t>15270105182</t>
  </si>
  <si>
    <t>55244657</t>
  </si>
  <si>
    <t>15270105234</t>
  </si>
  <si>
    <t>55296856</t>
  </si>
  <si>
    <t>15270105409</t>
  </si>
  <si>
    <t>55245049</t>
  </si>
  <si>
    <t>15270105489</t>
  </si>
  <si>
    <t>55244744</t>
  </si>
  <si>
    <t>15270105701</t>
  </si>
  <si>
    <t>55244737</t>
  </si>
  <si>
    <t>15270105850</t>
  </si>
  <si>
    <t>15270106064</t>
  </si>
  <si>
    <t>55244232</t>
  </si>
  <si>
    <t>15270106344</t>
  </si>
  <si>
    <t>55244038</t>
  </si>
  <si>
    <t>15270106370</t>
  </si>
  <si>
    <t>55244040</t>
  </si>
  <si>
    <t>15270106482</t>
  </si>
  <si>
    <t>15270107285</t>
  </si>
  <si>
    <t>55246043</t>
  </si>
  <si>
    <t>15270107637</t>
  </si>
  <si>
    <t>55246040</t>
  </si>
  <si>
    <t>15270107657</t>
  </si>
  <si>
    <t>55245006</t>
  </si>
  <si>
    <t>Mazda : Parts &amp; Accessories</t>
  </si>
  <si>
    <t>15270107857</t>
  </si>
  <si>
    <t>55244856</t>
  </si>
  <si>
    <t>15270108090</t>
  </si>
  <si>
    <t>55246035</t>
  </si>
  <si>
    <t>15270108294</t>
  </si>
  <si>
    <t>55246039</t>
  </si>
  <si>
    <t>15270108665</t>
  </si>
  <si>
    <t>55244822</t>
  </si>
  <si>
    <t>15270108904</t>
  </si>
  <si>
    <t>55244904</t>
  </si>
  <si>
    <t>15270108973</t>
  </si>
  <si>
    <t>55244753</t>
  </si>
  <si>
    <t>15270108997</t>
  </si>
  <si>
    <t>55246172</t>
  </si>
  <si>
    <t>15270109599</t>
  </si>
  <si>
    <t>55244667</t>
  </si>
  <si>
    <t>15270109811</t>
  </si>
  <si>
    <t>55244647</t>
  </si>
  <si>
    <t>15270110399</t>
  </si>
  <si>
    <t>15270110400</t>
  </si>
  <si>
    <t>15270110435</t>
  </si>
  <si>
    <t>55246163</t>
  </si>
  <si>
    <t>15270110577</t>
  </si>
  <si>
    <t>55244648</t>
  </si>
  <si>
    <t>15270110684</t>
  </si>
  <si>
    <t>55248003</t>
  </si>
  <si>
    <t>15270110856</t>
  </si>
  <si>
    <t>60833734</t>
  </si>
  <si>
    <t>55243792</t>
  </si>
  <si>
    <t>15270111449</t>
  </si>
  <si>
    <t>55243549</t>
  </si>
  <si>
    <t>15270111614</t>
  </si>
  <si>
    <t>55243533</t>
  </si>
  <si>
    <t>15270111746</t>
  </si>
  <si>
    <t>55246096</t>
  </si>
  <si>
    <t>15270111995</t>
  </si>
  <si>
    <t>55246372</t>
  </si>
  <si>
    <t>15270112117</t>
  </si>
  <si>
    <t>55246170</t>
  </si>
  <si>
    <t>15270112473</t>
  </si>
  <si>
    <t>55249721</t>
  </si>
  <si>
    <t>15270112603</t>
  </si>
  <si>
    <t>55245179</t>
  </si>
  <si>
    <t>15270113474</t>
  </si>
  <si>
    <t>55245215</t>
  </si>
  <si>
    <t>15270113932</t>
  </si>
  <si>
    <t>55252978</t>
  </si>
  <si>
    <t>15270114144</t>
  </si>
  <si>
    <t>55245212</t>
  </si>
  <si>
    <t>15270114455</t>
  </si>
  <si>
    <t>55246045</t>
  </si>
  <si>
    <t>15270114656</t>
  </si>
  <si>
    <t>55246287</t>
  </si>
  <si>
    <t>15270114826</t>
  </si>
  <si>
    <t>55246060</t>
  </si>
  <si>
    <t>15270114907</t>
  </si>
  <si>
    <t>55246142</t>
  </si>
  <si>
    <t>15270115133</t>
  </si>
  <si>
    <t>55246370</t>
  </si>
  <si>
    <t>15270115302</t>
  </si>
  <si>
    <t>55246161</t>
  </si>
  <si>
    <t>15270115405</t>
  </si>
  <si>
    <t>55252257</t>
  </si>
  <si>
    <t>15270115529</t>
  </si>
  <si>
    <t>55246038</t>
  </si>
  <si>
    <t>15270115616</t>
  </si>
  <si>
    <t>55246042</t>
  </si>
  <si>
    <t>15270115667</t>
  </si>
  <si>
    <t>55248012</t>
  </si>
  <si>
    <t>15270115720</t>
  </si>
  <si>
    <t>55246044</t>
  </si>
  <si>
    <t>15270115839</t>
  </si>
  <si>
    <t>55246047</t>
  </si>
  <si>
    <t>15270115981</t>
  </si>
  <si>
    <t>55246037</t>
  </si>
  <si>
    <t>15270115985</t>
  </si>
  <si>
    <t>55248000</t>
  </si>
  <si>
    <t>15270116079</t>
  </si>
  <si>
    <t>55248006</t>
  </si>
  <si>
    <t>15270116086</t>
  </si>
  <si>
    <t>55248016</t>
  </si>
  <si>
    <t>15270116130</t>
  </si>
  <si>
    <t>55256228</t>
  </si>
  <si>
    <t>15270116728</t>
  </si>
  <si>
    <t>55248021</t>
  </si>
  <si>
    <t>15270117270</t>
  </si>
  <si>
    <t>55248017</t>
  </si>
  <si>
    <t>15270117441</t>
  </si>
  <si>
    <t>55248008</t>
  </si>
  <si>
    <t>15270117508</t>
  </si>
  <si>
    <t>55256129</t>
  </si>
  <si>
    <t>15270117959</t>
  </si>
  <si>
    <t>55256227</t>
  </si>
  <si>
    <t>15270117960</t>
  </si>
  <si>
    <t>55253147</t>
  </si>
  <si>
    <t>15270118190</t>
  </si>
  <si>
    <t>55252982</t>
  </si>
  <si>
    <t>15270118265</t>
  </si>
  <si>
    <t>55253137</t>
  </si>
  <si>
    <t>15270118299</t>
  </si>
  <si>
    <t>55252990</t>
  </si>
  <si>
    <t>15270118620</t>
  </si>
  <si>
    <t>55256130</t>
  </si>
  <si>
    <t>15270119094</t>
  </si>
  <si>
    <t>55252970</t>
  </si>
  <si>
    <t>15270119111</t>
  </si>
  <si>
    <t>55253154</t>
  </si>
  <si>
    <t>15270119228</t>
  </si>
  <si>
    <t>55248002</t>
  </si>
  <si>
    <t>15270119311</t>
  </si>
  <si>
    <t>55248019</t>
  </si>
  <si>
    <t>15270119361</t>
  </si>
  <si>
    <t>55248013</t>
  </si>
  <si>
    <t>15270119635</t>
  </si>
  <si>
    <t>55247997</t>
  </si>
  <si>
    <t>15270119791</t>
  </si>
  <si>
    <t>55248011</t>
  </si>
  <si>
    <t>15270119870</t>
  </si>
  <si>
    <t>55248010</t>
  </si>
  <si>
    <t>15270119972</t>
  </si>
  <si>
    <t>55253119</t>
  </si>
  <si>
    <t>15270120183</t>
  </si>
  <si>
    <t>55285301</t>
  </si>
  <si>
    <t>15270120317</t>
  </si>
  <si>
    <t>55253141</t>
  </si>
  <si>
    <t>15270120551</t>
  </si>
  <si>
    <t>55252988</t>
  </si>
  <si>
    <t>15270120684</t>
  </si>
  <si>
    <t>55252987</t>
  </si>
  <si>
    <t>15270120810</t>
  </si>
  <si>
    <t>15270120844</t>
  </si>
  <si>
    <t>55245175</t>
  </si>
  <si>
    <t>15270121146</t>
  </si>
  <si>
    <t>15270121196</t>
  </si>
  <si>
    <t>55256383</t>
  </si>
  <si>
    <t>15270121401</t>
  </si>
  <si>
    <t>55256422</t>
  </si>
  <si>
    <t>15270121438</t>
  </si>
  <si>
    <t>55256421</t>
  </si>
  <si>
    <t>15270121684</t>
  </si>
  <si>
    <t>55256372</t>
  </si>
  <si>
    <t>15270121789</t>
  </si>
  <si>
    <t>55256414</t>
  </si>
  <si>
    <t>15270122007</t>
  </si>
  <si>
    <t>55256416</t>
  </si>
  <si>
    <t>15270122283</t>
  </si>
  <si>
    <t>55253139</t>
  </si>
  <si>
    <t>15270122284</t>
  </si>
  <si>
    <t>55253158</t>
  </si>
  <si>
    <t>15270122355</t>
  </si>
  <si>
    <t>55253161</t>
  </si>
  <si>
    <t>15270122360</t>
  </si>
  <si>
    <t>61677346</t>
  </si>
  <si>
    <t>15270122375</t>
  </si>
  <si>
    <t>55297606</t>
  </si>
  <si>
    <t>15270122408</t>
  </si>
  <si>
    <t>55253140</t>
  </si>
  <si>
    <t>15270122506</t>
  </si>
  <si>
    <t>55253146</t>
  </si>
  <si>
    <t>15270122508</t>
  </si>
  <si>
    <t>55253157</t>
  </si>
  <si>
    <t>15270122609</t>
  </si>
  <si>
    <t>55245101</t>
  </si>
  <si>
    <t>15270122701</t>
  </si>
  <si>
    <t>55253117</t>
  </si>
  <si>
    <t>15270122770</t>
  </si>
  <si>
    <t>55253116</t>
  </si>
  <si>
    <t>15270122868</t>
  </si>
  <si>
    <t>55253122</t>
  </si>
  <si>
    <t>15270122940</t>
  </si>
  <si>
    <t>55252975</t>
  </si>
  <si>
    <t>15270122950</t>
  </si>
  <si>
    <t>55245030</t>
  </si>
  <si>
    <t>15270123128</t>
  </si>
  <si>
    <t>55265157</t>
  </si>
  <si>
    <t>15270123289</t>
  </si>
  <si>
    <t>55264561</t>
  </si>
  <si>
    <t>15270123299</t>
  </si>
  <si>
    <t>55265254</t>
  </si>
  <si>
    <t>15270123323</t>
  </si>
  <si>
    <t>55264607</t>
  </si>
  <si>
    <t>15270123390</t>
  </si>
  <si>
    <t>55246403</t>
  </si>
  <si>
    <t>15270123506</t>
  </si>
  <si>
    <t>15270123567</t>
  </si>
  <si>
    <t>55253131</t>
  </si>
  <si>
    <t>15270123812</t>
  </si>
  <si>
    <t>55253133</t>
  </si>
  <si>
    <t>15270123845</t>
  </si>
  <si>
    <t>55253118</t>
  </si>
  <si>
    <t>15270123866</t>
  </si>
  <si>
    <t>55253135</t>
  </si>
  <si>
    <t>15270124134</t>
  </si>
  <si>
    <t>55252989</t>
  </si>
  <si>
    <t>15270124199</t>
  </si>
  <si>
    <t>55253128</t>
  </si>
  <si>
    <t>15270124202</t>
  </si>
  <si>
    <t>55252972</t>
  </si>
  <si>
    <t>15270124269</t>
  </si>
  <si>
    <t>55252977</t>
  </si>
  <si>
    <t>15270124413</t>
  </si>
  <si>
    <t>55256128</t>
  </si>
  <si>
    <t>15270124556</t>
  </si>
  <si>
    <t>55256229</t>
  </si>
  <si>
    <t>15270124650</t>
  </si>
  <si>
    <t>55256120</t>
  </si>
  <si>
    <t>15270124665</t>
  </si>
  <si>
    <t>55253148</t>
  </si>
  <si>
    <t>15270124718</t>
  </si>
  <si>
    <t>55253142</t>
  </si>
  <si>
    <t>15270125210</t>
  </si>
  <si>
    <t>55256424</t>
  </si>
  <si>
    <t>15270125388</t>
  </si>
  <si>
    <t>55256420</t>
  </si>
  <si>
    <t>15270125402</t>
  </si>
  <si>
    <t>55245135</t>
  </si>
  <si>
    <t>15270125465</t>
  </si>
  <si>
    <t>55253170</t>
  </si>
  <si>
    <t>15270125796</t>
  </si>
  <si>
    <t>60833599</t>
  </si>
  <si>
    <t>55245086</t>
  </si>
  <si>
    <t>15270125952</t>
  </si>
  <si>
    <t>55246226</t>
  </si>
  <si>
    <t>15270125972</t>
  </si>
  <si>
    <t>55256423</t>
  </si>
  <si>
    <t>15270125996</t>
  </si>
  <si>
    <t>55256418</t>
  </si>
  <si>
    <t>15270126243</t>
  </si>
  <si>
    <t>55256425</t>
  </si>
  <si>
    <t>15270126259</t>
  </si>
  <si>
    <t>55256415</t>
  </si>
  <si>
    <t>15270126424</t>
  </si>
  <si>
    <t>55256123</t>
  </si>
  <si>
    <t>15270126425</t>
  </si>
  <si>
    <t>55256122</t>
  </si>
  <si>
    <t>15270126603</t>
  </si>
  <si>
    <t>55253181</t>
  </si>
  <si>
    <t>15270126607</t>
  </si>
  <si>
    <t>55253153</t>
  </si>
  <si>
    <t>15270126927</t>
  </si>
  <si>
    <t>55253160</t>
  </si>
  <si>
    <t>15270126997</t>
  </si>
  <si>
    <t>55253174</t>
  </si>
  <si>
    <t>15270127089</t>
  </si>
  <si>
    <t>55246077</t>
  </si>
  <si>
    <t>15270127169</t>
  </si>
  <si>
    <t>55253152</t>
  </si>
  <si>
    <t>15270127183</t>
  </si>
  <si>
    <t>15270127211</t>
  </si>
  <si>
    <t>15270127427</t>
  </si>
  <si>
    <t>15270127490</t>
  </si>
  <si>
    <t>15270127537</t>
  </si>
  <si>
    <t>15270127577</t>
  </si>
  <si>
    <t>15270127611</t>
  </si>
  <si>
    <t>15270127638</t>
  </si>
  <si>
    <t>15270127830</t>
  </si>
  <si>
    <t>15270127844</t>
  </si>
  <si>
    <t>15270127894</t>
  </si>
  <si>
    <t>15270127982</t>
  </si>
  <si>
    <t>15270127996</t>
  </si>
  <si>
    <t>15270128363</t>
  </si>
  <si>
    <t>61688709</t>
  </si>
  <si>
    <t>15270128457</t>
  </si>
  <si>
    <t>61707385</t>
  </si>
  <si>
    <t>15270128623</t>
  </si>
  <si>
    <t>15270128790</t>
  </si>
  <si>
    <t>15270129265</t>
  </si>
  <si>
    <t>61704816</t>
  </si>
  <si>
    <t>15270129587</t>
  </si>
  <si>
    <t>15270129672</t>
  </si>
  <si>
    <t>15270129901</t>
  </si>
  <si>
    <t>15270130631</t>
  </si>
  <si>
    <t>15270131073</t>
  </si>
  <si>
    <t>15270131160</t>
  </si>
  <si>
    <t>15270131229</t>
  </si>
  <si>
    <t>15270131582</t>
  </si>
  <si>
    <t>61680137</t>
  </si>
  <si>
    <t>15270131583</t>
  </si>
  <si>
    <t>61725372</t>
  </si>
  <si>
    <t>15270131639</t>
  </si>
  <si>
    <t>61683245</t>
  </si>
  <si>
    <t>15270131768</t>
  </si>
  <si>
    <t>15270131827</t>
  </si>
  <si>
    <t>15270131828</t>
  </si>
  <si>
    <t>15270132049</t>
  </si>
  <si>
    <t>15270132124</t>
  </si>
  <si>
    <t>15270132222</t>
  </si>
  <si>
    <t>15270132269</t>
  </si>
  <si>
    <t>15270132351</t>
  </si>
  <si>
    <t>15270132462</t>
  </si>
  <si>
    <t>61736650</t>
  </si>
  <si>
    <t>15270132503</t>
  </si>
  <si>
    <t>15270132730</t>
  </si>
  <si>
    <t>15270132938</t>
  </si>
  <si>
    <t>15270133009</t>
  </si>
  <si>
    <t>15270133517</t>
  </si>
  <si>
    <t>61695864</t>
  </si>
  <si>
    <t>15270133696</t>
  </si>
  <si>
    <t>15270133702</t>
  </si>
  <si>
    <t>15270133759</t>
  </si>
  <si>
    <t>15270133821</t>
  </si>
  <si>
    <t>15270133822</t>
  </si>
  <si>
    <t>15270134756</t>
  </si>
  <si>
    <t>15270136083</t>
  </si>
  <si>
    <t>15270137953</t>
  </si>
  <si>
    <t>62159376</t>
  </si>
  <si>
    <t>15270145892</t>
  </si>
  <si>
    <t>55271763</t>
  </si>
  <si>
    <t>15270146233</t>
  </si>
  <si>
    <t>55271762</t>
  </si>
  <si>
    <t>15270147207</t>
  </si>
  <si>
    <t>55272809</t>
  </si>
  <si>
    <t>15270149038</t>
  </si>
  <si>
    <t>55271866</t>
  </si>
  <si>
    <t>15270159238</t>
  </si>
  <si>
    <t>55264268</t>
  </si>
  <si>
    <t>15270159707</t>
  </si>
  <si>
    <t>55264938</t>
  </si>
  <si>
    <t>15270160248</t>
  </si>
  <si>
    <t>55261487</t>
  </si>
  <si>
    <t>15270164295</t>
  </si>
  <si>
    <t>55267585</t>
  </si>
  <si>
    <t>15270170875</t>
  </si>
  <si>
    <t>55260700</t>
  </si>
  <si>
    <t>15270171778</t>
  </si>
  <si>
    <t>55275923</t>
  </si>
  <si>
    <t>15270172758</t>
  </si>
  <si>
    <t>55272832</t>
  </si>
  <si>
    <t>15270172978</t>
  </si>
  <si>
    <t>55265375</t>
  </si>
  <si>
    <t>15270173177</t>
  </si>
  <si>
    <t>55265633</t>
  </si>
  <si>
    <t>15270173268</t>
  </si>
  <si>
    <t>55265387</t>
  </si>
  <si>
    <t>15270175127</t>
  </si>
  <si>
    <t>55267834</t>
  </si>
  <si>
    <t>15270175297</t>
  </si>
  <si>
    <t>55275965</t>
  </si>
  <si>
    <t>15270175682</t>
  </si>
  <si>
    <t>55272800</t>
  </si>
  <si>
    <t>15270176740</t>
  </si>
  <si>
    <t>15270177178</t>
  </si>
  <si>
    <t>55261621</t>
  </si>
  <si>
    <t>15270177364</t>
  </si>
  <si>
    <t>55263239</t>
  </si>
  <si>
    <t>15270177437</t>
  </si>
  <si>
    <t>55264203</t>
  </si>
  <si>
    <t>15270178831</t>
  </si>
  <si>
    <t>55263235</t>
  </si>
  <si>
    <t>15270179773</t>
  </si>
  <si>
    <t>55260809</t>
  </si>
  <si>
    <t>15270179774</t>
  </si>
  <si>
    <t>55261573</t>
  </si>
  <si>
    <t>15270180599</t>
  </si>
  <si>
    <t>55260680</t>
  </si>
  <si>
    <t>15270181256</t>
  </si>
  <si>
    <t>55268760</t>
  </si>
  <si>
    <t>15270182325</t>
  </si>
  <si>
    <t>55266136</t>
  </si>
  <si>
    <t>15270182335</t>
  </si>
  <si>
    <t>55267584</t>
  </si>
  <si>
    <t>15270182403</t>
  </si>
  <si>
    <t>55275606</t>
  </si>
  <si>
    <t>15270182867</t>
  </si>
  <si>
    <t>55267587</t>
  </si>
  <si>
    <t>15270183236</t>
  </si>
  <si>
    <t>55265972</t>
  </si>
  <si>
    <t>15270183466</t>
  </si>
  <si>
    <t>55265984</t>
  </si>
  <si>
    <t>15270183503</t>
  </si>
  <si>
    <t>55267583</t>
  </si>
  <si>
    <t>15270183568</t>
  </si>
  <si>
    <t>55265613</t>
  </si>
  <si>
    <t>15270183578</t>
  </si>
  <si>
    <t>15270184344</t>
  </si>
  <si>
    <t>61681742</t>
  </si>
  <si>
    <t>15270185526</t>
  </si>
  <si>
    <t>55265983</t>
  </si>
  <si>
    <t>15270185799</t>
  </si>
  <si>
    <t>15270186372</t>
  </si>
  <si>
    <t>55266104</t>
  </si>
  <si>
    <t>15270187081</t>
  </si>
  <si>
    <t>55315166</t>
  </si>
  <si>
    <t>15270188287</t>
  </si>
  <si>
    <t>55267840</t>
  </si>
  <si>
    <t>15270188985</t>
  </si>
  <si>
    <t>55267577</t>
  </si>
  <si>
    <t>15270190272</t>
  </si>
  <si>
    <t>55275835</t>
  </si>
  <si>
    <t>15270190282</t>
  </si>
  <si>
    <t>55275838</t>
  </si>
  <si>
    <t>15270190330</t>
  </si>
  <si>
    <t>55275963</t>
  </si>
  <si>
    <t>15270190545</t>
  </si>
  <si>
    <t>55269703</t>
  </si>
  <si>
    <t>15270190587</t>
  </si>
  <si>
    <t>55269832</t>
  </si>
  <si>
    <t>15270191056</t>
  </si>
  <si>
    <t>55267812</t>
  </si>
  <si>
    <t>15270191576</t>
  </si>
  <si>
    <t>55277256</t>
  </si>
  <si>
    <t>15270191914</t>
  </si>
  <si>
    <t>55277255</t>
  </si>
  <si>
    <t>15270191924</t>
  </si>
  <si>
    <t>55277340</t>
  </si>
  <si>
    <t>15270192162</t>
  </si>
  <si>
    <t>55269865</t>
  </si>
  <si>
    <t>15270192219</t>
  </si>
  <si>
    <t>55269451</t>
  </si>
  <si>
    <t>15270192658</t>
  </si>
  <si>
    <t>55278044</t>
  </si>
  <si>
    <t>15270192830</t>
  </si>
  <si>
    <t>55269505</t>
  </si>
  <si>
    <t>15270192925</t>
  </si>
  <si>
    <t>55269698</t>
  </si>
  <si>
    <t>15270193120</t>
  </si>
  <si>
    <t>55267804</t>
  </si>
  <si>
    <t>15270193159</t>
  </si>
  <si>
    <t>55268789</t>
  </si>
  <si>
    <t>15270193654</t>
  </si>
  <si>
    <t>55278045</t>
  </si>
  <si>
    <t>15270194054</t>
  </si>
  <si>
    <t>55275691</t>
  </si>
  <si>
    <t>15270194487</t>
  </si>
  <si>
    <t>55275574</t>
  </si>
  <si>
    <t>15270194577</t>
  </si>
  <si>
    <t>55275601</t>
  </si>
  <si>
    <t>15270195479</t>
  </si>
  <si>
    <t>61690995</t>
  </si>
  <si>
    <t>15270195590</t>
  </si>
  <si>
    <t>55275604</t>
  </si>
  <si>
    <t>15270195986</t>
  </si>
  <si>
    <t>55275719</t>
  </si>
  <si>
    <t>15270196432</t>
  </si>
  <si>
    <t>15270196718</t>
  </si>
  <si>
    <t>55330227</t>
  </si>
  <si>
    <t>15270196912</t>
  </si>
  <si>
    <t>15270196954</t>
  </si>
  <si>
    <t>15270196997</t>
  </si>
  <si>
    <t>15270197128</t>
  </si>
  <si>
    <t>55292477</t>
  </si>
  <si>
    <t>15270198113</t>
  </si>
  <si>
    <t>55275798</t>
  </si>
  <si>
    <t>15270198432</t>
  </si>
  <si>
    <t>55292476</t>
  </si>
  <si>
    <t>15270199404</t>
  </si>
  <si>
    <t>55271889</t>
  </si>
  <si>
    <t>15270199534</t>
  </si>
  <si>
    <t>55275797</t>
  </si>
  <si>
    <t>15270199845</t>
  </si>
  <si>
    <t>55292244</t>
  </si>
  <si>
    <t>15270203597</t>
  </si>
  <si>
    <t>61735458</t>
  </si>
  <si>
    <t>15270204068</t>
  </si>
  <si>
    <t>15270204615</t>
  </si>
  <si>
    <t>15270204929</t>
  </si>
  <si>
    <t>15270205263</t>
  </si>
  <si>
    <t>15270205901</t>
  </si>
  <si>
    <t>61718652</t>
  </si>
  <si>
    <t>15270206677</t>
  </si>
  <si>
    <t>15270207402</t>
  </si>
  <si>
    <t>15270207753</t>
  </si>
  <si>
    <t>15270208341</t>
  </si>
  <si>
    <t>15270208500</t>
  </si>
  <si>
    <t>15270208584</t>
  </si>
  <si>
    <t>15270211234</t>
  </si>
  <si>
    <t>15270211235</t>
  </si>
  <si>
    <t>15270214154</t>
  </si>
  <si>
    <t>15270215477</t>
  </si>
  <si>
    <t>15270216478</t>
  </si>
  <si>
    <t>15270216519</t>
  </si>
  <si>
    <t>15270222700</t>
  </si>
  <si>
    <t>61696002</t>
  </si>
  <si>
    <t>15270222834</t>
  </si>
  <si>
    <t>15270223475</t>
  </si>
  <si>
    <t>61721753</t>
  </si>
  <si>
    <t>15270224448</t>
  </si>
  <si>
    <t>15270225025</t>
  </si>
  <si>
    <t>15270225249</t>
  </si>
  <si>
    <t>15270225825</t>
  </si>
  <si>
    <t>15270239042</t>
  </si>
  <si>
    <t>15270245065</t>
  </si>
  <si>
    <t>15270245146</t>
  </si>
  <si>
    <t>15270245391</t>
  </si>
  <si>
    <t>15270245664</t>
  </si>
  <si>
    <t>15270246149</t>
  </si>
  <si>
    <t>15270246488</t>
  </si>
  <si>
    <t>15270250409</t>
  </si>
  <si>
    <t>55344648</t>
  </si>
  <si>
    <t>15270252895</t>
  </si>
  <si>
    <t>55285819</t>
  </si>
  <si>
    <t>15270253806</t>
  </si>
  <si>
    <t>55294954</t>
  </si>
  <si>
    <t>15270254045</t>
  </si>
  <si>
    <t>55294938</t>
  </si>
  <si>
    <t>15270259956</t>
  </si>
  <si>
    <t>55296727</t>
  </si>
  <si>
    <t>15270260869</t>
  </si>
  <si>
    <t>55294964</t>
  </si>
  <si>
    <t>15270261631</t>
  </si>
  <si>
    <t>55294962</t>
  </si>
  <si>
    <t>15270262068</t>
  </si>
  <si>
    <t>15270262242</t>
  </si>
  <si>
    <t>15270262323</t>
  </si>
  <si>
    <t>55294955</t>
  </si>
  <si>
    <t>15270262383</t>
  </si>
  <si>
    <t>55288829</t>
  </si>
  <si>
    <t>15270262923</t>
  </si>
  <si>
    <t>55300314</t>
  </si>
  <si>
    <t>15270262953</t>
  </si>
  <si>
    <t>55297808</t>
  </si>
  <si>
    <t>15270263039</t>
  </si>
  <si>
    <t>55330815</t>
  </si>
  <si>
    <t>15270263077</t>
  </si>
  <si>
    <t>55297812</t>
  </si>
  <si>
    <t>15270263266</t>
  </si>
  <si>
    <t>55300337</t>
  </si>
  <si>
    <t>15270263622</t>
  </si>
  <si>
    <t>55330817</t>
  </si>
  <si>
    <t>15270264621</t>
  </si>
  <si>
    <t>55297534</t>
  </si>
  <si>
    <t>15270265176</t>
  </si>
  <si>
    <t>55297538</t>
  </si>
  <si>
    <t>15270265186</t>
  </si>
  <si>
    <t>55297537</t>
  </si>
  <si>
    <t>15270265418</t>
  </si>
  <si>
    <t>55310600</t>
  </si>
  <si>
    <t>15270265587</t>
  </si>
  <si>
    <t>55309482</t>
  </si>
  <si>
    <t>15270265989</t>
  </si>
  <si>
    <t>55311837</t>
  </si>
  <si>
    <t>15270266739</t>
  </si>
  <si>
    <t>55294708</t>
  </si>
  <si>
    <t>15270267737</t>
  </si>
  <si>
    <t>55297595</t>
  </si>
  <si>
    <t>15270268071</t>
  </si>
  <si>
    <t>55299950</t>
  </si>
  <si>
    <t>15270268150</t>
  </si>
  <si>
    <t>55300313</t>
  </si>
  <si>
    <t>15270268361</t>
  </si>
  <si>
    <t>55300292</t>
  </si>
  <si>
    <t>15270268599</t>
  </si>
  <si>
    <t>55300281</t>
  </si>
  <si>
    <t>15270269044</t>
  </si>
  <si>
    <t>55292400</t>
  </si>
  <si>
    <t>15270270111</t>
  </si>
  <si>
    <t>55292955</t>
  </si>
  <si>
    <t>15270270386</t>
  </si>
  <si>
    <t>55302793</t>
  </si>
  <si>
    <t>15270270654</t>
  </si>
  <si>
    <t>15270270765</t>
  </si>
  <si>
    <t>55300360</t>
  </si>
  <si>
    <t>15270270903</t>
  </si>
  <si>
    <t>55300364</t>
  </si>
  <si>
    <t>15270271339</t>
  </si>
  <si>
    <t>55316510</t>
  </si>
  <si>
    <t>15270271673</t>
  </si>
  <si>
    <t>55308342</t>
  </si>
  <si>
    <t>15270271734</t>
  </si>
  <si>
    <t>55303461</t>
  </si>
  <si>
    <t>15270271797</t>
  </si>
  <si>
    <t>55302786</t>
  </si>
  <si>
    <t>15270271925</t>
  </si>
  <si>
    <t>55303460</t>
  </si>
  <si>
    <t>15270272013</t>
  </si>
  <si>
    <t>55303458</t>
  </si>
  <si>
    <t>15270272819</t>
  </si>
  <si>
    <t>55309117</t>
  </si>
  <si>
    <t>15270272998</t>
  </si>
  <si>
    <t>55314341</t>
  </si>
  <si>
    <t>15270273288</t>
  </si>
  <si>
    <t>55302796</t>
  </si>
  <si>
    <t>15270273383</t>
  </si>
  <si>
    <t>55300425</t>
  </si>
  <si>
    <t>15270273619</t>
  </si>
  <si>
    <t>55300451</t>
  </si>
  <si>
    <t>15270273730</t>
  </si>
  <si>
    <t>55300455</t>
  </si>
  <si>
    <t>15270273843</t>
  </si>
  <si>
    <t>55300359</t>
  </si>
  <si>
    <t>15270275171</t>
  </si>
  <si>
    <t>55302789</t>
  </si>
  <si>
    <t>15270275661</t>
  </si>
  <si>
    <t>55300409</t>
  </si>
  <si>
    <t>15270275690</t>
  </si>
  <si>
    <t>55300380</t>
  </si>
  <si>
    <t>15270275744</t>
  </si>
  <si>
    <t>55300379</t>
  </si>
  <si>
    <t>15270276625</t>
  </si>
  <si>
    <t>15270276949</t>
  </si>
  <si>
    <t>61706697</t>
  </si>
  <si>
    <t>15270277420</t>
  </si>
  <si>
    <t>15270277562</t>
  </si>
  <si>
    <t>15270277804</t>
  </si>
  <si>
    <t>15270277819</t>
  </si>
  <si>
    <t>15270278011</t>
  </si>
  <si>
    <t>15270278180</t>
  </si>
  <si>
    <t>15270278471</t>
  </si>
  <si>
    <t>15270278788</t>
  </si>
  <si>
    <t>15270278945</t>
  </si>
  <si>
    <t>15270278946</t>
  </si>
  <si>
    <t>15270279268</t>
  </si>
  <si>
    <t>15270279355</t>
  </si>
  <si>
    <t>15270279356</t>
  </si>
  <si>
    <t>15270279358</t>
  </si>
  <si>
    <t>15270279361</t>
  </si>
  <si>
    <t>15270279386</t>
  </si>
  <si>
    <t>15270279639</t>
  </si>
  <si>
    <t>15270279646</t>
  </si>
  <si>
    <t>15270279814</t>
  </si>
  <si>
    <t>15270280083</t>
  </si>
  <si>
    <t>15270280179</t>
  </si>
  <si>
    <t>15270281126</t>
  </si>
  <si>
    <t>61735597</t>
  </si>
  <si>
    <t>15270281298</t>
  </si>
  <si>
    <t>15270281489</t>
  </si>
  <si>
    <t>15270281677</t>
  </si>
  <si>
    <t>15270281753</t>
  </si>
  <si>
    <t>15270281966</t>
  </si>
  <si>
    <t>15270282135</t>
  </si>
  <si>
    <t>15270282144</t>
  </si>
  <si>
    <t>15270282520</t>
  </si>
  <si>
    <t>15270282557</t>
  </si>
  <si>
    <t>15270282837</t>
  </si>
  <si>
    <t>15270282877</t>
  </si>
  <si>
    <t>15270282996</t>
  </si>
  <si>
    <t>15270283255</t>
  </si>
  <si>
    <t>15270283511</t>
  </si>
  <si>
    <t>15270283664</t>
  </si>
  <si>
    <t>15270284455</t>
  </si>
  <si>
    <t>15270285034</t>
  </si>
  <si>
    <t>61677751</t>
  </si>
  <si>
    <t>15270285159</t>
  </si>
  <si>
    <t>15270285689</t>
  </si>
  <si>
    <t>15270285832</t>
  </si>
  <si>
    <t>15270286535</t>
  </si>
  <si>
    <t>61700748</t>
  </si>
  <si>
    <t>15270287085</t>
  </si>
  <si>
    <t>15270287209</t>
  </si>
  <si>
    <t>15270287283</t>
  </si>
  <si>
    <t>15270287295</t>
  </si>
  <si>
    <t>15270287873</t>
  </si>
  <si>
    <t>15270288399</t>
  </si>
  <si>
    <t>15270289023</t>
  </si>
  <si>
    <t>15270290316</t>
  </si>
  <si>
    <t>15270290474</t>
  </si>
  <si>
    <t>15270291444</t>
  </si>
  <si>
    <t>15270291476</t>
  </si>
  <si>
    <t>15270291572</t>
  </si>
  <si>
    <t>15270292404</t>
  </si>
  <si>
    <t>15270292464</t>
  </si>
  <si>
    <t>15270292544</t>
  </si>
  <si>
    <t>15270293784</t>
  </si>
  <si>
    <t>61674731</t>
  </si>
  <si>
    <t>15270294302</t>
  </si>
  <si>
    <t>15270295688</t>
  </si>
  <si>
    <t>15270295788</t>
  </si>
  <si>
    <t>15270296270</t>
  </si>
  <si>
    <t>61732639</t>
  </si>
  <si>
    <t>15270296822</t>
  </si>
  <si>
    <t>15270296823</t>
  </si>
  <si>
    <t>15270297029</t>
  </si>
  <si>
    <t>15270297201</t>
  </si>
  <si>
    <t>15270297256</t>
  </si>
  <si>
    <t>15270298231</t>
  </si>
  <si>
    <t>15270298232</t>
  </si>
  <si>
    <t>15270298743</t>
  </si>
  <si>
    <t>15270299381</t>
  </si>
  <si>
    <t>15270299972</t>
  </si>
  <si>
    <t>15270300025</t>
  </si>
  <si>
    <t>15270300273</t>
  </si>
  <si>
    <t>15270300546</t>
  </si>
  <si>
    <t>15270300875</t>
  </si>
  <si>
    <t>15270301467</t>
  </si>
  <si>
    <t>15270301590</t>
  </si>
  <si>
    <t>15270302010</t>
  </si>
  <si>
    <t>15270304673</t>
  </si>
  <si>
    <t>15270314789</t>
  </si>
  <si>
    <t>15270315624</t>
  </si>
  <si>
    <t>15270317148</t>
  </si>
  <si>
    <t>15270317913</t>
  </si>
  <si>
    <t>15270319736</t>
  </si>
  <si>
    <t>15270326251</t>
  </si>
  <si>
    <t>61711373</t>
  </si>
  <si>
    <t>15270326677</t>
  </si>
  <si>
    <t>15270326696</t>
  </si>
  <si>
    <t>15270327688</t>
  </si>
  <si>
    <t>15270328683</t>
  </si>
  <si>
    <t>15270329226</t>
  </si>
  <si>
    <t>61688153</t>
  </si>
  <si>
    <t>15270329353</t>
  </si>
  <si>
    <t>15270329590</t>
  </si>
  <si>
    <t>15270329836</t>
  </si>
  <si>
    <t>15270329976</t>
  </si>
  <si>
    <t>61730516</t>
  </si>
  <si>
    <t>15270331090</t>
  </si>
  <si>
    <t>15270331172</t>
  </si>
  <si>
    <t>15270334673</t>
  </si>
  <si>
    <t>61718817</t>
  </si>
  <si>
    <t>15270336226</t>
  </si>
  <si>
    <t>15270336436</t>
  </si>
  <si>
    <t>15270336595</t>
  </si>
  <si>
    <t>55309534</t>
  </si>
  <si>
    <t>15270339877</t>
  </si>
  <si>
    <t>55315063</t>
  </si>
  <si>
    <t>15270342531</t>
  </si>
  <si>
    <t>55309682</t>
  </si>
  <si>
    <t>15270342624</t>
  </si>
  <si>
    <t>55311870</t>
  </si>
  <si>
    <t>15270345005</t>
  </si>
  <si>
    <t>55309003</t>
  </si>
  <si>
    <t>15270345012</t>
  </si>
  <si>
    <t>55309126</t>
  </si>
  <si>
    <t>15270346379</t>
  </si>
  <si>
    <t>55325887</t>
  </si>
  <si>
    <t>15270347860</t>
  </si>
  <si>
    <t>55310601</t>
  </si>
  <si>
    <t>15270348385</t>
  </si>
  <si>
    <t>55317879</t>
  </si>
  <si>
    <t>15270349435</t>
  </si>
  <si>
    <t>15270349598</t>
  </si>
  <si>
    <t>15270350178</t>
  </si>
  <si>
    <t>55310733</t>
  </si>
  <si>
    <t>15270354002</t>
  </si>
  <si>
    <t>55318088</t>
  </si>
  <si>
    <t>15270354646</t>
  </si>
  <si>
    <t>55317875</t>
  </si>
  <si>
    <t>15270355128</t>
  </si>
  <si>
    <t>55310598</t>
  </si>
  <si>
    <t>15270355370</t>
  </si>
  <si>
    <t>55311835</t>
  </si>
  <si>
    <t>15270357845</t>
  </si>
  <si>
    <t>55320247</t>
  </si>
  <si>
    <t>15270358423</t>
  </si>
  <si>
    <t>55320248</t>
  </si>
  <si>
    <t>15270359217</t>
  </si>
  <si>
    <t>15270359727</t>
  </si>
  <si>
    <t>55318066</t>
  </si>
  <si>
    <t>15270359911</t>
  </si>
  <si>
    <t>55318064</t>
  </si>
  <si>
    <t>15270360835</t>
  </si>
  <si>
    <t>55317993</t>
  </si>
  <si>
    <t>15270361673</t>
  </si>
  <si>
    <t>55318065</t>
  </si>
  <si>
    <t>15270362209</t>
  </si>
  <si>
    <t>15270363232</t>
  </si>
  <si>
    <t>55317994</t>
  </si>
  <si>
    <t>15270363359</t>
  </si>
  <si>
    <t>55317963</t>
  </si>
  <si>
    <t>15270363534</t>
  </si>
  <si>
    <t>55317958</t>
  </si>
  <si>
    <t>15270363800</t>
  </si>
  <si>
    <t>55318061</t>
  </si>
  <si>
    <t>15270364730</t>
  </si>
  <si>
    <t>55318032</t>
  </si>
  <si>
    <t>15270366028</t>
  </si>
  <si>
    <t>15270366286</t>
  </si>
  <si>
    <t>61722440</t>
  </si>
  <si>
    <t>15270367721</t>
  </si>
  <si>
    <t>15270367724</t>
  </si>
  <si>
    <t>15270367922</t>
  </si>
  <si>
    <t>15270368363</t>
  </si>
  <si>
    <t>15270368785</t>
  </si>
  <si>
    <t>15270368912</t>
  </si>
  <si>
    <t>15270370036</t>
  </si>
  <si>
    <t>15270370624</t>
  </si>
  <si>
    <t>15270370665</t>
  </si>
  <si>
    <t>15270370804</t>
  </si>
  <si>
    <t>15270370948</t>
  </si>
  <si>
    <t>15270371317</t>
  </si>
  <si>
    <t>15270371984</t>
  </si>
  <si>
    <t>15270372016</t>
  </si>
  <si>
    <t>15270372288</t>
  </si>
  <si>
    <t>15270372557</t>
  </si>
  <si>
    <t>15270372574</t>
  </si>
  <si>
    <t>15270374223</t>
  </si>
  <si>
    <t>15270375045</t>
  </si>
  <si>
    <t>15270375986</t>
  </si>
  <si>
    <t>15270376177</t>
  </si>
  <si>
    <t>61679021</t>
  </si>
  <si>
    <t>15270376178</t>
  </si>
  <si>
    <t>15270376333</t>
  </si>
  <si>
    <t>15270376334</t>
  </si>
  <si>
    <t>15270377053</t>
  </si>
  <si>
    <t>15270377092</t>
  </si>
  <si>
    <t>61730347</t>
  </si>
  <si>
    <t>15270378843</t>
  </si>
  <si>
    <t>61679140</t>
  </si>
  <si>
    <t>15270381429</t>
  </si>
  <si>
    <t>15270382173</t>
  </si>
  <si>
    <t>15270383323</t>
  </si>
  <si>
    <t>15270383373</t>
  </si>
  <si>
    <t>15270383418</t>
  </si>
  <si>
    <t>61680193</t>
  </si>
  <si>
    <t>15270388749</t>
  </si>
  <si>
    <t>15270389498</t>
  </si>
  <si>
    <t>61707647</t>
  </si>
  <si>
    <t>15270393413</t>
  </si>
  <si>
    <t>15270393511</t>
  </si>
  <si>
    <t>61677169</t>
  </si>
  <si>
    <t>15270393678</t>
  </si>
  <si>
    <t>15270394204</t>
  </si>
  <si>
    <t>15270394288</t>
  </si>
  <si>
    <t>15270394634</t>
  </si>
  <si>
    <t>15270394635</t>
  </si>
  <si>
    <t>61681476</t>
  </si>
  <si>
    <t>15270394714</t>
  </si>
  <si>
    <t>15270400736</t>
  </si>
  <si>
    <t>55325600</t>
  </si>
  <si>
    <t>15270401120</t>
  </si>
  <si>
    <t>55330181</t>
  </si>
  <si>
    <t>15270403068</t>
  </si>
  <si>
    <t>15270409927</t>
  </si>
  <si>
    <t>15270410602</t>
  </si>
  <si>
    <t>15270410623</t>
  </si>
  <si>
    <t>55330262</t>
  </si>
  <si>
    <t>15270410692</t>
  </si>
  <si>
    <t>55323773</t>
  </si>
  <si>
    <t>15270410839</t>
  </si>
  <si>
    <t>55323597</t>
  </si>
  <si>
    <t>15270410987</t>
  </si>
  <si>
    <t>55323599</t>
  </si>
  <si>
    <t>15270410988</t>
  </si>
  <si>
    <t>55323780</t>
  </si>
  <si>
    <t>15270410990</t>
  </si>
  <si>
    <t>55323598</t>
  </si>
  <si>
    <t>15270411486</t>
  </si>
  <si>
    <t>55323317</t>
  </si>
  <si>
    <t>15270411976</t>
  </si>
  <si>
    <t>55323477</t>
  </si>
  <si>
    <t>55325735</t>
  </si>
  <si>
    <t>15270412032</t>
  </si>
  <si>
    <t>55323306</t>
  </si>
  <si>
    <t>15270413051</t>
  </si>
  <si>
    <t>55328805</t>
  </si>
  <si>
    <t>15270413386</t>
  </si>
  <si>
    <t>61687145</t>
  </si>
  <si>
    <t>55325575</t>
  </si>
  <si>
    <t>15270413864</t>
  </si>
  <si>
    <t>55325724</t>
  </si>
  <si>
    <t>15270414045</t>
  </si>
  <si>
    <t>55325822</t>
  </si>
  <si>
    <t>15270414090</t>
  </si>
  <si>
    <t>55324408</t>
  </si>
  <si>
    <t>15270414163</t>
  </si>
  <si>
    <t>55330182</t>
  </si>
  <si>
    <t>15270414206</t>
  </si>
  <si>
    <t>55323646</t>
  </si>
  <si>
    <t>15270414257</t>
  </si>
  <si>
    <t>55325730</t>
  </si>
  <si>
    <t>15270414352</t>
  </si>
  <si>
    <t>55323508</t>
  </si>
  <si>
    <t>15270414575</t>
  </si>
  <si>
    <t>55327338</t>
  </si>
  <si>
    <t>15270414577</t>
  </si>
  <si>
    <t>55327676</t>
  </si>
  <si>
    <t>15270414578</t>
  </si>
  <si>
    <t>55327673</t>
  </si>
  <si>
    <t>15270414601</t>
  </si>
  <si>
    <t>55330176</t>
  </si>
  <si>
    <t>15270414603</t>
  </si>
  <si>
    <t>55327352</t>
  </si>
  <si>
    <t>15270414607</t>
  </si>
  <si>
    <t>55327332</t>
  </si>
  <si>
    <t>15270414675</t>
  </si>
  <si>
    <t>55327337</t>
  </si>
  <si>
    <t>15270414847</t>
  </si>
  <si>
    <t>55327351</t>
  </si>
  <si>
    <t>15270414892</t>
  </si>
  <si>
    <t>15270415030</t>
  </si>
  <si>
    <t>55327714</t>
  </si>
  <si>
    <t>15270415240</t>
  </si>
  <si>
    <t>55327812</t>
  </si>
  <si>
    <t>15270415495</t>
  </si>
  <si>
    <t>55325638</t>
  </si>
  <si>
    <t>15270415594</t>
  </si>
  <si>
    <t>55327339</t>
  </si>
  <si>
    <t>15270415936</t>
  </si>
  <si>
    <t>55325599</t>
  </si>
  <si>
    <t>15270416019</t>
  </si>
  <si>
    <t>15270416242</t>
  </si>
  <si>
    <t>55325590</t>
  </si>
  <si>
    <t>15270416556</t>
  </si>
  <si>
    <t>55327756</t>
  </si>
  <si>
    <t>15270416561</t>
  </si>
  <si>
    <t>55327813</t>
  </si>
  <si>
    <t>15270416766</t>
  </si>
  <si>
    <t>55327757</t>
  </si>
  <si>
    <t>15270416771</t>
  </si>
  <si>
    <t>55327716</t>
  </si>
  <si>
    <t>15270416808</t>
  </si>
  <si>
    <t>55329059</t>
  </si>
  <si>
    <t>15270416904</t>
  </si>
  <si>
    <t>55326794</t>
  </si>
  <si>
    <t>15270416946</t>
  </si>
  <si>
    <t>55328850</t>
  </si>
  <si>
    <t>15270416990</t>
  </si>
  <si>
    <t>55328852</t>
  </si>
  <si>
    <t>15270417019</t>
  </si>
  <si>
    <t>55330179</t>
  </si>
  <si>
    <t>15270417027</t>
  </si>
  <si>
    <t>15270417112</t>
  </si>
  <si>
    <t>55329058</t>
  </si>
  <si>
    <t>55337429</t>
  </si>
  <si>
    <t>15270417456</t>
  </si>
  <si>
    <t>55329211</t>
  </si>
  <si>
    <t>15270417541</t>
  </si>
  <si>
    <t>55334412</t>
  </si>
  <si>
    <t>15270417542</t>
  </si>
  <si>
    <t>55329060</t>
  </si>
  <si>
    <t>15270417580</t>
  </si>
  <si>
    <t>55330226</t>
  </si>
  <si>
    <t>15270417763</t>
  </si>
  <si>
    <t>55334414</t>
  </si>
  <si>
    <t>15270417764</t>
  </si>
  <si>
    <t>55332521</t>
  </si>
  <si>
    <t>15270417929</t>
  </si>
  <si>
    <t>55325680</t>
  </si>
  <si>
    <t>15270417940</t>
  </si>
  <si>
    <t>55332474</t>
  </si>
  <si>
    <t>15270417963</t>
  </si>
  <si>
    <t>55330230</t>
  </si>
  <si>
    <t>15270418087</t>
  </si>
  <si>
    <t>55330850</t>
  </si>
  <si>
    <t>15270418099</t>
  </si>
  <si>
    <t>55330861</t>
  </si>
  <si>
    <t>15270418156</t>
  </si>
  <si>
    <t>55330862</t>
  </si>
  <si>
    <t>15270418259</t>
  </si>
  <si>
    <t>55323702</t>
  </si>
  <si>
    <t>15270418292</t>
  </si>
  <si>
    <t>55330860</t>
  </si>
  <si>
    <t>15270418378</t>
  </si>
  <si>
    <t>55330849</t>
  </si>
  <si>
    <t>15270418618</t>
  </si>
  <si>
    <t>55330852</t>
  </si>
  <si>
    <t>15270418770</t>
  </si>
  <si>
    <t>55332520</t>
  </si>
  <si>
    <t>15270418772</t>
  </si>
  <si>
    <t>55332475</t>
  </si>
  <si>
    <t>15270418861</t>
  </si>
  <si>
    <t>55331526</t>
  </si>
  <si>
    <t>15270418950</t>
  </si>
  <si>
    <t>55331525</t>
  </si>
  <si>
    <t>15270419180</t>
  </si>
  <si>
    <t>55325416</t>
  </si>
  <si>
    <t>15270419196</t>
  </si>
  <si>
    <t>55332611</t>
  </si>
  <si>
    <t>15270419239</t>
  </si>
  <si>
    <t>55332550</t>
  </si>
  <si>
    <t>15270419346</t>
  </si>
  <si>
    <t>55325421</t>
  </si>
  <si>
    <t>15270419452</t>
  </si>
  <si>
    <t>55332516</t>
  </si>
  <si>
    <t>55331692</t>
  </si>
  <si>
    <t>15270419585</t>
  </si>
  <si>
    <t>55332441</t>
  </si>
  <si>
    <t>15270419586</t>
  </si>
  <si>
    <t>55332477</t>
  </si>
  <si>
    <t>15270419645</t>
  </si>
  <si>
    <t>55323935</t>
  </si>
  <si>
    <t>15270419648</t>
  </si>
  <si>
    <t>55332537</t>
  </si>
  <si>
    <t>15270419733</t>
  </si>
  <si>
    <t>55332573</t>
  </si>
  <si>
    <t>15270419821</t>
  </si>
  <si>
    <t>55332476</t>
  </si>
  <si>
    <t>15270419872</t>
  </si>
  <si>
    <t>55331542</t>
  </si>
  <si>
    <t>15270419875</t>
  </si>
  <si>
    <t>55331531</t>
  </si>
  <si>
    <t>15270419928</t>
  </si>
  <si>
    <t>55324407</t>
  </si>
  <si>
    <t>15270419987</t>
  </si>
  <si>
    <t>15270420089</t>
  </si>
  <si>
    <t>55331538</t>
  </si>
  <si>
    <t>15270420105</t>
  </si>
  <si>
    <t>55336241</t>
  </si>
  <si>
    <t>15270420144</t>
  </si>
  <si>
    <t>55331540</t>
  </si>
  <si>
    <t>15270420170</t>
  </si>
  <si>
    <t>55323732</t>
  </si>
  <si>
    <t>15270420209</t>
  </si>
  <si>
    <t>55336235</t>
  </si>
  <si>
    <t>15270420215</t>
  </si>
  <si>
    <t>15270420300</t>
  </si>
  <si>
    <t>55337455</t>
  </si>
  <si>
    <t>15270420396</t>
  </si>
  <si>
    <t>55337915</t>
  </si>
  <si>
    <t>15270420528</t>
  </si>
  <si>
    <t>55350517</t>
  </si>
  <si>
    <t>15270420541</t>
  </si>
  <si>
    <t>61678409</t>
  </si>
  <si>
    <t>15270420553</t>
  </si>
  <si>
    <t>55334438</t>
  </si>
  <si>
    <t>15270420634</t>
  </si>
  <si>
    <t>55334461</t>
  </si>
  <si>
    <t>15270420636</t>
  </si>
  <si>
    <t>55334462</t>
  </si>
  <si>
    <t>15270420638</t>
  </si>
  <si>
    <t>55334454</t>
  </si>
  <si>
    <t>15270420711</t>
  </si>
  <si>
    <t>55350597</t>
  </si>
  <si>
    <t>15270420716</t>
  </si>
  <si>
    <t>55331530</t>
  </si>
  <si>
    <t>15270420823</t>
  </si>
  <si>
    <t>55350593</t>
  </si>
  <si>
    <t>15270420844</t>
  </si>
  <si>
    <t>55350594</t>
  </si>
  <si>
    <t>15270420891</t>
  </si>
  <si>
    <t>55350596</t>
  </si>
  <si>
    <t>15270420964</t>
  </si>
  <si>
    <t>55323636</t>
  </si>
  <si>
    <t>15270421038</t>
  </si>
  <si>
    <t>55323667</t>
  </si>
  <si>
    <t>15270421108</t>
  </si>
  <si>
    <t>15270421172</t>
  </si>
  <si>
    <t>55350645</t>
  </si>
  <si>
    <t>15270421184</t>
  </si>
  <si>
    <t>55323650</t>
  </si>
  <si>
    <t>15270421231</t>
  </si>
  <si>
    <t>55337993</t>
  </si>
  <si>
    <t>15270421254</t>
  </si>
  <si>
    <t>55323652</t>
  </si>
  <si>
    <t>15270421277</t>
  </si>
  <si>
    <t>55350646</t>
  </si>
  <si>
    <t>15270421290</t>
  </si>
  <si>
    <t>55338046</t>
  </si>
  <si>
    <t>15270421320</t>
  </si>
  <si>
    <t>55323671</t>
  </si>
  <si>
    <t>15270421367</t>
  </si>
  <si>
    <t>55323637</t>
  </si>
  <si>
    <t>15270421383</t>
  </si>
  <si>
    <t>55323641</t>
  </si>
  <si>
    <t>15270421401</t>
  </si>
  <si>
    <t>55367002</t>
  </si>
  <si>
    <t>15270421416</t>
  </si>
  <si>
    <t>15270421468</t>
  </si>
  <si>
    <t>55367007</t>
  </si>
  <si>
    <t>15270421472</t>
  </si>
  <si>
    <t>15270421570</t>
  </si>
  <si>
    <t>55367034</t>
  </si>
  <si>
    <t>15270421624</t>
  </si>
  <si>
    <t>55367005</t>
  </si>
  <si>
    <t>15270421803</t>
  </si>
  <si>
    <t>55331634</t>
  </si>
  <si>
    <t>15270421814</t>
  </si>
  <si>
    <t>55331698</t>
  </si>
  <si>
    <t>15270421838</t>
  </si>
  <si>
    <t>15270421868</t>
  </si>
  <si>
    <t>55328368</t>
  </si>
  <si>
    <t>60833749</t>
  </si>
  <si>
    <t>15270421873</t>
  </si>
  <si>
    <t>55327799</t>
  </si>
  <si>
    <t>15270421954</t>
  </si>
  <si>
    <t>55331653</t>
  </si>
  <si>
    <t>15270421991</t>
  </si>
  <si>
    <t>55331539</t>
  </si>
  <si>
    <t>15270422070</t>
  </si>
  <si>
    <t>55331651</t>
  </si>
  <si>
    <t>15270422071</t>
  </si>
  <si>
    <t>55331537</t>
  </si>
  <si>
    <t>15270422082</t>
  </si>
  <si>
    <t>55331549</t>
  </si>
  <si>
    <t>15270422122</t>
  </si>
  <si>
    <t>55331543</t>
  </si>
  <si>
    <t>15270422151</t>
  </si>
  <si>
    <t>55327741</t>
  </si>
  <si>
    <t>15270422166</t>
  </si>
  <si>
    <t>55331637</t>
  </si>
  <si>
    <t>15270422211</t>
  </si>
  <si>
    <t>55331545</t>
  </si>
  <si>
    <t>15270422222</t>
  </si>
  <si>
    <t>55331563</t>
  </si>
  <si>
    <t>15270422249</t>
  </si>
  <si>
    <t>55331529</t>
  </si>
  <si>
    <t>15270422284</t>
  </si>
  <si>
    <t>55331564</t>
  </si>
  <si>
    <t>15270422292</t>
  </si>
  <si>
    <t>55331544</t>
  </si>
  <si>
    <t>15270422305</t>
  </si>
  <si>
    <t>55331548</t>
  </si>
  <si>
    <t>15270422736</t>
  </si>
  <si>
    <t>61691759</t>
  </si>
  <si>
    <t>15270423676</t>
  </si>
  <si>
    <t>55331547</t>
  </si>
  <si>
    <t>15270423822</t>
  </si>
  <si>
    <t>55332440</t>
  </si>
  <si>
    <t>15270423915</t>
  </si>
  <si>
    <t>55325554</t>
  </si>
  <si>
    <t>15270423980</t>
  </si>
  <si>
    <t>55329350</t>
  </si>
  <si>
    <t>15270423989</t>
  </si>
  <si>
    <t>55332658</t>
  </si>
  <si>
    <t>15270424133</t>
  </si>
  <si>
    <t>55332686</t>
  </si>
  <si>
    <t>15270424157</t>
  </si>
  <si>
    <t>55332555</t>
  </si>
  <si>
    <t>15270424158</t>
  </si>
  <si>
    <t>55332680</t>
  </si>
  <si>
    <t>15270424211</t>
  </si>
  <si>
    <t>55332483</t>
  </si>
  <si>
    <t>15270424273</t>
  </si>
  <si>
    <t>55332472</t>
  </si>
  <si>
    <t>15270424423</t>
  </si>
  <si>
    <t>55328839</t>
  </si>
  <si>
    <t>15270424454</t>
  </si>
  <si>
    <t>55331636</t>
  </si>
  <si>
    <t>15270424540</t>
  </si>
  <si>
    <t>55328826</t>
  </si>
  <si>
    <t>15270424577</t>
  </si>
  <si>
    <t>55331657</t>
  </si>
  <si>
    <t>15270424674</t>
  </si>
  <si>
    <t>55331650</t>
  </si>
  <si>
    <t>15270424829</t>
  </si>
  <si>
    <t>55334349</t>
  </si>
  <si>
    <t>55334350</t>
  </si>
  <si>
    <t>15270425071</t>
  </si>
  <si>
    <t>55327286</t>
  </si>
  <si>
    <t>15270425072</t>
  </si>
  <si>
    <t>55327199</t>
  </si>
  <si>
    <t>15270425107</t>
  </si>
  <si>
    <t>55334382</t>
  </si>
  <si>
    <t>15270425172</t>
  </si>
  <si>
    <t>55332681</t>
  </si>
  <si>
    <t>15270425491</t>
  </si>
  <si>
    <t>15270425916</t>
  </si>
  <si>
    <t>55334384</t>
  </si>
  <si>
    <t>15270425966</t>
  </si>
  <si>
    <t>55327192</t>
  </si>
  <si>
    <t>15270426086</t>
  </si>
  <si>
    <t>55334385</t>
  </si>
  <si>
    <t>15270426129</t>
  </si>
  <si>
    <t>15270426141</t>
  </si>
  <si>
    <t>55326820</t>
  </si>
  <si>
    <t>15270426310</t>
  </si>
  <si>
    <t>55331700</t>
  </si>
  <si>
    <t>15270426511</t>
  </si>
  <si>
    <t>55332488</t>
  </si>
  <si>
    <t>15270426640</t>
  </si>
  <si>
    <t>55332486</t>
  </si>
  <si>
    <t>15270426857</t>
  </si>
  <si>
    <t>55325894</t>
  </si>
  <si>
    <t>15270427508</t>
  </si>
  <si>
    <t>55327737</t>
  </si>
  <si>
    <t>15270427970</t>
  </si>
  <si>
    <t>55332522</t>
  </si>
  <si>
    <t>15270428164</t>
  </si>
  <si>
    <t>55327288</t>
  </si>
  <si>
    <t>15270428231</t>
  </si>
  <si>
    <t>55332439</t>
  </si>
  <si>
    <t>15270428658</t>
  </si>
  <si>
    <t>55332517</t>
  </si>
  <si>
    <t>15270428807</t>
  </si>
  <si>
    <t>15270428824</t>
  </si>
  <si>
    <t>55327576</t>
  </si>
  <si>
    <t>15270428857</t>
  </si>
  <si>
    <t>55332518</t>
  </si>
  <si>
    <t>55332543</t>
  </si>
  <si>
    <t>15270428861</t>
  </si>
  <si>
    <t>55332557</t>
  </si>
  <si>
    <t>15270428862</t>
  </si>
  <si>
    <t>55332540</t>
  </si>
  <si>
    <t>15270429078</t>
  </si>
  <si>
    <t>55332484</t>
  </si>
  <si>
    <t>15270429081</t>
  </si>
  <si>
    <t>55332473</t>
  </si>
  <si>
    <t>15270429294</t>
  </si>
  <si>
    <t>55332535</t>
  </si>
  <si>
    <t>15270429315</t>
  </si>
  <si>
    <t>55332546</t>
  </si>
  <si>
    <t>15270429413</t>
  </si>
  <si>
    <t>55327471</t>
  </si>
  <si>
    <t>15270429422</t>
  </si>
  <si>
    <t>15270429445</t>
  </si>
  <si>
    <t>55332533</t>
  </si>
  <si>
    <t>15270430115</t>
  </si>
  <si>
    <t>55332621</t>
  </si>
  <si>
    <t>15270431297</t>
  </si>
  <si>
    <t>55332548</t>
  </si>
  <si>
    <t>15270431766</t>
  </si>
  <si>
    <t>55332515</t>
  </si>
  <si>
    <t>15270432415</t>
  </si>
  <si>
    <t>55332617</t>
  </si>
  <si>
    <t>15270433010</t>
  </si>
  <si>
    <t>55332618</t>
  </si>
  <si>
    <t>15270433012</t>
  </si>
  <si>
    <t>55332577</t>
  </si>
  <si>
    <t>15270433077</t>
  </si>
  <si>
    <t>55332554</t>
  </si>
  <si>
    <t>15270433229</t>
  </si>
  <si>
    <t>15270434060</t>
  </si>
  <si>
    <t>55332545</t>
  </si>
  <si>
    <t>15270434374</t>
  </si>
  <si>
    <t>55332552</t>
  </si>
  <si>
    <t>15270434390</t>
  </si>
  <si>
    <t>55332541</t>
  </si>
  <si>
    <t>15270434622</t>
  </si>
  <si>
    <t>55332558</t>
  </si>
  <si>
    <t>15270434671</t>
  </si>
  <si>
    <t>55332553</t>
  </si>
  <si>
    <t>15270435479</t>
  </si>
  <si>
    <t>55332620</t>
  </si>
  <si>
    <t>15270435615</t>
  </si>
  <si>
    <t>55332556</t>
  </si>
  <si>
    <t>15270435689</t>
  </si>
  <si>
    <t>55332534</t>
  </si>
  <si>
    <t>15270435778</t>
  </si>
  <si>
    <t>15270435798</t>
  </si>
  <si>
    <t>55328991</t>
  </si>
  <si>
    <t>15270435865</t>
  </si>
  <si>
    <t>55332539</t>
  </si>
  <si>
    <t>15270436102</t>
  </si>
  <si>
    <t>55332685</t>
  </si>
  <si>
    <t>15270436133</t>
  </si>
  <si>
    <t>55332659</t>
  </si>
  <si>
    <t>15270436134</t>
  </si>
  <si>
    <t>55332657</t>
  </si>
  <si>
    <t>15270436534</t>
  </si>
  <si>
    <t>55334347</t>
  </si>
  <si>
    <t>15270436761</t>
  </si>
  <si>
    <t>55332583</t>
  </si>
  <si>
    <t>15270436817</t>
  </si>
  <si>
    <t>55332616</t>
  </si>
  <si>
    <t>15270437118</t>
  </si>
  <si>
    <t>55332576</t>
  </si>
  <si>
    <t>15270437571</t>
  </si>
  <si>
    <t>55332542</t>
  </si>
  <si>
    <t>15270438046</t>
  </si>
  <si>
    <t>55332572</t>
  </si>
  <si>
    <t>15270438105</t>
  </si>
  <si>
    <t>55332580</t>
  </si>
  <si>
    <t>15270438153</t>
  </si>
  <si>
    <t>55332519</t>
  </si>
  <si>
    <t>15270438179</t>
  </si>
  <si>
    <t>55345232</t>
  </si>
  <si>
    <t>15270438351</t>
  </si>
  <si>
    <t>55390630</t>
  </si>
  <si>
    <t>15270438380</t>
  </si>
  <si>
    <t>55345230</t>
  </si>
  <si>
    <t>15270438436</t>
  </si>
  <si>
    <t>55344738</t>
  </si>
  <si>
    <t>15270438438</t>
  </si>
  <si>
    <t>55345233</t>
  </si>
  <si>
    <t>15270438543</t>
  </si>
  <si>
    <t>55344497</t>
  </si>
  <si>
    <t>15270438768</t>
  </si>
  <si>
    <t>55332619</t>
  </si>
  <si>
    <t>15270438872</t>
  </si>
  <si>
    <t>55332612</t>
  </si>
  <si>
    <t>15270438992</t>
  </si>
  <si>
    <t>55332622</t>
  </si>
  <si>
    <t>15270439036</t>
  </si>
  <si>
    <t>55332579</t>
  </si>
  <si>
    <t>15270439040</t>
  </si>
  <si>
    <t>55332581</t>
  </si>
  <si>
    <t>15270439150</t>
  </si>
  <si>
    <t>15270439216</t>
  </si>
  <si>
    <t>15270439217</t>
  </si>
  <si>
    <t>15270439364</t>
  </si>
  <si>
    <t>15270439556</t>
  </si>
  <si>
    <t>15270439794</t>
  </si>
  <si>
    <t>15270439839</t>
  </si>
  <si>
    <t>15270439936</t>
  </si>
  <si>
    <t>61685186</t>
  </si>
  <si>
    <t>15270439962</t>
  </si>
  <si>
    <t>15270439971</t>
  </si>
  <si>
    <t>15270439980</t>
  </si>
  <si>
    <t>15270440145</t>
  </si>
  <si>
    <t>15270440374</t>
  </si>
  <si>
    <t>15270440410</t>
  </si>
  <si>
    <t>15270440477</t>
  </si>
  <si>
    <t>15270440599</t>
  </si>
  <si>
    <t>15270440802</t>
  </si>
  <si>
    <t>15270440817</t>
  </si>
  <si>
    <t>15270440902</t>
  </si>
  <si>
    <t>15270440982</t>
  </si>
  <si>
    <t>15270442627</t>
  </si>
  <si>
    <t>15270442628</t>
  </si>
  <si>
    <t>61686861</t>
  </si>
  <si>
    <t>15270443221</t>
  </si>
  <si>
    <t>61700046</t>
  </si>
  <si>
    <t>15270443222</t>
  </si>
  <si>
    <t>15270443430</t>
  </si>
  <si>
    <t>15270443450</t>
  </si>
  <si>
    <t>15270443586</t>
  </si>
  <si>
    <t>15270444047</t>
  </si>
  <si>
    <t>15270444302</t>
  </si>
  <si>
    <t>15270444334</t>
  </si>
  <si>
    <t>61738700</t>
  </si>
  <si>
    <t>15270444335</t>
  </si>
  <si>
    <t>15270444407</t>
  </si>
  <si>
    <t>15270444424</t>
  </si>
  <si>
    <t>15270444627</t>
  </si>
  <si>
    <t>15270444953</t>
  </si>
  <si>
    <t>15270445060</t>
  </si>
  <si>
    <t>15270445066</t>
  </si>
  <si>
    <t>15270445271</t>
  </si>
  <si>
    <t>15270445336</t>
  </si>
  <si>
    <t>15270445502</t>
  </si>
  <si>
    <t>15270445613</t>
  </si>
  <si>
    <t>15270445673</t>
  </si>
  <si>
    <t>15270445767</t>
  </si>
  <si>
    <t>61681013</t>
  </si>
  <si>
    <t>15270445791</t>
  </si>
  <si>
    <t>15270445818</t>
  </si>
  <si>
    <t>15270445820</t>
  </si>
  <si>
    <t>15270446039</t>
  </si>
  <si>
    <t>15270446110</t>
  </si>
  <si>
    <t>15270446217</t>
  </si>
  <si>
    <t>15270446257</t>
  </si>
  <si>
    <t>15270446292</t>
  </si>
  <si>
    <t>15270446392</t>
  </si>
  <si>
    <t>15270446655</t>
  </si>
  <si>
    <t>61734632</t>
  </si>
  <si>
    <t>15270446663</t>
  </si>
  <si>
    <t>15270446817</t>
  </si>
  <si>
    <t>15270446928</t>
  </si>
  <si>
    <t>15270446929</t>
  </si>
  <si>
    <t>15270447003</t>
  </si>
  <si>
    <t>15270447004</t>
  </si>
  <si>
    <t>15270447166</t>
  </si>
  <si>
    <t>15270447634</t>
  </si>
  <si>
    <t>15270447780</t>
  </si>
  <si>
    <t>15270447846</t>
  </si>
  <si>
    <t>15270447895</t>
  </si>
  <si>
    <t>15270447934</t>
  </si>
  <si>
    <t>15270447976</t>
  </si>
  <si>
    <t>15270448196</t>
  </si>
  <si>
    <t>15270448262</t>
  </si>
  <si>
    <t>15270448270</t>
  </si>
  <si>
    <t>15270448420</t>
  </si>
  <si>
    <t>15270448517</t>
  </si>
  <si>
    <t>15270448559</t>
  </si>
  <si>
    <t>15270448797</t>
  </si>
  <si>
    <t>15270449128</t>
  </si>
  <si>
    <t>61701779</t>
  </si>
  <si>
    <t>15270449171</t>
  </si>
  <si>
    <t>15270449286</t>
  </si>
  <si>
    <t>15270449404</t>
  </si>
  <si>
    <t>15270449445</t>
  </si>
  <si>
    <t>15270449506</t>
  </si>
  <si>
    <t>15270449513</t>
  </si>
  <si>
    <t>15270449554</t>
  </si>
  <si>
    <t>15270449831</t>
  </si>
  <si>
    <t>15270449849</t>
  </si>
  <si>
    <t>15270450034</t>
  </si>
  <si>
    <t>15270450086</t>
  </si>
  <si>
    <t>15270450227</t>
  </si>
  <si>
    <t>15270450260</t>
  </si>
  <si>
    <t>15270450485</t>
  </si>
  <si>
    <t>15270450518</t>
  </si>
  <si>
    <t>15270450530</t>
  </si>
  <si>
    <t>15270450571</t>
  </si>
  <si>
    <t>61716441</t>
  </si>
  <si>
    <t>15270451142</t>
  </si>
  <si>
    <t>15270451739</t>
  </si>
  <si>
    <t>15270451890</t>
  </si>
  <si>
    <t>15270452023</t>
  </si>
  <si>
    <t>61704754</t>
  </si>
  <si>
    <t>15270452381</t>
  </si>
  <si>
    <t>55334398</t>
  </si>
  <si>
    <t>15270452450</t>
  </si>
  <si>
    <t>55334413</t>
  </si>
  <si>
    <t>15270452607</t>
  </si>
  <si>
    <t>55334411</t>
  </si>
  <si>
    <t>15270452786</t>
  </si>
  <si>
    <t>55332688</t>
  </si>
  <si>
    <t>15270452825</t>
  </si>
  <si>
    <t>55332682</t>
  </si>
  <si>
    <t>15270453083</t>
  </si>
  <si>
    <t>55332625</t>
  </si>
  <si>
    <t>15270453094</t>
  </si>
  <si>
    <t>55332678</t>
  </si>
  <si>
    <t>15270453182</t>
  </si>
  <si>
    <t>55336331</t>
  </si>
  <si>
    <t>15270453930</t>
  </si>
  <si>
    <t>55325650</t>
  </si>
  <si>
    <t>15270454457</t>
  </si>
  <si>
    <t>55336343</t>
  </si>
  <si>
    <t>15270454480</t>
  </si>
  <si>
    <t>55336342</t>
  </si>
  <si>
    <t>15270454718</t>
  </si>
  <si>
    <t>55336353</t>
  </si>
  <si>
    <t>15270455261</t>
  </si>
  <si>
    <t>55350683</t>
  </si>
  <si>
    <t>15270455527</t>
  </si>
  <si>
    <t>15270455648</t>
  </si>
  <si>
    <t>15270455711</t>
  </si>
  <si>
    <t>61730991</t>
  </si>
  <si>
    <t>15270456183</t>
  </si>
  <si>
    <t>15270456184</t>
  </si>
  <si>
    <t>15270456579</t>
  </si>
  <si>
    <t>15270457483</t>
  </si>
  <si>
    <t>15270457765</t>
  </si>
  <si>
    <t>15270458161</t>
  </si>
  <si>
    <t>15270458316</t>
  </si>
  <si>
    <t>15270458348</t>
  </si>
  <si>
    <t>15270458535</t>
  </si>
  <si>
    <t>61686034</t>
  </si>
  <si>
    <t>15270458954</t>
  </si>
  <si>
    <t>15270458994</t>
  </si>
  <si>
    <t>15270459050</t>
  </si>
  <si>
    <t>15270459699</t>
  </si>
  <si>
    <t>15270460127</t>
  </si>
  <si>
    <t>15270460281</t>
  </si>
  <si>
    <t>15270460917</t>
  </si>
  <si>
    <t>15270460960</t>
  </si>
  <si>
    <t>15270461032</t>
  </si>
  <si>
    <t>15270461149</t>
  </si>
  <si>
    <t>15270461162</t>
  </si>
  <si>
    <t>61685495</t>
  </si>
  <si>
    <t>15270461803</t>
  </si>
  <si>
    <t>15270462528</t>
  </si>
  <si>
    <t>15270463045</t>
  </si>
  <si>
    <t>61728319</t>
  </si>
  <si>
    <t>15270463364</t>
  </si>
  <si>
    <t>15270463696</t>
  </si>
  <si>
    <t>15270463860</t>
  </si>
  <si>
    <t>15270463864</t>
  </si>
  <si>
    <t>15270463865</t>
  </si>
  <si>
    <t>15270464817</t>
  </si>
  <si>
    <t>15270464920</t>
  </si>
  <si>
    <t>15270465058</t>
  </si>
  <si>
    <t>15270466379</t>
  </si>
  <si>
    <t>15270467148</t>
  </si>
  <si>
    <t>15270467902</t>
  </si>
  <si>
    <t>15270472702</t>
  </si>
  <si>
    <t>15270473571</t>
  </si>
  <si>
    <t>61677353</t>
  </si>
  <si>
    <t>15270473601</t>
  </si>
  <si>
    <t>15270474280</t>
  </si>
  <si>
    <t>15270478086</t>
  </si>
  <si>
    <t>15270479134</t>
  </si>
  <si>
    <t>61736514</t>
  </si>
  <si>
    <t>15270480270</t>
  </si>
  <si>
    <t>15270482904</t>
  </si>
  <si>
    <t>15270484396</t>
  </si>
  <si>
    <t>15270484737</t>
  </si>
  <si>
    <t>15270485279</t>
  </si>
  <si>
    <t>15270485581</t>
  </si>
  <si>
    <t>61729833</t>
  </si>
  <si>
    <t>15270486830</t>
  </si>
  <si>
    <t>15270486831</t>
  </si>
  <si>
    <t>61733559</t>
  </si>
  <si>
    <t>15270486915</t>
  </si>
  <si>
    <t>15270486918</t>
  </si>
  <si>
    <t>15270498329</t>
  </si>
  <si>
    <t>55349472</t>
  </si>
  <si>
    <t>15270499774</t>
  </si>
  <si>
    <t>55350026</t>
  </si>
  <si>
    <t>15270500009</t>
  </si>
  <si>
    <t>55344690</t>
  </si>
  <si>
    <t>15270500038</t>
  </si>
  <si>
    <t>55350037</t>
  </si>
  <si>
    <t>15270500540</t>
  </si>
  <si>
    <t>55349508</t>
  </si>
  <si>
    <t>15270500726</t>
  </si>
  <si>
    <t>55349503</t>
  </si>
  <si>
    <t>15270501845</t>
  </si>
  <si>
    <t>55350154</t>
  </si>
  <si>
    <t>15270502548</t>
  </si>
  <si>
    <t>55350090</t>
  </si>
  <si>
    <t>15270503538</t>
  </si>
  <si>
    <t>15270503670</t>
  </si>
  <si>
    <t>55350054</t>
  </si>
  <si>
    <t>15270503671</t>
  </si>
  <si>
    <t>55350203</t>
  </si>
  <si>
    <t>15270503672</t>
  </si>
  <si>
    <t>55350064</t>
  </si>
  <si>
    <t>15270504486</t>
  </si>
  <si>
    <t>15270504594</t>
  </si>
  <si>
    <t>15270504634</t>
  </si>
  <si>
    <t>55346299</t>
  </si>
  <si>
    <t>15270504985</t>
  </si>
  <si>
    <t>55350094</t>
  </si>
  <si>
    <t>15270505188</t>
  </si>
  <si>
    <t>55345006</t>
  </si>
  <si>
    <t>15270505190</t>
  </si>
  <si>
    <t>55349498</t>
  </si>
  <si>
    <t>15270505896</t>
  </si>
  <si>
    <t>55350204</t>
  </si>
  <si>
    <t>15270506035</t>
  </si>
  <si>
    <t>55346319</t>
  </si>
  <si>
    <t>15270506397</t>
  </si>
  <si>
    <t>55350035</t>
  </si>
  <si>
    <t>15270506692</t>
  </si>
  <si>
    <t>15270507030</t>
  </si>
  <si>
    <t>15270507830</t>
  </si>
  <si>
    <t>55350014</t>
  </si>
  <si>
    <t>15270508018</t>
  </si>
  <si>
    <t>55350036</t>
  </si>
  <si>
    <t>15270508985</t>
  </si>
  <si>
    <t>55350057</t>
  </si>
  <si>
    <t>15270509461</t>
  </si>
  <si>
    <t>55349504</t>
  </si>
  <si>
    <t>15270509698</t>
  </si>
  <si>
    <t>55350012</t>
  </si>
  <si>
    <t>15270509699</t>
  </si>
  <si>
    <t>55346333</t>
  </si>
  <si>
    <t>15270510073</t>
  </si>
  <si>
    <t>55349996</t>
  </si>
  <si>
    <t>15270510134</t>
  </si>
  <si>
    <t>55346326</t>
  </si>
  <si>
    <t>15270510503</t>
  </si>
  <si>
    <t>55349512</t>
  </si>
  <si>
    <t>15270510592</t>
  </si>
  <si>
    <t>55349993</t>
  </si>
  <si>
    <t>55339343</t>
  </si>
  <si>
    <t>15270510782</t>
  </si>
  <si>
    <t>55349507</t>
  </si>
  <si>
    <t>15270510965</t>
  </si>
  <si>
    <t>55349510</t>
  </si>
  <si>
    <t>15270510990</t>
  </si>
  <si>
    <t>55345918</t>
  </si>
  <si>
    <t>15270511838</t>
  </si>
  <si>
    <t>15270511903</t>
  </si>
  <si>
    <t>55341455</t>
  </si>
  <si>
    <t>15270511932</t>
  </si>
  <si>
    <t>55341598</t>
  </si>
  <si>
    <t>15270512015</t>
  </si>
  <si>
    <t>55339450</t>
  </si>
  <si>
    <t>15270512231</t>
  </si>
  <si>
    <t>55339331</t>
  </si>
  <si>
    <t>15270512298</t>
  </si>
  <si>
    <t>55339345</t>
  </si>
  <si>
    <t>15270512536</t>
  </si>
  <si>
    <t>55339344</t>
  </si>
  <si>
    <t>15270512858</t>
  </si>
  <si>
    <t>15270512921</t>
  </si>
  <si>
    <t>55339342</t>
  </si>
  <si>
    <t>15270512923</t>
  </si>
  <si>
    <t>55339098</t>
  </si>
  <si>
    <t>15270513136</t>
  </si>
  <si>
    <t>55338011</t>
  </si>
  <si>
    <t>15270513240</t>
  </si>
  <si>
    <t>55341599</t>
  </si>
  <si>
    <t>15270513252</t>
  </si>
  <si>
    <t>55343357</t>
  </si>
  <si>
    <t>Mazda CX-3</t>
  </si>
  <si>
    <t>Mazda CX-3 : Asian Crossover Utility Vehicle</t>
  </si>
  <si>
    <t>15270513413</t>
  </si>
  <si>
    <t>55338053</t>
  </si>
  <si>
    <t>15270513520</t>
  </si>
  <si>
    <t>55349501</t>
  </si>
  <si>
    <t>15270513548</t>
  </si>
  <si>
    <t>55343353</t>
  </si>
  <si>
    <t>15270513586</t>
  </si>
  <si>
    <t>55343354</t>
  </si>
  <si>
    <t>15270513823</t>
  </si>
  <si>
    <t>55341905</t>
  </si>
  <si>
    <t>15270513919</t>
  </si>
  <si>
    <t>55341677</t>
  </si>
  <si>
    <t>15270514052</t>
  </si>
  <si>
    <t>55341897</t>
  </si>
  <si>
    <t>15270514260</t>
  </si>
  <si>
    <t>55341895</t>
  </si>
  <si>
    <t>15270514353</t>
  </si>
  <si>
    <t>55355994</t>
  </si>
  <si>
    <t>15270514560</t>
  </si>
  <si>
    <t>55355966</t>
  </si>
  <si>
    <t>55356595</t>
  </si>
  <si>
    <t>15270514735</t>
  </si>
  <si>
    <t>55343447</t>
  </si>
  <si>
    <t>15270514741</t>
  </si>
  <si>
    <t>55340343</t>
  </si>
  <si>
    <t>15270514755</t>
  </si>
  <si>
    <t>55339789</t>
  </si>
  <si>
    <t>15270514782</t>
  </si>
  <si>
    <t>55343190</t>
  </si>
  <si>
    <t>15270515025</t>
  </si>
  <si>
    <t>55349497</t>
  </si>
  <si>
    <t>15270515032</t>
  </si>
  <si>
    <t>55343449</t>
  </si>
  <si>
    <t>15270515034</t>
  </si>
  <si>
    <t>55350152</t>
  </si>
  <si>
    <t>15270515318</t>
  </si>
  <si>
    <t>55339749</t>
  </si>
  <si>
    <t>15270515326</t>
  </si>
  <si>
    <t>55339502</t>
  </si>
  <si>
    <t>15270516422</t>
  </si>
  <si>
    <t>55338052</t>
  </si>
  <si>
    <t>15270516863</t>
  </si>
  <si>
    <t>55339453</t>
  </si>
  <si>
    <t>15270517104</t>
  </si>
  <si>
    <t>55339465</t>
  </si>
  <si>
    <t>15270517199</t>
  </si>
  <si>
    <t>55339381</t>
  </si>
  <si>
    <t>15270517739</t>
  </si>
  <si>
    <t>55339201</t>
  </si>
  <si>
    <t>15270517770</t>
  </si>
  <si>
    <t>55355965</t>
  </si>
  <si>
    <t>15270517783</t>
  </si>
  <si>
    <t>55339473</t>
  </si>
  <si>
    <t>15270518200</t>
  </si>
  <si>
    <t>55339170</t>
  </si>
  <si>
    <t>15270518202</t>
  </si>
  <si>
    <t>55339386</t>
  </si>
  <si>
    <t>15270518225</t>
  </si>
  <si>
    <t>55339387</t>
  </si>
  <si>
    <t>15270518282</t>
  </si>
  <si>
    <t>55355998</t>
  </si>
  <si>
    <t>15270518323</t>
  </si>
  <si>
    <t>55339162</t>
  </si>
  <si>
    <t>15270518366</t>
  </si>
  <si>
    <t>55339166</t>
  </si>
  <si>
    <t>15270518479</t>
  </si>
  <si>
    <t>55339304</t>
  </si>
  <si>
    <t>15270518520</t>
  </si>
  <si>
    <t>55339206</t>
  </si>
  <si>
    <t>15270518549</t>
  </si>
  <si>
    <t>15270518691</t>
  </si>
  <si>
    <t>55343755</t>
  </si>
  <si>
    <t>15270518931</t>
  </si>
  <si>
    <t>55339107</t>
  </si>
  <si>
    <t>15270519013</t>
  </si>
  <si>
    <t>55339207</t>
  </si>
  <si>
    <t>15270519026</t>
  </si>
  <si>
    <t>55343756</t>
  </si>
  <si>
    <t>15270519065</t>
  </si>
  <si>
    <t>55338028</t>
  </si>
  <si>
    <t>15270519105</t>
  </si>
  <si>
    <t>55344495</t>
  </si>
  <si>
    <t>15270519114</t>
  </si>
  <si>
    <t>55338055</t>
  </si>
  <si>
    <t>15270519151</t>
  </si>
  <si>
    <t>55338954</t>
  </si>
  <si>
    <t>15270519178</t>
  </si>
  <si>
    <t>55338035</t>
  </si>
  <si>
    <t>15270519196</t>
  </si>
  <si>
    <t>55338051</t>
  </si>
  <si>
    <t>15270519218</t>
  </si>
  <si>
    <t>55338098</t>
  </si>
  <si>
    <t>15270519284</t>
  </si>
  <si>
    <t>15270519326</t>
  </si>
  <si>
    <t>55338044</t>
  </si>
  <si>
    <t>15270519457</t>
  </si>
  <si>
    <t>55339018</t>
  </si>
  <si>
    <t>15270519566</t>
  </si>
  <si>
    <t>55338017</t>
  </si>
  <si>
    <t>15270520900</t>
  </si>
  <si>
    <t>55350185</t>
  </si>
  <si>
    <t>15270521083</t>
  </si>
  <si>
    <t>55350125</t>
  </si>
  <si>
    <t>55350032</t>
  </si>
  <si>
    <t>15270521190</t>
  </si>
  <si>
    <t>55350213</t>
  </si>
  <si>
    <t>15270521319</t>
  </si>
  <si>
    <t>15270521320</t>
  </si>
  <si>
    <t>15270521511</t>
  </si>
  <si>
    <t>55350153</t>
  </si>
  <si>
    <t>15270521547</t>
  </si>
  <si>
    <t>15270522503</t>
  </si>
  <si>
    <t>55350015</t>
  </si>
  <si>
    <t>15270522694</t>
  </si>
  <si>
    <t>55349992</t>
  </si>
  <si>
    <t>15270522711</t>
  </si>
  <si>
    <t>55350017</t>
  </si>
  <si>
    <t>15270522842</t>
  </si>
  <si>
    <t>55349980</t>
  </si>
  <si>
    <t>15270522899</t>
  </si>
  <si>
    <t>55349988</t>
  </si>
  <si>
    <t>15270523353</t>
  </si>
  <si>
    <t>15270525337</t>
  </si>
  <si>
    <t>55341800</t>
  </si>
  <si>
    <t>15270525999</t>
  </si>
  <si>
    <t>55343134</t>
  </si>
  <si>
    <t>15270528118</t>
  </si>
  <si>
    <t>55358790</t>
  </si>
  <si>
    <t>15270528149</t>
  </si>
  <si>
    <t>55358655</t>
  </si>
  <si>
    <t>15270529583</t>
  </si>
  <si>
    <t>55350011</t>
  </si>
  <si>
    <t>15270529699</t>
  </si>
  <si>
    <t>55350033</t>
  </si>
  <si>
    <t>15270530188</t>
  </si>
  <si>
    <t>55350128</t>
  </si>
  <si>
    <t>15270530605</t>
  </si>
  <si>
    <t>55340206</t>
  </si>
  <si>
    <t>15270531121</t>
  </si>
  <si>
    <t>15270531364</t>
  </si>
  <si>
    <t>15270531771</t>
  </si>
  <si>
    <t>55350062</t>
  </si>
  <si>
    <t>15270532123</t>
  </si>
  <si>
    <t>55350089</t>
  </si>
  <si>
    <t>15270532132</t>
  </si>
  <si>
    <t>55350091</t>
  </si>
  <si>
    <t>15270532524</t>
  </si>
  <si>
    <t>55342716</t>
  </si>
  <si>
    <t>15270532707</t>
  </si>
  <si>
    <t>55350108</t>
  </si>
  <si>
    <t>15270532956</t>
  </si>
  <si>
    <t>55350027</t>
  </si>
  <si>
    <t>15270533275</t>
  </si>
  <si>
    <t>55350034</t>
  </si>
  <si>
    <t>15270533618</t>
  </si>
  <si>
    <t>55350237</t>
  </si>
  <si>
    <t>15270533831</t>
  </si>
  <si>
    <t>55350095</t>
  </si>
  <si>
    <t>15270534016</t>
  </si>
  <si>
    <t>55350093</t>
  </si>
  <si>
    <t>15270534380</t>
  </si>
  <si>
    <t>15270534939</t>
  </si>
  <si>
    <t>15270535098</t>
  </si>
  <si>
    <t>15270535300</t>
  </si>
  <si>
    <t>15270535554</t>
  </si>
  <si>
    <t>15270535918</t>
  </si>
  <si>
    <t>15270536227</t>
  </si>
  <si>
    <t>61703344</t>
  </si>
  <si>
    <t>15270536278</t>
  </si>
  <si>
    <t>15270536327</t>
  </si>
  <si>
    <t>15270536884</t>
  </si>
  <si>
    <t>15270536910</t>
  </si>
  <si>
    <t>15270537028</t>
  </si>
  <si>
    <t>15270537219</t>
  </si>
  <si>
    <t>15270537302</t>
  </si>
  <si>
    <t>15270537328</t>
  </si>
  <si>
    <t>15270538232</t>
  </si>
  <si>
    <t>15270538735</t>
  </si>
  <si>
    <t>15270538736</t>
  </si>
  <si>
    <t>15270538737</t>
  </si>
  <si>
    <t>15270538738</t>
  </si>
  <si>
    <t>15270539121</t>
  </si>
  <si>
    <t>15270539482</t>
  </si>
  <si>
    <t>61706270</t>
  </si>
  <si>
    <t>15270539675</t>
  </si>
  <si>
    <t>15270539784</t>
  </si>
  <si>
    <t>15270540163</t>
  </si>
  <si>
    <t>15270540217</t>
  </si>
  <si>
    <t>15270540428</t>
  </si>
  <si>
    <t>15270540655</t>
  </si>
  <si>
    <t>15270540823</t>
  </si>
  <si>
    <t>15270540863</t>
  </si>
  <si>
    <t>15270541009</t>
  </si>
  <si>
    <t>15270541037</t>
  </si>
  <si>
    <t>15270542256</t>
  </si>
  <si>
    <t>61693536</t>
  </si>
  <si>
    <t>15270542344</t>
  </si>
  <si>
    <t>15270542441</t>
  </si>
  <si>
    <t>15270542653</t>
  </si>
  <si>
    <t>15270542819</t>
  </si>
  <si>
    <t>15270542936</t>
  </si>
  <si>
    <t>15270543466</t>
  </si>
  <si>
    <t>15270543554</t>
  </si>
  <si>
    <t>15270544003</t>
  </si>
  <si>
    <t>15270545612</t>
  </si>
  <si>
    <t>15270545696</t>
  </si>
  <si>
    <t>15270545826</t>
  </si>
  <si>
    <t>15270545934</t>
  </si>
  <si>
    <t>15270546138</t>
  </si>
  <si>
    <t>15270546221</t>
  </si>
  <si>
    <t>15270546680</t>
  </si>
  <si>
    <t>15270546831</t>
  </si>
  <si>
    <t>61683756</t>
  </si>
  <si>
    <t>15270546836</t>
  </si>
  <si>
    <t>15270546940</t>
  </si>
  <si>
    <t>15270547250</t>
  </si>
  <si>
    <t>15270547258</t>
  </si>
  <si>
    <t>61687320</t>
  </si>
  <si>
    <t>15270547387</t>
  </si>
  <si>
    <t>15270547461</t>
  </si>
  <si>
    <t>15270547687</t>
  </si>
  <si>
    <t>61681737</t>
  </si>
  <si>
    <t>15270548451</t>
  </si>
  <si>
    <t>15270549487</t>
  </si>
  <si>
    <t>15270549626</t>
  </si>
  <si>
    <t>15270550193</t>
  </si>
  <si>
    <t>15270550828</t>
  </si>
  <si>
    <t>15270551395</t>
  </si>
  <si>
    <t>15270552606</t>
  </si>
  <si>
    <t>15270552608</t>
  </si>
  <si>
    <t>61692018</t>
  </si>
  <si>
    <t>15270553760</t>
  </si>
  <si>
    <t>15270553777</t>
  </si>
  <si>
    <t>15270553987</t>
  </si>
  <si>
    <t>15270554366</t>
  </si>
  <si>
    <t>15270554758</t>
  </si>
  <si>
    <t>15270554831</t>
  </si>
  <si>
    <t>61701462</t>
  </si>
  <si>
    <t>15270554925</t>
  </si>
  <si>
    <t>15270555619</t>
  </si>
  <si>
    <t>15270555726</t>
  </si>
  <si>
    <t>15270556321</t>
  </si>
  <si>
    <t>15270556395</t>
  </si>
  <si>
    <t>15270556769</t>
  </si>
  <si>
    <t>15270556787</t>
  </si>
  <si>
    <t>15270557000</t>
  </si>
  <si>
    <t>15270558149</t>
  </si>
  <si>
    <t>15270558210</t>
  </si>
  <si>
    <t>15270558279</t>
  </si>
  <si>
    <t>15270558409</t>
  </si>
  <si>
    <t>15270558766</t>
  </si>
  <si>
    <t>15270559882</t>
  </si>
  <si>
    <t>15270559918</t>
  </si>
  <si>
    <t>15270560228</t>
  </si>
  <si>
    <t>15270560461</t>
  </si>
  <si>
    <t>15270560583</t>
  </si>
  <si>
    <t>15270560618</t>
  </si>
  <si>
    <t>15270560808</t>
  </si>
  <si>
    <t>15270560957</t>
  </si>
  <si>
    <t>15270560959</t>
  </si>
  <si>
    <t>15270560978</t>
  </si>
  <si>
    <t>15270560980</t>
  </si>
  <si>
    <t>61736324</t>
  </si>
  <si>
    <t>15270561275</t>
  </si>
  <si>
    <t>15270561322</t>
  </si>
  <si>
    <t>15270561506</t>
  </si>
  <si>
    <t>15270561507</t>
  </si>
  <si>
    <t>15270562152</t>
  </si>
  <si>
    <t>15270562274</t>
  </si>
  <si>
    <t>15270562803</t>
  </si>
  <si>
    <t>15270571682</t>
  </si>
  <si>
    <t>61719199</t>
  </si>
  <si>
    <t>15270571789</t>
  </si>
  <si>
    <t>15270571791</t>
  </si>
  <si>
    <t>15270573000</t>
  </si>
  <si>
    <t>15270575901</t>
  </si>
  <si>
    <t>15270576035</t>
  </si>
  <si>
    <t>15270576573</t>
  </si>
  <si>
    <t>15270576981</t>
  </si>
  <si>
    <t>15270577712</t>
  </si>
  <si>
    <t>15270578903</t>
  </si>
  <si>
    <t>15270579948</t>
  </si>
  <si>
    <t>15270582271</t>
  </si>
  <si>
    <t>55365998</t>
  </si>
  <si>
    <t>15270586128</t>
  </si>
  <si>
    <t>15270587101</t>
  </si>
  <si>
    <t>15270587309</t>
  </si>
  <si>
    <t>15270587316</t>
  </si>
  <si>
    <t>15270587551</t>
  </si>
  <si>
    <t>15270587780</t>
  </si>
  <si>
    <t>61700474</t>
  </si>
  <si>
    <t>15270588220</t>
  </si>
  <si>
    <t>15270588288</t>
  </si>
  <si>
    <t>61706699</t>
  </si>
  <si>
    <t>15270588680</t>
  </si>
  <si>
    <t>15270589888</t>
  </si>
  <si>
    <t>55365183</t>
  </si>
  <si>
    <t>15270590280</t>
  </si>
  <si>
    <t>55358762</t>
  </si>
  <si>
    <t>15270591112</t>
  </si>
  <si>
    <t>55358589</t>
  </si>
  <si>
    <t>15270591572</t>
  </si>
  <si>
    <t>55356699</t>
  </si>
  <si>
    <t>15270591674</t>
  </si>
  <si>
    <t>55356700</t>
  </si>
  <si>
    <t>15270591860</t>
  </si>
  <si>
    <t>55356781</t>
  </si>
  <si>
    <t>15270593558</t>
  </si>
  <si>
    <t>15270594792</t>
  </si>
  <si>
    <t>55357689</t>
  </si>
  <si>
    <t>15270595792</t>
  </si>
  <si>
    <t>55356450</t>
  </si>
  <si>
    <t>15270596424</t>
  </si>
  <si>
    <t>55356589</t>
  </si>
  <si>
    <t>15270597388</t>
  </si>
  <si>
    <t>55356201</t>
  </si>
  <si>
    <t>15270597682</t>
  </si>
  <si>
    <t>55355996</t>
  </si>
  <si>
    <t>15270598012</t>
  </si>
  <si>
    <t>55355997</t>
  </si>
  <si>
    <t>15270598616</t>
  </si>
  <si>
    <t>55365240</t>
  </si>
  <si>
    <t>15270599395</t>
  </si>
  <si>
    <t>15270601335</t>
  </si>
  <si>
    <t>55356588</t>
  </si>
  <si>
    <t>15270601695</t>
  </si>
  <si>
    <t>55356244</t>
  </si>
  <si>
    <t>15270601814</t>
  </si>
  <si>
    <t>55356445</t>
  </si>
  <si>
    <t>15270603085</t>
  </si>
  <si>
    <t>55356777</t>
  </si>
  <si>
    <t>15270603278</t>
  </si>
  <si>
    <t>55357694</t>
  </si>
  <si>
    <t>15270603766</t>
  </si>
  <si>
    <t>55356706</t>
  </si>
  <si>
    <t>15270603871</t>
  </si>
  <si>
    <t>15270604178</t>
  </si>
  <si>
    <t>55356599</t>
  </si>
  <si>
    <t>15270604221</t>
  </si>
  <si>
    <t>55356601</t>
  </si>
  <si>
    <t>15270604225</t>
  </si>
  <si>
    <t>55356782</t>
  </si>
  <si>
    <t>15270604583</t>
  </si>
  <si>
    <t>55356243</t>
  </si>
  <si>
    <t>15270605164</t>
  </si>
  <si>
    <t>55356180</t>
  </si>
  <si>
    <t>15270605452</t>
  </si>
  <si>
    <t>55356451</t>
  </si>
  <si>
    <t>15270605463</t>
  </si>
  <si>
    <t>55356453</t>
  </si>
  <si>
    <t>15270605678</t>
  </si>
  <si>
    <t>55356413</t>
  </si>
  <si>
    <t>15270605723</t>
  </si>
  <si>
    <t>55356240</t>
  </si>
  <si>
    <t>15270605860</t>
  </si>
  <si>
    <t>15270606380</t>
  </si>
  <si>
    <t>15270606795</t>
  </si>
  <si>
    <t>15270607568</t>
  </si>
  <si>
    <t>55358658</t>
  </si>
  <si>
    <t>15270607815</t>
  </si>
  <si>
    <t>55366976</t>
  </si>
  <si>
    <t>15270607897</t>
  </si>
  <si>
    <t>55366977</t>
  </si>
  <si>
    <t>15270607943</t>
  </si>
  <si>
    <t>55358717</t>
  </si>
  <si>
    <t>15270608347</t>
  </si>
  <si>
    <t>55366933</t>
  </si>
  <si>
    <t>15270608701</t>
  </si>
  <si>
    <t>55358843</t>
  </si>
  <si>
    <t>15270608991</t>
  </si>
  <si>
    <t>55366935</t>
  </si>
  <si>
    <t>15270609005</t>
  </si>
  <si>
    <t>55358280</t>
  </si>
  <si>
    <t>15270609015</t>
  </si>
  <si>
    <t>55356975</t>
  </si>
  <si>
    <t>15270609085</t>
  </si>
  <si>
    <t>55366978</t>
  </si>
  <si>
    <t>15270609207</t>
  </si>
  <si>
    <t>55357063</t>
  </si>
  <si>
    <t>15270609475</t>
  </si>
  <si>
    <t>55357695</t>
  </si>
  <si>
    <t>15270610006</t>
  </si>
  <si>
    <t>15270610154</t>
  </si>
  <si>
    <t>55358718</t>
  </si>
  <si>
    <t>15270610902</t>
  </si>
  <si>
    <t>55358841</t>
  </si>
  <si>
    <t>15270611035</t>
  </si>
  <si>
    <t>15270611280</t>
  </si>
  <si>
    <t>55358713</t>
  </si>
  <si>
    <t>15270611830</t>
  </si>
  <si>
    <t>55367032</t>
  </si>
  <si>
    <t>15270612348</t>
  </si>
  <si>
    <t>15270613717</t>
  </si>
  <si>
    <t>55358588</t>
  </si>
  <si>
    <t>15270613818</t>
  </si>
  <si>
    <t>55358712</t>
  </si>
  <si>
    <t>15270613971</t>
  </si>
  <si>
    <t>55365994</t>
  </si>
  <si>
    <t>15270614196</t>
  </si>
  <si>
    <t>55365278</t>
  </si>
  <si>
    <t>15270614459</t>
  </si>
  <si>
    <t>61721921</t>
  </si>
  <si>
    <t>15270614629</t>
  </si>
  <si>
    <t>55365210</t>
  </si>
  <si>
    <t>15270615730</t>
  </si>
  <si>
    <t>61719937</t>
  </si>
  <si>
    <t>15270616619</t>
  </si>
  <si>
    <t>55365175</t>
  </si>
  <si>
    <t>15270616707</t>
  </si>
  <si>
    <t>55365180</t>
  </si>
  <si>
    <t>15270616751</t>
  </si>
  <si>
    <t>55365145</t>
  </si>
  <si>
    <t>15270617187</t>
  </si>
  <si>
    <t>55358816</t>
  </si>
  <si>
    <t>15270617629</t>
  </si>
  <si>
    <t>15270618016</t>
  </si>
  <si>
    <t>55365181</t>
  </si>
  <si>
    <t>15270618236</t>
  </si>
  <si>
    <t>55365277</t>
  </si>
  <si>
    <t>15270618923</t>
  </si>
  <si>
    <t>55358672</t>
  </si>
  <si>
    <t>15270619475</t>
  </si>
  <si>
    <t>55366026</t>
  </si>
  <si>
    <t>15270619610</t>
  </si>
  <si>
    <t>55366938</t>
  </si>
  <si>
    <t>15270619832</t>
  </si>
  <si>
    <t>55365279</t>
  </si>
  <si>
    <t>15270620148</t>
  </si>
  <si>
    <t>55365239</t>
  </si>
  <si>
    <t>15270620171</t>
  </si>
  <si>
    <t>55365243</t>
  </si>
  <si>
    <t>15270620173</t>
  </si>
  <si>
    <t>55365276</t>
  </si>
  <si>
    <t>15270621843</t>
  </si>
  <si>
    <t>15270622094</t>
  </si>
  <si>
    <t>15270622951</t>
  </si>
  <si>
    <t>15270623093</t>
  </si>
  <si>
    <t>15270623190</t>
  </si>
  <si>
    <t>15270625077</t>
  </si>
  <si>
    <t>15270627098</t>
  </si>
  <si>
    <t>15270627416</t>
  </si>
  <si>
    <t>61702683</t>
  </si>
  <si>
    <t>15270627516</t>
  </si>
  <si>
    <t>61710514</t>
  </si>
  <si>
    <t>15270627517</t>
  </si>
  <si>
    <t>15270627548</t>
  </si>
  <si>
    <t>15270627704</t>
  </si>
  <si>
    <t>15270627794</t>
  </si>
  <si>
    <t>15270627971</t>
  </si>
  <si>
    <t>15270627990</t>
  </si>
  <si>
    <t>61717478</t>
  </si>
  <si>
    <t>15270628017</t>
  </si>
  <si>
    <t>15270628064</t>
  </si>
  <si>
    <t>15270628567</t>
  </si>
  <si>
    <t>15270628845</t>
  </si>
  <si>
    <t>15270628892</t>
  </si>
  <si>
    <t>15270629040</t>
  </si>
  <si>
    <t>15270629216</t>
  </si>
  <si>
    <t>15270629279</t>
  </si>
  <si>
    <t>15270629819</t>
  </si>
  <si>
    <t>61731888</t>
  </si>
  <si>
    <t>15270629826</t>
  </si>
  <si>
    <t>15270630311</t>
  </si>
  <si>
    <t>61690368</t>
  </si>
  <si>
    <t>15270630615</t>
  </si>
  <si>
    <t>15270630636</t>
  </si>
  <si>
    <t>15270630731</t>
  </si>
  <si>
    <t>15270630753</t>
  </si>
  <si>
    <t>15270631850</t>
  </si>
  <si>
    <t>15270632031</t>
  </si>
  <si>
    <t>15270632653</t>
  </si>
  <si>
    <t>15270634004</t>
  </si>
  <si>
    <t>15270634249</t>
  </si>
  <si>
    <t>55365963</t>
  </si>
  <si>
    <t>15270634398</t>
  </si>
  <si>
    <t>15270634600</t>
  </si>
  <si>
    <t>15270634616</t>
  </si>
  <si>
    <t>15270634659</t>
  </si>
  <si>
    <t>61693392</t>
  </si>
  <si>
    <t>15270634687</t>
  </si>
  <si>
    <t>15270634804</t>
  </si>
  <si>
    <t>15270634948</t>
  </si>
  <si>
    <t>15270635247</t>
  </si>
  <si>
    <t>15270635368</t>
  </si>
  <si>
    <t>15270635460</t>
  </si>
  <si>
    <t>15270635487</t>
  </si>
  <si>
    <t>15270635745</t>
  </si>
  <si>
    <t>15270637602</t>
  </si>
  <si>
    <t>15270637619</t>
  </si>
  <si>
    <t>15270639650</t>
  </si>
  <si>
    <t>61694002</t>
  </si>
  <si>
    <t>15270642826</t>
  </si>
  <si>
    <t>15270645894</t>
  </si>
  <si>
    <t>15270646177</t>
  </si>
  <si>
    <t>15270652864</t>
  </si>
  <si>
    <t>15270652885</t>
  </si>
  <si>
    <t>15270654114</t>
  </si>
  <si>
    <t>15270666894</t>
  </si>
  <si>
    <t>15270666903</t>
  </si>
  <si>
    <t>55377110</t>
  </si>
  <si>
    <t>15270667296</t>
  </si>
  <si>
    <t>15270667539</t>
  </si>
  <si>
    <t>55371405</t>
  </si>
  <si>
    <t>15270672040</t>
  </si>
  <si>
    <t>15270672547</t>
  </si>
  <si>
    <t>55375681</t>
  </si>
  <si>
    <t>15270673927</t>
  </si>
  <si>
    <t>55375683</t>
  </si>
  <si>
    <t>15270674160</t>
  </si>
  <si>
    <t>55375652</t>
  </si>
  <si>
    <t>15270674302</t>
  </si>
  <si>
    <t>55374291</t>
  </si>
  <si>
    <t>15270674783</t>
  </si>
  <si>
    <t>15270675099</t>
  </si>
  <si>
    <t>55377096</t>
  </si>
  <si>
    <t>15270675990</t>
  </si>
  <si>
    <t>55376953</t>
  </si>
  <si>
    <t>15270676337</t>
  </si>
  <si>
    <t>15270677628</t>
  </si>
  <si>
    <t>55373167</t>
  </si>
  <si>
    <t>15270678694</t>
  </si>
  <si>
    <t>55377095</t>
  </si>
  <si>
    <t>15270679260</t>
  </si>
  <si>
    <t>55375769</t>
  </si>
  <si>
    <t>15270681784</t>
  </si>
  <si>
    <t>15270682670</t>
  </si>
  <si>
    <t>55387845</t>
  </si>
  <si>
    <t>15270682728</t>
  </si>
  <si>
    <t>55387846</t>
  </si>
  <si>
    <t>15270683280</t>
  </si>
  <si>
    <t>55375768</t>
  </si>
  <si>
    <t>15270683528</t>
  </si>
  <si>
    <t>55377083</t>
  </si>
  <si>
    <t>15270685844</t>
  </si>
  <si>
    <t>55376955</t>
  </si>
  <si>
    <t>15270685862</t>
  </si>
  <si>
    <t>55377060</t>
  </si>
  <si>
    <t>15270685959</t>
  </si>
  <si>
    <t>55377064</t>
  </si>
  <si>
    <t>15270687302</t>
  </si>
  <si>
    <t>15270687860</t>
  </si>
  <si>
    <t>55379955</t>
  </si>
  <si>
    <t>15270688536</t>
  </si>
  <si>
    <t>55379952</t>
  </si>
  <si>
    <t>15270688622</t>
  </si>
  <si>
    <t>15270689489</t>
  </si>
  <si>
    <t>15270690785</t>
  </si>
  <si>
    <t>55379942</t>
  </si>
  <si>
    <t>15270691807</t>
  </si>
  <si>
    <t>55375524</t>
  </si>
  <si>
    <t>15270692260</t>
  </si>
  <si>
    <t>55376951</t>
  </si>
  <si>
    <t>15270692853</t>
  </si>
  <si>
    <t>15270693259</t>
  </si>
  <si>
    <t>55383389</t>
  </si>
  <si>
    <t>15270693503</t>
  </si>
  <si>
    <t>55375390</t>
  </si>
  <si>
    <t>15270695088</t>
  </si>
  <si>
    <t>55375483</t>
  </si>
  <si>
    <t>15270696050</t>
  </si>
  <si>
    <t>55372562</t>
  </si>
  <si>
    <t>15270696436</t>
  </si>
  <si>
    <t>55372558</t>
  </si>
  <si>
    <t>15270696578</t>
  </si>
  <si>
    <t>55372534</t>
  </si>
  <si>
    <t>15270697098</t>
  </si>
  <si>
    <t>55372500</t>
  </si>
  <si>
    <t>15270697800</t>
  </si>
  <si>
    <t>55372455</t>
  </si>
  <si>
    <t>15270697831</t>
  </si>
  <si>
    <t>55372385</t>
  </si>
  <si>
    <t>15270699504</t>
  </si>
  <si>
    <t>15270699904</t>
  </si>
  <si>
    <t>55383459</t>
  </si>
  <si>
    <t>15270700353</t>
  </si>
  <si>
    <t>55377099</t>
  </si>
  <si>
    <t>15270701115</t>
  </si>
  <si>
    <t>55373863</t>
  </si>
  <si>
    <t>15270701158</t>
  </si>
  <si>
    <t>55373857</t>
  </si>
  <si>
    <t>15270701945</t>
  </si>
  <si>
    <t>55373247</t>
  </si>
  <si>
    <t>15270702309</t>
  </si>
  <si>
    <t>15270702395</t>
  </si>
  <si>
    <t>55372579</t>
  </si>
  <si>
    <t>15270702425</t>
  </si>
  <si>
    <t>55371406</t>
  </si>
  <si>
    <t>15270702680</t>
  </si>
  <si>
    <t>15270702903</t>
  </si>
  <si>
    <t>55373107</t>
  </si>
  <si>
    <t>15270703031</t>
  </si>
  <si>
    <t>55383421</t>
  </si>
  <si>
    <t>15270703059</t>
  </si>
  <si>
    <t>55383436</t>
  </si>
  <si>
    <t>15270703283</t>
  </si>
  <si>
    <t>55373172</t>
  </si>
  <si>
    <t>15270703333</t>
  </si>
  <si>
    <t>55373294</t>
  </si>
  <si>
    <t>15270703496</t>
  </si>
  <si>
    <t>55373862</t>
  </si>
  <si>
    <t>15270703654</t>
  </si>
  <si>
    <t>55372435</t>
  </si>
  <si>
    <t>15270703874</t>
  </si>
  <si>
    <t>55372361</t>
  </si>
  <si>
    <t>15270704025</t>
  </si>
  <si>
    <t>55372362</t>
  </si>
  <si>
    <t>15270704098</t>
  </si>
  <si>
    <t>15270704384</t>
  </si>
  <si>
    <t>55375653</t>
  </si>
  <si>
    <t>15270704711</t>
  </si>
  <si>
    <t>55375416</t>
  </si>
  <si>
    <t>15270705038</t>
  </si>
  <si>
    <t>55375454</t>
  </si>
  <si>
    <t>15270705137</t>
  </si>
  <si>
    <t>55374474</t>
  </si>
  <si>
    <t>15270705196</t>
  </si>
  <si>
    <t>55379894</t>
  </si>
  <si>
    <t>15270705347</t>
  </si>
  <si>
    <t>55379896</t>
  </si>
  <si>
    <t>15270705375</t>
  </si>
  <si>
    <t>15270705650</t>
  </si>
  <si>
    <t>55379891</t>
  </si>
  <si>
    <t>15270705656</t>
  </si>
  <si>
    <t>15270705809</t>
  </si>
  <si>
    <t>55374111</t>
  </si>
  <si>
    <t>15270705891</t>
  </si>
  <si>
    <t>61737642</t>
  </si>
  <si>
    <t>15270705922</t>
  </si>
  <si>
    <t>15270706011</t>
  </si>
  <si>
    <t>55379915</t>
  </si>
  <si>
    <t>15270706021</t>
  </si>
  <si>
    <t>55374341</t>
  </si>
  <si>
    <t>15270706514</t>
  </si>
  <si>
    <t>55373141</t>
  </si>
  <si>
    <t>15270707007</t>
  </si>
  <si>
    <t>55375654</t>
  </si>
  <si>
    <t>15270707417</t>
  </si>
  <si>
    <t>55375455</t>
  </si>
  <si>
    <t>15270707492</t>
  </si>
  <si>
    <t>55379893</t>
  </si>
  <si>
    <t>15270707574</t>
  </si>
  <si>
    <t>55379897</t>
  </si>
  <si>
    <t>15270707832</t>
  </si>
  <si>
    <t>55374419</t>
  </si>
  <si>
    <t>15270707921</t>
  </si>
  <si>
    <t>55374289</t>
  </si>
  <si>
    <t>15270708626</t>
  </si>
  <si>
    <t>15270708657</t>
  </si>
  <si>
    <t>55379905</t>
  </si>
  <si>
    <t>15270708870</t>
  </si>
  <si>
    <t>55379917</t>
  </si>
  <si>
    <t>15270709050</t>
  </si>
  <si>
    <t>55379928</t>
  </si>
  <si>
    <t>15270709066</t>
  </si>
  <si>
    <t>55376890</t>
  </si>
  <si>
    <t>15270709089</t>
  </si>
  <si>
    <t>15270709093</t>
  </si>
  <si>
    <t>55376566</t>
  </si>
  <si>
    <t>15270709335</t>
  </si>
  <si>
    <t>55387888</t>
  </si>
  <si>
    <t>15270709367</t>
  </si>
  <si>
    <t>55387848</t>
  </si>
  <si>
    <t>15270709632</t>
  </si>
  <si>
    <t>61695620</t>
  </si>
  <si>
    <t>15270709634</t>
  </si>
  <si>
    <t>15270709643</t>
  </si>
  <si>
    <t>55379904</t>
  </si>
  <si>
    <t>15270709777</t>
  </si>
  <si>
    <t>15270709951</t>
  </si>
  <si>
    <t>15270710028</t>
  </si>
  <si>
    <t>55389026</t>
  </si>
  <si>
    <t>15270710384</t>
  </si>
  <si>
    <t>15270710420</t>
  </si>
  <si>
    <t>60833631</t>
  </si>
  <si>
    <t>15270710496</t>
  </si>
  <si>
    <t>55379908</t>
  </si>
  <si>
    <t>15270710539</t>
  </si>
  <si>
    <t>55379941</t>
  </si>
  <si>
    <t>15270710557</t>
  </si>
  <si>
    <t>15270710570</t>
  </si>
  <si>
    <t>15270710651</t>
  </si>
  <si>
    <t>15270710725</t>
  </si>
  <si>
    <t>15270710788</t>
  </si>
  <si>
    <t>15270710988</t>
  </si>
  <si>
    <t>15270712078</t>
  </si>
  <si>
    <t>15270712298</t>
  </si>
  <si>
    <t>15270712336</t>
  </si>
  <si>
    <t>15270712411</t>
  </si>
  <si>
    <t>15270712530</t>
  </si>
  <si>
    <t>15270712546</t>
  </si>
  <si>
    <t>15270712875</t>
  </si>
  <si>
    <t>61712628</t>
  </si>
  <si>
    <t>15270713007</t>
  </si>
  <si>
    <t>15270713363</t>
  </si>
  <si>
    <t>15270713403</t>
  </si>
  <si>
    <t>15270713440</t>
  </si>
  <si>
    <t>15270713497</t>
  </si>
  <si>
    <t>15270713600</t>
  </si>
  <si>
    <t>15270713895</t>
  </si>
  <si>
    <t>15270714122</t>
  </si>
  <si>
    <t>15270714129</t>
  </si>
  <si>
    <t>61714561</t>
  </si>
  <si>
    <t>15270714134</t>
  </si>
  <si>
    <t>15270714251</t>
  </si>
  <si>
    <t>15270714595</t>
  </si>
  <si>
    <t>15270715011</t>
  </si>
  <si>
    <t>15270715441</t>
  </si>
  <si>
    <t>61702997</t>
  </si>
  <si>
    <t>15270715442</t>
  </si>
  <si>
    <t>15270715453</t>
  </si>
  <si>
    <t>15270715664</t>
  </si>
  <si>
    <t>15270715937</t>
  </si>
  <si>
    <t>15270716362</t>
  </si>
  <si>
    <t>15270716364</t>
  </si>
  <si>
    <t>15270716474</t>
  </si>
  <si>
    <t>15270716481</t>
  </si>
  <si>
    <t>15270716661</t>
  </si>
  <si>
    <t>15270716871</t>
  </si>
  <si>
    <t>15270716872</t>
  </si>
  <si>
    <t>15270717132</t>
  </si>
  <si>
    <t>15270717274</t>
  </si>
  <si>
    <t>15270717300</t>
  </si>
  <si>
    <t>15270717380</t>
  </si>
  <si>
    <t>15270717793</t>
  </si>
  <si>
    <t>15270717891</t>
  </si>
  <si>
    <t>15270717919</t>
  </si>
  <si>
    <t>15270717949</t>
  </si>
  <si>
    <t>61710354</t>
  </si>
  <si>
    <t>15270717982</t>
  </si>
  <si>
    <t>15270718008</t>
  </si>
  <si>
    <t>15270718517</t>
  </si>
  <si>
    <t>15270718543</t>
  </si>
  <si>
    <t>15270718614</t>
  </si>
  <si>
    <t>15270718629</t>
  </si>
  <si>
    <t>15270718767</t>
  </si>
  <si>
    <t>15270718880</t>
  </si>
  <si>
    <t>15270718958</t>
  </si>
  <si>
    <t>15270718999</t>
  </si>
  <si>
    <t>15270719004</t>
  </si>
  <si>
    <t>15270719139</t>
  </si>
  <si>
    <t>61702865</t>
  </si>
  <si>
    <t>15270719485</t>
  </si>
  <si>
    <t>61734492</t>
  </si>
  <si>
    <t>15270719966</t>
  </si>
  <si>
    <t>15270720018</t>
  </si>
  <si>
    <t>15270720020</t>
  </si>
  <si>
    <t>15270720235</t>
  </si>
  <si>
    <t>61712867</t>
  </si>
  <si>
    <t>15270720367</t>
  </si>
  <si>
    <t>15270720493</t>
  </si>
  <si>
    <t>15270720512</t>
  </si>
  <si>
    <t>15270720613</t>
  </si>
  <si>
    <t>15270720643</t>
  </si>
  <si>
    <t>61722278</t>
  </si>
  <si>
    <t>15270720703</t>
  </si>
  <si>
    <t>15270720894</t>
  </si>
  <si>
    <t>15270720977</t>
  </si>
  <si>
    <t>15270721228</t>
  </si>
  <si>
    <t>15270721285</t>
  </si>
  <si>
    <t>15270721443</t>
  </si>
  <si>
    <t>15270721731</t>
  </si>
  <si>
    <t>15270721785</t>
  </si>
  <si>
    <t>15270721937</t>
  </si>
  <si>
    <t>15270722036</t>
  </si>
  <si>
    <t>61731547</t>
  </si>
  <si>
    <t>15270722156</t>
  </si>
  <si>
    <t>15270722221</t>
  </si>
  <si>
    <t>61708767</t>
  </si>
  <si>
    <t>15270722353</t>
  </si>
  <si>
    <t>15270722426</t>
  </si>
  <si>
    <t>15270722471</t>
  </si>
  <si>
    <t>15270722658</t>
  </si>
  <si>
    <t>15270722711</t>
  </si>
  <si>
    <t>15270722717</t>
  </si>
  <si>
    <t>15270722745</t>
  </si>
  <si>
    <t>15270722746</t>
  </si>
  <si>
    <t>15270722828</t>
  </si>
  <si>
    <t>15270723094</t>
  </si>
  <si>
    <t>15270723236</t>
  </si>
  <si>
    <t>15270723424</t>
  </si>
  <si>
    <t>15270723437</t>
  </si>
  <si>
    <t>61713381</t>
  </si>
  <si>
    <t>15270723455</t>
  </si>
  <si>
    <t>15270724207</t>
  </si>
  <si>
    <t>15270724600</t>
  </si>
  <si>
    <t>15270724738</t>
  </si>
  <si>
    <t>15270725064</t>
  </si>
  <si>
    <t>15270725074</t>
  </si>
  <si>
    <t>15270725159</t>
  </si>
  <si>
    <t>15270725190</t>
  </si>
  <si>
    <t>15270726118</t>
  </si>
  <si>
    <t>15270726728</t>
  </si>
  <si>
    <t>15270726958</t>
  </si>
  <si>
    <t>15270727020</t>
  </si>
  <si>
    <t>61688016</t>
  </si>
  <si>
    <t>15270727231</t>
  </si>
  <si>
    <t>15270727726</t>
  </si>
  <si>
    <t>15270728126</t>
  </si>
  <si>
    <t>61724503</t>
  </si>
  <si>
    <t>15270728278</t>
  </si>
  <si>
    <t>15270728500</t>
  </si>
  <si>
    <t>15270729264</t>
  </si>
  <si>
    <t>61682207</t>
  </si>
  <si>
    <t>15270729392</t>
  </si>
  <si>
    <t>15270729683</t>
  </si>
  <si>
    <t>15270729691</t>
  </si>
  <si>
    <t>15270729774</t>
  </si>
  <si>
    <t>15270729800</t>
  </si>
  <si>
    <t>15270730111</t>
  </si>
  <si>
    <t>15270730878</t>
  </si>
  <si>
    <t>15270732155</t>
  </si>
  <si>
    <t>15270732637</t>
  </si>
  <si>
    <t>15270732846</t>
  </si>
  <si>
    <t>15270733075</t>
  </si>
  <si>
    <t>15270733557</t>
  </si>
  <si>
    <t>15270734036</t>
  </si>
  <si>
    <t>15270734951</t>
  </si>
  <si>
    <t>61706192</t>
  </si>
  <si>
    <t>15270735368</t>
  </si>
  <si>
    <t>15270737090</t>
  </si>
  <si>
    <t>15270737872</t>
  </si>
  <si>
    <t>61697512</t>
  </si>
  <si>
    <t>15270752459</t>
  </si>
  <si>
    <t>15270753028</t>
  </si>
  <si>
    <t>15270753076</t>
  </si>
  <si>
    <t>15270753087</t>
  </si>
  <si>
    <t>15270753489</t>
  </si>
  <si>
    <t>15270753541</t>
  </si>
  <si>
    <t>15270754267</t>
  </si>
  <si>
    <t>15270754525</t>
  </si>
  <si>
    <t>15270754564</t>
  </si>
  <si>
    <t>61709790</t>
  </si>
  <si>
    <t>15270754993</t>
  </si>
  <si>
    <t>15270755085</t>
  </si>
  <si>
    <t>15270755188</t>
  </si>
  <si>
    <t>15270755672</t>
  </si>
  <si>
    <t>61675251</t>
  </si>
  <si>
    <t>15270755824</t>
  </si>
  <si>
    <t>15270755994</t>
  </si>
  <si>
    <t>15270757112</t>
  </si>
  <si>
    <t>55389018</t>
  </si>
  <si>
    <t>15270758254</t>
  </si>
  <si>
    <t>55390040</t>
  </si>
  <si>
    <t>15270758724</t>
  </si>
  <si>
    <t>55398486</t>
  </si>
  <si>
    <t>15270759127</t>
  </si>
  <si>
    <t>55391209</t>
  </si>
  <si>
    <t>15270760075</t>
  </si>
  <si>
    <t>55395347</t>
  </si>
  <si>
    <t>15270760393</t>
  </si>
  <si>
    <t>55395345</t>
  </si>
  <si>
    <t>15270760606</t>
  </si>
  <si>
    <t>61703655</t>
  </si>
  <si>
    <t>15270760610</t>
  </si>
  <si>
    <t>55404920</t>
  </si>
  <si>
    <t>15270760619</t>
  </si>
  <si>
    <t>55389184</t>
  </si>
  <si>
    <t>15270760642</t>
  </si>
  <si>
    <t>55395323</t>
  </si>
  <si>
    <t>15270760644</t>
  </si>
  <si>
    <t>55396848</t>
  </si>
  <si>
    <t>15270760698</t>
  </si>
  <si>
    <t>55389798</t>
  </si>
  <si>
    <t>15270760865</t>
  </si>
  <si>
    <t>55403858</t>
  </si>
  <si>
    <t>15270761050</t>
  </si>
  <si>
    <t>55395796</t>
  </si>
  <si>
    <t>15270761110</t>
  </si>
  <si>
    <t>55397090</t>
  </si>
  <si>
    <t>15270761231</t>
  </si>
  <si>
    <t>55390042</t>
  </si>
  <si>
    <t>55386847</t>
  </si>
  <si>
    <t>15270761393</t>
  </si>
  <si>
    <t>55390054</t>
  </si>
  <si>
    <t>15270761436</t>
  </si>
  <si>
    <t>55389101</t>
  </si>
  <si>
    <t>15270761439</t>
  </si>
  <si>
    <t>55390633</t>
  </si>
  <si>
    <t>15270761452</t>
  </si>
  <si>
    <t>55390765</t>
  </si>
  <si>
    <t>15270761578</t>
  </si>
  <si>
    <t>55390766</t>
  </si>
  <si>
    <t>15270761695</t>
  </si>
  <si>
    <t>55391220</t>
  </si>
  <si>
    <t>15270761696</t>
  </si>
  <si>
    <t>55391222</t>
  </si>
  <si>
    <t>15270761803</t>
  </si>
  <si>
    <t>55389174</t>
  </si>
  <si>
    <t>15270762145</t>
  </si>
  <si>
    <t>55398781</t>
  </si>
  <si>
    <t>15270762402</t>
  </si>
  <si>
    <t>55397136</t>
  </si>
  <si>
    <t>15270762491</t>
  </si>
  <si>
    <t>55398428</t>
  </si>
  <si>
    <t>15270762525</t>
  </si>
  <si>
    <t>55395821</t>
  </si>
  <si>
    <t>15270762622</t>
  </si>
  <si>
    <t>55395325</t>
  </si>
  <si>
    <t>15270762904</t>
  </si>
  <si>
    <t>55400230</t>
  </si>
  <si>
    <t>15270763032</t>
  </si>
  <si>
    <t>55391621</t>
  </si>
  <si>
    <t>15270763136</t>
  </si>
  <si>
    <t>55390959</t>
  </si>
  <si>
    <t>15270763139</t>
  </si>
  <si>
    <t>55395307</t>
  </si>
  <si>
    <t>15270763430</t>
  </si>
  <si>
    <t>55395288</t>
  </si>
  <si>
    <t>15270763531</t>
  </si>
  <si>
    <t>55395034</t>
  </si>
  <si>
    <t>15270763672</t>
  </si>
  <si>
    <t>55394950</t>
  </si>
  <si>
    <t>15270763742</t>
  </si>
  <si>
    <t>55390743</t>
  </si>
  <si>
    <t>15270763845</t>
  </si>
  <si>
    <t>55389170</t>
  </si>
  <si>
    <t>15270763942</t>
  </si>
  <si>
    <t>55395343</t>
  </si>
  <si>
    <t>15270763950</t>
  </si>
  <si>
    <t>55396838</t>
  </si>
  <si>
    <t>15270764006</t>
  </si>
  <si>
    <t>55388991</t>
  </si>
  <si>
    <t>15270764086</t>
  </si>
  <si>
    <t>55396850</t>
  </si>
  <si>
    <t>15270764193</t>
  </si>
  <si>
    <t>55402606</t>
  </si>
  <si>
    <t>15270764278</t>
  </si>
  <si>
    <t>55402830</t>
  </si>
  <si>
    <t>15270764286</t>
  </si>
  <si>
    <t>55402693</t>
  </si>
  <si>
    <t>15270764294</t>
  </si>
  <si>
    <t>55402822</t>
  </si>
  <si>
    <t>15270764384</t>
  </si>
  <si>
    <t>55402724</t>
  </si>
  <si>
    <t>15270764412</t>
  </si>
  <si>
    <t>55402243</t>
  </si>
  <si>
    <t>15270764441</t>
  </si>
  <si>
    <t>55402729</t>
  </si>
  <si>
    <t>15270764507</t>
  </si>
  <si>
    <t>55402725</t>
  </si>
  <si>
    <t>15270764596</t>
  </si>
  <si>
    <t>55396800</t>
  </si>
  <si>
    <t>15270764666</t>
  </si>
  <si>
    <t>55395346</t>
  </si>
  <si>
    <t>15270764778</t>
  </si>
  <si>
    <t>55402138</t>
  </si>
  <si>
    <t>15270764806</t>
  </si>
  <si>
    <t>15270764808</t>
  </si>
  <si>
    <t>55395360</t>
  </si>
  <si>
    <t>15270765113</t>
  </si>
  <si>
    <t>55398489</t>
  </si>
  <si>
    <t>15270765123</t>
  </si>
  <si>
    <t>55390385</t>
  </si>
  <si>
    <t>15270765166</t>
  </si>
  <si>
    <t>55389542</t>
  </si>
  <si>
    <t>15270765167</t>
  </si>
  <si>
    <t>55389729</t>
  </si>
  <si>
    <t>15270765185</t>
  </si>
  <si>
    <t>55389963</t>
  </si>
  <si>
    <t>15270765190</t>
  </si>
  <si>
    <t>55397134</t>
  </si>
  <si>
    <t>15270765212</t>
  </si>
  <si>
    <t>55397058</t>
  </si>
  <si>
    <t>15270765334</t>
  </si>
  <si>
    <t>15270765647</t>
  </si>
  <si>
    <t>15270765656</t>
  </si>
  <si>
    <t>15270765782</t>
  </si>
  <si>
    <t>15270765789</t>
  </si>
  <si>
    <t>15270765795</t>
  </si>
  <si>
    <t>15270765824</t>
  </si>
  <si>
    <t>15270765827</t>
  </si>
  <si>
    <t>15270765969</t>
  </si>
  <si>
    <t>15270766003</t>
  </si>
  <si>
    <t>15270766047</t>
  </si>
  <si>
    <t>15270766050</t>
  </si>
  <si>
    <t>15270766197</t>
  </si>
  <si>
    <t>15270766422</t>
  </si>
  <si>
    <t>15270766434</t>
  </si>
  <si>
    <t>15270766502</t>
  </si>
  <si>
    <t>15270766503</t>
  </si>
  <si>
    <t>15270766542</t>
  </si>
  <si>
    <t>15270766544</t>
  </si>
  <si>
    <t>15270766672</t>
  </si>
  <si>
    <t>55390586</t>
  </si>
  <si>
    <t>15270766726</t>
  </si>
  <si>
    <t>15270766886</t>
  </si>
  <si>
    <t>55397052</t>
  </si>
  <si>
    <t>15270767039</t>
  </si>
  <si>
    <t>60833803</t>
  </si>
  <si>
    <t>15270767040</t>
  </si>
  <si>
    <t>60833665</t>
  </si>
  <si>
    <t>15270767044</t>
  </si>
  <si>
    <t>60833690</t>
  </si>
  <si>
    <t>15270767046</t>
  </si>
  <si>
    <t>55389299</t>
  </si>
  <si>
    <t>15270767069</t>
  </si>
  <si>
    <t>15270767108</t>
  </si>
  <si>
    <t>55390036</t>
  </si>
  <si>
    <t>15270767184</t>
  </si>
  <si>
    <t>55389149</t>
  </si>
  <si>
    <t>15270767196</t>
  </si>
  <si>
    <t>55389293</t>
  </si>
  <si>
    <t>15270767214</t>
  </si>
  <si>
    <t>55387920</t>
  </si>
  <si>
    <t>15270767261</t>
  </si>
  <si>
    <t>55402923</t>
  </si>
  <si>
    <t>15270767279</t>
  </si>
  <si>
    <t>55403399</t>
  </si>
  <si>
    <t>15270767300</t>
  </si>
  <si>
    <t>60833831</t>
  </si>
  <si>
    <t>15270767398</t>
  </si>
  <si>
    <t>60833673</t>
  </si>
  <si>
    <t>15270767407</t>
  </si>
  <si>
    <t>15270767494</t>
  </si>
  <si>
    <t>15270767507</t>
  </si>
  <si>
    <t>15270767561</t>
  </si>
  <si>
    <t>60833709</t>
  </si>
  <si>
    <t>15270767571</t>
  </si>
  <si>
    <t>60833686</t>
  </si>
  <si>
    <t>15270767573</t>
  </si>
  <si>
    <t>15270767663</t>
  </si>
  <si>
    <t>60833773</t>
  </si>
  <si>
    <t>15270767699</t>
  </si>
  <si>
    <t>55387757</t>
  </si>
  <si>
    <t>Mazda : Parts &amp; Service</t>
  </si>
  <si>
    <t>15270767739</t>
  </si>
  <si>
    <t>15270767771</t>
  </si>
  <si>
    <t>60833581</t>
  </si>
  <si>
    <t>15270767888</t>
  </si>
  <si>
    <t>60833765</t>
  </si>
  <si>
    <t>15270767920</t>
  </si>
  <si>
    <t>55387893</t>
  </si>
  <si>
    <t>15270767922</t>
  </si>
  <si>
    <t>57512659</t>
  </si>
  <si>
    <t>15270767940</t>
  </si>
  <si>
    <t>55387881</t>
  </si>
  <si>
    <t>15270767944</t>
  </si>
  <si>
    <t>15270767952</t>
  </si>
  <si>
    <t>15270767960</t>
  </si>
  <si>
    <t>15270768099</t>
  </si>
  <si>
    <t>55387013</t>
  </si>
  <si>
    <t>15270768130</t>
  </si>
  <si>
    <t>55387844</t>
  </si>
  <si>
    <t>15270768141</t>
  </si>
  <si>
    <t>15270768172</t>
  </si>
  <si>
    <t>15270768223</t>
  </si>
  <si>
    <t>55387012</t>
  </si>
  <si>
    <t>15270768276</t>
  </si>
  <si>
    <t>55386935</t>
  </si>
  <si>
    <t>15270768284</t>
  </si>
  <si>
    <t>55386986</t>
  </si>
  <si>
    <t>15270768288</t>
  </si>
  <si>
    <t>60833602</t>
  </si>
  <si>
    <t>15270768341</t>
  </si>
  <si>
    <t>55386905</t>
  </si>
  <si>
    <t>15270768364</t>
  </si>
  <si>
    <t>60833802</t>
  </si>
  <si>
    <t>15270768548</t>
  </si>
  <si>
    <t>15270768551</t>
  </si>
  <si>
    <t>60833726</t>
  </si>
  <si>
    <t>15270768608</t>
  </si>
  <si>
    <t>15270768630</t>
  </si>
  <si>
    <t>15270768633</t>
  </si>
  <si>
    <t>60833771</t>
  </si>
  <si>
    <t>15270768670</t>
  </si>
  <si>
    <t>55386924</t>
  </si>
  <si>
    <t>15270768722</t>
  </si>
  <si>
    <t>55389032</t>
  </si>
  <si>
    <t>15270768723</t>
  </si>
  <si>
    <t>55389030</t>
  </si>
  <si>
    <t>15270768773</t>
  </si>
  <si>
    <t>15270768831</t>
  </si>
  <si>
    <t>55390041</t>
  </si>
  <si>
    <t>15270768834</t>
  </si>
  <si>
    <t>55388850</t>
  </si>
  <si>
    <t>15270768902</t>
  </si>
  <si>
    <t>55388740</t>
  </si>
  <si>
    <t>15270768984</t>
  </si>
  <si>
    <t>60833706</t>
  </si>
  <si>
    <t>15270769010</t>
  </si>
  <si>
    <t>55387896</t>
  </si>
  <si>
    <t>15270769029</t>
  </si>
  <si>
    <t>55387890</t>
  </si>
  <si>
    <t>15270769043</t>
  </si>
  <si>
    <t>55387894</t>
  </si>
  <si>
    <t>15270769044</t>
  </si>
  <si>
    <t>55387883</t>
  </si>
  <si>
    <t>15270769045</t>
  </si>
  <si>
    <t>55387877</t>
  </si>
  <si>
    <t>15270769046</t>
  </si>
  <si>
    <t>60833659</t>
  </si>
  <si>
    <t>15270769146</t>
  </si>
  <si>
    <t>55387891</t>
  </si>
  <si>
    <t>15270769147</t>
  </si>
  <si>
    <t>55387889</t>
  </si>
  <si>
    <t>15270769166</t>
  </si>
  <si>
    <t>15270769174</t>
  </si>
  <si>
    <t>15270769197</t>
  </si>
  <si>
    <t>55386901</t>
  </si>
  <si>
    <t>15270769210</t>
  </si>
  <si>
    <t>55386740</t>
  </si>
  <si>
    <t>15270769216</t>
  </si>
  <si>
    <t>55402162</t>
  </si>
  <si>
    <t>15270769240</t>
  </si>
  <si>
    <t>55386873</t>
  </si>
  <si>
    <t>15270769383</t>
  </si>
  <si>
    <t>55403629</t>
  </si>
  <si>
    <t>15270769406</t>
  </si>
  <si>
    <t>15270769431</t>
  </si>
  <si>
    <t>55388836</t>
  </si>
  <si>
    <t>15270769441</t>
  </si>
  <si>
    <t>15270769471</t>
  </si>
  <si>
    <t>55386845</t>
  </si>
  <si>
    <t>15270769508</t>
  </si>
  <si>
    <t>15270769509</t>
  </si>
  <si>
    <t>55388838</t>
  </si>
  <si>
    <t>15270769516</t>
  </si>
  <si>
    <t>55386446</t>
  </si>
  <si>
    <t>15270769523</t>
  </si>
  <si>
    <t>55386299</t>
  </si>
  <si>
    <t>15270769530</t>
  </si>
  <si>
    <t>55389021</t>
  </si>
  <si>
    <t>15270769627</t>
  </si>
  <si>
    <t>55386352</t>
  </si>
  <si>
    <t>15270769785</t>
  </si>
  <si>
    <t>55386176</t>
  </si>
  <si>
    <t>15270769848</t>
  </si>
  <si>
    <t>55386172</t>
  </si>
  <si>
    <t>15270769849</t>
  </si>
  <si>
    <t>15270769870</t>
  </si>
  <si>
    <t>55386174</t>
  </si>
  <si>
    <t>15270769968</t>
  </si>
  <si>
    <t>15270770026</t>
  </si>
  <si>
    <t>15270770064</t>
  </si>
  <si>
    <t>55388405</t>
  </si>
  <si>
    <t>15270770171</t>
  </si>
  <si>
    <t>55386792</t>
  </si>
  <si>
    <t>15270770235</t>
  </si>
  <si>
    <t>55403236</t>
  </si>
  <si>
    <t>15270770242</t>
  </si>
  <si>
    <t>55403222</t>
  </si>
  <si>
    <t>15270770271</t>
  </si>
  <si>
    <t>55403207</t>
  </si>
  <si>
    <t>15270770648</t>
  </si>
  <si>
    <t>55412463</t>
  </si>
  <si>
    <t>15270770670</t>
  </si>
  <si>
    <t>55403406</t>
  </si>
  <si>
    <t>15270770950</t>
  </si>
  <si>
    <t>55402203</t>
  </si>
  <si>
    <t>15270770954</t>
  </si>
  <si>
    <t>55402924</t>
  </si>
  <si>
    <t>15270771456</t>
  </si>
  <si>
    <t>55387536</t>
  </si>
  <si>
    <t>15270771540</t>
  </si>
  <si>
    <t>60833658</t>
  </si>
  <si>
    <t>15270771660</t>
  </si>
  <si>
    <t>60833855</t>
  </si>
  <si>
    <t>15270771708</t>
  </si>
  <si>
    <t>60833813</t>
  </si>
  <si>
    <t>15270772045</t>
  </si>
  <si>
    <t>55388739</t>
  </si>
  <si>
    <t>15270772163</t>
  </si>
  <si>
    <t>55386821</t>
  </si>
  <si>
    <t>15270772406</t>
  </si>
  <si>
    <t>55390035</t>
  </si>
  <si>
    <t>15270772552</t>
  </si>
  <si>
    <t>55386383</t>
  </si>
  <si>
    <t>15270772556</t>
  </si>
  <si>
    <t>60833730</t>
  </si>
  <si>
    <t>15270772560</t>
  </si>
  <si>
    <t>55395799</t>
  </si>
  <si>
    <t>15270772689</t>
  </si>
  <si>
    <t>55402185</t>
  </si>
  <si>
    <t>55395289</t>
  </si>
  <si>
    <t>15270772823</t>
  </si>
  <si>
    <t>55388741</t>
  </si>
  <si>
    <t>15270772853</t>
  </si>
  <si>
    <t>55388406</t>
  </si>
  <si>
    <t>15270772932</t>
  </si>
  <si>
    <t>15270773003</t>
  </si>
  <si>
    <t>15270773004</t>
  </si>
  <si>
    <t>15270773039</t>
  </si>
  <si>
    <t>60833728</t>
  </si>
  <si>
    <t>15270773082</t>
  </si>
  <si>
    <t>55405229</t>
  </si>
  <si>
    <t>15270773126</t>
  </si>
  <si>
    <t>55387940</t>
  </si>
  <si>
    <t>61734631</t>
  </si>
  <si>
    <t>15270773202</t>
  </si>
  <si>
    <t>55387929</t>
  </si>
  <si>
    <t>15270773252</t>
  </si>
  <si>
    <t>55387924</t>
  </si>
  <si>
    <t>15270773319</t>
  </si>
  <si>
    <t>60833700</t>
  </si>
  <si>
    <t>15270773388</t>
  </si>
  <si>
    <t>60833577</t>
  </si>
  <si>
    <t>15270773433</t>
  </si>
  <si>
    <t>55387817</t>
  </si>
  <si>
    <t>15270773459</t>
  </si>
  <si>
    <t>55388332</t>
  </si>
  <si>
    <t>15270773460</t>
  </si>
  <si>
    <t>55403251</t>
  </si>
  <si>
    <t>15270773477</t>
  </si>
  <si>
    <t>60833698</t>
  </si>
  <si>
    <t>15270773481</t>
  </si>
  <si>
    <t>55388330</t>
  </si>
  <si>
    <t>15270773550</t>
  </si>
  <si>
    <t>60833570</t>
  </si>
  <si>
    <t>15270773642</t>
  </si>
  <si>
    <t>15270773895</t>
  </si>
  <si>
    <t>55397089</t>
  </si>
  <si>
    <t>15270773901</t>
  </si>
  <si>
    <t>55395828</t>
  </si>
  <si>
    <t>15270773972</t>
  </si>
  <si>
    <t>55396925</t>
  </si>
  <si>
    <t>15270774111</t>
  </si>
  <si>
    <t>55386919</t>
  </si>
  <si>
    <t>15270774202</t>
  </si>
  <si>
    <t>55386882</t>
  </si>
  <si>
    <t>15270774213</t>
  </si>
  <si>
    <t>60833848</t>
  </si>
  <si>
    <t>15270774273</t>
  </si>
  <si>
    <t>15270774351</t>
  </si>
  <si>
    <t>15270774365</t>
  </si>
  <si>
    <t>60833731</t>
  </si>
  <si>
    <t>15270774405</t>
  </si>
  <si>
    <t>55386884</t>
  </si>
  <si>
    <t>15270774491</t>
  </si>
  <si>
    <t>55386836</t>
  </si>
  <si>
    <t>15270774520</t>
  </si>
  <si>
    <t>55386831</t>
  </si>
  <si>
    <t>15270774548</t>
  </si>
  <si>
    <t>55395830</t>
  </si>
  <si>
    <t>15270774576</t>
  </si>
  <si>
    <t>55396915</t>
  </si>
  <si>
    <t>15270774605</t>
  </si>
  <si>
    <t>55396844</t>
  </si>
  <si>
    <t>15270774675</t>
  </si>
  <si>
    <t>55395797</t>
  </si>
  <si>
    <t>15270774729</t>
  </si>
  <si>
    <t>55402175</t>
  </si>
  <si>
    <t>15270774752</t>
  </si>
  <si>
    <t>55402204</t>
  </si>
  <si>
    <t>15270774885</t>
  </si>
  <si>
    <t>55386447</t>
  </si>
  <si>
    <t>15270774888</t>
  </si>
  <si>
    <t>55402206</t>
  </si>
  <si>
    <t>15270774928</t>
  </si>
  <si>
    <t>55402783</t>
  </si>
  <si>
    <t>15270774957</t>
  </si>
  <si>
    <t>55402702</t>
  </si>
  <si>
    <t>15270775008</t>
  </si>
  <si>
    <t>55402717</t>
  </si>
  <si>
    <t>15270775082</t>
  </si>
  <si>
    <t>55402726</t>
  </si>
  <si>
    <t>15270775104</t>
  </si>
  <si>
    <t>55386397</t>
  </si>
  <si>
    <t>15270775232</t>
  </si>
  <si>
    <t>55386793</t>
  </si>
  <si>
    <t>15270775410</t>
  </si>
  <si>
    <t>55402981</t>
  </si>
  <si>
    <t>15270775441</t>
  </si>
  <si>
    <t>55403409</t>
  </si>
  <si>
    <t>15270775544</t>
  </si>
  <si>
    <t>55386211</t>
  </si>
  <si>
    <t>15270775650</t>
  </si>
  <si>
    <t>55387917</t>
  </si>
  <si>
    <t>15270775858</t>
  </si>
  <si>
    <t>55386930</t>
  </si>
  <si>
    <t>15270775862</t>
  </si>
  <si>
    <t>55402921</t>
  </si>
  <si>
    <t>15270775867</t>
  </si>
  <si>
    <t>61725197</t>
  </si>
  <si>
    <t>15270775952</t>
  </si>
  <si>
    <t>15270775991</t>
  </si>
  <si>
    <t>55403245</t>
  </si>
  <si>
    <t>15270776016</t>
  </si>
  <si>
    <t>55403408</t>
  </si>
  <si>
    <t>15270776088</t>
  </si>
  <si>
    <t>55403405</t>
  </si>
  <si>
    <t>15270776214</t>
  </si>
  <si>
    <t>55403254</t>
  </si>
  <si>
    <t>15270776223</t>
  </si>
  <si>
    <t>55402997</t>
  </si>
  <si>
    <t>15270776225</t>
  </si>
  <si>
    <t>55403419</t>
  </si>
  <si>
    <t>15270776226</t>
  </si>
  <si>
    <t>55402977</t>
  </si>
  <si>
    <t>15270776229</t>
  </si>
  <si>
    <t>55402967</t>
  </si>
  <si>
    <t>15270776240</t>
  </si>
  <si>
    <t>55403622</t>
  </si>
  <si>
    <t>15270776296</t>
  </si>
  <si>
    <t>15270776386</t>
  </si>
  <si>
    <t>55403421</t>
  </si>
  <si>
    <t>15270776430</t>
  </si>
  <si>
    <t>15270776451</t>
  </si>
  <si>
    <t>55403249</t>
  </si>
  <si>
    <t>15270776492</t>
  </si>
  <si>
    <t>55403852</t>
  </si>
  <si>
    <t>15270776495</t>
  </si>
  <si>
    <t>15270776542</t>
  </si>
  <si>
    <t>55403651</t>
  </si>
  <si>
    <t>15270776593</t>
  </si>
  <si>
    <t>15270776627</t>
  </si>
  <si>
    <t>55403652</t>
  </si>
  <si>
    <t>15270776657</t>
  </si>
  <si>
    <t>55403732</t>
  </si>
  <si>
    <t>15270776761</t>
  </si>
  <si>
    <t>55403743</t>
  </si>
  <si>
    <t>15270776770</t>
  </si>
  <si>
    <t>55386189</t>
  </si>
  <si>
    <t>15270776772</t>
  </si>
  <si>
    <t>55403626</t>
  </si>
  <si>
    <t>15270776797</t>
  </si>
  <si>
    <t>55386187</t>
  </si>
  <si>
    <t>15270776830</t>
  </si>
  <si>
    <t>55403750</t>
  </si>
  <si>
    <t>15270776843</t>
  </si>
  <si>
    <t>55386109</t>
  </si>
  <si>
    <t>15270776851</t>
  </si>
  <si>
    <t>55386182</t>
  </si>
  <si>
    <t>15270776874</t>
  </si>
  <si>
    <t>55386056</t>
  </si>
  <si>
    <t>15270776897</t>
  </si>
  <si>
    <t>55403850</t>
  </si>
  <si>
    <t>15270776910</t>
  </si>
  <si>
    <t>55403424</t>
  </si>
  <si>
    <t>15270776993</t>
  </si>
  <si>
    <t>55403654</t>
  </si>
  <si>
    <t>15270777000</t>
  </si>
  <si>
    <t>55386362</t>
  </si>
  <si>
    <t>15270777004</t>
  </si>
  <si>
    <t>55386361</t>
  </si>
  <si>
    <t>15270777035</t>
  </si>
  <si>
    <t>55403726</t>
  </si>
  <si>
    <t>15270777087</t>
  </si>
  <si>
    <t>55386108</t>
  </si>
  <si>
    <t>15270777110</t>
  </si>
  <si>
    <t>55403841</t>
  </si>
  <si>
    <t>15270777215</t>
  </si>
  <si>
    <t>15270777236</t>
  </si>
  <si>
    <t>15270777237</t>
  </si>
  <si>
    <t>15270777285</t>
  </si>
  <si>
    <t>55403862</t>
  </si>
  <si>
    <t>15270777306</t>
  </si>
  <si>
    <t>15270777434</t>
  </si>
  <si>
    <t>55403627</t>
  </si>
  <si>
    <t>15270777460</t>
  </si>
  <si>
    <t>55386983</t>
  </si>
  <si>
    <t>15270777541</t>
  </si>
  <si>
    <t>15270777561</t>
  </si>
  <si>
    <t>55403744</t>
  </si>
  <si>
    <t>15270777796</t>
  </si>
  <si>
    <t>15270777809</t>
  </si>
  <si>
    <t>55403734</t>
  </si>
  <si>
    <t>15270777832</t>
  </si>
  <si>
    <t>55406773</t>
  </si>
  <si>
    <t>15270777863</t>
  </si>
  <si>
    <t>55406308</t>
  </si>
  <si>
    <t>15270777900</t>
  </si>
  <si>
    <t>55406287</t>
  </si>
  <si>
    <t>15270777918</t>
  </si>
  <si>
    <t>61723258</t>
  </si>
  <si>
    <t>15270777927</t>
  </si>
  <si>
    <t>55406554</t>
  </si>
  <si>
    <t>15270777954</t>
  </si>
  <si>
    <t>55406299</t>
  </si>
  <si>
    <t>15270778007</t>
  </si>
  <si>
    <t>55406301</t>
  </si>
  <si>
    <t>15270778087</t>
  </si>
  <si>
    <t>55406788</t>
  </si>
  <si>
    <t>15270778125</t>
  </si>
  <si>
    <t>55406769</t>
  </si>
  <si>
    <t>15270778140</t>
  </si>
  <si>
    <t>55386892</t>
  </si>
  <si>
    <t>15270778183</t>
  </si>
  <si>
    <t>55406555</t>
  </si>
  <si>
    <t>15270778236</t>
  </si>
  <si>
    <t>55386396</t>
  </si>
  <si>
    <t>15270778270</t>
  </si>
  <si>
    <t>15270778291</t>
  </si>
  <si>
    <t>55406304</t>
  </si>
  <si>
    <t>15270778295</t>
  </si>
  <si>
    <t>55406789</t>
  </si>
  <si>
    <t>15270778507</t>
  </si>
  <si>
    <t>15270778627</t>
  </si>
  <si>
    <t>55386509</t>
  </si>
  <si>
    <t>15270778925</t>
  </si>
  <si>
    <t>15270778926</t>
  </si>
  <si>
    <t>15270778933</t>
  </si>
  <si>
    <t>15270778965</t>
  </si>
  <si>
    <t>15270779078</t>
  </si>
  <si>
    <t>15270779180</t>
  </si>
  <si>
    <t>15270779185</t>
  </si>
  <si>
    <t>15270779231</t>
  </si>
  <si>
    <t>15270779368</t>
  </si>
  <si>
    <t>15270779393</t>
  </si>
  <si>
    <t>15270779938</t>
  </si>
  <si>
    <t>60833959</t>
  </si>
  <si>
    <t>15270779940</t>
  </si>
  <si>
    <t>55394933</t>
  </si>
  <si>
    <t>15270780016</t>
  </si>
  <si>
    <t>60833929</t>
  </si>
  <si>
    <t>15270780105</t>
  </si>
  <si>
    <t>55394957</t>
  </si>
  <si>
    <t>15270780107</t>
  </si>
  <si>
    <t>55394900</t>
  </si>
  <si>
    <t>15270780181</t>
  </si>
  <si>
    <t>15270780201</t>
  </si>
  <si>
    <t>60833985</t>
  </si>
  <si>
    <t>15270780284</t>
  </si>
  <si>
    <t>55394860</t>
  </si>
  <si>
    <t>15270780383</t>
  </si>
  <si>
    <t>55394859</t>
  </si>
  <si>
    <t>15270780435</t>
  </si>
  <si>
    <t>55394975</t>
  </si>
  <si>
    <t>15270780522</t>
  </si>
  <si>
    <t>60833963</t>
  </si>
  <si>
    <t>15270780567</t>
  </si>
  <si>
    <t>55394901</t>
  </si>
  <si>
    <t>15270780595</t>
  </si>
  <si>
    <t>55395324</t>
  </si>
  <si>
    <t>15270780649</t>
  </si>
  <si>
    <t>55394979</t>
  </si>
  <si>
    <t>15270780669</t>
  </si>
  <si>
    <t>55394919</t>
  </si>
  <si>
    <t>15270780670</t>
  </si>
  <si>
    <t>15270780675</t>
  </si>
  <si>
    <t>55394902</t>
  </si>
  <si>
    <t>15270780769</t>
  </si>
  <si>
    <t>55394960</t>
  </si>
  <si>
    <t>15270780835</t>
  </si>
  <si>
    <t>55394932</t>
  </si>
  <si>
    <t>15270780857</t>
  </si>
  <si>
    <t>15270781064</t>
  </si>
  <si>
    <t>15270781334</t>
  </si>
  <si>
    <t>15270781396</t>
  </si>
  <si>
    <t>55398739</t>
  </si>
  <si>
    <t>15270781498</t>
  </si>
  <si>
    <t>55398488</t>
  </si>
  <si>
    <t>15270781607</t>
  </si>
  <si>
    <t>55398430</t>
  </si>
  <si>
    <t>15270781621</t>
  </si>
  <si>
    <t>55398482</t>
  </si>
  <si>
    <t>15270781750</t>
  </si>
  <si>
    <t>55398481</t>
  </si>
  <si>
    <t>15270781900</t>
  </si>
  <si>
    <t>55402598</t>
  </si>
  <si>
    <t>15270781923</t>
  </si>
  <si>
    <t>60833960</t>
  </si>
  <si>
    <t>15270782025</t>
  </si>
  <si>
    <t>60833967</t>
  </si>
  <si>
    <t>15270782040</t>
  </si>
  <si>
    <t>55399970</t>
  </si>
  <si>
    <t>15270782054</t>
  </si>
  <si>
    <t>55399971</t>
  </si>
  <si>
    <t>15270782226</t>
  </si>
  <si>
    <t>55406303</t>
  </si>
  <si>
    <t>15270782412</t>
  </si>
  <si>
    <t>55399930</t>
  </si>
  <si>
    <t>15270782496</t>
  </si>
  <si>
    <t>55406794</t>
  </si>
  <si>
    <t>15270782521</t>
  </si>
  <si>
    <t>60833934</t>
  </si>
  <si>
    <t>15270782857</t>
  </si>
  <si>
    <t>60833948</t>
  </si>
  <si>
    <t>15270782895</t>
  </si>
  <si>
    <t>60833962</t>
  </si>
  <si>
    <t>15270783028</t>
  </si>
  <si>
    <t>15270783062</t>
  </si>
  <si>
    <t>15270783063</t>
  </si>
  <si>
    <t>15270783264</t>
  </si>
  <si>
    <t>55402148</t>
  </si>
  <si>
    <t>15270783579</t>
  </si>
  <si>
    <t>55396853</t>
  </si>
  <si>
    <t>15270783652</t>
  </si>
  <si>
    <t>55396842</t>
  </si>
  <si>
    <t>15270783750</t>
  </si>
  <si>
    <t>55402796</t>
  </si>
  <si>
    <t>55396839</t>
  </si>
  <si>
    <t>15270784533</t>
  </si>
  <si>
    <t>15270784795</t>
  </si>
  <si>
    <t>15270785179</t>
  </si>
  <si>
    <t>15270785180</t>
  </si>
  <si>
    <t>55396916</t>
  </si>
  <si>
    <t>15270785447</t>
  </si>
  <si>
    <t>55397088</t>
  </si>
  <si>
    <t>15270785523</t>
  </si>
  <si>
    <t>15270785644</t>
  </si>
  <si>
    <t>15270785771</t>
  </si>
  <si>
    <t>55388949</t>
  </si>
  <si>
    <t>15270785867</t>
  </si>
  <si>
    <t>55397084</t>
  </si>
  <si>
    <t>15270786143</t>
  </si>
  <si>
    <t>15270786164</t>
  </si>
  <si>
    <t>55397055</t>
  </si>
  <si>
    <t>15270786165</t>
  </si>
  <si>
    <t>55397092</t>
  </si>
  <si>
    <t>15270786378</t>
  </si>
  <si>
    <t>55397083</t>
  </si>
  <si>
    <t>15270786565</t>
  </si>
  <si>
    <t>55389005</t>
  </si>
  <si>
    <t>15270786874</t>
  </si>
  <si>
    <t>15270786893</t>
  </si>
  <si>
    <t>55388918</t>
  </si>
  <si>
    <t>15270786985</t>
  </si>
  <si>
    <t>55388812</t>
  </si>
  <si>
    <t>15270787379</t>
  </si>
  <si>
    <t>55398426</t>
  </si>
  <si>
    <t>15270787430</t>
  </si>
  <si>
    <t>55398484</t>
  </si>
  <si>
    <t>15270787486</t>
  </si>
  <si>
    <t>55398483</t>
  </si>
  <si>
    <t>15270787592</t>
  </si>
  <si>
    <t>15270788149</t>
  </si>
  <si>
    <t>55406306</t>
  </si>
  <si>
    <t>15270788194</t>
  </si>
  <si>
    <t>55406310</t>
  </si>
  <si>
    <t>15270788204</t>
  </si>
  <si>
    <t>15270788217</t>
  </si>
  <si>
    <t>15270789305</t>
  </si>
  <si>
    <t>15270789362</t>
  </si>
  <si>
    <t>15270789372</t>
  </si>
  <si>
    <t>55396918</t>
  </si>
  <si>
    <t>15270789427</t>
  </si>
  <si>
    <t>55396920</t>
  </si>
  <si>
    <t>15270789444</t>
  </si>
  <si>
    <t>55396914</t>
  </si>
  <si>
    <t>15270789452</t>
  </si>
  <si>
    <t>55397060</t>
  </si>
  <si>
    <t>15270789829</t>
  </si>
  <si>
    <t>55396921</t>
  </si>
  <si>
    <t>15270789955</t>
  </si>
  <si>
    <t>55406558</t>
  </si>
  <si>
    <t>15270790209</t>
  </si>
  <si>
    <t>15270790886</t>
  </si>
  <si>
    <t>55406255</t>
  </si>
  <si>
    <t>15270791003</t>
  </si>
  <si>
    <t>61703995</t>
  </si>
  <si>
    <t>15270791012</t>
  </si>
  <si>
    <t>55397046</t>
  </si>
  <si>
    <t>15270791090</t>
  </si>
  <si>
    <t>55406258</t>
  </si>
  <si>
    <t>15270791378</t>
  </si>
  <si>
    <t>60833644</t>
  </si>
  <si>
    <t>15270792264</t>
  </si>
  <si>
    <t>15270792491</t>
  </si>
  <si>
    <t>15270792724</t>
  </si>
  <si>
    <t>15270792787</t>
  </si>
  <si>
    <t>15270792884</t>
  </si>
  <si>
    <t>15270792953</t>
  </si>
  <si>
    <t>15270792958</t>
  </si>
  <si>
    <t>15270793125</t>
  </si>
  <si>
    <t>15270793482</t>
  </si>
  <si>
    <t>15270793728</t>
  </si>
  <si>
    <t>15270793984</t>
  </si>
  <si>
    <t>15270794002</t>
  </si>
  <si>
    <t>15270794104</t>
  </si>
  <si>
    <t>15270794140</t>
  </si>
  <si>
    <t>15270794148</t>
  </si>
  <si>
    <t>15270794353</t>
  </si>
  <si>
    <t>15270794474</t>
  </si>
  <si>
    <t>15270794660</t>
  </si>
  <si>
    <t>15270794775</t>
  </si>
  <si>
    <t>15270794852</t>
  </si>
  <si>
    <t>15270794910</t>
  </si>
  <si>
    <t>15270795329</t>
  </si>
  <si>
    <t>15270795472</t>
  </si>
  <si>
    <t>15270795620</t>
  </si>
  <si>
    <t>15270795729</t>
  </si>
  <si>
    <t>15270795745</t>
  </si>
  <si>
    <t>15270795747</t>
  </si>
  <si>
    <t>15270795755</t>
  </si>
  <si>
    <t>15270795829</t>
  </si>
  <si>
    <t>61734808</t>
  </si>
  <si>
    <t>15270796019</t>
  </si>
  <si>
    <t>15270796172</t>
  </si>
  <si>
    <t>15270796240</t>
  </si>
  <si>
    <t>15270796241</t>
  </si>
  <si>
    <t>15270796242</t>
  </si>
  <si>
    <t>15270796574</t>
  </si>
  <si>
    <t>15270796810</t>
  </si>
  <si>
    <t>15270797236</t>
  </si>
  <si>
    <t>15270797249</t>
  </si>
  <si>
    <t>15270797528</t>
  </si>
  <si>
    <t>15270797623</t>
  </si>
  <si>
    <t>15270797655</t>
  </si>
  <si>
    <t>15270797812</t>
  </si>
  <si>
    <t>15270797890</t>
  </si>
  <si>
    <t>15270797929</t>
  </si>
  <si>
    <t>15270797997</t>
  </si>
  <si>
    <t>15270798022</t>
  </si>
  <si>
    <t>15270798139</t>
  </si>
  <si>
    <t>15270798249</t>
  </si>
  <si>
    <t>15270798436</t>
  </si>
  <si>
    <t>15270798880</t>
  </si>
  <si>
    <t>15270798908</t>
  </si>
  <si>
    <t>15270799129</t>
  </si>
  <si>
    <t>61717199</t>
  </si>
  <si>
    <t>15270799341</t>
  </si>
  <si>
    <t>15270799414</t>
  </si>
  <si>
    <t>15270799415</t>
  </si>
  <si>
    <t>15270799656</t>
  </si>
  <si>
    <t>61696637</t>
  </si>
  <si>
    <t>15270799695</t>
  </si>
  <si>
    <t>61685167</t>
  </si>
  <si>
    <t>15270799828</t>
  </si>
  <si>
    <t>15270799904</t>
  </si>
  <si>
    <t>15270800008</t>
  </si>
  <si>
    <t>15270800065</t>
  </si>
  <si>
    <t>15270800142</t>
  </si>
  <si>
    <t>15270800343</t>
  </si>
  <si>
    <t>15270800384</t>
  </si>
  <si>
    <t>15270800618</t>
  </si>
  <si>
    <t>15270800887</t>
  </si>
  <si>
    <t>15270800975</t>
  </si>
  <si>
    <t>15270801216</t>
  </si>
  <si>
    <t>15270801826</t>
  </si>
  <si>
    <t>15270801875</t>
  </si>
  <si>
    <t>15270801902</t>
  </si>
  <si>
    <t>15270802413</t>
  </si>
  <si>
    <t>15270802444</t>
  </si>
  <si>
    <t>15270802776</t>
  </si>
  <si>
    <t>15270803126</t>
  </si>
  <si>
    <t>15270803211</t>
  </si>
  <si>
    <t>15270803224</t>
  </si>
  <si>
    <t>15270803774</t>
  </si>
  <si>
    <t>15270806406</t>
  </si>
  <si>
    <t>15270806952</t>
  </si>
  <si>
    <t>15270807028</t>
  </si>
  <si>
    <t>15270807814</t>
  </si>
  <si>
    <t>15270808434</t>
  </si>
  <si>
    <t>15270810955</t>
  </si>
  <si>
    <t>15270810972</t>
  </si>
  <si>
    <t>61705467</t>
  </si>
  <si>
    <t>15270813139</t>
  </si>
  <si>
    <t>15270814038</t>
  </si>
  <si>
    <t>15270814255</t>
  </si>
  <si>
    <t>15270814485</t>
  </si>
  <si>
    <t>15270816243</t>
  </si>
  <si>
    <t>15270816903</t>
  </si>
  <si>
    <t>15270817116</t>
  </si>
  <si>
    <t>15270817159</t>
  </si>
  <si>
    <t>15270818180</t>
  </si>
  <si>
    <t>15270825955</t>
  </si>
  <si>
    <t>61679612</t>
  </si>
  <si>
    <t>15270826310</t>
  </si>
  <si>
    <t>15270826379</t>
  </si>
  <si>
    <t>15270826790</t>
  </si>
  <si>
    <t>15270827302</t>
  </si>
  <si>
    <t>15270828642</t>
  </si>
  <si>
    <t>15270836095</t>
  </si>
  <si>
    <t>15270837261</t>
  </si>
  <si>
    <t>55402996</t>
  </si>
  <si>
    <t>15270837358</t>
  </si>
  <si>
    <t>55402994</t>
  </si>
  <si>
    <t>15270841105</t>
  </si>
  <si>
    <t>55402715</t>
  </si>
  <si>
    <t>15270843685</t>
  </si>
  <si>
    <t>55402798</t>
  </si>
  <si>
    <t>15270844111</t>
  </si>
  <si>
    <t>55400228</t>
  </si>
  <si>
    <t>15270844112</t>
  </si>
  <si>
    <t>55402800</t>
  </si>
  <si>
    <t>15270844990</t>
  </si>
  <si>
    <t>15270845516</t>
  </si>
  <si>
    <t>55402035</t>
  </si>
  <si>
    <t>15270849461</t>
  </si>
  <si>
    <t>55403152</t>
  </si>
  <si>
    <t>15270849753</t>
  </si>
  <si>
    <t>55403407</t>
  </si>
  <si>
    <t>15270850686</t>
  </si>
  <si>
    <t>55402829</t>
  </si>
  <si>
    <t>15270851382</t>
  </si>
  <si>
    <t>55402818</t>
  </si>
  <si>
    <t>15270852274</t>
  </si>
  <si>
    <t>55403849</t>
  </si>
  <si>
    <t>15270854257</t>
  </si>
  <si>
    <t>15270855073</t>
  </si>
  <si>
    <t>55403400</t>
  </si>
  <si>
    <t>15270855930</t>
  </si>
  <si>
    <t>15270856045</t>
  </si>
  <si>
    <t>15270857217</t>
  </si>
  <si>
    <t>55403255</t>
  </si>
  <si>
    <t>15270857220</t>
  </si>
  <si>
    <t>55403197</t>
  </si>
  <si>
    <t>15270859057</t>
  </si>
  <si>
    <t>55405697</t>
  </si>
  <si>
    <t>15270860497</t>
  </si>
  <si>
    <t>55404974</t>
  </si>
  <si>
    <t>15270860902</t>
  </si>
  <si>
    <t>55405223</t>
  </si>
  <si>
    <t>15270861538</t>
  </si>
  <si>
    <t>62478876</t>
  </si>
  <si>
    <t>15270862234</t>
  </si>
  <si>
    <t>55403423</t>
  </si>
  <si>
    <t>15270862573</t>
  </si>
  <si>
    <t>15270862680</t>
  </si>
  <si>
    <t>15270862810</t>
  </si>
  <si>
    <t>55406252</t>
  </si>
  <si>
    <t>15270863386</t>
  </si>
  <si>
    <t>61736392</t>
  </si>
  <si>
    <t>15270863995</t>
  </si>
  <si>
    <t>15270864473</t>
  </si>
  <si>
    <t>55407891</t>
  </si>
  <si>
    <t>15270864474</t>
  </si>
  <si>
    <t>55407889</t>
  </si>
  <si>
    <t>15270866820</t>
  </si>
  <si>
    <t>55407973</t>
  </si>
  <si>
    <t>15270868686</t>
  </si>
  <si>
    <t>55407979</t>
  </si>
  <si>
    <t>15270870343</t>
  </si>
  <si>
    <t>55411745</t>
  </si>
  <si>
    <t>15270870674</t>
  </si>
  <si>
    <t>55406288</t>
  </si>
  <si>
    <t>15270871089</t>
  </si>
  <si>
    <t>55406286</t>
  </si>
  <si>
    <t>15270871386</t>
  </si>
  <si>
    <t>15270871733</t>
  </si>
  <si>
    <t>55421698</t>
  </si>
  <si>
    <t>15270872030</t>
  </si>
  <si>
    <t>55412401</t>
  </si>
  <si>
    <t>15270872120</t>
  </si>
  <si>
    <t>55424914</t>
  </si>
  <si>
    <t>15270872320</t>
  </si>
  <si>
    <t>55411748</t>
  </si>
  <si>
    <t>15270872436</t>
  </si>
  <si>
    <t>55407975</t>
  </si>
  <si>
    <t>15270872580</t>
  </si>
  <si>
    <t>61714806</t>
  </si>
  <si>
    <t>15270873069</t>
  </si>
  <si>
    <t>15270874982</t>
  </si>
  <si>
    <t>55421346</t>
  </si>
  <si>
    <t>15270875311</t>
  </si>
  <si>
    <t>55421285</t>
  </si>
  <si>
    <t>15270876742</t>
  </si>
  <si>
    <t>15270876855</t>
  </si>
  <si>
    <t>15270877011</t>
  </si>
  <si>
    <t>15270877117</t>
  </si>
  <si>
    <t>61715410</t>
  </si>
  <si>
    <t>15270877202</t>
  </si>
  <si>
    <t>15270878207</t>
  </si>
  <si>
    <t>15270878328</t>
  </si>
  <si>
    <t>15270878331</t>
  </si>
  <si>
    <t>15270878578</t>
  </si>
  <si>
    <t>61690332</t>
  </si>
  <si>
    <t>15270878937</t>
  </si>
  <si>
    <t>15270879934</t>
  </si>
  <si>
    <t>15270880487</t>
  </si>
  <si>
    <t>15270880526</t>
  </si>
  <si>
    <t>15270880596</t>
  </si>
  <si>
    <t>15270880621</t>
  </si>
  <si>
    <t>15270880692</t>
  </si>
  <si>
    <t>15270880731</t>
  </si>
  <si>
    <t>15270880925</t>
  </si>
  <si>
    <t>15270881134</t>
  </si>
  <si>
    <t>15270881439</t>
  </si>
  <si>
    <t>15270881470</t>
  </si>
  <si>
    <t>15270881823</t>
  </si>
  <si>
    <t>15270881900</t>
  </si>
  <si>
    <t>15270881952</t>
  </si>
  <si>
    <t>15270882016</t>
  </si>
  <si>
    <t>15270882071</t>
  </si>
  <si>
    <t>15270882137</t>
  </si>
  <si>
    <t>15270882195</t>
  </si>
  <si>
    <t>15270882197</t>
  </si>
  <si>
    <t>61693496</t>
  </si>
  <si>
    <t>15270882198</t>
  </si>
  <si>
    <t>15270882271</t>
  </si>
  <si>
    <t>15270882366</t>
  </si>
  <si>
    <t>61705224</t>
  </si>
  <si>
    <t>15270882379</t>
  </si>
  <si>
    <t>15270882488</t>
  </si>
  <si>
    <t>15270882508</t>
  </si>
  <si>
    <t>15270882597</t>
  </si>
  <si>
    <t>15270882853</t>
  </si>
  <si>
    <t>15270882973</t>
  </si>
  <si>
    <t>15270883217</t>
  </si>
  <si>
    <t>15270883342</t>
  </si>
  <si>
    <t>61701429</t>
  </si>
  <si>
    <t>15270883515</t>
  </si>
  <si>
    <t>15270883724</t>
  </si>
  <si>
    <t>15270883917</t>
  </si>
  <si>
    <t>61698427</t>
  </si>
  <si>
    <t>15270885267</t>
  </si>
  <si>
    <t>15270885271</t>
  </si>
  <si>
    <t>15270885490</t>
  </si>
  <si>
    <t>15270887144</t>
  </si>
  <si>
    <t>15270887287</t>
  </si>
  <si>
    <t>15270887713</t>
  </si>
  <si>
    <t>61731949</t>
  </si>
  <si>
    <t>15270887806</t>
  </si>
  <si>
    <t>15270888274</t>
  </si>
  <si>
    <t>15270888502</t>
  </si>
  <si>
    <t>15270888518</t>
  </si>
  <si>
    <t>15270888587</t>
  </si>
  <si>
    <t>15270888765</t>
  </si>
  <si>
    <t>15270888786</t>
  </si>
  <si>
    <t>15270888999</t>
  </si>
  <si>
    <t>15270889085</t>
  </si>
  <si>
    <t>15270889093</t>
  </si>
  <si>
    <t>15270889184</t>
  </si>
  <si>
    <t>15270889224</t>
  </si>
  <si>
    <t>15270890671</t>
  </si>
  <si>
    <t>15270890923</t>
  </si>
  <si>
    <t>15270891218</t>
  </si>
  <si>
    <t>15270891872</t>
  </si>
  <si>
    <t>61715715</t>
  </si>
  <si>
    <t>15270891985</t>
  </si>
  <si>
    <t>15270892813</t>
  </si>
  <si>
    <t>15270895211</t>
  </si>
  <si>
    <t>15270895390</t>
  </si>
  <si>
    <t>15270896248</t>
  </si>
  <si>
    <t>15270899368</t>
  </si>
  <si>
    <t>61724959</t>
  </si>
  <si>
    <t>15270900289</t>
  </si>
  <si>
    <t>15270912751</t>
  </si>
  <si>
    <t>15270916970</t>
  </si>
  <si>
    <t>55418276</t>
  </si>
  <si>
    <t>15270922578</t>
  </si>
  <si>
    <t>55420402</t>
  </si>
  <si>
    <t>15270926873</t>
  </si>
  <si>
    <t>55422600</t>
  </si>
  <si>
    <t>15270928098</t>
  </si>
  <si>
    <t>55421381</t>
  </si>
  <si>
    <t>15270929274</t>
  </si>
  <si>
    <t>55422620</t>
  </si>
  <si>
    <t>15270931772</t>
  </si>
  <si>
    <t>55422181</t>
  </si>
  <si>
    <t>15270934572</t>
  </si>
  <si>
    <t>55422590</t>
  </si>
  <si>
    <t>15270935338</t>
  </si>
  <si>
    <t>55421908</t>
  </si>
  <si>
    <t>15270936273</t>
  </si>
  <si>
    <t>55422927</t>
  </si>
  <si>
    <t>15270937994</t>
  </si>
  <si>
    <t>55421683</t>
  </si>
  <si>
    <t>15270939551</t>
  </si>
  <si>
    <t>55435507</t>
  </si>
  <si>
    <t>15270939779</t>
  </si>
  <si>
    <t>55435333</t>
  </si>
  <si>
    <t>15270940851</t>
  </si>
  <si>
    <t>55422609</t>
  </si>
  <si>
    <t>15270941914</t>
  </si>
  <si>
    <t>55422133</t>
  </si>
  <si>
    <t>15270942482</t>
  </si>
  <si>
    <t>15270944747</t>
  </si>
  <si>
    <t>55423568</t>
  </si>
  <si>
    <t>15270945322</t>
  </si>
  <si>
    <t>55422924</t>
  </si>
  <si>
    <t>15270946457</t>
  </si>
  <si>
    <t>55423559</t>
  </si>
  <si>
    <t>15270947415</t>
  </si>
  <si>
    <t>55423262</t>
  </si>
  <si>
    <t>15270947660</t>
  </si>
  <si>
    <t>55424932</t>
  </si>
  <si>
    <t>15270947915</t>
  </si>
  <si>
    <t>55423866</t>
  </si>
  <si>
    <t>15270948030</t>
  </si>
  <si>
    <t>55423581</t>
  </si>
  <si>
    <t>15270948841</t>
  </si>
  <si>
    <t>55423577</t>
  </si>
  <si>
    <t>15270949130</t>
  </si>
  <si>
    <t>15270949724</t>
  </si>
  <si>
    <t>15270950997</t>
  </si>
  <si>
    <t>15270951567</t>
  </si>
  <si>
    <t>15270951619</t>
  </si>
  <si>
    <t>15270951708</t>
  </si>
  <si>
    <t>15270951719</t>
  </si>
  <si>
    <t>15270951798</t>
  </si>
  <si>
    <t>15270951907</t>
  </si>
  <si>
    <t>15270952490</t>
  </si>
  <si>
    <t>15270953036</t>
  </si>
  <si>
    <t>15270953086</t>
  </si>
  <si>
    <t>15270953391</t>
  </si>
  <si>
    <t>15270954054</t>
  </si>
  <si>
    <t>15270954392</t>
  </si>
  <si>
    <t>61678709</t>
  </si>
  <si>
    <t>15270954540</t>
  </si>
  <si>
    <t>15270954696</t>
  </si>
  <si>
    <t>15270954998</t>
  </si>
  <si>
    <t>15270955117</t>
  </si>
  <si>
    <t>15270955172</t>
  </si>
  <si>
    <t>15270955235</t>
  </si>
  <si>
    <t>15270956119</t>
  </si>
  <si>
    <t>15270956157</t>
  </si>
  <si>
    <t>15270956756</t>
  </si>
  <si>
    <t>15270956872</t>
  </si>
  <si>
    <t>61732949</t>
  </si>
  <si>
    <t>15270957676</t>
  </si>
  <si>
    <t>15270957693</t>
  </si>
  <si>
    <t>15270957785</t>
  </si>
  <si>
    <t>15270959730</t>
  </si>
  <si>
    <t>15270959789</t>
  </si>
  <si>
    <t>15270960454</t>
  </si>
  <si>
    <t>15270961645</t>
  </si>
  <si>
    <t>15270962106</t>
  </si>
  <si>
    <t>15270962370</t>
  </si>
  <si>
    <t>15270962532</t>
  </si>
  <si>
    <t>15270964083</t>
  </si>
  <si>
    <t>15270964097</t>
  </si>
  <si>
    <t>15270964271</t>
  </si>
  <si>
    <t>15270964275</t>
  </si>
  <si>
    <t>61676654</t>
  </si>
  <si>
    <t>15270965820</t>
  </si>
  <si>
    <t>15270965858</t>
  </si>
  <si>
    <t>15270966007</t>
  </si>
  <si>
    <t>15270966570</t>
  </si>
  <si>
    <t>15270966606</t>
  </si>
  <si>
    <t>15270966608</t>
  </si>
  <si>
    <t>61726874</t>
  </si>
  <si>
    <t>15270966695</t>
  </si>
  <si>
    <t>15270970152</t>
  </si>
  <si>
    <t>15270970685</t>
  </si>
  <si>
    <t>15270971069</t>
  </si>
  <si>
    <t>15270971154</t>
  </si>
  <si>
    <t>15270971286</t>
  </si>
  <si>
    <t>15270971388</t>
  </si>
  <si>
    <t>15270972737</t>
  </si>
  <si>
    <t>15270974030</t>
  </si>
  <si>
    <t>15270976863</t>
  </si>
  <si>
    <t>15270987415</t>
  </si>
  <si>
    <t>15270988881</t>
  </si>
  <si>
    <t>15270998612</t>
  </si>
  <si>
    <t>15271003243</t>
  </si>
  <si>
    <t>15271003967</t>
  </si>
  <si>
    <t>15271010163</t>
  </si>
  <si>
    <t>55438583</t>
  </si>
  <si>
    <t>15271011102</t>
  </si>
  <si>
    <t>55436386</t>
  </si>
  <si>
    <t>15271012092</t>
  </si>
  <si>
    <t>58658213</t>
  </si>
  <si>
    <t>15271012265</t>
  </si>
  <si>
    <t>55435004</t>
  </si>
  <si>
    <t>15271012359</t>
  </si>
  <si>
    <t>55435001</t>
  </si>
  <si>
    <t>15271013798</t>
  </si>
  <si>
    <t>55436852</t>
  </si>
  <si>
    <t>15271014225</t>
  </si>
  <si>
    <t>55436845</t>
  </si>
  <si>
    <t>15271014836</t>
  </si>
  <si>
    <t>15271015078</t>
  </si>
  <si>
    <t>15271016157</t>
  </si>
  <si>
    <t>15271016187</t>
  </si>
  <si>
    <t>55436278</t>
  </si>
  <si>
    <t>15271016476</t>
  </si>
  <si>
    <t>55436369</t>
  </si>
  <si>
    <t>15271017750</t>
  </si>
  <si>
    <t>15271017847</t>
  </si>
  <si>
    <t>55436881</t>
  </si>
  <si>
    <t>15271017848</t>
  </si>
  <si>
    <t>55439379</t>
  </si>
  <si>
    <t>15271018591</t>
  </si>
  <si>
    <t>55436880</t>
  </si>
  <si>
    <t>15271020625</t>
  </si>
  <si>
    <t>55439035</t>
  </si>
  <si>
    <t>15271020903</t>
  </si>
  <si>
    <t>55440904</t>
  </si>
  <si>
    <t>15271021299</t>
  </si>
  <si>
    <t>55439357</t>
  </si>
  <si>
    <t>15271022739</t>
  </si>
  <si>
    <t>15271024795</t>
  </si>
  <si>
    <t>15271025431</t>
  </si>
  <si>
    <t>15271025827</t>
  </si>
  <si>
    <t>55438580</t>
  </si>
  <si>
    <t>15271025907</t>
  </si>
  <si>
    <t>55443752</t>
  </si>
  <si>
    <t>15271030416</t>
  </si>
  <si>
    <t>55439356</t>
  </si>
  <si>
    <t>15271031085</t>
  </si>
  <si>
    <t>55439344</t>
  </si>
  <si>
    <t>15271031913</t>
  </si>
  <si>
    <t>61730242</t>
  </si>
  <si>
    <t>15271033195</t>
  </si>
  <si>
    <t>55439206</t>
  </si>
  <si>
    <t>15271033375</t>
  </si>
  <si>
    <t>55439140</t>
  </si>
  <si>
    <t>15271034144</t>
  </si>
  <si>
    <t>15271035273</t>
  </si>
  <si>
    <t>55450487</t>
  </si>
  <si>
    <t>15271035441</t>
  </si>
  <si>
    <t>55450653</t>
  </si>
  <si>
    <t>15271035622</t>
  </si>
  <si>
    <t>55439362</t>
  </si>
  <si>
    <t>15271036296</t>
  </si>
  <si>
    <t>55439383</t>
  </si>
  <si>
    <t>15271036893</t>
  </si>
  <si>
    <t>55440176</t>
  </si>
  <si>
    <t>15271037139</t>
  </si>
  <si>
    <t>15271037370</t>
  </si>
  <si>
    <t>55439306</t>
  </si>
  <si>
    <t>15271037966</t>
  </si>
  <si>
    <t>61717146</t>
  </si>
  <si>
    <t>15271038251</t>
  </si>
  <si>
    <t>15271039979</t>
  </si>
  <si>
    <t>15271039982</t>
  </si>
  <si>
    <t>61699564</t>
  </si>
  <si>
    <t>15271040456</t>
  </si>
  <si>
    <t>15271040798</t>
  </si>
  <si>
    <t>15271041173</t>
  </si>
  <si>
    <t>15271041937</t>
  </si>
  <si>
    <t>15271042641</t>
  </si>
  <si>
    <t>15271043133</t>
  </si>
  <si>
    <t>15271043401</t>
  </si>
  <si>
    <t>55440168</t>
  </si>
  <si>
    <t>15271044616</t>
  </si>
  <si>
    <t>15271044713</t>
  </si>
  <si>
    <t>15271045124</t>
  </si>
  <si>
    <t>15271045285</t>
  </si>
  <si>
    <t>15271046242</t>
  </si>
  <si>
    <t>61731444</t>
  </si>
  <si>
    <t>15271046793</t>
  </si>
  <si>
    <t>15271047412</t>
  </si>
  <si>
    <t>15271047516</t>
  </si>
  <si>
    <t>15271048012</t>
  </si>
  <si>
    <t>15271048036</t>
  </si>
  <si>
    <t>15271049492</t>
  </si>
  <si>
    <t>15271049724</t>
  </si>
  <si>
    <t>15271049762</t>
  </si>
  <si>
    <t>15271049899</t>
  </si>
  <si>
    <t>15271050328</t>
  </si>
  <si>
    <t>15271050497</t>
  </si>
  <si>
    <t>15271051462</t>
  </si>
  <si>
    <t>15271051963</t>
  </si>
  <si>
    <t>15271052152</t>
  </si>
  <si>
    <t>15271052433</t>
  </si>
  <si>
    <t>15271053792</t>
  </si>
  <si>
    <t>61702551</t>
  </si>
  <si>
    <t>15271054733</t>
  </si>
  <si>
    <t>15271055315</t>
  </si>
  <si>
    <t>15271055565</t>
  </si>
  <si>
    <t>15271055634</t>
  </si>
  <si>
    <t>15271057707</t>
  </si>
  <si>
    <t>15271058794</t>
  </si>
  <si>
    <t>15271058825</t>
  </si>
  <si>
    <t>15271058985</t>
  </si>
  <si>
    <t>15271062713</t>
  </si>
  <si>
    <t>15271065267</t>
  </si>
  <si>
    <t>15271068428</t>
  </si>
  <si>
    <t>15271068675</t>
  </si>
  <si>
    <t>15271069264</t>
  </si>
  <si>
    <t>61675295</t>
  </si>
  <si>
    <t>15271070407</t>
  </si>
  <si>
    <t>15271070936</t>
  </si>
  <si>
    <t>15271071000</t>
  </si>
  <si>
    <t>15271072422</t>
  </si>
  <si>
    <t>15271082340</t>
  </si>
  <si>
    <t>15271083840</t>
  </si>
  <si>
    <t>15271084959</t>
  </si>
  <si>
    <t>15271085824</t>
  </si>
  <si>
    <t>15271087573</t>
  </si>
  <si>
    <t>55450452</t>
  </si>
  <si>
    <t>15271087807</t>
  </si>
  <si>
    <t>55450641</t>
  </si>
  <si>
    <t>15271088521</t>
  </si>
  <si>
    <t>55451443</t>
  </si>
  <si>
    <t>15271091065</t>
  </si>
  <si>
    <t>15271091099</t>
  </si>
  <si>
    <t>55450646</t>
  </si>
  <si>
    <t>15271091818</t>
  </si>
  <si>
    <t>61705016</t>
  </si>
  <si>
    <t>15271094866</t>
  </si>
  <si>
    <t>55449183</t>
  </si>
  <si>
    <t>15271097732</t>
  </si>
  <si>
    <t>55446916</t>
  </si>
  <si>
    <t>15271097783</t>
  </si>
  <si>
    <t>55446917</t>
  </si>
  <si>
    <t>15271098120</t>
  </si>
  <si>
    <t>55446805</t>
  </si>
  <si>
    <t>15271099602</t>
  </si>
  <si>
    <t>55448346</t>
  </si>
  <si>
    <t>15271100321</t>
  </si>
  <si>
    <t>55447674</t>
  </si>
  <si>
    <t>15271102669</t>
  </si>
  <si>
    <t>55450295</t>
  </si>
  <si>
    <t>15271104268</t>
  </si>
  <si>
    <t>55448581</t>
  </si>
  <si>
    <t>15271104526</t>
  </si>
  <si>
    <t>55448600</t>
  </si>
  <si>
    <t>15271104703</t>
  </si>
  <si>
    <t>55449188</t>
  </si>
  <si>
    <t>15271109590</t>
  </si>
  <si>
    <t>55448602</t>
  </si>
  <si>
    <t>15271110035</t>
  </si>
  <si>
    <t>55447679</t>
  </si>
  <si>
    <t>15271110167</t>
  </si>
  <si>
    <t>55446756</t>
  </si>
  <si>
    <t>15271110860</t>
  </si>
  <si>
    <t>55448945</t>
  </si>
  <si>
    <t>15271111537</t>
  </si>
  <si>
    <t>55449054</t>
  </si>
  <si>
    <t>15271111538</t>
  </si>
  <si>
    <t>55449060</t>
  </si>
  <si>
    <t>15271113112</t>
  </si>
  <si>
    <t>55448354</t>
  </si>
  <si>
    <t>15271114582</t>
  </si>
  <si>
    <t>55448274</t>
  </si>
  <si>
    <t>15271115306</t>
  </si>
  <si>
    <t>15271118241</t>
  </si>
  <si>
    <t>55449051</t>
  </si>
  <si>
    <t>15271118334</t>
  </si>
  <si>
    <t>55449057</t>
  </si>
  <si>
    <t>15271119028</t>
  </si>
  <si>
    <t>55451452</t>
  </si>
  <si>
    <t>15271119429</t>
  </si>
  <si>
    <t>55449475</t>
  </si>
  <si>
    <t>15271119555</t>
  </si>
  <si>
    <t>55451456</t>
  </si>
  <si>
    <t>15271120490</t>
  </si>
  <si>
    <t>55449390</t>
  </si>
  <si>
    <t>15271120557</t>
  </si>
  <si>
    <t>15271122247</t>
  </si>
  <si>
    <t>55449389</t>
  </si>
  <si>
    <t>15271122260</t>
  </si>
  <si>
    <t>55449189</t>
  </si>
  <si>
    <t>15271122472</t>
  </si>
  <si>
    <t>15271122746</t>
  </si>
  <si>
    <t>55450647</t>
  </si>
  <si>
    <t>15271123747</t>
  </si>
  <si>
    <t>55450660</t>
  </si>
  <si>
    <t>15271125054</t>
  </si>
  <si>
    <t>15271125392</t>
  </si>
  <si>
    <t>55451956</t>
  </si>
  <si>
    <t>15271125849</t>
  </si>
  <si>
    <t>55450607</t>
  </si>
  <si>
    <t>15271126537</t>
  </si>
  <si>
    <t>15271128842</t>
  </si>
  <si>
    <t>15271130725</t>
  </si>
  <si>
    <t>15271131588</t>
  </si>
  <si>
    <t>15271132990</t>
  </si>
  <si>
    <t>15271133428</t>
  </si>
  <si>
    <t>15271133832</t>
  </si>
  <si>
    <t>15271134073</t>
  </si>
  <si>
    <t>15271134203</t>
  </si>
  <si>
    <t>15271134270</t>
  </si>
  <si>
    <t>15271134601</t>
  </si>
  <si>
    <t>15271138446</t>
  </si>
  <si>
    <t>15271140468</t>
  </si>
  <si>
    <t>15271142994</t>
  </si>
  <si>
    <t>15271160105</t>
  </si>
  <si>
    <t>15271160236</t>
  </si>
  <si>
    <t>15271164678</t>
  </si>
  <si>
    <t>60833956</t>
  </si>
  <si>
    <t>15271167780</t>
  </si>
  <si>
    <t>15271168266</t>
  </si>
  <si>
    <t>60833745</t>
  </si>
  <si>
    <t>15271168938</t>
  </si>
  <si>
    <t>15271169679</t>
  </si>
  <si>
    <t>55474700</t>
  </si>
  <si>
    <t>15271169966</t>
  </si>
  <si>
    <t>60833938</t>
  </si>
  <si>
    <t>15271173466</t>
  </si>
  <si>
    <t>15271173515</t>
  </si>
  <si>
    <t>15271174940</t>
  </si>
  <si>
    <t>15271175988</t>
  </si>
  <si>
    <t>15271177023</t>
  </si>
  <si>
    <t>15271178293</t>
  </si>
  <si>
    <t>15271183911</t>
  </si>
  <si>
    <t>15271187759</t>
  </si>
  <si>
    <t>55473040</t>
  </si>
  <si>
    <t>15271190139</t>
  </si>
  <si>
    <t>55465050</t>
  </si>
  <si>
    <t>15271193794</t>
  </si>
  <si>
    <t>55462540</t>
  </si>
  <si>
    <t>15271194690</t>
  </si>
  <si>
    <t>55463352</t>
  </si>
  <si>
    <t>15271196916</t>
  </si>
  <si>
    <t>15271197610</t>
  </si>
  <si>
    <t>55463356</t>
  </si>
  <si>
    <t>15271198732</t>
  </si>
  <si>
    <t>15271199034</t>
  </si>
  <si>
    <t>15271199891</t>
  </si>
  <si>
    <t>55464640</t>
  </si>
  <si>
    <t>15271199938</t>
  </si>
  <si>
    <t>55463361</t>
  </si>
  <si>
    <t>15271200105</t>
  </si>
  <si>
    <t>55462538</t>
  </si>
  <si>
    <t>15271200283</t>
  </si>
  <si>
    <t>15271202778</t>
  </si>
  <si>
    <t>55465069</t>
  </si>
  <si>
    <t>15271203547</t>
  </si>
  <si>
    <t>55464110</t>
  </si>
  <si>
    <t>15271203728</t>
  </si>
  <si>
    <t>55463606</t>
  </si>
  <si>
    <t>15271205360</t>
  </si>
  <si>
    <t>55463580</t>
  </si>
  <si>
    <t>15271206904</t>
  </si>
  <si>
    <t>55464545</t>
  </si>
  <si>
    <t>15271206999</t>
  </si>
  <si>
    <t>55465066</t>
  </si>
  <si>
    <t>15271207022</t>
  </si>
  <si>
    <t>15271207087</t>
  </si>
  <si>
    <t>55466863</t>
  </si>
  <si>
    <t>15271207088</t>
  </si>
  <si>
    <t>55465067</t>
  </si>
  <si>
    <t>15271208350</t>
  </si>
  <si>
    <t>15271208741</t>
  </si>
  <si>
    <t>15271209370</t>
  </si>
  <si>
    <t>55465065</t>
  </si>
  <si>
    <t>15271213940</t>
  </si>
  <si>
    <t>61710285</t>
  </si>
  <si>
    <t>15271214501</t>
  </si>
  <si>
    <t>15271214637</t>
  </si>
  <si>
    <t>15271214999</t>
  </si>
  <si>
    <t>15271216231</t>
  </si>
  <si>
    <t>61732461</t>
  </si>
  <si>
    <t>15271216291</t>
  </si>
  <si>
    <t>15271217424</t>
  </si>
  <si>
    <t>15271218074</t>
  </si>
  <si>
    <t>15271218173</t>
  </si>
  <si>
    <t>15271222224</t>
  </si>
  <si>
    <t>15271222463</t>
  </si>
  <si>
    <t>15271223245</t>
  </si>
  <si>
    <t>15271223310</t>
  </si>
  <si>
    <t>15271223499</t>
  </si>
  <si>
    <t>15271223631</t>
  </si>
  <si>
    <t>15271225121</t>
  </si>
  <si>
    <t>15271225275</t>
  </si>
  <si>
    <t>61681628</t>
  </si>
  <si>
    <t>15271225749</t>
  </si>
  <si>
    <t>15271226025</t>
  </si>
  <si>
    <t>15271226264</t>
  </si>
  <si>
    <t>61702674</t>
  </si>
  <si>
    <t>15271226266</t>
  </si>
  <si>
    <t>15271228243</t>
  </si>
  <si>
    <t>15271230223</t>
  </si>
  <si>
    <t>15271231222</t>
  </si>
  <si>
    <t>61712723</t>
  </si>
  <si>
    <t>15271231770</t>
  </si>
  <si>
    <t>15271233042</t>
  </si>
  <si>
    <t>15271233373</t>
  </si>
  <si>
    <t>15271233831</t>
  </si>
  <si>
    <t>61684650</t>
  </si>
  <si>
    <t>15271234757</t>
  </si>
  <si>
    <t>61714718</t>
  </si>
  <si>
    <t>15271245958</t>
  </si>
  <si>
    <t>61699021</t>
  </si>
  <si>
    <t>15271246414</t>
  </si>
  <si>
    <t>61709420</t>
  </si>
  <si>
    <t>15271246673</t>
  </si>
  <si>
    <t>15271249269</t>
  </si>
  <si>
    <t>15271250198</t>
  </si>
  <si>
    <t>15271251918</t>
  </si>
  <si>
    <t>15271255855</t>
  </si>
  <si>
    <t>55473411</t>
  </si>
  <si>
    <t>15271257715</t>
  </si>
  <si>
    <t>55473136</t>
  </si>
  <si>
    <t>Mazda CX-9 : Asian Crossover Utility Vehicle</t>
  </si>
  <si>
    <t>15271259654</t>
  </si>
  <si>
    <t>55473141</t>
  </si>
  <si>
    <t>15271259855</t>
  </si>
  <si>
    <t>55473091</t>
  </si>
  <si>
    <t>15271260140</t>
  </si>
  <si>
    <t>55473138</t>
  </si>
  <si>
    <t>15271260338</t>
  </si>
  <si>
    <t>55473222</t>
  </si>
  <si>
    <t>15271262057</t>
  </si>
  <si>
    <t>55473137</t>
  </si>
  <si>
    <t>15271262411</t>
  </si>
  <si>
    <t>55474330</t>
  </si>
  <si>
    <t>15271263991</t>
  </si>
  <si>
    <t>55474306</t>
  </si>
  <si>
    <t>15271265472</t>
  </si>
  <si>
    <t>55473202</t>
  </si>
  <si>
    <t>15271265900</t>
  </si>
  <si>
    <t>55474432</t>
  </si>
  <si>
    <t>15271266139</t>
  </si>
  <si>
    <t>55474515</t>
  </si>
  <si>
    <t>15271266608</t>
  </si>
  <si>
    <t>55474709</t>
  </si>
  <si>
    <t>15271268368</t>
  </si>
  <si>
    <t>55474285</t>
  </si>
  <si>
    <t>15271269503</t>
  </si>
  <si>
    <t>55474160</t>
  </si>
  <si>
    <t>15271269533</t>
  </si>
  <si>
    <t>55475327</t>
  </si>
  <si>
    <t>15271269546</t>
  </si>
  <si>
    <t>15271270482</t>
  </si>
  <si>
    <t>55476130</t>
  </si>
  <si>
    <t>15271271497</t>
  </si>
  <si>
    <t>55475335</t>
  </si>
  <si>
    <t>15271271508</t>
  </si>
  <si>
    <t>55475339</t>
  </si>
  <si>
    <t>15271272041</t>
  </si>
  <si>
    <t>55475470</t>
  </si>
  <si>
    <t>15271272109</t>
  </si>
  <si>
    <t>55475323</t>
  </si>
  <si>
    <t>15271272134</t>
  </si>
  <si>
    <t>55475319</t>
  </si>
  <si>
    <t>15271272738</t>
  </si>
  <si>
    <t>15271273149</t>
  </si>
  <si>
    <t>55478339</t>
  </si>
  <si>
    <t>15271273173</t>
  </si>
  <si>
    <t>55480066</t>
  </si>
  <si>
    <t>15271273197</t>
  </si>
  <si>
    <t>55480067</t>
  </si>
  <si>
    <t>15271273260</t>
  </si>
  <si>
    <t>55480511</t>
  </si>
  <si>
    <t>15271274040</t>
  </si>
  <si>
    <t>15271274193</t>
  </si>
  <si>
    <t>61700497</t>
  </si>
  <si>
    <t>15271274578</t>
  </si>
  <si>
    <t>55478214</t>
  </si>
  <si>
    <t>15271274969</t>
  </si>
  <si>
    <t>55476463</t>
  </si>
  <si>
    <t>15271275081</t>
  </si>
  <si>
    <t>55476210</t>
  </si>
  <si>
    <t>15271276237</t>
  </si>
  <si>
    <t>55476284</t>
  </si>
  <si>
    <t>15271276914</t>
  </si>
  <si>
    <t>55475318</t>
  </si>
  <si>
    <t>15271277113</t>
  </si>
  <si>
    <t>55475314</t>
  </si>
  <si>
    <t>15271277436</t>
  </si>
  <si>
    <t>55475338</t>
  </si>
  <si>
    <t>15271277757</t>
  </si>
  <si>
    <t>55477230</t>
  </si>
  <si>
    <t>15271281095</t>
  </si>
  <si>
    <t>55476587</t>
  </si>
  <si>
    <t>15271281461</t>
  </si>
  <si>
    <t>55477233</t>
  </si>
  <si>
    <t>15271281482</t>
  </si>
  <si>
    <t>55475480</t>
  </si>
  <si>
    <t>15271282343</t>
  </si>
  <si>
    <t>55475344</t>
  </si>
  <si>
    <t>15271282413</t>
  </si>
  <si>
    <t>55475349</t>
  </si>
  <si>
    <t>15271283550</t>
  </si>
  <si>
    <t>55476584</t>
  </si>
  <si>
    <t>15271284271</t>
  </si>
  <si>
    <t>55476289</t>
  </si>
  <si>
    <t>15271285113</t>
  </si>
  <si>
    <t>55480583</t>
  </si>
  <si>
    <t>15271285457</t>
  </si>
  <si>
    <t>55478335</t>
  </si>
  <si>
    <t>15271286472</t>
  </si>
  <si>
    <t>55478332</t>
  </si>
  <si>
    <t>15271286507</t>
  </si>
  <si>
    <t>55478334</t>
  </si>
  <si>
    <t>15271286710</t>
  </si>
  <si>
    <t>55480584</t>
  </si>
  <si>
    <t>15271286937</t>
  </si>
  <si>
    <t>55480587</t>
  </si>
  <si>
    <t>15271287160</t>
  </si>
  <si>
    <t>55476832</t>
  </si>
  <si>
    <t>15271289010</t>
  </si>
  <si>
    <t>15271289535</t>
  </si>
  <si>
    <t>55476211</t>
  </si>
  <si>
    <t>15271289865</t>
  </si>
  <si>
    <t>55476208</t>
  </si>
  <si>
    <t>15271289908</t>
  </si>
  <si>
    <t>55476276</t>
  </si>
  <si>
    <t>15271290145</t>
  </si>
  <si>
    <t>55476278</t>
  </si>
  <si>
    <t>15271290506</t>
  </si>
  <si>
    <t>55476026</t>
  </si>
  <si>
    <t>15271290874</t>
  </si>
  <si>
    <t>55475665</t>
  </si>
  <si>
    <t>15271292062</t>
  </si>
  <si>
    <t>15271292312</t>
  </si>
  <si>
    <t>15271292359</t>
  </si>
  <si>
    <t>15271292580</t>
  </si>
  <si>
    <t>15271292719</t>
  </si>
  <si>
    <t>61693008</t>
  </si>
  <si>
    <t>15271293151</t>
  </si>
  <si>
    <t>15271293187</t>
  </si>
  <si>
    <t>15271293954</t>
  </si>
  <si>
    <t>15271294291</t>
  </si>
  <si>
    <t>15271294419</t>
  </si>
  <si>
    <t>15271294522</t>
  </si>
  <si>
    <t>15271294534</t>
  </si>
  <si>
    <t>15271294614</t>
  </si>
  <si>
    <t>15271295114</t>
  </si>
  <si>
    <t>15271295174</t>
  </si>
  <si>
    <t>15271295659</t>
  </si>
  <si>
    <t>15271296195</t>
  </si>
  <si>
    <t>15271296386</t>
  </si>
  <si>
    <t>15271296791</t>
  </si>
  <si>
    <t>15271297313</t>
  </si>
  <si>
    <t>15271297318</t>
  </si>
  <si>
    <t>15271297428</t>
  </si>
  <si>
    <t>61706115</t>
  </si>
  <si>
    <t>15271297549</t>
  </si>
  <si>
    <t>15271298183</t>
  </si>
  <si>
    <t>15271298264</t>
  </si>
  <si>
    <t>15271298301</t>
  </si>
  <si>
    <t>15271298304</t>
  </si>
  <si>
    <t>15271298395</t>
  </si>
  <si>
    <t>15271298623</t>
  </si>
  <si>
    <t>15271298624</t>
  </si>
  <si>
    <t>15271300646</t>
  </si>
  <si>
    <t>15271301109</t>
  </si>
  <si>
    <t>15271302063</t>
  </si>
  <si>
    <t>15271302273</t>
  </si>
  <si>
    <t>15271302399</t>
  </si>
  <si>
    <t>61676639</t>
  </si>
  <si>
    <t>15271304267</t>
  </si>
  <si>
    <t>61687900</t>
  </si>
  <si>
    <t>15271304346</t>
  </si>
  <si>
    <t>15271305480</t>
  </si>
  <si>
    <t>15271305685</t>
  </si>
  <si>
    <t>15271306459</t>
  </si>
  <si>
    <t>15271306540</t>
  </si>
  <si>
    <t>15271306557</t>
  </si>
  <si>
    <t>15271312338</t>
  </si>
  <si>
    <t>61693602</t>
  </si>
  <si>
    <t>15271314405</t>
  </si>
  <si>
    <t>15271316202</t>
  </si>
  <si>
    <t>15271316366</t>
  </si>
  <si>
    <t>15271317147</t>
  </si>
  <si>
    <t>15271317952</t>
  </si>
  <si>
    <t>15271325645</t>
  </si>
  <si>
    <t>15271327296</t>
  </si>
  <si>
    <t>15271328191</t>
  </si>
  <si>
    <t>15271328781</t>
  </si>
  <si>
    <t>15271329055</t>
  </si>
  <si>
    <t>61679484</t>
  </si>
  <si>
    <t>15271329518</t>
  </si>
  <si>
    <t>15271331412</t>
  </si>
  <si>
    <t>55490218</t>
  </si>
  <si>
    <t>15271333418</t>
  </si>
  <si>
    <t>55490483</t>
  </si>
  <si>
    <t>15271334222</t>
  </si>
  <si>
    <t>55489925</t>
  </si>
  <si>
    <t>15271335289</t>
  </si>
  <si>
    <t>55489032</t>
  </si>
  <si>
    <t>15271335523</t>
  </si>
  <si>
    <t>55488940</t>
  </si>
  <si>
    <t>15271335524</t>
  </si>
  <si>
    <t>55489968</t>
  </si>
  <si>
    <t>15271337055</t>
  </si>
  <si>
    <t>55490340</t>
  </si>
  <si>
    <t>15271337101</t>
  </si>
  <si>
    <t>55490476</t>
  </si>
  <si>
    <t>15271337193</t>
  </si>
  <si>
    <t>55490447</t>
  </si>
  <si>
    <t>15271338367</t>
  </si>
  <si>
    <t>55490247</t>
  </si>
  <si>
    <t>15271338521</t>
  </si>
  <si>
    <t>55489950</t>
  </si>
  <si>
    <t>15271338591</t>
  </si>
  <si>
    <t>55488948</t>
  </si>
  <si>
    <t>15271338907</t>
  </si>
  <si>
    <t>55489153</t>
  </si>
  <si>
    <t>15271339594</t>
  </si>
  <si>
    <t>55488941</t>
  </si>
  <si>
    <t>15271340206</t>
  </si>
  <si>
    <t>55488835</t>
  </si>
  <si>
    <t>15271340923</t>
  </si>
  <si>
    <t>55498723</t>
  </si>
  <si>
    <t>15271341834</t>
  </si>
  <si>
    <t>55497709</t>
  </si>
  <si>
    <t>15271342108</t>
  </si>
  <si>
    <t>55489930</t>
  </si>
  <si>
    <t>15271342109</t>
  </si>
  <si>
    <t>55489929</t>
  </si>
  <si>
    <t>15271342582</t>
  </si>
  <si>
    <t>55489933</t>
  </si>
  <si>
    <t>15271342856</t>
  </si>
  <si>
    <t>55489248</t>
  </si>
  <si>
    <t>15271343143</t>
  </si>
  <si>
    <t>55489957</t>
  </si>
  <si>
    <t>15271343233</t>
  </si>
  <si>
    <t>55488945</t>
  </si>
  <si>
    <t>15271343304</t>
  </si>
  <si>
    <t>55488928</t>
  </si>
  <si>
    <t>15271343609</t>
  </si>
  <si>
    <t>55488771</t>
  </si>
  <si>
    <t>15271343846</t>
  </si>
  <si>
    <t>15271344459</t>
  </si>
  <si>
    <t>55487733</t>
  </si>
  <si>
    <t>15271345103</t>
  </si>
  <si>
    <t>55492405</t>
  </si>
  <si>
    <t>15271345106</t>
  </si>
  <si>
    <t>55492376</t>
  </si>
  <si>
    <t>15271345142</t>
  </si>
  <si>
    <t>55492119</t>
  </si>
  <si>
    <t>15271345248</t>
  </si>
  <si>
    <t>55494295</t>
  </si>
  <si>
    <t>15271345672</t>
  </si>
  <si>
    <t>55492425</t>
  </si>
  <si>
    <t>15271345690</t>
  </si>
  <si>
    <t>15271345724</t>
  </si>
  <si>
    <t>55492523</t>
  </si>
  <si>
    <t>15271345901</t>
  </si>
  <si>
    <t>55492526</t>
  </si>
  <si>
    <t>15271346241</t>
  </si>
  <si>
    <t>55491648</t>
  </si>
  <si>
    <t>15271346257</t>
  </si>
  <si>
    <t>55493386</t>
  </si>
  <si>
    <t>15271346561</t>
  </si>
  <si>
    <t>55490341</t>
  </si>
  <si>
    <t>15271347023</t>
  </si>
  <si>
    <t>55490317</t>
  </si>
  <si>
    <t>15271347545</t>
  </si>
  <si>
    <t>55490314</t>
  </si>
  <si>
    <t>15271347589</t>
  </si>
  <si>
    <t>55494204</t>
  </si>
  <si>
    <t>15271347871</t>
  </si>
  <si>
    <t>15271348353</t>
  </si>
  <si>
    <t>55494306</t>
  </si>
  <si>
    <t>15271348855</t>
  </si>
  <si>
    <t>55490493</t>
  </si>
  <si>
    <t>15271348902</t>
  </si>
  <si>
    <t>55490316</t>
  </si>
  <si>
    <t>15271348978</t>
  </si>
  <si>
    <t>55490344</t>
  </si>
  <si>
    <t>15271349046</t>
  </si>
  <si>
    <t>15271349071</t>
  </si>
  <si>
    <t>15271349297</t>
  </si>
  <si>
    <t>15271349299</t>
  </si>
  <si>
    <t>15271349566</t>
  </si>
  <si>
    <t>15271349622</t>
  </si>
  <si>
    <t>55509154</t>
  </si>
  <si>
    <t>15271349917</t>
  </si>
  <si>
    <t>55493433</t>
  </si>
  <si>
    <t>15271349956</t>
  </si>
  <si>
    <t>55493815</t>
  </si>
  <si>
    <t>15271350018</t>
  </si>
  <si>
    <t>55493361</t>
  </si>
  <si>
    <t>15271350197</t>
  </si>
  <si>
    <t>55494296</t>
  </si>
  <si>
    <t>15271350256</t>
  </si>
  <si>
    <t>55492512</t>
  </si>
  <si>
    <t>15271350446</t>
  </si>
  <si>
    <t>55492511</t>
  </si>
  <si>
    <t>15271350873</t>
  </si>
  <si>
    <t>55493415</t>
  </si>
  <si>
    <t>15271352441</t>
  </si>
  <si>
    <t>55492522</t>
  </si>
  <si>
    <t>15271352643</t>
  </si>
  <si>
    <t>55493816</t>
  </si>
  <si>
    <t>15271353032</t>
  </si>
  <si>
    <t>15271353043</t>
  </si>
  <si>
    <t>15271353107</t>
  </si>
  <si>
    <t>15271353842</t>
  </si>
  <si>
    <t>55496985</t>
  </si>
  <si>
    <t>15271354002</t>
  </si>
  <si>
    <t>55500146</t>
  </si>
  <si>
    <t>15271354017</t>
  </si>
  <si>
    <t>55494027</t>
  </si>
  <si>
    <t>15271354265</t>
  </si>
  <si>
    <t>15271354718</t>
  </si>
  <si>
    <t>15271354873</t>
  </si>
  <si>
    <t>55494667</t>
  </si>
  <si>
    <t>15271355285</t>
  </si>
  <si>
    <t>55495225</t>
  </si>
  <si>
    <t>15271355365</t>
  </si>
  <si>
    <t>55494734</t>
  </si>
  <si>
    <t>15271355565</t>
  </si>
  <si>
    <t>55495473</t>
  </si>
  <si>
    <t>15271355782</t>
  </si>
  <si>
    <t>55496309</t>
  </si>
  <si>
    <t>15271355783</t>
  </si>
  <si>
    <t>55495456</t>
  </si>
  <si>
    <t>15271355889</t>
  </si>
  <si>
    <t>55500147</t>
  </si>
  <si>
    <t>15271356567</t>
  </si>
  <si>
    <t>55494205</t>
  </si>
  <si>
    <t>15271357057</t>
  </si>
  <si>
    <t>55494304</t>
  </si>
  <si>
    <t>15271357216</t>
  </si>
  <si>
    <t>55494028</t>
  </si>
  <si>
    <t>15271357397</t>
  </si>
  <si>
    <t>61683330</t>
  </si>
  <si>
    <t>15271359374</t>
  </si>
  <si>
    <t>55493199</t>
  </si>
  <si>
    <t>15271359401</t>
  </si>
  <si>
    <t>15271359409</t>
  </si>
  <si>
    <t>15271359450</t>
  </si>
  <si>
    <t>61685729</t>
  </si>
  <si>
    <t>15271359478</t>
  </si>
  <si>
    <t>15271359491</t>
  </si>
  <si>
    <t>15271359544</t>
  </si>
  <si>
    <t>15271359922</t>
  </si>
  <si>
    <t>15271360316</t>
  </si>
  <si>
    <t>15271360364</t>
  </si>
  <si>
    <t>61706866</t>
  </si>
  <si>
    <t>15271360506</t>
  </si>
  <si>
    <t>15271360507</t>
  </si>
  <si>
    <t>15271360720</t>
  </si>
  <si>
    <t>15271360729</t>
  </si>
  <si>
    <t>15271360832</t>
  </si>
  <si>
    <t>15271360891</t>
  </si>
  <si>
    <t>15271360938</t>
  </si>
  <si>
    <t>15271360949</t>
  </si>
  <si>
    <t>15271361721</t>
  </si>
  <si>
    <t>15271361887</t>
  </si>
  <si>
    <t>15271362414</t>
  </si>
  <si>
    <t>15271362610</t>
  </si>
  <si>
    <t>15271362900</t>
  </si>
  <si>
    <t>15271362975</t>
  </si>
  <si>
    <t>15271363185</t>
  </si>
  <si>
    <t>61683347</t>
  </si>
  <si>
    <t>15271363315</t>
  </si>
  <si>
    <t>15271364051</t>
  </si>
  <si>
    <t>15271364430</t>
  </si>
  <si>
    <t>15271364545</t>
  </si>
  <si>
    <t>15271364843</t>
  </si>
  <si>
    <t>15271364897</t>
  </si>
  <si>
    <t>15271364978</t>
  </si>
  <si>
    <t>15271364994</t>
  </si>
  <si>
    <t>15271365074</t>
  </si>
  <si>
    <t>15271365199</t>
  </si>
  <si>
    <t>15271365361</t>
  </si>
  <si>
    <t>15271365494</t>
  </si>
  <si>
    <t>15271365752</t>
  </si>
  <si>
    <t>15271365819</t>
  </si>
  <si>
    <t>15271365834</t>
  </si>
  <si>
    <t>15271365983</t>
  </si>
  <si>
    <t>15271366080</t>
  </si>
  <si>
    <t>15271366160</t>
  </si>
  <si>
    <t>15271366508</t>
  </si>
  <si>
    <t>15271367612</t>
  </si>
  <si>
    <t>55495460</t>
  </si>
  <si>
    <t>15271367673</t>
  </si>
  <si>
    <t>55495458</t>
  </si>
  <si>
    <t>15271367788</t>
  </si>
  <si>
    <t>55492382</t>
  </si>
  <si>
    <t>15271368071</t>
  </si>
  <si>
    <t>55494025</t>
  </si>
  <si>
    <t>15271368138</t>
  </si>
  <si>
    <t>15271368748</t>
  </si>
  <si>
    <t>55490832</t>
  </si>
  <si>
    <t>15271368897</t>
  </si>
  <si>
    <t>15271368956</t>
  </si>
  <si>
    <t>55530097</t>
  </si>
  <si>
    <t>15271369075</t>
  </si>
  <si>
    <t>55493439</t>
  </si>
  <si>
    <t>15271369671</t>
  </si>
  <si>
    <t>55490338</t>
  </si>
  <si>
    <t>15271369680</t>
  </si>
  <si>
    <t>55490579</t>
  </si>
  <si>
    <t>15271369800</t>
  </si>
  <si>
    <t>55490551</t>
  </si>
  <si>
    <t>15271370512</t>
  </si>
  <si>
    <t>55514521</t>
  </si>
  <si>
    <t>15271373171</t>
  </si>
  <si>
    <t>55531430</t>
  </si>
  <si>
    <t>15271373810</t>
  </si>
  <si>
    <t>15271373907</t>
  </si>
  <si>
    <t>15271373910</t>
  </si>
  <si>
    <t>55502308</t>
  </si>
  <si>
    <t>15271374186</t>
  </si>
  <si>
    <t>55496315</t>
  </si>
  <si>
    <t>15271374277</t>
  </si>
  <si>
    <t>55501198</t>
  </si>
  <si>
    <t>15271375690</t>
  </si>
  <si>
    <t>55494146</t>
  </si>
  <si>
    <t>15271376128</t>
  </si>
  <si>
    <t>55495464</t>
  </si>
  <si>
    <t>15271376365</t>
  </si>
  <si>
    <t>55495474</t>
  </si>
  <si>
    <t>15271376892</t>
  </si>
  <si>
    <t>55496906</t>
  </si>
  <si>
    <t>15271377347</t>
  </si>
  <si>
    <t>15271377532</t>
  </si>
  <si>
    <t>55509155</t>
  </si>
  <si>
    <t>15271377658</t>
  </si>
  <si>
    <t>55508958</t>
  </si>
  <si>
    <t>15271378445</t>
  </si>
  <si>
    <t>55496978</t>
  </si>
  <si>
    <t>15271378594</t>
  </si>
  <si>
    <t>15271378646</t>
  </si>
  <si>
    <t>55496992</t>
  </si>
  <si>
    <t>15271378734</t>
  </si>
  <si>
    <t>15271378925</t>
  </si>
  <si>
    <t>15271382034</t>
  </si>
  <si>
    <t>15271385046</t>
  </si>
  <si>
    <t>15271391776</t>
  </si>
  <si>
    <t>15271394286</t>
  </si>
  <si>
    <t>61692047</t>
  </si>
  <si>
    <t>15271394877</t>
  </si>
  <si>
    <t>15271406042</t>
  </si>
  <si>
    <t>15271406933</t>
  </si>
  <si>
    <t>15271408828</t>
  </si>
  <si>
    <t>55508284</t>
  </si>
  <si>
    <t>15271410184</t>
  </si>
  <si>
    <t>55508970</t>
  </si>
  <si>
    <t>15271410664</t>
  </si>
  <si>
    <t>55507785</t>
  </si>
  <si>
    <t>15271414529</t>
  </si>
  <si>
    <t>55513529</t>
  </si>
  <si>
    <t>15271414951</t>
  </si>
  <si>
    <t>55513881</t>
  </si>
  <si>
    <t>15271415324</t>
  </si>
  <si>
    <t>61695032</t>
  </si>
  <si>
    <t>15271415947</t>
  </si>
  <si>
    <t>55508953</t>
  </si>
  <si>
    <t>15271416076</t>
  </si>
  <si>
    <t>55507974</t>
  </si>
  <si>
    <t>15271416267</t>
  </si>
  <si>
    <t>55508948</t>
  </si>
  <si>
    <t>15271416398</t>
  </si>
  <si>
    <t>55509156</t>
  </si>
  <si>
    <t>15271416777</t>
  </si>
  <si>
    <t>15271417459</t>
  </si>
  <si>
    <t>55507880</t>
  </si>
  <si>
    <t>15271417963</t>
  </si>
  <si>
    <t>55507881</t>
  </si>
  <si>
    <t>15271418980</t>
  </si>
  <si>
    <t>55530170</t>
  </si>
  <si>
    <t>15271419984</t>
  </si>
  <si>
    <t>55508847</t>
  </si>
  <si>
    <t>15271420467</t>
  </si>
  <si>
    <t>55508033</t>
  </si>
  <si>
    <t>15271421758</t>
  </si>
  <si>
    <t>55508035</t>
  </si>
  <si>
    <t>15271422175</t>
  </si>
  <si>
    <t>55508946</t>
  </si>
  <si>
    <t>15271422318</t>
  </si>
  <si>
    <t>55507460</t>
  </si>
  <si>
    <t>15271422673</t>
  </si>
  <si>
    <t>55506742</t>
  </si>
  <si>
    <t>15271423865</t>
  </si>
  <si>
    <t>55526450</t>
  </si>
  <si>
    <t>15271424315</t>
  </si>
  <si>
    <t>55524925</t>
  </si>
  <si>
    <t>15271424970</t>
  </si>
  <si>
    <t>55510571</t>
  </si>
  <si>
    <t>15271427068</t>
  </si>
  <si>
    <t>55513528</t>
  </si>
  <si>
    <t>15271427220</t>
  </si>
  <si>
    <t>55513899</t>
  </si>
  <si>
    <t>15271428739</t>
  </si>
  <si>
    <t>55510686</t>
  </si>
  <si>
    <t>15271429620</t>
  </si>
  <si>
    <t>55509779</t>
  </si>
  <si>
    <t>15271431263</t>
  </si>
  <si>
    <t>55512334</t>
  </si>
  <si>
    <t>15271431468</t>
  </si>
  <si>
    <t>55512264</t>
  </si>
  <si>
    <t>15271431580</t>
  </si>
  <si>
    <t>55512262</t>
  </si>
  <si>
    <t>15271433434</t>
  </si>
  <si>
    <t>15271433483</t>
  </si>
  <si>
    <t>55510382</t>
  </si>
  <si>
    <t>15271433553</t>
  </si>
  <si>
    <t>55510235</t>
  </si>
  <si>
    <t>15271434537</t>
  </si>
  <si>
    <t>15271435210</t>
  </si>
  <si>
    <t>55509163</t>
  </si>
  <si>
    <t>15271436744</t>
  </si>
  <si>
    <t>55512163</t>
  </si>
  <si>
    <t>15271436985</t>
  </si>
  <si>
    <t>55511963</t>
  </si>
  <si>
    <t>15271437911</t>
  </si>
  <si>
    <t>15271438030</t>
  </si>
  <si>
    <t>55526697</t>
  </si>
  <si>
    <t>15271438530</t>
  </si>
  <si>
    <t>55512164</t>
  </si>
  <si>
    <t>15271438722</t>
  </si>
  <si>
    <t>55512335</t>
  </si>
  <si>
    <t>15271439721</t>
  </si>
  <si>
    <t>55511972</t>
  </si>
  <si>
    <t>15271440547</t>
  </si>
  <si>
    <t>15271440861</t>
  </si>
  <si>
    <t>55525802</t>
  </si>
  <si>
    <t>15271441248</t>
  </si>
  <si>
    <t>55525799</t>
  </si>
  <si>
    <t>15271441437</t>
  </si>
  <si>
    <t>55524922</t>
  </si>
  <si>
    <t>15271441776</t>
  </si>
  <si>
    <t>55510378</t>
  </si>
  <si>
    <t>15271442148</t>
  </si>
  <si>
    <t>55524923</t>
  </si>
  <si>
    <t>15271442299</t>
  </si>
  <si>
    <t>55523387</t>
  </si>
  <si>
    <t>15271442394</t>
  </si>
  <si>
    <t>55510570</t>
  </si>
  <si>
    <t>15271443308</t>
  </si>
  <si>
    <t>55514528</t>
  </si>
  <si>
    <t>15271443391</t>
  </si>
  <si>
    <t>15271443749</t>
  </si>
  <si>
    <t>55512162</t>
  </si>
  <si>
    <t>15271444156</t>
  </si>
  <si>
    <t>55512154</t>
  </si>
  <si>
    <t>15271444207</t>
  </si>
  <si>
    <t>55512155</t>
  </si>
  <si>
    <t>15271444282</t>
  </si>
  <si>
    <t>55512174</t>
  </si>
  <si>
    <t>15271444283</t>
  </si>
  <si>
    <t>55511965</t>
  </si>
  <si>
    <t>15271444297</t>
  </si>
  <si>
    <t>55511964</t>
  </si>
  <si>
    <t>15271445199</t>
  </si>
  <si>
    <t>55510767</t>
  </si>
  <si>
    <t>15271445281</t>
  </si>
  <si>
    <t>55510912</t>
  </si>
  <si>
    <t>15271446534</t>
  </si>
  <si>
    <t>55511954</t>
  </si>
  <si>
    <t>15271447621</t>
  </si>
  <si>
    <t>15271450208</t>
  </si>
  <si>
    <t>55514530</t>
  </si>
  <si>
    <t>15271450438</t>
  </si>
  <si>
    <t>55546846</t>
  </si>
  <si>
    <t>15271450598</t>
  </si>
  <si>
    <t>55514567</t>
  </si>
  <si>
    <t>15271451491</t>
  </si>
  <si>
    <t>55529935</t>
  </si>
  <si>
    <t>15271451651</t>
  </si>
  <si>
    <t>55526271</t>
  </si>
  <si>
    <t>15271451652</t>
  </si>
  <si>
    <t>55526272</t>
  </si>
  <si>
    <t>15271451653</t>
  </si>
  <si>
    <t>55526261</t>
  </si>
  <si>
    <t>15271451677</t>
  </si>
  <si>
    <t>55526262</t>
  </si>
  <si>
    <t>15271451818</t>
  </si>
  <si>
    <t>55525817</t>
  </si>
  <si>
    <t>15271451884</t>
  </si>
  <si>
    <t>15271452182</t>
  </si>
  <si>
    <t>55526264</t>
  </si>
  <si>
    <t>15271452868</t>
  </si>
  <si>
    <t>15271453440</t>
  </si>
  <si>
    <t>15271453598</t>
  </si>
  <si>
    <t>15271453891</t>
  </si>
  <si>
    <t>15271454014</t>
  </si>
  <si>
    <t>15271454190</t>
  </si>
  <si>
    <t>61712856</t>
  </si>
  <si>
    <t>15271455294</t>
  </si>
  <si>
    <t>15271455335</t>
  </si>
  <si>
    <t>15271455842</t>
  </si>
  <si>
    <t>15271455988</t>
  </si>
  <si>
    <t>15271456256</t>
  </si>
  <si>
    <t>15271456455</t>
  </si>
  <si>
    <t>15271457628</t>
  </si>
  <si>
    <t>15271458459</t>
  </si>
  <si>
    <t>61731520</t>
  </si>
  <si>
    <t>15271459760</t>
  </si>
  <si>
    <t>15271460329</t>
  </si>
  <si>
    <t>61677216</t>
  </si>
  <si>
    <t>15271460603</t>
  </si>
  <si>
    <t>15271461204</t>
  </si>
  <si>
    <t>15271461722</t>
  </si>
  <si>
    <t>15271461983</t>
  </si>
  <si>
    <t>15271462660</t>
  </si>
  <si>
    <t>15271463140</t>
  </si>
  <si>
    <t>15271463419</t>
  </si>
  <si>
    <t>15271464236</t>
  </si>
  <si>
    <t>15271464484</t>
  </si>
  <si>
    <t>15271465451</t>
  </si>
  <si>
    <t>15271465457</t>
  </si>
  <si>
    <t>61683293</t>
  </si>
  <si>
    <t>15271466019</t>
  </si>
  <si>
    <t>15271467046</t>
  </si>
  <si>
    <t>15271467484</t>
  </si>
  <si>
    <t>15271467969</t>
  </si>
  <si>
    <t>15271468648</t>
  </si>
  <si>
    <t>15271469752</t>
  </si>
  <si>
    <t>15271470226</t>
  </si>
  <si>
    <t>15271472949</t>
  </si>
  <si>
    <t>15271474140</t>
  </si>
  <si>
    <t>15271474470</t>
  </si>
  <si>
    <t>15271475557</t>
  </si>
  <si>
    <t>15271476207</t>
  </si>
  <si>
    <t>61725638</t>
  </si>
  <si>
    <t>15271478206</t>
  </si>
  <si>
    <t>15271479655</t>
  </si>
  <si>
    <t>15271482187</t>
  </si>
  <si>
    <t>15271482189</t>
  </si>
  <si>
    <t>15271487092</t>
  </si>
  <si>
    <t>15271489263</t>
  </si>
  <si>
    <t>15271495410</t>
  </si>
  <si>
    <t>55524835</t>
  </si>
  <si>
    <t>15271495545</t>
  </si>
  <si>
    <t>55525865</t>
  </si>
  <si>
    <t>15271497529</t>
  </si>
  <si>
    <t>55523361</t>
  </si>
  <si>
    <t>15271498178</t>
  </si>
  <si>
    <t>55521922</t>
  </si>
  <si>
    <t>15271499537</t>
  </si>
  <si>
    <t>55524126</t>
  </si>
  <si>
    <t>15271499975</t>
  </si>
  <si>
    <t>55523377</t>
  </si>
  <si>
    <t>15271500139</t>
  </si>
  <si>
    <t>55524000</t>
  </si>
  <si>
    <t>15271500746</t>
  </si>
  <si>
    <t>55523363</t>
  </si>
  <si>
    <t>15271500852</t>
  </si>
  <si>
    <t>55523354</t>
  </si>
  <si>
    <t>15271501059</t>
  </si>
  <si>
    <t>55523234</t>
  </si>
  <si>
    <t>15271501458</t>
  </si>
  <si>
    <t>55523310</t>
  </si>
  <si>
    <t>15271502627</t>
  </si>
  <si>
    <t>55523222</t>
  </si>
  <si>
    <t>15271502734</t>
  </si>
  <si>
    <t>55523210</t>
  </si>
  <si>
    <t>15271504002</t>
  </si>
  <si>
    <t>55525869</t>
  </si>
  <si>
    <t>15271504340</t>
  </si>
  <si>
    <t>55525851</t>
  </si>
  <si>
    <t>15271505812</t>
  </si>
  <si>
    <t>55523311</t>
  </si>
  <si>
    <t>15271507092</t>
  </si>
  <si>
    <t>55526531</t>
  </si>
  <si>
    <t>15271507807</t>
  </si>
  <si>
    <t>15271507808</t>
  </si>
  <si>
    <t>15271507809</t>
  </si>
  <si>
    <t>15271507811</t>
  </si>
  <si>
    <t>15271509114</t>
  </si>
  <si>
    <t>55526528</t>
  </si>
  <si>
    <t>15271509248</t>
  </si>
  <si>
    <t>55526444</t>
  </si>
  <si>
    <t>15271509864</t>
  </si>
  <si>
    <t>55526755</t>
  </si>
  <si>
    <t>15271510001</t>
  </si>
  <si>
    <t>15271510462</t>
  </si>
  <si>
    <t>55526405</t>
  </si>
  <si>
    <t>15271512407</t>
  </si>
  <si>
    <t>55528354</t>
  </si>
  <si>
    <t>15271512780</t>
  </si>
  <si>
    <t>55528261</t>
  </si>
  <si>
    <t>15271513201</t>
  </si>
  <si>
    <t>55528301</t>
  </si>
  <si>
    <t>15271513357</t>
  </si>
  <si>
    <t>55528401</t>
  </si>
  <si>
    <t>15271514260</t>
  </si>
  <si>
    <t>55535359</t>
  </si>
  <si>
    <t>15271515573</t>
  </si>
  <si>
    <t>55567897</t>
  </si>
  <si>
    <t>15271515928</t>
  </si>
  <si>
    <t>55542449</t>
  </si>
  <si>
    <t>15271516091</t>
  </si>
  <si>
    <t>55528412</t>
  </si>
  <si>
    <t>15271517040</t>
  </si>
  <si>
    <t>55527890</t>
  </si>
  <si>
    <t>15271517772</t>
  </si>
  <si>
    <t>55543240</t>
  </si>
  <si>
    <t>15271518435</t>
  </si>
  <si>
    <t>55530094</t>
  </si>
  <si>
    <t>15271518673</t>
  </si>
  <si>
    <t>15271520855</t>
  </si>
  <si>
    <t>55528398</t>
  </si>
  <si>
    <t>15271522734</t>
  </si>
  <si>
    <t>55528300</t>
  </si>
  <si>
    <t>15271523948</t>
  </si>
  <si>
    <t>55528399</t>
  </si>
  <si>
    <t>15271525184</t>
  </si>
  <si>
    <t>55527090</t>
  </si>
  <si>
    <t>15271525197</t>
  </si>
  <si>
    <t>55528263</t>
  </si>
  <si>
    <t>15271525505</t>
  </si>
  <si>
    <t>55542405</t>
  </si>
  <si>
    <t>15271525952</t>
  </si>
  <si>
    <t>55542397</t>
  </si>
  <si>
    <t>15271527536</t>
  </si>
  <si>
    <t>55531325</t>
  </si>
  <si>
    <t>15271528274</t>
  </si>
  <si>
    <t>55529904</t>
  </si>
  <si>
    <t>15271528494</t>
  </si>
  <si>
    <t>55543244</t>
  </si>
  <si>
    <t>15271528879</t>
  </si>
  <si>
    <t>55530095</t>
  </si>
  <si>
    <t>15271530545</t>
  </si>
  <si>
    <t>55529933</t>
  </si>
  <si>
    <t>15271532026</t>
  </si>
  <si>
    <t>15271533078</t>
  </si>
  <si>
    <t>61687698</t>
  </si>
  <si>
    <t>15271533619</t>
  </si>
  <si>
    <t>15271534260</t>
  </si>
  <si>
    <t>15271534670</t>
  </si>
  <si>
    <t>61712588</t>
  </si>
  <si>
    <t>15271534852</t>
  </si>
  <si>
    <t>15271535475</t>
  </si>
  <si>
    <t>55548713</t>
  </si>
  <si>
    <t>15271535560</t>
  </si>
  <si>
    <t>55548945</t>
  </si>
  <si>
    <t>15271536502</t>
  </si>
  <si>
    <t>55548602</t>
  </si>
  <si>
    <t>15271536813</t>
  </si>
  <si>
    <t>55546845</t>
  </si>
  <si>
    <t>15271536874</t>
  </si>
  <si>
    <t>55546648</t>
  </si>
  <si>
    <t>15271536897</t>
  </si>
  <si>
    <t>55545548</t>
  </si>
  <si>
    <t>15271537542</t>
  </si>
  <si>
    <t>55544297</t>
  </si>
  <si>
    <t>15271540392</t>
  </si>
  <si>
    <t>61714694</t>
  </si>
  <si>
    <t>15271541257</t>
  </si>
  <si>
    <t>15271541957</t>
  </si>
  <si>
    <t>15271542024</t>
  </si>
  <si>
    <t>15271542329</t>
  </si>
  <si>
    <t>61706840</t>
  </si>
  <si>
    <t>15271542530</t>
  </si>
  <si>
    <t>61715141</t>
  </si>
  <si>
    <t>15271542594</t>
  </si>
  <si>
    <t>15271542676</t>
  </si>
  <si>
    <t>15271543097</t>
  </si>
  <si>
    <t>61677421</t>
  </si>
  <si>
    <t>15271543320</t>
  </si>
  <si>
    <t>15271545504</t>
  </si>
  <si>
    <t>15271545509</t>
  </si>
  <si>
    <t>15271546048</t>
  </si>
  <si>
    <t>15271546112</t>
  </si>
  <si>
    <t>15271546576</t>
  </si>
  <si>
    <t>15271546962</t>
  </si>
  <si>
    <t>15271548915</t>
  </si>
  <si>
    <t>15271560132</t>
  </si>
  <si>
    <t>15271561735</t>
  </si>
  <si>
    <t>15271564485</t>
  </si>
  <si>
    <t>15271578561</t>
  </si>
  <si>
    <t>15271582191</t>
  </si>
  <si>
    <t>55542988</t>
  </si>
  <si>
    <t>15271587238</t>
  </si>
  <si>
    <t>55542349</t>
  </si>
  <si>
    <t>15271587275</t>
  </si>
  <si>
    <t>55541526</t>
  </si>
  <si>
    <t>15271588144</t>
  </si>
  <si>
    <t>55541474</t>
  </si>
  <si>
    <t>15271588238</t>
  </si>
  <si>
    <t>55541524</t>
  </si>
  <si>
    <t>15271588345</t>
  </si>
  <si>
    <t>55541590</t>
  </si>
  <si>
    <t>15271589898</t>
  </si>
  <si>
    <t>55542989</t>
  </si>
  <si>
    <t>15271590970</t>
  </si>
  <si>
    <t>55542462</t>
  </si>
  <si>
    <t>15271591364</t>
  </si>
  <si>
    <t>55542448</t>
  </si>
  <si>
    <t>15271595443</t>
  </si>
  <si>
    <t>55543303</t>
  </si>
  <si>
    <t>15271596307</t>
  </si>
  <si>
    <t>55548942</t>
  </si>
  <si>
    <t>15271596416</t>
  </si>
  <si>
    <t>55548944</t>
  </si>
  <si>
    <t>15271601808</t>
  </si>
  <si>
    <t>55545948</t>
  </si>
  <si>
    <t>15271604207</t>
  </si>
  <si>
    <t>55546762</t>
  </si>
  <si>
    <t>15271605347</t>
  </si>
  <si>
    <t>15271606061</t>
  </si>
  <si>
    <t>55548833</t>
  </si>
  <si>
    <t>15271606625</t>
  </si>
  <si>
    <t>55548723</t>
  </si>
  <si>
    <t>15271606953</t>
  </si>
  <si>
    <t>55546431</t>
  </si>
  <si>
    <t>15271612077</t>
  </si>
  <si>
    <t>15271613200</t>
  </si>
  <si>
    <t>55548824</t>
  </si>
  <si>
    <t>15271615167</t>
  </si>
  <si>
    <t>55567896</t>
  </si>
  <si>
    <t>15271615552</t>
  </si>
  <si>
    <t>15271615976</t>
  </si>
  <si>
    <t>15271617038</t>
  </si>
  <si>
    <t>15271617718</t>
  </si>
  <si>
    <t>15271618096</t>
  </si>
  <si>
    <t>61701870</t>
  </si>
  <si>
    <t>15271618518</t>
  </si>
  <si>
    <t>15271621028</t>
  </si>
  <si>
    <t>61695123</t>
  </si>
  <si>
    <t>15271622109</t>
  </si>
  <si>
    <t>15271623824</t>
  </si>
  <si>
    <t>61728852</t>
  </si>
  <si>
    <t>15271623965</t>
  </si>
  <si>
    <t>15271624207</t>
  </si>
  <si>
    <t>61723147</t>
  </si>
  <si>
    <t>15271624531</t>
  </si>
  <si>
    <t>15271625057</t>
  </si>
  <si>
    <t>15271625100</t>
  </si>
  <si>
    <t>15271625207</t>
  </si>
  <si>
    <t>15271625224</t>
  </si>
  <si>
    <t>61714059</t>
  </si>
  <si>
    <t>15271625343</t>
  </si>
  <si>
    <t>15271625450</t>
  </si>
  <si>
    <t>15271626097</t>
  </si>
  <si>
    <t>61706813</t>
  </si>
  <si>
    <t>15271626152</t>
  </si>
  <si>
    <t>15271626153</t>
  </si>
  <si>
    <t>15271626232</t>
  </si>
  <si>
    <t>15271626246</t>
  </si>
  <si>
    <t>15271626491</t>
  </si>
  <si>
    <t>15271626615</t>
  </si>
  <si>
    <t>61693448</t>
  </si>
  <si>
    <t>15271626663</t>
  </si>
  <si>
    <t>15271626896</t>
  </si>
  <si>
    <t>15271627021</t>
  </si>
  <si>
    <t>15271627062</t>
  </si>
  <si>
    <t>61701409</t>
  </si>
  <si>
    <t>15271627067</t>
  </si>
  <si>
    <t>15271628234</t>
  </si>
  <si>
    <t>15271628307</t>
  </si>
  <si>
    <t>15271628384</t>
  </si>
  <si>
    <t>61704030</t>
  </si>
  <si>
    <t>15271628406</t>
  </si>
  <si>
    <t>15271628740</t>
  </si>
  <si>
    <t>15271629378</t>
  </si>
  <si>
    <t>15271629558</t>
  </si>
  <si>
    <t>15271629798</t>
  </si>
  <si>
    <t>15271630279</t>
  </si>
  <si>
    <t>61733716</t>
  </si>
  <si>
    <t>15271630602</t>
  </si>
  <si>
    <t>15271631024</t>
  </si>
  <si>
    <t>15271631515</t>
  </si>
  <si>
    <t>15271631787</t>
  </si>
  <si>
    <t>15271631904</t>
  </si>
  <si>
    <t>15271632201</t>
  </si>
  <si>
    <t>15271632280</t>
  </si>
  <si>
    <t>15271632462</t>
  </si>
  <si>
    <t>15271632823</t>
  </si>
  <si>
    <t>15271633491</t>
  </si>
  <si>
    <t>15271633493</t>
  </si>
  <si>
    <t>15271633636</t>
  </si>
  <si>
    <t>15271633669</t>
  </si>
  <si>
    <t>15271634217</t>
  </si>
  <si>
    <t>15271634811</t>
  </si>
  <si>
    <t>61710078</t>
  </si>
  <si>
    <t>15271637490</t>
  </si>
  <si>
    <t>61694860</t>
  </si>
  <si>
    <t>15271637915</t>
  </si>
  <si>
    <t>15271638005</t>
  </si>
  <si>
    <t>15271638253</t>
  </si>
  <si>
    <t>15271638497</t>
  </si>
  <si>
    <t>15271640697</t>
  </si>
  <si>
    <t>15271640708</t>
  </si>
  <si>
    <t>15271640746</t>
  </si>
  <si>
    <t>15271640979</t>
  </si>
  <si>
    <t>15271641664</t>
  </si>
  <si>
    <t>15271644745</t>
  </si>
  <si>
    <t>15271644909</t>
  </si>
  <si>
    <t>15271644994</t>
  </si>
  <si>
    <t>61723370</t>
  </si>
  <si>
    <t>15271645841</t>
  </si>
  <si>
    <t>15271647379</t>
  </si>
  <si>
    <t>15271647894</t>
  </si>
  <si>
    <t>15271652153</t>
  </si>
  <si>
    <t>15271660058</t>
  </si>
  <si>
    <t>61706708</t>
  </si>
  <si>
    <t>15271661280</t>
  </si>
  <si>
    <t>61714240</t>
  </si>
  <si>
    <t>15271676401</t>
  </si>
  <si>
    <t>55559716</t>
  </si>
  <si>
    <t>15271677005</t>
  </si>
  <si>
    <t>55559846</t>
  </si>
  <si>
    <t>15271677590</t>
  </si>
  <si>
    <t>55559708</t>
  </si>
  <si>
    <t>15271678094</t>
  </si>
  <si>
    <t>55558265</t>
  </si>
  <si>
    <t>15271679316</t>
  </si>
  <si>
    <t>55562689</t>
  </si>
  <si>
    <t>15271681567</t>
  </si>
  <si>
    <t>15271684477</t>
  </si>
  <si>
    <t>55576373</t>
  </si>
  <si>
    <t>15271685026</t>
  </si>
  <si>
    <t>55562639</t>
  </si>
  <si>
    <t>15271685311</t>
  </si>
  <si>
    <t>55562478</t>
  </si>
  <si>
    <t>15271686293</t>
  </si>
  <si>
    <t>55562295</t>
  </si>
  <si>
    <t>15271686742</t>
  </si>
  <si>
    <t>15271687211</t>
  </si>
  <si>
    <t>55576689</t>
  </si>
  <si>
    <t>15271688546</t>
  </si>
  <si>
    <t>55581470</t>
  </si>
  <si>
    <t>15271689933</t>
  </si>
  <si>
    <t>55576685</t>
  </si>
  <si>
    <t>15271690371</t>
  </si>
  <si>
    <t>55561731</t>
  </si>
  <si>
    <t>15271691055</t>
  </si>
  <si>
    <t>55576938</t>
  </si>
  <si>
    <t>15271691309</t>
  </si>
  <si>
    <t>55574807</t>
  </si>
  <si>
    <t>15271691527</t>
  </si>
  <si>
    <t>55566266</t>
  </si>
  <si>
    <t>15271691768</t>
  </si>
  <si>
    <t>15271692943</t>
  </si>
  <si>
    <t>55564270</t>
  </si>
  <si>
    <t>15271694586</t>
  </si>
  <si>
    <t>55577032</t>
  </si>
  <si>
    <t>15271696493</t>
  </si>
  <si>
    <t>55561999</t>
  </si>
  <si>
    <t>15271696715</t>
  </si>
  <si>
    <t>55562106</t>
  </si>
  <si>
    <t>15271696991</t>
  </si>
  <si>
    <t>55577030</t>
  </si>
  <si>
    <t>15271697550</t>
  </si>
  <si>
    <t>55562707</t>
  </si>
  <si>
    <t>15271697784</t>
  </si>
  <si>
    <t>55562094</t>
  </si>
  <si>
    <t>15271699197</t>
  </si>
  <si>
    <t>55565749</t>
  </si>
  <si>
    <t>15271699802</t>
  </si>
  <si>
    <t>55564093</t>
  </si>
  <si>
    <t>15271700208</t>
  </si>
  <si>
    <t>15271700556</t>
  </si>
  <si>
    <t>55565653</t>
  </si>
  <si>
    <t>15271700811</t>
  </si>
  <si>
    <t>15271700982</t>
  </si>
  <si>
    <t>55564383</t>
  </si>
  <si>
    <t>15271701439</t>
  </si>
  <si>
    <t>15271701815</t>
  </si>
  <si>
    <t>15271703699</t>
  </si>
  <si>
    <t>15271703992</t>
  </si>
  <si>
    <t>15271704353</t>
  </si>
  <si>
    <t>61728195</t>
  </si>
  <si>
    <t>15271704754</t>
  </si>
  <si>
    <t>55567898</t>
  </si>
  <si>
    <t>15271705268</t>
  </si>
  <si>
    <t>15271705588</t>
  </si>
  <si>
    <t>55564092</t>
  </si>
  <si>
    <t>15271705917</t>
  </si>
  <si>
    <t>55562966</t>
  </si>
  <si>
    <t>15271707538</t>
  </si>
  <si>
    <t>55566208</t>
  </si>
  <si>
    <t>15271707540</t>
  </si>
  <si>
    <t>55565510</t>
  </si>
  <si>
    <t>15271709081</t>
  </si>
  <si>
    <t>15271709133</t>
  </si>
  <si>
    <t>55562968</t>
  </si>
  <si>
    <t>15271709135</t>
  </si>
  <si>
    <t>55562959</t>
  </si>
  <si>
    <t>15271709878</t>
  </si>
  <si>
    <t>55564090</t>
  </si>
  <si>
    <t>15271710830</t>
  </si>
  <si>
    <t>55565652</t>
  </si>
  <si>
    <t>15271711231</t>
  </si>
  <si>
    <t>55565657</t>
  </si>
  <si>
    <t>15271711522</t>
  </si>
  <si>
    <t>55566211</t>
  </si>
  <si>
    <t>15271713392</t>
  </si>
  <si>
    <t>55567754</t>
  </si>
  <si>
    <t>15271713731</t>
  </si>
  <si>
    <t>55567946</t>
  </si>
  <si>
    <t>15271713879</t>
  </si>
  <si>
    <t>55567871</t>
  </si>
  <si>
    <t>15271713908</t>
  </si>
  <si>
    <t>55567956</t>
  </si>
  <si>
    <t>15271714250</t>
  </si>
  <si>
    <t>55567865</t>
  </si>
  <si>
    <t>15271714539</t>
  </si>
  <si>
    <t>55567953</t>
  </si>
  <si>
    <t>15271715194</t>
  </si>
  <si>
    <t>55567872</t>
  </si>
  <si>
    <t>15271715577</t>
  </si>
  <si>
    <t>55585377</t>
  </si>
  <si>
    <t>15271715612</t>
  </si>
  <si>
    <t>55578403</t>
  </si>
  <si>
    <t>15271715937</t>
  </si>
  <si>
    <t>55584848</t>
  </si>
  <si>
    <t>15271717838</t>
  </si>
  <si>
    <t>55577735</t>
  </si>
  <si>
    <t>15271718672</t>
  </si>
  <si>
    <t>55577896</t>
  </si>
  <si>
    <t>15271718875</t>
  </si>
  <si>
    <t>55577898</t>
  </si>
  <si>
    <t>15271719155</t>
  </si>
  <si>
    <t>55577684</t>
  </si>
  <si>
    <t>15271719734</t>
  </si>
  <si>
    <t>55577835</t>
  </si>
  <si>
    <t>15271720066</t>
  </si>
  <si>
    <t>55585375</t>
  </si>
  <si>
    <t>15271720652</t>
  </si>
  <si>
    <t>55585398</t>
  </si>
  <si>
    <t>15271720792</t>
  </si>
  <si>
    <t>55578451</t>
  </si>
  <si>
    <t>15271722560</t>
  </si>
  <si>
    <t>55577082</t>
  </si>
  <si>
    <t>15271722748</t>
  </si>
  <si>
    <t>55577831</t>
  </si>
  <si>
    <t>15271722841</t>
  </si>
  <si>
    <t>55577031</t>
  </si>
  <si>
    <t>15271723066</t>
  </si>
  <si>
    <t>55577211</t>
  </si>
  <si>
    <t>15271723192</t>
  </si>
  <si>
    <t>55577158</t>
  </si>
  <si>
    <t>15271723615</t>
  </si>
  <si>
    <t>55577063</t>
  </si>
  <si>
    <t>15271723892</t>
  </si>
  <si>
    <t>55591584</t>
  </si>
  <si>
    <t>15271724514</t>
  </si>
  <si>
    <t>55591582</t>
  </si>
  <si>
    <t>15271724970</t>
  </si>
  <si>
    <t>15271726505</t>
  </si>
  <si>
    <t>55578400</t>
  </si>
  <si>
    <t>15271726514</t>
  </si>
  <si>
    <t>55577907</t>
  </si>
  <si>
    <t>15271726748</t>
  </si>
  <si>
    <t>55577701</t>
  </si>
  <si>
    <t>15271726824</t>
  </si>
  <si>
    <t>55577171</t>
  </si>
  <si>
    <t>15271727250</t>
  </si>
  <si>
    <t>55577904</t>
  </si>
  <si>
    <t>15271727614</t>
  </si>
  <si>
    <t>55577083</t>
  </si>
  <si>
    <t>15271727891</t>
  </si>
  <si>
    <t>61725843</t>
  </si>
  <si>
    <t>15271728450</t>
  </si>
  <si>
    <t>55581554</t>
  </si>
  <si>
    <t>15271728872</t>
  </si>
  <si>
    <t>15271729428</t>
  </si>
  <si>
    <t>61682205</t>
  </si>
  <si>
    <t>15271731865</t>
  </si>
  <si>
    <t>15271732972</t>
  </si>
  <si>
    <t>15271733365</t>
  </si>
  <si>
    <t>61716326</t>
  </si>
  <si>
    <t>15271736330</t>
  </si>
  <si>
    <t>61687527</t>
  </si>
  <si>
    <t>15271769094</t>
  </si>
  <si>
    <t>55579141</t>
  </si>
  <si>
    <t>15271770394</t>
  </si>
  <si>
    <t>55581507</t>
  </si>
  <si>
    <t>15271770734</t>
  </si>
  <si>
    <t>55581474</t>
  </si>
  <si>
    <t>15271774841</t>
  </si>
  <si>
    <t>55580498</t>
  </si>
  <si>
    <t>15271775517</t>
  </si>
  <si>
    <t>55578501</t>
  </si>
  <si>
    <t>15271777241</t>
  </si>
  <si>
    <t>15271779784</t>
  </si>
  <si>
    <t>55581397</t>
  </si>
  <si>
    <t>15271780121</t>
  </si>
  <si>
    <t>55581424</t>
  </si>
  <si>
    <t>15271780493</t>
  </si>
  <si>
    <t>55584899</t>
  </si>
  <si>
    <t>15271784583</t>
  </si>
  <si>
    <t>15271784918</t>
  </si>
  <si>
    <t>15271785430</t>
  </si>
  <si>
    <t>55581258</t>
  </si>
  <si>
    <t>15271785622</t>
  </si>
  <si>
    <t>55584922</t>
  </si>
  <si>
    <t>15271786313</t>
  </si>
  <si>
    <t>55579994</t>
  </si>
  <si>
    <t>15271786340</t>
  </si>
  <si>
    <t>55580929</t>
  </si>
  <si>
    <t>15271786543</t>
  </si>
  <si>
    <t>55580879</t>
  </si>
  <si>
    <t>15271787012</t>
  </si>
  <si>
    <t>55581331</t>
  </si>
  <si>
    <t>15271787549</t>
  </si>
  <si>
    <t>55585370</t>
  </si>
  <si>
    <t>15271787887</t>
  </si>
  <si>
    <t>55581439</t>
  </si>
  <si>
    <t>15271788036</t>
  </si>
  <si>
    <t>55581600</t>
  </si>
  <si>
    <t>15271788421</t>
  </si>
  <si>
    <t>55581329</t>
  </si>
  <si>
    <t>15271788656</t>
  </si>
  <si>
    <t>55581193</t>
  </si>
  <si>
    <t>15271789628</t>
  </si>
  <si>
    <t>55583130</t>
  </si>
  <si>
    <t>15271789809</t>
  </si>
  <si>
    <t>15271789918</t>
  </si>
  <si>
    <t>55581413</t>
  </si>
  <si>
    <t>15271790023</t>
  </si>
  <si>
    <t>55581476</t>
  </si>
  <si>
    <t>15271790643</t>
  </si>
  <si>
    <t>55581481</t>
  </si>
  <si>
    <t>15271790681</t>
  </si>
  <si>
    <t>55581642</t>
  </si>
  <si>
    <t>15271791162</t>
  </si>
  <si>
    <t>55581477</t>
  </si>
  <si>
    <t>15271791266</t>
  </si>
  <si>
    <t>55581366</t>
  </si>
  <si>
    <t>15271791684</t>
  </si>
  <si>
    <t>55581633</t>
  </si>
  <si>
    <t>15271792212</t>
  </si>
  <si>
    <t>55581637</t>
  </si>
  <si>
    <t>15271792227</t>
  </si>
  <si>
    <t>55581538</t>
  </si>
  <si>
    <t>15271792432</t>
  </si>
  <si>
    <t>55583120</t>
  </si>
  <si>
    <t>15271793410</t>
  </si>
  <si>
    <t>55581566</t>
  </si>
  <si>
    <t>15271793549</t>
  </si>
  <si>
    <t>55583128</t>
  </si>
  <si>
    <t>15271794083</t>
  </si>
  <si>
    <t>55581807</t>
  </si>
  <si>
    <t>15271794593</t>
  </si>
  <si>
    <t>55583132</t>
  </si>
  <si>
    <t>15271794618</t>
  </si>
  <si>
    <t>55581629</t>
  </si>
  <si>
    <t>15271795696</t>
  </si>
  <si>
    <t>55606650</t>
  </si>
  <si>
    <t>15271796056</t>
  </si>
  <si>
    <t>55583266</t>
  </si>
  <si>
    <t>15271796060</t>
  </si>
  <si>
    <t>55606618</t>
  </si>
  <si>
    <t>15271796563</t>
  </si>
  <si>
    <t>55584843</t>
  </si>
  <si>
    <t>15271796700</t>
  </si>
  <si>
    <t>55583308</t>
  </si>
  <si>
    <t>15271797000</t>
  </si>
  <si>
    <t>55584846</t>
  </si>
  <si>
    <t>15271797029</t>
  </si>
  <si>
    <t>55583267</t>
  </si>
  <si>
    <t>15271797219</t>
  </si>
  <si>
    <t>15271797287</t>
  </si>
  <si>
    <t>15271797740</t>
  </si>
  <si>
    <t>55583222</t>
  </si>
  <si>
    <t>15271797815</t>
  </si>
  <si>
    <t>55584826</t>
  </si>
  <si>
    <t>15271797820</t>
  </si>
  <si>
    <t>55584847</t>
  </si>
  <si>
    <t>15271797847</t>
  </si>
  <si>
    <t>55584807</t>
  </si>
  <si>
    <t>15271798123</t>
  </si>
  <si>
    <t>55583234</t>
  </si>
  <si>
    <t>15271798248</t>
  </si>
  <si>
    <t>55583306</t>
  </si>
  <si>
    <t>15271798742</t>
  </si>
  <si>
    <t>55583310</t>
  </si>
  <si>
    <t>15271798803</t>
  </si>
  <si>
    <t>55583304</t>
  </si>
  <si>
    <t>15271799142</t>
  </si>
  <si>
    <t>55584817</t>
  </si>
  <si>
    <t>15271799296</t>
  </si>
  <si>
    <t>55583194</t>
  </si>
  <si>
    <t>15271799368</t>
  </si>
  <si>
    <t>55584827</t>
  </si>
  <si>
    <t>15271799449</t>
  </si>
  <si>
    <t>55583265</t>
  </si>
  <si>
    <t>15271800102</t>
  </si>
  <si>
    <t>61719562</t>
  </si>
  <si>
    <t>15271800179</t>
  </si>
  <si>
    <t>15271800568</t>
  </si>
  <si>
    <t>61687306</t>
  </si>
  <si>
    <t>15271800984</t>
  </si>
  <si>
    <t>15271801018</t>
  </si>
  <si>
    <t>15271801019</t>
  </si>
  <si>
    <t>15271801169</t>
  </si>
  <si>
    <t>15271801207</t>
  </si>
  <si>
    <t>15271801246</t>
  </si>
  <si>
    <t>61733938</t>
  </si>
  <si>
    <t>15271801402</t>
  </si>
  <si>
    <t>15271801606</t>
  </si>
  <si>
    <t>61701286</t>
  </si>
  <si>
    <t>15271801815</t>
  </si>
  <si>
    <t>15271802028</t>
  </si>
  <si>
    <t>15271802061</t>
  </si>
  <si>
    <t>15271802225</t>
  </si>
  <si>
    <t>61692487</t>
  </si>
  <si>
    <t>15271802478</t>
  </si>
  <si>
    <t>15271802694</t>
  </si>
  <si>
    <t>15271803313</t>
  </si>
  <si>
    <t>15271803664</t>
  </si>
  <si>
    <t>15271803676</t>
  </si>
  <si>
    <t>15271804054</t>
  </si>
  <si>
    <t>61701755</t>
  </si>
  <si>
    <t>15271804119</t>
  </si>
  <si>
    <t>15271804345</t>
  </si>
  <si>
    <t>15271804705</t>
  </si>
  <si>
    <t>15271804916</t>
  </si>
  <si>
    <t>15271805066</t>
  </si>
  <si>
    <t>15271805226</t>
  </si>
  <si>
    <t>15271805228</t>
  </si>
  <si>
    <t>61708398</t>
  </si>
  <si>
    <t>15271805234</t>
  </si>
  <si>
    <t>61689765</t>
  </si>
  <si>
    <t>15271805296</t>
  </si>
  <si>
    <t>15271805820</t>
  </si>
  <si>
    <t>61678069</t>
  </si>
  <si>
    <t>15271806141</t>
  </si>
  <si>
    <t>15271806160</t>
  </si>
  <si>
    <t>61686344</t>
  </si>
  <si>
    <t>15271806189</t>
  </si>
  <si>
    <t>15271806226</t>
  </si>
  <si>
    <t>15271806534</t>
  </si>
  <si>
    <t>15271806863</t>
  </si>
  <si>
    <t>15271807200</t>
  </si>
  <si>
    <t>61699051</t>
  </si>
  <si>
    <t>15271807560</t>
  </si>
  <si>
    <t>15271807759</t>
  </si>
  <si>
    <t>15271807789</t>
  </si>
  <si>
    <t>15271808125</t>
  </si>
  <si>
    <t>15271808163</t>
  </si>
  <si>
    <t>15271808337</t>
  </si>
  <si>
    <t>15271808366</t>
  </si>
  <si>
    <t>15271808906</t>
  </si>
  <si>
    <t>15271809041</t>
  </si>
  <si>
    <t>15271809149</t>
  </si>
  <si>
    <t>15271809462</t>
  </si>
  <si>
    <t>15271810149</t>
  </si>
  <si>
    <t>15271810294</t>
  </si>
  <si>
    <t>15271810736</t>
  </si>
  <si>
    <t>15271811322</t>
  </si>
  <si>
    <t>15271811785</t>
  </si>
  <si>
    <t>15271811925</t>
  </si>
  <si>
    <t>15271812577</t>
  </si>
  <si>
    <t>15271812846</t>
  </si>
  <si>
    <t>15271813055</t>
  </si>
  <si>
    <t>15271813332</t>
  </si>
  <si>
    <t>15271813358</t>
  </si>
  <si>
    <t>15271817762</t>
  </si>
  <si>
    <t>15271823374</t>
  </si>
  <si>
    <t>15271825180</t>
  </si>
  <si>
    <t>15271825972</t>
  </si>
  <si>
    <t>15271826512</t>
  </si>
  <si>
    <t>15271838485</t>
  </si>
  <si>
    <t>15271838814</t>
  </si>
  <si>
    <t>61713356</t>
  </si>
  <si>
    <t>15271839594</t>
  </si>
  <si>
    <t>15271840838</t>
  </si>
  <si>
    <t>15271845551</t>
  </si>
  <si>
    <t>55592790</t>
  </si>
  <si>
    <t>15271845669</t>
  </si>
  <si>
    <t>55592911</t>
  </si>
  <si>
    <t>15271846408</t>
  </si>
  <si>
    <t>55593253</t>
  </si>
  <si>
    <t>15271846751</t>
  </si>
  <si>
    <t>55592891</t>
  </si>
  <si>
    <t>15271846851</t>
  </si>
  <si>
    <t>55593086</t>
  </si>
  <si>
    <t>15271847620</t>
  </si>
  <si>
    <t>55592778</t>
  </si>
  <si>
    <t>15271847767</t>
  </si>
  <si>
    <t>55592714</t>
  </si>
  <si>
    <t>15271850319</t>
  </si>
  <si>
    <t>55592647</t>
  </si>
  <si>
    <t>55590795</t>
  </si>
  <si>
    <t>15271851425</t>
  </si>
  <si>
    <t>55591058</t>
  </si>
  <si>
    <t>15271852819</t>
  </si>
  <si>
    <t>55593252</t>
  </si>
  <si>
    <t>15271852964</t>
  </si>
  <si>
    <t>55592827</t>
  </si>
  <si>
    <t>15271853450</t>
  </si>
  <si>
    <t>55592674</t>
  </si>
  <si>
    <t>15271853684</t>
  </si>
  <si>
    <t>55592912</t>
  </si>
  <si>
    <t>15271853922</t>
  </si>
  <si>
    <t>55592791</t>
  </si>
  <si>
    <t>15271855088</t>
  </si>
  <si>
    <t>55591662</t>
  </si>
  <si>
    <t>15271856084</t>
  </si>
  <si>
    <t>55591651</t>
  </si>
  <si>
    <t>15271856504</t>
  </si>
  <si>
    <t>15271857809</t>
  </si>
  <si>
    <t>55592655</t>
  </si>
  <si>
    <t>15271858465</t>
  </si>
  <si>
    <t>55591125</t>
  </si>
  <si>
    <t>15271858757</t>
  </si>
  <si>
    <t>55591554</t>
  </si>
  <si>
    <t>15271858804</t>
  </si>
  <si>
    <t>15271859106</t>
  </si>
  <si>
    <t>55593868</t>
  </si>
  <si>
    <t>15271859416</t>
  </si>
  <si>
    <t>55592646</t>
  </si>
  <si>
    <t>15271860200</t>
  </si>
  <si>
    <t>55592374</t>
  </si>
  <si>
    <t>15271861363</t>
  </si>
  <si>
    <t>55591539</t>
  </si>
  <si>
    <t>15271861620</t>
  </si>
  <si>
    <t>55591088</t>
  </si>
  <si>
    <t>15271861738</t>
  </si>
  <si>
    <t>55591405</t>
  </si>
  <si>
    <t>15271862034</t>
  </si>
  <si>
    <t>55590802</t>
  </si>
  <si>
    <t>15271862298</t>
  </si>
  <si>
    <t>55591054</t>
  </si>
  <si>
    <t>15271862318</t>
  </si>
  <si>
    <t>55591552</t>
  </si>
  <si>
    <t>15271862555</t>
  </si>
  <si>
    <t>15271863244</t>
  </si>
  <si>
    <t>55590796</t>
  </si>
  <si>
    <t>15271863745</t>
  </si>
  <si>
    <t>55591589</t>
  </si>
  <si>
    <t>15271863811</t>
  </si>
  <si>
    <t>55590797</t>
  </si>
  <si>
    <t>15271863835</t>
  </si>
  <si>
    <t>55591039</t>
  </si>
  <si>
    <t>15271864125</t>
  </si>
  <si>
    <t>15271864328</t>
  </si>
  <si>
    <t>15271864505</t>
  </si>
  <si>
    <t>15271866211</t>
  </si>
  <si>
    <t>55592906</t>
  </si>
  <si>
    <t>15271866810</t>
  </si>
  <si>
    <t>55592800</t>
  </si>
  <si>
    <t>15271867921</t>
  </si>
  <si>
    <t>55592850</t>
  </si>
  <si>
    <t>15271868102</t>
  </si>
  <si>
    <t>15271868244</t>
  </si>
  <si>
    <t>15271868522</t>
  </si>
  <si>
    <t>15271868532</t>
  </si>
  <si>
    <t>15271868563</t>
  </si>
  <si>
    <t>15271868681</t>
  </si>
  <si>
    <t>15271868975</t>
  </si>
  <si>
    <t>15271868980</t>
  </si>
  <si>
    <t>15271869026</t>
  </si>
  <si>
    <t>15271869277</t>
  </si>
  <si>
    <t>55598287</t>
  </si>
  <si>
    <t>15271869887</t>
  </si>
  <si>
    <t>55594638</t>
  </si>
  <si>
    <t>15271870211</t>
  </si>
  <si>
    <t>15271870244</t>
  </si>
  <si>
    <t>55597381</t>
  </si>
  <si>
    <t>15271870410</t>
  </si>
  <si>
    <t>55597291</t>
  </si>
  <si>
    <t>15271870680</t>
  </si>
  <si>
    <t>55597382</t>
  </si>
  <si>
    <t>15271870882</t>
  </si>
  <si>
    <t>55597377</t>
  </si>
  <si>
    <t>15271870966</t>
  </si>
  <si>
    <t>55595273</t>
  </si>
  <si>
    <t>15271871276</t>
  </si>
  <si>
    <t>15271871369</t>
  </si>
  <si>
    <t>55593008</t>
  </si>
  <si>
    <t>15271871451</t>
  </si>
  <si>
    <t>55592986</t>
  </si>
  <si>
    <t>15271871525</t>
  </si>
  <si>
    <t>55592984</t>
  </si>
  <si>
    <t>15271873764</t>
  </si>
  <si>
    <t>55597278</t>
  </si>
  <si>
    <t>15271873865</t>
  </si>
  <si>
    <t>61705276</t>
  </si>
  <si>
    <t>15271877327</t>
  </si>
  <si>
    <t>55597375</t>
  </si>
  <si>
    <t>15271878075</t>
  </si>
  <si>
    <t>61733086</t>
  </si>
  <si>
    <t>15271878619</t>
  </si>
  <si>
    <t>15271878744</t>
  </si>
  <si>
    <t>15271879019</t>
  </si>
  <si>
    <t>55597376</t>
  </si>
  <si>
    <t>15271879477</t>
  </si>
  <si>
    <t>55601589</t>
  </si>
  <si>
    <t>15271879704</t>
  </si>
  <si>
    <t>15271879737</t>
  </si>
  <si>
    <t>15271879758</t>
  </si>
  <si>
    <t>61734324</t>
  </si>
  <si>
    <t>15271880018</t>
  </si>
  <si>
    <t>55601620</t>
  </si>
  <si>
    <t>15271880651</t>
  </si>
  <si>
    <t>55597440</t>
  </si>
  <si>
    <t>15271881000</t>
  </si>
  <si>
    <t>61705788</t>
  </si>
  <si>
    <t>15271882021</t>
  </si>
  <si>
    <t>55600015</t>
  </si>
  <si>
    <t>15271882090</t>
  </si>
  <si>
    <t>55597642</t>
  </si>
  <si>
    <t>15271882986</t>
  </si>
  <si>
    <t>55597477</t>
  </si>
  <si>
    <t>15271882993</t>
  </si>
  <si>
    <t>55601530</t>
  </si>
  <si>
    <t>15271883126</t>
  </si>
  <si>
    <t>55594738</t>
  </si>
  <si>
    <t>15271883740</t>
  </si>
  <si>
    <t>55601529</t>
  </si>
  <si>
    <t>15271885627</t>
  </si>
  <si>
    <t>55600017</t>
  </si>
  <si>
    <t>15271885829</t>
  </si>
  <si>
    <t>55601394</t>
  </si>
  <si>
    <t>15271889921</t>
  </si>
  <si>
    <t>55637346</t>
  </si>
  <si>
    <t>15271893933</t>
  </si>
  <si>
    <t>55597352</t>
  </si>
  <si>
    <t>15271895804</t>
  </si>
  <si>
    <t>55603688</t>
  </si>
  <si>
    <t>15271896106</t>
  </si>
  <si>
    <t>55597694</t>
  </si>
  <si>
    <t>15271914018</t>
  </si>
  <si>
    <t>55614732</t>
  </si>
  <si>
    <t>15271917704</t>
  </si>
  <si>
    <t>55614444</t>
  </si>
  <si>
    <t>15271918069</t>
  </si>
  <si>
    <t>55624350</t>
  </si>
  <si>
    <t>15271919024</t>
  </si>
  <si>
    <t>55630852</t>
  </si>
  <si>
    <t>15271919482</t>
  </si>
  <si>
    <t>15271919972</t>
  </si>
  <si>
    <t>55615728</t>
  </si>
  <si>
    <t>15271920017</t>
  </si>
  <si>
    <t>55635732</t>
  </si>
  <si>
    <t>15271920877</t>
  </si>
  <si>
    <t>55624349</t>
  </si>
  <si>
    <t>15271922164</t>
  </si>
  <si>
    <t>55630275</t>
  </si>
  <si>
    <t>15271922527</t>
  </si>
  <si>
    <t>55622141</t>
  </si>
  <si>
    <t>15271923906</t>
  </si>
  <si>
    <t>15271923909</t>
  </si>
  <si>
    <t>55630068</t>
  </si>
  <si>
    <t>15271923911</t>
  </si>
  <si>
    <t>55622085</t>
  </si>
  <si>
    <t>15271924981</t>
  </si>
  <si>
    <t>55630754</t>
  </si>
  <si>
    <t>15271925675</t>
  </si>
  <si>
    <t>55608409</t>
  </si>
  <si>
    <t>15271926228</t>
  </si>
  <si>
    <t>55608281</t>
  </si>
  <si>
    <t>15271926603</t>
  </si>
  <si>
    <t>55608260</t>
  </si>
  <si>
    <t>15271927959</t>
  </si>
  <si>
    <t>55608095</t>
  </si>
  <si>
    <t>15271928355</t>
  </si>
  <si>
    <t>55607224</t>
  </si>
  <si>
    <t>15271930199</t>
  </si>
  <si>
    <t>55614508</t>
  </si>
  <si>
    <t>15271930918</t>
  </si>
  <si>
    <t>55612334</t>
  </si>
  <si>
    <t>15271931707</t>
  </si>
  <si>
    <t>55612092</t>
  </si>
  <si>
    <t>15271931898</t>
  </si>
  <si>
    <t>55610034</t>
  </si>
  <si>
    <t>15271933419</t>
  </si>
  <si>
    <t>15271933536</t>
  </si>
  <si>
    <t>55609684</t>
  </si>
  <si>
    <t>15271933796</t>
  </si>
  <si>
    <t>55609635</t>
  </si>
  <si>
    <t>15271933887</t>
  </si>
  <si>
    <t>55609829</t>
  </si>
  <si>
    <t>15271933888</t>
  </si>
  <si>
    <t>55608777</t>
  </si>
  <si>
    <t>15271934195</t>
  </si>
  <si>
    <t>55609686</t>
  </si>
  <si>
    <t>15271935044</t>
  </si>
  <si>
    <t>55614731</t>
  </si>
  <si>
    <t>15271935187</t>
  </si>
  <si>
    <t>15271936263</t>
  </si>
  <si>
    <t>55608243</t>
  </si>
  <si>
    <t>15271936560</t>
  </si>
  <si>
    <t>55608189</t>
  </si>
  <si>
    <t>15271937764</t>
  </si>
  <si>
    <t>55621633</t>
  </si>
  <si>
    <t>15271937770</t>
  </si>
  <si>
    <t>55630959</t>
  </si>
  <si>
    <t>15271937818</t>
  </si>
  <si>
    <t>55612122</t>
  </si>
  <si>
    <t>15271938015</t>
  </si>
  <si>
    <t>55611481</t>
  </si>
  <si>
    <t>15271938462</t>
  </si>
  <si>
    <t>55611761</t>
  </si>
  <si>
    <t>15271938649</t>
  </si>
  <si>
    <t>55612328</t>
  </si>
  <si>
    <t>15271940782</t>
  </si>
  <si>
    <t>55608188</t>
  </si>
  <si>
    <t>15271941127</t>
  </si>
  <si>
    <t>55612125</t>
  </si>
  <si>
    <t>15271941921</t>
  </si>
  <si>
    <t>15271942839</t>
  </si>
  <si>
    <t>55608192</t>
  </si>
  <si>
    <t>15271943972</t>
  </si>
  <si>
    <t>55611940</t>
  </si>
  <si>
    <t>15271944062</t>
  </si>
  <si>
    <t>55630960</t>
  </si>
  <si>
    <t>15271944664</t>
  </si>
  <si>
    <t>55631016</t>
  </si>
  <si>
    <t>15271944768</t>
  </si>
  <si>
    <t>55611549</t>
  </si>
  <si>
    <t>15271944882</t>
  </si>
  <si>
    <t>55609908</t>
  </si>
  <si>
    <t>15271946034</t>
  </si>
  <si>
    <t>55611979</t>
  </si>
  <si>
    <t>15271946132</t>
  </si>
  <si>
    <t>55611898</t>
  </si>
  <si>
    <t>15271947196</t>
  </si>
  <si>
    <t>55616050</t>
  </si>
  <si>
    <t>15271947216</t>
  </si>
  <si>
    <t>55622032</t>
  </si>
  <si>
    <t>15271947225</t>
  </si>
  <si>
    <t>55614522</t>
  </si>
  <si>
    <t>15271948273</t>
  </si>
  <si>
    <t>55612173</t>
  </si>
  <si>
    <t>15271948872</t>
  </si>
  <si>
    <t>55611547</t>
  </si>
  <si>
    <t>15271949176</t>
  </si>
  <si>
    <t>55622033</t>
  </si>
  <si>
    <t>15271949309</t>
  </si>
  <si>
    <t>55612326</t>
  </si>
  <si>
    <t>15271949569</t>
  </si>
  <si>
    <t>55630863</t>
  </si>
  <si>
    <t>15271949717</t>
  </si>
  <si>
    <t>55633073</t>
  </si>
  <si>
    <t>15271949795</t>
  </si>
  <si>
    <t>55633153</t>
  </si>
  <si>
    <t>15271949798</t>
  </si>
  <si>
    <t>55635796</t>
  </si>
  <si>
    <t>15271949963</t>
  </si>
  <si>
    <t>55621594</t>
  </si>
  <si>
    <t>15271950257</t>
  </si>
  <si>
    <t>15271950258</t>
  </si>
  <si>
    <t>15271950275</t>
  </si>
  <si>
    <t>55630278</t>
  </si>
  <si>
    <t>15271950370</t>
  </si>
  <si>
    <t>55633295</t>
  </si>
  <si>
    <t>15271950372</t>
  </si>
  <si>
    <t>55621629</t>
  </si>
  <si>
    <t>15271950432</t>
  </si>
  <si>
    <t>55622083</t>
  </si>
  <si>
    <t>15271950924</t>
  </si>
  <si>
    <t>55622034</t>
  </si>
  <si>
    <t>15271951023</t>
  </si>
  <si>
    <t>55622086</t>
  </si>
  <si>
    <t>15271951148</t>
  </si>
  <si>
    <t>55621907</t>
  </si>
  <si>
    <t>15271951257</t>
  </si>
  <si>
    <t>55614621</t>
  </si>
  <si>
    <t>15271951626</t>
  </si>
  <si>
    <t>55635578</t>
  </si>
  <si>
    <t>15271952307</t>
  </si>
  <si>
    <t>15271952330</t>
  </si>
  <si>
    <t>55635010</t>
  </si>
  <si>
    <t>15271952579</t>
  </si>
  <si>
    <t>55635190</t>
  </si>
  <si>
    <t>15271952625</t>
  </si>
  <si>
    <t>55635730</t>
  </si>
  <si>
    <t>15271952656</t>
  </si>
  <si>
    <t>55644369</t>
  </si>
  <si>
    <t>15271952673</t>
  </si>
  <si>
    <t>55633850</t>
  </si>
  <si>
    <t>15271952745</t>
  </si>
  <si>
    <t>55635573</t>
  </si>
  <si>
    <t>15271953026</t>
  </si>
  <si>
    <t>55622039</t>
  </si>
  <si>
    <t>15271953287</t>
  </si>
  <si>
    <t>55622084</t>
  </si>
  <si>
    <t>15271953291</t>
  </si>
  <si>
    <t>55675394</t>
  </si>
  <si>
    <t>15271953830</t>
  </si>
  <si>
    <t>55627970</t>
  </si>
  <si>
    <t>15271955062</t>
  </si>
  <si>
    <t>55644365</t>
  </si>
  <si>
    <t>15271955063</t>
  </si>
  <si>
    <t>55651644</t>
  </si>
  <si>
    <t>15271955602</t>
  </si>
  <si>
    <t>55635691</t>
  </si>
  <si>
    <t>15271955782</t>
  </si>
  <si>
    <t>55633294</t>
  </si>
  <si>
    <t>15271956020</t>
  </si>
  <si>
    <t>55633579</t>
  </si>
  <si>
    <t>15271956206</t>
  </si>
  <si>
    <t>55633684</t>
  </si>
  <si>
    <t>15271956721</t>
  </si>
  <si>
    <t>55633686</t>
  </si>
  <si>
    <t>15271956730</t>
  </si>
  <si>
    <t>55633658</t>
  </si>
  <si>
    <t>15271956745</t>
  </si>
  <si>
    <t>55633576</t>
  </si>
  <si>
    <t>15271957571</t>
  </si>
  <si>
    <t>55644413</t>
  </si>
  <si>
    <t>15271957650</t>
  </si>
  <si>
    <t>55635579</t>
  </si>
  <si>
    <t>15271959375</t>
  </si>
  <si>
    <t>55644523</t>
  </si>
  <si>
    <t>15271959376</t>
  </si>
  <si>
    <t>55644486</t>
  </si>
  <si>
    <t>15271959397</t>
  </si>
  <si>
    <t>55644566</t>
  </si>
  <si>
    <t>15271959405</t>
  </si>
  <si>
    <t>55644571</t>
  </si>
  <si>
    <t>15271959614</t>
  </si>
  <si>
    <t>55637909</t>
  </si>
  <si>
    <t>15271959698</t>
  </si>
  <si>
    <t>55637900</t>
  </si>
  <si>
    <t>15271959892</t>
  </si>
  <si>
    <t>61738928</t>
  </si>
  <si>
    <t>15271959893</t>
  </si>
  <si>
    <t>55635629</t>
  </si>
  <si>
    <t>15271960727</t>
  </si>
  <si>
    <t>55635717</t>
  </si>
  <si>
    <t>15271965102</t>
  </si>
  <si>
    <t>55637906</t>
  </si>
  <si>
    <t>15271969846</t>
  </si>
  <si>
    <t>15271970995</t>
  </si>
  <si>
    <t>15271987885</t>
  </si>
  <si>
    <t>15271990598</t>
  </si>
  <si>
    <t>15271990747</t>
  </si>
  <si>
    <t>15271991131</t>
  </si>
  <si>
    <t>61710353</t>
  </si>
  <si>
    <t>15271992408</t>
  </si>
  <si>
    <t>61715267</t>
  </si>
  <si>
    <t>15271992409</t>
  </si>
  <si>
    <t>15271993891</t>
  </si>
  <si>
    <t>15271995154</t>
  </si>
  <si>
    <t>61714781</t>
  </si>
  <si>
    <t>15271995790</t>
  </si>
  <si>
    <t>15271996218</t>
  </si>
  <si>
    <t>15271997582</t>
  </si>
  <si>
    <t>15271997893</t>
  </si>
  <si>
    <t>15271998079</t>
  </si>
  <si>
    <t>15271999017</t>
  </si>
  <si>
    <t>15271999405</t>
  </si>
  <si>
    <t>15272000496</t>
  </si>
  <si>
    <t>15272000973</t>
  </si>
  <si>
    <t>55644572</t>
  </si>
  <si>
    <t>15272001219</t>
  </si>
  <si>
    <t>15272002990</t>
  </si>
  <si>
    <t>15272003187</t>
  </si>
  <si>
    <t>15272004928</t>
  </si>
  <si>
    <t>15272005518</t>
  </si>
  <si>
    <t>55629290</t>
  </si>
  <si>
    <t>15272005791</t>
  </si>
  <si>
    <t>55629258</t>
  </si>
  <si>
    <t>15272007436</t>
  </si>
  <si>
    <t>55644292</t>
  </si>
  <si>
    <t>15272007674</t>
  </si>
  <si>
    <t>55644526</t>
  </si>
  <si>
    <t>15272007777</t>
  </si>
  <si>
    <t>55631100</t>
  </si>
  <si>
    <t>15272008077</t>
  </si>
  <si>
    <t>55629963</t>
  </si>
  <si>
    <t>15272008440</t>
  </si>
  <si>
    <t>55630273</t>
  </si>
  <si>
    <t>15272010582</t>
  </si>
  <si>
    <t>55633013</t>
  </si>
  <si>
    <t>15272011037</t>
  </si>
  <si>
    <t>55629560</t>
  </si>
  <si>
    <t>15272014967</t>
  </si>
  <si>
    <t>55644516</t>
  </si>
  <si>
    <t>15272015119</t>
  </si>
  <si>
    <t>55644484</t>
  </si>
  <si>
    <t>15272017618</t>
  </si>
  <si>
    <t>15272017760</t>
  </si>
  <si>
    <t>61684262</t>
  </si>
  <si>
    <t>15272017932</t>
  </si>
  <si>
    <t>15272018307</t>
  </si>
  <si>
    <t>15272018695</t>
  </si>
  <si>
    <t>61712619</t>
  </si>
  <si>
    <t>15272019334</t>
  </si>
  <si>
    <t>15272019503</t>
  </si>
  <si>
    <t>15272020786</t>
  </si>
  <si>
    <t>15272020799</t>
  </si>
  <si>
    <t>15272021097</t>
  </si>
  <si>
    <t>15272021115</t>
  </si>
  <si>
    <t>15272021773</t>
  </si>
  <si>
    <t>15272022114</t>
  </si>
  <si>
    <t>15272022304</t>
  </si>
  <si>
    <t>15272022593</t>
  </si>
  <si>
    <t>15272022857</t>
  </si>
  <si>
    <t>15272023908</t>
  </si>
  <si>
    <t>15272024118</t>
  </si>
  <si>
    <t>55654379</t>
  </si>
  <si>
    <t>15272024792</t>
  </si>
  <si>
    <t>55647205</t>
  </si>
  <si>
    <t>15272025130</t>
  </si>
  <si>
    <t>55644573</t>
  </si>
  <si>
    <t>15272025428</t>
  </si>
  <si>
    <t>55644569</t>
  </si>
  <si>
    <t>15272025576</t>
  </si>
  <si>
    <t>55637899</t>
  </si>
  <si>
    <t>15272025585</t>
  </si>
  <si>
    <t>15272025781</t>
  </si>
  <si>
    <t>55644603</t>
  </si>
  <si>
    <t>15272025972</t>
  </si>
  <si>
    <t>55647356</t>
  </si>
  <si>
    <t>15272025998</t>
  </si>
  <si>
    <t>55647577</t>
  </si>
  <si>
    <t>15272026003</t>
  </si>
  <si>
    <t>55647579</t>
  </si>
  <si>
    <t>15272026005</t>
  </si>
  <si>
    <t>55647638</t>
  </si>
  <si>
    <t>15272026205</t>
  </si>
  <si>
    <t>15272026258</t>
  </si>
  <si>
    <t>61674872</t>
  </si>
  <si>
    <t>15272026421</t>
  </si>
  <si>
    <t>55631481</t>
  </si>
  <si>
    <t>15272026549</t>
  </si>
  <si>
    <t>55644406</t>
  </si>
  <si>
    <t>15272026831</t>
  </si>
  <si>
    <t>55644480</t>
  </si>
  <si>
    <t>15272026957</t>
  </si>
  <si>
    <t>55631099</t>
  </si>
  <si>
    <t>15272027000</t>
  </si>
  <si>
    <t>15272027246</t>
  </si>
  <si>
    <t>15272027285</t>
  </si>
  <si>
    <t>15272027612</t>
  </si>
  <si>
    <t>55644407</t>
  </si>
  <si>
    <t>15272027622</t>
  </si>
  <si>
    <t>55631866</t>
  </si>
  <si>
    <t>15272027677</t>
  </si>
  <si>
    <t>15272027975</t>
  </si>
  <si>
    <t>15272028235</t>
  </si>
  <si>
    <t>55635725</t>
  </si>
  <si>
    <t>15272028244</t>
  </si>
  <si>
    <t>55647225</t>
  </si>
  <si>
    <t>15272028249</t>
  </si>
  <si>
    <t>15272028460</t>
  </si>
  <si>
    <t>15272028506</t>
  </si>
  <si>
    <t>55647354</t>
  </si>
  <si>
    <t>15272028723</t>
  </si>
  <si>
    <t>15272028725</t>
  </si>
  <si>
    <t>55647353</t>
  </si>
  <si>
    <t>15272028782</t>
  </si>
  <si>
    <t>15272028974</t>
  </si>
  <si>
    <t>15272029256</t>
  </si>
  <si>
    <t>55631867</t>
  </si>
  <si>
    <t>15272029613</t>
  </si>
  <si>
    <t>55644481</t>
  </si>
  <si>
    <t>15272029856</t>
  </si>
  <si>
    <t>55644567</t>
  </si>
  <si>
    <t>15272030119</t>
  </si>
  <si>
    <t>55633953</t>
  </si>
  <si>
    <t>15272030257</t>
  </si>
  <si>
    <t>55644605</t>
  </si>
  <si>
    <t>15272030307</t>
  </si>
  <si>
    <t>55644604</t>
  </si>
  <si>
    <t>15272030360</t>
  </si>
  <si>
    <t>55647357</t>
  </si>
  <si>
    <t>15272030446</t>
  </si>
  <si>
    <t>55647355</t>
  </si>
  <si>
    <t>15272030993</t>
  </si>
  <si>
    <t>55633531</t>
  </si>
  <si>
    <t>15272031483</t>
  </si>
  <si>
    <t>55644514</t>
  </si>
  <si>
    <t>15272031606</t>
  </si>
  <si>
    <t>55644487</t>
  </si>
  <si>
    <t>15272031714</t>
  </si>
  <si>
    <t>55644528</t>
  </si>
  <si>
    <t>15272031715</t>
  </si>
  <si>
    <t>55644521</t>
  </si>
  <si>
    <t>15272031730</t>
  </si>
  <si>
    <t>55644408</t>
  </si>
  <si>
    <t>15272032031</t>
  </si>
  <si>
    <t>55644599</t>
  </si>
  <si>
    <t>15272032152</t>
  </si>
  <si>
    <t>55644570</t>
  </si>
  <si>
    <t>15272032663</t>
  </si>
  <si>
    <t>55647224</t>
  </si>
  <si>
    <t>15272032742</t>
  </si>
  <si>
    <t>55644638</t>
  </si>
  <si>
    <t>15272033283</t>
  </si>
  <si>
    <t>55635574</t>
  </si>
  <si>
    <t>15272036610</t>
  </si>
  <si>
    <t>55644647</t>
  </si>
  <si>
    <t>15272036936</t>
  </si>
  <si>
    <t>55644646</t>
  </si>
  <si>
    <t>15272037347</t>
  </si>
  <si>
    <t>55647679</t>
  </si>
  <si>
    <t>15272037671</t>
  </si>
  <si>
    <t>55650652</t>
  </si>
  <si>
    <t>15272038525</t>
  </si>
  <si>
    <t>15272038900</t>
  </si>
  <si>
    <t>55635788</t>
  </si>
  <si>
    <t>15272039151</t>
  </si>
  <si>
    <t>55647678</t>
  </si>
  <si>
    <t>15272039177</t>
  </si>
  <si>
    <t>55648549</t>
  </si>
  <si>
    <t>15272039560</t>
  </si>
  <si>
    <t>55635862</t>
  </si>
  <si>
    <t>15272039787</t>
  </si>
  <si>
    <t>55648625</t>
  </si>
  <si>
    <t>15272040480</t>
  </si>
  <si>
    <t>15272040486</t>
  </si>
  <si>
    <t>15272040652</t>
  </si>
  <si>
    <t>15272040673</t>
  </si>
  <si>
    <t>15272040880</t>
  </si>
  <si>
    <t>15272041022</t>
  </si>
  <si>
    <t>15272041494</t>
  </si>
  <si>
    <t>15272042031</t>
  </si>
  <si>
    <t>15272042417</t>
  </si>
  <si>
    <t>15272042520</t>
  </si>
  <si>
    <t>15272042712</t>
  </si>
  <si>
    <t>15272043289</t>
  </si>
  <si>
    <t>61711365</t>
  </si>
  <si>
    <t>15272043311</t>
  </si>
  <si>
    <t>15272044241</t>
  </si>
  <si>
    <t>15272045828</t>
  </si>
  <si>
    <t>15272047469</t>
  </si>
  <si>
    <t>61694866</t>
  </si>
  <si>
    <t>15272048759</t>
  </si>
  <si>
    <t>15272051878</t>
  </si>
  <si>
    <t>15272053965</t>
  </si>
  <si>
    <t>61681138</t>
  </si>
  <si>
    <t>15272057296</t>
  </si>
  <si>
    <t>15272059592</t>
  </si>
  <si>
    <t>15272062092</t>
  </si>
  <si>
    <t>55659994</t>
  </si>
  <si>
    <t>15272064399</t>
  </si>
  <si>
    <t>55659896</t>
  </si>
  <si>
    <t>15272075541</t>
  </si>
  <si>
    <t>15272075857</t>
  </si>
  <si>
    <t>15272081019</t>
  </si>
  <si>
    <t>15272082973</t>
  </si>
  <si>
    <t>15272086360</t>
  </si>
  <si>
    <t>15272088161</t>
  </si>
  <si>
    <t>15272089138</t>
  </si>
  <si>
    <t>15272090514</t>
  </si>
  <si>
    <t>15272090695</t>
  </si>
  <si>
    <t>61735780</t>
  </si>
  <si>
    <t>15272090848</t>
  </si>
  <si>
    <t>61698885</t>
  </si>
  <si>
    <t>15272091795</t>
  </si>
  <si>
    <t>15272094599</t>
  </si>
  <si>
    <t>15272095128</t>
  </si>
  <si>
    <t>15272096275</t>
  </si>
  <si>
    <t>15272096816</t>
  </si>
  <si>
    <t>15272097661</t>
  </si>
  <si>
    <t>15272098071</t>
  </si>
  <si>
    <t>55662430</t>
  </si>
  <si>
    <t>15272100100</t>
  </si>
  <si>
    <t>15272100400</t>
  </si>
  <si>
    <t>55654394</t>
  </si>
  <si>
    <t>15272101188</t>
  </si>
  <si>
    <t>55662442</t>
  </si>
  <si>
    <t>15272102086</t>
  </si>
  <si>
    <t>55653742</t>
  </si>
  <si>
    <t>15272102712</t>
  </si>
  <si>
    <t>55658783</t>
  </si>
  <si>
    <t>15272103039</t>
  </si>
  <si>
    <t>55660117</t>
  </si>
  <si>
    <t>15272103399</t>
  </si>
  <si>
    <t>55651573</t>
  </si>
  <si>
    <t>15272103401</t>
  </si>
  <si>
    <t>55662427</t>
  </si>
  <si>
    <t>15272103420</t>
  </si>
  <si>
    <t>55651432</t>
  </si>
  <si>
    <t>15272103822</t>
  </si>
  <si>
    <t>55659998</t>
  </si>
  <si>
    <t>15272103927</t>
  </si>
  <si>
    <t>55659051</t>
  </si>
  <si>
    <t>15272104123</t>
  </si>
  <si>
    <t>55658871</t>
  </si>
  <si>
    <t>15272104164</t>
  </si>
  <si>
    <t>55659000</t>
  </si>
  <si>
    <t>15272104610</t>
  </si>
  <si>
    <t>55658729</t>
  </si>
  <si>
    <t>15272104931</t>
  </si>
  <si>
    <t>55659002</t>
  </si>
  <si>
    <t>15272105560</t>
  </si>
  <si>
    <t>55662429</t>
  </si>
  <si>
    <t>15272106672</t>
  </si>
  <si>
    <t>55662624</t>
  </si>
  <si>
    <t>15272107476</t>
  </si>
  <si>
    <t>55653919</t>
  </si>
  <si>
    <t>15272107743</t>
  </si>
  <si>
    <t>55653741</t>
  </si>
  <si>
    <t>15272108465</t>
  </si>
  <si>
    <t>55659995</t>
  </si>
  <si>
    <t>15272108580</t>
  </si>
  <si>
    <t>55659993</t>
  </si>
  <si>
    <t>15272109467</t>
  </si>
  <si>
    <t>55657908</t>
  </si>
  <si>
    <t>15272109820</t>
  </si>
  <si>
    <t>55654226</t>
  </si>
  <si>
    <t>15272109846</t>
  </si>
  <si>
    <t>55660116</t>
  </si>
  <si>
    <t>15272109896</t>
  </si>
  <si>
    <t>55656237</t>
  </si>
  <si>
    <t>15272109911</t>
  </si>
  <si>
    <t>55656238</t>
  </si>
  <si>
    <t>15272110305</t>
  </si>
  <si>
    <t>55653995</t>
  </si>
  <si>
    <t>15272110631</t>
  </si>
  <si>
    <t>55654230</t>
  </si>
  <si>
    <t>15272110632</t>
  </si>
  <si>
    <t>55654228</t>
  </si>
  <si>
    <t>15272110743</t>
  </si>
  <si>
    <t>55653926</t>
  </si>
  <si>
    <t>15272110818</t>
  </si>
  <si>
    <t>55653783</t>
  </si>
  <si>
    <t>15272110953</t>
  </si>
  <si>
    <t>55654174</t>
  </si>
  <si>
    <t>15272110992</t>
  </si>
  <si>
    <t>15272111014</t>
  </si>
  <si>
    <t>55653728</t>
  </si>
  <si>
    <t>15272111395</t>
  </si>
  <si>
    <t>55653730</t>
  </si>
  <si>
    <t>15272111414</t>
  </si>
  <si>
    <t>55654130</t>
  </si>
  <si>
    <t>15272112276</t>
  </si>
  <si>
    <t>55660002</t>
  </si>
  <si>
    <t>15272112547</t>
  </si>
  <si>
    <t>55659113</t>
  </si>
  <si>
    <t>15272112813</t>
  </si>
  <si>
    <t>55659005</t>
  </si>
  <si>
    <t>15272112838</t>
  </si>
  <si>
    <t>55659105</t>
  </si>
  <si>
    <t>15272112932</t>
  </si>
  <si>
    <t>55658802</t>
  </si>
  <si>
    <t>15272113485</t>
  </si>
  <si>
    <t>55659893</t>
  </si>
  <si>
    <t>15272113490</t>
  </si>
  <si>
    <t>55659283</t>
  </si>
  <si>
    <t>15272113499</t>
  </si>
  <si>
    <t>55659900</t>
  </si>
  <si>
    <t>15272113543</t>
  </si>
  <si>
    <t>15272113643</t>
  </si>
  <si>
    <t>55659273</t>
  </si>
  <si>
    <t>15272113778</t>
  </si>
  <si>
    <t>55659282</t>
  </si>
  <si>
    <t>15272113851</t>
  </si>
  <si>
    <t>55659205</t>
  </si>
  <si>
    <t>15272113852</t>
  </si>
  <si>
    <t>55659272</t>
  </si>
  <si>
    <t>15272114025</t>
  </si>
  <si>
    <t>55658785</t>
  </si>
  <si>
    <t>15272114992</t>
  </si>
  <si>
    <t>15272115282</t>
  </si>
  <si>
    <t>15272115731</t>
  </si>
  <si>
    <t>55706673</t>
  </si>
  <si>
    <t>15272116386</t>
  </si>
  <si>
    <t>55656838</t>
  </si>
  <si>
    <t>15272116390</t>
  </si>
  <si>
    <t>55706874</t>
  </si>
  <si>
    <t>15272116555</t>
  </si>
  <si>
    <t>55658999</t>
  </si>
  <si>
    <t>15272116680</t>
  </si>
  <si>
    <t>55656212</t>
  </si>
  <si>
    <t>15272116805</t>
  </si>
  <si>
    <t>55659104</t>
  </si>
  <si>
    <t>15272117817</t>
  </si>
  <si>
    <t>55656302</t>
  </si>
  <si>
    <t>15272118081</t>
  </si>
  <si>
    <t>61674842</t>
  </si>
  <si>
    <t>15272118180</t>
  </si>
  <si>
    <t>55659894</t>
  </si>
  <si>
    <t>15272118542</t>
  </si>
  <si>
    <t>55659203</t>
  </si>
  <si>
    <t>15272118725</t>
  </si>
  <si>
    <t>55659101</t>
  </si>
  <si>
    <t>15272119273</t>
  </si>
  <si>
    <t>55658089</t>
  </si>
  <si>
    <t>15272120026</t>
  </si>
  <si>
    <t>55657591</t>
  </si>
  <si>
    <t>15272120256</t>
  </si>
  <si>
    <t>15272120416</t>
  </si>
  <si>
    <t>55659992</t>
  </si>
  <si>
    <t>15272120548</t>
  </si>
  <si>
    <t>55659978</t>
  </si>
  <si>
    <t>15272120603</t>
  </si>
  <si>
    <t>55659195</t>
  </si>
  <si>
    <t>15272121070</t>
  </si>
  <si>
    <t>55659982</t>
  </si>
  <si>
    <t>15272122186</t>
  </si>
  <si>
    <t>55659278</t>
  </si>
  <si>
    <t>15272122939</t>
  </si>
  <si>
    <t>55659107</t>
  </si>
  <si>
    <t>15272123431</t>
  </si>
  <si>
    <t>15272123486</t>
  </si>
  <si>
    <t>55659980</t>
  </si>
  <si>
    <t>15272123825</t>
  </si>
  <si>
    <t>55662631</t>
  </si>
  <si>
    <t>15272125219</t>
  </si>
  <si>
    <t>15272125686</t>
  </si>
  <si>
    <t>15272125726</t>
  </si>
  <si>
    <t>15272126232</t>
  </si>
  <si>
    <t>15272126679</t>
  </si>
  <si>
    <t>61710259</t>
  </si>
  <si>
    <t>15272126721</t>
  </si>
  <si>
    <t>15272126806</t>
  </si>
  <si>
    <t>15272126844</t>
  </si>
  <si>
    <t>15272126860</t>
  </si>
  <si>
    <t>15272127656</t>
  </si>
  <si>
    <t>15272127795</t>
  </si>
  <si>
    <t>15272127825</t>
  </si>
  <si>
    <t>15272128950</t>
  </si>
  <si>
    <t>15272129686</t>
  </si>
  <si>
    <t>15272130017</t>
  </si>
  <si>
    <t>61718904</t>
  </si>
  <si>
    <t>15272130256</t>
  </si>
  <si>
    <t>15272130335</t>
  </si>
  <si>
    <t>15272130948</t>
  </si>
  <si>
    <t>15272131533</t>
  </si>
  <si>
    <t>15272131652</t>
  </si>
  <si>
    <t>15272131934</t>
  </si>
  <si>
    <t>15272133301</t>
  </si>
  <si>
    <t>15272133887</t>
  </si>
  <si>
    <t>15272134806</t>
  </si>
  <si>
    <t>15272136268</t>
  </si>
  <si>
    <t>15272137139</t>
  </si>
  <si>
    <t>15272137925</t>
  </si>
  <si>
    <t>15272138083</t>
  </si>
  <si>
    <t>15272138161</t>
  </si>
  <si>
    <t>15272138988</t>
  </si>
  <si>
    <t>15272139658</t>
  </si>
  <si>
    <t>15272147464</t>
  </si>
  <si>
    <t>15272147659</t>
  </si>
  <si>
    <t>15272148281</t>
  </si>
  <si>
    <t>15272149890</t>
  </si>
  <si>
    <t>15272159977</t>
  </si>
  <si>
    <t>61678127</t>
  </si>
  <si>
    <t>15272161342</t>
  </si>
  <si>
    <t>61729513</t>
  </si>
  <si>
    <t>15272162264</t>
  </si>
  <si>
    <t>15272163775</t>
  </si>
  <si>
    <t>15272165446</t>
  </si>
  <si>
    <t>15272165725</t>
  </si>
  <si>
    <t>15272165886</t>
  </si>
  <si>
    <t>55686337</t>
  </si>
  <si>
    <t>15272166606</t>
  </si>
  <si>
    <t>61715484</t>
  </si>
  <si>
    <t>15272175478</t>
  </si>
  <si>
    <t>15272179128</t>
  </si>
  <si>
    <t>55711039</t>
  </si>
  <si>
    <t>15272179346</t>
  </si>
  <si>
    <t>55686502</t>
  </si>
  <si>
    <t>15272181449</t>
  </si>
  <si>
    <t>55680067</t>
  </si>
  <si>
    <t>15272182060</t>
  </si>
  <si>
    <t>55679954</t>
  </si>
  <si>
    <t>15272184432</t>
  </si>
  <si>
    <t>55683195</t>
  </si>
  <si>
    <t>15272185005</t>
  </si>
  <si>
    <t>55680394</t>
  </si>
  <si>
    <t>15272189333</t>
  </si>
  <si>
    <t>15272190531</t>
  </si>
  <si>
    <t>55678538</t>
  </si>
  <si>
    <t>15272191141</t>
  </si>
  <si>
    <t>55686338</t>
  </si>
  <si>
    <t>15272192564</t>
  </si>
  <si>
    <t>55681582</t>
  </si>
  <si>
    <t>15272192565</t>
  </si>
  <si>
    <t>55681483</t>
  </si>
  <si>
    <t>15272192937</t>
  </si>
  <si>
    <t>55686352</t>
  </si>
  <si>
    <t>15272194396</t>
  </si>
  <si>
    <t>15272194503</t>
  </si>
  <si>
    <t>61715308</t>
  </si>
  <si>
    <t>15272195262</t>
  </si>
  <si>
    <t>61685602</t>
  </si>
  <si>
    <t>15272196688</t>
  </si>
  <si>
    <t>15272196710</t>
  </si>
  <si>
    <t>15272200125</t>
  </si>
  <si>
    <t>55711201</t>
  </si>
  <si>
    <t>15272201320</t>
  </si>
  <si>
    <t>55686417</t>
  </si>
  <si>
    <t>15272201622</t>
  </si>
  <si>
    <t>55686491</t>
  </si>
  <si>
    <t>15272201849</t>
  </si>
  <si>
    <t>55682974</t>
  </si>
  <si>
    <t>15272202017</t>
  </si>
  <si>
    <t>55682900</t>
  </si>
  <si>
    <t>15272203736</t>
  </si>
  <si>
    <t>55686475</t>
  </si>
  <si>
    <t>15272205325</t>
  </si>
  <si>
    <t>61727714</t>
  </si>
  <si>
    <t>15272205340</t>
  </si>
  <si>
    <t>15272206023</t>
  </si>
  <si>
    <t>15272206768</t>
  </si>
  <si>
    <t>15272207054</t>
  </si>
  <si>
    <t>15272207225</t>
  </si>
  <si>
    <t>15272208967</t>
  </si>
  <si>
    <t>15272209036</t>
  </si>
  <si>
    <t>15272209083</t>
  </si>
  <si>
    <t>15272209449</t>
  </si>
  <si>
    <t>15272209452</t>
  </si>
  <si>
    <t>15272209615</t>
  </si>
  <si>
    <t>61728733</t>
  </si>
  <si>
    <t>15272209657</t>
  </si>
  <si>
    <t>15272209860</t>
  </si>
  <si>
    <t>15272210060</t>
  </si>
  <si>
    <t>15272210149</t>
  </si>
  <si>
    <t>15272210198</t>
  </si>
  <si>
    <t>15272210602</t>
  </si>
  <si>
    <t>61704008</t>
  </si>
  <si>
    <t>15272210640</t>
  </si>
  <si>
    <t>15272211096</t>
  </si>
  <si>
    <t>15272211435</t>
  </si>
  <si>
    <t>15272211480</t>
  </si>
  <si>
    <t>15272211603</t>
  </si>
  <si>
    <t>15272212188</t>
  </si>
  <si>
    <t>15272212403</t>
  </si>
  <si>
    <t>15272212661</t>
  </si>
  <si>
    <t>15272212947</t>
  </si>
  <si>
    <t>15272213023</t>
  </si>
  <si>
    <t>15272213024</t>
  </si>
  <si>
    <t>15272213407</t>
  </si>
  <si>
    <t>61727222</t>
  </si>
  <si>
    <t>15272213509</t>
  </si>
  <si>
    <t>15272213527</t>
  </si>
  <si>
    <t>15272213530</t>
  </si>
  <si>
    <t>15272213611</t>
  </si>
  <si>
    <t>15272213726</t>
  </si>
  <si>
    <t>15272214224</t>
  </si>
  <si>
    <t>15272214237</t>
  </si>
  <si>
    <t>61704951</t>
  </si>
  <si>
    <t>15272214253</t>
  </si>
  <si>
    <t>15272214364</t>
  </si>
  <si>
    <t>15272214542</t>
  </si>
  <si>
    <t>15272214746</t>
  </si>
  <si>
    <t>15272215102</t>
  </si>
  <si>
    <t>15272215197</t>
  </si>
  <si>
    <t>15272215510</t>
  </si>
  <si>
    <t>15272215570</t>
  </si>
  <si>
    <t>61718838</t>
  </si>
  <si>
    <t>15272215648</t>
  </si>
  <si>
    <t>15272215826</t>
  </si>
  <si>
    <t>61704695</t>
  </si>
  <si>
    <t>15272216207</t>
  </si>
  <si>
    <t>61737376</t>
  </si>
  <si>
    <t>15272216347</t>
  </si>
  <si>
    <t>15272216482</t>
  </si>
  <si>
    <t>15272217288</t>
  </si>
  <si>
    <t>15272218734</t>
  </si>
  <si>
    <t>15272219016</t>
  </si>
  <si>
    <t>15272219719</t>
  </si>
  <si>
    <t>15272220032</t>
  </si>
  <si>
    <t>15272220044</t>
  </si>
  <si>
    <t>15272220135</t>
  </si>
  <si>
    <t>15272220328</t>
  </si>
  <si>
    <t>15272220381</t>
  </si>
  <si>
    <t>15272221501</t>
  </si>
  <si>
    <t>15272221794</t>
  </si>
  <si>
    <t>15272222214</t>
  </si>
  <si>
    <t>15272223248</t>
  </si>
  <si>
    <t>15272223389</t>
  </si>
  <si>
    <t>61735048</t>
  </si>
  <si>
    <t>15272223490</t>
  </si>
  <si>
    <t>15272223591</t>
  </si>
  <si>
    <t>15272223624</t>
  </si>
  <si>
    <t>15272223793</t>
  </si>
  <si>
    <t>61725143</t>
  </si>
  <si>
    <t>15272223869</t>
  </si>
  <si>
    <t>15272224322</t>
  </si>
  <si>
    <t>15272224624</t>
  </si>
  <si>
    <t>15272224626</t>
  </si>
  <si>
    <t>15272225281</t>
  </si>
  <si>
    <t>15272228770</t>
  </si>
  <si>
    <t>15272230032</t>
  </si>
  <si>
    <t>15272232225</t>
  </si>
  <si>
    <t>15272232866</t>
  </si>
  <si>
    <t>15272232880</t>
  </si>
  <si>
    <t>15272234600</t>
  </si>
  <si>
    <t>15272234697</t>
  </si>
  <si>
    <t>15272234802</t>
  </si>
  <si>
    <t>15272235156</t>
  </si>
  <si>
    <t>15272235468</t>
  </si>
  <si>
    <t>15272237315</t>
  </si>
  <si>
    <t>15272237565</t>
  </si>
  <si>
    <t>15272238668</t>
  </si>
  <si>
    <t>15272247903</t>
  </si>
  <si>
    <t>15272248219</t>
  </si>
  <si>
    <t>15272249588</t>
  </si>
  <si>
    <t>15272250975</t>
  </si>
  <si>
    <t>55709253</t>
  </si>
  <si>
    <t>15272251048</t>
  </si>
  <si>
    <t>55709242</t>
  </si>
  <si>
    <t>15272253536</t>
  </si>
  <si>
    <t>55709251</t>
  </si>
  <si>
    <t>15272254306</t>
  </si>
  <si>
    <t>15272254559</t>
  </si>
  <si>
    <t>55709913</t>
  </si>
  <si>
    <t>15272254571</t>
  </si>
  <si>
    <t>55709243</t>
  </si>
  <si>
    <t>15272256702</t>
  </si>
  <si>
    <t>55711204</t>
  </si>
  <si>
    <t>15272257184</t>
  </si>
  <si>
    <t>55709923</t>
  </si>
  <si>
    <t>15272257227</t>
  </si>
  <si>
    <t>55711040</t>
  </si>
  <si>
    <t>15272257539</t>
  </si>
  <si>
    <t>61710717</t>
  </si>
  <si>
    <t>55711170</t>
  </si>
  <si>
    <t>15272257751</t>
  </si>
  <si>
    <t>55759798</t>
  </si>
  <si>
    <t>15272258160</t>
  </si>
  <si>
    <t>55718808</t>
  </si>
  <si>
    <t>15272258401</t>
  </si>
  <si>
    <t>55712304</t>
  </si>
  <si>
    <t>15272258973</t>
  </si>
  <si>
    <t>55713027</t>
  </si>
  <si>
    <t>15272259140</t>
  </si>
  <si>
    <t>55709699</t>
  </si>
  <si>
    <t>15272259467</t>
  </si>
  <si>
    <t>55713026</t>
  </si>
  <si>
    <t>15272260432</t>
  </si>
  <si>
    <t>15272260467</t>
  </si>
  <si>
    <t>55718693</t>
  </si>
  <si>
    <t>15272262464</t>
  </si>
  <si>
    <t>55712958</t>
  </si>
  <si>
    <t>15272264158</t>
  </si>
  <si>
    <t>15272264950</t>
  </si>
  <si>
    <t>55713008</t>
  </si>
  <si>
    <t>15272265000</t>
  </si>
  <si>
    <t>55713022</t>
  </si>
  <si>
    <t>15272266046</t>
  </si>
  <si>
    <t>61709390</t>
  </si>
  <si>
    <t>15272266125</t>
  </si>
  <si>
    <t>15272266859</t>
  </si>
  <si>
    <t>15272267799</t>
  </si>
  <si>
    <t>15272268696</t>
  </si>
  <si>
    <t>15272269318</t>
  </si>
  <si>
    <t>55719040</t>
  </si>
  <si>
    <t>15272269658</t>
  </si>
  <si>
    <t>55708258</t>
  </si>
  <si>
    <t>15272270209</t>
  </si>
  <si>
    <t>55708185</t>
  </si>
  <si>
    <t>15272270722</t>
  </si>
  <si>
    <t>55708184</t>
  </si>
  <si>
    <t>15272274142</t>
  </si>
  <si>
    <t>15272274330</t>
  </si>
  <si>
    <t>55705782</t>
  </si>
  <si>
    <t>15272274331</t>
  </si>
  <si>
    <t>55706140</t>
  </si>
  <si>
    <t>15272274384</t>
  </si>
  <si>
    <t>55705795</t>
  </si>
  <si>
    <t>15272275686</t>
  </si>
  <si>
    <t>55705637</t>
  </si>
  <si>
    <t>15272275893</t>
  </si>
  <si>
    <t>55705595</t>
  </si>
  <si>
    <t>15272276176</t>
  </si>
  <si>
    <t>55705785</t>
  </si>
  <si>
    <t>15272276255</t>
  </si>
  <si>
    <t>55705513</t>
  </si>
  <si>
    <t>15272278039</t>
  </si>
  <si>
    <t>55739274</t>
  </si>
  <si>
    <t>15272278120</t>
  </si>
  <si>
    <t>55706241</t>
  </si>
  <si>
    <t>15272278621</t>
  </si>
  <si>
    <t>15272279295</t>
  </si>
  <si>
    <t>15272279814</t>
  </si>
  <si>
    <t>15272281010</t>
  </si>
  <si>
    <t>55718502</t>
  </si>
  <si>
    <t>15272281929</t>
  </si>
  <si>
    <t>55765692</t>
  </si>
  <si>
    <t>15272282597</t>
  </si>
  <si>
    <t>55708361</t>
  </si>
  <si>
    <t>15272283105</t>
  </si>
  <si>
    <t>15272284533</t>
  </si>
  <si>
    <t>55761234</t>
  </si>
  <si>
    <t>15272285764</t>
  </si>
  <si>
    <t>55708046</t>
  </si>
  <si>
    <t>15272285909</t>
  </si>
  <si>
    <t>55718754</t>
  </si>
  <si>
    <t>15272286882</t>
  </si>
  <si>
    <t>55706456</t>
  </si>
  <si>
    <t>15272287080</t>
  </si>
  <si>
    <t>55706340</t>
  </si>
  <si>
    <t>15272287125</t>
  </si>
  <si>
    <t>55706352</t>
  </si>
  <si>
    <t>15272288118</t>
  </si>
  <si>
    <t>55760889</t>
  </si>
  <si>
    <t>15272288638</t>
  </si>
  <si>
    <t>55718848</t>
  </si>
  <si>
    <t>15272289272</t>
  </si>
  <si>
    <t>15272289727</t>
  </si>
  <si>
    <t>55760932</t>
  </si>
  <si>
    <t>15272290165</t>
  </si>
  <si>
    <t>55706693</t>
  </si>
  <si>
    <t>15272290387</t>
  </si>
  <si>
    <t>61675165</t>
  </si>
  <si>
    <t>15272290412</t>
  </si>
  <si>
    <t>15272290529</t>
  </si>
  <si>
    <t>15272290843</t>
  </si>
  <si>
    <t>15272291634</t>
  </si>
  <si>
    <t>61703386</t>
  </si>
  <si>
    <t>15272292089</t>
  </si>
  <si>
    <t>15272292335</t>
  </si>
  <si>
    <t>15272292486</t>
  </si>
  <si>
    <t>15272292527</t>
  </si>
  <si>
    <t>15272292571</t>
  </si>
  <si>
    <t>15272292832</t>
  </si>
  <si>
    <t>61697142</t>
  </si>
  <si>
    <t>15272294541</t>
  </si>
  <si>
    <t>15272294917</t>
  </si>
  <si>
    <t>15272295066</t>
  </si>
  <si>
    <t>15272295947</t>
  </si>
  <si>
    <t>15272296033</t>
  </si>
  <si>
    <t>15272297795</t>
  </si>
  <si>
    <t>15272297854</t>
  </si>
  <si>
    <t>15272298271</t>
  </si>
  <si>
    <t>15272298875</t>
  </si>
  <si>
    <t>15272299260</t>
  </si>
  <si>
    <t>61710564</t>
  </si>
  <si>
    <t>15272299985</t>
  </si>
  <si>
    <t>15272300021</t>
  </si>
  <si>
    <t>15272300256</t>
  </si>
  <si>
    <t>15272300966</t>
  </si>
  <si>
    <t>61679035</t>
  </si>
  <si>
    <t>15272301507</t>
  </si>
  <si>
    <t>55718914</t>
  </si>
  <si>
    <t>15272301548</t>
  </si>
  <si>
    <t>15272301646</t>
  </si>
  <si>
    <t>15272301717</t>
  </si>
  <si>
    <t>15272301931</t>
  </si>
  <si>
    <t>15272302001</t>
  </si>
  <si>
    <t>15272302108</t>
  </si>
  <si>
    <t>15272302646</t>
  </si>
  <si>
    <t>15272302805</t>
  </si>
  <si>
    <t>15272302962</t>
  </si>
  <si>
    <t>15272303317</t>
  </si>
  <si>
    <t>15272303368</t>
  </si>
  <si>
    <t>55718919</t>
  </si>
  <si>
    <t>15272303755</t>
  </si>
  <si>
    <t>15272303826</t>
  </si>
  <si>
    <t>15272303868</t>
  </si>
  <si>
    <t>15272303908</t>
  </si>
  <si>
    <t>61702574</t>
  </si>
  <si>
    <t>15272304361</t>
  </si>
  <si>
    <t>15272304444</t>
  </si>
  <si>
    <t>55718853</t>
  </si>
  <si>
    <t>15272304588</t>
  </si>
  <si>
    <t>15272304925</t>
  </si>
  <si>
    <t>15272305415</t>
  </si>
  <si>
    <t>15272305822</t>
  </si>
  <si>
    <t>15272305896</t>
  </si>
  <si>
    <t>15272305948</t>
  </si>
  <si>
    <t>15272305954</t>
  </si>
  <si>
    <t>15272306120</t>
  </si>
  <si>
    <t>15272306430</t>
  </si>
  <si>
    <t>15272306876</t>
  </si>
  <si>
    <t>15272307062</t>
  </si>
  <si>
    <t>61692008</t>
  </si>
  <si>
    <t>15272307119</t>
  </si>
  <si>
    <t>15272307513</t>
  </si>
  <si>
    <t>15272307637</t>
  </si>
  <si>
    <t>15272307853</t>
  </si>
  <si>
    <t>15272307864</t>
  </si>
  <si>
    <t>15272307914</t>
  </si>
  <si>
    <t>15272307984</t>
  </si>
  <si>
    <t>61719135</t>
  </si>
  <si>
    <t>15272307995</t>
  </si>
  <si>
    <t>15272308038</t>
  </si>
  <si>
    <t>15272308132</t>
  </si>
  <si>
    <t>15272308318</t>
  </si>
  <si>
    <t>61681474</t>
  </si>
  <si>
    <t>15272309140</t>
  </si>
  <si>
    <t>15272310799</t>
  </si>
  <si>
    <t>15272311393</t>
  </si>
  <si>
    <t>15272312344</t>
  </si>
  <si>
    <t>61729125</t>
  </si>
  <si>
    <t>15272312679</t>
  </si>
  <si>
    <t>15272312833</t>
  </si>
  <si>
    <t>15272313078</t>
  </si>
  <si>
    <t>15272313277</t>
  </si>
  <si>
    <t>15272313297</t>
  </si>
  <si>
    <t>15272313323</t>
  </si>
  <si>
    <t>15272313714</t>
  </si>
  <si>
    <t>15272314093</t>
  </si>
  <si>
    <t>15272314094</t>
  </si>
  <si>
    <t>15272314562</t>
  </si>
  <si>
    <t>15272314759</t>
  </si>
  <si>
    <t>15272314794</t>
  </si>
  <si>
    <t>15272315168</t>
  </si>
  <si>
    <t>61685553</t>
  </si>
  <si>
    <t>15272315297</t>
  </si>
  <si>
    <t>15272315871</t>
  </si>
  <si>
    <t>15272315960</t>
  </si>
  <si>
    <t>15272315961</t>
  </si>
  <si>
    <t>15272316214</t>
  </si>
  <si>
    <t>15272316597</t>
  </si>
  <si>
    <t>15272316663</t>
  </si>
  <si>
    <t>15272316806</t>
  </si>
  <si>
    <t>15272317428</t>
  </si>
  <si>
    <t>15272317667</t>
  </si>
  <si>
    <t>61701339</t>
  </si>
  <si>
    <t>15272317956</t>
  </si>
  <si>
    <t>61718833</t>
  </si>
  <si>
    <t>15272317957</t>
  </si>
  <si>
    <t>61678916</t>
  </si>
  <si>
    <t>15272318085</t>
  </si>
  <si>
    <t>15272318483</t>
  </si>
  <si>
    <t>56029223</t>
  </si>
  <si>
    <t>15272318518</t>
  </si>
  <si>
    <t>15272319277</t>
  </si>
  <si>
    <t>15272319289</t>
  </si>
  <si>
    <t>15272319430</t>
  </si>
  <si>
    <t>15272319689</t>
  </si>
  <si>
    <t>61711298</t>
  </si>
  <si>
    <t>15272320172</t>
  </si>
  <si>
    <t>15272320528</t>
  </si>
  <si>
    <t>61732110</t>
  </si>
  <si>
    <t>15272321375</t>
  </si>
  <si>
    <t>15272322275</t>
  </si>
  <si>
    <t>15272322611</t>
  </si>
  <si>
    <t>15272322638</t>
  </si>
  <si>
    <t>15272322696</t>
  </si>
  <si>
    <t>15272322733</t>
  </si>
  <si>
    <t>15272324711</t>
  </si>
  <si>
    <t>15272327218</t>
  </si>
  <si>
    <t>15272328108</t>
  </si>
  <si>
    <t>15272328226</t>
  </si>
  <si>
    <t>15272328439</t>
  </si>
  <si>
    <t>15272328579</t>
  </si>
  <si>
    <t>61693639</t>
  </si>
  <si>
    <t>15272328901</t>
  </si>
  <si>
    <t>56062171</t>
  </si>
  <si>
    <t>15272332139</t>
  </si>
  <si>
    <t>61733689</t>
  </si>
  <si>
    <t>15272332566</t>
  </si>
  <si>
    <t>15272332788</t>
  </si>
  <si>
    <t>15272334152</t>
  </si>
  <si>
    <t>15272334742</t>
  </si>
  <si>
    <t>61715683</t>
  </si>
  <si>
    <t>15272338340</t>
  </si>
  <si>
    <t>15272338693</t>
  </si>
  <si>
    <t>15272339258</t>
  </si>
  <si>
    <t>15272340047</t>
  </si>
  <si>
    <t>15272340091</t>
  </si>
  <si>
    <t>15272341378</t>
  </si>
  <si>
    <t>15272341553</t>
  </si>
  <si>
    <t>15272342034</t>
  </si>
  <si>
    <t>15272343107</t>
  </si>
  <si>
    <t>15272343809</t>
  </si>
  <si>
    <t>15272361350</t>
  </si>
  <si>
    <t>15272361919</t>
  </si>
  <si>
    <t>15272362512</t>
  </si>
  <si>
    <t>15272362767</t>
  </si>
  <si>
    <t>15272362768</t>
  </si>
  <si>
    <t>57725730</t>
  </si>
  <si>
    <t>15272363094</t>
  </si>
  <si>
    <t>15272363241</t>
  </si>
  <si>
    <t>15272363361</t>
  </si>
  <si>
    <t>55740502</t>
  </si>
  <si>
    <t>15272363578</t>
  </si>
  <si>
    <t>15272363581</t>
  </si>
  <si>
    <t>56040059</t>
  </si>
  <si>
    <t>15272363628</t>
  </si>
  <si>
    <t>15272363897</t>
  </si>
  <si>
    <t>55720611</t>
  </si>
  <si>
    <t>15272363919</t>
  </si>
  <si>
    <t>56040054</t>
  </si>
  <si>
    <t>15272364060</t>
  </si>
  <si>
    <t>56439743</t>
  </si>
  <si>
    <t>15272364149</t>
  </si>
  <si>
    <t>15272364533</t>
  </si>
  <si>
    <t>55723388</t>
  </si>
  <si>
    <t>15272364815</t>
  </si>
  <si>
    <t>15272365611</t>
  </si>
  <si>
    <t>15272365612</t>
  </si>
  <si>
    <t>15272365906</t>
  </si>
  <si>
    <t>55719134</t>
  </si>
  <si>
    <t>15272366280</t>
  </si>
  <si>
    <t>61684434</t>
  </si>
  <si>
    <t>15272366440</t>
  </si>
  <si>
    <t>55719823</t>
  </si>
  <si>
    <t>15272366469</t>
  </si>
  <si>
    <t>55719819</t>
  </si>
  <si>
    <t>15272366601</t>
  </si>
  <si>
    <t>15272366870</t>
  </si>
  <si>
    <t>55719135</t>
  </si>
  <si>
    <t>15272367356</t>
  </si>
  <si>
    <t>15272367540</t>
  </si>
  <si>
    <t>15272367554</t>
  </si>
  <si>
    <t>15272367617</t>
  </si>
  <si>
    <t>15272367788</t>
  </si>
  <si>
    <t>15272368147</t>
  </si>
  <si>
    <t>15272368320</t>
  </si>
  <si>
    <t>56045428</t>
  </si>
  <si>
    <t>15272368338</t>
  </si>
  <si>
    <t>15272369040</t>
  </si>
  <si>
    <t>55719133</t>
  </si>
  <si>
    <t>15272369195</t>
  </si>
  <si>
    <t>15272369260</t>
  </si>
  <si>
    <t>55719126</t>
  </si>
  <si>
    <t>15272369952</t>
  </si>
  <si>
    <t>55719818</t>
  </si>
  <si>
    <t>15272370090</t>
  </si>
  <si>
    <t>55720542</t>
  </si>
  <si>
    <t>15272370566</t>
  </si>
  <si>
    <t>55720647</t>
  </si>
  <si>
    <t>15272370691</t>
  </si>
  <si>
    <t>55720530</t>
  </si>
  <si>
    <t>15272370741</t>
  </si>
  <si>
    <t>55720669</t>
  </si>
  <si>
    <t>15272371089</t>
  </si>
  <si>
    <t>55720508</t>
  </si>
  <si>
    <t>15272371715</t>
  </si>
  <si>
    <t>15272373659</t>
  </si>
  <si>
    <t>55719811</t>
  </si>
  <si>
    <t>15272373670</t>
  </si>
  <si>
    <t>61739302</t>
  </si>
  <si>
    <t>55719816</t>
  </si>
  <si>
    <t>15272373835</t>
  </si>
  <si>
    <t>55719205</t>
  </si>
  <si>
    <t>15272373924</t>
  </si>
  <si>
    <t>55727664</t>
  </si>
  <si>
    <t>15272374086</t>
  </si>
  <si>
    <t>55719551</t>
  </si>
  <si>
    <t>15272374553</t>
  </si>
  <si>
    <t>15272374558</t>
  </si>
  <si>
    <t>15272374633</t>
  </si>
  <si>
    <t>15272375018</t>
  </si>
  <si>
    <t>15272375050</t>
  </si>
  <si>
    <t>15272376502</t>
  </si>
  <si>
    <t>15272377611</t>
  </si>
  <si>
    <t>15272378046</t>
  </si>
  <si>
    <t>61698044</t>
  </si>
  <si>
    <t>15272378106</t>
  </si>
  <si>
    <t>15272378155</t>
  </si>
  <si>
    <t>56046358</t>
  </si>
  <si>
    <t>15272378601</t>
  </si>
  <si>
    <t>15272378635</t>
  </si>
  <si>
    <t>55720621</t>
  </si>
  <si>
    <t>15272378875</t>
  </si>
  <si>
    <t>55758728</t>
  </si>
  <si>
    <t>15272379672</t>
  </si>
  <si>
    <t>15272379682</t>
  </si>
  <si>
    <t>55740023</t>
  </si>
  <si>
    <t>15272379793</t>
  </si>
  <si>
    <t>55720665</t>
  </si>
  <si>
    <t>15272380127</t>
  </si>
  <si>
    <t>55720650</t>
  </si>
  <si>
    <t>15272380430</t>
  </si>
  <si>
    <t>15272380481</t>
  </si>
  <si>
    <t>15272380693</t>
  </si>
  <si>
    <t>61684880</t>
  </si>
  <si>
    <t>15272380816</t>
  </si>
  <si>
    <t>15272381053</t>
  </si>
  <si>
    <t>15272381187</t>
  </si>
  <si>
    <t>15272381516</t>
  </si>
  <si>
    <t>15272381892</t>
  </si>
  <si>
    <t>15272382084</t>
  </si>
  <si>
    <t>15272382586</t>
  </si>
  <si>
    <t>15272382620</t>
  </si>
  <si>
    <t>15272382843</t>
  </si>
  <si>
    <t>15272384712</t>
  </si>
  <si>
    <t>55741336</t>
  </si>
  <si>
    <t>15272384902</t>
  </si>
  <si>
    <t>15272384919</t>
  </si>
  <si>
    <t>57924550</t>
  </si>
  <si>
    <t>15272385375</t>
  </si>
  <si>
    <t>59513724</t>
  </si>
  <si>
    <t>15272385427</t>
  </si>
  <si>
    <t>15272385589</t>
  </si>
  <si>
    <t>15272385645</t>
  </si>
  <si>
    <t>15272385886</t>
  </si>
  <si>
    <t>15272385975</t>
  </si>
  <si>
    <t>15272385988</t>
  </si>
  <si>
    <t>15272385990</t>
  </si>
  <si>
    <t>15272386544</t>
  </si>
  <si>
    <t>15272386641</t>
  </si>
  <si>
    <t>15272386923</t>
  </si>
  <si>
    <t>55741334</t>
  </si>
  <si>
    <t>15272387096</t>
  </si>
  <si>
    <t>57863340</t>
  </si>
  <si>
    <t>15272387269</t>
  </si>
  <si>
    <t>15272387674</t>
  </si>
  <si>
    <t>15272388658</t>
  </si>
  <si>
    <t>15272388724</t>
  </si>
  <si>
    <t>15272389664</t>
  </si>
  <si>
    <t>58097621</t>
  </si>
  <si>
    <t>15272390169</t>
  </si>
  <si>
    <t>57468444</t>
  </si>
  <si>
    <t>15272390257</t>
  </si>
  <si>
    <t>15272390484</t>
  </si>
  <si>
    <t>15272390594</t>
  </si>
  <si>
    <t>15272390983</t>
  </si>
  <si>
    <t>15272391007</t>
  </si>
  <si>
    <t>15272391026</t>
  </si>
  <si>
    <t>15272391076</t>
  </si>
  <si>
    <t>15272391352</t>
  </si>
  <si>
    <t>15272391749</t>
  </si>
  <si>
    <t>15272392325</t>
  </si>
  <si>
    <t>15272393411</t>
  </si>
  <si>
    <t>15272394019</t>
  </si>
  <si>
    <t>15272394248</t>
  </si>
  <si>
    <t>15272394924</t>
  </si>
  <si>
    <t>15272394967</t>
  </si>
  <si>
    <t>15272395106</t>
  </si>
  <si>
    <t>55727668</t>
  </si>
  <si>
    <t>15272395896</t>
  </si>
  <si>
    <t>55719127</t>
  </si>
  <si>
    <t>15272396412</t>
  </si>
  <si>
    <t>15272396662</t>
  </si>
  <si>
    <t>15272396774</t>
  </si>
  <si>
    <t>55740464</t>
  </si>
  <si>
    <t>15272397100</t>
  </si>
  <si>
    <t>15272397153</t>
  </si>
  <si>
    <t>15272397171</t>
  </si>
  <si>
    <t>15272397222</t>
  </si>
  <si>
    <t>15272397364</t>
  </si>
  <si>
    <t>15272397387</t>
  </si>
  <si>
    <t>56042275</t>
  </si>
  <si>
    <t>15272398062</t>
  </si>
  <si>
    <t>15272398845</t>
  </si>
  <si>
    <t>15272399417</t>
  </si>
  <si>
    <t>15272400846</t>
  </si>
  <si>
    <t>15272401174</t>
  </si>
  <si>
    <t>55720573</t>
  </si>
  <si>
    <t>15272401260</t>
  </si>
  <si>
    <t>55720571</t>
  </si>
  <si>
    <t>15272401942</t>
  </si>
  <si>
    <t>55727689</t>
  </si>
  <si>
    <t>15272402267</t>
  </si>
  <si>
    <t>55727765</t>
  </si>
  <si>
    <t>15272402920</t>
  </si>
  <si>
    <t>15272403531</t>
  </si>
  <si>
    <t>55727673</t>
  </si>
  <si>
    <t>15272403554</t>
  </si>
  <si>
    <t>55727683</t>
  </si>
  <si>
    <t>15272403590</t>
  </si>
  <si>
    <t>15272403710</t>
  </si>
  <si>
    <t>15272403836</t>
  </si>
  <si>
    <t>55727681</t>
  </si>
  <si>
    <t>15272404184</t>
  </si>
  <si>
    <t>15272404950</t>
  </si>
  <si>
    <t>15272405028</t>
  </si>
  <si>
    <t>55727749</t>
  </si>
  <si>
    <t>15272405123</t>
  </si>
  <si>
    <t>15272405183</t>
  </si>
  <si>
    <t>15272405248</t>
  </si>
  <si>
    <t>15272405421</t>
  </si>
  <si>
    <t>15272405926</t>
  </si>
  <si>
    <t>15272405958</t>
  </si>
  <si>
    <t>15272406052</t>
  </si>
  <si>
    <t>15272406155</t>
  </si>
  <si>
    <t>15272407600</t>
  </si>
  <si>
    <t>15272407635</t>
  </si>
  <si>
    <t>55719802</t>
  </si>
  <si>
    <t>15272408875</t>
  </si>
  <si>
    <t>15272409735</t>
  </si>
  <si>
    <t>15272410213</t>
  </si>
  <si>
    <t>55727757</t>
  </si>
  <si>
    <t>15272410460</t>
  </si>
  <si>
    <t>55727685</t>
  </si>
  <si>
    <t>15272410917</t>
  </si>
  <si>
    <t>55727662</t>
  </si>
  <si>
    <t>15272412243</t>
  </si>
  <si>
    <t>15272412436</t>
  </si>
  <si>
    <t>15272412639</t>
  </si>
  <si>
    <t>15272412996</t>
  </si>
  <si>
    <t>15272413554</t>
  </si>
  <si>
    <t>15272413574</t>
  </si>
  <si>
    <t>15272414139</t>
  </si>
  <si>
    <t>15272414213</t>
  </si>
  <si>
    <t>15272414384</t>
  </si>
  <si>
    <t>15272415529</t>
  </si>
  <si>
    <t>15272415641</t>
  </si>
  <si>
    <t>15272415815</t>
  </si>
  <si>
    <t>15272416771</t>
  </si>
  <si>
    <t>15272417485</t>
  </si>
  <si>
    <t>15272417803</t>
  </si>
  <si>
    <t>15272417874</t>
  </si>
  <si>
    <t>61721075</t>
  </si>
  <si>
    <t>15272417974</t>
  </si>
  <si>
    <t>15272418932</t>
  </si>
  <si>
    <t>15272419009</t>
  </si>
  <si>
    <t>15272419239</t>
  </si>
  <si>
    <t>15272419712</t>
  </si>
  <si>
    <t>15272420124</t>
  </si>
  <si>
    <t>15272420301</t>
  </si>
  <si>
    <t>15272420756</t>
  </si>
  <si>
    <t>15272421067</t>
  </si>
  <si>
    <t>15272421624</t>
  </si>
  <si>
    <t>15272421728</t>
  </si>
  <si>
    <t>15272424399</t>
  </si>
  <si>
    <t>15272424520</t>
  </si>
  <si>
    <t>15272424601</t>
  </si>
  <si>
    <t>15272425345</t>
  </si>
  <si>
    <t>15272426989</t>
  </si>
  <si>
    <t>15272427989</t>
  </si>
  <si>
    <t>15272435203</t>
  </si>
  <si>
    <t>15272435501</t>
  </si>
  <si>
    <t>15272436983</t>
  </si>
  <si>
    <t>15272437451</t>
  </si>
  <si>
    <t>15272439358</t>
  </si>
  <si>
    <t>15272439403</t>
  </si>
  <si>
    <t>15272441138</t>
  </si>
  <si>
    <t>15272441274</t>
  </si>
  <si>
    <t>15272443027</t>
  </si>
  <si>
    <t>15272452855</t>
  </si>
  <si>
    <t>15272456076</t>
  </si>
  <si>
    <t>15272456326</t>
  </si>
  <si>
    <t>61707923</t>
  </si>
  <si>
    <t>15272456944</t>
  </si>
  <si>
    <t>15272459625</t>
  </si>
  <si>
    <t>15272460028</t>
  </si>
  <si>
    <t>15272461118</t>
  </si>
  <si>
    <t>15272461662</t>
  </si>
  <si>
    <t>15272461823</t>
  </si>
  <si>
    <t>15272461865</t>
  </si>
  <si>
    <t>61685936</t>
  </si>
  <si>
    <t>15272461873</t>
  </si>
  <si>
    <t>15272465363</t>
  </si>
  <si>
    <t>15272466030</t>
  </si>
  <si>
    <t>15272466592</t>
  </si>
  <si>
    <t>15272466758</t>
  </si>
  <si>
    <t>15272466818</t>
  </si>
  <si>
    <t>55735058</t>
  </si>
  <si>
    <t>15272467381</t>
  </si>
  <si>
    <t>15272468465</t>
  </si>
  <si>
    <t>15272469158</t>
  </si>
  <si>
    <t>15272469194</t>
  </si>
  <si>
    <t>15272469587</t>
  </si>
  <si>
    <t>15272470194</t>
  </si>
  <si>
    <t>15272470278</t>
  </si>
  <si>
    <t>15272470452</t>
  </si>
  <si>
    <t>61719522</t>
  </si>
  <si>
    <t>15272470804</t>
  </si>
  <si>
    <t>15272470822</t>
  </si>
  <si>
    <t>15272471535</t>
  </si>
  <si>
    <t>15272471627</t>
  </si>
  <si>
    <t>61694794</t>
  </si>
  <si>
    <t>15272472250</t>
  </si>
  <si>
    <t>55739483</t>
  </si>
  <si>
    <t>15272472392</t>
  </si>
  <si>
    <t>55739479</t>
  </si>
  <si>
    <t>15272472393</t>
  </si>
  <si>
    <t>55739449</t>
  </si>
  <si>
    <t>15272472938</t>
  </si>
  <si>
    <t>15272473160</t>
  </si>
  <si>
    <t>15272474495</t>
  </si>
  <si>
    <t>55738385</t>
  </si>
  <si>
    <t>15272474692</t>
  </si>
  <si>
    <t>55738391</t>
  </si>
  <si>
    <t>15272474722</t>
  </si>
  <si>
    <t>55738438</t>
  </si>
  <si>
    <t>15272474836</t>
  </si>
  <si>
    <t>55738428</t>
  </si>
  <si>
    <t>15272475284</t>
  </si>
  <si>
    <t>55736768</t>
  </si>
  <si>
    <t>15272475970</t>
  </si>
  <si>
    <t>55737878</t>
  </si>
  <si>
    <t>15272476465</t>
  </si>
  <si>
    <t>55736658</t>
  </si>
  <si>
    <t>15272477081</t>
  </si>
  <si>
    <t>55737840</t>
  </si>
  <si>
    <t>15272478099</t>
  </si>
  <si>
    <t>55736660</t>
  </si>
  <si>
    <t>15272478587</t>
  </si>
  <si>
    <t>55736613</t>
  </si>
  <si>
    <t>15272479758</t>
  </si>
  <si>
    <t>55735042</t>
  </si>
  <si>
    <t>15272480687</t>
  </si>
  <si>
    <t>55738432</t>
  </si>
  <si>
    <t>15272481136</t>
  </si>
  <si>
    <t>55738437</t>
  </si>
  <si>
    <t>15272481355</t>
  </si>
  <si>
    <t>55738434</t>
  </si>
  <si>
    <t>15272482730</t>
  </si>
  <si>
    <t>15272483065</t>
  </si>
  <si>
    <t>55735048</t>
  </si>
  <si>
    <t>15272483158</t>
  </si>
  <si>
    <t>55735040</t>
  </si>
  <si>
    <t>15272484170</t>
  </si>
  <si>
    <t>55738403</t>
  </si>
  <si>
    <t>15272485280</t>
  </si>
  <si>
    <t>15272485530</t>
  </si>
  <si>
    <t>55739329</t>
  </si>
  <si>
    <t>15272485556</t>
  </si>
  <si>
    <t>55739407</t>
  </si>
  <si>
    <t>15272485637</t>
  </si>
  <si>
    <t>55739318</t>
  </si>
  <si>
    <t>15272485648</t>
  </si>
  <si>
    <t>55739319</t>
  </si>
  <si>
    <t>15272485883</t>
  </si>
  <si>
    <t>55739320</t>
  </si>
  <si>
    <t>15272486050</t>
  </si>
  <si>
    <t>55739324</t>
  </si>
  <si>
    <t>15272486098</t>
  </si>
  <si>
    <t>55739271</t>
  </si>
  <si>
    <t>15272487249</t>
  </si>
  <si>
    <t>55737859</t>
  </si>
  <si>
    <t>15272487309</t>
  </si>
  <si>
    <t>55738227</t>
  </si>
  <si>
    <t>15272488252</t>
  </si>
  <si>
    <t>55739241</t>
  </si>
  <si>
    <t>15272488717</t>
  </si>
  <si>
    <t>55742158</t>
  </si>
  <si>
    <t>15272489061</t>
  </si>
  <si>
    <t>55739423</t>
  </si>
  <si>
    <t>15272489162</t>
  </si>
  <si>
    <t>15272489575</t>
  </si>
  <si>
    <t>55742123</t>
  </si>
  <si>
    <t>15272489658</t>
  </si>
  <si>
    <t>55739334</t>
  </si>
  <si>
    <t>15272489677</t>
  </si>
  <si>
    <t>55739335</t>
  </si>
  <si>
    <t>15272489701</t>
  </si>
  <si>
    <t>15272489908</t>
  </si>
  <si>
    <t>15272489935</t>
  </si>
  <si>
    <t>55739421</t>
  </si>
  <si>
    <t>15272489959</t>
  </si>
  <si>
    <t>15272490096</t>
  </si>
  <si>
    <t>55739260</t>
  </si>
  <si>
    <t>15272490258</t>
  </si>
  <si>
    <t>55738698</t>
  </si>
  <si>
    <t>15272490444</t>
  </si>
  <si>
    <t>55739265</t>
  </si>
  <si>
    <t>15272490485</t>
  </si>
  <si>
    <t>15272490618</t>
  </si>
  <si>
    <t>55808177</t>
  </si>
  <si>
    <t>61733866</t>
  </si>
  <si>
    <t>15272490979</t>
  </si>
  <si>
    <t>55759295</t>
  </si>
  <si>
    <t>15272490980</t>
  </si>
  <si>
    <t>55742155</t>
  </si>
  <si>
    <t>15272491413</t>
  </si>
  <si>
    <t>55741119</t>
  </si>
  <si>
    <t>15272491415</t>
  </si>
  <si>
    <t>55759796</t>
  </si>
  <si>
    <t>15272491517</t>
  </si>
  <si>
    <t>55742159</t>
  </si>
  <si>
    <t>15272491530</t>
  </si>
  <si>
    <t>55742151</t>
  </si>
  <si>
    <t>15272491631</t>
  </si>
  <si>
    <t>15272491757</t>
  </si>
  <si>
    <t>55741426</t>
  </si>
  <si>
    <t>15272492439</t>
  </si>
  <si>
    <t>55744660</t>
  </si>
  <si>
    <t>15272492513</t>
  </si>
  <si>
    <t>55744671</t>
  </si>
  <si>
    <t>15272492528</t>
  </si>
  <si>
    <t>55744670</t>
  </si>
  <si>
    <t>15272492802</t>
  </si>
  <si>
    <t>55743185</t>
  </si>
  <si>
    <t>15272493058</t>
  </si>
  <si>
    <t>15272493327</t>
  </si>
  <si>
    <t>15272493509</t>
  </si>
  <si>
    <t>55739326</t>
  </si>
  <si>
    <t>15272493528</t>
  </si>
  <si>
    <t>55739286</t>
  </si>
  <si>
    <t>15272493815</t>
  </si>
  <si>
    <t>55742163</t>
  </si>
  <si>
    <t>15272494496</t>
  </si>
  <si>
    <t>55740528</t>
  </si>
  <si>
    <t>15272494690</t>
  </si>
  <si>
    <t>15272494856</t>
  </si>
  <si>
    <t>55742083</t>
  </si>
  <si>
    <t>15272494973</t>
  </si>
  <si>
    <t>55740548</t>
  </si>
  <si>
    <t>15272495162</t>
  </si>
  <si>
    <t>15272495203</t>
  </si>
  <si>
    <t>55740505</t>
  </si>
  <si>
    <t>15272495295</t>
  </si>
  <si>
    <t>55742081</t>
  </si>
  <si>
    <t>15272495437</t>
  </si>
  <si>
    <t>55740429</t>
  </si>
  <si>
    <t>15272495438</t>
  </si>
  <si>
    <t>55740518</t>
  </si>
  <si>
    <t>15272495462</t>
  </si>
  <si>
    <t>55741274</t>
  </si>
  <si>
    <t>15272495816</t>
  </si>
  <si>
    <t>55741337</t>
  </si>
  <si>
    <t>15272495977</t>
  </si>
  <si>
    <t>55740440</t>
  </si>
  <si>
    <t>15272497200</t>
  </si>
  <si>
    <t>15272497201</t>
  </si>
  <si>
    <t>15272497334</t>
  </si>
  <si>
    <t>15272497898</t>
  </si>
  <si>
    <t>15272497958</t>
  </si>
  <si>
    <t>15272498161</t>
  </si>
  <si>
    <t>15272499056</t>
  </si>
  <si>
    <t>55742120</t>
  </si>
  <si>
    <t>15272499489</t>
  </si>
  <si>
    <t>55741425</t>
  </si>
  <si>
    <t>15272499780</t>
  </si>
  <si>
    <t>55742150</t>
  </si>
  <si>
    <t>15272499967</t>
  </si>
  <si>
    <t>55741489</t>
  </si>
  <si>
    <t>15272499994</t>
  </si>
  <si>
    <t>55742122</t>
  </si>
  <si>
    <t>15272500290</t>
  </si>
  <si>
    <t>55759156</t>
  </si>
  <si>
    <t>15272500675</t>
  </si>
  <si>
    <t>55759352</t>
  </si>
  <si>
    <t>15272501990</t>
  </si>
  <si>
    <t>55740563</t>
  </si>
  <si>
    <t>15272502917</t>
  </si>
  <si>
    <t>55759291</t>
  </si>
  <si>
    <t>15272503441</t>
  </si>
  <si>
    <t>55760936</t>
  </si>
  <si>
    <t>15272503464</t>
  </si>
  <si>
    <t>55741659</t>
  </si>
  <si>
    <t>15272504086</t>
  </si>
  <si>
    <t>55741375</t>
  </si>
  <si>
    <t>15272504218</t>
  </si>
  <si>
    <t>55759783</t>
  </si>
  <si>
    <t>15272504526</t>
  </si>
  <si>
    <t>55740457</t>
  </si>
  <si>
    <t>15272504651</t>
  </si>
  <si>
    <t>55740452</t>
  </si>
  <si>
    <t>15272504849</t>
  </si>
  <si>
    <t>55744676</t>
  </si>
  <si>
    <t>15272505632</t>
  </si>
  <si>
    <t>55759198</t>
  </si>
  <si>
    <t>15272505963</t>
  </si>
  <si>
    <t>55741834</t>
  </si>
  <si>
    <t>15272505964</t>
  </si>
  <si>
    <t>55742076</t>
  </si>
  <si>
    <t>15272506397</t>
  </si>
  <si>
    <t>55758411</t>
  </si>
  <si>
    <t>15272506568</t>
  </si>
  <si>
    <t>55744690</t>
  </si>
  <si>
    <t>15272507336</t>
  </si>
  <si>
    <t>55810168</t>
  </si>
  <si>
    <t>15272507575</t>
  </si>
  <si>
    <t>55759773</t>
  </si>
  <si>
    <t>15272508243</t>
  </si>
  <si>
    <t>15272508947</t>
  </si>
  <si>
    <t>15272509207</t>
  </si>
  <si>
    <t>15272510253</t>
  </si>
  <si>
    <t>15272512847</t>
  </si>
  <si>
    <t>15272514186</t>
  </si>
  <si>
    <t>55760886</t>
  </si>
  <si>
    <t>15272514547</t>
  </si>
  <si>
    <t>15272517262</t>
  </si>
  <si>
    <t>15272519173</t>
  </si>
  <si>
    <t>15272523425</t>
  </si>
  <si>
    <t>15272529305</t>
  </si>
  <si>
    <t>15272529676</t>
  </si>
  <si>
    <t>15272530064</t>
  </si>
  <si>
    <t>15272532305</t>
  </si>
  <si>
    <t>15272532507</t>
  </si>
  <si>
    <t>15272532856</t>
  </si>
  <si>
    <t>15272533961</t>
  </si>
  <si>
    <t>15272541750</t>
  </si>
  <si>
    <t>15272542541</t>
  </si>
  <si>
    <t>15272543297</t>
  </si>
  <si>
    <t>15272543559</t>
  </si>
  <si>
    <t>61675458</t>
  </si>
  <si>
    <t>15272543702</t>
  </si>
  <si>
    <t>61696515</t>
  </si>
  <si>
    <t>15272543943</t>
  </si>
  <si>
    <t>15272544303</t>
  </si>
  <si>
    <t>15272545887</t>
  </si>
  <si>
    <t>15272546034</t>
  </si>
  <si>
    <t>15272546203</t>
  </si>
  <si>
    <t>61722203</t>
  </si>
  <si>
    <t>15272546378</t>
  </si>
  <si>
    <t>15272547108</t>
  </si>
  <si>
    <t>15272547220</t>
  </si>
  <si>
    <t>61703650</t>
  </si>
  <si>
    <t>15272547343</t>
  </si>
  <si>
    <t>15272547780</t>
  </si>
  <si>
    <t>15272549665</t>
  </si>
  <si>
    <t>15272549732</t>
  </si>
  <si>
    <t>15272549750</t>
  </si>
  <si>
    <t>15272549990</t>
  </si>
  <si>
    <t>61681263</t>
  </si>
  <si>
    <t>15272550048</t>
  </si>
  <si>
    <t>15272550151</t>
  </si>
  <si>
    <t>15272550323</t>
  </si>
  <si>
    <t>61692824</t>
  </si>
  <si>
    <t>15272551075</t>
  </si>
  <si>
    <t>15272551711</t>
  </si>
  <si>
    <t>15272551954</t>
  </si>
  <si>
    <t>15272552087</t>
  </si>
  <si>
    <t>15272552118</t>
  </si>
  <si>
    <t>15272552506</t>
  </si>
  <si>
    <t>15272552793</t>
  </si>
  <si>
    <t>15272553011</t>
  </si>
  <si>
    <t>15272553012</t>
  </si>
  <si>
    <t>15272553199</t>
  </si>
  <si>
    <t>15272553274</t>
  </si>
  <si>
    <t>15272553802</t>
  </si>
  <si>
    <t>61706878</t>
  </si>
  <si>
    <t>15272553822</t>
  </si>
  <si>
    <t>15272553862</t>
  </si>
  <si>
    <t>55758414</t>
  </si>
  <si>
    <t>15272554188</t>
  </si>
  <si>
    <t>15272554203</t>
  </si>
  <si>
    <t>15272554467</t>
  </si>
  <si>
    <t>15272554694</t>
  </si>
  <si>
    <t>61692337</t>
  </si>
  <si>
    <t>15272554767</t>
  </si>
  <si>
    <t>15272555040</t>
  </si>
  <si>
    <t>61697569</t>
  </si>
  <si>
    <t>15272555133</t>
  </si>
  <si>
    <t>15272555648</t>
  </si>
  <si>
    <t>15272556305</t>
  </si>
  <si>
    <t>15272556406</t>
  </si>
  <si>
    <t>55759840</t>
  </si>
  <si>
    <t>15272556784</t>
  </si>
  <si>
    <t>55759786</t>
  </si>
  <si>
    <t>15272557277</t>
  </si>
  <si>
    <t>55759353</t>
  </si>
  <si>
    <t>15272557407</t>
  </si>
  <si>
    <t>55759806</t>
  </si>
  <si>
    <t>15272557685</t>
  </si>
  <si>
    <t>55759238</t>
  </si>
  <si>
    <t>15272557788</t>
  </si>
  <si>
    <t>55759343</t>
  </si>
  <si>
    <t>15272557904</t>
  </si>
  <si>
    <t>55759189</t>
  </si>
  <si>
    <t>15272558431</t>
  </si>
  <si>
    <t>55759346</t>
  </si>
  <si>
    <t>15272558524</t>
  </si>
  <si>
    <t>55763566</t>
  </si>
  <si>
    <t>15272558659</t>
  </si>
  <si>
    <t>55759279</t>
  </si>
  <si>
    <t>15272558673</t>
  </si>
  <si>
    <t>55761896</t>
  </si>
  <si>
    <t>15272559143</t>
  </si>
  <si>
    <t>55761349</t>
  </si>
  <si>
    <t>15272559380</t>
  </si>
  <si>
    <t>55759193</t>
  </si>
  <si>
    <t>15272559417</t>
  </si>
  <si>
    <t>55762916</t>
  </si>
  <si>
    <t>15272562189</t>
  </si>
  <si>
    <t>55761171</t>
  </si>
  <si>
    <t>15272562248</t>
  </si>
  <si>
    <t>55759853</t>
  </si>
  <si>
    <t>15272562525</t>
  </si>
  <si>
    <t>15272563297</t>
  </si>
  <si>
    <t>55759191</t>
  </si>
  <si>
    <t>15272563394</t>
  </si>
  <si>
    <t>55759192</t>
  </si>
  <si>
    <t>15272564079</t>
  </si>
  <si>
    <t>55759882</t>
  </si>
  <si>
    <t>15272564081</t>
  </si>
  <si>
    <t>55759157</t>
  </si>
  <si>
    <t>15272564189</t>
  </si>
  <si>
    <t>55759802</t>
  </si>
  <si>
    <t>15272564205</t>
  </si>
  <si>
    <t>55759881</t>
  </si>
  <si>
    <t>15272564463</t>
  </si>
  <si>
    <t>55756585</t>
  </si>
  <si>
    <t>15272564506</t>
  </si>
  <si>
    <t>55758413</t>
  </si>
  <si>
    <t>15272564561</t>
  </si>
  <si>
    <t>55759964</t>
  </si>
  <si>
    <t>15272564712</t>
  </si>
  <si>
    <t>55759340</t>
  </si>
  <si>
    <t>15272564986</t>
  </si>
  <si>
    <t>15272565586</t>
  </si>
  <si>
    <t>15272565614</t>
  </si>
  <si>
    <t>15272565743</t>
  </si>
  <si>
    <t>55784843</t>
  </si>
  <si>
    <t>15272565864</t>
  </si>
  <si>
    <t>15272565879</t>
  </si>
  <si>
    <t>15272566185</t>
  </si>
  <si>
    <t>15272566193</t>
  </si>
  <si>
    <t>15272566615</t>
  </si>
  <si>
    <t>55784688</t>
  </si>
  <si>
    <t>15272566703</t>
  </si>
  <si>
    <t>55761338</t>
  </si>
  <si>
    <t>15272567019</t>
  </si>
  <si>
    <t>15272567080</t>
  </si>
  <si>
    <t>15272567301</t>
  </si>
  <si>
    <t>55761336</t>
  </si>
  <si>
    <t>15272567915</t>
  </si>
  <si>
    <t>55759758</t>
  </si>
  <si>
    <t>15272567942</t>
  </si>
  <si>
    <t>55759502</t>
  </si>
  <si>
    <t>15272567956</t>
  </si>
  <si>
    <t>55759807</t>
  </si>
  <si>
    <t>15272567968</t>
  </si>
  <si>
    <t>55759851</t>
  </si>
  <si>
    <t>15272567976</t>
  </si>
  <si>
    <t>15272568293</t>
  </si>
  <si>
    <t>55759283</t>
  </si>
  <si>
    <t>15272568318</t>
  </si>
  <si>
    <t>55759348</t>
  </si>
  <si>
    <t>15272568424</t>
  </si>
  <si>
    <t>55759799</t>
  </si>
  <si>
    <t>15272569342</t>
  </si>
  <si>
    <t>55759154</t>
  </si>
  <si>
    <t>15272569376</t>
  </si>
  <si>
    <t>15272569411</t>
  </si>
  <si>
    <t>15272569554</t>
  </si>
  <si>
    <t>15272569931</t>
  </si>
  <si>
    <t>15272569959</t>
  </si>
  <si>
    <t>15272570256</t>
  </si>
  <si>
    <t>15272571162</t>
  </si>
  <si>
    <t>15272572934</t>
  </si>
  <si>
    <t>55761348</t>
  </si>
  <si>
    <t>15272573297</t>
  </si>
  <si>
    <t>55761263</t>
  </si>
  <si>
    <t>15272573407</t>
  </si>
  <si>
    <t>55764389</t>
  </si>
  <si>
    <t>15272573640</t>
  </si>
  <si>
    <t>55761169</t>
  </si>
  <si>
    <t>15272573794</t>
  </si>
  <si>
    <t>15272574003</t>
  </si>
  <si>
    <t>55761165</t>
  </si>
  <si>
    <t>15272574063</t>
  </si>
  <si>
    <t>55761242</t>
  </si>
  <si>
    <t>15272574209</t>
  </si>
  <si>
    <t>55761167</t>
  </si>
  <si>
    <t>15272574296</t>
  </si>
  <si>
    <t>55761236</t>
  </si>
  <si>
    <t>15272574331</t>
  </si>
  <si>
    <t>55760934</t>
  </si>
  <si>
    <t>15272574625</t>
  </si>
  <si>
    <t>55760912</t>
  </si>
  <si>
    <t>15272575086</t>
  </si>
  <si>
    <t>55765213</t>
  </si>
  <si>
    <t>15272575290</t>
  </si>
  <si>
    <t>15272575729</t>
  </si>
  <si>
    <t>55764653</t>
  </si>
  <si>
    <t>15272576005</t>
  </si>
  <si>
    <t>55765658</t>
  </si>
  <si>
    <t>15272576273</t>
  </si>
  <si>
    <t>55764655</t>
  </si>
  <si>
    <t>15272576504</t>
  </si>
  <si>
    <t>55787835</t>
  </si>
  <si>
    <t>15272576663</t>
  </si>
  <si>
    <t>55766797</t>
  </si>
  <si>
    <t>15272576782</t>
  </si>
  <si>
    <t>15272576804</t>
  </si>
  <si>
    <t>55764547</t>
  </si>
  <si>
    <t>15272576822</t>
  </si>
  <si>
    <t>55766795</t>
  </si>
  <si>
    <t>15272576879</t>
  </si>
  <si>
    <t>55765690</t>
  </si>
  <si>
    <t>15272576925</t>
  </si>
  <si>
    <t>55764543</t>
  </si>
  <si>
    <t>15272576993</t>
  </si>
  <si>
    <t>55764690</t>
  </si>
  <si>
    <t>15272577033</t>
  </si>
  <si>
    <t>55764546</t>
  </si>
  <si>
    <t>15272577184</t>
  </si>
  <si>
    <t>55761893</t>
  </si>
  <si>
    <t>15272577486</t>
  </si>
  <si>
    <t>55761895</t>
  </si>
  <si>
    <t>15272577498</t>
  </si>
  <si>
    <t>55762922</t>
  </si>
  <si>
    <t>15272579340</t>
  </si>
  <si>
    <t>55763947</t>
  </si>
  <si>
    <t>15272579692</t>
  </si>
  <si>
    <t>55763950</t>
  </si>
  <si>
    <t>15272580353</t>
  </si>
  <si>
    <t>55761897</t>
  </si>
  <si>
    <t>15272580448</t>
  </si>
  <si>
    <t>15272580729</t>
  </si>
  <si>
    <t>15272580890</t>
  </si>
  <si>
    <t>15272580931</t>
  </si>
  <si>
    <t>15272581131</t>
  </si>
  <si>
    <t>15272581136</t>
  </si>
  <si>
    <t>15272581272</t>
  </si>
  <si>
    <t>61680072</t>
  </si>
  <si>
    <t>15272581337</t>
  </si>
  <si>
    <t>15272581462</t>
  </si>
  <si>
    <t>15272581675</t>
  </si>
  <si>
    <t>15272581874</t>
  </si>
  <si>
    <t>55765211</t>
  </si>
  <si>
    <t>15272581986</t>
  </si>
  <si>
    <t>55764928</t>
  </si>
  <si>
    <t>15272582259</t>
  </si>
  <si>
    <t>15272582335</t>
  </si>
  <si>
    <t>55766796</t>
  </si>
  <si>
    <t>15272582715</t>
  </si>
  <si>
    <t>55785209</t>
  </si>
  <si>
    <t>15272582834</t>
  </si>
  <si>
    <t>55763656</t>
  </si>
  <si>
    <t>15272583092</t>
  </si>
  <si>
    <t>55763570</t>
  </si>
  <si>
    <t>15272583124</t>
  </si>
  <si>
    <t>55763520</t>
  </si>
  <si>
    <t>15272583203</t>
  </si>
  <si>
    <t>55762924</t>
  </si>
  <si>
    <t>15272583888</t>
  </si>
  <si>
    <t>61685912</t>
  </si>
  <si>
    <t>15272584743</t>
  </si>
  <si>
    <t>55764561</t>
  </si>
  <si>
    <t>15272584753</t>
  </si>
  <si>
    <t>55765214</t>
  </si>
  <si>
    <t>15272584840</t>
  </si>
  <si>
    <t>55764585</t>
  </si>
  <si>
    <t>15272584864</t>
  </si>
  <si>
    <t>55764545</t>
  </si>
  <si>
    <t>15272586051</t>
  </si>
  <si>
    <t>55765201</t>
  </si>
  <si>
    <t>15272586268</t>
  </si>
  <si>
    <t>55765693</t>
  </si>
  <si>
    <t>15272586600</t>
  </si>
  <si>
    <t>15272587702</t>
  </si>
  <si>
    <t>55763646</t>
  </si>
  <si>
    <t>15272587934</t>
  </si>
  <si>
    <t>55763852</t>
  </si>
  <si>
    <t>15272588129</t>
  </si>
  <si>
    <t>55763949</t>
  </si>
  <si>
    <t>15272588166</t>
  </si>
  <si>
    <t>55763943</t>
  </si>
  <si>
    <t>15272588260</t>
  </si>
  <si>
    <t>55763802</t>
  </si>
  <si>
    <t>15272588291</t>
  </si>
  <si>
    <t>55763850</t>
  </si>
  <si>
    <t>15272588329</t>
  </si>
  <si>
    <t>55763801</t>
  </si>
  <si>
    <t>15272588608</t>
  </si>
  <si>
    <t>55763590</t>
  </si>
  <si>
    <t>15272588630</t>
  </si>
  <si>
    <t>55763650</t>
  </si>
  <si>
    <t>15272588634</t>
  </si>
  <si>
    <t>55763796</t>
  </si>
  <si>
    <t>15272589432</t>
  </si>
  <si>
    <t>55763642</t>
  </si>
  <si>
    <t>15272589557</t>
  </si>
  <si>
    <t>55763942</t>
  </si>
  <si>
    <t>15272589611</t>
  </si>
  <si>
    <t>55763795</t>
  </si>
  <si>
    <t>15272589802</t>
  </si>
  <si>
    <t>55762832</t>
  </si>
  <si>
    <t>61678210</t>
  </si>
  <si>
    <t>15272589875</t>
  </si>
  <si>
    <t>55763522</t>
  </si>
  <si>
    <t>15272589876</t>
  </si>
  <si>
    <t>55763565</t>
  </si>
  <si>
    <t>15272590041</t>
  </si>
  <si>
    <t>55763648</t>
  </si>
  <si>
    <t>15272590356</t>
  </si>
  <si>
    <t>55763649</t>
  </si>
  <si>
    <t>15272592235</t>
  </si>
  <si>
    <t>55787910</t>
  </si>
  <si>
    <t>15272592440</t>
  </si>
  <si>
    <t>55787766</t>
  </si>
  <si>
    <t>15272592781</t>
  </si>
  <si>
    <t>55788155</t>
  </si>
  <si>
    <t>15272593823</t>
  </si>
  <si>
    <t>55788109</t>
  </si>
  <si>
    <t>15272595980</t>
  </si>
  <si>
    <t>55835523</t>
  </si>
  <si>
    <t>15272597877</t>
  </si>
  <si>
    <t>55788316</t>
  </si>
  <si>
    <t>15272598102</t>
  </si>
  <si>
    <t>55788315</t>
  </si>
  <si>
    <t>15272598475</t>
  </si>
  <si>
    <t>55787915</t>
  </si>
  <si>
    <t>15272601182</t>
  </si>
  <si>
    <t>55792160</t>
  </si>
  <si>
    <t>15272601665</t>
  </si>
  <si>
    <t>55788605</t>
  </si>
  <si>
    <t>15272604384</t>
  </si>
  <si>
    <t>61678964</t>
  </si>
  <si>
    <t>15272604868</t>
  </si>
  <si>
    <t>15272605282</t>
  </si>
  <si>
    <t>15272613254</t>
  </si>
  <si>
    <t>15272614748</t>
  </si>
  <si>
    <t>55784766</t>
  </si>
  <si>
    <t>15272615096</t>
  </si>
  <si>
    <t>15272617076</t>
  </si>
  <si>
    <t>15272617201</t>
  </si>
  <si>
    <t>15272618851</t>
  </si>
  <si>
    <t>55784697</t>
  </si>
  <si>
    <t>15272620547</t>
  </si>
  <si>
    <t>15272622590</t>
  </si>
  <si>
    <t>15272625290</t>
  </si>
  <si>
    <t>15272626960</t>
  </si>
  <si>
    <t>55784760</t>
  </si>
  <si>
    <t>15272628059</t>
  </si>
  <si>
    <t>15272629164</t>
  </si>
  <si>
    <t>15272629283</t>
  </si>
  <si>
    <t>15272629284</t>
  </si>
  <si>
    <t>15272630837</t>
  </si>
  <si>
    <t>15272632502</t>
  </si>
  <si>
    <t>55784695</t>
  </si>
  <si>
    <t>15272634777</t>
  </si>
  <si>
    <t>15272636849</t>
  </si>
  <si>
    <t>15272637162</t>
  </si>
  <si>
    <t>15272637395</t>
  </si>
  <si>
    <t>55784761</t>
  </si>
  <si>
    <t>15272637492</t>
  </si>
  <si>
    <t>15272637795</t>
  </si>
  <si>
    <t>15272638181</t>
  </si>
  <si>
    <t>15272639437</t>
  </si>
  <si>
    <t>15272640475</t>
  </si>
  <si>
    <t>15272640743</t>
  </si>
  <si>
    <t>61678721</t>
  </si>
  <si>
    <t>15272642362</t>
  </si>
  <si>
    <t>15272643282</t>
  </si>
  <si>
    <t>15272645313</t>
  </si>
  <si>
    <t>15272645811</t>
  </si>
  <si>
    <t>15272646275</t>
  </si>
  <si>
    <t>55784622</t>
  </si>
  <si>
    <t>15272646368</t>
  </si>
  <si>
    <t>55784762</t>
  </si>
  <si>
    <t>15272647199</t>
  </si>
  <si>
    <t>55784759</t>
  </si>
  <si>
    <t>15272647947</t>
  </si>
  <si>
    <t>55783459</t>
  </si>
  <si>
    <t>15272647993</t>
  </si>
  <si>
    <t>55784765</t>
  </si>
  <si>
    <t>15272648143</t>
  </si>
  <si>
    <t>55783545</t>
  </si>
  <si>
    <t>15272648875</t>
  </si>
  <si>
    <t>55834627</t>
  </si>
  <si>
    <t>15272649758</t>
  </si>
  <si>
    <t>55787911</t>
  </si>
  <si>
    <t>15272649822</t>
  </si>
  <si>
    <t>55785631</t>
  </si>
  <si>
    <t>15272651142</t>
  </si>
  <si>
    <t>55785510</t>
  </si>
  <si>
    <t>15272651247</t>
  </si>
  <si>
    <t>55785300</t>
  </si>
  <si>
    <t>15272651371</t>
  </si>
  <si>
    <t>55785214</t>
  </si>
  <si>
    <t>15272651628</t>
  </si>
  <si>
    <t>61708545</t>
  </si>
  <si>
    <t>55785020</t>
  </si>
  <si>
    <t>15272651693</t>
  </si>
  <si>
    <t>55785109</t>
  </si>
  <si>
    <t>15272651695</t>
  </si>
  <si>
    <t>55785058</t>
  </si>
  <si>
    <t>15272652255</t>
  </si>
  <si>
    <t>55784995</t>
  </si>
  <si>
    <t>15272652834</t>
  </si>
  <si>
    <t>55785000</t>
  </si>
  <si>
    <t>15272652856</t>
  </si>
  <si>
    <t>55785055</t>
  </si>
  <si>
    <t>15272652881</t>
  </si>
  <si>
    <t>15272653079</t>
  </si>
  <si>
    <t>55833306</t>
  </si>
  <si>
    <t>15272653252</t>
  </si>
  <si>
    <t>55833301</t>
  </si>
  <si>
    <t>15272653355</t>
  </si>
  <si>
    <t>55834139</t>
  </si>
  <si>
    <t>15272653469</t>
  </si>
  <si>
    <t>55789058</t>
  </si>
  <si>
    <t>15272653516</t>
  </si>
  <si>
    <t>55789057</t>
  </si>
  <si>
    <t>15272653590</t>
  </si>
  <si>
    <t>55788748</t>
  </si>
  <si>
    <t>15272653769</t>
  </si>
  <si>
    <t>55891095</t>
  </si>
  <si>
    <t>15272653844</t>
  </si>
  <si>
    <t>55789061</t>
  </si>
  <si>
    <t>15272655693</t>
  </si>
  <si>
    <t>55785056</t>
  </si>
  <si>
    <t>15272657053</t>
  </si>
  <si>
    <t>55785215</t>
  </si>
  <si>
    <t>15272657382</t>
  </si>
  <si>
    <t>55784991</t>
  </si>
  <si>
    <t>15272657942</t>
  </si>
  <si>
    <t>55784952</t>
  </si>
  <si>
    <t>15272659159</t>
  </si>
  <si>
    <t>55784845</t>
  </si>
  <si>
    <t>15272659166</t>
  </si>
  <si>
    <t>55785509</t>
  </si>
  <si>
    <t>15272660101</t>
  </si>
  <si>
    <t>55785213</t>
  </si>
  <si>
    <t>15272660308</t>
  </si>
  <si>
    <t>55785210</t>
  </si>
  <si>
    <t>15272660366</t>
  </si>
  <si>
    <t>55785175</t>
  </si>
  <si>
    <t>15272660573</t>
  </si>
  <si>
    <t>55784953</t>
  </si>
  <si>
    <t>15272661087</t>
  </si>
  <si>
    <t>15272661095</t>
  </si>
  <si>
    <t>55785059</t>
  </si>
  <si>
    <t>15272661210</t>
  </si>
  <si>
    <t>55784819</t>
  </si>
  <si>
    <t>15272661554</t>
  </si>
  <si>
    <t>55784947</t>
  </si>
  <si>
    <t>15272661630</t>
  </si>
  <si>
    <t>55784948</t>
  </si>
  <si>
    <t>15272661756</t>
  </si>
  <si>
    <t>15272661759</t>
  </si>
  <si>
    <t>55834125</t>
  </si>
  <si>
    <t>15272661848</t>
  </si>
  <si>
    <t>55834059</t>
  </si>
  <si>
    <t>15272662618</t>
  </si>
  <si>
    <t>55813696</t>
  </si>
  <si>
    <t>15272662794</t>
  </si>
  <si>
    <t>55834127</t>
  </si>
  <si>
    <t>15272663002</t>
  </si>
  <si>
    <t>55812276</t>
  </si>
  <si>
    <t>15272663048</t>
  </si>
  <si>
    <t>55785490</t>
  </si>
  <si>
    <t>15272663768</t>
  </si>
  <si>
    <t>61722056</t>
  </si>
  <si>
    <t>15272664028</t>
  </si>
  <si>
    <t>15272664049</t>
  </si>
  <si>
    <t>15272664235</t>
  </si>
  <si>
    <t>15272664258</t>
  </si>
  <si>
    <t>15272664320</t>
  </si>
  <si>
    <t>15272664371</t>
  </si>
  <si>
    <t>15272665657</t>
  </si>
  <si>
    <t>55785212</t>
  </si>
  <si>
    <t>15272666476</t>
  </si>
  <si>
    <t>55788749</t>
  </si>
  <si>
    <t>15272666581</t>
  </si>
  <si>
    <t>55788604</t>
  </si>
  <si>
    <t>15272666628</t>
  </si>
  <si>
    <t>55788311</t>
  </si>
  <si>
    <t>15272667252</t>
  </si>
  <si>
    <t>61708875</t>
  </si>
  <si>
    <t>55788113</t>
  </si>
  <si>
    <t>15272667334</t>
  </si>
  <si>
    <t>55788098</t>
  </si>
  <si>
    <t>15272667529</t>
  </si>
  <si>
    <t>55788150</t>
  </si>
  <si>
    <t>15272667562</t>
  </si>
  <si>
    <t>15272668179</t>
  </si>
  <si>
    <t>55785623</t>
  </si>
  <si>
    <t>15272668378</t>
  </si>
  <si>
    <t>55785638</t>
  </si>
  <si>
    <t>15272669070</t>
  </si>
  <si>
    <t>15272669197</t>
  </si>
  <si>
    <t>15272669995</t>
  </si>
  <si>
    <t>15272670599</t>
  </si>
  <si>
    <t>15272670676</t>
  </si>
  <si>
    <t>15272670705</t>
  </si>
  <si>
    <t>15272671679</t>
  </si>
  <si>
    <t>15272672010</t>
  </si>
  <si>
    <t>15272672219</t>
  </si>
  <si>
    <t>61730224</t>
  </si>
  <si>
    <t>15272672744</t>
  </si>
  <si>
    <t>15272672789</t>
  </si>
  <si>
    <t>15272673299</t>
  </si>
  <si>
    <t>15272673394</t>
  </si>
  <si>
    <t>15272673406</t>
  </si>
  <si>
    <t>15272673852</t>
  </si>
  <si>
    <t>15272673864</t>
  </si>
  <si>
    <t>15272674315</t>
  </si>
  <si>
    <t>15272674578</t>
  </si>
  <si>
    <t>15272674629</t>
  </si>
  <si>
    <t>15272674757</t>
  </si>
  <si>
    <t>61734314</t>
  </si>
  <si>
    <t>15272674940</t>
  </si>
  <si>
    <t>15272675166</t>
  </si>
  <si>
    <t>15272675183</t>
  </si>
  <si>
    <t>15272675826</t>
  </si>
  <si>
    <t>15272676460</t>
  </si>
  <si>
    <t>15272676575</t>
  </si>
  <si>
    <t>15272676797</t>
  </si>
  <si>
    <t>15272676825</t>
  </si>
  <si>
    <t>15272676877</t>
  </si>
  <si>
    <t>15272676931</t>
  </si>
  <si>
    <t>15272676942</t>
  </si>
  <si>
    <t>15272677557</t>
  </si>
  <si>
    <t>15272677611</t>
  </si>
  <si>
    <t>61737894</t>
  </si>
  <si>
    <t>15272677721</t>
  </si>
  <si>
    <t>15272677792</t>
  </si>
  <si>
    <t>15272677913</t>
  </si>
  <si>
    <t>15272678025</t>
  </si>
  <si>
    <t>15272678153</t>
  </si>
  <si>
    <t>15272678154</t>
  </si>
  <si>
    <t>15272678223</t>
  </si>
  <si>
    <t>15272678324</t>
  </si>
  <si>
    <t>15272678614</t>
  </si>
  <si>
    <t>15272680242</t>
  </si>
  <si>
    <t>15272680610</t>
  </si>
  <si>
    <t>15272681073</t>
  </si>
  <si>
    <t>15272681166</t>
  </si>
  <si>
    <t>15272681364</t>
  </si>
  <si>
    <t>15272681965</t>
  </si>
  <si>
    <t>61679970</t>
  </si>
  <si>
    <t>15272683341</t>
  </si>
  <si>
    <t>15272686587</t>
  </si>
  <si>
    <t>15272686642</t>
  </si>
  <si>
    <t>15272689117</t>
  </si>
  <si>
    <t>15272689243</t>
  </si>
  <si>
    <t>15272689972</t>
  </si>
  <si>
    <t>15272690657</t>
  </si>
  <si>
    <t>15272692891</t>
  </si>
  <si>
    <t>15272693057</t>
  </si>
  <si>
    <t>15272694100</t>
  </si>
  <si>
    <t>15272694232</t>
  </si>
  <si>
    <t>15272695905</t>
  </si>
  <si>
    <t>15272708578</t>
  </si>
  <si>
    <t>55811825</t>
  </si>
  <si>
    <t>15272710928</t>
  </si>
  <si>
    <t>55813458</t>
  </si>
  <si>
    <t>15272711434</t>
  </si>
  <si>
    <t>55816359</t>
  </si>
  <si>
    <t>15272711537</t>
  </si>
  <si>
    <t>55816362</t>
  </si>
  <si>
    <t>15272715808</t>
  </si>
  <si>
    <t>61726680</t>
  </si>
  <si>
    <t>15272716802</t>
  </si>
  <si>
    <t>15272717221</t>
  </si>
  <si>
    <t>15272717224</t>
  </si>
  <si>
    <t>15272717900</t>
  </si>
  <si>
    <t>61719017</t>
  </si>
  <si>
    <t>15272718183</t>
  </si>
  <si>
    <t>15272718541</t>
  </si>
  <si>
    <t>61681066</t>
  </si>
  <si>
    <t>15272719058</t>
  </si>
  <si>
    <t>15272719152</t>
  </si>
  <si>
    <t>15272719732</t>
  </si>
  <si>
    <t>15272720643</t>
  </si>
  <si>
    <t>61714494</t>
  </si>
  <si>
    <t>15272720814</t>
  </si>
  <si>
    <t>55811119</t>
  </si>
  <si>
    <t>15272722037</t>
  </si>
  <si>
    <t>15272724889</t>
  </si>
  <si>
    <t>15272726212</t>
  </si>
  <si>
    <t>55812332</t>
  </si>
  <si>
    <t>15272726576</t>
  </si>
  <si>
    <t>15272727344</t>
  </si>
  <si>
    <t>55811266</t>
  </si>
  <si>
    <t>15272728443</t>
  </si>
  <si>
    <t>55861482</t>
  </si>
  <si>
    <t>15272729778</t>
  </si>
  <si>
    <t>55810279</t>
  </si>
  <si>
    <t>15272729935</t>
  </si>
  <si>
    <t>55810487</t>
  </si>
  <si>
    <t>15272731200</t>
  </si>
  <si>
    <t>55811862</t>
  </si>
  <si>
    <t>15272731320</t>
  </si>
  <si>
    <t>55810301</t>
  </si>
  <si>
    <t>15272731488</t>
  </si>
  <si>
    <t>55811828</t>
  </si>
  <si>
    <t>15272731695</t>
  </si>
  <si>
    <t>55807874</t>
  </si>
  <si>
    <t>15272734571</t>
  </si>
  <si>
    <t>55812218</t>
  </si>
  <si>
    <t>15272737152</t>
  </si>
  <si>
    <t>55810476</t>
  </si>
  <si>
    <t>15272738541</t>
  </si>
  <si>
    <t>15272739443</t>
  </si>
  <si>
    <t>15272739471</t>
  </si>
  <si>
    <t>15272739960</t>
  </si>
  <si>
    <t>15272739993</t>
  </si>
  <si>
    <t>15272740741</t>
  </si>
  <si>
    <t>15272740982</t>
  </si>
  <si>
    <t>15272741678</t>
  </si>
  <si>
    <t>15272742379</t>
  </si>
  <si>
    <t>15272742391</t>
  </si>
  <si>
    <t>15272743166</t>
  </si>
  <si>
    <t>15272743528</t>
  </si>
  <si>
    <t>15272743599</t>
  </si>
  <si>
    <t>15272744432</t>
  </si>
  <si>
    <t>15272744584</t>
  </si>
  <si>
    <t>55832497</t>
  </si>
  <si>
    <t>15272746043</t>
  </si>
  <si>
    <t>15272746434</t>
  </si>
  <si>
    <t>55812169</t>
  </si>
  <si>
    <t>15272746875</t>
  </si>
  <si>
    <t>55808206</t>
  </si>
  <si>
    <t>15272747475</t>
  </si>
  <si>
    <t>55811268</t>
  </si>
  <si>
    <t>15272747510</t>
  </si>
  <si>
    <t>15272747859</t>
  </si>
  <si>
    <t>55808203</t>
  </si>
  <si>
    <t>15272748409</t>
  </si>
  <si>
    <t>55811117</t>
  </si>
  <si>
    <t>15272748510</t>
  </si>
  <si>
    <t>55811829</t>
  </si>
  <si>
    <t>15272749314</t>
  </si>
  <si>
    <t>55812179</t>
  </si>
  <si>
    <t>15272749727</t>
  </si>
  <si>
    <t>55807608</t>
  </si>
  <si>
    <t>15272749728</t>
  </si>
  <si>
    <t>55806426</t>
  </si>
  <si>
    <t>15272750356</t>
  </si>
  <si>
    <t>15272751036</t>
  </si>
  <si>
    <t>15272752482</t>
  </si>
  <si>
    <t>15272752584</t>
  </si>
  <si>
    <t>15272752710</t>
  </si>
  <si>
    <t>15272752948</t>
  </si>
  <si>
    <t>15272753193</t>
  </si>
  <si>
    <t>15272753870</t>
  </si>
  <si>
    <t>15272754477</t>
  </si>
  <si>
    <t>15272754828</t>
  </si>
  <si>
    <t>15272755275</t>
  </si>
  <si>
    <t>15272755378</t>
  </si>
  <si>
    <t>15272756762</t>
  </si>
  <si>
    <t>15272757640</t>
  </si>
  <si>
    <t>15272757715</t>
  </si>
  <si>
    <t>15272757767</t>
  </si>
  <si>
    <t>15272757782</t>
  </si>
  <si>
    <t>61703631</t>
  </si>
  <si>
    <t>15272758177</t>
  </si>
  <si>
    <t>55833127</t>
  </si>
  <si>
    <t>15272758196</t>
  </si>
  <si>
    <t>61677098</t>
  </si>
  <si>
    <t>15272758339</t>
  </si>
  <si>
    <t>15272758566</t>
  </si>
  <si>
    <t>61724082</t>
  </si>
  <si>
    <t>15272758602</t>
  </si>
  <si>
    <t>15272759267</t>
  </si>
  <si>
    <t>15272759606</t>
  </si>
  <si>
    <t>61714089</t>
  </si>
  <si>
    <t>15272760222</t>
  </si>
  <si>
    <t>15272761932</t>
  </si>
  <si>
    <t>61721640</t>
  </si>
  <si>
    <t>15272762927</t>
  </si>
  <si>
    <t>15272763276</t>
  </si>
  <si>
    <t>15272763439</t>
  </si>
  <si>
    <t>55832329</t>
  </si>
  <si>
    <t>15272763482</t>
  </si>
  <si>
    <t>55832262</t>
  </si>
  <si>
    <t>15272763593</t>
  </si>
  <si>
    <t>15272764028</t>
  </si>
  <si>
    <t>15272764205</t>
  </si>
  <si>
    <t>15272764353</t>
  </si>
  <si>
    <t>15272764542</t>
  </si>
  <si>
    <t>61687144</t>
  </si>
  <si>
    <t>15272764816</t>
  </si>
  <si>
    <t>15272765309</t>
  </si>
  <si>
    <t>15272765314</t>
  </si>
  <si>
    <t>15272765374</t>
  </si>
  <si>
    <t>15272765418</t>
  </si>
  <si>
    <t>15272765468</t>
  </si>
  <si>
    <t>15272765572</t>
  </si>
  <si>
    <t>15272766225</t>
  </si>
  <si>
    <t>15272766484</t>
  </si>
  <si>
    <t>15272767427</t>
  </si>
  <si>
    <t>55833302</t>
  </si>
  <si>
    <t>15272767428</t>
  </si>
  <si>
    <t>55834064</t>
  </si>
  <si>
    <t>15272770333</t>
  </si>
  <si>
    <t>15272770545</t>
  </si>
  <si>
    <t>15272773685</t>
  </si>
  <si>
    <t>55832443</t>
  </si>
  <si>
    <t>15272775182</t>
  </si>
  <si>
    <t>15272775188</t>
  </si>
  <si>
    <t>15272777716</t>
  </si>
  <si>
    <t>15272798944</t>
  </si>
  <si>
    <t>55835981</t>
  </si>
  <si>
    <t>15272807711</t>
  </si>
  <si>
    <t>55839299</t>
  </si>
  <si>
    <t>15272810076</t>
  </si>
  <si>
    <t>15272811814</t>
  </si>
  <si>
    <t>15272813790</t>
  </si>
  <si>
    <t>55833296</t>
  </si>
  <si>
    <t>15272819302</t>
  </si>
  <si>
    <t>15272819965</t>
  </si>
  <si>
    <t>15272822207</t>
  </si>
  <si>
    <t>15272822334</t>
  </si>
  <si>
    <t>55834124</t>
  </si>
  <si>
    <t>15272822783</t>
  </si>
  <si>
    <t>15272825175</t>
  </si>
  <si>
    <t>15272825226</t>
  </si>
  <si>
    <t>15272826020</t>
  </si>
  <si>
    <t>15272826442</t>
  </si>
  <si>
    <t>15272827081</t>
  </si>
  <si>
    <t>15272827251</t>
  </si>
  <si>
    <t>15272827974</t>
  </si>
  <si>
    <t>15272829178</t>
  </si>
  <si>
    <t>15272829547</t>
  </si>
  <si>
    <t>15272829918</t>
  </si>
  <si>
    <t>15272830293</t>
  </si>
  <si>
    <t>15272831312</t>
  </si>
  <si>
    <t>15272832495</t>
  </si>
  <si>
    <t>15272832730</t>
  </si>
  <si>
    <t>15272832731</t>
  </si>
  <si>
    <t>61727527</t>
  </si>
  <si>
    <t>15272833013</t>
  </si>
  <si>
    <t>15272833271</t>
  </si>
  <si>
    <t>15272833583</t>
  </si>
  <si>
    <t>15272833757</t>
  </si>
  <si>
    <t>15272835978</t>
  </si>
  <si>
    <t>15272836049</t>
  </si>
  <si>
    <t>61710944</t>
  </si>
  <si>
    <t>15272837874</t>
  </si>
  <si>
    <t>15272838564</t>
  </si>
  <si>
    <t>61717145</t>
  </si>
  <si>
    <t>15272839375</t>
  </si>
  <si>
    <t>61702015</t>
  </si>
  <si>
    <t>15272840337</t>
  </si>
  <si>
    <t>15272840456</t>
  </si>
  <si>
    <t>15272840713</t>
  </si>
  <si>
    <t>15272841014</t>
  </si>
  <si>
    <t>15272841227</t>
  </si>
  <si>
    <t>15272841399</t>
  </si>
  <si>
    <t>15272841495</t>
  </si>
  <si>
    <t>15272841533</t>
  </si>
  <si>
    <t>15272841569</t>
  </si>
  <si>
    <t>15272841678</t>
  </si>
  <si>
    <t>15272841842</t>
  </si>
  <si>
    <t>15272841997</t>
  </si>
  <si>
    <t>61707959</t>
  </si>
  <si>
    <t>15272842132</t>
  </si>
  <si>
    <t>55837611</t>
  </si>
  <si>
    <t>15272842141</t>
  </si>
  <si>
    <t>15272842352</t>
  </si>
  <si>
    <t>15272842510</t>
  </si>
  <si>
    <t>15272842948</t>
  </si>
  <si>
    <t>15272843154</t>
  </si>
  <si>
    <t>15272843162</t>
  </si>
  <si>
    <t>15272843570</t>
  </si>
  <si>
    <t>15272843698</t>
  </si>
  <si>
    <t>15272844276</t>
  </si>
  <si>
    <t>15272844277</t>
  </si>
  <si>
    <t>15272844575</t>
  </si>
  <si>
    <t>15272844887</t>
  </si>
  <si>
    <t>61721170</t>
  </si>
  <si>
    <t>15272844991</t>
  </si>
  <si>
    <t>15272845065</t>
  </si>
  <si>
    <t>15272845250</t>
  </si>
  <si>
    <t>15272845329</t>
  </si>
  <si>
    <t>61705319</t>
  </si>
  <si>
    <t>15272845371</t>
  </si>
  <si>
    <t>55863451</t>
  </si>
  <si>
    <t>15272845373</t>
  </si>
  <si>
    <t>15272845444</t>
  </si>
  <si>
    <t>15272845625</t>
  </si>
  <si>
    <t>15272846215</t>
  </si>
  <si>
    <t>61700140</t>
  </si>
  <si>
    <t>15272846336</t>
  </si>
  <si>
    <t>15272847131</t>
  </si>
  <si>
    <t>61727221</t>
  </si>
  <si>
    <t>15272847211</t>
  </si>
  <si>
    <t>15272847326</t>
  </si>
  <si>
    <t>15272847650</t>
  </si>
  <si>
    <t>61698525</t>
  </si>
  <si>
    <t>15272847969</t>
  </si>
  <si>
    <t>15272848022</t>
  </si>
  <si>
    <t>15272849458</t>
  </si>
  <si>
    <t>15272850382</t>
  </si>
  <si>
    <t>15272851561</t>
  </si>
  <si>
    <t>15272851872</t>
  </si>
  <si>
    <t>15272851961</t>
  </si>
  <si>
    <t>15272853031</t>
  </si>
  <si>
    <t>61680397</t>
  </si>
  <si>
    <t>15272854494</t>
  </si>
  <si>
    <t>61696800</t>
  </si>
  <si>
    <t>15272856920</t>
  </si>
  <si>
    <t>15272860249</t>
  </si>
  <si>
    <t>55859039</t>
  </si>
  <si>
    <t>15272861003</t>
  </si>
  <si>
    <t>15272861266</t>
  </si>
  <si>
    <t>15272863142</t>
  </si>
  <si>
    <t>15272864327</t>
  </si>
  <si>
    <t>15272864940</t>
  </si>
  <si>
    <t>15272865771</t>
  </si>
  <si>
    <t>15272866916</t>
  </si>
  <si>
    <t>15272867299</t>
  </si>
  <si>
    <t>61716023</t>
  </si>
  <si>
    <t>15272867405</t>
  </si>
  <si>
    <t>15272871910</t>
  </si>
  <si>
    <t>15272877142</t>
  </si>
  <si>
    <t>15272885162</t>
  </si>
  <si>
    <t>55859355</t>
  </si>
  <si>
    <t>15272886380</t>
  </si>
  <si>
    <t>55859718</t>
  </si>
  <si>
    <t>15272889091</t>
  </si>
  <si>
    <t>55859637</t>
  </si>
  <si>
    <t>15272896750</t>
  </si>
  <si>
    <t>15272898307</t>
  </si>
  <si>
    <t>15272898611</t>
  </si>
  <si>
    <t>15272900510</t>
  </si>
  <si>
    <t>15272902837</t>
  </si>
  <si>
    <t>15272905331</t>
  </si>
  <si>
    <t>15272905895</t>
  </si>
  <si>
    <t>15272910421</t>
  </si>
  <si>
    <t>15272910914</t>
  </si>
  <si>
    <t>15272911014</t>
  </si>
  <si>
    <t>15272914590</t>
  </si>
  <si>
    <t>15272918295</t>
  </si>
  <si>
    <t>61724509</t>
  </si>
  <si>
    <t>15272919194</t>
  </si>
  <si>
    <t>15272920117</t>
  </si>
  <si>
    <t>55861619</t>
  </si>
  <si>
    <t>15272920141</t>
  </si>
  <si>
    <t>55861617</t>
  </si>
  <si>
    <t>15272921192</t>
  </si>
  <si>
    <t>55859858</t>
  </si>
  <si>
    <t>15272921393</t>
  </si>
  <si>
    <t>15272922021</t>
  </si>
  <si>
    <t>55861483</t>
  </si>
  <si>
    <t>15272922181</t>
  </si>
  <si>
    <t>15272922411</t>
  </si>
  <si>
    <t>55861478</t>
  </si>
  <si>
    <t>15272926220</t>
  </si>
  <si>
    <t>55863665</t>
  </si>
  <si>
    <t>15272927890</t>
  </si>
  <si>
    <t>55863674</t>
  </si>
  <si>
    <t>15272928771</t>
  </si>
  <si>
    <t>15272929010</t>
  </si>
  <si>
    <t>55857634</t>
  </si>
  <si>
    <t>15272929076</t>
  </si>
  <si>
    <t>55857630</t>
  </si>
  <si>
    <t>15272930013</t>
  </si>
  <si>
    <t>15272930295</t>
  </si>
  <si>
    <t>15272930633</t>
  </si>
  <si>
    <t>15272930771</t>
  </si>
  <si>
    <t>61712505</t>
  </si>
  <si>
    <t>15272930902</t>
  </si>
  <si>
    <t>15272931331</t>
  </si>
  <si>
    <t>15272931371</t>
  </si>
  <si>
    <t>61714087</t>
  </si>
  <si>
    <t>15272931678</t>
  </si>
  <si>
    <t>15272931696</t>
  </si>
  <si>
    <t>15272932211</t>
  </si>
  <si>
    <t>15272932770</t>
  </si>
  <si>
    <t>15272933364</t>
  </si>
  <si>
    <t>15272933397</t>
  </si>
  <si>
    <t>15272933413</t>
  </si>
  <si>
    <t>15272933834</t>
  </si>
  <si>
    <t>15272934105</t>
  </si>
  <si>
    <t>15272936005</t>
  </si>
  <si>
    <t>15272937118</t>
  </si>
  <si>
    <t>61676790</t>
  </si>
  <si>
    <t>15272937217</t>
  </si>
  <si>
    <t>15272937319</t>
  </si>
  <si>
    <t>15272937400</t>
  </si>
  <si>
    <t>15272937823</t>
  </si>
  <si>
    <t>15272938326</t>
  </si>
  <si>
    <t>61686303</t>
  </si>
  <si>
    <t>15272938456</t>
  </si>
  <si>
    <t>15272938745</t>
  </si>
  <si>
    <t>15272939459</t>
  </si>
  <si>
    <t>15272939521</t>
  </si>
  <si>
    <t>15272939777</t>
  </si>
  <si>
    <t>61707485</t>
  </si>
  <si>
    <t>15272939800</t>
  </si>
  <si>
    <t>15272940001</t>
  </si>
  <si>
    <t>15272940221</t>
  </si>
  <si>
    <t>15272940533</t>
  </si>
  <si>
    <t>15272941422</t>
  </si>
  <si>
    <t>15272941514</t>
  </si>
  <si>
    <t>15272941599</t>
  </si>
  <si>
    <t>15272941856</t>
  </si>
  <si>
    <t>15272942606</t>
  </si>
  <si>
    <t>15272943142</t>
  </si>
  <si>
    <t>15272943334</t>
  </si>
  <si>
    <t>15272943831</t>
  </si>
  <si>
    <t>15272944035</t>
  </si>
  <si>
    <t>15272944112</t>
  </si>
  <si>
    <t>15272944456</t>
  </si>
  <si>
    <t>15272945210</t>
  </si>
  <si>
    <t>15272945986</t>
  </si>
  <si>
    <t>61735077</t>
  </si>
  <si>
    <t>15272946025</t>
  </si>
  <si>
    <t>15272946436</t>
  </si>
  <si>
    <t>15272947915</t>
  </si>
  <si>
    <t>15272948172</t>
  </si>
  <si>
    <t>15272949859</t>
  </si>
  <si>
    <t>15272952401</t>
  </si>
  <si>
    <t>55884450</t>
  </si>
  <si>
    <t>15272952765</t>
  </si>
  <si>
    <t>15272953203</t>
  </si>
  <si>
    <t>15272955515</t>
  </si>
  <si>
    <t>15272956860</t>
  </si>
  <si>
    <t>15272957067</t>
  </si>
  <si>
    <t>15272962091</t>
  </si>
  <si>
    <t>15272962536</t>
  </si>
  <si>
    <t>15272962885</t>
  </si>
  <si>
    <t>15272963295</t>
  </si>
  <si>
    <t>15272965914</t>
  </si>
  <si>
    <t>15272967781</t>
  </si>
  <si>
    <t>15272972482</t>
  </si>
  <si>
    <t>55887203</t>
  </si>
  <si>
    <t>15272973088</t>
  </si>
  <si>
    <t>55886945</t>
  </si>
  <si>
    <t>15272973475</t>
  </si>
  <si>
    <t>55886883</t>
  </si>
  <si>
    <t>15272974272</t>
  </si>
  <si>
    <t>55887434</t>
  </si>
  <si>
    <t>15272979910</t>
  </si>
  <si>
    <t>55887435</t>
  </si>
  <si>
    <t>15272981056</t>
  </si>
  <si>
    <t>15272981203</t>
  </si>
  <si>
    <t>15272982840</t>
  </si>
  <si>
    <t>55887529</t>
  </si>
  <si>
    <t>15272984351</t>
  </si>
  <si>
    <t>15272984530</t>
  </si>
  <si>
    <t>15272985489</t>
  </si>
  <si>
    <t>15272985801</t>
  </si>
  <si>
    <t>15272986584</t>
  </si>
  <si>
    <t>15272987336</t>
  </si>
  <si>
    <t>15272988130</t>
  </si>
  <si>
    <t>61679166</t>
  </si>
  <si>
    <t>15272988373</t>
  </si>
  <si>
    <t>15272988731</t>
  </si>
  <si>
    <t>15272989201</t>
  </si>
  <si>
    <t>15272989743</t>
  </si>
  <si>
    <t>15272990110</t>
  </si>
  <si>
    <t>15272990209</t>
  </si>
  <si>
    <t>15272990364</t>
  </si>
  <si>
    <t>15272991097</t>
  </si>
  <si>
    <t>15272991350</t>
  </si>
  <si>
    <t>15272991850</t>
  </si>
  <si>
    <t>15272991867</t>
  </si>
  <si>
    <t>15272992240</t>
  </si>
  <si>
    <t>61713182</t>
  </si>
  <si>
    <t>15272992495</t>
  </si>
  <si>
    <t>15272992560</t>
  </si>
  <si>
    <t>15272996377</t>
  </si>
  <si>
    <t>15272996568</t>
  </si>
  <si>
    <t>15272996577</t>
  </si>
  <si>
    <t>15272997006</t>
  </si>
  <si>
    <t>15272998931</t>
  </si>
  <si>
    <t>55884284</t>
  </si>
  <si>
    <t>15272999767</t>
  </si>
  <si>
    <t>55883790</t>
  </si>
  <si>
    <t>15273000155</t>
  </si>
  <si>
    <t>55884448</t>
  </si>
  <si>
    <t>15273000328</t>
  </si>
  <si>
    <t>55881365</t>
  </si>
  <si>
    <t>15273001639</t>
  </si>
  <si>
    <t>55883904</t>
  </si>
  <si>
    <t>15273001693</t>
  </si>
  <si>
    <t>55883944</t>
  </si>
  <si>
    <t>15273001766</t>
  </si>
  <si>
    <t>55883905</t>
  </si>
  <si>
    <t>15273002124</t>
  </si>
  <si>
    <t>55883793</t>
  </si>
  <si>
    <t>15273002979</t>
  </si>
  <si>
    <t>55891062</t>
  </si>
  <si>
    <t>15273003196</t>
  </si>
  <si>
    <t>55883945</t>
  </si>
  <si>
    <t>15273005506</t>
  </si>
  <si>
    <t>55884517</t>
  </si>
  <si>
    <t>15273006316</t>
  </si>
  <si>
    <t>55884648</t>
  </si>
  <si>
    <t>15273006354</t>
  </si>
  <si>
    <t>55881452</t>
  </si>
  <si>
    <t>15273006846</t>
  </si>
  <si>
    <t>15273006920</t>
  </si>
  <si>
    <t>15273007398</t>
  </si>
  <si>
    <t>15273008413</t>
  </si>
  <si>
    <t>55887362</t>
  </si>
  <si>
    <t>15273010084</t>
  </si>
  <si>
    <t>55884671</t>
  </si>
  <si>
    <t>15273010556</t>
  </si>
  <si>
    <t>55916117</t>
  </si>
  <si>
    <t>15273010645</t>
  </si>
  <si>
    <t>15273011559</t>
  </si>
  <si>
    <t>15273012213</t>
  </si>
  <si>
    <t>55887100</t>
  </si>
  <si>
    <t>15273012993</t>
  </si>
  <si>
    <t>55887424</t>
  </si>
  <si>
    <t>15273013199</t>
  </si>
  <si>
    <t>55884699</t>
  </si>
  <si>
    <t>15273014530</t>
  </si>
  <si>
    <t>55884647</t>
  </si>
  <si>
    <t>15273014546</t>
  </si>
  <si>
    <t>55884518</t>
  </si>
  <si>
    <t>15273014965</t>
  </si>
  <si>
    <t>15273015019</t>
  </si>
  <si>
    <t>55887212</t>
  </si>
  <si>
    <t>15273015199</t>
  </si>
  <si>
    <t>55887216</t>
  </si>
  <si>
    <t>15273015629</t>
  </si>
  <si>
    <t>55886802</t>
  </si>
  <si>
    <t>15273015799</t>
  </si>
  <si>
    <t>55886693</t>
  </si>
  <si>
    <t>15273015935</t>
  </si>
  <si>
    <t>55886761</t>
  </si>
  <si>
    <t>15273016480</t>
  </si>
  <si>
    <t>15273016502</t>
  </si>
  <si>
    <t>55886950</t>
  </si>
  <si>
    <t>15273016719</t>
  </si>
  <si>
    <t>55886941</t>
  </si>
  <si>
    <t>15273016844</t>
  </si>
  <si>
    <t>55884943</t>
  </si>
  <si>
    <t>15273017376</t>
  </si>
  <si>
    <t>55885500</t>
  </si>
  <si>
    <t>15273017574</t>
  </si>
  <si>
    <t>55886524</t>
  </si>
  <si>
    <t>15273017581</t>
  </si>
  <si>
    <t>15273017624</t>
  </si>
  <si>
    <t>55885685</t>
  </si>
  <si>
    <t>15273017796</t>
  </si>
  <si>
    <t>55885569</t>
  </si>
  <si>
    <t>15273017965</t>
  </si>
  <si>
    <t>55887436</t>
  </si>
  <si>
    <t>15273018434</t>
  </si>
  <si>
    <t>55886529</t>
  </si>
  <si>
    <t>15273018496</t>
  </si>
  <si>
    <t>55884902</t>
  </si>
  <si>
    <t>15273018751</t>
  </si>
  <si>
    <t>15273018818</t>
  </si>
  <si>
    <t>55887428</t>
  </si>
  <si>
    <t>15273019051</t>
  </si>
  <si>
    <t>55887205</t>
  </si>
  <si>
    <t>15273019282</t>
  </si>
  <si>
    <t>55886948</t>
  </si>
  <si>
    <t>15273019554</t>
  </si>
  <si>
    <t>55885766</t>
  </si>
  <si>
    <t>15273019602</t>
  </si>
  <si>
    <t>15273022246</t>
  </si>
  <si>
    <t>15273022254</t>
  </si>
  <si>
    <t>61728489</t>
  </si>
  <si>
    <t>15273022339</t>
  </si>
  <si>
    <t>15273022545</t>
  </si>
  <si>
    <t>15273023082</t>
  </si>
  <si>
    <t>55900207</t>
  </si>
  <si>
    <t>15273023576</t>
  </si>
  <si>
    <t>55900417</t>
  </si>
  <si>
    <t>15273023809</t>
  </si>
  <si>
    <t>15273023979</t>
  </si>
  <si>
    <t>15273024776</t>
  </si>
  <si>
    <t>15273024880</t>
  </si>
  <si>
    <t>15273025124</t>
  </si>
  <si>
    <t>15273025125</t>
  </si>
  <si>
    <t>15273025254</t>
  </si>
  <si>
    <t>15273026279</t>
  </si>
  <si>
    <t>15273027922</t>
  </si>
  <si>
    <t>15273028099</t>
  </si>
  <si>
    <t>15273028180</t>
  </si>
  <si>
    <t>15273030445</t>
  </si>
  <si>
    <t>15273030635</t>
  </si>
  <si>
    <t>15273030851</t>
  </si>
  <si>
    <t>15273033642</t>
  </si>
  <si>
    <t>15273033725</t>
  </si>
  <si>
    <t>15273034400</t>
  </si>
  <si>
    <t>15273042253</t>
  </si>
  <si>
    <t>15273043320</t>
  </si>
  <si>
    <t>15273045735</t>
  </si>
  <si>
    <t>15273046150</t>
  </si>
  <si>
    <t>15273069623</t>
  </si>
  <si>
    <t>15273071638</t>
  </si>
  <si>
    <t>15273077427</t>
  </si>
  <si>
    <t>15273078326</t>
  </si>
  <si>
    <t>15273080637</t>
  </si>
  <si>
    <t>55896267</t>
  </si>
  <si>
    <t>15273081434</t>
  </si>
  <si>
    <t>55896192</t>
  </si>
  <si>
    <t>15273083888</t>
  </si>
  <si>
    <t>55900306</t>
  </si>
  <si>
    <t>15273084518</t>
  </si>
  <si>
    <t>55900157</t>
  </si>
  <si>
    <t>15273085687</t>
  </si>
  <si>
    <t>55896271</t>
  </si>
  <si>
    <t>15273087514</t>
  </si>
  <si>
    <t>15273088426</t>
  </si>
  <si>
    <t>55900349</t>
  </si>
  <si>
    <t>15273088552</t>
  </si>
  <si>
    <t>55900415</t>
  </si>
  <si>
    <t>15273088639</t>
  </si>
  <si>
    <t>55900163</t>
  </si>
  <si>
    <t>15273088878</t>
  </si>
  <si>
    <t>55900422</t>
  </si>
  <si>
    <t>15273090414</t>
  </si>
  <si>
    <t>15273090639</t>
  </si>
  <si>
    <t>55900489</t>
  </si>
  <si>
    <t>15273090850</t>
  </si>
  <si>
    <t>15273091191</t>
  </si>
  <si>
    <t>55900302</t>
  </si>
  <si>
    <t>15273091308</t>
  </si>
  <si>
    <t>55896183</t>
  </si>
  <si>
    <t>15273091697</t>
  </si>
  <si>
    <t>55900300</t>
  </si>
  <si>
    <t>15273092174</t>
  </si>
  <si>
    <t>15273092251</t>
  </si>
  <si>
    <t>15273092642</t>
  </si>
  <si>
    <t>15273092908</t>
  </si>
  <si>
    <t>15273093332</t>
  </si>
  <si>
    <t>15273093515</t>
  </si>
  <si>
    <t>55900547</t>
  </si>
  <si>
    <t>15273094296</t>
  </si>
  <si>
    <t>15273094352</t>
  </si>
  <si>
    <t>15273094356</t>
  </si>
  <si>
    <t>55900420</t>
  </si>
  <si>
    <t>15273094768</t>
  </si>
  <si>
    <t>15273094970</t>
  </si>
  <si>
    <t>55900423</t>
  </si>
  <si>
    <t>15273095040</t>
  </si>
  <si>
    <t>55900500</t>
  </si>
  <si>
    <t>15273095179</t>
  </si>
  <si>
    <t>55900551</t>
  </si>
  <si>
    <t>15273095657</t>
  </si>
  <si>
    <t>15273096240</t>
  </si>
  <si>
    <t>15273099045</t>
  </si>
  <si>
    <t>55900496</t>
  </si>
  <si>
    <t>15273100341</t>
  </si>
  <si>
    <t>15273100976</t>
  </si>
  <si>
    <t>55896188</t>
  </si>
  <si>
    <t>15273101161</t>
  </si>
  <si>
    <t>15273101554</t>
  </si>
  <si>
    <t>15273101561</t>
  </si>
  <si>
    <t>15273102417</t>
  </si>
  <si>
    <t>15273102817</t>
  </si>
  <si>
    <t>15273103304</t>
  </si>
  <si>
    <t>61681660</t>
  </si>
  <si>
    <t>15273104111</t>
  </si>
  <si>
    <t>15273104174</t>
  </si>
  <si>
    <t>15273104192</t>
  </si>
  <si>
    <t>15273104311</t>
  </si>
  <si>
    <t>15273104576</t>
  </si>
  <si>
    <t>15273105541</t>
  </si>
  <si>
    <t>15273105785</t>
  </si>
  <si>
    <t>15273105943</t>
  </si>
  <si>
    <t>15273106298</t>
  </si>
  <si>
    <t>15273106300</t>
  </si>
  <si>
    <t>15273106366</t>
  </si>
  <si>
    <t>61718928</t>
  </si>
  <si>
    <t>15273106500</t>
  </si>
  <si>
    <t>15273106621</t>
  </si>
  <si>
    <t>15273106649</t>
  </si>
  <si>
    <t>15273106707</t>
  </si>
  <si>
    <t>61677330</t>
  </si>
  <si>
    <t>15273106797</t>
  </si>
  <si>
    <t>15273106856</t>
  </si>
  <si>
    <t>15273107040</t>
  </si>
  <si>
    <t>15273107320</t>
  </si>
  <si>
    <t>15273107347</t>
  </si>
  <si>
    <t>15273107375</t>
  </si>
  <si>
    <t>15273107589</t>
  </si>
  <si>
    <t>15273107822</t>
  </si>
  <si>
    <t>15273107931</t>
  </si>
  <si>
    <t>15273108124</t>
  </si>
  <si>
    <t>15273108432</t>
  </si>
  <si>
    <t>15273108516</t>
  </si>
  <si>
    <t>15273108598</t>
  </si>
  <si>
    <t>15273108681</t>
  </si>
  <si>
    <t>15273108708</t>
  </si>
  <si>
    <t>15273108798</t>
  </si>
  <si>
    <t>15273108938</t>
  </si>
  <si>
    <t>15273109164</t>
  </si>
  <si>
    <t>15273109166</t>
  </si>
  <si>
    <t>15273109374</t>
  </si>
  <si>
    <t>15273109571</t>
  </si>
  <si>
    <t>15273109620</t>
  </si>
  <si>
    <t>61703720</t>
  </si>
  <si>
    <t>15273109742</t>
  </si>
  <si>
    <t>15273109796</t>
  </si>
  <si>
    <t>15273109864</t>
  </si>
  <si>
    <t>15273109876</t>
  </si>
  <si>
    <t>15273109934</t>
  </si>
  <si>
    <t>15273109972</t>
  </si>
  <si>
    <t>15273109999</t>
  </si>
  <si>
    <t>15273110037</t>
  </si>
  <si>
    <t>15273110191</t>
  </si>
  <si>
    <t>15273110237</t>
  </si>
  <si>
    <t>15273110424</t>
  </si>
  <si>
    <t>15273110493</t>
  </si>
  <si>
    <t>15273110559</t>
  </si>
  <si>
    <t>15273111011</t>
  </si>
  <si>
    <t>15273111012</t>
  </si>
  <si>
    <t>15273111013</t>
  </si>
  <si>
    <t>15273111014</t>
  </si>
  <si>
    <t>15273111288</t>
  </si>
  <si>
    <t>61680956</t>
  </si>
  <si>
    <t>15273111531</t>
  </si>
  <si>
    <t>15273111621</t>
  </si>
  <si>
    <t>15273111769</t>
  </si>
  <si>
    <t>15273112160</t>
  </si>
  <si>
    <t>15273112500</t>
  </si>
  <si>
    <t>15273112819</t>
  </si>
  <si>
    <t>15273112883</t>
  </si>
  <si>
    <t>15273113063</t>
  </si>
  <si>
    <t>15273117540</t>
  </si>
  <si>
    <t>15273121069</t>
  </si>
  <si>
    <t>15273134399</t>
  </si>
  <si>
    <t>15273137163</t>
  </si>
  <si>
    <t>15273141568</t>
  </si>
  <si>
    <t>15273142414</t>
  </si>
  <si>
    <t>15273142476</t>
  </si>
  <si>
    <t>15273149127</t>
  </si>
  <si>
    <t>15273154831</t>
  </si>
  <si>
    <t>15273154882</t>
  </si>
  <si>
    <t>61736447</t>
  </si>
  <si>
    <t>15273154930</t>
  </si>
  <si>
    <t>15273157195</t>
  </si>
  <si>
    <t>15273160818</t>
  </si>
  <si>
    <t>15273161086</t>
  </si>
  <si>
    <t>61731733</t>
  </si>
  <si>
    <t>15273161378</t>
  </si>
  <si>
    <t>15273161577</t>
  </si>
  <si>
    <t>15273162801</t>
  </si>
  <si>
    <t>15273165967</t>
  </si>
  <si>
    <t>15273166466</t>
  </si>
  <si>
    <t>15273167676</t>
  </si>
  <si>
    <t>15273169071</t>
  </si>
  <si>
    <t>15273170747</t>
  </si>
  <si>
    <t>15273172576</t>
  </si>
  <si>
    <t>15273177168</t>
  </si>
  <si>
    <t>15273177657</t>
  </si>
  <si>
    <t>15273178487</t>
  </si>
  <si>
    <t>55920137</t>
  </si>
  <si>
    <t>15273178648</t>
  </si>
  <si>
    <t>55916857</t>
  </si>
  <si>
    <t>15273179068</t>
  </si>
  <si>
    <t>15273179521</t>
  </si>
  <si>
    <t>15273179602</t>
  </si>
  <si>
    <t>15273180164</t>
  </si>
  <si>
    <t>15273180188</t>
  </si>
  <si>
    <t>15273181011</t>
  </si>
  <si>
    <t>15273181893</t>
  </si>
  <si>
    <t>15273182061</t>
  </si>
  <si>
    <t>15273182431</t>
  </si>
  <si>
    <t>15273182463</t>
  </si>
  <si>
    <t>15273182664</t>
  </si>
  <si>
    <t>15273182800</t>
  </si>
  <si>
    <t>15273186089</t>
  </si>
  <si>
    <t>15273186296</t>
  </si>
  <si>
    <t>15273187027</t>
  </si>
  <si>
    <t>15273187352</t>
  </si>
  <si>
    <t>15273187728</t>
  </si>
  <si>
    <t>61719481</t>
  </si>
  <si>
    <t>15273188915</t>
  </si>
  <si>
    <t>15273190892</t>
  </si>
  <si>
    <t>15273191058</t>
  </si>
  <si>
    <t>15273191511</t>
  </si>
  <si>
    <t>15273192202</t>
  </si>
  <si>
    <t>61737917</t>
  </si>
  <si>
    <t>15273193167</t>
  </si>
  <si>
    <t>15273197476</t>
  </si>
  <si>
    <t>15273197539</t>
  </si>
  <si>
    <t>15273197749</t>
  </si>
  <si>
    <t>15273198030</t>
  </si>
  <si>
    <t>15273198360</t>
  </si>
  <si>
    <t>15273198446</t>
  </si>
  <si>
    <t>15273198542</t>
  </si>
  <si>
    <t>15273199022</t>
  </si>
  <si>
    <t>15273201034</t>
  </si>
  <si>
    <t>15273201332</t>
  </si>
  <si>
    <t>15273201696</t>
  </si>
  <si>
    <t>15273202580</t>
  </si>
  <si>
    <t>15273203154</t>
  </si>
  <si>
    <t>15273203303</t>
  </si>
  <si>
    <t>15273203369</t>
  </si>
  <si>
    <t>15273203381</t>
  </si>
  <si>
    <t>15273203457</t>
  </si>
  <si>
    <t>15273203602</t>
  </si>
  <si>
    <t>15273203669</t>
  </si>
  <si>
    <t>15273203673</t>
  </si>
  <si>
    <t>61719613</t>
  </si>
  <si>
    <t>15273203841</t>
  </si>
  <si>
    <t>15273203874</t>
  </si>
  <si>
    <t>15273203892</t>
  </si>
  <si>
    <t>15273203998</t>
  </si>
  <si>
    <t>15273204204</t>
  </si>
  <si>
    <t>15273204370</t>
  </si>
  <si>
    <t>15273204372</t>
  </si>
  <si>
    <t>15273204450</t>
  </si>
  <si>
    <t>15273204478</t>
  </si>
  <si>
    <t>15273204761</t>
  </si>
  <si>
    <t>15273205855</t>
  </si>
  <si>
    <t>55914163</t>
  </si>
  <si>
    <t>15273205944</t>
  </si>
  <si>
    <t>61729457</t>
  </si>
  <si>
    <t>15273206555</t>
  </si>
  <si>
    <t>15273207328</t>
  </si>
  <si>
    <t>15273207480</t>
  </si>
  <si>
    <t>15273216506</t>
  </si>
  <si>
    <t>15273217080</t>
  </si>
  <si>
    <t>15273217377</t>
  </si>
  <si>
    <t>15273218004</t>
  </si>
  <si>
    <t>15273218149</t>
  </si>
  <si>
    <t>15273227649</t>
  </si>
  <si>
    <t>55916546</t>
  </si>
  <si>
    <t>15273233289</t>
  </si>
  <si>
    <t>55916862</t>
  </si>
  <si>
    <t>15273234534</t>
  </si>
  <si>
    <t>55916717</t>
  </si>
  <si>
    <t>15273234877</t>
  </si>
  <si>
    <t>55959486</t>
  </si>
  <si>
    <t>15273237754</t>
  </si>
  <si>
    <t>15273239644</t>
  </si>
  <si>
    <t>55914133</t>
  </si>
  <si>
    <t>15273239647</t>
  </si>
  <si>
    <t>55913717</t>
  </si>
  <si>
    <t>15273245526</t>
  </si>
  <si>
    <t>55917059</t>
  </si>
  <si>
    <t>15273246057</t>
  </si>
  <si>
    <t>55916869</t>
  </si>
  <si>
    <t>15273246822</t>
  </si>
  <si>
    <t>55914278</t>
  </si>
  <si>
    <t>15273248138</t>
  </si>
  <si>
    <t>15273248715</t>
  </si>
  <si>
    <t>15273251017</t>
  </si>
  <si>
    <t>15273251730</t>
  </si>
  <si>
    <t>15273253475</t>
  </si>
  <si>
    <t>15273253667</t>
  </si>
  <si>
    <t>15273253958</t>
  </si>
  <si>
    <t>15273254385</t>
  </si>
  <si>
    <t>15273254868</t>
  </si>
  <si>
    <t>15273255813</t>
  </si>
  <si>
    <t>55913639</t>
  </si>
  <si>
    <t>15273256451</t>
  </si>
  <si>
    <t>15273258039</t>
  </si>
  <si>
    <t>15273259596</t>
  </si>
  <si>
    <t>55916016</t>
  </si>
  <si>
    <t>15273259756</t>
  </si>
  <si>
    <t>55915343</t>
  </si>
  <si>
    <t>15273259995</t>
  </si>
  <si>
    <t>55916468</t>
  </si>
  <si>
    <t>15273263302</t>
  </si>
  <si>
    <t>55914615</t>
  </si>
  <si>
    <t>15273263452</t>
  </si>
  <si>
    <t>55914550</t>
  </si>
  <si>
    <t>15273263478</t>
  </si>
  <si>
    <t>55914617</t>
  </si>
  <si>
    <t>15273263479</t>
  </si>
  <si>
    <t>55914547</t>
  </si>
  <si>
    <t>15273263513</t>
  </si>
  <si>
    <t>55914549</t>
  </si>
  <si>
    <t>15273265142</t>
  </si>
  <si>
    <t>55916855</t>
  </si>
  <si>
    <t>15273266190</t>
  </si>
  <si>
    <t>55916861</t>
  </si>
  <si>
    <t>15273268349</t>
  </si>
  <si>
    <t>15273269138</t>
  </si>
  <si>
    <t>15273269936</t>
  </si>
  <si>
    <t>61674676</t>
  </si>
  <si>
    <t>15273270331</t>
  </si>
  <si>
    <t>15273270662</t>
  </si>
  <si>
    <t>61686911</t>
  </si>
  <si>
    <t>15273271283</t>
  </si>
  <si>
    <t>15273271518</t>
  </si>
  <si>
    <t>15273272751</t>
  </si>
  <si>
    <t>15273274207</t>
  </si>
  <si>
    <t>15273275455</t>
  </si>
  <si>
    <t>61692515</t>
  </si>
  <si>
    <t>15273278247</t>
  </si>
  <si>
    <t>15273278465</t>
  </si>
  <si>
    <t>15273278772</t>
  </si>
  <si>
    <t>15273278824</t>
  </si>
  <si>
    <t>15273279587</t>
  </si>
  <si>
    <t>15273280556</t>
  </si>
  <si>
    <t>15273280990</t>
  </si>
  <si>
    <t>15273281077</t>
  </si>
  <si>
    <t>15273281204</t>
  </si>
  <si>
    <t>55936675</t>
  </si>
  <si>
    <t>15273281469</t>
  </si>
  <si>
    <t>15273281877</t>
  </si>
  <si>
    <t>15273283251</t>
  </si>
  <si>
    <t>15273285138</t>
  </si>
  <si>
    <t>15273286183</t>
  </si>
  <si>
    <t>15273286682</t>
  </si>
  <si>
    <t>15273287921</t>
  </si>
  <si>
    <t>15273290598</t>
  </si>
  <si>
    <t>15273296777</t>
  </si>
  <si>
    <t>15273297101</t>
  </si>
  <si>
    <t>15273305037</t>
  </si>
  <si>
    <t>55942505</t>
  </si>
  <si>
    <t>15273305166</t>
  </si>
  <si>
    <t>55939624</t>
  </si>
  <si>
    <t>15273307786</t>
  </si>
  <si>
    <t>55939617</t>
  </si>
  <si>
    <t>15273314218</t>
  </si>
  <si>
    <t>15273314408</t>
  </si>
  <si>
    <t>15273314763</t>
  </si>
  <si>
    <t>15273315040</t>
  </si>
  <si>
    <t>55935230</t>
  </si>
  <si>
    <t>15273315330</t>
  </si>
  <si>
    <t>55936611</t>
  </si>
  <si>
    <t>15273315508</t>
  </si>
  <si>
    <t>61708973</t>
  </si>
  <si>
    <t>15273316866</t>
  </si>
  <si>
    <t>15273318911</t>
  </si>
  <si>
    <t>15273319910</t>
  </si>
  <si>
    <t>15273320195</t>
  </si>
  <si>
    <t>15273321248</t>
  </si>
  <si>
    <t>15273322383</t>
  </si>
  <si>
    <t>15273327105</t>
  </si>
  <si>
    <t>15273327224</t>
  </si>
  <si>
    <t>15273327429</t>
  </si>
  <si>
    <t>61688499</t>
  </si>
  <si>
    <t>15273328134</t>
  </si>
  <si>
    <t>15273328419</t>
  </si>
  <si>
    <t>15273329711</t>
  </si>
  <si>
    <t>15273329957</t>
  </si>
  <si>
    <t>15273331053</t>
  </si>
  <si>
    <t>15273332492</t>
  </si>
  <si>
    <t>15273334605</t>
  </si>
  <si>
    <t>15273335406</t>
  </si>
  <si>
    <t>15273336019</t>
  </si>
  <si>
    <t>15273337670</t>
  </si>
  <si>
    <t>55938577</t>
  </si>
  <si>
    <t>15273338758</t>
  </si>
  <si>
    <t>55936759</t>
  </si>
  <si>
    <t>15273339029</t>
  </si>
  <si>
    <t>15273339322</t>
  </si>
  <si>
    <t>55936651</t>
  </si>
  <si>
    <t>15273339965</t>
  </si>
  <si>
    <t>55936613</t>
  </si>
  <si>
    <t>15273341361</t>
  </si>
  <si>
    <t>55939615</t>
  </si>
  <si>
    <t>15273341691</t>
  </si>
  <si>
    <t>55939376</t>
  </si>
  <si>
    <t>55938882</t>
  </si>
  <si>
    <t>15273342029</t>
  </si>
  <si>
    <t>55957038</t>
  </si>
  <si>
    <t>15273342162</t>
  </si>
  <si>
    <t>55957039</t>
  </si>
  <si>
    <t>15273342254</t>
  </si>
  <si>
    <t>55939008</t>
  </si>
  <si>
    <t>15273344510</t>
  </si>
  <si>
    <t>55957099</t>
  </si>
  <si>
    <t>15273345087</t>
  </si>
  <si>
    <t>15273345420</t>
  </si>
  <si>
    <t>55937772</t>
  </si>
  <si>
    <t>15273347451</t>
  </si>
  <si>
    <t>55939005</t>
  </si>
  <si>
    <t>15273347588</t>
  </si>
  <si>
    <t>55939303</t>
  </si>
  <si>
    <t>15273348872</t>
  </si>
  <si>
    <t>15273349163</t>
  </si>
  <si>
    <t>55937777</t>
  </si>
  <si>
    <t>15273349228</t>
  </si>
  <si>
    <t>55937773</t>
  </si>
  <si>
    <t>15273349270</t>
  </si>
  <si>
    <t>15273349525</t>
  </si>
  <si>
    <t>15273349648</t>
  </si>
  <si>
    <t>55939614</t>
  </si>
  <si>
    <t>15273350106</t>
  </si>
  <si>
    <t>55939373</t>
  </si>
  <si>
    <t>15273350174</t>
  </si>
  <si>
    <t>55939374</t>
  </si>
  <si>
    <t>15273350538</t>
  </si>
  <si>
    <t>55957036</t>
  </si>
  <si>
    <t>15273350602</t>
  </si>
  <si>
    <t>55938877</t>
  </si>
  <si>
    <t>15273350811</t>
  </si>
  <si>
    <t>15273351266</t>
  </si>
  <si>
    <t>55957035</t>
  </si>
  <si>
    <t>15273351313</t>
  </si>
  <si>
    <t>55939365</t>
  </si>
  <si>
    <t>15273351758</t>
  </si>
  <si>
    <t>55937775</t>
  </si>
  <si>
    <t>15273352316</t>
  </si>
  <si>
    <t>55961492</t>
  </si>
  <si>
    <t>15273352383</t>
  </si>
  <si>
    <t>55943927</t>
  </si>
  <si>
    <t>15273353730</t>
  </si>
  <si>
    <t>15273354264</t>
  </si>
  <si>
    <t>55961493</t>
  </si>
  <si>
    <t>15273354590</t>
  </si>
  <si>
    <t>55945460</t>
  </si>
  <si>
    <t>15273355108</t>
  </si>
  <si>
    <t>55943641</t>
  </si>
  <si>
    <t>15273356285</t>
  </si>
  <si>
    <t>55943928</t>
  </si>
  <si>
    <t>15273356362</t>
  </si>
  <si>
    <t>55943643</t>
  </si>
  <si>
    <t>15273356550</t>
  </si>
  <si>
    <t>55942461</t>
  </si>
  <si>
    <t>15273356692</t>
  </si>
  <si>
    <t>55943745</t>
  </si>
  <si>
    <t>15273357530</t>
  </si>
  <si>
    <t>55959554</t>
  </si>
  <si>
    <t>15273357695</t>
  </si>
  <si>
    <t>55960158</t>
  </si>
  <si>
    <t>15273358692</t>
  </si>
  <si>
    <t>15273359274</t>
  </si>
  <si>
    <t>15273359310</t>
  </si>
  <si>
    <t>15273359788</t>
  </si>
  <si>
    <t>15273360988</t>
  </si>
  <si>
    <t>61683291</t>
  </si>
  <si>
    <t>15273361345</t>
  </si>
  <si>
    <t>61732752</t>
  </si>
  <si>
    <t>15273361374</t>
  </si>
  <si>
    <t>15273362366</t>
  </si>
  <si>
    <t>15273362522</t>
  </si>
  <si>
    <t>15273363896</t>
  </si>
  <si>
    <t>15273364058</t>
  </si>
  <si>
    <t>15273364159</t>
  </si>
  <si>
    <t>15273364338</t>
  </si>
  <si>
    <t>15273364696</t>
  </si>
  <si>
    <t>15273364795</t>
  </si>
  <si>
    <t>15273365821</t>
  </si>
  <si>
    <t>15273369693</t>
  </si>
  <si>
    <t>15273370398</t>
  </si>
  <si>
    <t>15273373817</t>
  </si>
  <si>
    <t>15273380539</t>
  </si>
  <si>
    <t>15273396340</t>
  </si>
  <si>
    <t>15273396662</t>
  </si>
  <si>
    <t>15273399937</t>
  </si>
  <si>
    <t>15273402498</t>
  </si>
  <si>
    <t>15273403379</t>
  </si>
  <si>
    <t>15273403905</t>
  </si>
  <si>
    <t>61676521</t>
  </si>
  <si>
    <t>15273406143</t>
  </si>
  <si>
    <t>55957076</t>
  </si>
  <si>
    <t>15273406402</t>
  </si>
  <si>
    <t>55958299</t>
  </si>
  <si>
    <t>15273406630</t>
  </si>
  <si>
    <t>55957082</t>
  </si>
  <si>
    <t>15273406778</t>
  </si>
  <si>
    <t>55957101</t>
  </si>
  <si>
    <t>15273409250</t>
  </si>
  <si>
    <t>15273409349</t>
  </si>
  <si>
    <t>15273410601</t>
  </si>
  <si>
    <t>15273412975</t>
  </si>
  <si>
    <t>61737912</t>
  </si>
  <si>
    <t>15273413868</t>
  </si>
  <si>
    <t>15273414079</t>
  </si>
  <si>
    <t>61705114</t>
  </si>
  <si>
    <t>15273414798</t>
  </si>
  <si>
    <t>15273415043</t>
  </si>
  <si>
    <t>15273415213</t>
  </si>
  <si>
    <t>15273415237</t>
  </si>
  <si>
    <t>15273415561</t>
  </si>
  <si>
    <t>15273415672</t>
  </si>
  <si>
    <t>15273415894</t>
  </si>
  <si>
    <t>61735640</t>
  </si>
  <si>
    <t>15273415896</t>
  </si>
  <si>
    <t>15273416100</t>
  </si>
  <si>
    <t>15273417274</t>
  </si>
  <si>
    <t>55958244</t>
  </si>
  <si>
    <t>15273417275</t>
  </si>
  <si>
    <t>15273417639</t>
  </si>
  <si>
    <t>15273420250</t>
  </si>
  <si>
    <t>15273421267</t>
  </si>
  <si>
    <t>55958158</t>
  </si>
  <si>
    <t>15273421639</t>
  </si>
  <si>
    <t>55959553</t>
  </si>
  <si>
    <t>15273421695</t>
  </si>
  <si>
    <t>55959515</t>
  </si>
  <si>
    <t>15273422413</t>
  </si>
  <si>
    <t>55961276</t>
  </si>
  <si>
    <t>15273422419</t>
  </si>
  <si>
    <t>55960141</t>
  </si>
  <si>
    <t>15273422503</t>
  </si>
  <si>
    <t>55960160</t>
  </si>
  <si>
    <t>15273422637</t>
  </si>
  <si>
    <t>55960159</t>
  </si>
  <si>
    <t>15273424272</t>
  </si>
  <si>
    <t>55959567</t>
  </si>
  <si>
    <t>15273424337</t>
  </si>
  <si>
    <t>55957126</t>
  </si>
  <si>
    <t>15273424441</t>
  </si>
  <si>
    <t>55974916</t>
  </si>
  <si>
    <t>15273424497</t>
  </si>
  <si>
    <t>55974712</t>
  </si>
  <si>
    <t>15273424955</t>
  </si>
  <si>
    <t>55974607</t>
  </si>
  <si>
    <t>15273425440</t>
  </si>
  <si>
    <t>55961625</t>
  </si>
  <si>
    <t>15273425921</t>
  </si>
  <si>
    <t>55956180</t>
  </si>
  <si>
    <t>15273426250</t>
  </si>
  <si>
    <t>55959865</t>
  </si>
  <si>
    <t>15273427548</t>
  </si>
  <si>
    <t>61687402</t>
  </si>
  <si>
    <t>55956790</t>
  </si>
  <si>
    <t>15273430392</t>
  </si>
  <si>
    <t>55961948</t>
  </si>
  <si>
    <t>15273431450</t>
  </si>
  <si>
    <t>15273433020</t>
  </si>
  <si>
    <t>15273433979</t>
  </si>
  <si>
    <t>15273434791</t>
  </si>
  <si>
    <t>15273434903</t>
  </si>
  <si>
    <t>15273435797</t>
  </si>
  <si>
    <t>15273436068</t>
  </si>
  <si>
    <t>15273436242</t>
  </si>
  <si>
    <t>15273436447</t>
  </si>
  <si>
    <t>55972668</t>
  </si>
  <si>
    <t>15273436631</t>
  </si>
  <si>
    <t>15273436667</t>
  </si>
  <si>
    <t>15273436852</t>
  </si>
  <si>
    <t>55972666</t>
  </si>
  <si>
    <t>15273437601</t>
  </si>
  <si>
    <t>15273437839</t>
  </si>
  <si>
    <t>15273438037</t>
  </si>
  <si>
    <t>15273438331</t>
  </si>
  <si>
    <t>15273439222</t>
  </si>
  <si>
    <t>15273439510</t>
  </si>
  <si>
    <t>61736046</t>
  </si>
  <si>
    <t>15273439672</t>
  </si>
  <si>
    <t>55972593</t>
  </si>
  <si>
    <t>15273439720</t>
  </si>
  <si>
    <t>61711324</t>
  </si>
  <si>
    <t>15273440224</t>
  </si>
  <si>
    <t>15273440657</t>
  </si>
  <si>
    <t>15273441357</t>
  </si>
  <si>
    <t>15273441634</t>
  </si>
  <si>
    <t>15273441806</t>
  </si>
  <si>
    <t>15273445151</t>
  </si>
  <si>
    <t>15273462644</t>
  </si>
  <si>
    <t>15273474583</t>
  </si>
  <si>
    <t>15273475046</t>
  </si>
  <si>
    <t>55978872</t>
  </si>
  <si>
    <t>15273475752</t>
  </si>
  <si>
    <t>55974179</t>
  </si>
  <si>
    <t>15273476682</t>
  </si>
  <si>
    <t>55972790</t>
  </si>
  <si>
    <t>15273479354</t>
  </si>
  <si>
    <t>55977378</t>
  </si>
  <si>
    <t>15273479359</t>
  </si>
  <si>
    <t>55974299</t>
  </si>
  <si>
    <t>15273482316</t>
  </si>
  <si>
    <t>55974913</t>
  </si>
  <si>
    <t>15273482564</t>
  </si>
  <si>
    <t>55977278</t>
  </si>
  <si>
    <t>15273482646</t>
  </si>
  <si>
    <t>55974547</t>
  </si>
  <si>
    <t>15273482760</t>
  </si>
  <si>
    <t>55974323</t>
  </si>
  <si>
    <t>15273483399</t>
  </si>
  <si>
    <t>55977382</t>
  </si>
  <si>
    <t>15273489718</t>
  </si>
  <si>
    <t>15273491243</t>
  </si>
  <si>
    <t>15273491684</t>
  </si>
  <si>
    <t>15273492042</t>
  </si>
  <si>
    <t>61720338</t>
  </si>
  <si>
    <t>15273492395</t>
  </si>
  <si>
    <t>55974857</t>
  </si>
  <si>
    <t>15273492527</t>
  </si>
  <si>
    <t>55977280</t>
  </si>
  <si>
    <t>15273493018</t>
  </si>
  <si>
    <t>15273493050</t>
  </si>
  <si>
    <t>55977282</t>
  </si>
  <si>
    <t>15273493300</t>
  </si>
  <si>
    <t>55974610</t>
  </si>
  <si>
    <t>15273493342</t>
  </si>
  <si>
    <t>15273493521</t>
  </si>
  <si>
    <t>55979709</t>
  </si>
  <si>
    <t>15273493828</t>
  </si>
  <si>
    <t>55977377</t>
  </si>
  <si>
    <t>15273493836</t>
  </si>
  <si>
    <t>55977379</t>
  </si>
  <si>
    <t>15273493992</t>
  </si>
  <si>
    <t>55976146</t>
  </si>
  <si>
    <t>15273493993</t>
  </si>
  <si>
    <t>55975961</t>
  </si>
  <si>
    <t>15273494312</t>
  </si>
  <si>
    <t>55976065</t>
  </si>
  <si>
    <t>15273494625</t>
  </si>
  <si>
    <t>55977524</t>
  </si>
  <si>
    <t>15273494626</t>
  </si>
  <si>
    <t>55976654</t>
  </si>
  <si>
    <t>15273494908</t>
  </si>
  <si>
    <t>55977380</t>
  </si>
  <si>
    <t>15273495959</t>
  </si>
  <si>
    <t>55977522</t>
  </si>
  <si>
    <t>15273496258</t>
  </si>
  <si>
    <t>55977381</t>
  </si>
  <si>
    <t>15273496259</t>
  </si>
  <si>
    <t>56008991</t>
  </si>
  <si>
    <t>15273496571</t>
  </si>
  <si>
    <t>55977219</t>
  </si>
  <si>
    <t>15273496793</t>
  </si>
  <si>
    <t>55978976</t>
  </si>
  <si>
    <t>15273497155</t>
  </si>
  <si>
    <t>55978871</t>
  </si>
  <si>
    <t>15273497172</t>
  </si>
  <si>
    <t>55977217</t>
  </si>
  <si>
    <t>15273497769</t>
  </si>
  <si>
    <t>55977385</t>
  </si>
  <si>
    <t>15273497978</t>
  </si>
  <si>
    <t>15273498198</t>
  </si>
  <si>
    <t>55977277</t>
  </si>
  <si>
    <t>15273500092</t>
  </si>
  <si>
    <t>55977518</t>
  </si>
  <si>
    <t>15273500194</t>
  </si>
  <si>
    <t>15273500300</t>
  </si>
  <si>
    <t>15273500405</t>
  </si>
  <si>
    <t>15273500474</t>
  </si>
  <si>
    <t>15273501686</t>
  </si>
  <si>
    <t>15273502096</t>
  </si>
  <si>
    <t>15273503671</t>
  </si>
  <si>
    <t>15273503700</t>
  </si>
  <si>
    <t>55979554</t>
  </si>
  <si>
    <t>15273504025</t>
  </si>
  <si>
    <t>55979976</t>
  </si>
  <si>
    <t>15273504082</t>
  </si>
  <si>
    <t>15273504088</t>
  </si>
  <si>
    <t>15273505120</t>
  </si>
  <si>
    <t>15273505547</t>
  </si>
  <si>
    <t>15273505618</t>
  </si>
  <si>
    <t>15273505656</t>
  </si>
  <si>
    <t>15273505848</t>
  </si>
  <si>
    <t>15273505935</t>
  </si>
  <si>
    <t>15273506170</t>
  </si>
  <si>
    <t>15273506172</t>
  </si>
  <si>
    <t>15273506188</t>
  </si>
  <si>
    <t>15273506196</t>
  </si>
  <si>
    <t>15273506302</t>
  </si>
  <si>
    <t>15273506304</t>
  </si>
  <si>
    <t>61689572</t>
  </si>
  <si>
    <t>15273507236</t>
  </si>
  <si>
    <t>15273507266</t>
  </si>
  <si>
    <t>61739143</t>
  </si>
  <si>
    <t>15273507816</t>
  </si>
  <si>
    <t>15273507985</t>
  </si>
  <si>
    <t>15273508169</t>
  </si>
  <si>
    <t>15273508863</t>
  </si>
  <si>
    <t>15273509402</t>
  </si>
  <si>
    <t>15273509429</t>
  </si>
  <si>
    <t>15273509686</t>
  </si>
  <si>
    <t>15273509688</t>
  </si>
  <si>
    <t>15273509806</t>
  </si>
  <si>
    <t>15273510004</t>
  </si>
  <si>
    <t>15273510017</t>
  </si>
  <si>
    <t>55996991</t>
  </si>
  <si>
    <t>15273510560</t>
  </si>
  <si>
    <t>15273510641</t>
  </si>
  <si>
    <t>15273510775</t>
  </si>
  <si>
    <t>61706542</t>
  </si>
  <si>
    <t>15273510800</t>
  </si>
  <si>
    <t>15273510884</t>
  </si>
  <si>
    <t>15273510978</t>
  </si>
  <si>
    <t>15273511050</t>
  </si>
  <si>
    <t>55995097</t>
  </si>
  <si>
    <t>15273511260</t>
  </si>
  <si>
    <t>15273511458</t>
  </si>
  <si>
    <t>15273511629</t>
  </si>
  <si>
    <t>15273511760</t>
  </si>
  <si>
    <t>15273513065</t>
  </si>
  <si>
    <t>61680295</t>
  </si>
  <si>
    <t>15273513076</t>
  </si>
  <si>
    <t>15273513475</t>
  </si>
  <si>
    <t>15273513866</t>
  </si>
  <si>
    <t>15273514836</t>
  </si>
  <si>
    <t>15273514845</t>
  </si>
  <si>
    <t>15273515547</t>
  </si>
  <si>
    <t>61720732</t>
  </si>
  <si>
    <t>15273515662</t>
  </si>
  <si>
    <t>15273515695</t>
  </si>
  <si>
    <t>15273516834</t>
  </si>
  <si>
    <t>15273517739</t>
  </si>
  <si>
    <t>15273518946</t>
  </si>
  <si>
    <t>15273519172</t>
  </si>
  <si>
    <t>15273519339</t>
  </si>
  <si>
    <t>55996274</t>
  </si>
  <si>
    <t>15273525458</t>
  </si>
  <si>
    <t>15273525994</t>
  </si>
  <si>
    <t>15273533350</t>
  </si>
  <si>
    <t>15273535260</t>
  </si>
  <si>
    <t>15273536720</t>
  </si>
  <si>
    <t>55994843</t>
  </si>
  <si>
    <t>15273537035</t>
  </si>
  <si>
    <t>15273537570</t>
  </si>
  <si>
    <t>15273538191</t>
  </si>
  <si>
    <t>55996273</t>
  </si>
  <si>
    <t>15273541917</t>
  </si>
  <si>
    <t>15273542873</t>
  </si>
  <si>
    <t>55996452</t>
  </si>
  <si>
    <t>15273544349</t>
  </si>
  <si>
    <t>55998301</t>
  </si>
  <si>
    <t>15273545449</t>
  </si>
  <si>
    <t>55994758</t>
  </si>
  <si>
    <t>15273546048</t>
  </si>
  <si>
    <t>55995272</t>
  </si>
  <si>
    <t>15273549297</t>
  </si>
  <si>
    <t>55996272</t>
  </si>
  <si>
    <t>15273551359</t>
  </si>
  <si>
    <t>55996705</t>
  </si>
  <si>
    <t>15273552938</t>
  </si>
  <si>
    <t>55998303</t>
  </si>
  <si>
    <t>15273553726</t>
  </si>
  <si>
    <t>55998878</t>
  </si>
  <si>
    <t>15273554595</t>
  </si>
  <si>
    <t>55996576</t>
  </si>
  <si>
    <t>15273554968</t>
  </si>
  <si>
    <t>15273556130</t>
  </si>
  <si>
    <t>55997407</t>
  </si>
  <si>
    <t>15273558120</t>
  </si>
  <si>
    <t>56013451</t>
  </si>
  <si>
    <t>15273559422</t>
  </si>
  <si>
    <t>55996713</t>
  </si>
  <si>
    <t>15273559736</t>
  </si>
  <si>
    <t>55996711</t>
  </si>
  <si>
    <t>15273559889</t>
  </si>
  <si>
    <t>55998935</t>
  </si>
  <si>
    <t>15273559894</t>
  </si>
  <si>
    <t>55998299</t>
  </si>
  <si>
    <t>15273561605</t>
  </si>
  <si>
    <t>55997103</t>
  </si>
  <si>
    <t>15273562253</t>
  </si>
  <si>
    <t>55998592</t>
  </si>
  <si>
    <t>15273562366</t>
  </si>
  <si>
    <t>55998883</t>
  </si>
  <si>
    <t>15273563616</t>
  </si>
  <si>
    <t>55998881</t>
  </si>
  <si>
    <t>15273564142</t>
  </si>
  <si>
    <t>55998591</t>
  </si>
  <si>
    <t>15273564149</t>
  </si>
  <si>
    <t>55998464</t>
  </si>
  <si>
    <t>15273566016</t>
  </si>
  <si>
    <t>55995165</t>
  </si>
  <si>
    <t>15273566403</t>
  </si>
  <si>
    <t>15273566423</t>
  </si>
  <si>
    <t>15273566514</t>
  </si>
  <si>
    <t>15273567085</t>
  </si>
  <si>
    <t>15273567250</t>
  </si>
  <si>
    <t>15273567253</t>
  </si>
  <si>
    <t>15273567556</t>
  </si>
  <si>
    <t>15273567748</t>
  </si>
  <si>
    <t>15273568424</t>
  </si>
  <si>
    <t>15273568547</t>
  </si>
  <si>
    <t>15273568572</t>
  </si>
  <si>
    <t>15273568590</t>
  </si>
  <si>
    <t>15273569687</t>
  </si>
  <si>
    <t>15273569710</t>
  </si>
  <si>
    <t>15273569715</t>
  </si>
  <si>
    <t>15273569909</t>
  </si>
  <si>
    <t>15273570279</t>
  </si>
  <si>
    <t>15273570291</t>
  </si>
  <si>
    <t>15273571837</t>
  </si>
  <si>
    <t>15273571924</t>
  </si>
  <si>
    <t>15273572115</t>
  </si>
  <si>
    <t>15273574494</t>
  </si>
  <si>
    <t>61726520</t>
  </si>
  <si>
    <t>15273574563</t>
  </si>
  <si>
    <t>15273574575</t>
  </si>
  <si>
    <t>15273575026</t>
  </si>
  <si>
    <t>15273575201</t>
  </si>
  <si>
    <t>15273575316</t>
  </si>
  <si>
    <t>15273575597</t>
  </si>
  <si>
    <t>15273575729</t>
  </si>
  <si>
    <t>15273575787</t>
  </si>
  <si>
    <t>15273575901</t>
  </si>
  <si>
    <t>15273575910</t>
  </si>
  <si>
    <t>15273575987</t>
  </si>
  <si>
    <t>15273576384</t>
  </si>
  <si>
    <t>15273576798</t>
  </si>
  <si>
    <t>15273577325</t>
  </si>
  <si>
    <t>15273577598</t>
  </si>
  <si>
    <t>15273577599</t>
  </si>
  <si>
    <t>61685454</t>
  </si>
  <si>
    <t>15273577936</t>
  </si>
  <si>
    <t>15273578315</t>
  </si>
  <si>
    <t>15273578321</t>
  </si>
  <si>
    <t>15273578920</t>
  </si>
  <si>
    <t>15273578956</t>
  </si>
  <si>
    <t>15273578957</t>
  </si>
  <si>
    <t>15273579005</t>
  </si>
  <si>
    <t>15273579153</t>
  </si>
  <si>
    <t>15273579232</t>
  </si>
  <si>
    <t>15273579459</t>
  </si>
  <si>
    <t>15273579715</t>
  </si>
  <si>
    <t>15273579735</t>
  </si>
  <si>
    <t>15273579933</t>
  </si>
  <si>
    <t>15273580091</t>
  </si>
  <si>
    <t>15273580187</t>
  </si>
  <si>
    <t>15273580534</t>
  </si>
  <si>
    <t>15273580546</t>
  </si>
  <si>
    <t>15273580848</t>
  </si>
  <si>
    <t>15273580868</t>
  </si>
  <si>
    <t>15273581208</t>
  </si>
  <si>
    <t>56012263</t>
  </si>
  <si>
    <t>15273581257</t>
  </si>
  <si>
    <t>15273581917</t>
  </si>
  <si>
    <t>15273582018</t>
  </si>
  <si>
    <t>61674782</t>
  </si>
  <si>
    <t>15273582083</t>
  </si>
  <si>
    <t>15273582084</t>
  </si>
  <si>
    <t>15273582152</t>
  </si>
  <si>
    <t>15273582187</t>
  </si>
  <si>
    <t>15273582213</t>
  </si>
  <si>
    <t>15273582282</t>
  </si>
  <si>
    <t>15273582295</t>
  </si>
  <si>
    <t>61694382</t>
  </si>
  <si>
    <t>15273585409</t>
  </si>
  <si>
    <t>61699287</t>
  </si>
  <si>
    <t>15273585533</t>
  </si>
  <si>
    <t>15273585606</t>
  </si>
  <si>
    <t>15273585697</t>
  </si>
  <si>
    <t>15273585717</t>
  </si>
  <si>
    <t>15273585879</t>
  </si>
  <si>
    <t>15273585880</t>
  </si>
  <si>
    <t>15273585995</t>
  </si>
  <si>
    <t>15273586037</t>
  </si>
  <si>
    <t>15273586455</t>
  </si>
  <si>
    <t>15273586589</t>
  </si>
  <si>
    <t>15273586647</t>
  </si>
  <si>
    <t>15273586942</t>
  </si>
  <si>
    <t>15273586968</t>
  </si>
  <si>
    <t>15273587261</t>
  </si>
  <si>
    <t>15273587328</t>
  </si>
  <si>
    <t>15273587755</t>
  </si>
  <si>
    <t>15273587757</t>
  </si>
  <si>
    <t>15273587864</t>
  </si>
  <si>
    <t>15273588108</t>
  </si>
  <si>
    <t>15273588144</t>
  </si>
  <si>
    <t>15273588335</t>
  </si>
  <si>
    <t>15273588336</t>
  </si>
  <si>
    <t>15273588337</t>
  </si>
  <si>
    <t>15273588343</t>
  </si>
  <si>
    <t>15273588395</t>
  </si>
  <si>
    <t>15273588396</t>
  </si>
  <si>
    <t>15273589148</t>
  </si>
  <si>
    <t>15273589195</t>
  </si>
  <si>
    <t>61674920</t>
  </si>
  <si>
    <t>15273589198</t>
  </si>
  <si>
    <t>15273589201</t>
  </si>
  <si>
    <t>15273589690</t>
  </si>
  <si>
    <t>15273589903</t>
  </si>
  <si>
    <t>15273589904</t>
  </si>
  <si>
    <t>15273589987</t>
  </si>
  <si>
    <t>15273590736</t>
  </si>
  <si>
    <t>61702329</t>
  </si>
  <si>
    <t>15273590961</t>
  </si>
  <si>
    <t>15273591301</t>
  </si>
  <si>
    <t>15273591390</t>
  </si>
  <si>
    <t>15273591431</t>
  </si>
  <si>
    <t>15273591497</t>
  </si>
  <si>
    <t>15273591590</t>
  </si>
  <si>
    <t>15273591645</t>
  </si>
  <si>
    <t>15273591808</t>
  </si>
  <si>
    <t>15273591999</t>
  </si>
  <si>
    <t>15273596772</t>
  </si>
  <si>
    <t>15273599972</t>
  </si>
  <si>
    <t>61733861</t>
  </si>
  <si>
    <t>15273600159</t>
  </si>
  <si>
    <t>15273600720</t>
  </si>
  <si>
    <t>15273606492</t>
  </si>
  <si>
    <t>61706434</t>
  </si>
  <si>
    <t>15273608913</t>
  </si>
  <si>
    <t>15273610308</t>
  </si>
  <si>
    <t>15273620543</t>
  </si>
  <si>
    <t>61714650</t>
  </si>
  <si>
    <t>15273620601</t>
  </si>
  <si>
    <t>15273628147</t>
  </si>
  <si>
    <t>56012756</t>
  </si>
  <si>
    <t>15273628820</t>
  </si>
  <si>
    <t>56012759</t>
  </si>
  <si>
    <t>15273630424</t>
  </si>
  <si>
    <t>56009955</t>
  </si>
  <si>
    <t>15273632554</t>
  </si>
  <si>
    <t>56012763</t>
  </si>
  <si>
    <t>15273632656</t>
  </si>
  <si>
    <t>56012552</t>
  </si>
  <si>
    <t>15273633667</t>
  </si>
  <si>
    <t>56013074</t>
  </si>
  <si>
    <t>15273634074</t>
  </si>
  <si>
    <t>56046590</t>
  </si>
  <si>
    <t>15273634778</t>
  </si>
  <si>
    <t>56012650</t>
  </si>
  <si>
    <t>15273637144</t>
  </si>
  <si>
    <t>56014564</t>
  </si>
  <si>
    <t>15273637997</t>
  </si>
  <si>
    <t>56012114</t>
  </si>
  <si>
    <t>15273638228</t>
  </si>
  <si>
    <t>56011111</t>
  </si>
  <si>
    <t>15273639228</t>
  </si>
  <si>
    <t>56013286</t>
  </si>
  <si>
    <t>15273639984</t>
  </si>
  <si>
    <t>56012761</t>
  </si>
  <si>
    <t>15273640330</t>
  </si>
  <si>
    <t>56012639</t>
  </si>
  <si>
    <t>15273641661</t>
  </si>
  <si>
    <t>56012737</t>
  </si>
  <si>
    <t>15273641927</t>
  </si>
  <si>
    <t>15273642949</t>
  </si>
  <si>
    <t>61731410</t>
  </si>
  <si>
    <t>15273644714</t>
  </si>
  <si>
    <t>15273644936</t>
  </si>
  <si>
    <t>61685087</t>
  </si>
  <si>
    <t>15273645361</t>
  </si>
  <si>
    <t>15273645513</t>
  </si>
  <si>
    <t>15273645627</t>
  </si>
  <si>
    <t>15273646622</t>
  </si>
  <si>
    <t>15273647501</t>
  </si>
  <si>
    <t>15273647689</t>
  </si>
  <si>
    <t>15273649307</t>
  </si>
  <si>
    <t>15273649851</t>
  </si>
  <si>
    <t>15273649878</t>
  </si>
  <si>
    <t>15273649879</t>
  </si>
  <si>
    <t>15273649951</t>
  </si>
  <si>
    <t>15273649969</t>
  </si>
  <si>
    <t>56668771</t>
  </si>
  <si>
    <t>15273650599</t>
  </si>
  <si>
    <t>61719685</t>
  </si>
  <si>
    <t>15273651354</t>
  </si>
  <si>
    <t>15273651714</t>
  </si>
  <si>
    <t>15273652163</t>
  </si>
  <si>
    <t>15273652705</t>
  </si>
  <si>
    <t>15273652762</t>
  </si>
  <si>
    <t>15273655526</t>
  </si>
  <si>
    <t>15273655915</t>
  </si>
  <si>
    <t>15273656232</t>
  </si>
  <si>
    <t>15273656578</t>
  </si>
  <si>
    <t>15273657148</t>
  </si>
  <si>
    <t>15273657505</t>
  </si>
  <si>
    <t>15273658044</t>
  </si>
  <si>
    <t>15273658073</t>
  </si>
  <si>
    <t>15273658263</t>
  </si>
  <si>
    <t>15273659567</t>
  </si>
  <si>
    <t>15273659608</t>
  </si>
  <si>
    <t>61690129</t>
  </si>
  <si>
    <t>15273660444</t>
  </si>
  <si>
    <t>15273661321</t>
  </si>
  <si>
    <t>15273661350</t>
  </si>
  <si>
    <t>61737167</t>
  </si>
  <si>
    <t>15273662707</t>
  </si>
  <si>
    <t>56011109</t>
  </si>
  <si>
    <t>15273662728</t>
  </si>
  <si>
    <t>56010903</t>
  </si>
  <si>
    <t>15273663119</t>
  </si>
  <si>
    <t>56010833</t>
  </si>
  <si>
    <t>15273663349</t>
  </si>
  <si>
    <t>56010862</t>
  </si>
  <si>
    <t>15273663437</t>
  </si>
  <si>
    <t>56010240</t>
  </si>
  <si>
    <t>15273663488</t>
  </si>
  <si>
    <t>56010165</t>
  </si>
  <si>
    <t>15273664127</t>
  </si>
  <si>
    <t>56010055</t>
  </si>
  <si>
    <t>15273664805</t>
  </si>
  <si>
    <t>56010906</t>
  </si>
  <si>
    <t>15273665137</t>
  </si>
  <si>
    <t>56010905</t>
  </si>
  <si>
    <t>15273666256</t>
  </si>
  <si>
    <t>56008406</t>
  </si>
  <si>
    <t>15273667453</t>
  </si>
  <si>
    <t>56013809</t>
  </si>
  <si>
    <t>15273667811</t>
  </si>
  <si>
    <t>56013449</t>
  </si>
  <si>
    <t>15273668203</t>
  </si>
  <si>
    <t>15273668487</t>
  </si>
  <si>
    <t>15273668582</t>
  </si>
  <si>
    <t>15273668620</t>
  </si>
  <si>
    <t>15273668792</t>
  </si>
  <si>
    <t>15273669283</t>
  </si>
  <si>
    <t>15273669941</t>
  </si>
  <si>
    <t>15273670496</t>
  </si>
  <si>
    <t>15273670930</t>
  </si>
  <si>
    <t>61680035</t>
  </si>
  <si>
    <t>15273670968</t>
  </si>
  <si>
    <t>15273671534</t>
  </si>
  <si>
    <t>15273674400</t>
  </si>
  <si>
    <t>56043264</t>
  </si>
  <si>
    <t>15273686308</t>
  </si>
  <si>
    <t>15273687081</t>
  </si>
  <si>
    <t>61728502</t>
  </si>
  <si>
    <t>15273689063</t>
  </si>
  <si>
    <t>15273692397</t>
  </si>
  <si>
    <t>15273692754</t>
  </si>
  <si>
    <t>15273692998</t>
  </si>
  <si>
    <t>61728934</t>
  </si>
  <si>
    <t>15273693374</t>
  </si>
  <si>
    <t>15273694396</t>
  </si>
  <si>
    <t>56024037</t>
  </si>
  <si>
    <t>15273694509</t>
  </si>
  <si>
    <t>56023779</t>
  </si>
  <si>
    <t>15273694707</t>
  </si>
  <si>
    <t>56023948</t>
  </si>
  <si>
    <t>15273694904</t>
  </si>
  <si>
    <t>56023944</t>
  </si>
  <si>
    <t>15273695095</t>
  </si>
  <si>
    <t>56023255</t>
  </si>
  <si>
    <t>15273696186</t>
  </si>
  <si>
    <t>56023781</t>
  </si>
  <si>
    <t>15273696345</t>
  </si>
  <si>
    <t>56023780</t>
  </si>
  <si>
    <t>15273696556</t>
  </si>
  <si>
    <t>56023786</t>
  </si>
  <si>
    <t>15273696725</t>
  </si>
  <si>
    <t>56022590</t>
  </si>
  <si>
    <t>15273697131</t>
  </si>
  <si>
    <t>56023784</t>
  </si>
  <si>
    <t>15273697539</t>
  </si>
  <si>
    <t>15273698124</t>
  </si>
  <si>
    <t>56044361</t>
  </si>
  <si>
    <t>15273698650</t>
  </si>
  <si>
    <t>56044680</t>
  </si>
  <si>
    <t>15273699260</t>
  </si>
  <si>
    <t>56031247</t>
  </si>
  <si>
    <t>56217837</t>
  </si>
  <si>
    <t>15273699492</t>
  </si>
  <si>
    <t>56026910</t>
  </si>
  <si>
    <t>15273700938</t>
  </si>
  <si>
    <t>56025595</t>
  </si>
  <si>
    <t>15273701380</t>
  </si>
  <si>
    <t>56062176</t>
  </si>
  <si>
    <t>15273701653</t>
  </si>
  <si>
    <t>56031251</t>
  </si>
  <si>
    <t>15273701673</t>
  </si>
  <si>
    <t>56028524</t>
  </si>
  <si>
    <t>15273702034</t>
  </si>
  <si>
    <t>56027919</t>
  </si>
  <si>
    <t>15273702190</t>
  </si>
  <si>
    <t>56026862</t>
  </si>
  <si>
    <t>15273702274</t>
  </si>
  <si>
    <t>56026905</t>
  </si>
  <si>
    <t>15273702746</t>
  </si>
  <si>
    <t>56025889</t>
  </si>
  <si>
    <t>15273702876</t>
  </si>
  <si>
    <t>56025890</t>
  </si>
  <si>
    <t>15273703739</t>
  </si>
  <si>
    <t>56027934</t>
  </si>
  <si>
    <t>15273704289</t>
  </si>
  <si>
    <t>56024186</t>
  </si>
  <si>
    <t>15273704483</t>
  </si>
  <si>
    <t>56026301</t>
  </si>
  <si>
    <t>15273704493</t>
  </si>
  <si>
    <t>15273705220</t>
  </si>
  <si>
    <t>56025592</t>
  </si>
  <si>
    <t>15273705375</t>
  </si>
  <si>
    <t>56025441</t>
  </si>
  <si>
    <t>15273705394</t>
  </si>
  <si>
    <t>56025593</t>
  </si>
  <si>
    <t>15273705511</t>
  </si>
  <si>
    <t>56025596</t>
  </si>
  <si>
    <t>15273705861</t>
  </si>
  <si>
    <t>15273706346</t>
  </si>
  <si>
    <t>56044685</t>
  </si>
  <si>
    <t>15273706581</t>
  </si>
  <si>
    <t>56043293</t>
  </si>
  <si>
    <t>15273706737</t>
  </si>
  <si>
    <t>56027833</t>
  </si>
  <si>
    <t>15273707300</t>
  </si>
  <si>
    <t>56026909</t>
  </si>
  <si>
    <t>15273707547</t>
  </si>
  <si>
    <t>56026303</t>
  </si>
  <si>
    <t>15273708450</t>
  </si>
  <si>
    <t>56028752</t>
  </si>
  <si>
    <t>15273709046</t>
  </si>
  <si>
    <t>15273709183</t>
  </si>
  <si>
    <t>56069769</t>
  </si>
  <si>
    <t>15273709218</t>
  </si>
  <si>
    <t>15273709434</t>
  </si>
  <si>
    <t>56030681</t>
  </si>
  <si>
    <t>15273710044</t>
  </si>
  <si>
    <t>56025941</t>
  </si>
  <si>
    <t>15273710207</t>
  </si>
  <si>
    <t>56026304</t>
  </si>
  <si>
    <t>15273711151</t>
  </si>
  <si>
    <t>56025619</t>
  </si>
  <si>
    <t>15273711864</t>
  </si>
  <si>
    <t>56029114</t>
  </si>
  <si>
    <t>15273712258</t>
  </si>
  <si>
    <t>56030683</t>
  </si>
  <si>
    <t>15273712446</t>
  </si>
  <si>
    <t>56030687</t>
  </si>
  <si>
    <t>15273714999</t>
  </si>
  <si>
    <t>56027834</t>
  </si>
  <si>
    <t>15273715194</t>
  </si>
  <si>
    <t>56028745</t>
  </si>
  <si>
    <t>15273715266</t>
  </si>
  <si>
    <t>56024175</t>
  </si>
  <si>
    <t>15273715391</t>
  </si>
  <si>
    <t>56030680</t>
  </si>
  <si>
    <t>15273715416</t>
  </si>
  <si>
    <t>56028653</t>
  </si>
  <si>
    <t>15273715555</t>
  </si>
  <si>
    <t>56028652</t>
  </si>
  <si>
    <t>15273715643</t>
  </si>
  <si>
    <t>56028651</t>
  </si>
  <si>
    <t>15273715670</t>
  </si>
  <si>
    <t>56028650</t>
  </si>
  <si>
    <t>15273716021</t>
  </si>
  <si>
    <t>56031273</t>
  </si>
  <si>
    <t>15273716026</t>
  </si>
  <si>
    <t>56028525</t>
  </si>
  <si>
    <t>15273716110</t>
  </si>
  <si>
    <t>56030689</t>
  </si>
  <si>
    <t>15273717030</t>
  </si>
  <si>
    <t>15273717037</t>
  </si>
  <si>
    <t>15273717045</t>
  </si>
  <si>
    <t>15273717192</t>
  </si>
  <si>
    <t>15273717259</t>
  </si>
  <si>
    <t>15273717477</t>
  </si>
  <si>
    <t>15273717490</t>
  </si>
  <si>
    <t>15273717507</t>
  </si>
  <si>
    <t>15273717510</t>
  </si>
  <si>
    <t>15273717547</t>
  </si>
  <si>
    <t>15273717641</t>
  </si>
  <si>
    <t>15273717651</t>
  </si>
  <si>
    <t>15273718105</t>
  </si>
  <si>
    <t>15273718216</t>
  </si>
  <si>
    <t>15273719074</t>
  </si>
  <si>
    <t>15273719183</t>
  </si>
  <si>
    <t>15273719297</t>
  </si>
  <si>
    <t>15273719330</t>
  </si>
  <si>
    <t>15273719388</t>
  </si>
  <si>
    <t>15273719392</t>
  </si>
  <si>
    <t>15273719581</t>
  </si>
  <si>
    <t>15273719582</t>
  </si>
  <si>
    <t>15273720003</t>
  </si>
  <si>
    <t>15273720190</t>
  </si>
  <si>
    <t>15273720685</t>
  </si>
  <si>
    <t>15273720751</t>
  </si>
  <si>
    <t>15273720813</t>
  </si>
  <si>
    <t>15273720902</t>
  </si>
  <si>
    <t>56023367</t>
  </si>
  <si>
    <t>15273722811</t>
  </si>
  <si>
    <t>15273723042</t>
  </si>
  <si>
    <t>61719917</t>
  </si>
  <si>
    <t>15273723365</t>
  </si>
  <si>
    <t>15273723705</t>
  </si>
  <si>
    <t>15273723776</t>
  </si>
  <si>
    <t>15273723822</t>
  </si>
  <si>
    <t>15273723925</t>
  </si>
  <si>
    <t>15273723956</t>
  </si>
  <si>
    <t>15273723995</t>
  </si>
  <si>
    <t>15273724092</t>
  </si>
  <si>
    <t>15273724120</t>
  </si>
  <si>
    <t>15273724129</t>
  </si>
  <si>
    <t>15273724616</t>
  </si>
  <si>
    <t>15273724713</t>
  </si>
  <si>
    <t>15273724821</t>
  </si>
  <si>
    <t>15273724857</t>
  </si>
  <si>
    <t>15273724940</t>
  </si>
  <si>
    <t>15273724974</t>
  </si>
  <si>
    <t>15273725066</t>
  </si>
  <si>
    <t>15273725210</t>
  </si>
  <si>
    <t>15273725316</t>
  </si>
  <si>
    <t>15273725359</t>
  </si>
  <si>
    <t>15273725364</t>
  </si>
  <si>
    <t>61727941</t>
  </si>
  <si>
    <t>15273725500</t>
  </si>
  <si>
    <t>15273725869</t>
  </si>
  <si>
    <t>15273726029</t>
  </si>
  <si>
    <t>15273726409</t>
  </si>
  <si>
    <t>15273726410</t>
  </si>
  <si>
    <t>15273727023</t>
  </si>
  <si>
    <t>15273727046</t>
  </si>
  <si>
    <t>15273727606</t>
  </si>
  <si>
    <t>15273727639</t>
  </si>
  <si>
    <t>61678583</t>
  </si>
  <si>
    <t>15273727663</t>
  </si>
  <si>
    <t>15273728281</t>
  </si>
  <si>
    <t>15273728594</t>
  </si>
  <si>
    <t>15273729144</t>
  </si>
  <si>
    <t>15273729637</t>
  </si>
  <si>
    <t>15273729995</t>
  </si>
  <si>
    <t>15273730019</t>
  </si>
  <si>
    <t>61723558</t>
  </si>
  <si>
    <t>15273730180</t>
  </si>
  <si>
    <t>15273731492</t>
  </si>
  <si>
    <t>15273731950</t>
  </si>
  <si>
    <t>15273732179</t>
  </si>
  <si>
    <t>15273732741</t>
  </si>
  <si>
    <t>15273732931</t>
  </si>
  <si>
    <t>15273735063</t>
  </si>
  <si>
    <t>15273735872</t>
  </si>
  <si>
    <t>15273736845</t>
  </si>
  <si>
    <t>15273736901</t>
  </si>
  <si>
    <t>15273737014</t>
  </si>
  <si>
    <t>15273737354</t>
  </si>
  <si>
    <t>15273738203</t>
  </si>
  <si>
    <t>15273738723</t>
  </si>
  <si>
    <t>15273745394</t>
  </si>
  <si>
    <t>15273747026</t>
  </si>
  <si>
    <t>15273767226</t>
  </si>
  <si>
    <t>56083274</t>
  </si>
  <si>
    <t>15273768932</t>
  </si>
  <si>
    <t>56042157</t>
  </si>
  <si>
    <t>15273772067</t>
  </si>
  <si>
    <t>56062674</t>
  </si>
  <si>
    <t>15273775267</t>
  </si>
  <si>
    <t>56084810</t>
  </si>
  <si>
    <t>56067199</t>
  </si>
  <si>
    <t>15273777835</t>
  </si>
  <si>
    <t>56083161</t>
  </si>
  <si>
    <t>15273780589</t>
  </si>
  <si>
    <t>15273781172</t>
  </si>
  <si>
    <t>56044357</t>
  </si>
  <si>
    <t>15273781571</t>
  </si>
  <si>
    <t>56046703</t>
  </si>
  <si>
    <t>15273781572</t>
  </si>
  <si>
    <t>61737899</t>
  </si>
  <si>
    <t>56046555</t>
  </si>
  <si>
    <t>15273783546</t>
  </si>
  <si>
    <t>15273783961</t>
  </si>
  <si>
    <t>15273784184</t>
  </si>
  <si>
    <t>15273785450</t>
  </si>
  <si>
    <t>15273786038</t>
  </si>
  <si>
    <t>15273786600</t>
  </si>
  <si>
    <t>15273787369</t>
  </si>
  <si>
    <t>15273788565</t>
  </si>
  <si>
    <t>15273788870</t>
  </si>
  <si>
    <t>15273789223</t>
  </si>
  <si>
    <t>15273790642</t>
  </si>
  <si>
    <t>56062707</t>
  </si>
  <si>
    <t>15273791472</t>
  </si>
  <si>
    <t>15273791578</t>
  </si>
  <si>
    <t>15273791629</t>
  </si>
  <si>
    <t>15273792009</t>
  </si>
  <si>
    <t>15273792907</t>
  </si>
  <si>
    <t>61713402</t>
  </si>
  <si>
    <t>15273792922</t>
  </si>
  <si>
    <t>15273794698</t>
  </si>
  <si>
    <t>15273794880</t>
  </si>
  <si>
    <t>56064831</t>
  </si>
  <si>
    <t>15273794881</t>
  </si>
  <si>
    <t>15273794911</t>
  </si>
  <si>
    <t>15273795581</t>
  </si>
  <si>
    <t>15273795756</t>
  </si>
  <si>
    <t>15273795810</t>
  </si>
  <si>
    <t>15273796181</t>
  </si>
  <si>
    <t>15273796869</t>
  </si>
  <si>
    <t>15273797933</t>
  </si>
  <si>
    <t>15273798326</t>
  </si>
  <si>
    <t>61689373</t>
  </si>
  <si>
    <t>15273798499</t>
  </si>
  <si>
    <t>15273798667</t>
  </si>
  <si>
    <t>15273798758</t>
  </si>
  <si>
    <t>15273799236</t>
  </si>
  <si>
    <t>15273799682</t>
  </si>
  <si>
    <t>15273800026</t>
  </si>
  <si>
    <t>61711769</t>
  </si>
  <si>
    <t>15273800254</t>
  </si>
  <si>
    <t>15273800353</t>
  </si>
  <si>
    <t>15273800405</t>
  </si>
  <si>
    <t>15273800463</t>
  </si>
  <si>
    <t>61737910</t>
  </si>
  <si>
    <t>15273800640</t>
  </si>
  <si>
    <t>61713616</t>
  </si>
  <si>
    <t>15273800743</t>
  </si>
  <si>
    <t>61715861</t>
  </si>
  <si>
    <t>15273800771</t>
  </si>
  <si>
    <t>15273800779</t>
  </si>
  <si>
    <t>15273800809</t>
  </si>
  <si>
    <t>15273800824</t>
  </si>
  <si>
    <t>15273800844</t>
  </si>
  <si>
    <t>15273800864</t>
  </si>
  <si>
    <t>61739251</t>
  </si>
  <si>
    <t>15273800898</t>
  </si>
  <si>
    <t>61677667</t>
  </si>
  <si>
    <t>15273800961</t>
  </si>
  <si>
    <t>61692005</t>
  </si>
  <si>
    <t>15273800999</t>
  </si>
  <si>
    <t>15273801053</t>
  </si>
  <si>
    <t>15273801167</t>
  </si>
  <si>
    <t>15273801272</t>
  </si>
  <si>
    <t>15273801277</t>
  </si>
  <si>
    <t>15273801309</t>
  </si>
  <si>
    <t>15273801442</t>
  </si>
  <si>
    <t>15273801463</t>
  </si>
  <si>
    <t>15273801549</t>
  </si>
  <si>
    <t>15273801583</t>
  </si>
  <si>
    <t>15273801595</t>
  </si>
  <si>
    <t>15273801631</t>
  </si>
  <si>
    <t>15273801688</t>
  </si>
  <si>
    <t>15273801786</t>
  </si>
  <si>
    <t>15273801787</t>
  </si>
  <si>
    <t>15273801788</t>
  </si>
  <si>
    <t>15273801830</t>
  </si>
  <si>
    <t>15273801841</t>
  </si>
  <si>
    <t>15273801881</t>
  </si>
  <si>
    <t>15273801895</t>
  </si>
  <si>
    <t>15273801947</t>
  </si>
  <si>
    <t>15273801948</t>
  </si>
  <si>
    <t>15273802009</t>
  </si>
  <si>
    <t>15273802018</t>
  </si>
  <si>
    <t>15273802071</t>
  </si>
  <si>
    <t>15273803487</t>
  </si>
  <si>
    <t>15273803723</t>
  </si>
  <si>
    <t>15273803819</t>
  </si>
  <si>
    <t>15273803855</t>
  </si>
  <si>
    <t>15273804011</t>
  </si>
  <si>
    <t>15273804135</t>
  </si>
  <si>
    <t>15273804361</t>
  </si>
  <si>
    <t>15273804416</t>
  </si>
  <si>
    <t>61690069</t>
  </si>
  <si>
    <t>15273804549</t>
  </si>
  <si>
    <t>15273804563</t>
  </si>
  <si>
    <t>15273804765</t>
  </si>
  <si>
    <t>15273804775</t>
  </si>
  <si>
    <t>61680139</t>
  </si>
  <si>
    <t>15273804943</t>
  </si>
  <si>
    <t>15273805193</t>
  </si>
  <si>
    <t>15273805202</t>
  </si>
  <si>
    <t>15273805287</t>
  </si>
  <si>
    <t>15273805325</t>
  </si>
  <si>
    <t>15273805425</t>
  </si>
  <si>
    <t>15273805628</t>
  </si>
  <si>
    <t>15273805702</t>
  </si>
  <si>
    <t>15273805743</t>
  </si>
  <si>
    <t>15273805748</t>
  </si>
  <si>
    <t>15273805838</t>
  </si>
  <si>
    <t>15273805857</t>
  </si>
  <si>
    <t>15273805888</t>
  </si>
  <si>
    <t>15273805993</t>
  </si>
  <si>
    <t>15273806075</t>
  </si>
  <si>
    <t>15273806199</t>
  </si>
  <si>
    <t>15273806222</t>
  </si>
  <si>
    <t>15273806287</t>
  </si>
  <si>
    <t>15273806344</t>
  </si>
  <si>
    <t>15273806370</t>
  </si>
  <si>
    <t>61711398</t>
  </si>
  <si>
    <t>15273806483</t>
  </si>
  <si>
    <t>15273806496</t>
  </si>
  <si>
    <t>15273806498</t>
  </si>
  <si>
    <t>61700739</t>
  </si>
  <si>
    <t>15273806547</t>
  </si>
  <si>
    <t>56043199</t>
  </si>
  <si>
    <t>15273806639</t>
  </si>
  <si>
    <t>15273806700</t>
  </si>
  <si>
    <t>15273806701</t>
  </si>
  <si>
    <t>15273806845</t>
  </si>
  <si>
    <t>15273807029</t>
  </si>
  <si>
    <t>15273807068</t>
  </si>
  <si>
    <t>15273807141</t>
  </si>
  <si>
    <t>15273807395</t>
  </si>
  <si>
    <t>15273807493</t>
  </si>
  <si>
    <t>15273807494</t>
  </si>
  <si>
    <t>15273807564</t>
  </si>
  <si>
    <t>15273807628</t>
  </si>
  <si>
    <t>15273807677</t>
  </si>
  <si>
    <t>15273807682</t>
  </si>
  <si>
    <t>15273807690</t>
  </si>
  <si>
    <t>61680622</t>
  </si>
  <si>
    <t>15273807706</t>
  </si>
  <si>
    <t>15273807727</t>
  </si>
  <si>
    <t>15273807813</t>
  </si>
  <si>
    <t>15273808158</t>
  </si>
  <si>
    <t>15273808206</t>
  </si>
  <si>
    <t>56062392</t>
  </si>
  <si>
    <t>15273808353</t>
  </si>
  <si>
    <t>15273808391</t>
  </si>
  <si>
    <t>15273808476</t>
  </si>
  <si>
    <t>15273808651</t>
  </si>
  <si>
    <t>56049803</t>
  </si>
  <si>
    <t>15273808680</t>
  </si>
  <si>
    <t>56049123</t>
  </si>
  <si>
    <t>15273808699</t>
  </si>
  <si>
    <t>56049122</t>
  </si>
  <si>
    <t>15273808710</t>
  </si>
  <si>
    <t>56046626</t>
  </si>
  <si>
    <t>15273808754</t>
  </si>
  <si>
    <t>15273808767</t>
  </si>
  <si>
    <t>56049120</t>
  </si>
  <si>
    <t>15273808785</t>
  </si>
  <si>
    <t>56046609</t>
  </si>
  <si>
    <t>15273808819</t>
  </si>
  <si>
    <t>15273808873</t>
  </si>
  <si>
    <t>15273808900</t>
  </si>
  <si>
    <t>56048592</t>
  </si>
  <si>
    <t>15273808931</t>
  </si>
  <si>
    <t>56048485</t>
  </si>
  <si>
    <t>15273808938</t>
  </si>
  <si>
    <t>56048604</t>
  </si>
  <si>
    <t>15273809044</t>
  </si>
  <si>
    <t>56067090</t>
  </si>
  <si>
    <t>15273809046</t>
  </si>
  <si>
    <t>56046742</t>
  </si>
  <si>
    <t>15273809081</t>
  </si>
  <si>
    <t>56046613</t>
  </si>
  <si>
    <t>15273809107</t>
  </si>
  <si>
    <t>56045441</t>
  </si>
  <si>
    <t>15273809127</t>
  </si>
  <si>
    <t>56046368</t>
  </si>
  <si>
    <t>15273809203</t>
  </si>
  <si>
    <t>56045440</t>
  </si>
  <si>
    <t>15273809212</t>
  </si>
  <si>
    <t>56046614</t>
  </si>
  <si>
    <t>15273809217</t>
  </si>
  <si>
    <t>56046459</t>
  </si>
  <si>
    <t>15273809300</t>
  </si>
  <si>
    <t>56050975</t>
  </si>
  <si>
    <t>15273809309</t>
  </si>
  <si>
    <t>56050992</t>
  </si>
  <si>
    <t>15273809479</t>
  </si>
  <si>
    <t>15273809636</t>
  </si>
  <si>
    <t>56045280</t>
  </si>
  <si>
    <t>15273809746</t>
  </si>
  <si>
    <t>15273809818</t>
  </si>
  <si>
    <t>56046612</t>
  </si>
  <si>
    <t>15273809833</t>
  </si>
  <si>
    <t>56048982</t>
  </si>
  <si>
    <t>15273809896</t>
  </si>
  <si>
    <t>56046460</t>
  </si>
  <si>
    <t>15273809903</t>
  </si>
  <si>
    <t>56046233</t>
  </si>
  <si>
    <t>15273809913</t>
  </si>
  <si>
    <t>15273809948</t>
  </si>
  <si>
    <t>15273809958</t>
  </si>
  <si>
    <t>56045435</t>
  </si>
  <si>
    <t>15273810012</t>
  </si>
  <si>
    <t>56046365</t>
  </si>
  <si>
    <t>15273810049</t>
  </si>
  <si>
    <t>56045442</t>
  </si>
  <si>
    <t>15273810085</t>
  </si>
  <si>
    <t>56046461</t>
  </si>
  <si>
    <t>15273810249</t>
  </si>
  <si>
    <t>56045273</t>
  </si>
  <si>
    <t>15273810365</t>
  </si>
  <si>
    <t>56045424</t>
  </si>
  <si>
    <t>15273810400</t>
  </si>
  <si>
    <t>56045277</t>
  </si>
  <si>
    <t>15273810446</t>
  </si>
  <si>
    <t>56045272</t>
  </si>
  <si>
    <t>15273810542</t>
  </si>
  <si>
    <t>56046611</t>
  </si>
  <si>
    <t>15273810656</t>
  </si>
  <si>
    <t>56046432</t>
  </si>
  <si>
    <t>15273810660</t>
  </si>
  <si>
    <t>56045439</t>
  </si>
  <si>
    <t>15273810675</t>
  </si>
  <si>
    <t>56046465</t>
  </si>
  <si>
    <t>15273810929</t>
  </si>
  <si>
    <t>56045041</t>
  </si>
  <si>
    <t>15273810935</t>
  </si>
  <si>
    <t>56045391</t>
  </si>
  <si>
    <t>15273811076</t>
  </si>
  <si>
    <t>56050977</t>
  </si>
  <si>
    <t>15273811111</t>
  </si>
  <si>
    <t>56045281</t>
  </si>
  <si>
    <t>15273811325</t>
  </si>
  <si>
    <t>56046464</t>
  </si>
  <si>
    <t>15273811688</t>
  </si>
  <si>
    <t>56048480</t>
  </si>
  <si>
    <t>15273811735</t>
  </si>
  <si>
    <t>56045178</t>
  </si>
  <si>
    <t>15273811815</t>
  </si>
  <si>
    <t>56045278</t>
  </si>
  <si>
    <t>15273811997</t>
  </si>
  <si>
    <t>56045239</t>
  </si>
  <si>
    <t>15273812042</t>
  </si>
  <si>
    <t>56045249</t>
  </si>
  <si>
    <t>15273812135</t>
  </si>
  <si>
    <t>56045379</t>
  </si>
  <si>
    <t>15273812152</t>
  </si>
  <si>
    <t>56050976</t>
  </si>
  <si>
    <t>15273812156</t>
  </si>
  <si>
    <t>56050982</t>
  </si>
  <si>
    <t>15273812161</t>
  </si>
  <si>
    <t>56048529</t>
  </si>
  <si>
    <t>15273812162</t>
  </si>
  <si>
    <t>56048530</t>
  </si>
  <si>
    <t>15273812165</t>
  </si>
  <si>
    <t>61739201</t>
  </si>
  <si>
    <t>56046718</t>
  </si>
  <si>
    <t>15273812187</t>
  </si>
  <si>
    <t>15273812266</t>
  </si>
  <si>
    <t>56046727</t>
  </si>
  <si>
    <t>15273812614</t>
  </si>
  <si>
    <t>56046634</t>
  </si>
  <si>
    <t>15273812894</t>
  </si>
  <si>
    <t>56048528</t>
  </si>
  <si>
    <t>15273813057</t>
  </si>
  <si>
    <t>56046582</t>
  </si>
  <si>
    <t>15273813127</t>
  </si>
  <si>
    <t>56049121</t>
  </si>
  <si>
    <t>15273813201</t>
  </si>
  <si>
    <t>56049799</t>
  </si>
  <si>
    <t>15273813403</t>
  </si>
  <si>
    <t>56048527</t>
  </si>
  <si>
    <t>15273813406</t>
  </si>
  <si>
    <t>56046724</t>
  </si>
  <si>
    <t>15273813472</t>
  </si>
  <si>
    <t>56048978</t>
  </si>
  <si>
    <t>15273813476</t>
  </si>
  <si>
    <t>56046619</t>
  </si>
  <si>
    <t>15273813527</t>
  </si>
  <si>
    <t>56046621</t>
  </si>
  <si>
    <t>15273813999</t>
  </si>
  <si>
    <t>56046573</t>
  </si>
  <si>
    <t>15273814002</t>
  </si>
  <si>
    <t>56046708</t>
  </si>
  <si>
    <t>15273814005</t>
  </si>
  <si>
    <t>56049798</t>
  </si>
  <si>
    <t>15273814042</t>
  </si>
  <si>
    <t>56046710</t>
  </si>
  <si>
    <t>15273814185</t>
  </si>
  <si>
    <t>56046620</t>
  </si>
  <si>
    <t>15273814187</t>
  </si>
  <si>
    <t>56064622</t>
  </si>
  <si>
    <t>15273814192</t>
  </si>
  <si>
    <t>15273814301</t>
  </si>
  <si>
    <t>56046624</t>
  </si>
  <si>
    <t>15273814462</t>
  </si>
  <si>
    <t>56046722</t>
  </si>
  <si>
    <t>15273814463</t>
  </si>
  <si>
    <t>56049805</t>
  </si>
  <si>
    <t>15273814484</t>
  </si>
  <si>
    <t>56046625</t>
  </si>
  <si>
    <t>15273814488</t>
  </si>
  <si>
    <t>56048531</t>
  </si>
  <si>
    <t>15273814549</t>
  </si>
  <si>
    <t>61704909</t>
  </si>
  <si>
    <t>15273814638</t>
  </si>
  <si>
    <t>15273814678</t>
  </si>
  <si>
    <t>15273814681</t>
  </si>
  <si>
    <t>15273814862</t>
  </si>
  <si>
    <t>15273814873</t>
  </si>
  <si>
    <t>15273814965</t>
  </si>
  <si>
    <t>15273815011</t>
  </si>
  <si>
    <t>15273815091</t>
  </si>
  <si>
    <t>15273815124</t>
  </si>
  <si>
    <t>15273815151</t>
  </si>
  <si>
    <t>15273815179</t>
  </si>
  <si>
    <t>15273815234</t>
  </si>
  <si>
    <t>15273815331</t>
  </si>
  <si>
    <t>15273815338</t>
  </si>
  <si>
    <t>15273815370</t>
  </si>
  <si>
    <t>15273815406</t>
  </si>
  <si>
    <t>15273815435</t>
  </si>
  <si>
    <t>15273815570</t>
  </si>
  <si>
    <t>61700697</t>
  </si>
  <si>
    <t>15273815616</t>
  </si>
  <si>
    <t>15273815646</t>
  </si>
  <si>
    <t>15273815678</t>
  </si>
  <si>
    <t>15273815699</t>
  </si>
  <si>
    <t>15273815790</t>
  </si>
  <si>
    <t>15273815849</t>
  </si>
  <si>
    <t>15273815850</t>
  </si>
  <si>
    <t>15273815968</t>
  </si>
  <si>
    <t>15273816012</t>
  </si>
  <si>
    <t>15273816051</t>
  </si>
  <si>
    <t>15273816067</t>
  </si>
  <si>
    <t>15273816115</t>
  </si>
  <si>
    <t>15273816124</t>
  </si>
  <si>
    <t>15273816185</t>
  </si>
  <si>
    <t>15273816221</t>
  </si>
  <si>
    <t>61736658</t>
  </si>
  <si>
    <t>15273816227</t>
  </si>
  <si>
    <t>15273816465</t>
  </si>
  <si>
    <t>15273816523</t>
  </si>
  <si>
    <t>15273816560</t>
  </si>
  <si>
    <t>15273816586</t>
  </si>
  <si>
    <t>15273816605</t>
  </si>
  <si>
    <t>15273816717</t>
  </si>
  <si>
    <t>15273816817</t>
  </si>
  <si>
    <t>15273816904</t>
  </si>
  <si>
    <t>15273816915</t>
  </si>
  <si>
    <t>15273816981</t>
  </si>
  <si>
    <t>15273817088</t>
  </si>
  <si>
    <t>15273817114</t>
  </si>
  <si>
    <t>15273817134</t>
  </si>
  <si>
    <t>15273817135</t>
  </si>
  <si>
    <t>15273817185</t>
  </si>
  <si>
    <t>15273817218</t>
  </si>
  <si>
    <t>15273817355</t>
  </si>
  <si>
    <t>15273817502</t>
  </si>
  <si>
    <t>15273817665</t>
  </si>
  <si>
    <t>15273817695</t>
  </si>
  <si>
    <t>15273817774</t>
  </si>
  <si>
    <t>61704492</t>
  </si>
  <si>
    <t>15273817849</t>
  </si>
  <si>
    <t>15273817852</t>
  </si>
  <si>
    <t>15273817912</t>
  </si>
  <si>
    <t>15273817969</t>
  </si>
  <si>
    <t>15273817987</t>
  </si>
  <si>
    <t>15273818044</t>
  </si>
  <si>
    <t>15273818112</t>
  </si>
  <si>
    <t>15273818137</t>
  </si>
  <si>
    <t>15273818158</t>
  </si>
  <si>
    <t>15273818159</t>
  </si>
  <si>
    <t>15273818220</t>
  </si>
  <si>
    <t>15273818272</t>
  </si>
  <si>
    <t>15273818333</t>
  </si>
  <si>
    <t>15273818369</t>
  </si>
  <si>
    <t>15273818423</t>
  </si>
  <si>
    <t>15273818426</t>
  </si>
  <si>
    <t>15273818429</t>
  </si>
  <si>
    <t>15273818603</t>
  </si>
  <si>
    <t>15273818606</t>
  </si>
  <si>
    <t>15273818704</t>
  </si>
  <si>
    <t>15273818766</t>
  </si>
  <si>
    <t>15273818767</t>
  </si>
  <si>
    <t>15273818788</t>
  </si>
  <si>
    <t>15273818818</t>
  </si>
  <si>
    <t>15273818856</t>
  </si>
  <si>
    <t>15273818865</t>
  </si>
  <si>
    <t>61706422</t>
  </si>
  <si>
    <t>15273818866</t>
  </si>
  <si>
    <t>15273818945</t>
  </si>
  <si>
    <t>15273818950</t>
  </si>
  <si>
    <t>15273818954</t>
  </si>
  <si>
    <t>15273818955</t>
  </si>
  <si>
    <t>15273819170</t>
  </si>
  <si>
    <t>15273819191</t>
  </si>
  <si>
    <t>15273819220</t>
  </si>
  <si>
    <t>15273819238</t>
  </si>
  <si>
    <t>15273819315</t>
  </si>
  <si>
    <t>15273819372</t>
  </si>
  <si>
    <t>15273819428</t>
  </si>
  <si>
    <t>15273819476</t>
  </si>
  <si>
    <t>15273819527</t>
  </si>
  <si>
    <t>15273819571</t>
  </si>
  <si>
    <t>15273819582</t>
  </si>
  <si>
    <t>15273819585</t>
  </si>
  <si>
    <t>15273819600</t>
  </si>
  <si>
    <t>15273819683</t>
  </si>
  <si>
    <t>15273819766</t>
  </si>
  <si>
    <t>15273819767</t>
  </si>
  <si>
    <t>15273819896</t>
  </si>
  <si>
    <t>15273820122</t>
  </si>
  <si>
    <t>61730915</t>
  </si>
  <si>
    <t>15273820125</t>
  </si>
  <si>
    <t>15273820165</t>
  </si>
  <si>
    <t>15273820173</t>
  </si>
  <si>
    <t>61697561</t>
  </si>
  <si>
    <t>15273820175</t>
  </si>
  <si>
    <t>15273820180</t>
  </si>
  <si>
    <t>15273820181</t>
  </si>
  <si>
    <t>15273820205</t>
  </si>
  <si>
    <t>15273820210</t>
  </si>
  <si>
    <t>15273820244</t>
  </si>
  <si>
    <t>15273820364</t>
  </si>
  <si>
    <t>15273820464</t>
  </si>
  <si>
    <t>15273820473</t>
  </si>
  <si>
    <t>15273820474</t>
  </si>
  <si>
    <t>15273821358</t>
  </si>
  <si>
    <t>15273822295</t>
  </si>
  <si>
    <t>15273822297</t>
  </si>
  <si>
    <t>15273822599</t>
  </si>
  <si>
    <t>15273822684</t>
  </si>
  <si>
    <t>15273822811</t>
  </si>
  <si>
    <t>15273822813</t>
  </si>
  <si>
    <t>15273822852</t>
  </si>
  <si>
    <t>15273823067</t>
  </si>
  <si>
    <t>15273823264</t>
  </si>
  <si>
    <t>61721404</t>
  </si>
  <si>
    <t>15273823288</t>
  </si>
  <si>
    <t>15273823328</t>
  </si>
  <si>
    <t>15273823494</t>
  </si>
  <si>
    <t>15273823655</t>
  </si>
  <si>
    <t>15273823719</t>
  </si>
  <si>
    <t>15273823877</t>
  </si>
  <si>
    <t>61715417</t>
  </si>
  <si>
    <t>15273824181</t>
  </si>
  <si>
    <t>15273824458</t>
  </si>
  <si>
    <t>15273824522</t>
  </si>
  <si>
    <t>15273824994</t>
  </si>
  <si>
    <t>15273825304</t>
  </si>
  <si>
    <t>15273826300</t>
  </si>
  <si>
    <t>15273826443</t>
  </si>
  <si>
    <t>61724476</t>
  </si>
  <si>
    <t>15273826444</t>
  </si>
  <si>
    <t>15273826709</t>
  </si>
  <si>
    <t>15273827620</t>
  </si>
  <si>
    <t>15273827849</t>
  </si>
  <si>
    <t>15273827921</t>
  </si>
  <si>
    <t>61683126</t>
  </si>
  <si>
    <t>15273829281</t>
  </si>
  <si>
    <t>15273829282</t>
  </si>
  <si>
    <t>15273829283</t>
  </si>
  <si>
    <t>15273830465</t>
  </si>
  <si>
    <t>15273834526</t>
  </si>
  <si>
    <t>15273834837</t>
  </si>
  <si>
    <t>15273836250</t>
  </si>
  <si>
    <t>15273836252</t>
  </si>
  <si>
    <t>15273836926</t>
  </si>
  <si>
    <t>15273838090</t>
  </si>
  <si>
    <t>61714293</t>
  </si>
  <si>
    <t>15273838552</t>
  </si>
  <si>
    <t>15273846363</t>
  </si>
  <si>
    <t>15273846863</t>
  </si>
  <si>
    <t>56065252</t>
  </si>
  <si>
    <t>15273846867</t>
  </si>
  <si>
    <t>56065266</t>
  </si>
  <si>
    <t>15273847323</t>
  </si>
  <si>
    <t>56064990</t>
  </si>
  <si>
    <t>15273848019</t>
  </si>
  <si>
    <t>56064919</t>
  </si>
  <si>
    <t>15273848031</t>
  </si>
  <si>
    <t>56064911</t>
  </si>
  <si>
    <t>15273848509</t>
  </si>
  <si>
    <t>56080353</t>
  </si>
  <si>
    <t>56067466</t>
  </si>
  <si>
    <t>15273848921</t>
  </si>
  <si>
    <t>56065151</t>
  </si>
  <si>
    <t>15273849376</t>
  </si>
  <si>
    <t>56064917</t>
  </si>
  <si>
    <t>15273849663</t>
  </si>
  <si>
    <t>56067051</t>
  </si>
  <si>
    <t>15273850097</t>
  </si>
  <si>
    <t>15273851023</t>
  </si>
  <si>
    <t>56067381</t>
  </si>
  <si>
    <t>15273851059</t>
  </si>
  <si>
    <t>15273852021</t>
  </si>
  <si>
    <t>15273852912</t>
  </si>
  <si>
    <t>15273853326</t>
  </si>
  <si>
    <t>15273853363</t>
  </si>
  <si>
    <t>15273853937</t>
  </si>
  <si>
    <t>56069849</t>
  </si>
  <si>
    <t>15273855515</t>
  </si>
  <si>
    <t>15273855784</t>
  </si>
  <si>
    <t>15273855908</t>
  </si>
  <si>
    <t>15273856248</t>
  </si>
  <si>
    <t>15273856312</t>
  </si>
  <si>
    <t>15273856331</t>
  </si>
  <si>
    <t>15273857733</t>
  </si>
  <si>
    <t>15273858394</t>
  </si>
  <si>
    <t>15273859044</t>
  </si>
  <si>
    <t>15273859076</t>
  </si>
  <si>
    <t>61717375</t>
  </si>
  <si>
    <t>15273859592</t>
  </si>
  <si>
    <t>15273860221</t>
  </si>
  <si>
    <t>15273860264</t>
  </si>
  <si>
    <t>15273860367</t>
  </si>
  <si>
    <t>15273860637</t>
  </si>
  <si>
    <t>61683778</t>
  </si>
  <si>
    <t>15273861585</t>
  </si>
  <si>
    <t>15273861706</t>
  </si>
  <si>
    <t>15273862177</t>
  </si>
  <si>
    <t>56082874</t>
  </si>
  <si>
    <t>15273862259</t>
  </si>
  <si>
    <t>56082876</t>
  </si>
  <si>
    <t>15273862456</t>
  </si>
  <si>
    <t>56083275</t>
  </si>
  <si>
    <t>15273862725</t>
  </si>
  <si>
    <t>56080342</t>
  </si>
  <si>
    <t>15273862878</t>
  </si>
  <si>
    <t>56082745</t>
  </si>
  <si>
    <t>15273862935</t>
  </si>
  <si>
    <t>56080348</t>
  </si>
  <si>
    <t>15273863046</t>
  </si>
  <si>
    <t>56068963</t>
  </si>
  <si>
    <t>15273863085</t>
  </si>
  <si>
    <t>56066952</t>
  </si>
  <si>
    <t>15273863116</t>
  </si>
  <si>
    <t>56069775</t>
  </si>
  <si>
    <t>15273863217</t>
  </si>
  <si>
    <t>56067098</t>
  </si>
  <si>
    <t>15273863364</t>
  </si>
  <si>
    <t>56064826</t>
  </si>
  <si>
    <t>15273863427</t>
  </si>
  <si>
    <t>56065144</t>
  </si>
  <si>
    <t>15273863428</t>
  </si>
  <si>
    <t>56066845</t>
  </si>
  <si>
    <t>15273863497</t>
  </si>
  <si>
    <t>56064618</t>
  </si>
  <si>
    <t>15273863552</t>
  </si>
  <si>
    <t>15273863729</t>
  </si>
  <si>
    <t>56065373</t>
  </si>
  <si>
    <t>15273863817</t>
  </si>
  <si>
    <t>15273864107</t>
  </si>
  <si>
    <t>56064874</t>
  </si>
  <si>
    <t>15273864158</t>
  </si>
  <si>
    <t>15273864328</t>
  </si>
  <si>
    <t>56062129</t>
  </si>
  <si>
    <t>15273864728</t>
  </si>
  <si>
    <t>15273864729</t>
  </si>
  <si>
    <t>15273864746</t>
  </si>
  <si>
    <t>15273865028</t>
  </si>
  <si>
    <t>15273865706</t>
  </si>
  <si>
    <t>15273865731</t>
  </si>
  <si>
    <t>15273865741</t>
  </si>
  <si>
    <t>15273865901</t>
  </si>
  <si>
    <t>61716916</t>
  </si>
  <si>
    <t>15273865987</t>
  </si>
  <si>
    <t>15273866878</t>
  </si>
  <si>
    <t>15273868989</t>
  </si>
  <si>
    <t>56082873</t>
  </si>
  <si>
    <t>15273869043</t>
  </si>
  <si>
    <t>56082872</t>
  </si>
  <si>
    <t>15273869269</t>
  </si>
  <si>
    <t>56062651</t>
  </si>
  <si>
    <t>15273869314</t>
  </si>
  <si>
    <t>56062175</t>
  </si>
  <si>
    <t>15273869327</t>
  </si>
  <si>
    <t>56081887</t>
  </si>
  <si>
    <t>15273869453</t>
  </si>
  <si>
    <t>56084694</t>
  </si>
  <si>
    <t>15273869583</t>
  </si>
  <si>
    <t>56059777</t>
  </si>
  <si>
    <t>15273870659</t>
  </si>
  <si>
    <t>56064748</t>
  </si>
  <si>
    <t>15273871014</t>
  </si>
  <si>
    <t>15273871220</t>
  </si>
  <si>
    <t>56062705</t>
  </si>
  <si>
    <t>15273871256</t>
  </si>
  <si>
    <t>56064915</t>
  </si>
  <si>
    <t>15273871321</t>
  </si>
  <si>
    <t>56064475</t>
  </si>
  <si>
    <t>15273872174</t>
  </si>
  <si>
    <t>15273872410</t>
  </si>
  <si>
    <t>15273872561</t>
  </si>
  <si>
    <t>15273872575</t>
  </si>
  <si>
    <t>61727114</t>
  </si>
  <si>
    <t>15273873320</t>
  </si>
  <si>
    <t>15273873521</t>
  </si>
  <si>
    <t>15273873528</t>
  </si>
  <si>
    <t>15273873820</t>
  </si>
  <si>
    <t>15273874484</t>
  </si>
  <si>
    <t>15273874521</t>
  </si>
  <si>
    <t>15273874557</t>
  </si>
  <si>
    <t>15273874851</t>
  </si>
  <si>
    <t>15273875176</t>
  </si>
  <si>
    <t>15273876251</t>
  </si>
  <si>
    <t>15273876282</t>
  </si>
  <si>
    <t>15273876367</t>
  </si>
  <si>
    <t>15273876380</t>
  </si>
  <si>
    <t>15273876613</t>
  </si>
  <si>
    <t>15273876634</t>
  </si>
  <si>
    <t>15273876635</t>
  </si>
  <si>
    <t>15273876654</t>
  </si>
  <si>
    <t>61689977</t>
  </si>
  <si>
    <t>15273876860</t>
  </si>
  <si>
    <t>15273877030</t>
  </si>
  <si>
    <t>15273877563</t>
  </si>
  <si>
    <t>15273878449</t>
  </si>
  <si>
    <t>56062653</t>
  </si>
  <si>
    <t>15273878540</t>
  </si>
  <si>
    <t>15273878557</t>
  </si>
  <si>
    <t>15273878588</t>
  </si>
  <si>
    <t>15273879076</t>
  </si>
  <si>
    <t>15273879503</t>
  </si>
  <si>
    <t>15273880386</t>
  </si>
  <si>
    <t>56062675</t>
  </si>
  <si>
    <t>15273882015</t>
  </si>
  <si>
    <t>56069656</t>
  </si>
  <si>
    <t>15273882106</t>
  </si>
  <si>
    <t>15273882152</t>
  </si>
  <si>
    <t>15273882196</t>
  </si>
  <si>
    <t>56066948</t>
  </si>
  <si>
    <t>15273882262</t>
  </si>
  <si>
    <t>15273882339</t>
  </si>
  <si>
    <t>56065273</t>
  </si>
  <si>
    <t>15273882785</t>
  </si>
  <si>
    <t>15273882964</t>
  </si>
  <si>
    <t>56067465</t>
  </si>
  <si>
    <t>15273882980</t>
  </si>
  <si>
    <t>56067464</t>
  </si>
  <si>
    <t>15273883027</t>
  </si>
  <si>
    <t>56067096</t>
  </si>
  <si>
    <t>15273883169</t>
  </si>
  <si>
    <t>15273883281</t>
  </si>
  <si>
    <t>56067406</t>
  </si>
  <si>
    <t>15273883398</t>
  </si>
  <si>
    <t>56066903</t>
  </si>
  <si>
    <t>15273883425</t>
  </si>
  <si>
    <t>56067095</t>
  </si>
  <si>
    <t>15273883487</t>
  </si>
  <si>
    <t>56067094</t>
  </si>
  <si>
    <t>15273883488</t>
  </si>
  <si>
    <t>15273883539</t>
  </si>
  <si>
    <t>56067460</t>
  </si>
  <si>
    <t>15273883698</t>
  </si>
  <si>
    <t>56066956</t>
  </si>
  <si>
    <t>15273883794</t>
  </si>
  <si>
    <t>56069773</t>
  </si>
  <si>
    <t>15273883889</t>
  </si>
  <si>
    <t>56069770</t>
  </si>
  <si>
    <t>15273884003</t>
  </si>
  <si>
    <t>56069771</t>
  </si>
  <si>
    <t>15273884133</t>
  </si>
  <si>
    <t>56069852</t>
  </si>
  <si>
    <t>15273884189</t>
  </si>
  <si>
    <t>56072281</t>
  </si>
  <si>
    <t>15273884344</t>
  </si>
  <si>
    <t>56067092</t>
  </si>
  <si>
    <t>15273884468</t>
  </si>
  <si>
    <t>56066947</t>
  </si>
  <si>
    <t>15273884490</t>
  </si>
  <si>
    <t>15273884572</t>
  </si>
  <si>
    <t>15273884670</t>
  </si>
  <si>
    <t>15273884675</t>
  </si>
  <si>
    <t>56065208</t>
  </si>
  <si>
    <t>15273885052</t>
  </si>
  <si>
    <t>56064920</t>
  </si>
  <si>
    <t>15273885906</t>
  </si>
  <si>
    <t>15273886478</t>
  </si>
  <si>
    <t>56069772</t>
  </si>
  <si>
    <t>15273887026</t>
  </si>
  <si>
    <t>56065390</t>
  </si>
  <si>
    <t>15273887094</t>
  </si>
  <si>
    <t>56062655</t>
  </si>
  <si>
    <t>15273887121</t>
  </si>
  <si>
    <t>56064646</t>
  </si>
  <si>
    <t>15273887148</t>
  </si>
  <si>
    <t>56062043</t>
  </si>
  <si>
    <t>15273887149</t>
  </si>
  <si>
    <t>15273887669</t>
  </si>
  <si>
    <t>15273887963</t>
  </si>
  <si>
    <t>56065271</t>
  </si>
  <si>
    <t>15273888288</t>
  </si>
  <si>
    <t>56065149</t>
  </si>
  <si>
    <t>15273888434</t>
  </si>
  <si>
    <t>56135917</t>
  </si>
  <si>
    <t>15273888436</t>
  </si>
  <si>
    <t>15273888728</t>
  </si>
  <si>
    <t>61706742</t>
  </si>
  <si>
    <t>15273888814</t>
  </si>
  <si>
    <t>15273888843</t>
  </si>
  <si>
    <t>15273888959</t>
  </si>
  <si>
    <t>61727938</t>
  </si>
  <si>
    <t>15273889038</t>
  </si>
  <si>
    <t>61726857</t>
  </si>
  <si>
    <t>15273889142</t>
  </si>
  <si>
    <t>15273889460</t>
  </si>
  <si>
    <t>15273889475</t>
  </si>
  <si>
    <t>15273889476</t>
  </si>
  <si>
    <t>15273889560</t>
  </si>
  <si>
    <t>15273889738</t>
  </si>
  <si>
    <t>15273890050</t>
  </si>
  <si>
    <t>15273890116</t>
  </si>
  <si>
    <t>56084808</t>
  </si>
  <si>
    <t>15273890247</t>
  </si>
  <si>
    <t>56083277</t>
  </si>
  <si>
    <t>15273890424</t>
  </si>
  <si>
    <t>56067461</t>
  </si>
  <si>
    <t>15273890441</t>
  </si>
  <si>
    <t>15273890597</t>
  </si>
  <si>
    <t>61739142</t>
  </si>
  <si>
    <t>15273890598</t>
  </si>
  <si>
    <t>15273890627</t>
  </si>
  <si>
    <t>15273890862</t>
  </si>
  <si>
    <t>15273890940</t>
  </si>
  <si>
    <t>15273890963</t>
  </si>
  <si>
    <t>15273890976</t>
  </si>
  <si>
    <t>15273891014</t>
  </si>
  <si>
    <t>15273891224</t>
  </si>
  <si>
    <t>15273891343</t>
  </si>
  <si>
    <t>15273891403</t>
  </si>
  <si>
    <t>15273891418</t>
  </si>
  <si>
    <t>15273891539</t>
  </si>
  <si>
    <t>15273891543</t>
  </si>
  <si>
    <t>15273891806</t>
  </si>
  <si>
    <t>15273891807</t>
  </si>
  <si>
    <t>15273891993</t>
  </si>
  <si>
    <t>15273892305</t>
  </si>
  <si>
    <t>56061995</t>
  </si>
  <si>
    <t>15273892457</t>
  </si>
  <si>
    <t>15273892544</t>
  </si>
  <si>
    <t>15273892694</t>
  </si>
  <si>
    <t>61683886</t>
  </si>
  <si>
    <t>15273892772</t>
  </si>
  <si>
    <t>56061993</t>
  </si>
  <si>
    <t>15273892858</t>
  </si>
  <si>
    <t>15273892860</t>
  </si>
  <si>
    <t>15273892874</t>
  </si>
  <si>
    <t>15273892887</t>
  </si>
  <si>
    <t>15273892938</t>
  </si>
  <si>
    <t>15273893579</t>
  </si>
  <si>
    <t>15273893597</t>
  </si>
  <si>
    <t>15273893707</t>
  </si>
  <si>
    <t>61729222</t>
  </si>
  <si>
    <t>15273893861</t>
  </si>
  <si>
    <t>15273893897</t>
  </si>
  <si>
    <t>15273894065</t>
  </si>
  <si>
    <t>15273894184</t>
  </si>
  <si>
    <t>15273894328</t>
  </si>
  <si>
    <t>15273894351</t>
  </si>
  <si>
    <t>15273894359</t>
  </si>
  <si>
    <t>15273894421</t>
  </si>
  <si>
    <t>15273894592</t>
  </si>
  <si>
    <t>15273894632</t>
  </si>
  <si>
    <t>15273894775</t>
  </si>
  <si>
    <t>15273894808</t>
  </si>
  <si>
    <t>15273894817</t>
  </si>
  <si>
    <t>15273894832</t>
  </si>
  <si>
    <t>15273894835</t>
  </si>
  <si>
    <t>15273894845</t>
  </si>
  <si>
    <t>15273894909</t>
  </si>
  <si>
    <t>15273894975</t>
  </si>
  <si>
    <t>15273895009</t>
  </si>
  <si>
    <t>15273895130</t>
  </si>
  <si>
    <t>15273895159</t>
  </si>
  <si>
    <t>15273895375</t>
  </si>
  <si>
    <t>15273895602</t>
  </si>
  <si>
    <t>15273895791</t>
  </si>
  <si>
    <t>15273895798</t>
  </si>
  <si>
    <t>15273895868</t>
  </si>
  <si>
    <t>61676409</t>
  </si>
  <si>
    <t>15273896056</t>
  </si>
  <si>
    <t>15273896362</t>
  </si>
  <si>
    <t>15273896484</t>
  </si>
  <si>
    <t>15273896528</t>
  </si>
  <si>
    <t>15273896725</t>
  </si>
  <si>
    <t>15273896726</t>
  </si>
  <si>
    <t>15273896727</t>
  </si>
  <si>
    <t>15273896924</t>
  </si>
  <si>
    <t>15273896954</t>
  </si>
  <si>
    <t>15273897153</t>
  </si>
  <si>
    <t>15273897199</t>
  </si>
  <si>
    <t>15273897295</t>
  </si>
  <si>
    <t>61738835</t>
  </si>
  <si>
    <t>15273897317</t>
  </si>
  <si>
    <t>15273897348</t>
  </si>
  <si>
    <t>15273897743</t>
  </si>
  <si>
    <t>15273897819</t>
  </si>
  <si>
    <t>15273897872</t>
  </si>
  <si>
    <t>15273897879</t>
  </si>
  <si>
    <t>15273897885</t>
  </si>
  <si>
    <t>15273898113</t>
  </si>
  <si>
    <t>15273898133</t>
  </si>
  <si>
    <t>15273899040</t>
  </si>
  <si>
    <t>15273899218</t>
  </si>
  <si>
    <t>15273899219</t>
  </si>
  <si>
    <t>15273899438</t>
  </si>
  <si>
    <t>15273900612</t>
  </si>
  <si>
    <t>15273900709</t>
  </si>
  <si>
    <t>15273900710</t>
  </si>
  <si>
    <t>61704193</t>
  </si>
  <si>
    <t>15273900749</t>
  </si>
  <si>
    <t>15273900821</t>
  </si>
  <si>
    <t>15273900828</t>
  </si>
  <si>
    <t>15273900900</t>
  </si>
  <si>
    <t>15273900984</t>
  </si>
  <si>
    <t>15273901008</t>
  </si>
  <si>
    <t>15273901056</t>
  </si>
  <si>
    <t>15273901929</t>
  </si>
  <si>
    <t>15273902163</t>
  </si>
  <si>
    <t>15273902208</t>
  </si>
  <si>
    <t>15273902440</t>
  </si>
  <si>
    <t>15273902451</t>
  </si>
  <si>
    <t>15273902566</t>
  </si>
  <si>
    <t>15273902567</t>
  </si>
  <si>
    <t>15273902785</t>
  </si>
  <si>
    <t>15273903213</t>
  </si>
  <si>
    <t>15273903214</t>
  </si>
  <si>
    <t>15273903252</t>
  </si>
  <si>
    <t>15273903378</t>
  </si>
  <si>
    <t>15273904320</t>
  </si>
  <si>
    <t>15273905256</t>
  </si>
  <si>
    <t>15273905496</t>
  </si>
  <si>
    <t>15273905544</t>
  </si>
  <si>
    <t>15273906552</t>
  </si>
  <si>
    <t>15273910863</t>
  </si>
  <si>
    <t>15273911717</t>
  </si>
  <si>
    <t>15273916136</t>
  </si>
  <si>
    <t>56081681</t>
  </si>
  <si>
    <t>15273925888</t>
  </si>
  <si>
    <t>56084557</t>
  </si>
  <si>
    <t>15273926643</t>
  </si>
  <si>
    <t>56084089</t>
  </si>
  <si>
    <t>15273941164</t>
  </si>
  <si>
    <t>56136032</t>
  </si>
  <si>
    <t>15273942148</t>
  </si>
  <si>
    <t>56084296</t>
  </si>
  <si>
    <t>15273942366</t>
  </si>
  <si>
    <t>56136084</t>
  </si>
  <si>
    <t>15273942395</t>
  </si>
  <si>
    <t>56136914</t>
  </si>
  <si>
    <t>15273946779</t>
  </si>
  <si>
    <t>15273949738</t>
  </si>
  <si>
    <t>15273950079</t>
  </si>
  <si>
    <t>56081776</t>
  </si>
  <si>
    <t>15273951949</t>
  </si>
  <si>
    <t>15273952015</t>
  </si>
  <si>
    <t>15273953719</t>
  </si>
  <si>
    <t>15273955226</t>
  </si>
  <si>
    <t>15273958132</t>
  </si>
  <si>
    <t>15273960583</t>
  </si>
  <si>
    <t>15273963039</t>
  </si>
  <si>
    <t>15273963481</t>
  </si>
  <si>
    <t>61716463</t>
  </si>
  <si>
    <t>15273963920</t>
  </si>
  <si>
    <t>15273964121</t>
  </si>
  <si>
    <t>15273964916</t>
  </si>
  <si>
    <t>15273965643</t>
  </si>
  <si>
    <t>15273965921</t>
  </si>
  <si>
    <t>15273966220</t>
  </si>
  <si>
    <t>15273967315</t>
  </si>
  <si>
    <t>61701027</t>
  </si>
  <si>
    <t>15273967971</t>
  </si>
  <si>
    <t>15273967973</t>
  </si>
  <si>
    <t>15273967989</t>
  </si>
  <si>
    <t>15273968237</t>
  </si>
  <si>
    <t>15273968511</t>
  </si>
  <si>
    <t>15273968611</t>
  </si>
  <si>
    <t>15273968637</t>
  </si>
  <si>
    <t>61685421</t>
  </si>
  <si>
    <t>15273968638</t>
  </si>
  <si>
    <t>15273969715</t>
  </si>
  <si>
    <t>61705541</t>
  </si>
  <si>
    <t>15273970794</t>
  </si>
  <si>
    <t>15273970939</t>
  </si>
  <si>
    <t>15273971048</t>
  </si>
  <si>
    <t>15273971057</t>
  </si>
  <si>
    <t>15273971193</t>
  </si>
  <si>
    <t>15273971270</t>
  </si>
  <si>
    <t>15273971424</t>
  </si>
  <si>
    <t>15273971725</t>
  </si>
  <si>
    <t>61728661</t>
  </si>
  <si>
    <t>15273971836</t>
  </si>
  <si>
    <t>61731243</t>
  </si>
  <si>
    <t>15273971940</t>
  </si>
  <si>
    <t>15273972021</t>
  </si>
  <si>
    <t>15273972299</t>
  </si>
  <si>
    <t>15273972345</t>
  </si>
  <si>
    <t>15273972402</t>
  </si>
  <si>
    <t>61723160</t>
  </si>
  <si>
    <t>15273972642</t>
  </si>
  <si>
    <t>15273972665</t>
  </si>
  <si>
    <t>15273973510</t>
  </si>
  <si>
    <t>15273973561</t>
  </si>
  <si>
    <t>15273973616</t>
  </si>
  <si>
    <t>15273973714</t>
  </si>
  <si>
    <t>15273973736</t>
  </si>
  <si>
    <t>15273974014</t>
  </si>
  <si>
    <t>15273974149</t>
  </si>
  <si>
    <t>15273977086</t>
  </si>
  <si>
    <t>15273977093</t>
  </si>
  <si>
    <t>15273977307</t>
  </si>
  <si>
    <t>15273977360</t>
  </si>
  <si>
    <t>61709211</t>
  </si>
  <si>
    <t>15273977381</t>
  </si>
  <si>
    <t>15273977845</t>
  </si>
  <si>
    <t>15273977870</t>
  </si>
  <si>
    <t>61690705</t>
  </si>
  <si>
    <t>15273977909</t>
  </si>
  <si>
    <t>15273977952</t>
  </si>
  <si>
    <t>15273977971</t>
  </si>
  <si>
    <t>15273978209</t>
  </si>
  <si>
    <t>15273978247</t>
  </si>
  <si>
    <t>15273978298</t>
  </si>
  <si>
    <t>15273978381</t>
  </si>
  <si>
    <t>61714684</t>
  </si>
  <si>
    <t>15273978384</t>
  </si>
  <si>
    <t>15273978426</t>
  </si>
  <si>
    <t>61712137</t>
  </si>
  <si>
    <t>15273978495</t>
  </si>
  <si>
    <t>15273978496</t>
  </si>
  <si>
    <t>15273978625</t>
  </si>
  <si>
    <t>15273978646</t>
  </si>
  <si>
    <t>15273978701</t>
  </si>
  <si>
    <t>15273978900</t>
  </si>
  <si>
    <t>15273979318</t>
  </si>
  <si>
    <t>61714903</t>
  </si>
  <si>
    <t>15273979542</t>
  </si>
  <si>
    <t>15273979561</t>
  </si>
  <si>
    <t>15273979651</t>
  </si>
  <si>
    <t>15273979728</t>
  </si>
  <si>
    <t>15273979882</t>
  </si>
  <si>
    <t>15273980007</t>
  </si>
  <si>
    <t>15273980111</t>
  </si>
  <si>
    <t>15273980384</t>
  </si>
  <si>
    <t>15273980721</t>
  </si>
  <si>
    <t>15273980761</t>
  </si>
  <si>
    <t>15273980829</t>
  </si>
  <si>
    <t>15273981257</t>
  </si>
  <si>
    <t>61676732</t>
  </si>
  <si>
    <t>15273981261</t>
  </si>
  <si>
    <t>15273981400</t>
  </si>
  <si>
    <t>15273981528</t>
  </si>
  <si>
    <t>15273981567</t>
  </si>
  <si>
    <t>15273981604</t>
  </si>
  <si>
    <t>61716266</t>
  </si>
  <si>
    <t>15273982252</t>
  </si>
  <si>
    <t>15273982296</t>
  </si>
  <si>
    <t>61702501</t>
  </si>
  <si>
    <t>15273982324</t>
  </si>
  <si>
    <t>15273982455</t>
  </si>
  <si>
    <t>15273982459</t>
  </si>
  <si>
    <t>15273982600</t>
  </si>
  <si>
    <t>56140822</t>
  </si>
  <si>
    <t>15273982667</t>
  </si>
  <si>
    <t>15273982852</t>
  </si>
  <si>
    <t>15273983009</t>
  </si>
  <si>
    <t>15273983113</t>
  </si>
  <si>
    <t>15273983157</t>
  </si>
  <si>
    <t>15273983327</t>
  </si>
  <si>
    <t>15273983452</t>
  </si>
  <si>
    <t>15273983483</t>
  </si>
  <si>
    <t>15273983615</t>
  </si>
  <si>
    <t>15273983912</t>
  </si>
  <si>
    <t>15273984072</t>
  </si>
  <si>
    <t>15273984096</t>
  </si>
  <si>
    <t>15273984097</t>
  </si>
  <si>
    <t>61686361</t>
  </si>
  <si>
    <t>15273984139</t>
  </si>
  <si>
    <t>15273984149</t>
  </si>
  <si>
    <t>15273984197</t>
  </si>
  <si>
    <t>15273984262</t>
  </si>
  <si>
    <t>15273984304</t>
  </si>
  <si>
    <t>15273984444</t>
  </si>
  <si>
    <t>15273984502</t>
  </si>
  <si>
    <t>15273984806</t>
  </si>
  <si>
    <t>61708165</t>
  </si>
  <si>
    <t>15273985983</t>
  </si>
  <si>
    <t>15273986431</t>
  </si>
  <si>
    <t>15273986634</t>
  </si>
  <si>
    <t>15273986760</t>
  </si>
  <si>
    <t>61735122</t>
  </si>
  <si>
    <t>15273987243</t>
  </si>
  <si>
    <t>15273987244</t>
  </si>
  <si>
    <t>15273987339</t>
  </si>
  <si>
    <t>15273987564</t>
  </si>
  <si>
    <t>15273987613</t>
  </si>
  <si>
    <t>15273987777</t>
  </si>
  <si>
    <t>15273988203</t>
  </si>
  <si>
    <t>15273988398</t>
  </si>
  <si>
    <t>61676711</t>
  </si>
  <si>
    <t>15273988711</t>
  </si>
  <si>
    <t>15273988813</t>
  </si>
  <si>
    <t>15273989016</t>
  </si>
  <si>
    <t>15273989576</t>
  </si>
  <si>
    <t>61714851</t>
  </si>
  <si>
    <t>15273989988</t>
  </si>
  <si>
    <t>15273990201</t>
  </si>
  <si>
    <t>15273990962</t>
  </si>
  <si>
    <t>15273991284</t>
  </si>
  <si>
    <t>15273991348</t>
  </si>
  <si>
    <t>15273991392</t>
  </si>
  <si>
    <t>15273991811</t>
  </si>
  <si>
    <t>15273991820</t>
  </si>
  <si>
    <t>61721118</t>
  </si>
  <si>
    <t>15273992102</t>
  </si>
  <si>
    <t>15273992234</t>
  </si>
  <si>
    <t>15273992452</t>
  </si>
  <si>
    <t>15273993431</t>
  </si>
  <si>
    <t>61677184</t>
  </si>
  <si>
    <t>15273993570</t>
  </si>
  <si>
    <t>15273993651</t>
  </si>
  <si>
    <t>15273993733</t>
  </si>
  <si>
    <t>15273994188</t>
  </si>
  <si>
    <t>61706433</t>
  </si>
  <si>
    <t>15273994189</t>
  </si>
  <si>
    <t>61713635</t>
  </si>
  <si>
    <t>15273994291</t>
  </si>
  <si>
    <t>15273994333</t>
  </si>
  <si>
    <t>15273994595</t>
  </si>
  <si>
    <t>15273994725</t>
  </si>
  <si>
    <t>15273995107</t>
  </si>
  <si>
    <t>15273995476</t>
  </si>
  <si>
    <t>15273996049</t>
  </si>
  <si>
    <t>56537266</t>
  </si>
  <si>
    <t>15273997285</t>
  </si>
  <si>
    <t>61712167</t>
  </si>
  <si>
    <t>15273998137</t>
  </si>
  <si>
    <t>15273998216</t>
  </si>
  <si>
    <t>15273998427</t>
  </si>
  <si>
    <t>15273999903</t>
  </si>
  <si>
    <t>15274000050</t>
  </si>
  <si>
    <t>56537265</t>
  </si>
  <si>
    <t>15274000144</t>
  </si>
  <si>
    <t>15274000485</t>
  </si>
  <si>
    <t>15274000824</t>
  </si>
  <si>
    <t>15274001189</t>
  </si>
  <si>
    <t>15274002239</t>
  </si>
  <si>
    <t>15274004439</t>
  </si>
  <si>
    <t>15274005087</t>
  </si>
  <si>
    <t>15274006290</t>
  </si>
  <si>
    <t>56144497</t>
  </si>
  <si>
    <t>15274007416</t>
  </si>
  <si>
    <t>56096825</t>
  </si>
  <si>
    <t>15274007927</t>
  </si>
  <si>
    <t>56096689</t>
  </si>
  <si>
    <t>15274008462</t>
  </si>
  <si>
    <t>56152673</t>
  </si>
  <si>
    <t>15274009518</t>
  </si>
  <si>
    <t>15274009911</t>
  </si>
  <si>
    <t>56152338</t>
  </si>
  <si>
    <t>15274011364</t>
  </si>
  <si>
    <t>56156478</t>
  </si>
  <si>
    <t>15274012215</t>
  </si>
  <si>
    <t>56168699</t>
  </si>
  <si>
    <t>15274012282</t>
  </si>
  <si>
    <t>56152676</t>
  </si>
  <si>
    <t>15274013923</t>
  </si>
  <si>
    <t>56168734</t>
  </si>
  <si>
    <t>15274014324</t>
  </si>
  <si>
    <t>56156557</t>
  </si>
  <si>
    <t>15274015957</t>
  </si>
  <si>
    <t>56168731</t>
  </si>
  <si>
    <t>15274016335</t>
  </si>
  <si>
    <t>56157050</t>
  </si>
  <si>
    <t>15274016675</t>
  </si>
  <si>
    <t>56156951</t>
  </si>
  <si>
    <t>15274018312</t>
  </si>
  <si>
    <t>56168779</t>
  </si>
  <si>
    <t>15274018778</t>
  </si>
  <si>
    <t>56170761</t>
  </si>
  <si>
    <t>15274019031</t>
  </si>
  <si>
    <t>56168852</t>
  </si>
  <si>
    <t>15274019037</t>
  </si>
  <si>
    <t>56168804</t>
  </si>
  <si>
    <t>15274020849</t>
  </si>
  <si>
    <t>56168836</t>
  </si>
  <si>
    <t>15274021933</t>
  </si>
  <si>
    <t>56170888</t>
  </si>
  <si>
    <t>15274022030</t>
  </si>
  <si>
    <t>56168837</t>
  </si>
  <si>
    <t>15274022345</t>
  </si>
  <si>
    <t>56094616</t>
  </si>
  <si>
    <t>15274022934</t>
  </si>
  <si>
    <t>56168801</t>
  </si>
  <si>
    <t>15274023471</t>
  </si>
  <si>
    <t>56168835</t>
  </si>
  <si>
    <t>15274023524</t>
  </si>
  <si>
    <t>56170758</t>
  </si>
  <si>
    <t>15274024076</t>
  </si>
  <si>
    <t>56168851</t>
  </si>
  <si>
    <t>15274024340</t>
  </si>
  <si>
    <t>56094279</t>
  </si>
  <si>
    <t>15274025561</t>
  </si>
  <si>
    <t>56168849</t>
  </si>
  <si>
    <t>15274025845</t>
  </si>
  <si>
    <t>56170961</t>
  </si>
  <si>
    <t>15274026394</t>
  </si>
  <si>
    <t>56170893</t>
  </si>
  <si>
    <t>15274027404</t>
  </si>
  <si>
    <t>56100365</t>
  </si>
  <si>
    <t>15274027817</t>
  </si>
  <si>
    <t>15274028105</t>
  </si>
  <si>
    <t>56551802</t>
  </si>
  <si>
    <t>15274028673</t>
  </si>
  <si>
    <t>15274029198</t>
  </si>
  <si>
    <t>15274029531</t>
  </si>
  <si>
    <t>15274029848</t>
  </si>
  <si>
    <t>15274030107</t>
  </si>
  <si>
    <t>61716530</t>
  </si>
  <si>
    <t>15274030735</t>
  </si>
  <si>
    <t>15274030955</t>
  </si>
  <si>
    <t>15274031479</t>
  </si>
  <si>
    <t>15274031764</t>
  </si>
  <si>
    <t>15274032452</t>
  </si>
  <si>
    <t>61738520</t>
  </si>
  <si>
    <t>15274033270</t>
  </si>
  <si>
    <t>56171089</t>
  </si>
  <si>
    <t>15274033459</t>
  </si>
  <si>
    <t>56171092</t>
  </si>
  <si>
    <t>15274035206</t>
  </si>
  <si>
    <t>56170892</t>
  </si>
  <si>
    <t>15274035463</t>
  </si>
  <si>
    <t>56170959</t>
  </si>
  <si>
    <t>15274035767</t>
  </si>
  <si>
    <t>56170890</t>
  </si>
  <si>
    <t>15274036627</t>
  </si>
  <si>
    <t>56170955</t>
  </si>
  <si>
    <t>15274038295</t>
  </si>
  <si>
    <t>56171400</t>
  </si>
  <si>
    <t>15274038571</t>
  </si>
  <si>
    <t>56173602</t>
  </si>
  <si>
    <t>15274038665</t>
  </si>
  <si>
    <t>56096630</t>
  </si>
  <si>
    <t>15274038965</t>
  </si>
  <si>
    <t>56096896</t>
  </si>
  <si>
    <t>61714555</t>
  </si>
  <si>
    <t>15274040333</t>
  </si>
  <si>
    <t>15274042583</t>
  </si>
  <si>
    <t>56175962</t>
  </si>
  <si>
    <t>15274042897</t>
  </si>
  <si>
    <t>56176792</t>
  </si>
  <si>
    <t>15274043420</t>
  </si>
  <si>
    <t>15274044044</t>
  </si>
  <si>
    <t>56175609</t>
  </si>
  <si>
    <t>15274044832</t>
  </si>
  <si>
    <t>15274045345</t>
  </si>
  <si>
    <t>15274045594</t>
  </si>
  <si>
    <t>15274045790</t>
  </si>
  <si>
    <t>15274047032</t>
  </si>
  <si>
    <t>56101383</t>
  </si>
  <si>
    <t>15274047127</t>
  </si>
  <si>
    <t>56175864</t>
  </si>
  <si>
    <t>15274047161</t>
  </si>
  <si>
    <t>56175861</t>
  </si>
  <si>
    <t>15274047801</t>
  </si>
  <si>
    <t>56100428</t>
  </si>
  <si>
    <t>15274048199</t>
  </si>
  <si>
    <t>56644757</t>
  </si>
  <si>
    <t>15274048246</t>
  </si>
  <si>
    <t>15274048247</t>
  </si>
  <si>
    <t>15274048248</t>
  </si>
  <si>
    <t>15274049276</t>
  </si>
  <si>
    <t>56174043</t>
  </si>
  <si>
    <t>15274049425</t>
  </si>
  <si>
    <t>56174042</t>
  </si>
  <si>
    <t>15274049473</t>
  </si>
  <si>
    <t>56174040</t>
  </si>
  <si>
    <t>15274049534</t>
  </si>
  <si>
    <t>56100407</t>
  </si>
  <si>
    <t>15274049823</t>
  </si>
  <si>
    <t>56198685</t>
  </si>
  <si>
    <t>15274050097</t>
  </si>
  <si>
    <t>61679199</t>
  </si>
  <si>
    <t>15274050207</t>
  </si>
  <si>
    <t>15274051097</t>
  </si>
  <si>
    <t>15274051525</t>
  </si>
  <si>
    <t>15274051532</t>
  </si>
  <si>
    <t>15274051533</t>
  </si>
  <si>
    <t>15274051624</t>
  </si>
  <si>
    <t>15274051676</t>
  </si>
  <si>
    <t>15274051844</t>
  </si>
  <si>
    <t>15274051947</t>
  </si>
  <si>
    <t>15274052134</t>
  </si>
  <si>
    <t>15274052238</t>
  </si>
  <si>
    <t>15274052273</t>
  </si>
  <si>
    <t>15274052480</t>
  </si>
  <si>
    <t>15274052637</t>
  </si>
  <si>
    <t>15274052824</t>
  </si>
  <si>
    <t>61718946</t>
  </si>
  <si>
    <t>15274052862</t>
  </si>
  <si>
    <t>61687907</t>
  </si>
  <si>
    <t>15274053032</t>
  </si>
  <si>
    <t>15274053120</t>
  </si>
  <si>
    <t>15274053922</t>
  </si>
  <si>
    <t>15274053962</t>
  </si>
  <si>
    <t>15274054247</t>
  </si>
  <si>
    <t>15274056218</t>
  </si>
  <si>
    <t>15274056312</t>
  </si>
  <si>
    <t>15274056322</t>
  </si>
  <si>
    <t>15274056437</t>
  </si>
  <si>
    <t>15274056530</t>
  </si>
  <si>
    <t>15274056744</t>
  </si>
  <si>
    <t>15274056802</t>
  </si>
  <si>
    <t>15274056854</t>
  </si>
  <si>
    <t>15274056912</t>
  </si>
  <si>
    <t>15274056985</t>
  </si>
  <si>
    <t>15274057517</t>
  </si>
  <si>
    <t>15274057558</t>
  </si>
  <si>
    <t>15274057623</t>
  </si>
  <si>
    <t>15274057765</t>
  </si>
  <si>
    <t>15274057889</t>
  </si>
  <si>
    <t>15274057995</t>
  </si>
  <si>
    <t>15274058222</t>
  </si>
  <si>
    <t>15274058499</t>
  </si>
  <si>
    <t>15274058675</t>
  </si>
  <si>
    <t>15274058721</t>
  </si>
  <si>
    <t>15274058798</t>
  </si>
  <si>
    <t>15274059014</t>
  </si>
  <si>
    <t>15274059236</t>
  </si>
  <si>
    <t>15274059846</t>
  </si>
  <si>
    <t>15274060064</t>
  </si>
  <si>
    <t>15274060844</t>
  </si>
  <si>
    <t>15274061619</t>
  </si>
  <si>
    <t>15274062138</t>
  </si>
  <si>
    <t>15274062442</t>
  </si>
  <si>
    <t>15274062638</t>
  </si>
  <si>
    <t>15274062768</t>
  </si>
  <si>
    <t>15274062845</t>
  </si>
  <si>
    <t>15274062908</t>
  </si>
  <si>
    <t>15274063003</t>
  </si>
  <si>
    <t>15274063138</t>
  </si>
  <si>
    <t>15274063354</t>
  </si>
  <si>
    <t>15274064242</t>
  </si>
  <si>
    <t>15274064275</t>
  </si>
  <si>
    <t>61685241</t>
  </si>
  <si>
    <t>15274064285</t>
  </si>
  <si>
    <t>15274064335</t>
  </si>
  <si>
    <t>15274064343</t>
  </si>
  <si>
    <t>15274064639</t>
  </si>
  <si>
    <t>15274074671</t>
  </si>
  <si>
    <t>15274074934</t>
  </si>
  <si>
    <t>15274075400</t>
  </si>
  <si>
    <t>15274075411</t>
  </si>
  <si>
    <t>61719784</t>
  </si>
  <si>
    <t>15274075700</t>
  </si>
  <si>
    <t>15274075731</t>
  </si>
  <si>
    <t>15274075748</t>
  </si>
  <si>
    <t>15274076745</t>
  </si>
  <si>
    <t>15274077190</t>
  </si>
  <si>
    <t>15274077191</t>
  </si>
  <si>
    <t>15274077508</t>
  </si>
  <si>
    <t>61735236</t>
  </si>
  <si>
    <t>15274077602</t>
  </si>
  <si>
    <t>15274077809</t>
  </si>
  <si>
    <t>15274078824</t>
  </si>
  <si>
    <t>15274081239</t>
  </si>
  <si>
    <t>15274081720</t>
  </si>
  <si>
    <t>61736345</t>
  </si>
  <si>
    <t>15274084717</t>
  </si>
  <si>
    <t>15274085812</t>
  </si>
  <si>
    <t>15274091793</t>
  </si>
  <si>
    <t>15274092449</t>
  </si>
  <si>
    <t>15274098671</t>
  </si>
  <si>
    <t>15274100063</t>
  </si>
  <si>
    <t>15274109085</t>
  </si>
  <si>
    <t>15274109824</t>
  </si>
  <si>
    <t>15274110803</t>
  </si>
  <si>
    <t>15274117585</t>
  </si>
  <si>
    <t>15274118291</t>
  </si>
  <si>
    <t>15274119593</t>
  </si>
  <si>
    <t>15274121349</t>
  </si>
  <si>
    <t>15274123387</t>
  </si>
  <si>
    <t>15274124706</t>
  </si>
  <si>
    <t>15274124945</t>
  </si>
  <si>
    <t>15274126155</t>
  </si>
  <si>
    <t>15274126494</t>
  </si>
  <si>
    <t>15274129045</t>
  </si>
  <si>
    <t>56139479</t>
  </si>
  <si>
    <t>15274131660</t>
  </si>
  <si>
    <t>15274133105</t>
  </si>
  <si>
    <t>15274133312</t>
  </si>
  <si>
    <t>15274135032</t>
  </si>
  <si>
    <t>56139784</t>
  </si>
  <si>
    <t>15274137272</t>
  </si>
  <si>
    <t>56107243</t>
  </si>
  <si>
    <t>15274140432</t>
  </si>
  <si>
    <t>56106761</t>
  </si>
  <si>
    <t>15274142657</t>
  </si>
  <si>
    <t>56108845</t>
  </si>
  <si>
    <t>15274143472</t>
  </si>
  <si>
    <t>15274143521</t>
  </si>
  <si>
    <t>15274143933</t>
  </si>
  <si>
    <t>15274144598</t>
  </si>
  <si>
    <t>15274144610</t>
  </si>
  <si>
    <t>15274144734</t>
  </si>
  <si>
    <t>15274146807</t>
  </si>
  <si>
    <t>15274147442</t>
  </si>
  <si>
    <t>56117976</t>
  </si>
  <si>
    <t>15274147890</t>
  </si>
  <si>
    <t>56108842</t>
  </si>
  <si>
    <t>15274148294</t>
  </si>
  <si>
    <t>56135916</t>
  </si>
  <si>
    <t>15274148368</t>
  </si>
  <si>
    <t>15274149140</t>
  </si>
  <si>
    <t>56139587</t>
  </si>
  <si>
    <t>15274149721</t>
  </si>
  <si>
    <t>60033071</t>
  </si>
  <si>
    <t>15274149996</t>
  </si>
  <si>
    <t>15274150521</t>
  </si>
  <si>
    <t>15274150680</t>
  </si>
  <si>
    <t>15274150850</t>
  </si>
  <si>
    <t>15274150908</t>
  </si>
  <si>
    <t>15274151037</t>
  </si>
  <si>
    <t>56121808</t>
  </si>
  <si>
    <t>15274151153</t>
  </si>
  <si>
    <t>15274152450</t>
  </si>
  <si>
    <t>56106943</t>
  </si>
  <si>
    <t>15274152643</t>
  </si>
  <si>
    <t>56107278</t>
  </si>
  <si>
    <t>15274153219</t>
  </si>
  <si>
    <t>15274155846</t>
  </si>
  <si>
    <t>15274155943</t>
  </si>
  <si>
    <t>15274156204</t>
  </si>
  <si>
    <t>15274156315</t>
  </si>
  <si>
    <t>15274156352</t>
  </si>
  <si>
    <t>56120298</t>
  </si>
  <si>
    <t>15274156432</t>
  </si>
  <si>
    <t>15274156452</t>
  </si>
  <si>
    <t>15274156692</t>
  </si>
  <si>
    <t>15274156845</t>
  </si>
  <si>
    <t>15274157121</t>
  </si>
  <si>
    <t>15274157422</t>
  </si>
  <si>
    <t>15274157737</t>
  </si>
  <si>
    <t>15274157779</t>
  </si>
  <si>
    <t>15274157896</t>
  </si>
  <si>
    <t>15274158257</t>
  </si>
  <si>
    <t>15274158366</t>
  </si>
  <si>
    <t>15274158418</t>
  </si>
  <si>
    <t>15274158756</t>
  </si>
  <si>
    <t>15274158781</t>
  </si>
  <si>
    <t>15274158817</t>
  </si>
  <si>
    <t>15274159160</t>
  </si>
  <si>
    <t>15274159213</t>
  </si>
  <si>
    <t>15274159224</t>
  </si>
  <si>
    <t>15274159242</t>
  </si>
  <si>
    <t>15274159378</t>
  </si>
  <si>
    <t>15274159418</t>
  </si>
  <si>
    <t>15274159450</t>
  </si>
  <si>
    <t>15274159582</t>
  </si>
  <si>
    <t>15274159686</t>
  </si>
  <si>
    <t>15274159692</t>
  </si>
  <si>
    <t>15274159727</t>
  </si>
  <si>
    <t>15274159738</t>
  </si>
  <si>
    <t>15274159739</t>
  </si>
  <si>
    <t>15274159870</t>
  </si>
  <si>
    <t>61695851</t>
  </si>
  <si>
    <t>15274160012</t>
  </si>
  <si>
    <t>15274160110</t>
  </si>
  <si>
    <t>15274160145</t>
  </si>
  <si>
    <t>15274160256</t>
  </si>
  <si>
    <t>15274161186</t>
  </si>
  <si>
    <t>15274161362</t>
  </si>
  <si>
    <t>15274161551</t>
  </si>
  <si>
    <t>61688884</t>
  </si>
  <si>
    <t>15274161880</t>
  </si>
  <si>
    <t>61707068</t>
  </si>
  <si>
    <t>15274162134</t>
  </si>
  <si>
    <t>15274162479</t>
  </si>
  <si>
    <t>15274162675</t>
  </si>
  <si>
    <t>61675341</t>
  </si>
  <si>
    <t>15274162710</t>
  </si>
  <si>
    <t>15274163569</t>
  </si>
  <si>
    <t>15274163707</t>
  </si>
  <si>
    <t>15274163886</t>
  </si>
  <si>
    <t>15274163897</t>
  </si>
  <si>
    <t>56108847</t>
  </si>
  <si>
    <t>15274165887</t>
  </si>
  <si>
    <t>15274168255</t>
  </si>
  <si>
    <t>15274169279</t>
  </si>
  <si>
    <t>15274170214</t>
  </si>
  <si>
    <t>15274174284</t>
  </si>
  <si>
    <t>15274175509</t>
  </si>
  <si>
    <t>15274176330</t>
  </si>
  <si>
    <t>15274176459</t>
  </si>
  <si>
    <t>61722726</t>
  </si>
  <si>
    <t>15274176784</t>
  </si>
  <si>
    <t>15274176871</t>
  </si>
  <si>
    <t>15274176961</t>
  </si>
  <si>
    <t>15274177046</t>
  </si>
  <si>
    <t>15274177273</t>
  </si>
  <si>
    <t>15274177719</t>
  </si>
  <si>
    <t>15274177788</t>
  </si>
  <si>
    <t>15274186711</t>
  </si>
  <si>
    <t>15274188305</t>
  </si>
  <si>
    <t>15274188980</t>
  </si>
  <si>
    <t>15274189140</t>
  </si>
  <si>
    <t>61713285</t>
  </si>
  <si>
    <t>15274189251</t>
  </si>
  <si>
    <t>15274189446</t>
  </si>
  <si>
    <t>15274189486</t>
  </si>
  <si>
    <t>15274189584</t>
  </si>
  <si>
    <t>15274189930</t>
  </si>
  <si>
    <t>61702366</t>
  </si>
  <si>
    <t>15274189957</t>
  </si>
  <si>
    <t>15274190311</t>
  </si>
  <si>
    <t>61713136</t>
  </si>
  <si>
    <t>15274190362</t>
  </si>
  <si>
    <t>61733484</t>
  </si>
  <si>
    <t>15274192286</t>
  </si>
  <si>
    <t>56122427</t>
  </si>
  <si>
    <t>15274193421</t>
  </si>
  <si>
    <t>56139886</t>
  </si>
  <si>
    <t>15274195435</t>
  </si>
  <si>
    <t>15274195495</t>
  </si>
  <si>
    <t>15274195795</t>
  </si>
  <si>
    <t>15274195883</t>
  </si>
  <si>
    <t>15274198745</t>
  </si>
  <si>
    <t>15274198879</t>
  </si>
  <si>
    <t>15274199084</t>
  </si>
  <si>
    <t>15274202491</t>
  </si>
  <si>
    <t>15274203697</t>
  </si>
  <si>
    <t>15274203736</t>
  </si>
  <si>
    <t>15274204023</t>
  </si>
  <si>
    <t>15274205085</t>
  </si>
  <si>
    <t>15274205120</t>
  </si>
  <si>
    <t>15274205655</t>
  </si>
  <si>
    <t>15274205677</t>
  </si>
  <si>
    <t>15274205784</t>
  </si>
  <si>
    <t>15274207929</t>
  </si>
  <si>
    <t>15274208099</t>
  </si>
  <si>
    <t>15274208301</t>
  </si>
  <si>
    <t>15274208595</t>
  </si>
  <si>
    <t>61697263</t>
  </si>
  <si>
    <t>15274209969</t>
  </si>
  <si>
    <t>61679240</t>
  </si>
  <si>
    <t>15274210882</t>
  </si>
  <si>
    <t>15274212892</t>
  </si>
  <si>
    <t>61696453</t>
  </si>
  <si>
    <t>15274213252</t>
  </si>
  <si>
    <t>15274213408</t>
  </si>
  <si>
    <t>15274214079</t>
  </si>
  <si>
    <t>56122511</t>
  </si>
  <si>
    <t>15274214516</t>
  </si>
  <si>
    <t>56122091</t>
  </si>
  <si>
    <t>15274214546</t>
  </si>
  <si>
    <t>56122094</t>
  </si>
  <si>
    <t>15274215442</t>
  </si>
  <si>
    <t>56121612</t>
  </si>
  <si>
    <t>15274216430</t>
  </si>
  <si>
    <t>15274217712</t>
  </si>
  <si>
    <t>56118377</t>
  </si>
  <si>
    <t>15274218497</t>
  </si>
  <si>
    <t>56138900</t>
  </si>
  <si>
    <t>15274218770</t>
  </si>
  <si>
    <t>56122950</t>
  </si>
  <si>
    <t>15274220738</t>
  </si>
  <si>
    <t>56122266</t>
  </si>
  <si>
    <t>15274221783</t>
  </si>
  <si>
    <t>56121344</t>
  </si>
  <si>
    <t>15274222657</t>
  </si>
  <si>
    <t>56121294</t>
  </si>
  <si>
    <t>15274222658</t>
  </si>
  <si>
    <t>56120543</t>
  </si>
  <si>
    <t>15274222663</t>
  </si>
  <si>
    <t>56121345</t>
  </si>
  <si>
    <t>15274222836</t>
  </si>
  <si>
    <t>56120412</t>
  </si>
  <si>
    <t>15274222938</t>
  </si>
  <si>
    <t>56120417</t>
  </si>
  <si>
    <t>15274223422</t>
  </si>
  <si>
    <t>56126613</t>
  </si>
  <si>
    <t>15274223435</t>
  </si>
  <si>
    <t>56126596</t>
  </si>
  <si>
    <t>15274223601</t>
  </si>
  <si>
    <t>56124375</t>
  </si>
  <si>
    <t>15274223602</t>
  </si>
  <si>
    <t>56126594</t>
  </si>
  <si>
    <t>15274224009</t>
  </si>
  <si>
    <t>56126614</t>
  </si>
  <si>
    <t>15274224053</t>
  </si>
  <si>
    <t>56124227</t>
  </si>
  <si>
    <t>15274224596</t>
  </si>
  <si>
    <t>56121910</t>
  </si>
  <si>
    <t>15274225252</t>
  </si>
  <si>
    <t>15274225320</t>
  </si>
  <si>
    <t>56121699</t>
  </si>
  <si>
    <t>15274225660</t>
  </si>
  <si>
    <t>56121876</t>
  </si>
  <si>
    <t>15274225822</t>
  </si>
  <si>
    <t>56121777</t>
  </si>
  <si>
    <t>15274226047</t>
  </si>
  <si>
    <t>56120533</t>
  </si>
  <si>
    <t>15274226900</t>
  </si>
  <si>
    <t>15274227134</t>
  </si>
  <si>
    <t>15274227869</t>
  </si>
  <si>
    <t>56118378</t>
  </si>
  <si>
    <t>15274228147</t>
  </si>
  <si>
    <t>15274228148</t>
  </si>
  <si>
    <t>15274228232</t>
  </si>
  <si>
    <t>15274228404</t>
  </si>
  <si>
    <t>61737191</t>
  </si>
  <si>
    <t>15274228939</t>
  </si>
  <si>
    <t>15274229181</t>
  </si>
  <si>
    <t>56139590</t>
  </si>
  <si>
    <t>15274229548</t>
  </si>
  <si>
    <t>15274229806</t>
  </si>
  <si>
    <t>56124376</t>
  </si>
  <si>
    <t>15274230219</t>
  </si>
  <si>
    <t>56124454</t>
  </si>
  <si>
    <t>15274230336</t>
  </si>
  <si>
    <t>56122342</t>
  </si>
  <si>
    <t>15274232269</t>
  </si>
  <si>
    <t>56122948</t>
  </si>
  <si>
    <t>15274232796</t>
  </si>
  <si>
    <t>56124673</t>
  </si>
  <si>
    <t>15274234894</t>
  </si>
  <si>
    <t>56124192</t>
  </si>
  <si>
    <t>15274235596</t>
  </si>
  <si>
    <t>56122951</t>
  </si>
  <si>
    <t>15274235809</t>
  </si>
  <si>
    <t>56122510</t>
  </si>
  <si>
    <t>15274236700</t>
  </si>
  <si>
    <t>15274237548</t>
  </si>
  <si>
    <t>15274238501</t>
  </si>
  <si>
    <t>56124374</t>
  </si>
  <si>
    <t>15274238750</t>
  </si>
  <si>
    <t>56124252</t>
  </si>
  <si>
    <t>15274238993</t>
  </si>
  <si>
    <t>56124253</t>
  </si>
  <si>
    <t>15274239826</t>
  </si>
  <si>
    <t>56124228</t>
  </si>
  <si>
    <t>15274239827</t>
  </si>
  <si>
    <t>56124229</t>
  </si>
  <si>
    <t>15274241966</t>
  </si>
  <si>
    <t>15274242507</t>
  </si>
  <si>
    <t>15274242610</t>
  </si>
  <si>
    <t>56118389</t>
  </si>
  <si>
    <t>15274243018</t>
  </si>
  <si>
    <t>15274243308</t>
  </si>
  <si>
    <t>15274243633</t>
  </si>
  <si>
    <t>61696249</t>
  </si>
  <si>
    <t>15274243752</t>
  </si>
  <si>
    <t>15274244272</t>
  </si>
  <si>
    <t>15274244314</t>
  </si>
  <si>
    <t>15274244922</t>
  </si>
  <si>
    <t>15274245127</t>
  </si>
  <si>
    <t>15274246062</t>
  </si>
  <si>
    <t>15274246063</t>
  </si>
  <si>
    <t>15274246216</t>
  </si>
  <si>
    <t>15274246435</t>
  </si>
  <si>
    <t>15274246436</t>
  </si>
  <si>
    <t>15274246643</t>
  </si>
  <si>
    <t>61708513</t>
  </si>
  <si>
    <t>15274246732</t>
  </si>
  <si>
    <t>15274246847</t>
  </si>
  <si>
    <t>15274247119</t>
  </si>
  <si>
    <t>15274247548</t>
  </si>
  <si>
    <t>15274248197</t>
  </si>
  <si>
    <t>15274248793</t>
  </si>
  <si>
    <t>56122159</t>
  </si>
  <si>
    <t>15274248872</t>
  </si>
  <si>
    <t>15274249417</t>
  </si>
  <si>
    <t>61702647</t>
  </si>
  <si>
    <t>15274249427</t>
  </si>
  <si>
    <t>15274249828</t>
  </si>
  <si>
    <t>15274249974</t>
  </si>
  <si>
    <t>15274250187</t>
  </si>
  <si>
    <t>15274250282</t>
  </si>
  <si>
    <t>15274250302</t>
  </si>
  <si>
    <t>15274250481</t>
  </si>
  <si>
    <t>15274250488</t>
  </si>
  <si>
    <t>15274250890</t>
  </si>
  <si>
    <t>15274251238</t>
  </si>
  <si>
    <t>15274253128</t>
  </si>
  <si>
    <t>61692875</t>
  </si>
  <si>
    <t>15274253373</t>
  </si>
  <si>
    <t>15274253714</t>
  </si>
  <si>
    <t>15274255077</t>
  </si>
  <si>
    <t>15274255431</t>
  </si>
  <si>
    <t>15274257521</t>
  </si>
  <si>
    <t>15274261076</t>
  </si>
  <si>
    <t>15274261475</t>
  </si>
  <si>
    <t>15274277228</t>
  </si>
  <si>
    <t>15274277896</t>
  </si>
  <si>
    <t>56158616</t>
  </si>
  <si>
    <t>15274278166</t>
  </si>
  <si>
    <t>56156333</t>
  </si>
  <si>
    <t>15274284439</t>
  </si>
  <si>
    <t>15274288475</t>
  </si>
  <si>
    <t>56138526</t>
  </si>
  <si>
    <t>15274292329</t>
  </si>
  <si>
    <t>56139787</t>
  </si>
  <si>
    <t>15274292463</t>
  </si>
  <si>
    <t>56139782</t>
  </si>
  <si>
    <t>15274295957</t>
  </si>
  <si>
    <t>61685234</t>
  </si>
  <si>
    <t>15274296125</t>
  </si>
  <si>
    <t>15274301365</t>
  </si>
  <si>
    <t>56139902</t>
  </si>
  <si>
    <t>15274302440</t>
  </si>
  <si>
    <t>56139484</t>
  </si>
  <si>
    <t>15274305041</t>
  </si>
  <si>
    <t>56139588</t>
  </si>
  <si>
    <t>15274309327</t>
  </si>
  <si>
    <t>15274310323</t>
  </si>
  <si>
    <t>56192121</t>
  </si>
  <si>
    <t>15274310430</t>
  </si>
  <si>
    <t>15274311123</t>
  </si>
  <si>
    <t>56191705</t>
  </si>
  <si>
    <t>15274311584</t>
  </si>
  <si>
    <t>56141215</t>
  </si>
  <si>
    <t>15274311660</t>
  </si>
  <si>
    <t>56191756</t>
  </si>
  <si>
    <t>15274312885</t>
  </si>
  <si>
    <t>56140554</t>
  </si>
  <si>
    <t>15274312923</t>
  </si>
  <si>
    <t>56140666</t>
  </si>
  <si>
    <t>15274313384</t>
  </si>
  <si>
    <t>56189316</t>
  </si>
  <si>
    <t>15274313535</t>
  </si>
  <si>
    <t>56141425</t>
  </si>
  <si>
    <t>15274313961</t>
  </si>
  <si>
    <t>56135499</t>
  </si>
  <si>
    <t>15274314151</t>
  </si>
  <si>
    <t>56146773</t>
  </si>
  <si>
    <t>15274314630</t>
  </si>
  <si>
    <t>56194583</t>
  </si>
  <si>
    <t>15274315120</t>
  </si>
  <si>
    <t>56191701</t>
  </si>
  <si>
    <t>15274315883</t>
  </si>
  <si>
    <t>15274316141</t>
  </si>
  <si>
    <t>15274316482</t>
  </si>
  <si>
    <t>15274316514</t>
  </si>
  <si>
    <t>15274316700</t>
  </si>
  <si>
    <t>15274316711</t>
  </si>
  <si>
    <t>15274316879</t>
  </si>
  <si>
    <t>15274316891</t>
  </si>
  <si>
    <t>15274316960</t>
  </si>
  <si>
    <t>15274317609</t>
  </si>
  <si>
    <t>56191635</t>
  </si>
  <si>
    <t>15274317906</t>
  </si>
  <si>
    <t>56191766</t>
  </si>
  <si>
    <t>15274318374</t>
  </si>
  <si>
    <t>56140923</t>
  </si>
  <si>
    <t>15274319106</t>
  </si>
  <si>
    <t>56191634</t>
  </si>
  <si>
    <t>15274320473</t>
  </si>
  <si>
    <t>15274320617</t>
  </si>
  <si>
    <t>15274321350</t>
  </si>
  <si>
    <t>15274321508</t>
  </si>
  <si>
    <t>15274321525</t>
  </si>
  <si>
    <t>15274321645</t>
  </si>
  <si>
    <t>15274321667</t>
  </si>
  <si>
    <t>15274321726</t>
  </si>
  <si>
    <t>15274321802</t>
  </si>
  <si>
    <t>15274321863</t>
  </si>
  <si>
    <t>15274321864</t>
  </si>
  <si>
    <t>15274321963</t>
  </si>
  <si>
    <t>15274322029</t>
  </si>
  <si>
    <t>15274322465</t>
  </si>
  <si>
    <t>15274322483</t>
  </si>
  <si>
    <t>15274322624</t>
  </si>
  <si>
    <t>15274322726</t>
  </si>
  <si>
    <t>15274322734</t>
  </si>
  <si>
    <t>15274322788</t>
  </si>
  <si>
    <t>15274322899</t>
  </si>
  <si>
    <t>15274322900</t>
  </si>
  <si>
    <t>15274323055</t>
  </si>
  <si>
    <t>61736241</t>
  </si>
  <si>
    <t>15274323094</t>
  </si>
  <si>
    <t>15274323216</t>
  </si>
  <si>
    <t>15274323312</t>
  </si>
  <si>
    <t>15274323330</t>
  </si>
  <si>
    <t>15274323345</t>
  </si>
  <si>
    <t>15274323439</t>
  </si>
  <si>
    <t>15274323444</t>
  </si>
  <si>
    <t>15274323484</t>
  </si>
  <si>
    <t>61675804</t>
  </si>
  <si>
    <t>15274323496</t>
  </si>
  <si>
    <t>15274323525</t>
  </si>
  <si>
    <t>15274323550</t>
  </si>
  <si>
    <t>15274323856</t>
  </si>
  <si>
    <t>15274323938</t>
  </si>
  <si>
    <t>15274324545</t>
  </si>
  <si>
    <t>15274324554</t>
  </si>
  <si>
    <t>15274324921</t>
  </si>
  <si>
    <t>15274324927</t>
  </si>
  <si>
    <t>15274325300</t>
  </si>
  <si>
    <t>15274325323</t>
  </si>
  <si>
    <t>15274325403</t>
  </si>
  <si>
    <t>15274325498</t>
  </si>
  <si>
    <t>15274325904</t>
  </si>
  <si>
    <t>15274326240</t>
  </si>
  <si>
    <t>15274326486</t>
  </si>
  <si>
    <t>15274326549</t>
  </si>
  <si>
    <t>15274326648</t>
  </si>
  <si>
    <t>15274326843</t>
  </si>
  <si>
    <t>15274326907</t>
  </si>
  <si>
    <t>15274326985</t>
  </si>
  <si>
    <t>15274327027</t>
  </si>
  <si>
    <t>15274327150</t>
  </si>
  <si>
    <t>15274327157</t>
  </si>
  <si>
    <t>15274327516</t>
  </si>
  <si>
    <t>15274327885</t>
  </si>
  <si>
    <t>15274327970</t>
  </si>
  <si>
    <t>15274328109</t>
  </si>
  <si>
    <t>15274328177</t>
  </si>
  <si>
    <t>15274328198</t>
  </si>
  <si>
    <t>15274328274</t>
  </si>
  <si>
    <t>15274328279</t>
  </si>
  <si>
    <t>15274328360</t>
  </si>
  <si>
    <t>15274328417</t>
  </si>
  <si>
    <t>15274328458</t>
  </si>
  <si>
    <t>15274328687</t>
  </si>
  <si>
    <t>15274328730</t>
  </si>
  <si>
    <t>15274328849</t>
  </si>
  <si>
    <t>15274328852</t>
  </si>
  <si>
    <t>15274328853</t>
  </si>
  <si>
    <t>15274328986</t>
  </si>
  <si>
    <t>15274328987</t>
  </si>
  <si>
    <t>15274328988</t>
  </si>
  <si>
    <t>15274329054</t>
  </si>
  <si>
    <t>15274329101</t>
  </si>
  <si>
    <t>15274329168</t>
  </si>
  <si>
    <t>15274329224</t>
  </si>
  <si>
    <t>61678111</t>
  </si>
  <si>
    <t>15274329234</t>
  </si>
  <si>
    <t>15274329246</t>
  </si>
  <si>
    <t>15274329261</t>
  </si>
  <si>
    <t>15274329480</t>
  </si>
  <si>
    <t>15274329573</t>
  </si>
  <si>
    <t>15274329622</t>
  </si>
  <si>
    <t>15274329783</t>
  </si>
  <si>
    <t>56135501</t>
  </si>
  <si>
    <t>15274329870</t>
  </si>
  <si>
    <t>15274329933</t>
  </si>
  <si>
    <t>15274329942</t>
  </si>
  <si>
    <t>61718322</t>
  </si>
  <si>
    <t>15274330257</t>
  </si>
  <si>
    <t>15274330814</t>
  </si>
  <si>
    <t>15274331527</t>
  </si>
  <si>
    <t>15274332399</t>
  </si>
  <si>
    <t>15274332441</t>
  </si>
  <si>
    <t>15274333707</t>
  </si>
  <si>
    <t>61711390</t>
  </si>
  <si>
    <t>15274334722</t>
  </si>
  <si>
    <t>15274334724</t>
  </si>
  <si>
    <t>61692167</t>
  </si>
  <si>
    <t>15274335611</t>
  </si>
  <si>
    <t>15274335677</t>
  </si>
  <si>
    <t>15274336070</t>
  </si>
  <si>
    <t>56644813</t>
  </si>
  <si>
    <t>15274336517</t>
  </si>
  <si>
    <t>15274338971</t>
  </si>
  <si>
    <t>15274341838</t>
  </si>
  <si>
    <t>61703664</t>
  </si>
  <si>
    <t>15274343035</t>
  </si>
  <si>
    <t>15274343116</t>
  </si>
  <si>
    <t>15274343148</t>
  </si>
  <si>
    <t>15274343806</t>
  </si>
  <si>
    <t>15274344098</t>
  </si>
  <si>
    <t>15274344884</t>
  </si>
  <si>
    <t>15274350111</t>
  </si>
  <si>
    <t>15274352383</t>
  </si>
  <si>
    <t>15274353806</t>
  </si>
  <si>
    <t>56156637</t>
  </si>
  <si>
    <t>15274353918</t>
  </si>
  <si>
    <t>56158848</t>
  </si>
  <si>
    <t>15274355031</t>
  </si>
  <si>
    <t>56158615</t>
  </si>
  <si>
    <t>15274357667</t>
  </si>
  <si>
    <t>56168760</t>
  </si>
  <si>
    <t>15274359275</t>
  </si>
  <si>
    <t>56168774</t>
  </si>
  <si>
    <t>15274360249</t>
  </si>
  <si>
    <t>15274360253</t>
  </si>
  <si>
    <t>15274360711</t>
  </si>
  <si>
    <t>15274363454</t>
  </si>
  <si>
    <t>15274364439</t>
  </si>
  <si>
    <t>15274365377</t>
  </si>
  <si>
    <t>15274366461</t>
  </si>
  <si>
    <t>15274367095</t>
  </si>
  <si>
    <t>61676967</t>
  </si>
  <si>
    <t>15274368290</t>
  </si>
  <si>
    <t>56173647</t>
  </si>
  <si>
    <t>15274369004</t>
  </si>
  <si>
    <t>56157369</t>
  </si>
  <si>
    <t>15274369159</t>
  </si>
  <si>
    <t>56191761</t>
  </si>
  <si>
    <t>15274369795</t>
  </si>
  <si>
    <t>56152576</t>
  </si>
  <si>
    <t>15274369931</t>
  </si>
  <si>
    <t>56152412</t>
  </si>
  <si>
    <t>15274369974</t>
  </si>
  <si>
    <t>56152801</t>
  </si>
  <si>
    <t>15274370350</t>
  </si>
  <si>
    <t>56191558</t>
  </si>
  <si>
    <t>15274370500</t>
  </si>
  <si>
    <t>15274370936</t>
  </si>
  <si>
    <t>15274371507</t>
  </si>
  <si>
    <t>15274371531</t>
  </si>
  <si>
    <t>15274372118</t>
  </si>
  <si>
    <t>15274372955</t>
  </si>
  <si>
    <t>15274373129</t>
  </si>
  <si>
    <t>56152570</t>
  </si>
  <si>
    <t>15274373404</t>
  </si>
  <si>
    <t>15274374618</t>
  </si>
  <si>
    <t>56191881</t>
  </si>
  <si>
    <t>15274374786</t>
  </si>
  <si>
    <t>56191708</t>
  </si>
  <si>
    <t>15274375773</t>
  </si>
  <si>
    <t>56197243</t>
  </si>
  <si>
    <t>15274375774</t>
  </si>
  <si>
    <t>15274376719</t>
  </si>
  <si>
    <t>56197313</t>
  </si>
  <si>
    <t>15274376881</t>
  </si>
  <si>
    <t>56197307</t>
  </si>
  <si>
    <t>15274377940</t>
  </si>
  <si>
    <t>56197314</t>
  </si>
  <si>
    <t>15274378380</t>
  </si>
  <si>
    <t>56197316</t>
  </si>
  <si>
    <t>15274379048</t>
  </si>
  <si>
    <t>56198396</t>
  </si>
  <si>
    <t>15274380494</t>
  </si>
  <si>
    <t>56218070</t>
  </si>
  <si>
    <t>15274382085</t>
  </si>
  <si>
    <t>15274382213</t>
  </si>
  <si>
    <t>15274382424</t>
  </si>
  <si>
    <t>15274382596</t>
  </si>
  <si>
    <t>15274383822</t>
  </si>
  <si>
    <t>15274384451</t>
  </si>
  <si>
    <t>15274384452</t>
  </si>
  <si>
    <t>15274384453</t>
  </si>
  <si>
    <t>15274384766</t>
  </si>
  <si>
    <t>15274385043</t>
  </si>
  <si>
    <t>61681515</t>
  </si>
  <si>
    <t>15274385168</t>
  </si>
  <si>
    <t>15274385235</t>
  </si>
  <si>
    <t>15274385910</t>
  </si>
  <si>
    <t>15274386772</t>
  </si>
  <si>
    <t>56198961</t>
  </si>
  <si>
    <t>15274386902</t>
  </si>
  <si>
    <t>56198690</t>
  </si>
  <si>
    <t>15274387316</t>
  </si>
  <si>
    <t>56198960</t>
  </si>
  <si>
    <t>15274387554</t>
  </si>
  <si>
    <t>56198776</t>
  </si>
  <si>
    <t>15274387619</t>
  </si>
  <si>
    <t>56152337</t>
  </si>
  <si>
    <t>15274388413</t>
  </si>
  <si>
    <t>56198683</t>
  </si>
  <si>
    <t>15274388606</t>
  </si>
  <si>
    <t>56158742</t>
  </si>
  <si>
    <t>15274389664</t>
  </si>
  <si>
    <t>56157048</t>
  </si>
  <si>
    <t>15274390271</t>
  </si>
  <si>
    <t>56198962</t>
  </si>
  <si>
    <t>15274390397</t>
  </si>
  <si>
    <t>15274390859</t>
  </si>
  <si>
    <t>56198684</t>
  </si>
  <si>
    <t>15274391677</t>
  </si>
  <si>
    <t>56213411</t>
  </si>
  <si>
    <t>15274391812</t>
  </si>
  <si>
    <t>15274392256</t>
  </si>
  <si>
    <t>56156924</t>
  </si>
  <si>
    <t>15274392350</t>
  </si>
  <si>
    <t>15274392828</t>
  </si>
  <si>
    <t>56214130</t>
  </si>
  <si>
    <t>15274392842</t>
  </si>
  <si>
    <t>56213980</t>
  </si>
  <si>
    <t>15274393189</t>
  </si>
  <si>
    <t>56214117</t>
  </si>
  <si>
    <t>15274393471</t>
  </si>
  <si>
    <t>15274394332</t>
  </si>
  <si>
    <t>56215922</t>
  </si>
  <si>
    <t>15274394710</t>
  </si>
  <si>
    <t>56214119</t>
  </si>
  <si>
    <t>15274394866</t>
  </si>
  <si>
    <t>15274394939</t>
  </si>
  <si>
    <t>15274396029</t>
  </si>
  <si>
    <t>15274397075</t>
  </si>
  <si>
    <t>15274397595</t>
  </si>
  <si>
    <t>61681444</t>
  </si>
  <si>
    <t>15274398035</t>
  </si>
  <si>
    <t>15274398271</t>
  </si>
  <si>
    <t>61695124</t>
  </si>
  <si>
    <t>15274399627</t>
  </si>
  <si>
    <t>15274400336</t>
  </si>
  <si>
    <t>15274400768</t>
  </si>
  <si>
    <t>15274401842</t>
  </si>
  <si>
    <t>15274402130</t>
  </si>
  <si>
    <t>15274402134</t>
  </si>
  <si>
    <t>15274402658</t>
  </si>
  <si>
    <t>15274402831</t>
  </si>
  <si>
    <t>15274403290</t>
  </si>
  <si>
    <t>61680325</t>
  </si>
  <si>
    <t>15274404923</t>
  </si>
  <si>
    <t>15274405239</t>
  </si>
  <si>
    <t>15274405280</t>
  </si>
  <si>
    <t>56168733</t>
  </si>
  <si>
    <t>15274405288</t>
  </si>
  <si>
    <t>15274405868</t>
  </si>
  <si>
    <t>15274405943</t>
  </si>
  <si>
    <t>15274405982</t>
  </si>
  <si>
    <t>15274408549</t>
  </si>
  <si>
    <t>15274410214</t>
  </si>
  <si>
    <t>15274411319</t>
  </si>
  <si>
    <t>15274411722</t>
  </si>
  <si>
    <t>15274417193</t>
  </si>
  <si>
    <t>15274419483</t>
  </si>
  <si>
    <t>15274425933</t>
  </si>
  <si>
    <t>15274426131</t>
  </si>
  <si>
    <t>15274453806</t>
  </si>
  <si>
    <t>56234740</t>
  </si>
  <si>
    <t>15274453808</t>
  </si>
  <si>
    <t>56235000</t>
  </si>
  <si>
    <t>15274469117</t>
  </si>
  <si>
    <t>56176773</t>
  </si>
  <si>
    <t>15274472557</t>
  </si>
  <si>
    <t>56176793</t>
  </si>
  <si>
    <t>15274472736</t>
  </si>
  <si>
    <t>56255838</t>
  </si>
  <si>
    <t>15274472743</t>
  </si>
  <si>
    <t>56176791</t>
  </si>
  <si>
    <t>15274474086</t>
  </si>
  <si>
    <t>15274474691</t>
  </si>
  <si>
    <t>15274475487</t>
  </si>
  <si>
    <t>15274476953</t>
  </si>
  <si>
    <t>56255832</t>
  </si>
  <si>
    <t>15274477208</t>
  </si>
  <si>
    <t>56256900</t>
  </si>
  <si>
    <t>15274477290</t>
  </si>
  <si>
    <t>56176749</t>
  </si>
  <si>
    <t>15274477903</t>
  </si>
  <si>
    <t>56256823</t>
  </si>
  <si>
    <t>15274478135</t>
  </si>
  <si>
    <t>56175804</t>
  </si>
  <si>
    <t>15274478556</t>
  </si>
  <si>
    <t>56257050</t>
  </si>
  <si>
    <t>15274478789</t>
  </si>
  <si>
    <t>56177412</t>
  </si>
  <si>
    <t>15274478817</t>
  </si>
  <si>
    <t>56177672</t>
  </si>
  <si>
    <t>15274479760</t>
  </si>
  <si>
    <t>15274479780</t>
  </si>
  <si>
    <t>15274479912</t>
  </si>
  <si>
    <t>15274479948</t>
  </si>
  <si>
    <t>15274480093</t>
  </si>
  <si>
    <t>15274480427</t>
  </si>
  <si>
    <t>61716659</t>
  </si>
  <si>
    <t>15274480702</t>
  </si>
  <si>
    <t>15274480859</t>
  </si>
  <si>
    <t>15274480894</t>
  </si>
  <si>
    <t>15274480903</t>
  </si>
  <si>
    <t>15274480925</t>
  </si>
  <si>
    <t>15274481193</t>
  </si>
  <si>
    <t>15274481340</t>
  </si>
  <si>
    <t>15274481527</t>
  </si>
  <si>
    <t>15274482016</t>
  </si>
  <si>
    <t>15274482106</t>
  </si>
  <si>
    <t>61719216</t>
  </si>
  <si>
    <t>15274482139</t>
  </si>
  <si>
    <t>15274482264</t>
  </si>
  <si>
    <t>15274482817</t>
  </si>
  <si>
    <t>15274483048</t>
  </si>
  <si>
    <t>15274483243</t>
  </si>
  <si>
    <t>15274483302</t>
  </si>
  <si>
    <t>15274483396</t>
  </si>
  <si>
    <t>15274483625</t>
  </si>
  <si>
    <t>15274485924</t>
  </si>
  <si>
    <t>15274486639</t>
  </si>
  <si>
    <t>15274486800</t>
  </si>
  <si>
    <t>15274487230</t>
  </si>
  <si>
    <t>15274487387</t>
  </si>
  <si>
    <t>15274487435</t>
  </si>
  <si>
    <t>15274487538</t>
  </si>
  <si>
    <t>15274487761</t>
  </si>
  <si>
    <t>15274487817</t>
  </si>
  <si>
    <t>15274489862</t>
  </si>
  <si>
    <t>15274490251</t>
  </si>
  <si>
    <t>15274490308</t>
  </si>
  <si>
    <t>15274490328</t>
  </si>
  <si>
    <t>15274490369</t>
  </si>
  <si>
    <t>15274490428</t>
  </si>
  <si>
    <t>15274490559</t>
  </si>
  <si>
    <t>15274490800</t>
  </si>
  <si>
    <t>15274492572</t>
  </si>
  <si>
    <t>15274492596</t>
  </si>
  <si>
    <t>56194563</t>
  </si>
  <si>
    <t>15274492966</t>
  </si>
  <si>
    <t>15274493177</t>
  </si>
  <si>
    <t>15274493530</t>
  </si>
  <si>
    <t>15274493531</t>
  </si>
  <si>
    <t>15274493837</t>
  </si>
  <si>
    <t>15274494385</t>
  </si>
  <si>
    <t>15274494942</t>
  </si>
  <si>
    <t>15274494948</t>
  </si>
  <si>
    <t>15274495060</t>
  </si>
  <si>
    <t>15274495116</t>
  </si>
  <si>
    <t>61698566</t>
  </si>
  <si>
    <t>15274495200</t>
  </si>
  <si>
    <t>15274495205</t>
  </si>
  <si>
    <t>15274495243</t>
  </si>
  <si>
    <t>15274495244</t>
  </si>
  <si>
    <t>15274495245</t>
  </si>
  <si>
    <t>15274495268</t>
  </si>
  <si>
    <t>15274495285</t>
  </si>
  <si>
    <t>15274495293</t>
  </si>
  <si>
    <t>15274495357</t>
  </si>
  <si>
    <t>15274497637</t>
  </si>
  <si>
    <t>15274500030</t>
  </si>
  <si>
    <t>15274500096</t>
  </si>
  <si>
    <t>15274500382</t>
  </si>
  <si>
    <t>15274500580</t>
  </si>
  <si>
    <t>15274501984</t>
  </si>
  <si>
    <t>15274502370</t>
  </si>
  <si>
    <t>15274502420</t>
  </si>
  <si>
    <t>15274503600</t>
  </si>
  <si>
    <t>15274503833</t>
  </si>
  <si>
    <t>15274503923</t>
  </si>
  <si>
    <t>15274505820</t>
  </si>
  <si>
    <t>15274506057</t>
  </si>
  <si>
    <t>15274507943</t>
  </si>
  <si>
    <t>15274509279</t>
  </si>
  <si>
    <t>15274510278</t>
  </si>
  <si>
    <t>15274510517</t>
  </si>
  <si>
    <t>15274510537</t>
  </si>
  <si>
    <t>15274511221</t>
  </si>
  <si>
    <t>15274529585</t>
  </si>
  <si>
    <t>56198510</t>
  </si>
  <si>
    <t>15274535397</t>
  </si>
  <si>
    <t>15274537068</t>
  </si>
  <si>
    <t>56198655</t>
  </si>
  <si>
    <t>15274541697</t>
  </si>
  <si>
    <t>56198658</t>
  </si>
  <si>
    <t>15274541857</t>
  </si>
  <si>
    <t>56198390</t>
  </si>
  <si>
    <t>15274542211</t>
  </si>
  <si>
    <t>56213977</t>
  </si>
  <si>
    <t>15274545327</t>
  </si>
  <si>
    <t>15274547258</t>
  </si>
  <si>
    <t>15274548897</t>
  </si>
  <si>
    <t>15274549647</t>
  </si>
  <si>
    <t>15274550488</t>
  </si>
  <si>
    <t>15274551805</t>
  </si>
  <si>
    <t>56196358</t>
  </si>
  <si>
    <t>15274553559</t>
  </si>
  <si>
    <t>56198657</t>
  </si>
  <si>
    <t>15274558179</t>
  </si>
  <si>
    <t>15274558804</t>
  </si>
  <si>
    <t>15274559551</t>
  </si>
  <si>
    <t>57808132</t>
  </si>
  <si>
    <t>15274563565</t>
  </si>
  <si>
    <t>15274563635</t>
  </si>
  <si>
    <t>15274564046</t>
  </si>
  <si>
    <t>15274567289</t>
  </si>
  <si>
    <t>56198393</t>
  </si>
  <si>
    <t>15274569524</t>
  </si>
  <si>
    <t>15274569774</t>
  </si>
  <si>
    <t>15274571512</t>
  </si>
  <si>
    <t>15274573121</t>
  </si>
  <si>
    <t>15274573378</t>
  </si>
  <si>
    <t>15274576309</t>
  </si>
  <si>
    <t>15274578838</t>
  </si>
  <si>
    <t>15274579524</t>
  </si>
  <si>
    <t>15274581890</t>
  </si>
  <si>
    <t>15274583125</t>
  </si>
  <si>
    <t>15274583763</t>
  </si>
  <si>
    <t>15274583957</t>
  </si>
  <si>
    <t>15274584312</t>
  </si>
  <si>
    <t>56975254</t>
  </si>
  <si>
    <t>15274584403</t>
  </si>
  <si>
    <t>15274584424</t>
  </si>
  <si>
    <t>15274584618</t>
  </si>
  <si>
    <t>15274584886</t>
  </si>
  <si>
    <t>15274585217</t>
  </si>
  <si>
    <t>15274585344</t>
  </si>
  <si>
    <t>15274585767</t>
  </si>
  <si>
    <t>15274585859</t>
  </si>
  <si>
    <t>15274586685</t>
  </si>
  <si>
    <t>15274586686</t>
  </si>
  <si>
    <t>15274586723</t>
  </si>
  <si>
    <t>15274588300</t>
  </si>
  <si>
    <t>15274594306</t>
  </si>
  <si>
    <t>15274594307</t>
  </si>
  <si>
    <t>15274594627</t>
  </si>
  <si>
    <t>15274594895</t>
  </si>
  <si>
    <t>15274595933</t>
  </si>
  <si>
    <t>15274595934</t>
  </si>
  <si>
    <t>15274601698</t>
  </si>
  <si>
    <t>15274617707</t>
  </si>
  <si>
    <t>56217912</t>
  </si>
  <si>
    <t>15274621584</t>
  </si>
  <si>
    <t>56219808</t>
  </si>
  <si>
    <t>15274623124</t>
  </si>
  <si>
    <t>15274623379</t>
  </si>
  <si>
    <t>56271171</t>
  </si>
  <si>
    <t>15274625012</t>
  </si>
  <si>
    <t>56286161</t>
  </si>
  <si>
    <t>15274625989</t>
  </si>
  <si>
    <t>56213975</t>
  </si>
  <si>
    <t>15274630849</t>
  </si>
  <si>
    <t>15274633717</t>
  </si>
  <si>
    <t>56214036</t>
  </si>
  <si>
    <t>15274634801</t>
  </si>
  <si>
    <t>56213765</t>
  </si>
  <si>
    <t>15274637763</t>
  </si>
  <si>
    <t>15274638054</t>
  </si>
  <si>
    <t>15274638749</t>
  </si>
  <si>
    <t>15274642547</t>
  </si>
  <si>
    <t>15274643025</t>
  </si>
  <si>
    <t>15274644358</t>
  </si>
  <si>
    <t>15274645279</t>
  </si>
  <si>
    <t>56217828</t>
  </si>
  <si>
    <t>15274646391</t>
  </si>
  <si>
    <t>56218173</t>
  </si>
  <si>
    <t>15274646465</t>
  </si>
  <si>
    <t>56218175</t>
  </si>
  <si>
    <t>15274646558</t>
  </si>
  <si>
    <t>15274647188</t>
  </si>
  <si>
    <t>56217914</t>
  </si>
  <si>
    <t>15274647441</t>
  </si>
  <si>
    <t>56217836</t>
  </si>
  <si>
    <t>15274648376</t>
  </si>
  <si>
    <t>15274648377</t>
  </si>
  <si>
    <t>15274649060</t>
  </si>
  <si>
    <t>61714452</t>
  </si>
  <si>
    <t>15274649443</t>
  </si>
  <si>
    <t>15274651979</t>
  </si>
  <si>
    <t>61729281</t>
  </si>
  <si>
    <t>15274652743</t>
  </si>
  <si>
    <t>15274652998</t>
  </si>
  <si>
    <t>15274652999</t>
  </si>
  <si>
    <t>15274654514</t>
  </si>
  <si>
    <t>56286003</t>
  </si>
  <si>
    <t>15274654635</t>
  </si>
  <si>
    <t>56220309</t>
  </si>
  <si>
    <t>15274654735</t>
  </si>
  <si>
    <t>56220199</t>
  </si>
  <si>
    <t>15274655481</t>
  </si>
  <si>
    <t>56218407</t>
  </si>
  <si>
    <t>15274655610</t>
  </si>
  <si>
    <t>56220006</t>
  </si>
  <si>
    <t>15274655926</t>
  </si>
  <si>
    <t>56220001</t>
  </si>
  <si>
    <t>15274656434</t>
  </si>
  <si>
    <t>56218409</t>
  </si>
  <si>
    <t>15274656503</t>
  </si>
  <si>
    <t>56218416</t>
  </si>
  <si>
    <t>15274656875</t>
  </si>
  <si>
    <t>56218759</t>
  </si>
  <si>
    <t>15274656876</t>
  </si>
  <si>
    <t>56220004</t>
  </si>
  <si>
    <t>15274657012</t>
  </si>
  <si>
    <t>56218256</t>
  </si>
  <si>
    <t>15274657260</t>
  </si>
  <si>
    <t>56218758</t>
  </si>
  <si>
    <t>15274657824</t>
  </si>
  <si>
    <t>56217899</t>
  </si>
  <si>
    <t>15274657848</t>
  </si>
  <si>
    <t>15274658582</t>
  </si>
  <si>
    <t>56285265</t>
  </si>
  <si>
    <t>15274661315</t>
  </si>
  <si>
    <t>56303918</t>
  </si>
  <si>
    <t>15274662484</t>
  </si>
  <si>
    <t>61687877</t>
  </si>
  <si>
    <t>15274662633</t>
  </si>
  <si>
    <t>15274662758</t>
  </si>
  <si>
    <t>56289667</t>
  </si>
  <si>
    <t>15274662796</t>
  </si>
  <si>
    <t>15274662898</t>
  </si>
  <si>
    <t>15274663081</t>
  </si>
  <si>
    <t>15274663268</t>
  </si>
  <si>
    <t>15274663355</t>
  </si>
  <si>
    <t>15274663514</t>
  </si>
  <si>
    <t>15274663548</t>
  </si>
  <si>
    <t>15274664039</t>
  </si>
  <si>
    <t>15274664110</t>
  </si>
  <si>
    <t>15274664602</t>
  </si>
  <si>
    <t>15274664952</t>
  </si>
  <si>
    <t>15274665021</t>
  </si>
  <si>
    <t>15274665063</t>
  </si>
  <si>
    <t>15274665339</t>
  </si>
  <si>
    <t>15274665527</t>
  </si>
  <si>
    <t>15274666103</t>
  </si>
  <si>
    <t>15274666234</t>
  </si>
  <si>
    <t>15274666464</t>
  </si>
  <si>
    <t>15274667437</t>
  </si>
  <si>
    <t>15274669061</t>
  </si>
  <si>
    <t>15274669621</t>
  </si>
  <si>
    <t>15274669964</t>
  </si>
  <si>
    <t>15274670618</t>
  </si>
  <si>
    <t>15274670886</t>
  </si>
  <si>
    <t>15274671183</t>
  </si>
  <si>
    <t>15274671184</t>
  </si>
  <si>
    <t>15274671616</t>
  </si>
  <si>
    <t>15274673003</t>
  </si>
  <si>
    <t>15274673469</t>
  </si>
  <si>
    <t>61706095</t>
  </si>
  <si>
    <t>15274675838</t>
  </si>
  <si>
    <t>15274676017</t>
  </si>
  <si>
    <t>15274680334</t>
  </si>
  <si>
    <t>15274685886</t>
  </si>
  <si>
    <t>15274706506</t>
  </si>
  <si>
    <t>56287827</t>
  </si>
  <si>
    <t>56235002</t>
  </si>
  <si>
    <t>15274707927</t>
  </si>
  <si>
    <t>15274708047</t>
  </si>
  <si>
    <t>15274709713</t>
  </si>
  <si>
    <t>15274710216</t>
  </si>
  <si>
    <t>15274710490</t>
  </si>
  <si>
    <t>15274710852</t>
  </si>
  <si>
    <t>15274711541</t>
  </si>
  <si>
    <t>56240462</t>
  </si>
  <si>
    <t>15274711775</t>
  </si>
  <si>
    <t>56291447</t>
  </si>
  <si>
    <t>15274711810</t>
  </si>
  <si>
    <t>56238024</t>
  </si>
  <si>
    <t>15274713683</t>
  </si>
  <si>
    <t>56238523</t>
  </si>
  <si>
    <t>15274714763</t>
  </si>
  <si>
    <t>56234995</t>
  </si>
  <si>
    <t>15274717918</t>
  </si>
  <si>
    <t>56234996</t>
  </si>
  <si>
    <t>15274717919</t>
  </si>
  <si>
    <t>56322581</t>
  </si>
  <si>
    <t>15274718257</t>
  </si>
  <si>
    <t>56234893</t>
  </si>
  <si>
    <t>15274720293</t>
  </si>
  <si>
    <t>56305781</t>
  </si>
  <si>
    <t>15274721391</t>
  </si>
  <si>
    <t>15274723391</t>
  </si>
  <si>
    <t>56304017</t>
  </si>
  <si>
    <t>15274724043</t>
  </si>
  <si>
    <t>56238711</t>
  </si>
  <si>
    <t>15274724307</t>
  </si>
  <si>
    <t>56304012</t>
  </si>
  <si>
    <t>15274724346</t>
  </si>
  <si>
    <t>56238382</t>
  </si>
  <si>
    <t>15274725357</t>
  </si>
  <si>
    <t>56237594</t>
  </si>
  <si>
    <t>15274725928</t>
  </si>
  <si>
    <t>56304011</t>
  </si>
  <si>
    <t>15274726391</t>
  </si>
  <si>
    <t>56975255</t>
  </si>
  <si>
    <t>15274726660</t>
  </si>
  <si>
    <t>56239556</t>
  </si>
  <si>
    <t>15274726696</t>
  </si>
  <si>
    <t>56305782</t>
  </si>
  <si>
    <t>15274726697</t>
  </si>
  <si>
    <t>56305843</t>
  </si>
  <si>
    <t>15274726782</t>
  </si>
  <si>
    <t>56305846</t>
  </si>
  <si>
    <t>15274727865</t>
  </si>
  <si>
    <t>56305849</t>
  </si>
  <si>
    <t>15274728290</t>
  </si>
  <si>
    <t>56305844</t>
  </si>
  <si>
    <t>15274728976</t>
  </si>
  <si>
    <t>56239143</t>
  </si>
  <si>
    <t>15274729089</t>
  </si>
  <si>
    <t>56239371</t>
  </si>
  <si>
    <t>15274729309</t>
  </si>
  <si>
    <t>56239041</t>
  </si>
  <si>
    <t>15274729687</t>
  </si>
  <si>
    <t>56305787</t>
  </si>
  <si>
    <t>15274730167</t>
  </si>
  <si>
    <t>56238556</t>
  </si>
  <si>
    <t>15274731559</t>
  </si>
  <si>
    <t>15274731713</t>
  </si>
  <si>
    <t>15274732523</t>
  </si>
  <si>
    <t>15274732595</t>
  </si>
  <si>
    <t>15274732631</t>
  </si>
  <si>
    <t>15274732872</t>
  </si>
  <si>
    <t>15274732978</t>
  </si>
  <si>
    <t>56238866</t>
  </si>
  <si>
    <t>15274733700</t>
  </si>
  <si>
    <t>15274734119</t>
  </si>
  <si>
    <t>56238407</t>
  </si>
  <si>
    <t>15274734817</t>
  </si>
  <si>
    <t>56239809</t>
  </si>
  <si>
    <t>15274735800</t>
  </si>
  <si>
    <t>56274181</t>
  </si>
  <si>
    <t>15274736082</t>
  </si>
  <si>
    <t>56306040</t>
  </si>
  <si>
    <t>15274736420</t>
  </si>
  <si>
    <t>56240511</t>
  </si>
  <si>
    <t>15274737473</t>
  </si>
  <si>
    <t>56306047</t>
  </si>
  <si>
    <t>15274737890</t>
  </si>
  <si>
    <t>56975249</t>
  </si>
  <si>
    <t>15274740164</t>
  </si>
  <si>
    <t>15274740187</t>
  </si>
  <si>
    <t>15274740259</t>
  </si>
  <si>
    <t>15274740288</t>
  </si>
  <si>
    <t>15274740991</t>
  </si>
  <si>
    <t>15274741077</t>
  </si>
  <si>
    <t>15274741082</t>
  </si>
  <si>
    <t>15274741136</t>
  </si>
  <si>
    <t>15274741196</t>
  </si>
  <si>
    <t>15274741761</t>
  </si>
  <si>
    <t>15274741813</t>
  </si>
  <si>
    <t>15274741897</t>
  </si>
  <si>
    <t>15274742456</t>
  </si>
  <si>
    <t>15274742653</t>
  </si>
  <si>
    <t>15274742916</t>
  </si>
  <si>
    <t>15274743508</t>
  </si>
  <si>
    <t>15274743950</t>
  </si>
  <si>
    <t>15274744188</t>
  </si>
  <si>
    <t>15274744233</t>
  </si>
  <si>
    <t>15274746841</t>
  </si>
  <si>
    <t>15274747483</t>
  </si>
  <si>
    <t>15274747625</t>
  </si>
  <si>
    <t>56308833</t>
  </si>
  <si>
    <t>15274747655</t>
  </si>
  <si>
    <t>15274748749</t>
  </si>
  <si>
    <t>15274749206</t>
  </si>
  <si>
    <t>15274750345</t>
  </si>
  <si>
    <t>15274752625</t>
  </si>
  <si>
    <t>15274753365</t>
  </si>
  <si>
    <t>61688430</t>
  </si>
  <si>
    <t>15274753695</t>
  </si>
  <si>
    <t>15274763147</t>
  </si>
  <si>
    <t>15274773719</t>
  </si>
  <si>
    <t>56267251</t>
  </si>
  <si>
    <t>15274778923</t>
  </si>
  <si>
    <t>15274779240</t>
  </si>
  <si>
    <t>15274782319</t>
  </si>
  <si>
    <t>15274782461</t>
  </si>
  <si>
    <t>15274782840</t>
  </si>
  <si>
    <t>15274783847</t>
  </si>
  <si>
    <t>15274783917</t>
  </si>
  <si>
    <t>15274784934</t>
  </si>
  <si>
    <t>15274785012</t>
  </si>
  <si>
    <t>15274785874</t>
  </si>
  <si>
    <t>56257141</t>
  </si>
  <si>
    <t>15274785909</t>
  </si>
  <si>
    <t>56255315</t>
  </si>
  <si>
    <t>15274786704</t>
  </si>
  <si>
    <t>56254753</t>
  </si>
  <si>
    <t>15274789284</t>
  </si>
  <si>
    <t>56271493</t>
  </si>
  <si>
    <t>15274790798</t>
  </si>
  <si>
    <t>56252720</t>
  </si>
  <si>
    <t>15274791077</t>
  </si>
  <si>
    <t>56252577</t>
  </si>
  <si>
    <t>15274792721</t>
  </si>
  <si>
    <t>56257285</t>
  </si>
  <si>
    <t>15274793685</t>
  </si>
  <si>
    <t>56255592</t>
  </si>
  <si>
    <t>15274793962</t>
  </si>
  <si>
    <t>56255425</t>
  </si>
  <si>
    <t>15274798058</t>
  </si>
  <si>
    <t>56256868</t>
  </si>
  <si>
    <t>15274799297</t>
  </si>
  <si>
    <t>56255641</t>
  </si>
  <si>
    <t>15274800933</t>
  </si>
  <si>
    <t>15274801303</t>
  </si>
  <si>
    <t>56342554</t>
  </si>
  <si>
    <t>15274802945</t>
  </si>
  <si>
    <t>56342562</t>
  </si>
  <si>
    <t>15274803751</t>
  </si>
  <si>
    <t>56345555</t>
  </si>
  <si>
    <t>15274805529</t>
  </si>
  <si>
    <t>56371762</t>
  </si>
  <si>
    <t>15274807747</t>
  </si>
  <si>
    <t>56374619</t>
  </si>
  <si>
    <t>15274808146</t>
  </si>
  <si>
    <t>56374585</t>
  </si>
  <si>
    <t>15274808313</t>
  </si>
  <si>
    <t>56257190</t>
  </si>
  <si>
    <t>15274809043</t>
  </si>
  <si>
    <t>56258373</t>
  </si>
  <si>
    <t>15274809749</t>
  </si>
  <si>
    <t>56371728</t>
  </si>
  <si>
    <t>15274810105</t>
  </si>
  <si>
    <t>56371763</t>
  </si>
  <si>
    <t>15274810661</t>
  </si>
  <si>
    <t>56371727</t>
  </si>
  <si>
    <t>15274813574</t>
  </si>
  <si>
    <t>56374586</t>
  </si>
  <si>
    <t>15274814021</t>
  </si>
  <si>
    <t>56257971</t>
  </si>
  <si>
    <t>15274814211</t>
  </si>
  <si>
    <t>56374542</t>
  </si>
  <si>
    <t>15274814298</t>
  </si>
  <si>
    <t>15274814431</t>
  </si>
  <si>
    <t>56373548</t>
  </si>
  <si>
    <t>15274814437</t>
  </si>
  <si>
    <t>56373551</t>
  </si>
  <si>
    <t>15274814592</t>
  </si>
  <si>
    <t>56374540</t>
  </si>
  <si>
    <t>15274814596</t>
  </si>
  <si>
    <t>56374543</t>
  </si>
  <si>
    <t>15274815797</t>
  </si>
  <si>
    <t>15274816209</t>
  </si>
  <si>
    <t>15274816836</t>
  </si>
  <si>
    <t>15274816932</t>
  </si>
  <si>
    <t>15274817053</t>
  </si>
  <si>
    <t>15274817365</t>
  </si>
  <si>
    <t>15274817444</t>
  </si>
  <si>
    <t>15274817446</t>
  </si>
  <si>
    <t>15274818947</t>
  </si>
  <si>
    <t>15274818989</t>
  </si>
  <si>
    <t>15274819086</t>
  </si>
  <si>
    <t>61705091</t>
  </si>
  <si>
    <t>15274819687</t>
  </si>
  <si>
    <t>15274819803</t>
  </si>
  <si>
    <t>15274820058</t>
  </si>
  <si>
    <t>15274820382</t>
  </si>
  <si>
    <t>61737789</t>
  </si>
  <si>
    <t>15274820451</t>
  </si>
  <si>
    <t>15274820753</t>
  </si>
  <si>
    <t>15274820767</t>
  </si>
  <si>
    <t>15274820850</t>
  </si>
  <si>
    <t>15274820901</t>
  </si>
  <si>
    <t>15274821037</t>
  </si>
  <si>
    <t>15274821058</t>
  </si>
  <si>
    <t>15274821082</t>
  </si>
  <si>
    <t>15274821300</t>
  </si>
  <si>
    <t>15274821618</t>
  </si>
  <si>
    <t>15274822380</t>
  </si>
  <si>
    <t>15274823238</t>
  </si>
  <si>
    <t>15274823708</t>
  </si>
  <si>
    <t>15274824065</t>
  </si>
  <si>
    <t>15274824982</t>
  </si>
  <si>
    <t>61696461</t>
  </si>
  <si>
    <t>15274825306</t>
  </si>
  <si>
    <t>15274825501</t>
  </si>
  <si>
    <t>15274826143</t>
  </si>
  <si>
    <t>15274826586</t>
  </si>
  <si>
    <t>15274828005</t>
  </si>
  <si>
    <t>15274830848</t>
  </si>
  <si>
    <t>15274832452</t>
  </si>
  <si>
    <t>15274832829</t>
  </si>
  <si>
    <t>15274832885</t>
  </si>
  <si>
    <t>15274840160</t>
  </si>
  <si>
    <t>15274842205</t>
  </si>
  <si>
    <t>15274855029</t>
  </si>
  <si>
    <t>15274855180</t>
  </si>
  <si>
    <t>15274865313</t>
  </si>
  <si>
    <t>56274442</t>
  </si>
  <si>
    <t>15274866302</t>
  </si>
  <si>
    <t>56280553</t>
  </si>
  <si>
    <t>15274872545</t>
  </si>
  <si>
    <t>56271550</t>
  </si>
  <si>
    <t>15274873737</t>
  </si>
  <si>
    <t>56267403</t>
  </si>
  <si>
    <t>15274875987</t>
  </si>
  <si>
    <t>56271576</t>
  </si>
  <si>
    <t>15274876002</t>
  </si>
  <si>
    <t>56271444</t>
  </si>
  <si>
    <t>15274876152</t>
  </si>
  <si>
    <t>56269201</t>
  </si>
  <si>
    <t>15274877426</t>
  </si>
  <si>
    <t>56273123</t>
  </si>
  <si>
    <t>15274878171</t>
  </si>
  <si>
    <t>56267712</t>
  </si>
  <si>
    <t>15274879743</t>
  </si>
  <si>
    <t>56275338</t>
  </si>
  <si>
    <t>15274881349</t>
  </si>
  <si>
    <t>56275005</t>
  </si>
  <si>
    <t>15274881481</t>
  </si>
  <si>
    <t>56275464</t>
  </si>
  <si>
    <t>15274881482</t>
  </si>
  <si>
    <t>56289436</t>
  </si>
  <si>
    <t>15274882353</t>
  </si>
  <si>
    <t>56276657</t>
  </si>
  <si>
    <t>15274882354</t>
  </si>
  <si>
    <t>56289138</t>
  </si>
  <si>
    <t>15274883947</t>
  </si>
  <si>
    <t>15274884906</t>
  </si>
  <si>
    <t>56271575</t>
  </si>
  <si>
    <t>15274885085</t>
  </si>
  <si>
    <t>56273429</t>
  </si>
  <si>
    <t>15274886011</t>
  </si>
  <si>
    <t>56273121</t>
  </si>
  <si>
    <t>15274886346</t>
  </si>
  <si>
    <t>56271788</t>
  </si>
  <si>
    <t>15274886502</t>
  </si>
  <si>
    <t>56273428</t>
  </si>
  <si>
    <t>15274886810</t>
  </si>
  <si>
    <t>56271579</t>
  </si>
  <si>
    <t>15274887048</t>
  </si>
  <si>
    <t>56275461</t>
  </si>
  <si>
    <t>15274887993</t>
  </si>
  <si>
    <t>56273435</t>
  </si>
  <si>
    <t>15274888308</t>
  </si>
  <si>
    <t>56271647</t>
  </si>
  <si>
    <t>15274888574</t>
  </si>
  <si>
    <t>15274888885</t>
  </si>
  <si>
    <t>56292638</t>
  </si>
  <si>
    <t>15274888999</t>
  </si>
  <si>
    <t>56275463</t>
  </si>
  <si>
    <t>15274889563</t>
  </si>
  <si>
    <t>56273327</t>
  </si>
  <si>
    <t>15274892150</t>
  </si>
  <si>
    <t>56275001</t>
  </si>
  <si>
    <t>15274892894</t>
  </si>
  <si>
    <t>56289224</t>
  </si>
  <si>
    <t>15274893911</t>
  </si>
  <si>
    <t>56319309</t>
  </si>
  <si>
    <t>15274894378</t>
  </si>
  <si>
    <t>56292639</t>
  </si>
  <si>
    <t>15274895157</t>
  </si>
  <si>
    <t>15274896363</t>
  </si>
  <si>
    <t>15274896977</t>
  </si>
  <si>
    <t>15274897839</t>
  </si>
  <si>
    <t>15274898029</t>
  </si>
  <si>
    <t>15274898104</t>
  </si>
  <si>
    <t>15274898396</t>
  </si>
  <si>
    <t>15274900060</t>
  </si>
  <si>
    <t>15274900550</t>
  </si>
  <si>
    <t>15274901731</t>
  </si>
  <si>
    <t>15274901965</t>
  </si>
  <si>
    <t>15274902123</t>
  </si>
  <si>
    <t>15274903109</t>
  </si>
  <si>
    <t>15274903988</t>
  </si>
  <si>
    <t>15274904024</t>
  </si>
  <si>
    <t>15274904099</t>
  </si>
  <si>
    <t>15274904498</t>
  </si>
  <si>
    <t>15274905113</t>
  </si>
  <si>
    <t>15274905417</t>
  </si>
  <si>
    <t>15274905954</t>
  </si>
  <si>
    <t>15274906846</t>
  </si>
  <si>
    <t>15274909546</t>
  </si>
  <si>
    <t>15274909956</t>
  </si>
  <si>
    <t>15274911258</t>
  </si>
  <si>
    <t>56276656</t>
  </si>
  <si>
    <t>15274911706</t>
  </si>
  <si>
    <t>15274914606</t>
  </si>
  <si>
    <t>15274914943</t>
  </si>
  <si>
    <t>15274915358</t>
  </si>
  <si>
    <t>15274915366</t>
  </si>
  <si>
    <t>15274915946</t>
  </si>
  <si>
    <t>15274915947</t>
  </si>
  <si>
    <t>15274917043</t>
  </si>
  <si>
    <t>15274917044</t>
  </si>
  <si>
    <t>15274919832</t>
  </si>
  <si>
    <t>15274920048</t>
  </si>
  <si>
    <t>15274933540</t>
  </si>
  <si>
    <t>56289631</t>
  </si>
  <si>
    <t>15274943527</t>
  </si>
  <si>
    <t>56290905</t>
  </si>
  <si>
    <t>15274948370</t>
  </si>
  <si>
    <t>56289407</t>
  </si>
  <si>
    <t>15274952525</t>
  </si>
  <si>
    <t>15274953509</t>
  </si>
  <si>
    <t>15274954807</t>
  </si>
  <si>
    <t>15274972492</t>
  </si>
  <si>
    <t>56388915</t>
  </si>
  <si>
    <t>15274974156</t>
  </si>
  <si>
    <t>56291211</t>
  </si>
  <si>
    <t>15274975480</t>
  </si>
  <si>
    <t>56403953</t>
  </si>
  <si>
    <t>15274976750</t>
  </si>
  <si>
    <t>56404315</t>
  </si>
  <si>
    <t>15274977043</t>
  </si>
  <si>
    <t>56404278</t>
  </si>
  <si>
    <t>15274977638</t>
  </si>
  <si>
    <t>56292615</t>
  </si>
  <si>
    <t>15274977999</t>
  </si>
  <si>
    <t>56292640</t>
  </si>
  <si>
    <t>15274978518</t>
  </si>
  <si>
    <t>15274979262</t>
  </si>
  <si>
    <t>15274979463</t>
  </si>
  <si>
    <t>15274979477</t>
  </si>
  <si>
    <t>15274979660</t>
  </si>
  <si>
    <t>61704689</t>
  </si>
  <si>
    <t>15274979791</t>
  </si>
  <si>
    <t>15274980011</t>
  </si>
  <si>
    <t>15274980200</t>
  </si>
  <si>
    <t>15274980220</t>
  </si>
  <si>
    <t>15274981073</t>
  </si>
  <si>
    <t>15274981317</t>
  </si>
  <si>
    <t>15274981414</t>
  </si>
  <si>
    <t>15274981420</t>
  </si>
  <si>
    <t>15274981671</t>
  </si>
  <si>
    <t>15274981909</t>
  </si>
  <si>
    <t>15274981956</t>
  </si>
  <si>
    <t>15274982091</t>
  </si>
  <si>
    <t>15274982203</t>
  </si>
  <si>
    <t>15274982450</t>
  </si>
  <si>
    <t>15274982797</t>
  </si>
  <si>
    <t>15274983063</t>
  </si>
  <si>
    <t>15274983580</t>
  </si>
  <si>
    <t>15274983696</t>
  </si>
  <si>
    <t>15274984019</t>
  </si>
  <si>
    <t>61675029</t>
  </si>
  <si>
    <t>15274985328</t>
  </si>
  <si>
    <t>15274986430</t>
  </si>
  <si>
    <t>15274987176</t>
  </si>
  <si>
    <t>15274987194</t>
  </si>
  <si>
    <t>15274987318</t>
  </si>
  <si>
    <t>15274987337</t>
  </si>
  <si>
    <t>15274987695</t>
  </si>
  <si>
    <t>15274987700</t>
  </si>
  <si>
    <t>15274987721</t>
  </si>
  <si>
    <t>15274988683</t>
  </si>
  <si>
    <t>15274988757</t>
  </si>
  <si>
    <t>15274988859</t>
  </si>
  <si>
    <t>15274988860</t>
  </si>
  <si>
    <t>15274988925</t>
  </si>
  <si>
    <t>15274988963</t>
  </si>
  <si>
    <t>15274988995</t>
  </si>
  <si>
    <t>15274989076</t>
  </si>
  <si>
    <t>15274989350</t>
  </si>
  <si>
    <t>15274989415</t>
  </si>
  <si>
    <t>15274990403</t>
  </si>
  <si>
    <t>15274990421</t>
  </si>
  <si>
    <t>15274990628</t>
  </si>
  <si>
    <t>15274990683</t>
  </si>
  <si>
    <t>15274992516</t>
  </si>
  <si>
    <t>15274994390</t>
  </si>
  <si>
    <t>15274998881</t>
  </si>
  <si>
    <t>15275002177</t>
  </si>
  <si>
    <t>15275003226</t>
  </si>
  <si>
    <t>15275018057</t>
  </si>
  <si>
    <t>56309680</t>
  </si>
  <si>
    <t>15275021607</t>
  </si>
  <si>
    <t>15275022576</t>
  </si>
  <si>
    <t>56309236</t>
  </si>
  <si>
    <t>15275022637</t>
  </si>
  <si>
    <t>56309143</t>
  </si>
  <si>
    <t>15275023464</t>
  </si>
  <si>
    <t>56308734</t>
  </si>
  <si>
    <t>15275023724</t>
  </si>
  <si>
    <t>56308626</t>
  </si>
  <si>
    <t>15275028997</t>
  </si>
  <si>
    <t>56308334</t>
  </si>
  <si>
    <t>15275029953</t>
  </si>
  <si>
    <t>56307630</t>
  </si>
  <si>
    <t>15275030348</t>
  </si>
  <si>
    <t>56307460</t>
  </si>
  <si>
    <t>15275031272</t>
  </si>
  <si>
    <t>56309098</t>
  </si>
  <si>
    <t>15275032852</t>
  </si>
  <si>
    <t>56319485</t>
  </si>
  <si>
    <t>15275033166</t>
  </si>
  <si>
    <t>56310790</t>
  </si>
  <si>
    <t>15275033250</t>
  </si>
  <si>
    <t>56319486</t>
  </si>
  <si>
    <t>15275033736</t>
  </si>
  <si>
    <t>56319416</t>
  </si>
  <si>
    <t>15275034137</t>
  </si>
  <si>
    <t>56309677</t>
  </si>
  <si>
    <t>15275035724</t>
  </si>
  <si>
    <t>56306044</t>
  </si>
  <si>
    <t>15275036146</t>
  </si>
  <si>
    <t>56304029</t>
  </si>
  <si>
    <t>15275036215</t>
  </si>
  <si>
    <t>56305784</t>
  </si>
  <si>
    <t>15275036628</t>
  </si>
  <si>
    <t>56305788</t>
  </si>
  <si>
    <t>15275038046</t>
  </si>
  <si>
    <t>15275038986</t>
  </si>
  <si>
    <t>15275039692</t>
  </si>
  <si>
    <t>56322755</t>
  </si>
  <si>
    <t>15275041748</t>
  </si>
  <si>
    <t>56306244</t>
  </si>
  <si>
    <t>15275041991</t>
  </si>
  <si>
    <t>56305908</t>
  </si>
  <si>
    <t>15275042045</t>
  </si>
  <si>
    <t>56305786</t>
  </si>
  <si>
    <t>15275043288</t>
  </si>
  <si>
    <t>15275046353</t>
  </si>
  <si>
    <t>56320096</t>
  </si>
  <si>
    <t>15275047785</t>
  </si>
  <si>
    <t>15275048067</t>
  </si>
  <si>
    <t>56308788</t>
  </si>
  <si>
    <t>15275048834</t>
  </si>
  <si>
    <t>56308655</t>
  </si>
  <si>
    <t>15275049528</t>
  </si>
  <si>
    <t>56319922</t>
  </si>
  <si>
    <t>15275049675</t>
  </si>
  <si>
    <t>56319849</t>
  </si>
  <si>
    <t>15275049867</t>
  </si>
  <si>
    <t>56319850</t>
  </si>
  <si>
    <t>15275051695</t>
  </si>
  <si>
    <t>56307822</t>
  </si>
  <si>
    <t>15275052087</t>
  </si>
  <si>
    <t>56307829</t>
  </si>
  <si>
    <t>15275052520</t>
  </si>
  <si>
    <t>56319848</t>
  </si>
  <si>
    <t>15275053215</t>
  </si>
  <si>
    <t>56307835</t>
  </si>
  <si>
    <t>15275054047</t>
  </si>
  <si>
    <t>56307403</t>
  </si>
  <si>
    <t>15275054450</t>
  </si>
  <si>
    <t>56310992</t>
  </si>
  <si>
    <t>15275054966</t>
  </si>
  <si>
    <t>56320160</t>
  </si>
  <si>
    <t>15275056647</t>
  </si>
  <si>
    <t>61722828</t>
  </si>
  <si>
    <t>15275057910</t>
  </si>
  <si>
    <t>15275058694</t>
  </si>
  <si>
    <t>15275058981</t>
  </si>
  <si>
    <t>15275060082</t>
  </si>
  <si>
    <t>15275060426</t>
  </si>
  <si>
    <t>15275061028</t>
  </si>
  <si>
    <t>15275061749</t>
  </si>
  <si>
    <t>15275062367</t>
  </si>
  <si>
    <t>15275062735</t>
  </si>
  <si>
    <t>15275063143</t>
  </si>
  <si>
    <t>15275063471</t>
  </si>
  <si>
    <t>15275064673</t>
  </si>
  <si>
    <t>15275064828</t>
  </si>
  <si>
    <t>15275064906</t>
  </si>
  <si>
    <t>15275065683</t>
  </si>
  <si>
    <t>15275065762</t>
  </si>
  <si>
    <t>56320047</t>
  </si>
  <si>
    <t>15275068143</t>
  </si>
  <si>
    <t>15275068447</t>
  </si>
  <si>
    <t>15275069345</t>
  </si>
  <si>
    <t>15275069733</t>
  </si>
  <si>
    <t>15275069823</t>
  </si>
  <si>
    <t>15275071510</t>
  </si>
  <si>
    <t>15275076322</t>
  </si>
  <si>
    <t>15275076680</t>
  </si>
  <si>
    <t>15275077475</t>
  </si>
  <si>
    <t>15275080421</t>
  </si>
  <si>
    <t>15275101304</t>
  </si>
  <si>
    <t>15275105519</t>
  </si>
  <si>
    <t>56337239</t>
  </si>
  <si>
    <t>15275107272</t>
  </si>
  <si>
    <t>56324146</t>
  </si>
  <si>
    <t>15275107946</t>
  </si>
  <si>
    <t>56325493</t>
  </si>
  <si>
    <t>15275108021</t>
  </si>
  <si>
    <t>56337395</t>
  </si>
  <si>
    <t>15275108323</t>
  </si>
  <si>
    <t>56325494</t>
  </si>
  <si>
    <t>15275108564</t>
  </si>
  <si>
    <t>56325409</t>
  </si>
  <si>
    <t>15275112001</t>
  </si>
  <si>
    <t>56326849</t>
  </si>
  <si>
    <t>15275112349</t>
  </si>
  <si>
    <t>56326821</t>
  </si>
  <si>
    <t>15275114373</t>
  </si>
  <si>
    <t>15275114624</t>
  </si>
  <si>
    <t>56337305</t>
  </si>
  <si>
    <t>15275114845</t>
  </si>
  <si>
    <t>15275115228</t>
  </si>
  <si>
    <t>15275115801</t>
  </si>
  <si>
    <t>56340660</t>
  </si>
  <si>
    <t>15275116494</t>
  </si>
  <si>
    <t>56337242</t>
  </si>
  <si>
    <t>15275117830</t>
  </si>
  <si>
    <t>56326239</t>
  </si>
  <si>
    <t>15275120182</t>
  </si>
  <si>
    <t>56343747</t>
  </si>
  <si>
    <t>15275120327</t>
  </si>
  <si>
    <t>56340658</t>
  </si>
  <si>
    <t>15275121120</t>
  </si>
  <si>
    <t>56328173</t>
  </si>
  <si>
    <t>15275121340</t>
  </si>
  <si>
    <t>56327604</t>
  </si>
  <si>
    <t>15275121525</t>
  </si>
  <si>
    <t>56337465</t>
  </si>
  <si>
    <t>15275121711</t>
  </si>
  <si>
    <t>56337752</t>
  </si>
  <si>
    <t>15275122203</t>
  </si>
  <si>
    <t>56337357</t>
  </si>
  <si>
    <t>15275122596</t>
  </si>
  <si>
    <t>56337358</t>
  </si>
  <si>
    <t>15275122652</t>
  </si>
  <si>
    <t>56328361</t>
  </si>
  <si>
    <t>15275122853</t>
  </si>
  <si>
    <t>56328294</t>
  </si>
  <si>
    <t>15275123056</t>
  </si>
  <si>
    <t>56337356</t>
  </si>
  <si>
    <t>15275123781</t>
  </si>
  <si>
    <t>15275123885</t>
  </si>
  <si>
    <t>56337399</t>
  </si>
  <si>
    <t>15275124548</t>
  </si>
  <si>
    <t>56328207</t>
  </si>
  <si>
    <t>15275124697</t>
  </si>
  <si>
    <t>56322985</t>
  </si>
  <si>
    <t>15275124935</t>
  </si>
  <si>
    <t>15275125074</t>
  </si>
  <si>
    <t>56343611</t>
  </si>
  <si>
    <t>15275125576</t>
  </si>
  <si>
    <t>56328215</t>
  </si>
  <si>
    <t>15275125582</t>
  </si>
  <si>
    <t>56340540</t>
  </si>
  <si>
    <t>15275125820</t>
  </si>
  <si>
    <t>56337830</t>
  </si>
  <si>
    <t>15275126213</t>
  </si>
  <si>
    <t>56337829</t>
  </si>
  <si>
    <t>15275126716</t>
  </si>
  <si>
    <t>56328176</t>
  </si>
  <si>
    <t>15275127024</t>
  </si>
  <si>
    <t>56337614</t>
  </si>
  <si>
    <t>15275128728</t>
  </si>
  <si>
    <t>56337567</t>
  </si>
  <si>
    <t>15275130562</t>
  </si>
  <si>
    <t>15275131046</t>
  </si>
  <si>
    <t>56419598</t>
  </si>
  <si>
    <t>15275132240</t>
  </si>
  <si>
    <t>56345495</t>
  </si>
  <si>
    <t>15275132622</t>
  </si>
  <si>
    <t>56419599</t>
  </si>
  <si>
    <t>15275133169</t>
  </si>
  <si>
    <t>56345517</t>
  </si>
  <si>
    <t>15275133611</t>
  </si>
  <si>
    <t>15275135230</t>
  </si>
  <si>
    <t>56439864</t>
  </si>
  <si>
    <t>15275135298</t>
  </si>
  <si>
    <t>56437734</t>
  </si>
  <si>
    <t>15275136440</t>
  </si>
  <si>
    <t>56439748</t>
  </si>
  <si>
    <t>15275137211</t>
  </si>
  <si>
    <t>56437723</t>
  </si>
  <si>
    <t>15275137324</t>
  </si>
  <si>
    <t>56345927</t>
  </si>
  <si>
    <t>15275138173</t>
  </si>
  <si>
    <t>56437898</t>
  </si>
  <si>
    <t>15275139294</t>
  </si>
  <si>
    <t>15275139357</t>
  </si>
  <si>
    <t>15275139368</t>
  </si>
  <si>
    <t>15275163086</t>
  </si>
  <si>
    <t>15275168764</t>
  </si>
  <si>
    <t>56339969</t>
  </si>
  <si>
    <t>15275174078</t>
  </si>
  <si>
    <t>56342678</t>
  </si>
  <si>
    <t>15275174420</t>
  </si>
  <si>
    <t>56344002</t>
  </si>
  <si>
    <t>15275176042</t>
  </si>
  <si>
    <t>56437897</t>
  </si>
  <si>
    <t>15275176680</t>
  </si>
  <si>
    <t>56437885</t>
  </si>
  <si>
    <t>15275176797</t>
  </si>
  <si>
    <t>56344182</t>
  </si>
  <si>
    <t>15275177003</t>
  </si>
  <si>
    <t>56438384</t>
  </si>
  <si>
    <t>15275177752</t>
  </si>
  <si>
    <t>56439561</t>
  </si>
  <si>
    <t>15275178688</t>
  </si>
  <si>
    <t>56439876</t>
  </si>
  <si>
    <t>15275180669</t>
  </si>
  <si>
    <t>56439739</t>
  </si>
  <si>
    <t>15275181309</t>
  </si>
  <si>
    <t>56438390</t>
  </si>
  <si>
    <t>15275181986</t>
  </si>
  <si>
    <t>56345619</t>
  </si>
  <si>
    <t>15275182498</t>
  </si>
  <si>
    <t>56438382</t>
  </si>
  <si>
    <t>15275183129</t>
  </si>
  <si>
    <t>56440508</t>
  </si>
  <si>
    <t>15275183464</t>
  </si>
  <si>
    <t>56437874</t>
  </si>
  <si>
    <t>15275184338</t>
  </si>
  <si>
    <t>56439562</t>
  </si>
  <si>
    <t>15275186313</t>
  </si>
  <si>
    <t>56345923</t>
  </si>
  <si>
    <t>61726645</t>
  </si>
  <si>
    <t>15275186549</t>
  </si>
  <si>
    <t>56344077</t>
  </si>
  <si>
    <t>15275186889</t>
  </si>
  <si>
    <t>56437896</t>
  </si>
  <si>
    <t>15275186890</t>
  </si>
  <si>
    <t>56437901</t>
  </si>
  <si>
    <t>15275186897</t>
  </si>
  <si>
    <t>56439868</t>
  </si>
  <si>
    <t>15275187596</t>
  </si>
  <si>
    <t>56439759</t>
  </si>
  <si>
    <t>15275190333</t>
  </si>
  <si>
    <t>56346151</t>
  </si>
  <si>
    <t>15275190425</t>
  </si>
  <si>
    <t>15275191625</t>
  </si>
  <si>
    <t>15275191694</t>
  </si>
  <si>
    <t>15275192429</t>
  </si>
  <si>
    <t>15275192468</t>
  </si>
  <si>
    <t>56337749</t>
  </si>
  <si>
    <t>15275192574</t>
  </si>
  <si>
    <t>56373365</t>
  </si>
  <si>
    <t>15275193344</t>
  </si>
  <si>
    <t>15275193431</t>
  </si>
  <si>
    <t>15275194000</t>
  </si>
  <si>
    <t>15275194081</t>
  </si>
  <si>
    <t>15275194255</t>
  </si>
  <si>
    <t>15275194343</t>
  </si>
  <si>
    <t>15275194574</t>
  </si>
  <si>
    <t>15275194773</t>
  </si>
  <si>
    <t>15275195016</t>
  </si>
  <si>
    <t>15275195056</t>
  </si>
  <si>
    <t>15275195650</t>
  </si>
  <si>
    <t>15275195655</t>
  </si>
  <si>
    <t>15275196265</t>
  </si>
  <si>
    <t>15275196856</t>
  </si>
  <si>
    <t>15275196998</t>
  </si>
  <si>
    <t>15275197026</t>
  </si>
  <si>
    <t>15275197164</t>
  </si>
  <si>
    <t>15275197498</t>
  </si>
  <si>
    <t>15275197762</t>
  </si>
  <si>
    <t>15275199517</t>
  </si>
  <si>
    <t>15275200221</t>
  </si>
  <si>
    <t>15275200359</t>
  </si>
  <si>
    <t>15275200424</t>
  </si>
  <si>
    <t>15275200788</t>
  </si>
  <si>
    <t>15275201106</t>
  </si>
  <si>
    <t>15275201277</t>
  </si>
  <si>
    <t>61679098</t>
  </si>
  <si>
    <t>15275201422</t>
  </si>
  <si>
    <t>15275201885</t>
  </si>
  <si>
    <t>15275202205</t>
  </si>
  <si>
    <t>15275202214</t>
  </si>
  <si>
    <t>15275202300</t>
  </si>
  <si>
    <t>15275202301</t>
  </si>
  <si>
    <t>15275202417</t>
  </si>
  <si>
    <t>15275202466</t>
  </si>
  <si>
    <t>15275202639</t>
  </si>
  <si>
    <t>15275203687</t>
  </si>
  <si>
    <t>15275203760</t>
  </si>
  <si>
    <t>15275204367</t>
  </si>
  <si>
    <t>15275204686</t>
  </si>
  <si>
    <t>61733929</t>
  </si>
  <si>
    <t>15275205351</t>
  </si>
  <si>
    <t>15275205477</t>
  </si>
  <si>
    <t>15275205735</t>
  </si>
  <si>
    <t>15275206210</t>
  </si>
  <si>
    <t>15275206486</t>
  </si>
  <si>
    <t>15275207087</t>
  </si>
  <si>
    <t>15275207996</t>
  </si>
  <si>
    <t>15275208237</t>
  </si>
  <si>
    <t>15275209142</t>
  </si>
  <si>
    <t>15275209183</t>
  </si>
  <si>
    <t>15275209445</t>
  </si>
  <si>
    <t>15275210110</t>
  </si>
  <si>
    <t>56376119</t>
  </si>
  <si>
    <t>15275210213</t>
  </si>
  <si>
    <t>15275211137</t>
  </si>
  <si>
    <t>15275211649</t>
  </si>
  <si>
    <t>15275212918</t>
  </si>
  <si>
    <t>15275214231</t>
  </si>
  <si>
    <t>56374999</t>
  </si>
  <si>
    <t>15275216315</t>
  </si>
  <si>
    <t>61724534</t>
  </si>
  <si>
    <t>15275216686</t>
  </si>
  <si>
    <t>15275217235</t>
  </si>
  <si>
    <t>15275221443</t>
  </si>
  <si>
    <t>15275243509</t>
  </si>
  <si>
    <t>56439752</t>
  </si>
  <si>
    <t>15275243782</t>
  </si>
  <si>
    <t>56440725</t>
  </si>
  <si>
    <t>15275247516</t>
  </si>
  <si>
    <t>56439573</t>
  </si>
  <si>
    <t>15275249394</t>
  </si>
  <si>
    <t>56439751</t>
  </si>
  <si>
    <t>15275249995</t>
  </si>
  <si>
    <t>56361155</t>
  </si>
  <si>
    <t>15275250112</t>
  </si>
  <si>
    <t>56374587</t>
  </si>
  <si>
    <t>15275250573</t>
  </si>
  <si>
    <t>56439570</t>
  </si>
  <si>
    <t>15275251517</t>
  </si>
  <si>
    <t>56439571</t>
  </si>
  <si>
    <t>15275252966</t>
  </si>
  <si>
    <t>56357478</t>
  </si>
  <si>
    <t>15275253411</t>
  </si>
  <si>
    <t>15275255154</t>
  </si>
  <si>
    <t>15275255453</t>
  </si>
  <si>
    <t>56362230</t>
  </si>
  <si>
    <t>15275255572</t>
  </si>
  <si>
    <t>56375142</t>
  </si>
  <si>
    <t>15275255811</t>
  </si>
  <si>
    <t>56362017</t>
  </si>
  <si>
    <t>15275256131</t>
  </si>
  <si>
    <t>56375096</t>
  </si>
  <si>
    <t>15275257051</t>
  </si>
  <si>
    <t>56361844</t>
  </si>
  <si>
    <t>15275257225</t>
  </si>
  <si>
    <t>56383892</t>
  </si>
  <si>
    <t>15275258743</t>
  </si>
  <si>
    <t>56375139</t>
  </si>
  <si>
    <t>15275259044</t>
  </si>
  <si>
    <t>56360651</t>
  </si>
  <si>
    <t>15275263815</t>
  </si>
  <si>
    <t>15275264012</t>
  </si>
  <si>
    <t>56383869</t>
  </si>
  <si>
    <t>15275264419</t>
  </si>
  <si>
    <t>15275264528</t>
  </si>
  <si>
    <t>15275264530</t>
  </si>
  <si>
    <t>56360654</t>
  </si>
  <si>
    <t>15275264739</t>
  </si>
  <si>
    <t>15275264800</t>
  </si>
  <si>
    <t>15275265097</t>
  </si>
  <si>
    <t>15275265229</t>
  </si>
  <si>
    <t>15275265612</t>
  </si>
  <si>
    <t>56440376</t>
  </si>
  <si>
    <t>15275265621</t>
  </si>
  <si>
    <t>56440515</t>
  </si>
  <si>
    <t>15275265780</t>
  </si>
  <si>
    <t>56360386</t>
  </si>
  <si>
    <t>15275265969</t>
  </si>
  <si>
    <t>56439992</t>
  </si>
  <si>
    <t>15275266234</t>
  </si>
  <si>
    <t>56440373</t>
  </si>
  <si>
    <t>15275266375</t>
  </si>
  <si>
    <t>15275266545</t>
  </si>
  <si>
    <t>56440369</t>
  </si>
  <si>
    <t>15275267166</t>
  </si>
  <si>
    <t>15275267244</t>
  </si>
  <si>
    <t>15275268153</t>
  </si>
  <si>
    <t>56440614</t>
  </si>
  <si>
    <t>15275268392</t>
  </si>
  <si>
    <t>15275268486</t>
  </si>
  <si>
    <t>15275268496</t>
  </si>
  <si>
    <t>15275268622</t>
  </si>
  <si>
    <t>15275268793</t>
  </si>
  <si>
    <t>15275268953</t>
  </si>
  <si>
    <t>15275269521</t>
  </si>
  <si>
    <t>57853908</t>
  </si>
  <si>
    <t>15275269615</t>
  </si>
  <si>
    <t>15275269971</t>
  </si>
  <si>
    <t>56440371</t>
  </si>
  <si>
    <t>15275270084</t>
  </si>
  <si>
    <t>56440505</t>
  </si>
  <si>
    <t>15275270091</t>
  </si>
  <si>
    <t>56440619</t>
  </si>
  <si>
    <t>15275270707</t>
  </si>
  <si>
    <t>56441222</t>
  </si>
  <si>
    <t>15275271856</t>
  </si>
  <si>
    <t>15275271861</t>
  </si>
  <si>
    <t>15275272594</t>
  </si>
  <si>
    <t>15275272820</t>
  </si>
  <si>
    <t>15275272830</t>
  </si>
  <si>
    <t>15275273006</t>
  </si>
  <si>
    <t>15275273137</t>
  </si>
  <si>
    <t>15275273453</t>
  </si>
  <si>
    <t>56440620</t>
  </si>
  <si>
    <t>15275273660</t>
  </si>
  <si>
    <t>15275273781</t>
  </si>
  <si>
    <t>15275273783</t>
  </si>
  <si>
    <t>15275274297</t>
  </si>
  <si>
    <t>15275274561</t>
  </si>
  <si>
    <t>15275274820</t>
  </si>
  <si>
    <t>15275275648</t>
  </si>
  <si>
    <t>15275275759</t>
  </si>
  <si>
    <t>15275275825</t>
  </si>
  <si>
    <t>15275275970</t>
  </si>
  <si>
    <t>15275276271</t>
  </si>
  <si>
    <t>15275276330</t>
  </si>
  <si>
    <t>15275276469</t>
  </si>
  <si>
    <t>15275276616</t>
  </si>
  <si>
    <t>15275276695</t>
  </si>
  <si>
    <t>15275276718</t>
  </si>
  <si>
    <t>15275276721</t>
  </si>
  <si>
    <t>15275276914</t>
  </si>
  <si>
    <t>15275277146</t>
  </si>
  <si>
    <t>15275277219</t>
  </si>
  <si>
    <t>15275277235</t>
  </si>
  <si>
    <t>15275277273</t>
  </si>
  <si>
    <t>61713123</t>
  </si>
  <si>
    <t>15275277747</t>
  </si>
  <si>
    <t>56975284</t>
  </si>
  <si>
    <t>15275278820</t>
  </si>
  <si>
    <t>15275279659</t>
  </si>
  <si>
    <t>15275279663</t>
  </si>
  <si>
    <t>15275279877</t>
  </si>
  <si>
    <t>15275280140</t>
  </si>
  <si>
    <t>15275280406</t>
  </si>
  <si>
    <t>15275280587</t>
  </si>
  <si>
    <t>15275280907</t>
  </si>
  <si>
    <t>15275281301</t>
  </si>
  <si>
    <t>15275284978</t>
  </si>
  <si>
    <t>15275287746</t>
  </si>
  <si>
    <t>15275289837</t>
  </si>
  <si>
    <t>15275289940</t>
  </si>
  <si>
    <t>56441445</t>
  </si>
  <si>
    <t>15275301824</t>
  </si>
  <si>
    <t>56975298</t>
  </si>
  <si>
    <t>15275302429</t>
  </si>
  <si>
    <t>56441604</t>
  </si>
  <si>
    <t>15275302486</t>
  </si>
  <si>
    <t>56374717</t>
  </si>
  <si>
    <t>15275308149</t>
  </si>
  <si>
    <t>56375971</t>
  </si>
  <si>
    <t>15275309328</t>
  </si>
  <si>
    <t>56375655</t>
  </si>
  <si>
    <t>15275310631</t>
  </si>
  <si>
    <t>56440615</t>
  </si>
  <si>
    <t>15275310951</t>
  </si>
  <si>
    <t>56373425</t>
  </si>
  <si>
    <t>15275315182</t>
  </si>
  <si>
    <t>56440721</t>
  </si>
  <si>
    <t>15275321056</t>
  </si>
  <si>
    <t>56441610</t>
  </si>
  <si>
    <t>15275323072</t>
  </si>
  <si>
    <t>56441904</t>
  </si>
  <si>
    <t>15275324646</t>
  </si>
  <si>
    <t>56375025</t>
  </si>
  <si>
    <t>15275324985</t>
  </si>
  <si>
    <t>56441293</t>
  </si>
  <si>
    <t>15275326195</t>
  </si>
  <si>
    <t>15275327092</t>
  </si>
  <si>
    <t>15275328546</t>
  </si>
  <si>
    <t>15275328568</t>
  </si>
  <si>
    <t>15275328593</t>
  </si>
  <si>
    <t>15275332593</t>
  </si>
  <si>
    <t>56375060</t>
  </si>
  <si>
    <t>15275334202</t>
  </si>
  <si>
    <t>15275339591</t>
  </si>
  <si>
    <t>15275339666</t>
  </si>
  <si>
    <t>15275340897</t>
  </si>
  <si>
    <t>15275342103</t>
  </si>
  <si>
    <t>15275346803</t>
  </si>
  <si>
    <t>15275346805</t>
  </si>
  <si>
    <t>61683487</t>
  </si>
  <si>
    <t>15275353862</t>
  </si>
  <si>
    <t>15275356650</t>
  </si>
  <si>
    <t>15275386890</t>
  </si>
  <si>
    <t>15275389111</t>
  </si>
  <si>
    <t>56440815</t>
  </si>
  <si>
    <t>15275390338</t>
  </si>
  <si>
    <t>15275392618</t>
  </si>
  <si>
    <t>15275393493</t>
  </si>
  <si>
    <t>15275393754</t>
  </si>
  <si>
    <t>56398440</t>
  </si>
  <si>
    <t>15275396387</t>
  </si>
  <si>
    <t>15275398894</t>
  </si>
  <si>
    <t>15275400077</t>
  </si>
  <si>
    <t>15275400893</t>
  </si>
  <si>
    <t>15275402689</t>
  </si>
  <si>
    <t>15275406238</t>
  </si>
  <si>
    <t>15275407205</t>
  </si>
  <si>
    <t>15275407352</t>
  </si>
  <si>
    <t>15275408552</t>
  </si>
  <si>
    <t>15275410601</t>
  </si>
  <si>
    <t>15275410752</t>
  </si>
  <si>
    <t>15275415259</t>
  </si>
  <si>
    <t>15275415281</t>
  </si>
  <si>
    <t>15275423143</t>
  </si>
  <si>
    <t>56418000</t>
  </si>
  <si>
    <t>15275441584</t>
  </si>
  <si>
    <t>56417811</t>
  </si>
  <si>
    <t>15275441744</t>
  </si>
  <si>
    <t>56422598</t>
  </si>
  <si>
    <t>15275448031</t>
  </si>
  <si>
    <t>56417839</t>
  </si>
  <si>
    <t>15275450611</t>
  </si>
  <si>
    <t>15275451655</t>
  </si>
  <si>
    <t>15275452655</t>
  </si>
  <si>
    <t>15275452787</t>
  </si>
  <si>
    <t>15275454881</t>
  </si>
  <si>
    <t>15275455545</t>
  </si>
  <si>
    <t>15275455974</t>
  </si>
  <si>
    <t>15275456013</t>
  </si>
  <si>
    <t>15275458412</t>
  </si>
  <si>
    <t>61695081</t>
  </si>
  <si>
    <t>15275464796</t>
  </si>
  <si>
    <t>15275464895</t>
  </si>
  <si>
    <t>15275465050</t>
  </si>
  <si>
    <t>15275465416</t>
  </si>
  <si>
    <t>15275466322</t>
  </si>
  <si>
    <t>15275468777</t>
  </si>
  <si>
    <t>15275472201</t>
  </si>
  <si>
    <t>15275472238</t>
  </si>
  <si>
    <t>61723456</t>
  </si>
  <si>
    <t>15275515472</t>
  </si>
  <si>
    <t>56422453</t>
  </si>
  <si>
    <t>15275516377</t>
  </si>
  <si>
    <t>56422637</t>
  </si>
  <si>
    <t>15275519908</t>
  </si>
  <si>
    <t>56437559</t>
  </si>
  <si>
    <t>15275525581</t>
  </si>
  <si>
    <t>56437827</t>
  </si>
  <si>
    <t>15275526457</t>
  </si>
  <si>
    <t>15275528230</t>
  </si>
  <si>
    <t>56437648</t>
  </si>
  <si>
    <t>15275528280</t>
  </si>
  <si>
    <t>56441440</t>
  </si>
  <si>
    <t>15275532215</t>
  </si>
  <si>
    <t>56439875</t>
  </si>
  <si>
    <t>15275532902</t>
  </si>
  <si>
    <t>15275533093</t>
  </si>
  <si>
    <t>56437886</t>
  </si>
  <si>
    <t>15275540125</t>
  </si>
  <si>
    <t>56441765</t>
  </si>
  <si>
    <t>15275540477</t>
  </si>
  <si>
    <t>15275542896</t>
  </si>
  <si>
    <t>56444672</t>
  </si>
  <si>
    <t>15275543628</t>
  </si>
  <si>
    <t>15275574225</t>
  </si>
  <si>
    <t>56441301</t>
  </si>
  <si>
    <t>15275637940</t>
  </si>
  <si>
    <t>15275643637</t>
  </si>
  <si>
    <t>15275645039</t>
  </si>
  <si>
    <t>15275646544</t>
  </si>
  <si>
    <t>56438475</t>
  </si>
  <si>
    <t>15275646587</t>
  </si>
  <si>
    <t>56437713</t>
  </si>
  <si>
    <t>15275655715</t>
  </si>
  <si>
    <t>15275668909</t>
  </si>
  <si>
    <t>15275707554</t>
  </si>
  <si>
    <t>56461676</t>
  </si>
  <si>
    <t>15275709095</t>
  </si>
  <si>
    <t>15275717639</t>
  </si>
  <si>
    <t>56462564</t>
  </si>
  <si>
    <t>15275724383</t>
  </si>
  <si>
    <t>15275729300</t>
  </si>
  <si>
    <t>15275729852</t>
  </si>
  <si>
    <t>15275730027</t>
  </si>
  <si>
    <t>15275730157</t>
  </si>
  <si>
    <t>15275730439</t>
  </si>
  <si>
    <t>15275730931</t>
  </si>
  <si>
    <t>15275731129</t>
  </si>
  <si>
    <t>15275731428</t>
  </si>
  <si>
    <t>15275731798</t>
  </si>
  <si>
    <t>15275731964</t>
  </si>
  <si>
    <t>15275732370</t>
  </si>
  <si>
    <t>15275732589</t>
  </si>
  <si>
    <t>15275733172</t>
  </si>
  <si>
    <t>15275734114</t>
  </si>
  <si>
    <t>15275737269</t>
  </si>
  <si>
    <t>61680928</t>
  </si>
  <si>
    <t>15275739232</t>
  </si>
  <si>
    <t>15275739233</t>
  </si>
  <si>
    <t>15275740249</t>
  </si>
  <si>
    <t>15275741362</t>
  </si>
  <si>
    <t>15275741952</t>
  </si>
  <si>
    <t>15275779356</t>
  </si>
  <si>
    <t>56501769</t>
  </si>
  <si>
    <t>15275790999</t>
  </si>
  <si>
    <t>15275793489</t>
  </si>
  <si>
    <t>58911298</t>
  </si>
  <si>
    <t>15275797629</t>
  </si>
  <si>
    <t>15275799270</t>
  </si>
  <si>
    <t>15275801964</t>
  </si>
  <si>
    <t>15275808880</t>
  </si>
  <si>
    <t>15275812332</t>
  </si>
  <si>
    <t>15275814711</t>
  </si>
  <si>
    <t>15275818910</t>
  </si>
  <si>
    <t>15275819158</t>
  </si>
  <si>
    <t>15275819714</t>
  </si>
  <si>
    <t>15275822807</t>
  </si>
  <si>
    <t>15275825279</t>
  </si>
  <si>
    <t>15275825457</t>
  </si>
  <si>
    <t>15275849080</t>
  </si>
  <si>
    <t>15275856671</t>
  </si>
  <si>
    <t>15275872456</t>
  </si>
  <si>
    <t>15275912160</t>
  </si>
  <si>
    <t>56502143</t>
  </si>
  <si>
    <t>15275912161</t>
  </si>
  <si>
    <t>56502037</t>
  </si>
  <si>
    <t>15275954402</t>
  </si>
  <si>
    <t>56540911</t>
  </si>
  <si>
    <t>15275954426</t>
  </si>
  <si>
    <t>56507156</t>
  </si>
  <si>
    <t>15275955254</t>
  </si>
  <si>
    <t>56527025</t>
  </si>
  <si>
    <t>15276002291</t>
  </si>
  <si>
    <t>15276007964</t>
  </si>
  <si>
    <t>15276010761</t>
  </si>
  <si>
    <t>15276013251</t>
  </si>
  <si>
    <t>15276047925</t>
  </si>
  <si>
    <t>15276083718</t>
  </si>
  <si>
    <t>56587750</t>
  </si>
  <si>
    <t>15276092253</t>
  </si>
  <si>
    <t>15276092696</t>
  </si>
  <si>
    <t>15276093367</t>
  </si>
  <si>
    <t>15276093505</t>
  </si>
  <si>
    <t>15276097682</t>
  </si>
  <si>
    <t>15276101050</t>
  </si>
  <si>
    <t>15276104140</t>
  </si>
  <si>
    <t>15276109102</t>
  </si>
  <si>
    <t>15276143820</t>
  </si>
  <si>
    <t>56550987</t>
  </si>
  <si>
    <t>15276143836</t>
  </si>
  <si>
    <t>56551090</t>
  </si>
  <si>
    <t>15276151780</t>
  </si>
  <si>
    <t>56574986</t>
  </si>
  <si>
    <t>15276153506</t>
  </si>
  <si>
    <t>56552514</t>
  </si>
  <si>
    <t>15276155981</t>
  </si>
  <si>
    <t>56557058</t>
  </si>
  <si>
    <t>15276156141</t>
  </si>
  <si>
    <t>56559498</t>
  </si>
  <si>
    <t>15276160347</t>
  </si>
  <si>
    <t>56556553</t>
  </si>
  <si>
    <t>15276161154</t>
  </si>
  <si>
    <t>56572588</t>
  </si>
  <si>
    <t>15276162435</t>
  </si>
  <si>
    <t>56557042</t>
  </si>
  <si>
    <t>15276162512</t>
  </si>
  <si>
    <t>15276162868</t>
  </si>
  <si>
    <t>56556824</t>
  </si>
  <si>
    <t>15276163742</t>
  </si>
  <si>
    <t>56572339</t>
  </si>
  <si>
    <t>15276164874</t>
  </si>
  <si>
    <t>56574405</t>
  </si>
  <si>
    <t>15276166060</t>
  </si>
  <si>
    <t>56572406</t>
  </si>
  <si>
    <t>15276166693</t>
  </si>
  <si>
    <t>56574402</t>
  </si>
  <si>
    <t>15276167041</t>
  </si>
  <si>
    <t>56574401</t>
  </si>
  <si>
    <t>15276168364</t>
  </si>
  <si>
    <t>56557260</t>
  </si>
  <si>
    <t>15276168726</t>
  </si>
  <si>
    <t>56574645</t>
  </si>
  <si>
    <t>15276169765</t>
  </si>
  <si>
    <t>15276170110</t>
  </si>
  <si>
    <t>15276172359</t>
  </si>
  <si>
    <t>15276172633</t>
  </si>
  <si>
    <t>15276173102</t>
  </si>
  <si>
    <t>15276173420</t>
  </si>
  <si>
    <t>15276173616</t>
  </si>
  <si>
    <t>56601062</t>
  </si>
  <si>
    <t>15276174044</t>
  </si>
  <si>
    <t>15276174351</t>
  </si>
  <si>
    <t>61685738</t>
  </si>
  <si>
    <t>15276174670</t>
  </si>
  <si>
    <t>15276178839</t>
  </si>
  <si>
    <t>15276179860</t>
  </si>
  <si>
    <t>15276180147</t>
  </si>
  <si>
    <t>15276181493</t>
  </si>
  <si>
    <t>15276182563</t>
  </si>
  <si>
    <t>15276189673</t>
  </si>
  <si>
    <t>56575001</t>
  </si>
  <si>
    <t>15276190672</t>
  </si>
  <si>
    <t>15276190711</t>
  </si>
  <si>
    <t>15276190776</t>
  </si>
  <si>
    <t>15276191932</t>
  </si>
  <si>
    <t>15276194242</t>
  </si>
  <si>
    <t>15276196464</t>
  </si>
  <si>
    <t>15276216576</t>
  </si>
  <si>
    <t>56634345</t>
  </si>
  <si>
    <t>15276238481</t>
  </si>
  <si>
    <t>56575005</t>
  </si>
  <si>
    <t>15276241229</t>
  </si>
  <si>
    <t>56574928</t>
  </si>
  <si>
    <t>15276242332</t>
  </si>
  <si>
    <t>15276242554</t>
  </si>
  <si>
    <t>15276244548</t>
  </si>
  <si>
    <t>56575079</t>
  </si>
  <si>
    <t>15276244942</t>
  </si>
  <si>
    <t>56575050</t>
  </si>
  <si>
    <t>15276245439</t>
  </si>
  <si>
    <t>58712256</t>
  </si>
  <si>
    <t>15276246739</t>
  </si>
  <si>
    <t>56575082</t>
  </si>
  <si>
    <t>15276247656</t>
  </si>
  <si>
    <t>56575081</t>
  </si>
  <si>
    <t>15276248326</t>
  </si>
  <si>
    <t>56603581</t>
  </si>
  <si>
    <t>15276249019</t>
  </si>
  <si>
    <t>15276249288</t>
  </si>
  <si>
    <t>15276249916</t>
  </si>
  <si>
    <t>15276251473</t>
  </si>
  <si>
    <t>61706304</t>
  </si>
  <si>
    <t>15276254105</t>
  </si>
  <si>
    <t>15276254399</t>
  </si>
  <si>
    <t>56603637</t>
  </si>
  <si>
    <t>15276259041</t>
  </si>
  <si>
    <t>15276260465</t>
  </si>
  <si>
    <t>15276262036</t>
  </si>
  <si>
    <t>15276262055</t>
  </si>
  <si>
    <t>15276264760</t>
  </si>
  <si>
    <t>15276265010</t>
  </si>
  <si>
    <t>15276300155</t>
  </si>
  <si>
    <t>56587744</t>
  </si>
  <si>
    <t>15276301237</t>
  </si>
  <si>
    <t>15276301875</t>
  </si>
  <si>
    <t>15276302760</t>
  </si>
  <si>
    <t>56588053</t>
  </si>
  <si>
    <t>15276307205</t>
  </si>
  <si>
    <t>56588148</t>
  </si>
  <si>
    <t>15276307816</t>
  </si>
  <si>
    <t>56588014</t>
  </si>
  <si>
    <t>15276308003</t>
  </si>
  <si>
    <t>15276312183</t>
  </si>
  <si>
    <t>56601063</t>
  </si>
  <si>
    <t>15276317964</t>
  </si>
  <si>
    <t>56588335</t>
  </si>
  <si>
    <t>15276318025</t>
  </si>
  <si>
    <t>56588333</t>
  </si>
  <si>
    <t>15276320449</t>
  </si>
  <si>
    <t>56589055</t>
  </si>
  <si>
    <t>15276320889</t>
  </si>
  <si>
    <t>56601419</t>
  </si>
  <si>
    <t>15276321337</t>
  </si>
  <si>
    <t>56589084</t>
  </si>
  <si>
    <t>15276322079</t>
  </si>
  <si>
    <t>56601352</t>
  </si>
  <si>
    <t>15276322358</t>
  </si>
  <si>
    <t>56589061</t>
  </si>
  <si>
    <t>15276322806</t>
  </si>
  <si>
    <t>56588369</t>
  </si>
  <si>
    <t>15276322823</t>
  </si>
  <si>
    <t>56589029</t>
  </si>
  <si>
    <t>15276323284</t>
  </si>
  <si>
    <t>56588405</t>
  </si>
  <si>
    <t>15276323515</t>
  </si>
  <si>
    <t>56588372</t>
  </si>
  <si>
    <t>15276324233</t>
  </si>
  <si>
    <t>15276324420</t>
  </si>
  <si>
    <t>15276325404</t>
  </si>
  <si>
    <t>56601746</t>
  </si>
  <si>
    <t>15276325855</t>
  </si>
  <si>
    <t>56589036</t>
  </si>
  <si>
    <t>15276325870</t>
  </si>
  <si>
    <t>56587984</t>
  </si>
  <si>
    <t>15276326889</t>
  </si>
  <si>
    <t>56589017</t>
  </si>
  <si>
    <t>15276327253</t>
  </si>
  <si>
    <t>56588415</t>
  </si>
  <si>
    <t>15276327299</t>
  </si>
  <si>
    <t>56588403</t>
  </si>
  <si>
    <t>15276327331</t>
  </si>
  <si>
    <t>56589015</t>
  </si>
  <si>
    <t>15276327363</t>
  </si>
  <si>
    <t>56589016</t>
  </si>
  <si>
    <t>15276327543</t>
  </si>
  <si>
    <t>56589033</t>
  </si>
  <si>
    <t>15276327612</t>
  </si>
  <si>
    <t>56589013</t>
  </si>
  <si>
    <t>15276327779</t>
  </si>
  <si>
    <t>56589022</t>
  </si>
  <si>
    <t>15276328178</t>
  </si>
  <si>
    <t>56589030</t>
  </si>
  <si>
    <t>15276329469</t>
  </si>
  <si>
    <t>56588130</t>
  </si>
  <si>
    <t>15276329493</t>
  </si>
  <si>
    <t>56589064</t>
  </si>
  <si>
    <t>15276329539</t>
  </si>
  <si>
    <t>56589088</t>
  </si>
  <si>
    <t>15276330049</t>
  </si>
  <si>
    <t>56626709</t>
  </si>
  <si>
    <t>15276330386</t>
  </si>
  <si>
    <t>56588421</t>
  </si>
  <si>
    <t>15276331501</t>
  </si>
  <si>
    <t>56588414</t>
  </si>
  <si>
    <t>15276331791</t>
  </si>
  <si>
    <t>56588427</t>
  </si>
  <si>
    <t>15276332095</t>
  </si>
  <si>
    <t>56589031</t>
  </si>
  <si>
    <t>15276332285</t>
  </si>
  <si>
    <t>56589025</t>
  </si>
  <si>
    <t>15276332687</t>
  </si>
  <si>
    <t>56589086</t>
  </si>
  <si>
    <t>15276332955</t>
  </si>
  <si>
    <t>56601064</t>
  </si>
  <si>
    <t>15276333219</t>
  </si>
  <si>
    <t>56601721</t>
  </si>
  <si>
    <t>15276333486</t>
  </si>
  <si>
    <t>56589082</t>
  </si>
  <si>
    <t>15276333874</t>
  </si>
  <si>
    <t>56589087</t>
  </si>
  <si>
    <t>15276333983</t>
  </si>
  <si>
    <t>56601992</t>
  </si>
  <si>
    <t>15276334238</t>
  </si>
  <si>
    <t>56600612</t>
  </si>
  <si>
    <t>15276334452</t>
  </si>
  <si>
    <t>15276335216</t>
  </si>
  <si>
    <t>56600610</t>
  </si>
  <si>
    <t>15276335323</t>
  </si>
  <si>
    <t>15276335324</t>
  </si>
  <si>
    <t>15276335439</t>
  </si>
  <si>
    <t>15276335502</t>
  </si>
  <si>
    <t>15276335531</t>
  </si>
  <si>
    <t>56613926</t>
  </si>
  <si>
    <t>15276335699</t>
  </si>
  <si>
    <t>15276335818</t>
  </si>
  <si>
    <t>15276335820</t>
  </si>
  <si>
    <t>56601741</t>
  </si>
  <si>
    <t>15276336145</t>
  </si>
  <si>
    <t>15276336187</t>
  </si>
  <si>
    <t>15276336440</t>
  </si>
  <si>
    <t>15276336616</t>
  </si>
  <si>
    <t>15276336632</t>
  </si>
  <si>
    <t>15276336969</t>
  </si>
  <si>
    <t>15276337223</t>
  </si>
  <si>
    <t>15276337239</t>
  </si>
  <si>
    <t>15276337318</t>
  </si>
  <si>
    <t>56603579</t>
  </si>
  <si>
    <t>15276337522</t>
  </si>
  <si>
    <t>15276337542</t>
  </si>
  <si>
    <t>15276337543</t>
  </si>
  <si>
    <t>15276337655</t>
  </si>
  <si>
    <t>15276337664</t>
  </si>
  <si>
    <t>15276337834</t>
  </si>
  <si>
    <t>15276338796</t>
  </si>
  <si>
    <t>15276338977</t>
  </si>
  <si>
    <t>15276339070</t>
  </si>
  <si>
    <t>15276339073</t>
  </si>
  <si>
    <t>15276339148</t>
  </si>
  <si>
    <t>15276339287</t>
  </si>
  <si>
    <t>15276339345</t>
  </si>
  <si>
    <t>15276339397</t>
  </si>
  <si>
    <t>15276339417</t>
  </si>
  <si>
    <t>15276339702</t>
  </si>
  <si>
    <t>61679249</t>
  </si>
  <si>
    <t>15276339938</t>
  </si>
  <si>
    <t>15276340092</t>
  </si>
  <si>
    <t>15276340260</t>
  </si>
  <si>
    <t>15276340285</t>
  </si>
  <si>
    <t>15276340368</t>
  </si>
  <si>
    <t>15276340755</t>
  </si>
  <si>
    <t>15276340826</t>
  </si>
  <si>
    <t>56614230</t>
  </si>
  <si>
    <t>15276340965</t>
  </si>
  <si>
    <t>15276341090</t>
  </si>
  <si>
    <t>15276341265</t>
  </si>
  <si>
    <t>15276341355</t>
  </si>
  <si>
    <t>15276342320</t>
  </si>
  <si>
    <t>61678307</t>
  </si>
  <si>
    <t>15276359114</t>
  </si>
  <si>
    <t>15276360187</t>
  </si>
  <si>
    <t>15276360857</t>
  </si>
  <si>
    <t>15276365415</t>
  </si>
  <si>
    <t>56603605</t>
  </si>
  <si>
    <t>15276365561</t>
  </si>
  <si>
    <t>56598945</t>
  </si>
  <si>
    <t>15276374844</t>
  </si>
  <si>
    <t>56601722</t>
  </si>
  <si>
    <t>15276376977</t>
  </si>
  <si>
    <t>56601713</t>
  </si>
  <si>
    <t>15276380637</t>
  </si>
  <si>
    <t>56603582</t>
  </si>
  <si>
    <t>15276380956</t>
  </si>
  <si>
    <t>56603620</t>
  </si>
  <si>
    <t>15276384299</t>
  </si>
  <si>
    <t>56600998</t>
  </si>
  <si>
    <t>15276385382</t>
  </si>
  <si>
    <t>56599547</t>
  </si>
  <si>
    <t>15276385550</t>
  </si>
  <si>
    <t>56601996</t>
  </si>
  <si>
    <t>15276386092</t>
  </si>
  <si>
    <t>56603722</t>
  </si>
  <si>
    <t>15276386541</t>
  </si>
  <si>
    <t>56603690</t>
  </si>
  <si>
    <t>15276386838</t>
  </si>
  <si>
    <t>56603631</t>
  </si>
  <si>
    <t>15276387181</t>
  </si>
  <si>
    <t>56615375</t>
  </si>
  <si>
    <t>15276388164</t>
  </si>
  <si>
    <t>15276388639</t>
  </si>
  <si>
    <t>56601638</t>
  </si>
  <si>
    <t>15276388856</t>
  </si>
  <si>
    <t>56601745</t>
  </si>
  <si>
    <t>15276389103</t>
  </si>
  <si>
    <t>56603639</t>
  </si>
  <si>
    <t>15276389503</t>
  </si>
  <si>
    <t>56603583</t>
  </si>
  <si>
    <t>15276389909</t>
  </si>
  <si>
    <t>56601999</t>
  </si>
  <si>
    <t>15276389919</t>
  </si>
  <si>
    <t>56601747</t>
  </si>
  <si>
    <t>15276393081</t>
  </si>
  <si>
    <t>15276393331</t>
  </si>
  <si>
    <t>56615139</t>
  </si>
  <si>
    <t>15276393346</t>
  </si>
  <si>
    <t>56614981</t>
  </si>
  <si>
    <t>15276393501</t>
  </si>
  <si>
    <t>56605267</t>
  </si>
  <si>
    <t>15276393542</t>
  </si>
  <si>
    <t>56614658</t>
  </si>
  <si>
    <t>15276394727</t>
  </si>
  <si>
    <t>56600994</t>
  </si>
  <si>
    <t>15276395999</t>
  </si>
  <si>
    <t>56603635</t>
  </si>
  <si>
    <t>15276396000</t>
  </si>
  <si>
    <t>56603638</t>
  </si>
  <si>
    <t>15276396620</t>
  </si>
  <si>
    <t>56603708</t>
  </si>
  <si>
    <t>15276396976</t>
  </si>
  <si>
    <t>56603682</t>
  </si>
  <si>
    <t>15276397112</t>
  </si>
  <si>
    <t>56600770</t>
  </si>
  <si>
    <t>15276397273</t>
  </si>
  <si>
    <t>56603725</t>
  </si>
  <si>
    <t>15276397395</t>
  </si>
  <si>
    <t>56603689</t>
  </si>
  <si>
    <t>15276398720</t>
  </si>
  <si>
    <t>56615158</t>
  </si>
  <si>
    <t>15276398862</t>
  </si>
  <si>
    <t>56603693</t>
  </si>
  <si>
    <t>15276399532</t>
  </si>
  <si>
    <t>56603685</t>
  </si>
  <si>
    <t>15276400070</t>
  </si>
  <si>
    <t>56603713</t>
  </si>
  <si>
    <t>15276400078</t>
  </si>
  <si>
    <t>56603723</t>
  </si>
  <si>
    <t>15276400918</t>
  </si>
  <si>
    <t>56603726</t>
  </si>
  <si>
    <t>15276400935</t>
  </si>
  <si>
    <t>56603720</t>
  </si>
  <si>
    <t>15276400945</t>
  </si>
  <si>
    <t>56603702</t>
  </si>
  <si>
    <t>15276401358</t>
  </si>
  <si>
    <t>56615143</t>
  </si>
  <si>
    <t>15276401545</t>
  </si>
  <si>
    <t>56614281</t>
  </si>
  <si>
    <t>15276401576</t>
  </si>
  <si>
    <t>56603687</t>
  </si>
  <si>
    <t>15276401647</t>
  </si>
  <si>
    <t>56601456</t>
  </si>
  <si>
    <t>15276401915</t>
  </si>
  <si>
    <t>56614544</t>
  </si>
  <si>
    <t>15276402026</t>
  </si>
  <si>
    <t>56601480</t>
  </si>
  <si>
    <t>15276402198</t>
  </si>
  <si>
    <t>56616267</t>
  </si>
  <si>
    <t>15276402239</t>
  </si>
  <si>
    <t>56616087</t>
  </si>
  <si>
    <t>15276402508</t>
  </si>
  <si>
    <t>56616085</t>
  </si>
  <si>
    <t>15276402662</t>
  </si>
  <si>
    <t>56603676</t>
  </si>
  <si>
    <t>15276402989</t>
  </si>
  <si>
    <t>56601342</t>
  </si>
  <si>
    <t>15276403023</t>
  </si>
  <si>
    <t>56603681</t>
  </si>
  <si>
    <t>15276403118</t>
  </si>
  <si>
    <t>56601297</t>
  </si>
  <si>
    <t>15276403762</t>
  </si>
  <si>
    <t>56603717</t>
  </si>
  <si>
    <t>15276403992</t>
  </si>
  <si>
    <t>56603711</t>
  </si>
  <si>
    <t>15276404034</t>
  </si>
  <si>
    <t>56605291</t>
  </si>
  <si>
    <t>15276404201</t>
  </si>
  <si>
    <t>56603677</t>
  </si>
  <si>
    <t>15276404359</t>
  </si>
  <si>
    <t>15276404457</t>
  </si>
  <si>
    <t>56605269</t>
  </si>
  <si>
    <t>15276404541</t>
  </si>
  <si>
    <t>56603679</t>
  </si>
  <si>
    <t>15276404611</t>
  </si>
  <si>
    <t>56603714</t>
  </si>
  <si>
    <t>15276404859</t>
  </si>
  <si>
    <t>56603692</t>
  </si>
  <si>
    <t>15276405186</t>
  </si>
  <si>
    <t>56614547</t>
  </si>
  <si>
    <t>15276405522</t>
  </si>
  <si>
    <t>56603718</t>
  </si>
  <si>
    <t>15276405805</t>
  </si>
  <si>
    <t>56601289</t>
  </si>
  <si>
    <t>15276405832</t>
  </si>
  <si>
    <t>56603697</t>
  </si>
  <si>
    <t>15276406161</t>
  </si>
  <si>
    <t>56603721</t>
  </si>
  <si>
    <t>15276406380</t>
  </si>
  <si>
    <t>56601404</t>
  </si>
  <si>
    <t>15276406473</t>
  </si>
  <si>
    <t>56614624</t>
  </si>
  <si>
    <t>15276406645</t>
  </si>
  <si>
    <t>56614549</t>
  </si>
  <si>
    <t>15276406973</t>
  </si>
  <si>
    <t>56616236</t>
  </si>
  <si>
    <t>15276407017</t>
  </si>
  <si>
    <t>56616253</t>
  </si>
  <si>
    <t>15276407018</t>
  </si>
  <si>
    <t>56616575</t>
  </si>
  <si>
    <t>15276407039</t>
  </si>
  <si>
    <t>15276407166</t>
  </si>
  <si>
    <t>56616577</t>
  </si>
  <si>
    <t>15276407229</t>
  </si>
  <si>
    <t>56618318</t>
  </si>
  <si>
    <t>15276407328</t>
  </si>
  <si>
    <t>56616255</t>
  </si>
  <si>
    <t>15276407410</t>
  </si>
  <si>
    <t>56615917</t>
  </si>
  <si>
    <t>15276407411</t>
  </si>
  <si>
    <t>56618317</t>
  </si>
  <si>
    <t>15276407783</t>
  </si>
  <si>
    <t>56615727</t>
  </si>
  <si>
    <t>15276409257</t>
  </si>
  <si>
    <t>56603707</t>
  </si>
  <si>
    <t>15276409732</t>
  </si>
  <si>
    <t>56603787</t>
  </si>
  <si>
    <t>15276409880</t>
  </si>
  <si>
    <t>59472910</t>
  </si>
  <si>
    <t>15276410613</t>
  </si>
  <si>
    <t>56628565</t>
  </si>
  <si>
    <t>15276410730</t>
  </si>
  <si>
    <t>56616251</t>
  </si>
  <si>
    <t>15276410866</t>
  </si>
  <si>
    <t>56618324</t>
  </si>
  <si>
    <t>15276411414</t>
  </si>
  <si>
    <t>56616573</t>
  </si>
  <si>
    <t>15276411814</t>
  </si>
  <si>
    <t>56615835</t>
  </si>
  <si>
    <t>15276412274</t>
  </si>
  <si>
    <t>56615624</t>
  </si>
  <si>
    <t>15276412332</t>
  </si>
  <si>
    <t>56614979</t>
  </si>
  <si>
    <t>15276412538</t>
  </si>
  <si>
    <t>56616245</t>
  </si>
  <si>
    <t>15276412591</t>
  </si>
  <si>
    <t>56615378</t>
  </si>
  <si>
    <t>15276412592</t>
  </si>
  <si>
    <t>56614865</t>
  </si>
  <si>
    <t>15276412641</t>
  </si>
  <si>
    <t>56615148</t>
  </si>
  <si>
    <t>15276412644</t>
  </si>
  <si>
    <t>56616256</t>
  </si>
  <si>
    <t>15276412664</t>
  </si>
  <si>
    <t>56615155</t>
  </si>
  <si>
    <t>15276412831</t>
  </si>
  <si>
    <t>56633597</t>
  </si>
  <si>
    <t>15276412852</t>
  </si>
  <si>
    <t>56618343</t>
  </si>
  <si>
    <t>15276412917</t>
  </si>
  <si>
    <t>56618559</t>
  </si>
  <si>
    <t>15276412951</t>
  </si>
  <si>
    <t>56613009</t>
  </si>
  <si>
    <t>15276412969</t>
  </si>
  <si>
    <t>56633747</t>
  </si>
  <si>
    <t>15276412988</t>
  </si>
  <si>
    <t>56635258</t>
  </si>
  <si>
    <t>15276413015</t>
  </si>
  <si>
    <t>56618339</t>
  </si>
  <si>
    <t>15276413061</t>
  </si>
  <si>
    <t>56618349</t>
  </si>
  <si>
    <t>15276413089</t>
  </si>
  <si>
    <t>56618320</t>
  </si>
  <si>
    <t>15276413091</t>
  </si>
  <si>
    <t>56614628</t>
  </si>
  <si>
    <t>15276413305</t>
  </si>
  <si>
    <t>56628566</t>
  </si>
  <si>
    <t>15276413315</t>
  </si>
  <si>
    <t>56616241</t>
  </si>
  <si>
    <t>15276413357</t>
  </si>
  <si>
    <t>56619588</t>
  </si>
  <si>
    <t>15276413474</t>
  </si>
  <si>
    <t>56614654</t>
  </si>
  <si>
    <t>15276413482</t>
  </si>
  <si>
    <t>56618796</t>
  </si>
  <si>
    <t>15276413547</t>
  </si>
  <si>
    <t>56618695</t>
  </si>
  <si>
    <t>15276413591</t>
  </si>
  <si>
    <t>56618795</t>
  </si>
  <si>
    <t>15276413626</t>
  </si>
  <si>
    <t>15276413661</t>
  </si>
  <si>
    <t>56618784</t>
  </si>
  <si>
    <t>15276413677</t>
  </si>
  <si>
    <t>56620674</t>
  </si>
  <si>
    <t>15276413692</t>
  </si>
  <si>
    <t>56615842</t>
  </si>
  <si>
    <t>15276413693</t>
  </si>
  <si>
    <t>56615809</t>
  </si>
  <si>
    <t>15276413747</t>
  </si>
  <si>
    <t>56619587</t>
  </si>
  <si>
    <t>15276413839</t>
  </si>
  <si>
    <t>56615742</t>
  </si>
  <si>
    <t>15276413869</t>
  </si>
  <si>
    <t>56615629</t>
  </si>
  <si>
    <t>15276414011</t>
  </si>
  <si>
    <t>56615984</t>
  </si>
  <si>
    <t>15276414035</t>
  </si>
  <si>
    <t>56615621</t>
  </si>
  <si>
    <t>15276414105</t>
  </si>
  <si>
    <t>56616089</t>
  </si>
  <si>
    <t>15276414156</t>
  </si>
  <si>
    <t>56615979</t>
  </si>
  <si>
    <t>15276414209</t>
  </si>
  <si>
    <t>56616266</t>
  </si>
  <si>
    <t>15276414307</t>
  </si>
  <si>
    <t>56636323</t>
  </si>
  <si>
    <t>15276414326</t>
  </si>
  <si>
    <t>56634514</t>
  </si>
  <si>
    <t>15276414370</t>
  </si>
  <si>
    <t>56636363</t>
  </si>
  <si>
    <t>15276414454</t>
  </si>
  <si>
    <t>56633594</t>
  </si>
  <si>
    <t>15276414613</t>
  </si>
  <si>
    <t>56636326</t>
  </si>
  <si>
    <t>15276414723</t>
  </si>
  <si>
    <t>56634344</t>
  </si>
  <si>
    <t>15276414780</t>
  </si>
  <si>
    <t>56636272</t>
  </si>
  <si>
    <t>15276414901</t>
  </si>
  <si>
    <t>56619628</t>
  </si>
  <si>
    <t>15276414909</t>
  </si>
  <si>
    <t>56619629</t>
  </si>
  <si>
    <t>15276415001</t>
  </si>
  <si>
    <t>56616572</t>
  </si>
  <si>
    <t>15276415037</t>
  </si>
  <si>
    <t>56616574</t>
  </si>
  <si>
    <t>15276415097</t>
  </si>
  <si>
    <t>56618321</t>
  </si>
  <si>
    <t>15276415355</t>
  </si>
  <si>
    <t>56616257</t>
  </si>
  <si>
    <t>15276415412</t>
  </si>
  <si>
    <t>56616578</t>
  </si>
  <si>
    <t>15276415484</t>
  </si>
  <si>
    <t>56615639</t>
  </si>
  <si>
    <t>15276415659</t>
  </si>
  <si>
    <t>56616261</t>
  </si>
  <si>
    <t>15276415934</t>
  </si>
  <si>
    <t>56615590</t>
  </si>
  <si>
    <t>15276416446</t>
  </si>
  <si>
    <t>56616656</t>
  </si>
  <si>
    <t>15276416648</t>
  </si>
  <si>
    <t>56618348</t>
  </si>
  <si>
    <t>15276416695</t>
  </si>
  <si>
    <t>56628743</t>
  </si>
  <si>
    <t>15276416865</t>
  </si>
  <si>
    <t>56628611</t>
  </si>
  <si>
    <t>15276419269</t>
  </si>
  <si>
    <t>56620673</t>
  </si>
  <si>
    <t>15276420456</t>
  </si>
  <si>
    <t>56616418</t>
  </si>
  <si>
    <t>15276423068</t>
  </si>
  <si>
    <t>15276428750</t>
  </si>
  <si>
    <t>15276431771</t>
  </si>
  <si>
    <t>61738351</t>
  </si>
  <si>
    <t>15276431774</t>
  </si>
  <si>
    <t>15276432577</t>
  </si>
  <si>
    <t>15276433486</t>
  </si>
  <si>
    <t>15276433607</t>
  </si>
  <si>
    <t>15276434050</t>
  </si>
  <si>
    <t>61701142</t>
  </si>
  <si>
    <t>15276434243</t>
  </si>
  <si>
    <t>15276434910</t>
  </si>
  <si>
    <t>15276435044</t>
  </si>
  <si>
    <t>15276435100</t>
  </si>
  <si>
    <t>15276435286</t>
  </si>
  <si>
    <t>15276443643</t>
  </si>
  <si>
    <t>56614542</t>
  </si>
  <si>
    <t>15276446967</t>
  </si>
  <si>
    <t>15276447576</t>
  </si>
  <si>
    <t>56615641</t>
  </si>
  <si>
    <t>15276450397</t>
  </si>
  <si>
    <t>56614039</t>
  </si>
  <si>
    <t>15276451531</t>
  </si>
  <si>
    <t>56615632</t>
  </si>
  <si>
    <t>15276454146</t>
  </si>
  <si>
    <t>56615156</t>
  </si>
  <si>
    <t>15276455265</t>
  </si>
  <si>
    <t>56615634</t>
  </si>
  <si>
    <t>15276457145</t>
  </si>
  <si>
    <t>56614954</t>
  </si>
  <si>
    <t>15276458413</t>
  </si>
  <si>
    <t>56614651</t>
  </si>
  <si>
    <t>15276463126</t>
  </si>
  <si>
    <t>56615593</t>
  </si>
  <si>
    <t>15276464517</t>
  </si>
  <si>
    <t>56618693</t>
  </si>
  <si>
    <t>15276467042</t>
  </si>
  <si>
    <t>56616262</t>
  </si>
  <si>
    <t>15276469241</t>
  </si>
  <si>
    <t>56615944</t>
  </si>
  <si>
    <t>15276470562</t>
  </si>
  <si>
    <t>56616240</t>
  </si>
  <si>
    <t>15276471153</t>
  </si>
  <si>
    <t>56615318</t>
  </si>
  <si>
    <t>15276471564</t>
  </si>
  <si>
    <t>56618346</t>
  </si>
  <si>
    <t>15276474201</t>
  </si>
  <si>
    <t>15276474661</t>
  </si>
  <si>
    <t>56628746</t>
  </si>
  <si>
    <t>15276474715</t>
  </si>
  <si>
    <t>56628742</t>
  </si>
  <si>
    <t>15276474864</t>
  </si>
  <si>
    <t>56628744</t>
  </si>
  <si>
    <t>15276474982</t>
  </si>
  <si>
    <t>15276475090</t>
  </si>
  <si>
    <t>15276476828</t>
  </si>
  <si>
    <t>15276476992</t>
  </si>
  <si>
    <t>56618353</t>
  </si>
  <si>
    <t>15276477209</t>
  </si>
  <si>
    <t>15276477397</t>
  </si>
  <si>
    <t>15276478158</t>
  </si>
  <si>
    <t>15276478713</t>
  </si>
  <si>
    <t>15276480147</t>
  </si>
  <si>
    <t>61729391</t>
  </si>
  <si>
    <t>15276480184</t>
  </si>
  <si>
    <t>56618352</t>
  </si>
  <si>
    <t>15276480488</t>
  </si>
  <si>
    <t>15276481340</t>
  </si>
  <si>
    <t>15276481665</t>
  </si>
  <si>
    <t>15276481805</t>
  </si>
  <si>
    <t>56618694</t>
  </si>
  <si>
    <t>15276481882</t>
  </si>
  <si>
    <t>15276484028</t>
  </si>
  <si>
    <t>15276484086</t>
  </si>
  <si>
    <t>15276484537</t>
  </si>
  <si>
    <t>15276484605</t>
  </si>
  <si>
    <t>15276488481</t>
  </si>
  <si>
    <t>15276488639</t>
  </si>
  <si>
    <t>15276489330</t>
  </si>
  <si>
    <t>15276489518</t>
  </si>
  <si>
    <t>15276489732</t>
  </si>
  <si>
    <t>15276489745</t>
  </si>
  <si>
    <t>61706030</t>
  </si>
  <si>
    <t>15276489746</t>
  </si>
  <si>
    <t>15276489923</t>
  </si>
  <si>
    <t>15276489985</t>
  </si>
  <si>
    <t>15276489987</t>
  </si>
  <si>
    <t>15276490053</t>
  </si>
  <si>
    <t>15276490361</t>
  </si>
  <si>
    <t>15276490687</t>
  </si>
  <si>
    <t>15276490779</t>
  </si>
  <si>
    <t>15276491207</t>
  </si>
  <si>
    <t>61735563</t>
  </si>
  <si>
    <t>15276491331</t>
  </si>
  <si>
    <t>15276491492</t>
  </si>
  <si>
    <t>15276492090</t>
  </si>
  <si>
    <t>15276492196</t>
  </si>
  <si>
    <t>15276492477</t>
  </si>
  <si>
    <t>15276492751</t>
  </si>
  <si>
    <t>15276493053</t>
  </si>
  <si>
    <t>15276493760</t>
  </si>
  <si>
    <t>15276493782</t>
  </si>
  <si>
    <t>15276494456</t>
  </si>
  <si>
    <t>15276494546</t>
  </si>
  <si>
    <t>15276494700</t>
  </si>
  <si>
    <t>15276494757</t>
  </si>
  <si>
    <t>15276494778</t>
  </si>
  <si>
    <t>15276497498</t>
  </si>
  <si>
    <t>15276497816</t>
  </si>
  <si>
    <t>15276500465</t>
  </si>
  <si>
    <t>15276500888</t>
  </si>
  <si>
    <t>15276500960</t>
  </si>
  <si>
    <t>15276501470</t>
  </si>
  <si>
    <t>15276501903</t>
  </si>
  <si>
    <t>15276502573</t>
  </si>
  <si>
    <t>15276503497</t>
  </si>
  <si>
    <t>15276503852</t>
  </si>
  <si>
    <t>15276504041</t>
  </si>
  <si>
    <t>15276514440</t>
  </si>
  <si>
    <t>56636433</t>
  </si>
  <si>
    <t>15276518115</t>
  </si>
  <si>
    <t>56631708</t>
  </si>
  <si>
    <t>15276518761</t>
  </si>
  <si>
    <t>56633548</t>
  </si>
  <si>
    <t>15276521117</t>
  </si>
  <si>
    <t>56630965</t>
  </si>
  <si>
    <t>15276521196</t>
  </si>
  <si>
    <t>15276521223</t>
  </si>
  <si>
    <t>56630821</t>
  </si>
  <si>
    <t>15276521997</t>
  </si>
  <si>
    <t>56630721</t>
  </si>
  <si>
    <t>15276522269</t>
  </si>
  <si>
    <t>56630820</t>
  </si>
  <si>
    <t>15276522324</t>
  </si>
  <si>
    <t>56631866</t>
  </si>
  <si>
    <t>15276523359</t>
  </si>
  <si>
    <t>56634159</t>
  </si>
  <si>
    <t>15276523553</t>
  </si>
  <si>
    <t>56635364</t>
  </si>
  <si>
    <t>15276524828</t>
  </si>
  <si>
    <t>56631112</t>
  </si>
  <si>
    <t>15276524834</t>
  </si>
  <si>
    <t>56631713</t>
  </si>
  <si>
    <t>15276525236</t>
  </si>
  <si>
    <t>56631052</t>
  </si>
  <si>
    <t>15276526040</t>
  </si>
  <si>
    <t>56630966</t>
  </si>
  <si>
    <t>15276526256</t>
  </si>
  <si>
    <t>56642950</t>
  </si>
  <si>
    <t>15276526745</t>
  </si>
  <si>
    <t>56642949</t>
  </si>
  <si>
    <t>15276527178</t>
  </si>
  <si>
    <t>56636321</t>
  </si>
  <si>
    <t>15276530482</t>
  </si>
  <si>
    <t>56630728</t>
  </si>
  <si>
    <t>15276530717</t>
  </si>
  <si>
    <t>56635754</t>
  </si>
  <si>
    <t>15276531264</t>
  </si>
  <si>
    <t>56634160</t>
  </si>
  <si>
    <t>15276531276</t>
  </si>
  <si>
    <t>56633954</t>
  </si>
  <si>
    <t>15276532205</t>
  </si>
  <si>
    <t>56666950</t>
  </si>
  <si>
    <t>15276533016</t>
  </si>
  <si>
    <t>56636322</t>
  </si>
  <si>
    <t>15276535218</t>
  </si>
  <si>
    <t>56635752</t>
  </si>
  <si>
    <t>15276535365</t>
  </si>
  <si>
    <t>56635750</t>
  </si>
  <si>
    <t>15276536389</t>
  </si>
  <si>
    <t>56635602</t>
  </si>
  <si>
    <t>15276536678</t>
  </si>
  <si>
    <t>56636436</t>
  </si>
  <si>
    <t>15276536748</t>
  </si>
  <si>
    <t>15276537088</t>
  </si>
  <si>
    <t>56635757</t>
  </si>
  <si>
    <t>15276537512</t>
  </si>
  <si>
    <t>56635982</t>
  </si>
  <si>
    <t>15276537799</t>
  </si>
  <si>
    <t>56635756</t>
  </si>
  <si>
    <t>15276538124</t>
  </si>
  <si>
    <t>56635748</t>
  </si>
  <si>
    <t>15276538177</t>
  </si>
  <si>
    <t>56635598</t>
  </si>
  <si>
    <t>15276538283</t>
  </si>
  <si>
    <t>56635759</t>
  </si>
  <si>
    <t>15276538599</t>
  </si>
  <si>
    <t>56636432</t>
  </si>
  <si>
    <t>15276539313</t>
  </si>
  <si>
    <t>56635986</t>
  </si>
  <si>
    <t>15276539440</t>
  </si>
  <si>
    <t>15276540100</t>
  </si>
  <si>
    <t>56635981</t>
  </si>
  <si>
    <t>15276540282</t>
  </si>
  <si>
    <t>56635985</t>
  </si>
  <si>
    <t>15276542247</t>
  </si>
  <si>
    <t>56636278</t>
  </si>
  <si>
    <t>15276542647</t>
  </si>
  <si>
    <t>56636276</t>
  </si>
  <si>
    <t>15276543391</t>
  </si>
  <si>
    <t>56636359</t>
  </si>
  <si>
    <t>15276544415</t>
  </si>
  <si>
    <t>56636049</t>
  </si>
  <si>
    <t>15276544697</t>
  </si>
  <si>
    <t>56635980</t>
  </si>
  <si>
    <t>15276545141</t>
  </si>
  <si>
    <t>15276545195</t>
  </si>
  <si>
    <t>15276545196</t>
  </si>
  <si>
    <t>15276545696</t>
  </si>
  <si>
    <t>15276545802</t>
  </si>
  <si>
    <t>15276546202</t>
  </si>
  <si>
    <t>15276546433</t>
  </si>
  <si>
    <t>15276546919</t>
  </si>
  <si>
    <t>61715523</t>
  </si>
  <si>
    <t>15276546924</t>
  </si>
  <si>
    <t>15276547231</t>
  </si>
  <si>
    <t>15276547499</t>
  </si>
  <si>
    <t>15276547998</t>
  </si>
  <si>
    <t>15276548005</t>
  </si>
  <si>
    <t>15276548012</t>
  </si>
  <si>
    <t>15276548509</t>
  </si>
  <si>
    <t>15276548510</t>
  </si>
  <si>
    <t>15276548846</t>
  </si>
  <si>
    <t>15276548970</t>
  </si>
  <si>
    <t>15276549216</t>
  </si>
  <si>
    <t>15276549478</t>
  </si>
  <si>
    <t>15276549705</t>
  </si>
  <si>
    <t>15276549863</t>
  </si>
  <si>
    <t>15276549864</t>
  </si>
  <si>
    <t>15276549867</t>
  </si>
  <si>
    <t>15276550006</t>
  </si>
  <si>
    <t>15276550135</t>
  </si>
  <si>
    <t>15276550168</t>
  </si>
  <si>
    <t>15276550211</t>
  </si>
  <si>
    <t>15276550505</t>
  </si>
  <si>
    <t>15276550758</t>
  </si>
  <si>
    <t>15276551111</t>
  </si>
  <si>
    <t>15276551121</t>
  </si>
  <si>
    <t>15276551955</t>
  </si>
  <si>
    <t>15276552159</t>
  </si>
  <si>
    <t>15276552267</t>
  </si>
  <si>
    <t>15276552383</t>
  </si>
  <si>
    <t>15276552746</t>
  </si>
  <si>
    <t>15276553154</t>
  </si>
  <si>
    <t>15276553242</t>
  </si>
  <si>
    <t>15276553294</t>
  </si>
  <si>
    <t>15276554019</t>
  </si>
  <si>
    <t>15276554049</t>
  </si>
  <si>
    <t>15276554674</t>
  </si>
  <si>
    <t>15276555978</t>
  </si>
  <si>
    <t>15276556006</t>
  </si>
  <si>
    <t>15276556140</t>
  </si>
  <si>
    <t>15276556331</t>
  </si>
  <si>
    <t>15276556382</t>
  </si>
  <si>
    <t>56628898</t>
  </si>
  <si>
    <t>15276556501</t>
  </si>
  <si>
    <t>15276556564</t>
  </si>
  <si>
    <t>15276556578</t>
  </si>
  <si>
    <t>15276556606</t>
  </si>
  <si>
    <t>15276556790</t>
  </si>
  <si>
    <t>15276556943</t>
  </si>
  <si>
    <t>15276557338</t>
  </si>
  <si>
    <t>15276557344</t>
  </si>
  <si>
    <t>15276557419</t>
  </si>
  <si>
    <t>15276557472</t>
  </si>
  <si>
    <t>15276557623</t>
  </si>
  <si>
    <t>15276557888</t>
  </si>
  <si>
    <t>15276557897</t>
  </si>
  <si>
    <t>15276558010</t>
  </si>
  <si>
    <t>15276558340</t>
  </si>
  <si>
    <t>15276558548</t>
  </si>
  <si>
    <t>15276558568</t>
  </si>
  <si>
    <t>15276558674</t>
  </si>
  <si>
    <t>15276558675</t>
  </si>
  <si>
    <t>15276558680</t>
  </si>
  <si>
    <t>15276558765</t>
  </si>
  <si>
    <t>15276558845</t>
  </si>
  <si>
    <t>15276558858</t>
  </si>
  <si>
    <t>15276558964</t>
  </si>
  <si>
    <t>15276558983</t>
  </si>
  <si>
    <t>15276559150</t>
  </si>
  <si>
    <t>15276559418</t>
  </si>
  <si>
    <t>15276559536</t>
  </si>
  <si>
    <t>15276559574</t>
  </si>
  <si>
    <t>15276559683</t>
  </si>
  <si>
    <t>15276559700</t>
  </si>
  <si>
    <t>15276559771</t>
  </si>
  <si>
    <t>15276559849</t>
  </si>
  <si>
    <t>15276559910</t>
  </si>
  <si>
    <t>15276559950</t>
  </si>
  <si>
    <t>15276560183</t>
  </si>
  <si>
    <t>15276560514</t>
  </si>
  <si>
    <t>15276560587</t>
  </si>
  <si>
    <t>15276560621</t>
  </si>
  <si>
    <t>15276560690</t>
  </si>
  <si>
    <t>15276560922</t>
  </si>
  <si>
    <t>61733376</t>
  </si>
  <si>
    <t>15276560987</t>
  </si>
  <si>
    <t>15276561046</t>
  </si>
  <si>
    <t>15276561123</t>
  </si>
  <si>
    <t>15276561344</t>
  </si>
  <si>
    <t>15276561445</t>
  </si>
  <si>
    <t>15276561477</t>
  </si>
  <si>
    <t>15276561621</t>
  </si>
  <si>
    <t>15276561791</t>
  </si>
  <si>
    <t>15276562192</t>
  </si>
  <si>
    <t>15276562209</t>
  </si>
  <si>
    <t>15276562210</t>
  </si>
  <si>
    <t>15276562272</t>
  </si>
  <si>
    <t>15276562691</t>
  </si>
  <si>
    <t>15276562740</t>
  </si>
  <si>
    <t>15276562782</t>
  </si>
  <si>
    <t>15276562943</t>
  </si>
  <si>
    <t>15276563118</t>
  </si>
  <si>
    <t>56628745</t>
  </si>
  <si>
    <t>15276563308</t>
  </si>
  <si>
    <t>15276563421</t>
  </si>
  <si>
    <t>15276563691</t>
  </si>
  <si>
    <t>15276563965</t>
  </si>
  <si>
    <t>15276567193</t>
  </si>
  <si>
    <t>15276567558</t>
  </si>
  <si>
    <t>15276567948</t>
  </si>
  <si>
    <t>15276568198</t>
  </si>
  <si>
    <t>15276584760</t>
  </si>
  <si>
    <t>56654703</t>
  </si>
  <si>
    <t>15276592130</t>
  </si>
  <si>
    <t>56653389</t>
  </si>
  <si>
    <t>15276600948</t>
  </si>
  <si>
    <t>56652540</t>
  </si>
  <si>
    <t>15276602440</t>
  </si>
  <si>
    <t>56654264</t>
  </si>
  <si>
    <t>15276603417</t>
  </si>
  <si>
    <t>56653497</t>
  </si>
  <si>
    <t>15276604256</t>
  </si>
  <si>
    <t>56653329</t>
  </si>
  <si>
    <t>15276604362</t>
  </si>
  <si>
    <t>56653347</t>
  </si>
  <si>
    <t>15276604391</t>
  </si>
  <si>
    <t>56653388</t>
  </si>
  <si>
    <t>15276604861</t>
  </si>
  <si>
    <t>56654257</t>
  </si>
  <si>
    <t>15276604916</t>
  </si>
  <si>
    <t>56656201</t>
  </si>
  <si>
    <t>15276605047</t>
  </si>
  <si>
    <t>56656514</t>
  </si>
  <si>
    <t>15276605059</t>
  </si>
  <si>
    <t>56653956</t>
  </si>
  <si>
    <t>15276605108</t>
  </si>
  <si>
    <t>56656200</t>
  </si>
  <si>
    <t>15276605153</t>
  </si>
  <si>
    <t>15276605278</t>
  </si>
  <si>
    <t>56653947</t>
  </si>
  <si>
    <t>15276605453</t>
  </si>
  <si>
    <t>15276605457</t>
  </si>
  <si>
    <t>56653952</t>
  </si>
  <si>
    <t>15276605576</t>
  </si>
  <si>
    <t>56653816</t>
  </si>
  <si>
    <t>15276605657</t>
  </si>
  <si>
    <t>56653818</t>
  </si>
  <si>
    <t>15276605677</t>
  </si>
  <si>
    <t>56653814</t>
  </si>
  <si>
    <t>15276605777</t>
  </si>
  <si>
    <t>56654268</t>
  </si>
  <si>
    <t>15276605914</t>
  </si>
  <si>
    <t>56653828</t>
  </si>
  <si>
    <t>15276605944</t>
  </si>
  <si>
    <t>56653729</t>
  </si>
  <si>
    <t>15276605983</t>
  </si>
  <si>
    <t>56653845</t>
  </si>
  <si>
    <t>15276606127</t>
  </si>
  <si>
    <t>15276606339</t>
  </si>
  <si>
    <t>56653950</t>
  </si>
  <si>
    <t>15276606909</t>
  </si>
  <si>
    <t>56653960</t>
  </si>
  <si>
    <t>15276610337</t>
  </si>
  <si>
    <t>56652533</t>
  </si>
  <si>
    <t>15276611243</t>
  </si>
  <si>
    <t>56654483</t>
  </si>
  <si>
    <t>15276611335</t>
  </si>
  <si>
    <t>56654748</t>
  </si>
  <si>
    <t>15276611661</t>
  </si>
  <si>
    <t>56653958</t>
  </si>
  <si>
    <t>15276611746</t>
  </si>
  <si>
    <t>56653955</t>
  </si>
  <si>
    <t>15276611858</t>
  </si>
  <si>
    <t>56653957</t>
  </si>
  <si>
    <t>15276611959</t>
  </si>
  <si>
    <t>56654700</t>
  </si>
  <si>
    <t>15276611992</t>
  </si>
  <si>
    <t>56654493</t>
  </si>
  <si>
    <t>15276612032</t>
  </si>
  <si>
    <t>56654495</t>
  </si>
  <si>
    <t>15276612035</t>
  </si>
  <si>
    <t>56656551</t>
  </si>
  <si>
    <t>15276612064</t>
  </si>
  <si>
    <t>56654704</t>
  </si>
  <si>
    <t>15276612101</t>
  </si>
  <si>
    <t>56656597</t>
  </si>
  <si>
    <t>15276612192</t>
  </si>
  <si>
    <t>56654494</t>
  </si>
  <si>
    <t>15276612730</t>
  </si>
  <si>
    <t>56654220</t>
  </si>
  <si>
    <t>15276612731</t>
  </si>
  <si>
    <t>56654116</t>
  </si>
  <si>
    <t>15276612808</t>
  </si>
  <si>
    <t>56654087</t>
  </si>
  <si>
    <t>15276612864</t>
  </si>
  <si>
    <t>56654232</t>
  </si>
  <si>
    <t>15276612948</t>
  </si>
  <si>
    <t>56654711</t>
  </si>
  <si>
    <t>15276613070</t>
  </si>
  <si>
    <t>56654497</t>
  </si>
  <si>
    <t>15276613087</t>
  </si>
  <si>
    <t>56654496</t>
  </si>
  <si>
    <t>15276613279</t>
  </si>
  <si>
    <t>56654211</t>
  </si>
  <si>
    <t>15276613314</t>
  </si>
  <si>
    <t>56654712</t>
  </si>
  <si>
    <t>15276613479</t>
  </si>
  <si>
    <t>56654196</t>
  </si>
  <si>
    <t>15276613498</t>
  </si>
  <si>
    <t>56654702</t>
  </si>
  <si>
    <t>15276613588</t>
  </si>
  <si>
    <t>56656198</t>
  </si>
  <si>
    <t>15276613638</t>
  </si>
  <si>
    <t>56654267</t>
  </si>
  <si>
    <t>15276614027</t>
  </si>
  <si>
    <t>56656601</t>
  </si>
  <si>
    <t>15276614311</t>
  </si>
  <si>
    <t>56656593</t>
  </si>
  <si>
    <t>15276614435</t>
  </si>
  <si>
    <t>56656545</t>
  </si>
  <si>
    <t>56656587</t>
  </si>
  <si>
    <t>15276614464</t>
  </si>
  <si>
    <t>56656592</t>
  </si>
  <si>
    <t>15276614516</t>
  </si>
  <si>
    <t>56656549</t>
  </si>
  <si>
    <t>15276614607</t>
  </si>
  <si>
    <t>56656603</t>
  </si>
  <si>
    <t>15276614614</t>
  </si>
  <si>
    <t>56654353</t>
  </si>
  <si>
    <t>15276614660</t>
  </si>
  <si>
    <t>56656197</t>
  </si>
  <si>
    <t>15276614682</t>
  </si>
  <si>
    <t>56656541</t>
  </si>
  <si>
    <t>15276614937</t>
  </si>
  <si>
    <t>56654158</t>
  </si>
  <si>
    <t>15276614943</t>
  </si>
  <si>
    <t>15276615104</t>
  </si>
  <si>
    <t>56656664</t>
  </si>
  <si>
    <t>15276615164</t>
  </si>
  <si>
    <t>56656667</t>
  </si>
  <si>
    <t>15276615225</t>
  </si>
  <si>
    <t>56656789</t>
  </si>
  <si>
    <t>15276615649</t>
  </si>
  <si>
    <t>56658045</t>
  </si>
  <si>
    <t>15276615787</t>
  </si>
  <si>
    <t>56657922</t>
  </si>
  <si>
    <t>15276615897</t>
  </si>
  <si>
    <t>56657941</t>
  </si>
  <si>
    <t>15276616481</t>
  </si>
  <si>
    <t>56654749</t>
  </si>
  <si>
    <t>15276616637</t>
  </si>
  <si>
    <t>56656605</t>
  </si>
  <si>
    <t>15276617026</t>
  </si>
  <si>
    <t>56656604</t>
  </si>
  <si>
    <t>15276617089</t>
  </si>
  <si>
    <t>56656537</t>
  </si>
  <si>
    <t>15276617171</t>
  </si>
  <si>
    <t>56656550</t>
  </si>
  <si>
    <t>15276617211</t>
  </si>
  <si>
    <t>56656187</t>
  </si>
  <si>
    <t>15276617244</t>
  </si>
  <si>
    <t>56656202</t>
  </si>
  <si>
    <t>15276617360</t>
  </si>
  <si>
    <t>56656185</t>
  </si>
  <si>
    <t>15276617558</t>
  </si>
  <si>
    <t>56656668</t>
  </si>
  <si>
    <t>15276617743</t>
  </si>
  <si>
    <t>15276617761</t>
  </si>
  <si>
    <t>56666770</t>
  </si>
  <si>
    <t>15276617884</t>
  </si>
  <si>
    <t>56656145</t>
  </si>
  <si>
    <t>15276618092</t>
  </si>
  <si>
    <t>56657921</t>
  </si>
  <si>
    <t>15276618377</t>
  </si>
  <si>
    <t>56656544</t>
  </si>
  <si>
    <t>15276618405</t>
  </si>
  <si>
    <t>56656542</t>
  </si>
  <si>
    <t>15276618648</t>
  </si>
  <si>
    <t>56656588</t>
  </si>
  <si>
    <t>15276618688</t>
  </si>
  <si>
    <t>15276618835</t>
  </si>
  <si>
    <t>56656787</t>
  </si>
  <si>
    <t>15276618864</t>
  </si>
  <si>
    <t>56656782</t>
  </si>
  <si>
    <t>15276619061</t>
  </si>
  <si>
    <t>56656135</t>
  </si>
  <si>
    <t>15276619307</t>
  </si>
  <si>
    <t>56657940</t>
  </si>
  <si>
    <t>15276619519</t>
  </si>
  <si>
    <t>15276619533</t>
  </si>
  <si>
    <t>56656080</t>
  </si>
  <si>
    <t>15276619586</t>
  </si>
  <si>
    <t>56655076</t>
  </si>
  <si>
    <t>15276619849</t>
  </si>
  <si>
    <t>15276620019</t>
  </si>
  <si>
    <t>56657948</t>
  </si>
  <si>
    <t>15276620214</t>
  </si>
  <si>
    <t>56657936</t>
  </si>
  <si>
    <t>15276620233</t>
  </si>
  <si>
    <t>56657958</t>
  </si>
  <si>
    <t>15276620435</t>
  </si>
  <si>
    <t>56657944</t>
  </si>
  <si>
    <t>15276620446</t>
  </si>
  <si>
    <t>56657954</t>
  </si>
  <si>
    <t>15276620547</t>
  </si>
  <si>
    <t>56657939</t>
  </si>
  <si>
    <t>15276620607</t>
  </si>
  <si>
    <t>56657937</t>
  </si>
  <si>
    <t>15276620616</t>
  </si>
  <si>
    <t>15276620894</t>
  </si>
  <si>
    <t>56648273</t>
  </si>
  <si>
    <t>15276621018</t>
  </si>
  <si>
    <t>56660300</t>
  </si>
  <si>
    <t>15276621063</t>
  </si>
  <si>
    <t>56658052</t>
  </si>
  <si>
    <t>15276621086</t>
  </si>
  <si>
    <t>56658051</t>
  </si>
  <si>
    <t>15276621117</t>
  </si>
  <si>
    <t>56666949</t>
  </si>
  <si>
    <t>15276621169</t>
  </si>
  <si>
    <t>56656113</t>
  </si>
  <si>
    <t>15276621188</t>
  </si>
  <si>
    <t>15276621302</t>
  </si>
  <si>
    <t>56666857</t>
  </si>
  <si>
    <t>15276621514</t>
  </si>
  <si>
    <t>56666862</t>
  </si>
  <si>
    <t>15276621552</t>
  </si>
  <si>
    <t>56666859</t>
  </si>
  <si>
    <t>15276621874</t>
  </si>
  <si>
    <t>56671120</t>
  </si>
  <si>
    <t>15276621881</t>
  </si>
  <si>
    <t>56671000</t>
  </si>
  <si>
    <t>15276621882</t>
  </si>
  <si>
    <t>56671001</t>
  </si>
  <si>
    <t>15276621946</t>
  </si>
  <si>
    <t>56666863</t>
  </si>
  <si>
    <t>15276621978</t>
  </si>
  <si>
    <t>56666864</t>
  </si>
  <si>
    <t>15276622533</t>
  </si>
  <si>
    <t>56666948</t>
  </si>
  <si>
    <t>15276623062</t>
  </si>
  <si>
    <t>15276623246</t>
  </si>
  <si>
    <t>15276623321</t>
  </si>
  <si>
    <t>15276623770</t>
  </si>
  <si>
    <t>15276623904</t>
  </si>
  <si>
    <t>15276624099</t>
  </si>
  <si>
    <t>15276624112</t>
  </si>
  <si>
    <t>15276624382</t>
  </si>
  <si>
    <t>15276624841</t>
  </si>
  <si>
    <t>15276624901</t>
  </si>
  <si>
    <t>15276625264</t>
  </si>
  <si>
    <t>56648339</t>
  </si>
  <si>
    <t>15276625748</t>
  </si>
  <si>
    <t>15276625918</t>
  </si>
  <si>
    <t>15276626057</t>
  </si>
  <si>
    <t>15276626847</t>
  </si>
  <si>
    <t>15276627008</t>
  </si>
  <si>
    <t>15276627072</t>
  </si>
  <si>
    <t>15276627143</t>
  </si>
  <si>
    <t>15276627152</t>
  </si>
  <si>
    <t>15276627342</t>
  </si>
  <si>
    <t>15276627365</t>
  </si>
  <si>
    <t>15276627584</t>
  </si>
  <si>
    <t>15276627654</t>
  </si>
  <si>
    <t>15276627723</t>
  </si>
  <si>
    <t>15276628521</t>
  </si>
  <si>
    <t>15276628726</t>
  </si>
  <si>
    <t>15276629008</t>
  </si>
  <si>
    <t>15276629103</t>
  </si>
  <si>
    <t>15276629125</t>
  </si>
  <si>
    <t>56648271</t>
  </si>
  <si>
    <t>15276629179</t>
  </si>
  <si>
    <t>15276629297</t>
  </si>
  <si>
    <t>15276629510</t>
  </si>
  <si>
    <t>61688676</t>
  </si>
  <si>
    <t>15276629553</t>
  </si>
  <si>
    <t>15276629631</t>
  </si>
  <si>
    <t>15276629852</t>
  </si>
  <si>
    <t>15276629910</t>
  </si>
  <si>
    <t>15276630260</t>
  </si>
  <si>
    <t>61733245</t>
  </si>
  <si>
    <t>15276630330</t>
  </si>
  <si>
    <t>15276630451</t>
  </si>
  <si>
    <t>15276630748</t>
  </si>
  <si>
    <t>15276630818</t>
  </si>
  <si>
    <t>15276631146</t>
  </si>
  <si>
    <t>15276631331</t>
  </si>
  <si>
    <t>15276631361</t>
  </si>
  <si>
    <t>15276631465</t>
  </si>
  <si>
    <t>15276631538</t>
  </si>
  <si>
    <t>15276631691</t>
  </si>
  <si>
    <t>15276631937</t>
  </si>
  <si>
    <t>15276632065</t>
  </si>
  <si>
    <t>56647974</t>
  </si>
  <si>
    <t>15276632066</t>
  </si>
  <si>
    <t>56647971</t>
  </si>
  <si>
    <t>15276632298</t>
  </si>
  <si>
    <t>15276632418</t>
  </si>
  <si>
    <t>15276632902</t>
  </si>
  <si>
    <t>15276633061</t>
  </si>
  <si>
    <t>15276633073</t>
  </si>
  <si>
    <t>15276633110</t>
  </si>
  <si>
    <t>15276633240</t>
  </si>
  <si>
    <t>15276633437</t>
  </si>
  <si>
    <t>15276633827</t>
  </si>
  <si>
    <t>15276634253</t>
  </si>
  <si>
    <t>15276634258</t>
  </si>
  <si>
    <t>15276634811</t>
  </si>
  <si>
    <t>15276634818</t>
  </si>
  <si>
    <t>15276635042</t>
  </si>
  <si>
    <t>15276635055</t>
  </si>
  <si>
    <t>15276635213</t>
  </si>
  <si>
    <t>15276635467</t>
  </si>
  <si>
    <t>15276635661</t>
  </si>
  <si>
    <t>15276637365</t>
  </si>
  <si>
    <t>15276637394</t>
  </si>
  <si>
    <t>15276637395</t>
  </si>
  <si>
    <t>15276637449</t>
  </si>
  <si>
    <t>15276637465</t>
  </si>
  <si>
    <t>15276637475</t>
  </si>
  <si>
    <t>15276637567</t>
  </si>
  <si>
    <t>15276637596</t>
  </si>
  <si>
    <t>15276637635</t>
  </si>
  <si>
    <t>15276637646</t>
  </si>
  <si>
    <t>15276637807</t>
  </si>
  <si>
    <t>56707510</t>
  </si>
  <si>
    <t>15276637832</t>
  </si>
  <si>
    <t>15276638043</t>
  </si>
  <si>
    <t>15276638123</t>
  </si>
  <si>
    <t>15276638322</t>
  </si>
  <si>
    <t>15276638421</t>
  </si>
  <si>
    <t>15276638561</t>
  </si>
  <si>
    <t>15276639645</t>
  </si>
  <si>
    <t>15276639668</t>
  </si>
  <si>
    <t>15276639852</t>
  </si>
  <si>
    <t>15276640177</t>
  </si>
  <si>
    <t>15276640178</t>
  </si>
  <si>
    <t>15276640429</t>
  </si>
  <si>
    <t>15276640533</t>
  </si>
  <si>
    <t>15276640624</t>
  </si>
  <si>
    <t>61675449</t>
  </si>
  <si>
    <t>15276641421</t>
  </si>
  <si>
    <t>15276642341</t>
  </si>
  <si>
    <t>15276642515</t>
  </si>
  <si>
    <t>15276643287</t>
  </si>
  <si>
    <t>15276654688</t>
  </si>
  <si>
    <t>15276654744</t>
  </si>
  <si>
    <t>15276654825</t>
  </si>
  <si>
    <t>15276654870</t>
  </si>
  <si>
    <t>15276655059</t>
  </si>
  <si>
    <t>15276655358</t>
  </si>
  <si>
    <t>15276655609</t>
  </si>
  <si>
    <t>15276655745</t>
  </si>
  <si>
    <t>15276655800</t>
  </si>
  <si>
    <t>61682417</t>
  </si>
  <si>
    <t>15276655825</t>
  </si>
  <si>
    <t>15276663461</t>
  </si>
  <si>
    <t>15276663551</t>
  </si>
  <si>
    <t>15276663641</t>
  </si>
  <si>
    <t>15276663697</t>
  </si>
  <si>
    <t>15276663750</t>
  </si>
  <si>
    <t>15276663800</t>
  </si>
  <si>
    <t>61688695</t>
  </si>
  <si>
    <t>15276663812</t>
  </si>
  <si>
    <t>15276663828</t>
  </si>
  <si>
    <t>15276664150</t>
  </si>
  <si>
    <t>15276665649</t>
  </si>
  <si>
    <t>56671127</t>
  </si>
  <si>
    <t>15276665658</t>
  </si>
  <si>
    <t>56671294</t>
  </si>
  <si>
    <t>15276665826</t>
  </si>
  <si>
    <t>56705697</t>
  </si>
  <si>
    <t>15276665921</t>
  </si>
  <si>
    <t>56674137</t>
  </si>
  <si>
    <t>15276666149</t>
  </si>
  <si>
    <t>56673962</t>
  </si>
  <si>
    <t>15276666215</t>
  </si>
  <si>
    <t>56669232</t>
  </si>
  <si>
    <t>15276666224</t>
  </si>
  <si>
    <t>56669270</t>
  </si>
  <si>
    <t>15276666444</t>
  </si>
  <si>
    <t>56668494</t>
  </si>
  <si>
    <t>15276666598</t>
  </si>
  <si>
    <t>56673186</t>
  </si>
  <si>
    <t>15276666786</t>
  </si>
  <si>
    <t>56668577</t>
  </si>
  <si>
    <t>15276666882</t>
  </si>
  <si>
    <t>56671477</t>
  </si>
  <si>
    <t>15276666933</t>
  </si>
  <si>
    <t>56671295</t>
  </si>
  <si>
    <t>15276666974</t>
  </si>
  <si>
    <t>56671472</t>
  </si>
  <si>
    <t>15276666982</t>
  </si>
  <si>
    <t>15276667136</t>
  </si>
  <si>
    <t>56671475</t>
  </si>
  <si>
    <t>15276667264</t>
  </si>
  <si>
    <t>56666955</t>
  </si>
  <si>
    <t>15276667455</t>
  </si>
  <si>
    <t>56666947</t>
  </si>
  <si>
    <t>15276668011</t>
  </si>
  <si>
    <t>56673393</t>
  </si>
  <si>
    <t>15276668825</t>
  </si>
  <si>
    <t>56673191</t>
  </si>
  <si>
    <t>15276669579</t>
  </si>
  <si>
    <t>56673181</t>
  </si>
  <si>
    <t>15276670737</t>
  </si>
  <si>
    <t>56672517</t>
  </si>
  <si>
    <t>15276672583</t>
  </si>
  <si>
    <t>56673190</t>
  </si>
  <si>
    <t>15276674466</t>
  </si>
  <si>
    <t>56674161</t>
  </si>
  <si>
    <t>15276674502</t>
  </si>
  <si>
    <t>56673863</t>
  </si>
  <si>
    <t>15276676738</t>
  </si>
  <si>
    <t>56670762</t>
  </si>
  <si>
    <t>15276677417</t>
  </si>
  <si>
    <t>56672718</t>
  </si>
  <si>
    <t>15276677971</t>
  </si>
  <si>
    <t>15276679602</t>
  </si>
  <si>
    <t>56673905</t>
  </si>
  <si>
    <t>15276679846</t>
  </si>
  <si>
    <t>56673178</t>
  </si>
  <si>
    <t>15276681817</t>
  </si>
  <si>
    <t>56673907</t>
  </si>
  <si>
    <t>15276682056</t>
  </si>
  <si>
    <t>56671391</t>
  </si>
  <si>
    <t>15276682091</t>
  </si>
  <si>
    <t>56673940</t>
  </si>
  <si>
    <t>15276682244</t>
  </si>
  <si>
    <t>56674158</t>
  </si>
  <si>
    <t>15276682884</t>
  </si>
  <si>
    <t>56674196</t>
  </si>
  <si>
    <t>15276682962</t>
  </si>
  <si>
    <t>56673904</t>
  </si>
  <si>
    <t>15276683207</t>
  </si>
  <si>
    <t>56673947</t>
  </si>
  <si>
    <t>15276684085</t>
  </si>
  <si>
    <t>15276684087</t>
  </si>
  <si>
    <t>56690698</t>
  </si>
  <si>
    <t>15276684353</t>
  </si>
  <si>
    <t>56673953</t>
  </si>
  <si>
    <t>15276684551</t>
  </si>
  <si>
    <t>56672644</t>
  </si>
  <si>
    <t>15276684604</t>
  </si>
  <si>
    <t>56673956</t>
  </si>
  <si>
    <t>15276684714</t>
  </si>
  <si>
    <t>56690696</t>
  </si>
  <si>
    <t>15276684752</t>
  </si>
  <si>
    <t>15276684993</t>
  </si>
  <si>
    <t>56672675</t>
  </si>
  <si>
    <t>15276685186</t>
  </si>
  <si>
    <t>56672312</t>
  </si>
  <si>
    <t>15276685231</t>
  </si>
  <si>
    <t>56674141</t>
  </si>
  <si>
    <t>15276685271</t>
  </si>
  <si>
    <t>56690906</t>
  </si>
  <si>
    <t>15276685331</t>
  </si>
  <si>
    <t>56674146</t>
  </si>
  <si>
    <t>15276685415</t>
  </si>
  <si>
    <t>56674138</t>
  </si>
  <si>
    <t>15276685519</t>
  </si>
  <si>
    <t>56686675</t>
  </si>
  <si>
    <t>15276685542</t>
  </si>
  <si>
    <t>56671816</t>
  </si>
  <si>
    <t>15276685607</t>
  </si>
  <si>
    <t>56674215</t>
  </si>
  <si>
    <t>15276685699</t>
  </si>
  <si>
    <t>56673966</t>
  </si>
  <si>
    <t>15276685711</t>
  </si>
  <si>
    <t>56673937</t>
  </si>
  <si>
    <t>15276685854</t>
  </si>
  <si>
    <t>56673960</t>
  </si>
  <si>
    <t>15276686082</t>
  </si>
  <si>
    <t>56673957</t>
  </si>
  <si>
    <t>15276686938</t>
  </si>
  <si>
    <t>56675205</t>
  </si>
  <si>
    <t>15276687271</t>
  </si>
  <si>
    <t>56674157</t>
  </si>
  <si>
    <t>15276687278</t>
  </si>
  <si>
    <t>56673972</t>
  </si>
  <si>
    <t>15276687285</t>
  </si>
  <si>
    <t>56673941</t>
  </si>
  <si>
    <t>15276687526</t>
  </si>
  <si>
    <t>56673968</t>
  </si>
  <si>
    <t>15276687630</t>
  </si>
  <si>
    <t>56673952</t>
  </si>
  <si>
    <t>15276687843</t>
  </si>
  <si>
    <t>56674227</t>
  </si>
  <si>
    <t>15276687882</t>
  </si>
  <si>
    <t>56674224</t>
  </si>
  <si>
    <t>15276688055</t>
  </si>
  <si>
    <t>56675214</t>
  </si>
  <si>
    <t>15276688354</t>
  </si>
  <si>
    <t>56675189</t>
  </si>
  <si>
    <t>15276688392</t>
  </si>
  <si>
    <t>56675209</t>
  </si>
  <si>
    <t>15276688408</t>
  </si>
  <si>
    <t>56672888</t>
  </si>
  <si>
    <t>15276688553</t>
  </si>
  <si>
    <t>56674144</t>
  </si>
  <si>
    <t>15276688635</t>
  </si>
  <si>
    <t>56674128</t>
  </si>
  <si>
    <t>15276688849</t>
  </si>
  <si>
    <t>56674206</t>
  </si>
  <si>
    <t>15276688864</t>
  </si>
  <si>
    <t>56674198</t>
  </si>
  <si>
    <t>15276689264</t>
  </si>
  <si>
    <t>56674162</t>
  </si>
  <si>
    <t>15276689421</t>
  </si>
  <si>
    <t>56673950</t>
  </si>
  <si>
    <t>15276689559</t>
  </si>
  <si>
    <t>56673374</t>
  </si>
  <si>
    <t>15276690145</t>
  </si>
  <si>
    <t>56692117</t>
  </si>
  <si>
    <t>15276690305</t>
  </si>
  <si>
    <t>56673959</t>
  </si>
  <si>
    <t>15276690438</t>
  </si>
  <si>
    <t>56674156</t>
  </si>
  <si>
    <t>15276690582</t>
  </si>
  <si>
    <t>56674133</t>
  </si>
  <si>
    <t>15276690632</t>
  </si>
  <si>
    <t>56674232</t>
  </si>
  <si>
    <t>15276690640</t>
  </si>
  <si>
    <t>56674218</t>
  </si>
  <si>
    <t>15276690647</t>
  </si>
  <si>
    <t>56674132</t>
  </si>
  <si>
    <t>15276690727</t>
  </si>
  <si>
    <t>56674222</t>
  </si>
  <si>
    <t>15276690753</t>
  </si>
  <si>
    <t>56674225</t>
  </si>
  <si>
    <t>15276690761</t>
  </si>
  <si>
    <t>56675150</t>
  </si>
  <si>
    <t>15276690764</t>
  </si>
  <si>
    <t>56675207</t>
  </si>
  <si>
    <t>15276690777</t>
  </si>
  <si>
    <t>56675155</t>
  </si>
  <si>
    <t>15276690783</t>
  </si>
  <si>
    <t>56675149</t>
  </si>
  <si>
    <t>15276690803</t>
  </si>
  <si>
    <t>15276690816</t>
  </si>
  <si>
    <t>56675154</t>
  </si>
  <si>
    <t>15276690905</t>
  </si>
  <si>
    <t>56675561</t>
  </si>
  <si>
    <t>15276690917</t>
  </si>
  <si>
    <t>56676250</t>
  </si>
  <si>
    <t>15276690927</t>
  </si>
  <si>
    <t>15276690930</t>
  </si>
  <si>
    <t>56675208</t>
  </si>
  <si>
    <t>15276691001</t>
  </si>
  <si>
    <t>56675546</t>
  </si>
  <si>
    <t>15276691023</t>
  </si>
  <si>
    <t>56673544</t>
  </si>
  <si>
    <t>15276691061</t>
  </si>
  <si>
    <t>56675544</t>
  </si>
  <si>
    <t>15276691074</t>
  </si>
  <si>
    <t>56673471</t>
  </si>
  <si>
    <t>15276691076</t>
  </si>
  <si>
    <t>56675212</t>
  </si>
  <si>
    <t>15276691088</t>
  </si>
  <si>
    <t>56675191</t>
  </si>
  <si>
    <t>15276691121</t>
  </si>
  <si>
    <t>56688377</t>
  </si>
  <si>
    <t>15276691126</t>
  </si>
  <si>
    <t>56687086</t>
  </si>
  <si>
    <t>15276691127</t>
  </si>
  <si>
    <t>56689707</t>
  </si>
  <si>
    <t>15276691138</t>
  </si>
  <si>
    <t>56689909</t>
  </si>
  <si>
    <t>15276691173</t>
  </si>
  <si>
    <t>56676258</t>
  </si>
  <si>
    <t>15276691245</t>
  </si>
  <si>
    <t>56675562</t>
  </si>
  <si>
    <t>15276691284</t>
  </si>
  <si>
    <t>56710837</t>
  </si>
  <si>
    <t>15276691379</t>
  </si>
  <si>
    <t>56686678</t>
  </si>
  <si>
    <t>15276691386</t>
  </si>
  <si>
    <t>56686674</t>
  </si>
  <si>
    <t>15276691387</t>
  </si>
  <si>
    <t>56686677</t>
  </si>
  <si>
    <t>15276691427</t>
  </si>
  <si>
    <t>15276691428</t>
  </si>
  <si>
    <t>15276691573</t>
  </si>
  <si>
    <t>56691892</t>
  </si>
  <si>
    <t>15276691590</t>
  </si>
  <si>
    <t>15276691621</t>
  </si>
  <si>
    <t>56673521</t>
  </si>
  <si>
    <t>15276691652</t>
  </si>
  <si>
    <t>56674201</t>
  </si>
  <si>
    <t>15276691741</t>
  </si>
  <si>
    <t>56676259</t>
  </si>
  <si>
    <t>15276691760</t>
  </si>
  <si>
    <t>15276691811</t>
  </si>
  <si>
    <t>56675550</t>
  </si>
  <si>
    <t>15276691845</t>
  </si>
  <si>
    <t>56674229</t>
  </si>
  <si>
    <t>15276691934</t>
  </si>
  <si>
    <t>56675152</t>
  </si>
  <si>
    <t>15276691956</t>
  </si>
  <si>
    <t>56674154</t>
  </si>
  <si>
    <t>15276692031</t>
  </si>
  <si>
    <t>56686969</t>
  </si>
  <si>
    <t>15276692032</t>
  </si>
  <si>
    <t>56690475</t>
  </si>
  <si>
    <t>15276692043</t>
  </si>
  <si>
    <t>56666478</t>
  </si>
  <si>
    <t>15276692089</t>
  </si>
  <si>
    <t>56675147</t>
  </si>
  <si>
    <t>15276692099</t>
  </si>
  <si>
    <t>15276692124</t>
  </si>
  <si>
    <t>56688371</t>
  </si>
  <si>
    <t>15276692145</t>
  </si>
  <si>
    <t>56676261</t>
  </si>
  <si>
    <t>15276692153</t>
  </si>
  <si>
    <t>56676260</t>
  </si>
  <si>
    <t>15276692183</t>
  </si>
  <si>
    <t>56688373</t>
  </si>
  <si>
    <t>15276692248</t>
  </si>
  <si>
    <t>56688374</t>
  </si>
  <si>
    <t>15276692261</t>
  </si>
  <si>
    <t>56674231</t>
  </si>
  <si>
    <t>15276692262</t>
  </si>
  <si>
    <t>15276692379</t>
  </si>
  <si>
    <t>56675144</t>
  </si>
  <si>
    <t>15276692391</t>
  </si>
  <si>
    <t>56675145</t>
  </si>
  <si>
    <t>15276692418</t>
  </si>
  <si>
    <t>56673707</t>
  </si>
  <si>
    <t>15276692445</t>
  </si>
  <si>
    <t>56669026</t>
  </si>
  <si>
    <t>15276692460</t>
  </si>
  <si>
    <t>15276692524</t>
  </si>
  <si>
    <t>56675190</t>
  </si>
  <si>
    <t>15276692555</t>
  </si>
  <si>
    <t>15276692565</t>
  </si>
  <si>
    <t>15276692566</t>
  </si>
  <si>
    <t>15276692570</t>
  </si>
  <si>
    <t>15276692580</t>
  </si>
  <si>
    <t>61679808</t>
  </si>
  <si>
    <t>15276692581</t>
  </si>
  <si>
    <t>15276692590</t>
  </si>
  <si>
    <t>15276692635</t>
  </si>
  <si>
    <t>15276692641</t>
  </si>
  <si>
    <t>15276692652</t>
  </si>
  <si>
    <t>15276692670</t>
  </si>
  <si>
    <t>15276692673</t>
  </si>
  <si>
    <t>15276692746</t>
  </si>
  <si>
    <t>15276692764</t>
  </si>
  <si>
    <t>15276692766</t>
  </si>
  <si>
    <t>15276692767</t>
  </si>
  <si>
    <t>61712615</t>
  </si>
  <si>
    <t>15276692778</t>
  </si>
  <si>
    <t>15276692789</t>
  </si>
  <si>
    <t>15276692805</t>
  </si>
  <si>
    <t>15276692807</t>
  </si>
  <si>
    <t>15276692824</t>
  </si>
  <si>
    <t>15276692833</t>
  </si>
  <si>
    <t>61681974</t>
  </si>
  <si>
    <t>15276692850</t>
  </si>
  <si>
    <t>15276692855</t>
  </si>
  <si>
    <t>15276692889</t>
  </si>
  <si>
    <t>15276692967</t>
  </si>
  <si>
    <t>15276692970</t>
  </si>
  <si>
    <t>15276693020</t>
  </si>
  <si>
    <t>15276693021</t>
  </si>
  <si>
    <t>15276693022</t>
  </si>
  <si>
    <t>15276693025</t>
  </si>
  <si>
    <t>15276693072</t>
  </si>
  <si>
    <t>15276693091</t>
  </si>
  <si>
    <t>56669230</t>
  </si>
  <si>
    <t>15276693099</t>
  </si>
  <si>
    <t>15276693101</t>
  </si>
  <si>
    <t>15276693107</t>
  </si>
  <si>
    <t>15276693135</t>
  </si>
  <si>
    <t>15276693136</t>
  </si>
  <si>
    <t>15276693169</t>
  </si>
  <si>
    <t>15276693185</t>
  </si>
  <si>
    <t>15276693251</t>
  </si>
  <si>
    <t>15276693252</t>
  </si>
  <si>
    <t>15276693306</t>
  </si>
  <si>
    <t>15276693345</t>
  </si>
  <si>
    <t>15276693348</t>
  </si>
  <si>
    <t>15276693350</t>
  </si>
  <si>
    <t>15276693380</t>
  </si>
  <si>
    <t>15276693382</t>
  </si>
  <si>
    <t>15276693387</t>
  </si>
  <si>
    <t>15276693446</t>
  </si>
  <si>
    <t>15276693482</t>
  </si>
  <si>
    <t>15276693492</t>
  </si>
  <si>
    <t>61706372</t>
  </si>
  <si>
    <t>15276693500</t>
  </si>
  <si>
    <t>15276693506</t>
  </si>
  <si>
    <t>15276693507</t>
  </si>
  <si>
    <t>15276693519</t>
  </si>
  <si>
    <t>15276693546</t>
  </si>
  <si>
    <t>15276693553</t>
  </si>
  <si>
    <t>15276693586</t>
  </si>
  <si>
    <t>15276693651</t>
  </si>
  <si>
    <t>15276693672</t>
  </si>
  <si>
    <t>15276693704</t>
  </si>
  <si>
    <t>15276693705</t>
  </si>
  <si>
    <t>15276693738</t>
  </si>
  <si>
    <t>15276693763</t>
  </si>
  <si>
    <t>15276693777</t>
  </si>
  <si>
    <t>15276693787</t>
  </si>
  <si>
    <t>15276693788</t>
  </si>
  <si>
    <t>15276693789</t>
  </si>
  <si>
    <t>15276693790</t>
  </si>
  <si>
    <t>15276693813</t>
  </si>
  <si>
    <t>15276693814</t>
  </si>
  <si>
    <t>15276693860</t>
  </si>
  <si>
    <t>15276693862</t>
  </si>
  <si>
    <t>15276693914</t>
  </si>
  <si>
    <t>15276693919</t>
  </si>
  <si>
    <t>15276693925</t>
  </si>
  <si>
    <t>15276693960</t>
  </si>
  <si>
    <t>15276693970</t>
  </si>
  <si>
    <t>15276693980</t>
  </si>
  <si>
    <t>15276693981</t>
  </si>
  <si>
    <t>15276694003</t>
  </si>
  <si>
    <t>56675547</t>
  </si>
  <si>
    <t>15276694009</t>
  </si>
  <si>
    <t>15276694010</t>
  </si>
  <si>
    <t>61705750</t>
  </si>
  <si>
    <t>15276694019</t>
  </si>
  <si>
    <t>15276694031</t>
  </si>
  <si>
    <t>61681195</t>
  </si>
  <si>
    <t>15276694080</t>
  </si>
  <si>
    <t>15276694161</t>
  </si>
  <si>
    <t>15276694207</t>
  </si>
  <si>
    <t>15276694228</t>
  </si>
  <si>
    <t>15276694284</t>
  </si>
  <si>
    <t>15276694362</t>
  </si>
  <si>
    <t>15276694363</t>
  </si>
  <si>
    <t>15276694375</t>
  </si>
  <si>
    <t>15276694383</t>
  </si>
  <si>
    <t>15276694410</t>
  </si>
  <si>
    <t>15276694481</t>
  </si>
  <si>
    <t>15276694482</t>
  </si>
  <si>
    <t>15276694499</t>
  </si>
  <si>
    <t>15276694528</t>
  </si>
  <si>
    <t>15276694531</t>
  </si>
  <si>
    <t>15276694557</t>
  </si>
  <si>
    <t>15276694570</t>
  </si>
  <si>
    <t>15276694594</t>
  </si>
  <si>
    <t>15276694595</t>
  </si>
  <si>
    <t>15276694618</t>
  </si>
  <si>
    <t>15276694662</t>
  </si>
  <si>
    <t>15276694665</t>
  </si>
  <si>
    <t>15276694681</t>
  </si>
  <si>
    <t>15276694712</t>
  </si>
  <si>
    <t>15276694722</t>
  </si>
  <si>
    <t>61685307</t>
  </si>
  <si>
    <t>15276694735</t>
  </si>
  <si>
    <t>15276694751</t>
  </si>
  <si>
    <t>15276694798</t>
  </si>
  <si>
    <t>15276694808</t>
  </si>
  <si>
    <t>15276694827</t>
  </si>
  <si>
    <t>15276694847</t>
  </si>
  <si>
    <t>15276694850</t>
  </si>
  <si>
    <t>15276694871</t>
  </si>
  <si>
    <t>15276694947</t>
  </si>
  <si>
    <t>15276694960</t>
  </si>
  <si>
    <t>15276694980</t>
  </si>
  <si>
    <t>15276694997</t>
  </si>
  <si>
    <t>15276695019</t>
  </si>
  <si>
    <t>61680533</t>
  </si>
  <si>
    <t>15276695031</t>
  </si>
  <si>
    <t>15276695064</t>
  </si>
  <si>
    <t>15276695099</t>
  </si>
  <si>
    <t>15276695105</t>
  </si>
  <si>
    <t>61681391</t>
  </si>
  <si>
    <t>15276695132</t>
  </si>
  <si>
    <t>61683635</t>
  </si>
  <si>
    <t>15276695140</t>
  </si>
  <si>
    <t>15276695168</t>
  </si>
  <si>
    <t>15276695184</t>
  </si>
  <si>
    <t>15276695192</t>
  </si>
  <si>
    <t>15276695232</t>
  </si>
  <si>
    <t>15276695273</t>
  </si>
  <si>
    <t>61676034</t>
  </si>
  <si>
    <t>15276695302</t>
  </si>
  <si>
    <t>15276695364</t>
  </si>
  <si>
    <t>15276695372</t>
  </si>
  <si>
    <t>15276695375</t>
  </si>
  <si>
    <t>15276695382</t>
  </si>
  <si>
    <t>15276695449</t>
  </si>
  <si>
    <t>15276695487</t>
  </si>
  <si>
    <t>15276695551</t>
  </si>
  <si>
    <t>61678068</t>
  </si>
  <si>
    <t>15276695555</t>
  </si>
  <si>
    <t>15276695563</t>
  </si>
  <si>
    <t>15276695578</t>
  </si>
  <si>
    <t>61734192</t>
  </si>
  <si>
    <t>15276695582</t>
  </si>
  <si>
    <t>15276695606</t>
  </si>
  <si>
    <t>15276695629</t>
  </si>
  <si>
    <t>15276695659</t>
  </si>
  <si>
    <t>15276695664</t>
  </si>
  <si>
    <t>15276695676</t>
  </si>
  <si>
    <t>15276695700</t>
  </si>
  <si>
    <t>15276695726</t>
  </si>
  <si>
    <t>15276695771</t>
  </si>
  <si>
    <t>15276695772</t>
  </si>
  <si>
    <t>15276695781</t>
  </si>
  <si>
    <t>15276695783</t>
  </si>
  <si>
    <t>15276695844</t>
  </si>
  <si>
    <t>15276695850</t>
  </si>
  <si>
    <t>15276695904</t>
  </si>
  <si>
    <t>15276695987</t>
  </si>
  <si>
    <t>15276695991</t>
  </si>
  <si>
    <t>61683436</t>
  </si>
  <si>
    <t>15276696002</t>
  </si>
  <si>
    <t>15276696007</t>
  </si>
  <si>
    <t>15276696042</t>
  </si>
  <si>
    <t>15276696046</t>
  </si>
  <si>
    <t>15276696054</t>
  </si>
  <si>
    <t>15276696743</t>
  </si>
  <si>
    <t>15276696751</t>
  </si>
  <si>
    <t>15276696755</t>
  </si>
  <si>
    <t>15276696976</t>
  </si>
  <si>
    <t>15276697024</t>
  </si>
  <si>
    <t>15276697515</t>
  </si>
  <si>
    <t>15276697516</t>
  </si>
  <si>
    <t>15276697695</t>
  </si>
  <si>
    <t>15276697703</t>
  </si>
  <si>
    <t>15276697716</t>
  </si>
  <si>
    <t>15276698066</t>
  </si>
  <si>
    <t>15276698426</t>
  </si>
  <si>
    <t>15276698460</t>
  </si>
  <si>
    <t>56975551</t>
  </si>
  <si>
    <t>15276698564</t>
  </si>
  <si>
    <t>15276698712</t>
  </si>
  <si>
    <t>15276698725</t>
  </si>
  <si>
    <t>15276698726</t>
  </si>
  <si>
    <t>15276698736</t>
  </si>
  <si>
    <t>15276698780</t>
  </si>
  <si>
    <t>15276698899</t>
  </si>
  <si>
    <t>15276698901</t>
  </si>
  <si>
    <t>61684980</t>
  </si>
  <si>
    <t>15276699009</t>
  </si>
  <si>
    <t>15276699012</t>
  </si>
  <si>
    <t>15276699042</t>
  </si>
  <si>
    <t>15276699182</t>
  </si>
  <si>
    <t>15276699207</t>
  </si>
  <si>
    <t>15276699239</t>
  </si>
  <si>
    <t>15276699267</t>
  </si>
  <si>
    <t>15276699328</t>
  </si>
  <si>
    <t>15276699406</t>
  </si>
  <si>
    <t>15276699432</t>
  </si>
  <si>
    <t>15276699455</t>
  </si>
  <si>
    <t>15276699532</t>
  </si>
  <si>
    <t>15276699711</t>
  </si>
  <si>
    <t>15276699735</t>
  </si>
  <si>
    <t>15276699745</t>
  </si>
  <si>
    <t>15276699804</t>
  </si>
  <si>
    <t>15276699867</t>
  </si>
  <si>
    <t>15276699905</t>
  </si>
  <si>
    <t>15276699936</t>
  </si>
  <si>
    <t>61728225</t>
  </si>
  <si>
    <t>15276699941</t>
  </si>
  <si>
    <t>15276699963</t>
  </si>
  <si>
    <t>61686809</t>
  </si>
  <si>
    <t>15276700009</t>
  </si>
  <si>
    <t>15276700043</t>
  </si>
  <si>
    <t>61706868</t>
  </si>
  <si>
    <t>15276700049</t>
  </si>
  <si>
    <t>15276700154</t>
  </si>
  <si>
    <t>15276700185</t>
  </si>
  <si>
    <t>15276700219</t>
  </si>
  <si>
    <t>15276700225</t>
  </si>
  <si>
    <t>15276700276</t>
  </si>
  <si>
    <t>15276700400</t>
  </si>
  <si>
    <t>15276700445</t>
  </si>
  <si>
    <t>15276700455</t>
  </si>
  <si>
    <t>15276700513</t>
  </si>
  <si>
    <t>15276700539</t>
  </si>
  <si>
    <t>15276700584</t>
  </si>
  <si>
    <t>61714969</t>
  </si>
  <si>
    <t>15276700614</t>
  </si>
  <si>
    <t>15276700636</t>
  </si>
  <si>
    <t>15276700665</t>
  </si>
  <si>
    <t>15276700720</t>
  </si>
  <si>
    <t>15276700774</t>
  </si>
  <si>
    <t>15276700862</t>
  </si>
  <si>
    <t>56670938</t>
  </si>
  <si>
    <t>15276700880</t>
  </si>
  <si>
    <t>15276700977</t>
  </si>
  <si>
    <t>15276701007</t>
  </si>
  <si>
    <t>15276701009</t>
  </si>
  <si>
    <t>15276701056</t>
  </si>
  <si>
    <t>15276701143</t>
  </si>
  <si>
    <t>61676331</t>
  </si>
  <si>
    <t>15276701150</t>
  </si>
  <si>
    <t>61687114</t>
  </si>
  <si>
    <t>15276701187</t>
  </si>
  <si>
    <t>61677537</t>
  </si>
  <si>
    <t>15276701189</t>
  </si>
  <si>
    <t>15276701214</t>
  </si>
  <si>
    <t>15276701241</t>
  </si>
  <si>
    <t>15276701270</t>
  </si>
  <si>
    <t>15276701289</t>
  </si>
  <si>
    <t>15276701330</t>
  </si>
  <si>
    <t>15276701397</t>
  </si>
  <si>
    <t>15276701412</t>
  </si>
  <si>
    <t>15276701464</t>
  </si>
  <si>
    <t>15276701536</t>
  </si>
  <si>
    <t>61739489</t>
  </si>
  <si>
    <t>15276701544</t>
  </si>
  <si>
    <t>15276701553</t>
  </si>
  <si>
    <t>15276701604</t>
  </si>
  <si>
    <t>15276701608</t>
  </si>
  <si>
    <t>15276701729</t>
  </si>
  <si>
    <t>15276701730</t>
  </si>
  <si>
    <t>15276701736</t>
  </si>
  <si>
    <t>15276701770</t>
  </si>
  <si>
    <t>56669233</t>
  </si>
  <si>
    <t>15276701772</t>
  </si>
  <si>
    <t>15276701773</t>
  </si>
  <si>
    <t>15276701774</t>
  </si>
  <si>
    <t>15276701807</t>
  </si>
  <si>
    <t>15276701811</t>
  </si>
  <si>
    <t>15276701878</t>
  </si>
  <si>
    <t>15276701892</t>
  </si>
  <si>
    <t>15276701894</t>
  </si>
  <si>
    <t>15276701897</t>
  </si>
  <si>
    <t>15276701911</t>
  </si>
  <si>
    <t>15276701934</t>
  </si>
  <si>
    <t>61738916</t>
  </si>
  <si>
    <t>15276701968</t>
  </si>
  <si>
    <t>15276701985</t>
  </si>
  <si>
    <t>15276701996</t>
  </si>
  <si>
    <t>15276701999</t>
  </si>
  <si>
    <t>15276702029</t>
  </si>
  <si>
    <t>15276702162</t>
  </si>
  <si>
    <t>15276702253</t>
  </si>
  <si>
    <t>15276702254</t>
  </si>
  <si>
    <t>15276702274</t>
  </si>
  <si>
    <t>15276702418</t>
  </si>
  <si>
    <t>15276702425</t>
  </si>
  <si>
    <t>15276702426</t>
  </si>
  <si>
    <t>15276702518</t>
  </si>
  <si>
    <t>15276702545</t>
  </si>
  <si>
    <t>15276702558</t>
  </si>
  <si>
    <t>15276702619</t>
  </si>
  <si>
    <t>15276702700</t>
  </si>
  <si>
    <t>61721405</t>
  </si>
  <si>
    <t>15276702750</t>
  </si>
  <si>
    <t>15276702754</t>
  </si>
  <si>
    <t>15276702827</t>
  </si>
  <si>
    <t>15276702847</t>
  </si>
  <si>
    <t>15276702919</t>
  </si>
  <si>
    <t>61738117</t>
  </si>
  <si>
    <t>15276703100</t>
  </si>
  <si>
    <t>15276703105</t>
  </si>
  <si>
    <t>15276703113</t>
  </si>
  <si>
    <t>15276703198</t>
  </si>
  <si>
    <t>15276703254</t>
  </si>
  <si>
    <t>15276703310</t>
  </si>
  <si>
    <t>15276703385</t>
  </si>
  <si>
    <t>15276703410</t>
  </si>
  <si>
    <t>15276703557</t>
  </si>
  <si>
    <t>15276703558</t>
  </si>
  <si>
    <t>15276703605</t>
  </si>
  <si>
    <t>15276703613</t>
  </si>
  <si>
    <t>15276703619</t>
  </si>
  <si>
    <t>56670940</t>
  </si>
  <si>
    <t>15276703657</t>
  </si>
  <si>
    <t>15276703681</t>
  </si>
  <si>
    <t>15276703740</t>
  </si>
  <si>
    <t>15276703775</t>
  </si>
  <si>
    <t>15276703791</t>
  </si>
  <si>
    <t>15276703801</t>
  </si>
  <si>
    <t>15276703834</t>
  </si>
  <si>
    <t>15276703835</t>
  </si>
  <si>
    <t>15276703843</t>
  </si>
  <si>
    <t>15276703844</t>
  </si>
  <si>
    <t>15276703863</t>
  </si>
  <si>
    <t>15276703864</t>
  </si>
  <si>
    <t>15276703934</t>
  </si>
  <si>
    <t>15276703941</t>
  </si>
  <si>
    <t>15276704049</t>
  </si>
  <si>
    <t>15276704096</t>
  </si>
  <si>
    <t>15276704113</t>
  </si>
  <si>
    <t>15276704117</t>
  </si>
  <si>
    <t>15276704142</t>
  </si>
  <si>
    <t>15276704156</t>
  </si>
  <si>
    <t>15276704190</t>
  </si>
  <si>
    <t>15276704203</t>
  </si>
  <si>
    <t>15276704207</t>
  </si>
  <si>
    <t>15276704264</t>
  </si>
  <si>
    <t>15276704265</t>
  </si>
  <si>
    <t>61677758</t>
  </si>
  <si>
    <t>15276704268</t>
  </si>
  <si>
    <t>15276704376</t>
  </si>
  <si>
    <t>61719207</t>
  </si>
  <si>
    <t>15276704379</t>
  </si>
  <si>
    <t>15276704384</t>
  </si>
  <si>
    <t>15276704404</t>
  </si>
  <si>
    <t>15276704411</t>
  </si>
  <si>
    <t>15276704455</t>
  </si>
  <si>
    <t>15276704512</t>
  </si>
  <si>
    <t>15276704547</t>
  </si>
  <si>
    <t>15276704589</t>
  </si>
  <si>
    <t>15276704599</t>
  </si>
  <si>
    <t>61712874</t>
  </si>
  <si>
    <t>15276704627</t>
  </si>
  <si>
    <t>15276704664</t>
  </si>
  <si>
    <t>15276704709</t>
  </si>
  <si>
    <t>61695618</t>
  </si>
  <si>
    <t>15276704769</t>
  </si>
  <si>
    <t>56690692</t>
  </si>
  <si>
    <t>15276704770</t>
  </si>
  <si>
    <t>56690699</t>
  </si>
  <si>
    <t>15276704870</t>
  </si>
  <si>
    <t>15276704934</t>
  </si>
  <si>
    <t>15276704948</t>
  </si>
  <si>
    <t>15276704992</t>
  </si>
  <si>
    <t>15276705138</t>
  </si>
  <si>
    <t>15276705288</t>
  </si>
  <si>
    <t>15276705310</t>
  </si>
  <si>
    <t>15276705412</t>
  </si>
  <si>
    <t>15276705437</t>
  </si>
  <si>
    <t>15276705444</t>
  </si>
  <si>
    <t>15276705954</t>
  </si>
  <si>
    <t>15276706670</t>
  </si>
  <si>
    <t>15276706671</t>
  </si>
  <si>
    <t>61675719</t>
  </si>
  <si>
    <t>15276706861</t>
  </si>
  <si>
    <t>15276707604</t>
  </si>
  <si>
    <t>56975557</t>
  </si>
  <si>
    <t>15276707789</t>
  </si>
  <si>
    <t>15276708184</t>
  </si>
  <si>
    <t>15276708525</t>
  </si>
  <si>
    <t>15276708577</t>
  </si>
  <si>
    <t>15276708928</t>
  </si>
  <si>
    <t>15276709487</t>
  </si>
  <si>
    <t>15276709780</t>
  </si>
  <si>
    <t>15276710244</t>
  </si>
  <si>
    <t>15276710578</t>
  </si>
  <si>
    <t>15276710933</t>
  </si>
  <si>
    <t>15276711081</t>
  </si>
  <si>
    <t>15276711405</t>
  </si>
  <si>
    <t>15276711472</t>
  </si>
  <si>
    <t>15276711527</t>
  </si>
  <si>
    <t>15276711875</t>
  </si>
  <si>
    <t>15276711980</t>
  </si>
  <si>
    <t>15276712630</t>
  </si>
  <si>
    <t>15276714158</t>
  </si>
  <si>
    <t>15276714194</t>
  </si>
  <si>
    <t>15276714661</t>
  </si>
  <si>
    <t>15276714727</t>
  </si>
  <si>
    <t>15276715317</t>
  </si>
  <si>
    <t>15276721368</t>
  </si>
  <si>
    <t>15276735223</t>
  </si>
  <si>
    <t>15276736254</t>
  </si>
  <si>
    <t>56707297</t>
  </si>
  <si>
    <t>15276739170</t>
  </si>
  <si>
    <t>15276739655</t>
  </si>
  <si>
    <t>56689841</t>
  </si>
  <si>
    <t>15276739938</t>
  </si>
  <si>
    <t>56693508</t>
  </si>
  <si>
    <t>15276741840</t>
  </si>
  <si>
    <t>56688370</t>
  </si>
  <si>
    <t>15276742058</t>
  </si>
  <si>
    <t>15276744327</t>
  </si>
  <si>
    <t>56688367</t>
  </si>
  <si>
    <t>15276747525</t>
  </si>
  <si>
    <t>56691894</t>
  </si>
  <si>
    <t>15276748627</t>
  </si>
  <si>
    <t>56689838</t>
  </si>
  <si>
    <t>15276749790</t>
  </si>
  <si>
    <t>56688700</t>
  </si>
  <si>
    <t>15276751699</t>
  </si>
  <si>
    <t>56692340</t>
  </si>
  <si>
    <t>15276751700</t>
  </si>
  <si>
    <t>56692277</t>
  </si>
  <si>
    <t>15276754070</t>
  </si>
  <si>
    <t>56690322</t>
  </si>
  <si>
    <t>15276754575</t>
  </si>
  <si>
    <t>56689913</t>
  </si>
  <si>
    <t>15276756115</t>
  </si>
  <si>
    <t>56690634</t>
  </si>
  <si>
    <t>15276757519</t>
  </si>
  <si>
    <t>56690568</t>
  </si>
  <si>
    <t>15276757657</t>
  </si>
  <si>
    <t>56690290</t>
  </si>
  <si>
    <t>15276757830</t>
  </si>
  <si>
    <t>56692371</t>
  </si>
  <si>
    <t>15276757968</t>
  </si>
  <si>
    <t>56690005</t>
  </si>
  <si>
    <t>15276758684</t>
  </si>
  <si>
    <t>56708582</t>
  </si>
  <si>
    <t>15276758766</t>
  </si>
  <si>
    <t>56692345</t>
  </si>
  <si>
    <t>15276758936</t>
  </si>
  <si>
    <t>56692076</t>
  </si>
  <si>
    <t>15276759866</t>
  </si>
  <si>
    <t>56690625</t>
  </si>
  <si>
    <t>15276760706</t>
  </si>
  <si>
    <t>56692185</t>
  </si>
  <si>
    <t>15276760749</t>
  </si>
  <si>
    <t>56693044</t>
  </si>
  <si>
    <t>15276761086</t>
  </si>
  <si>
    <t>56692187</t>
  </si>
  <si>
    <t>15276761229</t>
  </si>
  <si>
    <t>56690982</t>
  </si>
  <si>
    <t>15276761468</t>
  </si>
  <si>
    <t>56692368</t>
  </si>
  <si>
    <t>15276761867</t>
  </si>
  <si>
    <t>56693474</t>
  </si>
  <si>
    <t>15276762204</t>
  </si>
  <si>
    <t>56692344</t>
  </si>
  <si>
    <t>15276763668</t>
  </si>
  <si>
    <t>56691955</t>
  </si>
  <si>
    <t>15276763727</t>
  </si>
  <si>
    <t>56693503</t>
  </si>
  <si>
    <t>15276763971</t>
  </si>
  <si>
    <t>56691937</t>
  </si>
  <si>
    <t>15276764325</t>
  </si>
  <si>
    <t>56692279</t>
  </si>
  <si>
    <t>15276764740</t>
  </si>
  <si>
    <t>56691952</t>
  </si>
  <si>
    <t>15276765061</t>
  </si>
  <si>
    <t>56692369</t>
  </si>
  <si>
    <t>15276765138</t>
  </si>
  <si>
    <t>56708636</t>
  </si>
  <si>
    <t>15276766441</t>
  </si>
  <si>
    <t>56692296</t>
  </si>
  <si>
    <t>15276766521</t>
  </si>
  <si>
    <t>56692314</t>
  </si>
  <si>
    <t>15276766623</t>
  </si>
  <si>
    <t>56692339</t>
  </si>
  <si>
    <t>15276766875</t>
  </si>
  <si>
    <t>61691403</t>
  </si>
  <si>
    <t>15276766888</t>
  </si>
  <si>
    <t>15276767000</t>
  </si>
  <si>
    <t>15276767050</t>
  </si>
  <si>
    <t>15276767155</t>
  </si>
  <si>
    <t>15276767605</t>
  </si>
  <si>
    <t>15276768064</t>
  </si>
  <si>
    <t>56692320</t>
  </si>
  <si>
    <t>15276768137</t>
  </si>
  <si>
    <t>56692197</t>
  </si>
  <si>
    <t>15276768378</t>
  </si>
  <si>
    <t>56692317</t>
  </si>
  <si>
    <t>15276768513</t>
  </si>
  <si>
    <t>56692212</t>
  </si>
  <si>
    <t>15276768523</t>
  </si>
  <si>
    <t>56692172</t>
  </si>
  <si>
    <t>15276768703</t>
  </si>
  <si>
    <t>56693502</t>
  </si>
  <si>
    <t>15276770150</t>
  </si>
  <si>
    <t>56692672</t>
  </si>
  <si>
    <t>15276770314</t>
  </si>
  <si>
    <t>56693043</t>
  </si>
  <si>
    <t>15276771530</t>
  </si>
  <si>
    <t>15276771557</t>
  </si>
  <si>
    <t>15276771675</t>
  </si>
  <si>
    <t>15276771714</t>
  </si>
  <si>
    <t>15276771716</t>
  </si>
  <si>
    <t>15276771752</t>
  </si>
  <si>
    <t>15276771844</t>
  </si>
  <si>
    <t>15276771876</t>
  </si>
  <si>
    <t>15276771909</t>
  </si>
  <si>
    <t>15276771925</t>
  </si>
  <si>
    <t>61682290</t>
  </si>
  <si>
    <t>15276771943</t>
  </si>
  <si>
    <t>15276771960</t>
  </si>
  <si>
    <t>15276771984</t>
  </si>
  <si>
    <t>15276772025</t>
  </si>
  <si>
    <t>15276772092</t>
  </si>
  <si>
    <t>15276772257</t>
  </si>
  <si>
    <t>15276772357</t>
  </si>
  <si>
    <t>15276772484</t>
  </si>
  <si>
    <t>15276772988</t>
  </si>
  <si>
    <t>15276772993</t>
  </si>
  <si>
    <t>15276772994</t>
  </si>
  <si>
    <t>15276773163</t>
  </si>
  <si>
    <t>15276773209</t>
  </si>
  <si>
    <t>15276773284</t>
  </si>
  <si>
    <t>15276773321</t>
  </si>
  <si>
    <t>15276773373</t>
  </si>
  <si>
    <t>15276773389</t>
  </si>
  <si>
    <t>15276773421</t>
  </si>
  <si>
    <t>61716558</t>
  </si>
  <si>
    <t>15276773484</t>
  </si>
  <si>
    <t>15276773563</t>
  </si>
  <si>
    <t>61684761</t>
  </si>
  <si>
    <t>15276773597</t>
  </si>
  <si>
    <t>15276773763</t>
  </si>
  <si>
    <t>15276773800</t>
  </si>
  <si>
    <t>15276773924</t>
  </si>
  <si>
    <t>61727258</t>
  </si>
  <si>
    <t>15276773928</t>
  </si>
  <si>
    <t>15276773976</t>
  </si>
  <si>
    <t>15276774149</t>
  </si>
  <si>
    <t>15276774158</t>
  </si>
  <si>
    <t>15276774161</t>
  </si>
  <si>
    <t>56693102</t>
  </si>
  <si>
    <t>15276774287</t>
  </si>
  <si>
    <t>15276774391</t>
  </si>
  <si>
    <t>15276774483</t>
  </si>
  <si>
    <t>15276774616</t>
  </si>
  <si>
    <t>15276774624</t>
  </si>
  <si>
    <t>15276774749</t>
  </si>
  <si>
    <t>15276775155</t>
  </si>
  <si>
    <t>15276775161</t>
  </si>
  <si>
    <t>15276775199</t>
  </si>
  <si>
    <t>15276775231</t>
  </si>
  <si>
    <t>15276775286</t>
  </si>
  <si>
    <t>15276775334</t>
  </si>
  <si>
    <t>15276775415</t>
  </si>
  <si>
    <t>15276775449</t>
  </si>
  <si>
    <t>15276775556</t>
  </si>
  <si>
    <t>15276775676</t>
  </si>
  <si>
    <t>15276775775</t>
  </si>
  <si>
    <t>15276776050</t>
  </si>
  <si>
    <t>15276776268</t>
  </si>
  <si>
    <t>15276776452</t>
  </si>
  <si>
    <t>15276776521</t>
  </si>
  <si>
    <t>15276776642</t>
  </si>
  <si>
    <t>15276776700</t>
  </si>
  <si>
    <t>15276776770</t>
  </si>
  <si>
    <t>15276777137</t>
  </si>
  <si>
    <t>15276777361</t>
  </si>
  <si>
    <t>15276777420</t>
  </si>
  <si>
    <t>15276777623</t>
  </si>
  <si>
    <t>15276777689</t>
  </si>
  <si>
    <t>15276778199</t>
  </si>
  <si>
    <t>15276778217</t>
  </si>
  <si>
    <t>61699726</t>
  </si>
  <si>
    <t>15276778256</t>
  </si>
  <si>
    <t>15276778320</t>
  </si>
  <si>
    <t>15276779596</t>
  </si>
  <si>
    <t>15276779632</t>
  </si>
  <si>
    <t>15276779715</t>
  </si>
  <si>
    <t>15276779799</t>
  </si>
  <si>
    <t>15276779848</t>
  </si>
  <si>
    <t>56709228</t>
  </si>
  <si>
    <t>15276779894</t>
  </si>
  <si>
    <t>15276779981</t>
  </si>
  <si>
    <t>15276780033</t>
  </si>
  <si>
    <t>15276780096</t>
  </si>
  <si>
    <t>15276780119</t>
  </si>
  <si>
    <t>15276780246</t>
  </si>
  <si>
    <t>15276780263</t>
  </si>
  <si>
    <t>15276780319</t>
  </si>
  <si>
    <t>15276780538</t>
  </si>
  <si>
    <t>15276780549</t>
  </si>
  <si>
    <t>15276780802</t>
  </si>
  <si>
    <t>15276780890</t>
  </si>
  <si>
    <t>15276780921</t>
  </si>
  <si>
    <t>15276780933</t>
  </si>
  <si>
    <t>15276780985</t>
  </si>
  <si>
    <t>15276781056</t>
  </si>
  <si>
    <t>15276781152</t>
  </si>
  <si>
    <t>15276781228</t>
  </si>
  <si>
    <t>15276781344</t>
  </si>
  <si>
    <t>15276781369</t>
  </si>
  <si>
    <t>15276781379</t>
  </si>
  <si>
    <t>15276781419</t>
  </si>
  <si>
    <t>15276781441</t>
  </si>
  <si>
    <t>15276781457</t>
  </si>
  <si>
    <t>15276781469</t>
  </si>
  <si>
    <t>15276781528</t>
  </si>
  <si>
    <t>15276781559</t>
  </si>
  <si>
    <t>15276781572</t>
  </si>
  <si>
    <t>15276781616</t>
  </si>
  <si>
    <t>61692174</t>
  </si>
  <si>
    <t>15276781623</t>
  </si>
  <si>
    <t>15276781624</t>
  </si>
  <si>
    <t>15276781630</t>
  </si>
  <si>
    <t>15276781636</t>
  </si>
  <si>
    <t>15276781738</t>
  </si>
  <si>
    <t>15276781745</t>
  </si>
  <si>
    <t>15276781913</t>
  </si>
  <si>
    <t>15276782013</t>
  </si>
  <si>
    <t>15276782066</t>
  </si>
  <si>
    <t>15276782089</t>
  </si>
  <si>
    <t>15276782124</t>
  </si>
  <si>
    <t>15276782526</t>
  </si>
  <si>
    <t>15276782580</t>
  </si>
  <si>
    <t>15276782792</t>
  </si>
  <si>
    <t>15276782886</t>
  </si>
  <si>
    <t>56690801</t>
  </si>
  <si>
    <t>15276783103</t>
  </si>
  <si>
    <t>15276783138</t>
  </si>
  <si>
    <t>15276784171</t>
  </si>
  <si>
    <t>15276784619</t>
  </si>
  <si>
    <t>15276784632</t>
  </si>
  <si>
    <t>15276787810</t>
  </si>
  <si>
    <t>15276789799</t>
  </si>
  <si>
    <t>15276792062</t>
  </si>
  <si>
    <t>15276792290</t>
  </si>
  <si>
    <t>15276794970</t>
  </si>
  <si>
    <t>15276803769</t>
  </si>
  <si>
    <t>15276822596</t>
  </si>
  <si>
    <t>56708664</t>
  </si>
  <si>
    <t>15276823339</t>
  </si>
  <si>
    <t>56705695</t>
  </si>
  <si>
    <t>15276823442</t>
  </si>
  <si>
    <t>56708931</t>
  </si>
  <si>
    <t>15276824011</t>
  </si>
  <si>
    <t>56705161</t>
  </si>
  <si>
    <t>15276824248</t>
  </si>
  <si>
    <t>56708583</t>
  </si>
  <si>
    <t>15276824994</t>
  </si>
  <si>
    <t>56703046</t>
  </si>
  <si>
    <t>15276826612</t>
  </si>
  <si>
    <t>56702965</t>
  </si>
  <si>
    <t>15276827162</t>
  </si>
  <si>
    <t>56755761</t>
  </si>
  <si>
    <t>15276827363</t>
  </si>
  <si>
    <t>56745886</t>
  </si>
  <si>
    <t>15276827815</t>
  </si>
  <si>
    <t>56743465</t>
  </si>
  <si>
    <t>15276830586</t>
  </si>
  <si>
    <t>56744661</t>
  </si>
  <si>
    <t>15276834013</t>
  </si>
  <si>
    <t>56707258</t>
  </si>
  <si>
    <t>15276834616</t>
  </si>
  <si>
    <t>56710935</t>
  </si>
  <si>
    <t>15276834733</t>
  </si>
  <si>
    <t>56710939</t>
  </si>
  <si>
    <t>15276835945</t>
  </si>
  <si>
    <t>56709213</t>
  </si>
  <si>
    <t>15276836233</t>
  </si>
  <si>
    <t>56709190</t>
  </si>
  <si>
    <t>15276836234</t>
  </si>
  <si>
    <t>56709218</t>
  </si>
  <si>
    <t>15276836505</t>
  </si>
  <si>
    <t>56707369</t>
  </si>
  <si>
    <t>15276836746</t>
  </si>
  <si>
    <t>56708946</t>
  </si>
  <si>
    <t>15276836755</t>
  </si>
  <si>
    <t>56709214</t>
  </si>
  <si>
    <t>15276836783</t>
  </si>
  <si>
    <t>56707919</t>
  </si>
  <si>
    <t>15276836838</t>
  </si>
  <si>
    <t>56709105</t>
  </si>
  <si>
    <t>15276837377</t>
  </si>
  <si>
    <t>56709015</t>
  </si>
  <si>
    <t>15276837487</t>
  </si>
  <si>
    <t>56709225</t>
  </si>
  <si>
    <t>15276837625</t>
  </si>
  <si>
    <t>56709198</t>
  </si>
  <si>
    <t>15276837977</t>
  </si>
  <si>
    <t>56708858</t>
  </si>
  <si>
    <t>15276838092</t>
  </si>
  <si>
    <t>56708758</t>
  </si>
  <si>
    <t>15276840398</t>
  </si>
  <si>
    <t>56709098</t>
  </si>
  <si>
    <t>15276840485</t>
  </si>
  <si>
    <t>56709101</t>
  </si>
  <si>
    <t>15276840954</t>
  </si>
  <si>
    <t>56709104</t>
  </si>
  <si>
    <t>15276841512</t>
  </si>
  <si>
    <t>56709211</t>
  </si>
  <si>
    <t>15276841586</t>
  </si>
  <si>
    <t>56708526</t>
  </si>
  <si>
    <t>15276842678</t>
  </si>
  <si>
    <t>56710197</t>
  </si>
  <si>
    <t>15276843616</t>
  </si>
  <si>
    <t>56709219</t>
  </si>
  <si>
    <t>15276843702</t>
  </si>
  <si>
    <t>56709206</t>
  </si>
  <si>
    <t>15276843731</t>
  </si>
  <si>
    <t>56709231</t>
  </si>
  <si>
    <t>15276844064</t>
  </si>
  <si>
    <t>56709226</t>
  </si>
  <si>
    <t>15276844269</t>
  </si>
  <si>
    <t>56710196</t>
  </si>
  <si>
    <t>15276844774</t>
  </si>
  <si>
    <t>56709222</t>
  </si>
  <si>
    <t>15276845439</t>
  </si>
  <si>
    <t>56710843</t>
  </si>
  <si>
    <t>15276845515</t>
  </si>
  <si>
    <t>56709201</t>
  </si>
  <si>
    <t>15276845875</t>
  </si>
  <si>
    <t>56708155</t>
  </si>
  <si>
    <t>15276846021</t>
  </si>
  <si>
    <t>56710917</t>
  </si>
  <si>
    <t>15276846370</t>
  </si>
  <si>
    <t>56710194</t>
  </si>
  <si>
    <t>15276846712</t>
  </si>
  <si>
    <t>56726367</t>
  </si>
  <si>
    <t>15276846715</t>
  </si>
  <si>
    <t>56726809</t>
  </si>
  <si>
    <t>15276848238</t>
  </si>
  <si>
    <t>56710916</t>
  </si>
  <si>
    <t>15276850736</t>
  </si>
  <si>
    <t>56710876</t>
  </si>
  <si>
    <t>15276851332</t>
  </si>
  <si>
    <t>56710878</t>
  </si>
  <si>
    <t>15276852769</t>
  </si>
  <si>
    <t>15276853055</t>
  </si>
  <si>
    <t>15276853093</t>
  </si>
  <si>
    <t>56710847</t>
  </si>
  <si>
    <t>15276854148</t>
  </si>
  <si>
    <t>56744658</t>
  </si>
  <si>
    <t>15276854184</t>
  </si>
  <si>
    <t>56742797</t>
  </si>
  <si>
    <t>15276854597</t>
  </si>
  <si>
    <t>56710195</t>
  </si>
  <si>
    <t>15276855292</t>
  </si>
  <si>
    <t>15276855501</t>
  </si>
  <si>
    <t>15276855716</t>
  </si>
  <si>
    <t>15276855749</t>
  </si>
  <si>
    <t>15276856067</t>
  </si>
  <si>
    <t>15276856579</t>
  </si>
  <si>
    <t>61729203</t>
  </si>
  <si>
    <t>15276856926</t>
  </si>
  <si>
    <t>15276857376</t>
  </si>
  <si>
    <t>15276857445</t>
  </si>
  <si>
    <t>15276857774</t>
  </si>
  <si>
    <t>15276857936</t>
  </si>
  <si>
    <t>15276858214</t>
  </si>
  <si>
    <t>15276858429</t>
  </si>
  <si>
    <t>15276858818</t>
  </si>
  <si>
    <t>15276859129</t>
  </si>
  <si>
    <t>15276859249</t>
  </si>
  <si>
    <t>15276859476</t>
  </si>
  <si>
    <t>15276859535</t>
  </si>
  <si>
    <t>15276859954</t>
  </si>
  <si>
    <t>15276861783</t>
  </si>
  <si>
    <t>15276861799</t>
  </si>
  <si>
    <t>15276862085</t>
  </si>
  <si>
    <t>15276863541</t>
  </si>
  <si>
    <t>15276864006</t>
  </si>
  <si>
    <t>15276866623</t>
  </si>
  <si>
    <t>15276867053</t>
  </si>
  <si>
    <t>15276867367</t>
  </si>
  <si>
    <t>15276870794</t>
  </si>
  <si>
    <t>15276884560</t>
  </si>
  <si>
    <t>56720446</t>
  </si>
  <si>
    <t>15276887071</t>
  </si>
  <si>
    <t>56724781</t>
  </si>
  <si>
    <t>15276890213</t>
  </si>
  <si>
    <t>56726811</t>
  </si>
  <si>
    <t>15276892686</t>
  </si>
  <si>
    <t>56723976</t>
  </si>
  <si>
    <t>15276892773</t>
  </si>
  <si>
    <t>56724093</t>
  </si>
  <si>
    <t>15276893488</t>
  </si>
  <si>
    <t>56723571</t>
  </si>
  <si>
    <t>15276893540</t>
  </si>
  <si>
    <t>56739454</t>
  </si>
  <si>
    <t>15276896591</t>
  </si>
  <si>
    <t>56723456</t>
  </si>
  <si>
    <t>15276896915</t>
  </si>
  <si>
    <t>56723525</t>
  </si>
  <si>
    <t>15276897183</t>
  </si>
  <si>
    <t>56723144</t>
  </si>
  <si>
    <t>15276899424</t>
  </si>
  <si>
    <t>56724788</t>
  </si>
  <si>
    <t>15276904749</t>
  </si>
  <si>
    <t>56723720</t>
  </si>
  <si>
    <t>15276905726</t>
  </si>
  <si>
    <t>56723727</t>
  </si>
  <si>
    <t>15276908140</t>
  </si>
  <si>
    <t>56724789</t>
  </si>
  <si>
    <t>15276910451</t>
  </si>
  <si>
    <t>56728472</t>
  </si>
  <si>
    <t>15276913440</t>
  </si>
  <si>
    <t>56728052</t>
  </si>
  <si>
    <t>15276914888</t>
  </si>
  <si>
    <t>15276915075</t>
  </si>
  <si>
    <t>15276916783</t>
  </si>
  <si>
    <t>15276917700</t>
  </si>
  <si>
    <t>15276918405</t>
  </si>
  <si>
    <t>15276918645</t>
  </si>
  <si>
    <t>15276920412</t>
  </si>
  <si>
    <t>15276920414</t>
  </si>
  <si>
    <t>15276920475</t>
  </si>
  <si>
    <t>15276920491</t>
  </si>
  <si>
    <t>15276920631</t>
  </si>
  <si>
    <t>15276921254</t>
  </si>
  <si>
    <t>15276921306</t>
  </si>
  <si>
    <t>15276921857</t>
  </si>
  <si>
    <t>15276922240</t>
  </si>
  <si>
    <t>15276922770</t>
  </si>
  <si>
    <t>15276923496</t>
  </si>
  <si>
    <t>15276924432</t>
  </si>
  <si>
    <t>15276931974</t>
  </si>
  <si>
    <t>15276931999</t>
  </si>
  <si>
    <t>15276967317</t>
  </si>
  <si>
    <t>56755764</t>
  </si>
  <si>
    <t>15276968885</t>
  </si>
  <si>
    <t>56742983</t>
  </si>
  <si>
    <t>15276972093</t>
  </si>
  <si>
    <t>56755873</t>
  </si>
  <si>
    <t>15276973754</t>
  </si>
  <si>
    <t>56755500</t>
  </si>
  <si>
    <t>15276976159</t>
  </si>
  <si>
    <t>15276976359</t>
  </si>
  <si>
    <t>61684081</t>
  </si>
  <si>
    <t>15276977539</t>
  </si>
  <si>
    <t>15276977724</t>
  </si>
  <si>
    <t>15276977847</t>
  </si>
  <si>
    <t>15276978564</t>
  </si>
  <si>
    <t>15276978620</t>
  </si>
  <si>
    <t>15276978847</t>
  </si>
  <si>
    <t>56738052</t>
  </si>
  <si>
    <t>15276978863</t>
  </si>
  <si>
    <t>15276978922</t>
  </si>
  <si>
    <t>15276979062</t>
  </si>
  <si>
    <t>15276979347</t>
  </si>
  <si>
    <t>15276980359</t>
  </si>
  <si>
    <t>15276981125</t>
  </si>
  <si>
    <t>15276981179</t>
  </si>
  <si>
    <t>15276985460</t>
  </si>
  <si>
    <t>15276985555</t>
  </si>
  <si>
    <t>15276986617</t>
  </si>
  <si>
    <t>15276986638</t>
  </si>
  <si>
    <t>15276988071</t>
  </si>
  <si>
    <t>15276989262</t>
  </si>
  <si>
    <t>15276990145</t>
  </si>
  <si>
    <t>15276993507</t>
  </si>
  <si>
    <t>15276997272</t>
  </si>
  <si>
    <t>15277000191</t>
  </si>
  <si>
    <t>15277017307</t>
  </si>
  <si>
    <t>56763229</t>
  </si>
  <si>
    <t>15277041701</t>
  </si>
  <si>
    <t>56765446</t>
  </si>
  <si>
    <t>15277044123</t>
  </si>
  <si>
    <t>58920484</t>
  </si>
  <si>
    <t>15277045576</t>
  </si>
  <si>
    <t>15277047610</t>
  </si>
  <si>
    <t>15277047684</t>
  </si>
  <si>
    <t>15277047747</t>
  </si>
  <si>
    <t>15277054173</t>
  </si>
  <si>
    <t>15277054482</t>
  </si>
  <si>
    <t>15277054483</t>
  </si>
  <si>
    <t>15277055520</t>
  </si>
  <si>
    <t>15277056931</t>
  </si>
  <si>
    <t>15277058373</t>
  </si>
  <si>
    <t>15277059128</t>
  </si>
  <si>
    <t>15277059153</t>
  </si>
  <si>
    <t>57801025</t>
  </si>
  <si>
    <t>15277059217</t>
  </si>
  <si>
    <t>15277060025</t>
  </si>
  <si>
    <t>56975564</t>
  </si>
  <si>
    <t>15277060352</t>
  </si>
  <si>
    <t>15277060432</t>
  </si>
  <si>
    <t>15277063526</t>
  </si>
  <si>
    <t>15277065011</t>
  </si>
  <si>
    <t>15277065100</t>
  </si>
  <si>
    <t>15277065297</t>
  </si>
  <si>
    <t>15277066110</t>
  </si>
  <si>
    <t>15277066181</t>
  </si>
  <si>
    <t>15277066560</t>
  </si>
  <si>
    <t>15277067296</t>
  </si>
  <si>
    <t>15277067668</t>
  </si>
  <si>
    <t>56775113</t>
  </si>
  <si>
    <t>15277067849</t>
  </si>
  <si>
    <t>15277067994</t>
  </si>
  <si>
    <t>15277068045</t>
  </si>
  <si>
    <t>15277068252</t>
  </si>
  <si>
    <t>15277068580</t>
  </si>
  <si>
    <t>61705228</t>
  </si>
  <si>
    <t>15277068786</t>
  </si>
  <si>
    <t>15277068812</t>
  </si>
  <si>
    <t>15277068958</t>
  </si>
  <si>
    <t>15277069091</t>
  </si>
  <si>
    <t>61684323</t>
  </si>
  <si>
    <t>15277069306</t>
  </si>
  <si>
    <t>15277069839</t>
  </si>
  <si>
    <t>15277069862</t>
  </si>
  <si>
    <t>15277070378</t>
  </si>
  <si>
    <t>15277070572</t>
  </si>
  <si>
    <t>15277070721</t>
  </si>
  <si>
    <t>15277071627</t>
  </si>
  <si>
    <t>15277071785</t>
  </si>
  <si>
    <t>15277072263</t>
  </si>
  <si>
    <t>57792860</t>
  </si>
  <si>
    <t>15277072540</t>
  </si>
  <si>
    <t>15277073270</t>
  </si>
  <si>
    <t>15277073316</t>
  </si>
  <si>
    <t>15277073694</t>
  </si>
  <si>
    <t>15277073805</t>
  </si>
  <si>
    <t>15277073812</t>
  </si>
  <si>
    <t>15277073862</t>
  </si>
  <si>
    <t>15277074047</t>
  </si>
  <si>
    <t>15277074189</t>
  </si>
  <si>
    <t>15277074192</t>
  </si>
  <si>
    <t>15277074495</t>
  </si>
  <si>
    <t>15277075088</t>
  </si>
  <si>
    <t>15277075394</t>
  </si>
  <si>
    <t>15277075508</t>
  </si>
  <si>
    <t>15277075679</t>
  </si>
  <si>
    <t>15277075699</t>
  </si>
  <si>
    <t>15277075912</t>
  </si>
  <si>
    <t>15277077495</t>
  </si>
  <si>
    <t>15277080044</t>
  </si>
  <si>
    <t>15277084277</t>
  </si>
  <si>
    <t>15277085627</t>
  </si>
  <si>
    <t>15277120918</t>
  </si>
  <si>
    <t>15277124803</t>
  </si>
  <si>
    <t>15277129767</t>
  </si>
  <si>
    <t>58954285</t>
  </si>
  <si>
    <t>15277131964</t>
  </si>
  <si>
    <t>15277132747</t>
  </si>
  <si>
    <t>15277135829</t>
  </si>
  <si>
    <t>15277138167</t>
  </si>
  <si>
    <t>15277138176</t>
  </si>
  <si>
    <t>15277139115</t>
  </si>
  <si>
    <t>15277139890</t>
  </si>
  <si>
    <t>15277139891</t>
  </si>
  <si>
    <t>15277140130</t>
  </si>
  <si>
    <t>15277157923</t>
  </si>
  <si>
    <t>15277157984</t>
  </si>
  <si>
    <t>15277158057</t>
  </si>
  <si>
    <t>15277158058</t>
  </si>
  <si>
    <t>15277158180</t>
  </si>
  <si>
    <t>15277158351</t>
  </si>
  <si>
    <t>15277158574</t>
  </si>
  <si>
    <t>15277158633</t>
  </si>
  <si>
    <t>15277159155</t>
  </si>
  <si>
    <t>15277159171</t>
  </si>
  <si>
    <t>15277159307</t>
  </si>
  <si>
    <t>15277159437</t>
  </si>
  <si>
    <t>15277159488</t>
  </si>
  <si>
    <t>61686075</t>
  </si>
  <si>
    <t>15277160380</t>
  </si>
  <si>
    <t>15277160382</t>
  </si>
  <si>
    <t>15277160383</t>
  </si>
  <si>
    <t>15277160506</t>
  </si>
  <si>
    <t>15277160824</t>
  </si>
  <si>
    <t>15277160834</t>
  </si>
  <si>
    <t>15277160912</t>
  </si>
  <si>
    <t>15277161000</t>
  </si>
  <si>
    <t>15277161107</t>
  </si>
  <si>
    <t>15277161273</t>
  </si>
  <si>
    <t>15277161525</t>
  </si>
  <si>
    <t>15277161575</t>
  </si>
  <si>
    <t>15277161600</t>
  </si>
  <si>
    <t>15277161612</t>
  </si>
  <si>
    <t>15277161983</t>
  </si>
  <si>
    <t>15277162002</t>
  </si>
  <si>
    <t>15277162041</t>
  </si>
  <si>
    <t>15277162314</t>
  </si>
  <si>
    <t>15277162398</t>
  </si>
  <si>
    <t>15277162537</t>
  </si>
  <si>
    <t>15277163514</t>
  </si>
  <si>
    <t>15277163553</t>
  </si>
  <si>
    <t>15277163588</t>
  </si>
  <si>
    <t>15277163610</t>
  </si>
  <si>
    <t>15277163773</t>
  </si>
  <si>
    <t>15277163867</t>
  </si>
  <si>
    <t>15277164092</t>
  </si>
  <si>
    <t>15277164233</t>
  </si>
  <si>
    <t>56874264</t>
  </si>
  <si>
    <t>15277164329</t>
  </si>
  <si>
    <t>61685245</t>
  </si>
  <si>
    <t>15277164437</t>
  </si>
  <si>
    <t>15277164746</t>
  </si>
  <si>
    <t>15277164879</t>
  </si>
  <si>
    <t>15277165143</t>
  </si>
  <si>
    <t>15277165144</t>
  </si>
  <si>
    <t>15277165170</t>
  </si>
  <si>
    <t>61675653</t>
  </si>
  <si>
    <t>15277166028</t>
  </si>
  <si>
    <t>56874263</t>
  </si>
  <si>
    <t>15277166684</t>
  </si>
  <si>
    <t>15277167051</t>
  </si>
  <si>
    <t>61710981</t>
  </si>
  <si>
    <t>15277167107</t>
  </si>
  <si>
    <t>15277167137</t>
  </si>
  <si>
    <t>15277167245</t>
  </si>
  <si>
    <t>15277167278</t>
  </si>
  <si>
    <t>15277168841</t>
  </si>
  <si>
    <t>56874435</t>
  </si>
  <si>
    <t>15277170023</t>
  </si>
  <si>
    <t>56874265</t>
  </si>
  <si>
    <t>15277170179</t>
  </si>
  <si>
    <t>56874436</t>
  </si>
  <si>
    <t>15277170962</t>
  </si>
  <si>
    <t>56874236</t>
  </si>
  <si>
    <t>15277171398</t>
  </si>
  <si>
    <t>56789178</t>
  </si>
  <si>
    <t>15277171512</t>
  </si>
  <si>
    <t>56874237</t>
  </si>
  <si>
    <t>15277174974</t>
  </si>
  <si>
    <t>56874476</t>
  </si>
  <si>
    <t>15277175721</t>
  </si>
  <si>
    <t>56809937</t>
  </si>
  <si>
    <t>15277175807</t>
  </si>
  <si>
    <t>56805413</t>
  </si>
  <si>
    <t>15277178775</t>
  </si>
  <si>
    <t>56874446</t>
  </si>
  <si>
    <t>15277185064</t>
  </si>
  <si>
    <t>56794729</t>
  </si>
  <si>
    <t>15277185238</t>
  </si>
  <si>
    <t>56794540</t>
  </si>
  <si>
    <t>15277188118</t>
  </si>
  <si>
    <t>56795124</t>
  </si>
  <si>
    <t>15277189403</t>
  </si>
  <si>
    <t>56874494</t>
  </si>
  <si>
    <t>15277189934</t>
  </si>
  <si>
    <t>56812571</t>
  </si>
  <si>
    <t>15277189984</t>
  </si>
  <si>
    <t>58794268</t>
  </si>
  <si>
    <t>61705338</t>
  </si>
  <si>
    <t>15277191036</t>
  </si>
  <si>
    <t>56796912</t>
  </si>
  <si>
    <t>15277191313</t>
  </si>
  <si>
    <t>56797116</t>
  </si>
  <si>
    <t>15277192386</t>
  </si>
  <si>
    <t>15277195259</t>
  </si>
  <si>
    <t>15277196424</t>
  </si>
  <si>
    <t>15277196947</t>
  </si>
  <si>
    <t>15277197238</t>
  </si>
  <si>
    <t>15277197413</t>
  </si>
  <si>
    <t>15277197975</t>
  </si>
  <si>
    <t>56874251</t>
  </si>
  <si>
    <t>15277198050</t>
  </si>
  <si>
    <t>15277199117</t>
  </si>
  <si>
    <t>15277201518</t>
  </si>
  <si>
    <t>15277201639</t>
  </si>
  <si>
    <t>15277201667</t>
  </si>
  <si>
    <t>15277201922</t>
  </si>
  <si>
    <t>15277202073</t>
  </si>
  <si>
    <t>15277202510</t>
  </si>
  <si>
    <t>58751958</t>
  </si>
  <si>
    <t>15277202667</t>
  </si>
  <si>
    <t>15277202721</t>
  </si>
  <si>
    <t>15277203096</t>
  </si>
  <si>
    <t>15277203952</t>
  </si>
  <si>
    <t>15277203969</t>
  </si>
  <si>
    <t>15277204549</t>
  </si>
  <si>
    <t>56809117</t>
  </si>
  <si>
    <t>15277205549</t>
  </si>
  <si>
    <t>15277205986</t>
  </si>
  <si>
    <t>15277205987</t>
  </si>
  <si>
    <t>15277205988</t>
  </si>
  <si>
    <t>15277206823</t>
  </si>
  <si>
    <t>15277206966</t>
  </si>
  <si>
    <t>15277207095</t>
  </si>
  <si>
    <t>15277208030</t>
  </si>
  <si>
    <t>15277208039</t>
  </si>
  <si>
    <t>15277209530</t>
  </si>
  <si>
    <t>61713134</t>
  </si>
  <si>
    <t>15277209569</t>
  </si>
  <si>
    <t>15277209638</t>
  </si>
  <si>
    <t>15277209839</t>
  </si>
  <si>
    <t>15277210220</t>
  </si>
  <si>
    <t>15277210226</t>
  </si>
  <si>
    <t>15277210435</t>
  </si>
  <si>
    <t>15277210672</t>
  </si>
  <si>
    <t>15277210755</t>
  </si>
  <si>
    <t>56810625</t>
  </si>
  <si>
    <t>15277211228</t>
  </si>
  <si>
    <t>15277211232</t>
  </si>
  <si>
    <t>15277211275</t>
  </si>
  <si>
    <t>15277211554</t>
  </si>
  <si>
    <t>15277211829</t>
  </si>
  <si>
    <t>15277211883</t>
  </si>
  <si>
    <t>15277211950</t>
  </si>
  <si>
    <t>15277213562</t>
  </si>
  <si>
    <t>15277214651</t>
  </si>
  <si>
    <t>15277215029</t>
  </si>
  <si>
    <t>15277215358</t>
  </si>
  <si>
    <t>15277215469</t>
  </si>
  <si>
    <t>15277215964</t>
  </si>
  <si>
    <t>15277216141</t>
  </si>
  <si>
    <t>15277216184</t>
  </si>
  <si>
    <t>15277216536</t>
  </si>
  <si>
    <t>15277216567</t>
  </si>
  <si>
    <t>15277216569</t>
  </si>
  <si>
    <t>15277216836</t>
  </si>
  <si>
    <t>15277216953</t>
  </si>
  <si>
    <t>15277218326</t>
  </si>
  <si>
    <t>15277219078</t>
  </si>
  <si>
    <t>56813577</t>
  </si>
  <si>
    <t>15277219356</t>
  </si>
  <si>
    <t>15277219363</t>
  </si>
  <si>
    <t>15277219625</t>
  </si>
  <si>
    <t>15277219938</t>
  </si>
  <si>
    <t>15277220052</t>
  </si>
  <si>
    <t>56812873</t>
  </si>
  <si>
    <t>15277220209</t>
  </si>
  <si>
    <t>15277220241</t>
  </si>
  <si>
    <t>15277220245</t>
  </si>
  <si>
    <t>15277220904</t>
  </si>
  <si>
    <t>15277221382</t>
  </si>
  <si>
    <t>15277221397</t>
  </si>
  <si>
    <t>15277221819</t>
  </si>
  <si>
    <t>15277221907</t>
  </si>
  <si>
    <t>15277221964</t>
  </si>
  <si>
    <t>15277222051</t>
  </si>
  <si>
    <t>15277222162</t>
  </si>
  <si>
    <t>61694364</t>
  </si>
  <si>
    <t>15277222549</t>
  </si>
  <si>
    <t>15277222775</t>
  </si>
  <si>
    <t>15277222831</t>
  </si>
  <si>
    <t>15277223277</t>
  </si>
  <si>
    <t>15277223384</t>
  </si>
  <si>
    <t>15277230510</t>
  </si>
  <si>
    <t>15277230664</t>
  </si>
  <si>
    <t>61722021</t>
  </si>
  <si>
    <t>15277230679</t>
  </si>
  <si>
    <t>15277231832</t>
  </si>
  <si>
    <t>61703048</t>
  </si>
  <si>
    <t>15277234280</t>
  </si>
  <si>
    <t>15277234612</t>
  </si>
  <si>
    <t>15277234690</t>
  </si>
  <si>
    <t>15277235625</t>
  </si>
  <si>
    <t>15277236372</t>
  </si>
  <si>
    <t>15277237363</t>
  </si>
  <si>
    <t>15277237693</t>
  </si>
  <si>
    <t>15277237886</t>
  </si>
  <si>
    <t>15277238730</t>
  </si>
  <si>
    <t>15277239101</t>
  </si>
  <si>
    <t>15277239568</t>
  </si>
  <si>
    <t>15277242048</t>
  </si>
  <si>
    <t>56810206</t>
  </si>
  <si>
    <t>15277242493</t>
  </si>
  <si>
    <t>56809939</t>
  </si>
  <si>
    <t>15277242597</t>
  </si>
  <si>
    <t>56809938</t>
  </si>
  <si>
    <t>15277245523</t>
  </si>
  <si>
    <t>56805480</t>
  </si>
  <si>
    <t>15277245634</t>
  </si>
  <si>
    <t>56847447</t>
  </si>
  <si>
    <t>15277246995</t>
  </si>
  <si>
    <t>56813549</t>
  </si>
  <si>
    <t>15277247510</t>
  </si>
  <si>
    <t>56813575</t>
  </si>
  <si>
    <t>15277247989</t>
  </si>
  <si>
    <t>56810816</t>
  </si>
  <si>
    <t>15277248080</t>
  </si>
  <si>
    <t>56810810</t>
  </si>
  <si>
    <t>15277248544</t>
  </si>
  <si>
    <t>56810784</t>
  </si>
  <si>
    <t>15277248825</t>
  </si>
  <si>
    <t>56810089</t>
  </si>
  <si>
    <t>15277249171</t>
  </si>
  <si>
    <t>56809383</t>
  </si>
  <si>
    <t>15277250168</t>
  </si>
  <si>
    <t>56811024</t>
  </si>
  <si>
    <t>15277250482</t>
  </si>
  <si>
    <t>56850031</t>
  </si>
  <si>
    <t>15277251031</t>
  </si>
  <si>
    <t>56810817</t>
  </si>
  <si>
    <t>15277253509</t>
  </si>
  <si>
    <t>56810627</t>
  </si>
  <si>
    <t>15277253911</t>
  </si>
  <si>
    <t>56810622</t>
  </si>
  <si>
    <t>15277254490</t>
  </si>
  <si>
    <t>15277254558</t>
  </si>
  <si>
    <t>15277254581</t>
  </si>
  <si>
    <t>15277255516</t>
  </si>
  <si>
    <t>56811013</t>
  </si>
  <si>
    <t>15277256157</t>
  </si>
  <si>
    <t>56810713</t>
  </si>
  <si>
    <t>15277256248</t>
  </si>
  <si>
    <t>56809344</t>
  </si>
  <si>
    <t>15277256499</t>
  </si>
  <si>
    <t>56810809</t>
  </si>
  <si>
    <t>15277256849</t>
  </si>
  <si>
    <t>56812584</t>
  </si>
  <si>
    <t>15277257075</t>
  </si>
  <si>
    <t>56813581</t>
  </si>
  <si>
    <t>15277257402</t>
  </si>
  <si>
    <t>56811301</t>
  </si>
  <si>
    <t>15277258251</t>
  </si>
  <si>
    <t>56812475</t>
  </si>
  <si>
    <t>15277258504</t>
  </si>
  <si>
    <t>56810547</t>
  </si>
  <si>
    <t>15277258882</t>
  </si>
  <si>
    <t>56810204</t>
  </si>
  <si>
    <t>15277259047</t>
  </si>
  <si>
    <t>56810252</t>
  </si>
  <si>
    <t>15277259048</t>
  </si>
  <si>
    <t>56810061</t>
  </si>
  <si>
    <t>15277259182</t>
  </si>
  <si>
    <t>15277259273</t>
  </si>
  <si>
    <t>56810822</t>
  </si>
  <si>
    <t>15277259607</t>
  </si>
  <si>
    <t>56812634</t>
  </si>
  <si>
    <t>15277259994</t>
  </si>
  <si>
    <t>56812640</t>
  </si>
  <si>
    <t>15277260069</t>
  </si>
  <si>
    <t>56812828</t>
  </si>
  <si>
    <t>15277260137</t>
  </si>
  <si>
    <t>56812542</t>
  </si>
  <si>
    <t>15277260515</t>
  </si>
  <si>
    <t>56812586</t>
  </si>
  <si>
    <t>15277261131</t>
  </si>
  <si>
    <t>56812569</t>
  </si>
  <si>
    <t>15277261540</t>
  </si>
  <si>
    <t>56813574</t>
  </si>
  <si>
    <t>15277262523</t>
  </si>
  <si>
    <t>56812211</t>
  </si>
  <si>
    <t>15277262938</t>
  </si>
  <si>
    <t>15277263222</t>
  </si>
  <si>
    <t>56811028</t>
  </si>
  <si>
    <t>15277264091</t>
  </si>
  <si>
    <t>56812842</t>
  </si>
  <si>
    <t>15277264842</t>
  </si>
  <si>
    <t>56812829</t>
  </si>
  <si>
    <t>15277265060</t>
  </si>
  <si>
    <t>56813573</t>
  </si>
  <si>
    <t>15277265323</t>
  </si>
  <si>
    <t>56812587</t>
  </si>
  <si>
    <t>15277265628</t>
  </si>
  <si>
    <t>56813001</t>
  </si>
  <si>
    <t>15277265886</t>
  </si>
  <si>
    <t>56812655</t>
  </si>
  <si>
    <t>15277265929</t>
  </si>
  <si>
    <t>56813000</t>
  </si>
  <si>
    <t>15277266031</t>
  </si>
  <si>
    <t>56812870</t>
  </si>
  <si>
    <t>15277266479</t>
  </si>
  <si>
    <t>56821473</t>
  </si>
  <si>
    <t>15277266622</t>
  </si>
  <si>
    <t>56812585</t>
  </si>
  <si>
    <t>15277266880</t>
  </si>
  <si>
    <t>15277267007</t>
  </si>
  <si>
    <t>15277267014</t>
  </si>
  <si>
    <t>15277268007</t>
  </si>
  <si>
    <t>15277268125</t>
  </si>
  <si>
    <t>15277268138</t>
  </si>
  <si>
    <t>61704196</t>
  </si>
  <si>
    <t>15277268152</t>
  </si>
  <si>
    <t>15277268522</t>
  </si>
  <si>
    <t>15277269314</t>
  </si>
  <si>
    <t>15277269594</t>
  </si>
  <si>
    <t>15277270700</t>
  </si>
  <si>
    <t>15277271559</t>
  </si>
  <si>
    <t>15277271594</t>
  </si>
  <si>
    <t>15277272036</t>
  </si>
  <si>
    <t>61719103</t>
  </si>
  <si>
    <t>15277272132</t>
  </si>
  <si>
    <t>61681201</t>
  </si>
  <si>
    <t>15277272186</t>
  </si>
  <si>
    <t>15277272238</t>
  </si>
  <si>
    <t>61711470</t>
  </si>
  <si>
    <t>15277272259</t>
  </si>
  <si>
    <t>15277272407</t>
  </si>
  <si>
    <t>15277272844</t>
  </si>
  <si>
    <t>15277272916</t>
  </si>
  <si>
    <t>61687697</t>
  </si>
  <si>
    <t>15277272936</t>
  </si>
  <si>
    <t>15277273476</t>
  </si>
  <si>
    <t>15277273749</t>
  </si>
  <si>
    <t>15277273755</t>
  </si>
  <si>
    <t>15277273824</t>
  </si>
  <si>
    <t>15277274010</t>
  </si>
  <si>
    <t>15277274062</t>
  </si>
  <si>
    <t>15277274124</t>
  </si>
  <si>
    <t>15277274169</t>
  </si>
  <si>
    <t>15277274181</t>
  </si>
  <si>
    <t>15277274185</t>
  </si>
  <si>
    <t>15277274637</t>
  </si>
  <si>
    <t>15277274702</t>
  </si>
  <si>
    <t>15277274949</t>
  </si>
  <si>
    <t>15277274979</t>
  </si>
  <si>
    <t>15277275018</t>
  </si>
  <si>
    <t>15277275177</t>
  </si>
  <si>
    <t>15277275288</t>
  </si>
  <si>
    <t>15277275432</t>
  </si>
  <si>
    <t>15277275442</t>
  </si>
  <si>
    <t>15277275746</t>
  </si>
  <si>
    <t>15277275777</t>
  </si>
  <si>
    <t>15277275897</t>
  </si>
  <si>
    <t>15277276039</t>
  </si>
  <si>
    <t>15277276070</t>
  </si>
  <si>
    <t>15277276202</t>
  </si>
  <si>
    <t>15277276515</t>
  </si>
  <si>
    <t>15277276676</t>
  </si>
  <si>
    <t>15277276957</t>
  </si>
  <si>
    <t>15277277278</t>
  </si>
  <si>
    <t>15277277328</t>
  </si>
  <si>
    <t>15277277452</t>
  </si>
  <si>
    <t>15277277453</t>
  </si>
  <si>
    <t>15277277483</t>
  </si>
  <si>
    <t>15277277508</t>
  </si>
  <si>
    <t>15277277510</t>
  </si>
  <si>
    <t>15277277564</t>
  </si>
  <si>
    <t>15277277567</t>
  </si>
  <si>
    <t>15277277569</t>
  </si>
  <si>
    <t>15277277653</t>
  </si>
  <si>
    <t>15277277826</t>
  </si>
  <si>
    <t>15277277827</t>
  </si>
  <si>
    <t>15277277855</t>
  </si>
  <si>
    <t>15277277870</t>
  </si>
  <si>
    <t>15277278096</t>
  </si>
  <si>
    <t>61719701</t>
  </si>
  <si>
    <t>15277278101</t>
  </si>
  <si>
    <t>15277278590</t>
  </si>
  <si>
    <t>15277278600</t>
  </si>
  <si>
    <t>15277278627</t>
  </si>
  <si>
    <t>15277278664</t>
  </si>
  <si>
    <t>15277278708</t>
  </si>
  <si>
    <t>15277278737</t>
  </si>
  <si>
    <t>61726016</t>
  </si>
  <si>
    <t>15277278820</t>
  </si>
  <si>
    <t>15277279035</t>
  </si>
  <si>
    <t>15277279036</t>
  </si>
  <si>
    <t>61729171</t>
  </si>
  <si>
    <t>15277279267</t>
  </si>
  <si>
    <t>15277279314</t>
  </si>
  <si>
    <t>61680527</t>
  </si>
  <si>
    <t>15277279378</t>
  </si>
  <si>
    <t>15277279604</t>
  </si>
  <si>
    <t>15277279650</t>
  </si>
  <si>
    <t>15277280367</t>
  </si>
  <si>
    <t>15277280435</t>
  </si>
  <si>
    <t>61699307</t>
  </si>
  <si>
    <t>15277280542</t>
  </si>
  <si>
    <t>15277280565</t>
  </si>
  <si>
    <t>15277280613</t>
  </si>
  <si>
    <t>15277280614</t>
  </si>
  <si>
    <t>15277281087</t>
  </si>
  <si>
    <t>15277281124</t>
  </si>
  <si>
    <t>15277281173</t>
  </si>
  <si>
    <t>15277281410</t>
  </si>
  <si>
    <t>15277281923</t>
  </si>
  <si>
    <t>15277282002</t>
  </si>
  <si>
    <t>15277282136</t>
  </si>
  <si>
    <t>15277282184</t>
  </si>
  <si>
    <t>15277282495</t>
  </si>
  <si>
    <t>15277282496</t>
  </si>
  <si>
    <t>61732503</t>
  </si>
  <si>
    <t>15277282507</t>
  </si>
  <si>
    <t>15277282527</t>
  </si>
  <si>
    <t>15277282691</t>
  </si>
  <si>
    <t>15277283101</t>
  </si>
  <si>
    <t>15277283237</t>
  </si>
  <si>
    <t>15277283337</t>
  </si>
  <si>
    <t>15277283402</t>
  </si>
  <si>
    <t>15277283432</t>
  </si>
  <si>
    <t>15277283471</t>
  </si>
  <si>
    <t>15277283810</t>
  </si>
  <si>
    <t>61686598</t>
  </si>
  <si>
    <t>15277283811</t>
  </si>
  <si>
    <t>15277284259</t>
  </si>
  <si>
    <t>15277284446</t>
  </si>
  <si>
    <t>15277284587</t>
  </si>
  <si>
    <t>15277284704</t>
  </si>
  <si>
    <t>15277284822</t>
  </si>
  <si>
    <t>15277284902</t>
  </si>
  <si>
    <t>15277284935</t>
  </si>
  <si>
    <t>56830828</t>
  </si>
  <si>
    <t>15277285141</t>
  </si>
  <si>
    <t>15277285143</t>
  </si>
  <si>
    <t>15277285156</t>
  </si>
  <si>
    <t>15277285157</t>
  </si>
  <si>
    <t>15277285208</t>
  </si>
  <si>
    <t>15277285308</t>
  </si>
  <si>
    <t>15277285428</t>
  </si>
  <si>
    <t>15277285468</t>
  </si>
  <si>
    <t>56830826</t>
  </si>
  <si>
    <t>15277285682</t>
  </si>
  <si>
    <t>15277285771</t>
  </si>
  <si>
    <t>15277285823</t>
  </si>
  <si>
    <t>15277285859</t>
  </si>
  <si>
    <t>15277285963</t>
  </si>
  <si>
    <t>15277286732</t>
  </si>
  <si>
    <t>15277289745</t>
  </si>
  <si>
    <t>15277290138</t>
  </si>
  <si>
    <t>15277295073</t>
  </si>
  <si>
    <t>15277297897</t>
  </si>
  <si>
    <t>15277298213</t>
  </si>
  <si>
    <t>56845510</t>
  </si>
  <si>
    <t>15277305301</t>
  </si>
  <si>
    <t>56828523</t>
  </si>
  <si>
    <t>15277307646</t>
  </si>
  <si>
    <t>56832926</t>
  </si>
  <si>
    <t>15277308865</t>
  </si>
  <si>
    <t>56826131</t>
  </si>
  <si>
    <t>15277310014</t>
  </si>
  <si>
    <t>56845361</t>
  </si>
  <si>
    <t>15277314098</t>
  </si>
  <si>
    <t>56831150</t>
  </si>
  <si>
    <t>15277314288</t>
  </si>
  <si>
    <t>56832800</t>
  </si>
  <si>
    <t>15277330897</t>
  </si>
  <si>
    <t>56831081</t>
  </si>
  <si>
    <t>15277332928</t>
  </si>
  <si>
    <t>56828425</t>
  </si>
  <si>
    <t>15277333222</t>
  </si>
  <si>
    <t>56829483</t>
  </si>
  <si>
    <t>15277334741</t>
  </si>
  <si>
    <t>56843995</t>
  </si>
  <si>
    <t>15277335263</t>
  </si>
  <si>
    <t>56834004</t>
  </si>
  <si>
    <t>15277335482</t>
  </si>
  <si>
    <t>15277337462</t>
  </si>
  <si>
    <t>56829499</t>
  </si>
  <si>
    <t>15277337536</t>
  </si>
  <si>
    <t>15277338086</t>
  </si>
  <si>
    <t>56862268</t>
  </si>
  <si>
    <t>15277339158</t>
  </si>
  <si>
    <t>56831074</t>
  </si>
  <si>
    <t>15277342476</t>
  </si>
  <si>
    <t>15277343735</t>
  </si>
  <si>
    <t>15277344655</t>
  </si>
  <si>
    <t>15277344721</t>
  </si>
  <si>
    <t>15277345351</t>
  </si>
  <si>
    <t>15277345601</t>
  </si>
  <si>
    <t>15277345937</t>
  </si>
  <si>
    <t>15277346905</t>
  </si>
  <si>
    <t>56847540</t>
  </si>
  <si>
    <t>15277347455</t>
  </si>
  <si>
    <t>15277347539</t>
  </si>
  <si>
    <t>15277347679</t>
  </si>
  <si>
    <t>15277347702</t>
  </si>
  <si>
    <t>15277347803</t>
  </si>
  <si>
    <t>15277348266</t>
  </si>
  <si>
    <t>61680261</t>
  </si>
  <si>
    <t>15277348334</t>
  </si>
  <si>
    <t>15277350172</t>
  </si>
  <si>
    <t>15277350301</t>
  </si>
  <si>
    <t>56850790</t>
  </si>
  <si>
    <t>15277350674</t>
  </si>
  <si>
    <t>15277350883</t>
  </si>
  <si>
    <t>61710887</t>
  </si>
  <si>
    <t>15277351342</t>
  </si>
  <si>
    <t>15277351449</t>
  </si>
  <si>
    <t>15277352666</t>
  </si>
  <si>
    <t>61725176</t>
  </si>
  <si>
    <t>15277354882</t>
  </si>
  <si>
    <t>15277355336</t>
  </si>
  <si>
    <t>15277381165</t>
  </si>
  <si>
    <t>56847939</t>
  </si>
  <si>
    <t>15277388581</t>
  </si>
  <si>
    <t>15277398743</t>
  </si>
  <si>
    <t>15277403796</t>
  </si>
  <si>
    <t>56850214</t>
  </si>
  <si>
    <t>15277404628</t>
  </si>
  <si>
    <t>15277406026</t>
  </si>
  <si>
    <t>56850037</t>
  </si>
  <si>
    <t>15277409658</t>
  </si>
  <si>
    <t>61690122</t>
  </si>
  <si>
    <t>15277409664</t>
  </si>
  <si>
    <t>15277410665</t>
  </si>
  <si>
    <t>15277412289</t>
  </si>
  <si>
    <t>15277412372</t>
  </si>
  <si>
    <t>15277412476</t>
  </si>
  <si>
    <t>15277412534</t>
  </si>
  <si>
    <t>15277412821</t>
  </si>
  <si>
    <t>15277414139</t>
  </si>
  <si>
    <t>15277416679</t>
  </si>
  <si>
    <t>15277416937</t>
  </si>
  <si>
    <t>15277417039</t>
  </si>
  <si>
    <t>15277417414</t>
  </si>
  <si>
    <t>15277418642</t>
  </si>
  <si>
    <t>56856169</t>
  </si>
  <si>
    <t>15277418724</t>
  </si>
  <si>
    <t>15277419654</t>
  </si>
  <si>
    <t>15277421124</t>
  </si>
  <si>
    <t>56861367</t>
  </si>
  <si>
    <t>15277421255</t>
  </si>
  <si>
    <t>15277422542</t>
  </si>
  <si>
    <t>15277426533</t>
  </si>
  <si>
    <t>56862108</t>
  </si>
  <si>
    <t>15277427896</t>
  </si>
  <si>
    <t>56861668</t>
  </si>
  <si>
    <t>15277429235</t>
  </si>
  <si>
    <t>56864576</t>
  </si>
  <si>
    <t>15277435056</t>
  </si>
  <si>
    <t>15277439410</t>
  </si>
  <si>
    <t>56859393</t>
  </si>
  <si>
    <t>15277439475</t>
  </si>
  <si>
    <t>56859158</t>
  </si>
  <si>
    <t>15277441266</t>
  </si>
  <si>
    <t>56860051</t>
  </si>
  <si>
    <t>15277441459</t>
  </si>
  <si>
    <t>56856214</t>
  </si>
  <si>
    <t>15277441604</t>
  </si>
  <si>
    <t>56858017</t>
  </si>
  <si>
    <t>15277442412</t>
  </si>
  <si>
    <t>56862267</t>
  </si>
  <si>
    <t>15277442905</t>
  </si>
  <si>
    <t>56862021</t>
  </si>
  <si>
    <t>15277444472</t>
  </si>
  <si>
    <t>56859164</t>
  </si>
  <si>
    <t>15277444473</t>
  </si>
  <si>
    <t>56859171</t>
  </si>
  <si>
    <t>15277444771</t>
  </si>
  <si>
    <t>56859014</t>
  </si>
  <si>
    <t>15277445274</t>
  </si>
  <si>
    <t>56859827</t>
  </si>
  <si>
    <t>15277445790</t>
  </si>
  <si>
    <t>56856286</t>
  </si>
  <si>
    <t>15277445798</t>
  </si>
  <si>
    <t>56859829</t>
  </si>
  <si>
    <t>15277445799</t>
  </si>
  <si>
    <t>56859824</t>
  </si>
  <si>
    <t>15277445836</t>
  </si>
  <si>
    <t>56859580</t>
  </si>
  <si>
    <t>15277446386</t>
  </si>
  <si>
    <t>56858143</t>
  </si>
  <si>
    <t>15277446666</t>
  </si>
  <si>
    <t>56859825</t>
  </si>
  <si>
    <t>15277446753</t>
  </si>
  <si>
    <t>56861693</t>
  </si>
  <si>
    <t>15277447672</t>
  </si>
  <si>
    <t>56861946</t>
  </si>
  <si>
    <t>15277447833</t>
  </si>
  <si>
    <t>56875931</t>
  </si>
  <si>
    <t>15277448047</t>
  </si>
  <si>
    <t>15277448081</t>
  </si>
  <si>
    <t>56875933</t>
  </si>
  <si>
    <t>15277448351</t>
  </si>
  <si>
    <t>56859801</t>
  </si>
  <si>
    <t>15277448776</t>
  </si>
  <si>
    <t>56861697</t>
  </si>
  <si>
    <t>15277449077</t>
  </si>
  <si>
    <t>56861838</t>
  </si>
  <si>
    <t>15277449090</t>
  </si>
  <si>
    <t>56859390</t>
  </si>
  <si>
    <t>15277449223</t>
  </si>
  <si>
    <t>56859398</t>
  </si>
  <si>
    <t>15277449390</t>
  </si>
  <si>
    <t>56859395</t>
  </si>
  <si>
    <t>15277449570</t>
  </si>
  <si>
    <t>56859569</t>
  </si>
  <si>
    <t>15277449819</t>
  </si>
  <si>
    <t>56859156</t>
  </si>
  <si>
    <t>15277457627</t>
  </si>
  <si>
    <t>56862121</t>
  </si>
  <si>
    <t>15277460835</t>
  </si>
  <si>
    <t>56861948</t>
  </si>
  <si>
    <t>15277460886</t>
  </si>
  <si>
    <t>56862115</t>
  </si>
  <si>
    <t>15277460914</t>
  </si>
  <si>
    <t>56861943</t>
  </si>
  <si>
    <t>15277461363</t>
  </si>
  <si>
    <t>56861593</t>
  </si>
  <si>
    <t>15277461873</t>
  </si>
  <si>
    <t>56862490</t>
  </si>
  <si>
    <t>15277461875</t>
  </si>
  <si>
    <t>56862489</t>
  </si>
  <si>
    <t>15277461876</t>
  </si>
  <si>
    <t>56862475</t>
  </si>
  <si>
    <t>15277462153</t>
  </si>
  <si>
    <t>56862271</t>
  </si>
  <si>
    <t>15277462810</t>
  </si>
  <si>
    <t>56861892</t>
  </si>
  <si>
    <t>15277463036</t>
  </si>
  <si>
    <t>56864517</t>
  </si>
  <si>
    <t>15277463174</t>
  </si>
  <si>
    <t>56863839</t>
  </si>
  <si>
    <t>15277463597</t>
  </si>
  <si>
    <t>56862505</t>
  </si>
  <si>
    <t>15277463888</t>
  </si>
  <si>
    <t>56862113</t>
  </si>
  <si>
    <t>15277463900</t>
  </si>
  <si>
    <t>56862106</t>
  </si>
  <si>
    <t>15277465281</t>
  </si>
  <si>
    <t>56861595</t>
  </si>
  <si>
    <t>15277465540</t>
  </si>
  <si>
    <t>56862495</t>
  </si>
  <si>
    <t>15277465627</t>
  </si>
  <si>
    <t>56862266</t>
  </si>
  <si>
    <t>15277466724</t>
  </si>
  <si>
    <t>56875229</t>
  </si>
  <si>
    <t>15277466829</t>
  </si>
  <si>
    <t>56875738</t>
  </si>
  <si>
    <t>15277467808</t>
  </si>
  <si>
    <t>15277467984</t>
  </si>
  <si>
    <t>56863838</t>
  </si>
  <si>
    <t>15277468020</t>
  </si>
  <si>
    <t>15277468951</t>
  </si>
  <si>
    <t>56862510</t>
  </si>
  <si>
    <t>15277469429</t>
  </si>
  <si>
    <t>56861654</t>
  </si>
  <si>
    <t>15277469473</t>
  </si>
  <si>
    <t>15277469598</t>
  </si>
  <si>
    <t>56860589</t>
  </si>
  <si>
    <t>15277469954</t>
  </si>
  <si>
    <t>56864006</t>
  </si>
  <si>
    <t>15277470405</t>
  </si>
  <si>
    <t>56862507</t>
  </si>
  <si>
    <t>15277471012</t>
  </si>
  <si>
    <t>15277471579</t>
  </si>
  <si>
    <t>15277472366</t>
  </si>
  <si>
    <t>15277472371</t>
  </si>
  <si>
    <t>15277473331</t>
  </si>
  <si>
    <t>15277473505</t>
  </si>
  <si>
    <t>15277473566</t>
  </si>
  <si>
    <t>15277473693</t>
  </si>
  <si>
    <t>15277473823</t>
  </si>
  <si>
    <t>15277474074</t>
  </si>
  <si>
    <t>15277474089</t>
  </si>
  <si>
    <t>15277474134</t>
  </si>
  <si>
    <t>15277474201</t>
  </si>
  <si>
    <t>15277474340</t>
  </si>
  <si>
    <t>15277474368</t>
  </si>
  <si>
    <t>15277474380</t>
  </si>
  <si>
    <t>15277475291</t>
  </si>
  <si>
    <t>15277475428</t>
  </si>
  <si>
    <t>15277476015</t>
  </si>
  <si>
    <t>15277476561</t>
  </si>
  <si>
    <t>15277476848</t>
  </si>
  <si>
    <t>15277477107</t>
  </si>
  <si>
    <t>15277477108</t>
  </si>
  <si>
    <t>15277477627</t>
  </si>
  <si>
    <t>15277477728</t>
  </si>
  <si>
    <t>15277477957</t>
  </si>
  <si>
    <t>15277478244</t>
  </si>
  <si>
    <t>15277479330</t>
  </si>
  <si>
    <t>15277495062</t>
  </si>
  <si>
    <t>56878593</t>
  </si>
  <si>
    <t>15277497459</t>
  </si>
  <si>
    <t>56879073</t>
  </si>
  <si>
    <t>15277497721</t>
  </si>
  <si>
    <t>56874860</t>
  </si>
  <si>
    <t>15277498355</t>
  </si>
  <si>
    <t>56878703</t>
  </si>
  <si>
    <t>15277501385</t>
  </si>
  <si>
    <t>15277503553</t>
  </si>
  <si>
    <t>15277505905</t>
  </si>
  <si>
    <t>15277509381</t>
  </si>
  <si>
    <t>56879732</t>
  </si>
  <si>
    <t>15277512371</t>
  </si>
  <si>
    <t>56876568</t>
  </si>
  <si>
    <t>15277512676</t>
  </si>
  <si>
    <t>61686680</t>
  </si>
  <si>
    <t>56876102</t>
  </si>
  <si>
    <t>15277512772</t>
  </si>
  <si>
    <t>15277513191</t>
  </si>
  <si>
    <t>56874979</t>
  </si>
  <si>
    <t>15277514087</t>
  </si>
  <si>
    <t>56876321</t>
  </si>
  <si>
    <t>15277517655</t>
  </si>
  <si>
    <t>56875700</t>
  </si>
  <si>
    <t>15277518507</t>
  </si>
  <si>
    <t>56875324</t>
  </si>
  <si>
    <t>15277519080</t>
  </si>
  <si>
    <t>56875186</t>
  </si>
  <si>
    <t>15277519617</t>
  </si>
  <si>
    <t>56875120</t>
  </si>
  <si>
    <t>15277520153</t>
  </si>
  <si>
    <t>56876440</t>
  </si>
  <si>
    <t>15277520158</t>
  </si>
  <si>
    <t>56876311</t>
  </si>
  <si>
    <t>15277526258</t>
  </si>
  <si>
    <t>15277526793</t>
  </si>
  <si>
    <t>56879488</t>
  </si>
  <si>
    <t>15277527410</t>
  </si>
  <si>
    <t>56879689</t>
  </si>
  <si>
    <t>15277528424</t>
  </si>
  <si>
    <t>15277528449</t>
  </si>
  <si>
    <t>15277529774</t>
  </si>
  <si>
    <t>15277530373</t>
  </si>
  <si>
    <t>15277533380</t>
  </si>
  <si>
    <t>15277533548</t>
  </si>
  <si>
    <t>15277533694</t>
  </si>
  <si>
    <t>15277534245</t>
  </si>
  <si>
    <t>15277534445</t>
  </si>
  <si>
    <t>15277536084</t>
  </si>
  <si>
    <t>15277536190</t>
  </si>
  <si>
    <t>15277536408</t>
  </si>
  <si>
    <t>15277537117</t>
  </si>
  <si>
    <t>15277537126</t>
  </si>
  <si>
    <t>15277537167</t>
  </si>
  <si>
    <t>15277537535</t>
  </si>
  <si>
    <t>15277537859</t>
  </si>
  <si>
    <t>15277538582</t>
  </si>
  <si>
    <t>15277538767</t>
  </si>
  <si>
    <t>15277538784</t>
  </si>
  <si>
    <t>15277539237</t>
  </si>
  <si>
    <t>61712434</t>
  </si>
  <si>
    <t>15277539285</t>
  </si>
  <si>
    <t>15277539584</t>
  </si>
  <si>
    <t>15277541881</t>
  </si>
  <si>
    <t>15277541959</t>
  </si>
  <si>
    <t>15277542269</t>
  </si>
  <si>
    <t>15277542521</t>
  </si>
  <si>
    <t>15277542654</t>
  </si>
  <si>
    <t>15277543180</t>
  </si>
  <si>
    <t>15277544039</t>
  </si>
  <si>
    <t>15277544628</t>
  </si>
  <si>
    <t>15277558268</t>
  </si>
  <si>
    <t>56892538</t>
  </si>
  <si>
    <t>15277568686</t>
  </si>
  <si>
    <t>15277575532</t>
  </si>
  <si>
    <t>56892163</t>
  </si>
  <si>
    <t>15277578553</t>
  </si>
  <si>
    <t>56891758</t>
  </si>
  <si>
    <t>15277580761</t>
  </si>
  <si>
    <t>56892152</t>
  </si>
  <si>
    <t>15277582817</t>
  </si>
  <si>
    <t>56892804</t>
  </si>
  <si>
    <t>15277583112</t>
  </si>
  <si>
    <t>56892797</t>
  </si>
  <si>
    <t>15277583113</t>
  </si>
  <si>
    <t>56892827</t>
  </si>
  <si>
    <t>15277583159</t>
  </si>
  <si>
    <t>56892844</t>
  </si>
  <si>
    <t>15277583326</t>
  </si>
  <si>
    <t>56892818</t>
  </si>
  <si>
    <t>15277586925</t>
  </si>
  <si>
    <t>56911221</t>
  </si>
  <si>
    <t>15277589886</t>
  </si>
  <si>
    <t>56892300</t>
  </si>
  <si>
    <t>15277590284</t>
  </si>
  <si>
    <t>56892169</t>
  </si>
  <si>
    <t>15277591368</t>
  </si>
  <si>
    <t>56896189</t>
  </si>
  <si>
    <t>15277591445</t>
  </si>
  <si>
    <t>56896368</t>
  </si>
  <si>
    <t>15277591596</t>
  </si>
  <si>
    <t>56896461</t>
  </si>
  <si>
    <t>15277592374</t>
  </si>
  <si>
    <t>56896338</t>
  </si>
  <si>
    <t>15277592418</t>
  </si>
  <si>
    <t>56893399</t>
  </si>
  <si>
    <t>15277592545</t>
  </si>
  <si>
    <t>58807375</t>
  </si>
  <si>
    <t>15277592664</t>
  </si>
  <si>
    <t>58807750</t>
  </si>
  <si>
    <t>15277593133</t>
  </si>
  <si>
    <t>56896820</t>
  </si>
  <si>
    <t>15277593257</t>
  </si>
  <si>
    <t>56896796</t>
  </si>
  <si>
    <t>15277593464</t>
  </si>
  <si>
    <t>56896560</t>
  </si>
  <si>
    <t>15277594378</t>
  </si>
  <si>
    <t>56898255</t>
  </si>
  <si>
    <t>15277594815</t>
  </si>
  <si>
    <t>56896976</t>
  </si>
  <si>
    <t>15277596915</t>
  </si>
  <si>
    <t>56898806</t>
  </si>
  <si>
    <t>15277597274</t>
  </si>
  <si>
    <t>56897098</t>
  </si>
  <si>
    <t>15277597438</t>
  </si>
  <si>
    <t>56897081</t>
  </si>
  <si>
    <t>15277598111</t>
  </si>
  <si>
    <t>56898892</t>
  </si>
  <si>
    <t>15277598602</t>
  </si>
  <si>
    <t>15277604188</t>
  </si>
  <si>
    <t>15277604389</t>
  </si>
  <si>
    <t>15277604449</t>
  </si>
  <si>
    <t>15277604724</t>
  </si>
  <si>
    <t>15277605312</t>
  </si>
  <si>
    <t>15277605822</t>
  </si>
  <si>
    <t>15277606365</t>
  </si>
  <si>
    <t>15277606519</t>
  </si>
  <si>
    <t>15277606578</t>
  </si>
  <si>
    <t>15277607185</t>
  </si>
  <si>
    <t>15277607498</t>
  </si>
  <si>
    <t>15277608384</t>
  </si>
  <si>
    <t>15277608600</t>
  </si>
  <si>
    <t>15277608642</t>
  </si>
  <si>
    <t>15277608848</t>
  </si>
  <si>
    <t>15277609040</t>
  </si>
  <si>
    <t>15277609235</t>
  </si>
  <si>
    <t>15277609754</t>
  </si>
  <si>
    <t>15277609828</t>
  </si>
  <si>
    <t>15277609995</t>
  </si>
  <si>
    <t>56898866</t>
  </si>
  <si>
    <t>15277615801</t>
  </si>
  <si>
    <t>15277616574</t>
  </si>
  <si>
    <t>15277629733</t>
  </si>
  <si>
    <t>15277638961</t>
  </si>
  <si>
    <t>56911443</t>
  </si>
  <si>
    <t>15277644436</t>
  </si>
  <si>
    <t>Mazda CX-5 &amp; CX-9 : Combo : Sales Event</t>
  </si>
  <si>
    <t>15277647640</t>
  </si>
  <si>
    <t>56911639</t>
  </si>
  <si>
    <t>15277651236</t>
  </si>
  <si>
    <t>56915076</t>
  </si>
  <si>
    <t>15277652373</t>
  </si>
  <si>
    <t>15277653636</t>
  </si>
  <si>
    <t>61716716</t>
  </si>
  <si>
    <t>15277658498</t>
  </si>
  <si>
    <t>56914122</t>
  </si>
  <si>
    <t>15277659695</t>
  </si>
  <si>
    <t>56915150</t>
  </si>
  <si>
    <t>15277661081</t>
  </si>
  <si>
    <t>15277661473</t>
  </si>
  <si>
    <t>15277661511</t>
  </si>
  <si>
    <t>15277661903</t>
  </si>
  <si>
    <t>15277665326</t>
  </si>
  <si>
    <t>15277665561</t>
  </si>
  <si>
    <t>15277665566</t>
  </si>
  <si>
    <t>15277665998</t>
  </si>
  <si>
    <t>15277666682</t>
  </si>
  <si>
    <t>15277666683</t>
  </si>
  <si>
    <t>15277667054</t>
  </si>
  <si>
    <t>15277667498</t>
  </si>
  <si>
    <t>15277668314</t>
  </si>
  <si>
    <t>15277668548</t>
  </si>
  <si>
    <t>56928211</t>
  </si>
  <si>
    <t>15277668655</t>
  </si>
  <si>
    <t>15277668943</t>
  </si>
  <si>
    <t>15277668994</t>
  </si>
  <si>
    <t>15277670947</t>
  </si>
  <si>
    <t>15277671061</t>
  </si>
  <si>
    <t>15277671078</t>
  </si>
  <si>
    <t>15277671145</t>
  </si>
  <si>
    <t>15277671682</t>
  </si>
  <si>
    <t>15277678985</t>
  </si>
  <si>
    <t>15277679148</t>
  </si>
  <si>
    <t>15277679359</t>
  </si>
  <si>
    <t>15277680015</t>
  </si>
  <si>
    <t>15277681466</t>
  </si>
  <si>
    <t>15277701660</t>
  </si>
  <si>
    <t>56926684</t>
  </si>
  <si>
    <t>15277702882</t>
  </si>
  <si>
    <t>56925351</t>
  </si>
  <si>
    <t>15277704620</t>
  </si>
  <si>
    <t>56927917</t>
  </si>
  <si>
    <t>15277708932</t>
  </si>
  <si>
    <t>56927020</t>
  </si>
  <si>
    <t>15277711669</t>
  </si>
  <si>
    <t>56930194</t>
  </si>
  <si>
    <t>15277713709</t>
  </si>
  <si>
    <t>15277715243</t>
  </si>
  <si>
    <t>56927501</t>
  </si>
  <si>
    <t>15277717735</t>
  </si>
  <si>
    <t>15277717736</t>
  </si>
  <si>
    <t>15277721411</t>
  </si>
  <si>
    <t>56929852</t>
  </si>
  <si>
    <t>15277722832</t>
  </si>
  <si>
    <t>56930714</t>
  </si>
  <si>
    <t>15277722889</t>
  </si>
  <si>
    <t>15277724281</t>
  </si>
  <si>
    <t>15277724316</t>
  </si>
  <si>
    <t>15277724575</t>
  </si>
  <si>
    <t>15277725035</t>
  </si>
  <si>
    <t>56930068</t>
  </si>
  <si>
    <t>15277725240</t>
  </si>
  <si>
    <t>56930716</t>
  </si>
  <si>
    <t>15277725427</t>
  </si>
  <si>
    <t>56930685</t>
  </si>
  <si>
    <t>15277725478</t>
  </si>
  <si>
    <t>56930717</t>
  </si>
  <si>
    <t>15277728026</t>
  </si>
  <si>
    <t>61675020</t>
  </si>
  <si>
    <t>15277728182</t>
  </si>
  <si>
    <t>56930681</t>
  </si>
  <si>
    <t>15277728239</t>
  </si>
  <si>
    <t>56930683</t>
  </si>
  <si>
    <t>15277728765</t>
  </si>
  <si>
    <t>15277729151</t>
  </si>
  <si>
    <t>15277729243</t>
  </si>
  <si>
    <t>15277729325</t>
  </si>
  <si>
    <t>15277729364</t>
  </si>
  <si>
    <t>15277729730</t>
  </si>
  <si>
    <t>61707221</t>
  </si>
  <si>
    <t>15277730258</t>
  </si>
  <si>
    <t>15277730264</t>
  </si>
  <si>
    <t>15277730272</t>
  </si>
  <si>
    <t>15277730322</t>
  </si>
  <si>
    <t>61691644</t>
  </si>
  <si>
    <t>15277730825</t>
  </si>
  <si>
    <t>15277730831</t>
  </si>
  <si>
    <t>15277731221</t>
  </si>
  <si>
    <t>15277731262</t>
  </si>
  <si>
    <t>15277731292</t>
  </si>
  <si>
    <t>15277731899</t>
  </si>
  <si>
    <t>15277732091</t>
  </si>
  <si>
    <t>15277732257</t>
  </si>
  <si>
    <t>61729128</t>
  </si>
  <si>
    <t>15277732597</t>
  </si>
  <si>
    <t>15277732614</t>
  </si>
  <si>
    <t>15277733043</t>
  </si>
  <si>
    <t>15277733210</t>
  </si>
  <si>
    <t>15277733310</t>
  </si>
  <si>
    <t>61709476</t>
  </si>
  <si>
    <t>15277733322</t>
  </si>
  <si>
    <t>56941228</t>
  </si>
  <si>
    <t>15277733691</t>
  </si>
  <si>
    <t>15277733886</t>
  </si>
  <si>
    <t>15277734092</t>
  </si>
  <si>
    <t>15277734156</t>
  </si>
  <si>
    <t>15277734196</t>
  </si>
  <si>
    <t>61729783</t>
  </si>
  <si>
    <t>15277734266</t>
  </si>
  <si>
    <t>61691341</t>
  </si>
  <si>
    <t>15277734410</t>
  </si>
  <si>
    <t>15277734540</t>
  </si>
  <si>
    <t>15277734572</t>
  </si>
  <si>
    <t>61701276</t>
  </si>
  <si>
    <t>15277734638</t>
  </si>
  <si>
    <t>15277734660</t>
  </si>
  <si>
    <t>15277734690</t>
  </si>
  <si>
    <t>15277734745</t>
  </si>
  <si>
    <t>15277734776</t>
  </si>
  <si>
    <t>15277734796</t>
  </si>
  <si>
    <t>15277734815</t>
  </si>
  <si>
    <t>15277734816</t>
  </si>
  <si>
    <t>15277734819</t>
  </si>
  <si>
    <t>15277734820</t>
  </si>
  <si>
    <t>15277735175</t>
  </si>
  <si>
    <t>15277735380</t>
  </si>
  <si>
    <t>15277735381</t>
  </si>
  <si>
    <t>15277735412</t>
  </si>
  <si>
    <t>61688419</t>
  </si>
  <si>
    <t>15277735842</t>
  </si>
  <si>
    <t>15277736313</t>
  </si>
  <si>
    <t>15277736363</t>
  </si>
  <si>
    <t>15277736637</t>
  </si>
  <si>
    <t>15277737598</t>
  </si>
  <si>
    <t>15277738013</t>
  </si>
  <si>
    <t>15277738222</t>
  </si>
  <si>
    <t>15277738316</t>
  </si>
  <si>
    <t>15277738355</t>
  </si>
  <si>
    <t>15277739926</t>
  </si>
  <si>
    <t>15277739988</t>
  </si>
  <si>
    <t>15277740043</t>
  </si>
  <si>
    <t>15277740044</t>
  </si>
  <si>
    <t>15277740478</t>
  </si>
  <si>
    <t>56941994</t>
  </si>
  <si>
    <t>15277740972</t>
  </si>
  <si>
    <t>15277741218</t>
  </si>
  <si>
    <t>15277742740</t>
  </si>
  <si>
    <t>15277751203</t>
  </si>
  <si>
    <t>15277752194</t>
  </si>
  <si>
    <t>15277752457</t>
  </si>
  <si>
    <t>15277761792</t>
  </si>
  <si>
    <t>56943116</t>
  </si>
  <si>
    <t>15277767952</t>
  </si>
  <si>
    <t>56944653</t>
  </si>
  <si>
    <t>15277770314</t>
  </si>
  <si>
    <t>15277772306</t>
  </si>
  <si>
    <t>15277782477</t>
  </si>
  <si>
    <t>56962670</t>
  </si>
  <si>
    <t>15277784995</t>
  </si>
  <si>
    <t>56977473</t>
  </si>
  <si>
    <t>15277785520</t>
  </si>
  <si>
    <t>56966123</t>
  </si>
  <si>
    <t>15277785625</t>
  </si>
  <si>
    <t>56975563</t>
  </si>
  <si>
    <t>15277785627</t>
  </si>
  <si>
    <t>56962773</t>
  </si>
  <si>
    <t>15277788623</t>
  </si>
  <si>
    <t>56962836</t>
  </si>
  <si>
    <t>15277790416</t>
  </si>
  <si>
    <t>56951033</t>
  </si>
  <si>
    <t>15277793554</t>
  </si>
  <si>
    <t>15277794399</t>
  </si>
  <si>
    <t>15277795905</t>
  </si>
  <si>
    <t>15277796987</t>
  </si>
  <si>
    <t>15277797626</t>
  </si>
  <si>
    <t>15277798434</t>
  </si>
  <si>
    <t>15277800595</t>
  </si>
  <si>
    <t>15277801614</t>
  </si>
  <si>
    <t>61717009</t>
  </si>
  <si>
    <t>15277802146</t>
  </si>
  <si>
    <t>15277802328</t>
  </si>
  <si>
    <t>15277802671</t>
  </si>
  <si>
    <t>15277804672</t>
  </si>
  <si>
    <t>15277806057</t>
  </si>
  <si>
    <t>15277810948</t>
  </si>
  <si>
    <t>15277829670</t>
  </si>
  <si>
    <t>56962163</t>
  </si>
  <si>
    <t>15277833121</t>
  </si>
  <si>
    <t>56950916</t>
  </si>
  <si>
    <t>15277841117</t>
  </si>
  <si>
    <t>56957504</t>
  </si>
  <si>
    <t>15277841997</t>
  </si>
  <si>
    <t>56962509</t>
  </si>
  <si>
    <t>15277842087</t>
  </si>
  <si>
    <t>56962511</t>
  </si>
  <si>
    <t>15277850832</t>
  </si>
  <si>
    <t>56962840</t>
  </si>
  <si>
    <t>15277852258</t>
  </si>
  <si>
    <t>15277852271</t>
  </si>
  <si>
    <t>56962990</t>
  </si>
  <si>
    <t>15277854855</t>
  </si>
  <si>
    <t>15277854890</t>
  </si>
  <si>
    <t>15277855662</t>
  </si>
  <si>
    <t>15277855794</t>
  </si>
  <si>
    <t>56962992</t>
  </si>
  <si>
    <t>15277857083</t>
  </si>
  <si>
    <t>15277878558</t>
  </si>
  <si>
    <t>56975283</t>
  </si>
  <si>
    <t>15277878847</t>
  </si>
  <si>
    <t>56965407</t>
  </si>
  <si>
    <t>15277887265</t>
  </si>
  <si>
    <t>15277898844</t>
  </si>
  <si>
    <t>56975248</t>
  </si>
  <si>
    <t>15277900385</t>
  </si>
  <si>
    <t>61739028</t>
  </si>
  <si>
    <t>56966076</t>
  </si>
  <si>
    <t>15277902432</t>
  </si>
  <si>
    <t>15277902480</t>
  </si>
  <si>
    <t>15277908788</t>
  </si>
  <si>
    <t>15277909381</t>
  </si>
  <si>
    <t>15277909590</t>
  </si>
  <si>
    <t>15277909795</t>
  </si>
  <si>
    <t>61727773</t>
  </si>
  <si>
    <t>15277910674</t>
  </si>
  <si>
    <t>15277910758</t>
  </si>
  <si>
    <t>15277913205</t>
  </si>
  <si>
    <t>15277913395</t>
  </si>
  <si>
    <t>15277914706</t>
  </si>
  <si>
    <t>15277914807</t>
  </si>
  <si>
    <t>15277915443</t>
  </si>
  <si>
    <t>15277933095</t>
  </si>
  <si>
    <t>15277933155</t>
  </si>
  <si>
    <t>15277934689</t>
  </si>
  <si>
    <t>56983676</t>
  </si>
  <si>
    <t>15277935231</t>
  </si>
  <si>
    <t>56977605</t>
  </si>
  <si>
    <t>15277935452</t>
  </si>
  <si>
    <t>56980286</t>
  </si>
  <si>
    <t>15277936071</t>
  </si>
  <si>
    <t>56975559</t>
  </si>
  <si>
    <t>15277936609</t>
  </si>
  <si>
    <t>56975745</t>
  </si>
  <si>
    <t>15277937009</t>
  </si>
  <si>
    <t>56975428</t>
  </si>
  <si>
    <t>15277937321</t>
  </si>
  <si>
    <t>56975561</t>
  </si>
  <si>
    <t>15277938139</t>
  </si>
  <si>
    <t>56975484</t>
  </si>
  <si>
    <t>15277941492</t>
  </si>
  <si>
    <t>56975267</t>
  </si>
  <si>
    <t>15277943809</t>
  </si>
  <si>
    <t>56975488</t>
  </si>
  <si>
    <t>15277946739</t>
  </si>
  <si>
    <t>56982799</t>
  </si>
  <si>
    <t>15277949725</t>
  </si>
  <si>
    <t>56998714</t>
  </si>
  <si>
    <t>15277949780</t>
  </si>
  <si>
    <t>56980448</t>
  </si>
  <si>
    <t>15277950845</t>
  </si>
  <si>
    <t>56982754</t>
  </si>
  <si>
    <t>15277956356</t>
  </si>
  <si>
    <t>56983099</t>
  </si>
  <si>
    <t>15277957581</t>
  </si>
  <si>
    <t>57013674</t>
  </si>
  <si>
    <t>15277957894</t>
  </si>
  <si>
    <t>56983637</t>
  </si>
  <si>
    <t>15277958510</t>
  </si>
  <si>
    <t>56983485</t>
  </si>
  <si>
    <t>15277958511</t>
  </si>
  <si>
    <t>56983092</t>
  </si>
  <si>
    <t>15277959210</t>
  </si>
  <si>
    <t>56998715</t>
  </si>
  <si>
    <t>15277959253</t>
  </si>
  <si>
    <t>56983588</t>
  </si>
  <si>
    <t>15277960606</t>
  </si>
  <si>
    <t>56996166</t>
  </si>
  <si>
    <t>15277965112</t>
  </si>
  <si>
    <t>15277965258</t>
  </si>
  <si>
    <t>15277966012</t>
  </si>
  <si>
    <t>15277966103</t>
  </si>
  <si>
    <t>15277966883</t>
  </si>
  <si>
    <t>15277967884</t>
  </si>
  <si>
    <t>15277972016</t>
  </si>
  <si>
    <t>57007296</t>
  </si>
  <si>
    <t>15277979350</t>
  </si>
  <si>
    <t>15277979933</t>
  </si>
  <si>
    <t>15277979934</t>
  </si>
  <si>
    <t>15277980117</t>
  </si>
  <si>
    <t>15277980183</t>
  </si>
  <si>
    <t>56999348</t>
  </si>
  <si>
    <t>15277980268</t>
  </si>
  <si>
    <t>15277980423</t>
  </si>
  <si>
    <t>15277980506</t>
  </si>
  <si>
    <t>15277980527</t>
  </si>
  <si>
    <t>15277987233</t>
  </si>
  <si>
    <t>56999346</t>
  </si>
  <si>
    <t>15277987632</t>
  </si>
  <si>
    <t>15277994363</t>
  </si>
  <si>
    <t>56999603</t>
  </si>
  <si>
    <t>15277994486</t>
  </si>
  <si>
    <t>56998797</t>
  </si>
  <si>
    <t>15277997795</t>
  </si>
  <si>
    <t>57027080</t>
  </si>
  <si>
    <t>15277998146</t>
  </si>
  <si>
    <t>57027073</t>
  </si>
  <si>
    <t>15277998718</t>
  </si>
  <si>
    <t>57027078</t>
  </si>
  <si>
    <t>15277999847</t>
  </si>
  <si>
    <t>56999628</t>
  </si>
  <si>
    <t>15278000044</t>
  </si>
  <si>
    <t>56999604</t>
  </si>
  <si>
    <t>15278000143</t>
  </si>
  <si>
    <t>57028902</t>
  </si>
  <si>
    <t>15278000144</t>
  </si>
  <si>
    <t>57028837</t>
  </si>
  <si>
    <t>15278000558</t>
  </si>
  <si>
    <t>57029100</t>
  </si>
  <si>
    <t>15278000738</t>
  </si>
  <si>
    <t>57029179</t>
  </si>
  <si>
    <t>15278000794</t>
  </si>
  <si>
    <t>57029180</t>
  </si>
  <si>
    <t>15278000795</t>
  </si>
  <si>
    <t>56999155</t>
  </si>
  <si>
    <t>15278001035</t>
  </si>
  <si>
    <t>57029200</t>
  </si>
  <si>
    <t>15278001113</t>
  </si>
  <si>
    <t>57029199</t>
  </si>
  <si>
    <t>15278001194</t>
  </si>
  <si>
    <t>57029198</t>
  </si>
  <si>
    <t>15278001635</t>
  </si>
  <si>
    <t>57028901</t>
  </si>
  <si>
    <t>15278001666</t>
  </si>
  <si>
    <t>57028970</t>
  </si>
  <si>
    <t>15278001667</t>
  </si>
  <si>
    <t>57031730</t>
  </si>
  <si>
    <t>15278001772</t>
  </si>
  <si>
    <t>57031877</t>
  </si>
  <si>
    <t>15278002064</t>
  </si>
  <si>
    <t>57050790</t>
  </si>
  <si>
    <t>15278003943</t>
  </si>
  <si>
    <t>15278005334</t>
  </si>
  <si>
    <t>57051790</t>
  </si>
  <si>
    <t>15278006266</t>
  </si>
  <si>
    <t>57050796</t>
  </si>
  <si>
    <t>15278006866</t>
  </si>
  <si>
    <t>57091102</t>
  </si>
  <si>
    <t>15278007447</t>
  </si>
  <si>
    <t>57050794</t>
  </si>
  <si>
    <t>15278009420</t>
  </si>
  <si>
    <t>57004690</t>
  </si>
  <si>
    <t>15278010316</t>
  </si>
  <si>
    <t>57074617</t>
  </si>
  <si>
    <t>15278014189</t>
  </si>
  <si>
    <t>57074595</t>
  </si>
  <si>
    <t>15278017579</t>
  </si>
  <si>
    <t>57074597</t>
  </si>
  <si>
    <t>15278020600</t>
  </si>
  <si>
    <t>57074828</t>
  </si>
  <si>
    <t>15278020856</t>
  </si>
  <si>
    <t>15278022078</t>
  </si>
  <si>
    <t>57074687</t>
  </si>
  <si>
    <t>15278022342</t>
  </si>
  <si>
    <t>57074688</t>
  </si>
  <si>
    <t>15278024928</t>
  </si>
  <si>
    <t>57020928</t>
  </si>
  <si>
    <t>15278024939</t>
  </si>
  <si>
    <t>57015184</t>
  </si>
  <si>
    <t>15278025138</t>
  </si>
  <si>
    <t>57074690</t>
  </si>
  <si>
    <t>15278025214</t>
  </si>
  <si>
    <t>57299282</t>
  </si>
  <si>
    <t>57222358</t>
  </si>
  <si>
    <t>15278025370</t>
  </si>
  <si>
    <t>57019164</t>
  </si>
  <si>
    <t>15278027326</t>
  </si>
  <si>
    <t>15278028745</t>
  </si>
  <si>
    <t>57075694</t>
  </si>
  <si>
    <t>15278029225</t>
  </si>
  <si>
    <t>57075699</t>
  </si>
  <si>
    <t>15278029427</t>
  </si>
  <si>
    <t>57004627</t>
  </si>
  <si>
    <t>15278030708</t>
  </si>
  <si>
    <t>15278031608</t>
  </si>
  <si>
    <t>57078706</t>
  </si>
  <si>
    <t>15278033368</t>
  </si>
  <si>
    <t>15278033531</t>
  </si>
  <si>
    <t>15278033738</t>
  </si>
  <si>
    <t>15278033849</t>
  </si>
  <si>
    <t>15278034007</t>
  </si>
  <si>
    <t>15278034554</t>
  </si>
  <si>
    <t>15278034705</t>
  </si>
  <si>
    <t>15278034739</t>
  </si>
  <si>
    <t>15278034761</t>
  </si>
  <si>
    <t>15278034762</t>
  </si>
  <si>
    <t>15278034872</t>
  </si>
  <si>
    <t>15278035507</t>
  </si>
  <si>
    <t>15278036378</t>
  </si>
  <si>
    <t>15278037750</t>
  </si>
  <si>
    <t>15278038682</t>
  </si>
  <si>
    <t>61694507</t>
  </si>
  <si>
    <t>15278039094</t>
  </si>
  <si>
    <t>15278043944</t>
  </si>
  <si>
    <t>15278044009</t>
  </si>
  <si>
    <t>15278045271</t>
  </si>
  <si>
    <t>15278045884</t>
  </si>
  <si>
    <t>15278046489</t>
  </si>
  <si>
    <t>15278047053</t>
  </si>
  <si>
    <t>15278047465</t>
  </si>
  <si>
    <t>15278047493</t>
  </si>
  <si>
    <t>15278047519</t>
  </si>
  <si>
    <t>15278047617</t>
  </si>
  <si>
    <t>15278047767</t>
  </si>
  <si>
    <t>15278048029</t>
  </si>
  <si>
    <t>61712412</t>
  </si>
  <si>
    <t>15278048170</t>
  </si>
  <si>
    <t>15278049205</t>
  </si>
  <si>
    <t>15278049985</t>
  </si>
  <si>
    <t>15278050227</t>
  </si>
  <si>
    <t>15278057575</t>
  </si>
  <si>
    <t>15278058114</t>
  </si>
  <si>
    <t>15278059107</t>
  </si>
  <si>
    <t>15278059251</t>
  </si>
  <si>
    <t>15278059289</t>
  </si>
  <si>
    <t>15278059290</t>
  </si>
  <si>
    <t>15278060666</t>
  </si>
  <si>
    <t>15278062237</t>
  </si>
  <si>
    <t>15278065270</t>
  </si>
  <si>
    <t>15278065603</t>
  </si>
  <si>
    <t>57019224</t>
  </si>
  <si>
    <t>15278066602</t>
  </si>
  <si>
    <t>57019114</t>
  </si>
  <si>
    <t>15278066787</t>
  </si>
  <si>
    <t>57018651</t>
  </si>
  <si>
    <t>15278066828</t>
  </si>
  <si>
    <t>57202036</t>
  </si>
  <si>
    <t>15278067069</t>
  </si>
  <si>
    <t>57091308</t>
  </si>
  <si>
    <t>15278068104</t>
  </si>
  <si>
    <t>57091297</t>
  </si>
  <si>
    <t>15278068256</t>
  </si>
  <si>
    <t>57013666</t>
  </si>
  <si>
    <t>15278069477</t>
  </si>
  <si>
    <t>57013664</t>
  </si>
  <si>
    <t>15278069490</t>
  </si>
  <si>
    <t>57091307</t>
  </si>
  <si>
    <t>15278070816</t>
  </si>
  <si>
    <t>57102454</t>
  </si>
  <si>
    <t>15278071545</t>
  </si>
  <si>
    <t>57019289</t>
  </si>
  <si>
    <t>15278071546</t>
  </si>
  <si>
    <t>57019243</t>
  </si>
  <si>
    <t>15278075902</t>
  </si>
  <si>
    <t>57013652</t>
  </si>
  <si>
    <t>15278076168</t>
  </si>
  <si>
    <t>57103424</t>
  </si>
  <si>
    <t>15278077061</t>
  </si>
  <si>
    <t>57103619</t>
  </si>
  <si>
    <t>15278077487</t>
  </si>
  <si>
    <t>57202045</t>
  </si>
  <si>
    <t>15278077488</t>
  </si>
  <si>
    <t>57202042</t>
  </si>
  <si>
    <t>15278077519</t>
  </si>
  <si>
    <t>57202058</t>
  </si>
  <si>
    <t>15278077532</t>
  </si>
  <si>
    <t>57202059</t>
  </si>
  <si>
    <t>15278077714</t>
  </si>
  <si>
    <t>57202057</t>
  </si>
  <si>
    <t>15278077725</t>
  </si>
  <si>
    <t>57202242</t>
  </si>
  <si>
    <t>15278079916</t>
  </si>
  <si>
    <t>57020986</t>
  </si>
  <si>
    <t>15278081577</t>
  </si>
  <si>
    <t>57299284</t>
  </si>
  <si>
    <t>15278082704</t>
  </si>
  <si>
    <t>57031875</t>
  </si>
  <si>
    <t>15278084135</t>
  </si>
  <si>
    <t>57040999</t>
  </si>
  <si>
    <t>15278084863</t>
  </si>
  <si>
    <t>57117513</t>
  </si>
  <si>
    <t>15278085199</t>
  </si>
  <si>
    <t>57117594</t>
  </si>
  <si>
    <t>15278086649</t>
  </si>
  <si>
    <t>15278087534</t>
  </si>
  <si>
    <t>15278087724</t>
  </si>
  <si>
    <t>15278087725</t>
  </si>
  <si>
    <t>15278087827</t>
  </si>
  <si>
    <t>15278088055</t>
  </si>
  <si>
    <t>57019291</t>
  </si>
  <si>
    <t>15278088110</t>
  </si>
  <si>
    <t>57019147</t>
  </si>
  <si>
    <t>15278090225</t>
  </si>
  <si>
    <t>57122284</t>
  </si>
  <si>
    <t>15278091298</t>
  </si>
  <si>
    <t>15278091401</t>
  </si>
  <si>
    <t>15278091501</t>
  </si>
  <si>
    <t>15278091578</t>
  </si>
  <si>
    <t>15278091636</t>
  </si>
  <si>
    <t>15278091758</t>
  </si>
  <si>
    <t>15278091771</t>
  </si>
  <si>
    <t>15278091916</t>
  </si>
  <si>
    <t>15278091917</t>
  </si>
  <si>
    <t>15278091931</t>
  </si>
  <si>
    <t>15278091955</t>
  </si>
  <si>
    <t>15278091975</t>
  </si>
  <si>
    <t>15278091976</t>
  </si>
  <si>
    <t>15278092006</t>
  </si>
  <si>
    <t>15278092035</t>
  </si>
  <si>
    <t>15278092225</t>
  </si>
  <si>
    <t>15278092226</t>
  </si>
  <si>
    <t>15278092228</t>
  </si>
  <si>
    <t>15278092338</t>
  </si>
  <si>
    <t>15278092370</t>
  </si>
  <si>
    <t>15278092375</t>
  </si>
  <si>
    <t>15278092397</t>
  </si>
  <si>
    <t>15278092749</t>
  </si>
  <si>
    <t>15278092791</t>
  </si>
  <si>
    <t>15278093027</t>
  </si>
  <si>
    <t>15278093048</t>
  </si>
  <si>
    <t>15278093055</t>
  </si>
  <si>
    <t>15278093081</t>
  </si>
  <si>
    <t>15278093092</t>
  </si>
  <si>
    <t>15278093302</t>
  </si>
  <si>
    <t>15278093441</t>
  </si>
  <si>
    <t>15278093499</t>
  </si>
  <si>
    <t>15278093564</t>
  </si>
  <si>
    <t>15278093809</t>
  </si>
  <si>
    <t>15278093855</t>
  </si>
  <si>
    <t>15278094047</t>
  </si>
  <si>
    <t>15278094367</t>
  </si>
  <si>
    <t>15278094368</t>
  </si>
  <si>
    <t>15278094475</t>
  </si>
  <si>
    <t>15278094739</t>
  </si>
  <si>
    <t>15278094788</t>
  </si>
  <si>
    <t>15278094812</t>
  </si>
  <si>
    <t>15278095090</t>
  </si>
  <si>
    <t>15278095127</t>
  </si>
  <si>
    <t>57034836</t>
  </si>
  <si>
    <t>15278095134</t>
  </si>
  <si>
    <t>57031788</t>
  </si>
  <si>
    <t>15278095345</t>
  </si>
  <si>
    <t>15278095443</t>
  </si>
  <si>
    <t>15278095545</t>
  </si>
  <si>
    <t>15278095924</t>
  </si>
  <si>
    <t>61685382</t>
  </si>
  <si>
    <t>15278096370</t>
  </si>
  <si>
    <t>15278096434</t>
  </si>
  <si>
    <t>15278096436</t>
  </si>
  <si>
    <t>15278096443</t>
  </si>
  <si>
    <t>15278096556</t>
  </si>
  <si>
    <t>15278096691</t>
  </si>
  <si>
    <t>15278097017</t>
  </si>
  <si>
    <t>61716826</t>
  </si>
  <si>
    <t>15278097112</t>
  </si>
  <si>
    <t>15278097636</t>
  </si>
  <si>
    <t>15278097644</t>
  </si>
  <si>
    <t>57031792</t>
  </si>
  <si>
    <t>15278097806</t>
  </si>
  <si>
    <t>15278097870</t>
  </si>
  <si>
    <t>15278097913</t>
  </si>
  <si>
    <t>15278098015</t>
  </si>
  <si>
    <t>15278098016</t>
  </si>
  <si>
    <t>15278098237</t>
  </si>
  <si>
    <t>15278098239</t>
  </si>
  <si>
    <t>15278098372</t>
  </si>
  <si>
    <t>15278098403</t>
  </si>
  <si>
    <t>15278098461</t>
  </si>
  <si>
    <t>61701077</t>
  </si>
  <si>
    <t>15278098731</t>
  </si>
  <si>
    <t>61688237</t>
  </si>
  <si>
    <t>15278098971</t>
  </si>
  <si>
    <t>15278099184</t>
  </si>
  <si>
    <t>15278099736</t>
  </si>
  <si>
    <t>15278100927</t>
  </si>
  <si>
    <t>61693992</t>
  </si>
  <si>
    <t>15278118464</t>
  </si>
  <si>
    <t>15278118465</t>
  </si>
  <si>
    <t>15278118466</t>
  </si>
  <si>
    <t>15278118793</t>
  </si>
  <si>
    <t>15278118799</t>
  </si>
  <si>
    <t>15278119263</t>
  </si>
  <si>
    <t>15278119682</t>
  </si>
  <si>
    <t>61702254</t>
  </si>
  <si>
    <t>15278120396</t>
  </si>
  <si>
    <t>15278120423</t>
  </si>
  <si>
    <t>15278120843</t>
  </si>
  <si>
    <t>15278120896</t>
  </si>
  <si>
    <t>15278121213</t>
  </si>
  <si>
    <t>15278121271</t>
  </si>
  <si>
    <t>15278121279</t>
  </si>
  <si>
    <t>15278121288</t>
  </si>
  <si>
    <t>15278121351</t>
  </si>
  <si>
    <t>15278121749</t>
  </si>
  <si>
    <t>57041000</t>
  </si>
  <si>
    <t>15278122493</t>
  </si>
  <si>
    <t>57031793</t>
  </si>
  <si>
    <t>15278122607</t>
  </si>
  <si>
    <t>57041589</t>
  </si>
  <si>
    <t>15278122661</t>
  </si>
  <si>
    <t>57037757</t>
  </si>
  <si>
    <t>15278122772</t>
  </si>
  <si>
    <t>57040996</t>
  </si>
  <si>
    <t>15278122827</t>
  </si>
  <si>
    <t>57039834</t>
  </si>
  <si>
    <t>15278123953</t>
  </si>
  <si>
    <t>57035341</t>
  </si>
  <si>
    <t>15278124654</t>
  </si>
  <si>
    <t>57037301</t>
  </si>
  <si>
    <t>15278124748</t>
  </si>
  <si>
    <t>57037670</t>
  </si>
  <si>
    <t>15278125690</t>
  </si>
  <si>
    <t>57039832</t>
  </si>
  <si>
    <t>15278126524</t>
  </si>
  <si>
    <t>57040970</t>
  </si>
  <si>
    <t>15278127289</t>
  </si>
  <si>
    <t>57041587</t>
  </si>
  <si>
    <t>15278129439</t>
  </si>
  <si>
    <t>61691056</t>
  </si>
  <si>
    <t>15278129943</t>
  </si>
  <si>
    <t>15278130025</t>
  </si>
  <si>
    <t>15278130046</t>
  </si>
  <si>
    <t>15278130278</t>
  </si>
  <si>
    <t>15278130297</t>
  </si>
  <si>
    <t>57031876</t>
  </si>
  <si>
    <t>15278130428</t>
  </si>
  <si>
    <t>15278130696</t>
  </si>
  <si>
    <t>57034208</t>
  </si>
  <si>
    <t>15278131080</t>
  </si>
  <si>
    <t>15278131093</t>
  </si>
  <si>
    <t>15278131100</t>
  </si>
  <si>
    <t>15278131222</t>
  </si>
  <si>
    <t>15278131732</t>
  </si>
  <si>
    <t>15278131899</t>
  </si>
  <si>
    <t>15278132818</t>
  </si>
  <si>
    <t>15278133774</t>
  </si>
  <si>
    <t>15278134291</t>
  </si>
  <si>
    <t>15278134614</t>
  </si>
  <si>
    <t>15278134714</t>
  </si>
  <si>
    <t>61690843</t>
  </si>
  <si>
    <t>15278134717</t>
  </si>
  <si>
    <t>61737350</t>
  </si>
  <si>
    <t>15278134834</t>
  </si>
  <si>
    <t>15278135168</t>
  </si>
  <si>
    <t>61675111</t>
  </si>
  <si>
    <t>15278135429</t>
  </si>
  <si>
    <t>15278135492</t>
  </si>
  <si>
    <t>15278135668</t>
  </si>
  <si>
    <t>15278135721</t>
  </si>
  <si>
    <t>15278135892</t>
  </si>
  <si>
    <t>15278135931</t>
  </si>
  <si>
    <t>15278135943</t>
  </si>
  <si>
    <t>15278136012</t>
  </si>
  <si>
    <t>15278136200</t>
  </si>
  <si>
    <t>57040861</t>
  </si>
  <si>
    <t>15278136940</t>
  </si>
  <si>
    <t>57041611</t>
  </si>
  <si>
    <t>15278136941</t>
  </si>
  <si>
    <t>57039363</t>
  </si>
  <si>
    <t>15278137204</t>
  </si>
  <si>
    <t>57039361</t>
  </si>
  <si>
    <t>15278137276</t>
  </si>
  <si>
    <t>57037758</t>
  </si>
  <si>
    <t>15278137508</t>
  </si>
  <si>
    <t>57040991</t>
  </si>
  <si>
    <t>15278137571</t>
  </si>
  <si>
    <t>57039752</t>
  </si>
  <si>
    <t>15278137710</t>
  </si>
  <si>
    <t>57039755</t>
  </si>
  <si>
    <t>15278137887</t>
  </si>
  <si>
    <t>57031731</t>
  </si>
  <si>
    <t>15278137895</t>
  </si>
  <si>
    <t>57037381</t>
  </si>
  <si>
    <t>15278138457</t>
  </si>
  <si>
    <t>57029290</t>
  </si>
  <si>
    <t>15278138735</t>
  </si>
  <si>
    <t>57029283</t>
  </si>
  <si>
    <t>15278139161</t>
  </si>
  <si>
    <t>61685677</t>
  </si>
  <si>
    <t>57035329</t>
  </si>
  <si>
    <t>15278140025</t>
  </si>
  <si>
    <t>57034813</t>
  </si>
  <si>
    <t>15278140549</t>
  </si>
  <si>
    <t>57034873</t>
  </si>
  <si>
    <t>15278140572</t>
  </si>
  <si>
    <t>57035216</t>
  </si>
  <si>
    <t>15278140589</t>
  </si>
  <si>
    <t>57034723</t>
  </si>
  <si>
    <t>15278140787</t>
  </si>
  <si>
    <t>57034644</t>
  </si>
  <si>
    <t>15278140830</t>
  </si>
  <si>
    <t>57034648</t>
  </si>
  <si>
    <t>15278142562</t>
  </si>
  <si>
    <t>57040863</t>
  </si>
  <si>
    <t>15278143623</t>
  </si>
  <si>
    <t>57040992</t>
  </si>
  <si>
    <t>15278143693</t>
  </si>
  <si>
    <t>57029260</t>
  </si>
  <si>
    <t>15278143781</t>
  </si>
  <si>
    <t>57040975</t>
  </si>
  <si>
    <t>15278143782</t>
  </si>
  <si>
    <t>57040994</t>
  </si>
  <si>
    <t>15278143808</t>
  </si>
  <si>
    <t>57041003</t>
  </si>
  <si>
    <t>15278144434</t>
  </si>
  <si>
    <t>57035024</t>
  </si>
  <si>
    <t>15278144590</t>
  </si>
  <si>
    <t>57037379</t>
  </si>
  <si>
    <t>15278145118</t>
  </si>
  <si>
    <t>57035214</t>
  </si>
  <si>
    <t>15278145975</t>
  </si>
  <si>
    <t>57037269</t>
  </si>
  <si>
    <t>15278146416</t>
  </si>
  <si>
    <t>57132992</t>
  </si>
  <si>
    <t>15278146513</t>
  </si>
  <si>
    <t>57037279</t>
  </si>
  <si>
    <t>15278146546</t>
  </si>
  <si>
    <t>57132948</t>
  </si>
  <si>
    <t>15278146691</t>
  </si>
  <si>
    <t>57131913</t>
  </si>
  <si>
    <t>15278147086</t>
  </si>
  <si>
    <t>57131911</t>
  </si>
  <si>
    <t>15278147114</t>
  </si>
  <si>
    <t>57131915</t>
  </si>
  <si>
    <t>15278147193</t>
  </si>
  <si>
    <t>57131912</t>
  </si>
  <si>
    <t>15278147282</t>
  </si>
  <si>
    <t>57132302</t>
  </si>
  <si>
    <t>15278147998</t>
  </si>
  <si>
    <t>57035300</t>
  </si>
  <si>
    <t>15278148107</t>
  </si>
  <si>
    <t>57132299</t>
  </si>
  <si>
    <t>15278148185</t>
  </si>
  <si>
    <t>57132317</t>
  </si>
  <si>
    <t>15278148194</t>
  </si>
  <si>
    <t>57132318</t>
  </si>
  <si>
    <t>15278148196</t>
  </si>
  <si>
    <t>57132997</t>
  </si>
  <si>
    <t>15278148233</t>
  </si>
  <si>
    <t>57132993</t>
  </si>
  <si>
    <t>15278148262</t>
  </si>
  <si>
    <t>57133300</t>
  </si>
  <si>
    <t>15278148287</t>
  </si>
  <si>
    <t>57133116</t>
  </si>
  <si>
    <t>15278148429</t>
  </si>
  <si>
    <t>57035128</t>
  </si>
  <si>
    <t>15278148618</t>
  </si>
  <si>
    <t>57132326</t>
  </si>
  <si>
    <t>15278148658</t>
  </si>
  <si>
    <t>57132325</t>
  </si>
  <si>
    <t>15278148830</t>
  </si>
  <si>
    <t>57132336</t>
  </si>
  <si>
    <t>15278149070</t>
  </si>
  <si>
    <t>57132337</t>
  </si>
  <si>
    <t>15278149600</t>
  </si>
  <si>
    <t>57132949</t>
  </si>
  <si>
    <t>15278149628</t>
  </si>
  <si>
    <t>57133216</t>
  </si>
  <si>
    <t>15278149643</t>
  </si>
  <si>
    <t>57133248</t>
  </si>
  <si>
    <t>15278149888</t>
  </si>
  <si>
    <t>57133301</t>
  </si>
  <si>
    <t>15278149965</t>
  </si>
  <si>
    <t>57134643</t>
  </si>
  <si>
    <t>15278149999</t>
  </si>
  <si>
    <t>57134641</t>
  </si>
  <si>
    <t>15278150043</t>
  </si>
  <si>
    <t>57034697</t>
  </si>
  <si>
    <t>15278150072</t>
  </si>
  <si>
    <t>57133249</t>
  </si>
  <si>
    <t>15278150100</t>
  </si>
  <si>
    <t>57034206</t>
  </si>
  <si>
    <t>15278150144</t>
  </si>
  <si>
    <t>57148791</t>
  </si>
  <si>
    <t>15278150162</t>
  </si>
  <si>
    <t>57134960</t>
  </si>
  <si>
    <t>15278151380</t>
  </si>
  <si>
    <t>57134958</t>
  </si>
  <si>
    <t>15278152445</t>
  </si>
  <si>
    <t>57048631</t>
  </si>
  <si>
    <t>15278152521</t>
  </si>
  <si>
    <t>57048598</t>
  </si>
  <si>
    <t>15278152866</t>
  </si>
  <si>
    <t>57048630</t>
  </si>
  <si>
    <t>15278152954</t>
  </si>
  <si>
    <t>15278153115</t>
  </si>
  <si>
    <t>57048625</t>
  </si>
  <si>
    <t>15278153225</t>
  </si>
  <si>
    <t>57048622</t>
  </si>
  <si>
    <t>15278153497</t>
  </si>
  <si>
    <t>57048633</t>
  </si>
  <si>
    <t>15278153511</t>
  </si>
  <si>
    <t>57039519</t>
  </si>
  <si>
    <t>15278153656</t>
  </si>
  <si>
    <t>57048660</t>
  </si>
  <si>
    <t>15278154111</t>
  </si>
  <si>
    <t>57078710</t>
  </si>
  <si>
    <t>15278154313</t>
  </si>
  <si>
    <t>15278154395</t>
  </si>
  <si>
    <t>15278154749</t>
  </si>
  <si>
    <t>15278154958</t>
  </si>
  <si>
    <t>57031957</t>
  </si>
  <si>
    <t>15278155226</t>
  </si>
  <si>
    <t>15278155394</t>
  </si>
  <si>
    <t>61737139</t>
  </si>
  <si>
    <t>15278155439</t>
  </si>
  <si>
    <t>15278155688</t>
  </si>
  <si>
    <t>15278155702</t>
  </si>
  <si>
    <t>15278155948</t>
  </si>
  <si>
    <t>15278155964</t>
  </si>
  <si>
    <t>15278155988</t>
  </si>
  <si>
    <t>15278156204</t>
  </si>
  <si>
    <t>15278156285</t>
  </si>
  <si>
    <t>15278157225</t>
  </si>
  <si>
    <t>15278157453</t>
  </si>
  <si>
    <t>15278157591</t>
  </si>
  <si>
    <t>15278157881</t>
  </si>
  <si>
    <t>15278158310</t>
  </si>
  <si>
    <t>61721100</t>
  </si>
  <si>
    <t>15278158361</t>
  </si>
  <si>
    <t>61721472</t>
  </si>
  <si>
    <t>15278158433</t>
  </si>
  <si>
    <t>15278158463</t>
  </si>
  <si>
    <t>15278158580</t>
  </si>
  <si>
    <t>15278158678</t>
  </si>
  <si>
    <t>15278158870</t>
  </si>
  <si>
    <t>61739070</t>
  </si>
  <si>
    <t>15278158960</t>
  </si>
  <si>
    <t>15278159150</t>
  </si>
  <si>
    <t>15278159257</t>
  </si>
  <si>
    <t>15278159313</t>
  </si>
  <si>
    <t>61699698</t>
  </si>
  <si>
    <t>15278159721</t>
  </si>
  <si>
    <t>15278159784</t>
  </si>
  <si>
    <t>61678083</t>
  </si>
  <si>
    <t>15278159870</t>
  </si>
  <si>
    <t>15278159933</t>
  </si>
  <si>
    <t>15278159964</t>
  </si>
  <si>
    <t>15278160259</t>
  </si>
  <si>
    <t>57029255</t>
  </si>
  <si>
    <t>15278160276</t>
  </si>
  <si>
    <t>61697603</t>
  </si>
  <si>
    <t>15278160400</t>
  </si>
  <si>
    <t>15278160519</t>
  </si>
  <si>
    <t>15278160668</t>
  </si>
  <si>
    <t>15278160703</t>
  </si>
  <si>
    <t>15278161001</t>
  </si>
  <si>
    <t>57048621</t>
  </si>
  <si>
    <t>15278161214</t>
  </si>
  <si>
    <t>57048804</t>
  </si>
  <si>
    <t>15278161393</t>
  </si>
  <si>
    <t>57038696</t>
  </si>
  <si>
    <t>15278161402</t>
  </si>
  <si>
    <t>57038933</t>
  </si>
  <si>
    <t>15278161544</t>
  </si>
  <si>
    <t>57048766</t>
  </si>
  <si>
    <t>15278161559</t>
  </si>
  <si>
    <t>57048762</t>
  </si>
  <si>
    <t>15278161669</t>
  </si>
  <si>
    <t>57048798</t>
  </si>
  <si>
    <t>15278161701</t>
  </si>
  <si>
    <t>57048813</t>
  </si>
  <si>
    <t>15278161759</t>
  </si>
  <si>
    <t>57037598</t>
  </si>
  <si>
    <t>15278162039</t>
  </si>
  <si>
    <t>57048645</t>
  </si>
  <si>
    <t>15278162133</t>
  </si>
  <si>
    <t>15278162330</t>
  </si>
  <si>
    <t>57048794</t>
  </si>
  <si>
    <t>15278162890</t>
  </si>
  <si>
    <t>57048654</t>
  </si>
  <si>
    <t>15278162891</t>
  </si>
  <si>
    <t>57048653</t>
  </si>
  <si>
    <t>15278162892</t>
  </si>
  <si>
    <t>57048646</t>
  </si>
  <si>
    <t>15278162914</t>
  </si>
  <si>
    <t>57048648</t>
  </si>
  <si>
    <t>15278162978</t>
  </si>
  <si>
    <t>57048801</t>
  </si>
  <si>
    <t>15278163204</t>
  </si>
  <si>
    <t>57048799</t>
  </si>
  <si>
    <t>15278163876</t>
  </si>
  <si>
    <t>57048650</t>
  </si>
  <si>
    <t>15278163929</t>
  </si>
  <si>
    <t>57048765</t>
  </si>
  <si>
    <t>15278163930</t>
  </si>
  <si>
    <t>57048659</t>
  </si>
  <si>
    <t>15278163956</t>
  </si>
  <si>
    <t>57048655</t>
  </si>
  <si>
    <t>15278164857</t>
  </si>
  <si>
    <t>15278165214</t>
  </si>
  <si>
    <t>15278165827</t>
  </si>
  <si>
    <t>15278165920</t>
  </si>
  <si>
    <t>15278166022</t>
  </si>
  <si>
    <t>15278166058</t>
  </si>
  <si>
    <t>15278166360</t>
  </si>
  <si>
    <t>15278167318</t>
  </si>
  <si>
    <t>15278167536</t>
  </si>
  <si>
    <t>15278168043</t>
  </si>
  <si>
    <t>15278168175</t>
  </si>
  <si>
    <t>15278168494</t>
  </si>
  <si>
    <t>61704711</t>
  </si>
  <si>
    <t>15278168549</t>
  </si>
  <si>
    <t>61687817</t>
  </si>
  <si>
    <t>15278168604</t>
  </si>
  <si>
    <t>15278168978</t>
  </si>
  <si>
    <t>15278169002</t>
  </si>
  <si>
    <t>15278169213</t>
  </si>
  <si>
    <t>15278169287</t>
  </si>
  <si>
    <t>15278171269</t>
  </si>
  <si>
    <t>61730131</t>
  </si>
  <si>
    <t>15278171276</t>
  </si>
  <si>
    <t>15278171311</t>
  </si>
  <si>
    <t>15278171539</t>
  </si>
  <si>
    <t>57049189</t>
  </si>
  <si>
    <t>15278171600</t>
  </si>
  <si>
    <t>15278171648</t>
  </si>
  <si>
    <t>15278171745</t>
  </si>
  <si>
    <t>15278171876</t>
  </si>
  <si>
    <t>15278172008</t>
  </si>
  <si>
    <t>15278172101</t>
  </si>
  <si>
    <t>15278172378</t>
  </si>
  <si>
    <t>15278172579</t>
  </si>
  <si>
    <t>15278172831</t>
  </si>
  <si>
    <t>15278173036</t>
  </si>
  <si>
    <t>15278173265</t>
  </si>
  <si>
    <t>15278179246</t>
  </si>
  <si>
    <t>15278179607</t>
  </si>
  <si>
    <t>15278179939</t>
  </si>
  <si>
    <t>15278192175</t>
  </si>
  <si>
    <t>15278192849</t>
  </si>
  <si>
    <t>15278193169</t>
  </si>
  <si>
    <t>15278194318</t>
  </si>
  <si>
    <t>15278194708</t>
  </si>
  <si>
    <t>15278194834</t>
  </si>
  <si>
    <t>15278194932</t>
  </si>
  <si>
    <t>57050662</t>
  </si>
  <si>
    <t>15278195331</t>
  </si>
  <si>
    <t>15278195625</t>
  </si>
  <si>
    <t>61730938</t>
  </si>
  <si>
    <t>15278196538</t>
  </si>
  <si>
    <t>61717382</t>
  </si>
  <si>
    <t>15278196819</t>
  </si>
  <si>
    <t>15278197008</t>
  </si>
  <si>
    <t>15278197073</t>
  </si>
  <si>
    <t>15278197189</t>
  </si>
  <si>
    <t>15278197277</t>
  </si>
  <si>
    <t>15278197343</t>
  </si>
  <si>
    <t>15278197595</t>
  </si>
  <si>
    <t>15278199329</t>
  </si>
  <si>
    <t>15278200592</t>
  </si>
  <si>
    <t>57051970</t>
  </si>
  <si>
    <t>15278200812</t>
  </si>
  <si>
    <t>57051961</t>
  </si>
  <si>
    <t>15278200953</t>
  </si>
  <si>
    <t>57050661</t>
  </si>
  <si>
    <t>15278202213</t>
  </si>
  <si>
    <t>15278203252</t>
  </si>
  <si>
    <t>57050547</t>
  </si>
  <si>
    <t>15278203291</t>
  </si>
  <si>
    <t>57048859</t>
  </si>
  <si>
    <t>15278203535</t>
  </si>
  <si>
    <t>57050544</t>
  </si>
  <si>
    <t>15278203768</t>
  </si>
  <si>
    <t>57048854</t>
  </si>
  <si>
    <t>15278203916</t>
  </si>
  <si>
    <t>57050503</t>
  </si>
  <si>
    <t>15278204647</t>
  </si>
  <si>
    <t>57048809</t>
  </si>
  <si>
    <t>15278204850</t>
  </si>
  <si>
    <t>15278205248</t>
  </si>
  <si>
    <t>15278205255</t>
  </si>
  <si>
    <t>57048806</t>
  </si>
  <si>
    <t>15278205426</t>
  </si>
  <si>
    <t>57062208</t>
  </si>
  <si>
    <t>15278205657</t>
  </si>
  <si>
    <t>57053676</t>
  </si>
  <si>
    <t>15278206456</t>
  </si>
  <si>
    <t>57052538</t>
  </si>
  <si>
    <t>15278207503</t>
  </si>
  <si>
    <t>57048810</t>
  </si>
  <si>
    <t>15278207655</t>
  </si>
  <si>
    <t>57052138</t>
  </si>
  <si>
    <t>15278207742</t>
  </si>
  <si>
    <t>57052134</t>
  </si>
  <si>
    <t>15278207801</t>
  </si>
  <si>
    <t>57050865</t>
  </si>
  <si>
    <t>15278208925</t>
  </si>
  <si>
    <t>57052392</t>
  </si>
  <si>
    <t>15278209244</t>
  </si>
  <si>
    <t>57062209</t>
  </si>
  <si>
    <t>15278209337</t>
  </si>
  <si>
    <t>57050251</t>
  </si>
  <si>
    <t>15278209564</t>
  </si>
  <si>
    <t>57055009</t>
  </si>
  <si>
    <t>15278209565</t>
  </si>
  <si>
    <t>57076047</t>
  </si>
  <si>
    <t>15278210081</t>
  </si>
  <si>
    <t>57062275</t>
  </si>
  <si>
    <t>15278211217</t>
  </si>
  <si>
    <t>57063922</t>
  </si>
  <si>
    <t>15278212713</t>
  </si>
  <si>
    <t>57050741</t>
  </si>
  <si>
    <t>15278212714</t>
  </si>
  <si>
    <t>57050600</t>
  </si>
  <si>
    <t>15278213616</t>
  </si>
  <si>
    <t>57050551</t>
  </si>
  <si>
    <t>15278214000</t>
  </si>
  <si>
    <t>57063924</t>
  </si>
  <si>
    <t>15278214223</t>
  </si>
  <si>
    <t>57053888</t>
  </si>
  <si>
    <t>15278214326</t>
  </si>
  <si>
    <t>57063879</t>
  </si>
  <si>
    <t>15278214365</t>
  </si>
  <si>
    <t>57053893</t>
  </si>
  <si>
    <t>15278214418</t>
  </si>
  <si>
    <t>57053839</t>
  </si>
  <si>
    <t>15278215148</t>
  </si>
  <si>
    <t>57053647</t>
  </si>
  <si>
    <t>15278215320</t>
  </si>
  <si>
    <t>57051968</t>
  </si>
  <si>
    <t>15278215510</t>
  </si>
  <si>
    <t>57051921</t>
  </si>
  <si>
    <t>15278215646</t>
  </si>
  <si>
    <t>57051930</t>
  </si>
  <si>
    <t>15278217471</t>
  </si>
  <si>
    <t>57054185</t>
  </si>
  <si>
    <t>15278217637</t>
  </si>
  <si>
    <t>57054004</t>
  </si>
  <si>
    <t>15278218837</t>
  </si>
  <si>
    <t>57052270</t>
  </si>
  <si>
    <t>15278219021</t>
  </si>
  <si>
    <t>57053703</t>
  </si>
  <si>
    <t>15278220046</t>
  </si>
  <si>
    <t>57054151</t>
  </si>
  <si>
    <t>15278221109</t>
  </si>
  <si>
    <t>57062374</t>
  </si>
  <si>
    <t>15278221190</t>
  </si>
  <si>
    <t>57053738</t>
  </si>
  <si>
    <t>15278221229</t>
  </si>
  <si>
    <t>57062369</t>
  </si>
  <si>
    <t>15278221431</t>
  </si>
  <si>
    <t>57134956</t>
  </si>
  <si>
    <t>15278221821</t>
  </si>
  <si>
    <t>57052489</t>
  </si>
  <si>
    <t>15278221969</t>
  </si>
  <si>
    <t>57136400</t>
  </si>
  <si>
    <t>15278222218</t>
  </si>
  <si>
    <t>57136403</t>
  </si>
  <si>
    <t>15278222736</t>
  </si>
  <si>
    <t>57066432</t>
  </si>
  <si>
    <t>15278222976</t>
  </si>
  <si>
    <t>57066434</t>
  </si>
  <si>
    <t>15278223308</t>
  </si>
  <si>
    <t>57066557</t>
  </si>
  <si>
    <t>15278223326</t>
  </si>
  <si>
    <t>57053800</t>
  </si>
  <si>
    <t>15278223328</t>
  </si>
  <si>
    <t>57053736</t>
  </si>
  <si>
    <t>15278223364</t>
  </si>
  <si>
    <t>57064934</t>
  </si>
  <si>
    <t>15278223368</t>
  </si>
  <si>
    <t>57064938</t>
  </si>
  <si>
    <t>15278223737</t>
  </si>
  <si>
    <t>57062370</t>
  </si>
  <si>
    <t>15278223749</t>
  </si>
  <si>
    <t>57053118</t>
  </si>
  <si>
    <t>15278224298</t>
  </si>
  <si>
    <t>57062373</t>
  </si>
  <si>
    <t>15278226123</t>
  </si>
  <si>
    <t>57054703</t>
  </si>
  <si>
    <t>15278226124</t>
  </si>
  <si>
    <t>57054318</t>
  </si>
  <si>
    <t>15278226137</t>
  </si>
  <si>
    <t>57065059</t>
  </si>
  <si>
    <t>15278226270</t>
  </si>
  <si>
    <t>57064939</t>
  </si>
  <si>
    <t>15278226288</t>
  </si>
  <si>
    <t>57048882</t>
  </si>
  <si>
    <t>15278226328</t>
  </si>
  <si>
    <t>57064937</t>
  </si>
  <si>
    <t>15278226376</t>
  </si>
  <si>
    <t>57149154</t>
  </si>
  <si>
    <t>15278226390</t>
  </si>
  <si>
    <t>57149072</t>
  </si>
  <si>
    <t>15278226689</t>
  </si>
  <si>
    <t>57065058</t>
  </si>
  <si>
    <t>15278226861</t>
  </si>
  <si>
    <t>57065062</t>
  </si>
  <si>
    <t>15278226929</t>
  </si>
  <si>
    <t>57075813</t>
  </si>
  <si>
    <t>15278227538</t>
  </si>
  <si>
    <t>57149068</t>
  </si>
  <si>
    <t>15278228592</t>
  </si>
  <si>
    <t>15278228804</t>
  </si>
  <si>
    <t>15278228856</t>
  </si>
  <si>
    <t>15278228857</t>
  </si>
  <si>
    <t>15278229181</t>
  </si>
  <si>
    <t>15278229216</t>
  </si>
  <si>
    <t>15278229246</t>
  </si>
  <si>
    <t>15278229496</t>
  </si>
  <si>
    <t>15278229604</t>
  </si>
  <si>
    <t>57050506</t>
  </si>
  <si>
    <t>15278229688</t>
  </si>
  <si>
    <t>61695204</t>
  </si>
  <si>
    <t>15278229689</t>
  </si>
  <si>
    <t>15278229836</t>
  </si>
  <si>
    <t>61710596</t>
  </si>
  <si>
    <t>15278230375</t>
  </si>
  <si>
    <t>15278230386</t>
  </si>
  <si>
    <t>15278230460</t>
  </si>
  <si>
    <t>15278230518</t>
  </si>
  <si>
    <t>15278230626</t>
  </si>
  <si>
    <t>15278230759</t>
  </si>
  <si>
    <t>15278231441</t>
  </si>
  <si>
    <t>15278231635</t>
  </si>
  <si>
    <t>15278231760</t>
  </si>
  <si>
    <t>15278231834</t>
  </si>
  <si>
    <t>15278231992</t>
  </si>
  <si>
    <t>15278233102</t>
  </si>
  <si>
    <t>15278233151</t>
  </si>
  <si>
    <t>15278233657</t>
  </si>
  <si>
    <t>15278233746</t>
  </si>
  <si>
    <t>15278234267</t>
  </si>
  <si>
    <t>15278234478</t>
  </si>
  <si>
    <t>15278234983</t>
  </si>
  <si>
    <t>15278235330</t>
  </si>
  <si>
    <t>15278235337</t>
  </si>
  <si>
    <t>15278235532</t>
  </si>
  <si>
    <t>15278236004</t>
  </si>
  <si>
    <t>15278236014</t>
  </si>
  <si>
    <t>15278236021</t>
  </si>
  <si>
    <t>15278236022</t>
  </si>
  <si>
    <t>15278236310</t>
  </si>
  <si>
    <t>15278236474</t>
  </si>
  <si>
    <t>15278236791</t>
  </si>
  <si>
    <t>15278236862</t>
  </si>
  <si>
    <t>15278237065</t>
  </si>
  <si>
    <t>15278237147</t>
  </si>
  <si>
    <t>15278238059</t>
  </si>
  <si>
    <t>15278238255</t>
  </si>
  <si>
    <t>15278239463</t>
  </si>
  <si>
    <t>15278240535</t>
  </si>
  <si>
    <t>15278240690</t>
  </si>
  <si>
    <t>15278240834</t>
  </si>
  <si>
    <t>15278240876</t>
  </si>
  <si>
    <t>15278241864</t>
  </si>
  <si>
    <t>15278241869</t>
  </si>
  <si>
    <t>15278242530</t>
  </si>
  <si>
    <t>15278243598</t>
  </si>
  <si>
    <t>15278243763</t>
  </si>
  <si>
    <t>15278244854</t>
  </si>
  <si>
    <t>15278245198</t>
  </si>
  <si>
    <t>15278245199</t>
  </si>
  <si>
    <t>15278246346</t>
  </si>
  <si>
    <t>15278247402</t>
  </si>
  <si>
    <t>15278263850</t>
  </si>
  <si>
    <t>15278266875</t>
  </si>
  <si>
    <t>57077294</t>
  </si>
  <si>
    <t>15278267093</t>
  </si>
  <si>
    <t>57231375</t>
  </si>
  <si>
    <t>15278270503</t>
  </si>
  <si>
    <t>57233154</t>
  </si>
  <si>
    <t>15278271628</t>
  </si>
  <si>
    <t>57135813</t>
  </si>
  <si>
    <t>15278276157</t>
  </si>
  <si>
    <t>57135821</t>
  </si>
  <si>
    <t>15278278422</t>
  </si>
  <si>
    <t>57149066</t>
  </si>
  <si>
    <t>15278278525</t>
  </si>
  <si>
    <t>57065042</t>
  </si>
  <si>
    <t>15278279135</t>
  </si>
  <si>
    <t>57064036</t>
  </si>
  <si>
    <t>15278279386</t>
  </si>
  <si>
    <t>57064318</t>
  </si>
  <si>
    <t>15278281337</t>
  </si>
  <si>
    <t>57066879</t>
  </si>
  <si>
    <t>15278282043</t>
  </si>
  <si>
    <t>57065040</t>
  </si>
  <si>
    <t>15278282469</t>
  </si>
  <si>
    <t>57066774</t>
  </si>
  <si>
    <t>15278283268</t>
  </si>
  <si>
    <t>57151655</t>
  </si>
  <si>
    <t>15278283814</t>
  </si>
  <si>
    <t>57066122</t>
  </si>
  <si>
    <t>15278284365</t>
  </si>
  <si>
    <t>57068277</t>
  </si>
  <si>
    <t>15278286260</t>
  </si>
  <si>
    <t>57065596</t>
  </si>
  <si>
    <t>15278286887</t>
  </si>
  <si>
    <t>57161247</t>
  </si>
  <si>
    <t>15278286888</t>
  </si>
  <si>
    <t>57161244</t>
  </si>
  <si>
    <t>15278289183</t>
  </si>
  <si>
    <t>57171204</t>
  </si>
  <si>
    <t>15278289328</t>
  </si>
  <si>
    <t>57171205</t>
  </si>
  <si>
    <t>15278289484</t>
  </si>
  <si>
    <t>57171203</t>
  </si>
  <si>
    <t>15278289485</t>
  </si>
  <si>
    <t>57171198</t>
  </si>
  <si>
    <t>15278289634</t>
  </si>
  <si>
    <t>57171307</t>
  </si>
  <si>
    <t>15278289959</t>
  </si>
  <si>
    <t>57171199</t>
  </si>
  <si>
    <t>15278290049</t>
  </si>
  <si>
    <t>57171211</t>
  </si>
  <si>
    <t>15278290377</t>
  </si>
  <si>
    <t>57171830</t>
  </si>
  <si>
    <t>15278290403</t>
  </si>
  <si>
    <t>57068249</t>
  </si>
  <si>
    <t>15278290488</t>
  </si>
  <si>
    <t>57171848</t>
  </si>
  <si>
    <t>15278291355</t>
  </si>
  <si>
    <t>57171839</t>
  </si>
  <si>
    <t>15278291493</t>
  </si>
  <si>
    <t>58806657</t>
  </si>
  <si>
    <t>15278291916</t>
  </si>
  <si>
    <t>57171373</t>
  </si>
  <si>
    <t>57125715</t>
  </si>
  <si>
    <t>15278292125</t>
  </si>
  <si>
    <t>57171398</t>
  </si>
  <si>
    <t>15278292437</t>
  </si>
  <si>
    <t>57078711</t>
  </si>
  <si>
    <t>15278295454</t>
  </si>
  <si>
    <t>57066553</t>
  </si>
  <si>
    <t>15278296184</t>
  </si>
  <si>
    <t>57189138</t>
  </si>
  <si>
    <t>15278297316</t>
  </si>
  <si>
    <t>57172944</t>
  </si>
  <si>
    <t>15278298359</t>
  </si>
  <si>
    <t>57068351</t>
  </si>
  <si>
    <t>15278299168</t>
  </si>
  <si>
    <t>57079167</t>
  </si>
  <si>
    <t>15278299355</t>
  </si>
  <si>
    <t>57091295</t>
  </si>
  <si>
    <t>15278299370</t>
  </si>
  <si>
    <t>57079150</t>
  </si>
  <si>
    <t>15278299371</t>
  </si>
  <si>
    <t>57079068</t>
  </si>
  <si>
    <t>15278299643</t>
  </si>
  <si>
    <t>57078716</t>
  </si>
  <si>
    <t>15278299934</t>
  </si>
  <si>
    <t>57078931</t>
  </si>
  <si>
    <t>15278299985</t>
  </si>
  <si>
    <t>57077274</t>
  </si>
  <si>
    <t>15278300845</t>
  </si>
  <si>
    <t>57091672</t>
  </si>
  <si>
    <t>15278300984</t>
  </si>
  <si>
    <t>57079080</t>
  </si>
  <si>
    <t>15278302425</t>
  </si>
  <si>
    <t>15278302675</t>
  </si>
  <si>
    <t>57078849</t>
  </si>
  <si>
    <t>15278303544</t>
  </si>
  <si>
    <t>57077273</t>
  </si>
  <si>
    <t>15278303599</t>
  </si>
  <si>
    <t>57231542</t>
  </si>
  <si>
    <t>15278303689</t>
  </si>
  <si>
    <t>57091675</t>
  </si>
  <si>
    <t>15278303962</t>
  </si>
  <si>
    <t>57079379</t>
  </si>
  <si>
    <t>15278306188</t>
  </si>
  <si>
    <t>57081908</t>
  </si>
  <si>
    <t>15278308872</t>
  </si>
  <si>
    <t>57079403</t>
  </si>
  <si>
    <t>15278316375</t>
  </si>
  <si>
    <t>57091093</t>
  </si>
  <si>
    <t>15278325836</t>
  </si>
  <si>
    <t>57091975</t>
  </si>
  <si>
    <t>15278327066</t>
  </si>
  <si>
    <t>57092206</t>
  </si>
  <si>
    <t>15278330989</t>
  </si>
  <si>
    <t>15278331893</t>
  </si>
  <si>
    <t>15278332527</t>
  </si>
  <si>
    <t>15278333746</t>
  </si>
  <si>
    <t>15278349727</t>
  </si>
  <si>
    <t>15278349861</t>
  </si>
  <si>
    <t>15278351482</t>
  </si>
  <si>
    <t>61722573</t>
  </si>
  <si>
    <t>15278351832</t>
  </si>
  <si>
    <t>15278352526</t>
  </si>
  <si>
    <t>15278352836</t>
  </si>
  <si>
    <t>15278353412</t>
  </si>
  <si>
    <t>61675193</t>
  </si>
  <si>
    <t>15278353994</t>
  </si>
  <si>
    <t>15278354555</t>
  </si>
  <si>
    <t>15278355205</t>
  </si>
  <si>
    <t>15278357581</t>
  </si>
  <si>
    <t>15278357600</t>
  </si>
  <si>
    <t>15278358218</t>
  </si>
  <si>
    <t>15278358263</t>
  </si>
  <si>
    <t>61727004</t>
  </si>
  <si>
    <t>15278358282</t>
  </si>
  <si>
    <t>15278365501</t>
  </si>
  <si>
    <t>15278365892</t>
  </si>
  <si>
    <t>15278366287</t>
  </si>
  <si>
    <t>15278385989</t>
  </si>
  <si>
    <t>15278389855</t>
  </si>
  <si>
    <t>57091101</t>
  </si>
  <si>
    <t>15278390269</t>
  </si>
  <si>
    <t>57091211</t>
  </si>
  <si>
    <t>15278397228</t>
  </si>
  <si>
    <t>57095482</t>
  </si>
  <si>
    <t>15278402109</t>
  </si>
  <si>
    <t>57098060</t>
  </si>
  <si>
    <t>15278402769</t>
  </si>
  <si>
    <t>57098061</t>
  </si>
  <si>
    <t>15278403548</t>
  </si>
  <si>
    <t>57098100</t>
  </si>
  <si>
    <t>15278403830</t>
  </si>
  <si>
    <t>57098109</t>
  </si>
  <si>
    <t>15278404952</t>
  </si>
  <si>
    <t>57096406</t>
  </si>
  <si>
    <t>15278406396</t>
  </si>
  <si>
    <t>57193234</t>
  </si>
  <si>
    <t>15278406426</t>
  </si>
  <si>
    <t>57094741</t>
  </si>
  <si>
    <t>15278407435</t>
  </si>
  <si>
    <t>57190664</t>
  </si>
  <si>
    <t>15278407534</t>
  </si>
  <si>
    <t>57191206</t>
  </si>
  <si>
    <t>15278409619</t>
  </si>
  <si>
    <t>57191279</t>
  </si>
  <si>
    <t>57126739</t>
  </si>
  <si>
    <t>15278411998</t>
  </si>
  <si>
    <t>57189177</t>
  </si>
  <si>
    <t>15278414612</t>
  </si>
  <si>
    <t>15278415384</t>
  </si>
  <si>
    <t>15278416617</t>
  </si>
  <si>
    <t>15278417224</t>
  </si>
  <si>
    <t>15278417487</t>
  </si>
  <si>
    <t>15278420018</t>
  </si>
  <si>
    <t>15278420338</t>
  </si>
  <si>
    <t>15278431528</t>
  </si>
  <si>
    <t>15278432204</t>
  </si>
  <si>
    <t>15278432949</t>
  </si>
  <si>
    <t>15278433169</t>
  </si>
  <si>
    <t>15278433499</t>
  </si>
  <si>
    <t>15278434557</t>
  </si>
  <si>
    <t>57171138</t>
  </si>
  <si>
    <t>15278437910</t>
  </si>
  <si>
    <t>15278443931</t>
  </si>
  <si>
    <t>15278448831</t>
  </si>
  <si>
    <t>57109581</t>
  </si>
  <si>
    <t>15278449625</t>
  </si>
  <si>
    <t>57111094</t>
  </si>
  <si>
    <t>15278452944</t>
  </si>
  <si>
    <t>57111090</t>
  </si>
  <si>
    <t>15278463192</t>
  </si>
  <si>
    <t>57111095</t>
  </si>
  <si>
    <t>15278464705</t>
  </si>
  <si>
    <t>57104145</t>
  </si>
  <si>
    <t>15278465251</t>
  </si>
  <si>
    <t>57111504</t>
  </si>
  <si>
    <t>15278466114</t>
  </si>
  <si>
    <t>57111371</t>
  </si>
  <si>
    <t>15278468061</t>
  </si>
  <si>
    <t>57112195</t>
  </si>
  <si>
    <t>15278474559</t>
  </si>
  <si>
    <t>58808650</t>
  </si>
  <si>
    <t>15278479863</t>
  </si>
  <si>
    <t>57111597</t>
  </si>
  <si>
    <t>15278479934</t>
  </si>
  <si>
    <t>57110989</t>
  </si>
  <si>
    <t>15278480836</t>
  </si>
  <si>
    <t>15278480838</t>
  </si>
  <si>
    <t>57112271</t>
  </si>
  <si>
    <t>15278488577</t>
  </si>
  <si>
    <t>61678628</t>
  </si>
  <si>
    <t>15278488875</t>
  </si>
  <si>
    <t>15278490872</t>
  </si>
  <si>
    <t>15278490967</t>
  </si>
  <si>
    <t>15278491149</t>
  </si>
  <si>
    <t>15278491683</t>
  </si>
  <si>
    <t>15278493320</t>
  </si>
  <si>
    <t>15278498729</t>
  </si>
  <si>
    <t>15278499891</t>
  </si>
  <si>
    <t>15278499892</t>
  </si>
  <si>
    <t>15278500146</t>
  </si>
  <si>
    <t>15278515667</t>
  </si>
  <si>
    <t>57126674</t>
  </si>
  <si>
    <t>15278519848</t>
  </si>
  <si>
    <t>57123287</t>
  </si>
  <si>
    <t>15278528054</t>
  </si>
  <si>
    <t>57122165</t>
  </si>
  <si>
    <t>15278528481</t>
  </si>
  <si>
    <t>15278530259</t>
  </si>
  <si>
    <t>57119554</t>
  </si>
  <si>
    <t>15278530412</t>
  </si>
  <si>
    <t>57120065</t>
  </si>
  <si>
    <t>15278531350</t>
  </si>
  <si>
    <t>57125713</t>
  </si>
  <si>
    <t>15278531357</t>
  </si>
  <si>
    <t>15278531409</t>
  </si>
  <si>
    <t>15278531823</t>
  </si>
  <si>
    <t>57122167</t>
  </si>
  <si>
    <t>15278532404</t>
  </si>
  <si>
    <t>57122278</t>
  </si>
  <si>
    <t>15278532972</t>
  </si>
  <si>
    <t>57121925</t>
  </si>
  <si>
    <t>15278536828</t>
  </si>
  <si>
    <t>57119940</t>
  </si>
  <si>
    <t>15278538208</t>
  </si>
  <si>
    <t>57123557</t>
  </si>
  <si>
    <t>15278540321</t>
  </si>
  <si>
    <t>57124020</t>
  </si>
  <si>
    <t>15278541673</t>
  </si>
  <si>
    <t>57125700</t>
  </si>
  <si>
    <t>15278542345</t>
  </si>
  <si>
    <t>57127326</t>
  </si>
  <si>
    <t>15278542590</t>
  </si>
  <si>
    <t>57124340</t>
  </si>
  <si>
    <t>15278543041</t>
  </si>
  <si>
    <t>57124338</t>
  </si>
  <si>
    <t>15278543231</t>
  </si>
  <si>
    <t>57126671</t>
  </si>
  <si>
    <t>15278543303</t>
  </si>
  <si>
    <t>57124343</t>
  </si>
  <si>
    <t>15278544629</t>
  </si>
  <si>
    <t>57126676</t>
  </si>
  <si>
    <t>15278544635</t>
  </si>
  <si>
    <t>57135824</t>
  </si>
  <si>
    <t>15278544762</t>
  </si>
  <si>
    <t>57122283</t>
  </si>
  <si>
    <t>15278545769</t>
  </si>
  <si>
    <t>57124145</t>
  </si>
  <si>
    <t>15278545814</t>
  </si>
  <si>
    <t>57135581</t>
  </si>
  <si>
    <t>15278546415</t>
  </si>
  <si>
    <t>57124264</t>
  </si>
  <si>
    <t>15278546720</t>
  </si>
  <si>
    <t>15278546750</t>
  </si>
  <si>
    <t>57124102</t>
  </si>
  <si>
    <t>15278547163</t>
  </si>
  <si>
    <t>57124341</t>
  </si>
  <si>
    <t>15278547466</t>
  </si>
  <si>
    <t>57158849</t>
  </si>
  <si>
    <t>15278548228</t>
  </si>
  <si>
    <t>15278548372</t>
  </si>
  <si>
    <t>61737970</t>
  </si>
  <si>
    <t>15278548479</t>
  </si>
  <si>
    <t>15278548538</t>
  </si>
  <si>
    <t>15278549299</t>
  </si>
  <si>
    <t>15278549738</t>
  </si>
  <si>
    <t>61722767</t>
  </si>
  <si>
    <t>15278550602</t>
  </si>
  <si>
    <t>15278561691</t>
  </si>
  <si>
    <t>15278562194</t>
  </si>
  <si>
    <t>57133117</t>
  </si>
  <si>
    <t>15278563087</t>
  </si>
  <si>
    <t>15278567211</t>
  </si>
  <si>
    <t>15278567276</t>
  </si>
  <si>
    <t>57132995</t>
  </si>
  <si>
    <t>15278572796</t>
  </si>
  <si>
    <t>15278576666</t>
  </si>
  <si>
    <t>57134962</t>
  </si>
  <si>
    <t>15278580235</t>
  </si>
  <si>
    <t>57135309</t>
  </si>
  <si>
    <t>15278581881</t>
  </si>
  <si>
    <t>57135040</t>
  </si>
  <si>
    <t>15278582042</t>
  </si>
  <si>
    <t>57134860</t>
  </si>
  <si>
    <t>15278582562</t>
  </si>
  <si>
    <t>57134806</t>
  </si>
  <si>
    <t>15278585706</t>
  </si>
  <si>
    <t>57133247</t>
  </si>
  <si>
    <t>15278586581</t>
  </si>
  <si>
    <t>57150791</t>
  </si>
  <si>
    <t>15278588918</t>
  </si>
  <si>
    <t>57134639</t>
  </si>
  <si>
    <t>15278590783</t>
  </si>
  <si>
    <t>57139599</t>
  </si>
  <si>
    <t>15278593877</t>
  </si>
  <si>
    <t>57136738</t>
  </si>
  <si>
    <t>15278594514</t>
  </si>
  <si>
    <t>57136253</t>
  </si>
  <si>
    <t>15278596628</t>
  </si>
  <si>
    <t>57136350</t>
  </si>
  <si>
    <t>15278597349</t>
  </si>
  <si>
    <t>57136405</t>
  </si>
  <si>
    <t>15278598098</t>
  </si>
  <si>
    <t>57136395</t>
  </si>
  <si>
    <t>15278598277</t>
  </si>
  <si>
    <t>57139605</t>
  </si>
  <si>
    <t>15278598789</t>
  </si>
  <si>
    <t>57137897</t>
  </si>
  <si>
    <t>15278599443</t>
  </si>
  <si>
    <t>57137895</t>
  </si>
  <si>
    <t>15278599915</t>
  </si>
  <si>
    <t>57137319</t>
  </si>
  <si>
    <t>15278603716</t>
  </si>
  <si>
    <t>57135823</t>
  </si>
  <si>
    <t>15278605086</t>
  </si>
  <si>
    <t>57135573</t>
  </si>
  <si>
    <t>15278605231</t>
  </si>
  <si>
    <t>57189337</t>
  </si>
  <si>
    <t>15278605759</t>
  </si>
  <si>
    <t>15278605867</t>
  </si>
  <si>
    <t>15278606248</t>
  </si>
  <si>
    <t>15278607331</t>
  </si>
  <si>
    <t>15278607476</t>
  </si>
  <si>
    <t>15278607630</t>
  </si>
  <si>
    <t>15278607870</t>
  </si>
  <si>
    <t>15278609038</t>
  </si>
  <si>
    <t>15278610932</t>
  </si>
  <si>
    <t>15278612146</t>
  </si>
  <si>
    <t>15278612289</t>
  </si>
  <si>
    <t>15278626601</t>
  </si>
  <si>
    <t>15278628171</t>
  </si>
  <si>
    <t>15278632136</t>
  </si>
  <si>
    <t>57149076</t>
  </si>
  <si>
    <t>15278634182</t>
  </si>
  <si>
    <t>57146813</t>
  </si>
  <si>
    <t>15278636726</t>
  </si>
  <si>
    <t>57149236</t>
  </si>
  <si>
    <t>15278637828</t>
  </si>
  <si>
    <t>57149022</t>
  </si>
  <si>
    <t>15278638140</t>
  </si>
  <si>
    <t>57148360</t>
  </si>
  <si>
    <t>15278638737</t>
  </si>
  <si>
    <t>57146962</t>
  </si>
  <si>
    <t>15278638992</t>
  </si>
  <si>
    <t>57147025</t>
  </si>
  <si>
    <t>15278639099</t>
  </si>
  <si>
    <t>58806288</t>
  </si>
  <si>
    <t>15278641943</t>
  </si>
  <si>
    <t>57150472</t>
  </si>
  <si>
    <t>15278642406</t>
  </si>
  <si>
    <t>57150427</t>
  </si>
  <si>
    <t>15278644185</t>
  </si>
  <si>
    <t>57152156</t>
  </si>
  <si>
    <t>15278644268</t>
  </si>
  <si>
    <t>57152155</t>
  </si>
  <si>
    <t>15278644629</t>
  </si>
  <si>
    <t>57152116</t>
  </si>
  <si>
    <t>15278645141</t>
  </si>
  <si>
    <t>57151764</t>
  </si>
  <si>
    <t>15278645452</t>
  </si>
  <si>
    <t>57150798</t>
  </si>
  <si>
    <t>15278646179</t>
  </si>
  <si>
    <t>57150420</t>
  </si>
  <si>
    <t>15278646648</t>
  </si>
  <si>
    <t>57150363</t>
  </si>
  <si>
    <t>15278646732</t>
  </si>
  <si>
    <t>57149067</t>
  </si>
  <si>
    <t>15278647410</t>
  </si>
  <si>
    <t>57148941</t>
  </si>
  <si>
    <t>15278648078</t>
  </si>
  <si>
    <t>57149015</t>
  </si>
  <si>
    <t>15278648866</t>
  </si>
  <si>
    <t>57151728</t>
  </si>
  <si>
    <t>15278648867</t>
  </si>
  <si>
    <t>57151743</t>
  </si>
  <si>
    <t>15278648869</t>
  </si>
  <si>
    <t>57151714</t>
  </si>
  <si>
    <t>15278651219</t>
  </si>
  <si>
    <t>57150429</t>
  </si>
  <si>
    <t>15278651588</t>
  </si>
  <si>
    <t>57150797</t>
  </si>
  <si>
    <t>15278652230</t>
  </si>
  <si>
    <t>57150423</t>
  </si>
  <si>
    <t>15278655047</t>
  </si>
  <si>
    <t>57149775</t>
  </si>
  <si>
    <t>15278655419</t>
  </si>
  <si>
    <t>57189276</t>
  </si>
  <si>
    <t>15278655741</t>
  </si>
  <si>
    <t>57151840</t>
  </si>
  <si>
    <t>15278655742</t>
  </si>
  <si>
    <t>57151711</t>
  </si>
  <si>
    <t>15278655743</t>
  </si>
  <si>
    <t>57151828</t>
  </si>
  <si>
    <t>15278657578</t>
  </si>
  <si>
    <t>57150796</t>
  </si>
  <si>
    <t>15278657593</t>
  </si>
  <si>
    <t>57150511</t>
  </si>
  <si>
    <t>15278657988</t>
  </si>
  <si>
    <t>57189281</t>
  </si>
  <si>
    <t>15278658719</t>
  </si>
  <si>
    <t>57151702</t>
  </si>
  <si>
    <t>15278659774</t>
  </si>
  <si>
    <t>57150793</t>
  </si>
  <si>
    <t>15278659818</t>
  </si>
  <si>
    <t>57150638</t>
  </si>
  <si>
    <t>15278661460</t>
  </si>
  <si>
    <t>57151995</t>
  </si>
  <si>
    <t>15278662272</t>
  </si>
  <si>
    <t>57152083</t>
  </si>
  <si>
    <t>15278663161</t>
  </si>
  <si>
    <t>61721807</t>
  </si>
  <si>
    <t>15278663162</t>
  </si>
  <si>
    <t>61722570</t>
  </si>
  <si>
    <t>15278663539</t>
  </si>
  <si>
    <t>15278663734</t>
  </si>
  <si>
    <t>61684869</t>
  </si>
  <si>
    <t>15278663761</t>
  </si>
  <si>
    <t>15278664250</t>
  </si>
  <si>
    <t>15278664616</t>
  </si>
  <si>
    <t>15278664929</t>
  </si>
  <si>
    <t>15278664959</t>
  </si>
  <si>
    <t>15278665133</t>
  </si>
  <si>
    <t>15278665685</t>
  </si>
  <si>
    <t>15278666099</t>
  </si>
  <si>
    <t>15278666465</t>
  </si>
  <si>
    <t>15278666486</t>
  </si>
  <si>
    <t>15278666551</t>
  </si>
  <si>
    <t>15278670357</t>
  </si>
  <si>
    <t>61709801</t>
  </si>
  <si>
    <t>15278672247</t>
  </si>
  <si>
    <t>61729852</t>
  </si>
  <si>
    <t>15278689181</t>
  </si>
  <si>
    <t>15278693478</t>
  </si>
  <si>
    <t>57152450</t>
  </si>
  <si>
    <t>15278695322</t>
  </si>
  <si>
    <t>57163075</t>
  </si>
  <si>
    <t>15278695383</t>
  </si>
  <si>
    <t>57163430</t>
  </si>
  <si>
    <t>15278696175</t>
  </si>
  <si>
    <t>57162913</t>
  </si>
  <si>
    <t>15278696583</t>
  </si>
  <si>
    <t>57162897</t>
  </si>
  <si>
    <t>15278699901</t>
  </si>
  <si>
    <t>57163117</t>
  </si>
  <si>
    <t>15278700997</t>
  </si>
  <si>
    <t>57171207</t>
  </si>
  <si>
    <t>15278701657</t>
  </si>
  <si>
    <t>57163036</t>
  </si>
  <si>
    <t>15278703979</t>
  </si>
  <si>
    <t>15278704779</t>
  </si>
  <si>
    <t>57161396</t>
  </si>
  <si>
    <t>15278704926</t>
  </si>
  <si>
    <t>57161297</t>
  </si>
  <si>
    <t>15278705058</t>
  </si>
  <si>
    <t>57161250</t>
  </si>
  <si>
    <t>15278706270</t>
  </si>
  <si>
    <t>57159812</t>
  </si>
  <si>
    <t>15278706501</t>
  </si>
  <si>
    <t>57171206</t>
  </si>
  <si>
    <t>15278707836</t>
  </si>
  <si>
    <t>57159702</t>
  </si>
  <si>
    <t>15278708420</t>
  </si>
  <si>
    <t>57160374</t>
  </si>
  <si>
    <t>15278709339</t>
  </si>
  <si>
    <t>57163074</t>
  </si>
  <si>
    <t>15278709406</t>
  </si>
  <si>
    <t>57162163</t>
  </si>
  <si>
    <t>15278709695</t>
  </si>
  <si>
    <t>57158845</t>
  </si>
  <si>
    <t>15278711415</t>
  </si>
  <si>
    <t>57160654</t>
  </si>
  <si>
    <t>15278712558</t>
  </si>
  <si>
    <t>57159787</t>
  </si>
  <si>
    <t>15278713134</t>
  </si>
  <si>
    <t>57164168</t>
  </si>
  <si>
    <t>15278713569</t>
  </si>
  <si>
    <t>57164144</t>
  </si>
  <si>
    <t>15278713678</t>
  </si>
  <si>
    <t>57162393</t>
  </si>
  <si>
    <t>15278714165</t>
  </si>
  <si>
    <t>57164536</t>
  </si>
  <si>
    <t>15278714394</t>
  </si>
  <si>
    <t>57162394</t>
  </si>
  <si>
    <t>15278714413</t>
  </si>
  <si>
    <t>57162494</t>
  </si>
  <si>
    <t>15278714454</t>
  </si>
  <si>
    <t>57171386</t>
  </si>
  <si>
    <t>15278714467</t>
  </si>
  <si>
    <t>57164135</t>
  </si>
  <si>
    <t>15278714469</t>
  </si>
  <si>
    <t>57164137</t>
  </si>
  <si>
    <t>15278715712</t>
  </si>
  <si>
    <t>57160631</t>
  </si>
  <si>
    <t>15278716210</t>
  </si>
  <si>
    <t>57164138</t>
  </si>
  <si>
    <t>15278716764</t>
  </si>
  <si>
    <t>57170599</t>
  </si>
  <si>
    <t>15278717173</t>
  </si>
  <si>
    <t>57164143</t>
  </si>
  <si>
    <t>15278717219</t>
  </si>
  <si>
    <t>57165491</t>
  </si>
  <si>
    <t>15278717393</t>
  </si>
  <si>
    <t>57171387</t>
  </si>
  <si>
    <t>15278717873</t>
  </si>
  <si>
    <t>57163048</t>
  </si>
  <si>
    <t>15278717926</t>
  </si>
  <si>
    <t>57163016</t>
  </si>
  <si>
    <t>15278717951</t>
  </si>
  <si>
    <t>57163047</t>
  </si>
  <si>
    <t>15278718091</t>
  </si>
  <si>
    <t>57181448</t>
  </si>
  <si>
    <t>15278718201</t>
  </si>
  <si>
    <t>57190601</t>
  </si>
  <si>
    <t>15278718203</t>
  </si>
  <si>
    <t>57190599</t>
  </si>
  <si>
    <t>15278718306</t>
  </si>
  <si>
    <t>57202542</t>
  </si>
  <si>
    <t>15278718419</t>
  </si>
  <si>
    <t>57179525</t>
  </si>
  <si>
    <t>15278718796</t>
  </si>
  <si>
    <t>57174052</t>
  </si>
  <si>
    <t>15278718869</t>
  </si>
  <si>
    <t>57178410</t>
  </si>
  <si>
    <t>15278719455</t>
  </si>
  <si>
    <t>57171215</t>
  </si>
  <si>
    <t>15278719482</t>
  </si>
  <si>
    <t>57171209</t>
  </si>
  <si>
    <t>15278719941</t>
  </si>
  <si>
    <t>57189280</t>
  </si>
  <si>
    <t>15278720101</t>
  </si>
  <si>
    <t>57173891</t>
  </si>
  <si>
    <t>15278720201</t>
  </si>
  <si>
    <t>57173090</t>
  </si>
  <si>
    <t>15278722925</t>
  </si>
  <si>
    <t>57179314</t>
  </si>
  <si>
    <t>15278723322</t>
  </si>
  <si>
    <t>57179520</t>
  </si>
  <si>
    <t>15278727957</t>
  </si>
  <si>
    <t>57190116</t>
  </si>
  <si>
    <t>15278728005</t>
  </si>
  <si>
    <t>57190114</t>
  </si>
  <si>
    <t>15278728022</t>
  </si>
  <si>
    <t>57172911</t>
  </si>
  <si>
    <t>15278729678</t>
  </si>
  <si>
    <t>57179312</t>
  </si>
  <si>
    <t>15278747025</t>
  </si>
  <si>
    <t>57179523</t>
  </si>
  <si>
    <t>15278747030</t>
  </si>
  <si>
    <t>57179516</t>
  </si>
  <si>
    <t>15278747034</t>
  </si>
  <si>
    <t>57179519</t>
  </si>
  <si>
    <t>15278747051</t>
  </si>
  <si>
    <t>57179518</t>
  </si>
  <si>
    <t>15278748668</t>
  </si>
  <si>
    <t>57179394</t>
  </si>
  <si>
    <t>15278748942</t>
  </si>
  <si>
    <t>57181468</t>
  </si>
  <si>
    <t>15278749673</t>
  </si>
  <si>
    <t>57171851</t>
  </si>
  <si>
    <t>15278750970</t>
  </si>
  <si>
    <t>57179921</t>
  </si>
  <si>
    <t>15278751098</t>
  </si>
  <si>
    <t>57179707</t>
  </si>
  <si>
    <t>15278753911</t>
  </si>
  <si>
    <t>57181464</t>
  </si>
  <si>
    <t>15278757141</t>
  </si>
  <si>
    <t>57189217</t>
  </si>
  <si>
    <t>15278759817</t>
  </si>
  <si>
    <t>15278759818</t>
  </si>
  <si>
    <t>15278759894</t>
  </si>
  <si>
    <t>15278759954</t>
  </si>
  <si>
    <t>15278761424</t>
  </si>
  <si>
    <t>15278761439</t>
  </si>
  <si>
    <t>15278761749</t>
  </si>
  <si>
    <t>15278762106</t>
  </si>
  <si>
    <t>15278762579</t>
  </si>
  <si>
    <t>61690825</t>
  </si>
  <si>
    <t>15278762864</t>
  </si>
  <si>
    <t>15278763989</t>
  </si>
  <si>
    <t>15278763990</t>
  </si>
  <si>
    <t>15278764636</t>
  </si>
  <si>
    <t>15278764840</t>
  </si>
  <si>
    <t>15278766227</t>
  </si>
  <si>
    <t>15278766604</t>
  </si>
  <si>
    <t>15278766688</t>
  </si>
  <si>
    <t>15278767924</t>
  </si>
  <si>
    <t>15278768191</t>
  </si>
  <si>
    <t>15278768833</t>
  </si>
  <si>
    <t>15278769610</t>
  </si>
  <si>
    <t>15278770676</t>
  </si>
  <si>
    <t>15278771003</t>
  </si>
  <si>
    <t>15278771004</t>
  </si>
  <si>
    <t>15278771238</t>
  </si>
  <si>
    <t>15278771361</t>
  </si>
  <si>
    <t>15278771542</t>
  </si>
  <si>
    <t>61736976</t>
  </si>
  <si>
    <t>15278771636</t>
  </si>
  <si>
    <t>15278771646</t>
  </si>
  <si>
    <t>15278771677</t>
  </si>
  <si>
    <t>15278771927</t>
  </si>
  <si>
    <t>15278772209</t>
  </si>
  <si>
    <t>15278772245</t>
  </si>
  <si>
    <t>15278772255</t>
  </si>
  <si>
    <t>15278772315</t>
  </si>
  <si>
    <t>15278772416</t>
  </si>
  <si>
    <t>15278772420</t>
  </si>
  <si>
    <t>15278772429</t>
  </si>
  <si>
    <t>15278772445</t>
  </si>
  <si>
    <t>15278772509</t>
  </si>
  <si>
    <t>15278772713</t>
  </si>
  <si>
    <t>15278772786</t>
  </si>
  <si>
    <t>15278772791</t>
  </si>
  <si>
    <t>15278772806</t>
  </si>
  <si>
    <t>15278772975</t>
  </si>
  <si>
    <t>15278773028</t>
  </si>
  <si>
    <t>15278773031</t>
  </si>
  <si>
    <t>15278773781</t>
  </si>
  <si>
    <t>15278774329</t>
  </si>
  <si>
    <t>61732386</t>
  </si>
  <si>
    <t>15278774673</t>
  </si>
  <si>
    <t>15278775130</t>
  </si>
  <si>
    <t>15278775344</t>
  </si>
  <si>
    <t>15278775424</t>
  </si>
  <si>
    <t>57206050</t>
  </si>
  <si>
    <t>15278775606</t>
  </si>
  <si>
    <t>15278775643</t>
  </si>
  <si>
    <t>57205040</t>
  </si>
  <si>
    <t>15278775681</t>
  </si>
  <si>
    <t>15278775682</t>
  </si>
  <si>
    <t>15278775908</t>
  </si>
  <si>
    <t>57205306</t>
  </si>
  <si>
    <t>15278775974</t>
  </si>
  <si>
    <t>15278775987</t>
  </si>
  <si>
    <t>57205865</t>
  </si>
  <si>
    <t>15278776230</t>
  </si>
  <si>
    <t>57193203</t>
  </si>
  <si>
    <t>15278776257</t>
  </si>
  <si>
    <t>15278776507</t>
  </si>
  <si>
    <t>15278776527</t>
  </si>
  <si>
    <t>15278776549</t>
  </si>
  <si>
    <t>15278776610</t>
  </si>
  <si>
    <t>57205863</t>
  </si>
  <si>
    <t>15278776623</t>
  </si>
  <si>
    <t>15278776649</t>
  </si>
  <si>
    <t>57205304</t>
  </si>
  <si>
    <t>15278776654</t>
  </si>
  <si>
    <t>15278776659</t>
  </si>
  <si>
    <t>15278776667</t>
  </si>
  <si>
    <t>57217132</t>
  </si>
  <si>
    <t>15278776737</t>
  </si>
  <si>
    <t>15278776894</t>
  </si>
  <si>
    <t>15278777304</t>
  </si>
  <si>
    <t>57189330</t>
  </si>
  <si>
    <t>15278777328</t>
  </si>
  <si>
    <t>57190172</t>
  </si>
  <si>
    <t>15278777522</t>
  </si>
  <si>
    <t>57208724</t>
  </si>
  <si>
    <t>15278777533</t>
  </si>
  <si>
    <t>15278777760</t>
  </si>
  <si>
    <t>57208727</t>
  </si>
  <si>
    <t>15278778291</t>
  </si>
  <si>
    <t>15278778389</t>
  </si>
  <si>
    <t>57208697</t>
  </si>
  <si>
    <t>15278778432</t>
  </si>
  <si>
    <t>57190663</t>
  </si>
  <si>
    <t>15278778469</t>
  </si>
  <si>
    <t>15278778599</t>
  </si>
  <si>
    <t>15278778615</t>
  </si>
  <si>
    <t>57190168</t>
  </si>
  <si>
    <t>15278778664</t>
  </si>
  <si>
    <t>15278778765</t>
  </si>
  <si>
    <t>57208256</t>
  </si>
  <si>
    <t>15278778789</t>
  </si>
  <si>
    <t>57208695</t>
  </si>
  <si>
    <t>15278778805</t>
  </si>
  <si>
    <t>15278778837</t>
  </si>
  <si>
    <t>61704135</t>
  </si>
  <si>
    <t>15278778961</t>
  </si>
  <si>
    <t>57208698</t>
  </si>
  <si>
    <t>15278778978</t>
  </si>
  <si>
    <t>15278779020</t>
  </si>
  <si>
    <t>61717402</t>
  </si>
  <si>
    <t>15278779040</t>
  </si>
  <si>
    <t>57208497</t>
  </si>
  <si>
    <t>15278779070</t>
  </si>
  <si>
    <t>15278779224</t>
  </si>
  <si>
    <t>15278779237</t>
  </si>
  <si>
    <t>15278779266</t>
  </si>
  <si>
    <t>15278780172</t>
  </si>
  <si>
    <t>15278784789</t>
  </si>
  <si>
    <t>15278790316</t>
  </si>
  <si>
    <t>15278792681</t>
  </si>
  <si>
    <t>61687395</t>
  </si>
  <si>
    <t>15278792684</t>
  </si>
  <si>
    <t>15278799641</t>
  </si>
  <si>
    <t>57202480</t>
  </si>
  <si>
    <t>15278815574</t>
  </si>
  <si>
    <t>57191511</t>
  </si>
  <si>
    <t>15278815575</t>
  </si>
  <si>
    <t>57191513</t>
  </si>
  <si>
    <t>15278815576</t>
  </si>
  <si>
    <t>57191518</t>
  </si>
  <si>
    <t>15278816845</t>
  </si>
  <si>
    <t>57202035</t>
  </si>
  <si>
    <t>15278817152</t>
  </si>
  <si>
    <t>57191512</t>
  </si>
  <si>
    <t>15278817171</t>
  </si>
  <si>
    <t>57191517</t>
  </si>
  <si>
    <t>15278817250</t>
  </si>
  <si>
    <t>57202034</t>
  </si>
  <si>
    <t>15278817405</t>
  </si>
  <si>
    <t>57193518</t>
  </si>
  <si>
    <t>15278819079</t>
  </si>
  <si>
    <t>57191202</t>
  </si>
  <si>
    <t>15278822265</t>
  </si>
  <si>
    <t>15278826023</t>
  </si>
  <si>
    <t>57193216</t>
  </si>
  <si>
    <t>15278826215</t>
  </si>
  <si>
    <t>57191201</t>
  </si>
  <si>
    <t>15278826532</t>
  </si>
  <si>
    <t>15278826601</t>
  </si>
  <si>
    <t>15278826653</t>
  </si>
  <si>
    <t>15278826725</t>
  </si>
  <si>
    <t>61710674</t>
  </si>
  <si>
    <t>15278830368</t>
  </si>
  <si>
    <t>15278830371</t>
  </si>
  <si>
    <t>57193525</t>
  </si>
  <si>
    <t>15278830374</t>
  </si>
  <si>
    <t>15278831870</t>
  </si>
  <si>
    <t>15278832361</t>
  </si>
  <si>
    <t>15278832528</t>
  </si>
  <si>
    <t>61722882</t>
  </si>
  <si>
    <t>15278832677</t>
  </si>
  <si>
    <t>15278833520</t>
  </si>
  <si>
    <t>15278833929</t>
  </si>
  <si>
    <t>15278833949</t>
  </si>
  <si>
    <t>15278834014</t>
  </si>
  <si>
    <t>15278834015</t>
  </si>
  <si>
    <t>61733651</t>
  </si>
  <si>
    <t>15278834225</t>
  </si>
  <si>
    <t>15278834357</t>
  </si>
  <si>
    <t>15278834520</t>
  </si>
  <si>
    <t>15278834524</t>
  </si>
  <si>
    <t>15278834560</t>
  </si>
  <si>
    <t>15278835103</t>
  </si>
  <si>
    <t>15278835108</t>
  </si>
  <si>
    <t>15278835135</t>
  </si>
  <si>
    <t>15278835445</t>
  </si>
  <si>
    <t>15278835469</t>
  </si>
  <si>
    <t>15278835488</t>
  </si>
  <si>
    <t>15278835572</t>
  </si>
  <si>
    <t>15278835647</t>
  </si>
  <si>
    <t>15278835927</t>
  </si>
  <si>
    <t>15278836001</t>
  </si>
  <si>
    <t>15278836949</t>
  </si>
  <si>
    <t>15278837471</t>
  </si>
  <si>
    <t>15278837619</t>
  </si>
  <si>
    <t>57210207</t>
  </si>
  <si>
    <t>15278837928</t>
  </si>
  <si>
    <t>15278837939</t>
  </si>
  <si>
    <t>15278837952</t>
  </si>
  <si>
    <t>15278838055</t>
  </si>
  <si>
    <t>61692253</t>
  </si>
  <si>
    <t>15278839349</t>
  </si>
  <si>
    <t>15278839527</t>
  </si>
  <si>
    <t>15278839591</t>
  </si>
  <si>
    <t>15278839667</t>
  </si>
  <si>
    <t>15278839930</t>
  </si>
  <si>
    <t>15278840071</t>
  </si>
  <si>
    <t>15278840146</t>
  </si>
  <si>
    <t>15278840353</t>
  </si>
  <si>
    <t>15278840386</t>
  </si>
  <si>
    <t>61736261</t>
  </si>
  <si>
    <t>15278840392</t>
  </si>
  <si>
    <t>15278840444</t>
  </si>
  <si>
    <t>15278840502</t>
  </si>
  <si>
    <t>15278840776</t>
  </si>
  <si>
    <t>15278842199</t>
  </si>
  <si>
    <t>15278842757</t>
  </si>
  <si>
    <t>15278844327</t>
  </si>
  <si>
    <t>15278844495</t>
  </si>
  <si>
    <t>15278844498</t>
  </si>
  <si>
    <t>15278845555</t>
  </si>
  <si>
    <t>15278845586</t>
  </si>
  <si>
    <t>15278845726</t>
  </si>
  <si>
    <t>15278845735</t>
  </si>
  <si>
    <t>15278846253</t>
  </si>
  <si>
    <t>15278846486</t>
  </si>
  <si>
    <t>15278847294</t>
  </si>
  <si>
    <t>15278847479</t>
  </si>
  <si>
    <t>15278847739</t>
  </si>
  <si>
    <t>61733846</t>
  </si>
  <si>
    <t>15278850155</t>
  </si>
  <si>
    <t>15278850617</t>
  </si>
  <si>
    <t>57267819</t>
  </si>
  <si>
    <t>15278850732</t>
  </si>
  <si>
    <t>15278858948</t>
  </si>
  <si>
    <t>57202543</t>
  </si>
  <si>
    <t>15278860787</t>
  </si>
  <si>
    <t>15278865076</t>
  </si>
  <si>
    <t>57217344</t>
  </si>
  <si>
    <t>15278866122</t>
  </si>
  <si>
    <t>57202670</t>
  </si>
  <si>
    <t>15278866569</t>
  </si>
  <si>
    <t>57217193</t>
  </si>
  <si>
    <t>15278866741</t>
  </si>
  <si>
    <t>57217136</t>
  </si>
  <si>
    <t>15278868867</t>
  </si>
  <si>
    <t>57217194</t>
  </si>
  <si>
    <t>15278871953</t>
  </si>
  <si>
    <t>57217605</t>
  </si>
  <si>
    <t>15278872386</t>
  </si>
  <si>
    <t>57217603</t>
  </si>
  <si>
    <t>15278875051</t>
  </si>
  <si>
    <t>57205376</t>
  </si>
  <si>
    <t>15278877355</t>
  </si>
  <si>
    <t>57233381</t>
  </si>
  <si>
    <t>15278878194</t>
  </si>
  <si>
    <t>57207314</t>
  </si>
  <si>
    <t>15278882944</t>
  </si>
  <si>
    <t>57233143</t>
  </si>
  <si>
    <t>15278883441</t>
  </si>
  <si>
    <t>15278885774</t>
  </si>
  <si>
    <t>57206815</t>
  </si>
  <si>
    <t>15278885934</t>
  </si>
  <si>
    <t>57245263</t>
  </si>
  <si>
    <t>15278887501</t>
  </si>
  <si>
    <t>57206486</t>
  </si>
  <si>
    <t>15278887711</t>
  </si>
  <si>
    <t>57245311</t>
  </si>
  <si>
    <t>15278889761</t>
  </si>
  <si>
    <t>57245841</t>
  </si>
  <si>
    <t>15278890639</t>
  </si>
  <si>
    <t>57267823</t>
  </si>
  <si>
    <t>15278892379</t>
  </si>
  <si>
    <t>57247793</t>
  </si>
  <si>
    <t>15278895917</t>
  </si>
  <si>
    <t>15278899044</t>
  </si>
  <si>
    <t>57220547</t>
  </si>
  <si>
    <t>15278899712</t>
  </si>
  <si>
    <t>57208358</t>
  </si>
  <si>
    <t>15278903322</t>
  </si>
  <si>
    <t>15278906220</t>
  </si>
  <si>
    <t>15278910147</t>
  </si>
  <si>
    <t>15278910917</t>
  </si>
  <si>
    <t>57267950</t>
  </si>
  <si>
    <t>15278912610</t>
  </si>
  <si>
    <t>15278944616</t>
  </si>
  <si>
    <t>Mazda CX-5 &amp; CX-50 : Combo</t>
  </si>
  <si>
    <t>15278956052</t>
  </si>
  <si>
    <t>57230965</t>
  </si>
  <si>
    <t>15278956134</t>
  </si>
  <si>
    <t>57221743</t>
  </si>
  <si>
    <t>15278956716</t>
  </si>
  <si>
    <t>15278962079</t>
  </si>
  <si>
    <t>15278962616</t>
  </si>
  <si>
    <t>57231090</t>
  </si>
  <si>
    <t>15278962715</t>
  </si>
  <si>
    <t>57267951</t>
  </si>
  <si>
    <t>15278963320</t>
  </si>
  <si>
    <t>15278966357</t>
  </si>
  <si>
    <t>15278966750</t>
  </si>
  <si>
    <t>15278966808</t>
  </si>
  <si>
    <t>15278966815</t>
  </si>
  <si>
    <t>15278967899</t>
  </si>
  <si>
    <t>15278969661</t>
  </si>
  <si>
    <t>15278970185</t>
  </si>
  <si>
    <t>15278972198</t>
  </si>
  <si>
    <t>15278977346</t>
  </si>
  <si>
    <t>61699018</t>
  </si>
  <si>
    <t>15278985722</t>
  </si>
  <si>
    <t>15278996416</t>
  </si>
  <si>
    <t>57233373</t>
  </si>
  <si>
    <t>15279002246</t>
  </si>
  <si>
    <t>57233341</t>
  </si>
  <si>
    <t>15279004300</t>
  </si>
  <si>
    <t>57233111</t>
  </si>
  <si>
    <t>15279009196</t>
  </si>
  <si>
    <t>57231549</t>
  </si>
  <si>
    <t>15279010981</t>
  </si>
  <si>
    <t>57233102</t>
  </si>
  <si>
    <t>15279012808</t>
  </si>
  <si>
    <t>57231312</t>
  </si>
  <si>
    <t>15279018403</t>
  </si>
  <si>
    <t>57233334</t>
  </si>
  <si>
    <t>15279022388</t>
  </si>
  <si>
    <t>61684877</t>
  </si>
  <si>
    <t>57234753</t>
  </si>
  <si>
    <t>15279022749</t>
  </si>
  <si>
    <t>57235256</t>
  </si>
  <si>
    <t>15279023324</t>
  </si>
  <si>
    <t>57248866</t>
  </si>
  <si>
    <t>15279023520</t>
  </si>
  <si>
    <t>57231545</t>
  </si>
  <si>
    <t>15279025394</t>
  </si>
  <si>
    <t>15279025395</t>
  </si>
  <si>
    <t>15279025396</t>
  </si>
  <si>
    <t>15279027362</t>
  </si>
  <si>
    <t>15279027375</t>
  </si>
  <si>
    <t>15279028024</t>
  </si>
  <si>
    <t>15279028393</t>
  </si>
  <si>
    <t>15279028777</t>
  </si>
  <si>
    <t>15279031137</t>
  </si>
  <si>
    <t>15279038897</t>
  </si>
  <si>
    <t>15279053694</t>
  </si>
  <si>
    <t>57248673</t>
  </si>
  <si>
    <t>15279056803</t>
  </si>
  <si>
    <t>57245890</t>
  </si>
  <si>
    <t>15279061065</t>
  </si>
  <si>
    <t>57247781</t>
  </si>
  <si>
    <t>15279061881</t>
  </si>
  <si>
    <t>57247529</t>
  </si>
  <si>
    <t>15279062613</t>
  </si>
  <si>
    <t>57246037</t>
  </si>
  <si>
    <t>15279063694</t>
  </si>
  <si>
    <t>57248875</t>
  </si>
  <si>
    <t>15279074393</t>
  </si>
  <si>
    <t>57248872</t>
  </si>
  <si>
    <t>15279077642</t>
  </si>
  <si>
    <t>57247745</t>
  </si>
  <si>
    <t>15279079964</t>
  </si>
  <si>
    <t>57249714</t>
  </si>
  <si>
    <t>15279082818</t>
  </si>
  <si>
    <t>15279084441</t>
  </si>
  <si>
    <t>15279084628</t>
  </si>
  <si>
    <t>15279086416</t>
  </si>
  <si>
    <t>15279086492</t>
  </si>
  <si>
    <t>15279086608</t>
  </si>
  <si>
    <t>15279087223</t>
  </si>
  <si>
    <t>15279088195</t>
  </si>
  <si>
    <t>15279088201</t>
  </si>
  <si>
    <t>15279088357</t>
  </si>
  <si>
    <t>15279089299</t>
  </si>
  <si>
    <t>15279091602</t>
  </si>
  <si>
    <t>15279094513</t>
  </si>
  <si>
    <t>15279097989</t>
  </si>
  <si>
    <t>15279099834</t>
  </si>
  <si>
    <t>15279103562</t>
  </si>
  <si>
    <t>57259789</t>
  </si>
  <si>
    <t>15279103803</t>
  </si>
  <si>
    <t>57259815</t>
  </si>
  <si>
    <t>15279104140</t>
  </si>
  <si>
    <t>57250197</t>
  </si>
  <si>
    <t>15279107026</t>
  </si>
  <si>
    <t>57259636</t>
  </si>
  <si>
    <t>15279111050</t>
  </si>
  <si>
    <t>57259954</t>
  </si>
  <si>
    <t>15279112153</t>
  </si>
  <si>
    <t>57261581</t>
  </si>
  <si>
    <t>15279113024</t>
  </si>
  <si>
    <t>57260289</t>
  </si>
  <si>
    <t>15279113201</t>
  </si>
  <si>
    <t>57261127</t>
  </si>
  <si>
    <t>15279114834</t>
  </si>
  <si>
    <t>57257802</t>
  </si>
  <si>
    <t>15279120508</t>
  </si>
  <si>
    <t>15279121273</t>
  </si>
  <si>
    <t>61682540</t>
  </si>
  <si>
    <t>15279121379</t>
  </si>
  <si>
    <t>15279122509</t>
  </si>
  <si>
    <t>15279130129</t>
  </si>
  <si>
    <t>15279130438</t>
  </si>
  <si>
    <t>15279130464</t>
  </si>
  <si>
    <t>61687741</t>
  </si>
  <si>
    <t>15279130651</t>
  </si>
  <si>
    <t>15279131094</t>
  </si>
  <si>
    <t>61728954</t>
  </si>
  <si>
    <t>15279133127</t>
  </si>
  <si>
    <t>15279133549</t>
  </si>
  <si>
    <t>15279133579</t>
  </si>
  <si>
    <t>15279133811</t>
  </si>
  <si>
    <t>15279135095</t>
  </si>
  <si>
    <t>57260041</t>
  </si>
  <si>
    <t>15279135774</t>
  </si>
  <si>
    <t>57260214</t>
  </si>
  <si>
    <t>15279135914</t>
  </si>
  <si>
    <t>57259793</t>
  </si>
  <si>
    <t>15279136241</t>
  </si>
  <si>
    <t>57259590</t>
  </si>
  <si>
    <t>15279137278</t>
  </si>
  <si>
    <t>57258347</t>
  </si>
  <si>
    <t>15279137561</t>
  </si>
  <si>
    <t>57260075</t>
  </si>
  <si>
    <t>15279137634</t>
  </si>
  <si>
    <t>57258775</t>
  </si>
  <si>
    <t>15279137748</t>
  </si>
  <si>
    <t>57268488</t>
  </si>
  <si>
    <t>15279138111</t>
  </si>
  <si>
    <t>57260370</t>
  </si>
  <si>
    <t>15279138163</t>
  </si>
  <si>
    <t>57260291</t>
  </si>
  <si>
    <t>15279139464</t>
  </si>
  <si>
    <t>57259788</t>
  </si>
  <si>
    <t>15279139669</t>
  </si>
  <si>
    <t>57258431</t>
  </si>
  <si>
    <t>15279139863</t>
  </si>
  <si>
    <t>57258619</t>
  </si>
  <si>
    <t>15279140150</t>
  </si>
  <si>
    <t>57260073</t>
  </si>
  <si>
    <t>15279140292</t>
  </si>
  <si>
    <t>57258427</t>
  </si>
  <si>
    <t>15279140776</t>
  </si>
  <si>
    <t>57261451</t>
  </si>
  <si>
    <t>15279140880</t>
  </si>
  <si>
    <t>57261551</t>
  </si>
  <si>
    <t>15279140961</t>
  </si>
  <si>
    <t>57261481</t>
  </si>
  <si>
    <t>15279140989</t>
  </si>
  <si>
    <t>57256598</t>
  </si>
  <si>
    <t>15279140998</t>
  </si>
  <si>
    <t>57260347</t>
  </si>
  <si>
    <t>15279141071</t>
  </si>
  <si>
    <t>57260356</t>
  </si>
  <si>
    <t>15279141118</t>
  </si>
  <si>
    <t>57260374</t>
  </si>
  <si>
    <t>15279141475</t>
  </si>
  <si>
    <t>57255833</t>
  </si>
  <si>
    <t>15279141856</t>
  </si>
  <si>
    <t>57260210</t>
  </si>
  <si>
    <t>15279142128</t>
  </si>
  <si>
    <t>57260105</t>
  </si>
  <si>
    <t>15279142270</t>
  </si>
  <si>
    <t>57260294</t>
  </si>
  <si>
    <t>15279142541</t>
  </si>
  <si>
    <t>57259950</t>
  </si>
  <si>
    <t>15279143273</t>
  </si>
  <si>
    <t>57261044</t>
  </si>
  <si>
    <t>15279143383</t>
  </si>
  <si>
    <t>57259790</t>
  </si>
  <si>
    <t>15279143475</t>
  </si>
  <si>
    <t>57259791</t>
  </si>
  <si>
    <t>15279143494</t>
  </si>
  <si>
    <t>57258800</t>
  </si>
  <si>
    <t>15279144010</t>
  </si>
  <si>
    <t>57261582</t>
  </si>
  <si>
    <t>15279145399</t>
  </si>
  <si>
    <t>57261040</t>
  </si>
  <si>
    <t>15279148137</t>
  </si>
  <si>
    <t>57268485</t>
  </si>
  <si>
    <t>15279168875</t>
  </si>
  <si>
    <t>57271032</t>
  </si>
  <si>
    <t>15279169435</t>
  </si>
  <si>
    <t>57271029</t>
  </si>
  <si>
    <t>15279170443</t>
  </si>
  <si>
    <t>57270110</t>
  </si>
  <si>
    <t>15279171492</t>
  </si>
  <si>
    <t>57282515</t>
  </si>
  <si>
    <t>15279173639</t>
  </si>
  <si>
    <t>57273499</t>
  </si>
  <si>
    <t>15279175546</t>
  </si>
  <si>
    <t>15279179475</t>
  </si>
  <si>
    <t>57270254</t>
  </si>
  <si>
    <t>15279181141</t>
  </si>
  <si>
    <t>57268678</t>
  </si>
  <si>
    <t>15279182633</t>
  </si>
  <si>
    <t>57298187</t>
  </si>
  <si>
    <t>15279182951</t>
  </si>
  <si>
    <t>57300476</t>
  </si>
  <si>
    <t>57283236</t>
  </si>
  <si>
    <t>15279182972</t>
  </si>
  <si>
    <t>57307704</t>
  </si>
  <si>
    <t>15279183851</t>
  </si>
  <si>
    <t>57270250</t>
  </si>
  <si>
    <t>15279184509</t>
  </si>
  <si>
    <t>57300815</t>
  </si>
  <si>
    <t>15279184511</t>
  </si>
  <si>
    <t>57300477</t>
  </si>
  <si>
    <t>15279184706</t>
  </si>
  <si>
    <t>57307597</t>
  </si>
  <si>
    <t>15279186283</t>
  </si>
  <si>
    <t>57297553</t>
  </si>
  <si>
    <t>15279186492</t>
  </si>
  <si>
    <t>57297806</t>
  </si>
  <si>
    <t>15279187264</t>
  </si>
  <si>
    <t>15279187450</t>
  </si>
  <si>
    <t>57297238</t>
  </si>
  <si>
    <t>15279187759</t>
  </si>
  <si>
    <t>57307390</t>
  </si>
  <si>
    <t>15279187819</t>
  </si>
  <si>
    <t>57302949</t>
  </si>
  <si>
    <t>15279189066</t>
  </si>
  <si>
    <t>57307485</t>
  </si>
  <si>
    <t>15279189218</t>
  </si>
  <si>
    <t>57299480</t>
  </si>
  <si>
    <t>15279189832</t>
  </si>
  <si>
    <t>57297789</t>
  </si>
  <si>
    <t>15279190069</t>
  </si>
  <si>
    <t>57297795</t>
  </si>
  <si>
    <t>15279190192</t>
  </si>
  <si>
    <t>57303018</t>
  </si>
  <si>
    <t>15279190234</t>
  </si>
  <si>
    <t>57307596</t>
  </si>
  <si>
    <t>15279190270</t>
  </si>
  <si>
    <t>57299633</t>
  </si>
  <si>
    <t>15279190472</t>
  </si>
  <si>
    <t>57300814</t>
  </si>
  <si>
    <t>15279190890</t>
  </si>
  <si>
    <t>57299021</t>
  </si>
  <si>
    <t>15279190898</t>
  </si>
  <si>
    <t>57307702</t>
  </si>
  <si>
    <t>15279192157</t>
  </si>
  <si>
    <t>57271810</t>
  </si>
  <si>
    <t>15279192204</t>
  </si>
  <si>
    <t>57271953</t>
  </si>
  <si>
    <t>15279192414</t>
  </si>
  <si>
    <t>57285693</t>
  </si>
  <si>
    <t>15279192682</t>
  </si>
  <si>
    <t>57284162</t>
  </si>
  <si>
    <t>15279193305</t>
  </si>
  <si>
    <t>57283437</t>
  </si>
  <si>
    <t>15279193466</t>
  </si>
  <si>
    <t>57285538</t>
  </si>
  <si>
    <t>15279193470</t>
  </si>
  <si>
    <t>57282684</t>
  </si>
  <si>
    <t>15279194382</t>
  </si>
  <si>
    <t>57283526</t>
  </si>
  <si>
    <t>15279194718</t>
  </si>
  <si>
    <t>15279194816</t>
  </si>
  <si>
    <t>57283436</t>
  </si>
  <si>
    <t>15279194848</t>
  </si>
  <si>
    <t>57283434</t>
  </si>
  <si>
    <t>15279194899</t>
  </si>
  <si>
    <t>57283235</t>
  </si>
  <si>
    <t>15279195151</t>
  </si>
  <si>
    <t>57286154</t>
  </si>
  <si>
    <t>15279195437</t>
  </si>
  <si>
    <t>57285821</t>
  </si>
  <si>
    <t>15279195645</t>
  </si>
  <si>
    <t>57285125</t>
  </si>
  <si>
    <t>15279195651</t>
  </si>
  <si>
    <t>57285260</t>
  </si>
  <si>
    <t>15279195706</t>
  </si>
  <si>
    <t>57285340</t>
  </si>
  <si>
    <t>15279195760</t>
  </si>
  <si>
    <t>57285535</t>
  </si>
  <si>
    <t>15279195851</t>
  </si>
  <si>
    <t>57285534</t>
  </si>
  <si>
    <t>15279195958</t>
  </si>
  <si>
    <t>57285184</t>
  </si>
  <si>
    <t>15279196260</t>
  </si>
  <si>
    <t>57285186</t>
  </si>
  <si>
    <t>15279196635</t>
  </si>
  <si>
    <t>57295871</t>
  </si>
  <si>
    <t>15279196841</t>
  </si>
  <si>
    <t>57284157</t>
  </si>
  <si>
    <t>15279196908</t>
  </si>
  <si>
    <t>57285536</t>
  </si>
  <si>
    <t>15279197207</t>
  </si>
  <si>
    <t>57286160</t>
  </si>
  <si>
    <t>15279197259</t>
  </si>
  <si>
    <t>57286163</t>
  </si>
  <si>
    <t>15279197342</t>
  </si>
  <si>
    <t>57286028</t>
  </si>
  <si>
    <t>15279197397</t>
  </si>
  <si>
    <t>57286705</t>
  </si>
  <si>
    <t>15279197503</t>
  </si>
  <si>
    <t>57284158</t>
  </si>
  <si>
    <t>15279197686</t>
  </si>
  <si>
    <t>57284212</t>
  </si>
  <si>
    <t>15279197705</t>
  </si>
  <si>
    <t>57283502</t>
  </si>
  <si>
    <t>Mazda CX Series</t>
  </si>
  <si>
    <t>Mazda CX Series : Asian Crossover Utility Vehicle</t>
  </si>
  <si>
    <t>15279198069</t>
  </si>
  <si>
    <t>15279198326</t>
  </si>
  <si>
    <t>57285696</t>
  </si>
  <si>
    <t>15279198851</t>
  </si>
  <si>
    <t>57286619</t>
  </si>
  <si>
    <t>15279201840</t>
  </si>
  <si>
    <t>57286165</t>
  </si>
  <si>
    <t>15279203419</t>
  </si>
  <si>
    <t>57287246</t>
  </si>
  <si>
    <t>15279203867</t>
  </si>
  <si>
    <t>57286702</t>
  </si>
  <si>
    <t>15279217733</t>
  </si>
  <si>
    <t>57286399</t>
  </si>
  <si>
    <t>15279219808</t>
  </si>
  <si>
    <t>57286820</t>
  </si>
  <si>
    <t>15279224537</t>
  </si>
  <si>
    <t>57287670</t>
  </si>
  <si>
    <t>15279224983</t>
  </si>
  <si>
    <t>57287974</t>
  </si>
  <si>
    <t>15279225507</t>
  </si>
  <si>
    <t>57286922</t>
  </si>
  <si>
    <t>15279229450</t>
  </si>
  <si>
    <t>15279231645</t>
  </si>
  <si>
    <t>15279232795</t>
  </si>
  <si>
    <t>15279232927</t>
  </si>
  <si>
    <t>15279235103</t>
  </si>
  <si>
    <t>61717999</t>
  </si>
  <si>
    <t>15279236047</t>
  </si>
  <si>
    <t>15279236798</t>
  </si>
  <si>
    <t>15279236830</t>
  </si>
  <si>
    <t>15279237919</t>
  </si>
  <si>
    <t>15279238525</t>
  </si>
  <si>
    <t>15279239312</t>
  </si>
  <si>
    <t>15279240008</t>
  </si>
  <si>
    <t>15279240085</t>
  </si>
  <si>
    <t>57320960</t>
  </si>
  <si>
    <t>15279240693</t>
  </si>
  <si>
    <t>57310555</t>
  </si>
  <si>
    <t>15279241282</t>
  </si>
  <si>
    <t>15279241560</t>
  </si>
  <si>
    <t>15279241929</t>
  </si>
  <si>
    <t>15279242112</t>
  </si>
  <si>
    <t>15279242389</t>
  </si>
  <si>
    <t>15279242862</t>
  </si>
  <si>
    <t>15279243098</t>
  </si>
  <si>
    <t>15279243247</t>
  </si>
  <si>
    <t>61733961</t>
  </si>
  <si>
    <t>15279244122</t>
  </si>
  <si>
    <t>15279244143</t>
  </si>
  <si>
    <t>15279244328</t>
  </si>
  <si>
    <t>57311193</t>
  </si>
  <si>
    <t>15279244333</t>
  </si>
  <si>
    <t>15279244363</t>
  </si>
  <si>
    <t>15279244491</t>
  </si>
  <si>
    <t>15279244681</t>
  </si>
  <si>
    <t>15279248385</t>
  </si>
  <si>
    <t>15279248496</t>
  </si>
  <si>
    <t>15279249394</t>
  </si>
  <si>
    <t>15279249442</t>
  </si>
  <si>
    <t>57312708</t>
  </si>
  <si>
    <t>15279250078</t>
  </si>
  <si>
    <t>15279250275</t>
  </si>
  <si>
    <t>15279250276</t>
  </si>
  <si>
    <t>15279250346</t>
  </si>
  <si>
    <t>15279250547</t>
  </si>
  <si>
    <t>15279250698</t>
  </si>
  <si>
    <t>15279250965</t>
  </si>
  <si>
    <t>15279251157</t>
  </si>
  <si>
    <t>15279252481</t>
  </si>
  <si>
    <t>15279252507</t>
  </si>
  <si>
    <t>15279252678</t>
  </si>
  <si>
    <t>15279254158</t>
  </si>
  <si>
    <t>61693225</t>
  </si>
  <si>
    <t>15279254432</t>
  </si>
  <si>
    <t>15279254611</t>
  </si>
  <si>
    <t>15279255017</t>
  </si>
  <si>
    <t>15279255489</t>
  </si>
  <si>
    <t>15279256122</t>
  </si>
  <si>
    <t>15279256153</t>
  </si>
  <si>
    <t>15279256158</t>
  </si>
  <si>
    <t>15279256213</t>
  </si>
  <si>
    <t>15279256231</t>
  </si>
  <si>
    <t>15279256255</t>
  </si>
  <si>
    <t>15279256266</t>
  </si>
  <si>
    <t>15279256395</t>
  </si>
  <si>
    <t>15279256448</t>
  </si>
  <si>
    <t>15279256454</t>
  </si>
  <si>
    <t>15279256455</t>
  </si>
  <si>
    <t>15279256468</t>
  </si>
  <si>
    <t>15279256491</t>
  </si>
  <si>
    <t>15279256492</t>
  </si>
  <si>
    <t>61681717</t>
  </si>
  <si>
    <t>15279256493</t>
  </si>
  <si>
    <t>61705737</t>
  </si>
  <si>
    <t>15279256495</t>
  </si>
  <si>
    <t>15279256540</t>
  </si>
  <si>
    <t>15279256572</t>
  </si>
  <si>
    <t>61730071</t>
  </si>
  <si>
    <t>15279256689</t>
  </si>
  <si>
    <t>61707900</t>
  </si>
  <si>
    <t>15279256701</t>
  </si>
  <si>
    <t>15279256704</t>
  </si>
  <si>
    <t>15279258073</t>
  </si>
  <si>
    <t>15279258446</t>
  </si>
  <si>
    <t>15279258816</t>
  </si>
  <si>
    <t>15279259435</t>
  </si>
  <si>
    <t>61686124</t>
  </si>
  <si>
    <t>15279259958</t>
  </si>
  <si>
    <t>15279260522</t>
  </si>
  <si>
    <t>15279261055</t>
  </si>
  <si>
    <t>15279270028</t>
  </si>
  <si>
    <t>15279272875</t>
  </si>
  <si>
    <t>15279275151</t>
  </si>
  <si>
    <t>15279276932</t>
  </si>
  <si>
    <t>57320961</t>
  </si>
  <si>
    <t>15279279998</t>
  </si>
  <si>
    <t>15279280235</t>
  </si>
  <si>
    <t>15279280449</t>
  </si>
  <si>
    <t>15279281248</t>
  </si>
  <si>
    <t>15279283805</t>
  </si>
  <si>
    <t>61728905</t>
  </si>
  <si>
    <t>15279284130</t>
  </si>
  <si>
    <t>15279288895</t>
  </si>
  <si>
    <t>15279289896</t>
  </si>
  <si>
    <t>15279291197</t>
  </si>
  <si>
    <t>15279293778</t>
  </si>
  <si>
    <t>15279293780</t>
  </si>
  <si>
    <t>15279295594</t>
  </si>
  <si>
    <t>15279295603</t>
  </si>
  <si>
    <t>15279295975</t>
  </si>
  <si>
    <t>15279296405</t>
  </si>
  <si>
    <t>15279296536</t>
  </si>
  <si>
    <t>61721912</t>
  </si>
  <si>
    <t>15279299428</t>
  </si>
  <si>
    <t>15279299429</t>
  </si>
  <si>
    <t>15279299919</t>
  </si>
  <si>
    <t>15279303292</t>
  </si>
  <si>
    <t>15279304538</t>
  </si>
  <si>
    <t>15279305540</t>
  </si>
  <si>
    <t>15279305905</t>
  </si>
  <si>
    <t>15279306017</t>
  </si>
  <si>
    <t>15279306387</t>
  </si>
  <si>
    <t>15279306547</t>
  </si>
  <si>
    <t>15279306548</t>
  </si>
  <si>
    <t>15279306602</t>
  </si>
  <si>
    <t>15279306902</t>
  </si>
  <si>
    <t>57314375</t>
  </si>
  <si>
    <t>15279306976</t>
  </si>
  <si>
    <t>57320851</t>
  </si>
  <si>
    <t>15279307465</t>
  </si>
  <si>
    <t>57311281</t>
  </si>
  <si>
    <t>15279307717</t>
  </si>
  <si>
    <t>57320441</t>
  </si>
  <si>
    <t>15279308318</t>
  </si>
  <si>
    <t>57311379</t>
  </si>
  <si>
    <t>15279308412</t>
  </si>
  <si>
    <t>57311428</t>
  </si>
  <si>
    <t>15279308515</t>
  </si>
  <si>
    <t>57311382</t>
  </si>
  <si>
    <t>15279308587</t>
  </si>
  <si>
    <t>57320479</t>
  </si>
  <si>
    <t>15279309264</t>
  </si>
  <si>
    <t>57320415</t>
  </si>
  <si>
    <t>15279309411</t>
  </si>
  <si>
    <t>57311549</t>
  </si>
  <si>
    <t>15279310011</t>
  </si>
  <si>
    <t>57320440</t>
  </si>
  <si>
    <t>15279310087</t>
  </si>
  <si>
    <t>57322251</t>
  </si>
  <si>
    <t>15279310258</t>
  </si>
  <si>
    <t>57320448</t>
  </si>
  <si>
    <t>15279311024</t>
  </si>
  <si>
    <t>57320409</t>
  </si>
  <si>
    <t>15279311039</t>
  </si>
  <si>
    <t>57320410</t>
  </si>
  <si>
    <t>15279311520</t>
  </si>
  <si>
    <t>57320451</t>
  </si>
  <si>
    <t>15279311551</t>
  </si>
  <si>
    <t>57320435</t>
  </si>
  <si>
    <t>15279311684</t>
  </si>
  <si>
    <t>57312492</t>
  </si>
  <si>
    <t>15279311953</t>
  </si>
  <si>
    <t>57320465</t>
  </si>
  <si>
    <t>15279313052</t>
  </si>
  <si>
    <t>57312543</t>
  </si>
  <si>
    <t>15279313118</t>
  </si>
  <si>
    <t>57312537</t>
  </si>
  <si>
    <t>15279313123</t>
  </si>
  <si>
    <t>57320476</t>
  </si>
  <si>
    <t>15279313336</t>
  </si>
  <si>
    <t>57320475</t>
  </si>
  <si>
    <t>15279313355</t>
  </si>
  <si>
    <t>57320490</t>
  </si>
  <si>
    <t>15279313599</t>
  </si>
  <si>
    <t>57312515</t>
  </si>
  <si>
    <t>15279313632</t>
  </si>
  <si>
    <t>57312728</t>
  </si>
  <si>
    <t>15279313709</t>
  </si>
  <si>
    <t>57312554</t>
  </si>
  <si>
    <t>15279313802</t>
  </si>
  <si>
    <t>57320489</t>
  </si>
  <si>
    <t>15279313874</t>
  </si>
  <si>
    <t>57312619</t>
  </si>
  <si>
    <t>15279314190</t>
  </si>
  <si>
    <t>57320491</t>
  </si>
  <si>
    <t>15279314404</t>
  </si>
  <si>
    <t>15279314440</t>
  </si>
  <si>
    <t>15279314523</t>
  </si>
  <si>
    <t>61675844</t>
  </si>
  <si>
    <t>15279314676</t>
  </si>
  <si>
    <t>15279314905</t>
  </si>
  <si>
    <t>15279315141</t>
  </si>
  <si>
    <t>15279317387</t>
  </si>
  <si>
    <t>61703134</t>
  </si>
  <si>
    <t>15279317724</t>
  </si>
  <si>
    <t>15279317875</t>
  </si>
  <si>
    <t>61711200</t>
  </si>
  <si>
    <t>15279318923</t>
  </si>
  <si>
    <t>15279319388</t>
  </si>
  <si>
    <t>61722712</t>
  </si>
  <si>
    <t>15279320577</t>
  </si>
  <si>
    <t>15279320622</t>
  </si>
  <si>
    <t>57342549</t>
  </si>
  <si>
    <t>15279320718</t>
  </si>
  <si>
    <t>57342548</t>
  </si>
  <si>
    <t>15279320899</t>
  </si>
  <si>
    <t>15279321059</t>
  </si>
  <si>
    <t>15279321112</t>
  </si>
  <si>
    <t>15279322960</t>
  </si>
  <si>
    <t>61715850</t>
  </si>
  <si>
    <t>15279324524</t>
  </si>
  <si>
    <t>61679741</t>
  </si>
  <si>
    <t>15279330056</t>
  </si>
  <si>
    <t>15279330086</t>
  </si>
  <si>
    <t>15279330616</t>
  </si>
  <si>
    <t>15279330777</t>
  </si>
  <si>
    <t>15279331279</t>
  </si>
  <si>
    <t>15279331324</t>
  </si>
  <si>
    <t>57342562</t>
  </si>
  <si>
    <t>15279331589</t>
  </si>
  <si>
    <t>15279331610</t>
  </si>
  <si>
    <t>15279337869</t>
  </si>
  <si>
    <t>15279338476</t>
  </si>
  <si>
    <t>15279338568</t>
  </si>
  <si>
    <t>15279340420</t>
  </si>
  <si>
    <t>15279340961</t>
  </si>
  <si>
    <t>15279342620</t>
  </si>
  <si>
    <t>15279342626</t>
  </si>
  <si>
    <t>15279343357</t>
  </si>
  <si>
    <t>61717345</t>
  </si>
  <si>
    <t>15279343361</t>
  </si>
  <si>
    <t>61732852</t>
  </si>
  <si>
    <t>15279344302</t>
  </si>
  <si>
    <t>15279344611</t>
  </si>
  <si>
    <t>15279344762</t>
  </si>
  <si>
    <t>15279345121</t>
  </si>
  <si>
    <t>15279345778</t>
  </si>
  <si>
    <t>15279346786</t>
  </si>
  <si>
    <t>15279347233</t>
  </si>
  <si>
    <t>15279347282</t>
  </si>
  <si>
    <t>15279347731</t>
  </si>
  <si>
    <t>15279347741</t>
  </si>
  <si>
    <t>15279347824</t>
  </si>
  <si>
    <t>61680641</t>
  </si>
  <si>
    <t>15279348166</t>
  </si>
  <si>
    <t>15279348334</t>
  </si>
  <si>
    <t>15279349431</t>
  </si>
  <si>
    <t>15279349438</t>
  </si>
  <si>
    <t>15279350018</t>
  </si>
  <si>
    <t>15279350031</t>
  </si>
  <si>
    <t>15279352006</t>
  </si>
  <si>
    <t>15279352090</t>
  </si>
  <si>
    <t>15279352227</t>
  </si>
  <si>
    <t>15279352541</t>
  </si>
  <si>
    <t>15279353138</t>
  </si>
  <si>
    <t>15279353139</t>
  </si>
  <si>
    <t>15279353164</t>
  </si>
  <si>
    <t>15279353180</t>
  </si>
  <si>
    <t>15279353201</t>
  </si>
  <si>
    <t>15279353309</t>
  </si>
  <si>
    <t>15279353348</t>
  </si>
  <si>
    <t>15279353381</t>
  </si>
  <si>
    <t>15279353432</t>
  </si>
  <si>
    <t>15279353542</t>
  </si>
  <si>
    <t>15279353971</t>
  </si>
  <si>
    <t>15279354501</t>
  </si>
  <si>
    <t>15279354504</t>
  </si>
  <si>
    <t>15279354602</t>
  </si>
  <si>
    <t>15279354615</t>
  </si>
  <si>
    <t>15279355144</t>
  </si>
  <si>
    <t>61724770</t>
  </si>
  <si>
    <t>15279357539</t>
  </si>
  <si>
    <t>15279358674</t>
  </si>
  <si>
    <t>15279358676</t>
  </si>
  <si>
    <t>15279358681</t>
  </si>
  <si>
    <t>15279358763</t>
  </si>
  <si>
    <t>15279359967</t>
  </si>
  <si>
    <t>15279361277</t>
  </si>
  <si>
    <t>15279361415</t>
  </si>
  <si>
    <t>15279361416</t>
  </si>
  <si>
    <t>61679161</t>
  </si>
  <si>
    <t>15279361431</t>
  </si>
  <si>
    <t>15279361639</t>
  </si>
  <si>
    <t>15279362327</t>
  </si>
  <si>
    <t>15279362501</t>
  </si>
  <si>
    <t>15279362556</t>
  </si>
  <si>
    <t>15279362627</t>
  </si>
  <si>
    <t>15279362707</t>
  </si>
  <si>
    <t>15279363269</t>
  </si>
  <si>
    <t>57324288</t>
  </si>
  <si>
    <t>15279363305</t>
  </si>
  <si>
    <t>15279363427</t>
  </si>
  <si>
    <t>15279363709</t>
  </si>
  <si>
    <t>61709140</t>
  </si>
  <si>
    <t>15279363793</t>
  </si>
  <si>
    <t>15279363810</t>
  </si>
  <si>
    <t>15279364365</t>
  </si>
  <si>
    <t>15279364615</t>
  </si>
  <si>
    <t>15279365091</t>
  </si>
  <si>
    <t>15279365152</t>
  </si>
  <si>
    <t>15279365366</t>
  </si>
  <si>
    <t>15279365386</t>
  </si>
  <si>
    <t>15279365481</t>
  </si>
  <si>
    <t>15279365607</t>
  </si>
  <si>
    <t>15279365614</t>
  </si>
  <si>
    <t>15279365955</t>
  </si>
  <si>
    <t>15279366027</t>
  </si>
  <si>
    <t>15279366371</t>
  </si>
  <si>
    <t>15279366383</t>
  </si>
  <si>
    <t>15279366686</t>
  </si>
  <si>
    <t>15279366797</t>
  </si>
  <si>
    <t>15279366903</t>
  </si>
  <si>
    <t>15279367059</t>
  </si>
  <si>
    <t>15279367359</t>
  </si>
  <si>
    <t>15279367369</t>
  </si>
  <si>
    <t>15279367768</t>
  </si>
  <si>
    <t>15279367960</t>
  </si>
  <si>
    <t>15279368505</t>
  </si>
  <si>
    <t>15279368592</t>
  </si>
  <si>
    <t>15279368690</t>
  </si>
  <si>
    <t>15279368692</t>
  </si>
  <si>
    <t>15279368693</t>
  </si>
  <si>
    <t>15279368726</t>
  </si>
  <si>
    <t>15279368877</t>
  </si>
  <si>
    <t>61707535</t>
  </si>
  <si>
    <t>15279368926</t>
  </si>
  <si>
    <t>15279369029</t>
  </si>
  <si>
    <t>15279369174</t>
  </si>
  <si>
    <t>15279369370</t>
  </si>
  <si>
    <t>15279369457</t>
  </si>
  <si>
    <t>15279369486</t>
  </si>
  <si>
    <t>61734970</t>
  </si>
  <si>
    <t>15279369500</t>
  </si>
  <si>
    <t>15279369501</t>
  </si>
  <si>
    <t>15279369925</t>
  </si>
  <si>
    <t>15279370921</t>
  </si>
  <si>
    <t>15279371098</t>
  </si>
  <si>
    <t>15279371605</t>
  </si>
  <si>
    <t>15279371607</t>
  </si>
  <si>
    <t>15279371884</t>
  </si>
  <si>
    <t>15279371946</t>
  </si>
  <si>
    <t>15279372175</t>
  </si>
  <si>
    <t>15279372357</t>
  </si>
  <si>
    <t>61706858</t>
  </si>
  <si>
    <t>15279372541</t>
  </si>
  <si>
    <t>15279372791</t>
  </si>
  <si>
    <t>15279372792</t>
  </si>
  <si>
    <t>61699677</t>
  </si>
  <si>
    <t>15279373090</t>
  </si>
  <si>
    <t>15279373164</t>
  </si>
  <si>
    <t>15279373502</t>
  </si>
  <si>
    <t>15279373983</t>
  </si>
  <si>
    <t>15279374017</t>
  </si>
  <si>
    <t>61739562</t>
  </si>
  <si>
    <t>15279374139</t>
  </si>
  <si>
    <t>15279374198</t>
  </si>
  <si>
    <t>15279374252</t>
  </si>
  <si>
    <t>15279374426</t>
  </si>
  <si>
    <t>61678817</t>
  </si>
  <si>
    <t>15279374733</t>
  </si>
  <si>
    <t>15279374843</t>
  </si>
  <si>
    <t>15279375040</t>
  </si>
  <si>
    <t>15279375121</t>
  </si>
  <si>
    <t>15279375128</t>
  </si>
  <si>
    <t>15279375168</t>
  </si>
  <si>
    <t>15279375198</t>
  </si>
  <si>
    <t>15279375574</t>
  </si>
  <si>
    <t>15279375931</t>
  </si>
  <si>
    <t>15279375948</t>
  </si>
  <si>
    <t>15279375974</t>
  </si>
  <si>
    <t>15279376105</t>
  </si>
  <si>
    <t>15279376261</t>
  </si>
  <si>
    <t>15279376400</t>
  </si>
  <si>
    <t>61714021</t>
  </si>
  <si>
    <t>15279376587</t>
  </si>
  <si>
    <t>15279376596</t>
  </si>
  <si>
    <t>61700884</t>
  </si>
  <si>
    <t>15279376838</t>
  </si>
  <si>
    <t>61688986</t>
  </si>
  <si>
    <t>15279376934</t>
  </si>
  <si>
    <t>15279377080</t>
  </si>
  <si>
    <t>15279377082</t>
  </si>
  <si>
    <t>15279377193</t>
  </si>
  <si>
    <t>15279377263</t>
  </si>
  <si>
    <t>15279377306</t>
  </si>
  <si>
    <t>15279377376</t>
  </si>
  <si>
    <t>15279377381</t>
  </si>
  <si>
    <t>15279377391</t>
  </si>
  <si>
    <t>15279377457</t>
  </si>
  <si>
    <t>15279377458</t>
  </si>
  <si>
    <t>15279377482</t>
  </si>
  <si>
    <t>15279377624</t>
  </si>
  <si>
    <t>15279377669</t>
  </si>
  <si>
    <t>15279377670</t>
  </si>
  <si>
    <t>61724279</t>
  </si>
  <si>
    <t>15279378266</t>
  </si>
  <si>
    <t>15279378812</t>
  </si>
  <si>
    <t>15279378917</t>
  </si>
  <si>
    <t>15279379232</t>
  </si>
  <si>
    <t>15279379301</t>
  </si>
  <si>
    <t>15279379387</t>
  </si>
  <si>
    <t>15279379701</t>
  </si>
  <si>
    <t>61697473</t>
  </si>
  <si>
    <t>15279381507</t>
  </si>
  <si>
    <t>15279382232</t>
  </si>
  <si>
    <t>15279385023</t>
  </si>
  <si>
    <t>61713349</t>
  </si>
  <si>
    <t>15279385352</t>
  </si>
  <si>
    <t>15279385437</t>
  </si>
  <si>
    <t>15279386302</t>
  </si>
  <si>
    <t>61680790</t>
  </si>
  <si>
    <t>15279386467</t>
  </si>
  <si>
    <t>15279386509</t>
  </si>
  <si>
    <t>15279390379</t>
  </si>
  <si>
    <t>15279395417</t>
  </si>
  <si>
    <t>15279400053</t>
  </si>
  <si>
    <t>57326698</t>
  </si>
  <si>
    <t>15279400253</t>
  </si>
  <si>
    <t>15279400772</t>
  </si>
  <si>
    <t>15279405454</t>
  </si>
  <si>
    <t>61694682</t>
  </si>
  <si>
    <t>15279406614</t>
  </si>
  <si>
    <t>57324916</t>
  </si>
  <si>
    <t>15279406921</t>
  </si>
  <si>
    <t>57324620</t>
  </si>
  <si>
    <t>15279409032</t>
  </si>
  <si>
    <t>15279412111</t>
  </si>
  <si>
    <t>15279412358</t>
  </si>
  <si>
    <t>15279413527</t>
  </si>
  <si>
    <t>15279415268</t>
  </si>
  <si>
    <t>15279415269</t>
  </si>
  <si>
    <t>15279416382</t>
  </si>
  <si>
    <t>57324931</t>
  </si>
  <si>
    <t>15279416542</t>
  </si>
  <si>
    <t>57325808</t>
  </si>
  <si>
    <t>15279416881</t>
  </si>
  <si>
    <t>57324629</t>
  </si>
  <si>
    <t>15279416905</t>
  </si>
  <si>
    <t>57324420</t>
  </si>
  <si>
    <t>15279418536</t>
  </si>
  <si>
    <t>57322612</t>
  </si>
  <si>
    <t>15279418663</t>
  </si>
  <si>
    <t>15279419596</t>
  </si>
  <si>
    <t>57322705</t>
  </si>
  <si>
    <t>15279420376</t>
  </si>
  <si>
    <t>57324924</t>
  </si>
  <si>
    <t>15279421490</t>
  </si>
  <si>
    <t>57344452</t>
  </si>
  <si>
    <t>15279421500</t>
  </si>
  <si>
    <t>15279421551</t>
  </si>
  <si>
    <t>57344454</t>
  </si>
  <si>
    <t>15279422098</t>
  </si>
  <si>
    <t>57324918</t>
  </si>
  <si>
    <t>15279422680</t>
  </si>
  <si>
    <t>57324861</t>
  </si>
  <si>
    <t>15279422826</t>
  </si>
  <si>
    <t>57324925</t>
  </si>
  <si>
    <t>15279422934</t>
  </si>
  <si>
    <t>57324908</t>
  </si>
  <si>
    <t>15279423395</t>
  </si>
  <si>
    <t>15279423977</t>
  </si>
  <si>
    <t>57324285</t>
  </si>
  <si>
    <t>15279424941</t>
  </si>
  <si>
    <t>57322546</t>
  </si>
  <si>
    <t>15279425038</t>
  </si>
  <si>
    <t>15279425726</t>
  </si>
  <si>
    <t>57324923</t>
  </si>
  <si>
    <t>15279426275</t>
  </si>
  <si>
    <t>58803940</t>
  </si>
  <si>
    <t>15279427660</t>
  </si>
  <si>
    <t>15279427712</t>
  </si>
  <si>
    <t>15279427744</t>
  </si>
  <si>
    <t>57324710</t>
  </si>
  <si>
    <t>15279428175</t>
  </si>
  <si>
    <t>57324706</t>
  </si>
  <si>
    <t>15279428349</t>
  </si>
  <si>
    <t>57322162</t>
  </si>
  <si>
    <t>15279428406</t>
  </si>
  <si>
    <t>57324718</t>
  </si>
  <si>
    <t>15279428748</t>
  </si>
  <si>
    <t>57324572</t>
  </si>
  <si>
    <t>15279428758</t>
  </si>
  <si>
    <t>57324278</t>
  </si>
  <si>
    <t>15279428798</t>
  </si>
  <si>
    <t>57324713</t>
  </si>
  <si>
    <t>15279428927</t>
  </si>
  <si>
    <t>57324282</t>
  </si>
  <si>
    <t>15279429038</t>
  </si>
  <si>
    <t>57324283</t>
  </si>
  <si>
    <t>15279429064</t>
  </si>
  <si>
    <t>57324277</t>
  </si>
  <si>
    <t>15279429338</t>
  </si>
  <si>
    <t>57324291</t>
  </si>
  <si>
    <t>15279429377</t>
  </si>
  <si>
    <t>15279429522</t>
  </si>
  <si>
    <t>57324275</t>
  </si>
  <si>
    <t>15279429787</t>
  </si>
  <si>
    <t>15279430031</t>
  </si>
  <si>
    <t>57324253</t>
  </si>
  <si>
    <t>15279431021</t>
  </si>
  <si>
    <t>15279431764</t>
  </si>
  <si>
    <t>57325152</t>
  </si>
  <si>
    <t>15279432000</t>
  </si>
  <si>
    <t>57324922</t>
  </si>
  <si>
    <t>15279432396</t>
  </si>
  <si>
    <t>61731496</t>
  </si>
  <si>
    <t>15279432742</t>
  </si>
  <si>
    <t>15279432991</t>
  </si>
  <si>
    <t>15279433055</t>
  </si>
  <si>
    <t>61676720</t>
  </si>
  <si>
    <t>15279433093</t>
  </si>
  <si>
    <t>15279433143</t>
  </si>
  <si>
    <t>15279433148</t>
  </si>
  <si>
    <t>15279433215</t>
  </si>
  <si>
    <t>15279433332</t>
  </si>
  <si>
    <t>15279433411</t>
  </si>
  <si>
    <t>15279433485</t>
  </si>
  <si>
    <t>15279433568</t>
  </si>
  <si>
    <t>15279433769</t>
  </si>
  <si>
    <t>15279433775</t>
  </si>
  <si>
    <t>15279433870</t>
  </si>
  <si>
    <t>15279434143</t>
  </si>
  <si>
    <t>15279434218</t>
  </si>
  <si>
    <t>15279434219</t>
  </si>
  <si>
    <t>15279434257</t>
  </si>
  <si>
    <t>15279434447</t>
  </si>
  <si>
    <t>15279434473</t>
  </si>
  <si>
    <t>15279434622</t>
  </si>
  <si>
    <t>15279434717</t>
  </si>
  <si>
    <t>15279434784</t>
  </si>
  <si>
    <t>15279435159</t>
  </si>
  <si>
    <t>15279435216</t>
  </si>
  <si>
    <t>15279435371</t>
  </si>
  <si>
    <t>15279435601</t>
  </si>
  <si>
    <t>57322115</t>
  </si>
  <si>
    <t>15279435710</t>
  </si>
  <si>
    <t>15279435714</t>
  </si>
  <si>
    <t>15279435968</t>
  </si>
  <si>
    <t>15279436025</t>
  </si>
  <si>
    <t>15279436098</t>
  </si>
  <si>
    <t>15279436112</t>
  </si>
  <si>
    <t>15279436309</t>
  </si>
  <si>
    <t>15279436314</t>
  </si>
  <si>
    <t>15279436537</t>
  </si>
  <si>
    <t>15279436706</t>
  </si>
  <si>
    <t>15279436847</t>
  </si>
  <si>
    <t>15279436856</t>
  </si>
  <si>
    <t>15279436888</t>
  </si>
  <si>
    <t>15279437021</t>
  </si>
  <si>
    <t>15279437207</t>
  </si>
  <si>
    <t>15279437337</t>
  </si>
  <si>
    <t>15279437429</t>
  </si>
  <si>
    <t>15279437536</t>
  </si>
  <si>
    <t>61689264</t>
  </si>
  <si>
    <t>15279437538</t>
  </si>
  <si>
    <t>15279437637</t>
  </si>
  <si>
    <t>15279437638</t>
  </si>
  <si>
    <t>15279437704</t>
  </si>
  <si>
    <t>15279437722</t>
  </si>
  <si>
    <t>61726581</t>
  </si>
  <si>
    <t>15279438006</t>
  </si>
  <si>
    <t>15279438141</t>
  </si>
  <si>
    <t>15279438228</t>
  </si>
  <si>
    <t>15279438361</t>
  </si>
  <si>
    <t>15279438458</t>
  </si>
  <si>
    <t>15279438588</t>
  </si>
  <si>
    <t>15279438672</t>
  </si>
  <si>
    <t>15279438707</t>
  </si>
  <si>
    <t>15279438925</t>
  </si>
  <si>
    <t>61680143</t>
  </si>
  <si>
    <t>15279438930</t>
  </si>
  <si>
    <t>15279438964</t>
  </si>
  <si>
    <t>15279438973</t>
  </si>
  <si>
    <t>15279439048</t>
  </si>
  <si>
    <t>15279439097</t>
  </si>
  <si>
    <t>15279439149</t>
  </si>
  <si>
    <t>15279439174</t>
  </si>
  <si>
    <t>15279439186</t>
  </si>
  <si>
    <t>15279439201</t>
  </si>
  <si>
    <t>15279439256</t>
  </si>
  <si>
    <t>15279439323</t>
  </si>
  <si>
    <t>15279439348</t>
  </si>
  <si>
    <t>15279439365</t>
  </si>
  <si>
    <t>15279439420</t>
  </si>
  <si>
    <t>15279439471</t>
  </si>
  <si>
    <t>15279439502</t>
  </si>
  <si>
    <t>61732144</t>
  </si>
  <si>
    <t>15279439512</t>
  </si>
  <si>
    <t>15279439517</t>
  </si>
  <si>
    <t>15279439521</t>
  </si>
  <si>
    <t>15279439572</t>
  </si>
  <si>
    <t>15279439585</t>
  </si>
  <si>
    <t>15279439591</t>
  </si>
  <si>
    <t>15279439593</t>
  </si>
  <si>
    <t>15279439670</t>
  </si>
  <si>
    <t>61694532</t>
  </si>
  <si>
    <t>15279439885</t>
  </si>
  <si>
    <t>15279439890</t>
  </si>
  <si>
    <t>61710014</t>
  </si>
  <si>
    <t>15279440122</t>
  </si>
  <si>
    <t>15279440172</t>
  </si>
  <si>
    <t>15279440330</t>
  </si>
  <si>
    <t>15279440484</t>
  </si>
  <si>
    <t>15279440588</t>
  </si>
  <si>
    <t>15279441700</t>
  </si>
  <si>
    <t>15279441823</t>
  </si>
  <si>
    <t>15279442929</t>
  </si>
  <si>
    <t>61734988</t>
  </si>
  <si>
    <t>15279443365</t>
  </si>
  <si>
    <t>15279443431</t>
  </si>
  <si>
    <t>15279443564</t>
  </si>
  <si>
    <t>15279444068</t>
  </si>
  <si>
    <t>61687116</t>
  </si>
  <si>
    <t>15279444318</t>
  </si>
  <si>
    <t>15279444615</t>
  </si>
  <si>
    <t>15279444637</t>
  </si>
  <si>
    <t>15279445374</t>
  </si>
  <si>
    <t>15279445554</t>
  </si>
  <si>
    <t>15279445591</t>
  </si>
  <si>
    <t>15279449633</t>
  </si>
  <si>
    <t>15279449676</t>
  </si>
  <si>
    <t>15279450091</t>
  </si>
  <si>
    <t>15279450241</t>
  </si>
  <si>
    <t>15279450777</t>
  </si>
  <si>
    <t>15279451691</t>
  </si>
  <si>
    <t>15279457979</t>
  </si>
  <si>
    <t>15279458159</t>
  </si>
  <si>
    <t>15279458245</t>
  </si>
  <si>
    <t>15279458618</t>
  </si>
  <si>
    <t>15279464292</t>
  </si>
  <si>
    <t>15279464626</t>
  </si>
  <si>
    <t>15279467477</t>
  </si>
  <si>
    <t>57326701</t>
  </si>
  <si>
    <t>15279467573</t>
  </si>
  <si>
    <t>57327809</t>
  </si>
  <si>
    <t>15279468703</t>
  </si>
  <si>
    <t>15279470555</t>
  </si>
  <si>
    <t>15279470945</t>
  </si>
  <si>
    <t>15279471068</t>
  </si>
  <si>
    <t>15279471414</t>
  </si>
  <si>
    <t>15279471457</t>
  </si>
  <si>
    <t>15279471464</t>
  </si>
  <si>
    <t>15279471806</t>
  </si>
  <si>
    <t>15279472283</t>
  </si>
  <si>
    <t>15279473285</t>
  </si>
  <si>
    <t>15279474282</t>
  </si>
  <si>
    <t>15279475547</t>
  </si>
  <si>
    <t>15279477377</t>
  </si>
  <si>
    <t>57325874</t>
  </si>
  <si>
    <t>15279478798</t>
  </si>
  <si>
    <t>15279479857</t>
  </si>
  <si>
    <t>57326700</t>
  </si>
  <si>
    <t>15279480024</t>
  </si>
  <si>
    <t>57325878</t>
  </si>
  <si>
    <t>15279480448</t>
  </si>
  <si>
    <t>15279480795</t>
  </si>
  <si>
    <t>15279480867</t>
  </si>
  <si>
    <t>15279481152</t>
  </si>
  <si>
    <t>57333851</t>
  </si>
  <si>
    <t>15279481676</t>
  </si>
  <si>
    <t>15279482726</t>
  </si>
  <si>
    <t>57326932</t>
  </si>
  <si>
    <t>15279485218</t>
  </si>
  <si>
    <t>57329958</t>
  </si>
  <si>
    <t>15279485877</t>
  </si>
  <si>
    <t>57326678</t>
  </si>
  <si>
    <t>15279487389</t>
  </si>
  <si>
    <t>57326679</t>
  </si>
  <si>
    <t>15279487771</t>
  </si>
  <si>
    <t>15279489564</t>
  </si>
  <si>
    <t>57335050</t>
  </si>
  <si>
    <t>15279490125</t>
  </si>
  <si>
    <t>15279490127</t>
  </si>
  <si>
    <t>15279490538</t>
  </si>
  <si>
    <t>15279490650</t>
  </si>
  <si>
    <t>15279490881</t>
  </si>
  <si>
    <t>15279491512</t>
  </si>
  <si>
    <t>57338182</t>
  </si>
  <si>
    <t>15279491672</t>
  </si>
  <si>
    <t>57335766</t>
  </si>
  <si>
    <t>15279491917</t>
  </si>
  <si>
    <t>57335223</t>
  </si>
  <si>
    <t>15279492292</t>
  </si>
  <si>
    <t>57335275</t>
  </si>
  <si>
    <t>15279492331</t>
  </si>
  <si>
    <t>57335093</t>
  </si>
  <si>
    <t>15279492498</t>
  </si>
  <si>
    <t>57335201</t>
  </si>
  <si>
    <t>15279493139</t>
  </si>
  <si>
    <t>57335134</t>
  </si>
  <si>
    <t>15279493317</t>
  </si>
  <si>
    <t>15279493330</t>
  </si>
  <si>
    <t>57333979</t>
  </si>
  <si>
    <t>15279493675</t>
  </si>
  <si>
    <t>57333967</t>
  </si>
  <si>
    <t>15279493998</t>
  </si>
  <si>
    <t>15279494052</t>
  </si>
  <si>
    <t>57343644</t>
  </si>
  <si>
    <t>15279494230</t>
  </si>
  <si>
    <t>15279494542</t>
  </si>
  <si>
    <t>57336815</t>
  </si>
  <si>
    <t>15279494649</t>
  </si>
  <si>
    <t>15279494955</t>
  </si>
  <si>
    <t>57335837</t>
  </si>
  <si>
    <t>15279494978</t>
  </si>
  <si>
    <t>57335902</t>
  </si>
  <si>
    <t>15279495132</t>
  </si>
  <si>
    <t>57335826</t>
  </si>
  <si>
    <t>15279495216</t>
  </si>
  <si>
    <t>57336356</t>
  </si>
  <si>
    <t>15279495218</t>
  </si>
  <si>
    <t>57335671</t>
  </si>
  <si>
    <t>15279495342</t>
  </si>
  <si>
    <t>57365926</t>
  </si>
  <si>
    <t>15279495552</t>
  </si>
  <si>
    <t>57335625</t>
  </si>
  <si>
    <t>15279495708</t>
  </si>
  <si>
    <t>57335576</t>
  </si>
  <si>
    <t>15279496273</t>
  </si>
  <si>
    <t>57335274</t>
  </si>
  <si>
    <t>15279496323</t>
  </si>
  <si>
    <t>57335036</t>
  </si>
  <si>
    <t>15279496341</t>
  </si>
  <si>
    <t>57335199</t>
  </si>
  <si>
    <t>15279496479</t>
  </si>
  <si>
    <t>57335138</t>
  </si>
  <si>
    <t>15279496488</t>
  </si>
  <si>
    <t>57335139</t>
  </si>
  <si>
    <t>15279496489</t>
  </si>
  <si>
    <t>57335137</t>
  </si>
  <si>
    <t>15279496749</t>
  </si>
  <si>
    <t>57338175</t>
  </si>
  <si>
    <t>15279496918</t>
  </si>
  <si>
    <t>57338179</t>
  </si>
  <si>
    <t>15279497033</t>
  </si>
  <si>
    <t>57343694</t>
  </si>
  <si>
    <t>15279497213</t>
  </si>
  <si>
    <t>57343608</t>
  </si>
  <si>
    <t>15279497214</t>
  </si>
  <si>
    <t>57336817</t>
  </si>
  <si>
    <t>15279497386</t>
  </si>
  <si>
    <t>57336355</t>
  </si>
  <si>
    <t>15279497710</t>
  </si>
  <si>
    <t>57338184</t>
  </si>
  <si>
    <t>15279498077</t>
  </si>
  <si>
    <t>57338183</t>
  </si>
  <si>
    <t>15279498129</t>
  </si>
  <si>
    <t>57335898</t>
  </si>
  <si>
    <t>15279498171</t>
  </si>
  <si>
    <t>57336518</t>
  </si>
  <si>
    <t>15279498865</t>
  </si>
  <si>
    <t>57335211</t>
  </si>
  <si>
    <t>15279499684</t>
  </si>
  <si>
    <t>57337518</t>
  </si>
  <si>
    <t>15279499784</t>
  </si>
  <si>
    <t>57338172</t>
  </si>
  <si>
    <t>15279499932</t>
  </si>
  <si>
    <t>15279500421</t>
  </si>
  <si>
    <t>57336571</t>
  </si>
  <si>
    <t>15279500433</t>
  </si>
  <si>
    <t>57343810</t>
  </si>
  <si>
    <t>15279501857</t>
  </si>
  <si>
    <t>57337759</t>
  </si>
  <si>
    <t>15279502720</t>
  </si>
  <si>
    <t>15279513543</t>
  </si>
  <si>
    <t>15279514520</t>
  </si>
  <si>
    <t>15279517603</t>
  </si>
  <si>
    <t>15279521867</t>
  </si>
  <si>
    <t>15279522550</t>
  </si>
  <si>
    <t>15279522570</t>
  </si>
  <si>
    <t>15279523440</t>
  </si>
  <si>
    <t>57335836</t>
  </si>
  <si>
    <t>15279523539</t>
  </si>
  <si>
    <t>57336814</t>
  </si>
  <si>
    <t>15279524986</t>
  </si>
  <si>
    <t>57335732</t>
  </si>
  <si>
    <t>15279526588</t>
  </si>
  <si>
    <t>57335048</t>
  </si>
  <si>
    <t>15279527225</t>
  </si>
  <si>
    <t>57343811</t>
  </si>
  <si>
    <t>15279527365</t>
  </si>
  <si>
    <t>57337781</t>
  </si>
  <si>
    <t>15279527845</t>
  </si>
  <si>
    <t>57337748</t>
  </si>
  <si>
    <t>15279528313</t>
  </si>
  <si>
    <t>57335415</t>
  </si>
  <si>
    <t>15279528380</t>
  </si>
  <si>
    <t>57335648</t>
  </si>
  <si>
    <t>15279528788</t>
  </si>
  <si>
    <t>57343574</t>
  </si>
  <si>
    <t>15279530669</t>
  </si>
  <si>
    <t>57336391</t>
  </si>
  <si>
    <t>15279531695</t>
  </si>
  <si>
    <t>57335685</t>
  </si>
  <si>
    <t>15279532346</t>
  </si>
  <si>
    <t>57337780</t>
  </si>
  <si>
    <t>15279533108</t>
  </si>
  <si>
    <t>57338176</t>
  </si>
  <si>
    <t>15279533360</t>
  </si>
  <si>
    <t>57337414</t>
  </si>
  <si>
    <t>15279534432</t>
  </si>
  <si>
    <t>57336609</t>
  </si>
  <si>
    <t>15279534496</t>
  </si>
  <si>
    <t>57337413</t>
  </si>
  <si>
    <t>15279534613</t>
  </si>
  <si>
    <t>57337301</t>
  </si>
  <si>
    <t>15279536069</t>
  </si>
  <si>
    <t>15279536431</t>
  </si>
  <si>
    <t>61695303</t>
  </si>
  <si>
    <t>15279537360</t>
  </si>
  <si>
    <t>15279537538</t>
  </si>
  <si>
    <t>61734776</t>
  </si>
  <si>
    <t>15279538086</t>
  </si>
  <si>
    <t>15279538105</t>
  </si>
  <si>
    <t>15279538508</t>
  </si>
  <si>
    <t>15279538564</t>
  </si>
  <si>
    <t>15279538837</t>
  </si>
  <si>
    <t>61704932</t>
  </si>
  <si>
    <t>15279538911</t>
  </si>
  <si>
    <t>15279538963</t>
  </si>
  <si>
    <t>15279539298</t>
  </si>
  <si>
    <t>15279539307</t>
  </si>
  <si>
    <t>15279539681</t>
  </si>
  <si>
    <t>61684917</t>
  </si>
  <si>
    <t>15279540604</t>
  </si>
  <si>
    <t>15279541136</t>
  </si>
  <si>
    <t>15279541140</t>
  </si>
  <si>
    <t>61719884</t>
  </si>
  <si>
    <t>15279541166</t>
  </si>
  <si>
    <t>15279541231</t>
  </si>
  <si>
    <t>15279541323</t>
  </si>
  <si>
    <t>15279541374</t>
  </si>
  <si>
    <t>15279541427</t>
  </si>
  <si>
    <t>57334966</t>
  </si>
  <si>
    <t>15279541671</t>
  </si>
  <si>
    <t>15279541741</t>
  </si>
  <si>
    <t>15279541851</t>
  </si>
  <si>
    <t>15279541909</t>
  </si>
  <si>
    <t>61726353</t>
  </si>
  <si>
    <t>15279541914</t>
  </si>
  <si>
    <t>15279541915</t>
  </si>
  <si>
    <t>15279542093</t>
  </si>
  <si>
    <t>15279542210</t>
  </si>
  <si>
    <t>15279542402</t>
  </si>
  <si>
    <t>61699251</t>
  </si>
  <si>
    <t>15279542416</t>
  </si>
  <si>
    <t>15279542438</t>
  </si>
  <si>
    <t>15279542505</t>
  </si>
  <si>
    <t>15279542649</t>
  </si>
  <si>
    <t>15279542970</t>
  </si>
  <si>
    <t>61722780</t>
  </si>
  <si>
    <t>15279543074</t>
  </si>
  <si>
    <t>15279543085</t>
  </si>
  <si>
    <t>57365925</t>
  </si>
  <si>
    <t>15279543225</t>
  </si>
  <si>
    <t>15279543269</t>
  </si>
  <si>
    <t>15279543580</t>
  </si>
  <si>
    <t>15279543838</t>
  </si>
  <si>
    <t>61689710</t>
  </si>
  <si>
    <t>15279543874</t>
  </si>
  <si>
    <t>15279544161</t>
  </si>
  <si>
    <t>15279544610</t>
  </si>
  <si>
    <t>57366106</t>
  </si>
  <si>
    <t>15279544755</t>
  </si>
  <si>
    <t>15279544797</t>
  </si>
  <si>
    <t>15279544945</t>
  </si>
  <si>
    <t>15279545063</t>
  </si>
  <si>
    <t>15279545788</t>
  </si>
  <si>
    <t>15279546065</t>
  </si>
  <si>
    <t>15279546199</t>
  </si>
  <si>
    <t>15279546438</t>
  </si>
  <si>
    <t>15279546548</t>
  </si>
  <si>
    <t>61679795</t>
  </si>
  <si>
    <t>15279546687</t>
  </si>
  <si>
    <t>15279546764</t>
  </si>
  <si>
    <t>61694338</t>
  </si>
  <si>
    <t>15279546880</t>
  </si>
  <si>
    <t>15279547229</t>
  </si>
  <si>
    <t>15279547256</t>
  </si>
  <si>
    <t>15279547285</t>
  </si>
  <si>
    <t>15279547477</t>
  </si>
  <si>
    <t>15279547497</t>
  </si>
  <si>
    <t>15279547519</t>
  </si>
  <si>
    <t>15279547594</t>
  </si>
  <si>
    <t>15279547648</t>
  </si>
  <si>
    <t>15279547744</t>
  </si>
  <si>
    <t>15279547786</t>
  </si>
  <si>
    <t>15279547896</t>
  </si>
  <si>
    <t>15279547960</t>
  </si>
  <si>
    <t>15279548039</t>
  </si>
  <si>
    <t>15279548087</t>
  </si>
  <si>
    <t>15279548200</t>
  </si>
  <si>
    <t>15279548364</t>
  </si>
  <si>
    <t>15279548366</t>
  </si>
  <si>
    <t>15279548506</t>
  </si>
  <si>
    <t>61703334</t>
  </si>
  <si>
    <t>15279548596</t>
  </si>
  <si>
    <t>15279548624</t>
  </si>
  <si>
    <t>15279548687</t>
  </si>
  <si>
    <t>15279548789</t>
  </si>
  <si>
    <t>15279548853</t>
  </si>
  <si>
    <t>15279548861</t>
  </si>
  <si>
    <t>15279549219</t>
  </si>
  <si>
    <t>15279550393</t>
  </si>
  <si>
    <t>15279550783</t>
  </si>
  <si>
    <t>15279550784</t>
  </si>
  <si>
    <t>15279550786</t>
  </si>
  <si>
    <t>15279550891</t>
  </si>
  <si>
    <t>15279551143</t>
  </si>
  <si>
    <t>15279551326</t>
  </si>
  <si>
    <t>15279559311</t>
  </si>
  <si>
    <t>61682074</t>
  </si>
  <si>
    <t>15279559543</t>
  </si>
  <si>
    <t>15279571564</t>
  </si>
  <si>
    <t>15279574662</t>
  </si>
  <si>
    <t>57344724</t>
  </si>
  <si>
    <t>15279575166</t>
  </si>
  <si>
    <t>57344337</t>
  </si>
  <si>
    <t>15279577470</t>
  </si>
  <si>
    <t>57345816</t>
  </si>
  <si>
    <t>15279579957</t>
  </si>
  <si>
    <t>57353018</t>
  </si>
  <si>
    <t>15279582039</t>
  </si>
  <si>
    <t>57352614</t>
  </si>
  <si>
    <t>15279591680</t>
  </si>
  <si>
    <t>57362615</t>
  </si>
  <si>
    <t>15279593029</t>
  </si>
  <si>
    <t>15279593051</t>
  </si>
  <si>
    <t>15279593053</t>
  </si>
  <si>
    <t>15279593887</t>
  </si>
  <si>
    <t>15279594325</t>
  </si>
  <si>
    <t>15279594725</t>
  </si>
  <si>
    <t>15279594781</t>
  </si>
  <si>
    <t>15279594972</t>
  </si>
  <si>
    <t>15279595275</t>
  </si>
  <si>
    <t>15279595383</t>
  </si>
  <si>
    <t>15279595688</t>
  </si>
  <si>
    <t>15279595689</t>
  </si>
  <si>
    <t>15279595868</t>
  </si>
  <si>
    <t>15279595886</t>
  </si>
  <si>
    <t>15279595931</t>
  </si>
  <si>
    <t>15279597042</t>
  </si>
  <si>
    <t>15279597363</t>
  </si>
  <si>
    <t>15279598404</t>
  </si>
  <si>
    <t>61737378</t>
  </si>
  <si>
    <t>15279600843</t>
  </si>
  <si>
    <t>15279608591</t>
  </si>
  <si>
    <t>15279609098</t>
  </si>
  <si>
    <t>15279618458</t>
  </si>
  <si>
    <t>57363779</t>
  </si>
  <si>
    <t>15279624098</t>
  </si>
  <si>
    <t>57364710</t>
  </si>
  <si>
    <t>15279625495</t>
  </si>
  <si>
    <t>57363001</t>
  </si>
  <si>
    <t>15279625611</t>
  </si>
  <si>
    <t>57362999</t>
  </si>
  <si>
    <t>15279625627</t>
  </si>
  <si>
    <t>57362998</t>
  </si>
  <si>
    <t>15279625992</t>
  </si>
  <si>
    <t>57362734</t>
  </si>
  <si>
    <t>15279626158</t>
  </si>
  <si>
    <t>57362739</t>
  </si>
  <si>
    <t>15279627651</t>
  </si>
  <si>
    <t>57364679</t>
  </si>
  <si>
    <t>15279627849</t>
  </si>
  <si>
    <t>57364869</t>
  </si>
  <si>
    <t>15279627992</t>
  </si>
  <si>
    <t>57365928</t>
  </si>
  <si>
    <t>15279630044</t>
  </si>
  <si>
    <t>15279630856</t>
  </si>
  <si>
    <t>15279631078</t>
  </si>
  <si>
    <t>15279631600</t>
  </si>
  <si>
    <t>57365899</t>
  </si>
  <si>
    <t>15279637468</t>
  </si>
  <si>
    <t>57367170</t>
  </si>
  <si>
    <t>15279638145</t>
  </si>
  <si>
    <t>57364871</t>
  </si>
  <si>
    <t>15279638164</t>
  </si>
  <si>
    <t>57364865</t>
  </si>
  <si>
    <t>15279639394</t>
  </si>
  <si>
    <t>57367621</t>
  </si>
  <si>
    <t>15279639585</t>
  </si>
  <si>
    <t>57367581</t>
  </si>
  <si>
    <t>15279639831</t>
  </si>
  <si>
    <t>57366842</t>
  </si>
  <si>
    <t>15279641532</t>
  </si>
  <si>
    <t>61706985</t>
  </si>
  <si>
    <t>57365879</t>
  </si>
  <si>
    <t>15279643522</t>
  </si>
  <si>
    <t>57367955</t>
  </si>
  <si>
    <t>15279643779</t>
  </si>
  <si>
    <t>57368611</t>
  </si>
  <si>
    <t>15279643885</t>
  </si>
  <si>
    <t>57367279</t>
  </si>
  <si>
    <t>15279644841</t>
  </si>
  <si>
    <t>57367493</t>
  </si>
  <si>
    <t>15279646075</t>
  </si>
  <si>
    <t>57367837</t>
  </si>
  <si>
    <t>15279646799</t>
  </si>
  <si>
    <t>57367618</t>
  </si>
  <si>
    <t>15279647956</t>
  </si>
  <si>
    <t>15279648129</t>
  </si>
  <si>
    <t>15279648290</t>
  </si>
  <si>
    <t>15279648539</t>
  </si>
  <si>
    <t>15279648654</t>
  </si>
  <si>
    <t>15279648718</t>
  </si>
  <si>
    <t>15279649969</t>
  </si>
  <si>
    <t>15279651260</t>
  </si>
  <si>
    <t>15279652618</t>
  </si>
  <si>
    <t>15279652709</t>
  </si>
  <si>
    <t>15279653017</t>
  </si>
  <si>
    <t>15279684923</t>
  </si>
  <si>
    <t>57376477</t>
  </si>
  <si>
    <t>15279688106</t>
  </si>
  <si>
    <t>57380317</t>
  </si>
  <si>
    <t>15279690166</t>
  </si>
  <si>
    <t>57376479</t>
  </si>
  <si>
    <t>15279691176</t>
  </si>
  <si>
    <t>57378335</t>
  </si>
  <si>
    <t>15279691833</t>
  </si>
  <si>
    <t>15279692418</t>
  </si>
  <si>
    <t>57377438</t>
  </si>
  <si>
    <t>15279692426</t>
  </si>
  <si>
    <t>57378448</t>
  </si>
  <si>
    <t>15279692506</t>
  </si>
  <si>
    <t>57377370</t>
  </si>
  <si>
    <t>15279693092</t>
  </si>
  <si>
    <t>57378340</t>
  </si>
  <si>
    <t>15279694145</t>
  </si>
  <si>
    <t>57378888</t>
  </si>
  <si>
    <t>15279694582</t>
  </si>
  <si>
    <t>57378449</t>
  </si>
  <si>
    <t>15279695016</t>
  </si>
  <si>
    <t>57377449</t>
  </si>
  <si>
    <t>15279695722</t>
  </si>
  <si>
    <t>57376880</t>
  </si>
  <si>
    <t>15279696130</t>
  </si>
  <si>
    <t>57378885</t>
  </si>
  <si>
    <t>15279697275</t>
  </si>
  <si>
    <t>57378592</t>
  </si>
  <si>
    <t>15279697572</t>
  </si>
  <si>
    <t>57377660</t>
  </si>
  <si>
    <t>15279697627</t>
  </si>
  <si>
    <t>57377934</t>
  </si>
  <si>
    <t>15279697836</t>
  </si>
  <si>
    <t>57378590</t>
  </si>
  <si>
    <t>15279698199</t>
  </si>
  <si>
    <t>57377664</t>
  </si>
  <si>
    <t>15279698714</t>
  </si>
  <si>
    <t>57377451</t>
  </si>
  <si>
    <t>15279698807</t>
  </si>
  <si>
    <t>57378738</t>
  </si>
  <si>
    <t>15279699058</t>
  </si>
  <si>
    <t>57377750</t>
  </si>
  <si>
    <t>15279699145</t>
  </si>
  <si>
    <t>57377939</t>
  </si>
  <si>
    <t>15279702034</t>
  </si>
  <si>
    <t>57380313</t>
  </si>
  <si>
    <t>15279702452</t>
  </si>
  <si>
    <t>57379682</t>
  </si>
  <si>
    <t>15279702765</t>
  </si>
  <si>
    <t>57380009</t>
  </si>
  <si>
    <t>15279702930</t>
  </si>
  <si>
    <t>57379924</t>
  </si>
  <si>
    <t>15279703228</t>
  </si>
  <si>
    <t>57379777</t>
  </si>
  <si>
    <t>15279703824</t>
  </si>
  <si>
    <t>57380252</t>
  </si>
  <si>
    <t>15279704919</t>
  </si>
  <si>
    <t>57380162</t>
  </si>
  <si>
    <t>15279705486</t>
  </si>
  <si>
    <t>57390172</t>
  </si>
  <si>
    <t>15279705524</t>
  </si>
  <si>
    <t>57381317</t>
  </si>
  <si>
    <t>15279705824</t>
  </si>
  <si>
    <t>61737481</t>
  </si>
  <si>
    <t>15279706122</t>
  </si>
  <si>
    <t>15279706479</t>
  </si>
  <si>
    <t>57374993</t>
  </si>
  <si>
    <t>15279706567</t>
  </si>
  <si>
    <t>15279707032</t>
  </si>
  <si>
    <t>15279707057</t>
  </si>
  <si>
    <t>15279707711</t>
  </si>
  <si>
    <t>61677628</t>
  </si>
  <si>
    <t>15279707712</t>
  </si>
  <si>
    <t>15279707975</t>
  </si>
  <si>
    <t>61722361</t>
  </si>
  <si>
    <t>15279707976</t>
  </si>
  <si>
    <t>15279708306</t>
  </si>
  <si>
    <t>61732345</t>
  </si>
  <si>
    <t>15279709072</t>
  </si>
  <si>
    <t>15279709090</t>
  </si>
  <si>
    <t>15279709106</t>
  </si>
  <si>
    <t>15279714619</t>
  </si>
  <si>
    <t>15279747769</t>
  </si>
  <si>
    <t>57392149</t>
  </si>
  <si>
    <t>15279751138</t>
  </si>
  <si>
    <t>57391867</t>
  </si>
  <si>
    <t>15279752964</t>
  </si>
  <si>
    <t>57390880</t>
  </si>
  <si>
    <t>15279759206</t>
  </si>
  <si>
    <t>15279759332</t>
  </si>
  <si>
    <t>15279759912</t>
  </si>
  <si>
    <t>15279760060</t>
  </si>
  <si>
    <t>15279760327</t>
  </si>
  <si>
    <t>15279761038</t>
  </si>
  <si>
    <t>15279761354</t>
  </si>
  <si>
    <t>15279761355</t>
  </si>
  <si>
    <t>61688189</t>
  </si>
  <si>
    <t>15279761640</t>
  </si>
  <si>
    <t>15279762053</t>
  </si>
  <si>
    <t>15279762086</t>
  </si>
  <si>
    <t>15279762397</t>
  </si>
  <si>
    <t>15279762655</t>
  </si>
  <si>
    <t>15279762712</t>
  </si>
  <si>
    <t>15279762935</t>
  </si>
  <si>
    <t>15279769757</t>
  </si>
  <si>
    <t>15279769999</t>
  </si>
  <si>
    <t>15279770114</t>
  </si>
  <si>
    <t>15279770425</t>
  </si>
  <si>
    <t>15279770562</t>
  </si>
  <si>
    <t>15279770990</t>
  </si>
  <si>
    <t>15279770993</t>
  </si>
  <si>
    <t>15279770996</t>
  </si>
  <si>
    <t>61730900</t>
  </si>
  <si>
    <t>15279772849</t>
  </si>
  <si>
    <t>15279772911</t>
  </si>
  <si>
    <t>15279773300</t>
  </si>
  <si>
    <t>57399088</t>
  </si>
  <si>
    <t>15279776618</t>
  </si>
  <si>
    <t>15279789611</t>
  </si>
  <si>
    <t>57399062</t>
  </si>
  <si>
    <t>15279797498</t>
  </si>
  <si>
    <t>57400873</t>
  </si>
  <si>
    <t>15279797837</t>
  </si>
  <si>
    <t>15279800704</t>
  </si>
  <si>
    <t>57401161</t>
  </si>
  <si>
    <t>15279804124</t>
  </si>
  <si>
    <t>57403919</t>
  </si>
  <si>
    <t>15279804175</t>
  </si>
  <si>
    <t>57404011</t>
  </si>
  <si>
    <t>15279804366</t>
  </si>
  <si>
    <t>57403898</t>
  </si>
  <si>
    <t>15279804637</t>
  </si>
  <si>
    <t>57403892</t>
  </si>
  <si>
    <t>15279804649</t>
  </si>
  <si>
    <t>57403891</t>
  </si>
  <si>
    <t>15279807206</t>
  </si>
  <si>
    <t>15279808271</t>
  </si>
  <si>
    <t>15279808501</t>
  </si>
  <si>
    <t>15279808517</t>
  </si>
  <si>
    <t>15279808551</t>
  </si>
  <si>
    <t>15279809978</t>
  </si>
  <si>
    <t>15279810090</t>
  </si>
  <si>
    <t>15279810504</t>
  </si>
  <si>
    <t>15279810878</t>
  </si>
  <si>
    <t>15279811217</t>
  </si>
  <si>
    <t>15279813963</t>
  </si>
  <si>
    <t>15279814773</t>
  </si>
  <si>
    <t>15279815356</t>
  </si>
  <si>
    <t>15279815490</t>
  </si>
  <si>
    <t>15279816571</t>
  </si>
  <si>
    <t>15279816660</t>
  </si>
  <si>
    <t>15279817146</t>
  </si>
  <si>
    <t>15279820076</t>
  </si>
  <si>
    <t>15279832755</t>
  </si>
  <si>
    <t>15279832845</t>
  </si>
  <si>
    <t>15279833045</t>
  </si>
  <si>
    <t>15279833170</t>
  </si>
  <si>
    <t>61727811</t>
  </si>
  <si>
    <t>15279833573</t>
  </si>
  <si>
    <t>15279833633</t>
  </si>
  <si>
    <t>15279834229</t>
  </si>
  <si>
    <t>15279834521</t>
  </si>
  <si>
    <t>61688444</t>
  </si>
  <si>
    <t>15279835563</t>
  </si>
  <si>
    <t>15279835985</t>
  </si>
  <si>
    <t>15279836285</t>
  </si>
  <si>
    <t>15279836871</t>
  </si>
  <si>
    <t>57412357</t>
  </si>
  <si>
    <t>15279837330</t>
  </si>
  <si>
    <t>61731255</t>
  </si>
  <si>
    <t>15279837450</t>
  </si>
  <si>
    <t>15279837797</t>
  </si>
  <si>
    <t>15279838200</t>
  </si>
  <si>
    <t>57413953</t>
  </si>
  <si>
    <t>15279838313</t>
  </si>
  <si>
    <t>57413950</t>
  </si>
  <si>
    <t>15279839006</t>
  </si>
  <si>
    <t>57412136</t>
  </si>
  <si>
    <t>15279840482</t>
  </si>
  <si>
    <t>57414186</t>
  </si>
  <si>
    <t>15279840610</t>
  </si>
  <si>
    <t>57414627</t>
  </si>
  <si>
    <t>15279840703</t>
  </si>
  <si>
    <t>57414552</t>
  </si>
  <si>
    <t>15279840758</t>
  </si>
  <si>
    <t>57414522</t>
  </si>
  <si>
    <t>15279840776</t>
  </si>
  <si>
    <t>57414528</t>
  </si>
  <si>
    <t>15279841124</t>
  </si>
  <si>
    <t>57433078</t>
  </si>
  <si>
    <t>15279841328</t>
  </si>
  <si>
    <t>15279842162</t>
  </si>
  <si>
    <t>57413758</t>
  </si>
  <si>
    <t>15279842649</t>
  </si>
  <si>
    <t>57415005</t>
  </si>
  <si>
    <t>15279843027</t>
  </si>
  <si>
    <t>15279843098</t>
  </si>
  <si>
    <t>57414674</t>
  </si>
  <si>
    <t>15279843773</t>
  </si>
  <si>
    <t>57414086</t>
  </si>
  <si>
    <t>15279845136</t>
  </si>
  <si>
    <t>57410985</t>
  </si>
  <si>
    <t>15279845428</t>
  </si>
  <si>
    <t>57412618</t>
  </si>
  <si>
    <t>15279845920</t>
  </si>
  <si>
    <t>57412450</t>
  </si>
  <si>
    <t>15279846094</t>
  </si>
  <si>
    <t>57413685</t>
  </si>
  <si>
    <t>15279846217</t>
  </si>
  <si>
    <t>57413682</t>
  </si>
  <si>
    <t>15279846599</t>
  </si>
  <si>
    <t>57410541</t>
  </si>
  <si>
    <t>15279846618</t>
  </si>
  <si>
    <t>57410742</t>
  </si>
  <si>
    <t>15279846712</t>
  </si>
  <si>
    <t>57411021</t>
  </si>
  <si>
    <t>15279846747</t>
  </si>
  <si>
    <t>57410428</t>
  </si>
  <si>
    <t>15279846783</t>
  </si>
  <si>
    <t>58794184</t>
  </si>
  <si>
    <t>15279846810</t>
  </si>
  <si>
    <t>57410929</t>
  </si>
  <si>
    <t>15279847846</t>
  </si>
  <si>
    <t>57413710</t>
  </si>
  <si>
    <t>15279848211</t>
  </si>
  <si>
    <t>57413607</t>
  </si>
  <si>
    <t>15279848362</t>
  </si>
  <si>
    <t>57413687</t>
  </si>
  <si>
    <t>15279848885</t>
  </si>
  <si>
    <t>57412768</t>
  </si>
  <si>
    <t>15279848934</t>
  </si>
  <si>
    <t>57412569</t>
  </si>
  <si>
    <t>15279849235</t>
  </si>
  <si>
    <t>57412565</t>
  </si>
  <si>
    <t>15279849281</t>
  </si>
  <si>
    <t>57412526</t>
  </si>
  <si>
    <t>15279850017</t>
  </si>
  <si>
    <t>57412297</t>
  </si>
  <si>
    <t>15279850370</t>
  </si>
  <si>
    <t>57414039</t>
  </si>
  <si>
    <t>15279850773</t>
  </si>
  <si>
    <t>15279851247</t>
  </si>
  <si>
    <t>57414521</t>
  </si>
  <si>
    <t>15279852212</t>
  </si>
  <si>
    <t>57412352</t>
  </si>
  <si>
    <t>15279852213</t>
  </si>
  <si>
    <t>57412270</t>
  </si>
  <si>
    <t>15279852854</t>
  </si>
  <si>
    <t>57415498</t>
  </si>
  <si>
    <t>15279852855</t>
  </si>
  <si>
    <t>57415480</t>
  </si>
  <si>
    <t>15279853958</t>
  </si>
  <si>
    <t>57413490</t>
  </si>
  <si>
    <t>15279854487</t>
  </si>
  <si>
    <t>57412562</t>
  </si>
  <si>
    <t>15279854984</t>
  </si>
  <si>
    <t>57415314</t>
  </si>
  <si>
    <t>15279855313</t>
  </si>
  <si>
    <t>57415125</t>
  </si>
  <si>
    <t>15279855354</t>
  </si>
  <si>
    <t>57415417</t>
  </si>
  <si>
    <t>15279855631</t>
  </si>
  <si>
    <t>57414773</t>
  </si>
  <si>
    <t>15279855772</t>
  </si>
  <si>
    <t>57414643</t>
  </si>
  <si>
    <t>15279856317</t>
  </si>
  <si>
    <t>57416338</t>
  </si>
  <si>
    <t>15279857871</t>
  </si>
  <si>
    <t>57414933</t>
  </si>
  <si>
    <t>15279858414</t>
  </si>
  <si>
    <t>57416342</t>
  </si>
  <si>
    <t>15279858924</t>
  </si>
  <si>
    <t>15279859027</t>
  </si>
  <si>
    <t>15279859241</t>
  </si>
  <si>
    <t>61717565</t>
  </si>
  <si>
    <t>15279859297</t>
  </si>
  <si>
    <t>15279859385</t>
  </si>
  <si>
    <t>15279859754</t>
  </si>
  <si>
    <t>61685031</t>
  </si>
  <si>
    <t>15279859779</t>
  </si>
  <si>
    <t>15279859941</t>
  </si>
  <si>
    <t>57411025</t>
  </si>
  <si>
    <t>15279860015</t>
  </si>
  <si>
    <t>15279860153</t>
  </si>
  <si>
    <t>15279860305</t>
  </si>
  <si>
    <t>15279860341</t>
  </si>
  <si>
    <t>15279861086</t>
  </si>
  <si>
    <t>15279861263</t>
  </si>
  <si>
    <t>15279861348</t>
  </si>
  <si>
    <t>57424974</t>
  </si>
  <si>
    <t>15279861620</t>
  </si>
  <si>
    <t>15279861768</t>
  </si>
  <si>
    <t>15279861769</t>
  </si>
  <si>
    <t>15279861770</t>
  </si>
  <si>
    <t>15279861771</t>
  </si>
  <si>
    <t>15279861859</t>
  </si>
  <si>
    <t>15279861924</t>
  </si>
  <si>
    <t>15279861977</t>
  </si>
  <si>
    <t>15279862153</t>
  </si>
  <si>
    <t>15279862300</t>
  </si>
  <si>
    <t>15279862353</t>
  </si>
  <si>
    <t>15279862445</t>
  </si>
  <si>
    <t>15279862555</t>
  </si>
  <si>
    <t>15279863031</t>
  </si>
  <si>
    <t>15279863255</t>
  </si>
  <si>
    <t>15279863288</t>
  </si>
  <si>
    <t>15279863290</t>
  </si>
  <si>
    <t>15279863428</t>
  </si>
  <si>
    <t>15279863941</t>
  </si>
  <si>
    <t>15279864012</t>
  </si>
  <si>
    <t>15279864035</t>
  </si>
  <si>
    <t>15279864173</t>
  </si>
  <si>
    <t>15279864214</t>
  </si>
  <si>
    <t>15279864294</t>
  </si>
  <si>
    <t>15279864576</t>
  </si>
  <si>
    <t>15279864585</t>
  </si>
  <si>
    <t>15279864975</t>
  </si>
  <si>
    <t>15279865081</t>
  </si>
  <si>
    <t>15279865124</t>
  </si>
  <si>
    <t>15279865142</t>
  </si>
  <si>
    <t>15279865152</t>
  </si>
  <si>
    <t>15279865180</t>
  </si>
  <si>
    <t>15279865237</t>
  </si>
  <si>
    <t>15279865273</t>
  </si>
  <si>
    <t>15279865876</t>
  </si>
  <si>
    <t>15279865948</t>
  </si>
  <si>
    <t>15279866034</t>
  </si>
  <si>
    <t>15279866183</t>
  </si>
  <si>
    <t>15279866239</t>
  </si>
  <si>
    <t>15279866264</t>
  </si>
  <si>
    <t>15279866295</t>
  </si>
  <si>
    <t>15279866373</t>
  </si>
  <si>
    <t>15279866557</t>
  </si>
  <si>
    <t>15279866562</t>
  </si>
  <si>
    <t>15279866648</t>
  </si>
  <si>
    <t>15279868635</t>
  </si>
  <si>
    <t>15279868728</t>
  </si>
  <si>
    <t>15279869062</t>
  </si>
  <si>
    <t>15279869074</t>
  </si>
  <si>
    <t>15279869242</t>
  </si>
  <si>
    <t>15279869268</t>
  </si>
  <si>
    <t>15279869326</t>
  </si>
  <si>
    <t>61732841</t>
  </si>
  <si>
    <t>15279869451</t>
  </si>
  <si>
    <t>57413111</t>
  </si>
  <si>
    <t>15279874543</t>
  </si>
  <si>
    <t>15279874737</t>
  </si>
  <si>
    <t>15279883775</t>
  </si>
  <si>
    <t>15279891873</t>
  </si>
  <si>
    <t>57423894</t>
  </si>
  <si>
    <t>15279893613</t>
  </si>
  <si>
    <t>57424538</t>
  </si>
  <si>
    <t>15279893956</t>
  </si>
  <si>
    <t>57423965</t>
  </si>
  <si>
    <t>15279894827</t>
  </si>
  <si>
    <t>57422941</t>
  </si>
  <si>
    <t>15279895438</t>
  </si>
  <si>
    <t>57421861</t>
  </si>
  <si>
    <t>15279896139</t>
  </si>
  <si>
    <t>57422643</t>
  </si>
  <si>
    <t>15279896724</t>
  </si>
  <si>
    <t>57422218</t>
  </si>
  <si>
    <t>15279897495</t>
  </si>
  <si>
    <t>57421856</t>
  </si>
  <si>
    <t>15279897541</t>
  </si>
  <si>
    <t>57421999</t>
  </si>
  <si>
    <t>15279900911</t>
  </si>
  <si>
    <t>57422766</t>
  </si>
  <si>
    <t>15279901288</t>
  </si>
  <si>
    <t>57422855</t>
  </si>
  <si>
    <t>15279903215</t>
  </si>
  <si>
    <t>57423807</t>
  </si>
  <si>
    <t>15279904433</t>
  </si>
  <si>
    <t>57424476</t>
  </si>
  <si>
    <t>15279907203</t>
  </si>
  <si>
    <t>57438049</t>
  </si>
  <si>
    <t>15279907357</t>
  </si>
  <si>
    <t>57438711</t>
  </si>
  <si>
    <t>15279908543</t>
  </si>
  <si>
    <t>57425134</t>
  </si>
  <si>
    <t>15279908764</t>
  </si>
  <si>
    <t>57425742</t>
  </si>
  <si>
    <t>15279911024</t>
  </si>
  <si>
    <t>15279912778</t>
  </si>
  <si>
    <t>15279913047</t>
  </si>
  <si>
    <t>15279913535</t>
  </si>
  <si>
    <t>15279913540</t>
  </si>
  <si>
    <t>15279913642</t>
  </si>
  <si>
    <t>15279913838</t>
  </si>
  <si>
    <t>15279914484</t>
  </si>
  <si>
    <t>15279914519</t>
  </si>
  <si>
    <t>15279914677</t>
  </si>
  <si>
    <t>15279916801</t>
  </si>
  <si>
    <t>15279918633</t>
  </si>
  <si>
    <t>15279918943</t>
  </si>
  <si>
    <t>15279923357</t>
  </si>
  <si>
    <t>15279923358</t>
  </si>
  <si>
    <t>15279923532</t>
  </si>
  <si>
    <t>15279930132</t>
  </si>
  <si>
    <t>15279930133</t>
  </si>
  <si>
    <t>15279930482</t>
  </si>
  <si>
    <t>15279930855</t>
  </si>
  <si>
    <t>61704316</t>
  </si>
  <si>
    <t>15279931317</t>
  </si>
  <si>
    <t>15279931535</t>
  </si>
  <si>
    <t>15279932148</t>
  </si>
  <si>
    <t>57431882</t>
  </si>
  <si>
    <t>15279932834</t>
  </si>
  <si>
    <t>15279932836</t>
  </si>
  <si>
    <t>15279933103</t>
  </si>
  <si>
    <t>61724216</t>
  </si>
  <si>
    <t>15279936128</t>
  </si>
  <si>
    <t>15279938387</t>
  </si>
  <si>
    <t>57436540</t>
  </si>
  <si>
    <t>15279938634</t>
  </si>
  <si>
    <t>57436406</t>
  </si>
  <si>
    <t>15279938794</t>
  </si>
  <si>
    <t>57431781</t>
  </si>
  <si>
    <t>61694778</t>
  </si>
  <si>
    <t>15279938801</t>
  </si>
  <si>
    <t>57431591</t>
  </si>
  <si>
    <t>15279939634</t>
  </si>
  <si>
    <t>57431325</t>
  </si>
  <si>
    <t>15279940979</t>
  </si>
  <si>
    <t>57438265</t>
  </si>
  <si>
    <t>15279941603</t>
  </si>
  <si>
    <t>57438556</t>
  </si>
  <si>
    <t>15279942577</t>
  </si>
  <si>
    <t>57451831</t>
  </si>
  <si>
    <t>15279942694</t>
  </si>
  <si>
    <t>57449885</t>
  </si>
  <si>
    <t>15279942804</t>
  </si>
  <si>
    <t>57438864</t>
  </si>
  <si>
    <t>15279942821</t>
  </si>
  <si>
    <t>57438849</t>
  </si>
  <si>
    <t>15279943815</t>
  </si>
  <si>
    <t>57438550</t>
  </si>
  <si>
    <t>15279943816</t>
  </si>
  <si>
    <t>57438564</t>
  </si>
  <si>
    <t>15279944330</t>
  </si>
  <si>
    <t>57432002</t>
  </si>
  <si>
    <t>15279944702</t>
  </si>
  <si>
    <t>57438372</t>
  </si>
  <si>
    <t>15279945613</t>
  </si>
  <si>
    <t>57438138</t>
  </si>
  <si>
    <t>15279945709</t>
  </si>
  <si>
    <t>57438383</t>
  </si>
  <si>
    <t>15279945879</t>
  </si>
  <si>
    <t>57438387</t>
  </si>
  <si>
    <t>15279947248</t>
  </si>
  <si>
    <t>57438374</t>
  </si>
  <si>
    <t>15279947659</t>
  </si>
  <si>
    <t>57431253</t>
  </si>
  <si>
    <t>15279948090</t>
  </si>
  <si>
    <t>15279948248</t>
  </si>
  <si>
    <t>57441332</t>
  </si>
  <si>
    <t>15279948831</t>
  </si>
  <si>
    <t>57441330</t>
  </si>
  <si>
    <t>15279948991</t>
  </si>
  <si>
    <t>15279949135</t>
  </si>
  <si>
    <t>57440151</t>
  </si>
  <si>
    <t>15279949795</t>
  </si>
  <si>
    <t>57438854</t>
  </si>
  <si>
    <t>15279950078</t>
  </si>
  <si>
    <t>57438706</t>
  </si>
  <si>
    <t>15279950749</t>
  </si>
  <si>
    <t>57449883</t>
  </si>
  <si>
    <t>15279951625</t>
  </si>
  <si>
    <t>57438861</t>
  </si>
  <si>
    <t>15279953430</t>
  </si>
  <si>
    <t>57439960</t>
  </si>
  <si>
    <t>15279953598</t>
  </si>
  <si>
    <t>57438709</t>
  </si>
  <si>
    <t>15279954138</t>
  </si>
  <si>
    <t>57439212</t>
  </si>
  <si>
    <t>15279954215</t>
  </si>
  <si>
    <t>57440761</t>
  </si>
  <si>
    <t>15279954762</t>
  </si>
  <si>
    <t>57440758</t>
  </si>
  <si>
    <t>15279955126</t>
  </si>
  <si>
    <t>57451347</t>
  </si>
  <si>
    <t>15279956508</t>
  </si>
  <si>
    <t>57440760</t>
  </si>
  <si>
    <t>15279957026</t>
  </si>
  <si>
    <t>57438696</t>
  </si>
  <si>
    <t>15279958045</t>
  </si>
  <si>
    <t>15279958388</t>
  </si>
  <si>
    <t>15279958392</t>
  </si>
  <si>
    <t>15279958520</t>
  </si>
  <si>
    <t>15279958588</t>
  </si>
  <si>
    <t>15279958724</t>
  </si>
  <si>
    <t>57452309</t>
  </si>
  <si>
    <t>15279958904</t>
  </si>
  <si>
    <t>15279959594</t>
  </si>
  <si>
    <t>15279959813</t>
  </si>
  <si>
    <t>15279959995</t>
  </si>
  <si>
    <t>15279960063</t>
  </si>
  <si>
    <t>15279960119</t>
  </si>
  <si>
    <t>15279960125</t>
  </si>
  <si>
    <t>15279960308</t>
  </si>
  <si>
    <t>15279960309</t>
  </si>
  <si>
    <t>15279961135</t>
  </si>
  <si>
    <t>15279961293</t>
  </si>
  <si>
    <t>57447634</t>
  </si>
  <si>
    <t>15279961769</t>
  </si>
  <si>
    <t>15279961770</t>
  </si>
  <si>
    <t>61694575</t>
  </si>
  <si>
    <t>15279961838</t>
  </si>
  <si>
    <t>15279961884</t>
  </si>
  <si>
    <t>15279961989</t>
  </si>
  <si>
    <t>15279962052</t>
  </si>
  <si>
    <t>15279962172</t>
  </si>
  <si>
    <t>15279962344</t>
  </si>
  <si>
    <t>15279962718</t>
  </si>
  <si>
    <t>15279962963</t>
  </si>
  <si>
    <t>15279962976</t>
  </si>
  <si>
    <t>15279963476</t>
  </si>
  <si>
    <t>15279963874</t>
  </si>
  <si>
    <t>61691486</t>
  </si>
  <si>
    <t>15279964086</t>
  </si>
  <si>
    <t>15279964711</t>
  </si>
  <si>
    <t>15279965051</t>
  </si>
  <si>
    <t>15279966192</t>
  </si>
  <si>
    <t>15279971877</t>
  </si>
  <si>
    <t>15279972378</t>
  </si>
  <si>
    <t>15279972594</t>
  </si>
  <si>
    <t>15279979150</t>
  </si>
  <si>
    <t>57462040</t>
  </si>
  <si>
    <t>15279981621</t>
  </si>
  <si>
    <t>15279987298</t>
  </si>
  <si>
    <t>57455372</t>
  </si>
  <si>
    <t>15279997153</t>
  </si>
  <si>
    <t>57456147</t>
  </si>
  <si>
    <t>15279997987</t>
  </si>
  <si>
    <t>57452178</t>
  </si>
  <si>
    <t>15279998408</t>
  </si>
  <si>
    <t>57453882</t>
  </si>
  <si>
    <t>15279999327</t>
  </si>
  <si>
    <t>57452469</t>
  </si>
  <si>
    <t>15280000479</t>
  </si>
  <si>
    <t>57453702</t>
  </si>
  <si>
    <t>15280003807</t>
  </si>
  <si>
    <t>57467823</t>
  </si>
  <si>
    <t>15280004103</t>
  </si>
  <si>
    <t>57453782</t>
  </si>
  <si>
    <t>15280004210</t>
  </si>
  <si>
    <t>57453936</t>
  </si>
  <si>
    <t>15280008728</t>
  </si>
  <si>
    <t>57448304</t>
  </si>
  <si>
    <t>15280012033</t>
  </si>
  <si>
    <t>15280012120</t>
  </si>
  <si>
    <t>15280013222</t>
  </si>
  <si>
    <t>15280013295</t>
  </si>
  <si>
    <t>15280013335</t>
  </si>
  <si>
    <t>61692790</t>
  </si>
  <si>
    <t>15280013776</t>
  </si>
  <si>
    <t>15280013824</t>
  </si>
  <si>
    <t>15280013825</t>
  </si>
  <si>
    <t>15280013931</t>
  </si>
  <si>
    <t>15280014020</t>
  </si>
  <si>
    <t>15280014024</t>
  </si>
  <si>
    <t>15280014245</t>
  </si>
  <si>
    <t>15280014519</t>
  </si>
  <si>
    <t>15280014582</t>
  </si>
  <si>
    <t>15280014602</t>
  </si>
  <si>
    <t>15280015384</t>
  </si>
  <si>
    <t>15280015410</t>
  </si>
  <si>
    <t>15280015665</t>
  </si>
  <si>
    <t>61714549</t>
  </si>
  <si>
    <t>15280015743</t>
  </si>
  <si>
    <t>15280015837</t>
  </si>
  <si>
    <t>61679028</t>
  </si>
  <si>
    <t>15280015956</t>
  </si>
  <si>
    <t>15280015993</t>
  </si>
  <si>
    <t>15280016339</t>
  </si>
  <si>
    <t>15280016923</t>
  </si>
  <si>
    <t>15280018512</t>
  </si>
  <si>
    <t>15280019339</t>
  </si>
  <si>
    <t>61678041</t>
  </si>
  <si>
    <t>15280020989</t>
  </si>
  <si>
    <t>15280022187</t>
  </si>
  <si>
    <t>15280022742</t>
  </si>
  <si>
    <t>15280024111</t>
  </si>
  <si>
    <t>15280024130</t>
  </si>
  <si>
    <t>15280024490</t>
  </si>
  <si>
    <t>15280024756</t>
  </si>
  <si>
    <t>15280025046</t>
  </si>
  <si>
    <t>15280029265</t>
  </si>
  <si>
    <t>15280029400</t>
  </si>
  <si>
    <t>15280036574</t>
  </si>
  <si>
    <t>61699916</t>
  </si>
  <si>
    <t>15280036664</t>
  </si>
  <si>
    <t>15280037289</t>
  </si>
  <si>
    <t>15280037389</t>
  </si>
  <si>
    <t>15280038117</t>
  </si>
  <si>
    <t>15280038178</t>
  </si>
  <si>
    <t>61715757</t>
  </si>
  <si>
    <t>15280038348</t>
  </si>
  <si>
    <t>15280038894</t>
  </si>
  <si>
    <t>15280040983</t>
  </si>
  <si>
    <t>57468285</t>
  </si>
  <si>
    <t>15280041706</t>
  </si>
  <si>
    <t>57468288</t>
  </si>
  <si>
    <t>15280042073</t>
  </si>
  <si>
    <t>57467723</t>
  </si>
  <si>
    <t>15280042506</t>
  </si>
  <si>
    <t>15280043434</t>
  </si>
  <si>
    <t>57467584</t>
  </si>
  <si>
    <t>15280043531</t>
  </si>
  <si>
    <t>57467468</t>
  </si>
  <si>
    <t>15280043618</t>
  </si>
  <si>
    <t>57466858</t>
  </si>
  <si>
    <t>15280043904</t>
  </si>
  <si>
    <t>57468217</t>
  </si>
  <si>
    <t>15280043905</t>
  </si>
  <si>
    <t>57468218</t>
  </si>
  <si>
    <t>15280043961</t>
  </si>
  <si>
    <t>57469760</t>
  </si>
  <si>
    <t>15280044369</t>
  </si>
  <si>
    <t>57469759</t>
  </si>
  <si>
    <t>15280045262</t>
  </si>
  <si>
    <t>15280045290</t>
  </si>
  <si>
    <t>57471721</t>
  </si>
  <si>
    <t>15280047010</t>
  </si>
  <si>
    <t>57470823</t>
  </si>
  <si>
    <t>15280047154</t>
  </si>
  <si>
    <t>57470756</t>
  </si>
  <si>
    <t>15280047246</t>
  </si>
  <si>
    <t>57471776</t>
  </si>
  <si>
    <t>15280047753</t>
  </si>
  <si>
    <t>15280047900</t>
  </si>
  <si>
    <t>57507438</t>
  </si>
  <si>
    <t>15280049154</t>
  </si>
  <si>
    <t>57480251</t>
  </si>
  <si>
    <t>15280049573</t>
  </si>
  <si>
    <t>57511911</t>
  </si>
  <si>
    <t>15280049598</t>
  </si>
  <si>
    <t>57468165</t>
  </si>
  <si>
    <t>15280049620</t>
  </si>
  <si>
    <t>57508169</t>
  </si>
  <si>
    <t>15280050421</t>
  </si>
  <si>
    <t>57511913</t>
  </si>
  <si>
    <t>15280051591</t>
  </si>
  <si>
    <t>57511909</t>
  </si>
  <si>
    <t>15280052482</t>
  </si>
  <si>
    <t>57512592</t>
  </si>
  <si>
    <t>15280052981</t>
  </si>
  <si>
    <t>57468154</t>
  </si>
  <si>
    <t>15280053667</t>
  </si>
  <si>
    <t>57512750</t>
  </si>
  <si>
    <t>15280054868</t>
  </si>
  <si>
    <t>15280055216</t>
  </si>
  <si>
    <t>57515187</t>
  </si>
  <si>
    <t>15280055425</t>
  </si>
  <si>
    <t>57480478</t>
  </si>
  <si>
    <t>15280055426</t>
  </si>
  <si>
    <t>57481836</t>
  </si>
  <si>
    <t>15280055428</t>
  </si>
  <si>
    <t>57481835</t>
  </si>
  <si>
    <t>15280055558</t>
  </si>
  <si>
    <t>57470160</t>
  </si>
  <si>
    <t>15280056035</t>
  </si>
  <si>
    <t>57515186</t>
  </si>
  <si>
    <t>15280057441</t>
  </si>
  <si>
    <t>57520847</t>
  </si>
  <si>
    <t>15280058058</t>
  </si>
  <si>
    <t>57521436</t>
  </si>
  <si>
    <t>15280059022</t>
  </si>
  <si>
    <t>57480249</t>
  </si>
  <si>
    <t>15280059112</t>
  </si>
  <si>
    <t>57480481</t>
  </si>
  <si>
    <t>15280059270</t>
  </si>
  <si>
    <t>57481078</t>
  </si>
  <si>
    <t>15280059887</t>
  </si>
  <si>
    <t>57521340</t>
  </si>
  <si>
    <t>15280060016</t>
  </si>
  <si>
    <t>57520842</t>
  </si>
  <si>
    <t>15280061555</t>
  </si>
  <si>
    <t>57521651</t>
  </si>
  <si>
    <t>15280062184</t>
  </si>
  <si>
    <t>57481280</t>
  </si>
  <si>
    <t>15280062525</t>
  </si>
  <si>
    <t>57481282</t>
  </si>
  <si>
    <t>15280062598</t>
  </si>
  <si>
    <t>57481083</t>
  </si>
  <si>
    <t>15280064110</t>
  </si>
  <si>
    <t>57521645</t>
  </si>
  <si>
    <t>15280064312</t>
  </si>
  <si>
    <t>57482601</t>
  </si>
  <si>
    <t>15280064459</t>
  </si>
  <si>
    <t>57482516</t>
  </si>
  <si>
    <t>15280064502</t>
  </si>
  <si>
    <t>57482513</t>
  </si>
  <si>
    <t>15280064620</t>
  </si>
  <si>
    <t>57482461</t>
  </si>
  <si>
    <t>15280064622</t>
  </si>
  <si>
    <t>57482518</t>
  </si>
  <si>
    <t>15280065589</t>
  </si>
  <si>
    <t>57482789</t>
  </si>
  <si>
    <t>15280065697</t>
  </si>
  <si>
    <t>57482515</t>
  </si>
  <si>
    <t>15280065698</t>
  </si>
  <si>
    <t>57482519</t>
  </si>
  <si>
    <t>15280066012</t>
  </si>
  <si>
    <t>57482361</t>
  </si>
  <si>
    <t>15280067019</t>
  </si>
  <si>
    <t>57482362</t>
  </si>
  <si>
    <t>15280067403</t>
  </si>
  <si>
    <t>57700499</t>
  </si>
  <si>
    <t>15280067849</t>
  </si>
  <si>
    <t>57470547</t>
  </si>
  <si>
    <t>15280068004</t>
  </si>
  <si>
    <t>57482787</t>
  </si>
  <si>
    <t>15280068142</t>
  </si>
  <si>
    <t>57482658</t>
  </si>
  <si>
    <t>15280068270</t>
  </si>
  <si>
    <t>57482600</t>
  </si>
  <si>
    <t>15280068303</t>
  </si>
  <si>
    <t>57482514</t>
  </si>
  <si>
    <t>15280068516</t>
  </si>
  <si>
    <t>57482597</t>
  </si>
  <si>
    <t>15280068713</t>
  </si>
  <si>
    <t>15280068862</t>
  </si>
  <si>
    <t>15280069068</t>
  </si>
  <si>
    <t>15280069107</t>
  </si>
  <si>
    <t>15280069586</t>
  </si>
  <si>
    <t>15280069773</t>
  </si>
  <si>
    <t>15280070813</t>
  </si>
  <si>
    <t>15280072250</t>
  </si>
  <si>
    <t>57521652</t>
  </si>
  <si>
    <t>15280072420</t>
  </si>
  <si>
    <t>15280072796</t>
  </si>
  <si>
    <t>15280072816</t>
  </si>
  <si>
    <t>61709171</t>
  </si>
  <si>
    <t>15280072847</t>
  </si>
  <si>
    <t>15280073206</t>
  </si>
  <si>
    <t>15280073528</t>
  </si>
  <si>
    <t>15280073586</t>
  </si>
  <si>
    <t>61678668</t>
  </si>
  <si>
    <t>15280073637</t>
  </si>
  <si>
    <t>15280074539</t>
  </si>
  <si>
    <t>15280074642</t>
  </si>
  <si>
    <t>15280074679</t>
  </si>
  <si>
    <t>15280074852</t>
  </si>
  <si>
    <t>15280074918</t>
  </si>
  <si>
    <t>15280075537</t>
  </si>
  <si>
    <t>15280075684</t>
  </si>
  <si>
    <t>15280076069</t>
  </si>
  <si>
    <t>15280076159</t>
  </si>
  <si>
    <t>15280077458</t>
  </si>
  <si>
    <t>15280077565</t>
  </si>
  <si>
    <t>15280077770</t>
  </si>
  <si>
    <t>15280078643</t>
  </si>
  <si>
    <t>15280078656</t>
  </si>
  <si>
    <t>15280079978</t>
  </si>
  <si>
    <t>15280084458</t>
  </si>
  <si>
    <t>15280091507</t>
  </si>
  <si>
    <t>15280099440</t>
  </si>
  <si>
    <t>57483017</t>
  </si>
  <si>
    <t>15280099801</t>
  </si>
  <si>
    <t>57484007</t>
  </si>
  <si>
    <t>15280100017</t>
  </si>
  <si>
    <t>57483904</t>
  </si>
  <si>
    <t>15280105291</t>
  </si>
  <si>
    <t>57483012</t>
  </si>
  <si>
    <t>15280105633</t>
  </si>
  <si>
    <t>57484575</t>
  </si>
  <si>
    <t>15280105634</t>
  </si>
  <si>
    <t>57484585</t>
  </si>
  <si>
    <t>15280107986</t>
  </si>
  <si>
    <t>57484745</t>
  </si>
  <si>
    <t>15280108281</t>
  </si>
  <si>
    <t>15280112808</t>
  </si>
  <si>
    <t>57482500</t>
  </si>
  <si>
    <t>15280114219</t>
  </si>
  <si>
    <t>57484020</t>
  </si>
  <si>
    <t>15280114798</t>
  </si>
  <si>
    <t>61688687</t>
  </si>
  <si>
    <t>15280115203</t>
  </si>
  <si>
    <t>57484008</t>
  </si>
  <si>
    <t>15280115410</t>
  </si>
  <si>
    <t>57483901</t>
  </si>
  <si>
    <t>15280115427</t>
  </si>
  <si>
    <t>57483902</t>
  </si>
  <si>
    <t>15280115511</t>
  </si>
  <si>
    <t>57483905</t>
  </si>
  <si>
    <t>15280116506</t>
  </si>
  <si>
    <t>57484567</t>
  </si>
  <si>
    <t>15280118113</t>
  </si>
  <si>
    <t>57484015</t>
  </si>
  <si>
    <t>15280119520</t>
  </si>
  <si>
    <t>57483856</t>
  </si>
  <si>
    <t>15280119704</t>
  </si>
  <si>
    <t>57484985</t>
  </si>
  <si>
    <t>15280122274</t>
  </si>
  <si>
    <t>57484400</t>
  </si>
  <si>
    <t>15280122871</t>
  </si>
  <si>
    <t>57492891</t>
  </si>
  <si>
    <t>15280124140</t>
  </si>
  <si>
    <t>57494231</t>
  </si>
  <si>
    <t>15280125124</t>
  </si>
  <si>
    <t>57494609</t>
  </si>
  <si>
    <t>15280125629</t>
  </si>
  <si>
    <t>57494820</t>
  </si>
  <si>
    <t>15280126406</t>
  </si>
  <si>
    <t>57494775</t>
  </si>
  <si>
    <t>15280128336</t>
  </si>
  <si>
    <t>15280128488</t>
  </si>
  <si>
    <t>15280128884</t>
  </si>
  <si>
    <t>15280128944</t>
  </si>
  <si>
    <t>15280129046</t>
  </si>
  <si>
    <t>15280130437</t>
  </si>
  <si>
    <t>61725999</t>
  </si>
  <si>
    <t>15280130870</t>
  </si>
  <si>
    <t>57480114</t>
  </si>
  <si>
    <t>15280130871</t>
  </si>
  <si>
    <t>57480113</t>
  </si>
  <si>
    <t>15280130955</t>
  </si>
  <si>
    <t>15280131685</t>
  </si>
  <si>
    <t>15280131710</t>
  </si>
  <si>
    <t>15280131972</t>
  </si>
  <si>
    <t>15280132196</t>
  </si>
  <si>
    <t>15280132315</t>
  </si>
  <si>
    <t>15280132386</t>
  </si>
  <si>
    <t>15280132649</t>
  </si>
  <si>
    <t>15280132754</t>
  </si>
  <si>
    <t>15280132828</t>
  </si>
  <si>
    <t>15280132964</t>
  </si>
  <si>
    <t>15280133049</t>
  </si>
  <si>
    <t>15280133054</t>
  </si>
  <si>
    <t>15280133058</t>
  </si>
  <si>
    <t>15280133101</t>
  </si>
  <si>
    <t>15280133125</t>
  </si>
  <si>
    <t>15280133334</t>
  </si>
  <si>
    <t>15280133563</t>
  </si>
  <si>
    <t>15280133688</t>
  </si>
  <si>
    <t>15280133880</t>
  </si>
  <si>
    <t>15280133891</t>
  </si>
  <si>
    <t>15280133910</t>
  </si>
  <si>
    <t>61681313</t>
  </si>
  <si>
    <t>15280133911</t>
  </si>
  <si>
    <t>15280133978</t>
  </si>
  <si>
    <t>15280134019</t>
  </si>
  <si>
    <t>15280134240</t>
  </si>
  <si>
    <t>15280134265</t>
  </si>
  <si>
    <t>15280134451</t>
  </si>
  <si>
    <t>61697466</t>
  </si>
  <si>
    <t>15280134542</t>
  </si>
  <si>
    <t>15280134660</t>
  </si>
  <si>
    <t>15280134689</t>
  </si>
  <si>
    <t>15280134719</t>
  </si>
  <si>
    <t>15280134754</t>
  </si>
  <si>
    <t>15280134802</t>
  </si>
  <si>
    <t>15280134805</t>
  </si>
  <si>
    <t>15280134819</t>
  </si>
  <si>
    <t>15280134865</t>
  </si>
  <si>
    <t>15280134931</t>
  </si>
  <si>
    <t>15280134959</t>
  </si>
  <si>
    <t>15280134966</t>
  </si>
  <si>
    <t>15280134986</t>
  </si>
  <si>
    <t>61685043</t>
  </si>
  <si>
    <t>15280134994</t>
  </si>
  <si>
    <t>15280135043</t>
  </si>
  <si>
    <t>15280135122</t>
  </si>
  <si>
    <t>15280135160</t>
  </si>
  <si>
    <t>15280135294</t>
  </si>
  <si>
    <t>15280135348</t>
  </si>
  <si>
    <t>15280135367</t>
  </si>
  <si>
    <t>15280135385</t>
  </si>
  <si>
    <t>15280135781</t>
  </si>
  <si>
    <t>15280136259</t>
  </si>
  <si>
    <t>15280136338</t>
  </si>
  <si>
    <t>15280136531</t>
  </si>
  <si>
    <t>15280136570</t>
  </si>
  <si>
    <t>15280136587</t>
  </si>
  <si>
    <t>15280136662</t>
  </si>
  <si>
    <t>15280136676</t>
  </si>
  <si>
    <t>15280136855</t>
  </si>
  <si>
    <t>15280136895</t>
  </si>
  <si>
    <t>15280137029</t>
  </si>
  <si>
    <t>15280137113</t>
  </si>
  <si>
    <t>15280137274</t>
  </si>
  <si>
    <t>15280137285</t>
  </si>
  <si>
    <t>15280137360</t>
  </si>
  <si>
    <t>15280137391</t>
  </si>
  <si>
    <t>15280137785</t>
  </si>
  <si>
    <t>15280138324</t>
  </si>
  <si>
    <t>15280138454</t>
  </si>
  <si>
    <t>15280139457</t>
  </si>
  <si>
    <t>15280140186</t>
  </si>
  <si>
    <t>15280140223</t>
  </si>
  <si>
    <t>15280142175</t>
  </si>
  <si>
    <t>15280145308</t>
  </si>
  <si>
    <t>15280150454</t>
  </si>
  <si>
    <t>15280150773</t>
  </si>
  <si>
    <t>15280150838</t>
  </si>
  <si>
    <t>15280156154</t>
  </si>
  <si>
    <t>15280156173</t>
  </si>
  <si>
    <t>15280156452</t>
  </si>
  <si>
    <t>61692905</t>
  </si>
  <si>
    <t>15280165672</t>
  </si>
  <si>
    <t>57504106</t>
  </si>
  <si>
    <t>15280168767</t>
  </si>
  <si>
    <t>57496330</t>
  </si>
  <si>
    <t>15280168972</t>
  </si>
  <si>
    <t>57496063</t>
  </si>
  <si>
    <t>15280170244</t>
  </si>
  <si>
    <t>57496061</t>
  </si>
  <si>
    <t>15280172043</t>
  </si>
  <si>
    <t>57498129</t>
  </si>
  <si>
    <t>15280174968</t>
  </si>
  <si>
    <t>57700486</t>
  </si>
  <si>
    <t>15280175304</t>
  </si>
  <si>
    <t>57523329</t>
  </si>
  <si>
    <t>15280176647</t>
  </si>
  <si>
    <t>57504482</t>
  </si>
  <si>
    <t>15280176669</t>
  </si>
  <si>
    <t>57504476</t>
  </si>
  <si>
    <t>15280179507</t>
  </si>
  <si>
    <t>57504970</t>
  </si>
  <si>
    <t>15280179809</t>
  </si>
  <si>
    <t>57505221</t>
  </si>
  <si>
    <t>15280180367</t>
  </si>
  <si>
    <t>15280180847</t>
  </si>
  <si>
    <t>15280181680</t>
  </si>
  <si>
    <t>15280181956</t>
  </si>
  <si>
    <t>15280182177</t>
  </si>
  <si>
    <t>15280182442</t>
  </si>
  <si>
    <t>15280182727</t>
  </si>
  <si>
    <t>15280182783</t>
  </si>
  <si>
    <t>15280183100</t>
  </si>
  <si>
    <t>15280183119</t>
  </si>
  <si>
    <t>15280183249</t>
  </si>
  <si>
    <t>15280183920</t>
  </si>
  <si>
    <t>15280184361</t>
  </si>
  <si>
    <t>15280184414</t>
  </si>
  <si>
    <t>61704550</t>
  </si>
  <si>
    <t>15280184649</t>
  </si>
  <si>
    <t>15280186793</t>
  </si>
  <si>
    <t>15280187062</t>
  </si>
  <si>
    <t>57504387</t>
  </si>
  <si>
    <t>15280187157</t>
  </si>
  <si>
    <t>57700688</t>
  </si>
  <si>
    <t>15280187222</t>
  </si>
  <si>
    <t>57496314</t>
  </si>
  <si>
    <t>15280187240</t>
  </si>
  <si>
    <t>57700692</t>
  </si>
  <si>
    <t>15280187677</t>
  </si>
  <si>
    <t>57533523</t>
  </si>
  <si>
    <t>15280187701</t>
  </si>
  <si>
    <t>57533389</t>
  </si>
  <si>
    <t>15280187889</t>
  </si>
  <si>
    <t>57532404</t>
  </si>
  <si>
    <t>15280187961</t>
  </si>
  <si>
    <t>57532818</t>
  </si>
  <si>
    <t>15280188116</t>
  </si>
  <si>
    <t>57533528</t>
  </si>
  <si>
    <t>15280188134</t>
  </si>
  <si>
    <t>57532816</t>
  </si>
  <si>
    <t>15280188333</t>
  </si>
  <si>
    <t>57533517</t>
  </si>
  <si>
    <t>15280188692</t>
  </si>
  <si>
    <t>57532819</t>
  </si>
  <si>
    <t>15280188878</t>
  </si>
  <si>
    <t>57533388</t>
  </si>
  <si>
    <t>15280189084</t>
  </si>
  <si>
    <t>57504821</t>
  </si>
  <si>
    <t>15280189088</t>
  </si>
  <si>
    <t>57504807</t>
  </si>
  <si>
    <t>15280189244</t>
  </si>
  <si>
    <t>57504973</t>
  </si>
  <si>
    <t>15280189767</t>
  </si>
  <si>
    <t>57504976</t>
  </si>
  <si>
    <t>15280189851</t>
  </si>
  <si>
    <t>57504819</t>
  </si>
  <si>
    <t>15280190110</t>
  </si>
  <si>
    <t>57532574</t>
  </si>
  <si>
    <t>15280190179</t>
  </si>
  <si>
    <t>57533237</t>
  </si>
  <si>
    <t>15280190459</t>
  </si>
  <si>
    <t>57506583</t>
  </si>
  <si>
    <t>15280190551</t>
  </si>
  <si>
    <t>57507809</t>
  </si>
  <si>
    <t>15280190678</t>
  </si>
  <si>
    <t>57506546</t>
  </si>
  <si>
    <t>15280191087</t>
  </si>
  <si>
    <t>57506014</t>
  </si>
  <si>
    <t>15280191517</t>
  </si>
  <si>
    <t>57505527</t>
  </si>
  <si>
    <t>15280191920</t>
  </si>
  <si>
    <t>57507774</t>
  </si>
  <si>
    <t>15280192043</t>
  </si>
  <si>
    <t>57505531</t>
  </si>
  <si>
    <t>15280192058</t>
  </si>
  <si>
    <t>61681976</t>
  </si>
  <si>
    <t>57505273</t>
  </si>
  <si>
    <t>15280194241</t>
  </si>
  <si>
    <t>57506821</t>
  </si>
  <si>
    <t>15280194747</t>
  </si>
  <si>
    <t>57507811</t>
  </si>
  <si>
    <t>15280195239</t>
  </si>
  <si>
    <t>57506823</t>
  </si>
  <si>
    <t>15280197185</t>
  </si>
  <si>
    <t>15280198009</t>
  </si>
  <si>
    <t>15280199520</t>
  </si>
  <si>
    <t>15280201269</t>
  </si>
  <si>
    <t>57505210</t>
  </si>
  <si>
    <t>15280204496</t>
  </si>
  <si>
    <t>15280204497</t>
  </si>
  <si>
    <t>15280205417</t>
  </si>
  <si>
    <t>57514321</t>
  </si>
  <si>
    <t>15280206194</t>
  </si>
  <si>
    <t>57520377</t>
  </si>
  <si>
    <t>15280206317</t>
  </si>
  <si>
    <t>57515072</t>
  </si>
  <si>
    <t>15280208205</t>
  </si>
  <si>
    <t>57505675</t>
  </si>
  <si>
    <t>15280208739</t>
  </si>
  <si>
    <t>57511899</t>
  </si>
  <si>
    <t>15280222156</t>
  </si>
  <si>
    <t>57505358</t>
  </si>
  <si>
    <t>15280222157</t>
  </si>
  <si>
    <t>57505209</t>
  </si>
  <si>
    <t>15280223251</t>
  </si>
  <si>
    <t>57537796</t>
  </si>
  <si>
    <t>15280223925</t>
  </si>
  <si>
    <t>57542034</t>
  </si>
  <si>
    <t>15280225741</t>
  </si>
  <si>
    <t>57551249</t>
  </si>
  <si>
    <t>15280230776</t>
  </si>
  <si>
    <t>15280231193</t>
  </si>
  <si>
    <t>15280231688</t>
  </si>
  <si>
    <t>15280231926</t>
  </si>
  <si>
    <t>15280232361</t>
  </si>
  <si>
    <t>15280232502</t>
  </si>
  <si>
    <t>15280232755</t>
  </si>
  <si>
    <t>15280232977</t>
  </si>
  <si>
    <t>15280233143</t>
  </si>
  <si>
    <t>15280233325</t>
  </si>
  <si>
    <t>61702085</t>
  </si>
  <si>
    <t>15280233376</t>
  </si>
  <si>
    <t>15280233569</t>
  </si>
  <si>
    <t>15280234297</t>
  </si>
  <si>
    <t>15280234541</t>
  </si>
  <si>
    <t>15280235289</t>
  </si>
  <si>
    <t>15280235559</t>
  </si>
  <si>
    <t>15280235886</t>
  </si>
  <si>
    <t>15280235927</t>
  </si>
  <si>
    <t>15280236033</t>
  </si>
  <si>
    <t>61675697</t>
  </si>
  <si>
    <t>15280236298</t>
  </si>
  <si>
    <t>15280236467</t>
  </si>
  <si>
    <t>15280236534</t>
  </si>
  <si>
    <t>15280236732</t>
  </si>
  <si>
    <t>15280236886</t>
  </si>
  <si>
    <t>15280237014</t>
  </si>
  <si>
    <t>15280237095</t>
  </si>
  <si>
    <t>15280237399</t>
  </si>
  <si>
    <t>15280237427</t>
  </si>
  <si>
    <t>61725643</t>
  </si>
  <si>
    <t>15280238039</t>
  </si>
  <si>
    <t>15280238412</t>
  </si>
  <si>
    <t>15280238448</t>
  </si>
  <si>
    <t>15280238698</t>
  </si>
  <si>
    <t>15280238812</t>
  </si>
  <si>
    <t>15280239327</t>
  </si>
  <si>
    <t>15280239826</t>
  </si>
  <si>
    <t>15280240746</t>
  </si>
  <si>
    <t>61732436</t>
  </si>
  <si>
    <t>15280240860</t>
  </si>
  <si>
    <t>15280240882</t>
  </si>
  <si>
    <t>15280241096</t>
  </si>
  <si>
    <t>15280241167</t>
  </si>
  <si>
    <t>15280241193</t>
  </si>
  <si>
    <t>15280241199</t>
  </si>
  <si>
    <t>15280241256</t>
  </si>
  <si>
    <t>15280241326</t>
  </si>
  <si>
    <t>15280241698</t>
  </si>
  <si>
    <t>57512597</t>
  </si>
  <si>
    <t>15280241755</t>
  </si>
  <si>
    <t>15280241779</t>
  </si>
  <si>
    <t>15280241780</t>
  </si>
  <si>
    <t>15280241904</t>
  </si>
  <si>
    <t>15280242249</t>
  </si>
  <si>
    <t>15280242897</t>
  </si>
  <si>
    <t>15280244331</t>
  </si>
  <si>
    <t>15280244420</t>
  </si>
  <si>
    <t>57701375</t>
  </si>
  <si>
    <t>57699999</t>
  </si>
  <si>
    <t>15280244516</t>
  </si>
  <si>
    <t>15280244540</t>
  </si>
  <si>
    <t>15280244580</t>
  </si>
  <si>
    <t>15280248742</t>
  </si>
  <si>
    <t>15280248979</t>
  </si>
  <si>
    <t>15280250456</t>
  </si>
  <si>
    <t>15280253558</t>
  </si>
  <si>
    <t>15280253612</t>
  </si>
  <si>
    <t>15280261803</t>
  </si>
  <si>
    <t>61675563</t>
  </si>
  <si>
    <t>15280261950</t>
  </si>
  <si>
    <t>57519086</t>
  </si>
  <si>
    <t>15280262338</t>
  </si>
  <si>
    <t>57535959</t>
  </si>
  <si>
    <t>15280262492</t>
  </si>
  <si>
    <t>57514470</t>
  </si>
  <si>
    <t>15280264311</t>
  </si>
  <si>
    <t>57514293</t>
  </si>
  <si>
    <t>15280267333</t>
  </si>
  <si>
    <t>57512601</t>
  </si>
  <si>
    <t>15280268854</t>
  </si>
  <si>
    <t>57519075</t>
  </si>
  <si>
    <t>15280269199</t>
  </si>
  <si>
    <t>57512927</t>
  </si>
  <si>
    <t>15280269641</t>
  </si>
  <si>
    <t>15280270880</t>
  </si>
  <si>
    <t>57519655</t>
  </si>
  <si>
    <t>15280270884</t>
  </si>
  <si>
    <t>57519661</t>
  </si>
  <si>
    <t>15280270961</t>
  </si>
  <si>
    <t>57515791</t>
  </si>
  <si>
    <t>15280271333</t>
  </si>
  <si>
    <t>57514933</t>
  </si>
  <si>
    <t>15280271485</t>
  </si>
  <si>
    <t>57515785</t>
  </si>
  <si>
    <t>15280274044</t>
  </si>
  <si>
    <t>15280274650</t>
  </si>
  <si>
    <t>57513181</t>
  </si>
  <si>
    <t>15280281089</t>
  </si>
  <si>
    <t>57520284</t>
  </si>
  <si>
    <t>15280281090</t>
  </si>
  <si>
    <t>57520283</t>
  </si>
  <si>
    <t>15280281095</t>
  </si>
  <si>
    <t>57520280</t>
  </si>
  <si>
    <t>15280281150</t>
  </si>
  <si>
    <t>57514413</t>
  </si>
  <si>
    <t>15280282802</t>
  </si>
  <si>
    <t>57520383</t>
  </si>
  <si>
    <t>15280282905</t>
  </si>
  <si>
    <t>57520312</t>
  </si>
  <si>
    <t>15280282909</t>
  </si>
  <si>
    <t>57520328</t>
  </si>
  <si>
    <t>15280284527</t>
  </si>
  <si>
    <t>57514974</t>
  </si>
  <si>
    <t>15280284683</t>
  </si>
  <si>
    <t>57520325</t>
  </si>
  <si>
    <t>15280284996</t>
  </si>
  <si>
    <t>57514890</t>
  </si>
  <si>
    <t>15280291817</t>
  </si>
  <si>
    <t>15280292449</t>
  </si>
  <si>
    <t>61706012</t>
  </si>
  <si>
    <t>15280297209</t>
  </si>
  <si>
    <t>15280300489</t>
  </si>
  <si>
    <t>15280303908</t>
  </si>
  <si>
    <t>15280305195</t>
  </si>
  <si>
    <t>57521626</t>
  </si>
  <si>
    <t>15280305746</t>
  </si>
  <si>
    <t>57521644</t>
  </si>
  <si>
    <t>15280306103</t>
  </si>
  <si>
    <t>57521452</t>
  </si>
  <si>
    <t>15280306696</t>
  </si>
  <si>
    <t>57521331</t>
  </si>
  <si>
    <t>15280306844</t>
  </si>
  <si>
    <t>57521647</t>
  </si>
  <si>
    <t>15280307976</t>
  </si>
  <si>
    <t>57521446</t>
  </si>
  <si>
    <t>15280308914</t>
  </si>
  <si>
    <t>57532578</t>
  </si>
  <si>
    <t>15280309821</t>
  </si>
  <si>
    <t>57520670</t>
  </si>
  <si>
    <t>15280310324</t>
  </si>
  <si>
    <t>57521892</t>
  </si>
  <si>
    <t>61698205</t>
  </si>
  <si>
    <t>15280310890</t>
  </si>
  <si>
    <t>57521605</t>
  </si>
  <si>
    <t>15280311115</t>
  </si>
  <si>
    <t>57533526</t>
  </si>
  <si>
    <t>15280313983</t>
  </si>
  <si>
    <t>57522385</t>
  </si>
  <si>
    <t>15280313984</t>
  </si>
  <si>
    <t>57559497</t>
  </si>
  <si>
    <t>15280314838</t>
  </si>
  <si>
    <t>57534091</t>
  </si>
  <si>
    <t>15280314847</t>
  </si>
  <si>
    <t>57521749</t>
  </si>
  <si>
    <t>15280314992</t>
  </si>
  <si>
    <t>57534087</t>
  </si>
  <si>
    <t>15280316074</t>
  </si>
  <si>
    <t>57537279</t>
  </si>
  <si>
    <t>15280316689</t>
  </si>
  <si>
    <t>57534093</t>
  </si>
  <si>
    <t>15280317189</t>
  </si>
  <si>
    <t>57533765</t>
  </si>
  <si>
    <t>15280320435</t>
  </si>
  <si>
    <t>15280320484</t>
  </si>
  <si>
    <t>15280320562</t>
  </si>
  <si>
    <t>15280320728</t>
  </si>
  <si>
    <t>15280320886</t>
  </si>
  <si>
    <t>15280321686</t>
  </si>
  <si>
    <t>15280321936</t>
  </si>
  <si>
    <t>15280321970</t>
  </si>
  <si>
    <t>15280321994</t>
  </si>
  <si>
    <t>15280322128</t>
  </si>
  <si>
    <t>15280322432</t>
  </si>
  <si>
    <t>15280322645</t>
  </si>
  <si>
    <t>15280322732</t>
  </si>
  <si>
    <t>15280322807</t>
  </si>
  <si>
    <t>15280323235</t>
  </si>
  <si>
    <t>15280323308</t>
  </si>
  <si>
    <t>15280323607</t>
  </si>
  <si>
    <t>15280324363</t>
  </si>
  <si>
    <t>57560485</t>
  </si>
  <si>
    <t>15280324397</t>
  </si>
  <si>
    <t>15280325120</t>
  </si>
  <si>
    <t>15280325390</t>
  </si>
  <si>
    <t>15280325678</t>
  </si>
  <si>
    <t>15280325893</t>
  </si>
  <si>
    <t>15280326893</t>
  </si>
  <si>
    <t>15280336822</t>
  </si>
  <si>
    <t>15280337317</t>
  </si>
  <si>
    <t>15280348813</t>
  </si>
  <si>
    <t>57560366</t>
  </si>
  <si>
    <t>15280349672</t>
  </si>
  <si>
    <t>57533052</t>
  </si>
  <si>
    <t>15280349736</t>
  </si>
  <si>
    <t>57533168</t>
  </si>
  <si>
    <t>15280350303</t>
  </si>
  <si>
    <t>57542205</t>
  </si>
  <si>
    <t>15280351315</t>
  </si>
  <si>
    <t>57560359</t>
  </si>
  <si>
    <t>15280353220</t>
  </si>
  <si>
    <t>57568909</t>
  </si>
  <si>
    <t>15280355812</t>
  </si>
  <si>
    <t>57568907</t>
  </si>
  <si>
    <t>15280359574</t>
  </si>
  <si>
    <t>57534390</t>
  </si>
  <si>
    <t>15280360103</t>
  </si>
  <si>
    <t>57701382</t>
  </si>
  <si>
    <t>15280360421</t>
  </si>
  <si>
    <t>57536925</t>
  </si>
  <si>
    <t>15280362770</t>
  </si>
  <si>
    <t>57532499</t>
  </si>
  <si>
    <t>15280363543</t>
  </si>
  <si>
    <t>57699750</t>
  </si>
  <si>
    <t>15280363965</t>
  </si>
  <si>
    <t>57584718</t>
  </si>
  <si>
    <t>15280364037</t>
  </si>
  <si>
    <t>57585143</t>
  </si>
  <si>
    <t>15280365692</t>
  </si>
  <si>
    <t>57544467</t>
  </si>
  <si>
    <t>15280366298</t>
  </si>
  <si>
    <t>15280368339</t>
  </si>
  <si>
    <t>15280369345</t>
  </si>
  <si>
    <t>15280369551</t>
  </si>
  <si>
    <t>15280369762</t>
  </si>
  <si>
    <t>15280370048</t>
  </si>
  <si>
    <t>15280370148</t>
  </si>
  <si>
    <t>15280370286</t>
  </si>
  <si>
    <t>15280370312</t>
  </si>
  <si>
    <t>15280370414</t>
  </si>
  <si>
    <t>15280370500</t>
  </si>
  <si>
    <t>15280370682</t>
  </si>
  <si>
    <t>15280370762</t>
  </si>
  <si>
    <t>15280371435</t>
  </si>
  <si>
    <t>15280372435</t>
  </si>
  <si>
    <t>15280372837</t>
  </si>
  <si>
    <t>15280372883</t>
  </si>
  <si>
    <t>15280372946</t>
  </si>
  <si>
    <t>15280373666</t>
  </si>
  <si>
    <t>61678523</t>
  </si>
  <si>
    <t>15280374127</t>
  </si>
  <si>
    <t>15280374304</t>
  </si>
  <si>
    <t>15280374538</t>
  </si>
  <si>
    <t>15280375044</t>
  </si>
  <si>
    <t>57560952</t>
  </si>
  <si>
    <t>15280375637</t>
  </si>
  <si>
    <t>15280376242</t>
  </si>
  <si>
    <t>15280376377</t>
  </si>
  <si>
    <t>57566361</t>
  </si>
  <si>
    <t>15280377004</t>
  </si>
  <si>
    <t>15280377664</t>
  </si>
  <si>
    <t>15280382047</t>
  </si>
  <si>
    <t>57560365</t>
  </si>
  <si>
    <t>15280382486</t>
  </si>
  <si>
    <t>15280382576</t>
  </si>
  <si>
    <t>15280394128</t>
  </si>
  <si>
    <t>57546141</t>
  </si>
  <si>
    <t>15280394876</t>
  </si>
  <si>
    <t>57544621</t>
  </si>
  <si>
    <t>15280395613</t>
  </si>
  <si>
    <t>57543707</t>
  </si>
  <si>
    <t>15280396988</t>
  </si>
  <si>
    <t>57544285</t>
  </si>
  <si>
    <t>15280397067</t>
  </si>
  <si>
    <t>57544350</t>
  </si>
  <si>
    <t>15280397074</t>
  </si>
  <si>
    <t>57544086</t>
  </si>
  <si>
    <t>15280397965</t>
  </si>
  <si>
    <t>57544012</t>
  </si>
  <si>
    <t>15280398004</t>
  </si>
  <si>
    <t>57544013</t>
  </si>
  <si>
    <t>15280398878</t>
  </si>
  <si>
    <t>15280398951</t>
  </si>
  <si>
    <t>15280400319</t>
  </si>
  <si>
    <t>57543712</t>
  </si>
  <si>
    <t>15280402616</t>
  </si>
  <si>
    <t>57544463</t>
  </si>
  <si>
    <t>15280402880</t>
  </si>
  <si>
    <t>57544625</t>
  </si>
  <si>
    <t>15280403579</t>
  </si>
  <si>
    <t>57544766</t>
  </si>
  <si>
    <t>15280403791</t>
  </si>
  <si>
    <t>57551091</t>
  </si>
  <si>
    <t>15280405073</t>
  </si>
  <si>
    <t>57543711</t>
  </si>
  <si>
    <t>15280405090</t>
  </si>
  <si>
    <t>57551082</t>
  </si>
  <si>
    <t>15280405722</t>
  </si>
  <si>
    <t>15280405774</t>
  </si>
  <si>
    <t>57542174</t>
  </si>
  <si>
    <t>15280406615</t>
  </si>
  <si>
    <t>57548452</t>
  </si>
  <si>
    <t>15280407129</t>
  </si>
  <si>
    <t>57544629</t>
  </si>
  <si>
    <t>15280408379</t>
  </si>
  <si>
    <t>57544626</t>
  </si>
  <si>
    <t>15280408779</t>
  </si>
  <si>
    <t>57555920</t>
  </si>
  <si>
    <t>15280408845</t>
  </si>
  <si>
    <t>57555928</t>
  </si>
  <si>
    <t>15280409443</t>
  </si>
  <si>
    <t>57556067</t>
  </si>
  <si>
    <t>15280409608</t>
  </si>
  <si>
    <t>57555927</t>
  </si>
  <si>
    <t>15280409829</t>
  </si>
  <si>
    <t>57554932</t>
  </si>
  <si>
    <t>15280410096</t>
  </si>
  <si>
    <t>57585054</t>
  </si>
  <si>
    <t>15280410104</t>
  </si>
  <si>
    <t>57585142</t>
  </si>
  <si>
    <t>15280411072</t>
  </si>
  <si>
    <t>57555930</t>
  </si>
  <si>
    <t>15280411494</t>
  </si>
  <si>
    <t>57585145</t>
  </si>
  <si>
    <t>15280411874</t>
  </si>
  <si>
    <t>57555999</t>
  </si>
  <si>
    <t>15280411880</t>
  </si>
  <si>
    <t>57544765</t>
  </si>
  <si>
    <t>15280411981</t>
  </si>
  <si>
    <t>57555918</t>
  </si>
  <si>
    <t>15280412125</t>
  </si>
  <si>
    <t>57555990</t>
  </si>
  <si>
    <t>15280412162</t>
  </si>
  <si>
    <t>57555997</t>
  </si>
  <si>
    <t>15280412346</t>
  </si>
  <si>
    <t>57550676</t>
  </si>
  <si>
    <t>15280412388</t>
  </si>
  <si>
    <t>57555991</t>
  </si>
  <si>
    <t>15280412995</t>
  </si>
  <si>
    <t>57556065</t>
  </si>
  <si>
    <t>15280414312</t>
  </si>
  <si>
    <t>57555916</t>
  </si>
  <si>
    <t>15280414360</t>
  </si>
  <si>
    <t>57548807</t>
  </si>
  <si>
    <t>15280414380</t>
  </si>
  <si>
    <t>57555924</t>
  </si>
  <si>
    <t>15280414386</t>
  </si>
  <si>
    <t>57556144</t>
  </si>
  <si>
    <t>15280414629</t>
  </si>
  <si>
    <t>57556063</t>
  </si>
  <si>
    <t>15280415241</t>
  </si>
  <si>
    <t>61704854</t>
  </si>
  <si>
    <t>15280415481</t>
  </si>
  <si>
    <t>15280416173</t>
  </si>
  <si>
    <t>15280416175</t>
  </si>
  <si>
    <t>15280416329</t>
  </si>
  <si>
    <t>15280416509</t>
  </si>
  <si>
    <t>15280417397</t>
  </si>
  <si>
    <t>61706347</t>
  </si>
  <si>
    <t>15280417941</t>
  </si>
  <si>
    <t>15280418152</t>
  </si>
  <si>
    <t>15280418216</t>
  </si>
  <si>
    <t>15280421255</t>
  </si>
  <si>
    <t>15280425619</t>
  </si>
  <si>
    <t>15280426775</t>
  </si>
  <si>
    <t>15280427129</t>
  </si>
  <si>
    <t>15280435583</t>
  </si>
  <si>
    <t>15280437728</t>
  </si>
  <si>
    <t>15280448713</t>
  </si>
  <si>
    <t>57560422</t>
  </si>
  <si>
    <t>15280448746</t>
  </si>
  <si>
    <t>57560405</t>
  </si>
  <si>
    <t>15280449922</t>
  </si>
  <si>
    <t>57559783</t>
  </si>
  <si>
    <t>15280449987</t>
  </si>
  <si>
    <t>57559301</t>
  </si>
  <si>
    <t>15280450120</t>
  </si>
  <si>
    <t>57559451</t>
  </si>
  <si>
    <t>15280450445</t>
  </si>
  <si>
    <t>57559501</t>
  </si>
  <si>
    <t>15280450926</t>
  </si>
  <si>
    <t>57584709</t>
  </si>
  <si>
    <t>15280451823</t>
  </si>
  <si>
    <t>57584722</t>
  </si>
  <si>
    <t>15280451983</t>
  </si>
  <si>
    <t>57585134</t>
  </si>
  <si>
    <t>15280455544</t>
  </si>
  <si>
    <t>57558117</t>
  </si>
  <si>
    <t>15280455578</t>
  </si>
  <si>
    <t>57558571</t>
  </si>
  <si>
    <t>15280456134</t>
  </si>
  <si>
    <t>57557474</t>
  </si>
  <si>
    <t>15280457561</t>
  </si>
  <si>
    <t>57558268</t>
  </si>
  <si>
    <t>15280457743</t>
  </si>
  <si>
    <t>57557382</t>
  </si>
  <si>
    <t>15280458837</t>
  </si>
  <si>
    <t>57567641</t>
  </si>
  <si>
    <t>15280459623</t>
  </si>
  <si>
    <t>57585232</t>
  </si>
  <si>
    <t>15280460102</t>
  </si>
  <si>
    <t>57567397</t>
  </si>
  <si>
    <t>15280461478</t>
  </si>
  <si>
    <t>57568204</t>
  </si>
  <si>
    <t>15280461486</t>
  </si>
  <si>
    <t>57560221</t>
  </si>
  <si>
    <t>15280461730</t>
  </si>
  <si>
    <t>57569180</t>
  </si>
  <si>
    <t>15280461977</t>
  </si>
  <si>
    <t>57569212</t>
  </si>
  <si>
    <t>15280463844</t>
  </si>
  <si>
    <t>57699754</t>
  </si>
  <si>
    <t>15280465099</t>
  </si>
  <si>
    <t>57577151</t>
  </si>
  <si>
    <t>15280465170</t>
  </si>
  <si>
    <t>15280465674</t>
  </si>
  <si>
    <t>57578878</t>
  </si>
  <si>
    <t>15280465892</t>
  </si>
  <si>
    <t>57570096</t>
  </si>
  <si>
    <t>15280466172</t>
  </si>
  <si>
    <t>57578591</t>
  </si>
  <si>
    <t>15280466504</t>
  </si>
  <si>
    <t>57577559</t>
  </si>
  <si>
    <t>15280466623</t>
  </si>
  <si>
    <t>57579425</t>
  </si>
  <si>
    <t>15280466694</t>
  </si>
  <si>
    <t>57577649</t>
  </si>
  <si>
    <t>15280466888</t>
  </si>
  <si>
    <t>57577828</t>
  </si>
  <si>
    <t>15280467367</t>
  </si>
  <si>
    <t>15280467716</t>
  </si>
  <si>
    <t>57570381</t>
  </si>
  <si>
    <t>15280468019</t>
  </si>
  <si>
    <t>57588953</t>
  </si>
  <si>
    <t>15280470728</t>
  </si>
  <si>
    <t>57577818</t>
  </si>
  <si>
    <t>15280470736</t>
  </si>
  <si>
    <t>57568914</t>
  </si>
  <si>
    <t>15280472421</t>
  </si>
  <si>
    <t>15280472465</t>
  </si>
  <si>
    <t>15280474170</t>
  </si>
  <si>
    <t>15280480709</t>
  </si>
  <si>
    <t>15280486954</t>
  </si>
  <si>
    <t>15280487872</t>
  </si>
  <si>
    <t>61699192</t>
  </si>
  <si>
    <t>15280489582</t>
  </si>
  <si>
    <t>57568742</t>
  </si>
  <si>
    <t>15280497329</t>
  </si>
  <si>
    <t>57577658</t>
  </si>
  <si>
    <t>15280502001</t>
  </si>
  <si>
    <t>15280502272</t>
  </si>
  <si>
    <t>15280503615</t>
  </si>
  <si>
    <t>15280504551</t>
  </si>
  <si>
    <t>15280504660</t>
  </si>
  <si>
    <t>15280505300</t>
  </si>
  <si>
    <t>61684973</t>
  </si>
  <si>
    <t>15280505302</t>
  </si>
  <si>
    <t>61724086</t>
  </si>
  <si>
    <t>15280506094</t>
  </si>
  <si>
    <t>61678356</t>
  </si>
  <si>
    <t>15280506215</t>
  </si>
  <si>
    <t>15280506671</t>
  </si>
  <si>
    <t>15280506772</t>
  </si>
  <si>
    <t>15280506858</t>
  </si>
  <si>
    <t>15280509217</t>
  </si>
  <si>
    <t>57571131</t>
  </si>
  <si>
    <t>15280509584</t>
  </si>
  <si>
    <t>57578876</t>
  </si>
  <si>
    <t>15280509747</t>
  </si>
  <si>
    <t>57578875</t>
  </si>
  <si>
    <t>15280510117</t>
  </si>
  <si>
    <t>57578589</t>
  </si>
  <si>
    <t>15280510502</t>
  </si>
  <si>
    <t>15280512214</t>
  </si>
  <si>
    <t>61689764</t>
  </si>
  <si>
    <t>15280512232</t>
  </si>
  <si>
    <t>15280512326</t>
  </si>
  <si>
    <t>15280512959</t>
  </si>
  <si>
    <t>15280512960</t>
  </si>
  <si>
    <t>61720336</t>
  </si>
  <si>
    <t>15280513254</t>
  </si>
  <si>
    <t>15280513319</t>
  </si>
  <si>
    <t>15280513768</t>
  </si>
  <si>
    <t>15280514114</t>
  </si>
  <si>
    <t>15280514189</t>
  </si>
  <si>
    <t>15280514243</t>
  </si>
  <si>
    <t>15280514349</t>
  </si>
  <si>
    <t>15280514842</t>
  </si>
  <si>
    <t>15280516782</t>
  </si>
  <si>
    <t>15280516934</t>
  </si>
  <si>
    <t>15280518801</t>
  </si>
  <si>
    <t>15280520563</t>
  </si>
  <si>
    <t>15280523751</t>
  </si>
  <si>
    <t>57588177</t>
  </si>
  <si>
    <t>15280525126</t>
  </si>
  <si>
    <t>15280534407</t>
  </si>
  <si>
    <t>15280534421</t>
  </si>
  <si>
    <t>15280534430</t>
  </si>
  <si>
    <t>15280534610</t>
  </si>
  <si>
    <t>15280534737</t>
  </si>
  <si>
    <t>15280535677</t>
  </si>
  <si>
    <t>15280536291</t>
  </si>
  <si>
    <t>15280536851</t>
  </si>
  <si>
    <t>15280537917</t>
  </si>
  <si>
    <t>57578874</t>
  </si>
  <si>
    <t>15280537921</t>
  </si>
  <si>
    <t>57580786</t>
  </si>
  <si>
    <t>15280538134</t>
  </si>
  <si>
    <t>57578880</t>
  </si>
  <si>
    <t>15280539573</t>
  </si>
  <si>
    <t>15280539851</t>
  </si>
  <si>
    <t>57579316</t>
  </si>
  <si>
    <t>15280540211</t>
  </si>
  <si>
    <t>57586768</t>
  </si>
  <si>
    <t>15280546117</t>
  </si>
  <si>
    <t>57593474</t>
  </si>
  <si>
    <t>15280546146</t>
  </si>
  <si>
    <t>15280546327</t>
  </si>
  <si>
    <t>57593594</t>
  </si>
  <si>
    <t>15280546900</t>
  </si>
  <si>
    <t>57593577</t>
  </si>
  <si>
    <t>15280547368</t>
  </si>
  <si>
    <t>62486114</t>
  </si>
  <si>
    <t>15280548119</t>
  </si>
  <si>
    <t>57593471</t>
  </si>
  <si>
    <t>15280548384</t>
  </si>
  <si>
    <t>57595875</t>
  </si>
  <si>
    <t>15280550507</t>
  </si>
  <si>
    <t>57597043</t>
  </si>
  <si>
    <t>15280550961</t>
  </si>
  <si>
    <t>57602094</t>
  </si>
  <si>
    <t>15280551561</t>
  </si>
  <si>
    <t>15280551680</t>
  </si>
  <si>
    <t>57588042</t>
  </si>
  <si>
    <t>15280553147</t>
  </si>
  <si>
    <t>57603165</t>
  </si>
  <si>
    <t>15280553804</t>
  </si>
  <si>
    <t>57579446</t>
  </si>
  <si>
    <t>15280553860</t>
  </si>
  <si>
    <t>57579487</t>
  </si>
  <si>
    <t>15280553906</t>
  </si>
  <si>
    <t>57579442</t>
  </si>
  <si>
    <t>15280553938</t>
  </si>
  <si>
    <t>57603644</t>
  </si>
  <si>
    <t>15280553999</t>
  </si>
  <si>
    <t>57579413</t>
  </si>
  <si>
    <t>15280554619</t>
  </si>
  <si>
    <t>57603172</t>
  </si>
  <si>
    <t>15280554651</t>
  </si>
  <si>
    <t>57699997</t>
  </si>
  <si>
    <t>15280554700</t>
  </si>
  <si>
    <t>57603157</t>
  </si>
  <si>
    <t>15280555068</t>
  </si>
  <si>
    <t>57604009</t>
  </si>
  <si>
    <t>15280555551</t>
  </si>
  <si>
    <t>15280556622</t>
  </si>
  <si>
    <t>57603170</t>
  </si>
  <si>
    <t>15280558600</t>
  </si>
  <si>
    <t>57588543</t>
  </si>
  <si>
    <t>15280559310</t>
  </si>
  <si>
    <t>61723397</t>
  </si>
  <si>
    <t>15280559618</t>
  </si>
  <si>
    <t>15280560072</t>
  </si>
  <si>
    <t>15280560207</t>
  </si>
  <si>
    <t>15280560401</t>
  </si>
  <si>
    <t>15280560468</t>
  </si>
  <si>
    <t>15280561025</t>
  </si>
  <si>
    <t>15280561136</t>
  </si>
  <si>
    <t>15280562115</t>
  </si>
  <si>
    <t>15280563737</t>
  </si>
  <si>
    <t>15280564156</t>
  </si>
  <si>
    <t>15280564273</t>
  </si>
  <si>
    <t>15280564438</t>
  </si>
  <si>
    <t>15280564958</t>
  </si>
  <si>
    <t>15280565254</t>
  </si>
  <si>
    <t>15280566422</t>
  </si>
  <si>
    <t>15280568241</t>
  </si>
  <si>
    <t>15280568445</t>
  </si>
  <si>
    <t>15280568947</t>
  </si>
  <si>
    <t>15280572932</t>
  </si>
  <si>
    <t>15280577995</t>
  </si>
  <si>
    <t>15280583289</t>
  </si>
  <si>
    <t>57605273</t>
  </si>
  <si>
    <t>15280585046</t>
  </si>
  <si>
    <t>57605267</t>
  </si>
  <si>
    <t>15280585144</t>
  </si>
  <si>
    <t>57605404</t>
  </si>
  <si>
    <t>15280585218</t>
  </si>
  <si>
    <t>57605089</t>
  </si>
  <si>
    <t>15280587653</t>
  </si>
  <si>
    <t>57605418</t>
  </si>
  <si>
    <t>15280587754</t>
  </si>
  <si>
    <t>57605430</t>
  </si>
  <si>
    <t>15280588316</t>
  </si>
  <si>
    <t>57588107</t>
  </si>
  <si>
    <t>15280588317</t>
  </si>
  <si>
    <t>57587880</t>
  </si>
  <si>
    <t>15280591405</t>
  </si>
  <si>
    <t>57605084</t>
  </si>
  <si>
    <t>15280592172</t>
  </si>
  <si>
    <t>57605085</t>
  </si>
  <si>
    <t>15280594703</t>
  </si>
  <si>
    <t>57595876</t>
  </si>
  <si>
    <t>15280596406</t>
  </si>
  <si>
    <t>57587116</t>
  </si>
  <si>
    <t>15280596787</t>
  </si>
  <si>
    <t>57605401</t>
  </si>
  <si>
    <t>15280597034</t>
  </si>
  <si>
    <t>57605407</t>
  </si>
  <si>
    <t>15280597555</t>
  </si>
  <si>
    <t>57606202</t>
  </si>
  <si>
    <t>15280597869</t>
  </si>
  <si>
    <t>15280598655</t>
  </si>
  <si>
    <t>57605414</t>
  </si>
  <si>
    <t>15280600928</t>
  </si>
  <si>
    <t>57605398</t>
  </si>
  <si>
    <t>15280601493</t>
  </si>
  <si>
    <t>57606326</t>
  </si>
  <si>
    <t>15280601734</t>
  </si>
  <si>
    <t>57606065</t>
  </si>
  <si>
    <t>15280602161</t>
  </si>
  <si>
    <t>57588286</t>
  </si>
  <si>
    <t>15280602164</t>
  </si>
  <si>
    <t>57588131</t>
  </si>
  <si>
    <t>15280602280</t>
  </si>
  <si>
    <t>57588133</t>
  </si>
  <si>
    <t>15280602682</t>
  </si>
  <si>
    <t>57606075</t>
  </si>
  <si>
    <t>15280602883</t>
  </si>
  <si>
    <t>57615166</t>
  </si>
  <si>
    <t>15280604212</t>
  </si>
  <si>
    <t>57615153</t>
  </si>
  <si>
    <t>15280604308</t>
  </si>
  <si>
    <t>57606806</t>
  </si>
  <si>
    <t>15280604376</t>
  </si>
  <si>
    <t>57606804</t>
  </si>
  <si>
    <t>15280604477</t>
  </si>
  <si>
    <t>57615451</t>
  </si>
  <si>
    <t>15280605186</t>
  </si>
  <si>
    <t>15280613167</t>
  </si>
  <si>
    <t>15280613444</t>
  </si>
  <si>
    <t>15280613681</t>
  </si>
  <si>
    <t>15280616088</t>
  </si>
  <si>
    <t>15280616819</t>
  </si>
  <si>
    <t>15280617135</t>
  </si>
  <si>
    <t>15280617325</t>
  </si>
  <si>
    <t>15280620814</t>
  </si>
  <si>
    <t>61729979</t>
  </si>
  <si>
    <t>15280624490</t>
  </si>
  <si>
    <t>57595436</t>
  </si>
  <si>
    <t>15280625235</t>
  </si>
  <si>
    <t>57594653</t>
  </si>
  <si>
    <t>15280625349</t>
  </si>
  <si>
    <t>57594655</t>
  </si>
  <si>
    <t>15280625814</t>
  </si>
  <si>
    <t>57594539</t>
  </si>
  <si>
    <t>15280627537</t>
  </si>
  <si>
    <t>57595645</t>
  </si>
  <si>
    <t>15280627603</t>
  </si>
  <si>
    <t>57595878</t>
  </si>
  <si>
    <t>15280628322</t>
  </si>
  <si>
    <t>57596038</t>
  </si>
  <si>
    <t>15280628694</t>
  </si>
  <si>
    <t>57596051</t>
  </si>
  <si>
    <t>15280629290</t>
  </si>
  <si>
    <t>57594729</t>
  </si>
  <si>
    <t>15280629291</t>
  </si>
  <si>
    <t>57594651</t>
  </si>
  <si>
    <t>15280630430</t>
  </si>
  <si>
    <t>57597463</t>
  </si>
  <si>
    <t>15280631193</t>
  </si>
  <si>
    <t>57614613</t>
  </si>
  <si>
    <t>15280631241</t>
  </si>
  <si>
    <t>61729108</t>
  </si>
  <si>
    <t>57594373</t>
  </si>
  <si>
    <t>15280634410</t>
  </si>
  <si>
    <t>57637722</t>
  </si>
  <si>
    <t>15280634625</t>
  </si>
  <si>
    <t>57595756</t>
  </si>
  <si>
    <t>15280635277</t>
  </si>
  <si>
    <t>57601893</t>
  </si>
  <si>
    <t>15280635278</t>
  </si>
  <si>
    <t>57601844</t>
  </si>
  <si>
    <t>15280635394</t>
  </si>
  <si>
    <t>57601845</t>
  </si>
  <si>
    <t>15280635454</t>
  </si>
  <si>
    <t>57601848</t>
  </si>
  <si>
    <t>15280635547</t>
  </si>
  <si>
    <t>57601891</t>
  </si>
  <si>
    <t>15280636302</t>
  </si>
  <si>
    <t>57629013</t>
  </si>
  <si>
    <t>15280636343</t>
  </si>
  <si>
    <t>57612714</t>
  </si>
  <si>
    <t>15280638797</t>
  </si>
  <si>
    <t>57602116</t>
  </si>
  <si>
    <t>15280638949</t>
  </si>
  <si>
    <t>57602097</t>
  </si>
  <si>
    <t>15280640638</t>
  </si>
  <si>
    <t>57604762</t>
  </si>
  <si>
    <t>15280642424</t>
  </si>
  <si>
    <t>57603160</t>
  </si>
  <si>
    <t>15280643116</t>
  </si>
  <si>
    <t>15280643229</t>
  </si>
  <si>
    <t>15280643260</t>
  </si>
  <si>
    <t>57616383</t>
  </si>
  <si>
    <t>15280643345</t>
  </si>
  <si>
    <t>57605412</t>
  </si>
  <si>
    <t>15280643529</t>
  </si>
  <si>
    <t>15280643694</t>
  </si>
  <si>
    <t>15280643700</t>
  </si>
  <si>
    <t>15280643738</t>
  </si>
  <si>
    <t>15280643889</t>
  </si>
  <si>
    <t>15280643946</t>
  </si>
  <si>
    <t>15280643947</t>
  </si>
  <si>
    <t>57614612</t>
  </si>
  <si>
    <t>15280644273</t>
  </si>
  <si>
    <t>15280644362</t>
  </si>
  <si>
    <t>61721530</t>
  </si>
  <si>
    <t>15280646304</t>
  </si>
  <si>
    <t>15280646528</t>
  </si>
  <si>
    <t>15280646865</t>
  </si>
  <si>
    <t>15280646930</t>
  </si>
  <si>
    <t>15280647221</t>
  </si>
  <si>
    <t>15280647345</t>
  </si>
  <si>
    <t>15280647348</t>
  </si>
  <si>
    <t>15280647524</t>
  </si>
  <si>
    <t>15280647834</t>
  </si>
  <si>
    <t>57616225</t>
  </si>
  <si>
    <t>15280648277</t>
  </si>
  <si>
    <t>15280648386</t>
  </si>
  <si>
    <t>15280648835</t>
  </si>
  <si>
    <t>61711232</t>
  </si>
  <si>
    <t>15280649643</t>
  </si>
  <si>
    <t>61717108</t>
  </si>
  <si>
    <t>15280649684</t>
  </si>
  <si>
    <t>15280649722</t>
  </si>
  <si>
    <t>15280649730</t>
  </si>
  <si>
    <t>15280649759</t>
  </si>
  <si>
    <t>15280649801</t>
  </si>
  <si>
    <t>15280649806</t>
  </si>
  <si>
    <t>15280649834</t>
  </si>
  <si>
    <t>15280649911</t>
  </si>
  <si>
    <t>15280649932</t>
  </si>
  <si>
    <t>15280649970</t>
  </si>
  <si>
    <t>15280650584</t>
  </si>
  <si>
    <t>15280652799</t>
  </si>
  <si>
    <t>15280673074</t>
  </si>
  <si>
    <t>57604015</t>
  </si>
  <si>
    <t>15280677102</t>
  </si>
  <si>
    <t>57616232</t>
  </si>
  <si>
    <t>15280680364</t>
  </si>
  <si>
    <t>15280680524</t>
  </si>
  <si>
    <t>57616235</t>
  </si>
  <si>
    <t>15280683423</t>
  </si>
  <si>
    <t>57605426</t>
  </si>
  <si>
    <t>15280683424</t>
  </si>
  <si>
    <t>57605424</t>
  </si>
  <si>
    <t>15280683425</t>
  </si>
  <si>
    <t>57605413</t>
  </si>
  <si>
    <t>15280684916</t>
  </si>
  <si>
    <t>57617356</t>
  </si>
  <si>
    <t>15280688106</t>
  </si>
  <si>
    <t>57616452</t>
  </si>
  <si>
    <t>15280688606</t>
  </si>
  <si>
    <t>57618221</t>
  </si>
  <si>
    <t>15280690091</t>
  </si>
  <si>
    <t>57616375</t>
  </si>
  <si>
    <t>15280692525</t>
  </si>
  <si>
    <t>15280692947</t>
  </si>
  <si>
    <t>15280694015</t>
  </si>
  <si>
    <t>15280694016</t>
  </si>
  <si>
    <t>15280694444</t>
  </si>
  <si>
    <t>15280694868</t>
  </si>
  <si>
    <t>61681999</t>
  </si>
  <si>
    <t>15280695058</t>
  </si>
  <si>
    <t>57701644</t>
  </si>
  <si>
    <t>15280695358</t>
  </si>
  <si>
    <t>15280695687</t>
  </si>
  <si>
    <t>15280695931</t>
  </si>
  <si>
    <t>15280696109</t>
  </si>
  <si>
    <t>15280696265</t>
  </si>
  <si>
    <t>15280696590</t>
  </si>
  <si>
    <t>15280697224</t>
  </si>
  <si>
    <t>15280697504</t>
  </si>
  <si>
    <t>15280697613</t>
  </si>
  <si>
    <t>57700224</t>
  </si>
  <si>
    <t>15280697632</t>
  </si>
  <si>
    <t>15280698116</t>
  </si>
  <si>
    <t>15280698213</t>
  </si>
  <si>
    <t>15280700404</t>
  </si>
  <si>
    <t>15280700802</t>
  </si>
  <si>
    <t>15280700920</t>
  </si>
  <si>
    <t>15280701480</t>
  </si>
  <si>
    <t>15280703491</t>
  </si>
  <si>
    <t>15280705462</t>
  </si>
  <si>
    <t>15280705865</t>
  </si>
  <si>
    <t>15280711431</t>
  </si>
  <si>
    <t>15280719374</t>
  </si>
  <si>
    <t>57614440</t>
  </si>
  <si>
    <t>15280719842</t>
  </si>
  <si>
    <t>57620171</t>
  </si>
  <si>
    <t>15280721150</t>
  </si>
  <si>
    <t>57625578</t>
  </si>
  <si>
    <t>15280721915</t>
  </si>
  <si>
    <t>57625577</t>
  </si>
  <si>
    <t>15280728018</t>
  </si>
  <si>
    <t>57618812</t>
  </si>
  <si>
    <t>15280728032</t>
  </si>
  <si>
    <t>57619349</t>
  </si>
  <si>
    <t>15280730315</t>
  </si>
  <si>
    <t>57647097</t>
  </si>
  <si>
    <t>15280730683</t>
  </si>
  <si>
    <t>57647100</t>
  </si>
  <si>
    <t>15280731104</t>
  </si>
  <si>
    <t>57647205</t>
  </si>
  <si>
    <t>15280735931</t>
  </si>
  <si>
    <t>57649625</t>
  </si>
  <si>
    <t>15280736477</t>
  </si>
  <si>
    <t>57649627</t>
  </si>
  <si>
    <t>15280737018</t>
  </si>
  <si>
    <t>57649891</t>
  </si>
  <si>
    <t>15280737587</t>
  </si>
  <si>
    <t>57637104</t>
  </si>
  <si>
    <t>15280740823</t>
  </si>
  <si>
    <t>57650618</t>
  </si>
  <si>
    <t>15280740905</t>
  </si>
  <si>
    <t>57650769</t>
  </si>
  <si>
    <t>15280741022</t>
  </si>
  <si>
    <t>57629702</t>
  </si>
  <si>
    <t>15280743760</t>
  </si>
  <si>
    <t>57650766</t>
  </si>
  <si>
    <t>15280755234</t>
  </si>
  <si>
    <t>15280759044</t>
  </si>
  <si>
    <t>61685093</t>
  </si>
  <si>
    <t>15280759194</t>
  </si>
  <si>
    <t>15280760524</t>
  </si>
  <si>
    <t>15280762480</t>
  </si>
  <si>
    <t>57638310</t>
  </si>
  <si>
    <t>15280769136</t>
  </si>
  <si>
    <t>15280769178</t>
  </si>
  <si>
    <t>15280769388</t>
  </si>
  <si>
    <t>15280769896</t>
  </si>
  <si>
    <t>15280771570</t>
  </si>
  <si>
    <t>15280771945</t>
  </si>
  <si>
    <t>15280772003</t>
  </si>
  <si>
    <t>15280772617</t>
  </si>
  <si>
    <t>15280772649</t>
  </si>
  <si>
    <t>15280773280</t>
  </si>
  <si>
    <t>15280773554</t>
  </si>
  <si>
    <t>15280773757</t>
  </si>
  <si>
    <t>15280775638</t>
  </si>
  <si>
    <t>15280776833</t>
  </si>
  <si>
    <t>57700254</t>
  </si>
  <si>
    <t>15280778536</t>
  </si>
  <si>
    <t>57653989</t>
  </si>
  <si>
    <t>15280779661</t>
  </si>
  <si>
    <t>57654974</t>
  </si>
  <si>
    <t>15280780634</t>
  </si>
  <si>
    <t>57637908</t>
  </si>
  <si>
    <t>15280780722</t>
  </si>
  <si>
    <t>57655034</t>
  </si>
  <si>
    <t>15280781566</t>
  </si>
  <si>
    <t>57655074</t>
  </si>
  <si>
    <t>15280782526</t>
  </si>
  <si>
    <t>57663104</t>
  </si>
  <si>
    <t>15280784670</t>
  </si>
  <si>
    <t>57663007</t>
  </si>
  <si>
    <t>15280785414</t>
  </si>
  <si>
    <t>57661258</t>
  </si>
  <si>
    <t>15280785672</t>
  </si>
  <si>
    <t>57662069</t>
  </si>
  <si>
    <t>15280785718</t>
  </si>
  <si>
    <t>57663009</t>
  </si>
  <si>
    <t>15280787037</t>
  </si>
  <si>
    <t>57663485</t>
  </si>
  <si>
    <t>15280787142</t>
  </si>
  <si>
    <t>57664049</t>
  </si>
  <si>
    <t>15280787196</t>
  </si>
  <si>
    <t>57663237</t>
  </si>
  <si>
    <t>15280787507</t>
  </si>
  <si>
    <t>57664053</t>
  </si>
  <si>
    <t>15280787667</t>
  </si>
  <si>
    <t>57664345</t>
  </si>
  <si>
    <t>15280787698</t>
  </si>
  <si>
    <t>57663234</t>
  </si>
  <si>
    <t>15280787796</t>
  </si>
  <si>
    <t>57663232</t>
  </si>
  <si>
    <t>15280788945</t>
  </si>
  <si>
    <t>57664048</t>
  </si>
  <si>
    <t>15280790052</t>
  </si>
  <si>
    <t>57664750</t>
  </si>
  <si>
    <t>15280790971</t>
  </si>
  <si>
    <t>57664751</t>
  </si>
  <si>
    <t>15280791179</t>
  </si>
  <si>
    <t>57664541</t>
  </si>
  <si>
    <t>15280798881</t>
  </si>
  <si>
    <t>57664754</t>
  </si>
  <si>
    <t>15280799488</t>
  </si>
  <si>
    <t>57664752</t>
  </si>
  <si>
    <t>15280801585</t>
  </si>
  <si>
    <t>57664753</t>
  </si>
  <si>
    <t>15280803789</t>
  </si>
  <si>
    <t>57674138</t>
  </si>
  <si>
    <t>15280804348</t>
  </si>
  <si>
    <t>57674292</t>
  </si>
  <si>
    <t>15280805731</t>
  </si>
  <si>
    <t>57648355</t>
  </si>
  <si>
    <t>15280806108</t>
  </si>
  <si>
    <t>57648793</t>
  </si>
  <si>
    <t>15280806270</t>
  </si>
  <si>
    <t>57674294</t>
  </si>
  <si>
    <t>15280806891</t>
  </si>
  <si>
    <t>57648357</t>
  </si>
  <si>
    <t>15280807002</t>
  </si>
  <si>
    <t>57648796</t>
  </si>
  <si>
    <t>15280808152</t>
  </si>
  <si>
    <t>57648899</t>
  </si>
  <si>
    <t>15280808153</t>
  </si>
  <si>
    <t>57648898</t>
  </si>
  <si>
    <t>15280808876</t>
  </si>
  <si>
    <t>57674333</t>
  </si>
  <si>
    <t>15280809876</t>
  </si>
  <si>
    <t>15280810640</t>
  </si>
  <si>
    <t>15280811538</t>
  </si>
  <si>
    <t>15280811620</t>
  </si>
  <si>
    <t>15280811713</t>
  </si>
  <si>
    <t>15280811785</t>
  </si>
  <si>
    <t>15280811983</t>
  </si>
  <si>
    <t>15280812108</t>
  </si>
  <si>
    <t>15280812506</t>
  </si>
  <si>
    <t>57674702</t>
  </si>
  <si>
    <t>15280812970</t>
  </si>
  <si>
    <t>15280813090</t>
  </si>
  <si>
    <t>15280813418</t>
  </si>
  <si>
    <t>15280813737</t>
  </si>
  <si>
    <t>15280814255</t>
  </si>
  <si>
    <t>15280814412</t>
  </si>
  <si>
    <t>15280814572</t>
  </si>
  <si>
    <t>15280814838</t>
  </si>
  <si>
    <t>15280814940</t>
  </si>
  <si>
    <t>15280815089</t>
  </si>
  <si>
    <t>15280815140</t>
  </si>
  <si>
    <t>15280816052</t>
  </si>
  <si>
    <t>15280816566</t>
  </si>
  <si>
    <t>15280817267</t>
  </si>
  <si>
    <t>15280818299</t>
  </si>
  <si>
    <t>15280818666</t>
  </si>
  <si>
    <t>15280818869</t>
  </si>
  <si>
    <t>15280819927</t>
  </si>
  <si>
    <t>15280820023</t>
  </si>
  <si>
    <t>61727783</t>
  </si>
  <si>
    <t>15280820680</t>
  </si>
  <si>
    <t>61735484</t>
  </si>
  <si>
    <t>15280821521</t>
  </si>
  <si>
    <t>15280821664</t>
  </si>
  <si>
    <t>15280821712</t>
  </si>
  <si>
    <t>15280822618</t>
  </si>
  <si>
    <t>15280824310</t>
  </si>
  <si>
    <t>15280824906</t>
  </si>
  <si>
    <t>15280825052</t>
  </si>
  <si>
    <t>15280825754</t>
  </si>
  <si>
    <t>15280825757</t>
  </si>
  <si>
    <t>15280825792</t>
  </si>
  <si>
    <t>15280827296</t>
  </si>
  <si>
    <t>15280827683</t>
  </si>
  <si>
    <t>15280827945</t>
  </si>
  <si>
    <t>15280828825</t>
  </si>
  <si>
    <t>57675779</t>
  </si>
  <si>
    <t>15280828997</t>
  </si>
  <si>
    <t>57651490</t>
  </si>
  <si>
    <t>15280829160</t>
  </si>
  <si>
    <t>57651504</t>
  </si>
  <si>
    <t>15280829180</t>
  </si>
  <si>
    <t>57651488</t>
  </si>
  <si>
    <t>15280829220</t>
  </si>
  <si>
    <t>57675785</t>
  </si>
  <si>
    <t>15280829317</t>
  </si>
  <si>
    <t>57676165</t>
  </si>
  <si>
    <t>15280829332</t>
  </si>
  <si>
    <t>57651505</t>
  </si>
  <si>
    <t>15280829352</t>
  </si>
  <si>
    <t>57651503</t>
  </si>
  <si>
    <t>15280829519</t>
  </si>
  <si>
    <t>57650467</t>
  </si>
  <si>
    <t>15280829803</t>
  </si>
  <si>
    <t>15280830186</t>
  </si>
  <si>
    <t>57651026</t>
  </si>
  <si>
    <t>15280830635</t>
  </si>
  <si>
    <t>57651028</t>
  </si>
  <si>
    <t>15280830739</t>
  </si>
  <si>
    <t>57651029</t>
  </si>
  <si>
    <t>15280831431</t>
  </si>
  <si>
    <t>57676169</t>
  </si>
  <si>
    <t>15280831471</t>
  </si>
  <si>
    <t>57675780</t>
  </si>
  <si>
    <t>15280832209</t>
  </si>
  <si>
    <t>15280833502</t>
  </si>
  <si>
    <t>15280833919</t>
  </si>
  <si>
    <t>15280834141</t>
  </si>
  <si>
    <t>15280834462</t>
  </si>
  <si>
    <t>15280834463</t>
  </si>
  <si>
    <t>15280834877</t>
  </si>
  <si>
    <t>15280835386</t>
  </si>
  <si>
    <t>15280836341</t>
  </si>
  <si>
    <t>15280837337</t>
  </si>
  <si>
    <t>15280853490</t>
  </si>
  <si>
    <t>57700482</t>
  </si>
  <si>
    <t>15280854502</t>
  </si>
  <si>
    <t>15280854659</t>
  </si>
  <si>
    <t>15280854765</t>
  </si>
  <si>
    <t>15280855512</t>
  </si>
  <si>
    <t>15280855958</t>
  </si>
  <si>
    <t>15280861936</t>
  </si>
  <si>
    <t>57649152</t>
  </si>
  <si>
    <t>15280861986</t>
  </si>
  <si>
    <t>57649193</t>
  </si>
  <si>
    <t>15280861990</t>
  </si>
  <si>
    <t>57649144</t>
  </si>
  <si>
    <t>15280864402</t>
  </si>
  <si>
    <t>57677472</t>
  </si>
  <si>
    <t>15280864403</t>
  </si>
  <si>
    <t>57682868</t>
  </si>
  <si>
    <t>15280864622</t>
  </si>
  <si>
    <t>15280864707</t>
  </si>
  <si>
    <t>57684303</t>
  </si>
  <si>
    <t>15280867343</t>
  </si>
  <si>
    <t>57677833</t>
  </si>
  <si>
    <t>15280868840</t>
  </si>
  <si>
    <t>57685161</t>
  </si>
  <si>
    <t>15280869935</t>
  </si>
  <si>
    <t>57675783</t>
  </si>
  <si>
    <t>15280872324</t>
  </si>
  <si>
    <t>57675781</t>
  </si>
  <si>
    <t>15280874533</t>
  </si>
  <si>
    <t>57649794</t>
  </si>
  <si>
    <t>15280874534</t>
  </si>
  <si>
    <t>57649860</t>
  </si>
  <si>
    <t>15280875804</t>
  </si>
  <si>
    <t>15280876479</t>
  </si>
  <si>
    <t>57655561</t>
  </si>
  <si>
    <t>15280877471</t>
  </si>
  <si>
    <t>15280879332</t>
  </si>
  <si>
    <t>15280879886</t>
  </si>
  <si>
    <t>61701224</t>
  </si>
  <si>
    <t>15280882649</t>
  </si>
  <si>
    <t>15280882939</t>
  </si>
  <si>
    <t>57682395</t>
  </si>
  <si>
    <t>15280885822</t>
  </si>
  <si>
    <t>57677479</t>
  </si>
  <si>
    <t>15280886942</t>
  </si>
  <si>
    <t>57682397</t>
  </si>
  <si>
    <t>15280887425</t>
  </si>
  <si>
    <t>57676893</t>
  </si>
  <si>
    <t>15280887465</t>
  </si>
  <si>
    <t>57676161</t>
  </si>
  <si>
    <t>15280887581</t>
  </si>
  <si>
    <t>57676894</t>
  </si>
  <si>
    <t>15280887630</t>
  </si>
  <si>
    <t>57676173</t>
  </si>
  <si>
    <t>15280887668</t>
  </si>
  <si>
    <t>57676170</t>
  </si>
  <si>
    <t>15280887695</t>
  </si>
  <si>
    <t>57701372</t>
  </si>
  <si>
    <t>15280888325</t>
  </si>
  <si>
    <t>57682396</t>
  </si>
  <si>
    <t>15280888527</t>
  </si>
  <si>
    <t>57676175</t>
  </si>
  <si>
    <t>15280890867</t>
  </si>
  <si>
    <t>15280891116</t>
  </si>
  <si>
    <t>15280891974</t>
  </si>
  <si>
    <t>61682453</t>
  </si>
  <si>
    <t>15280895807</t>
  </si>
  <si>
    <t>15280902893</t>
  </si>
  <si>
    <t>15280903189</t>
  </si>
  <si>
    <t>15280903795</t>
  </si>
  <si>
    <t>15280905968</t>
  </si>
  <si>
    <t>57676687</t>
  </si>
  <si>
    <t>15280906360</t>
  </si>
  <si>
    <t>57676444</t>
  </si>
  <si>
    <t>15280906860</t>
  </si>
  <si>
    <t>57655076</t>
  </si>
  <si>
    <t>15280906997</t>
  </si>
  <si>
    <t>57684099</t>
  </si>
  <si>
    <t>15280907257</t>
  </si>
  <si>
    <t>57677179</t>
  </si>
  <si>
    <t>15280909330</t>
  </si>
  <si>
    <t>57677835</t>
  </si>
  <si>
    <t>15280909365</t>
  </si>
  <si>
    <t>57677830</t>
  </si>
  <si>
    <t>15280910645</t>
  </si>
  <si>
    <t>57701377</t>
  </si>
  <si>
    <t>15280914562</t>
  </si>
  <si>
    <t>58700214</t>
  </si>
  <si>
    <t>15280916151</t>
  </si>
  <si>
    <t>57685849</t>
  </si>
  <si>
    <t>15280916175</t>
  </si>
  <si>
    <t>15280916850</t>
  </si>
  <si>
    <t>57685699</t>
  </si>
  <si>
    <t>15280917458</t>
  </si>
  <si>
    <t>57686192</t>
  </si>
  <si>
    <t>15280923608</t>
  </si>
  <si>
    <t>57687442</t>
  </si>
  <si>
    <t>15280924544</t>
  </si>
  <si>
    <t>57688802</t>
  </si>
  <si>
    <t>15280925017</t>
  </si>
  <si>
    <t>57689295</t>
  </si>
  <si>
    <t>15280926587</t>
  </si>
  <si>
    <t>57689538</t>
  </si>
  <si>
    <t>15280926787</t>
  </si>
  <si>
    <t>57689286</t>
  </si>
  <si>
    <t>15280926850</t>
  </si>
  <si>
    <t>57688962</t>
  </si>
  <si>
    <t>15280927469</t>
  </si>
  <si>
    <t>57688948</t>
  </si>
  <si>
    <t>15280927540</t>
  </si>
  <si>
    <t>57679065</t>
  </si>
  <si>
    <t>15280927613</t>
  </si>
  <si>
    <t>57688956</t>
  </si>
  <si>
    <t>15280927804</t>
  </si>
  <si>
    <t>57656096</t>
  </si>
  <si>
    <t>15280940454</t>
  </si>
  <si>
    <t>15280940455</t>
  </si>
  <si>
    <t>15280941244</t>
  </si>
  <si>
    <t>61709307</t>
  </si>
  <si>
    <t>15280941685</t>
  </si>
  <si>
    <t>15280941988</t>
  </si>
  <si>
    <t>15280942457</t>
  </si>
  <si>
    <t>15280947273</t>
  </si>
  <si>
    <t>15280953373</t>
  </si>
  <si>
    <t>57688812</t>
  </si>
  <si>
    <t>15280955531</t>
  </si>
  <si>
    <t>57697578</t>
  </si>
  <si>
    <t>15280956526</t>
  </si>
  <si>
    <t>57688960</t>
  </si>
  <si>
    <t>15280958121</t>
  </si>
  <si>
    <t>57697658</t>
  </si>
  <si>
    <t>15280958371</t>
  </si>
  <si>
    <t>57697569</t>
  </si>
  <si>
    <t>15280959291</t>
  </si>
  <si>
    <t>57689911</t>
  </si>
  <si>
    <t>15280959925</t>
  </si>
  <si>
    <t>57689796</t>
  </si>
  <si>
    <t>15280961394</t>
  </si>
  <si>
    <t>57689904</t>
  </si>
  <si>
    <t>15280964777</t>
  </si>
  <si>
    <t>57699996</t>
  </si>
  <si>
    <t>15280965471</t>
  </si>
  <si>
    <t>57665830</t>
  </si>
  <si>
    <t>15280965492</t>
  </si>
  <si>
    <t>57665864</t>
  </si>
  <si>
    <t>15280965698</t>
  </si>
  <si>
    <t>57698182</t>
  </si>
  <si>
    <t>15280965993</t>
  </si>
  <si>
    <t>57697965</t>
  </si>
  <si>
    <t>15280969335</t>
  </si>
  <si>
    <t>57697668</t>
  </si>
  <si>
    <t>15280970538</t>
  </si>
  <si>
    <t>57697729</t>
  </si>
  <si>
    <t>15280973172</t>
  </si>
  <si>
    <t>15280974297</t>
  </si>
  <si>
    <t>15280975052</t>
  </si>
  <si>
    <t>15280975374</t>
  </si>
  <si>
    <t>15280975598</t>
  </si>
  <si>
    <t>15280976056</t>
  </si>
  <si>
    <t>15280976068</t>
  </si>
  <si>
    <t>15280976111</t>
  </si>
  <si>
    <t>15280976183</t>
  </si>
  <si>
    <t>15280976261</t>
  </si>
  <si>
    <t>15280976498</t>
  </si>
  <si>
    <t>15280977283</t>
  </si>
  <si>
    <t>15280977523</t>
  </si>
  <si>
    <t>15280979172</t>
  </si>
  <si>
    <t>15280980567</t>
  </si>
  <si>
    <t>15280980649</t>
  </si>
  <si>
    <t>61715976</t>
  </si>
  <si>
    <t>15280980741</t>
  </si>
  <si>
    <t>15280981049</t>
  </si>
  <si>
    <t>15280981482</t>
  </si>
  <si>
    <t>15280981674</t>
  </si>
  <si>
    <t>15280981922</t>
  </si>
  <si>
    <t>15280983098</t>
  </si>
  <si>
    <t>61682980</t>
  </si>
  <si>
    <t>15280984711</t>
  </si>
  <si>
    <t>15280985266</t>
  </si>
  <si>
    <t>57697644</t>
  </si>
  <si>
    <t>15280985903</t>
  </si>
  <si>
    <t>15280991983</t>
  </si>
  <si>
    <t>15280992778</t>
  </si>
  <si>
    <t>15280993335</t>
  </si>
  <si>
    <t>15281006445</t>
  </si>
  <si>
    <t>57700704</t>
  </si>
  <si>
    <t>15281012218</t>
  </si>
  <si>
    <t>57698764</t>
  </si>
  <si>
    <t>15281013542</t>
  </si>
  <si>
    <t>57698174</t>
  </si>
  <si>
    <t>15281014513</t>
  </si>
  <si>
    <t>57698769</t>
  </si>
  <si>
    <t>15281017483</t>
  </si>
  <si>
    <t>57700479</t>
  </si>
  <si>
    <t>15281017492</t>
  </si>
  <si>
    <t>57700483</t>
  </si>
  <si>
    <t>15281017548</t>
  </si>
  <si>
    <t>57676991</t>
  </si>
  <si>
    <t>15281019492</t>
  </si>
  <si>
    <t>57698318</t>
  </si>
  <si>
    <t>15281020103</t>
  </si>
  <si>
    <t>57699572</t>
  </si>
  <si>
    <t>15281020290</t>
  </si>
  <si>
    <t>57699974</t>
  </si>
  <si>
    <t>15281021080</t>
  </si>
  <si>
    <t>57699970</t>
  </si>
  <si>
    <t>15281021192</t>
  </si>
  <si>
    <t>57698312</t>
  </si>
  <si>
    <t>15281022039</t>
  </si>
  <si>
    <t>15281022119</t>
  </si>
  <si>
    <t>15281025771</t>
  </si>
  <si>
    <t>15281025800</t>
  </si>
  <si>
    <t>61718507</t>
  </si>
  <si>
    <t>15281025829</t>
  </si>
  <si>
    <t>15281026799</t>
  </si>
  <si>
    <t>15281029093</t>
  </si>
  <si>
    <t>15281029715</t>
  </si>
  <si>
    <t>15281030162</t>
  </si>
  <si>
    <t>15281031642</t>
  </si>
  <si>
    <t>15281031988</t>
  </si>
  <si>
    <t>57699274</t>
  </si>
  <si>
    <t>15281039212</t>
  </si>
  <si>
    <t>15281045250</t>
  </si>
  <si>
    <t>57700004</t>
  </si>
  <si>
    <t>15281046742</t>
  </si>
  <si>
    <t>57699776</t>
  </si>
  <si>
    <t>15281048087</t>
  </si>
  <si>
    <t>57699994</t>
  </si>
  <si>
    <t>15281055876</t>
  </si>
  <si>
    <t>57712171</t>
  </si>
  <si>
    <t>15281058381</t>
  </si>
  <si>
    <t>57689535</t>
  </si>
  <si>
    <t>15281058416</t>
  </si>
  <si>
    <t>57699969</t>
  </si>
  <si>
    <t>15281061253</t>
  </si>
  <si>
    <t>57700682</t>
  </si>
  <si>
    <t>15281062111</t>
  </si>
  <si>
    <t>57700489</t>
  </si>
  <si>
    <t>15281063073</t>
  </si>
  <si>
    <t>15281065143</t>
  </si>
  <si>
    <t>57700683</t>
  </si>
  <si>
    <t>15281068675</t>
  </si>
  <si>
    <t>57685783</t>
  </si>
  <si>
    <t>15281071050</t>
  </si>
  <si>
    <t>15281072116</t>
  </si>
  <si>
    <t>15281072541</t>
  </si>
  <si>
    <t>15281072565</t>
  </si>
  <si>
    <t>15281073221</t>
  </si>
  <si>
    <t>61725424</t>
  </si>
  <si>
    <t>15281073370</t>
  </si>
  <si>
    <t>15281074359</t>
  </si>
  <si>
    <t>15281074679</t>
  </si>
  <si>
    <t>15281075119</t>
  </si>
  <si>
    <t>15281075120</t>
  </si>
  <si>
    <t>15281076734</t>
  </si>
  <si>
    <t>61729065</t>
  </si>
  <si>
    <t>15281079042</t>
  </si>
  <si>
    <t>15281080687</t>
  </si>
  <si>
    <t>15281080972</t>
  </si>
  <si>
    <t>15281081124</t>
  </si>
  <si>
    <t>61693490</t>
  </si>
  <si>
    <t>15281125244</t>
  </si>
  <si>
    <t>57709661</t>
  </si>
  <si>
    <t>15281125364</t>
  </si>
  <si>
    <t>57709653</t>
  </si>
  <si>
    <t>15281132186</t>
  </si>
  <si>
    <t>57700710</t>
  </si>
  <si>
    <t>15281133595</t>
  </si>
  <si>
    <t>57709660</t>
  </si>
  <si>
    <t>15281148609</t>
  </si>
  <si>
    <t>57700854</t>
  </si>
  <si>
    <t>15281165862</t>
  </si>
  <si>
    <t>57701873</t>
  </si>
  <si>
    <t>15281166244</t>
  </si>
  <si>
    <t>57701883</t>
  </si>
  <si>
    <t>15281173305</t>
  </si>
  <si>
    <t>57701389</t>
  </si>
  <si>
    <t>15281179034</t>
  </si>
  <si>
    <t>57702380</t>
  </si>
  <si>
    <t>15281180076</t>
  </si>
  <si>
    <t>57701641</t>
  </si>
  <si>
    <t>15281182299</t>
  </si>
  <si>
    <t>15281185551</t>
  </si>
  <si>
    <t>57711745</t>
  </si>
  <si>
    <t>15281187683</t>
  </si>
  <si>
    <t>57714643</t>
  </si>
  <si>
    <t>15281187684</t>
  </si>
  <si>
    <t>57712181</t>
  </si>
  <si>
    <t>15281188146</t>
  </si>
  <si>
    <t>57713057</t>
  </si>
  <si>
    <t>15281188381</t>
  </si>
  <si>
    <t>57713054</t>
  </si>
  <si>
    <t>15281190061</t>
  </si>
  <si>
    <t>15281190107</t>
  </si>
  <si>
    <t>61720455</t>
  </si>
  <si>
    <t>15281191475</t>
  </si>
  <si>
    <t>15281191775</t>
  </si>
  <si>
    <t>61718385</t>
  </si>
  <si>
    <t>15281192100</t>
  </si>
  <si>
    <t>15281193430</t>
  </si>
  <si>
    <t>15281194053</t>
  </si>
  <si>
    <t>15281194233</t>
  </si>
  <si>
    <t>15281194234</t>
  </si>
  <si>
    <t>15281194542</t>
  </si>
  <si>
    <t>61689319</t>
  </si>
  <si>
    <t>15281194901</t>
  </si>
  <si>
    <t>15281194942</t>
  </si>
  <si>
    <t>15281195458</t>
  </si>
  <si>
    <t>15281198072</t>
  </si>
  <si>
    <t>15281203175</t>
  </si>
  <si>
    <t>15281203509</t>
  </si>
  <si>
    <t>15281205479</t>
  </si>
  <si>
    <t>61732335</t>
  </si>
  <si>
    <t>15281213132</t>
  </si>
  <si>
    <t>57715729</t>
  </si>
  <si>
    <t>15281214089</t>
  </si>
  <si>
    <t>15281216680</t>
  </si>
  <si>
    <t>57717142</t>
  </si>
  <si>
    <t>15281219642</t>
  </si>
  <si>
    <t>57716019</t>
  </si>
  <si>
    <t>15281220241</t>
  </si>
  <si>
    <t>57722201</t>
  </si>
  <si>
    <t>15281222001</t>
  </si>
  <si>
    <t>57715085</t>
  </si>
  <si>
    <t>15281222948</t>
  </si>
  <si>
    <t>57713440</t>
  </si>
  <si>
    <t>15281223392</t>
  </si>
  <si>
    <t>57713190</t>
  </si>
  <si>
    <t>15281225845</t>
  </si>
  <si>
    <t>57713040</t>
  </si>
  <si>
    <t>15281228548</t>
  </si>
  <si>
    <t>57714442</t>
  </si>
  <si>
    <t>15281230651</t>
  </si>
  <si>
    <t>57713587</t>
  </si>
  <si>
    <t>15281232047</t>
  </si>
  <si>
    <t>57714748</t>
  </si>
  <si>
    <t>15281232101</t>
  </si>
  <si>
    <t>57714752</t>
  </si>
  <si>
    <t>15281232649</t>
  </si>
  <si>
    <t>57716366</t>
  </si>
  <si>
    <t>15281233127</t>
  </si>
  <si>
    <t>57721871</t>
  </si>
  <si>
    <t>15281233622</t>
  </si>
  <si>
    <t>57714912</t>
  </si>
  <si>
    <t>15281233662</t>
  </si>
  <si>
    <t>57716370</t>
  </si>
  <si>
    <t>15281234196</t>
  </si>
  <si>
    <t>57714636</t>
  </si>
  <si>
    <t>15281236770</t>
  </si>
  <si>
    <t>57716391</t>
  </si>
  <si>
    <t>15281237300</t>
  </si>
  <si>
    <t>57727319</t>
  </si>
  <si>
    <t>15281239310</t>
  </si>
  <si>
    <t>15281239565</t>
  </si>
  <si>
    <t>15281240222</t>
  </si>
  <si>
    <t>15281240310</t>
  </si>
  <si>
    <t>15281241787</t>
  </si>
  <si>
    <t>61717010</t>
  </si>
  <si>
    <t>15281242093</t>
  </si>
  <si>
    <t>15281242333</t>
  </si>
  <si>
    <t>61685496</t>
  </si>
  <si>
    <t>15281247569</t>
  </si>
  <si>
    <t>15281253996</t>
  </si>
  <si>
    <t>15281255445</t>
  </si>
  <si>
    <t>61696327</t>
  </si>
  <si>
    <t>15281255678</t>
  </si>
  <si>
    <t>15281255684</t>
  </si>
  <si>
    <t>15281256148</t>
  </si>
  <si>
    <t>15281262569</t>
  </si>
  <si>
    <t>15281262846</t>
  </si>
  <si>
    <t>61683923</t>
  </si>
  <si>
    <t>15281263372</t>
  </si>
  <si>
    <t>15281266429</t>
  </si>
  <si>
    <t>57725754</t>
  </si>
  <si>
    <t>15281266552</t>
  </si>
  <si>
    <t>57725732</t>
  </si>
  <si>
    <t>15281267403</t>
  </si>
  <si>
    <t>57726368</t>
  </si>
  <si>
    <t>15281267821</t>
  </si>
  <si>
    <t>57725733</t>
  </si>
  <si>
    <t>15281267896</t>
  </si>
  <si>
    <t>57725728</t>
  </si>
  <si>
    <t>15281267966</t>
  </si>
  <si>
    <t>57725734</t>
  </si>
  <si>
    <t>15281268062</t>
  </si>
  <si>
    <t>57725342</t>
  </si>
  <si>
    <t>15281268365</t>
  </si>
  <si>
    <t>57725145</t>
  </si>
  <si>
    <t>15281268648</t>
  </si>
  <si>
    <t>57725234</t>
  </si>
  <si>
    <t>15281270817</t>
  </si>
  <si>
    <t>57723502</t>
  </si>
  <si>
    <t>15281271311</t>
  </si>
  <si>
    <t>57747909</t>
  </si>
  <si>
    <t>15281272227</t>
  </si>
  <si>
    <t>57724280</t>
  </si>
  <si>
    <t>15281273654</t>
  </si>
  <si>
    <t>57726537</t>
  </si>
  <si>
    <t>15281274268</t>
  </si>
  <si>
    <t>57724358</t>
  </si>
  <si>
    <t>15281278692</t>
  </si>
  <si>
    <t>57732748</t>
  </si>
  <si>
    <t>15281279056</t>
  </si>
  <si>
    <t>57726469</t>
  </si>
  <si>
    <t>15281280557</t>
  </si>
  <si>
    <t>57725223</t>
  </si>
  <si>
    <t>15281280955</t>
  </si>
  <si>
    <t>57724328</t>
  </si>
  <si>
    <t>15281281238</t>
  </si>
  <si>
    <t>57724361</t>
  </si>
  <si>
    <t>15281281607</t>
  </si>
  <si>
    <t>57724511</t>
  </si>
  <si>
    <t>15281283454</t>
  </si>
  <si>
    <t>57725222</t>
  </si>
  <si>
    <t>15281284928</t>
  </si>
  <si>
    <t>57723568</t>
  </si>
  <si>
    <t>15281285247</t>
  </si>
  <si>
    <t>57727048</t>
  </si>
  <si>
    <t>15281285964</t>
  </si>
  <si>
    <t>57726232</t>
  </si>
  <si>
    <t>15281286129</t>
  </si>
  <si>
    <t>15281286301</t>
  </si>
  <si>
    <t>57727366</t>
  </si>
  <si>
    <t>15281287904</t>
  </si>
  <si>
    <t>57727367</t>
  </si>
  <si>
    <t>15281288325</t>
  </si>
  <si>
    <t>57727165</t>
  </si>
  <si>
    <t>15281288702</t>
  </si>
  <si>
    <t>57727316</t>
  </si>
  <si>
    <t>15281289552</t>
  </si>
  <si>
    <t>57726918</t>
  </si>
  <si>
    <t>15281289631</t>
  </si>
  <si>
    <t>61704896</t>
  </si>
  <si>
    <t>15281289727</t>
  </si>
  <si>
    <t>15281290707</t>
  </si>
  <si>
    <t>15281295335</t>
  </si>
  <si>
    <t>15281299303</t>
  </si>
  <si>
    <t>15281299953</t>
  </si>
  <si>
    <t>15281303563</t>
  </si>
  <si>
    <t>57746972</t>
  </si>
  <si>
    <t>15281303580</t>
  </si>
  <si>
    <t>57746893</t>
  </si>
  <si>
    <t>15281303749</t>
  </si>
  <si>
    <t>15281304123</t>
  </si>
  <si>
    <t>57747003</t>
  </si>
  <si>
    <t>15281309264</t>
  </si>
  <si>
    <t>57748889</t>
  </si>
  <si>
    <t>15281311340</t>
  </si>
  <si>
    <t>57734569</t>
  </si>
  <si>
    <t>15281311398</t>
  </si>
  <si>
    <t>57734571</t>
  </si>
  <si>
    <t>15281314256</t>
  </si>
  <si>
    <t>57735750</t>
  </si>
  <si>
    <t>15281314454</t>
  </si>
  <si>
    <t>57741511</t>
  </si>
  <si>
    <t>15281316635</t>
  </si>
  <si>
    <t>15281318836</t>
  </si>
  <si>
    <t>57735176</t>
  </si>
  <si>
    <t>15281320734</t>
  </si>
  <si>
    <t>57753532</t>
  </si>
  <si>
    <t>15281321162</t>
  </si>
  <si>
    <t>57734573</t>
  </si>
  <si>
    <t>15281322334</t>
  </si>
  <si>
    <t>57733876</t>
  </si>
  <si>
    <t>15281322335</t>
  </si>
  <si>
    <t>57733959</t>
  </si>
  <si>
    <t>15281322405</t>
  </si>
  <si>
    <t>57766994</t>
  </si>
  <si>
    <t>15281322780</t>
  </si>
  <si>
    <t>57735040</t>
  </si>
  <si>
    <t>15281323395</t>
  </si>
  <si>
    <t>57742893</t>
  </si>
  <si>
    <t>15281323787</t>
  </si>
  <si>
    <t>57742177</t>
  </si>
  <si>
    <t>15281323942</t>
  </si>
  <si>
    <t>57734153</t>
  </si>
  <si>
    <t>15281325554</t>
  </si>
  <si>
    <t>57765424</t>
  </si>
  <si>
    <t>15281326635</t>
  </si>
  <si>
    <t>57741560</t>
  </si>
  <si>
    <t>15281327359</t>
  </si>
  <si>
    <t>57742013</t>
  </si>
  <si>
    <t>15281327544</t>
  </si>
  <si>
    <t>57742018</t>
  </si>
  <si>
    <t>15281327555</t>
  </si>
  <si>
    <t>57741569</t>
  </si>
  <si>
    <t>15281328301</t>
  </si>
  <si>
    <t>57742025</t>
  </si>
  <si>
    <t>15281328302</t>
  </si>
  <si>
    <t>57742827</t>
  </si>
  <si>
    <t>15281329292</t>
  </si>
  <si>
    <t>57753191</t>
  </si>
  <si>
    <t>15281329953</t>
  </si>
  <si>
    <t>57753195</t>
  </si>
  <si>
    <t>15281330045</t>
  </si>
  <si>
    <t>57733539</t>
  </si>
  <si>
    <t>15281330333</t>
  </si>
  <si>
    <t>57753419</t>
  </si>
  <si>
    <t>15281330651</t>
  </si>
  <si>
    <t>57743006</t>
  </si>
  <si>
    <t>15281330788</t>
  </si>
  <si>
    <t>57743004</t>
  </si>
  <si>
    <t>15281331198</t>
  </si>
  <si>
    <t>57743007</t>
  </si>
  <si>
    <t>15281336487</t>
  </si>
  <si>
    <t>15281338299</t>
  </si>
  <si>
    <t>15281339383</t>
  </si>
  <si>
    <t>15281339980</t>
  </si>
  <si>
    <t>61677976</t>
  </si>
  <si>
    <t>15281342830</t>
  </si>
  <si>
    <t>15281342953</t>
  </si>
  <si>
    <t>57743244</t>
  </si>
  <si>
    <t>15281343056</t>
  </si>
  <si>
    <t>57743162</t>
  </si>
  <si>
    <t>15281343074</t>
  </si>
  <si>
    <t>57743173</t>
  </si>
  <si>
    <t>15281343076</t>
  </si>
  <si>
    <t>57743179</t>
  </si>
  <si>
    <t>15281343168</t>
  </si>
  <si>
    <t>57743170</t>
  </si>
  <si>
    <t>15281344170</t>
  </si>
  <si>
    <t>57745607</t>
  </si>
  <si>
    <t>15281344204</t>
  </si>
  <si>
    <t>57742825</t>
  </si>
  <si>
    <t>15281345022</t>
  </si>
  <si>
    <t>57741541</t>
  </si>
  <si>
    <t>15281345348</t>
  </si>
  <si>
    <t>57745757</t>
  </si>
  <si>
    <t>15281349069</t>
  </si>
  <si>
    <t>57744939</t>
  </si>
  <si>
    <t>15281353466</t>
  </si>
  <si>
    <t>57753531</t>
  </si>
  <si>
    <t>15281360373</t>
  </si>
  <si>
    <t>57745307</t>
  </si>
  <si>
    <t>15281360624</t>
  </si>
  <si>
    <t>57746283</t>
  </si>
  <si>
    <t>15281360757</t>
  </si>
  <si>
    <t>57744949</t>
  </si>
  <si>
    <t>15281361580</t>
  </si>
  <si>
    <t>15281361592</t>
  </si>
  <si>
    <t>57743242</t>
  </si>
  <si>
    <t>15281362964</t>
  </si>
  <si>
    <t>57746690</t>
  </si>
  <si>
    <t>15281366561</t>
  </si>
  <si>
    <t>57748896</t>
  </si>
  <si>
    <t>15281366562</t>
  </si>
  <si>
    <t>57748895</t>
  </si>
  <si>
    <t>15281366987</t>
  </si>
  <si>
    <t>57753432</t>
  </si>
  <si>
    <t>15281367015</t>
  </si>
  <si>
    <t>57745600</t>
  </si>
  <si>
    <t>15281370435</t>
  </si>
  <si>
    <t>57755688</t>
  </si>
  <si>
    <t>15281370793</t>
  </si>
  <si>
    <t>15281372172</t>
  </si>
  <si>
    <t>15281372925</t>
  </si>
  <si>
    <t>61676607</t>
  </si>
  <si>
    <t>15281373570</t>
  </si>
  <si>
    <t>15281373756</t>
  </si>
  <si>
    <t>61732734</t>
  </si>
  <si>
    <t>15281374779</t>
  </si>
  <si>
    <t>15281375340</t>
  </si>
  <si>
    <t>15281377122</t>
  </si>
  <si>
    <t>15281383680</t>
  </si>
  <si>
    <t>61712593</t>
  </si>
  <si>
    <t>15281384850</t>
  </si>
  <si>
    <t>15281384853</t>
  </si>
  <si>
    <t>15281392228</t>
  </si>
  <si>
    <t>15281392563</t>
  </si>
  <si>
    <t>15281392723</t>
  </si>
  <si>
    <t>15281395385</t>
  </si>
  <si>
    <t>15281397548</t>
  </si>
  <si>
    <t>Mazda CX-90 Plug-In Hybrid Leasing : Asian EV/Electric Crossover Utility Vehicle</t>
  </si>
  <si>
    <t>15281398832</t>
  </si>
  <si>
    <t>57755024</t>
  </si>
  <si>
    <t>15281401561</t>
  </si>
  <si>
    <t>57767161</t>
  </si>
  <si>
    <t>15281406273</t>
  </si>
  <si>
    <t>57758742</t>
  </si>
  <si>
    <t>15281408062</t>
  </si>
  <si>
    <t>57767326</t>
  </si>
  <si>
    <t>15281409025</t>
  </si>
  <si>
    <t>57767322</t>
  </si>
  <si>
    <t>15281409609</t>
  </si>
  <si>
    <t>57771109</t>
  </si>
  <si>
    <t>15281410595</t>
  </si>
  <si>
    <t>57767067</t>
  </si>
  <si>
    <t>15281410634</t>
  </si>
  <si>
    <t>57766993</t>
  </si>
  <si>
    <t>15281410791</t>
  </si>
  <si>
    <t>57771111</t>
  </si>
  <si>
    <t>15281412166</t>
  </si>
  <si>
    <t>57771128</t>
  </si>
  <si>
    <t>15281412297</t>
  </si>
  <si>
    <t>15281414918</t>
  </si>
  <si>
    <t>57769923</t>
  </si>
  <si>
    <t>15281415298</t>
  </si>
  <si>
    <t>57767173</t>
  </si>
  <si>
    <t>15281418151</t>
  </si>
  <si>
    <t>15281418793</t>
  </si>
  <si>
    <t>15281418963</t>
  </si>
  <si>
    <t>15281419094</t>
  </si>
  <si>
    <t>61676757</t>
  </si>
  <si>
    <t>15281419484</t>
  </si>
  <si>
    <t>15281420105</t>
  </si>
  <si>
    <t>15281421241</t>
  </si>
  <si>
    <t>15281421718</t>
  </si>
  <si>
    <t>15281421909</t>
  </si>
  <si>
    <t>15281422427</t>
  </si>
  <si>
    <t>15281432379</t>
  </si>
  <si>
    <t>15281433038</t>
  </si>
  <si>
    <t>15281433813</t>
  </si>
  <si>
    <t>15281434156</t>
  </si>
  <si>
    <t>15281442630</t>
  </si>
  <si>
    <t>15281443144</t>
  </si>
  <si>
    <t>61737853</t>
  </si>
  <si>
    <t>15281444119</t>
  </si>
  <si>
    <t>15281444198</t>
  </si>
  <si>
    <t>15281445693</t>
  </si>
  <si>
    <t>57777086</t>
  </si>
  <si>
    <t>57777100</t>
  </si>
  <si>
    <t>15281445964</t>
  </si>
  <si>
    <t>57777087</t>
  </si>
  <si>
    <t>15281447430</t>
  </si>
  <si>
    <t>15281447481</t>
  </si>
  <si>
    <t>15281448253</t>
  </si>
  <si>
    <t>15281450763</t>
  </si>
  <si>
    <t>57777099</t>
  </si>
  <si>
    <t>15281452179</t>
  </si>
  <si>
    <t>15281452182</t>
  </si>
  <si>
    <t>15281452384</t>
  </si>
  <si>
    <t>57777088</t>
  </si>
  <si>
    <t>15281454638</t>
  </si>
  <si>
    <t>57777097</t>
  </si>
  <si>
    <t>15281455273</t>
  </si>
  <si>
    <t>57777532</t>
  </si>
  <si>
    <t>15281456260</t>
  </si>
  <si>
    <t>57790461</t>
  </si>
  <si>
    <t>15281457022</t>
  </si>
  <si>
    <t>57785114</t>
  </si>
  <si>
    <t>15281457317</t>
  </si>
  <si>
    <t>57778131</t>
  </si>
  <si>
    <t>15281459845</t>
  </si>
  <si>
    <t>57778559</t>
  </si>
  <si>
    <t>15281461896</t>
  </si>
  <si>
    <t>57785516</t>
  </si>
  <si>
    <t>15281462564</t>
  </si>
  <si>
    <t>57781035</t>
  </si>
  <si>
    <t>15281463107</t>
  </si>
  <si>
    <t>57768644</t>
  </si>
  <si>
    <t>15281463258</t>
  </si>
  <si>
    <t>57768286</t>
  </si>
  <si>
    <t>15281463540</t>
  </si>
  <si>
    <t>57785661</t>
  </si>
  <si>
    <t>15281465498</t>
  </si>
  <si>
    <t>57778222</t>
  </si>
  <si>
    <t>15281465741</t>
  </si>
  <si>
    <t>57778558</t>
  </si>
  <si>
    <t>15281466232</t>
  </si>
  <si>
    <t>15281466883</t>
  </si>
  <si>
    <t>57785502</t>
  </si>
  <si>
    <t>15281468728</t>
  </si>
  <si>
    <t>57785528</t>
  </si>
  <si>
    <t>15281469270</t>
  </si>
  <si>
    <t>57778626</t>
  </si>
  <si>
    <t>15281469359</t>
  </si>
  <si>
    <t>Mazda Pre-Owned24 : General Promotion - Asian Autos &amp; Trucks</t>
  </si>
  <si>
    <t>15281469446</t>
  </si>
  <si>
    <t>57785517</t>
  </si>
  <si>
    <t>15281469618</t>
  </si>
  <si>
    <t>15281471157</t>
  </si>
  <si>
    <t>57770376</t>
  </si>
  <si>
    <t>15281471228</t>
  </si>
  <si>
    <t>58795902</t>
  </si>
  <si>
    <t>15281472129</t>
  </si>
  <si>
    <t>57779284</t>
  </si>
  <si>
    <t>15281473140</t>
  </si>
  <si>
    <t>15281475721</t>
  </si>
  <si>
    <t>15281475983</t>
  </si>
  <si>
    <t>61703143</t>
  </si>
  <si>
    <t>15281476933</t>
  </si>
  <si>
    <t>61695742</t>
  </si>
  <si>
    <t>15281478228</t>
  </si>
  <si>
    <t>15281478365</t>
  </si>
  <si>
    <t>15281478608</t>
  </si>
  <si>
    <t>15281478716</t>
  </si>
  <si>
    <t>15281479262</t>
  </si>
  <si>
    <t>15281479886</t>
  </si>
  <si>
    <t>15281480304</t>
  </si>
  <si>
    <t>15281480467</t>
  </si>
  <si>
    <t>15281480674</t>
  </si>
  <si>
    <t>15281480967</t>
  </si>
  <si>
    <t>15281481048</t>
  </si>
  <si>
    <t>15281481060</t>
  </si>
  <si>
    <t>61736291</t>
  </si>
  <si>
    <t>15281481099</t>
  </si>
  <si>
    <t>15281481261</t>
  </si>
  <si>
    <t>61682877</t>
  </si>
  <si>
    <t>15281493898</t>
  </si>
  <si>
    <t>15281499608</t>
  </si>
  <si>
    <t>15281502223</t>
  </si>
  <si>
    <t>57794741</t>
  </si>
  <si>
    <t>15281502824</t>
  </si>
  <si>
    <t>57792683</t>
  </si>
  <si>
    <t>15281505635</t>
  </si>
  <si>
    <t>15281508691</t>
  </si>
  <si>
    <t>57785458</t>
  </si>
  <si>
    <t>15281508772</t>
  </si>
  <si>
    <t>57780774</t>
  </si>
  <si>
    <t>15281511391</t>
  </si>
  <si>
    <t>57786090</t>
  </si>
  <si>
    <t>15281515147</t>
  </si>
  <si>
    <t>57792043</t>
  </si>
  <si>
    <t>15281515182</t>
  </si>
  <si>
    <t>57792556</t>
  </si>
  <si>
    <t>15281516671</t>
  </si>
  <si>
    <t>57780350</t>
  </si>
  <si>
    <t>15281517111</t>
  </si>
  <si>
    <t>57779665</t>
  </si>
  <si>
    <t>15281517155</t>
  </si>
  <si>
    <t>57779534</t>
  </si>
  <si>
    <t>15281517177</t>
  </si>
  <si>
    <t>57780133</t>
  </si>
  <si>
    <t>15281517550</t>
  </si>
  <si>
    <t>57787345</t>
  </si>
  <si>
    <t>15281517835</t>
  </si>
  <si>
    <t>57787346</t>
  </si>
  <si>
    <t>15281524369</t>
  </si>
  <si>
    <t>15281525991</t>
  </si>
  <si>
    <t>15281526310</t>
  </si>
  <si>
    <t>15281526569</t>
  </si>
  <si>
    <t>15281527048</t>
  </si>
  <si>
    <t>57791393</t>
  </si>
  <si>
    <t>15281527191</t>
  </si>
  <si>
    <t>57793343</t>
  </si>
  <si>
    <t>15281527240</t>
  </si>
  <si>
    <t>57793130</t>
  </si>
  <si>
    <t>15281530432</t>
  </si>
  <si>
    <t>57790984</t>
  </si>
  <si>
    <t>15281530640</t>
  </si>
  <si>
    <t>57788838</t>
  </si>
  <si>
    <t>15281530680</t>
  </si>
  <si>
    <t>57787875</t>
  </si>
  <si>
    <t>15281530687</t>
  </si>
  <si>
    <t>57787765</t>
  </si>
  <si>
    <t>15281530946</t>
  </si>
  <si>
    <t>57791139</t>
  </si>
  <si>
    <t>15281532348</t>
  </si>
  <si>
    <t>57796458</t>
  </si>
  <si>
    <t>15281532362</t>
  </si>
  <si>
    <t>57792095</t>
  </si>
  <si>
    <t>15281533004</t>
  </si>
  <si>
    <t>57793163</t>
  </si>
  <si>
    <t>15281533435</t>
  </si>
  <si>
    <t>57789133</t>
  </si>
  <si>
    <t>15281535335</t>
  </si>
  <si>
    <t>15281535563</t>
  </si>
  <si>
    <t>15281539935</t>
  </si>
  <si>
    <t>15281546270</t>
  </si>
  <si>
    <t>15281546885</t>
  </si>
  <si>
    <t>15281551777</t>
  </si>
  <si>
    <t>15281554279</t>
  </si>
  <si>
    <t>57794690</t>
  </si>
  <si>
    <t>15281555358</t>
  </si>
  <si>
    <t>57790574</t>
  </si>
  <si>
    <t>15281556307</t>
  </si>
  <si>
    <t>57791282</t>
  </si>
  <si>
    <t>15281557127</t>
  </si>
  <si>
    <t>57791286</t>
  </si>
  <si>
    <t>15281557327</t>
  </si>
  <si>
    <t>57795530</t>
  </si>
  <si>
    <t>15281557766</t>
  </si>
  <si>
    <t>57795141</t>
  </si>
  <si>
    <t>15281558942</t>
  </si>
  <si>
    <t>57792322</t>
  </si>
  <si>
    <t>15281560869</t>
  </si>
  <si>
    <t>57795532</t>
  </si>
  <si>
    <t>15281561318</t>
  </si>
  <si>
    <t>57786810</t>
  </si>
  <si>
    <t>15281566227</t>
  </si>
  <si>
    <t>57795930</t>
  </si>
  <si>
    <t>15281568933</t>
  </si>
  <si>
    <t>15281569664</t>
  </si>
  <si>
    <t>15281572653</t>
  </si>
  <si>
    <t>15281572774</t>
  </si>
  <si>
    <t>15281573433</t>
  </si>
  <si>
    <t>15281574188</t>
  </si>
  <si>
    <t>57823091</t>
  </si>
  <si>
    <t>15281574309</t>
  </si>
  <si>
    <t>15281574337</t>
  </si>
  <si>
    <t>15281574352</t>
  </si>
  <si>
    <t>15281574591</t>
  </si>
  <si>
    <t>15281575550</t>
  </si>
  <si>
    <t>15281577162</t>
  </si>
  <si>
    <t>15281577310</t>
  </si>
  <si>
    <t>15281577763</t>
  </si>
  <si>
    <t>15281579529</t>
  </si>
  <si>
    <t>15281582436</t>
  </si>
  <si>
    <t>15281583233</t>
  </si>
  <si>
    <t>15281583639</t>
  </si>
  <si>
    <t>15281590184</t>
  </si>
  <si>
    <t>15281592253</t>
  </si>
  <si>
    <t>15281594076</t>
  </si>
  <si>
    <t>57828291</t>
  </si>
  <si>
    <t>15281594599</t>
  </si>
  <si>
    <t>15281596246</t>
  </si>
  <si>
    <t>15281596462</t>
  </si>
  <si>
    <t>15281598208</t>
  </si>
  <si>
    <t>15281598392</t>
  </si>
  <si>
    <t>15281598557</t>
  </si>
  <si>
    <t>15281598686</t>
  </si>
  <si>
    <t>15281600992</t>
  </si>
  <si>
    <t>15281601563</t>
  </si>
  <si>
    <t>15281601577</t>
  </si>
  <si>
    <t>15281601612</t>
  </si>
  <si>
    <t>15281604508</t>
  </si>
  <si>
    <t>15281604710</t>
  </si>
  <si>
    <t>15281605922</t>
  </si>
  <si>
    <t>15281605924</t>
  </si>
  <si>
    <t>15281607710</t>
  </si>
  <si>
    <t>61703488</t>
  </si>
  <si>
    <t>15281608128</t>
  </si>
  <si>
    <t>15281608874</t>
  </si>
  <si>
    <t>15281609707</t>
  </si>
  <si>
    <t>15281611135</t>
  </si>
  <si>
    <t>15281611398</t>
  </si>
  <si>
    <t>15281611573</t>
  </si>
  <si>
    <t>15281612479</t>
  </si>
  <si>
    <t>15281613472</t>
  </si>
  <si>
    <t>15281614708</t>
  </si>
  <si>
    <t>15281614736</t>
  </si>
  <si>
    <t>15281615330</t>
  </si>
  <si>
    <t>15281615552</t>
  </si>
  <si>
    <t>15281616537</t>
  </si>
  <si>
    <t>15281617169</t>
  </si>
  <si>
    <t>15281617290</t>
  </si>
  <si>
    <t>15281617340</t>
  </si>
  <si>
    <t>15281618585</t>
  </si>
  <si>
    <t>15281618603</t>
  </si>
  <si>
    <t>15281618652</t>
  </si>
  <si>
    <t>61676455</t>
  </si>
  <si>
    <t>15281619103</t>
  </si>
  <si>
    <t>15281619224</t>
  </si>
  <si>
    <t>15281621187</t>
  </si>
  <si>
    <t>15281621500</t>
  </si>
  <si>
    <t>15281622019</t>
  </si>
  <si>
    <t>15281622227</t>
  </si>
  <si>
    <t>61723067</t>
  </si>
  <si>
    <t>15281622314</t>
  </si>
  <si>
    <t>15281622521</t>
  </si>
  <si>
    <t>15281623000</t>
  </si>
  <si>
    <t>15281623265</t>
  </si>
  <si>
    <t>15281623373</t>
  </si>
  <si>
    <t>15281623635</t>
  </si>
  <si>
    <t>15281623803</t>
  </si>
  <si>
    <t>15281626802</t>
  </si>
  <si>
    <t>15281626899</t>
  </si>
  <si>
    <t>15281626903</t>
  </si>
  <si>
    <t>15281626904</t>
  </si>
  <si>
    <t>15281627092</t>
  </si>
  <si>
    <t>15281627266</t>
  </si>
  <si>
    <t>15281627380</t>
  </si>
  <si>
    <t>15281627671</t>
  </si>
  <si>
    <t>15281628407</t>
  </si>
  <si>
    <t>61707611</t>
  </si>
  <si>
    <t>15281628592</t>
  </si>
  <si>
    <t>15281628598</t>
  </si>
  <si>
    <t>15281628894</t>
  </si>
  <si>
    <t>15281629367</t>
  </si>
  <si>
    <t>15281629443</t>
  </si>
  <si>
    <t>15281629851</t>
  </si>
  <si>
    <t>15281629854</t>
  </si>
  <si>
    <t>15281632235</t>
  </si>
  <si>
    <t>15281646134</t>
  </si>
  <si>
    <t>15281647373</t>
  </si>
  <si>
    <t>15281647382</t>
  </si>
  <si>
    <t>15281647959</t>
  </si>
  <si>
    <t>15281648211</t>
  </si>
  <si>
    <t>15281655210</t>
  </si>
  <si>
    <t>15281656897</t>
  </si>
  <si>
    <t>15281662171</t>
  </si>
  <si>
    <t>15281664215</t>
  </si>
  <si>
    <t>15281665339</t>
  </si>
  <si>
    <t>15281671541</t>
  </si>
  <si>
    <t>15281671570</t>
  </si>
  <si>
    <t>61690316</t>
  </si>
  <si>
    <t>15281671772</t>
  </si>
  <si>
    <t>15281672451</t>
  </si>
  <si>
    <t>15281674211</t>
  </si>
  <si>
    <t>15281674549</t>
  </si>
  <si>
    <t>15281675034</t>
  </si>
  <si>
    <t>15281675119</t>
  </si>
  <si>
    <t>15281675405</t>
  </si>
  <si>
    <t>15281676535</t>
  </si>
  <si>
    <t>15281677032</t>
  </si>
  <si>
    <t>15281677301</t>
  </si>
  <si>
    <t>15281677538</t>
  </si>
  <si>
    <t>15281677785</t>
  </si>
  <si>
    <t>15281678851</t>
  </si>
  <si>
    <t>15281679287</t>
  </si>
  <si>
    <t>15281680351</t>
  </si>
  <si>
    <t>15281680774</t>
  </si>
  <si>
    <t>15281681003</t>
  </si>
  <si>
    <t>15281681007</t>
  </si>
  <si>
    <t>15281681106</t>
  </si>
  <si>
    <t>15281681128</t>
  </si>
  <si>
    <t>15281681310</t>
  </si>
  <si>
    <t>15281681354</t>
  </si>
  <si>
    <t>15281681457</t>
  </si>
  <si>
    <t>15281681530</t>
  </si>
  <si>
    <t>15281681653</t>
  </si>
  <si>
    <t>15281683529</t>
  </si>
  <si>
    <t>15281684461</t>
  </si>
  <si>
    <t>15281684575</t>
  </si>
  <si>
    <t>15281684703</t>
  </si>
  <si>
    <t>15281684704</t>
  </si>
  <si>
    <t>15281684706</t>
  </si>
  <si>
    <t>15281689925</t>
  </si>
  <si>
    <t>15281690235</t>
  </si>
  <si>
    <t>15281690775</t>
  </si>
  <si>
    <t>61677740</t>
  </si>
  <si>
    <t>15281690820</t>
  </si>
  <si>
    <t>15281691124</t>
  </si>
  <si>
    <t>15281695341</t>
  </si>
  <si>
    <t>15281695397</t>
  </si>
  <si>
    <t>15281696249</t>
  </si>
  <si>
    <t>15281699736</t>
  </si>
  <si>
    <t>15281702757</t>
  </si>
  <si>
    <t>15281704003</t>
  </si>
  <si>
    <t>61722604</t>
  </si>
  <si>
    <t>15281704712</t>
  </si>
  <si>
    <t>15281704719</t>
  </si>
  <si>
    <t>15281705869</t>
  </si>
  <si>
    <t>57921876</t>
  </si>
  <si>
    <t>15281706332</t>
  </si>
  <si>
    <t>15281708742</t>
  </si>
  <si>
    <t>15281708754</t>
  </si>
  <si>
    <t>15281709027</t>
  </si>
  <si>
    <t>15281710348</t>
  </si>
  <si>
    <t>15281711509</t>
  </si>
  <si>
    <t>15281711986</t>
  </si>
  <si>
    <t>15281714850</t>
  </si>
  <si>
    <t>15281715360</t>
  </si>
  <si>
    <t>15281717304</t>
  </si>
  <si>
    <t>15281718185</t>
  </si>
  <si>
    <t>15281718389</t>
  </si>
  <si>
    <t>15281718602</t>
  </si>
  <si>
    <t>15281719484</t>
  </si>
  <si>
    <t>15281720135</t>
  </si>
  <si>
    <t>15281720243</t>
  </si>
  <si>
    <t>15281721076</t>
  </si>
  <si>
    <t>15281721432</t>
  </si>
  <si>
    <t>57834862</t>
  </si>
  <si>
    <t>15281721618</t>
  </si>
  <si>
    <t>15281721623</t>
  </si>
  <si>
    <t>15281721663</t>
  </si>
  <si>
    <t>15281722337</t>
  </si>
  <si>
    <t>15281722490</t>
  </si>
  <si>
    <t>15281723293</t>
  </si>
  <si>
    <t>15281724232</t>
  </si>
  <si>
    <t>15281724244</t>
  </si>
  <si>
    <t>15281724892</t>
  </si>
  <si>
    <t>15281725062</t>
  </si>
  <si>
    <t>15281725072</t>
  </si>
  <si>
    <t>15281725231</t>
  </si>
  <si>
    <t>15281725463</t>
  </si>
  <si>
    <t>15281725549</t>
  </si>
  <si>
    <t>15281725645</t>
  </si>
  <si>
    <t>15281725654</t>
  </si>
  <si>
    <t>61691426</t>
  </si>
  <si>
    <t>15281726073</t>
  </si>
  <si>
    <t>57847974</t>
  </si>
  <si>
    <t>15281726163</t>
  </si>
  <si>
    <t>15281726283</t>
  </si>
  <si>
    <t>15281726335</t>
  </si>
  <si>
    <t>15281726372</t>
  </si>
  <si>
    <t>15281726392</t>
  </si>
  <si>
    <t>15281726433</t>
  </si>
  <si>
    <t>15281726511</t>
  </si>
  <si>
    <t>15281726579</t>
  </si>
  <si>
    <t>15281727516</t>
  </si>
  <si>
    <t>15281727567</t>
  </si>
  <si>
    <t>15281727568</t>
  </si>
  <si>
    <t>15281727694</t>
  </si>
  <si>
    <t>15281727957</t>
  </si>
  <si>
    <t>15281728195</t>
  </si>
  <si>
    <t>15281728515</t>
  </si>
  <si>
    <t>15281734013</t>
  </si>
  <si>
    <t>15281734472</t>
  </si>
  <si>
    <t>15281734473</t>
  </si>
  <si>
    <t>15281734728</t>
  </si>
  <si>
    <t>15281734913</t>
  </si>
  <si>
    <t>15281739642</t>
  </si>
  <si>
    <t>15281741525</t>
  </si>
  <si>
    <t>61728486</t>
  </si>
  <si>
    <t>15281743099</t>
  </si>
  <si>
    <t>57833822</t>
  </si>
  <si>
    <t>15281743262</t>
  </si>
  <si>
    <t>15281743364</t>
  </si>
  <si>
    <t>15281743514</t>
  </si>
  <si>
    <t>15281743569</t>
  </si>
  <si>
    <t>15281748818</t>
  </si>
  <si>
    <t>15281750120</t>
  </si>
  <si>
    <t>61688535</t>
  </si>
  <si>
    <t>15281750756</t>
  </si>
  <si>
    <t>61688761</t>
  </si>
  <si>
    <t>15281752140</t>
  </si>
  <si>
    <t>57924487</t>
  </si>
  <si>
    <t>15281753339</t>
  </si>
  <si>
    <t>15281755546</t>
  </si>
  <si>
    <t>15281761538</t>
  </si>
  <si>
    <t>15281761540</t>
  </si>
  <si>
    <t>15281761541</t>
  </si>
  <si>
    <t>15281762349</t>
  </si>
  <si>
    <t>15281762756</t>
  </si>
  <si>
    <t>15281764817</t>
  </si>
  <si>
    <t>15281764928</t>
  </si>
  <si>
    <t>15281769183</t>
  </si>
  <si>
    <t>15281769735</t>
  </si>
  <si>
    <t>57828292</t>
  </si>
  <si>
    <t>15281770244</t>
  </si>
  <si>
    <t>57827636</t>
  </si>
  <si>
    <t>15281770449</t>
  </si>
  <si>
    <t>57828590</t>
  </si>
  <si>
    <t>15281771047</t>
  </si>
  <si>
    <t>57828600</t>
  </si>
  <si>
    <t>15281771332</t>
  </si>
  <si>
    <t>57827553</t>
  </si>
  <si>
    <t>15281772951</t>
  </si>
  <si>
    <t>57828606</t>
  </si>
  <si>
    <t>15281772961</t>
  </si>
  <si>
    <t>57833712</t>
  </si>
  <si>
    <t>15281773442</t>
  </si>
  <si>
    <t>15281774709</t>
  </si>
  <si>
    <t>15281774799</t>
  </si>
  <si>
    <t>15281775166</t>
  </si>
  <si>
    <t>15281775273</t>
  </si>
  <si>
    <t>15281775274</t>
  </si>
  <si>
    <t>15281786645</t>
  </si>
  <si>
    <t>15281802656</t>
  </si>
  <si>
    <t>57826970</t>
  </si>
  <si>
    <t>15281806891</t>
  </si>
  <si>
    <t>57824812</t>
  </si>
  <si>
    <t>15281806980</t>
  </si>
  <si>
    <t>57824808</t>
  </si>
  <si>
    <t>15281808504</t>
  </si>
  <si>
    <t>57823391</t>
  </si>
  <si>
    <t>15281809093</t>
  </si>
  <si>
    <t>57828607</t>
  </si>
  <si>
    <t>15281811145</t>
  </si>
  <si>
    <t>57825921</t>
  </si>
  <si>
    <t>15281811786</t>
  </si>
  <si>
    <t>57837043</t>
  </si>
  <si>
    <t>15281814801</t>
  </si>
  <si>
    <t>15281814844</t>
  </si>
  <si>
    <t>15281815001</t>
  </si>
  <si>
    <t>15281815147</t>
  </si>
  <si>
    <t>15281815297</t>
  </si>
  <si>
    <t>15281815521</t>
  </si>
  <si>
    <t>15281816442</t>
  </si>
  <si>
    <t>15281816628</t>
  </si>
  <si>
    <t>15281816646</t>
  </si>
  <si>
    <t>15281821703</t>
  </si>
  <si>
    <t>15281822718</t>
  </si>
  <si>
    <t>15281823029</t>
  </si>
  <si>
    <t>15281823898</t>
  </si>
  <si>
    <t>15281823902</t>
  </si>
  <si>
    <t>61710106</t>
  </si>
  <si>
    <t>15281825100</t>
  </si>
  <si>
    <t>15281828713</t>
  </si>
  <si>
    <t>61737651</t>
  </si>
  <si>
    <t>15281829053</t>
  </si>
  <si>
    <t>15281829608</t>
  </si>
  <si>
    <t>15281829797</t>
  </si>
  <si>
    <t>15281830346</t>
  </si>
  <si>
    <t>15281830396</t>
  </si>
  <si>
    <t>15281832968</t>
  </si>
  <si>
    <t>57839018</t>
  </si>
  <si>
    <t>15281833204</t>
  </si>
  <si>
    <t>57838272</t>
  </si>
  <si>
    <t>15281833420</t>
  </si>
  <si>
    <t>57838273</t>
  </si>
  <si>
    <t>15281838571</t>
  </si>
  <si>
    <t>15281839042</t>
  </si>
  <si>
    <t>57843932</t>
  </si>
  <si>
    <t>15281842969</t>
  </si>
  <si>
    <t>61691180</t>
  </si>
  <si>
    <t>15281847314</t>
  </si>
  <si>
    <t>15281848560</t>
  </si>
  <si>
    <t>15281852504</t>
  </si>
  <si>
    <t>15281853820</t>
  </si>
  <si>
    <t>15281853934</t>
  </si>
  <si>
    <t>15281854054</t>
  </si>
  <si>
    <t>15281855433</t>
  </si>
  <si>
    <t>57838100</t>
  </si>
  <si>
    <t>15281857861</t>
  </si>
  <si>
    <t>57838182</t>
  </si>
  <si>
    <t>15281860065</t>
  </si>
  <si>
    <t>57844235</t>
  </si>
  <si>
    <t>15281861003</t>
  </si>
  <si>
    <t>57838101</t>
  </si>
  <si>
    <t>15281861126</t>
  </si>
  <si>
    <t>57844236</t>
  </si>
  <si>
    <t>15281863042</t>
  </si>
  <si>
    <t>57845174</t>
  </si>
  <si>
    <t>15281865152</t>
  </si>
  <si>
    <t>57845322</t>
  </si>
  <si>
    <t>15281865190</t>
  </si>
  <si>
    <t>57847909</t>
  </si>
  <si>
    <t>15281865324</t>
  </si>
  <si>
    <t>15281865342</t>
  </si>
  <si>
    <t>57975238</t>
  </si>
  <si>
    <t>15281866205</t>
  </si>
  <si>
    <t>57847274</t>
  </si>
  <si>
    <t>15281866964</t>
  </si>
  <si>
    <t>57846878</t>
  </si>
  <si>
    <t>15281870880</t>
  </si>
  <si>
    <t>57856668</t>
  </si>
  <si>
    <t>15281870909</t>
  </si>
  <si>
    <t>57855692</t>
  </si>
  <si>
    <t>15281871389</t>
  </si>
  <si>
    <t>57856360</t>
  </si>
  <si>
    <t>15281871404</t>
  </si>
  <si>
    <t>57855613</t>
  </si>
  <si>
    <t>15281872261</t>
  </si>
  <si>
    <t>57844075</t>
  </si>
  <si>
    <t>15281872283</t>
  </si>
  <si>
    <t>57844080</t>
  </si>
  <si>
    <t>15281872792</t>
  </si>
  <si>
    <t>15281873992</t>
  </si>
  <si>
    <t>15281874490</t>
  </si>
  <si>
    <t>15281875412</t>
  </si>
  <si>
    <t>15281875476</t>
  </si>
  <si>
    <t>61715084</t>
  </si>
  <si>
    <t>15281875498</t>
  </si>
  <si>
    <t>15281875528</t>
  </si>
  <si>
    <t>15281875645</t>
  </si>
  <si>
    <t>15281875746</t>
  </si>
  <si>
    <t>15281876560</t>
  </si>
  <si>
    <t>15281876903</t>
  </si>
  <si>
    <t>15281877486</t>
  </si>
  <si>
    <t>15281877496</t>
  </si>
  <si>
    <t>15281877510</t>
  </si>
  <si>
    <t>15281877969</t>
  </si>
  <si>
    <t>15281878844</t>
  </si>
  <si>
    <t>15281878901</t>
  </si>
  <si>
    <t>15281879544</t>
  </si>
  <si>
    <t>15281880029</t>
  </si>
  <si>
    <t>15281880638</t>
  </si>
  <si>
    <t>15281880776</t>
  </si>
  <si>
    <t>15281880901</t>
  </si>
  <si>
    <t>15281881048</t>
  </si>
  <si>
    <t>15281881417</t>
  </si>
  <si>
    <t>15281886736</t>
  </si>
  <si>
    <t>15281887119</t>
  </si>
  <si>
    <t>15281890359</t>
  </si>
  <si>
    <t>15281890360</t>
  </si>
  <si>
    <t>15281894509</t>
  </si>
  <si>
    <t>15281895026</t>
  </si>
  <si>
    <t>15281898838</t>
  </si>
  <si>
    <t>15281898930</t>
  </si>
  <si>
    <t>15281900132</t>
  </si>
  <si>
    <t>15281900279</t>
  </si>
  <si>
    <t>57858016</t>
  </si>
  <si>
    <t>15281900568</t>
  </si>
  <si>
    <t>15281903403</t>
  </si>
  <si>
    <t>57847608</t>
  </si>
  <si>
    <t>15281903794</t>
  </si>
  <si>
    <t>57856880</t>
  </si>
  <si>
    <t>57854708</t>
  </si>
  <si>
    <t>15281904137</t>
  </si>
  <si>
    <t>57856979</t>
  </si>
  <si>
    <t>15281904475</t>
  </si>
  <si>
    <t>57846356</t>
  </si>
  <si>
    <t>15281904579</t>
  </si>
  <si>
    <t>57854842</t>
  </si>
  <si>
    <t>15281905407</t>
  </si>
  <si>
    <t>57856877</t>
  </si>
  <si>
    <t>15281905901</t>
  </si>
  <si>
    <t>57854849</t>
  </si>
  <si>
    <t>15281905948</t>
  </si>
  <si>
    <t>15281906071</t>
  </si>
  <si>
    <t>57844194</t>
  </si>
  <si>
    <t>61680612</t>
  </si>
  <si>
    <t>15281906554</t>
  </si>
  <si>
    <t>57857782</t>
  </si>
  <si>
    <t>15281907519</t>
  </si>
  <si>
    <t>57857989</t>
  </si>
  <si>
    <t>15281908258</t>
  </si>
  <si>
    <t>57854580</t>
  </si>
  <si>
    <t>15281911240</t>
  </si>
  <si>
    <t>57854841</t>
  </si>
  <si>
    <t>15281914286</t>
  </si>
  <si>
    <t>57857791</t>
  </si>
  <si>
    <t>15281914565</t>
  </si>
  <si>
    <t>57856364</t>
  </si>
  <si>
    <t>15281914851</t>
  </si>
  <si>
    <t>57856362</t>
  </si>
  <si>
    <t>15281915426</t>
  </si>
  <si>
    <t>57854333</t>
  </si>
  <si>
    <t>15281915495</t>
  </si>
  <si>
    <t>15281916320</t>
  </si>
  <si>
    <t>57856365</t>
  </si>
  <si>
    <t>15281916398</t>
  </si>
  <si>
    <t>57856669</t>
  </si>
  <si>
    <t>15281916445</t>
  </si>
  <si>
    <t>57856659</t>
  </si>
  <si>
    <t>15281917736</t>
  </si>
  <si>
    <t>15281918073</t>
  </si>
  <si>
    <t>57857230</t>
  </si>
  <si>
    <t>15281920363</t>
  </si>
  <si>
    <t>57857339</t>
  </si>
  <si>
    <t>15281920389</t>
  </si>
  <si>
    <t>57855690</t>
  </si>
  <si>
    <t>15281925592</t>
  </si>
  <si>
    <t>15281925640</t>
  </si>
  <si>
    <t>15281925692</t>
  </si>
  <si>
    <t>15281926190</t>
  </si>
  <si>
    <t>15281926666</t>
  </si>
  <si>
    <t>15281926747</t>
  </si>
  <si>
    <t>15281927081</t>
  </si>
  <si>
    <t>15281928002</t>
  </si>
  <si>
    <t>15281928386</t>
  </si>
  <si>
    <t>15281929176</t>
  </si>
  <si>
    <t>15281929188</t>
  </si>
  <si>
    <t>15281929292</t>
  </si>
  <si>
    <t>15281929323</t>
  </si>
  <si>
    <t>15281937074</t>
  </si>
  <si>
    <t>15281937773</t>
  </si>
  <si>
    <t>15281941482</t>
  </si>
  <si>
    <t>15281941508</t>
  </si>
  <si>
    <t>15281941990</t>
  </si>
  <si>
    <t>15281941991</t>
  </si>
  <si>
    <t>15281942145</t>
  </si>
  <si>
    <t>15281946518</t>
  </si>
  <si>
    <t>57856822</t>
  </si>
  <si>
    <t>15281948261</t>
  </si>
  <si>
    <t>57856984</t>
  </si>
  <si>
    <t>15281948573</t>
  </si>
  <si>
    <t>57856977</t>
  </si>
  <si>
    <t>15281953219</t>
  </si>
  <si>
    <t>57856875</t>
  </si>
  <si>
    <t>15281954049</t>
  </si>
  <si>
    <t>57858532</t>
  </si>
  <si>
    <t>15281955251</t>
  </si>
  <si>
    <t>57858005</t>
  </si>
  <si>
    <t>15281955287</t>
  </si>
  <si>
    <t>57857421</t>
  </si>
  <si>
    <t>15281957341</t>
  </si>
  <si>
    <t>57882493</t>
  </si>
  <si>
    <t>15281957987</t>
  </si>
  <si>
    <t>58792561</t>
  </si>
  <si>
    <t>15281958627</t>
  </si>
  <si>
    <t>57856938</t>
  </si>
  <si>
    <t>15281959502</t>
  </si>
  <si>
    <t>57858420</t>
  </si>
  <si>
    <t>15281960243</t>
  </si>
  <si>
    <t>57857779</t>
  </si>
  <si>
    <t>15281960436</t>
  </si>
  <si>
    <t>57859153</t>
  </si>
  <si>
    <t>15281961642</t>
  </si>
  <si>
    <t>57859155</t>
  </si>
  <si>
    <t>15281961798</t>
  </si>
  <si>
    <t>57858995</t>
  </si>
  <si>
    <t>15281962660</t>
  </si>
  <si>
    <t>57858525</t>
  </si>
  <si>
    <t>15281962695</t>
  </si>
  <si>
    <t>57858528</t>
  </si>
  <si>
    <t>15281962737</t>
  </si>
  <si>
    <t>57858534</t>
  </si>
  <si>
    <t>15281962789</t>
  </si>
  <si>
    <t>57858416</t>
  </si>
  <si>
    <t>15281964441</t>
  </si>
  <si>
    <t>57858418</t>
  </si>
  <si>
    <t>15281964476</t>
  </si>
  <si>
    <t>57858399</t>
  </si>
  <si>
    <t>15281965279</t>
  </si>
  <si>
    <t>57858398</t>
  </si>
  <si>
    <t>15281965829</t>
  </si>
  <si>
    <t>15281966997</t>
  </si>
  <si>
    <t>57858535</t>
  </si>
  <si>
    <t>15281967161</t>
  </si>
  <si>
    <t>57863439</t>
  </si>
  <si>
    <t>15281967440</t>
  </si>
  <si>
    <t>57856587</t>
  </si>
  <si>
    <t>15281969288</t>
  </si>
  <si>
    <t>15281969793</t>
  </si>
  <si>
    <t>57863479</t>
  </si>
  <si>
    <t>15281971112</t>
  </si>
  <si>
    <t>57858127</t>
  </si>
  <si>
    <t>15281971603</t>
  </si>
  <si>
    <t>57863475</t>
  </si>
  <si>
    <t>15281971781</t>
  </si>
  <si>
    <t>61687557</t>
  </si>
  <si>
    <t>57857227</t>
  </si>
  <si>
    <t>15281972354</t>
  </si>
  <si>
    <t>57863434</t>
  </si>
  <si>
    <t>15281972900</t>
  </si>
  <si>
    <t>57872673</t>
  </si>
  <si>
    <t>15281973771</t>
  </si>
  <si>
    <t>57863389</t>
  </si>
  <si>
    <t>15281973800</t>
  </si>
  <si>
    <t>57863385</t>
  </si>
  <si>
    <t>15281973954</t>
  </si>
  <si>
    <t>57863392</t>
  </si>
  <si>
    <t>15281974052</t>
  </si>
  <si>
    <t>57863431</t>
  </si>
  <si>
    <t>15281974133</t>
  </si>
  <si>
    <t>57863435</t>
  </si>
  <si>
    <t>15281974366</t>
  </si>
  <si>
    <t>15281974433</t>
  </si>
  <si>
    <t>57875824</t>
  </si>
  <si>
    <t>15281975098</t>
  </si>
  <si>
    <t>57863428</t>
  </si>
  <si>
    <t>15281975360</t>
  </si>
  <si>
    <t>57863430</t>
  </si>
  <si>
    <t>15281975374</t>
  </si>
  <si>
    <t>15281975378</t>
  </si>
  <si>
    <t>57863382</t>
  </si>
  <si>
    <t>15281975639</t>
  </si>
  <si>
    <t>57865831</t>
  </si>
  <si>
    <t>15281975677</t>
  </si>
  <si>
    <t>57863546</t>
  </si>
  <si>
    <t>15281975688</t>
  </si>
  <si>
    <t>57863543</t>
  </si>
  <si>
    <t>15281976210</t>
  </si>
  <si>
    <t>57863537</t>
  </si>
  <si>
    <t>15281983062</t>
  </si>
  <si>
    <t>15281983630</t>
  </si>
  <si>
    <t>15281985055</t>
  </si>
  <si>
    <t>15281985147</t>
  </si>
  <si>
    <t>15281999547</t>
  </si>
  <si>
    <t>57865901</t>
  </si>
  <si>
    <t>15282000525</t>
  </si>
  <si>
    <t>57867900</t>
  </si>
  <si>
    <t>15282000561</t>
  </si>
  <si>
    <t>57868451</t>
  </si>
  <si>
    <t>15282007722</t>
  </si>
  <si>
    <t>57865077</t>
  </si>
  <si>
    <t>15282008114</t>
  </si>
  <si>
    <t>57864463</t>
  </si>
  <si>
    <t>15282008119</t>
  </si>
  <si>
    <t>57865372</t>
  </si>
  <si>
    <t>15282009135</t>
  </si>
  <si>
    <t>57866482</t>
  </si>
  <si>
    <t>15282009738</t>
  </si>
  <si>
    <t>57869450</t>
  </si>
  <si>
    <t>15282009812</t>
  </si>
  <si>
    <t>15282012223</t>
  </si>
  <si>
    <t>57869392</t>
  </si>
  <si>
    <t>15282012435</t>
  </si>
  <si>
    <t>57867512</t>
  </si>
  <si>
    <t>61687884</t>
  </si>
  <si>
    <t>15282013797</t>
  </si>
  <si>
    <t>57869472</t>
  </si>
  <si>
    <t>15282015029</t>
  </si>
  <si>
    <t>57869393</t>
  </si>
  <si>
    <t>15282016504</t>
  </si>
  <si>
    <t>15282017339</t>
  </si>
  <si>
    <t>57871055</t>
  </si>
  <si>
    <t>15282019441</t>
  </si>
  <si>
    <t>57872665</t>
  </si>
  <si>
    <t>15282019596</t>
  </si>
  <si>
    <t>57872667</t>
  </si>
  <si>
    <t>15282019665</t>
  </si>
  <si>
    <t>57872654</t>
  </si>
  <si>
    <t>15282019891</t>
  </si>
  <si>
    <t>57872655</t>
  </si>
  <si>
    <t>15282019934</t>
  </si>
  <si>
    <t>57872656</t>
  </si>
  <si>
    <t>15282020066</t>
  </si>
  <si>
    <t>15282020449</t>
  </si>
  <si>
    <t>15282020694</t>
  </si>
  <si>
    <t>15282020696</t>
  </si>
  <si>
    <t>15282021341</t>
  </si>
  <si>
    <t>15282021715</t>
  </si>
  <si>
    <t>15282023332</t>
  </si>
  <si>
    <t>15282025749</t>
  </si>
  <si>
    <t>15282025926</t>
  </si>
  <si>
    <t>15282025986</t>
  </si>
  <si>
    <t>15282026727</t>
  </si>
  <si>
    <t>15282027691</t>
  </si>
  <si>
    <t>15282031914</t>
  </si>
  <si>
    <t>57874512</t>
  </si>
  <si>
    <t>15282032041</t>
  </si>
  <si>
    <t>57874046</t>
  </si>
  <si>
    <t>15282038787</t>
  </si>
  <si>
    <t>57885406</t>
  </si>
  <si>
    <t>15282040421</t>
  </si>
  <si>
    <t>57875215</t>
  </si>
  <si>
    <t>15282041201</t>
  </si>
  <si>
    <t>57875689</t>
  </si>
  <si>
    <t>15282043002</t>
  </si>
  <si>
    <t>15282044858</t>
  </si>
  <si>
    <t>57883762</t>
  </si>
  <si>
    <t>15282046015</t>
  </si>
  <si>
    <t>57883126</t>
  </si>
  <si>
    <t>15282046273</t>
  </si>
  <si>
    <t>57882485</t>
  </si>
  <si>
    <t>15282052100</t>
  </si>
  <si>
    <t>15282052117</t>
  </si>
  <si>
    <t>15282052627</t>
  </si>
  <si>
    <t>61716165</t>
  </si>
  <si>
    <t>15282052826</t>
  </si>
  <si>
    <t>15282053033</t>
  </si>
  <si>
    <t>15282053417</t>
  </si>
  <si>
    <t>15282053687</t>
  </si>
  <si>
    <t>15282055981</t>
  </si>
  <si>
    <t>15282058900</t>
  </si>
  <si>
    <t>15282061887</t>
  </si>
  <si>
    <t>15282061888</t>
  </si>
  <si>
    <t>15282064519</t>
  </si>
  <si>
    <t>57934482</t>
  </si>
  <si>
    <t>15282065168</t>
  </si>
  <si>
    <t>57885893</t>
  </si>
  <si>
    <t>15282068779</t>
  </si>
  <si>
    <t>57884917</t>
  </si>
  <si>
    <t>15282068820</t>
  </si>
  <si>
    <t>57884946</t>
  </si>
  <si>
    <t>15282068830</t>
  </si>
  <si>
    <t>57884895</t>
  </si>
  <si>
    <t>15282068990</t>
  </si>
  <si>
    <t>57884955</t>
  </si>
  <si>
    <t>15282069206</t>
  </si>
  <si>
    <t>15282069396</t>
  </si>
  <si>
    <t>57890706</t>
  </si>
  <si>
    <t>15282074374</t>
  </si>
  <si>
    <t>57892085</t>
  </si>
  <si>
    <t>15282075227</t>
  </si>
  <si>
    <t>57893871</t>
  </si>
  <si>
    <t>15282075483</t>
  </si>
  <si>
    <t>57893873</t>
  </si>
  <si>
    <t>15282076562</t>
  </si>
  <si>
    <t>57893866</t>
  </si>
  <si>
    <t>15282079744</t>
  </si>
  <si>
    <t>57907462</t>
  </si>
  <si>
    <t>15282080542</t>
  </si>
  <si>
    <t>57907466</t>
  </si>
  <si>
    <t>15282085803</t>
  </si>
  <si>
    <t>57892089</t>
  </si>
  <si>
    <t>15282086057</t>
  </si>
  <si>
    <t>57891356</t>
  </si>
  <si>
    <t>15282086879</t>
  </si>
  <si>
    <t>57891351</t>
  </si>
  <si>
    <t>15282087281</t>
  </si>
  <si>
    <t>57892320</t>
  </si>
  <si>
    <t>15282087722</t>
  </si>
  <si>
    <t>57891416</t>
  </si>
  <si>
    <t>15282089025</t>
  </si>
  <si>
    <t>57886097</t>
  </si>
  <si>
    <t>15282089471</t>
  </si>
  <si>
    <t>57885930</t>
  </si>
  <si>
    <t>15282091066</t>
  </si>
  <si>
    <t>57891353</t>
  </si>
  <si>
    <t>15282092052</t>
  </si>
  <si>
    <t>57891414</t>
  </si>
  <si>
    <t>15282092861</t>
  </si>
  <si>
    <t>15282093028</t>
  </si>
  <si>
    <t>15282093647</t>
  </si>
  <si>
    <t>61735354</t>
  </si>
  <si>
    <t>15282094507</t>
  </si>
  <si>
    <t>63547711</t>
  </si>
  <si>
    <t>15282095180</t>
  </si>
  <si>
    <t>15282095210</t>
  </si>
  <si>
    <t>15282096021</t>
  </si>
  <si>
    <t>15282096049</t>
  </si>
  <si>
    <t>15282096721</t>
  </si>
  <si>
    <t>15282097280</t>
  </si>
  <si>
    <t>15282097293</t>
  </si>
  <si>
    <t>15282098688</t>
  </si>
  <si>
    <t>15282099727</t>
  </si>
  <si>
    <t>15282100829</t>
  </si>
  <si>
    <t>15282109051</t>
  </si>
  <si>
    <t>15282134105</t>
  </si>
  <si>
    <t>57909876</t>
  </si>
  <si>
    <t>15282137679</t>
  </si>
  <si>
    <t>57900654</t>
  </si>
  <si>
    <t>15282144096</t>
  </si>
  <si>
    <t>57892183</t>
  </si>
  <si>
    <t>15282151735</t>
  </si>
  <si>
    <t>57907542</t>
  </si>
  <si>
    <t>15282153789</t>
  </si>
  <si>
    <t>57907585</t>
  </si>
  <si>
    <t>15282154921</t>
  </si>
  <si>
    <t>57907625</t>
  </si>
  <si>
    <t>15282155159</t>
  </si>
  <si>
    <t>15282155434</t>
  </si>
  <si>
    <t>57910783</t>
  </si>
  <si>
    <t>15282156234</t>
  </si>
  <si>
    <t>57910787</t>
  </si>
  <si>
    <t>15282156856</t>
  </si>
  <si>
    <t>15282157573</t>
  </si>
  <si>
    <t>61713833</t>
  </si>
  <si>
    <t>15282157607</t>
  </si>
  <si>
    <t>15282157636</t>
  </si>
  <si>
    <t>15282157725</t>
  </si>
  <si>
    <t>15282157967</t>
  </si>
  <si>
    <t>15282158761</t>
  </si>
  <si>
    <t>15282158921</t>
  </si>
  <si>
    <t>15282158953</t>
  </si>
  <si>
    <t>15282160404</t>
  </si>
  <si>
    <t>15282160405</t>
  </si>
  <si>
    <t>15282165766</t>
  </si>
  <si>
    <t>15282166190</t>
  </si>
  <si>
    <t>15282166866</t>
  </si>
  <si>
    <t>15282167045</t>
  </si>
  <si>
    <t>15282169150</t>
  </si>
  <si>
    <t>15282169877</t>
  </si>
  <si>
    <t>15282169900</t>
  </si>
  <si>
    <t>57919833</t>
  </si>
  <si>
    <t>15282169951</t>
  </si>
  <si>
    <t>15282169953</t>
  </si>
  <si>
    <t>61723199</t>
  </si>
  <si>
    <t>15282170405</t>
  </si>
  <si>
    <t>15282171949</t>
  </si>
  <si>
    <t>57911115</t>
  </si>
  <si>
    <t>15282173358</t>
  </si>
  <si>
    <t>57907786</t>
  </si>
  <si>
    <t>15282173389</t>
  </si>
  <si>
    <t>57908356</t>
  </si>
  <si>
    <t>15282173426</t>
  </si>
  <si>
    <t>57909316</t>
  </si>
  <si>
    <t>15282173440</t>
  </si>
  <si>
    <t>57908428</t>
  </si>
  <si>
    <t>15282173454</t>
  </si>
  <si>
    <t>57911702</t>
  </si>
  <si>
    <t>15282173482</t>
  </si>
  <si>
    <t>57909365</t>
  </si>
  <si>
    <t>15282173841</t>
  </si>
  <si>
    <t>57924552</t>
  </si>
  <si>
    <t>15282174133</t>
  </si>
  <si>
    <t>57924488</t>
  </si>
  <si>
    <t>15282174638</t>
  </si>
  <si>
    <t>57924243</t>
  </si>
  <si>
    <t>15282177443</t>
  </si>
  <si>
    <t>57913156</t>
  </si>
  <si>
    <t>15282177818</t>
  </si>
  <si>
    <t>57911465</t>
  </si>
  <si>
    <t>15282184665</t>
  </si>
  <si>
    <t>57911870</t>
  </si>
  <si>
    <t>15282191480</t>
  </si>
  <si>
    <t>57914691</t>
  </si>
  <si>
    <t>15282193819</t>
  </si>
  <si>
    <t>57919775</t>
  </si>
  <si>
    <t>15282194948</t>
  </si>
  <si>
    <t>57914641</t>
  </si>
  <si>
    <t>15282195118</t>
  </si>
  <si>
    <t>57914640</t>
  </si>
  <si>
    <t>15282195236</t>
  </si>
  <si>
    <t>57914655</t>
  </si>
  <si>
    <t>15282196789</t>
  </si>
  <si>
    <t>15282197954</t>
  </si>
  <si>
    <t>57919834</t>
  </si>
  <si>
    <t>15282198862</t>
  </si>
  <si>
    <t>57919323</t>
  </si>
  <si>
    <t>15282199363</t>
  </si>
  <si>
    <t>57919402</t>
  </si>
  <si>
    <t>15282199367</t>
  </si>
  <si>
    <t>57919401</t>
  </si>
  <si>
    <t>15282200219</t>
  </si>
  <si>
    <t>57919561</t>
  </si>
  <si>
    <t>15282201194</t>
  </si>
  <si>
    <t>57919694</t>
  </si>
  <si>
    <t>15282202599</t>
  </si>
  <si>
    <t>15282202735</t>
  </si>
  <si>
    <t>15282202736</t>
  </si>
  <si>
    <t>15282204657</t>
  </si>
  <si>
    <t>15282211042</t>
  </si>
  <si>
    <t>15282212163</t>
  </si>
  <si>
    <t>15282220832</t>
  </si>
  <si>
    <t>57920803</t>
  </si>
  <si>
    <t>15282223243</t>
  </si>
  <si>
    <t>57926060</t>
  </si>
  <si>
    <t>15282223931</t>
  </si>
  <si>
    <t>15282233432</t>
  </si>
  <si>
    <t>57936886</t>
  </si>
  <si>
    <t>15282234852</t>
  </si>
  <si>
    <t>57929902</t>
  </si>
  <si>
    <t>15282236427</t>
  </si>
  <si>
    <t>57923984</t>
  </si>
  <si>
    <t>15282238510</t>
  </si>
  <si>
    <t>15282239250</t>
  </si>
  <si>
    <t>15282239464</t>
  </si>
  <si>
    <t>15282239579</t>
  </si>
  <si>
    <t>15282240177</t>
  </si>
  <si>
    <t>15282240249</t>
  </si>
  <si>
    <t>61707214</t>
  </si>
  <si>
    <t>15282242213</t>
  </si>
  <si>
    <t>15282243625</t>
  </si>
  <si>
    <t>15282246106</t>
  </si>
  <si>
    <t>15282246494</t>
  </si>
  <si>
    <t>15282247601</t>
  </si>
  <si>
    <t>61725756</t>
  </si>
  <si>
    <t>15282247913</t>
  </si>
  <si>
    <t>15282248045</t>
  </si>
  <si>
    <t>15282248091</t>
  </si>
  <si>
    <t>15282248134</t>
  </si>
  <si>
    <t>57920642</t>
  </si>
  <si>
    <t>15282248259</t>
  </si>
  <si>
    <t>15282248422</t>
  </si>
  <si>
    <t>15282248563</t>
  </si>
  <si>
    <t>15282248616</t>
  </si>
  <si>
    <t>15282258753</t>
  </si>
  <si>
    <t>57935271</t>
  </si>
  <si>
    <t>15282258824</t>
  </si>
  <si>
    <t>57930736</t>
  </si>
  <si>
    <t>15282260875</t>
  </si>
  <si>
    <t>15282263188</t>
  </si>
  <si>
    <t>15282263740</t>
  </si>
  <si>
    <t>15282264400</t>
  </si>
  <si>
    <t>15282265101</t>
  </si>
  <si>
    <t>15282265276</t>
  </si>
  <si>
    <t>15282265277</t>
  </si>
  <si>
    <t>15282269245</t>
  </si>
  <si>
    <t>57931246</t>
  </si>
  <si>
    <t>15282273833</t>
  </si>
  <si>
    <t>57930781</t>
  </si>
  <si>
    <t>15282274248</t>
  </si>
  <si>
    <t>57934484</t>
  </si>
  <si>
    <t>15282275535</t>
  </si>
  <si>
    <t>15282277128</t>
  </si>
  <si>
    <t>57930998</t>
  </si>
  <si>
    <t>15282277854</t>
  </si>
  <si>
    <t>57934349</t>
  </si>
  <si>
    <t>15282280541</t>
  </si>
  <si>
    <t>57934387</t>
  </si>
  <si>
    <t>15282281451</t>
  </si>
  <si>
    <t>57932998</t>
  </si>
  <si>
    <t>15282282022</t>
  </si>
  <si>
    <t>57931588</t>
  </si>
  <si>
    <t>15282284734</t>
  </si>
  <si>
    <t>57935218</t>
  </si>
  <si>
    <t>15282284945</t>
  </si>
  <si>
    <t>57935576</t>
  </si>
  <si>
    <t>15282285892</t>
  </si>
  <si>
    <t>57939693</t>
  </si>
  <si>
    <t>15282288079</t>
  </si>
  <si>
    <t>57933154</t>
  </si>
  <si>
    <t>15282288252</t>
  </si>
  <si>
    <t>57932576</t>
  </si>
  <si>
    <t>15282288485</t>
  </si>
  <si>
    <t>57932103</t>
  </si>
  <si>
    <t>15282288579</t>
  </si>
  <si>
    <t>57932174</t>
  </si>
  <si>
    <t>15282289294</t>
  </si>
  <si>
    <t>57935138</t>
  </si>
  <si>
    <t>15282290744</t>
  </si>
  <si>
    <t>57934125</t>
  </si>
  <si>
    <t>15282301330</t>
  </si>
  <si>
    <t>57935577</t>
  </si>
  <si>
    <t>15282309857</t>
  </si>
  <si>
    <t>15282317891</t>
  </si>
  <si>
    <t>57940528</t>
  </si>
  <si>
    <t>15282319415</t>
  </si>
  <si>
    <t>57941352</t>
  </si>
  <si>
    <t>15282319765</t>
  </si>
  <si>
    <t>57941289</t>
  </si>
  <si>
    <t>15282319769</t>
  </si>
  <si>
    <t>57941287</t>
  </si>
  <si>
    <t>15282321839</t>
  </si>
  <si>
    <t>57943555</t>
  </si>
  <si>
    <t>15282322432</t>
  </si>
  <si>
    <t>15282323617</t>
  </si>
  <si>
    <t>57942862</t>
  </si>
  <si>
    <t>15282323676</t>
  </si>
  <si>
    <t>57943552</t>
  </si>
  <si>
    <t>15282323677</t>
  </si>
  <si>
    <t>57941664</t>
  </si>
  <si>
    <t>15282324151</t>
  </si>
  <si>
    <t>57940405</t>
  </si>
  <si>
    <t>15282325573</t>
  </si>
  <si>
    <t>57941614</t>
  </si>
  <si>
    <t>15282326544</t>
  </si>
  <si>
    <t>57940434</t>
  </si>
  <si>
    <t>15282326849</t>
  </si>
  <si>
    <t>57941721</t>
  </si>
  <si>
    <t>15282327196</t>
  </si>
  <si>
    <t>57941556</t>
  </si>
  <si>
    <t>15282327270</t>
  </si>
  <si>
    <t>57942498</t>
  </si>
  <si>
    <t>15282328096</t>
  </si>
  <si>
    <t>57941065</t>
  </si>
  <si>
    <t>15282328294</t>
  </si>
  <si>
    <t>57960027</t>
  </si>
  <si>
    <t>15282328844</t>
  </si>
  <si>
    <t>57941351</t>
  </si>
  <si>
    <t>15282328847</t>
  </si>
  <si>
    <t>57940327</t>
  </si>
  <si>
    <t>15282328851</t>
  </si>
  <si>
    <t>57940409</t>
  </si>
  <si>
    <t>15282329943</t>
  </si>
  <si>
    <t>57941238</t>
  </si>
  <si>
    <t>15282330533</t>
  </si>
  <si>
    <t>57942046</t>
  </si>
  <si>
    <t>15282331705</t>
  </si>
  <si>
    <t>57942865</t>
  </si>
  <si>
    <t>15282334899</t>
  </si>
  <si>
    <t>15282335026</t>
  </si>
  <si>
    <t>15282340104</t>
  </si>
  <si>
    <t>15282352085</t>
  </si>
  <si>
    <t>57948437</t>
  </si>
  <si>
    <t>15282380006</t>
  </si>
  <si>
    <t>58791709</t>
  </si>
  <si>
    <t>15282380544</t>
  </si>
  <si>
    <t>57951754</t>
  </si>
  <si>
    <t>15282380653</t>
  </si>
  <si>
    <t>57950423</t>
  </si>
  <si>
    <t>15282380707</t>
  </si>
  <si>
    <t>57950426</t>
  </si>
  <si>
    <t>15282381488</t>
  </si>
  <si>
    <t>57952060</t>
  </si>
  <si>
    <t>15282381836</t>
  </si>
  <si>
    <t>57952954</t>
  </si>
  <si>
    <t>15282383811</t>
  </si>
  <si>
    <t>57951604</t>
  </si>
  <si>
    <t>15282384400</t>
  </si>
  <si>
    <t>57952955</t>
  </si>
  <si>
    <t>15282384432</t>
  </si>
  <si>
    <t>57952008</t>
  </si>
  <si>
    <t>15282384586</t>
  </si>
  <si>
    <t>57952922</t>
  </si>
  <si>
    <t>15282385216</t>
  </si>
  <si>
    <t>15282385663</t>
  </si>
  <si>
    <t>15282385673</t>
  </si>
  <si>
    <t>15282385822</t>
  </si>
  <si>
    <t>15282385898</t>
  </si>
  <si>
    <t>15282387447</t>
  </si>
  <si>
    <t>15282388962</t>
  </si>
  <si>
    <t>57952953</t>
  </si>
  <si>
    <t>15282389264</t>
  </si>
  <si>
    <t>15282389762</t>
  </si>
  <si>
    <t>15282389807</t>
  </si>
  <si>
    <t>15282390279</t>
  </si>
  <si>
    <t>15282390323</t>
  </si>
  <si>
    <t>15282390581</t>
  </si>
  <si>
    <t>15282390772</t>
  </si>
  <si>
    <t>15282390797</t>
  </si>
  <si>
    <t>15282397135</t>
  </si>
  <si>
    <t>57972877</t>
  </si>
  <si>
    <t>15282398197</t>
  </si>
  <si>
    <t>57961245</t>
  </si>
  <si>
    <t>15282402963</t>
  </si>
  <si>
    <t>57962021</t>
  </si>
  <si>
    <t>15282403276</t>
  </si>
  <si>
    <t>57961246</t>
  </si>
  <si>
    <t>15282404283</t>
  </si>
  <si>
    <t>57973203</t>
  </si>
  <si>
    <t>15282406800</t>
  </si>
  <si>
    <t>57973938</t>
  </si>
  <si>
    <t>15282408657</t>
  </si>
  <si>
    <t>57978810</t>
  </si>
  <si>
    <t>15282409057</t>
  </si>
  <si>
    <t>57962286</t>
  </si>
  <si>
    <t>15282409401</t>
  </si>
  <si>
    <t>57962476</t>
  </si>
  <si>
    <t>15282411401</t>
  </si>
  <si>
    <t>57963519</t>
  </si>
  <si>
    <t>15282414516</t>
  </si>
  <si>
    <t>57979623</t>
  </si>
  <si>
    <t>15282419235</t>
  </si>
  <si>
    <t>15282419511</t>
  </si>
  <si>
    <t>57978892</t>
  </si>
  <si>
    <t>15282419857</t>
  </si>
  <si>
    <t>57962454</t>
  </si>
  <si>
    <t>15282419866</t>
  </si>
  <si>
    <t>57979622</t>
  </si>
  <si>
    <t>15282419894</t>
  </si>
  <si>
    <t>57973202</t>
  </si>
  <si>
    <t>15282419920</t>
  </si>
  <si>
    <t>57975319</t>
  </si>
  <si>
    <t>15282419998</t>
  </si>
  <si>
    <t>57973942</t>
  </si>
  <si>
    <t>15282420774</t>
  </si>
  <si>
    <t>57970502</t>
  </si>
  <si>
    <t>15282420877</t>
  </si>
  <si>
    <t>57970704</t>
  </si>
  <si>
    <t>15282429128</t>
  </si>
  <si>
    <t>57960598</t>
  </si>
  <si>
    <t>15282430473</t>
  </si>
  <si>
    <t>15282430475</t>
  </si>
  <si>
    <t>15282430657</t>
  </si>
  <si>
    <t>15282431054</t>
  </si>
  <si>
    <t>15282437549</t>
  </si>
  <si>
    <t>15282437837</t>
  </si>
  <si>
    <t>15282439610</t>
  </si>
  <si>
    <t>15282440140</t>
  </si>
  <si>
    <t>15282440997</t>
  </si>
  <si>
    <t>15282441010</t>
  </si>
  <si>
    <t>15282441018</t>
  </si>
  <si>
    <t>15282443344</t>
  </si>
  <si>
    <t>15282443933</t>
  </si>
  <si>
    <t>15282443934</t>
  </si>
  <si>
    <t>61721139</t>
  </si>
  <si>
    <t>15282443975</t>
  </si>
  <si>
    <t>15282444630</t>
  </si>
  <si>
    <t>15282444671</t>
  </si>
  <si>
    <t>15282446683</t>
  </si>
  <si>
    <t>15282455661</t>
  </si>
  <si>
    <t>15282458374</t>
  </si>
  <si>
    <t>15282469991</t>
  </si>
  <si>
    <t>57969882</t>
  </si>
  <si>
    <t>15282471465</t>
  </si>
  <si>
    <t>57975271</t>
  </si>
  <si>
    <t>15282486855</t>
  </si>
  <si>
    <t>57971904</t>
  </si>
  <si>
    <t>15282490359</t>
  </si>
  <si>
    <t>57973944</t>
  </si>
  <si>
    <t>15282491744</t>
  </si>
  <si>
    <t>57972875</t>
  </si>
  <si>
    <t>15282492390</t>
  </si>
  <si>
    <t>57973207</t>
  </si>
  <si>
    <t>15282493745</t>
  </si>
  <si>
    <t>57975534</t>
  </si>
  <si>
    <t>15282494856</t>
  </si>
  <si>
    <t>57971567</t>
  </si>
  <si>
    <t>15282494987</t>
  </si>
  <si>
    <t>57972865</t>
  </si>
  <si>
    <t>15282495059</t>
  </si>
  <si>
    <t>57970607</t>
  </si>
  <si>
    <t>15282496496</t>
  </si>
  <si>
    <t>57974557</t>
  </si>
  <si>
    <t>15282497373</t>
  </si>
  <si>
    <t>57974360</t>
  </si>
  <si>
    <t>15282497478</t>
  </si>
  <si>
    <t>57974323</t>
  </si>
  <si>
    <t>15282499736</t>
  </si>
  <si>
    <t>57978750</t>
  </si>
  <si>
    <t>15282499866</t>
  </si>
  <si>
    <t>57975326</t>
  </si>
  <si>
    <t>15282500013</t>
  </si>
  <si>
    <t>15282500015</t>
  </si>
  <si>
    <t>57975327</t>
  </si>
  <si>
    <t>15282500056</t>
  </si>
  <si>
    <t>57975322</t>
  </si>
  <si>
    <t>15282500146</t>
  </si>
  <si>
    <t>57975059</t>
  </si>
  <si>
    <t>15282500542</t>
  </si>
  <si>
    <t>15282501436</t>
  </si>
  <si>
    <t>15282502038</t>
  </si>
  <si>
    <t>15282503060</t>
  </si>
  <si>
    <t>15282503746</t>
  </si>
  <si>
    <t>15282504416</t>
  </si>
  <si>
    <t>15282509080</t>
  </si>
  <si>
    <t>15282512245</t>
  </si>
  <si>
    <t>15282514166</t>
  </si>
  <si>
    <t>15282514942</t>
  </si>
  <si>
    <t>15282520451</t>
  </si>
  <si>
    <t>57982729</t>
  </si>
  <si>
    <t>15282529587</t>
  </si>
  <si>
    <t>57982099</t>
  </si>
  <si>
    <t>15282534278</t>
  </si>
  <si>
    <t>57983015</t>
  </si>
  <si>
    <t>15282534492</t>
  </si>
  <si>
    <t>57981640</t>
  </si>
  <si>
    <t>15282536528</t>
  </si>
  <si>
    <t>57982142</t>
  </si>
  <si>
    <t>15282540231</t>
  </si>
  <si>
    <t>57980626</t>
  </si>
  <si>
    <t>15282540424</t>
  </si>
  <si>
    <t>57980633</t>
  </si>
  <si>
    <t>15282540444</t>
  </si>
  <si>
    <t>57982760</t>
  </si>
  <si>
    <t>15282541605</t>
  </si>
  <si>
    <t>57982144</t>
  </si>
  <si>
    <t>15282543727</t>
  </si>
  <si>
    <t>57983364</t>
  </si>
  <si>
    <t>15282545398</t>
  </si>
  <si>
    <t>57983375</t>
  </si>
  <si>
    <t>15282547044</t>
  </si>
  <si>
    <t>57983831</t>
  </si>
  <si>
    <t>15282547888</t>
  </si>
  <si>
    <t>15282548844</t>
  </si>
  <si>
    <t>15282550756</t>
  </si>
  <si>
    <t>15282551080</t>
  </si>
  <si>
    <t>15282556395</t>
  </si>
  <si>
    <t>15282556550</t>
  </si>
  <si>
    <t>15282560020</t>
  </si>
  <si>
    <t>15282561750</t>
  </si>
  <si>
    <t>15282562834</t>
  </si>
  <si>
    <t>15282564539</t>
  </si>
  <si>
    <t>15282565355</t>
  </si>
  <si>
    <t>15282566495</t>
  </si>
  <si>
    <t>57993737</t>
  </si>
  <si>
    <t>15282567130</t>
  </si>
  <si>
    <t>57992862</t>
  </si>
  <si>
    <t>15282576196</t>
  </si>
  <si>
    <t>57995255</t>
  </si>
  <si>
    <t>15282580526</t>
  </si>
  <si>
    <t>57990691</t>
  </si>
  <si>
    <t>15282586513</t>
  </si>
  <si>
    <t>57993602</t>
  </si>
  <si>
    <t>15282589187</t>
  </si>
  <si>
    <t>57995400</t>
  </si>
  <si>
    <t>15282589640</t>
  </si>
  <si>
    <t>57994328</t>
  </si>
  <si>
    <t>15282593848</t>
  </si>
  <si>
    <t>57995409</t>
  </si>
  <si>
    <t>15282594079</t>
  </si>
  <si>
    <t>57994090</t>
  </si>
  <si>
    <t>15282595977</t>
  </si>
  <si>
    <t>57994527</t>
  </si>
  <si>
    <t>15282596099</t>
  </si>
  <si>
    <t>57993743</t>
  </si>
  <si>
    <t>15282596424</t>
  </si>
  <si>
    <t>57994170</t>
  </si>
  <si>
    <t>15282597203</t>
  </si>
  <si>
    <t>57995068</t>
  </si>
  <si>
    <t>15282597343</t>
  </si>
  <si>
    <t>15282597384</t>
  </si>
  <si>
    <t>57995257</t>
  </si>
  <si>
    <t>15282597389</t>
  </si>
  <si>
    <t>57991491</t>
  </si>
  <si>
    <t>15282597835</t>
  </si>
  <si>
    <t>57994056</t>
  </si>
  <si>
    <t>15282598944</t>
  </si>
  <si>
    <t>58003685</t>
  </si>
  <si>
    <t>15282599153</t>
  </si>
  <si>
    <t>58003684</t>
  </si>
  <si>
    <t>15282599186</t>
  </si>
  <si>
    <t>57995218</t>
  </si>
  <si>
    <t>15282600386</t>
  </si>
  <si>
    <t>15282601011</t>
  </si>
  <si>
    <t>57994462</t>
  </si>
  <si>
    <t>15282601195</t>
  </si>
  <si>
    <t>57995401</t>
  </si>
  <si>
    <t>15282601594</t>
  </si>
  <si>
    <t>57994854</t>
  </si>
  <si>
    <t>15282601681</t>
  </si>
  <si>
    <t>57994878</t>
  </si>
  <si>
    <t>15282601696</t>
  </si>
  <si>
    <t>57995407</t>
  </si>
  <si>
    <t>15282601883</t>
  </si>
  <si>
    <t>58003707</t>
  </si>
  <si>
    <t>15282602584</t>
  </si>
  <si>
    <t>57994723</t>
  </si>
  <si>
    <t>15282602974</t>
  </si>
  <si>
    <t>57993715</t>
  </si>
  <si>
    <t>15282603195</t>
  </si>
  <si>
    <t>15282603431</t>
  </si>
  <si>
    <t>57994602</t>
  </si>
  <si>
    <t>15282603896</t>
  </si>
  <si>
    <t>57997012</t>
  </si>
  <si>
    <t>15282604506</t>
  </si>
  <si>
    <t>58003664</t>
  </si>
  <si>
    <t>15282605154</t>
  </si>
  <si>
    <t>57995195</t>
  </si>
  <si>
    <t>15282605324</t>
  </si>
  <si>
    <t>57995193</t>
  </si>
  <si>
    <t>15282605454</t>
  </si>
  <si>
    <t>57995151</t>
  </si>
  <si>
    <t>15282606209</t>
  </si>
  <si>
    <t>15282606895</t>
  </si>
  <si>
    <t>58003709</t>
  </si>
  <si>
    <t>15282607137</t>
  </si>
  <si>
    <t>15282607280</t>
  </si>
  <si>
    <t>57996656</t>
  </si>
  <si>
    <t>15282608103</t>
  </si>
  <si>
    <t>15282608413</t>
  </si>
  <si>
    <t>15282609789</t>
  </si>
  <si>
    <t>15282609963</t>
  </si>
  <si>
    <t>15282610259</t>
  </si>
  <si>
    <t>15282611752</t>
  </si>
  <si>
    <t>57990689</t>
  </si>
  <si>
    <t>15282612396</t>
  </si>
  <si>
    <t>15282612702</t>
  </si>
  <si>
    <t>15282612759</t>
  </si>
  <si>
    <t>15282612911</t>
  </si>
  <si>
    <t>15282612926</t>
  </si>
  <si>
    <t>15282612927</t>
  </si>
  <si>
    <t>15282613019</t>
  </si>
  <si>
    <t>15282613039</t>
  </si>
  <si>
    <t>15282613126</t>
  </si>
  <si>
    <t>15282613276</t>
  </si>
  <si>
    <t>15282614013</t>
  </si>
  <si>
    <t>15282614017</t>
  </si>
  <si>
    <t>15282614045</t>
  </si>
  <si>
    <t>15282614353</t>
  </si>
  <si>
    <t>15282614950</t>
  </si>
  <si>
    <t>15282618348</t>
  </si>
  <si>
    <t>15282619566</t>
  </si>
  <si>
    <t>15282621018</t>
  </si>
  <si>
    <t>15282621319</t>
  </si>
  <si>
    <t>15282621818</t>
  </si>
  <si>
    <t>15282622253</t>
  </si>
  <si>
    <t>15282622565</t>
  </si>
  <si>
    <t>15282624919</t>
  </si>
  <si>
    <t>15282629109</t>
  </si>
  <si>
    <t>15282631117</t>
  </si>
  <si>
    <t>58006008</t>
  </si>
  <si>
    <t>15282632071</t>
  </si>
  <si>
    <t>15282634891</t>
  </si>
  <si>
    <t>15282639842</t>
  </si>
  <si>
    <t>58008822</t>
  </si>
  <si>
    <t>15282640000</t>
  </si>
  <si>
    <t>58008891</t>
  </si>
  <si>
    <t>15282642408</t>
  </si>
  <si>
    <t>58006977</t>
  </si>
  <si>
    <t>15282642930</t>
  </si>
  <si>
    <t>58006955</t>
  </si>
  <si>
    <t>15282649383</t>
  </si>
  <si>
    <t>58005110</t>
  </si>
  <si>
    <t>15282659447</t>
  </si>
  <si>
    <t>58007518</t>
  </si>
  <si>
    <t>15282659562</t>
  </si>
  <si>
    <t>15282660111</t>
  </si>
  <si>
    <t>58007516</t>
  </si>
  <si>
    <t>15282661778</t>
  </si>
  <si>
    <t>61730551</t>
  </si>
  <si>
    <t>15282670152</t>
  </si>
  <si>
    <t>58008615</t>
  </si>
  <si>
    <t>15282670733</t>
  </si>
  <si>
    <t>58007735</t>
  </si>
  <si>
    <t>15282671980</t>
  </si>
  <si>
    <t>58007107</t>
  </si>
  <si>
    <t>15282671981</t>
  </si>
  <si>
    <t>58007106</t>
  </si>
  <si>
    <t>15282672141</t>
  </si>
  <si>
    <t>58007110</t>
  </si>
  <si>
    <t>15282673036</t>
  </si>
  <si>
    <t>58008656</t>
  </si>
  <si>
    <t>15282676199</t>
  </si>
  <si>
    <t>58007645</t>
  </si>
  <si>
    <t>15282676237</t>
  </si>
  <si>
    <t>58007742</t>
  </si>
  <si>
    <t>15282676605</t>
  </si>
  <si>
    <t>58009058</t>
  </si>
  <si>
    <t>15282676700</t>
  </si>
  <si>
    <t>58009068</t>
  </si>
  <si>
    <t>15282676701</t>
  </si>
  <si>
    <t>58009066</t>
  </si>
  <si>
    <t>15282679495</t>
  </si>
  <si>
    <t>58008748</t>
  </si>
  <si>
    <t>15282680791</t>
  </si>
  <si>
    <t>58008894</t>
  </si>
  <si>
    <t>15282682007</t>
  </si>
  <si>
    <t>15282682339</t>
  </si>
  <si>
    <t>58004293</t>
  </si>
  <si>
    <t>15282683145</t>
  </si>
  <si>
    <t>15282684064</t>
  </si>
  <si>
    <t>15282684324</t>
  </si>
  <si>
    <t>15282685596</t>
  </si>
  <si>
    <t>58003836</t>
  </si>
  <si>
    <t>15282686082</t>
  </si>
  <si>
    <t>15282686166</t>
  </si>
  <si>
    <t>15282686396</t>
  </si>
  <si>
    <t>15282686735</t>
  </si>
  <si>
    <t>61683854</t>
  </si>
  <si>
    <t>15282691077</t>
  </si>
  <si>
    <t>15282691700</t>
  </si>
  <si>
    <t>15282691738</t>
  </si>
  <si>
    <t>15282691739</t>
  </si>
  <si>
    <t>15282691786</t>
  </si>
  <si>
    <t>15282692152</t>
  </si>
  <si>
    <t>15282692329</t>
  </si>
  <si>
    <t>15282692339</t>
  </si>
  <si>
    <t>15282695182</t>
  </si>
  <si>
    <t>15282695183</t>
  </si>
  <si>
    <t>15282697149</t>
  </si>
  <si>
    <t>15282698293</t>
  </si>
  <si>
    <t>15282698451</t>
  </si>
  <si>
    <t>15282698674</t>
  </si>
  <si>
    <t>15282700224</t>
  </si>
  <si>
    <t>15282700444</t>
  </si>
  <si>
    <t>58007532</t>
  </si>
  <si>
    <t>15282700712</t>
  </si>
  <si>
    <t>15282703344</t>
  </si>
  <si>
    <t>15282704487</t>
  </si>
  <si>
    <t>15282704490</t>
  </si>
  <si>
    <t>15282705667</t>
  </si>
  <si>
    <t>15282715415</t>
  </si>
  <si>
    <t>15282715444</t>
  </si>
  <si>
    <t>15282724398</t>
  </si>
  <si>
    <t>58056895</t>
  </si>
  <si>
    <t>15282726450</t>
  </si>
  <si>
    <t>58017842</t>
  </si>
  <si>
    <t>15282726781</t>
  </si>
  <si>
    <t>58018396</t>
  </si>
  <si>
    <t>15282727775</t>
  </si>
  <si>
    <t>58020588</t>
  </si>
  <si>
    <t>15282730715</t>
  </si>
  <si>
    <t>58018386</t>
  </si>
  <si>
    <t>15282732014</t>
  </si>
  <si>
    <t>15282744745</t>
  </si>
  <si>
    <t>58019737</t>
  </si>
  <si>
    <t>15282744933</t>
  </si>
  <si>
    <t>58019983</t>
  </si>
  <si>
    <t>15282745146</t>
  </si>
  <si>
    <t>58019780</t>
  </si>
  <si>
    <t>15282745449</t>
  </si>
  <si>
    <t>58020937</t>
  </si>
  <si>
    <t>15282747723</t>
  </si>
  <si>
    <t>15282747904</t>
  </si>
  <si>
    <t>58020682</t>
  </si>
  <si>
    <t>15282747955</t>
  </si>
  <si>
    <t>58020680</t>
  </si>
  <si>
    <t>15282747972</t>
  </si>
  <si>
    <t>58028188</t>
  </si>
  <si>
    <t>15282748105</t>
  </si>
  <si>
    <t>58024001</t>
  </si>
  <si>
    <t>15282748674</t>
  </si>
  <si>
    <t>58026986</t>
  </si>
  <si>
    <t>15282748705</t>
  </si>
  <si>
    <t>58020984</t>
  </si>
  <si>
    <t>15282751555</t>
  </si>
  <si>
    <t>58020934</t>
  </si>
  <si>
    <t>15282751899</t>
  </si>
  <si>
    <t>15282753341</t>
  </si>
  <si>
    <t>15282753346</t>
  </si>
  <si>
    <t>15282753361</t>
  </si>
  <si>
    <t>15282753708</t>
  </si>
  <si>
    <t>15282755255</t>
  </si>
  <si>
    <t>15282755516</t>
  </si>
  <si>
    <t>15282755752</t>
  </si>
  <si>
    <t>15282755963</t>
  </si>
  <si>
    <t>15282758946</t>
  </si>
  <si>
    <t>15282760962</t>
  </si>
  <si>
    <t>15282761054</t>
  </si>
  <si>
    <t>15282761118</t>
  </si>
  <si>
    <t>15282761313</t>
  </si>
  <si>
    <t>15282761479</t>
  </si>
  <si>
    <t>15282761485</t>
  </si>
  <si>
    <t>15282761504</t>
  </si>
  <si>
    <t>15282761536</t>
  </si>
  <si>
    <t>15282761620</t>
  </si>
  <si>
    <t>15282761659</t>
  </si>
  <si>
    <t>15282761823</t>
  </si>
  <si>
    <t>15282764298</t>
  </si>
  <si>
    <t>15282764317</t>
  </si>
  <si>
    <t>15282766370</t>
  </si>
  <si>
    <t>15282766552</t>
  </si>
  <si>
    <t>15282767296</t>
  </si>
  <si>
    <t>58017331</t>
  </si>
  <si>
    <t>15282767564</t>
  </si>
  <si>
    <t>15282769002</t>
  </si>
  <si>
    <t>15282773112</t>
  </si>
  <si>
    <t>15282773116</t>
  </si>
  <si>
    <t>15282779308</t>
  </si>
  <si>
    <t>15282784242</t>
  </si>
  <si>
    <t>58029974</t>
  </si>
  <si>
    <t>15282790246</t>
  </si>
  <si>
    <t>58030370</t>
  </si>
  <si>
    <t>15282792640</t>
  </si>
  <si>
    <t>58031344</t>
  </si>
  <si>
    <t>15282795251</t>
  </si>
  <si>
    <t>61696593</t>
  </si>
  <si>
    <t>15282799438</t>
  </si>
  <si>
    <t>58041954</t>
  </si>
  <si>
    <t>15282800614</t>
  </si>
  <si>
    <t>58043337</t>
  </si>
  <si>
    <t>15282801040</t>
  </si>
  <si>
    <t>15282801835</t>
  </si>
  <si>
    <t>58046538</t>
  </si>
  <si>
    <t>15282802662</t>
  </si>
  <si>
    <t>58042593</t>
  </si>
  <si>
    <t>15282803513</t>
  </si>
  <si>
    <t>58043332</t>
  </si>
  <si>
    <t>15282803769</t>
  </si>
  <si>
    <t>58043920</t>
  </si>
  <si>
    <t>15282803875</t>
  </si>
  <si>
    <t>58029802</t>
  </si>
  <si>
    <t>15282804089</t>
  </si>
  <si>
    <t>15282805125</t>
  </si>
  <si>
    <t>15282805687</t>
  </si>
  <si>
    <t>58043334</t>
  </si>
  <si>
    <t>15282806138</t>
  </si>
  <si>
    <t>15282806838</t>
  </si>
  <si>
    <t>15282807434</t>
  </si>
  <si>
    <t>15282807766</t>
  </si>
  <si>
    <t>15282808158</t>
  </si>
  <si>
    <t>15282808679</t>
  </si>
  <si>
    <t>15282808882</t>
  </si>
  <si>
    <t>15282810058</t>
  </si>
  <si>
    <t>58041963</t>
  </si>
  <si>
    <t>15282810910</t>
  </si>
  <si>
    <t>15282811267</t>
  </si>
  <si>
    <t>15282811293</t>
  </si>
  <si>
    <t>15282851175</t>
  </si>
  <si>
    <t>58046153</t>
  </si>
  <si>
    <t>15282869947</t>
  </si>
  <si>
    <t>15282870215</t>
  </si>
  <si>
    <t>15282872640</t>
  </si>
  <si>
    <t>58043459</t>
  </si>
  <si>
    <t>15282877715</t>
  </si>
  <si>
    <t>61691796</t>
  </si>
  <si>
    <t>15282878296</t>
  </si>
  <si>
    <t>15282880787</t>
  </si>
  <si>
    <t>15282887530</t>
  </si>
  <si>
    <t>58058590</t>
  </si>
  <si>
    <t>15282891220</t>
  </si>
  <si>
    <t>58059846</t>
  </si>
  <si>
    <t>15282891273</t>
  </si>
  <si>
    <t>58066614</t>
  </si>
  <si>
    <t>15282891731</t>
  </si>
  <si>
    <t>58057886</t>
  </si>
  <si>
    <t>15282893473</t>
  </si>
  <si>
    <t>58058001</t>
  </si>
  <si>
    <t>15282895033</t>
  </si>
  <si>
    <t>58057349</t>
  </si>
  <si>
    <t>15282895115</t>
  </si>
  <si>
    <t>58058685</t>
  </si>
  <si>
    <t>15282895873</t>
  </si>
  <si>
    <t>58059838</t>
  </si>
  <si>
    <t>15282901876</t>
  </si>
  <si>
    <t>15282901988</t>
  </si>
  <si>
    <t>15282902271</t>
  </si>
  <si>
    <t>15282931794</t>
  </si>
  <si>
    <t>15282940833</t>
  </si>
  <si>
    <t>58059849</t>
  </si>
  <si>
    <t>15282946372</t>
  </si>
  <si>
    <t>58060582</t>
  </si>
  <si>
    <t>15282946442</t>
  </si>
  <si>
    <t>58060647</t>
  </si>
  <si>
    <t>15282947462</t>
  </si>
  <si>
    <t>58058680</t>
  </si>
  <si>
    <t>15282957815</t>
  </si>
  <si>
    <t>58056223</t>
  </si>
  <si>
    <t>15282960638</t>
  </si>
  <si>
    <t>15282960654</t>
  </si>
  <si>
    <t>15282969590</t>
  </si>
  <si>
    <t>15282987202</t>
  </si>
  <si>
    <t>15282990314</t>
  </si>
  <si>
    <t>15283008389</t>
  </si>
  <si>
    <t>58084453</t>
  </si>
  <si>
    <t>15283015860</t>
  </si>
  <si>
    <t>58081527</t>
  </si>
  <si>
    <t>15283018826</t>
  </si>
  <si>
    <t>58083088</t>
  </si>
  <si>
    <t>15283019957</t>
  </si>
  <si>
    <t>58081051</t>
  </si>
  <si>
    <t>15283020387</t>
  </si>
  <si>
    <t>58083084</t>
  </si>
  <si>
    <t>15283021558</t>
  </si>
  <si>
    <t>58079305</t>
  </si>
  <si>
    <t>15283021641</t>
  </si>
  <si>
    <t>58081771</t>
  </si>
  <si>
    <t>15283021893</t>
  </si>
  <si>
    <t>58079303</t>
  </si>
  <si>
    <t>15283021894</t>
  </si>
  <si>
    <t>58079951</t>
  </si>
  <si>
    <t>15283027492</t>
  </si>
  <si>
    <t>15283029029</t>
  </si>
  <si>
    <t>15283029327</t>
  </si>
  <si>
    <t>15283031732</t>
  </si>
  <si>
    <t>15283032304</t>
  </si>
  <si>
    <t>15283033123</t>
  </si>
  <si>
    <t>15283033164</t>
  </si>
  <si>
    <t>15283033321</t>
  </si>
  <si>
    <t>15283035942</t>
  </si>
  <si>
    <t>15283036625</t>
  </si>
  <si>
    <t>15283037597</t>
  </si>
  <si>
    <t>15283038277</t>
  </si>
  <si>
    <t>15283038702</t>
  </si>
  <si>
    <t>15283038945</t>
  </si>
  <si>
    <t>15283041240</t>
  </si>
  <si>
    <t>15283043993</t>
  </si>
  <si>
    <t>15283044255</t>
  </si>
  <si>
    <t>61700574</t>
  </si>
  <si>
    <t>15283053895</t>
  </si>
  <si>
    <t>15283057548</t>
  </si>
  <si>
    <t>15283070213</t>
  </si>
  <si>
    <t>15283073192</t>
  </si>
  <si>
    <t>58083807</t>
  </si>
  <si>
    <t>15283084400</t>
  </si>
  <si>
    <t>58085293</t>
  </si>
  <si>
    <t>15283084694</t>
  </si>
  <si>
    <t>58085448</t>
  </si>
  <si>
    <t>15283092507</t>
  </si>
  <si>
    <t>58083803</t>
  </si>
  <si>
    <t>15283094414</t>
  </si>
  <si>
    <t>15283095981</t>
  </si>
  <si>
    <t>58083946</t>
  </si>
  <si>
    <t>15283097807</t>
  </si>
  <si>
    <t>58084071</t>
  </si>
  <si>
    <t>15283099092</t>
  </si>
  <si>
    <t>58084090</t>
  </si>
  <si>
    <t>15283099094</t>
  </si>
  <si>
    <t>58084095</t>
  </si>
  <si>
    <t>15283100376</t>
  </si>
  <si>
    <t>15283101804</t>
  </si>
  <si>
    <t>58086665</t>
  </si>
  <si>
    <t>15283101924</t>
  </si>
  <si>
    <t>15283101991</t>
  </si>
  <si>
    <t>61678794</t>
  </si>
  <si>
    <t>15283103667</t>
  </si>
  <si>
    <t>15283105231</t>
  </si>
  <si>
    <t>15283105967</t>
  </si>
  <si>
    <t>15283107661</t>
  </si>
  <si>
    <t>15283108072</t>
  </si>
  <si>
    <t>15283108512</t>
  </si>
  <si>
    <t>15283108567</t>
  </si>
  <si>
    <t>15283108684</t>
  </si>
  <si>
    <t>15283109033</t>
  </si>
  <si>
    <t>15283109253</t>
  </si>
  <si>
    <t>15283109324</t>
  </si>
  <si>
    <t>15283112612</t>
  </si>
  <si>
    <t>15283113312</t>
  </si>
  <si>
    <t>15283114545</t>
  </si>
  <si>
    <t>15283115115</t>
  </si>
  <si>
    <t>15283128565</t>
  </si>
  <si>
    <t>15283134758</t>
  </si>
  <si>
    <t>15283135145</t>
  </si>
  <si>
    <t>61693988</t>
  </si>
  <si>
    <t>15283136702</t>
  </si>
  <si>
    <t>15283139228</t>
  </si>
  <si>
    <t>58094972</t>
  </si>
  <si>
    <t>15283143360</t>
  </si>
  <si>
    <t>58106943</t>
  </si>
  <si>
    <t>15283144555</t>
  </si>
  <si>
    <t>58095858</t>
  </si>
  <si>
    <t>15283146199</t>
  </si>
  <si>
    <t>58093660</t>
  </si>
  <si>
    <t>15283146633</t>
  </si>
  <si>
    <t>58093565</t>
  </si>
  <si>
    <t>15283149576</t>
  </si>
  <si>
    <t>58094983</t>
  </si>
  <si>
    <t>15283151272</t>
  </si>
  <si>
    <t>58096665</t>
  </si>
  <si>
    <t>15283157264</t>
  </si>
  <si>
    <t>58097458</t>
  </si>
  <si>
    <t>15283161191</t>
  </si>
  <si>
    <t>58095925</t>
  </si>
  <si>
    <t>15283161544</t>
  </si>
  <si>
    <t>15283161785</t>
  </si>
  <si>
    <t>58095929</t>
  </si>
  <si>
    <t>15283165487</t>
  </si>
  <si>
    <t>58096788</t>
  </si>
  <si>
    <t>15283166847</t>
  </si>
  <si>
    <t>58096908</t>
  </si>
  <si>
    <t>15283167550</t>
  </si>
  <si>
    <t>15283169032</t>
  </si>
  <si>
    <t>58097465</t>
  </si>
  <si>
    <t>15283169038</t>
  </si>
  <si>
    <t>58097460</t>
  </si>
  <si>
    <t>15283172007</t>
  </si>
  <si>
    <t>58097639</t>
  </si>
  <si>
    <t>15283172998</t>
  </si>
  <si>
    <t>15283173856</t>
  </si>
  <si>
    <t>58093498</t>
  </si>
  <si>
    <t>15283175579</t>
  </si>
  <si>
    <t>15283175607</t>
  </si>
  <si>
    <t>15283175702</t>
  </si>
  <si>
    <t>15283175915</t>
  </si>
  <si>
    <t>15283176280</t>
  </si>
  <si>
    <t>15283176899</t>
  </si>
  <si>
    <t>15283177957</t>
  </si>
  <si>
    <t>15283178174</t>
  </si>
  <si>
    <t>15283179113</t>
  </si>
  <si>
    <t>15283183505</t>
  </si>
  <si>
    <t>15283185351</t>
  </si>
  <si>
    <t>15283187792</t>
  </si>
  <si>
    <t>15283195350</t>
  </si>
  <si>
    <t>15283197210</t>
  </si>
  <si>
    <t>15283198267</t>
  </si>
  <si>
    <t>58105324</t>
  </si>
  <si>
    <t>15283208796</t>
  </si>
  <si>
    <t>58104304</t>
  </si>
  <si>
    <t>15283210793</t>
  </si>
  <si>
    <t>58103527</t>
  </si>
  <si>
    <t>15283216279</t>
  </si>
  <si>
    <t>58102093</t>
  </si>
  <si>
    <t>15283216610</t>
  </si>
  <si>
    <t>58101700</t>
  </si>
  <si>
    <t>15283220540</t>
  </si>
  <si>
    <t>58102092</t>
  </si>
  <si>
    <t>15283223369</t>
  </si>
  <si>
    <t>58103551</t>
  </si>
  <si>
    <t>15283224586</t>
  </si>
  <si>
    <t>58106213</t>
  </si>
  <si>
    <t>15283226233</t>
  </si>
  <si>
    <t>58106252</t>
  </si>
  <si>
    <t>15283226638</t>
  </si>
  <si>
    <t>58104221</t>
  </si>
  <si>
    <t>15283227176</t>
  </si>
  <si>
    <t>58104439</t>
  </si>
  <si>
    <t>15283229488</t>
  </si>
  <si>
    <t>58104300</t>
  </si>
  <si>
    <t>15283230722</t>
  </si>
  <si>
    <t>58105242</t>
  </si>
  <si>
    <t>15283231270</t>
  </si>
  <si>
    <t>58104931</t>
  </si>
  <si>
    <t>15283231752</t>
  </si>
  <si>
    <t>58105614</t>
  </si>
  <si>
    <t>15283231797</t>
  </si>
  <si>
    <t>58105617</t>
  </si>
  <si>
    <t>15283232170</t>
  </si>
  <si>
    <t>58104930</t>
  </si>
  <si>
    <t>15283232188</t>
  </si>
  <si>
    <t>58104932</t>
  </si>
  <si>
    <t>15283232465</t>
  </si>
  <si>
    <t>58105068</t>
  </si>
  <si>
    <t>15283235401</t>
  </si>
  <si>
    <t>15283238002</t>
  </si>
  <si>
    <t>15283238003</t>
  </si>
  <si>
    <t>15283238384</t>
  </si>
  <si>
    <t>15283238974</t>
  </si>
  <si>
    <t>15283252538</t>
  </si>
  <si>
    <t>15283266785</t>
  </si>
  <si>
    <t>58113039</t>
  </si>
  <si>
    <t>15283270181</t>
  </si>
  <si>
    <t>58113276</t>
  </si>
  <si>
    <t>15283270214</t>
  </si>
  <si>
    <t>58113304</t>
  </si>
  <si>
    <t>15283270800</t>
  </si>
  <si>
    <t>58111266</t>
  </si>
  <si>
    <t>15283271206</t>
  </si>
  <si>
    <t>58115307</t>
  </si>
  <si>
    <t>15283272914</t>
  </si>
  <si>
    <t>58113277</t>
  </si>
  <si>
    <t>15283276723</t>
  </si>
  <si>
    <t>58122936</t>
  </si>
  <si>
    <t>15283276891</t>
  </si>
  <si>
    <t>58114951</t>
  </si>
  <si>
    <t>15283278002</t>
  </si>
  <si>
    <t>58122934</t>
  </si>
  <si>
    <t>15283279651</t>
  </si>
  <si>
    <t>58115073</t>
  </si>
  <si>
    <t>15283285166</t>
  </si>
  <si>
    <t>15283285502</t>
  </si>
  <si>
    <t>61731838</t>
  </si>
  <si>
    <t>15283285611</t>
  </si>
  <si>
    <t>15283286133</t>
  </si>
  <si>
    <t>15283287002</t>
  </si>
  <si>
    <t>15283287650</t>
  </si>
  <si>
    <t>15283287854</t>
  </si>
  <si>
    <t>61675591</t>
  </si>
  <si>
    <t>15283289505</t>
  </si>
  <si>
    <t>15283289560</t>
  </si>
  <si>
    <t>15283289698</t>
  </si>
  <si>
    <t>15283291263</t>
  </si>
  <si>
    <t>15283292702</t>
  </si>
  <si>
    <t>15283292706</t>
  </si>
  <si>
    <t>15283307976</t>
  </si>
  <si>
    <t>58124235</t>
  </si>
  <si>
    <t>15283311348</t>
  </si>
  <si>
    <t>58125976</t>
  </si>
  <si>
    <t>15283312719</t>
  </si>
  <si>
    <t>58124945</t>
  </si>
  <si>
    <t>15283315377</t>
  </si>
  <si>
    <t>58126113</t>
  </si>
  <si>
    <t>15283317425</t>
  </si>
  <si>
    <t>58126391</t>
  </si>
  <si>
    <t>15283318678</t>
  </si>
  <si>
    <t>58126505</t>
  </si>
  <si>
    <t>15283321446</t>
  </si>
  <si>
    <t>58127309</t>
  </si>
  <si>
    <t>15283321579</t>
  </si>
  <si>
    <t>58127671</t>
  </si>
  <si>
    <t>15283323198</t>
  </si>
  <si>
    <t>58127487</t>
  </si>
  <si>
    <t>15283324417</t>
  </si>
  <si>
    <t>58127668</t>
  </si>
  <si>
    <t>15283328146</t>
  </si>
  <si>
    <t>58128406</t>
  </si>
  <si>
    <t>15283329799</t>
  </si>
  <si>
    <t>15283329986</t>
  </si>
  <si>
    <t>61697626</t>
  </si>
  <si>
    <t>15283329987</t>
  </si>
  <si>
    <t>15283330303</t>
  </si>
  <si>
    <t>15283330757</t>
  </si>
  <si>
    <t>15283331076</t>
  </si>
  <si>
    <t>15283331364</t>
  </si>
  <si>
    <t>15283332996</t>
  </si>
  <si>
    <t>58136988</t>
  </si>
  <si>
    <t>15283335873</t>
  </si>
  <si>
    <t>15283335888</t>
  </si>
  <si>
    <t>15283335986</t>
  </si>
  <si>
    <t>15283336140</t>
  </si>
  <si>
    <t>15283336149</t>
  </si>
  <si>
    <t>15283336205</t>
  </si>
  <si>
    <t>15283336280</t>
  </si>
  <si>
    <t>15283336281</t>
  </si>
  <si>
    <t>58172031</t>
  </si>
  <si>
    <t>15283336430</t>
  </si>
  <si>
    <t>15283336497</t>
  </si>
  <si>
    <t>15283336716</t>
  </si>
  <si>
    <t>15283337001</t>
  </si>
  <si>
    <t>15283337029</t>
  </si>
  <si>
    <t>15283337072</t>
  </si>
  <si>
    <t>15283337614</t>
  </si>
  <si>
    <t>15283337833</t>
  </si>
  <si>
    <t>15283337888</t>
  </si>
  <si>
    <t>58170993</t>
  </si>
  <si>
    <t>15283338184</t>
  </si>
  <si>
    <t>15283338285</t>
  </si>
  <si>
    <t>15283338416</t>
  </si>
  <si>
    <t>15283338514</t>
  </si>
  <si>
    <t>15283338823</t>
  </si>
  <si>
    <t>58170700</t>
  </si>
  <si>
    <t>15283341740</t>
  </si>
  <si>
    <t>15283342298</t>
  </si>
  <si>
    <t>15283342667</t>
  </si>
  <si>
    <t>15283342707</t>
  </si>
  <si>
    <t>15283342779</t>
  </si>
  <si>
    <t>15283351262</t>
  </si>
  <si>
    <t>15283351263</t>
  </si>
  <si>
    <t>15283351285</t>
  </si>
  <si>
    <t>15283351286</t>
  </si>
  <si>
    <t>15283351288</t>
  </si>
  <si>
    <t>15283351936</t>
  </si>
  <si>
    <t>15283352109</t>
  </si>
  <si>
    <t>58140816</t>
  </si>
  <si>
    <t>15283352129</t>
  </si>
  <si>
    <t>15283352179</t>
  </si>
  <si>
    <t>15283353988</t>
  </si>
  <si>
    <t>15283354853</t>
  </si>
  <si>
    <t>15283354947</t>
  </si>
  <si>
    <t>15283356763</t>
  </si>
  <si>
    <t>58341627</t>
  </si>
  <si>
    <t>15283358965</t>
  </si>
  <si>
    <t>58170589</t>
  </si>
  <si>
    <t>15283362540</t>
  </si>
  <si>
    <t>15283368727</t>
  </si>
  <si>
    <t>58158519</t>
  </si>
  <si>
    <t>15283369507</t>
  </si>
  <si>
    <t>58158521</t>
  </si>
  <si>
    <t>15283369692</t>
  </si>
  <si>
    <t>58157500</t>
  </si>
  <si>
    <t>15283371630</t>
  </si>
  <si>
    <t>58157284</t>
  </si>
  <si>
    <t>15283375533</t>
  </si>
  <si>
    <t>58152964</t>
  </si>
  <si>
    <t>15283376122</t>
  </si>
  <si>
    <t>58157209</t>
  </si>
  <si>
    <t>15283376556</t>
  </si>
  <si>
    <t>58157126</t>
  </si>
  <si>
    <t>15283377141</t>
  </si>
  <si>
    <t>58140792</t>
  </si>
  <si>
    <t>15283377291</t>
  </si>
  <si>
    <t>58139132</t>
  </si>
  <si>
    <t>15283377644</t>
  </si>
  <si>
    <t>58138997</t>
  </si>
  <si>
    <t>15283377691</t>
  </si>
  <si>
    <t>58138812</t>
  </si>
  <si>
    <t>15283377723</t>
  </si>
  <si>
    <t>58140626</t>
  </si>
  <si>
    <t>15283377724</t>
  </si>
  <si>
    <t>58139002</t>
  </si>
  <si>
    <t>15283378249</t>
  </si>
  <si>
    <t>58138916</t>
  </si>
  <si>
    <t>15283378659</t>
  </si>
  <si>
    <t>58138544</t>
  </si>
  <si>
    <t>15283378808</t>
  </si>
  <si>
    <t>58138535</t>
  </si>
  <si>
    <t>15283379476</t>
  </si>
  <si>
    <t>58158415</t>
  </si>
  <si>
    <t>58140822</t>
  </si>
  <si>
    <t>15283379612</t>
  </si>
  <si>
    <t>58157491</t>
  </si>
  <si>
    <t>15283379975</t>
  </si>
  <si>
    <t>58157334</t>
  </si>
  <si>
    <t>15283380019</t>
  </si>
  <si>
    <t>58157499</t>
  </si>
  <si>
    <t>15283380852</t>
  </si>
  <si>
    <t>58140821</t>
  </si>
  <si>
    <t>15283380853</t>
  </si>
  <si>
    <t>58153347</t>
  </si>
  <si>
    <t>15283381015</t>
  </si>
  <si>
    <t>58157335</t>
  </si>
  <si>
    <t>15283381220</t>
  </si>
  <si>
    <t>58140805</t>
  </si>
  <si>
    <t>15283381326</t>
  </si>
  <si>
    <t>58157329</t>
  </si>
  <si>
    <t>15283381596</t>
  </si>
  <si>
    <t>58140624</t>
  </si>
  <si>
    <t>15283381877</t>
  </si>
  <si>
    <t>58158746</t>
  </si>
  <si>
    <t>15283382467</t>
  </si>
  <si>
    <t>58158920</t>
  </si>
  <si>
    <t>15283383145</t>
  </si>
  <si>
    <t>58157201</t>
  </si>
  <si>
    <t>15283383185</t>
  </si>
  <si>
    <t>58157130</t>
  </si>
  <si>
    <t>15283384024</t>
  </si>
  <si>
    <t>15283384131</t>
  </si>
  <si>
    <t>58139126</t>
  </si>
  <si>
    <t>15283384261</t>
  </si>
  <si>
    <t>58140690</t>
  </si>
  <si>
    <t>15283384332</t>
  </si>
  <si>
    <t>58157494</t>
  </si>
  <si>
    <t>15283384357</t>
  </si>
  <si>
    <t>58139129</t>
  </si>
  <si>
    <t>15283384431</t>
  </si>
  <si>
    <t>58139135</t>
  </si>
  <si>
    <t>15283384456</t>
  </si>
  <si>
    <t>58139112</t>
  </si>
  <si>
    <t>15283384492</t>
  </si>
  <si>
    <t>58140826</t>
  </si>
  <si>
    <t>15283384644</t>
  </si>
  <si>
    <t>58140698</t>
  </si>
  <si>
    <t>15283384737</t>
  </si>
  <si>
    <t>58139120</t>
  </si>
  <si>
    <t>15283384876</t>
  </si>
  <si>
    <t>58158913</t>
  </si>
  <si>
    <t>15283384985</t>
  </si>
  <si>
    <t>58158736</t>
  </si>
  <si>
    <t>15283385197</t>
  </si>
  <si>
    <t>58157331</t>
  </si>
  <si>
    <t>15283385199</t>
  </si>
  <si>
    <t>58157337</t>
  </si>
  <si>
    <t>15283385353</t>
  </si>
  <si>
    <t>58157134</t>
  </si>
  <si>
    <t>15283385801</t>
  </si>
  <si>
    <t>58141047</t>
  </si>
  <si>
    <t>15283386062</t>
  </si>
  <si>
    <t>58140813</t>
  </si>
  <si>
    <t>15283386334</t>
  </si>
  <si>
    <t>58140625</t>
  </si>
  <si>
    <t>15283386385</t>
  </si>
  <si>
    <t>58140819</t>
  </si>
  <si>
    <t>15283386818</t>
  </si>
  <si>
    <t>58139134</t>
  </si>
  <si>
    <t>15283386833</t>
  </si>
  <si>
    <t>58139125</t>
  </si>
  <si>
    <t>15283387343</t>
  </si>
  <si>
    <t>58158911</t>
  </si>
  <si>
    <t>15283387456</t>
  </si>
  <si>
    <t>58159174</t>
  </si>
  <si>
    <t>15283387814</t>
  </si>
  <si>
    <t>58157339</t>
  </si>
  <si>
    <t>15283387853</t>
  </si>
  <si>
    <t>58148191</t>
  </si>
  <si>
    <t>15283388050</t>
  </si>
  <si>
    <t>58157128</t>
  </si>
  <si>
    <t>15283388522</t>
  </si>
  <si>
    <t>58140806</t>
  </si>
  <si>
    <t>15283389366</t>
  </si>
  <si>
    <t>58140700</t>
  </si>
  <si>
    <t>15283389455</t>
  </si>
  <si>
    <t>58140696</t>
  </si>
  <si>
    <t>15283389845</t>
  </si>
  <si>
    <t>58137067</t>
  </si>
  <si>
    <t>15283390554</t>
  </si>
  <si>
    <t>58158419</t>
  </si>
  <si>
    <t>15283390627</t>
  </si>
  <si>
    <t>58158738</t>
  </si>
  <si>
    <t>15283390751</t>
  </si>
  <si>
    <t>58158741</t>
  </si>
  <si>
    <t>15283390853</t>
  </si>
  <si>
    <t>58159387</t>
  </si>
  <si>
    <t>15283390911</t>
  </si>
  <si>
    <t>58157498</t>
  </si>
  <si>
    <t>15283391264</t>
  </si>
  <si>
    <t>58158514</t>
  </si>
  <si>
    <t>15283391522</t>
  </si>
  <si>
    <t>58157497</t>
  </si>
  <si>
    <t>15283391998</t>
  </si>
  <si>
    <t>58148177</t>
  </si>
  <si>
    <t>15283392666</t>
  </si>
  <si>
    <t>58158522</t>
  </si>
  <si>
    <t>15283392692</t>
  </si>
  <si>
    <t>58158748</t>
  </si>
  <si>
    <t>15283392770</t>
  </si>
  <si>
    <t>58158513</t>
  </si>
  <si>
    <t>15283393061</t>
  </si>
  <si>
    <t>58158417</t>
  </si>
  <si>
    <t>15283393108</t>
  </si>
  <si>
    <t>58158927</t>
  </si>
  <si>
    <t>15283393264</t>
  </si>
  <si>
    <t>58158520</t>
  </si>
  <si>
    <t>15283393357</t>
  </si>
  <si>
    <t>58158916</t>
  </si>
  <si>
    <t>15283394006</t>
  </si>
  <si>
    <t>58158909</t>
  </si>
  <si>
    <t>15283394120</t>
  </si>
  <si>
    <t>58159337</t>
  </si>
  <si>
    <t>15283394244</t>
  </si>
  <si>
    <t>58158734</t>
  </si>
  <si>
    <t>15283395431</t>
  </si>
  <si>
    <t>58158918</t>
  </si>
  <si>
    <t>15283395489</t>
  </si>
  <si>
    <t>58158921</t>
  </si>
  <si>
    <t>15283395716</t>
  </si>
  <si>
    <t>58159165</t>
  </si>
  <si>
    <t>15283396341</t>
  </si>
  <si>
    <t>58159166</t>
  </si>
  <si>
    <t>15283396601</t>
  </si>
  <si>
    <t>58159336</t>
  </si>
  <si>
    <t>15283396617</t>
  </si>
  <si>
    <t>15283396665</t>
  </si>
  <si>
    <t>58159332</t>
  </si>
  <si>
    <t>15283397271</t>
  </si>
  <si>
    <t>15283397999</t>
  </si>
  <si>
    <t>15283398246</t>
  </si>
  <si>
    <t>15283398442</t>
  </si>
  <si>
    <t>15283398656</t>
  </si>
  <si>
    <t>15283399035</t>
  </si>
  <si>
    <t>15283399167</t>
  </si>
  <si>
    <t>15283399192</t>
  </si>
  <si>
    <t>15283399450</t>
  </si>
  <si>
    <t>15283399489</t>
  </si>
  <si>
    <t>15283401532</t>
  </si>
  <si>
    <t>15283401554</t>
  </si>
  <si>
    <t>15283401761</t>
  </si>
  <si>
    <t>15283402531</t>
  </si>
  <si>
    <t>15283402974</t>
  </si>
  <si>
    <t>15283403021</t>
  </si>
  <si>
    <t>15283403186</t>
  </si>
  <si>
    <t>15283403440</t>
  </si>
  <si>
    <t>15283404449</t>
  </si>
  <si>
    <t>58148178</t>
  </si>
  <si>
    <t>15283405310</t>
  </si>
  <si>
    <t>15283405632</t>
  </si>
  <si>
    <t>15283405951</t>
  </si>
  <si>
    <t>15283406184</t>
  </si>
  <si>
    <t>15283407139</t>
  </si>
  <si>
    <t>15283407431</t>
  </si>
  <si>
    <t>15283407542</t>
  </si>
  <si>
    <t>15283407997</t>
  </si>
  <si>
    <t>15283408044</t>
  </si>
  <si>
    <t>15283408660</t>
  </si>
  <si>
    <t>15283409389</t>
  </si>
  <si>
    <t>15283409518</t>
  </si>
  <si>
    <t>15283410063</t>
  </si>
  <si>
    <t>15283411039</t>
  </si>
  <si>
    <t>15283411575</t>
  </si>
  <si>
    <t>15283411830</t>
  </si>
  <si>
    <t>15283412946</t>
  </si>
  <si>
    <t>58140929</t>
  </si>
  <si>
    <t>15283413801</t>
  </si>
  <si>
    <t>15283413823</t>
  </si>
  <si>
    <t>15283414167</t>
  </si>
  <si>
    <t>15283414965</t>
  </si>
  <si>
    <t>15283415585</t>
  </si>
  <si>
    <t>15283417332</t>
  </si>
  <si>
    <t>61729645</t>
  </si>
  <si>
    <t>15283417352</t>
  </si>
  <si>
    <t>15283418730</t>
  </si>
  <si>
    <t>15283419252</t>
  </si>
  <si>
    <t>15283431234</t>
  </si>
  <si>
    <t>15283431501</t>
  </si>
  <si>
    <t>15283433846</t>
  </si>
  <si>
    <t>58170616</t>
  </si>
  <si>
    <t>15283434426</t>
  </si>
  <si>
    <t>15283446124</t>
  </si>
  <si>
    <t>58172026</t>
  </si>
  <si>
    <t>15283446474</t>
  </si>
  <si>
    <t>58171004</t>
  </si>
  <si>
    <t>15283448682</t>
  </si>
  <si>
    <t>58167796</t>
  </si>
  <si>
    <t>15283448908</t>
  </si>
  <si>
    <t>58167939</t>
  </si>
  <si>
    <t>15283450618</t>
  </si>
  <si>
    <t>58168119</t>
  </si>
  <si>
    <t>15283450839</t>
  </si>
  <si>
    <t>58168410</t>
  </si>
  <si>
    <t>15283451113</t>
  </si>
  <si>
    <t>58168407</t>
  </si>
  <si>
    <t>15283451199</t>
  </si>
  <si>
    <t>58168123</t>
  </si>
  <si>
    <t>15283451229</t>
  </si>
  <si>
    <t>58167936</t>
  </si>
  <si>
    <t>15283451495</t>
  </si>
  <si>
    <t>58166516</t>
  </si>
  <si>
    <t>15283452807</t>
  </si>
  <si>
    <t>58166655</t>
  </si>
  <si>
    <t>15283454332</t>
  </si>
  <si>
    <t>58169880</t>
  </si>
  <si>
    <t>15283456026</t>
  </si>
  <si>
    <t>58167934</t>
  </si>
  <si>
    <t>15283457758</t>
  </si>
  <si>
    <t>58170431</t>
  </si>
  <si>
    <t>15283458503</t>
  </si>
  <si>
    <t>58169139</t>
  </si>
  <si>
    <t>15283458956</t>
  </si>
  <si>
    <t>58170430</t>
  </si>
  <si>
    <t>15283459239</t>
  </si>
  <si>
    <t>58169874</t>
  </si>
  <si>
    <t>15283459754</t>
  </si>
  <si>
    <t>15283460225</t>
  </si>
  <si>
    <t>58169135</t>
  </si>
  <si>
    <t>15283460236</t>
  </si>
  <si>
    <t>58168929</t>
  </si>
  <si>
    <t>15283460468</t>
  </si>
  <si>
    <t>58168930</t>
  </si>
  <si>
    <t>15283460923</t>
  </si>
  <si>
    <t>58169871</t>
  </si>
  <si>
    <t>15283461190</t>
  </si>
  <si>
    <t>58170609</t>
  </si>
  <si>
    <t>15283462409</t>
  </si>
  <si>
    <t>58179386</t>
  </si>
  <si>
    <t>15283462565</t>
  </si>
  <si>
    <t>58170854</t>
  </si>
  <si>
    <t>15283463596</t>
  </si>
  <si>
    <t>58170612</t>
  </si>
  <si>
    <t>15283463897</t>
  </si>
  <si>
    <t>15283463958</t>
  </si>
  <si>
    <t>58170185</t>
  </si>
  <si>
    <t>15283464218</t>
  </si>
  <si>
    <t>58172038</t>
  </si>
  <si>
    <t>15283465473</t>
  </si>
  <si>
    <t>58171002</t>
  </si>
  <si>
    <t>15283465693</t>
  </si>
  <si>
    <t>58170989</t>
  </si>
  <si>
    <t>15283466350</t>
  </si>
  <si>
    <t>15283466357</t>
  </si>
  <si>
    <t>61678201</t>
  </si>
  <si>
    <t>15283466431</t>
  </si>
  <si>
    <t>58166657</t>
  </si>
  <si>
    <t>15283466547</t>
  </si>
  <si>
    <t>15283466657</t>
  </si>
  <si>
    <t>58380576</t>
  </si>
  <si>
    <t>15283467743</t>
  </si>
  <si>
    <t>15283467860</t>
  </si>
  <si>
    <t>15283467930</t>
  </si>
  <si>
    <t>15283468405</t>
  </si>
  <si>
    <t>15283469189</t>
  </si>
  <si>
    <t>15283469383</t>
  </si>
  <si>
    <t>15283469612</t>
  </si>
  <si>
    <t>15283470083</t>
  </si>
  <si>
    <t>58185077</t>
  </si>
  <si>
    <t>15283471055</t>
  </si>
  <si>
    <t>58182920</t>
  </si>
  <si>
    <t>15283472296</t>
  </si>
  <si>
    <t>58181461</t>
  </si>
  <si>
    <t>15283473657</t>
  </si>
  <si>
    <t>58209079</t>
  </si>
  <si>
    <t>15283474952</t>
  </si>
  <si>
    <t>58182165</t>
  </si>
  <si>
    <t>15283475171</t>
  </si>
  <si>
    <t>58183088</t>
  </si>
  <si>
    <t>15283475811</t>
  </si>
  <si>
    <t>58183620</t>
  </si>
  <si>
    <t>15283476678</t>
  </si>
  <si>
    <t>58183459</t>
  </si>
  <si>
    <t>15283477730</t>
  </si>
  <si>
    <t>58181620</t>
  </si>
  <si>
    <t>15283479053</t>
  </si>
  <si>
    <t>58183843</t>
  </si>
  <si>
    <t>15283479198</t>
  </si>
  <si>
    <t>58183631</t>
  </si>
  <si>
    <t>15283479543</t>
  </si>
  <si>
    <t>58183613</t>
  </si>
  <si>
    <t>15283484512</t>
  </si>
  <si>
    <t>58183082</t>
  </si>
  <si>
    <t>15283485184</t>
  </si>
  <si>
    <t>58181821</t>
  </si>
  <si>
    <t>15283487297</t>
  </si>
  <si>
    <t>58183626</t>
  </si>
  <si>
    <t>15283488962</t>
  </si>
  <si>
    <t>58183628</t>
  </si>
  <si>
    <t>15283494165</t>
  </si>
  <si>
    <t>58183625</t>
  </si>
  <si>
    <t>15283494829</t>
  </si>
  <si>
    <t>58183840</t>
  </si>
  <si>
    <t>15283500734</t>
  </si>
  <si>
    <t>58185255</t>
  </si>
  <si>
    <t>15283504330</t>
  </si>
  <si>
    <t>15283505117</t>
  </si>
  <si>
    <t>15283506767</t>
  </si>
  <si>
    <t>15283507617</t>
  </si>
  <si>
    <t>15283509881</t>
  </si>
  <si>
    <t>15283509939</t>
  </si>
  <si>
    <t>15283509992</t>
  </si>
  <si>
    <t>15283510140</t>
  </si>
  <si>
    <t>15283512378</t>
  </si>
  <si>
    <t>15283512563</t>
  </si>
  <si>
    <t>15283513767</t>
  </si>
  <si>
    <t>15283515108</t>
  </si>
  <si>
    <t>15283515754</t>
  </si>
  <si>
    <t>15283516214</t>
  </si>
  <si>
    <t>15283516698</t>
  </si>
  <si>
    <t>15283517660</t>
  </si>
  <si>
    <t>15283518440</t>
  </si>
  <si>
    <t>15283519802</t>
  </si>
  <si>
    <t>15283521243</t>
  </si>
  <si>
    <t>15283525648</t>
  </si>
  <si>
    <t>15283525742</t>
  </si>
  <si>
    <t>15283526498</t>
  </si>
  <si>
    <t>15283527600</t>
  </si>
  <si>
    <t>15283529815</t>
  </si>
  <si>
    <t>15283530195</t>
  </si>
  <si>
    <t>15283530609</t>
  </si>
  <si>
    <t>15283531055</t>
  </si>
  <si>
    <t>15283531756</t>
  </si>
  <si>
    <t>15283531989</t>
  </si>
  <si>
    <t>15283533219</t>
  </si>
  <si>
    <t>15283534658</t>
  </si>
  <si>
    <t>15283534707</t>
  </si>
  <si>
    <t>15283534923</t>
  </si>
  <si>
    <t>15283544343</t>
  </si>
  <si>
    <t>15283552204</t>
  </si>
  <si>
    <t>58194667</t>
  </si>
  <si>
    <t>15283553440</t>
  </si>
  <si>
    <t>58192382</t>
  </si>
  <si>
    <t>15283553515</t>
  </si>
  <si>
    <t>58196976</t>
  </si>
  <si>
    <t>15283557835</t>
  </si>
  <si>
    <t>58195958</t>
  </si>
  <si>
    <t>15283558181</t>
  </si>
  <si>
    <t>58195694</t>
  </si>
  <si>
    <t>15283563390</t>
  </si>
  <si>
    <t>58194675</t>
  </si>
  <si>
    <t>15283564467</t>
  </si>
  <si>
    <t>58195763</t>
  </si>
  <si>
    <t>15283566587</t>
  </si>
  <si>
    <t>58197630</t>
  </si>
  <si>
    <t>15283568424</t>
  </si>
  <si>
    <t>58207849</t>
  </si>
  <si>
    <t>15283568685</t>
  </si>
  <si>
    <t>58197629</t>
  </si>
  <si>
    <t>15283571332</t>
  </si>
  <si>
    <t>58196978</t>
  </si>
  <si>
    <t>15283574024</t>
  </si>
  <si>
    <t>61680982</t>
  </si>
  <si>
    <t>58195473</t>
  </si>
  <si>
    <t>15283575052</t>
  </si>
  <si>
    <t>15283575132</t>
  </si>
  <si>
    <t>15283575649</t>
  </si>
  <si>
    <t>15283575650</t>
  </si>
  <si>
    <t>15283576374</t>
  </si>
  <si>
    <t>15283579989</t>
  </si>
  <si>
    <t>15283580897</t>
  </si>
  <si>
    <t>15283581183</t>
  </si>
  <si>
    <t>15283582441</t>
  </si>
  <si>
    <t>15283583050</t>
  </si>
  <si>
    <t>15283583354</t>
  </si>
  <si>
    <t>15283583758</t>
  </si>
  <si>
    <t>58204907</t>
  </si>
  <si>
    <t>15283584136</t>
  </si>
  <si>
    <t>15283584299</t>
  </si>
  <si>
    <t>15283584418</t>
  </si>
  <si>
    <t>58203591</t>
  </si>
  <si>
    <t>15283584476</t>
  </si>
  <si>
    <t>15283584567</t>
  </si>
  <si>
    <t>15283584997</t>
  </si>
  <si>
    <t>58204833</t>
  </si>
  <si>
    <t>15283585015</t>
  </si>
  <si>
    <t>15283586417</t>
  </si>
  <si>
    <t>15283588385</t>
  </si>
  <si>
    <t>15283588500</t>
  </si>
  <si>
    <t>58207843</t>
  </si>
  <si>
    <t>15283589938</t>
  </si>
  <si>
    <t>15283606452</t>
  </si>
  <si>
    <t>58206563</t>
  </si>
  <si>
    <t>15283608822</t>
  </si>
  <si>
    <t>58204913</t>
  </si>
  <si>
    <t>15283609232</t>
  </si>
  <si>
    <t>58203468</t>
  </si>
  <si>
    <t>15283611001</t>
  </si>
  <si>
    <t>58203247</t>
  </si>
  <si>
    <t>15283611837</t>
  </si>
  <si>
    <t>58208051</t>
  </si>
  <si>
    <t>15283612343</t>
  </si>
  <si>
    <t>58207844</t>
  </si>
  <si>
    <t>15283612671</t>
  </si>
  <si>
    <t>58206950</t>
  </si>
  <si>
    <t>15283613367</t>
  </si>
  <si>
    <t>58206792</t>
  </si>
  <si>
    <t>15283613420</t>
  </si>
  <si>
    <t>58206789</t>
  </si>
  <si>
    <t>15283613939</t>
  </si>
  <si>
    <t>58206786</t>
  </si>
  <si>
    <t>15283615085</t>
  </si>
  <si>
    <t>58204832</t>
  </si>
  <si>
    <t>15283615188</t>
  </si>
  <si>
    <t>58214964</t>
  </si>
  <si>
    <t>15283617765</t>
  </si>
  <si>
    <t>58204896</t>
  </si>
  <si>
    <t>15283619006</t>
  </si>
  <si>
    <t>61710203</t>
  </si>
  <si>
    <t>15283621244</t>
  </si>
  <si>
    <t>58206559</t>
  </si>
  <si>
    <t>15283621715</t>
  </si>
  <si>
    <t>58204905</t>
  </si>
  <si>
    <t>15283621819</t>
  </si>
  <si>
    <t>58204911</t>
  </si>
  <si>
    <t>15283622069</t>
  </si>
  <si>
    <t>58204828</t>
  </si>
  <si>
    <t>15283622148</t>
  </si>
  <si>
    <t>58204892</t>
  </si>
  <si>
    <t>15283622179</t>
  </si>
  <si>
    <t>58205137</t>
  </si>
  <si>
    <t>15283622360</t>
  </si>
  <si>
    <t>58209038</t>
  </si>
  <si>
    <t>15283623719</t>
  </si>
  <si>
    <t>58206952</t>
  </si>
  <si>
    <t>15283624197</t>
  </si>
  <si>
    <t>58206565</t>
  </si>
  <si>
    <t>15283624334</t>
  </si>
  <si>
    <t>58206954</t>
  </si>
  <si>
    <t>15283624358</t>
  </si>
  <si>
    <t>58206567</t>
  </si>
  <si>
    <t>15283625277</t>
  </si>
  <si>
    <t>58206560</t>
  </si>
  <si>
    <t>15283625279</t>
  </si>
  <si>
    <t>58206446</t>
  </si>
  <si>
    <t>15283625295</t>
  </si>
  <si>
    <t>58206562</t>
  </si>
  <si>
    <t>15283625531</t>
  </si>
  <si>
    <t>58206444</t>
  </si>
  <si>
    <t>15283625543</t>
  </si>
  <si>
    <t>58206709</t>
  </si>
  <si>
    <t>15283626020</t>
  </si>
  <si>
    <t>58206224</t>
  </si>
  <si>
    <t>15283627874</t>
  </si>
  <si>
    <t>58207858</t>
  </si>
  <si>
    <t>15283627890</t>
  </si>
  <si>
    <t>58207767</t>
  </si>
  <si>
    <t>15283627991</t>
  </si>
  <si>
    <t>58207513</t>
  </si>
  <si>
    <t>15283628239</t>
  </si>
  <si>
    <t>58215466</t>
  </si>
  <si>
    <t>15283629593</t>
  </si>
  <si>
    <t>58208040</t>
  </si>
  <si>
    <t>15283629834</t>
  </si>
  <si>
    <t>58208045</t>
  </si>
  <si>
    <t>15283629957</t>
  </si>
  <si>
    <t>58207940</t>
  </si>
  <si>
    <t>15283630009</t>
  </si>
  <si>
    <t>58796328</t>
  </si>
  <si>
    <t>15283630392</t>
  </si>
  <si>
    <t>58208218</t>
  </si>
  <si>
    <t>15283631206</t>
  </si>
  <si>
    <t>58208054</t>
  </si>
  <si>
    <t>15283631688</t>
  </si>
  <si>
    <t>58208050</t>
  </si>
  <si>
    <t>15283631989</t>
  </si>
  <si>
    <t>58226927</t>
  </si>
  <si>
    <t>15283632408</t>
  </si>
  <si>
    <t>58208153</t>
  </si>
  <si>
    <t>15283632674</t>
  </si>
  <si>
    <t>15283632697</t>
  </si>
  <si>
    <t>15283634359</t>
  </si>
  <si>
    <t>15283645314</t>
  </si>
  <si>
    <t>15283654939</t>
  </si>
  <si>
    <t>58215261</t>
  </si>
  <si>
    <t>15283658420</t>
  </si>
  <si>
    <t>58215579</t>
  </si>
  <si>
    <t>15283661355</t>
  </si>
  <si>
    <t>58217168</t>
  </si>
  <si>
    <t>15283662497</t>
  </si>
  <si>
    <t>58217161</t>
  </si>
  <si>
    <t>15283664385</t>
  </si>
  <si>
    <t>58217774</t>
  </si>
  <si>
    <t>15283664810</t>
  </si>
  <si>
    <t>58217436</t>
  </si>
  <si>
    <t>15283665131</t>
  </si>
  <si>
    <t>58217805</t>
  </si>
  <si>
    <t>15283665929</t>
  </si>
  <si>
    <t>58217814</t>
  </si>
  <si>
    <t>15283667078</t>
  </si>
  <si>
    <t>58219039</t>
  </si>
  <si>
    <t>15283668219</t>
  </si>
  <si>
    <t>58218276</t>
  </si>
  <si>
    <t>15283668290</t>
  </si>
  <si>
    <t>58218980</t>
  </si>
  <si>
    <t>15283668919</t>
  </si>
  <si>
    <t>58213825</t>
  </si>
  <si>
    <t>15283669637</t>
  </si>
  <si>
    <t>58219028</t>
  </si>
  <si>
    <t>15283671402</t>
  </si>
  <si>
    <t>58219421</t>
  </si>
  <si>
    <t>15283671523</t>
  </si>
  <si>
    <t>58219029</t>
  </si>
  <si>
    <t>15283671629</t>
  </si>
  <si>
    <t>58219037</t>
  </si>
  <si>
    <t>15283674644</t>
  </si>
  <si>
    <t>15283674827</t>
  </si>
  <si>
    <t>15283676208</t>
  </si>
  <si>
    <t>15283679453</t>
  </si>
  <si>
    <t>15283679915</t>
  </si>
  <si>
    <t>15283681195</t>
  </si>
  <si>
    <t>15283682458</t>
  </si>
  <si>
    <t>15283708124</t>
  </si>
  <si>
    <t>58226836</t>
  </si>
  <si>
    <t>15283708849</t>
  </si>
  <si>
    <t>58226131</t>
  </si>
  <si>
    <t>15283712666</t>
  </si>
  <si>
    <t>58226822</t>
  </si>
  <si>
    <t>15283715523</t>
  </si>
  <si>
    <t>58227893</t>
  </si>
  <si>
    <t>15283715665</t>
  </si>
  <si>
    <t>58227795</t>
  </si>
  <si>
    <t>15283722108</t>
  </si>
  <si>
    <t>58229633</t>
  </si>
  <si>
    <t>15283722430</t>
  </si>
  <si>
    <t>58229322</t>
  </si>
  <si>
    <t>15283722667</t>
  </si>
  <si>
    <t>58229331</t>
  </si>
  <si>
    <t>15283723350</t>
  </si>
  <si>
    <t>58229610</t>
  </si>
  <si>
    <t>15283723545</t>
  </si>
  <si>
    <t>58229505</t>
  </si>
  <si>
    <t>15283723676</t>
  </si>
  <si>
    <t>58229324</t>
  </si>
  <si>
    <t>15283724083</t>
  </si>
  <si>
    <t>58254275</t>
  </si>
  <si>
    <t>58253036</t>
  </si>
  <si>
    <t>15283724084</t>
  </si>
  <si>
    <t>58229614</t>
  </si>
  <si>
    <t>15283724466</t>
  </si>
  <si>
    <t>58229618</t>
  </si>
  <si>
    <t>15283728114</t>
  </si>
  <si>
    <t>15283728733</t>
  </si>
  <si>
    <t>61727463</t>
  </si>
  <si>
    <t>15283728900</t>
  </si>
  <si>
    <t>15283729228</t>
  </si>
  <si>
    <t>15283729257</t>
  </si>
  <si>
    <t>15283729357</t>
  </si>
  <si>
    <t>15283730789</t>
  </si>
  <si>
    <t>15283732054</t>
  </si>
  <si>
    <t>15283732212</t>
  </si>
  <si>
    <t>58226005</t>
  </si>
  <si>
    <t>15283732412</t>
  </si>
  <si>
    <t>15283732812</t>
  </si>
  <si>
    <t>15283733005</t>
  </si>
  <si>
    <t>15283734914</t>
  </si>
  <si>
    <t>15283736060</t>
  </si>
  <si>
    <t>15283738557</t>
  </si>
  <si>
    <t>15283738661</t>
  </si>
  <si>
    <t>15283738685</t>
  </si>
  <si>
    <t>15283738686</t>
  </si>
  <si>
    <t>15283738901</t>
  </si>
  <si>
    <t>15283750363</t>
  </si>
  <si>
    <t>15283751103</t>
  </si>
  <si>
    <t>15283752586</t>
  </si>
  <si>
    <t>15283759329</t>
  </si>
  <si>
    <t>58239261</t>
  </si>
  <si>
    <t>15283761120</t>
  </si>
  <si>
    <t>58237233</t>
  </si>
  <si>
    <t>15283765971</t>
  </si>
  <si>
    <t>58239255</t>
  </si>
  <si>
    <t>15283781355</t>
  </si>
  <si>
    <t>58240264</t>
  </si>
  <si>
    <t>15283783736</t>
  </si>
  <si>
    <t>58240065</t>
  </si>
  <si>
    <t>15283784038</t>
  </si>
  <si>
    <t>58239258</t>
  </si>
  <si>
    <t>15283785993</t>
  </si>
  <si>
    <t>15283786433</t>
  </si>
  <si>
    <t>58245699</t>
  </si>
  <si>
    <t>15283787067</t>
  </si>
  <si>
    <t>58245494</t>
  </si>
  <si>
    <t>15283789118</t>
  </si>
  <si>
    <t>58246812</t>
  </si>
  <si>
    <t>15283789358</t>
  </si>
  <si>
    <t>58246970</t>
  </si>
  <si>
    <t>15283789523</t>
  </si>
  <si>
    <t>58246695</t>
  </si>
  <si>
    <t>15283791377</t>
  </si>
  <si>
    <t>15283791934</t>
  </si>
  <si>
    <t>58246698</t>
  </si>
  <si>
    <t>15283792392</t>
  </si>
  <si>
    <t>15283795601</t>
  </si>
  <si>
    <t>15283798025</t>
  </si>
  <si>
    <t>15283798579</t>
  </si>
  <si>
    <t>15283798795</t>
  </si>
  <si>
    <t>15283799134</t>
  </si>
  <si>
    <t>15283799152</t>
  </si>
  <si>
    <t>15283799336</t>
  </si>
  <si>
    <t>15283801083</t>
  </si>
  <si>
    <t>15283801680</t>
  </si>
  <si>
    <t>15283804062</t>
  </si>
  <si>
    <t>15283804112</t>
  </si>
  <si>
    <t>15283810719</t>
  </si>
  <si>
    <t>15283810760</t>
  </si>
  <si>
    <t>15283810788</t>
  </si>
  <si>
    <t>15283818021</t>
  </si>
  <si>
    <t>15283827663</t>
  </si>
  <si>
    <t>58252603</t>
  </si>
  <si>
    <t>15283829360</t>
  </si>
  <si>
    <t>58255666</t>
  </si>
  <si>
    <t>15283830111</t>
  </si>
  <si>
    <t>15283830805</t>
  </si>
  <si>
    <t>58257274</t>
  </si>
  <si>
    <t>15283830926</t>
  </si>
  <si>
    <t>58255914</t>
  </si>
  <si>
    <t>15283830927</t>
  </si>
  <si>
    <t>58256077</t>
  </si>
  <si>
    <t>15283830941</t>
  </si>
  <si>
    <t>58255913</t>
  </si>
  <si>
    <t>15283830946</t>
  </si>
  <si>
    <t>58257275</t>
  </si>
  <si>
    <t>15283830957</t>
  </si>
  <si>
    <t>58255919</t>
  </si>
  <si>
    <t>15283832892</t>
  </si>
  <si>
    <t>58254278</t>
  </si>
  <si>
    <t>15283836672</t>
  </si>
  <si>
    <t>58266480</t>
  </si>
  <si>
    <t>15283836749</t>
  </si>
  <si>
    <t>58256575</t>
  </si>
  <si>
    <t>15283836955</t>
  </si>
  <si>
    <t>58254742</t>
  </si>
  <si>
    <t>15283837884</t>
  </si>
  <si>
    <t>58254074</t>
  </si>
  <si>
    <t>15283838590</t>
  </si>
  <si>
    <t>58256288</t>
  </si>
  <si>
    <t>15283838852</t>
  </si>
  <si>
    <t>58255668</t>
  </si>
  <si>
    <t>15283840170</t>
  </si>
  <si>
    <t>58254273</t>
  </si>
  <si>
    <t>15283840187</t>
  </si>
  <si>
    <t>58254427</t>
  </si>
  <si>
    <t>15283841757</t>
  </si>
  <si>
    <t>58256284</t>
  </si>
  <si>
    <t>15283843311</t>
  </si>
  <si>
    <t>58254821</t>
  </si>
  <si>
    <t>15283843782</t>
  </si>
  <si>
    <t>58257073</t>
  </si>
  <si>
    <t>15283845932</t>
  </si>
  <si>
    <t>15283845969</t>
  </si>
  <si>
    <t>15283846413</t>
  </si>
  <si>
    <t>15283846426</t>
  </si>
  <si>
    <t>15283846721</t>
  </si>
  <si>
    <t>15283847363</t>
  </si>
  <si>
    <t>15283847421</t>
  </si>
  <si>
    <t>15283847472</t>
  </si>
  <si>
    <t>15283853177</t>
  </si>
  <si>
    <t>58257152</t>
  </si>
  <si>
    <t>15283855062</t>
  </si>
  <si>
    <t>15283855879</t>
  </si>
  <si>
    <t>15283858572</t>
  </si>
  <si>
    <t>15283860995</t>
  </si>
  <si>
    <t>15283864945</t>
  </si>
  <si>
    <t>15283882061</t>
  </si>
  <si>
    <t>58264292</t>
  </si>
  <si>
    <t>15283882595</t>
  </si>
  <si>
    <t>58266702</t>
  </si>
  <si>
    <t>15283884742</t>
  </si>
  <si>
    <t>58266708</t>
  </si>
  <si>
    <t>15283895678</t>
  </si>
  <si>
    <t>58284443</t>
  </si>
  <si>
    <t>15283898497</t>
  </si>
  <si>
    <t>58268494</t>
  </si>
  <si>
    <t>15283899183</t>
  </si>
  <si>
    <t>15283899424</t>
  </si>
  <si>
    <t>61724055</t>
  </si>
  <si>
    <t>15283899671</t>
  </si>
  <si>
    <t>15283900216</t>
  </si>
  <si>
    <t>15283900217</t>
  </si>
  <si>
    <t>15283900655</t>
  </si>
  <si>
    <t>15283901192</t>
  </si>
  <si>
    <t>15283901229</t>
  </si>
  <si>
    <t>15283902886</t>
  </si>
  <si>
    <t>15283904150</t>
  </si>
  <si>
    <t>61733241</t>
  </si>
  <si>
    <t>15283904478</t>
  </si>
  <si>
    <t>15283904481</t>
  </si>
  <si>
    <t>15283904883</t>
  </si>
  <si>
    <t>15283905183</t>
  </si>
  <si>
    <t>15283905388</t>
  </si>
  <si>
    <t>58276674</t>
  </si>
  <si>
    <t>15283906395</t>
  </si>
  <si>
    <t>15283909203</t>
  </si>
  <si>
    <t>61689624</t>
  </si>
  <si>
    <t>15283911322</t>
  </si>
  <si>
    <t>15283912261</t>
  </si>
  <si>
    <t>15283912303</t>
  </si>
  <si>
    <t>15283912828</t>
  </si>
  <si>
    <t>15283914210</t>
  </si>
  <si>
    <t>15283914433</t>
  </si>
  <si>
    <t>15283918567</t>
  </si>
  <si>
    <t>15283931553</t>
  </si>
  <si>
    <t>58275174</t>
  </si>
  <si>
    <t>15283931555</t>
  </si>
  <si>
    <t>58275177</t>
  </si>
  <si>
    <t>15283936552</t>
  </si>
  <si>
    <t>58274539</t>
  </si>
  <si>
    <t>15283938784</t>
  </si>
  <si>
    <t>58276471</t>
  </si>
  <si>
    <t>15283946408</t>
  </si>
  <si>
    <t>15283968387</t>
  </si>
  <si>
    <t>58286498</t>
  </si>
  <si>
    <t>15283969357</t>
  </si>
  <si>
    <t>58284690</t>
  </si>
  <si>
    <t>15283970440</t>
  </si>
  <si>
    <t>15283972689</t>
  </si>
  <si>
    <t>58286503</t>
  </si>
  <si>
    <t>15283981372</t>
  </si>
  <si>
    <t>58289027</t>
  </si>
  <si>
    <t>15284003356</t>
  </si>
  <si>
    <t>58286684</t>
  </si>
  <si>
    <t>15284004507</t>
  </si>
  <si>
    <t>58289534</t>
  </si>
  <si>
    <t>15284004799</t>
  </si>
  <si>
    <t>58289260</t>
  </si>
  <si>
    <t>15284007189</t>
  </si>
  <si>
    <t>58289259</t>
  </si>
  <si>
    <t>15284007870</t>
  </si>
  <si>
    <t>58289336</t>
  </si>
  <si>
    <t>15284008057</t>
  </si>
  <si>
    <t>58307935</t>
  </si>
  <si>
    <t>15284009798</t>
  </si>
  <si>
    <t>58290679</t>
  </si>
  <si>
    <t>15284011068</t>
  </si>
  <si>
    <t>15284011509</t>
  </si>
  <si>
    <t>15284012039</t>
  </si>
  <si>
    <t>15284015377</t>
  </si>
  <si>
    <t>15284015649</t>
  </si>
  <si>
    <t>15284017902</t>
  </si>
  <si>
    <t>15284019502</t>
  </si>
  <si>
    <t>15284020515</t>
  </si>
  <si>
    <t>15284022222</t>
  </si>
  <si>
    <t>15284033989</t>
  </si>
  <si>
    <t>58298253</t>
  </si>
  <si>
    <t>15284037808</t>
  </si>
  <si>
    <t>58332542</t>
  </si>
  <si>
    <t>15284037897</t>
  </si>
  <si>
    <t>58307941</t>
  </si>
  <si>
    <t>15284040350</t>
  </si>
  <si>
    <t>58307826</t>
  </si>
  <si>
    <t>15284041746</t>
  </si>
  <si>
    <t>58307727</t>
  </si>
  <si>
    <t>15284046959</t>
  </si>
  <si>
    <t>58307964</t>
  </si>
  <si>
    <t>15284050037</t>
  </si>
  <si>
    <t>58313622</t>
  </si>
  <si>
    <t>15284051233</t>
  </si>
  <si>
    <t>15284051258</t>
  </si>
  <si>
    <t>15284051259</t>
  </si>
  <si>
    <t>15284051926</t>
  </si>
  <si>
    <t>15284052196</t>
  </si>
  <si>
    <t>15284052257</t>
  </si>
  <si>
    <t>15284053269</t>
  </si>
  <si>
    <t>58312284</t>
  </si>
  <si>
    <t>15284054283</t>
  </si>
  <si>
    <t>15284055207</t>
  </si>
  <si>
    <t>15284056275</t>
  </si>
  <si>
    <t>58380591</t>
  </si>
  <si>
    <t>15284083491</t>
  </si>
  <si>
    <t>58325421</t>
  </si>
  <si>
    <t>15284091338</t>
  </si>
  <si>
    <t>58307830</t>
  </si>
  <si>
    <t>15284097552</t>
  </si>
  <si>
    <t>58321335</t>
  </si>
  <si>
    <t>15284104148</t>
  </si>
  <si>
    <t>58336430</t>
  </si>
  <si>
    <t>15284105940</t>
  </si>
  <si>
    <t>15284111242</t>
  </si>
  <si>
    <t>15284120924</t>
  </si>
  <si>
    <t>15284123424</t>
  </si>
  <si>
    <t>15284146095</t>
  </si>
  <si>
    <t>58325309</t>
  </si>
  <si>
    <t>15284150159</t>
  </si>
  <si>
    <t>58320947</t>
  </si>
  <si>
    <t>15284151004</t>
  </si>
  <si>
    <t>58324392</t>
  </si>
  <si>
    <t>15284152898</t>
  </si>
  <si>
    <t>58321142</t>
  </si>
  <si>
    <t>15284158141</t>
  </si>
  <si>
    <t>58325417</t>
  </si>
  <si>
    <t>15284159969</t>
  </si>
  <si>
    <t>58324542</t>
  </si>
  <si>
    <t>15284161588</t>
  </si>
  <si>
    <t>58325306</t>
  </si>
  <si>
    <t>15284165091</t>
  </si>
  <si>
    <t>15284165550</t>
  </si>
  <si>
    <t>15284166382</t>
  </si>
  <si>
    <t>15284169375</t>
  </si>
  <si>
    <t>15284169962</t>
  </si>
  <si>
    <t>15284170601</t>
  </si>
  <si>
    <t>15284175598</t>
  </si>
  <si>
    <t>58334552</t>
  </si>
  <si>
    <t>15284192684</t>
  </si>
  <si>
    <t>15284201738</t>
  </si>
  <si>
    <t>58334017</t>
  </si>
  <si>
    <t>15284204799</t>
  </si>
  <si>
    <t>58355882</t>
  </si>
  <si>
    <t>15284208760</t>
  </si>
  <si>
    <t>58336602</t>
  </si>
  <si>
    <t>15284210166</t>
  </si>
  <si>
    <t>58337719</t>
  </si>
  <si>
    <t>15284211793</t>
  </si>
  <si>
    <t>58334014</t>
  </si>
  <si>
    <t>15284211973</t>
  </si>
  <si>
    <t>58354009</t>
  </si>
  <si>
    <t>15284212150</t>
  </si>
  <si>
    <t>58352971</t>
  </si>
  <si>
    <t>15284214331</t>
  </si>
  <si>
    <t>15284216899</t>
  </si>
  <si>
    <t>58350260</t>
  </si>
  <si>
    <t>15284218482</t>
  </si>
  <si>
    <t>58349656</t>
  </si>
  <si>
    <t>15284218537</t>
  </si>
  <si>
    <t>58349732</t>
  </si>
  <si>
    <t>15284218722</t>
  </si>
  <si>
    <t>58421390</t>
  </si>
  <si>
    <t>15284220102</t>
  </si>
  <si>
    <t>58363996</t>
  </si>
  <si>
    <t>15284220785</t>
  </si>
  <si>
    <t>58381935</t>
  </si>
  <si>
    <t>15284221163</t>
  </si>
  <si>
    <t>58343083</t>
  </si>
  <si>
    <t>15284231510</t>
  </si>
  <si>
    <t>58342854</t>
  </si>
  <si>
    <t>15284231603</t>
  </si>
  <si>
    <t>58342715</t>
  </si>
  <si>
    <t>15284231984</t>
  </si>
  <si>
    <t>58354064</t>
  </si>
  <si>
    <t>15284239633</t>
  </si>
  <si>
    <t>58343092</t>
  </si>
  <si>
    <t>15284251908</t>
  </si>
  <si>
    <t>58352630</t>
  </si>
  <si>
    <t>15284253558</t>
  </si>
  <si>
    <t>58352655</t>
  </si>
  <si>
    <t>15284254254</t>
  </si>
  <si>
    <t>58354987</t>
  </si>
  <si>
    <t>15284254429</t>
  </si>
  <si>
    <t>58379583</t>
  </si>
  <si>
    <t>15284255417</t>
  </si>
  <si>
    <t>58352646</t>
  </si>
  <si>
    <t>15284259364</t>
  </si>
  <si>
    <t>58355034</t>
  </si>
  <si>
    <t>15284260925</t>
  </si>
  <si>
    <t>58343086</t>
  </si>
  <si>
    <t>15284261073</t>
  </si>
  <si>
    <t>58355886</t>
  </si>
  <si>
    <t>15284261116</t>
  </si>
  <si>
    <t>58355894</t>
  </si>
  <si>
    <t>15284266713</t>
  </si>
  <si>
    <t>15284267359</t>
  </si>
  <si>
    <t>15284271319</t>
  </si>
  <si>
    <t>15284271427</t>
  </si>
  <si>
    <t>15284271595</t>
  </si>
  <si>
    <t>15284271769</t>
  </si>
  <si>
    <t>15284272514</t>
  </si>
  <si>
    <t>15284272730</t>
  </si>
  <si>
    <t>15284274094</t>
  </si>
  <si>
    <t>15284274700</t>
  </si>
  <si>
    <t>15284274702</t>
  </si>
  <si>
    <t>15284274703</t>
  </si>
  <si>
    <t>15284275248</t>
  </si>
  <si>
    <t>15284278669</t>
  </si>
  <si>
    <t>15284280398</t>
  </si>
  <si>
    <t>15284285442</t>
  </si>
  <si>
    <t>15284307185</t>
  </si>
  <si>
    <t>58367795</t>
  </si>
  <si>
    <t>15284317809</t>
  </si>
  <si>
    <t>58369951</t>
  </si>
  <si>
    <t>15284320562</t>
  </si>
  <si>
    <t>15284321354</t>
  </si>
  <si>
    <t>58378072</t>
  </si>
  <si>
    <t>15284323673</t>
  </si>
  <si>
    <t>58368049</t>
  </si>
  <si>
    <t>15284324078</t>
  </si>
  <si>
    <t>58367656</t>
  </si>
  <si>
    <t>15284326699</t>
  </si>
  <si>
    <t>58369885</t>
  </si>
  <si>
    <t>15284343365</t>
  </si>
  <si>
    <t>15284345230</t>
  </si>
  <si>
    <t>15284357820</t>
  </si>
  <si>
    <t>58377540</t>
  </si>
  <si>
    <t>15284358777</t>
  </si>
  <si>
    <t>58377557</t>
  </si>
  <si>
    <t>15284362095</t>
  </si>
  <si>
    <t>58377860</t>
  </si>
  <si>
    <t>15284362402</t>
  </si>
  <si>
    <t>58377414</t>
  </si>
  <si>
    <t>15284365052</t>
  </si>
  <si>
    <t>58379318</t>
  </si>
  <si>
    <t>15284367416</t>
  </si>
  <si>
    <t>58381685</t>
  </si>
  <si>
    <t>15284367436</t>
  </si>
  <si>
    <t>58381612</t>
  </si>
  <si>
    <t>15284369546</t>
  </si>
  <si>
    <t>58381506</t>
  </si>
  <si>
    <t>15284369553</t>
  </si>
  <si>
    <t>58381658</t>
  </si>
  <si>
    <t>15284369910</t>
  </si>
  <si>
    <t>58381603</t>
  </si>
  <si>
    <t>15284370066</t>
  </si>
  <si>
    <t>58381581</t>
  </si>
  <si>
    <t>15284370076</t>
  </si>
  <si>
    <t>58381533</t>
  </si>
  <si>
    <t>15284370121</t>
  </si>
  <si>
    <t>58381683</t>
  </si>
  <si>
    <t>15284370122</t>
  </si>
  <si>
    <t>58381697</t>
  </si>
  <si>
    <t>15284370123</t>
  </si>
  <si>
    <t>58381621</t>
  </si>
  <si>
    <t>15284370472</t>
  </si>
  <si>
    <t>58381981</t>
  </si>
  <si>
    <t>15284370499</t>
  </si>
  <si>
    <t>58382090</t>
  </si>
  <si>
    <t>15284370648</t>
  </si>
  <si>
    <t>58382041</t>
  </si>
  <si>
    <t>15284370682</t>
  </si>
  <si>
    <t>58381742</t>
  </si>
  <si>
    <t>15284371663</t>
  </si>
  <si>
    <t>58389941</t>
  </si>
  <si>
    <t>15284371805</t>
  </si>
  <si>
    <t>58381928</t>
  </si>
  <si>
    <t>15284372385</t>
  </si>
  <si>
    <t>58382195</t>
  </si>
  <si>
    <t>15284372441</t>
  </si>
  <si>
    <t>58378048</t>
  </si>
  <si>
    <t>15284372464</t>
  </si>
  <si>
    <t>58382228</t>
  </si>
  <si>
    <t>15284372505</t>
  </si>
  <si>
    <t>58382342</t>
  </si>
  <si>
    <t>15284372765</t>
  </si>
  <si>
    <t>58382318</t>
  </si>
  <si>
    <t>15284373461</t>
  </si>
  <si>
    <t>58382052</t>
  </si>
  <si>
    <t>15284373647</t>
  </si>
  <si>
    <t>58381976</t>
  </si>
  <si>
    <t>15284374019</t>
  </si>
  <si>
    <t>58381898</t>
  </si>
  <si>
    <t>15284374488</t>
  </si>
  <si>
    <t>58382366</t>
  </si>
  <si>
    <t>15284383187</t>
  </si>
  <si>
    <t>15284386913</t>
  </si>
  <si>
    <t>15284394792</t>
  </si>
  <si>
    <t>58387532</t>
  </si>
  <si>
    <t>15284396868</t>
  </si>
  <si>
    <t>58387791</t>
  </si>
  <si>
    <t>15284396936</t>
  </si>
  <si>
    <t>58387846</t>
  </si>
  <si>
    <t>15284398448</t>
  </si>
  <si>
    <t>58392485</t>
  </si>
  <si>
    <t>15284402079</t>
  </si>
  <si>
    <t>58394700</t>
  </si>
  <si>
    <t>15284405326</t>
  </si>
  <si>
    <t>58402410</t>
  </si>
  <si>
    <t>15284410475</t>
  </si>
  <si>
    <t>15284410478</t>
  </si>
  <si>
    <t>15284411652</t>
  </si>
  <si>
    <t>58396715</t>
  </si>
  <si>
    <t>15284412476</t>
  </si>
  <si>
    <t>58402297</t>
  </si>
  <si>
    <t>15284416189</t>
  </si>
  <si>
    <t>58409909</t>
  </si>
  <si>
    <t>15284416614</t>
  </si>
  <si>
    <t>58403688</t>
  </si>
  <si>
    <t>15284424732</t>
  </si>
  <si>
    <t>58408124</t>
  </si>
  <si>
    <t>15284455091</t>
  </si>
  <si>
    <t>58403314</t>
  </si>
  <si>
    <t>15284456774</t>
  </si>
  <si>
    <t>58403413</t>
  </si>
  <si>
    <t>15284465705</t>
  </si>
  <si>
    <t>15284470908</t>
  </si>
  <si>
    <t>58408840</t>
  </si>
  <si>
    <t>15284474883</t>
  </si>
  <si>
    <t>58411728</t>
  </si>
  <si>
    <t>15284475136</t>
  </si>
  <si>
    <t>58411616</t>
  </si>
  <si>
    <t>15284478229</t>
  </si>
  <si>
    <t>58411905</t>
  </si>
  <si>
    <t>15284489202</t>
  </si>
  <si>
    <t>58419281</t>
  </si>
  <si>
    <t>15284489578</t>
  </si>
  <si>
    <t>58420066</t>
  </si>
  <si>
    <t>15284491624</t>
  </si>
  <si>
    <t>58434205</t>
  </si>
  <si>
    <t>15284496938</t>
  </si>
  <si>
    <t>58419867</t>
  </si>
  <si>
    <t>15284498663</t>
  </si>
  <si>
    <t>58421420</t>
  </si>
  <si>
    <t>15284498749</t>
  </si>
  <si>
    <t>58422006</t>
  </si>
  <si>
    <t>15284499014</t>
  </si>
  <si>
    <t>58422978</t>
  </si>
  <si>
    <t>15284507984</t>
  </si>
  <si>
    <t>58420473</t>
  </si>
  <si>
    <t>15284510368</t>
  </si>
  <si>
    <t>58421376</t>
  </si>
  <si>
    <t>58442375</t>
  </si>
  <si>
    <t>15284517290</t>
  </si>
  <si>
    <t>58422638</t>
  </si>
  <si>
    <t>15284518348</t>
  </si>
  <si>
    <t>58515444</t>
  </si>
  <si>
    <t>15284519951</t>
  </si>
  <si>
    <t>58422516</t>
  </si>
  <si>
    <t>15284519952</t>
  </si>
  <si>
    <t>58422392</t>
  </si>
  <si>
    <t>15284520288</t>
  </si>
  <si>
    <t>58423214</t>
  </si>
  <si>
    <t>15284520393</t>
  </si>
  <si>
    <t>58423108</t>
  </si>
  <si>
    <t>15284520395</t>
  </si>
  <si>
    <t>58423149</t>
  </si>
  <si>
    <t>15284521212</t>
  </si>
  <si>
    <t>59060340</t>
  </si>
  <si>
    <t>15284521230</t>
  </si>
  <si>
    <t>58435174</t>
  </si>
  <si>
    <t>15284521441</t>
  </si>
  <si>
    <t>58424357</t>
  </si>
  <si>
    <t>15284525554</t>
  </si>
  <si>
    <t>58424076</t>
  </si>
  <si>
    <t>15284526576</t>
  </si>
  <si>
    <t>58422163</t>
  </si>
  <si>
    <t>15284526986</t>
  </si>
  <si>
    <t>58425451</t>
  </si>
  <si>
    <t>15284527204</t>
  </si>
  <si>
    <t>58424377</t>
  </si>
  <si>
    <t>15284527210</t>
  </si>
  <si>
    <t>58424826</t>
  </si>
  <si>
    <t>15284527424</t>
  </si>
  <si>
    <t>58424252</t>
  </si>
  <si>
    <t>15284529273</t>
  </si>
  <si>
    <t>58423723</t>
  </si>
  <si>
    <t>15284531604</t>
  </si>
  <si>
    <t>58426645</t>
  </si>
  <si>
    <t>15284535082</t>
  </si>
  <si>
    <t>58427240</t>
  </si>
  <si>
    <t>15284536066</t>
  </si>
  <si>
    <t>59059651</t>
  </si>
  <si>
    <t>58426279</t>
  </si>
  <si>
    <t>15284549237</t>
  </si>
  <si>
    <t>58436800</t>
  </si>
  <si>
    <t>15284550891</t>
  </si>
  <si>
    <t>58434832</t>
  </si>
  <si>
    <t>15284550977</t>
  </si>
  <si>
    <t>58434909</t>
  </si>
  <si>
    <t>15284551862</t>
  </si>
  <si>
    <t>58437079</t>
  </si>
  <si>
    <t>15284553394</t>
  </si>
  <si>
    <t>58435549</t>
  </si>
  <si>
    <t>15284555148</t>
  </si>
  <si>
    <t>58435033</t>
  </si>
  <si>
    <t>15284556165</t>
  </si>
  <si>
    <t>15284556588</t>
  </si>
  <si>
    <t>58436419</t>
  </si>
  <si>
    <t>15284556899</t>
  </si>
  <si>
    <t>58434526</t>
  </si>
  <si>
    <t>15284558119</t>
  </si>
  <si>
    <t>58437833</t>
  </si>
  <si>
    <t>15284561483</t>
  </si>
  <si>
    <t>58439003</t>
  </si>
  <si>
    <t>15284561679</t>
  </si>
  <si>
    <t>58433838</t>
  </si>
  <si>
    <t>58451904</t>
  </si>
  <si>
    <t>15284561885</t>
  </si>
  <si>
    <t>58526413</t>
  </si>
  <si>
    <t>15284562453</t>
  </si>
  <si>
    <t>58437455</t>
  </si>
  <si>
    <t>15284563317</t>
  </si>
  <si>
    <t>15284566208</t>
  </si>
  <si>
    <t>58438866</t>
  </si>
  <si>
    <t>15284568229</t>
  </si>
  <si>
    <t>15284568313</t>
  </si>
  <si>
    <t>58438897</t>
  </si>
  <si>
    <t>15284568367</t>
  </si>
  <si>
    <t>15284568376</t>
  </si>
  <si>
    <t>58438895</t>
  </si>
  <si>
    <t>15284569262</t>
  </si>
  <si>
    <t>15284569661</t>
  </si>
  <si>
    <t>58438946</t>
  </si>
  <si>
    <t>15284571734</t>
  </si>
  <si>
    <t>15284571854</t>
  </si>
  <si>
    <t>15284572077</t>
  </si>
  <si>
    <t>58439099</t>
  </si>
  <si>
    <t>15284576304</t>
  </si>
  <si>
    <t>15284577102</t>
  </si>
  <si>
    <t>58442818</t>
  </si>
  <si>
    <t>15284577132</t>
  </si>
  <si>
    <t>58442833</t>
  </si>
  <si>
    <t>15284577344</t>
  </si>
  <si>
    <t>58442598</t>
  </si>
  <si>
    <t>15284577950</t>
  </si>
  <si>
    <t>58442655</t>
  </si>
  <si>
    <t>15284578008</t>
  </si>
  <si>
    <t>58442595</t>
  </si>
  <si>
    <t>15284578993</t>
  </si>
  <si>
    <t>58451654</t>
  </si>
  <si>
    <t>15284579643</t>
  </si>
  <si>
    <t>58452014</t>
  </si>
  <si>
    <t>15284604957</t>
  </si>
  <si>
    <t>58450038</t>
  </si>
  <si>
    <t>15284606101</t>
  </si>
  <si>
    <t>58454669</t>
  </si>
  <si>
    <t>58466735</t>
  </si>
  <si>
    <t>15284606180</t>
  </si>
  <si>
    <t>58454455</t>
  </si>
  <si>
    <t>15284609176</t>
  </si>
  <si>
    <t>58456311</t>
  </si>
  <si>
    <t>15284609478</t>
  </si>
  <si>
    <t>58454152</t>
  </si>
  <si>
    <t>15284610510</t>
  </si>
  <si>
    <t>58454534</t>
  </si>
  <si>
    <t>15284611054</t>
  </si>
  <si>
    <t>58455101</t>
  </si>
  <si>
    <t>15284615240</t>
  </si>
  <si>
    <t>15284619854</t>
  </si>
  <si>
    <t>15284620518</t>
  </si>
  <si>
    <t>58450272</t>
  </si>
  <si>
    <t>15284620526</t>
  </si>
  <si>
    <t>15284626223</t>
  </si>
  <si>
    <t>15284626308</t>
  </si>
  <si>
    <t>15284626363</t>
  </si>
  <si>
    <t>15284628384</t>
  </si>
  <si>
    <t>15284628901</t>
  </si>
  <si>
    <t>58452756</t>
  </si>
  <si>
    <t>15284628963</t>
  </si>
  <si>
    <t>15284629181</t>
  </si>
  <si>
    <t>15284664328</t>
  </si>
  <si>
    <t>58467128</t>
  </si>
  <si>
    <t>15284672066</t>
  </si>
  <si>
    <t>58465942</t>
  </si>
  <si>
    <t>15284678554</t>
  </si>
  <si>
    <t>58470016</t>
  </si>
  <si>
    <t>15284680665</t>
  </si>
  <si>
    <t>58466850</t>
  </si>
  <si>
    <t>15284684694</t>
  </si>
  <si>
    <t>58491394</t>
  </si>
  <si>
    <t>15284688801</t>
  </si>
  <si>
    <t>58480631</t>
  </si>
  <si>
    <t>15284707637</t>
  </si>
  <si>
    <t>58482021</t>
  </si>
  <si>
    <t>15284708563</t>
  </si>
  <si>
    <t>58481999</t>
  </si>
  <si>
    <t>15284712852</t>
  </si>
  <si>
    <t>58483054</t>
  </si>
  <si>
    <t>15284715278</t>
  </si>
  <si>
    <t>58485516</t>
  </si>
  <si>
    <t>15284717436</t>
  </si>
  <si>
    <t>58494461</t>
  </si>
  <si>
    <t>15284719659</t>
  </si>
  <si>
    <t>58486015</t>
  </si>
  <si>
    <t>15284720304</t>
  </si>
  <si>
    <t>58486002</t>
  </si>
  <si>
    <t>15284722522</t>
  </si>
  <si>
    <t>58485524</t>
  </si>
  <si>
    <t>15284726004</t>
  </si>
  <si>
    <t>58496519</t>
  </si>
  <si>
    <t>15284726759</t>
  </si>
  <si>
    <t>58495122</t>
  </si>
  <si>
    <t>15284727419</t>
  </si>
  <si>
    <t>58495524</t>
  </si>
  <si>
    <t>15284728142</t>
  </si>
  <si>
    <t>58485550</t>
  </si>
  <si>
    <t>15284730961</t>
  </si>
  <si>
    <t>58485845</t>
  </si>
  <si>
    <t>15284732070</t>
  </si>
  <si>
    <t>58485552</t>
  </si>
  <si>
    <t>15284733546</t>
  </si>
  <si>
    <t>58499078</t>
  </si>
  <si>
    <t>15284735948</t>
  </si>
  <si>
    <t>58498685</t>
  </si>
  <si>
    <t>15284747974</t>
  </si>
  <si>
    <t>58492806</t>
  </si>
  <si>
    <t>15284755137</t>
  </si>
  <si>
    <t>58495715</t>
  </si>
  <si>
    <t>15284757741</t>
  </si>
  <si>
    <t>15284759230</t>
  </si>
  <si>
    <t>58494898</t>
  </si>
  <si>
    <t>15284764313</t>
  </si>
  <si>
    <t>58514079</t>
  </si>
  <si>
    <t>15284765053</t>
  </si>
  <si>
    <t>58514675</t>
  </si>
  <si>
    <t>15284784324</t>
  </si>
  <si>
    <t>58510265</t>
  </si>
  <si>
    <t>15284786857</t>
  </si>
  <si>
    <t>58508950</t>
  </si>
  <si>
    <t>15284788894</t>
  </si>
  <si>
    <t>58509178</t>
  </si>
  <si>
    <t>15284789875</t>
  </si>
  <si>
    <t>58510419</t>
  </si>
  <si>
    <t>15284792120</t>
  </si>
  <si>
    <t>58513840</t>
  </si>
  <si>
    <t>15284804131</t>
  </si>
  <si>
    <t>15284830676</t>
  </si>
  <si>
    <t>58513636</t>
  </si>
  <si>
    <t>15284831336</t>
  </si>
  <si>
    <t>58513835</t>
  </si>
  <si>
    <t>15284831820</t>
  </si>
  <si>
    <t>58513562</t>
  </si>
  <si>
    <t>15284837848</t>
  </si>
  <si>
    <t>15284838592</t>
  </si>
  <si>
    <t>15284839462</t>
  </si>
  <si>
    <t>15284841656</t>
  </si>
  <si>
    <t>15284842308</t>
  </si>
  <si>
    <t>15284866799</t>
  </si>
  <si>
    <t>58525155</t>
  </si>
  <si>
    <t>15284869252</t>
  </si>
  <si>
    <t>58524807</t>
  </si>
  <si>
    <t>15284870738</t>
  </si>
  <si>
    <t>58524064</t>
  </si>
  <si>
    <t>15284871904</t>
  </si>
  <si>
    <t>58527983</t>
  </si>
  <si>
    <t>15284874985</t>
  </si>
  <si>
    <t>58527518</t>
  </si>
  <si>
    <t>15284885788</t>
  </si>
  <si>
    <t>58530080</t>
  </si>
  <si>
    <t>15284886288</t>
  </si>
  <si>
    <t>58530075</t>
  </si>
  <si>
    <t>15284886336</t>
  </si>
  <si>
    <t>58529905</t>
  </si>
  <si>
    <t>15284886342</t>
  </si>
  <si>
    <t>58530113</t>
  </si>
  <si>
    <t>15284886430</t>
  </si>
  <si>
    <t>58529941</t>
  </si>
  <si>
    <t>15284886764</t>
  </si>
  <si>
    <t>58530428</t>
  </si>
  <si>
    <t>15284887392</t>
  </si>
  <si>
    <t>58529145</t>
  </si>
  <si>
    <t>15284889556</t>
  </si>
  <si>
    <t>58530121</t>
  </si>
  <si>
    <t>15284890453</t>
  </si>
  <si>
    <t>58531001</t>
  </si>
  <si>
    <t>15284890524</t>
  </si>
  <si>
    <t>58529960</t>
  </si>
  <si>
    <t>15284890619</t>
  </si>
  <si>
    <t>58532540</t>
  </si>
  <si>
    <t>15284891900</t>
  </si>
  <si>
    <t>58524672</t>
  </si>
  <si>
    <t>15284893024</t>
  </si>
  <si>
    <t>58531791</t>
  </si>
  <si>
    <t>15284894512</t>
  </si>
  <si>
    <t>58531666</t>
  </si>
  <si>
    <t>15284895000</t>
  </si>
  <si>
    <t>58531830</t>
  </si>
  <si>
    <t>15284896400</t>
  </si>
  <si>
    <t>15284918421</t>
  </si>
  <si>
    <t>15284919460</t>
  </si>
  <si>
    <t>58540606</t>
  </si>
  <si>
    <t>15284919461</t>
  </si>
  <si>
    <t>58541591</t>
  </si>
  <si>
    <t>15284920161</t>
  </si>
  <si>
    <t>58547381</t>
  </si>
  <si>
    <t>15284938581</t>
  </si>
  <si>
    <t>58542299</t>
  </si>
  <si>
    <t>15284943595</t>
  </si>
  <si>
    <t>58546762</t>
  </si>
  <si>
    <t>15284944798</t>
  </si>
  <si>
    <t>58547819</t>
  </si>
  <si>
    <t>15284948135</t>
  </si>
  <si>
    <t>58571881</t>
  </si>
  <si>
    <t>15284948905</t>
  </si>
  <si>
    <t>58571990</t>
  </si>
  <si>
    <t>15284949218</t>
  </si>
  <si>
    <t>58574377</t>
  </si>
  <si>
    <t>15284950317</t>
  </si>
  <si>
    <t>15284951215</t>
  </si>
  <si>
    <t>15284951376</t>
  </si>
  <si>
    <t>15284951752</t>
  </si>
  <si>
    <t>15284962317</t>
  </si>
  <si>
    <t>15284974630</t>
  </si>
  <si>
    <t>58567888</t>
  </si>
  <si>
    <t>15284980124</t>
  </si>
  <si>
    <t>58569315</t>
  </si>
  <si>
    <t>15284981810</t>
  </si>
  <si>
    <t>58571022</t>
  </si>
  <si>
    <t>15284983676</t>
  </si>
  <si>
    <t>58567850</t>
  </si>
  <si>
    <t>15284995481</t>
  </si>
  <si>
    <t>58569719</t>
  </si>
  <si>
    <t>15284999027</t>
  </si>
  <si>
    <t>58572980</t>
  </si>
  <si>
    <t>15284999628</t>
  </si>
  <si>
    <t>58611962</t>
  </si>
  <si>
    <t>15285001170</t>
  </si>
  <si>
    <t>58584694</t>
  </si>
  <si>
    <t>15285001848</t>
  </si>
  <si>
    <t>58581522</t>
  </si>
  <si>
    <t>15285001849</t>
  </si>
  <si>
    <t>58584803</t>
  </si>
  <si>
    <t>15285004151</t>
  </si>
  <si>
    <t>15285006012</t>
  </si>
  <si>
    <t>15285006278</t>
  </si>
  <si>
    <t>15285006332</t>
  </si>
  <si>
    <t>15285006673</t>
  </si>
  <si>
    <t>15285007256</t>
  </si>
  <si>
    <t>15285009051</t>
  </si>
  <si>
    <t>15285010576</t>
  </si>
  <si>
    <t>58584699</t>
  </si>
  <si>
    <t>15285013586</t>
  </si>
  <si>
    <t>58584623</t>
  </si>
  <si>
    <t>15285020421</t>
  </si>
  <si>
    <t>58587340</t>
  </si>
  <si>
    <t>15285022690</t>
  </si>
  <si>
    <t>15285031131</t>
  </si>
  <si>
    <t>58584067</t>
  </si>
  <si>
    <t>15285031360</t>
  </si>
  <si>
    <t>58584138</t>
  </si>
  <si>
    <t>15285031558</t>
  </si>
  <si>
    <t>58583964</t>
  </si>
  <si>
    <t>15285031827</t>
  </si>
  <si>
    <t>58583780</t>
  </si>
  <si>
    <t>15285032845</t>
  </si>
  <si>
    <t>58583124</t>
  </si>
  <si>
    <t>15285040016</t>
  </si>
  <si>
    <t>58584737</t>
  </si>
  <si>
    <t>15285049173</t>
  </si>
  <si>
    <t>58614864</t>
  </si>
  <si>
    <t>15285049337</t>
  </si>
  <si>
    <t>58614856</t>
  </si>
  <si>
    <t>15285052693</t>
  </si>
  <si>
    <t>58611850</t>
  </si>
  <si>
    <t>15285053413</t>
  </si>
  <si>
    <t>58600966</t>
  </si>
  <si>
    <t>15285054168</t>
  </si>
  <si>
    <t>58583430</t>
  </si>
  <si>
    <t>15285054171</t>
  </si>
  <si>
    <t>58583414</t>
  </si>
  <si>
    <t>15285058694</t>
  </si>
  <si>
    <t>58597186</t>
  </si>
  <si>
    <t>15285064316</t>
  </si>
  <si>
    <t>15285066533</t>
  </si>
  <si>
    <t>58599582</t>
  </si>
  <si>
    <t>15285068320</t>
  </si>
  <si>
    <t>15285075268</t>
  </si>
  <si>
    <t>58599503</t>
  </si>
  <si>
    <t>15285078489</t>
  </si>
  <si>
    <t>58597538</t>
  </si>
  <si>
    <t>15285079686</t>
  </si>
  <si>
    <t>58595740</t>
  </si>
  <si>
    <t>15285079746</t>
  </si>
  <si>
    <t>58595748</t>
  </si>
  <si>
    <t>15285079998</t>
  </si>
  <si>
    <t>58596848</t>
  </si>
  <si>
    <t>15285091083</t>
  </si>
  <si>
    <t>58596964</t>
  </si>
  <si>
    <t>15285092647</t>
  </si>
  <si>
    <t>58600425</t>
  </si>
  <si>
    <t>15285094021</t>
  </si>
  <si>
    <t>58599816</t>
  </si>
  <si>
    <t>15285095385</t>
  </si>
  <si>
    <t>15285096843</t>
  </si>
  <si>
    <t>58596954</t>
  </si>
  <si>
    <t>15285098040</t>
  </si>
  <si>
    <t>58601472</t>
  </si>
  <si>
    <t>15285098175</t>
  </si>
  <si>
    <t>58600797</t>
  </si>
  <si>
    <t>15285098518</t>
  </si>
  <si>
    <t>58602222</t>
  </si>
  <si>
    <t>15285101358</t>
  </si>
  <si>
    <t>58602218</t>
  </si>
  <si>
    <t>15285105524</t>
  </si>
  <si>
    <t>15285106829</t>
  </si>
  <si>
    <t>15285123480</t>
  </si>
  <si>
    <t>58613360</t>
  </si>
  <si>
    <t>15285125177</t>
  </si>
  <si>
    <t>58609629</t>
  </si>
  <si>
    <t>15285134799</t>
  </si>
  <si>
    <t>58611399</t>
  </si>
  <si>
    <t>15285135065</t>
  </si>
  <si>
    <t>58612720</t>
  </si>
  <si>
    <t>15285135869</t>
  </si>
  <si>
    <t>58611853</t>
  </si>
  <si>
    <t>15285136295</t>
  </si>
  <si>
    <t>58609432</t>
  </si>
  <si>
    <t>15285137843</t>
  </si>
  <si>
    <t>15285137987</t>
  </si>
  <si>
    <t>58688669</t>
  </si>
  <si>
    <t>15285138007</t>
  </si>
  <si>
    <t>58688737</t>
  </si>
  <si>
    <t>15285138023</t>
  </si>
  <si>
    <t>58688721</t>
  </si>
  <si>
    <t>15285138231</t>
  </si>
  <si>
    <t>58650854</t>
  </si>
  <si>
    <t>15285138561</t>
  </si>
  <si>
    <t>58649840</t>
  </si>
  <si>
    <t>15285139512</t>
  </si>
  <si>
    <t>58649878</t>
  </si>
  <si>
    <t>15285139550</t>
  </si>
  <si>
    <t>58649890</t>
  </si>
  <si>
    <t>15285140066</t>
  </si>
  <si>
    <t>58651402</t>
  </si>
  <si>
    <t>15285140239</t>
  </si>
  <si>
    <t>58650122</t>
  </si>
  <si>
    <t>15285141767</t>
  </si>
  <si>
    <t>58613595</t>
  </si>
  <si>
    <t>15285142057</t>
  </si>
  <si>
    <t>58628170</t>
  </si>
  <si>
    <t>15285142125</t>
  </si>
  <si>
    <t>15285142765</t>
  </si>
  <si>
    <t>58649949</t>
  </si>
  <si>
    <t>15285142801</t>
  </si>
  <si>
    <t>58613441</t>
  </si>
  <si>
    <t>15285143030</t>
  </si>
  <si>
    <t>58625259</t>
  </si>
  <si>
    <t>15285143224</t>
  </si>
  <si>
    <t>15285143370</t>
  </si>
  <si>
    <t>58628614</t>
  </si>
  <si>
    <t>15285143393</t>
  </si>
  <si>
    <t>15285143409</t>
  </si>
  <si>
    <t>15285145679</t>
  </si>
  <si>
    <t>58613463</t>
  </si>
  <si>
    <t>15285145751</t>
  </si>
  <si>
    <t>58613341</t>
  </si>
  <si>
    <t>15285145806</t>
  </si>
  <si>
    <t>58613308</t>
  </si>
  <si>
    <t>15285146791</t>
  </si>
  <si>
    <t>58613588</t>
  </si>
  <si>
    <t>15285155005</t>
  </si>
  <si>
    <t>58614325</t>
  </si>
  <si>
    <t>15285155308</t>
  </si>
  <si>
    <t>58614484</t>
  </si>
  <si>
    <t>15285158441</t>
  </si>
  <si>
    <t>58614464</t>
  </si>
  <si>
    <t>15285158442</t>
  </si>
  <si>
    <t>58614504</t>
  </si>
  <si>
    <t>15285170040</t>
  </si>
  <si>
    <t>58627702</t>
  </si>
  <si>
    <t>15285174644</t>
  </si>
  <si>
    <t>58625159</t>
  </si>
  <si>
    <t>15285174665</t>
  </si>
  <si>
    <t>58625234</t>
  </si>
  <si>
    <t>15285178262</t>
  </si>
  <si>
    <t>58626546</t>
  </si>
  <si>
    <t>15285178758</t>
  </si>
  <si>
    <t>58627860</t>
  </si>
  <si>
    <t>15285180081</t>
  </si>
  <si>
    <t>58684749</t>
  </si>
  <si>
    <t>15285180209</t>
  </si>
  <si>
    <t>58684657</t>
  </si>
  <si>
    <t>15285182091</t>
  </si>
  <si>
    <t>58627652</t>
  </si>
  <si>
    <t>15285186756</t>
  </si>
  <si>
    <t>58648841</t>
  </si>
  <si>
    <t>15285186922</t>
  </si>
  <si>
    <t>58627680</t>
  </si>
  <si>
    <t>15285194091</t>
  </si>
  <si>
    <t>58649647</t>
  </si>
  <si>
    <t>15285195652</t>
  </si>
  <si>
    <t>58653123</t>
  </si>
  <si>
    <t>15285195655</t>
  </si>
  <si>
    <t>58623275</t>
  </si>
  <si>
    <t>15285196552</t>
  </si>
  <si>
    <t>58662457</t>
  </si>
  <si>
    <t>15285197322</t>
  </si>
  <si>
    <t>58651394</t>
  </si>
  <si>
    <t>15285197684</t>
  </si>
  <si>
    <t>58651206</t>
  </si>
  <si>
    <t>15285201155</t>
  </si>
  <si>
    <t>58703574</t>
  </si>
  <si>
    <t>15285201291</t>
  </si>
  <si>
    <t>58661200</t>
  </si>
  <si>
    <t>15285206274</t>
  </si>
  <si>
    <t>58652210</t>
  </si>
  <si>
    <t>15285215252</t>
  </si>
  <si>
    <t>58653190</t>
  </si>
  <si>
    <t>15285215459</t>
  </si>
  <si>
    <t>58690885</t>
  </si>
  <si>
    <t>15285221359</t>
  </si>
  <si>
    <t>15285223610</t>
  </si>
  <si>
    <t>58702497</t>
  </si>
  <si>
    <t>15285226130</t>
  </si>
  <si>
    <t>58664690</t>
  </si>
  <si>
    <t>15285226952</t>
  </si>
  <si>
    <t>58662753</t>
  </si>
  <si>
    <t>15285227504</t>
  </si>
  <si>
    <t>58667607</t>
  </si>
  <si>
    <t>15285228000</t>
  </si>
  <si>
    <t>58667118</t>
  </si>
  <si>
    <t>15285231590</t>
  </si>
  <si>
    <t>58667891</t>
  </si>
  <si>
    <t>15285234344</t>
  </si>
  <si>
    <t>58666032</t>
  </si>
  <si>
    <t>15285237410</t>
  </si>
  <si>
    <t>58664710</t>
  </si>
  <si>
    <t>15285238042</t>
  </si>
  <si>
    <t>58659137</t>
  </si>
  <si>
    <t>15285238985</t>
  </si>
  <si>
    <t>58664060</t>
  </si>
  <si>
    <t>15285239226</t>
  </si>
  <si>
    <t>58662456</t>
  </si>
  <si>
    <t>15285241161</t>
  </si>
  <si>
    <t>58667587</t>
  </si>
  <si>
    <t>15285245968</t>
  </si>
  <si>
    <t>58668874</t>
  </si>
  <si>
    <t>15285246041</t>
  </si>
  <si>
    <t>58668616</t>
  </si>
  <si>
    <t>15285247182</t>
  </si>
  <si>
    <t>58669840</t>
  </si>
  <si>
    <t>15285247183</t>
  </si>
  <si>
    <t>58670046</t>
  </si>
  <si>
    <t>15285249555</t>
  </si>
  <si>
    <t>15285249558</t>
  </si>
  <si>
    <t>15285249575</t>
  </si>
  <si>
    <t>58665026</t>
  </si>
  <si>
    <t>15285250179</t>
  </si>
  <si>
    <t>58666498</t>
  </si>
  <si>
    <t>15285253804</t>
  </si>
  <si>
    <t>58665775</t>
  </si>
  <si>
    <t>15285254951</t>
  </si>
  <si>
    <t>58682912</t>
  </si>
  <si>
    <t>15285271966</t>
  </si>
  <si>
    <t>58676092</t>
  </si>
  <si>
    <t>15285275491</t>
  </si>
  <si>
    <t>58686523</t>
  </si>
  <si>
    <t>15285275817</t>
  </si>
  <si>
    <t>58676311</t>
  </si>
  <si>
    <t>15285281500</t>
  </si>
  <si>
    <t>58685627</t>
  </si>
  <si>
    <t>15285281509</t>
  </si>
  <si>
    <t>58686125</t>
  </si>
  <si>
    <t>15285283924</t>
  </si>
  <si>
    <t>58687020</t>
  </si>
  <si>
    <t>15285292432</t>
  </si>
  <si>
    <t>58713654</t>
  </si>
  <si>
    <t>15285295969</t>
  </si>
  <si>
    <t>58697874</t>
  </si>
  <si>
    <t>15285298797</t>
  </si>
  <si>
    <t>58686392</t>
  </si>
  <si>
    <t>15285299182</t>
  </si>
  <si>
    <t>58712840</t>
  </si>
  <si>
    <t>15285299411</t>
  </si>
  <si>
    <t>58703214</t>
  </si>
  <si>
    <t>15285301165</t>
  </si>
  <si>
    <t>58690249</t>
  </si>
  <si>
    <t>15285306881</t>
  </si>
  <si>
    <t>58690717</t>
  </si>
  <si>
    <t>15285306884</t>
  </si>
  <si>
    <t>58690779</t>
  </si>
  <si>
    <t>15285306885</t>
  </si>
  <si>
    <t>58690753</t>
  </si>
  <si>
    <t>15285309631</t>
  </si>
  <si>
    <t>58690336</t>
  </si>
  <si>
    <t>15285316785</t>
  </si>
  <si>
    <t>58728762</t>
  </si>
  <si>
    <t>15285334466</t>
  </si>
  <si>
    <t>58698330</t>
  </si>
  <si>
    <t>15285336761</t>
  </si>
  <si>
    <t>58704708</t>
  </si>
  <si>
    <t>15285358911</t>
  </si>
  <si>
    <t>58738311</t>
  </si>
  <si>
    <t>Mazda : General Promotion - Asian Autos : Sales Event</t>
  </si>
  <si>
    <t>15285359314</t>
  </si>
  <si>
    <t>58712839</t>
  </si>
  <si>
    <t>15285366534</t>
  </si>
  <si>
    <t>58714584</t>
  </si>
  <si>
    <t>15285367071</t>
  </si>
  <si>
    <t>58712268</t>
  </si>
  <si>
    <t>15285367165</t>
  </si>
  <si>
    <t>58713894</t>
  </si>
  <si>
    <t>15285367167</t>
  </si>
  <si>
    <t>58714041</t>
  </si>
  <si>
    <t>15285377347</t>
  </si>
  <si>
    <t>58717484</t>
  </si>
  <si>
    <t>15285382174</t>
  </si>
  <si>
    <t>58713434</t>
  </si>
  <si>
    <t>15285384559</t>
  </si>
  <si>
    <t>58715474</t>
  </si>
  <si>
    <t>15285387429</t>
  </si>
  <si>
    <t>58717037</t>
  </si>
  <si>
    <t>15285388410</t>
  </si>
  <si>
    <t>58718038</t>
  </si>
  <si>
    <t>15285389162</t>
  </si>
  <si>
    <t>58717627</t>
  </si>
  <si>
    <t>15285393598</t>
  </si>
  <si>
    <t>58727727</t>
  </si>
  <si>
    <t>15285393967</t>
  </si>
  <si>
    <t>58727515</t>
  </si>
  <si>
    <t>15285394031</t>
  </si>
  <si>
    <t>58727550</t>
  </si>
  <si>
    <t>15285398477</t>
  </si>
  <si>
    <t>58719205</t>
  </si>
  <si>
    <t>15285401110</t>
  </si>
  <si>
    <t>58724776</t>
  </si>
  <si>
    <t>15285403539</t>
  </si>
  <si>
    <t>58724754</t>
  </si>
  <si>
    <t>15285411032</t>
  </si>
  <si>
    <t>58726408</t>
  </si>
  <si>
    <t>15285417717</t>
  </si>
  <si>
    <t>58727496</t>
  </si>
  <si>
    <t>15285418974</t>
  </si>
  <si>
    <t>58724001</t>
  </si>
  <si>
    <t>15285419550</t>
  </si>
  <si>
    <t>58726832</t>
  </si>
  <si>
    <t>15285422108</t>
  </si>
  <si>
    <t>58728091</t>
  </si>
  <si>
    <t>15285422156</t>
  </si>
  <si>
    <t>58726640</t>
  </si>
  <si>
    <t>15285422269</t>
  </si>
  <si>
    <t>58724034</t>
  </si>
  <si>
    <t>15285422668</t>
  </si>
  <si>
    <t>58725307</t>
  </si>
  <si>
    <t>15285426680</t>
  </si>
  <si>
    <t>58725625</t>
  </si>
  <si>
    <t>15285428942</t>
  </si>
  <si>
    <t>58729295</t>
  </si>
  <si>
    <t>15285429379</t>
  </si>
  <si>
    <t>58728967</t>
  </si>
  <si>
    <t>15285429843</t>
  </si>
  <si>
    <t>58728824</t>
  </si>
  <si>
    <t>15285430368</t>
  </si>
  <si>
    <t>58726879</t>
  </si>
  <si>
    <t>15285430916</t>
  </si>
  <si>
    <t>58726368</t>
  </si>
  <si>
    <t>15285430918</t>
  </si>
  <si>
    <t>58725733</t>
  </si>
  <si>
    <t>15285432894</t>
  </si>
  <si>
    <t>58724017</t>
  </si>
  <si>
    <t>15285433374</t>
  </si>
  <si>
    <t>58726364</t>
  </si>
  <si>
    <t>15285434283</t>
  </si>
  <si>
    <t>58728065</t>
  </si>
  <si>
    <t>15285434806</t>
  </si>
  <si>
    <t>58728453</t>
  </si>
  <si>
    <t>15285435420</t>
  </si>
  <si>
    <t>58728498</t>
  </si>
  <si>
    <t>15285435477</t>
  </si>
  <si>
    <t>58728552</t>
  </si>
  <si>
    <t>15285435875</t>
  </si>
  <si>
    <t>58728792</t>
  </si>
  <si>
    <t>15285436031</t>
  </si>
  <si>
    <t>58728416</t>
  </si>
  <si>
    <t>15285436829</t>
  </si>
  <si>
    <t>58728728</t>
  </si>
  <si>
    <t>15285436847</t>
  </si>
  <si>
    <t>58728502</t>
  </si>
  <si>
    <t>15285437494</t>
  </si>
  <si>
    <t>58727508</t>
  </si>
  <si>
    <t>15285441346</t>
  </si>
  <si>
    <t>58735959</t>
  </si>
  <si>
    <t>15285444040</t>
  </si>
  <si>
    <t>58729640</t>
  </si>
  <si>
    <t>15285450522</t>
  </si>
  <si>
    <t>58729654</t>
  </si>
  <si>
    <t>15285450587</t>
  </si>
  <si>
    <t>58729609</t>
  </si>
  <si>
    <t>15285452477</t>
  </si>
  <si>
    <t>58742954</t>
  </si>
  <si>
    <t>15285454627</t>
  </si>
  <si>
    <t>58735725</t>
  </si>
  <si>
    <t>15285455966</t>
  </si>
  <si>
    <t>58736280</t>
  </si>
  <si>
    <t>15285456281</t>
  </si>
  <si>
    <t>58736109</t>
  </si>
  <si>
    <t>15285464712</t>
  </si>
  <si>
    <t>58736588</t>
  </si>
  <si>
    <t>15285465626</t>
  </si>
  <si>
    <t>58741655</t>
  </si>
  <si>
    <t>15285467520</t>
  </si>
  <si>
    <t>58738165</t>
  </si>
  <si>
    <t>15285469565</t>
  </si>
  <si>
    <t>58739073</t>
  </si>
  <si>
    <t>15285470005</t>
  </si>
  <si>
    <t>58754803</t>
  </si>
  <si>
    <t>15285470323</t>
  </si>
  <si>
    <t>58741745</t>
  </si>
  <si>
    <t>15285471980</t>
  </si>
  <si>
    <t>58738952</t>
  </si>
  <si>
    <t>15285471981</t>
  </si>
  <si>
    <t>58738102</t>
  </si>
  <si>
    <t>15285474221</t>
  </si>
  <si>
    <t>58739811</t>
  </si>
  <si>
    <t>15285481903</t>
  </si>
  <si>
    <t>58744284</t>
  </si>
  <si>
    <t>59018893</t>
  </si>
  <si>
    <t>15285509494</t>
  </si>
  <si>
    <t>58756523</t>
  </si>
  <si>
    <t>15285514220</t>
  </si>
  <si>
    <t>58752645</t>
  </si>
  <si>
    <t>15285519964</t>
  </si>
  <si>
    <t>58753860</t>
  </si>
  <si>
    <t>15285525985</t>
  </si>
  <si>
    <t>58754949</t>
  </si>
  <si>
    <t>15285527348</t>
  </si>
  <si>
    <t>58757703</t>
  </si>
  <si>
    <t>15285530618</t>
  </si>
  <si>
    <t>58755151</t>
  </si>
  <si>
    <t>15285534279</t>
  </si>
  <si>
    <t>58759549</t>
  </si>
  <si>
    <t>15285550234</t>
  </si>
  <si>
    <t>58769226</t>
  </si>
  <si>
    <t>15285556930</t>
  </si>
  <si>
    <t>58768928</t>
  </si>
  <si>
    <t>15285558246</t>
  </si>
  <si>
    <t>58770493</t>
  </si>
  <si>
    <t>15285560911</t>
  </si>
  <si>
    <t>58770875</t>
  </si>
  <si>
    <t>15285564010</t>
  </si>
  <si>
    <t>58775766</t>
  </si>
  <si>
    <t>15285566454</t>
  </si>
  <si>
    <t>58776111</t>
  </si>
  <si>
    <t>15285566626</t>
  </si>
  <si>
    <t>58773977</t>
  </si>
  <si>
    <t>Mazda CX-60</t>
  </si>
  <si>
    <t>Mazda CX-60 : Asian SUV</t>
  </si>
  <si>
    <t>15285566627</t>
  </si>
  <si>
    <t>58773231</t>
  </si>
  <si>
    <t>15285566629</t>
  </si>
  <si>
    <t>58773348</t>
  </si>
  <si>
    <t>15285568032</t>
  </si>
  <si>
    <t>58773546</t>
  </si>
  <si>
    <t>15285568588</t>
  </si>
  <si>
    <t>58773707</t>
  </si>
  <si>
    <t>15285570965</t>
  </si>
  <si>
    <t>58774810</t>
  </si>
  <si>
    <t>15285570987</t>
  </si>
  <si>
    <t>58773201</t>
  </si>
  <si>
    <t>15285571310</t>
  </si>
  <si>
    <t>58774663</t>
  </si>
  <si>
    <t>15285572937</t>
  </si>
  <si>
    <t>58774966</t>
  </si>
  <si>
    <t>15285575297</t>
  </si>
  <si>
    <t>58775745</t>
  </si>
  <si>
    <t>15285575554</t>
  </si>
  <si>
    <t>58777377</t>
  </si>
  <si>
    <t>15285575951</t>
  </si>
  <si>
    <t>58774869</t>
  </si>
  <si>
    <t>15285576138</t>
  </si>
  <si>
    <t>58774831</t>
  </si>
  <si>
    <t>15285576139</t>
  </si>
  <si>
    <t>58777353</t>
  </si>
  <si>
    <t>15285576140</t>
  </si>
  <si>
    <t>58777380</t>
  </si>
  <si>
    <t>15285577317</t>
  </si>
  <si>
    <t>58774198</t>
  </si>
  <si>
    <t>15285578899</t>
  </si>
  <si>
    <t>58774142</t>
  </si>
  <si>
    <t>15285579146</t>
  </si>
  <si>
    <t>58773900</t>
  </si>
  <si>
    <t>15285579831</t>
  </si>
  <si>
    <t>58775937</t>
  </si>
  <si>
    <t>15285579966</t>
  </si>
  <si>
    <t>58775886</t>
  </si>
  <si>
    <t>15285584148</t>
  </si>
  <si>
    <t>58776985</t>
  </si>
  <si>
    <t>15285597307</t>
  </si>
  <si>
    <t>58786131</t>
  </si>
  <si>
    <t>15285597308</t>
  </si>
  <si>
    <t>58786484</t>
  </si>
  <si>
    <t>15285597716</t>
  </si>
  <si>
    <t>58786588</t>
  </si>
  <si>
    <t>15285599783</t>
  </si>
  <si>
    <t>58786946</t>
  </si>
  <si>
    <t>15285600482</t>
  </si>
  <si>
    <t>58785768</t>
  </si>
  <si>
    <t>15285602139</t>
  </si>
  <si>
    <t>58810527</t>
  </si>
  <si>
    <t>15285602286</t>
  </si>
  <si>
    <t>58810525</t>
  </si>
  <si>
    <t>15285605242</t>
  </si>
  <si>
    <t>58786942</t>
  </si>
  <si>
    <t>15285606083</t>
  </si>
  <si>
    <t>58785739</t>
  </si>
  <si>
    <t>15285608446</t>
  </si>
  <si>
    <t>58814851</t>
  </si>
  <si>
    <t>15285609495</t>
  </si>
  <si>
    <t>58813995</t>
  </si>
  <si>
    <t>15285609768</t>
  </si>
  <si>
    <t>58815601</t>
  </si>
  <si>
    <t>15285611056</t>
  </si>
  <si>
    <t>58815259</t>
  </si>
  <si>
    <t>15285611444</t>
  </si>
  <si>
    <t>58811832</t>
  </si>
  <si>
    <t>15285612380</t>
  </si>
  <si>
    <t>58787029</t>
  </si>
  <si>
    <t>15285613159</t>
  </si>
  <si>
    <t>58812539</t>
  </si>
  <si>
    <t>15285614213</t>
  </si>
  <si>
    <t>58813545</t>
  </si>
  <si>
    <t>15285614663</t>
  </si>
  <si>
    <t>58815562</t>
  </si>
  <si>
    <t>15285614815</t>
  </si>
  <si>
    <t>58815410</t>
  </si>
  <si>
    <t>15285614922</t>
  </si>
  <si>
    <t>58815637</t>
  </si>
  <si>
    <t>15285615064</t>
  </si>
  <si>
    <t>58821308</t>
  </si>
  <si>
    <t>15285615566</t>
  </si>
  <si>
    <t>58820256</t>
  </si>
  <si>
    <t>15285616106</t>
  </si>
  <si>
    <t>58810389</t>
  </si>
  <si>
    <t>15285616694</t>
  </si>
  <si>
    <t>58812565</t>
  </si>
  <si>
    <t>15285617088</t>
  </si>
  <si>
    <t>58812350</t>
  </si>
  <si>
    <t>15285617106</t>
  </si>
  <si>
    <t>58786683</t>
  </si>
  <si>
    <t>15285617223</t>
  </si>
  <si>
    <t>58812000</t>
  </si>
  <si>
    <t>15285617735</t>
  </si>
  <si>
    <t>58810443</t>
  </si>
  <si>
    <t>15285618184</t>
  </si>
  <si>
    <t>58811921</t>
  </si>
  <si>
    <t>15285619934</t>
  </si>
  <si>
    <t>58815599</t>
  </si>
  <si>
    <t>15285620076</t>
  </si>
  <si>
    <t>58812998</t>
  </si>
  <si>
    <t>15285621102</t>
  </si>
  <si>
    <t>58819781</t>
  </si>
  <si>
    <t>15285621109</t>
  </si>
  <si>
    <t>58812272</t>
  </si>
  <si>
    <t>15285621110</t>
  </si>
  <si>
    <t>58812297</t>
  </si>
  <si>
    <t>15285621827</t>
  </si>
  <si>
    <t>58813546</t>
  </si>
  <si>
    <t>15285633038</t>
  </si>
  <si>
    <t>58819796</t>
  </si>
  <si>
    <t>15285633585</t>
  </si>
  <si>
    <t>58820501</t>
  </si>
  <si>
    <t>15285634236</t>
  </si>
  <si>
    <t>58814959</t>
  </si>
  <si>
    <t>15285636216</t>
  </si>
  <si>
    <t>58819369</t>
  </si>
  <si>
    <t>15285636217</t>
  </si>
  <si>
    <t>58819508</t>
  </si>
  <si>
    <t>15285636875</t>
  </si>
  <si>
    <t>58820803</t>
  </si>
  <si>
    <t>15285639143</t>
  </si>
  <si>
    <t>58818808</t>
  </si>
  <si>
    <t>15285639744</t>
  </si>
  <si>
    <t>58820741</t>
  </si>
  <si>
    <t>15285641929</t>
  </si>
  <si>
    <t>58821077</t>
  </si>
  <si>
    <t>15285643661</t>
  </si>
  <si>
    <t>58821214</t>
  </si>
  <si>
    <t>15285644469</t>
  </si>
  <si>
    <t>58820560</t>
  </si>
  <si>
    <t>15285645326</t>
  </si>
  <si>
    <t>58821033</t>
  </si>
  <si>
    <t>15285646584</t>
  </si>
  <si>
    <t>58819584</t>
  </si>
  <si>
    <t>15285655861</t>
  </si>
  <si>
    <t>58828655</t>
  </si>
  <si>
    <t>15285656200</t>
  </si>
  <si>
    <t>58828099</t>
  </si>
  <si>
    <t>15285656548</t>
  </si>
  <si>
    <t>58828638</t>
  </si>
  <si>
    <t>15285656614</t>
  </si>
  <si>
    <t>58845282</t>
  </si>
  <si>
    <t>15285656643</t>
  </si>
  <si>
    <t>58845232</t>
  </si>
  <si>
    <t>15285656670</t>
  </si>
  <si>
    <t>58845236</t>
  </si>
  <si>
    <t>15285657333</t>
  </si>
  <si>
    <t>58827218</t>
  </si>
  <si>
    <t>15285658215</t>
  </si>
  <si>
    <t>58827056</t>
  </si>
  <si>
    <t>15285658361</t>
  </si>
  <si>
    <t>58839217</t>
  </si>
  <si>
    <t>15285658604</t>
  </si>
  <si>
    <t>58825446</t>
  </si>
  <si>
    <t>15285658971</t>
  </si>
  <si>
    <t>58827662</t>
  </si>
  <si>
    <t>15285659019</t>
  </si>
  <si>
    <t>58828670</t>
  </si>
  <si>
    <t>15285659284</t>
  </si>
  <si>
    <t>58826608</t>
  </si>
  <si>
    <t>15285661123</t>
  </si>
  <si>
    <t>58828051</t>
  </si>
  <si>
    <t>15285662673</t>
  </si>
  <si>
    <t>58838687</t>
  </si>
  <si>
    <t>15285663504</t>
  </si>
  <si>
    <t>58829126</t>
  </si>
  <si>
    <t>15285664156</t>
  </si>
  <si>
    <t>58854323</t>
  </si>
  <si>
    <t>15285668006</t>
  </si>
  <si>
    <t>58845360</t>
  </si>
  <si>
    <t>15285668109</t>
  </si>
  <si>
    <t>58844999</t>
  </si>
  <si>
    <t>15285668247</t>
  </si>
  <si>
    <t>58844930</t>
  </si>
  <si>
    <t>15285668563</t>
  </si>
  <si>
    <t>58844463</t>
  </si>
  <si>
    <t>15285669306</t>
  </si>
  <si>
    <t>58844181</t>
  </si>
  <si>
    <t>15285669334</t>
  </si>
  <si>
    <t>58843087</t>
  </si>
  <si>
    <t>15285670049</t>
  </si>
  <si>
    <t>58842163</t>
  </si>
  <si>
    <t>15285670083</t>
  </si>
  <si>
    <t>58841839</t>
  </si>
  <si>
    <t>15285670111</t>
  </si>
  <si>
    <t>58842179</t>
  </si>
  <si>
    <t>15285670807</t>
  </si>
  <si>
    <t>58841662</t>
  </si>
  <si>
    <t>15285673735</t>
  </si>
  <si>
    <t>58846711</t>
  </si>
  <si>
    <t>15285674225</t>
  </si>
  <si>
    <t>58845258</t>
  </si>
  <si>
    <t>15285674551</t>
  </si>
  <si>
    <t>58856844</t>
  </si>
  <si>
    <t>15285674777</t>
  </si>
  <si>
    <t>58844272</t>
  </si>
  <si>
    <t>15285675412</t>
  </si>
  <si>
    <t>58841816</t>
  </si>
  <si>
    <t>15285675469</t>
  </si>
  <si>
    <t>58841170</t>
  </si>
  <si>
    <t>15285675791</t>
  </si>
  <si>
    <t>58841477</t>
  </si>
  <si>
    <t>15285678675</t>
  </si>
  <si>
    <t>58841974</t>
  </si>
  <si>
    <t>15285682684</t>
  </si>
  <si>
    <t>58845629</t>
  </si>
  <si>
    <t>15285687445</t>
  </si>
  <si>
    <t>58855328</t>
  </si>
  <si>
    <t>15285688088</t>
  </si>
  <si>
    <t>58838159</t>
  </si>
  <si>
    <t>15285689188</t>
  </si>
  <si>
    <t>58838572</t>
  </si>
  <si>
    <t>15285690513</t>
  </si>
  <si>
    <t>58853291</t>
  </si>
  <si>
    <t>15285690566</t>
  </si>
  <si>
    <t>58835510</t>
  </si>
  <si>
    <t>15285692480</t>
  </si>
  <si>
    <t>58840446</t>
  </si>
  <si>
    <t>15285697913</t>
  </si>
  <si>
    <t>58852851</t>
  </si>
  <si>
    <t>15285697914</t>
  </si>
  <si>
    <t>58852781</t>
  </si>
  <si>
    <t>15285698952</t>
  </si>
  <si>
    <t>58840956</t>
  </si>
  <si>
    <t>15285699174</t>
  </si>
  <si>
    <t>58842134</t>
  </si>
  <si>
    <t>15285699448</t>
  </si>
  <si>
    <t>58842074</t>
  </si>
  <si>
    <t>15285700998</t>
  </si>
  <si>
    <t>58842118</t>
  </si>
  <si>
    <t>15285701034</t>
  </si>
  <si>
    <t>58842218</t>
  </si>
  <si>
    <t>15285701196</t>
  </si>
  <si>
    <t>58842165</t>
  </si>
  <si>
    <t>15285701354</t>
  </si>
  <si>
    <t>58842085</t>
  </si>
  <si>
    <t>15285701382</t>
  </si>
  <si>
    <t>58842113</t>
  </si>
  <si>
    <t>15285701693</t>
  </si>
  <si>
    <t>58841807</t>
  </si>
  <si>
    <t>15285702119</t>
  </si>
  <si>
    <t>58841055</t>
  </si>
  <si>
    <t>15285702478</t>
  </si>
  <si>
    <t>58842575</t>
  </si>
  <si>
    <t>15285702611</t>
  </si>
  <si>
    <t>58843987</t>
  </si>
  <si>
    <t>15285704849</t>
  </si>
  <si>
    <t>58842299</t>
  </si>
  <si>
    <t>15285704962</t>
  </si>
  <si>
    <t>58843737</t>
  </si>
  <si>
    <t>15285704994</t>
  </si>
  <si>
    <t>58843991</t>
  </si>
  <si>
    <t>15285706240</t>
  </si>
  <si>
    <t>58845548</t>
  </si>
  <si>
    <t>15285708196</t>
  </si>
  <si>
    <t>58845419</t>
  </si>
  <si>
    <t>15285708204</t>
  </si>
  <si>
    <t>58845409</t>
  </si>
  <si>
    <t>15285708228</t>
  </si>
  <si>
    <t>58845393</t>
  </si>
  <si>
    <t>15285709136</t>
  </si>
  <si>
    <t>58844468</t>
  </si>
  <si>
    <t>15285710334</t>
  </si>
  <si>
    <t>58909549</t>
  </si>
  <si>
    <t>15285710696</t>
  </si>
  <si>
    <t>58854258</t>
  </si>
  <si>
    <t>15285721577</t>
  </si>
  <si>
    <t>58852006</t>
  </si>
  <si>
    <t>15285724355</t>
  </si>
  <si>
    <t>58855249</t>
  </si>
  <si>
    <t>15285730202</t>
  </si>
  <si>
    <t>58852049</t>
  </si>
  <si>
    <t>15285730213</t>
  </si>
  <si>
    <t>58855289</t>
  </si>
  <si>
    <t>15285730250</t>
  </si>
  <si>
    <t>58855137</t>
  </si>
  <si>
    <t>15285731246</t>
  </si>
  <si>
    <t>58854366</t>
  </si>
  <si>
    <t>15285731722</t>
  </si>
  <si>
    <t>58850899</t>
  </si>
  <si>
    <t>15285732029</t>
  </si>
  <si>
    <t>58855219</t>
  </si>
  <si>
    <t>15285733479</t>
  </si>
  <si>
    <t>58854062</t>
  </si>
  <si>
    <t>15285735399</t>
  </si>
  <si>
    <t>58852192</t>
  </si>
  <si>
    <t>15285736002</t>
  </si>
  <si>
    <t>58852278</t>
  </si>
  <si>
    <t>15285736031</t>
  </si>
  <si>
    <t>58852117</t>
  </si>
  <si>
    <t>15285736393</t>
  </si>
  <si>
    <t>58852107</t>
  </si>
  <si>
    <t>15285736431</t>
  </si>
  <si>
    <t>58852085</t>
  </si>
  <si>
    <t>15285736432</t>
  </si>
  <si>
    <t>58852070</t>
  </si>
  <si>
    <t>15285736692</t>
  </si>
  <si>
    <t>58852042</t>
  </si>
  <si>
    <t>15285736694</t>
  </si>
  <si>
    <t>58851293</t>
  </si>
  <si>
    <t>15285736776</t>
  </si>
  <si>
    <t>58850670</t>
  </si>
  <si>
    <t>15285736984</t>
  </si>
  <si>
    <t>58854057</t>
  </si>
  <si>
    <t>15285737050</t>
  </si>
  <si>
    <t>58852101</t>
  </si>
  <si>
    <t>15285739911</t>
  </si>
  <si>
    <t>58855758</t>
  </si>
  <si>
    <t>15285740273</t>
  </si>
  <si>
    <t>58856648</t>
  </si>
  <si>
    <t>15285740762</t>
  </si>
  <si>
    <t>58855979</t>
  </si>
  <si>
    <t>15285742830</t>
  </si>
  <si>
    <t>58855254</t>
  </si>
  <si>
    <t>15285759669</t>
  </si>
  <si>
    <t>61039247</t>
  </si>
  <si>
    <t>15285773281</t>
  </si>
  <si>
    <t>58864699</t>
  </si>
  <si>
    <t>15285773282</t>
  </si>
  <si>
    <t>61038866</t>
  </si>
  <si>
    <t>15285774394</t>
  </si>
  <si>
    <t>58867154</t>
  </si>
  <si>
    <t>15285786536</t>
  </si>
  <si>
    <t>58879719</t>
  </si>
  <si>
    <t>15285786883</t>
  </si>
  <si>
    <t>58910310</t>
  </si>
  <si>
    <t>15285789411</t>
  </si>
  <si>
    <t>58903848</t>
  </si>
  <si>
    <t>15285797213</t>
  </si>
  <si>
    <t>58878821</t>
  </si>
  <si>
    <t>15285802510</t>
  </si>
  <si>
    <t>58879499</t>
  </si>
  <si>
    <t>15285803681</t>
  </si>
  <si>
    <t>58878595</t>
  </si>
  <si>
    <t>15285803738</t>
  </si>
  <si>
    <t>58878519</t>
  </si>
  <si>
    <t>15285803880</t>
  </si>
  <si>
    <t>58880506</t>
  </si>
  <si>
    <t>15285805902</t>
  </si>
  <si>
    <t>58878260</t>
  </si>
  <si>
    <t>15285806036</t>
  </si>
  <si>
    <t>58878329</t>
  </si>
  <si>
    <t>15285806548</t>
  </si>
  <si>
    <t>58880953</t>
  </si>
  <si>
    <t>15285808036</t>
  </si>
  <si>
    <t>58879461</t>
  </si>
  <si>
    <t>15285808728</t>
  </si>
  <si>
    <t>58881377</t>
  </si>
  <si>
    <t>15285810015</t>
  </si>
  <si>
    <t>58880959</t>
  </si>
  <si>
    <t>15285810016</t>
  </si>
  <si>
    <t>58880820</t>
  </si>
  <si>
    <t>15285811470</t>
  </si>
  <si>
    <t>58881252</t>
  </si>
  <si>
    <t>15285811836</t>
  </si>
  <si>
    <t>58881412</t>
  </si>
  <si>
    <t>15285812041</t>
  </si>
  <si>
    <t>58881270</t>
  </si>
  <si>
    <t>15285812042</t>
  </si>
  <si>
    <t>58882564</t>
  </si>
  <si>
    <t>15285812822</t>
  </si>
  <si>
    <t>58882088</t>
  </si>
  <si>
    <t>15285813581</t>
  </si>
  <si>
    <t>58882815</t>
  </si>
  <si>
    <t>15285817253</t>
  </si>
  <si>
    <t>58883822</t>
  </si>
  <si>
    <t>15285823160</t>
  </si>
  <si>
    <t>58884509</t>
  </si>
  <si>
    <t>15285829728</t>
  </si>
  <si>
    <t>58895928</t>
  </si>
  <si>
    <t>15285829745</t>
  </si>
  <si>
    <t>58895442</t>
  </si>
  <si>
    <t>15285829776</t>
  </si>
  <si>
    <t>58895929</t>
  </si>
  <si>
    <t>15285829940</t>
  </si>
  <si>
    <t>58895627</t>
  </si>
  <si>
    <t>15285830618</t>
  </si>
  <si>
    <t>58894473</t>
  </si>
  <si>
    <t>15285832074</t>
  </si>
  <si>
    <t>58911918</t>
  </si>
  <si>
    <t>15285832206</t>
  </si>
  <si>
    <t>58890122</t>
  </si>
  <si>
    <t>15285834059</t>
  </si>
  <si>
    <t>58892143</t>
  </si>
  <si>
    <t>15285836128</t>
  </si>
  <si>
    <t>58894350</t>
  </si>
  <si>
    <t>15285836625</t>
  </si>
  <si>
    <t>58894767</t>
  </si>
  <si>
    <t>15285838087</t>
  </si>
  <si>
    <t>58892168</t>
  </si>
  <si>
    <t>15285838800</t>
  </si>
  <si>
    <t>58922218</t>
  </si>
  <si>
    <t>15285839452</t>
  </si>
  <si>
    <t>58921626</t>
  </si>
  <si>
    <t>15285840584</t>
  </si>
  <si>
    <t>58895456</t>
  </si>
  <si>
    <t>15285843566</t>
  </si>
  <si>
    <t>58893499</t>
  </si>
  <si>
    <t>15285843892</t>
  </si>
  <si>
    <t>58894307</t>
  </si>
  <si>
    <t>15285843982</t>
  </si>
  <si>
    <t>58894138</t>
  </si>
  <si>
    <t>15285844260</t>
  </si>
  <si>
    <t>58894590</t>
  </si>
  <si>
    <t>15285844347</t>
  </si>
  <si>
    <t>58894586</t>
  </si>
  <si>
    <t>15285844521</t>
  </si>
  <si>
    <t>58894060</t>
  </si>
  <si>
    <t>15285844812</t>
  </si>
  <si>
    <t>58894607</t>
  </si>
  <si>
    <t>15285845529</t>
  </si>
  <si>
    <t>58894897</t>
  </si>
  <si>
    <t>15285845933</t>
  </si>
  <si>
    <t>58895153</t>
  </si>
  <si>
    <t>15285846893</t>
  </si>
  <si>
    <t>58904715</t>
  </si>
  <si>
    <t>15285846969</t>
  </si>
  <si>
    <t>61038308</t>
  </si>
  <si>
    <t>15285847437</t>
  </si>
  <si>
    <t>58897123</t>
  </si>
  <si>
    <t>15285847457</t>
  </si>
  <si>
    <t>58896101</t>
  </si>
  <si>
    <t>15285848607</t>
  </si>
  <si>
    <t>58896960</t>
  </si>
  <si>
    <t>15285858436</t>
  </si>
  <si>
    <t>58899133</t>
  </si>
  <si>
    <t>15285858492</t>
  </si>
  <si>
    <t>58899170</t>
  </si>
  <si>
    <t>15285861876</t>
  </si>
  <si>
    <t>58907581</t>
  </si>
  <si>
    <t>15285866833</t>
  </si>
  <si>
    <t>58903389</t>
  </si>
  <si>
    <t>15285869305</t>
  </si>
  <si>
    <t>58903839</t>
  </si>
  <si>
    <t>15285870149</t>
  </si>
  <si>
    <t>58903009</t>
  </si>
  <si>
    <t>15285870327</t>
  </si>
  <si>
    <t>58917118</t>
  </si>
  <si>
    <t>15285870332</t>
  </si>
  <si>
    <t>58904679</t>
  </si>
  <si>
    <t>15285870943</t>
  </si>
  <si>
    <t>58907719</t>
  </si>
  <si>
    <t>15285873611</t>
  </si>
  <si>
    <t>58907690</t>
  </si>
  <si>
    <t>15285876087</t>
  </si>
  <si>
    <t>58910345</t>
  </si>
  <si>
    <t>15285876492</t>
  </si>
  <si>
    <t>58910995</t>
  </si>
  <si>
    <t>15285876822</t>
  </si>
  <si>
    <t>58910618</t>
  </si>
  <si>
    <t>15285876823</t>
  </si>
  <si>
    <t>58910718</t>
  </si>
  <si>
    <t>15285877325</t>
  </si>
  <si>
    <t>58910998</t>
  </si>
  <si>
    <t>15285879543</t>
  </si>
  <si>
    <t>61038321</t>
  </si>
  <si>
    <t>15285880218</t>
  </si>
  <si>
    <t>58911670</t>
  </si>
  <si>
    <t>15285880219</t>
  </si>
  <si>
    <t>58911097</t>
  </si>
  <si>
    <t>15285880556</t>
  </si>
  <si>
    <t>61039113</t>
  </si>
  <si>
    <t>15285888829</t>
  </si>
  <si>
    <t>58912669</t>
  </si>
  <si>
    <t>15285889671</t>
  </si>
  <si>
    <t>58912588</t>
  </si>
  <si>
    <t>15285889688</t>
  </si>
  <si>
    <t>58912180</t>
  </si>
  <si>
    <t>15285889952</t>
  </si>
  <si>
    <t>58912827</t>
  </si>
  <si>
    <t>15285889955</t>
  </si>
  <si>
    <t>58912831</t>
  </si>
  <si>
    <t>15285890503</t>
  </si>
  <si>
    <t>58913475</t>
  </si>
  <si>
    <t>15285891108</t>
  </si>
  <si>
    <t>58922582</t>
  </si>
  <si>
    <t>58946803</t>
  </si>
  <si>
    <t>15285891431</t>
  </si>
  <si>
    <t>58913641</t>
  </si>
  <si>
    <t>15285891535</t>
  </si>
  <si>
    <t>58913355</t>
  </si>
  <si>
    <t>15285893030</t>
  </si>
  <si>
    <t>58919437</t>
  </si>
  <si>
    <t>15285894045</t>
  </si>
  <si>
    <t>58921811</t>
  </si>
  <si>
    <t>15285894255</t>
  </si>
  <si>
    <t>58921097</t>
  </si>
  <si>
    <t>15285894393</t>
  </si>
  <si>
    <t>58920904</t>
  </si>
  <si>
    <t>15285897615</t>
  </si>
  <si>
    <t>58918852</t>
  </si>
  <si>
    <t>15285897762</t>
  </si>
  <si>
    <t>58918800</t>
  </si>
  <si>
    <t>15285898578</t>
  </si>
  <si>
    <t>58922199</t>
  </si>
  <si>
    <t>59073738</t>
  </si>
  <si>
    <t>15285898848</t>
  </si>
  <si>
    <t>58923792</t>
  </si>
  <si>
    <t>15285899540</t>
  </si>
  <si>
    <t>58925904</t>
  </si>
  <si>
    <t>15285899575</t>
  </si>
  <si>
    <t>58922966</t>
  </si>
  <si>
    <t>15285900289</t>
  </si>
  <si>
    <t>58924837</t>
  </si>
  <si>
    <t>15285901070</t>
  </si>
  <si>
    <t>58924052</t>
  </si>
  <si>
    <t>15285902397</t>
  </si>
  <si>
    <t>58920610</t>
  </si>
  <si>
    <t>59053973</t>
  </si>
  <si>
    <t>15285902423</t>
  </si>
  <si>
    <t>58920367</t>
  </si>
  <si>
    <t>15285902921</t>
  </si>
  <si>
    <t>58919687</t>
  </si>
  <si>
    <t>15285904727</t>
  </si>
  <si>
    <t>58920893</t>
  </si>
  <si>
    <t>15285905007</t>
  </si>
  <si>
    <t>58920939</t>
  </si>
  <si>
    <t>15285905112</t>
  </si>
  <si>
    <t>58920420</t>
  </si>
  <si>
    <t>15285905505</t>
  </si>
  <si>
    <t>58921501</t>
  </si>
  <si>
    <t>15285906068</t>
  </si>
  <si>
    <t>58925641</t>
  </si>
  <si>
    <t>15285906371</t>
  </si>
  <si>
    <t>58925648</t>
  </si>
  <si>
    <t>15285908712</t>
  </si>
  <si>
    <t>58924900</t>
  </si>
  <si>
    <t>15285909554</t>
  </si>
  <si>
    <t>58925948</t>
  </si>
  <si>
    <t>15285912374</t>
  </si>
  <si>
    <t>58925378</t>
  </si>
  <si>
    <t>15285919405</t>
  </si>
  <si>
    <t>58926885</t>
  </si>
  <si>
    <t>15285920709</t>
  </si>
  <si>
    <t>58926887</t>
  </si>
  <si>
    <t>15285932500</t>
  </si>
  <si>
    <t>58936440</t>
  </si>
  <si>
    <t>15285933351</t>
  </si>
  <si>
    <t>58934062</t>
  </si>
  <si>
    <t>15285933395</t>
  </si>
  <si>
    <t>58934578</t>
  </si>
  <si>
    <t>15285934149</t>
  </si>
  <si>
    <t>58933603</t>
  </si>
  <si>
    <t>15285937981</t>
  </si>
  <si>
    <t>58935323</t>
  </si>
  <si>
    <t>15285938764</t>
  </si>
  <si>
    <t>58933189</t>
  </si>
  <si>
    <t>15285939958</t>
  </si>
  <si>
    <t>58935742</t>
  </si>
  <si>
    <t>15285941710</t>
  </si>
  <si>
    <t>58935170</t>
  </si>
  <si>
    <t>15285942072</t>
  </si>
  <si>
    <t>58936378</t>
  </si>
  <si>
    <t>15285946462</t>
  </si>
  <si>
    <t>58937089</t>
  </si>
  <si>
    <t>15285949299</t>
  </si>
  <si>
    <t>58937475</t>
  </si>
  <si>
    <t>15285949346</t>
  </si>
  <si>
    <t>58937392</t>
  </si>
  <si>
    <t>15285954695</t>
  </si>
  <si>
    <t>58938101</t>
  </si>
  <si>
    <t>15285955072</t>
  </si>
  <si>
    <t>61038227</t>
  </si>
  <si>
    <t>15285955150</t>
  </si>
  <si>
    <t>58938119</t>
  </si>
  <si>
    <t>15285957020</t>
  </si>
  <si>
    <t>58944182</t>
  </si>
  <si>
    <t>15285961360</t>
  </si>
  <si>
    <t>58947960</t>
  </si>
  <si>
    <t>15285961447</t>
  </si>
  <si>
    <t>58945618</t>
  </si>
  <si>
    <t>15285961545</t>
  </si>
  <si>
    <t>58943305</t>
  </si>
  <si>
    <t>15285961659</t>
  </si>
  <si>
    <t>58943285</t>
  </si>
  <si>
    <t>15285961661</t>
  </si>
  <si>
    <t>58943213</t>
  </si>
  <si>
    <t>15285961944</t>
  </si>
  <si>
    <t>58943237</t>
  </si>
  <si>
    <t>15285961969</t>
  </si>
  <si>
    <t>58943302</t>
  </si>
  <si>
    <t>15285962745</t>
  </si>
  <si>
    <t>58945199</t>
  </si>
  <si>
    <t>15285964081</t>
  </si>
  <si>
    <t>58945455</t>
  </si>
  <si>
    <t>15285964549</t>
  </si>
  <si>
    <t>58944527</t>
  </si>
  <si>
    <t>15285964753</t>
  </si>
  <si>
    <t>58944387</t>
  </si>
  <si>
    <t>15285964843</t>
  </si>
  <si>
    <t>58943831</t>
  </si>
  <si>
    <t>15285965893</t>
  </si>
  <si>
    <t>58943338</t>
  </si>
  <si>
    <t>15285966162</t>
  </si>
  <si>
    <t>58947831</t>
  </si>
  <si>
    <t>15285966297</t>
  </si>
  <si>
    <t>58946927</t>
  </si>
  <si>
    <t>15285966410</t>
  </si>
  <si>
    <t>15285967933</t>
  </si>
  <si>
    <t>58943124</t>
  </si>
  <si>
    <t>15285969872</t>
  </si>
  <si>
    <t>58944853</t>
  </si>
  <si>
    <t>15285969976</t>
  </si>
  <si>
    <t>58944708</t>
  </si>
  <si>
    <t>15285993062</t>
  </si>
  <si>
    <t>58952921</t>
  </si>
  <si>
    <t>15285998538</t>
  </si>
  <si>
    <t>58955440</t>
  </si>
  <si>
    <t>15285999132</t>
  </si>
  <si>
    <t>58957045</t>
  </si>
  <si>
    <t>15286003855</t>
  </si>
  <si>
    <t>58959053</t>
  </si>
  <si>
    <t>15286008087</t>
  </si>
  <si>
    <t>58959464</t>
  </si>
  <si>
    <t>15286017430</t>
  </si>
  <si>
    <t>58960877</t>
  </si>
  <si>
    <t>15286021560</t>
  </si>
  <si>
    <t>58967707</t>
  </si>
  <si>
    <t>15286023596</t>
  </si>
  <si>
    <t>58966715</t>
  </si>
  <si>
    <t>15286023776</t>
  </si>
  <si>
    <t>58966670</t>
  </si>
  <si>
    <t>15286028204</t>
  </si>
  <si>
    <t>58968005</t>
  </si>
  <si>
    <t>15286029119</t>
  </si>
  <si>
    <t>58966846</t>
  </si>
  <si>
    <t>15286029312</t>
  </si>
  <si>
    <t>58972114</t>
  </si>
  <si>
    <t>15286030715</t>
  </si>
  <si>
    <t>58971494</t>
  </si>
  <si>
    <t>15286031720</t>
  </si>
  <si>
    <t>59034434</t>
  </si>
  <si>
    <t>15286032521</t>
  </si>
  <si>
    <t>58969243</t>
  </si>
  <si>
    <t>15286035938</t>
  </si>
  <si>
    <t>58970393</t>
  </si>
  <si>
    <t>15286037480</t>
  </si>
  <si>
    <t>58970080</t>
  </si>
  <si>
    <t>15286037919</t>
  </si>
  <si>
    <t>58969813</t>
  </si>
  <si>
    <t>15286038151</t>
  </si>
  <si>
    <t>58970094</t>
  </si>
  <si>
    <t>15286038820</t>
  </si>
  <si>
    <t>58969171</t>
  </si>
  <si>
    <t>15286040142</t>
  </si>
  <si>
    <t>58971799</t>
  </si>
  <si>
    <t>15286040182</t>
  </si>
  <si>
    <t>58971034</t>
  </si>
  <si>
    <t>15286045394</t>
  </si>
  <si>
    <t>58974499</t>
  </si>
  <si>
    <t>15286045936</t>
  </si>
  <si>
    <t>58974352</t>
  </si>
  <si>
    <t>15286064538</t>
  </si>
  <si>
    <t>61038439</t>
  </si>
  <si>
    <t>15286065884</t>
  </si>
  <si>
    <t>58983690</t>
  </si>
  <si>
    <t>15286067701</t>
  </si>
  <si>
    <t>58988127</t>
  </si>
  <si>
    <t>15286067702</t>
  </si>
  <si>
    <t>58987726</t>
  </si>
  <si>
    <t>15286197950</t>
  </si>
  <si>
    <t>59056599</t>
  </si>
  <si>
    <t>15286241622</t>
  </si>
  <si>
    <t>59043444</t>
  </si>
  <si>
    <t>15286287017</t>
  </si>
  <si>
    <t>59147877</t>
  </si>
  <si>
    <t>15278947305</t>
  </si>
  <si>
    <t>57231373</t>
  </si>
  <si>
    <t>15269702928</t>
  </si>
  <si>
    <t>15257506125</t>
  </si>
  <si>
    <t>53276743</t>
  </si>
  <si>
    <t>15280319447</t>
  </si>
  <si>
    <t>57560165</t>
  </si>
  <si>
    <t>15284923976</t>
  </si>
  <si>
    <t>58539932</t>
  </si>
  <si>
    <t>15252322527</t>
  </si>
  <si>
    <t>53276752</t>
  </si>
  <si>
    <t>15253821019</t>
  </si>
  <si>
    <t>53303213</t>
  </si>
  <si>
    <t>15269165681</t>
  </si>
  <si>
    <t>55159571</t>
  </si>
  <si>
    <t>15276251962</t>
  </si>
  <si>
    <t>15284399729</t>
  </si>
  <si>
    <t>58423659</t>
  </si>
  <si>
    <t>15284804332</t>
  </si>
  <si>
    <t>58508548</t>
  </si>
  <si>
    <t>15278469196</t>
  </si>
  <si>
    <t>57112243</t>
  </si>
  <si>
    <t>15280053939</t>
  </si>
  <si>
    <t>57512660</t>
  </si>
  <si>
    <t>15278606329</t>
  </si>
  <si>
    <t>57179524</t>
  </si>
  <si>
    <t>15284800343</t>
  </si>
  <si>
    <t>58583488</t>
  </si>
  <si>
    <t>15262855573</t>
  </si>
  <si>
    <t>54482743</t>
  </si>
  <si>
    <t>15264760009</t>
  </si>
  <si>
    <t>54736710</t>
  </si>
  <si>
    <t>15265305297</t>
  </si>
  <si>
    <t>54814250</t>
  </si>
  <si>
    <t>15261241452</t>
  </si>
  <si>
    <t>15260121988</t>
  </si>
  <si>
    <t>54187418</t>
  </si>
  <si>
    <t>15275871542</t>
  </si>
  <si>
    <t>56501345</t>
  </si>
  <si>
    <t>15279373950</t>
  </si>
  <si>
    <t>15269809086</t>
  </si>
  <si>
    <t>15284607793</t>
  </si>
  <si>
    <t>58451171</t>
  </si>
  <si>
    <t>15284563261</t>
  </si>
  <si>
    <t>58433533</t>
  </si>
  <si>
    <t>15283865590</t>
  </si>
  <si>
    <t>58264285</t>
  </si>
  <si>
    <t>15283361092</t>
  </si>
  <si>
    <t>58138699</t>
  </si>
  <si>
    <t>15256693779</t>
  </si>
  <si>
    <t>53732217</t>
  </si>
  <si>
    <t>15283949806</t>
  </si>
  <si>
    <t>58284835</t>
  </si>
  <si>
    <t>15278897708</t>
  </si>
  <si>
    <t>57248682</t>
  </si>
  <si>
    <t>15252258813</t>
  </si>
  <si>
    <t>15259264255</t>
  </si>
  <si>
    <t>15275925111</t>
  </si>
  <si>
    <t>56504547</t>
  </si>
  <si>
    <t>15276251988</t>
  </si>
  <si>
    <t>15276142417</t>
  </si>
  <si>
    <t>56572249</t>
  </si>
  <si>
    <t>15276251994</t>
  </si>
  <si>
    <t>15283514976</t>
  </si>
  <si>
    <t>58181349</t>
  </si>
  <si>
    <t>15267099775</t>
  </si>
  <si>
    <t>54960245</t>
  </si>
  <si>
    <t>15275443889</t>
  </si>
  <si>
    <t>56402198</t>
  </si>
  <si>
    <t>15260595390</t>
  </si>
  <si>
    <t>54201789</t>
  </si>
  <si>
    <t>15261239122</t>
  </si>
  <si>
    <t>54290518</t>
  </si>
  <si>
    <t>15253822252</t>
  </si>
  <si>
    <t>52972090</t>
  </si>
  <si>
    <t>15245452993</t>
  </si>
  <si>
    <t>52595997</t>
  </si>
  <si>
    <t>15259630913</t>
  </si>
  <si>
    <t>15285616382</t>
  </si>
  <si>
    <t>58786989</t>
  </si>
  <si>
    <t>15252350396</t>
  </si>
  <si>
    <t>53273700</t>
  </si>
  <si>
    <t>15270626296</t>
  </si>
  <si>
    <t>55402978</t>
  </si>
  <si>
    <t>15282312576</t>
  </si>
  <si>
    <t>15265672097</t>
  </si>
  <si>
    <t>54832114</t>
  </si>
  <si>
    <t>15265367295</t>
  </si>
  <si>
    <t>54819393</t>
  </si>
  <si>
    <t>15280732833</t>
  </si>
  <si>
    <t>57638200</t>
  </si>
  <si>
    <t>15262885868</t>
  </si>
  <si>
    <t>54679817</t>
  </si>
  <si>
    <t>15267819470</t>
  </si>
  <si>
    <t>15267820860</t>
  </si>
  <si>
    <t>15267814259</t>
  </si>
  <si>
    <t>61692450</t>
  </si>
  <si>
    <t>15276758636</t>
  </si>
  <si>
    <t>61710345</t>
  </si>
  <si>
    <t>GRAND TOTAL</t>
  </si>
</sst>
</file>

<file path=xl/styles.xml><?xml version="1.0" encoding="utf-8"?>
<styleSheet xmlns="http://schemas.openxmlformats.org/spreadsheetml/2006/main">
- 
  <numFmts count="9">
    <numFmt numFmtId="164" formatCode="#,##0;-#,##0"/>
    <numFmt numFmtId="165" formatCode="#,##0.0;-#,##0.0"/>
    <numFmt numFmtId="166" formatCode="#,##0.00;-#,##0.00"/>
    <numFmt numFmtId="167" formatCode="#,##0.000;-#,##0.000"/>
    <numFmt numFmtId="168" formatCode="#,##0;[Red](#,##0)"/>
    <numFmt numFmtId="169" formatCode="#,##0.0;[Red](#,##0.0)"/>
    <numFmt numFmtId="170" formatCode="#,##0.00;[Red](#,##0.00)"/>
    <numFmt numFmtId="171" formatCode="#,##0.000;[Red]\(#,##0.000\)"/>
    <numFmt numFmtId="172" formatCode="m/d/yyyy;@"/>
  </numFmts>
  <fonts count="3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indexed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1">
      <alignment vertical="top"/>
      <protection locked="0"/>
    </xf>
  </cellStyleXfs>
  <cellXfs count="23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0" fontId="1" fillId="0" borderId="0" xfId="0" applyFont="1"/>
    <xf numFmtId="0" fontId="1" fillId="2" borderId="0" xfId="0" applyFont="1" applyFill="1"/>
    <xf numFmtId="40" fontId="1" fillId="2" borderId="0" xfId="0" applyNumberFormat="1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166" fontId="1" fillId="2" borderId="0" xfId="0" applyNumberFormat="1" applyFont="1" applyFill="1"/>
    <xf numFmtId="167" fontId="1" fillId="2" borderId="0" xfId="0" applyNumberFormat="1" applyFont="1" applyFill="1"/>
    <xf numFmtId="168" fontId="1" fillId="2" borderId="0" xfId="0" applyNumberFormat="1" applyFont="1" applyFill="1"/>
    <xf numFmtId="169" fontId="1" fillId="2" borderId="0" xfId="0" applyNumberFormat="1" applyFont="1" applyFill="1"/>
    <xf numFmtId="170" fontId="1" fillId="2" borderId="0" xfId="0" applyNumberFormat="1" applyFont="1" applyFill="1"/>
    <xf numFmtId="171" fontId="1" fillId="2" borderId="0" xfId="0" applyNumberFormat="1" applyFont="1" applyFill="1"/>
    <xf numFmtId="172" fontId="1" fillId="2" borderId="0" xfId="0" applyNumberFormat="1" applyFont="1" applyFill="1"/>
    <xf numFmtId="0" fontId="2" fillId="0" borderId="0" xfId="1" applyAlignment="1" applyProtection="1"/>
  </cellXfs>
  <cellStyles count="2">
    <cellStyle name="Normal" xfId="0" builtinId="0"/>
    <cellStyle name="Hyperlink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<Relationship Id="rId14" Type="http://schemas.openxmlformats.org/officeDocument/2006/relationships/worksheet" Target="worksheets/sheet14.xml"/>
<Relationship Id="rId15" Type="http://schemas.openxmlformats.org/officeDocument/2006/relationships/worksheet" Target="worksheets/sheet15.xml"/>
<Relationship Id="rId20" Type="http://schemas.openxmlformats.org/officeDocument/2006/relationships/sharedStrings" Target="sharedStrings.xml"/>
<Relationship Id="rId21" Type="http://schemas.openxmlformats.org/officeDocument/2006/relationships/styles" Target="styles.xml"/>
<Relationship Id="rId22" Type="http://schemas.openxmlformats.org/officeDocument/2006/relationships/theme" Target="theme/theme1.xml"/>
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0</xdr:col>
      <xdr:colOff>1775000</xdr:colOff>
      <xdr:row>2</xdr:row>
      <xdr:rowOff>180975</xdr:rowOff>
    </xdr:to>
    <xdr:pic>
      <xdr:nvPicPr>
        <xdr:cNvPr id="1025" name="Picture 1" descr="KANTAR_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0"/>
          <a:ext cx="1657350" cy="5619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Windows-1252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1.bin"/>

</Relationships>

</file>

<file path=xl/worksheets/_rels/sheet2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2.bin"/>
</Relationships>

</file>

<file path=xl/worksheets/_rels/sheet3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3.bin"/>
</Relationships>

</file>

<file path=xl/worksheets/_rels/sheet4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4.bin"/>
</Relationships>

</file>

<file path=xl/worksheets/_rels/sheet5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5.bin"/>
</Relationships>

</file>

<file path=xl/worksheets/_rels/sheet6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6.bin"/>
</Relationships>

</file>

<file path=xl/worksheets/_rels/sheet7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7.bin"/>
</Relationships>

</file>

<file path=xl/worksheets/_rels/sheet8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8.bin"/>
</Relationships>

</file>

<file path=xl/worksheets/_rels/sheet9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9.bin"/>
</Relationships>

</file>

<file path=xl/worksheets/_rels/sheet10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10.bin"/>
</Relationships>

</file>

<file path=xl/worksheets/_rels/sheet11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11.bin"/>
</Relationships>

</file>

<file path=xl/worksheets/_rels/sheet12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12.bin"/>
</Relationships>

</file>

<file path=xl/worksheets/_rels/sheet13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10.bin"/>
</Relationships>

</file>

<file path=xl/worksheets/_rels/sheet14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10.bin"/>
</Relationships>

</file>

<file path=xl/worksheets/_rels/sheet15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10.bin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25683"/>
  <sheetViews>
    <sheetView workbookViewId="0"/>
  </sheetViews>
  <sheetFormatPr defaultRowHeight="15"/>
  <cols>
    <col min="1" max="1" width="75" customWidth="1"/>
    <col min="2" max="2" width="45" customWidth="1"/>
    <col min="3" max="3" width="18" customWidth="1"/>
    <col min="4" max="4" width="45" customWidth="1"/>
    <col min="5" max="5" width="45" customWidth="1"/>
    <col min="6" max="6" width="45" customWidth="1"/>
    <col min="7" max="7" width="75" customWidth="1"/>
    <col min="8" max="8" width="14" customWidth="1"/>
  </cols>
  <sheetData>
    <row r="1" spans="1:3">
      <c r="C1" s="10" t="s">
        <v>0</v>
      </c>
    </row>
    <row r="5" spans="1:4">
      <c r="A5" s="10" t="s">
        <v>1</v>
      </c>
      <c r="B5" s="0" t="s">
        <v>2</v>
      </c>
    </row>
    <row r="6" spans="1:4">
      <c r="A6" s="10" t="s">
        <v>3</v>
      </c>
      <c r="B6" s="0" t="s">
        <v>4</v>
      </c>
    </row>
    <row r="8" spans="1:10">
      <c r="A8" s="10" t="s">
        <v>5</v>
      </c>
      <c r="B8" s="10" t="s">
        <v>6</v>
      </c>
      <c r="C8" s="10" t="s">
        <v>7</v>
      </c>
      <c r="D8" s="10" t="s">
        <v>8</v>
      </c>
      <c r="E8" s="10" t="s">
        <v>9</v>
      </c>
      <c r="F8" s="10" t="inlineStr">
        <is>
          <t xml:space="preserve">BRAND</t>
        </is>
      </c>
      <c r="G8" s="10" t="s">
        <v>10</v>
      </c>
      <c r="H8" s="10" t="inlineStr">
        <is>
          <t xml:space="preserve">$</t>
        </is>
      </c>
    </row>
    <row r="9" spans="1:9">
      <c r="A9" s="22" t="str">
        <f>HYPERLINK("https://app.vivvix.com/360/KMI/IntelliDrive/ApplUI/Pages/CreativePages/CustomReportCreativeDetail.aspx?App=23&amp;ReportView=4&amp;Qid=1711279&amp;Row=1&amp;Col=1","$0 down leases")</f>
        <v/>
      </c>
      <c r="B9" s="0" t="s">
        <v>11</v>
      </c>
      <c r="C9" s="0" t="s">
        <v>12</v>
      </c>
      <c r="D9" s="0" t="s">
        <v>12</v>
      </c>
      <c r="E9" s="0" t="inlineStr">
        <is>
          <t xml:space="preserve">Mazda</t>
        </is>
      </c>
      <c r="F9" s="0" t="s">
        <v>13</v>
      </c>
      <c r="G9" s="0" t="s">
        <v>14</v>
      </c>
      <c r="H9" s="5">
        <v>3117.707000</v>
      </c>
    </row>
    <row r="10" spans="1:9">
      <c r="A10" s="22" t="str">
        <f>HYPERLINK("https://app.vivvix.com/360/KMI/IntelliDrive/ApplUI/Pages/CreativePages/CustomReportCreativeDetail.aspx?App=23&amp;ReportView=4&amp;Qid=1711279&amp;Row=2&amp;Col=1","0%  APR FOR 60 MONTHS...")</f>
        <v/>
      </c>
      <c r="B10" s="0" t="s">
        <v>15</v>
      </c>
      <c r="C10" s="0" t="s">
        <v>16</v>
      </c>
      <c r="D10" s="0" t="s">
        <v>16</v>
      </c>
      <c r="E10" s="0" t="inlineStr">
        <is>
          <t xml:space="preserve">Mazda</t>
        </is>
      </c>
      <c r="F10" s="0" t="s">
        <v>17</v>
      </c>
      <c r="G10" s="0" t="s">
        <v>18</v>
      </c>
      <c r="H10" s="5">
        <v>2723.420000</v>
      </c>
    </row>
    <row r="11" spans="1:9">
      <c r="A11" s="22" t="str">
        <f>HYPERLINK("https://app.vivvix.com/360/KMI/IntelliDrive/ApplUI/Pages/CreativePages/CustomReportCreativeDetail.aspx?App=23&amp;ReportView=4&amp;Qid=1711279&amp;Row=3&amp;Col=1","0% APR FOR 36 MONTHS")</f>
        <v/>
      </c>
      <c r="B11" s="0" t="s">
        <v>19</v>
      </c>
      <c r="C11" s="0" t="s">
        <v>20</v>
      </c>
      <c r="D11" s="0" t="s">
        <v>20</v>
      </c>
      <c r="E11" s="0" t="inlineStr">
        <is>
          <t xml:space="preserve">Mazda</t>
        </is>
      </c>
      <c r="F11" s="0" t="s">
        <v>21</v>
      </c>
      <c r="G11" s="0" t="s">
        <v>22</v>
      </c>
      <c r="H11" s="5">
        <v>250.688000</v>
      </c>
    </row>
    <row r="12" spans="1:9">
      <c r="A12" s="22" t="str">
        <f>HYPERLINK("https://app.vivvix.com/360/KMI/IntelliDrive/ApplUI/Pages/CreativePages/CustomReportCreativeDetail.aspx?App=23&amp;ReportView=4&amp;Qid=1711279&amp;Row=4&amp;Col=1","0% APR FOR 36 MONTHS")</f>
        <v/>
      </c>
      <c r="B12" s="0" t="s">
        <v>23</v>
      </c>
      <c r="C12" s="0" t="s">
        <v>24</v>
      </c>
      <c r="D12" s="0" t="s">
        <v>24</v>
      </c>
      <c r="E12" s="0" t="inlineStr">
        <is>
          <t xml:space="preserve">Mazda</t>
        </is>
      </c>
      <c r="F12" s="0" t="s">
        <v>21</v>
      </c>
      <c r="G12" s="0" t="s">
        <v>22</v>
      </c>
      <c r="H12" s="5">
        <v>115.910000</v>
      </c>
    </row>
    <row r="13" spans="1:9">
      <c r="A13" s="22" t="str">
        <f>HYPERLINK("https://app.vivvix.com/360/KMI/IntelliDrive/ApplUI/Pages/CreativePages/CustomReportCreativeDetail.aspx?App=23&amp;ReportView=4&amp;Qid=1711279&amp;Row=5&amp;Col=1","0% APR FOR 36 MONTHS")</f>
        <v/>
      </c>
      <c r="B13" s="0" t="s">
        <v>25</v>
      </c>
      <c r="C13" s="0" t="s">
        <v>26</v>
      </c>
      <c r="D13" s="0" t="s">
        <v>27</v>
      </c>
      <c r="E13" s="0" t="inlineStr">
        <is>
          <t xml:space="preserve">Mazda</t>
        </is>
      </c>
      <c r="F13" s="0" t="s">
        <v>28</v>
      </c>
      <c r="G13" s="0" t="s">
        <v>29</v>
      </c>
      <c r="H13" s="5">
        <v>732.267000</v>
      </c>
    </row>
    <row r="14" spans="1:9">
      <c r="A14" s="22" t="str">
        <f>HYPERLINK("https://app.vivvix.com/360/KMI/IntelliDrive/ApplUI/Pages/CreativePages/CustomReportCreativeDetail.aspx?App=23&amp;ReportView=4&amp;Qid=1711279&amp;Row=6&amp;Col=1","0% apr for 36 months + no payments for 90 days")</f>
        <v/>
      </c>
      <c r="B14" s="0" t="s">
        <v>30</v>
      </c>
      <c r="C14" s="0" t="s">
        <v>31</v>
      </c>
      <c r="D14" s="0" t="s">
        <v>31</v>
      </c>
      <c r="E14" s="0" t="inlineStr">
        <is>
          <t xml:space="preserve">Mazda</t>
        </is>
      </c>
      <c r="F14" s="0" t="s">
        <v>28</v>
      </c>
      <c r="G14" s="0" t="s">
        <v>29</v>
      </c>
      <c r="H14" s="5">
        <v>937.117000</v>
      </c>
    </row>
    <row r="15" spans="1:9">
      <c r="A15" s="22" t="str">
        <f>HYPERLINK("https://app.vivvix.com/360/KMI/IntelliDrive/ApplUI/Pages/CreativePages/CustomReportCreativeDetail.aspx?App=23&amp;ReportView=4&amp;Qid=1711279&amp;Row=7&amp;Col=1","0% apr for 36 months + no payments for 90 days")</f>
        <v/>
      </c>
      <c r="B15" s="0" t="s">
        <v>30</v>
      </c>
      <c r="E15" s="0" t="inlineStr">
        <is>
          <t xml:space="preserve">Mazda</t>
        </is>
      </c>
      <c r="F15" s="0" t="s">
        <v>28</v>
      </c>
      <c r="G15" s="0" t="s">
        <v>29</v>
      </c>
      <c r="H15" s="5">
        <v>27059.475000</v>
      </c>
    </row>
    <row r="16" spans="1:9">
      <c r="A16" s="22" t="str">
        <f>HYPERLINK("https://app.vivvix.com/360/KMI/IntelliDrive/ApplUI/Pages/CreativePages/CustomReportCreativeDetail.aspx?App=23&amp;ReportView=4&amp;Qid=1711279&amp;Row=8&amp;Col=1","0% APR for 36 mos")</f>
        <v/>
      </c>
      <c r="B16" s="0" t="s">
        <v>32</v>
      </c>
      <c r="E16" s="0" t="inlineStr">
        <is>
          <t xml:space="preserve">Mazda</t>
        </is>
      </c>
      <c r="F16" s="0" t="s">
        <v>17</v>
      </c>
      <c r="G16" s="0" t="s">
        <v>33</v>
      </c>
      <c r="H16" s="5">
        <v>786.408000</v>
      </c>
    </row>
    <row r="17" spans="1:9">
      <c r="A17" s="22" t="str">
        <f>HYPERLINK("https://app.vivvix.com/360/KMI/IntelliDrive/ApplUI/Pages/CreativePages/CustomReportCreativeDetail.aspx?App=23&amp;ReportView=4&amp;Qid=1711279&amp;Row=9&amp;Col=1","0% APR for 36 mos")</f>
        <v/>
      </c>
      <c r="B17" s="0" t="s">
        <v>32</v>
      </c>
      <c r="E17" s="0" t="inlineStr">
        <is>
          <t xml:space="preserve">Mazda</t>
        </is>
      </c>
      <c r="F17" s="0" t="s">
        <v>17</v>
      </c>
      <c r="G17" s="0" t="s">
        <v>33</v>
      </c>
      <c r="H17" s="5">
        <v>16553.613000</v>
      </c>
    </row>
    <row r="18" spans="1:9">
      <c r="A18" s="22" t="str">
        <f>HYPERLINK("https://app.vivvix.com/360/KMI/IntelliDrive/ApplUI/Pages/CreativePages/CustomReportCreativeDetail.aspx?App=23&amp;ReportView=4&amp;Qid=1711279&amp;Row=10&amp;Col=1","1.9% APR for 60 months")</f>
        <v/>
      </c>
      <c r="B18" s="0" t="s">
        <v>34</v>
      </c>
      <c r="C18" s="0" t="s">
        <v>35</v>
      </c>
      <c r="D18" s="0" t="s">
        <v>35</v>
      </c>
      <c r="E18" s="0" t="inlineStr">
        <is>
          <t xml:space="preserve">Mazda</t>
        </is>
      </c>
      <c r="F18" s="0" t="s">
        <v>13</v>
      </c>
      <c r="G18" s="0" t="s">
        <v>36</v>
      </c>
      <c r="H18" s="5">
        <v>8889.433000</v>
      </c>
    </row>
    <row r="19" spans="1:9">
      <c r="A19" s="22" t="str">
        <f>HYPERLINK("https://app.vivvix.com/360/KMI/IntelliDrive/ApplUI/Pages/CreativePages/CustomReportCreativeDetail.aspx?App=23&amp;ReportView=4&amp;Qid=1711279&amp;Row=11&amp;Col=1","2.5 tURBO 15 SECO")</f>
        <v/>
      </c>
      <c r="B19" s="0" t="s">
        <v>37</v>
      </c>
      <c r="C19" s="0" t="s">
        <v>38</v>
      </c>
      <c r="D19" s="0" t="s">
        <v>38</v>
      </c>
      <c r="E19" s="0" t="inlineStr">
        <is>
          <t xml:space="preserve">Mazda</t>
        </is>
      </c>
      <c r="F19" s="0" t="s">
        <v>21</v>
      </c>
      <c r="G19" s="0" t="s">
        <v>22</v>
      </c>
      <c r="H19" s="5">
        <v>39218.328000</v>
      </c>
    </row>
    <row r="20" spans="1:9">
      <c r="A20" s="22" t="str">
        <f>HYPERLINK("https://app.vivvix.com/360/KMI/IntelliDrive/ApplUI/Pages/CreativePages/CustomReportCreativeDetail.aspx?App=23&amp;ReportView=4&amp;Qid=1711279&amp;Row=12&amp;Col=1","2.5 TURBO SIGNATURE")</f>
        <v/>
      </c>
      <c r="B20" s="0" t="s">
        <v>39</v>
      </c>
      <c r="C20" s="0" t="s">
        <v>40</v>
      </c>
      <c r="D20" s="0" t="s">
        <v>40</v>
      </c>
      <c r="E20" s="0" t="inlineStr">
        <is>
          <t xml:space="preserve">Mazda</t>
        </is>
      </c>
      <c r="F20" s="0" t="s">
        <v>17</v>
      </c>
      <c r="G20" s="0" t="s">
        <v>33</v>
      </c>
      <c r="H20" s="5">
        <v>168020.896000</v>
      </c>
    </row>
    <row r="21" spans="1:9">
      <c r="A21" s="22" t="str">
        <f>HYPERLINK("https://app.vivvix.com/360/KMI/IntelliDrive/ApplUI/Pages/CreativePages/CustomReportCreativeDetail.aspx?App=23&amp;ReportView=4&amp;Qid=1711279&amp;Row=13&amp;Col=1","2023 IIHS Top Safety Pick")</f>
        <v/>
      </c>
      <c r="B21" s="0" t="s">
        <v>41</v>
      </c>
      <c r="C21" s="0" t="s">
        <v>42</v>
      </c>
      <c r="D21" s="0" t="s">
        <v>42</v>
      </c>
      <c r="E21" s="0" t="inlineStr">
        <is>
          <t xml:space="preserve">Mazda</t>
        </is>
      </c>
      <c r="F21" s="0" t="s">
        <v>17</v>
      </c>
      <c r="G21" s="0" t="s">
        <v>33</v>
      </c>
      <c r="H21" s="5">
        <v>439.037000</v>
      </c>
    </row>
    <row r="22" spans="1:9">
      <c r="A22" s="22" t="str">
        <f>HYPERLINK("https://app.vivvix.com/360/KMI/IntelliDrive/ApplUI/Pages/CreativePages/CustomReportCreativeDetail.aspx?App=23&amp;ReportView=4&amp;Qid=1711279&amp;Row=14&amp;Col=1","2023 IIHS Top Safety Pick")</f>
        <v/>
      </c>
      <c r="B22" s="0" t="s">
        <v>41</v>
      </c>
      <c r="E22" s="0" t="inlineStr">
        <is>
          <t xml:space="preserve">Mazda</t>
        </is>
      </c>
      <c r="F22" s="0" t="s">
        <v>17</v>
      </c>
      <c r="G22" s="0" t="s">
        <v>33</v>
      </c>
      <c r="H22" s="5">
        <v>446.186000</v>
      </c>
    </row>
    <row r="23" spans="1:9">
      <c r="A23" s="22" t="str">
        <f>HYPERLINK("https://app.vivvix.com/360/KMI/IntelliDrive/ApplUI/Pages/CreativePages/CustomReportCreativeDetail.aspx?App=23&amp;ReportView=4&amp;Qid=1711279&amp;Row=15&amp;Col=1","2023 IIHS Top Safety Pick")</f>
        <v/>
      </c>
      <c r="B23" s="0" t="s">
        <v>43</v>
      </c>
      <c r="C23" s="0" t="s">
        <v>44</v>
      </c>
      <c r="D23" s="0" t="s">
        <v>44</v>
      </c>
      <c r="E23" s="0" t="inlineStr">
        <is>
          <t xml:space="preserve">Mazda</t>
        </is>
      </c>
      <c r="F23" s="0" t="s">
        <v>17</v>
      </c>
      <c r="G23" s="0" t="s">
        <v>33</v>
      </c>
      <c r="H23" s="5">
        <v>1790.679000</v>
      </c>
    </row>
    <row r="24" spans="1:9">
      <c r="A24" s="22" t="str">
        <f>HYPERLINK("https://app.vivvix.com/360/KMI/IntelliDrive/ApplUI/Pages/CreativePages/CustomReportCreativeDetail.aspx?App=23&amp;ReportView=4&amp;Qid=1711279&amp;Row=16&amp;Col=1","2023 IIHS Top Safety Pick")</f>
        <v/>
      </c>
      <c r="B24" s="0" t="s">
        <v>43</v>
      </c>
      <c r="E24" s="0" t="inlineStr">
        <is>
          <t xml:space="preserve">Mazda</t>
        </is>
      </c>
      <c r="F24" s="0" t="s">
        <v>17</v>
      </c>
      <c r="G24" s="0" t="s">
        <v>33</v>
      </c>
      <c r="H24" s="5">
        <v>1784.744000</v>
      </c>
    </row>
    <row r="25" spans="1:9">
      <c r="A25" s="22" t="str">
        <f>HYPERLINK("https://app.vivvix.com/360/KMI/IntelliDrive/ApplUI/Pages/CreativePages/CustomReportCreativeDetail.aspx?App=23&amp;ReportView=4&amp;Qid=1711279&amp;Row=17&amp;Col=1","2024 2.5 TURBO SIGNATURE 15 SEC")</f>
        <v/>
      </c>
      <c r="B25" s="0" t="s">
        <v>45</v>
      </c>
      <c r="C25" s="0" t="s">
        <v>46</v>
      </c>
      <c r="D25" s="0" t="s">
        <v>46</v>
      </c>
      <c r="E25" s="0" t="inlineStr">
        <is>
          <t xml:space="preserve">Mazda</t>
        </is>
      </c>
      <c r="F25" s="0" t="s">
        <v>17</v>
      </c>
      <c r="G25" s="0" t="s">
        <v>33</v>
      </c>
      <c r="H25" s="5">
        <v>179419.195000</v>
      </c>
    </row>
    <row r="26" spans="1:9">
      <c r="A26" s="22" t="str">
        <f>HYPERLINK("https://app.vivvix.com/360/KMI/IntelliDrive/ApplUI/Pages/CreativePages/CustomReportCreativeDetail.aspx?App=23&amp;ReportView=4&amp;Qid=1711279&amp;Row=18&amp;Col=1","2024 2.5 TURBO SIGNATURE 15 SEC")</f>
        <v/>
      </c>
      <c r="B26" s="0" t="s">
        <v>45</v>
      </c>
      <c r="E26" s="0" t="inlineStr">
        <is>
          <t xml:space="preserve">Mazda</t>
        </is>
      </c>
      <c r="F26" s="0" t="s">
        <v>17</v>
      </c>
      <c r="G26" s="0" t="s">
        <v>33</v>
      </c>
      <c r="H26" s="5">
        <v>179395.859000</v>
      </c>
    </row>
    <row r="27" spans="1:9">
      <c r="A27" s="22" t="str">
        <f>HYPERLINK("https://app.vivvix.com/360/KMI/IntelliDrive/ApplUI/Pages/CreativePages/CustomReportCreativeDetail.aspx?App=23&amp;ReportView=4&amp;Qid=1711279&amp;Row=19&amp;Col=1","2024 EDITOR'S CHOICE TOP COMPACT SUV")</f>
        <v/>
      </c>
      <c r="B27" s="0" t="s">
        <v>47</v>
      </c>
      <c r="C27" s="0" t="s">
        <v>48</v>
      </c>
      <c r="D27" s="0" t="s">
        <v>48</v>
      </c>
      <c r="E27" s="0" t="inlineStr">
        <is>
          <t xml:space="preserve">Mazda</t>
        </is>
      </c>
      <c r="F27" s="0" t="s">
        <v>13</v>
      </c>
      <c r="G27" s="0" t="s">
        <v>49</v>
      </c>
      <c r="H27" s="5">
        <v>269.892000</v>
      </c>
    </row>
    <row r="28" spans="1:9">
      <c r="A28" s="22" t="str">
        <f>HYPERLINK("https://app.vivvix.com/360/KMI/IntelliDrive/ApplUI/Pages/CreativePages/CustomReportCreativeDetail.aspx?App=23&amp;ReportView=4&amp;Qid=1711279&amp;Row=20&amp;Col=1","2025 Mazda CX-70 2.9% APR For 36 Months")</f>
        <v/>
      </c>
      <c r="B28" s="0" t="s">
        <v>50</v>
      </c>
      <c r="C28" s="0" t="s">
        <v>51</v>
      </c>
      <c r="D28" s="0" t="s">
        <v>51</v>
      </c>
      <c r="E28" s="0" t="inlineStr">
        <is>
          <t xml:space="preserve">Mazda</t>
        </is>
      </c>
      <c r="F28" s="0" t="s">
        <v>52</v>
      </c>
      <c r="G28" s="0" t="s">
        <v>53</v>
      </c>
      <c r="H28" s="5">
        <v>698.497000</v>
      </c>
    </row>
    <row r="29" spans="1:9">
      <c r="A29" s="22" t="str">
        <f>HYPERLINK("https://app.vivvix.com/360/KMI/IntelliDrive/ApplUI/Pages/CreativePages/CustomReportCreativeDetail.aspx?App=23&amp;ReportView=4&amp;Qid=1711279&amp;Row=21&amp;Col=1","2025 Mazda CX-70 2.9% APR For 36 Months")</f>
        <v/>
      </c>
      <c r="B29" s="0" t="s">
        <v>50</v>
      </c>
      <c r="E29" s="0" t="inlineStr">
        <is>
          <t xml:space="preserve">Mazda</t>
        </is>
      </c>
      <c r="F29" s="0" t="s">
        <v>52</v>
      </c>
      <c r="G29" s="0" t="s">
        <v>53</v>
      </c>
      <c r="H29" s="5">
        <v>2839.511000</v>
      </c>
    </row>
    <row r="30" spans="1:9">
      <c r="A30" s="22" t="str">
        <f>HYPERLINK("https://app.vivvix.com/360/KMI/IntelliDrive/ApplUI/Pages/CreativePages/CustomReportCreativeDetail.aspx?App=23&amp;ReportView=4&amp;Qid=1711279&amp;Row=22&amp;Col=1","a  very nice car is shown")</f>
        <v/>
      </c>
      <c r="B30" s="0" t="s">
        <v>54</v>
      </c>
      <c r="C30" s="0" t="s">
        <v>55</v>
      </c>
      <c r="D30" s="0" t="s">
        <v>55</v>
      </c>
      <c r="E30" s="0" t="inlineStr">
        <is>
          <t xml:space="preserve">Mazda</t>
        </is>
      </c>
      <c r="F30" s="0" t="s">
        <v>56</v>
      </c>
      <c r="G30" s="0" t="s">
        <v>57</v>
      </c>
      <c r="H30" s="5">
        <v>436.756000</v>
      </c>
    </row>
    <row r="31" spans="1:9">
      <c r="A31" s="22" t="str">
        <f>HYPERLINK("https://app.vivvix.com/360/KMI/IntelliDrive/ApplUI/Pages/CreativePages/CustomReportCreativeDetail.aspx?App=23&amp;ReportView=4&amp;Qid=1711279&amp;Row=23&amp;Col=1","A beautiful car is featured")</f>
        <v/>
      </c>
      <c r="B31" s="0" t="s">
        <v>58</v>
      </c>
      <c r="C31" s="0" t="s">
        <v>59</v>
      </c>
      <c r="D31" s="0" t="s">
        <v>59</v>
      </c>
      <c r="E31" s="0" t="inlineStr">
        <is>
          <t xml:space="preserve">Mazda</t>
        </is>
      </c>
      <c r="F31" s="0" t="s">
        <v>13</v>
      </c>
      <c r="G31" s="0" t="s">
        <v>49</v>
      </c>
      <c r="H31" s="5">
        <v>104113.351000</v>
      </c>
    </row>
    <row r="32" spans="1:9">
      <c r="A32" s="22" t="str">
        <f>HYPERLINK("https://app.vivvix.com/360/KMI/IntelliDrive/ApplUI/Pages/CreativePages/CustomReportCreativeDetail.aspx?App=23&amp;ReportView=4&amp;Qid=1711279&amp;Row=24&amp;Col=1","A beautiful car is featured")</f>
        <v/>
      </c>
      <c r="B32" s="0" t="s">
        <v>58</v>
      </c>
      <c r="E32" s="0" t="inlineStr">
        <is>
          <t xml:space="preserve">Mazda</t>
        </is>
      </c>
      <c r="F32" s="0" t="s">
        <v>13</v>
      </c>
      <c r="G32" s="0" t="s">
        <v>49</v>
      </c>
      <c r="H32" s="5">
        <v>217225.898000</v>
      </c>
    </row>
    <row r="33" spans="1:9">
      <c r="A33" s="22" t="str">
        <f>HYPERLINK("https://app.vivvix.com/360/KMI/IntelliDrive/ApplUI/Pages/CreativePages/CustomReportCreativeDetail.aspx?App=23&amp;ReportView=4&amp;Qid=1711279&amp;Row=25&amp;Col=1","A beautiful car is featured")</f>
        <v/>
      </c>
      <c r="B33" s="0" t="s">
        <v>60</v>
      </c>
      <c r="E33" s="0" t="inlineStr">
        <is>
          <t xml:space="preserve">Mazda</t>
        </is>
      </c>
      <c r="F33" s="0" t="s">
        <v>13</v>
      </c>
      <c r="G33" s="0" t="s">
        <v>49</v>
      </c>
      <c r="H33" s="5">
        <v>71719.267000</v>
      </c>
    </row>
    <row r="34" spans="1:9">
      <c r="A34" s="22" t="str">
        <f>HYPERLINK("https://app.vivvix.com/360/KMI/IntelliDrive/ApplUI/Pages/CreativePages/CustomReportCreativeDetail.aspx?App=23&amp;ReportView=4&amp;Qid=1711279&amp;Row=26&amp;Col=1","A beautiful car is featured")</f>
        <v/>
      </c>
      <c r="B34" s="0" t="s">
        <v>60</v>
      </c>
      <c r="E34" s="0" t="inlineStr">
        <is>
          <t xml:space="preserve">Mazda</t>
        </is>
      </c>
      <c r="F34" s="0" t="s">
        <v>13</v>
      </c>
      <c r="G34" s="0" t="s">
        <v>49</v>
      </c>
      <c r="H34" s="5">
        <v>811.326000</v>
      </c>
    </row>
    <row r="35" spans="1:9">
      <c r="A35" s="22" t="str">
        <f>HYPERLINK("https://app.vivvix.com/360/KMI/IntelliDrive/ApplUI/Pages/CreativePages/CustomReportCreativeDetail.aspx?App=23&amp;ReportView=4&amp;Qid=1711279&amp;Row=27&amp;Col=1","A beautiful car is featured")</f>
        <v/>
      </c>
      <c r="B35" s="0" t="s">
        <v>61</v>
      </c>
      <c r="C35" s="0" t="s">
        <v>62</v>
      </c>
      <c r="D35" s="0" t="s">
        <v>62</v>
      </c>
      <c r="E35" s="0" t="inlineStr">
        <is>
          <t xml:space="preserve">Mazda</t>
        </is>
      </c>
      <c r="F35" s="0" t="s">
        <v>13</v>
      </c>
      <c r="G35" s="0" t="s">
        <v>49</v>
      </c>
      <c r="H35" s="5">
        <v>277316.010000</v>
      </c>
    </row>
    <row r="36" spans="1:9">
      <c r="A36" s="22" t="str">
        <f>HYPERLINK("https://app.vivvix.com/360/KMI/IntelliDrive/ApplUI/Pages/CreativePages/CustomReportCreativeDetail.aspx?App=23&amp;ReportView=4&amp;Qid=1711279&amp;Row=28&amp;Col=1","A beautiful car is featured")</f>
        <v/>
      </c>
      <c r="B36" s="0" t="s">
        <v>61</v>
      </c>
      <c r="E36" s="0" t="inlineStr">
        <is>
          <t xml:space="preserve">Mazda</t>
        </is>
      </c>
      <c r="F36" s="0" t="s">
        <v>13</v>
      </c>
      <c r="G36" s="0" t="s">
        <v>49</v>
      </c>
      <c r="H36" s="5">
        <v>8993.812000</v>
      </c>
    </row>
    <row r="37" spans="1:9">
      <c r="A37" s="22" t="str">
        <f>HYPERLINK("https://app.vivvix.com/360/KMI/IntelliDrive/ApplUI/Pages/CreativePages/CustomReportCreativeDetail.aspx?App=23&amp;ReportView=4&amp;Qid=1711279&amp;Row=29&amp;Col=1","A beautiful car is featured here 15 sec")</f>
        <v/>
      </c>
      <c r="B37" s="0" t="s">
        <v>63</v>
      </c>
      <c r="C37" s="0" t="s">
        <v>64</v>
      </c>
      <c r="D37" s="0" t="s">
        <v>64</v>
      </c>
      <c r="E37" s="0" t="inlineStr">
        <is>
          <t xml:space="preserve">Mazda</t>
        </is>
      </c>
      <c r="F37" s="0" t="s">
        <v>13</v>
      </c>
      <c r="G37" s="0" t="s">
        <v>49</v>
      </c>
      <c r="H37" s="5">
        <v>159394.938000</v>
      </c>
    </row>
    <row r="38" spans="1:9">
      <c r="A38" s="22" t="str">
        <f>HYPERLINK("https://app.vivvix.com/360/KMI/IntelliDrive/ApplUI/Pages/CreativePages/CustomReportCreativeDetail.aspx?App=23&amp;ReportView=4&amp;Qid=1711279&amp;Row=30&amp;Col=1","A beautiful car is featured here 15 sec")</f>
        <v/>
      </c>
      <c r="B38" s="0" t="s">
        <v>63</v>
      </c>
      <c r="E38" s="0" t="inlineStr">
        <is>
          <t xml:space="preserve">Mazda</t>
        </is>
      </c>
      <c r="F38" s="0" t="s">
        <v>13</v>
      </c>
      <c r="G38" s="0" t="s">
        <v>49</v>
      </c>
      <c r="H38" s="5">
        <v>84509.532000</v>
      </c>
    </row>
    <row r="39" spans="1:9">
      <c r="A39" s="22" t="str">
        <f>HYPERLINK("https://app.vivvix.com/360/KMI/IntelliDrive/ApplUI/Pages/CreativePages/CustomReportCreativeDetail.aspx?App=23&amp;ReportView=4&amp;Qid=1711279&amp;Row=31&amp;Col=1","A beautiful car is shown")</f>
        <v/>
      </c>
      <c r="B39" s="0" t="s">
        <v>65</v>
      </c>
      <c r="C39" s="0" t="s">
        <v>66</v>
      </c>
      <c r="D39" s="0" t="s">
        <v>66</v>
      </c>
      <c r="E39" s="0" t="inlineStr">
        <is>
          <t xml:space="preserve">Mazda</t>
        </is>
      </c>
      <c r="F39" s="0" t="s">
        <v>28</v>
      </c>
      <c r="G39" s="0" t="s">
        <v>29</v>
      </c>
      <c r="H39" s="5">
        <v>2069.080000</v>
      </c>
    </row>
    <row r="40" spans="1:9">
      <c r="A40" s="22" t="str">
        <f>HYPERLINK("https://app.vivvix.com/360/KMI/IntelliDrive/ApplUI/Pages/CreativePages/CustomReportCreativeDetail.aspx?App=23&amp;ReportView=4&amp;Qid=1711279&amp;Row=32&amp;Col=1","A beautiful car is shown")</f>
        <v/>
      </c>
      <c r="B40" s="0" t="s">
        <v>67</v>
      </c>
      <c r="E40" s="0" t="inlineStr">
        <is>
          <t xml:space="preserve">Mazda</t>
        </is>
      </c>
      <c r="F40" s="0" t="s">
        <v>28</v>
      </c>
      <c r="G40" s="0" t="s">
        <v>29</v>
      </c>
      <c r="H40" s="5">
        <v>2210.867000</v>
      </c>
    </row>
    <row r="41" spans="1:9">
      <c r="A41" s="22" t="str">
        <f>HYPERLINK("https://app.vivvix.com/360/KMI/IntelliDrive/ApplUI/Pages/CreativePages/CustomReportCreativeDetail.aspx?App=23&amp;ReportView=4&amp;Qid=1711279&amp;Row=33&amp;Col=1","A beautiful car is shown")</f>
        <v/>
      </c>
      <c r="B41" s="0" t="s">
        <v>68</v>
      </c>
      <c r="C41" s="0" t="s">
        <v>69</v>
      </c>
      <c r="D41" s="0" t="s">
        <v>70</v>
      </c>
      <c r="E41" s="0" t="inlineStr">
        <is>
          <t xml:space="preserve">Mazda</t>
        </is>
      </c>
      <c r="F41" s="0" t="s">
        <v>28</v>
      </c>
      <c r="G41" s="0" t="s">
        <v>29</v>
      </c>
      <c r="H41" s="5">
        <v>8.812000</v>
      </c>
    </row>
    <row r="42" spans="1:9">
      <c r="A42" s="22" t="str">
        <f>HYPERLINK("https://app.vivvix.com/360/KMI/IntelliDrive/ApplUI/Pages/CreativePages/CustomReportCreativeDetail.aspx?App=23&amp;ReportView=4&amp;Qid=1711279&amp;Row=34&amp;Col=1","A BEAUTIFUL CAR IS SHOWN")</f>
        <v/>
      </c>
      <c r="B42" s="0" t="s">
        <v>71</v>
      </c>
      <c r="C42" s="0" t="s">
        <v>72</v>
      </c>
      <c r="D42" s="0" t="s">
        <v>72</v>
      </c>
      <c r="E42" s="0" t="inlineStr">
        <is>
          <t xml:space="preserve">Mazda</t>
        </is>
      </c>
      <c r="F42" s="0" t="s">
        <v>21</v>
      </c>
      <c r="G42" s="0" t="s">
        <v>22</v>
      </c>
      <c r="H42" s="5">
        <v>14602.315000</v>
      </c>
    </row>
    <row r="43" spans="1:9">
      <c r="A43" s="22" t="str">
        <f>HYPERLINK("https://app.vivvix.com/360/KMI/IntelliDrive/ApplUI/Pages/CreativePages/CustomReportCreativeDetail.aspx?App=23&amp;ReportView=4&amp;Qid=1711279&amp;Row=35&amp;Col=1","A beautiful car is shown")</f>
        <v/>
      </c>
      <c r="B43" s="0" t="s">
        <v>73</v>
      </c>
      <c r="C43" s="0" t="s">
        <v>74</v>
      </c>
      <c r="D43" s="0" t="s">
        <v>74</v>
      </c>
      <c r="E43" s="0" t="inlineStr">
        <is>
          <t xml:space="preserve">Mazda</t>
        </is>
      </c>
      <c r="F43" s="0" t="s">
        <v>28</v>
      </c>
      <c r="G43" s="0" t="s">
        <v>29</v>
      </c>
      <c r="H43" s="5">
        <v>123.368000</v>
      </c>
    </row>
    <row r="44" spans="1:9">
      <c r="A44" s="22" t="str">
        <f>HYPERLINK("https://app.vivvix.com/360/KMI/IntelliDrive/ApplUI/Pages/CreativePages/CustomReportCreativeDetail.aspx?App=23&amp;ReportView=4&amp;Qid=1711279&amp;Row=36&amp;Col=1","A beautiful car is shown")</f>
        <v/>
      </c>
      <c r="B44" s="0" t="s">
        <v>75</v>
      </c>
      <c r="C44" s="0" t="s">
        <v>76</v>
      </c>
      <c r="D44" s="0" t="s">
        <v>76</v>
      </c>
      <c r="E44" s="0" t="inlineStr">
        <is>
          <t xml:space="preserve">Mazda</t>
        </is>
      </c>
      <c r="F44" s="0" t="s">
        <v>28</v>
      </c>
      <c r="G44" s="0" t="s">
        <v>29</v>
      </c>
      <c r="H44" s="5">
        <v>687.336000</v>
      </c>
    </row>
    <row r="45" spans="1:9">
      <c r="A45" s="22" t="str">
        <f>HYPERLINK("https://app.vivvix.com/360/KMI/IntelliDrive/ApplUI/Pages/CreativePages/CustomReportCreativeDetail.aspx?App=23&amp;ReportView=4&amp;Qid=1711279&amp;Row=37&amp;Col=1","A beautiful car is shown")</f>
        <v/>
      </c>
      <c r="B45" s="0" t="s">
        <v>77</v>
      </c>
      <c r="C45" s="0" t="s">
        <v>78</v>
      </c>
      <c r="D45" s="0" t="s">
        <v>79</v>
      </c>
      <c r="E45" s="0" t="inlineStr">
        <is>
          <t xml:space="preserve">Mazda</t>
        </is>
      </c>
      <c r="F45" s="0" t="s">
        <v>28</v>
      </c>
      <c r="G45" s="0" t="s">
        <v>29</v>
      </c>
      <c r="H45" s="5">
        <v>61.684000</v>
      </c>
    </row>
    <row r="46" spans="1:9">
      <c r="A46" s="22" t="str">
        <f>HYPERLINK("https://app.vivvix.com/360/KMI/IntelliDrive/ApplUI/Pages/CreativePages/CustomReportCreativeDetail.aspx?App=23&amp;ReportView=4&amp;Qid=1711279&amp;Row=38&amp;Col=1","A beautiful car is shown")</f>
        <v/>
      </c>
      <c r="B46" s="0" t="s">
        <v>80</v>
      </c>
      <c r="E46" s="0" t="inlineStr">
        <is>
          <t xml:space="preserve">Mazda</t>
        </is>
      </c>
      <c r="F46" s="0" t="s">
        <v>28</v>
      </c>
      <c r="G46" s="0" t="s">
        <v>29</v>
      </c>
      <c r="H46" s="5">
        <v>161.135000</v>
      </c>
    </row>
    <row r="47" spans="1:9">
      <c r="A47" s="22" t="str">
        <f>HYPERLINK("https://app.vivvix.com/360/KMI/IntelliDrive/ApplUI/Pages/CreativePages/CustomReportCreativeDetail.aspx?App=23&amp;ReportView=4&amp;Qid=1711279&amp;Row=39&amp;Col=1","A beautiful car is shown")</f>
        <v/>
      </c>
      <c r="B47" s="0" t="s">
        <v>81</v>
      </c>
      <c r="C47" s="0" t="s">
        <v>82</v>
      </c>
      <c r="D47" s="0" t="s">
        <v>82</v>
      </c>
      <c r="E47" s="0" t="inlineStr">
        <is>
          <t xml:space="preserve">Mazda</t>
        </is>
      </c>
      <c r="F47" s="0" t="s">
        <v>28</v>
      </c>
      <c r="G47" s="0" t="s">
        <v>29</v>
      </c>
      <c r="H47" s="5">
        <v>1136.748000</v>
      </c>
    </row>
    <row r="48" spans="1:9">
      <c r="A48" s="22" t="str">
        <f>HYPERLINK("https://app.vivvix.com/360/KMI/IntelliDrive/ApplUI/Pages/CreativePages/CustomReportCreativeDetail.aspx?App=23&amp;ReportView=4&amp;Qid=1711279&amp;Row=40&amp;Col=1","A beautiful car is shown")</f>
        <v/>
      </c>
      <c r="B48" s="0" t="s">
        <v>81</v>
      </c>
      <c r="E48" s="0" t="inlineStr">
        <is>
          <t xml:space="preserve">Mazda</t>
        </is>
      </c>
      <c r="F48" s="0" t="s">
        <v>28</v>
      </c>
      <c r="G48" s="0" t="s">
        <v>29</v>
      </c>
      <c r="H48" s="5">
        <v>6146.336000</v>
      </c>
    </row>
    <row r="49" spans="1:9">
      <c r="A49" s="22" t="str">
        <f>HYPERLINK("https://app.vivvix.com/360/KMI/IntelliDrive/ApplUI/Pages/CreativePages/CustomReportCreativeDetail.aspx?App=23&amp;ReportView=4&amp;Qid=1711279&amp;Row=41&amp;Col=1","A beautiful car is shown")</f>
        <v/>
      </c>
      <c r="B49" s="0" t="s">
        <v>83</v>
      </c>
      <c r="E49" s="0" t="inlineStr">
        <is>
          <t xml:space="preserve">Mazda</t>
        </is>
      </c>
      <c r="F49" s="0" t="s">
        <v>28</v>
      </c>
      <c r="G49" s="0" t="s">
        <v>29</v>
      </c>
      <c r="H49" s="5">
        <v>117221.839000</v>
      </c>
    </row>
    <row r="50" spans="1:9">
      <c r="A50" s="22" t="str">
        <f>HYPERLINK("https://app.vivvix.com/360/KMI/IntelliDrive/ApplUI/Pages/CreativePages/CustomReportCreativeDetail.aspx?App=23&amp;ReportView=4&amp;Qid=1711279&amp;Row=42&amp;Col=1","A beautiful car is shown")</f>
        <v/>
      </c>
      <c r="B50" s="0" t="s">
        <v>83</v>
      </c>
      <c r="C50" s="0" t="s">
        <v>84</v>
      </c>
      <c r="D50" s="0" t="s">
        <v>84</v>
      </c>
      <c r="E50" s="0" t="inlineStr">
        <is>
          <t xml:space="preserve">Mazda</t>
        </is>
      </c>
      <c r="F50" s="0" t="s">
        <v>28</v>
      </c>
      <c r="G50" s="0" t="s">
        <v>29</v>
      </c>
      <c r="H50" s="5">
        <v>5842.376000</v>
      </c>
    </row>
    <row r="51" spans="1:9">
      <c r="A51" s="22" t="str">
        <f>HYPERLINK("https://app.vivvix.com/360/KMI/IntelliDrive/ApplUI/Pages/CreativePages/CustomReportCreativeDetail.aspx?App=23&amp;ReportView=4&amp;Qid=1711279&amp;Row=43&amp;Col=1","A beautiful car is shown")</f>
        <v/>
      </c>
      <c r="B51" s="0" t="s">
        <v>85</v>
      </c>
      <c r="C51" s="0" t="s">
        <v>86</v>
      </c>
      <c r="D51" s="0" t="s">
        <v>86</v>
      </c>
      <c r="E51" s="0" t="inlineStr">
        <is>
          <t xml:space="preserve">Mazda</t>
        </is>
      </c>
      <c r="F51" s="0" t="s">
        <v>28</v>
      </c>
      <c r="G51" s="0" t="s">
        <v>29</v>
      </c>
      <c r="H51" s="5">
        <v>13760.561000</v>
      </c>
    </row>
    <row r="52" spans="1:9">
      <c r="A52" s="22" t="str">
        <f>HYPERLINK("https://app.vivvix.com/360/KMI/IntelliDrive/ApplUI/Pages/CreativePages/CustomReportCreativeDetail.aspx?App=23&amp;ReportView=4&amp;Qid=1711279&amp;Row=44&amp;Col=1","A beautiful car is shown")</f>
        <v/>
      </c>
      <c r="B52" s="0" t="s">
        <v>85</v>
      </c>
      <c r="E52" s="0" t="inlineStr">
        <is>
          <t xml:space="preserve">Mazda</t>
        </is>
      </c>
      <c r="F52" s="0" t="s">
        <v>28</v>
      </c>
      <c r="G52" s="0" t="s">
        <v>29</v>
      </c>
      <c r="H52" s="5">
        <v>2853.005000</v>
      </c>
    </row>
    <row r="53" spans="1:9">
      <c r="A53" s="22" t="str">
        <f>HYPERLINK("https://app.vivvix.com/360/KMI/IntelliDrive/ApplUI/Pages/CreativePages/CustomReportCreativeDetail.aspx?App=23&amp;ReportView=4&amp;Qid=1711279&amp;Row=45&amp;Col=1","A beautiful car is shown")</f>
        <v/>
      </c>
      <c r="B53" s="0" t="s">
        <v>87</v>
      </c>
      <c r="C53" s="0" t="s">
        <v>88</v>
      </c>
      <c r="D53" s="0" t="s">
        <v>88</v>
      </c>
      <c r="E53" s="0" t="inlineStr">
        <is>
          <t xml:space="preserve">Mazda</t>
        </is>
      </c>
      <c r="F53" s="0" t="s">
        <v>28</v>
      </c>
      <c r="G53" s="0" t="s">
        <v>29</v>
      </c>
      <c r="H53" s="5">
        <v>170992.621000</v>
      </c>
    </row>
    <row r="54" spans="1:9">
      <c r="A54" s="22" t="str">
        <f>HYPERLINK("https://app.vivvix.com/360/KMI/IntelliDrive/ApplUI/Pages/CreativePages/CustomReportCreativeDetail.aspx?App=23&amp;ReportView=4&amp;Qid=1711279&amp;Row=46&amp;Col=1","A beautiful car is shown")</f>
        <v/>
      </c>
      <c r="B54" s="0" t="s">
        <v>89</v>
      </c>
      <c r="C54" s="0" t="s">
        <v>90</v>
      </c>
      <c r="D54" s="0" t="s">
        <v>90</v>
      </c>
      <c r="E54" s="0" t="inlineStr">
        <is>
          <t xml:space="preserve">Mazda</t>
        </is>
      </c>
      <c r="F54" s="0" t="s">
        <v>28</v>
      </c>
      <c r="G54" s="0" t="s">
        <v>29</v>
      </c>
      <c r="H54" s="5">
        <v>88109.479000</v>
      </c>
    </row>
    <row r="55" spans="1:9">
      <c r="A55" s="22" t="str">
        <f>HYPERLINK("https://app.vivvix.com/360/KMI/IntelliDrive/ApplUI/Pages/CreativePages/CustomReportCreativeDetail.aspx?App=23&amp;ReportView=4&amp;Qid=1711279&amp;Row=47&amp;Col=1","A beautiful car is shown")</f>
        <v/>
      </c>
      <c r="B55" s="0" t="s">
        <v>91</v>
      </c>
      <c r="E55" s="0" t="inlineStr">
        <is>
          <t xml:space="preserve">Mazda</t>
        </is>
      </c>
      <c r="F55" s="0" t="s">
        <v>28</v>
      </c>
      <c r="G55" s="0" t="s">
        <v>29</v>
      </c>
      <c r="H55" s="5">
        <v>9781.312000</v>
      </c>
    </row>
    <row r="56" spans="1:9">
      <c r="A56" s="22" t="str">
        <f>HYPERLINK("https://app.vivvix.com/360/KMI/IntelliDrive/ApplUI/Pages/CreativePages/CustomReportCreativeDetail.aspx?App=23&amp;ReportView=4&amp;Qid=1711279&amp;Row=48&amp;Col=1","A beautiful car is shown")</f>
        <v/>
      </c>
      <c r="B56" s="0" t="s">
        <v>91</v>
      </c>
      <c r="E56" s="0" t="inlineStr">
        <is>
          <t xml:space="preserve">Mazda</t>
        </is>
      </c>
      <c r="F56" s="0" t="s">
        <v>28</v>
      </c>
      <c r="G56" s="0" t="s">
        <v>29</v>
      </c>
      <c r="H56" s="5">
        <v>69272.409000</v>
      </c>
    </row>
    <row r="57" spans="1:9">
      <c r="A57" s="22" t="str">
        <f>HYPERLINK("https://app.vivvix.com/360/KMI/IntelliDrive/ApplUI/Pages/CreativePages/CustomReportCreativeDetail.aspx?App=23&amp;ReportView=4&amp;Qid=1711279&amp;Row=49&amp;Col=1","a beautiful car shown here sec 15")</f>
        <v/>
      </c>
      <c r="B57" s="0" t="s">
        <v>92</v>
      </c>
      <c r="C57" s="0" t="s">
        <v>93</v>
      </c>
      <c r="D57" s="0" t="s">
        <v>94</v>
      </c>
      <c r="E57" s="0" t="inlineStr">
        <is>
          <t xml:space="preserve">Mazda</t>
        </is>
      </c>
      <c r="F57" s="0" t="s">
        <v>21</v>
      </c>
      <c r="G57" s="0" t="s">
        <v>22</v>
      </c>
      <c r="H57" s="5">
        <v>42669.205000</v>
      </c>
    </row>
    <row r="58" spans="1:9">
      <c r="A58" s="22" t="str">
        <f>HYPERLINK("https://app.vivvix.com/360/KMI/IntelliDrive/ApplUI/Pages/CreativePages/CustomReportCreativeDetail.aspx?App=23&amp;ReportView=4&amp;Qid=1711279&amp;Row=50&amp;Col=1","a beautiful car shown here sec 15")</f>
        <v/>
      </c>
      <c r="B58" s="0" t="s">
        <v>92</v>
      </c>
      <c r="E58" s="0" t="inlineStr">
        <is>
          <t xml:space="preserve">Mazda</t>
        </is>
      </c>
      <c r="F58" s="0" t="s">
        <v>21</v>
      </c>
      <c r="G58" s="0" t="s">
        <v>22</v>
      </c>
      <c r="H58" s="5">
        <v>24112.601000</v>
      </c>
    </row>
    <row r="59" spans="1:9">
      <c r="A59" s="22" t="str">
        <f>HYPERLINK("https://app.vivvix.com/360/KMI/IntelliDrive/ApplUI/Pages/CreativePages/CustomReportCreativeDetail.aspx?App=23&amp;ReportView=4&amp;Qid=1711279&amp;Row=51&amp;Col=1","A Car For Better You")</f>
        <v/>
      </c>
      <c r="B59" s="0" t="s">
        <v>95</v>
      </c>
      <c r="C59" s="0" t="s">
        <v>96</v>
      </c>
      <c r="D59" s="0" t="s">
        <v>96</v>
      </c>
      <c r="E59" s="0" t="inlineStr">
        <is>
          <t xml:space="preserve">Mazda</t>
        </is>
      </c>
      <c r="F59" s="0" t="s">
        <v>17</v>
      </c>
      <c r="G59" s="0" t="s">
        <v>97</v>
      </c>
      <c r="H59" s="5">
        <v>12637.158000</v>
      </c>
    </row>
    <row r="60" spans="1:9">
      <c r="A60" s="22" t="str">
        <f>HYPERLINK("https://app.vivvix.com/360/KMI/IntelliDrive/ApplUI/Pages/CreativePages/CustomReportCreativeDetail.aspx?App=23&amp;ReportView=4&amp;Qid=1711279&amp;Row=52&amp;Col=1","A Car For Better You")</f>
        <v/>
      </c>
      <c r="B60" s="0" t="s">
        <v>95</v>
      </c>
      <c r="E60" s="0" t="inlineStr">
        <is>
          <t xml:space="preserve">Mazda</t>
        </is>
      </c>
      <c r="F60" s="0" t="s">
        <v>17</v>
      </c>
      <c r="G60" s="0" t="s">
        <v>97</v>
      </c>
      <c r="H60" s="5">
        <v>47606.528000</v>
      </c>
    </row>
    <row r="61" spans="1:9">
      <c r="A61" s="22" t="str">
        <f>HYPERLINK("https://app.vivvix.com/360/KMI/IntelliDrive/ApplUI/Pages/CreativePages/CustomReportCreativeDetail.aspx?App=23&amp;ReportView=4&amp;Qid=1711279&amp;Row=53&amp;Col=1","a couple has been featured in car")</f>
        <v/>
      </c>
      <c r="B61" s="0" t="s">
        <v>98</v>
      </c>
      <c r="E61" s="0" t="inlineStr">
        <is>
          <t xml:space="preserve">Mazda</t>
        </is>
      </c>
      <c r="F61" s="0" t="s">
        <v>13</v>
      </c>
      <c r="G61" s="0" t="s">
        <v>49</v>
      </c>
      <c r="H61" s="5">
        <v>7521.678000</v>
      </c>
    </row>
    <row r="62" spans="1:9">
      <c r="A62" s="22" t="str">
        <f>HYPERLINK("https://app.vivvix.com/360/KMI/IntelliDrive/ApplUI/Pages/CreativePages/CustomReportCreativeDetail.aspx?App=23&amp;ReportView=4&amp;Qid=1711279&amp;Row=54&amp;Col=1","a couple has been featured in car")</f>
        <v/>
      </c>
      <c r="B62" s="0" t="s">
        <v>98</v>
      </c>
      <c r="E62" s="0" t="inlineStr">
        <is>
          <t xml:space="preserve">Mazda</t>
        </is>
      </c>
      <c r="F62" s="0" t="s">
        <v>13</v>
      </c>
      <c r="G62" s="0" t="s">
        <v>49</v>
      </c>
      <c r="H62" s="5">
        <v>2190.834000</v>
      </c>
    </row>
    <row r="63" spans="1:9">
      <c r="A63" s="22" t="str">
        <f>HYPERLINK("https://app.vivvix.com/360/KMI/IntelliDrive/ApplUI/Pages/CreativePages/CustomReportCreativeDetail.aspx?App=23&amp;ReportView=4&amp;Qid=1711279&amp;Row=55&amp;Col=1","a driving a car with his family")</f>
        <v/>
      </c>
      <c r="B63" s="0" t="s">
        <v>99</v>
      </c>
      <c r="C63" s="0" t="s">
        <v>100</v>
      </c>
      <c r="D63" s="0" t="s">
        <v>100</v>
      </c>
      <c r="E63" s="0" t="inlineStr">
        <is>
          <t xml:space="preserve">Mazda</t>
        </is>
      </c>
      <c r="F63" s="0" t="s">
        <v>28</v>
      </c>
      <c r="G63" s="0" t="s">
        <v>29</v>
      </c>
      <c r="H63" s="5">
        <v>129.676000</v>
      </c>
    </row>
    <row r="64" spans="1:9">
      <c r="A64" s="22" t="str">
        <f>HYPERLINK("https://app.vivvix.com/360/KMI/IntelliDrive/ApplUI/Pages/CreativePages/CustomReportCreativeDetail.aspx?App=23&amp;ReportView=4&amp;Qid=1711279&amp;Row=56&amp;Col=1","A Great Deal On Your Next Hybrid Car")</f>
        <v/>
      </c>
      <c r="B64" s="0" t="s">
        <v>101</v>
      </c>
      <c r="C64" s="0" t="s">
        <v>102</v>
      </c>
      <c r="D64" s="0" t="s">
        <v>102</v>
      </c>
      <c r="E64" s="0" t="inlineStr">
        <is>
          <t xml:space="preserve">Mazda</t>
        </is>
      </c>
      <c r="F64" s="0" t="s">
        <v>52</v>
      </c>
      <c r="G64" s="0" t="s">
        <v>53</v>
      </c>
      <c r="H64" s="5">
        <v>364.077000</v>
      </c>
    </row>
    <row r="65" spans="1:9">
      <c r="A65" s="22" t="str">
        <f>HYPERLINK("https://app.vivvix.com/360/KMI/IntelliDrive/ApplUI/Pages/CreativePages/CustomReportCreativeDetail.aspx?App=23&amp;ReportView=4&amp;Qid=1711279&amp;Row=57&amp;Col=1","a man driving a beautiful car")</f>
        <v/>
      </c>
      <c r="B65" s="0" t="s">
        <v>103</v>
      </c>
      <c r="C65" s="0" t="s">
        <v>104</v>
      </c>
      <c r="D65" s="0" t="s">
        <v>104</v>
      </c>
      <c r="E65" s="0" t="inlineStr">
        <is>
          <t xml:space="preserve">Mazda</t>
        </is>
      </c>
      <c r="F65" s="0" t="s">
        <v>28</v>
      </c>
      <c r="G65" s="0" t="s">
        <v>29</v>
      </c>
      <c r="H65" s="5">
        <v>440.600000</v>
      </c>
    </row>
    <row r="66" spans="1:9">
      <c r="A66" s="22" t="str">
        <f>HYPERLINK("https://app.vivvix.com/360/KMI/IntelliDrive/ApplUI/Pages/CreativePages/CustomReportCreativeDetail.aspx?App=23&amp;ReportView=4&amp;Qid=1711279&amp;Row=58&amp;Col=1","a man driving a beautiful car")</f>
        <v/>
      </c>
      <c r="B66" s="0" t="s">
        <v>103</v>
      </c>
      <c r="E66" s="0" t="inlineStr">
        <is>
          <t xml:space="preserve">Mazda</t>
        </is>
      </c>
      <c r="F66" s="0" t="s">
        <v>28</v>
      </c>
      <c r="G66" s="0" t="s">
        <v>29</v>
      </c>
      <c r="H66" s="5">
        <v>2195.120000</v>
      </c>
    </row>
    <row r="67" spans="1:9">
      <c r="A67" s="22" t="str">
        <f>HYPERLINK("https://app.vivvix.com/360/KMI/IntelliDrive/ApplUI/Pages/CreativePages/CustomReportCreativeDetail.aspx?App=23&amp;ReportView=4&amp;Qid=1711279&amp;Row=59&amp;Col=1","a man driving a beautiful car")</f>
        <v/>
      </c>
      <c r="B67" s="0" t="s">
        <v>105</v>
      </c>
      <c r="C67" s="0" t="s">
        <v>106</v>
      </c>
      <c r="D67" s="0" t="s">
        <v>70</v>
      </c>
      <c r="E67" s="0" t="inlineStr">
        <is>
          <t xml:space="preserve">Mazda</t>
        </is>
      </c>
      <c r="F67" s="0" t="s">
        <v>28</v>
      </c>
      <c r="G67" s="0" t="s">
        <v>29</v>
      </c>
      <c r="H67" s="5">
        <v>475.848000</v>
      </c>
    </row>
    <row r="68" spans="1:9">
      <c r="A68" s="22" t="str">
        <f>HYPERLINK("https://app.vivvix.com/360/KMI/IntelliDrive/ApplUI/Pages/CreativePages/CustomReportCreativeDetail.aspx?App=23&amp;ReportView=4&amp;Qid=1711279&amp;Row=60&amp;Col=1","a man driving a beautiful car")</f>
        <v/>
      </c>
      <c r="B68" s="0" t="s">
        <v>105</v>
      </c>
      <c r="E68" s="0" t="inlineStr">
        <is>
          <t xml:space="preserve">Mazda</t>
        </is>
      </c>
      <c r="F68" s="0" t="s">
        <v>28</v>
      </c>
      <c r="G68" s="0" t="s">
        <v>29</v>
      </c>
      <c r="H68" s="5">
        <v>4829.264000</v>
      </c>
    </row>
    <row r="69" spans="1:9">
      <c r="A69" s="22" t="str">
        <f>HYPERLINK("https://app.vivvix.com/360/KMI/IntelliDrive/ApplUI/Pages/CreativePages/CustomReportCreativeDetail.aspx?App=23&amp;ReportView=4&amp;Qid=1711279&amp;Row=61&amp;Col=1","a man driving a beautiful car")</f>
        <v/>
      </c>
      <c r="B69" s="0" t="s">
        <v>107</v>
      </c>
      <c r="C69" s="0" t="s">
        <v>108</v>
      </c>
      <c r="D69" s="0" t="s">
        <v>108</v>
      </c>
      <c r="E69" s="0" t="inlineStr">
        <is>
          <t xml:space="preserve">Mazda</t>
        </is>
      </c>
      <c r="F69" s="0" t="s">
        <v>56</v>
      </c>
      <c r="G69" s="0" t="s">
        <v>57</v>
      </c>
      <c r="H69" s="5">
        <v>196.638000</v>
      </c>
    </row>
    <row r="70" spans="1:9">
      <c r="A70" s="22" t="str">
        <f>HYPERLINK("https://app.vivvix.com/360/KMI/IntelliDrive/ApplUI/Pages/CreativePages/CustomReportCreativeDetail.aspx?App=23&amp;ReportView=4&amp;Qid=1711279&amp;Row=62&amp;Col=1","a man riding a boat 15 seconds")</f>
        <v/>
      </c>
      <c r="B70" s="0" t="s">
        <v>109</v>
      </c>
      <c r="C70" s="0" t="s">
        <v>110</v>
      </c>
      <c r="D70" s="0" t="s">
        <v>110</v>
      </c>
      <c r="E70" s="0" t="inlineStr">
        <is>
          <t xml:space="preserve">Mazda</t>
        </is>
      </c>
      <c r="F70" s="0" t="s">
        <v>13</v>
      </c>
      <c r="G70" s="0" t="s">
        <v>49</v>
      </c>
      <c r="H70" s="5">
        <v>33349.696000</v>
      </c>
    </row>
    <row r="71" spans="1:9">
      <c r="A71" s="22" t="str">
        <f>HYPERLINK("https://app.vivvix.com/360/KMI/IntelliDrive/ApplUI/Pages/CreativePages/CustomReportCreativeDetail.aspx?App=23&amp;ReportView=4&amp;Qid=1711279&amp;Row=63&amp;Col=1","a man riding a boat 15 seconds")</f>
        <v/>
      </c>
      <c r="B71" s="0" t="s">
        <v>109</v>
      </c>
      <c r="E71" s="0" t="inlineStr">
        <is>
          <t xml:space="preserve">Mazda</t>
        </is>
      </c>
      <c r="F71" s="0" t="s">
        <v>13</v>
      </c>
      <c r="G71" s="0" t="s">
        <v>49</v>
      </c>
      <c r="H71" s="5">
        <v>14152.305000</v>
      </c>
    </row>
    <row r="72" spans="1:9">
      <c r="A72" s="22" t="str">
        <f>HYPERLINK("https://app.vivvix.com/360/KMI/IntelliDrive/ApplUI/Pages/CreativePages/CustomReportCreativeDetail.aspx?App=23&amp;ReportView=4&amp;Qid=1711279&amp;Row=64&amp;Col=1","a nice red car has been featured")</f>
        <v/>
      </c>
      <c r="B72" s="0" t="s">
        <v>111</v>
      </c>
      <c r="C72" s="0" t="s">
        <v>112</v>
      </c>
      <c r="D72" s="0" t="s">
        <v>112</v>
      </c>
      <c r="E72" s="0" t="inlineStr">
        <is>
          <t xml:space="preserve">Mazda</t>
        </is>
      </c>
      <c r="F72" s="0" t="s">
        <v>28</v>
      </c>
      <c r="G72" s="0" t="s">
        <v>29</v>
      </c>
      <c r="H72" s="5">
        <v>238278.893000</v>
      </c>
    </row>
    <row r="73" spans="1:9">
      <c r="A73" s="22" t="str">
        <f>HYPERLINK("https://app.vivvix.com/360/KMI/IntelliDrive/ApplUI/Pages/CreativePages/CustomReportCreativeDetail.aspx?App=23&amp;ReportView=4&amp;Qid=1711279&amp;Row=65&amp;Col=1","A Season To Move You")</f>
        <v/>
      </c>
      <c r="B73" s="0" t="s">
        <v>113</v>
      </c>
      <c r="C73" s="0" t="s">
        <v>114</v>
      </c>
      <c r="D73" s="0" t="s">
        <v>114</v>
      </c>
      <c r="E73" s="0" t="inlineStr">
        <is>
          <t xml:space="preserve">Mazda</t>
        </is>
      </c>
      <c r="F73" s="0" t="s">
        <v>115</v>
      </c>
      <c r="G73" s="0" t="s">
        <v>116</v>
      </c>
      <c r="H73" s="5">
        <v>864.042000</v>
      </c>
    </row>
    <row r="74" spans="1:9">
      <c r="A74" s="22" t="str">
        <f>HYPERLINK("https://app.vivvix.com/360/KMI/IntelliDrive/ApplUI/Pages/CreativePages/CustomReportCreativeDetail.aspx?App=23&amp;ReportView=4&amp;Qid=1711279&amp;Row=66&amp;Col=1","a season to move you")</f>
        <v/>
      </c>
      <c r="B74" s="0" t="s">
        <v>117</v>
      </c>
      <c r="C74" s="0" t="s">
        <v>118</v>
      </c>
      <c r="D74" s="0" t="s">
        <v>118</v>
      </c>
      <c r="E74" s="0" t="inlineStr">
        <is>
          <t xml:space="preserve">Mazda</t>
        </is>
      </c>
      <c r="F74" s="0" t="s">
        <v>56</v>
      </c>
      <c r="G74" s="0" t="s">
        <v>57</v>
      </c>
      <c r="H74" s="5">
        <v>3325.988000</v>
      </c>
    </row>
    <row r="75" spans="1:9">
      <c r="A75" s="22" t="str">
        <f>HYPERLINK("https://app.vivvix.com/360/KMI/IntelliDrive/ApplUI/Pages/CreativePages/CustomReportCreativeDetail.aspx?App=23&amp;ReportView=4&amp;Qid=1711279&amp;Row=67&amp;Col=1","A SEASON TO MOVE YOU")</f>
        <v/>
      </c>
      <c r="B75" s="0" t="s">
        <v>119</v>
      </c>
      <c r="E75" s="0" t="inlineStr">
        <is>
          <t xml:space="preserve">Mazda</t>
        </is>
      </c>
      <c r="F75" s="0" t="s">
        <v>56</v>
      </c>
      <c r="G75" s="0" t="s">
        <v>120</v>
      </c>
    </row>
    <row r="76" spans="1:9">
      <c r="A76" s="22" t="str">
        <f>HYPERLINK("https://app.vivvix.com/360/KMI/IntelliDrive/ApplUI/Pages/CreativePages/CustomReportCreativeDetail.aspx?App=23&amp;ReportView=4&amp;Qid=1711279&amp;Row=68&amp;Col=1","A Season To Move You")</f>
        <v/>
      </c>
      <c r="B76" s="0" t="s">
        <v>121</v>
      </c>
      <c r="C76" s="0" t="s">
        <v>122</v>
      </c>
      <c r="D76" s="0" t="s">
        <v>122</v>
      </c>
      <c r="E76" s="0" t="inlineStr">
        <is>
          <t xml:space="preserve">Mazda</t>
        </is>
      </c>
      <c r="F76" s="0" t="s">
        <v>52</v>
      </c>
      <c r="G76" s="0" t="s">
        <v>53</v>
      </c>
      <c r="H76" s="5">
        <v>1557.208000</v>
      </c>
    </row>
    <row r="77" spans="1:9">
      <c r="A77" s="22" t="str">
        <f>HYPERLINK("https://app.vivvix.com/360/KMI/IntelliDrive/ApplUI/Pages/CreativePages/CustomReportCreativeDetail.aspx?App=23&amp;ReportView=4&amp;Qid=1711279&amp;Row=69&amp;Col=1","a season to move you")</f>
        <v/>
      </c>
      <c r="B77" s="0" t="s">
        <v>123</v>
      </c>
      <c r="C77" s="0" t="s">
        <v>124</v>
      </c>
      <c r="D77" s="0" t="s">
        <v>124</v>
      </c>
      <c r="E77" s="0" t="inlineStr">
        <is>
          <t xml:space="preserve">Mazda</t>
        </is>
      </c>
      <c r="F77" s="0" t="s">
        <v>125</v>
      </c>
      <c r="G77" s="0" t="s">
        <v>126</v>
      </c>
      <c r="H77" s="5">
        <v>568.446000</v>
      </c>
    </row>
    <row r="78" spans="1:9">
      <c r="A78" s="22" t="str">
        <f>HYPERLINK("https://app.vivvix.com/360/KMI/IntelliDrive/ApplUI/Pages/CreativePages/CustomReportCreativeDetail.aspx?App=23&amp;ReportView=4&amp;Qid=1711279&amp;Row=70&amp;Col=1","a season to move you")</f>
        <v/>
      </c>
      <c r="B78" s="0" t="s">
        <v>127</v>
      </c>
      <c r="C78" s="0" t="s">
        <v>128</v>
      </c>
      <c r="D78" s="0" t="s">
        <v>128</v>
      </c>
      <c r="E78" s="0" t="inlineStr">
        <is>
          <t xml:space="preserve">Mazda</t>
        </is>
      </c>
      <c r="F78" s="0" t="s">
        <v>52</v>
      </c>
      <c r="G78" s="0" t="s">
        <v>53</v>
      </c>
      <c r="H78" s="5">
        <v>1161.524000</v>
      </c>
    </row>
    <row r="79" spans="1:9">
      <c r="A79" s="22" t="str">
        <f>HYPERLINK("https://app.vivvix.com/360/KMI/IntelliDrive/ApplUI/Pages/CreativePages/CustomReportCreativeDetail.aspx?App=23&amp;ReportView=4&amp;Qid=1711279&amp;Row=71&amp;Col=1","A Season To Move You, Exceptional Offer")</f>
        <v/>
      </c>
      <c r="B79" s="0" t="s">
        <v>129</v>
      </c>
      <c r="C79" s="0" t="s">
        <v>130</v>
      </c>
      <c r="D79" s="0" t="s">
        <v>130</v>
      </c>
      <c r="E79" s="0" t="inlineStr">
        <is>
          <t xml:space="preserve">Mazda</t>
        </is>
      </c>
      <c r="F79" s="0" t="s">
        <v>17</v>
      </c>
      <c r="G79" s="0" t="s">
        <v>18</v>
      </c>
      <c r="H79" s="5">
        <v>2850.210000</v>
      </c>
    </row>
    <row r="80" spans="1:9">
      <c r="A80" s="22" t="str">
        <f>HYPERLINK("https://app.vivvix.com/360/KMI/IntelliDrive/ApplUI/Pages/CreativePages/CustomReportCreativeDetail.aspx?App=23&amp;ReportView=4&amp;Qid=1711279&amp;Row=72&amp;Col=1","A Season To Move You, Exceptional Offer")</f>
        <v/>
      </c>
      <c r="B80" s="0" t="s">
        <v>131</v>
      </c>
      <c r="C80" s="0" t="s">
        <v>132</v>
      </c>
      <c r="D80" s="0" t="s">
        <v>132</v>
      </c>
      <c r="E80" s="0" t="inlineStr">
        <is>
          <t xml:space="preserve">Mazda</t>
        </is>
      </c>
      <c r="F80" s="0" t="s">
        <v>17</v>
      </c>
      <c r="G80" s="0" t="s">
        <v>33</v>
      </c>
      <c r="H80" s="5">
        <v>4874.499000</v>
      </c>
    </row>
    <row r="81" spans="1:9">
      <c r="A81" s="22" t="str">
        <f>HYPERLINK("https://app.vivvix.com/360/KMI/IntelliDrive/ApplUI/Pages/CreativePages/CustomReportCreativeDetail.aspx?App=23&amp;ReportView=4&amp;Qid=1711279&amp;Row=73&amp;Col=1","A Season To Move You, Exceptional Offer")</f>
        <v/>
      </c>
      <c r="B81" s="0" t="s">
        <v>131</v>
      </c>
      <c r="E81" s="0" t="inlineStr">
        <is>
          <t xml:space="preserve">Mazda</t>
        </is>
      </c>
      <c r="F81" s="0" t="s">
        <v>17</v>
      </c>
      <c r="G81" s="0" t="s">
        <v>33</v>
      </c>
      <c r="H81" s="5">
        <v>62265.068000</v>
      </c>
    </row>
    <row r="82" spans="1:9">
      <c r="A82" s="22" t="str">
        <f>HYPERLINK("https://app.vivvix.com/360/KMI/IntelliDrive/ApplUI/Pages/CreativePages/CustomReportCreativeDetail.aspx?App=23&amp;ReportView=4&amp;Qid=1711279&amp;Row=74&amp;Col=1","A Season To Move You, Exceptional Offer")</f>
        <v/>
      </c>
      <c r="B82" s="0" t="s">
        <v>133</v>
      </c>
      <c r="C82" s="0" t="s">
        <v>134</v>
      </c>
      <c r="D82" s="0" t="s">
        <v>134</v>
      </c>
      <c r="E82" s="0" t="inlineStr">
        <is>
          <t xml:space="preserve">Mazda</t>
        </is>
      </c>
      <c r="F82" s="0" t="s">
        <v>28</v>
      </c>
      <c r="G82" s="0" t="s">
        <v>135</v>
      </c>
      <c r="H82" s="5">
        <v>5284.122000</v>
      </c>
    </row>
    <row r="83" spans="1:9">
      <c r="A83" s="22" t="str">
        <f>HYPERLINK("https://app.vivvix.com/360/KMI/IntelliDrive/ApplUI/Pages/CreativePages/CustomReportCreativeDetail.aspx?App=23&amp;ReportView=4&amp;Qid=1711279&amp;Row=75&amp;Col=1","A Season To Move You, Exceptional Offer")</f>
        <v/>
      </c>
      <c r="B83" s="0" t="s">
        <v>136</v>
      </c>
      <c r="C83" s="0" t="s">
        <v>137</v>
      </c>
      <c r="D83" s="0" t="s">
        <v>137</v>
      </c>
      <c r="E83" s="0" t="inlineStr">
        <is>
          <t xml:space="preserve">Mazda</t>
        </is>
      </c>
      <c r="F83" s="0" t="s">
        <v>52</v>
      </c>
      <c r="G83" s="0" t="s">
        <v>53</v>
      </c>
      <c r="H83" s="5">
        <v>4259.697000</v>
      </c>
    </row>
    <row r="84" spans="1:9">
      <c r="A84" s="22" t="str">
        <f>HYPERLINK("https://app.vivvix.com/360/KMI/IntelliDrive/ApplUI/Pages/CreativePages/CustomReportCreativeDetail.aspx?App=23&amp;ReportView=4&amp;Qid=1711279&amp;Row=76&amp;Col=1","A Season To Move You, Exceptional Offer")</f>
        <v/>
      </c>
      <c r="B84" s="0" t="s">
        <v>138</v>
      </c>
      <c r="C84" s="0" t="s">
        <v>139</v>
      </c>
      <c r="D84" s="0" t="s">
        <v>130</v>
      </c>
      <c r="E84" s="0" t="inlineStr">
        <is>
          <t xml:space="preserve">Mazda</t>
        </is>
      </c>
      <c r="F84" s="0" t="s">
        <v>17</v>
      </c>
      <c r="G84" s="0" t="s">
        <v>18</v>
      </c>
      <c r="H84" s="5">
        <v>900.320000</v>
      </c>
    </row>
    <row r="85" spans="1:9">
      <c r="A85" s="22" t="str">
        <f>HYPERLINK("https://app.vivvix.com/360/KMI/IntelliDrive/ApplUI/Pages/CreativePages/CustomReportCreativeDetail.aspx?App=23&amp;ReportView=4&amp;Qid=1711279&amp;Row=77&amp;Col=1","A Season To Move You, Exceptional Offer")</f>
        <v/>
      </c>
      <c r="B85" s="0" t="s">
        <v>138</v>
      </c>
      <c r="E85" s="0" t="inlineStr">
        <is>
          <t xml:space="preserve">Mazda</t>
        </is>
      </c>
      <c r="F85" s="0" t="s">
        <v>17</v>
      </c>
      <c r="G85" s="0" t="s">
        <v>18</v>
      </c>
      <c r="H85" s="5">
        <v>3222.436000</v>
      </c>
    </row>
    <row r="86" spans="1:9">
      <c r="A86" s="22" t="str">
        <f>HYPERLINK("https://app.vivvix.com/360/KMI/IntelliDrive/ApplUI/Pages/CreativePages/CustomReportCreativeDetail.aspx?App=23&amp;ReportView=4&amp;Qid=1711279&amp;Row=78&amp;Col=1","A Season To Move You, Exceptional Offers")</f>
        <v/>
      </c>
      <c r="B86" s="0" t="s">
        <v>140</v>
      </c>
      <c r="C86" s="0" t="s">
        <v>141</v>
      </c>
      <c r="D86" s="0" t="s">
        <v>141</v>
      </c>
      <c r="E86" s="0" t="inlineStr">
        <is>
          <t xml:space="preserve">Mazda</t>
        </is>
      </c>
      <c r="F86" s="0" t="s">
        <v>56</v>
      </c>
      <c r="G86" s="0" t="s">
        <v>57</v>
      </c>
      <c r="H86" s="5">
        <v>1484.352000</v>
      </c>
    </row>
    <row r="87" spans="1:9">
      <c r="A87" s="22" t="str">
        <f>HYPERLINK("https://app.vivvix.com/360/KMI/IntelliDrive/ApplUI/Pages/CreativePages/CustomReportCreativeDetail.aspx?App=23&amp;ReportView=4&amp;Qid=1711279&amp;Row=79&amp;Col=1","A Season To Move You, Exceptional Offers")</f>
        <v/>
      </c>
      <c r="B87" s="0" t="s">
        <v>142</v>
      </c>
      <c r="C87" s="0" t="s">
        <v>143</v>
      </c>
      <c r="D87" s="0" t="s">
        <v>143</v>
      </c>
      <c r="E87" s="0" t="inlineStr">
        <is>
          <t xml:space="preserve">Mazda</t>
        </is>
      </c>
      <c r="F87" s="0" t="s">
        <v>13</v>
      </c>
      <c r="G87" s="0" t="s">
        <v>36</v>
      </c>
      <c r="H87" s="5">
        <v>262.780000</v>
      </c>
    </row>
    <row r="88" spans="1:9">
      <c r="A88" s="22" t="str">
        <f>HYPERLINK("https://app.vivvix.com/360/KMI/IntelliDrive/ApplUI/Pages/CreativePages/CustomReportCreativeDetail.aspx?App=23&amp;ReportView=4&amp;Qid=1711279&amp;Row=80&amp;Col=1","a very  nice car is shown")</f>
        <v/>
      </c>
      <c r="B88" s="0" t="s">
        <v>144</v>
      </c>
      <c r="C88" s="0" t="s">
        <v>145</v>
      </c>
      <c r="D88" s="0" t="s">
        <v>145</v>
      </c>
      <c r="E88" s="0" t="inlineStr">
        <is>
          <t xml:space="preserve">Mazda</t>
        </is>
      </c>
      <c r="F88" s="0" t="s">
        <v>17</v>
      </c>
      <c r="G88" s="0" t="s">
        <v>33</v>
      </c>
      <c r="H88" s="5">
        <v>693.619000</v>
      </c>
    </row>
    <row r="89" spans="1:9">
      <c r="A89" s="22" t="str">
        <f>HYPERLINK("https://app.vivvix.com/360/KMI/IntelliDrive/ApplUI/Pages/CreativePages/CustomReportCreativeDetail.aspx?App=23&amp;ReportView=4&amp;Qid=1711279&amp;Row=81&amp;Col=1","a very beautiful white car is shown")</f>
        <v/>
      </c>
      <c r="B89" s="0" t="s">
        <v>146</v>
      </c>
      <c r="C89" s="0" t="s">
        <v>27</v>
      </c>
      <c r="D89" s="0" t="s">
        <v>27</v>
      </c>
      <c r="E89" s="0" t="inlineStr">
        <is>
          <t xml:space="preserve">Mazda</t>
        </is>
      </c>
      <c r="F89" s="0" t="s">
        <v>28</v>
      </c>
      <c r="G89" s="0" t="s">
        <v>29</v>
      </c>
      <c r="H89" s="5">
        <v>722.610000</v>
      </c>
    </row>
    <row r="90" spans="1:9">
      <c r="A90" s="22" t="str">
        <f>HYPERLINK("https://app.vivvix.com/360/KMI/IntelliDrive/ApplUI/Pages/CreativePages/CustomReportCreativeDetail.aspx?App=23&amp;ReportView=4&amp;Qid=1711279&amp;Row=82&amp;Col=1","a very beautiful white car is shown")</f>
        <v/>
      </c>
      <c r="B90" s="0" t="s">
        <v>147</v>
      </c>
      <c r="C90" s="0" t="s">
        <v>148</v>
      </c>
      <c r="D90" s="0" t="s">
        <v>148</v>
      </c>
      <c r="E90" s="0" t="inlineStr">
        <is>
          <t xml:space="preserve">Mazda</t>
        </is>
      </c>
      <c r="F90" s="0" t="s">
        <v>28</v>
      </c>
      <c r="G90" s="0" t="s">
        <v>29</v>
      </c>
      <c r="H90" s="5">
        <v>11479.559000</v>
      </c>
    </row>
    <row r="91" spans="1:9">
      <c r="A91" s="22" t="str">
        <f>HYPERLINK("https://app.vivvix.com/360/KMI/IntelliDrive/ApplUI/Pages/CreativePages/CustomReportCreativeDetail.aspx?App=23&amp;ReportView=4&amp;Qid=1711279&amp;Row=83&amp;Col=1","a very beautiful white car is shown")</f>
        <v/>
      </c>
      <c r="B91" s="0" t="s">
        <v>147</v>
      </c>
      <c r="E91" s="0" t="inlineStr">
        <is>
          <t xml:space="preserve">Mazda</t>
        </is>
      </c>
      <c r="F91" s="0" t="s">
        <v>28</v>
      </c>
      <c r="G91" s="0" t="s">
        <v>29</v>
      </c>
      <c r="H91" s="5">
        <v>98202.036000</v>
      </c>
    </row>
    <row r="92" spans="1:9">
      <c r="A92" s="22" t="str">
        <f>HYPERLINK("https://app.vivvix.com/360/KMI/IntelliDrive/ApplUI/Pages/CreativePages/CustomReportCreativeDetail.aspx?App=23&amp;ReportView=4&amp;Qid=1711279&amp;Row=84&amp;Col=1","a very nice car is shown")</f>
        <v/>
      </c>
      <c r="B92" s="0" t="s">
        <v>149</v>
      </c>
      <c r="E92" s="0" t="inlineStr">
        <is>
          <t xml:space="preserve">Mazda</t>
        </is>
      </c>
      <c r="F92" s="0" t="s">
        <v>28</v>
      </c>
      <c r="G92" s="0" t="s">
        <v>29</v>
      </c>
      <c r="H92" s="5">
        <v>21643.854000</v>
      </c>
    </row>
    <row r="93" spans="1:9">
      <c r="A93" s="22" t="str">
        <f>HYPERLINK("https://app.vivvix.com/360/KMI/IntelliDrive/ApplUI/Pages/CreativePages/CustomReportCreativeDetail.aspx?App=23&amp;ReportView=4&amp;Qid=1711279&amp;Row=85&amp;Col=1","a very nice car is shown")</f>
        <v/>
      </c>
      <c r="B93" s="0" t="s">
        <v>149</v>
      </c>
      <c r="E93" s="0" t="inlineStr">
        <is>
          <t xml:space="preserve">Mazda</t>
        </is>
      </c>
      <c r="F93" s="0" t="s">
        <v>28</v>
      </c>
      <c r="G93" s="0" t="s">
        <v>29</v>
      </c>
      <c r="H93" s="5">
        <v>683.300000</v>
      </c>
    </row>
    <row r="94" spans="1:9">
      <c r="A94" s="22" t="str">
        <f>HYPERLINK("https://app.vivvix.com/360/KMI/IntelliDrive/ApplUI/Pages/CreativePages/CustomReportCreativeDetail.aspx?App=23&amp;ReportView=4&amp;Qid=1711279&amp;Row=86&amp;Col=1","a very nice car is shown")</f>
        <v/>
      </c>
      <c r="B94" s="0" t="s">
        <v>150</v>
      </c>
      <c r="C94" s="0" t="s">
        <v>151</v>
      </c>
      <c r="D94" s="0" t="s">
        <v>151</v>
      </c>
      <c r="E94" s="0" t="inlineStr">
        <is>
          <t xml:space="preserve">Mazda</t>
        </is>
      </c>
      <c r="F94" s="0" t="s">
        <v>56</v>
      </c>
      <c r="G94" s="0" t="s">
        <v>57</v>
      </c>
      <c r="H94" s="5">
        <v>8.696000</v>
      </c>
    </row>
    <row r="95" spans="1:9">
      <c r="A95" s="22" t="str">
        <f>HYPERLINK("https://app.vivvix.com/360/KMI/IntelliDrive/ApplUI/Pages/CreativePages/CustomReportCreativeDetail.aspx?App=23&amp;ReportView=4&amp;Qid=1711279&amp;Row=87&amp;Col=1","a very nice car is shown")</f>
        <v/>
      </c>
      <c r="B95" s="0" t="s">
        <v>152</v>
      </c>
      <c r="C95" s="0" t="s">
        <v>153</v>
      </c>
      <c r="D95" s="0" t="s">
        <v>153</v>
      </c>
      <c r="E95" s="0" t="inlineStr">
        <is>
          <t xml:space="preserve">Mazda</t>
        </is>
      </c>
      <c r="F95" s="0" t="s">
        <v>28</v>
      </c>
      <c r="G95" s="0" t="s">
        <v>29</v>
      </c>
      <c r="H95" s="5">
        <v>907.636000</v>
      </c>
    </row>
    <row r="96" spans="1:9">
      <c r="A96" s="22" t="str">
        <f>HYPERLINK("https://app.vivvix.com/360/KMI/IntelliDrive/ApplUI/Pages/CreativePages/CustomReportCreativeDetail.aspx?App=23&amp;ReportView=4&amp;Qid=1711279&amp;Row=88&amp;Col=1","a very nice car is shown")</f>
        <v/>
      </c>
      <c r="B96" s="0" t="s">
        <v>152</v>
      </c>
      <c r="E96" s="0" t="inlineStr">
        <is>
          <t xml:space="preserve">Mazda</t>
        </is>
      </c>
      <c r="F96" s="0" t="s">
        <v>28</v>
      </c>
      <c r="G96" s="0" t="s">
        <v>29</v>
      </c>
      <c r="H96" s="5">
        <v>2634.144000</v>
      </c>
    </row>
    <row r="97" spans="1:9">
      <c r="A97" s="22" t="str">
        <f>HYPERLINK("https://app.vivvix.com/360/KMI/IntelliDrive/ApplUI/Pages/CreativePages/CustomReportCreativeDetail.aspx?App=23&amp;ReportView=4&amp;Qid=1711279&amp;Row=89&amp;Col=1","a very nice car is shown")</f>
        <v/>
      </c>
      <c r="B97" s="0" t="s">
        <v>154</v>
      </c>
      <c r="C97" s="0" t="s">
        <v>155</v>
      </c>
      <c r="D97" s="0" t="s">
        <v>155</v>
      </c>
      <c r="E97" s="0" t="inlineStr">
        <is>
          <t xml:space="preserve">Mazda</t>
        </is>
      </c>
      <c r="F97" s="0" t="s">
        <v>28</v>
      </c>
      <c r="G97" s="0" t="s">
        <v>29</v>
      </c>
      <c r="H97" s="5">
        <v>1418.732000</v>
      </c>
    </row>
    <row r="98" spans="1:9">
      <c r="A98" s="22" t="str">
        <f>HYPERLINK("https://app.vivvix.com/360/KMI/IntelliDrive/ApplUI/Pages/CreativePages/CustomReportCreativeDetail.aspx?App=23&amp;ReportView=4&amp;Qid=1711279&amp;Row=90&amp;Col=1","a very nice car is shown")</f>
        <v/>
      </c>
      <c r="B98" s="0" t="s">
        <v>154</v>
      </c>
      <c r="E98" s="0" t="inlineStr">
        <is>
          <t xml:space="preserve">Mazda</t>
        </is>
      </c>
      <c r="F98" s="0" t="s">
        <v>28</v>
      </c>
      <c r="G98" s="0" t="s">
        <v>29</v>
      </c>
      <c r="H98" s="5">
        <v>11414.624000</v>
      </c>
    </row>
    <row r="99" spans="1:9">
      <c r="A99" s="22" t="str">
        <f>HYPERLINK("https://app.vivvix.com/360/KMI/IntelliDrive/ApplUI/Pages/CreativePages/CustomReportCreativeDetail.aspx?App=23&amp;ReportView=4&amp;Qid=1711279&amp;Row=91&amp;Col=1","a very nice car is shown")</f>
        <v/>
      </c>
      <c r="B99" s="0" t="s">
        <v>156</v>
      </c>
      <c r="E99" s="0" t="inlineStr">
        <is>
          <t xml:space="preserve">Mazda</t>
        </is>
      </c>
      <c r="F99" s="0" t="s">
        <v>56</v>
      </c>
      <c r="G99" s="0" t="s">
        <v>57</v>
      </c>
      <c r="H99" s="5">
        <v>1345090.398000</v>
      </c>
    </row>
    <row r="100" spans="1:9">
      <c r="A100" s="22" t="str">
        <f>HYPERLINK("https://app.vivvix.com/360/KMI/IntelliDrive/ApplUI/Pages/CreativePages/CustomReportCreativeDetail.aspx?App=23&amp;ReportView=4&amp;Qid=1711279&amp;Row=92&amp;Col=1","a very nice car is shown")</f>
        <v/>
      </c>
      <c r="B100" s="0" t="s">
        <v>156</v>
      </c>
      <c r="C100" s="0" t="s">
        <v>157</v>
      </c>
      <c r="D100" s="0" t="s">
        <v>157</v>
      </c>
      <c r="E100" s="0" t="inlineStr">
        <is>
          <t xml:space="preserve">Mazda</t>
        </is>
      </c>
      <c r="F100" s="0" t="s">
        <v>56</v>
      </c>
      <c r="G100" s="0" t="s">
        <v>57</v>
      </c>
      <c r="H100" s="5">
        <v>32823.784000</v>
      </c>
    </row>
    <row r="101" spans="1:9">
      <c r="A101" s="22" t="str">
        <f>HYPERLINK("https://app.vivvix.com/360/KMI/IntelliDrive/ApplUI/Pages/CreativePages/CustomReportCreativeDetail.aspx?App=23&amp;ReportView=4&amp;Qid=1711279&amp;Row=93&amp;Col=1","a very nice car is shown")</f>
        <v/>
      </c>
      <c r="B101" s="0" t="s">
        <v>158</v>
      </c>
      <c r="C101" s="0" t="s">
        <v>159</v>
      </c>
      <c r="D101" s="0" t="s">
        <v>159</v>
      </c>
      <c r="E101" s="0" t="inlineStr">
        <is>
          <t xml:space="preserve">Mazda</t>
        </is>
      </c>
      <c r="F101" s="0" t="s">
        <v>21</v>
      </c>
      <c r="G101" s="0" t="s">
        <v>22</v>
      </c>
      <c r="H101" s="5">
        <v>1832.673000</v>
      </c>
    </row>
    <row r="102" spans="1:9">
      <c r="A102" s="22" t="str">
        <f>HYPERLINK("https://app.vivvix.com/360/KMI/IntelliDrive/ApplUI/Pages/CreativePages/CustomReportCreativeDetail.aspx?App=23&amp;ReportView=4&amp;Qid=1711279&amp;Row=94&amp;Col=1","a very nice car is sown here")</f>
        <v/>
      </c>
      <c r="B102" s="0" t="s">
        <v>160</v>
      </c>
      <c r="C102" s="0" t="s">
        <v>161</v>
      </c>
      <c r="D102" s="0" t="s">
        <v>161</v>
      </c>
      <c r="E102" s="0" t="inlineStr">
        <is>
          <t xml:space="preserve">Mazda</t>
        </is>
      </c>
      <c r="F102" s="0" t="s">
        <v>17</v>
      </c>
      <c r="G102" s="0" t="s">
        <v>33</v>
      </c>
      <c r="H102" s="5">
        <v>63.150000</v>
      </c>
    </row>
    <row r="103" spans="1:9">
      <c r="A103" s="22" t="str">
        <f>HYPERLINK("https://app.vivvix.com/360/KMI/IntelliDrive/ApplUI/Pages/CreativePages/CustomReportCreativeDetail.aspx?App=23&amp;ReportView=4&amp;Qid=1711279&amp;Row=95&amp;Col=1","a white colour car running fast")</f>
        <v/>
      </c>
      <c r="B103" s="0" t="s">
        <v>162</v>
      </c>
      <c r="C103" s="0" t="s">
        <v>163</v>
      </c>
      <c r="D103" s="0" t="s">
        <v>163</v>
      </c>
      <c r="E103" s="0" t="inlineStr">
        <is>
          <t xml:space="preserve">Mazda</t>
        </is>
      </c>
      <c r="F103" s="0" t="s">
        <v>17</v>
      </c>
      <c r="G103" s="0" t="s">
        <v>33</v>
      </c>
      <c r="H103" s="5">
        <v>19590.938000</v>
      </c>
    </row>
    <row r="104" spans="1:9">
      <c r="A104" s="22" t="str">
        <f>HYPERLINK("https://app.vivvix.com/360/KMI/IntelliDrive/ApplUI/Pages/CreativePages/CustomReportCreativeDetail.aspx?App=23&amp;ReportView=4&amp;Qid=1711279&amp;Row=96&amp;Col=1","a woman driving a very beautiful car")</f>
        <v/>
      </c>
      <c r="B104" s="0" t="s">
        <v>164</v>
      </c>
      <c r="C104" s="0" t="s">
        <v>165</v>
      </c>
      <c r="D104" s="0" t="s">
        <v>165</v>
      </c>
      <c r="E104" s="0" t="inlineStr">
        <is>
          <t xml:space="preserve">Mazda</t>
        </is>
      </c>
      <c r="F104" s="0" t="s">
        <v>28</v>
      </c>
      <c r="G104" s="0" t="s">
        <v>29</v>
      </c>
      <c r="H104" s="5">
        <v>13443.835000</v>
      </c>
    </row>
    <row r="105" spans="1:9">
      <c r="A105" s="22" t="str">
        <f>HYPERLINK("https://app.vivvix.com/360/KMI/IntelliDrive/ApplUI/Pages/CreativePages/CustomReportCreativeDetail.aspx?App=23&amp;ReportView=4&amp;Qid=1711279&amp;Row=97&amp;Col=1","a woman driving a very beautiful car")</f>
        <v/>
      </c>
      <c r="B105" s="0" t="s">
        <v>164</v>
      </c>
      <c r="E105" s="0" t="inlineStr">
        <is>
          <t xml:space="preserve">Mazda</t>
        </is>
      </c>
      <c r="F105" s="0" t="s">
        <v>28</v>
      </c>
      <c r="G105" s="0" t="s">
        <v>29</v>
      </c>
      <c r="H105" s="5">
        <v>2375.450000</v>
      </c>
    </row>
    <row r="106" spans="1:9">
      <c r="A106" s="22" t="str">
        <f>HYPERLINK("https://app.vivvix.com/360/KMI/IntelliDrive/ApplUI/Pages/CreativePages/CustomReportCreativeDetail.aspx?App=23&amp;ReportView=4&amp;Qid=1711279&amp;Row=98&amp;Col=1","a women driving a very beautiful car sec 15")</f>
        <v/>
      </c>
      <c r="B106" s="0" t="s">
        <v>166</v>
      </c>
      <c r="C106" s="0" t="s">
        <v>167</v>
      </c>
      <c r="D106" s="0" t="s">
        <v>167</v>
      </c>
      <c r="E106" s="0" t="inlineStr">
        <is>
          <t xml:space="preserve">Mazda</t>
        </is>
      </c>
      <c r="F106" s="0" t="s">
        <v>28</v>
      </c>
      <c r="G106" s="0" t="s">
        <v>29</v>
      </c>
      <c r="H106" s="5">
        <v>14670.713000</v>
      </c>
    </row>
    <row r="107" spans="1:9">
      <c r="A107" s="22" t="str">
        <f>HYPERLINK("https://app.vivvix.com/360/KMI/IntelliDrive/ApplUI/Pages/CreativePages/CustomReportCreativeDetail.aspx?App=23&amp;ReportView=4&amp;Qid=1711279&amp;Row=99&amp;Col=1","a women driving a very beautiful car sec 15")</f>
        <v/>
      </c>
      <c r="B107" s="0" t="s">
        <v>166</v>
      </c>
      <c r="E107" s="0" t="inlineStr">
        <is>
          <t xml:space="preserve">Mazda</t>
        </is>
      </c>
      <c r="F107" s="0" t="s">
        <v>28</v>
      </c>
      <c r="G107" s="0" t="s">
        <v>29</v>
      </c>
      <c r="H107" s="5">
        <v>22591.110000</v>
      </c>
    </row>
    <row r="108" spans="1:9">
      <c r="A108" s="22" t="str">
        <f>HYPERLINK("https://app.vivvix.com/360/KMI/IntelliDrive/ApplUI/Pages/CreativePages/CustomReportCreativeDetail.aspx?App=23&amp;ReportView=4&amp;Qid=1711279&amp;Row=100&amp;Col=1","Affrontez l'hiver")</f>
        <v/>
      </c>
      <c r="B108" s="0" t="s">
        <v>168</v>
      </c>
      <c r="C108" s="0" t="s">
        <v>169</v>
      </c>
      <c r="D108" s="0" t="s">
        <v>169</v>
      </c>
      <c r="E108" s="0" t="inlineStr">
        <is>
          <t xml:space="preserve">Mazda</t>
        </is>
      </c>
      <c r="F108" s="0" t="s">
        <v>17</v>
      </c>
      <c r="G108" s="0" t="s">
        <v>33</v>
      </c>
      <c r="H108" s="5">
        <v>622.482000</v>
      </c>
    </row>
    <row r="109" spans="1:9">
      <c r="A109" s="22" t="str">
        <f>HYPERLINK("https://app.vivvix.com/360/KMI/IntelliDrive/ApplUI/Pages/CreativePages/CustomReportCreativeDetail.aspx?App=23&amp;ReportView=4&amp;Qid=1711279&amp;Row=101&amp;Col=1","All New")</f>
        <v/>
      </c>
      <c r="B109" s="0" t="s">
        <v>170</v>
      </c>
      <c r="E109" s="0" t="inlineStr">
        <is>
          <t xml:space="preserve">Mazda</t>
        </is>
      </c>
      <c r="F109" s="0" t="inlineStr">
        <is>
          <t xml:space="preserve">Mazda</t>
        </is>
      </c>
      <c r="G109" s="0" t="s">
        <v>171</v>
      </c>
      <c r="H109" s="5">
        <v>8541.800000</v>
      </c>
    </row>
    <row r="110" spans="1:9">
      <c r="A110" s="22" t="str">
        <f>HYPERLINK("https://app.vivvix.com/360/KMI/IntelliDrive/ApplUI/Pages/CreativePages/CustomReportCreativeDetail.aspx?App=23&amp;ReportView=4&amp;Qid=1711279&amp;Row=102&amp;Col=1","ALL-WHEEL DRIVE")</f>
        <v/>
      </c>
      <c r="B110" s="0" t="s">
        <v>172</v>
      </c>
      <c r="C110" s="0" t="s">
        <v>173</v>
      </c>
      <c r="D110" s="0" t="s">
        <v>173</v>
      </c>
      <c r="E110" s="0" t="inlineStr">
        <is>
          <t xml:space="preserve">Mazda</t>
        </is>
      </c>
      <c r="F110" s="0" t="s">
        <v>13</v>
      </c>
      <c r="G110" s="0" t="s">
        <v>49</v>
      </c>
      <c r="H110" s="5">
        <v>103.899000</v>
      </c>
    </row>
    <row r="111" spans="1:9">
      <c r="A111" s="22" t="str">
        <f>HYPERLINK("https://app.vivvix.com/360/KMI/IntelliDrive/ApplUI/Pages/CreativePages/CustomReportCreativeDetail.aspx?App=23&amp;ReportView=4&amp;Qid=1711279&amp;Row=103&amp;Col=1","aND STANDARD I-ACTIV AWD")</f>
        <v/>
      </c>
      <c r="B111" s="0" t="s">
        <v>174</v>
      </c>
      <c r="C111" s="0" t="s">
        <v>175</v>
      </c>
      <c r="D111" s="0" t="s">
        <v>175</v>
      </c>
      <c r="E111" s="0" t="inlineStr">
        <is>
          <t xml:space="preserve">Mazda</t>
        </is>
      </c>
      <c r="F111" s="0" t="s">
        <v>17</v>
      </c>
      <c r="G111" s="0" t="s">
        <v>33</v>
      </c>
      <c r="H111" s="5">
        <v>200.584000</v>
      </c>
    </row>
    <row r="112" spans="1:9">
      <c r="A112" s="22" t="str">
        <f>HYPERLINK("https://app.vivvix.com/360/KMI/IntelliDrive/ApplUI/Pages/CreativePages/CustomReportCreativeDetail.aspx?App=23&amp;ReportView=4&amp;Qid=1711279&amp;Row=104&amp;Col=1","apple carplay integration")</f>
        <v/>
      </c>
      <c r="B112" s="0" t="s">
        <v>176</v>
      </c>
      <c r="C112" s="0" t="s">
        <v>177</v>
      </c>
      <c r="D112" s="0" t="s">
        <v>177</v>
      </c>
      <c r="E112" s="0" t="inlineStr">
        <is>
          <t xml:space="preserve">Mazda</t>
        </is>
      </c>
      <c r="F112" s="0" t="s">
        <v>28</v>
      </c>
      <c r="G112" s="0" t="s">
        <v>29</v>
      </c>
      <c r="H112" s="5">
        <v>27056.480000</v>
      </c>
    </row>
    <row r="113" spans="1:9">
      <c r="A113" s="22" t="str">
        <f>HYPERLINK("https://app.vivvix.com/360/KMI/IntelliDrive/ApplUI/Pages/CreativePages/CustomReportCreativeDetail.aspx?App=23&amp;ReportView=4&amp;Qid=1711279&amp;Row=105&amp;Col=1","apple carplay integraton")</f>
        <v/>
      </c>
      <c r="B113" s="0" t="s">
        <v>178</v>
      </c>
      <c r="C113" s="0" t="s">
        <v>179</v>
      </c>
      <c r="D113" s="0" t="s">
        <v>179</v>
      </c>
      <c r="E113" s="0" t="inlineStr">
        <is>
          <t xml:space="preserve">Mazda</t>
        </is>
      </c>
      <c r="F113" s="0" t="s">
        <v>28</v>
      </c>
      <c r="G113" s="0" t="s">
        <v>29</v>
      </c>
      <c r="H113" s="5">
        <v>9688.305000</v>
      </c>
    </row>
    <row r="114" spans="1:9">
      <c r="A114" s="22" t="str">
        <f>HYPERLINK("https://app.vivvix.com/360/KMI/IntelliDrive/ApplUI/Pages/CreativePages/CustomReportCreativeDetail.aspx?App=23&amp;ReportView=4&amp;Qid=1711279&amp;Row=106&amp;Col=1","apple carplay integraton")</f>
        <v/>
      </c>
      <c r="B114" s="0" t="s">
        <v>178</v>
      </c>
      <c r="E114" s="0" t="inlineStr">
        <is>
          <t xml:space="preserve">Mazda</t>
        </is>
      </c>
      <c r="F114" s="0" t="s">
        <v>28</v>
      </c>
      <c r="G114" s="0" t="s">
        <v>29</v>
      </c>
      <c r="H114" s="5">
        <v>99829.785000</v>
      </c>
    </row>
    <row r="115" spans="1:9">
      <c r="A115" s="22" t="str">
        <f>HYPERLINK("https://app.vivvix.com/360/KMI/IntelliDrive/ApplUI/Pages/CreativePages/CustomReportCreativeDetail.aspx?App=23&amp;ReportView=4&amp;Qid=1711279&amp;Row=107&amp;Col=1","apple carplay integraton.")</f>
        <v/>
      </c>
      <c r="B115" s="0" t="s">
        <v>180</v>
      </c>
      <c r="E115" s="0" t="inlineStr">
        <is>
          <t xml:space="preserve">Mazda</t>
        </is>
      </c>
      <c r="F115" s="0" t="s">
        <v>28</v>
      </c>
      <c r="G115" s="0" t="s">
        <v>29</v>
      </c>
      <c r="H115" s="5">
        <v>10.854000</v>
      </c>
    </row>
    <row r="116" spans="1:9">
      <c r="A116" s="22" t="str">
        <f>HYPERLINK("https://app.vivvix.com/360/KMI/IntelliDrive/ApplUI/Pages/CreativePages/CustomReportCreativeDetail.aspx?App=23&amp;ReportView=4&amp;Qid=1711279&amp;Row=108&amp;Col=1","automotive overview")</f>
        <v/>
      </c>
      <c r="B116" s="0" t="s">
        <v>181</v>
      </c>
      <c r="C116" s="0" t="s">
        <v>182</v>
      </c>
      <c r="D116" s="0" t="s">
        <v>182</v>
      </c>
      <c r="E116" s="0" t="inlineStr">
        <is>
          <t xml:space="preserve">Mazda</t>
        </is>
      </c>
      <c r="F116" s="0" t="s">
        <v>28</v>
      </c>
      <c r="G116" s="0" t="s">
        <v>29</v>
      </c>
      <c r="H116" s="5">
        <v>5390.000000</v>
      </c>
    </row>
    <row r="117" spans="1:9">
      <c r="A117" s="22" t="str">
        <f>HYPERLINK("https://app.vivvix.com/360/KMI/IntelliDrive/ApplUI/Pages/CreativePages/CustomReportCreativeDetail.aspx?App=23&amp;ReportView=4&amp;Qid=1711279&amp;Row=109&amp;Col=1","automotive overview")</f>
        <v/>
      </c>
      <c r="B117" s="0" t="s">
        <v>181</v>
      </c>
      <c r="C117" s="0" t="s">
        <v>182</v>
      </c>
      <c r="D117" s="0" t="s">
        <v>182</v>
      </c>
      <c r="E117" s="0" t="inlineStr">
        <is>
          <t xml:space="preserve">Mazda</t>
        </is>
      </c>
      <c r="F117" s="0" t="s">
        <v>28</v>
      </c>
      <c r="G117" s="0" t="s">
        <v>29</v>
      </c>
      <c r="H117" s="5">
        <v>1268.000000</v>
      </c>
    </row>
    <row r="118" spans="1:9">
      <c r="A118" s="22" t="str">
        <f>HYPERLINK("https://app.vivvix.com/360/KMI/IntelliDrive/ApplUI/Pages/CreativePages/CustomReportCreativeDetail.aspx?App=23&amp;ReportView=4&amp;Qid=1711279&amp;Row=110&amp;Col=1","AVAILABE USB-C &amp; WIRELESS CHARGING")</f>
        <v/>
      </c>
      <c r="B118" s="0" t="s">
        <v>183</v>
      </c>
      <c r="C118" s="0" t="s">
        <v>184</v>
      </c>
      <c r="D118" s="0" t="s">
        <v>184</v>
      </c>
      <c r="E118" s="0" t="inlineStr">
        <is>
          <t xml:space="preserve">Mazda</t>
        </is>
      </c>
      <c r="F118" s="0" t="s">
        <v>28</v>
      </c>
      <c r="G118" s="0" t="s">
        <v>29</v>
      </c>
      <c r="H118" s="5">
        <v>31032.775000</v>
      </c>
    </row>
    <row r="119" spans="1:9">
      <c r="A119" s="22" t="str">
        <f>HYPERLINK("https://app.vivvix.com/360/KMI/IntelliDrive/ApplUI/Pages/CreativePages/CustomReportCreativeDetail.aspx?App=23&amp;ReportView=4&amp;Qid=1711279&amp;Row=111&amp;Col=1","AVAILABE USB-C &amp; WIRELESS CHARGING")</f>
        <v/>
      </c>
      <c r="B119" s="0" t="s">
        <v>183</v>
      </c>
      <c r="E119" s="0" t="inlineStr">
        <is>
          <t xml:space="preserve">Mazda</t>
        </is>
      </c>
      <c r="F119" s="0" t="s">
        <v>28</v>
      </c>
      <c r="G119" s="0" t="s">
        <v>29</v>
      </c>
      <c r="H119" s="5">
        <v>16726.963000</v>
      </c>
    </row>
    <row r="120" spans="1:9">
      <c r="A120" s="22" t="str">
        <f>HYPERLINK("https://app.vivvix.com/360/KMI/IntelliDrive/ApplUI/Pages/CreativePages/CustomReportCreativeDetail.aspx?App=23&amp;ReportView=4&amp;Qid=1711279&amp;Row=112&amp;Col=1","AVAILABLE 12 SPEAKER BOSE AUDIO UP")</f>
        <v/>
      </c>
      <c r="B120" s="0" t="s">
        <v>185</v>
      </c>
      <c r="C120" s="0" t="s">
        <v>186</v>
      </c>
      <c r="D120" s="0" t="s">
        <v>186</v>
      </c>
      <c r="E120" s="0" t="inlineStr">
        <is>
          <t xml:space="preserve">Mazda</t>
        </is>
      </c>
      <c r="F120" s="0" t="s">
        <v>21</v>
      </c>
      <c r="G120" s="0" t="s">
        <v>22</v>
      </c>
      <c r="H120" s="5">
        <v>11755.877000</v>
      </c>
    </row>
    <row r="121" spans="1:9">
      <c r="A121" s="22" t="str">
        <f>HYPERLINK("https://app.vivvix.com/360/KMI/IntelliDrive/ApplUI/Pages/CreativePages/CustomReportCreativeDetail.aspx?App=23&amp;ReportView=4&amp;Qid=1711279&amp;Row=113&amp;Col=1","AVAILABLE ADAPTIVE FRONT LIGHTING SYSTEM.")</f>
        <v/>
      </c>
      <c r="B121" s="0" t="s">
        <v>187</v>
      </c>
      <c r="E121" s="0" t="inlineStr">
        <is>
          <t xml:space="preserve">Mazda</t>
        </is>
      </c>
      <c r="F121" s="0" t="s">
        <v>13</v>
      </c>
      <c r="G121" s="0" t="s">
        <v>49</v>
      </c>
      <c r="H121" s="5">
        <v>1033.405000</v>
      </c>
    </row>
    <row r="122" spans="1:9">
      <c r="A122" s="22" t="str">
        <f>HYPERLINK("https://app.vivvix.com/360/KMI/IntelliDrive/ApplUI/Pages/CreativePages/CustomReportCreativeDetail.aspx?App=23&amp;ReportView=4&amp;Qid=1711279&amp;Row=114&amp;Col=1","AVAILABLE ADAPTIVE FRONT LIGHTING SYSTEM.")</f>
        <v/>
      </c>
      <c r="B122" s="0" t="s">
        <v>187</v>
      </c>
      <c r="E122" s="0" t="inlineStr">
        <is>
          <t xml:space="preserve">Mazda</t>
        </is>
      </c>
      <c r="F122" s="0" t="s">
        <v>13</v>
      </c>
      <c r="G122" s="0" t="s">
        <v>49</v>
      </c>
      <c r="H122" s="5">
        <v>964.398000</v>
      </c>
    </row>
    <row r="123" spans="1:9">
      <c r="A123" s="22" t="str">
        <f>HYPERLINK("https://app.vivvix.com/360/KMI/IntelliDrive/ApplUI/Pages/CreativePages/CustomReportCreativeDetail.aspx?App=23&amp;ReportView=4&amp;Qid=1711279&amp;Row=115&amp;Col=1","AVAILABLE NAPPA LEATHER...")</f>
        <v/>
      </c>
      <c r="B123" s="0" t="s">
        <v>188</v>
      </c>
      <c r="E123" s="0" t="inlineStr">
        <is>
          <t xml:space="preserve">Mazda</t>
        </is>
      </c>
      <c r="F123" s="0" t="s">
        <v>28</v>
      </c>
      <c r="G123" s="0" t="s">
        <v>29</v>
      </c>
      <c r="H123" s="5">
        <v>330974.975000</v>
      </c>
    </row>
    <row r="124" spans="1:9">
      <c r="A124" s="22" t="str">
        <f>HYPERLINK("https://app.vivvix.com/360/KMI/IntelliDrive/ApplUI/Pages/CreativePages/CustomReportCreativeDetail.aspx?App=23&amp;ReportView=4&amp;Qid=1711279&amp;Row=116&amp;Col=1","AVAILABLE NAPPA LEATHER...")</f>
        <v/>
      </c>
      <c r="B124" s="0" t="s">
        <v>188</v>
      </c>
      <c r="C124" s="0" t="s">
        <v>189</v>
      </c>
      <c r="D124" s="0" t="s">
        <v>189</v>
      </c>
      <c r="E124" s="0" t="inlineStr">
        <is>
          <t xml:space="preserve">Mazda</t>
        </is>
      </c>
      <c r="F124" s="0" t="s">
        <v>28</v>
      </c>
      <c r="G124" s="0" t="s">
        <v>29</v>
      </c>
      <c r="H124" s="5">
        <v>33610.692000</v>
      </c>
    </row>
    <row r="125" spans="1:9">
      <c r="A125" s="22" t="str">
        <f>HYPERLINK("https://app.vivvix.com/360/KMI/IntelliDrive/ApplUI/Pages/CreativePages/CustomReportCreativeDetail.aspx?App=23&amp;ReportView=4&amp;Qid=1711279&amp;Row=117&amp;Col=1","available now at your Mazda dealer")</f>
        <v/>
      </c>
      <c r="B125" s="0" t="s">
        <v>190</v>
      </c>
      <c r="E125" s="0" t="inlineStr">
        <is>
          <t xml:space="preserve">Mazda</t>
        </is>
      </c>
      <c r="F125" s="0" t="s">
        <v>56</v>
      </c>
      <c r="G125" s="0" t="s">
        <v>57</v>
      </c>
      <c r="H125" s="5">
        <v>2277.288000</v>
      </c>
    </row>
    <row r="126" spans="1:9">
      <c r="A126" s="22" t="str">
        <f>HYPERLINK("https://app.vivvix.com/360/KMI/IntelliDrive/ApplUI/Pages/CreativePages/CustomReportCreativeDetail.aspx?App=23&amp;ReportView=4&amp;Qid=1711279&amp;Row=118&amp;Col=1","Available Panoramic Moonroof")</f>
        <v/>
      </c>
      <c r="B126" s="0" t="s">
        <v>191</v>
      </c>
      <c r="C126" s="0" t="s">
        <v>192</v>
      </c>
      <c r="D126" s="0" t="s">
        <v>192</v>
      </c>
      <c r="E126" s="0" t="inlineStr">
        <is>
          <t xml:space="preserve">Mazda</t>
        </is>
      </c>
      <c r="F126" s="0" t="s">
        <v>13</v>
      </c>
      <c r="G126" s="0" t="s">
        <v>49</v>
      </c>
      <c r="H126" s="5">
        <v>7305.178000</v>
      </c>
    </row>
    <row r="127" spans="1:9">
      <c r="A127" s="22" t="str">
        <f>HYPERLINK("https://app.vivvix.com/360/KMI/IntelliDrive/ApplUI/Pages/CreativePages/CustomReportCreativeDetail.aspx?App=23&amp;ReportView=4&amp;Qid=1711279&amp;Row=119&amp;Col=1","Available Panoramic Moonroof")</f>
        <v/>
      </c>
      <c r="B127" s="0" t="s">
        <v>191</v>
      </c>
      <c r="E127" s="0" t="inlineStr">
        <is>
          <t xml:space="preserve">Mazda</t>
        </is>
      </c>
      <c r="F127" s="0" t="s">
        <v>13</v>
      </c>
      <c r="G127" s="0" t="s">
        <v>49</v>
      </c>
      <c r="H127" s="5">
        <v>9577.819000</v>
      </c>
    </row>
    <row r="128" spans="1:9">
      <c r="A128" s="22" t="str">
        <f>HYPERLINK("https://app.vivvix.com/360/KMI/IntelliDrive/ApplUI/Pages/CreativePages/CustomReportCreativeDetail.aspx?App=23&amp;ReportView=4&amp;Qid=1711279&amp;Row=120&amp;Col=1","Available Panoramic Sunroof")</f>
        <v/>
      </c>
      <c r="B128" s="0" t="s">
        <v>193</v>
      </c>
      <c r="C128" s="0" t="s">
        <v>194</v>
      </c>
      <c r="D128" s="0" t="s">
        <v>194</v>
      </c>
      <c r="E128" s="0" t="inlineStr">
        <is>
          <t xml:space="preserve">Mazda</t>
        </is>
      </c>
      <c r="F128" s="0" t="s">
        <v>13</v>
      </c>
      <c r="G128" s="0" t="s">
        <v>49</v>
      </c>
      <c r="H128" s="5">
        <v>639.525000</v>
      </c>
    </row>
    <row r="129" spans="1:9">
      <c r="A129" s="22" t="str">
        <f>HYPERLINK("https://app.vivvix.com/360/KMI/IntelliDrive/ApplUI/Pages/CreativePages/CustomReportCreativeDetail.aspx?App=23&amp;ReportView=4&amp;Qid=1711279&amp;Row=121&amp;Col=1","AVAILABLE USB-C &amp; WIRELESS CHARGING")</f>
        <v/>
      </c>
      <c r="B129" s="0" t="s">
        <v>195</v>
      </c>
      <c r="E129" s="0" t="inlineStr">
        <is>
          <t xml:space="preserve">Mazda</t>
        </is>
      </c>
      <c r="F129" s="0" t="s">
        <v>28</v>
      </c>
      <c r="G129" s="0" t="s">
        <v>29</v>
      </c>
      <c r="H129" s="5">
        <v>8.029000</v>
      </c>
    </row>
    <row r="130" spans="1:9">
      <c r="A130" s="22" t="str">
        <f>HYPERLINK("https://app.vivvix.com/360/KMI/IntelliDrive/ApplUI/Pages/CreativePages/CustomReportCreativeDetail.aspx?App=23&amp;ReportView=4&amp;Qid=1711279&amp;Row=122&amp;Col=1","Beautiful Red Car With White Indoors")</f>
        <v/>
      </c>
      <c r="B130" s="0" t="s">
        <v>196</v>
      </c>
      <c r="C130" s="0" t="s">
        <v>197</v>
      </c>
      <c r="D130" s="0" t="s">
        <v>197</v>
      </c>
      <c r="E130" s="0" t="inlineStr">
        <is>
          <t xml:space="preserve">Mazda</t>
        </is>
      </c>
      <c r="F130" s="0" t="s">
        <v>56</v>
      </c>
      <c r="G130" s="0" t="s">
        <v>57</v>
      </c>
      <c r="H130" s="5">
        <v>17.050000</v>
      </c>
    </row>
    <row r="131" spans="1:9">
      <c r="A131" s="22" t="str">
        <f>HYPERLINK("https://app.vivvix.com/360/KMI/IntelliDrive/ApplUI/Pages/CreativePages/CustomReportCreativeDetail.aspx?App=23&amp;ReportView=4&amp;Qid=1711279&amp;Row=123&amp;Col=1","Best Car Ever")</f>
        <v/>
      </c>
      <c r="B131" s="0" t="s">
        <v>198</v>
      </c>
      <c r="C131" s="0" t="s">
        <v>199</v>
      </c>
      <c r="D131" s="0" t="s">
        <v>199</v>
      </c>
      <c r="E131" s="0" t="inlineStr">
        <is>
          <t xml:space="preserve">Mazda</t>
        </is>
      </c>
      <c r="F131" s="0" t="s">
        <v>13</v>
      </c>
      <c r="G131" s="0" t="s">
        <v>49</v>
      </c>
      <c r="H131" s="5">
        <v>219526.980000</v>
      </c>
    </row>
    <row r="132" spans="1:9">
      <c r="A132" s="22" t="str">
        <f>HYPERLINK("https://app.vivvix.com/360/KMI/IntelliDrive/ApplUI/Pages/CreativePages/CustomReportCreativeDetail.aspx?App=23&amp;ReportView=4&amp;Qid=1711279&amp;Row=124&amp;Col=1","Best Car Ever")</f>
        <v/>
      </c>
      <c r="B132" s="0" t="s">
        <v>198</v>
      </c>
      <c r="E132" s="0" t="inlineStr">
        <is>
          <t xml:space="preserve">Mazda</t>
        </is>
      </c>
      <c r="F132" s="0" t="s">
        <v>13</v>
      </c>
      <c r="G132" s="0" t="s">
        <v>49</v>
      </c>
      <c r="H132" s="5">
        <v>6348.633000</v>
      </c>
    </row>
    <row r="133" spans="1:9">
      <c r="A133" s="22" t="str">
        <f>HYPERLINK("https://app.vivvix.com/360/KMI/IntelliDrive/ApplUI/Pages/CreativePages/CustomReportCreativeDetail.aspx?App=23&amp;ReportView=4&amp;Qid=1711279&amp;Row=125&amp;Col=1","Best Model")</f>
        <v/>
      </c>
      <c r="B133" s="0" t="s">
        <v>200</v>
      </c>
      <c r="C133" s="0" t="s">
        <v>201</v>
      </c>
      <c r="D133" s="0" t="s">
        <v>201</v>
      </c>
      <c r="E133" s="0" t="inlineStr">
        <is>
          <t xml:space="preserve">Mazda</t>
        </is>
      </c>
      <c r="F133" s="0" t="s">
        <v>17</v>
      </c>
      <c r="G133" s="0" t="s">
        <v>33</v>
      </c>
      <c r="H133" s="5">
        <v>2846.781000</v>
      </c>
    </row>
    <row r="134" spans="1:9">
      <c r="A134" s="22" t="str">
        <f>HYPERLINK("https://app.vivvix.com/360/KMI/IntelliDrive/ApplUI/Pages/CreativePages/CustomReportCreativeDetail.aspx?App=23&amp;ReportView=4&amp;Qid=1711279&amp;Row=126&amp;Col=1","Best Model")</f>
        <v/>
      </c>
      <c r="B134" s="0" t="s">
        <v>200</v>
      </c>
      <c r="E134" s="0" t="inlineStr">
        <is>
          <t xml:space="preserve">Mazda</t>
        </is>
      </c>
      <c r="F134" s="0" t="s">
        <v>17</v>
      </c>
      <c r="G134" s="0" t="s">
        <v>33</v>
      </c>
      <c r="H134" s="5">
        <v>58763.237000</v>
      </c>
    </row>
    <row r="135" spans="1:9">
      <c r="A135" s="22" t="str">
        <f>HYPERLINK("https://app.vivvix.com/360/KMI/IntelliDrive/ApplUI/Pages/CreativePages/CustomReportCreativeDetail.aspx?App=23&amp;ReportView=4&amp;Qid=1711279&amp;Row=127&amp;Col=1","Best Model")</f>
        <v/>
      </c>
      <c r="B135" s="0" t="s">
        <v>202</v>
      </c>
      <c r="C135" s="0" t="s">
        <v>203</v>
      </c>
      <c r="D135" s="0" t="s">
        <v>203</v>
      </c>
      <c r="E135" s="0" t="inlineStr">
        <is>
          <t xml:space="preserve">Mazda</t>
        </is>
      </c>
      <c r="F135" s="0" t="s">
        <v>204</v>
      </c>
      <c r="G135" s="0" t="s">
        <v>205</v>
      </c>
      <c r="H135" s="5">
        <v>192.626000</v>
      </c>
    </row>
    <row r="136" spans="1:9">
      <c r="A136" s="22" t="str">
        <f>HYPERLINK("https://app.vivvix.com/360/KMI/IntelliDrive/ApplUI/Pages/CreativePages/CustomReportCreativeDetail.aspx?App=23&amp;ReportView=4&amp;Qid=1711279&amp;Row=128&amp;Col=1","Best One")</f>
        <v/>
      </c>
      <c r="B136" s="0" t="s">
        <v>206</v>
      </c>
      <c r="C136" s="0" t="s">
        <v>207</v>
      </c>
      <c r="D136" s="0" t="s">
        <v>207</v>
      </c>
      <c r="E136" s="0" t="inlineStr">
        <is>
          <t xml:space="preserve">Mazda</t>
        </is>
      </c>
      <c r="F136" s="0" t="inlineStr">
        <is>
          <t xml:space="preserve">Mazda</t>
        </is>
      </c>
      <c r="G136" s="0" t="s">
        <v>171</v>
      </c>
      <c r="H136" s="5">
        <v>1385.839000</v>
      </c>
    </row>
    <row r="137" spans="1:9">
      <c r="A137" s="22" t="str">
        <f>HYPERLINK("https://app.vivvix.com/360/KMI/IntelliDrive/ApplUI/Pages/CreativePages/CustomReportCreativeDetail.aspx?App=23&amp;ReportView=4&amp;Qid=1711279&amp;Row=129&amp;Col=1","Best One")</f>
        <v/>
      </c>
      <c r="B137" s="0" t="s">
        <v>208</v>
      </c>
      <c r="E137" s="0" t="inlineStr">
        <is>
          <t xml:space="preserve">Mazda</t>
        </is>
      </c>
      <c r="F137" s="0" t="inlineStr">
        <is>
          <t xml:space="preserve">Mazda</t>
        </is>
      </c>
      <c r="G137" s="0" t="s">
        <v>171</v>
      </c>
      <c r="H137" s="5">
        <v>429.417000</v>
      </c>
    </row>
    <row r="138" spans="1:9">
      <c r="A138" s="22" t="str">
        <f>HYPERLINK("https://app.vivvix.com/360/KMI/IntelliDrive/ApplUI/Pages/CreativePages/CustomReportCreativeDetail.aspx?App=23&amp;ReportView=4&amp;Qid=1711279&amp;Row=130&amp;Col=1","Best Retail Brand")</f>
        <v/>
      </c>
      <c r="B138" s="0" t="s">
        <v>209</v>
      </c>
      <c r="E138" s="0" t="inlineStr">
        <is>
          <t xml:space="preserve">Mazda</t>
        </is>
      </c>
      <c r="F138" s="0" t="inlineStr">
        <is>
          <t xml:space="preserve">Mazda</t>
        </is>
      </c>
      <c r="G138" s="0" t="s">
        <v>210</v>
      </c>
      <c r="H138" s="5">
        <v>1907.681000</v>
      </c>
    </row>
    <row r="139" spans="1:9">
      <c r="A139" s="22" t="str">
        <f>HYPERLINK("https://app.vivvix.com/360/KMI/IntelliDrive/ApplUI/Pages/CreativePages/CustomReportCreativeDetail.aspx?App=23&amp;ReportView=4&amp;Qid=1711279&amp;Row=131&amp;Col=1","Best Retail Brand")</f>
        <v/>
      </c>
      <c r="B139" s="0" t="s">
        <v>209</v>
      </c>
      <c r="E139" s="0" t="inlineStr">
        <is>
          <t xml:space="preserve">Mazda</t>
        </is>
      </c>
      <c r="F139" s="0" t="inlineStr">
        <is>
          <t xml:space="preserve">Mazda</t>
        </is>
      </c>
      <c r="G139" s="0" t="s">
        <v>210</v>
      </c>
      <c r="H139" s="5">
        <v>698.464000</v>
      </c>
    </row>
    <row r="140" spans="1:9">
      <c r="A140" s="22" t="str">
        <f>HYPERLINK("https://app.vivvix.com/360/KMI/IntelliDrive/ApplUI/Pages/CreativePages/CustomReportCreativeDetail.aspx?App=23&amp;ReportView=4&amp;Qid=1711279&amp;Row=132&amp;Col=1","Best TurboMax Engine Car")</f>
        <v/>
      </c>
      <c r="B140" s="0" t="s">
        <v>211</v>
      </c>
      <c r="E140" s="0" t="inlineStr">
        <is>
          <t xml:space="preserve">Mazda</t>
        </is>
      </c>
      <c r="F140" s="0" t="s">
        <v>13</v>
      </c>
      <c r="G140" s="0" t="s">
        <v>49</v>
      </c>
      <c r="H140" s="5">
        <v>834.932000</v>
      </c>
    </row>
    <row r="141" spans="1:9">
      <c r="A141" s="22" t="str">
        <f>HYPERLINK("https://app.vivvix.com/360/KMI/IntelliDrive/ApplUI/Pages/CreativePages/CustomReportCreativeDetail.aspx?App=23&amp;ReportView=4&amp;Qid=1711279&amp;Row=133&amp;Col=1","blend of quality &amp; style")</f>
        <v/>
      </c>
      <c r="B141" s="0" t="s">
        <v>212</v>
      </c>
      <c r="C141" s="0" t="s">
        <v>213</v>
      </c>
      <c r="D141" s="0" t="s">
        <v>213</v>
      </c>
      <c r="E141" s="0" t="inlineStr">
        <is>
          <t xml:space="preserve">Mazda</t>
        </is>
      </c>
      <c r="F141" s="0" t="s">
        <v>214</v>
      </c>
      <c r="G141" s="0" t="s">
        <v>215</v>
      </c>
      <c r="H141" s="5">
        <v>26070.009000</v>
      </c>
    </row>
    <row r="142" spans="1:9">
      <c r="A142" s="22" t="str">
        <f>HYPERLINK("https://app.vivvix.com/360/KMI/IntelliDrive/ApplUI/Pages/CreativePages/CustomReportCreativeDetail.aspx?App=23&amp;ReportView=4&amp;Qid=1711279&amp;Row=134&amp;Col=1","blend of quality &amp;amp; style")</f>
        <v/>
      </c>
      <c r="B142" s="0" t="s">
        <v>216</v>
      </c>
      <c r="E142" s="0" t="inlineStr">
        <is>
          <t xml:space="preserve">Mazda</t>
        </is>
      </c>
      <c r="F142" s="0" t="s">
        <v>214</v>
      </c>
      <c r="G142" s="0" t="s">
        <v>215</v>
      </c>
      <c r="H142" s="5">
        <v>9808.488000</v>
      </c>
    </row>
    <row r="143" spans="1:9">
      <c r="A143" s="22" t="str">
        <f>HYPERLINK("https://app.vivvix.com/360/KMI/IntelliDrive/ApplUI/Pages/CreativePages/CustomReportCreativeDetail.aspx?App=23&amp;ReportView=4&amp;Qid=1711279&amp;Row=135&amp;Col=1","Book Yours")</f>
        <v/>
      </c>
      <c r="B143" s="0" t="s">
        <v>217</v>
      </c>
      <c r="E143" s="0" t="inlineStr">
        <is>
          <t xml:space="preserve">Mazda</t>
        </is>
      </c>
      <c r="F143" s="0" t="s">
        <v>21</v>
      </c>
      <c r="G143" s="0" t="s">
        <v>22</v>
      </c>
      <c r="H143" s="5">
        <v>2797.901000</v>
      </c>
    </row>
    <row r="144" spans="1:9">
      <c r="A144" s="22" t="str">
        <f>HYPERLINK("https://app.vivvix.com/360/KMI/IntelliDrive/ApplUI/Pages/CreativePages/CustomReportCreativeDetail.aspx?App=23&amp;ReportView=4&amp;Qid=1711279&amp;Row=136&amp;Col=1","Book Yours")</f>
        <v/>
      </c>
      <c r="B144" s="0" t="s">
        <v>217</v>
      </c>
      <c r="E144" s="0" t="inlineStr">
        <is>
          <t xml:space="preserve">Mazda</t>
        </is>
      </c>
      <c r="F144" s="0" t="s">
        <v>21</v>
      </c>
      <c r="G144" s="0" t="s">
        <v>22</v>
      </c>
      <c r="H144" s="5">
        <v>64328.254000</v>
      </c>
    </row>
    <row r="145" spans="1:9">
      <c r="A145" s="22" t="str">
        <f>HYPERLINK("https://app.vivvix.com/360/KMI/IntelliDrive/ApplUI/Pages/CreativePages/CustomReportCreativeDetail.aspx?App=23&amp;ReportView=4&amp;Qid=1711279&amp;Row=137&amp;Col=1","Build for the Outdoors")</f>
        <v/>
      </c>
      <c r="B145" s="0" t="s">
        <v>218</v>
      </c>
      <c r="C145" s="0" t="s">
        <v>219</v>
      </c>
      <c r="D145" s="0" t="s">
        <v>219</v>
      </c>
      <c r="E145" s="0" t="inlineStr">
        <is>
          <t xml:space="preserve">Mazda</t>
        </is>
      </c>
      <c r="F145" s="0" t="s">
        <v>13</v>
      </c>
      <c r="G145" s="0" t="s">
        <v>49</v>
      </c>
      <c r="H145" s="5">
        <v>27.000000</v>
      </c>
    </row>
    <row r="146" spans="1:9">
      <c r="A146" s="22" t="str">
        <f>HYPERLINK("https://app.vivvix.com/360/KMI/IntelliDrive/ApplUI/Pages/CreativePages/CustomReportCreativeDetail.aspx?App=23&amp;ReportView=4&amp;Qid=1711279&amp;Row=138&amp;Col=1","Build for the Outdoors")</f>
        <v/>
      </c>
      <c r="B146" s="0" t="s">
        <v>220</v>
      </c>
      <c r="C146" s="0" t="s">
        <v>221</v>
      </c>
      <c r="D146" s="0" t="s">
        <v>221</v>
      </c>
      <c r="E146" s="0" t="inlineStr">
        <is>
          <t xml:space="preserve">Mazda</t>
        </is>
      </c>
      <c r="F146" s="0" t="s">
        <v>13</v>
      </c>
      <c r="G146" s="0" t="s">
        <v>49</v>
      </c>
      <c r="H146" s="5">
        <v>2174.000000</v>
      </c>
    </row>
    <row r="147" spans="1:9">
      <c r="A147" s="22" t="str">
        <f>HYPERLINK("https://app.vivvix.com/360/KMI/IntelliDrive/ApplUI/Pages/CreativePages/CustomReportCreativeDetail.aspx?App=23&amp;ReportView=4&amp;Qid=1711279&amp;Row=139&amp;Col=1","Build for the Outdoors")</f>
        <v/>
      </c>
      <c r="B147" s="0" t="s">
        <v>220</v>
      </c>
      <c r="C147" s="0" t="s">
        <v>221</v>
      </c>
      <c r="D147" s="0" t="s">
        <v>221</v>
      </c>
      <c r="E147" s="0" t="inlineStr">
        <is>
          <t xml:space="preserve">Mazda</t>
        </is>
      </c>
      <c r="F147" s="0" t="s">
        <v>13</v>
      </c>
      <c r="G147" s="0" t="s">
        <v>49</v>
      </c>
      <c r="H147" s="5">
        <v>0.000000</v>
      </c>
    </row>
    <row r="148" spans="1:9">
      <c r="A148" s="22" t="str">
        <f>HYPERLINK("https://app.vivvix.com/360/KMI/IntelliDrive/ApplUI/Pages/CreativePages/CustomReportCreativeDetail.aspx?App=23&amp;ReportView=4&amp;Qid=1711279&amp;Row=140&amp;Col=1","Built For The Outdoors")</f>
        <v/>
      </c>
      <c r="B148" s="0" t="s">
        <v>222</v>
      </c>
      <c r="C148" s="0" t="s">
        <v>223</v>
      </c>
      <c r="D148" s="0" t="s">
        <v>223</v>
      </c>
      <c r="E148" s="0" t="inlineStr">
        <is>
          <t xml:space="preserve">Mazda</t>
        </is>
      </c>
      <c r="F148" s="0" t="s">
        <v>13</v>
      </c>
      <c r="G148" s="0" t="s">
        <v>49</v>
      </c>
      <c r="H148" s="5">
        <v>205.503000</v>
      </c>
    </row>
    <row r="149" spans="1:9">
      <c r="A149" s="22" t="str">
        <f>HYPERLINK("https://app.vivvix.com/360/KMI/IntelliDrive/ApplUI/Pages/CreativePages/CustomReportCreativeDetail.aspx?App=23&amp;ReportView=4&amp;Qid=1711279&amp;Row=141&amp;Col=1","Built for the outdoors")</f>
        <v/>
      </c>
      <c r="B149" s="0" t="s">
        <v>224</v>
      </c>
      <c r="C149" s="0" t="s">
        <v>225</v>
      </c>
      <c r="D149" s="0" t="s">
        <v>225</v>
      </c>
      <c r="E149" s="0" t="inlineStr">
        <is>
          <t xml:space="preserve">Mazda</t>
        </is>
      </c>
      <c r="F149" s="0" t="s">
        <v>13</v>
      </c>
      <c r="G149" s="0" t="s">
        <v>49</v>
      </c>
      <c r="H149" s="5">
        <v>118.000000</v>
      </c>
    </row>
    <row r="150" spans="1:9">
      <c r="A150" s="22" t="str">
        <f>HYPERLINK("https://app.vivvix.com/360/KMI/IntelliDrive/ApplUI/Pages/CreativePages/CustomReportCreativeDetail.aspx?App=23&amp;ReportView=4&amp;Qid=1711279&amp;Row=142&amp;Col=1","Buy Now")</f>
        <v/>
      </c>
      <c r="B150" s="0" t="s">
        <v>226</v>
      </c>
      <c r="C150" s="0" t="s">
        <v>227</v>
      </c>
      <c r="D150" s="0" t="s">
        <v>227</v>
      </c>
      <c r="E150" s="0" t="inlineStr">
        <is>
          <t xml:space="preserve">Mazda</t>
        </is>
      </c>
      <c r="F150" s="0" t="inlineStr">
        <is>
          <t xml:space="preserve">Mazda</t>
        </is>
      </c>
      <c r="G150" s="0" t="s">
        <v>210</v>
      </c>
      <c r="H150" s="5">
        <v>9483.540000</v>
      </c>
    </row>
    <row r="151" spans="1:9">
      <c r="A151" s="22" t="str">
        <f>HYPERLINK("https://app.vivvix.com/360/KMI/IntelliDrive/ApplUI/Pages/CreativePages/CustomReportCreativeDetail.aspx?App=23&amp;ReportView=4&amp;Qid=1711279&amp;Row=143&amp;Col=1","Buy Now")</f>
        <v/>
      </c>
      <c r="B151" s="0" t="s">
        <v>226</v>
      </c>
      <c r="E151" s="0" t="inlineStr">
        <is>
          <t xml:space="preserve">Mazda</t>
        </is>
      </c>
      <c r="F151" s="0" t="inlineStr">
        <is>
          <t xml:space="preserve">Mazda</t>
        </is>
      </c>
      <c r="G151" s="0" t="s">
        <v>210</v>
      </c>
      <c r="H151" s="5">
        <v>3403.734000</v>
      </c>
    </row>
    <row r="152" spans="1:9">
      <c r="A152" s="22" t="str">
        <f>HYPERLINK("https://app.vivvix.com/360/KMI/IntelliDrive/ApplUI/Pages/CreativePages/CustomReportCreativeDetail.aspx?App=23&amp;ReportView=4&amp;Qid=1711279&amp;Row=144&amp;Col=1","Capable Of Taking On Unrefined Terrain")</f>
        <v/>
      </c>
      <c r="B152" s="0" t="s">
        <v>228</v>
      </c>
      <c r="C152" s="0" t="s">
        <v>229</v>
      </c>
      <c r="D152" s="0" t="s">
        <v>229</v>
      </c>
      <c r="E152" s="0" t="inlineStr">
        <is>
          <t xml:space="preserve">Mazda</t>
        </is>
      </c>
      <c r="F152" s="0" t="s">
        <v>13</v>
      </c>
      <c r="G152" s="0" t="s">
        <v>49</v>
      </c>
      <c r="H152" s="5">
        <v>3299.279000</v>
      </c>
    </row>
    <row r="153" spans="1:9">
      <c r="A153" s="22" t="str">
        <f>HYPERLINK("https://app.vivvix.com/360/KMI/IntelliDrive/ApplUI/Pages/CreativePages/CustomReportCreativeDetail.aspx?App=23&amp;ReportView=4&amp;Qid=1711279&amp;Row=145&amp;Col=1","Capable Of Taking On Unrefined Terrain .")</f>
        <v/>
      </c>
      <c r="B153" s="0" t="s">
        <v>230</v>
      </c>
      <c r="E153" s="0" t="inlineStr">
        <is>
          <t xml:space="preserve">Mazda</t>
        </is>
      </c>
      <c r="F153" s="0" t="s">
        <v>13</v>
      </c>
      <c r="G153" s="0" t="s">
        <v>49</v>
      </c>
      <c r="H153" s="5">
        <v>1939.497000</v>
      </c>
    </row>
    <row r="154" spans="1:9">
      <c r="A154" s="22" t="str">
        <f>HYPERLINK("https://app.vivvix.com/360/KMI/IntelliDrive/ApplUI/Pages/CreativePages/CustomReportCreativeDetail.aspx?App=23&amp;ReportView=4&amp;Qid=1711279&amp;Row=146&amp;Col=1","Capable Of Taking On Unrefined Terrain .")</f>
        <v/>
      </c>
      <c r="B154" s="0" t="s">
        <v>230</v>
      </c>
      <c r="E154" s="0" t="inlineStr">
        <is>
          <t xml:space="preserve">Mazda</t>
        </is>
      </c>
      <c r="F154" s="0" t="s">
        <v>13</v>
      </c>
      <c r="G154" s="0" t="s">
        <v>49</v>
      </c>
      <c r="H154" s="5">
        <v>773.823000</v>
      </c>
    </row>
    <row r="155" spans="1:9">
      <c r="A155" s="22" t="str">
        <f>HYPERLINK("https://app.vivvix.com/360/KMI/IntelliDrive/ApplUI/Pages/CreativePages/CustomReportCreativeDetail.aspx?App=23&amp;ReportView=4&amp;Qid=1711279&amp;Row=147&amp;Col=1","car and driver compared 8 different suvs")</f>
        <v/>
      </c>
      <c r="B155" s="0" t="s">
        <v>231</v>
      </c>
      <c r="C155" s="0" t="s">
        <v>232</v>
      </c>
      <c r="D155" s="0" t="s">
        <v>232</v>
      </c>
      <c r="E155" s="0" t="inlineStr">
        <is>
          <t xml:space="preserve">Mazda</t>
        </is>
      </c>
      <c r="F155" s="0" t="s">
        <v>13</v>
      </c>
      <c r="G155" s="0" t="s">
        <v>49</v>
      </c>
      <c r="H155" s="5">
        <v>4102.821000</v>
      </c>
    </row>
    <row r="156" spans="1:9">
      <c r="A156" s="22" t="str">
        <f>HYPERLINK("https://app.vivvix.com/360/KMI/IntelliDrive/ApplUI/Pages/CreativePages/CustomReportCreativeDetail.aspx?App=23&amp;ReportView=4&amp;Qid=1711279&amp;Row=148&amp;Col=1","Car is driven through the city")</f>
        <v/>
      </c>
      <c r="B156" s="0" t="s">
        <v>233</v>
      </c>
      <c r="C156" s="0" t="s">
        <v>234</v>
      </c>
      <c r="D156" s="0" t="s">
        <v>234</v>
      </c>
      <c r="E156" s="0" t="inlineStr">
        <is>
          <t xml:space="preserve">Mazda</t>
        </is>
      </c>
      <c r="F156" s="0" t="s">
        <v>28</v>
      </c>
      <c r="G156" s="0" t="s">
        <v>29</v>
      </c>
      <c r="H156" s="5">
        <v>79.308000</v>
      </c>
    </row>
    <row r="157" spans="1:9">
      <c r="A157" s="22" t="str">
        <f>HYPERLINK("https://app.vivvix.com/360/KMI/IntelliDrive/ApplUI/Pages/CreativePages/CustomReportCreativeDetail.aspx?App=23&amp;ReportView=4&amp;Qid=1711279&amp;Row=149&amp;Col=1","Car with Turbo Signature")</f>
        <v/>
      </c>
      <c r="B157" s="0" t="s">
        <v>235</v>
      </c>
      <c r="C157" s="0" t="s">
        <v>236</v>
      </c>
      <c r="D157" s="0" t="s">
        <v>236</v>
      </c>
      <c r="E157" s="0" t="inlineStr">
        <is>
          <t xml:space="preserve">Mazda</t>
        </is>
      </c>
      <c r="F157" s="0" t="s">
        <v>17</v>
      </c>
      <c r="G157" s="0" t="s">
        <v>33</v>
      </c>
      <c r="H157" s="5">
        <v>3581.303000</v>
      </c>
    </row>
    <row r="158" spans="1:9">
      <c r="A158" s="22" t="str">
        <f>HYPERLINK("https://app.vivvix.com/360/KMI/IntelliDrive/ApplUI/Pages/CreativePages/CustomReportCreativeDetail.aspx?App=23&amp;ReportView=4&amp;Qid=1711279&amp;Row=150&amp;Col=1","Car with Turbo Signature")</f>
        <v/>
      </c>
      <c r="B158" s="0" t="s">
        <v>235</v>
      </c>
      <c r="E158" s="0" t="inlineStr">
        <is>
          <t xml:space="preserve">Mazda</t>
        </is>
      </c>
      <c r="F158" s="0" t="s">
        <v>17</v>
      </c>
      <c r="G158" s="0" t="s">
        <v>33</v>
      </c>
      <c r="H158" s="5">
        <v>74385.825000</v>
      </c>
    </row>
    <row r="159" spans="1:9">
      <c r="A159" s="22" t="str">
        <f>HYPERLINK("https://app.vivvix.com/360/KMI/IntelliDrive/ApplUI/Pages/CreativePages/CustomReportCreativeDetail.aspx?App=23&amp;ReportView=4&amp;Qid=1711279&amp;Row=151&amp;Col=1","Carefully Crafted Mazda CX-90")</f>
        <v/>
      </c>
      <c r="B159" s="0" t="s">
        <v>237</v>
      </c>
      <c r="C159" s="0" t="s">
        <v>238</v>
      </c>
      <c r="D159" s="0" t="s">
        <v>238</v>
      </c>
      <c r="E159" s="0" t="inlineStr">
        <is>
          <t xml:space="preserve">Mazda</t>
        </is>
      </c>
      <c r="F159" s="0" t="s">
        <v>28</v>
      </c>
      <c r="G159" s="0" t="s">
        <v>29</v>
      </c>
      <c r="H159" s="5">
        <v>2686.558000</v>
      </c>
    </row>
    <row r="160" spans="1:9">
      <c r="A160" s="22" t="str">
        <f>HYPERLINK("https://app.vivvix.com/360/KMI/IntelliDrive/ApplUI/Pages/CreativePages/CustomReportCreativeDetail.aspx?App=23&amp;ReportView=4&amp;Qid=1711279&amp;Row=152&amp;Col=1","Celebrate The Season Of Giving")</f>
        <v/>
      </c>
      <c r="B160" s="0" t="s">
        <v>239</v>
      </c>
      <c r="C160" s="0" t="s">
        <v>240</v>
      </c>
      <c r="D160" s="0" t="s">
        <v>240</v>
      </c>
      <c r="E160" s="0" t="inlineStr">
        <is>
          <t xml:space="preserve">Mazda</t>
        </is>
      </c>
      <c r="F160" s="0" t="s">
        <v>13</v>
      </c>
      <c r="G160" s="0" t="s">
        <v>49</v>
      </c>
      <c r="H160" s="5">
        <v>112.415000</v>
      </c>
    </row>
    <row r="161" spans="1:9">
      <c r="A161" s="22" t="str">
        <f>HYPERLINK("https://app.vivvix.com/360/KMI/IntelliDrive/ApplUI/Pages/CreativePages/CustomReportCreativeDetail.aspx?App=23&amp;ReportView=4&amp;Qid=1711279&amp;Row=153&amp;Col=1","Check Now")</f>
        <v/>
      </c>
      <c r="B161" s="0" t="s">
        <v>241</v>
      </c>
      <c r="C161" s="0" t="s">
        <v>242</v>
      </c>
      <c r="D161" s="0" t="s">
        <v>242</v>
      </c>
      <c r="E161" s="0" t="inlineStr">
        <is>
          <t xml:space="preserve">Mazda</t>
        </is>
      </c>
      <c r="F161" s="0" t="s">
        <v>13</v>
      </c>
      <c r="G161" s="0" t="s">
        <v>49</v>
      </c>
      <c r="H161" s="5">
        <v>34.746000</v>
      </c>
    </row>
    <row r="162" spans="1:9">
      <c r="A162" s="22" t="str">
        <f>HYPERLINK("https://app.vivvix.com/360/KMI/IntelliDrive/ApplUI/Pages/CreativePages/CustomReportCreativeDetail.aspx?App=23&amp;ReportView=4&amp;Qid=1711279&amp;Row=154&amp;Col=1","Check Now")</f>
        <v/>
      </c>
      <c r="B162" s="0" t="s">
        <v>243</v>
      </c>
      <c r="E162" s="0" t="inlineStr">
        <is>
          <t xml:space="preserve">Mazda</t>
        </is>
      </c>
      <c r="F162" s="0" t="s">
        <v>204</v>
      </c>
      <c r="G162" s="0" t="s">
        <v>205</v>
      </c>
      <c r="H162" s="5">
        <v>2676.726000</v>
      </c>
    </row>
    <row r="163" spans="1:9">
      <c r="A163" s="22" t="str">
        <f>HYPERLINK("https://app.vivvix.com/360/KMI/IntelliDrive/ApplUI/Pages/CreativePages/CustomReportCreativeDetail.aspx?App=23&amp;ReportView=4&amp;Qid=1711279&amp;Row=155&amp;Col=1","Choose Your Calling")</f>
        <v/>
      </c>
      <c r="B163" s="0" t="s">
        <v>244</v>
      </c>
      <c r="E163" s="0" t="inlineStr">
        <is>
          <t xml:space="preserve">Mazda</t>
        </is>
      </c>
      <c r="F163" s="0" t="inlineStr">
        <is>
          <t xml:space="preserve">Mazda</t>
        </is>
      </c>
      <c r="G163" s="0" t="s">
        <v>210</v>
      </c>
      <c r="H163" s="5">
        <v>1005622.000000</v>
      </c>
    </row>
    <row r="164" spans="1:9">
      <c r="A164" s="22" t="str">
        <f>HYPERLINK("https://app.vivvix.com/360/KMI/IntelliDrive/ApplUI/Pages/CreativePages/CustomReportCreativeDetail.aspx?App=23&amp;ReportView=4&amp;Qid=1711279&amp;Row=156&amp;Col=1","Choose Your Calling")</f>
        <v/>
      </c>
      <c r="B164" s="0" t="s">
        <v>244</v>
      </c>
      <c r="E164" s="0" t="inlineStr">
        <is>
          <t xml:space="preserve">Mazda</t>
        </is>
      </c>
      <c r="F164" s="0" t="inlineStr">
        <is>
          <t xml:space="preserve">Mazda</t>
        </is>
      </c>
      <c r="G164" s="0" t="s">
        <v>210</v>
      </c>
      <c r="H164" s="5">
        <v>4157317.000000</v>
      </c>
    </row>
    <row r="165" spans="1:9">
      <c r="A165" s="22" t="str">
        <f>HYPERLINK("https://app.vivvix.com/360/KMI/IntelliDrive/ApplUI/Pages/CreativePages/CustomReportCreativeDetail.aspx?App=23&amp;ReportView=4&amp;Qid=1711279&amp;Row=157&amp;Col=1","Choose Your Calling")</f>
        <v/>
      </c>
      <c r="B165" s="0" t="s">
        <v>244</v>
      </c>
      <c r="E165" s="0" t="inlineStr">
        <is>
          <t xml:space="preserve">Mazda</t>
        </is>
      </c>
      <c r="F165" s="0" t="inlineStr">
        <is>
          <t xml:space="preserve">Mazda</t>
        </is>
      </c>
      <c r="G165" s="0" t="s">
        <v>210</v>
      </c>
      <c r="H165" s="5">
        <v>4561048.000000</v>
      </c>
    </row>
    <row r="166" spans="1:9">
      <c r="A166" s="22" t="str">
        <f>HYPERLINK("https://app.vivvix.com/360/KMI/IntelliDrive/ApplUI/Pages/CreativePages/CustomReportCreativeDetail.aspx?App=23&amp;ReportView=4&amp;Qid=1711279&amp;Row=158&amp;Col=1","Choose Your Own Road")</f>
        <v/>
      </c>
      <c r="B166" s="0" t="s">
        <v>245</v>
      </c>
      <c r="C166" s="0" t="s">
        <v>246</v>
      </c>
      <c r="D166" s="0" t="s">
        <v>246</v>
      </c>
      <c r="E166" s="0" t="inlineStr">
        <is>
          <t xml:space="preserve">Mazda</t>
        </is>
      </c>
      <c r="F166" s="0" t="inlineStr">
        <is>
          <t xml:space="preserve">Mazda</t>
        </is>
      </c>
      <c r="G166" s="0" t="s">
        <v>210</v>
      </c>
      <c r="H166" s="5">
        <v>5866.945000</v>
      </c>
    </row>
    <row r="167" spans="1:9">
      <c r="A167" s="22" t="str">
        <f>HYPERLINK("https://app.vivvix.com/360/KMI/IntelliDrive/ApplUI/Pages/CreativePages/CustomReportCreativeDetail.aspx?App=23&amp;ReportView=4&amp;Qid=1711279&amp;Row=159&amp;Col=1","Climb High with Mazda")</f>
        <v/>
      </c>
      <c r="B167" s="0" t="s">
        <v>247</v>
      </c>
      <c r="C167" s="0" t="s">
        <v>248</v>
      </c>
      <c r="D167" s="0" t="s">
        <v>248</v>
      </c>
      <c r="E167" s="0" t="inlineStr">
        <is>
          <t xml:space="preserve">Mazda</t>
        </is>
      </c>
      <c r="F167" s="0" t="s">
        <v>13</v>
      </c>
      <c r="G167" s="0" t="s">
        <v>49</v>
      </c>
      <c r="H167" s="5">
        <v>7019.801000</v>
      </c>
    </row>
    <row r="168" spans="1:9">
      <c r="A168" s="22" t="str">
        <f>HYPERLINK("https://app.vivvix.com/360/KMI/IntelliDrive/ApplUI/Pages/CreativePages/CustomReportCreativeDetail.aspx?App=23&amp;ReportView=4&amp;Qid=1711279&amp;Row=160&amp;Col=1","Climb High with Mazda")</f>
        <v/>
      </c>
      <c r="B168" s="0" t="s">
        <v>247</v>
      </c>
      <c r="E168" s="0" t="inlineStr">
        <is>
          <t xml:space="preserve">Mazda</t>
        </is>
      </c>
      <c r="F168" s="0" t="s">
        <v>13</v>
      </c>
      <c r="G168" s="0" t="s">
        <v>49</v>
      </c>
      <c r="H168" s="5">
        <v>29682.806000</v>
      </c>
    </row>
    <row r="169" spans="1:9">
      <c r="A169" s="22" t="str">
        <f>HYPERLINK("https://app.vivvix.com/360/KMI/IntelliDrive/ApplUI/Pages/CreativePages/CustomReportCreativeDetail.aspx?App=23&amp;ReportView=4&amp;Qid=1711279&amp;Row=161&amp;Col=1","Comfort And Adventure In One Drive")</f>
        <v/>
      </c>
      <c r="B169" s="0" t="s">
        <v>249</v>
      </c>
      <c r="C169" s="0" t="s">
        <v>250</v>
      </c>
      <c r="D169" s="0" t="s">
        <v>134</v>
      </c>
      <c r="E169" s="0" t="inlineStr">
        <is>
          <t xml:space="preserve">Mazda</t>
        </is>
      </c>
      <c r="F169" s="0" t="s">
        <v>28</v>
      </c>
      <c r="G169" s="0" t="s">
        <v>135</v>
      </c>
      <c r="H169" s="5">
        <v>695.525000</v>
      </c>
    </row>
    <row r="170" spans="1:9">
      <c r="A170" s="22" t="str">
        <f>HYPERLINK("https://app.vivvix.com/360/KMI/IntelliDrive/ApplUI/Pages/CreativePages/CustomReportCreativeDetail.aspx?App=23&amp;ReportView=4&amp;Qid=1711279&amp;Row=162&amp;Col=1","confidence in every drive")</f>
        <v/>
      </c>
      <c r="B170" s="0" t="s">
        <v>251</v>
      </c>
      <c r="C170" s="0" t="s">
        <v>79</v>
      </c>
      <c r="D170" s="0" t="s">
        <v>79</v>
      </c>
      <c r="E170" s="0" t="inlineStr">
        <is>
          <t xml:space="preserve">Mazda</t>
        </is>
      </c>
      <c r="F170" s="0" t="s">
        <v>28</v>
      </c>
      <c r="G170" s="0" t="s">
        <v>29</v>
      </c>
      <c r="H170" s="5">
        <v>361.292000</v>
      </c>
    </row>
    <row r="171" spans="1:9">
      <c r="A171" s="22" t="str">
        <f>HYPERLINK("https://app.vivvix.com/360/KMI/IntelliDrive/ApplUI/Pages/CreativePages/CustomReportCreativeDetail.aspx?App=23&amp;ReportView=4&amp;Qid=1711279&amp;Row=163&amp;Col=1","Conquer The Journey With Mazda")</f>
        <v/>
      </c>
      <c r="B171" s="0" t="s">
        <v>252</v>
      </c>
      <c r="C171" s="0" t="s">
        <v>253</v>
      </c>
      <c r="D171" s="0" t="s">
        <v>253</v>
      </c>
      <c r="E171" s="0" t="inlineStr">
        <is>
          <t xml:space="preserve">Mazda</t>
        </is>
      </c>
      <c r="F171" s="0" t="s">
        <v>13</v>
      </c>
      <c r="G171" s="0" t="s">
        <v>49</v>
      </c>
      <c r="H171" s="5">
        <v>636.406000</v>
      </c>
    </row>
    <row r="172" spans="1:9">
      <c r="A172" s="22" t="str">
        <f>HYPERLINK("https://app.vivvix.com/360/KMI/IntelliDrive/ApplUI/Pages/CreativePages/CustomReportCreativeDetail.aspx?App=23&amp;ReportView=4&amp;Qid=1711279&amp;Row=164&amp;Col=1","Conquer winter")</f>
        <v/>
      </c>
      <c r="B172" s="0" t="s">
        <v>254</v>
      </c>
      <c r="C172" s="0" t="s">
        <v>255</v>
      </c>
      <c r="D172" s="0" t="s">
        <v>255</v>
      </c>
      <c r="E172" s="0" t="inlineStr">
        <is>
          <t xml:space="preserve">Mazda</t>
        </is>
      </c>
      <c r="F172" s="0" t="s">
        <v>56</v>
      </c>
      <c r="G172" s="0" t="s">
        <v>57</v>
      </c>
      <c r="H172" s="5">
        <v>186.204000</v>
      </c>
    </row>
    <row r="173" spans="1:9">
      <c r="A173" s="0" t="s">
        <v>256</v>
      </c>
      <c r="E173" s="0" t="inlineStr">
        <is>
          <t xml:space="preserve">Mazda</t>
        </is>
      </c>
      <c r="F173" s="0" t="inlineStr">
        <is>
          <t xml:space="preserve">Mazda</t>
        </is>
      </c>
      <c r="G173" s="0" t="s">
        <v>210</v>
      </c>
      <c r="H173" s="5">
        <v>21550.000000</v>
      </c>
    </row>
    <row r="174" spans="1:9">
      <c r="A174" s="22" t="str">
        <f>HYPERLINK("https://app.vivvix.com/360/KMI/IntelliDrive/ApplUI/Pages/CreativePages/CustomReportCreativeDetail.aspx?App=23&amp;ReportView=4&amp;Qid=1711279&amp;Row=166&amp;Col=1","cUSTOMER CASH ... 15 SEC")</f>
        <v/>
      </c>
      <c r="B174" s="0" t="s">
        <v>257</v>
      </c>
      <c r="C174" s="0" t="s">
        <v>258</v>
      </c>
      <c r="D174" s="0" t="s">
        <v>258</v>
      </c>
      <c r="E174" s="0" t="inlineStr">
        <is>
          <t xml:space="preserve">Mazda</t>
        </is>
      </c>
      <c r="F174" s="0" t="s">
        <v>13</v>
      </c>
      <c r="G174" s="0" t="s">
        <v>49</v>
      </c>
      <c r="H174" s="5">
        <v>31.779000</v>
      </c>
    </row>
    <row r="175" spans="1:9">
      <c r="A175" s="22" t="str">
        <f>HYPERLINK("https://app.vivvix.com/360/KMI/IntelliDrive/ApplUI/Pages/CreativePages/CustomReportCreativeDetail.aspx?App=23&amp;ReportView=4&amp;Qid=1711279&amp;Row=167&amp;Col=1","Depress brake pedal to start vehicle 15 sec")</f>
        <v/>
      </c>
      <c r="B175" s="0" t="s">
        <v>259</v>
      </c>
      <c r="C175" s="0" t="s">
        <v>260</v>
      </c>
      <c r="D175" s="0" t="s">
        <v>260</v>
      </c>
      <c r="E175" s="0" t="inlineStr">
        <is>
          <t xml:space="preserve">Mazda</t>
        </is>
      </c>
      <c r="F175" s="0" t="s">
        <v>28</v>
      </c>
      <c r="G175" s="0" t="s">
        <v>29</v>
      </c>
      <c r="H175" s="5">
        <v>7953.692000</v>
      </c>
    </row>
    <row r="176" spans="1:9">
      <c r="A176" s="22" t="str">
        <f>HYPERLINK("https://app.vivvix.com/360/KMI/IntelliDrive/ApplUI/Pages/CreativePages/CustomReportCreativeDetail.aspx?App=23&amp;ReportView=4&amp;Qid=1711279&amp;Row=168&amp;Col=1","Depress brake pedal to start vehicle 15 sec")</f>
        <v/>
      </c>
      <c r="B176" s="0" t="s">
        <v>259</v>
      </c>
      <c r="E176" s="0" t="inlineStr">
        <is>
          <t xml:space="preserve">Mazda</t>
        </is>
      </c>
      <c r="F176" s="0" t="s">
        <v>28</v>
      </c>
      <c r="G176" s="0" t="s">
        <v>29</v>
      </c>
      <c r="H176" s="5">
        <v>345105.928000</v>
      </c>
    </row>
    <row r="177" spans="1:9">
      <c r="A177" s="22" t="str">
        <f>HYPERLINK("https://app.vivvix.com/360/KMI/IntelliDrive/ApplUI/Pages/CreativePages/CustomReportCreativeDetail.aspx?App=23&amp;ReportView=4&amp;Qid=1711279&amp;Row=169&amp;Col=1","Discover The Thrill Of Driving")</f>
        <v/>
      </c>
      <c r="B177" s="0" t="s">
        <v>261</v>
      </c>
      <c r="C177" s="0" t="s">
        <v>262</v>
      </c>
      <c r="D177" s="0" t="s">
        <v>262</v>
      </c>
      <c r="E177" s="0" t="inlineStr">
        <is>
          <t xml:space="preserve">Mazda</t>
        </is>
      </c>
      <c r="F177" s="0" t="s">
        <v>13</v>
      </c>
      <c r="G177" s="0" t="s">
        <v>49</v>
      </c>
      <c r="H177" s="5">
        <v>2395.591000</v>
      </c>
    </row>
    <row r="178" spans="1:9">
      <c r="A178" s="22" t="str">
        <f>HYPERLINK("https://app.vivvix.com/360/KMI/IntelliDrive/ApplUI/Pages/CreativePages/CustomReportCreativeDetail.aspx?App=23&amp;ReportView=4&amp;Qid=1711279&amp;Row=170&amp;Col=1","Do It")</f>
        <v/>
      </c>
      <c r="B178" s="0" t="s">
        <v>263</v>
      </c>
      <c r="E178" s="0" t="inlineStr">
        <is>
          <t xml:space="preserve">Mazda</t>
        </is>
      </c>
      <c r="F178" s="0" t="inlineStr">
        <is>
          <t xml:space="preserve">Mazda</t>
        </is>
      </c>
      <c r="G178" s="0" t="s">
        <v>171</v>
      </c>
      <c r="H178" s="5">
        <v>230.355000</v>
      </c>
    </row>
    <row r="179" spans="1:9">
      <c r="A179" s="22" t="str">
        <f>HYPERLINK("https://app.vivvix.com/360/KMI/IntelliDrive/ApplUI/Pages/CreativePages/CustomReportCreativeDetail.aspx?App=23&amp;ReportView=4&amp;Qid=1711279&amp;Row=171&amp;Col=1","Do It")</f>
        <v/>
      </c>
      <c r="B179" s="0" t="s">
        <v>263</v>
      </c>
      <c r="E179" s="0" t="inlineStr">
        <is>
          <t xml:space="preserve">Mazda</t>
        </is>
      </c>
      <c r="F179" s="0" t="inlineStr">
        <is>
          <t xml:space="preserve">Mazda</t>
        </is>
      </c>
      <c r="G179" s="0" t="s">
        <v>171</v>
      </c>
      <c r="H179" s="5">
        <v>1891.908000</v>
      </c>
    </row>
    <row r="180" spans="1:9">
      <c r="A180" s="22" t="str">
        <f>HYPERLINK("https://app.vivvix.com/360/KMI/IntelliDrive/ApplUI/Pages/CreativePages/CustomReportCreativeDetail.aspx?App=23&amp;ReportView=4&amp;Qid=1711279&amp;Row=172&amp;Col=1","domestic truck with a trailer")</f>
        <v/>
      </c>
      <c r="B180" s="0" t="s">
        <v>264</v>
      </c>
      <c r="C180" s="0" t="s">
        <v>265</v>
      </c>
      <c r="D180" s="0" t="s">
        <v>265</v>
      </c>
      <c r="E180" s="0" t="inlineStr">
        <is>
          <t xml:space="preserve">Mazda</t>
        </is>
      </c>
      <c r="F180" s="0" t="s">
        <v>28</v>
      </c>
      <c r="G180" s="0" t="s">
        <v>29</v>
      </c>
      <c r="H180" s="5">
        <v>44.060000</v>
      </c>
    </row>
    <row r="181" spans="1:9">
      <c r="A181" s="22" t="str">
        <f>HYPERLINK("https://app.vivvix.com/360/KMI/IntelliDrive/ApplUI/Pages/CreativePages/CustomReportCreativeDetail.aspx?App=23&amp;ReportView=4&amp;Qid=1711279&amp;Row=173&amp;Col=1","Drive Best")</f>
        <v/>
      </c>
      <c r="B181" s="0" t="s">
        <v>266</v>
      </c>
      <c r="C181" s="0" t="s">
        <v>267</v>
      </c>
      <c r="D181" s="0" t="s">
        <v>267</v>
      </c>
      <c r="E181" s="0" t="inlineStr">
        <is>
          <t xml:space="preserve">Mazda</t>
        </is>
      </c>
      <c r="F181" s="0" t="s">
        <v>13</v>
      </c>
      <c r="G181" s="0" t="s">
        <v>49</v>
      </c>
      <c r="H181" s="5">
        <v>27649.585000</v>
      </c>
    </row>
    <row r="182" spans="1:9">
      <c r="A182" s="22" t="str">
        <f>HYPERLINK("https://app.vivvix.com/360/KMI/IntelliDrive/ApplUI/Pages/CreativePages/CustomReportCreativeDetail.aspx?App=23&amp;ReportView=4&amp;Qid=1711279&amp;Row=174&amp;Col=1","Drive Best")</f>
        <v/>
      </c>
      <c r="B182" s="0" t="s">
        <v>266</v>
      </c>
      <c r="E182" s="0" t="inlineStr">
        <is>
          <t xml:space="preserve">Mazda</t>
        </is>
      </c>
      <c r="F182" s="0" t="s">
        <v>13</v>
      </c>
      <c r="G182" s="0" t="s">
        <v>49</v>
      </c>
      <c r="H182" s="5">
        <v>14986.284000</v>
      </c>
    </row>
    <row r="183" spans="1:9">
      <c r="A183" s="22" t="str">
        <f>HYPERLINK("https://app.vivvix.com/360/KMI/IntelliDrive/ApplUI/Pages/CreativePages/CustomReportCreativeDetail.aspx?App=23&amp;ReportView=4&amp;Qid=1711279&amp;Row=175&amp;Col=1","Drive Best")</f>
        <v/>
      </c>
      <c r="B183" s="0" t="s">
        <v>268</v>
      </c>
      <c r="E183" s="0" t="inlineStr">
        <is>
          <t xml:space="preserve">Mazda</t>
        </is>
      </c>
      <c r="F183" s="0" t="inlineStr">
        <is>
          <t xml:space="preserve">Mazda</t>
        </is>
      </c>
      <c r="G183" s="0" t="s">
        <v>171</v>
      </c>
      <c r="H183" s="5">
        <v>6484.350000</v>
      </c>
    </row>
    <row r="184" spans="1:9">
      <c r="A184" s="22" t="str">
        <f>HYPERLINK("https://app.vivvix.com/360/KMI/IntelliDrive/ApplUI/Pages/CreativePages/CustomReportCreativeDetail.aspx?App=23&amp;ReportView=4&amp;Qid=1711279&amp;Row=176&amp;Col=1","Drive Freely With Spacious Cargo")</f>
        <v/>
      </c>
      <c r="B184" s="0" t="s">
        <v>269</v>
      </c>
      <c r="C184" s="0" t="s">
        <v>270</v>
      </c>
      <c r="D184" s="0" t="s">
        <v>270</v>
      </c>
      <c r="E184" s="0" t="inlineStr">
        <is>
          <t xml:space="preserve">Mazda</t>
        </is>
      </c>
      <c r="F184" s="0" t="s">
        <v>13</v>
      </c>
      <c r="G184" s="0" t="s">
        <v>49</v>
      </c>
      <c r="H184" s="5">
        <v>81.452000</v>
      </c>
    </row>
    <row r="185" spans="1:9">
      <c r="A185" s="22" t="str">
        <f>HYPERLINK("https://app.vivvix.com/360/KMI/IntelliDrive/ApplUI/Pages/CreativePages/CustomReportCreativeDetail.aspx?App=23&amp;ReportView=4&amp;Qid=1711279&amp;Row=177&amp;Col=1","Drive More")</f>
        <v/>
      </c>
      <c r="B185" s="0" t="s">
        <v>271</v>
      </c>
      <c r="E185" s="0" t="inlineStr">
        <is>
          <t xml:space="preserve">Mazda</t>
        </is>
      </c>
      <c r="F185" s="0" t="inlineStr">
        <is>
          <t xml:space="preserve">Mazda</t>
        </is>
      </c>
      <c r="G185" s="0" t="s">
        <v>210</v>
      </c>
      <c r="H185" s="5">
        <v>3763.650000</v>
      </c>
    </row>
    <row r="186" spans="1:9">
      <c r="A186" s="22" t="str">
        <f>HYPERLINK("https://app.vivvix.com/360/KMI/IntelliDrive/ApplUI/Pages/CreativePages/CustomReportCreativeDetail.aspx?App=23&amp;ReportView=4&amp;Qid=1711279&amp;Row=178&amp;Col=1","Drive More")</f>
        <v/>
      </c>
      <c r="B186" s="0" t="s">
        <v>272</v>
      </c>
      <c r="E186" s="0" t="inlineStr">
        <is>
          <t xml:space="preserve">Mazda</t>
        </is>
      </c>
      <c r="F186" s="0" t="inlineStr">
        <is>
          <t xml:space="preserve">Mazda</t>
        </is>
      </c>
      <c r="G186" s="0" t="s">
        <v>171</v>
      </c>
      <c r="H186" s="5">
        <v>10.689000</v>
      </c>
    </row>
    <row r="187" spans="1:9">
      <c r="A187" s="22" t="str">
        <f>HYPERLINK("https://app.vivvix.com/360/KMI/IntelliDrive/ApplUI/Pages/CreativePages/CustomReportCreativeDetail.aspx?App=23&amp;ReportView=4&amp;Qid=1711279&amp;Row=179&amp;Col=1","Drive Now")</f>
        <v/>
      </c>
      <c r="B187" s="0" t="s">
        <v>273</v>
      </c>
      <c r="E187" s="0" t="inlineStr">
        <is>
          <t xml:space="preserve">Mazda</t>
        </is>
      </c>
      <c r="F187" s="0" t="s">
        <v>204</v>
      </c>
      <c r="G187" s="0" t="s">
        <v>205</v>
      </c>
      <c r="H187" s="5">
        <v>1002.724000</v>
      </c>
    </row>
    <row r="188" spans="1:9">
      <c r="A188" s="22" t="str">
        <f>HYPERLINK("https://app.vivvix.com/360/KMI/IntelliDrive/ApplUI/Pages/CreativePages/CustomReportCreativeDetail.aspx?App=23&amp;ReportView=4&amp;Qid=1711279&amp;Row=180&amp;Col=1","Drive Now")</f>
        <v/>
      </c>
      <c r="B188" s="0" t="s">
        <v>274</v>
      </c>
      <c r="E188" s="0" t="inlineStr">
        <is>
          <t xml:space="preserve">Mazda</t>
        </is>
      </c>
      <c r="F188" s="0" t="inlineStr">
        <is>
          <t xml:space="preserve">Mazda</t>
        </is>
      </c>
      <c r="G188" s="0" t="s">
        <v>171</v>
      </c>
      <c r="H188" s="5">
        <v>1130.080000</v>
      </c>
    </row>
    <row r="189" spans="1:9">
      <c r="A189" s="22" t="str">
        <f>HYPERLINK("https://app.vivvix.com/360/KMI/IntelliDrive/ApplUI/Pages/CreativePages/CustomReportCreativeDetail.aspx?App=23&amp;ReportView=4&amp;Qid=1711279&amp;Row=181&amp;Col=1","Drive Safe")</f>
        <v/>
      </c>
      <c r="B189" s="0" t="s">
        <v>275</v>
      </c>
      <c r="C189" s="0" t="s">
        <v>276</v>
      </c>
      <c r="D189" s="0" t="s">
        <v>276</v>
      </c>
      <c r="E189" s="0" t="inlineStr">
        <is>
          <t xml:space="preserve">Mazda</t>
        </is>
      </c>
      <c r="F189" s="0" t="s">
        <v>13</v>
      </c>
      <c r="G189" s="0" t="s">
        <v>49</v>
      </c>
      <c r="H189" s="5">
        <v>6.113000</v>
      </c>
    </row>
    <row r="190" spans="1:9">
      <c r="A190" s="22" t="str">
        <f>HYPERLINK("https://app.vivvix.com/360/KMI/IntelliDrive/ApplUI/Pages/CreativePages/CustomReportCreativeDetail.aspx?App=23&amp;ReportView=4&amp;Qid=1711279&amp;Row=182&amp;Col=1","Drive Safe")</f>
        <v/>
      </c>
      <c r="B190" s="0" t="s">
        <v>277</v>
      </c>
      <c r="C190" s="0" t="s">
        <v>278</v>
      </c>
      <c r="D190" s="0" t="s">
        <v>278</v>
      </c>
      <c r="E190" s="0" t="inlineStr">
        <is>
          <t xml:space="preserve">Mazda</t>
        </is>
      </c>
      <c r="F190" s="0" t="s">
        <v>13</v>
      </c>
      <c r="G190" s="0" t="s">
        <v>49</v>
      </c>
      <c r="H190" s="5">
        <v>503.623000</v>
      </c>
    </row>
    <row r="191" spans="1:9">
      <c r="A191" s="22" t="str">
        <f>HYPERLINK("https://app.vivvix.com/360/KMI/IntelliDrive/ApplUI/Pages/CreativePages/CustomReportCreativeDetail.aspx?App=23&amp;ReportView=4&amp;Qid=1711279&amp;Row=183&amp;Col=1","Drive Safe")</f>
        <v/>
      </c>
      <c r="B191" s="0" t="s">
        <v>279</v>
      </c>
      <c r="E191" s="0" t="inlineStr">
        <is>
          <t xml:space="preserve">Mazda</t>
        </is>
      </c>
      <c r="F191" s="0" t="s">
        <v>13</v>
      </c>
      <c r="G191" s="0" t="s">
        <v>49</v>
      </c>
      <c r="H191" s="5">
        <v>123.000000</v>
      </c>
    </row>
    <row r="192" spans="1:9">
      <c r="A192" s="22" t="str">
        <f>HYPERLINK("https://app.vivvix.com/360/KMI/IntelliDrive/ApplUI/Pages/CreativePages/CustomReportCreativeDetail.aspx?App=23&amp;ReportView=4&amp;Qid=1711279&amp;Row=184&amp;Col=1","Drive Safe")</f>
        <v/>
      </c>
      <c r="B192" s="0" t="s">
        <v>280</v>
      </c>
      <c r="E192" s="0" t="inlineStr">
        <is>
          <t xml:space="preserve">Mazda</t>
        </is>
      </c>
      <c r="F192" s="0" t="s">
        <v>204</v>
      </c>
      <c r="G192" s="0" t="s">
        <v>205</v>
      </c>
      <c r="H192" s="5">
        <v>213.744000</v>
      </c>
    </row>
    <row r="193" spans="1:9">
      <c r="A193" s="22" t="str">
        <f>HYPERLINK("https://app.vivvix.com/360/KMI/IntelliDrive/ApplUI/Pages/CreativePages/CustomReportCreativeDetail.aspx?App=23&amp;ReportView=4&amp;Qid=1711279&amp;Row=185&amp;Col=1","Drive Safe")</f>
        <v/>
      </c>
      <c r="B193" s="0" t="s">
        <v>281</v>
      </c>
      <c r="E193" s="0" t="inlineStr">
        <is>
          <t xml:space="preserve">Mazda</t>
        </is>
      </c>
      <c r="F193" s="0" t="inlineStr">
        <is>
          <t xml:space="preserve">Mazda</t>
        </is>
      </c>
      <c r="G193" s="0" t="s">
        <v>171</v>
      </c>
      <c r="H193" s="5">
        <v>39211.715000</v>
      </c>
    </row>
    <row r="194" spans="1:9">
      <c r="A194" s="22" t="str">
        <f>HYPERLINK("https://app.vivvix.com/360/KMI/IntelliDrive/ApplUI/Pages/CreativePages/CustomReportCreativeDetail.aspx?App=23&amp;ReportView=4&amp;Qid=1711279&amp;Row=186&amp;Col=1","Drive Safe")</f>
        <v/>
      </c>
      <c r="B194" s="0" t="s">
        <v>282</v>
      </c>
      <c r="E194" s="0" t="inlineStr">
        <is>
          <t xml:space="preserve">Mazda</t>
        </is>
      </c>
      <c r="F194" s="0" t="s">
        <v>204</v>
      </c>
      <c r="G194" s="0" t="s">
        <v>205</v>
      </c>
      <c r="H194" s="5">
        <v>1957.523000</v>
      </c>
    </row>
    <row r="195" spans="1:9">
      <c r="A195" s="22" t="str">
        <f>HYPERLINK("https://app.vivvix.com/360/KMI/IntelliDrive/ApplUI/Pages/CreativePages/CustomReportCreativeDetail.aspx?App=23&amp;ReportView=4&amp;Qid=1711279&amp;Row=187&amp;Col=1","Drive Safe")</f>
        <v/>
      </c>
      <c r="B195" s="0" t="s">
        <v>283</v>
      </c>
      <c r="E195" s="0" t="inlineStr">
        <is>
          <t xml:space="preserve">Mazda</t>
        </is>
      </c>
      <c r="F195" s="0" t="s">
        <v>204</v>
      </c>
      <c r="G195" s="0" t="s">
        <v>205</v>
      </c>
      <c r="H195" s="5">
        <v>69.341000</v>
      </c>
    </row>
    <row r="196" spans="1:9">
      <c r="A196" s="22" t="str">
        <f>HYPERLINK("https://app.vivvix.com/360/KMI/IntelliDrive/ApplUI/Pages/CreativePages/CustomReportCreativeDetail.aspx?App=23&amp;ReportView=4&amp;Qid=1711279&amp;Row=188&amp;Col=1","Drive Safe")</f>
        <v/>
      </c>
      <c r="B196" s="0" t="s">
        <v>284</v>
      </c>
      <c r="E196" s="0" t="inlineStr">
        <is>
          <t xml:space="preserve">Mazda</t>
        </is>
      </c>
      <c r="F196" s="0" t="inlineStr">
        <is>
          <t xml:space="preserve">Mazda</t>
        </is>
      </c>
      <c r="G196" s="0" t="s">
        <v>171</v>
      </c>
      <c r="H196" s="5">
        <v>7240.480000</v>
      </c>
    </row>
    <row r="197" spans="1:9">
      <c r="A197" s="22" t="str">
        <f>HYPERLINK("https://app.vivvix.com/360/KMI/IntelliDrive/ApplUI/Pages/CreativePages/CustomReportCreativeDetail.aspx?App=23&amp;ReportView=4&amp;Qid=1711279&amp;Row=189&amp;Col=1","Drive the Best Car")</f>
        <v/>
      </c>
      <c r="B197" s="0" t="s">
        <v>285</v>
      </c>
      <c r="C197" s="0" t="s">
        <v>286</v>
      </c>
      <c r="D197" s="0" t="s">
        <v>286</v>
      </c>
      <c r="E197" s="0" t="inlineStr">
        <is>
          <t xml:space="preserve">Mazda</t>
        </is>
      </c>
      <c r="F197" s="0" t="s">
        <v>17</v>
      </c>
      <c r="G197" s="0" t="s">
        <v>33</v>
      </c>
      <c r="H197" s="5">
        <v>6164.418000</v>
      </c>
    </row>
    <row r="198" spans="1:9">
      <c r="A198" s="22" t="str">
        <f>HYPERLINK("https://app.vivvix.com/360/KMI/IntelliDrive/ApplUI/Pages/CreativePages/CustomReportCreativeDetail.aspx?App=23&amp;ReportView=4&amp;Qid=1711279&amp;Row=190&amp;Col=1","Drive the Best Car")</f>
        <v/>
      </c>
      <c r="B198" s="0" t="s">
        <v>285</v>
      </c>
      <c r="E198" s="0" t="inlineStr">
        <is>
          <t xml:space="preserve">Mazda</t>
        </is>
      </c>
      <c r="F198" s="0" t="s">
        <v>17</v>
      </c>
      <c r="G198" s="0" t="s">
        <v>33</v>
      </c>
      <c r="H198" s="5">
        <v>30183.145000</v>
      </c>
    </row>
    <row r="199" spans="1:9">
      <c r="A199" s="22" t="str">
        <f>HYPERLINK("https://app.vivvix.com/360/KMI/IntelliDrive/ApplUI/Pages/CreativePages/CustomReportCreativeDetail.aspx?App=23&amp;ReportView=4&amp;Qid=1711279&amp;Row=191&amp;Col=1","Drive the Best Car/Scenes")</f>
        <v/>
      </c>
      <c r="B199" s="0" t="s">
        <v>287</v>
      </c>
      <c r="C199" s="0" t="s">
        <v>288</v>
      </c>
      <c r="D199" s="0" t="s">
        <v>286</v>
      </c>
      <c r="E199" s="0" t="inlineStr">
        <is>
          <t xml:space="preserve">Mazda</t>
        </is>
      </c>
      <c r="F199" s="0" t="s">
        <v>17</v>
      </c>
      <c r="G199" s="0" t="s">
        <v>33</v>
      </c>
      <c r="H199" s="5">
        <v>4636.084000</v>
      </c>
    </row>
    <row r="200" spans="1:9">
      <c r="A200" s="22" t="str">
        <f>HYPERLINK("https://app.vivvix.com/360/KMI/IntelliDrive/ApplUI/Pages/CreativePages/CustomReportCreativeDetail.aspx?App=23&amp;ReportView=4&amp;Qid=1711279&amp;Row=192&amp;Col=1","Drive the Best Car/Scenes")</f>
        <v/>
      </c>
      <c r="B200" s="0" t="s">
        <v>287</v>
      </c>
      <c r="E200" s="0" t="inlineStr">
        <is>
          <t xml:space="preserve">Mazda</t>
        </is>
      </c>
      <c r="F200" s="0" t="s">
        <v>17</v>
      </c>
      <c r="G200" s="0" t="s">
        <v>33</v>
      </c>
      <c r="H200" s="5">
        <v>48166.422000</v>
      </c>
    </row>
    <row r="201" spans="1:9">
      <c r="A201" s="22" t="str">
        <f>HYPERLINK("https://app.vivvix.com/360/KMI/IntelliDrive/ApplUI/Pages/CreativePages/CustomReportCreativeDetail.aspx?App=23&amp;ReportView=4&amp;Qid=1711279&amp;Row=193&amp;Col=1","Drive With Unparalleled Uniqueness .")</f>
        <v/>
      </c>
      <c r="B201" s="0" t="s">
        <v>289</v>
      </c>
      <c r="C201" s="0" t="s">
        <v>290</v>
      </c>
      <c r="D201" s="0" t="s">
        <v>141</v>
      </c>
      <c r="E201" s="0" t="inlineStr">
        <is>
          <t xml:space="preserve">Mazda</t>
        </is>
      </c>
      <c r="F201" s="0" t="s">
        <v>56</v>
      </c>
      <c r="G201" s="0" t="s">
        <v>57</v>
      </c>
      <c r="H201" s="5">
        <v>1401.888000</v>
      </c>
    </row>
    <row r="202" spans="1:9">
      <c r="A202" s="22" t="str">
        <f>HYPERLINK("https://app.vivvix.com/360/KMI/IntelliDrive/ApplUI/Pages/CreativePages/CustomReportCreativeDetail.aspx?App=23&amp;ReportView=4&amp;Qid=1711279&amp;Row=194&amp;Col=1","electrify every moment")</f>
        <v/>
      </c>
      <c r="B202" s="0" t="s">
        <v>291</v>
      </c>
      <c r="C202" s="0" t="s">
        <v>292</v>
      </c>
      <c r="D202" s="0" t="s">
        <v>292</v>
      </c>
      <c r="E202" s="0" t="inlineStr">
        <is>
          <t xml:space="preserve">Mazda</t>
        </is>
      </c>
      <c r="F202" s="0" t="s">
        <v>56</v>
      </c>
      <c r="G202" s="0" t="s">
        <v>57</v>
      </c>
      <c r="H202" s="5">
        <v>32.773000</v>
      </c>
    </row>
    <row r="203" spans="1:9">
      <c r="A203" s="22" t="str">
        <f>HYPERLINK("https://app.vivvix.com/360/KMI/IntelliDrive/ApplUI/Pages/CreativePages/CustomReportCreativeDetail.aspx?App=23&amp;ReportView=4&amp;Qid=1711279&amp;Row=195&amp;Col=1","Electrifying Sophisticated Models")</f>
        <v/>
      </c>
      <c r="B203" s="0" t="s">
        <v>293</v>
      </c>
      <c r="C203" s="0" t="s">
        <v>294</v>
      </c>
      <c r="D203" s="0" t="s">
        <v>294</v>
      </c>
      <c r="E203" s="0" t="inlineStr">
        <is>
          <t xml:space="preserve">Mazda</t>
        </is>
      </c>
      <c r="F203" s="0" t="s">
        <v>28</v>
      </c>
      <c r="G203" s="0" t="s">
        <v>295</v>
      </c>
      <c r="H203" s="5">
        <v>2784.123000</v>
      </c>
    </row>
    <row r="204" spans="1:9">
      <c r="A204" s="22" t="str">
        <f>HYPERLINK("https://app.vivvix.com/360/KMI/IntelliDrive/ApplUI/Pages/CreativePages/CustomReportCreativeDetail.aspx?App=23&amp;ReportView=4&amp;Qid=1711279&amp;Row=196&amp;Col=1","elevate every experience")</f>
        <v/>
      </c>
      <c r="B204" s="0" t="s">
        <v>296</v>
      </c>
      <c r="C204" s="0" t="s">
        <v>297</v>
      </c>
      <c r="D204" s="0" t="s">
        <v>297</v>
      </c>
      <c r="E204" s="0" t="inlineStr">
        <is>
          <t xml:space="preserve">Mazda</t>
        </is>
      </c>
      <c r="F204" s="0" t="s">
        <v>28</v>
      </c>
      <c r="G204" s="0" t="s">
        <v>29</v>
      </c>
      <c r="H204" s="5">
        <v>220.300000</v>
      </c>
    </row>
    <row r="205" spans="1:9">
      <c r="A205" s="22" t="str">
        <f>HYPERLINK("https://app.vivvix.com/360/KMI/IntelliDrive/ApplUI/Pages/CreativePages/CustomReportCreativeDetail.aspx?App=23&amp;ReportView=4&amp;Qid=1711279&amp;Row=197&amp;Col=1","elevate every experience")</f>
        <v/>
      </c>
      <c r="B205" s="0" t="s">
        <v>298</v>
      </c>
      <c r="C205" s="0" t="s">
        <v>299</v>
      </c>
      <c r="D205" s="0" t="s">
        <v>299</v>
      </c>
      <c r="E205" s="0" t="inlineStr">
        <is>
          <t xml:space="preserve">Mazda</t>
        </is>
      </c>
      <c r="F205" s="0" t="s">
        <v>28</v>
      </c>
      <c r="G205" s="0" t="s">
        <v>29</v>
      </c>
      <c r="H205" s="5">
        <v>26.436000</v>
      </c>
    </row>
    <row r="206" spans="1:9">
      <c r="A206" s="22" t="str">
        <f>HYPERLINK("https://app.vivvix.com/360/KMI/IntelliDrive/ApplUI/Pages/CreativePages/CustomReportCreativeDetail.aspx?App=23&amp;ReportView=4&amp;Qid=1711279&amp;Row=198&amp;Col=1","Empty Roads (V/O Omitted/Tagline Omitted)")</f>
        <v/>
      </c>
      <c r="B206" s="0" t="s">
        <v>300</v>
      </c>
      <c r="C206" s="0" t="s">
        <v>301</v>
      </c>
      <c r="D206" s="0" t="s">
        <v>301</v>
      </c>
      <c r="E206" s="0" t="inlineStr">
        <is>
          <t xml:space="preserve">Mazda</t>
        </is>
      </c>
      <c r="F206" s="0" t="s">
        <v>21</v>
      </c>
      <c r="G206" s="0" t="s">
        <v>22</v>
      </c>
      <c r="H206" s="5">
        <v>15.668000</v>
      </c>
    </row>
    <row r="207" spans="1:9">
      <c r="A207" s="22" t="str">
        <f>HYPERLINK("https://app.vivvix.com/360/KMI/IntelliDrive/ApplUI/Pages/CreativePages/CustomReportCreativeDetail.aspx?App=23&amp;ReportView=4&amp;Qid=1711279&amp;Row=199&amp;Col=1","Empty Roads (V/O Omitted/Tagline Omitted)")</f>
        <v/>
      </c>
      <c r="B207" s="0" t="s">
        <v>302</v>
      </c>
      <c r="E207" s="0" t="inlineStr">
        <is>
          <t xml:space="preserve">Mazda</t>
        </is>
      </c>
      <c r="F207" s="0" t="s">
        <v>21</v>
      </c>
      <c r="G207" s="0" t="s">
        <v>22</v>
      </c>
      <c r="H207" s="5">
        <v>34894.200000</v>
      </c>
    </row>
    <row r="208" spans="1:9">
      <c r="A208" s="22" t="str">
        <f>HYPERLINK("https://app.vivvix.com/360/KMI/IntelliDrive/ApplUI/Pages/CreativePages/CustomReportCreativeDetail.aspx?App=23&amp;ReportView=4&amp;Qid=1711279&amp;Row=200&amp;Col=1","enjoy $1000 customer cash")</f>
        <v/>
      </c>
      <c r="B208" s="0" t="s">
        <v>303</v>
      </c>
      <c r="C208" s="0" t="s">
        <v>304</v>
      </c>
      <c r="D208" s="0" t="s">
        <v>305</v>
      </c>
      <c r="E208" s="0" t="inlineStr">
        <is>
          <t xml:space="preserve">Mazda</t>
        </is>
      </c>
      <c r="F208" s="0" t="s">
        <v>21</v>
      </c>
      <c r="G208" s="0" t="s">
        <v>22</v>
      </c>
      <c r="H208" s="5">
        <v>6366.931000</v>
      </c>
    </row>
    <row r="209" spans="1:9">
      <c r="A209" s="22" t="str">
        <f>HYPERLINK("https://app.vivvix.com/360/KMI/IntelliDrive/ApplUI/Pages/CreativePages/CustomReportCreativeDetail.aspx?App=23&amp;ReportView=4&amp;Qid=1711279&amp;Row=201&amp;Col=1","enjoy $1000 customer cash")</f>
        <v/>
      </c>
      <c r="B209" s="0" t="s">
        <v>303</v>
      </c>
      <c r="E209" s="0" t="inlineStr">
        <is>
          <t xml:space="preserve">Mazda</t>
        </is>
      </c>
      <c r="F209" s="0" t="s">
        <v>21</v>
      </c>
      <c r="G209" s="0" t="s">
        <v>22</v>
      </c>
      <c r="H209" s="5">
        <v>59654.393000</v>
      </c>
    </row>
    <row r="210" spans="1:9">
      <c r="A210" s="22" t="str">
        <f>HYPERLINK("https://app.vivvix.com/360/KMI/IntelliDrive/ApplUI/Pages/CreativePages/CustomReportCreativeDetail.aspx?App=23&amp;ReportView=4&amp;Qid=1711279&amp;Row=202&amp;Col=1","Enjoy Great Deal")</f>
        <v/>
      </c>
      <c r="B210" s="0" t="s">
        <v>306</v>
      </c>
      <c r="C210" s="0" t="s">
        <v>307</v>
      </c>
      <c r="D210" s="0" t="s">
        <v>307</v>
      </c>
      <c r="E210" s="0" t="inlineStr">
        <is>
          <t xml:space="preserve">Mazda</t>
        </is>
      </c>
      <c r="F210" s="0" t="inlineStr">
        <is>
          <t xml:space="preserve">Mazda</t>
        </is>
      </c>
      <c r="G210" s="0" t="s">
        <v>210</v>
      </c>
      <c r="H210" s="5">
        <v>22.803000</v>
      </c>
    </row>
    <row r="211" spans="1:9">
      <c r="A211" s="22" t="str">
        <f>HYPERLINK("https://app.vivvix.com/360/KMI/IntelliDrive/ApplUI/Pages/CreativePages/CustomReportCreativeDetail.aspx?App=23&amp;ReportView=4&amp;Qid=1711279&amp;Row=203&amp;Col=1","Enjoy ride with love once")</f>
        <v/>
      </c>
      <c r="B211" s="0" t="s">
        <v>308</v>
      </c>
      <c r="C211" s="0" t="s">
        <v>309</v>
      </c>
      <c r="D211" s="0" t="s">
        <v>309</v>
      </c>
      <c r="E211" s="0" t="inlineStr">
        <is>
          <t xml:space="preserve">Mazda</t>
        </is>
      </c>
      <c r="F211" s="0" t="s">
        <v>28</v>
      </c>
      <c r="G211" s="0" t="s">
        <v>29</v>
      </c>
      <c r="H211" s="5">
        <v>96.610000</v>
      </c>
    </row>
    <row r="212" spans="1:9">
      <c r="A212" s="22" t="str">
        <f>HYPERLINK("https://app.vivvix.com/360/KMI/IntelliDrive/ApplUI/Pages/CreativePages/CustomReportCreativeDetail.aspx?App=23&amp;ReportView=4&amp;Qid=1711279&amp;Row=204&amp;Col=1","Enjoy Riding With Great Comfort")</f>
        <v/>
      </c>
      <c r="B212" s="0" t="s">
        <v>310</v>
      </c>
      <c r="C212" s="0" t="s">
        <v>311</v>
      </c>
      <c r="D212" s="0" t="s">
        <v>311</v>
      </c>
      <c r="E212" s="0" t="inlineStr">
        <is>
          <t xml:space="preserve">Mazda</t>
        </is>
      </c>
      <c r="F212" s="0" t="s">
        <v>21</v>
      </c>
      <c r="G212" s="0" t="s">
        <v>22</v>
      </c>
      <c r="H212" s="5">
        <v>11678.012000</v>
      </c>
    </row>
    <row r="213" spans="1:9">
      <c r="A213" s="22" t="str">
        <f>HYPERLINK("https://app.vivvix.com/360/KMI/IntelliDrive/ApplUI/Pages/CreativePages/CustomReportCreativeDetail.aspx?App=23&amp;ReportView=4&amp;Qid=1711279&amp;Row=205&amp;Col=1","Enjoy Riding With Great Comfort")</f>
        <v/>
      </c>
      <c r="B213" s="0" t="s">
        <v>310</v>
      </c>
      <c r="E213" s="0" t="inlineStr">
        <is>
          <t xml:space="preserve">Mazda</t>
        </is>
      </c>
      <c r="F213" s="0" t="s">
        <v>21</v>
      </c>
      <c r="G213" s="0" t="s">
        <v>22</v>
      </c>
      <c r="H213" s="5">
        <v>79400.304000</v>
      </c>
    </row>
    <row r="214" spans="1:9">
      <c r="A214" s="22" t="str">
        <f>HYPERLINK("https://app.vivvix.com/360/KMI/IntelliDrive/ApplUI/Pages/CreativePages/CustomReportCreativeDetail.aspx?App=23&amp;ReportView=4&amp;Qid=1711279&amp;Row=206&amp;Col=1","Enjoy The Great Savings")</f>
        <v/>
      </c>
      <c r="B214" s="0" t="s">
        <v>312</v>
      </c>
      <c r="C214" s="0" t="s">
        <v>313</v>
      </c>
      <c r="D214" s="0" t="s">
        <v>313</v>
      </c>
      <c r="E214" s="0" t="inlineStr">
        <is>
          <t xml:space="preserve">Mazda</t>
        </is>
      </c>
      <c r="F214" s="0" t="s">
        <v>21</v>
      </c>
      <c r="G214" s="0" t="s">
        <v>314</v>
      </c>
      <c r="H214" s="5">
        <v>5694.476000</v>
      </c>
    </row>
    <row r="215" spans="1:9">
      <c r="A215" s="22" t="str">
        <f>HYPERLINK("https://app.vivvix.com/360/KMI/IntelliDrive/ApplUI/Pages/CreativePages/CustomReportCreativeDetail.aspx?App=23&amp;ReportView=4&amp;Qid=1711279&amp;Row=207&amp;Col=1","Enjoy The Great Savings")</f>
        <v/>
      </c>
      <c r="B215" s="0" t="s">
        <v>312</v>
      </c>
      <c r="E215" s="0" t="inlineStr">
        <is>
          <t xml:space="preserve">Mazda</t>
        </is>
      </c>
      <c r="F215" s="0" t="s">
        <v>21</v>
      </c>
      <c r="G215" s="0" t="s">
        <v>314</v>
      </c>
      <c r="H215" s="5">
        <v>10136.086000</v>
      </c>
    </row>
    <row r="216" spans="1:9">
      <c r="A216" s="22" t="str">
        <f>HYPERLINK("https://app.vivvix.com/360/KMI/IntelliDrive/ApplUI/Pages/CreativePages/CustomReportCreativeDetail.aspx?App=23&amp;ReportView=4&amp;Qid=1711279&amp;Row=208&amp;Col=1","Enjoy The Journey")</f>
        <v/>
      </c>
      <c r="B216" s="0" t="s">
        <v>315</v>
      </c>
      <c r="C216" s="0" t="s">
        <v>316</v>
      </c>
      <c r="D216" s="0" t="s">
        <v>317</v>
      </c>
      <c r="E216" s="0" t="inlineStr">
        <is>
          <t xml:space="preserve">Mazda</t>
        </is>
      </c>
      <c r="F216" s="0" t="s">
        <v>28</v>
      </c>
      <c r="G216" s="0" t="s">
        <v>29</v>
      </c>
      <c r="H216" s="5">
        <v>229.518000</v>
      </c>
    </row>
    <row r="217" spans="1:9">
      <c r="A217" s="22" t="str">
        <f>HYPERLINK("https://app.vivvix.com/360/KMI/IntelliDrive/ApplUI/Pages/CreativePages/CustomReportCreativeDetail.aspx?App=23&amp;ReportView=4&amp;Qid=1711279&amp;Row=209&amp;Col=1","Enjoy The Journey")</f>
        <v/>
      </c>
      <c r="B217" s="0" t="s">
        <v>318</v>
      </c>
      <c r="C217" s="0" t="s">
        <v>319</v>
      </c>
      <c r="D217" s="0" t="s">
        <v>317</v>
      </c>
      <c r="E217" s="0" t="inlineStr">
        <is>
          <t xml:space="preserve">Mazda</t>
        </is>
      </c>
      <c r="F217" s="0" t="s">
        <v>28</v>
      </c>
      <c r="G217" s="0" t="s">
        <v>29</v>
      </c>
      <c r="H217" s="5">
        <v>83.904000</v>
      </c>
    </row>
    <row r="218" spans="1:9">
      <c r="A218" s="22" t="str">
        <f>HYPERLINK("https://app.vivvix.com/360/KMI/IntelliDrive/ApplUI/Pages/CreativePages/CustomReportCreativeDetail.aspx?App=23&amp;ReportView=4&amp;Qid=1711279&amp;Row=210&amp;Col=1","Enjoy The Morning Wind")</f>
        <v/>
      </c>
      <c r="B218" s="0" t="s">
        <v>320</v>
      </c>
      <c r="C218" s="0" t="s">
        <v>321</v>
      </c>
      <c r="D218" s="0" t="s">
        <v>321</v>
      </c>
      <c r="E218" s="0" t="inlineStr">
        <is>
          <t xml:space="preserve">Mazda</t>
        </is>
      </c>
      <c r="F218" s="0" t="s">
        <v>13</v>
      </c>
      <c r="G218" s="0" t="s">
        <v>49</v>
      </c>
      <c r="H218" s="5">
        <v>0.000000</v>
      </c>
    </row>
    <row r="219" spans="1:9">
      <c r="A219" s="22" t="str">
        <f>HYPERLINK("https://app.vivvix.com/360/KMI/IntelliDrive/ApplUI/Pages/CreativePages/CustomReportCreativeDetail.aspx?App=23&amp;ReportView=4&amp;Qid=1711279&amp;Row=211&amp;Col=1","Enjoy The Morning Wind")</f>
        <v/>
      </c>
      <c r="B219" s="0" t="s">
        <v>322</v>
      </c>
      <c r="C219" s="0" t="s">
        <v>321</v>
      </c>
      <c r="D219" s="0" t="s">
        <v>321</v>
      </c>
      <c r="E219" s="0" t="inlineStr">
        <is>
          <t xml:space="preserve">Mazda</t>
        </is>
      </c>
      <c r="F219" s="0" t="s">
        <v>13</v>
      </c>
      <c r="G219" s="0" t="s">
        <v>49</v>
      </c>
      <c r="H219" s="5">
        <v>0.000000</v>
      </c>
    </row>
    <row r="220" spans="1:9">
      <c r="A220" s="22" t="str">
        <f>HYPERLINK("https://app.vivvix.com/360/KMI/IntelliDrive/ApplUI/Pages/CreativePages/CustomReportCreativeDetail.aspx?App=23&amp;ReportView=4&amp;Qid=1711279&amp;Row=212&amp;Col=1","Enjoy The Offer")</f>
        <v/>
      </c>
      <c r="B220" s="0" t="s">
        <v>323</v>
      </c>
      <c r="C220" s="0" t="s">
        <v>324</v>
      </c>
      <c r="D220" s="0" t="s">
        <v>324</v>
      </c>
      <c r="E220" s="0" t="inlineStr">
        <is>
          <t xml:space="preserve">Mazda</t>
        </is>
      </c>
      <c r="F220" s="0" t="s">
        <v>52</v>
      </c>
      <c r="G220" s="0" t="s">
        <v>325</v>
      </c>
      <c r="H220" s="5">
        <v>3712.446000</v>
      </c>
    </row>
    <row r="221" spans="1:9">
      <c r="A221" s="22" t="str">
        <f>HYPERLINK("https://app.vivvix.com/360/KMI/IntelliDrive/ApplUI/Pages/CreativePages/CustomReportCreativeDetail.aspx?App=23&amp;ReportView=4&amp;Qid=1711279&amp;Row=213&amp;Col=1","Enjoy The Offer")</f>
        <v/>
      </c>
      <c r="B221" s="0" t="s">
        <v>323</v>
      </c>
      <c r="E221" s="0" t="inlineStr">
        <is>
          <t xml:space="preserve">Mazda</t>
        </is>
      </c>
      <c r="F221" s="0" t="s">
        <v>52</v>
      </c>
      <c r="G221" s="0" t="s">
        <v>325</v>
      </c>
      <c r="H221" s="5">
        <v>31494.114000</v>
      </c>
    </row>
    <row r="222" spans="1:9">
      <c r="A222" s="22" t="str">
        <f>HYPERLINK("https://app.vivvix.com/360/KMI/IntelliDrive/ApplUI/Pages/CreativePages/CustomReportCreativeDetail.aspx?App=23&amp;ReportView=4&amp;Qid=1711279&amp;Row=214&amp;Col=1","Enjoy The Offer")</f>
        <v/>
      </c>
      <c r="B222" s="0" t="s">
        <v>326</v>
      </c>
      <c r="C222" s="0" t="s">
        <v>327</v>
      </c>
      <c r="D222" s="0" t="s">
        <v>327</v>
      </c>
      <c r="E222" s="0" t="inlineStr">
        <is>
          <t xml:space="preserve">Mazda</t>
        </is>
      </c>
      <c r="F222" s="0" t="s">
        <v>52</v>
      </c>
      <c r="G222" s="0" t="s">
        <v>325</v>
      </c>
      <c r="H222" s="5">
        <v>6590.383000</v>
      </c>
    </row>
    <row r="223" spans="1:9">
      <c r="A223" s="22" t="str">
        <f>HYPERLINK("https://app.vivvix.com/360/KMI/IntelliDrive/ApplUI/Pages/CreativePages/CustomReportCreativeDetail.aspx?App=23&amp;ReportView=4&amp;Qid=1711279&amp;Row=215&amp;Col=1","Enjoy The Offer")</f>
        <v/>
      </c>
      <c r="B223" s="0" t="s">
        <v>326</v>
      </c>
      <c r="E223" s="0" t="inlineStr">
        <is>
          <t xml:space="preserve">Mazda</t>
        </is>
      </c>
      <c r="F223" s="0" t="s">
        <v>52</v>
      </c>
      <c r="G223" s="0" t="s">
        <v>325</v>
      </c>
      <c r="H223" s="5">
        <v>5349.046000</v>
      </c>
    </row>
    <row r="224" spans="1:9">
      <c r="A224" s="22" t="str">
        <f>HYPERLINK("https://app.vivvix.com/360/KMI/IntelliDrive/ApplUI/Pages/CreativePages/CustomReportCreativeDetail.aspx?App=23&amp;ReportView=4&amp;Qid=1711279&amp;Row=216&amp;Col=1","Enjoy The Sales Event")</f>
        <v/>
      </c>
      <c r="B224" s="0" t="s">
        <v>328</v>
      </c>
      <c r="C224" s="0" t="s">
        <v>329</v>
      </c>
      <c r="D224" s="0" t="s">
        <v>329</v>
      </c>
      <c r="E224" s="0" t="inlineStr">
        <is>
          <t xml:space="preserve">Mazda</t>
        </is>
      </c>
      <c r="F224" s="0" t="s">
        <v>330</v>
      </c>
      <c r="G224" s="0" t="s">
        <v>331</v>
      </c>
      <c r="H224" s="5">
        <v>108.015000</v>
      </c>
    </row>
    <row r="225" spans="1:9">
      <c r="A225" s="22" t="str">
        <f>HYPERLINK("https://app.vivvix.com/360/KMI/IntelliDrive/ApplUI/Pages/CreativePages/CustomReportCreativeDetail.aspx?App=23&amp;ReportView=4&amp;Qid=1711279&amp;Row=217&amp;Col=1","Enjoy The Season Of Giving")</f>
        <v/>
      </c>
      <c r="B225" s="0" t="s">
        <v>332</v>
      </c>
      <c r="E225" s="0" t="inlineStr">
        <is>
          <t xml:space="preserve">Mazda</t>
        </is>
      </c>
      <c r="F225" s="0" t="inlineStr">
        <is>
          <t xml:space="preserve">Mazda</t>
        </is>
      </c>
      <c r="G225" s="0" t="s">
        <v>210</v>
      </c>
      <c r="H225" s="5">
        <v>80577.991000</v>
      </c>
    </row>
    <row r="226" spans="1:9">
      <c r="A226" s="22" t="str">
        <f>HYPERLINK("https://app.vivvix.com/360/KMI/IntelliDrive/ApplUI/Pages/CreativePages/CustomReportCreativeDetail.aspx?App=23&amp;ReportView=4&amp;Qid=1711279&amp;Row=218&amp;Col=1","Enjoy with New Mazda")</f>
        <v/>
      </c>
      <c r="B226" s="0" t="s">
        <v>333</v>
      </c>
      <c r="C226" s="0" t="s">
        <v>334</v>
      </c>
      <c r="D226" s="0" t="s">
        <v>334</v>
      </c>
      <c r="E226" s="0" t="inlineStr">
        <is>
          <t xml:space="preserve">Mazda</t>
        </is>
      </c>
      <c r="F226" s="0" t="s">
        <v>21</v>
      </c>
      <c r="G226" s="0" t="s">
        <v>314</v>
      </c>
      <c r="H226" s="5">
        <v>2792.856000</v>
      </c>
    </row>
    <row r="227" spans="1:9">
      <c r="A227" s="22" t="str">
        <f>HYPERLINK("https://app.vivvix.com/360/KMI/IntelliDrive/ApplUI/Pages/CreativePages/CustomReportCreativeDetail.aspx?App=23&amp;ReportView=4&amp;Qid=1711279&amp;Row=219&amp;Col=1","Enjoy your adventurous ride")</f>
        <v/>
      </c>
      <c r="B227" s="0" t="s">
        <v>335</v>
      </c>
      <c r="C227" s="0" t="s">
        <v>336</v>
      </c>
      <c r="D227" s="0" t="s">
        <v>336</v>
      </c>
      <c r="E227" s="0" t="inlineStr">
        <is>
          <t xml:space="preserve">Mazda</t>
        </is>
      </c>
      <c r="F227" s="0" t="s">
        <v>13</v>
      </c>
      <c r="G227" s="0" t="s">
        <v>49</v>
      </c>
      <c r="H227" s="5">
        <v>55.472000</v>
      </c>
    </row>
    <row r="228" spans="1:9">
      <c r="A228" s="22" t="str">
        <f>HYPERLINK("https://app.vivvix.com/360/KMI/IntelliDrive/ApplUI/Pages/CreativePages/CustomReportCreativeDetail.aspx?App=23&amp;ReportView=4&amp;Qid=1711279&amp;Row=220&amp;Col=1","Enjoy Your Drive")</f>
        <v/>
      </c>
      <c r="B228" s="0" t="s">
        <v>337</v>
      </c>
      <c r="C228" s="0" t="s">
        <v>338</v>
      </c>
      <c r="D228" s="0" t="s">
        <v>338</v>
      </c>
      <c r="E228" s="0" t="inlineStr">
        <is>
          <t xml:space="preserve">Mazda</t>
        </is>
      </c>
      <c r="F228" s="0" t="s">
        <v>52</v>
      </c>
      <c r="G228" s="0" t="s">
        <v>325</v>
      </c>
      <c r="H228" s="5">
        <v>4780.203000</v>
      </c>
    </row>
    <row r="229" spans="1:9">
      <c r="A229" s="22" t="str">
        <f>HYPERLINK("https://app.vivvix.com/360/KMI/IntelliDrive/ApplUI/Pages/CreativePages/CustomReportCreativeDetail.aspx?App=23&amp;ReportView=4&amp;Qid=1711279&amp;Row=221&amp;Col=1","Enjoy Your Drive")</f>
        <v/>
      </c>
      <c r="B229" s="0" t="s">
        <v>337</v>
      </c>
      <c r="E229" s="0" t="inlineStr">
        <is>
          <t xml:space="preserve">Mazda</t>
        </is>
      </c>
      <c r="F229" s="0" t="s">
        <v>52</v>
      </c>
      <c r="G229" s="0" t="s">
        <v>325</v>
      </c>
      <c r="H229" s="5">
        <v>291.126000</v>
      </c>
    </row>
    <row r="230" spans="1:9">
      <c r="A230" s="22" t="str">
        <f>HYPERLINK("https://app.vivvix.com/360/KMI/IntelliDrive/ApplUI/Pages/CreativePages/CustomReportCreativeDetail.aspx?App=23&amp;ReportView=4&amp;Qid=1711279&amp;Row=222&amp;Col=1","Enjoy Your Drive")</f>
        <v/>
      </c>
      <c r="B230" s="0" t="s">
        <v>339</v>
      </c>
      <c r="E230" s="0" t="inlineStr">
        <is>
          <t xml:space="preserve">Mazda</t>
        </is>
      </c>
      <c r="F230" s="0" t="s">
        <v>52</v>
      </c>
      <c r="G230" s="0" t="s">
        <v>325</v>
      </c>
      <c r="H230" s="5">
        <v>1216828.105000</v>
      </c>
    </row>
    <row r="231" spans="1:9">
      <c r="A231" s="22" t="str">
        <f>HYPERLINK("https://app.vivvix.com/360/KMI/IntelliDrive/ApplUI/Pages/CreativePages/CustomReportCreativeDetail.aspx?App=23&amp;ReportView=4&amp;Qid=1711279&amp;Row=223&amp;Col=1","Enjoy Your Ride Now With The Sports Car")</f>
        <v/>
      </c>
      <c r="B231" s="0" t="s">
        <v>340</v>
      </c>
      <c r="C231" s="0" t="s">
        <v>341</v>
      </c>
      <c r="D231" s="0" t="s">
        <v>341</v>
      </c>
      <c r="E231" s="0" t="inlineStr">
        <is>
          <t xml:space="preserve">Mazda</t>
        </is>
      </c>
      <c r="F231" s="0" t="s">
        <v>52</v>
      </c>
      <c r="G231" s="0" t="s">
        <v>53</v>
      </c>
      <c r="H231" s="5">
        <v>147.195000</v>
      </c>
    </row>
    <row r="232" spans="1:9">
      <c r="A232" s="22" t="str">
        <f>HYPERLINK("https://app.vivvix.com/360/KMI/IntelliDrive/ApplUI/Pages/CreativePages/CustomReportCreativeDetail.aspx?App=23&amp;ReportView=4&amp;Qid=1711279&amp;Row=224&amp;Col=1","enjoy zero percent apr for 36 months")</f>
        <v/>
      </c>
      <c r="B232" s="0" t="s">
        <v>342</v>
      </c>
      <c r="E232" s="0" t="inlineStr">
        <is>
          <t xml:space="preserve">Mazda</t>
        </is>
      </c>
      <c r="F232" s="0" t="s">
        <v>17</v>
      </c>
      <c r="G232" s="0" t="s">
        <v>33</v>
      </c>
      <c r="H232" s="5">
        <v>4180.932000</v>
      </c>
    </row>
    <row r="233" spans="1:9">
      <c r="A233" s="22" t="str">
        <f>HYPERLINK("https://app.vivvix.com/360/KMI/IntelliDrive/ApplUI/Pages/CreativePages/CustomReportCreativeDetail.aspx?App=23&amp;ReportView=4&amp;Qid=1711279&amp;Row=225&amp;Col=1","enjoy zero percent apr for 36 months")</f>
        <v/>
      </c>
      <c r="B233" s="0" t="s">
        <v>342</v>
      </c>
      <c r="E233" s="0" t="inlineStr">
        <is>
          <t xml:space="preserve">Mazda</t>
        </is>
      </c>
      <c r="F233" s="0" t="s">
        <v>17</v>
      </c>
      <c r="G233" s="0" t="s">
        <v>33</v>
      </c>
      <c r="H233" s="5">
        <v>33107.226000</v>
      </c>
    </row>
    <row r="234" spans="1:9">
      <c r="A234" s="22" t="str">
        <f>HYPERLINK("https://app.vivvix.com/360/KMI/IntelliDrive/ApplUI/Pages/CreativePages/CustomReportCreativeDetail.aspx?App=23&amp;ReportView=4&amp;Qid=1711279&amp;Row=226&amp;Col=1","enough cargo space .")</f>
        <v/>
      </c>
      <c r="B234" s="0" t="s">
        <v>343</v>
      </c>
      <c r="E234" s="0" t="inlineStr">
        <is>
          <t xml:space="preserve">Mazda</t>
        </is>
      </c>
      <c r="F234" s="0" t="s">
        <v>13</v>
      </c>
      <c r="G234" s="0" t="s">
        <v>49</v>
      </c>
      <c r="H234" s="5">
        <v>1745.609000</v>
      </c>
    </row>
    <row r="235" spans="1:9">
      <c r="A235" s="22" t="str">
        <f>HYPERLINK("https://app.vivvix.com/360/KMI/IntelliDrive/ApplUI/Pages/CreativePages/CustomReportCreativeDetail.aspx?App=23&amp;ReportView=4&amp;Qid=1711279&amp;Row=227&amp;Col=1","enough cargo space .")</f>
        <v/>
      </c>
      <c r="B235" s="0" t="s">
        <v>343</v>
      </c>
      <c r="E235" s="0" t="inlineStr">
        <is>
          <t xml:space="preserve">Mazda</t>
        </is>
      </c>
      <c r="F235" s="0" t="s">
        <v>13</v>
      </c>
      <c r="G235" s="0" t="s">
        <v>49</v>
      </c>
      <c r="H235" s="5">
        <v>1546.922000</v>
      </c>
    </row>
    <row r="236" spans="1:9">
      <c r="A236" s="22" t="str">
        <f>HYPERLINK("https://app.vivvix.com/360/KMI/IntelliDrive/ApplUI/Pages/CreativePages/CustomReportCreativeDetail.aspx?App=23&amp;ReportView=4&amp;Qid=1711279&amp;Row=228&amp;Col=1","Ensure To Enjoy Your Drive")</f>
        <v/>
      </c>
      <c r="B236" s="0" t="s">
        <v>344</v>
      </c>
      <c r="C236" s="0" t="s">
        <v>345</v>
      </c>
      <c r="D236" s="0" t="s">
        <v>345</v>
      </c>
      <c r="E236" s="0" t="inlineStr">
        <is>
          <t xml:space="preserve">Mazda</t>
        </is>
      </c>
      <c r="F236" s="0" t="s">
        <v>125</v>
      </c>
      <c r="G236" s="0" t="s">
        <v>346</v>
      </c>
      <c r="H236" s="5">
        <v>582.524000</v>
      </c>
    </row>
    <row r="237" spans="1:9">
      <c r="A237" s="22" t="str">
        <f>HYPERLINK("https://app.vivvix.com/360/KMI/IntelliDrive/ApplUI/Pages/CreativePages/CustomReportCreativeDetail.aspx?App=23&amp;ReportView=4&amp;Qid=1711279&amp;Row=229&amp;Col=1","ET LA TRACTION INTEGRALE I-ACTIV DE SERIE")</f>
        <v/>
      </c>
      <c r="B237" s="0" t="s">
        <v>347</v>
      </c>
      <c r="C237" s="0" t="s">
        <v>348</v>
      </c>
      <c r="D237" s="0" t="s">
        <v>348</v>
      </c>
      <c r="E237" s="0" t="inlineStr">
        <is>
          <t xml:space="preserve">Mazda</t>
        </is>
      </c>
      <c r="F237" s="0" t="s">
        <v>17</v>
      </c>
      <c r="G237" s="0" t="s">
        <v>33</v>
      </c>
      <c r="H237" s="5">
        <v>42.432000</v>
      </c>
    </row>
    <row r="238" spans="1:9">
      <c r="A238" s="22" t="str">
        <f>HYPERLINK("https://app.vivvix.com/360/KMI/IntelliDrive/ApplUI/Pages/CreativePages/CustomReportCreativeDetail.aspx?App=23&amp;ReportView=4&amp;Qid=1711279&amp;Row=230&amp;Col=1","Experience Adventure In The Mazda CX-50")</f>
        <v/>
      </c>
      <c r="B238" s="0" t="s">
        <v>349</v>
      </c>
      <c r="C238" s="0" t="s">
        <v>350</v>
      </c>
      <c r="D238" s="0" t="s">
        <v>350</v>
      </c>
      <c r="E238" s="0" t="inlineStr">
        <is>
          <t xml:space="preserve">Mazda</t>
        </is>
      </c>
      <c r="F238" s="0" t="s">
        <v>13</v>
      </c>
      <c r="G238" s="0" t="s">
        <v>49</v>
      </c>
      <c r="H238" s="5">
        <v>28131.887000</v>
      </c>
    </row>
    <row r="239" spans="1:9">
      <c r="A239" s="22" t="str">
        <f>HYPERLINK("https://app.vivvix.com/360/KMI/IntelliDrive/ApplUI/Pages/CreativePages/CustomReportCreativeDetail.aspx?App=23&amp;ReportView=4&amp;Qid=1711279&amp;Row=231&amp;Col=1","Experience Adventure In The Mazda CX-50")</f>
        <v/>
      </c>
      <c r="B239" s="0" t="s">
        <v>351</v>
      </c>
      <c r="C239" s="0" t="s">
        <v>352</v>
      </c>
      <c r="D239" s="0" t="s">
        <v>350</v>
      </c>
      <c r="E239" s="0" t="inlineStr">
        <is>
          <t xml:space="preserve">Mazda</t>
        </is>
      </c>
      <c r="F239" s="0" t="s">
        <v>13</v>
      </c>
      <c r="G239" s="0" t="s">
        <v>49</v>
      </c>
      <c r="H239" s="5">
        <v>55.472000</v>
      </c>
    </row>
    <row r="240" spans="1:9">
      <c r="A240" s="22" t="str">
        <f>HYPERLINK("https://app.vivvix.com/360/KMI/IntelliDrive/ApplUI/Pages/CreativePages/CustomReportCreativeDetail.aspx?App=23&amp;ReportView=4&amp;Qid=1711279&amp;Row=232&amp;Col=1","Experience An Adventurous Ride With This Car")</f>
        <v/>
      </c>
      <c r="B240" s="0" t="s">
        <v>353</v>
      </c>
      <c r="C240" s="0" t="s">
        <v>354</v>
      </c>
      <c r="D240" s="0" t="s">
        <v>354</v>
      </c>
      <c r="E240" s="0" t="inlineStr">
        <is>
          <t xml:space="preserve">Mazda</t>
        </is>
      </c>
      <c r="F240" s="0" t="s">
        <v>125</v>
      </c>
      <c r="G240" s="0" t="s">
        <v>346</v>
      </c>
      <c r="H240" s="5">
        <v>14107.952000</v>
      </c>
    </row>
    <row r="241" spans="1:9">
      <c r="A241" s="22" t="str">
        <f>HYPERLINK("https://app.vivvix.com/360/KMI/IntelliDrive/ApplUI/Pages/CreativePages/CustomReportCreativeDetail.aspx?App=23&amp;ReportView=4&amp;Qid=1711279&amp;Row=233&amp;Col=1","Experience An Adventurous Ride With This Car")</f>
        <v/>
      </c>
      <c r="B241" s="0" t="s">
        <v>353</v>
      </c>
      <c r="E241" s="0" t="inlineStr">
        <is>
          <t xml:space="preserve">Mazda</t>
        </is>
      </c>
      <c r="F241" s="0" t="s">
        <v>125</v>
      </c>
      <c r="G241" s="0" t="s">
        <v>346</v>
      </c>
      <c r="H241" s="5">
        <v>12958.546000</v>
      </c>
    </row>
    <row r="242" spans="1:9">
      <c r="A242" s="22" t="str">
        <f>HYPERLINK("https://app.vivvix.com/360/KMI/IntelliDrive/ApplUI/Pages/CreativePages/CustomReportCreativeDetail.aspx?App=23&amp;ReportView=4&amp;Qid=1711279&amp;Row=234&amp;Col=1","Experience An Adventurous Ride With This Car")</f>
        <v/>
      </c>
      <c r="B242" s="0" t="s">
        <v>355</v>
      </c>
      <c r="C242" s="0" t="s">
        <v>356</v>
      </c>
      <c r="D242" s="0" t="s">
        <v>356</v>
      </c>
      <c r="E242" s="0" t="inlineStr">
        <is>
          <t xml:space="preserve">Mazda</t>
        </is>
      </c>
      <c r="F242" s="0" t="s">
        <v>125</v>
      </c>
      <c r="G242" s="0" t="s">
        <v>346</v>
      </c>
      <c r="H242" s="5">
        <v>21458.321000</v>
      </c>
    </row>
    <row r="243" spans="1:9">
      <c r="A243" s="22" t="str">
        <f>HYPERLINK("https://app.vivvix.com/360/KMI/IntelliDrive/ApplUI/Pages/CreativePages/CustomReportCreativeDetail.aspx?App=23&amp;ReportView=4&amp;Qid=1711279&amp;Row=235&amp;Col=1","Experience An Adventurous Ride With This Car")</f>
        <v/>
      </c>
      <c r="B243" s="0" t="s">
        <v>355</v>
      </c>
      <c r="E243" s="0" t="inlineStr">
        <is>
          <t xml:space="preserve">Mazda</t>
        </is>
      </c>
      <c r="F243" s="0" t="s">
        <v>125</v>
      </c>
      <c r="G243" s="0" t="s">
        <v>346</v>
      </c>
      <c r="H243" s="5">
        <v>15171.606000</v>
      </c>
    </row>
    <row r="244" spans="1:9">
      <c r="A244" s="22" t="str">
        <f>HYPERLINK("https://app.vivvix.com/360/KMI/IntelliDrive/ApplUI/Pages/CreativePages/CustomReportCreativeDetail.aspx?App=23&amp;ReportView=4&amp;Qid=1711279&amp;Row=236&amp;Col=1","Experience An Adventurous Ride With This Car")</f>
        <v/>
      </c>
      <c r="B244" s="0" t="s">
        <v>357</v>
      </c>
      <c r="C244" s="0" t="s">
        <v>358</v>
      </c>
      <c r="D244" s="0" t="s">
        <v>358</v>
      </c>
      <c r="E244" s="0" t="inlineStr">
        <is>
          <t xml:space="preserve">Mazda</t>
        </is>
      </c>
      <c r="F244" s="0" t="s">
        <v>125</v>
      </c>
      <c r="G244" s="0" t="s">
        <v>346</v>
      </c>
      <c r="H244" s="5">
        <v>218.322000</v>
      </c>
    </row>
    <row r="245" spans="1:9">
      <c r="A245" s="22" t="str">
        <f>HYPERLINK("https://app.vivvix.com/360/KMI/IntelliDrive/ApplUI/Pages/CreativePages/CustomReportCreativeDetail.aspx?App=23&amp;ReportView=4&amp;Qid=1711279&amp;Row=237&amp;Col=1","Experience An Adventurous Ride With This Car")</f>
        <v/>
      </c>
      <c r="B245" s="0" t="s">
        <v>359</v>
      </c>
      <c r="C245" s="0" t="s">
        <v>360</v>
      </c>
      <c r="D245" s="0" t="s">
        <v>360</v>
      </c>
      <c r="E245" s="0" t="inlineStr">
        <is>
          <t xml:space="preserve">Mazda</t>
        </is>
      </c>
      <c r="F245" s="0" t="s">
        <v>125</v>
      </c>
      <c r="G245" s="0" t="s">
        <v>346</v>
      </c>
      <c r="H245" s="5">
        <v>537.408000</v>
      </c>
    </row>
    <row r="246" spans="1:9">
      <c r="A246" s="22" t="str">
        <f>HYPERLINK("https://app.vivvix.com/360/KMI/IntelliDrive/ApplUI/Pages/CreativePages/CustomReportCreativeDetail.aspx?App=23&amp;ReportView=4&amp;Qid=1711279&amp;Row=238&amp;Col=1","Experience Well-Crafted Interior")</f>
        <v/>
      </c>
      <c r="B246" s="0" t="s">
        <v>361</v>
      </c>
      <c r="C246" s="0" t="s">
        <v>362</v>
      </c>
      <c r="D246" s="0" t="s">
        <v>362</v>
      </c>
      <c r="E246" s="0" t="inlineStr">
        <is>
          <t xml:space="preserve">Mazda</t>
        </is>
      </c>
      <c r="F246" s="0" t="s">
        <v>52</v>
      </c>
      <c r="G246" s="0" t="s">
        <v>325</v>
      </c>
      <c r="H246" s="5">
        <v>74.044000</v>
      </c>
    </row>
    <row r="247" spans="1:9">
      <c r="A247" s="22" t="str">
        <f>HYPERLINK("https://app.vivvix.com/360/KMI/IntelliDrive/ApplUI/Pages/CreativePages/CustomReportCreativeDetail.aspx?App=23&amp;ReportView=4&amp;Qid=1711279&amp;Row=239&amp;Col=1","Experience Well-Crafted Interior")</f>
        <v/>
      </c>
      <c r="B247" s="0" t="s">
        <v>363</v>
      </c>
      <c r="C247" s="0" t="s">
        <v>364</v>
      </c>
      <c r="D247" s="0" t="s">
        <v>364</v>
      </c>
      <c r="E247" s="0" t="inlineStr">
        <is>
          <t xml:space="preserve">Mazda</t>
        </is>
      </c>
      <c r="F247" s="0" t="s">
        <v>115</v>
      </c>
      <c r="G247" s="0" t="s">
        <v>365</v>
      </c>
      <c r="H247" s="5">
        <v>1013.364000</v>
      </c>
    </row>
    <row r="248" spans="1:9">
      <c r="A248" s="22" t="str">
        <f>HYPERLINK("https://app.vivvix.com/360/KMI/IntelliDrive/ApplUI/Pages/CreativePages/CustomReportCreativeDetail.aspx?App=23&amp;ReportView=4&amp;Qid=1711279&amp;Row=240&amp;Col=1","Explore Your Ride At Greater Deals Now")</f>
        <v/>
      </c>
      <c r="B248" s="0" t="s">
        <v>366</v>
      </c>
      <c r="C248" s="0" t="s">
        <v>367</v>
      </c>
      <c r="D248" s="0" t="s">
        <v>367</v>
      </c>
      <c r="E248" s="0" t="inlineStr">
        <is>
          <t xml:space="preserve">Mazda</t>
        </is>
      </c>
      <c r="F248" s="0" t="s">
        <v>17</v>
      </c>
      <c r="G248" s="0" t="s">
        <v>18</v>
      </c>
      <c r="H248" s="5">
        <v>718.986000</v>
      </c>
    </row>
    <row r="249" spans="1:9">
      <c r="A249" s="22" t="str">
        <f>HYPERLINK("https://app.vivvix.com/360/KMI/IntelliDrive/ApplUI/Pages/CreativePages/CustomReportCreativeDetail.aspx?App=23&amp;ReportView=4&amp;Qid=1711279&amp;Row=241&amp;Col=1","feel alive 30 sec")</f>
        <v/>
      </c>
      <c r="B249" s="0" t="s">
        <v>368</v>
      </c>
      <c r="E249" s="0" t="inlineStr">
        <is>
          <t xml:space="preserve">Mazda</t>
        </is>
      </c>
      <c r="F249" s="0" t="s">
        <v>369</v>
      </c>
      <c r="G249" s="0" t="s">
        <v>370</v>
      </c>
      <c r="H249" s="5">
        <v>1300.216000</v>
      </c>
    </row>
    <row r="250" spans="1:9">
      <c r="A250" s="22" t="str">
        <f>HYPERLINK("https://app.vivvix.com/360/KMI/IntelliDrive/ApplUI/Pages/CreativePages/CustomReportCreativeDetail.aspx?App=23&amp;ReportView=4&amp;Qid=1711279&amp;Row=242&amp;Col=1","Feel the Luxurious One")</f>
        <v/>
      </c>
      <c r="B250" s="0" t="s">
        <v>371</v>
      </c>
      <c r="C250" s="0" t="s">
        <v>372</v>
      </c>
      <c r="D250" s="0" t="s">
        <v>372</v>
      </c>
      <c r="E250" s="0" t="inlineStr">
        <is>
          <t xml:space="preserve">Mazda</t>
        </is>
      </c>
      <c r="F250" s="0" t="s">
        <v>28</v>
      </c>
      <c r="G250" s="0" t="s">
        <v>29</v>
      </c>
      <c r="H250" s="5">
        <v>114.000000</v>
      </c>
    </row>
    <row r="251" spans="1:9">
      <c r="A251" s="22" t="str">
        <f>HYPERLINK("https://app.vivvix.com/360/KMI/IntelliDrive/ApplUI/Pages/CreativePages/CustomReportCreativeDetail.aspx?App=23&amp;ReportView=4&amp;Qid=1711279&amp;Row=243&amp;Col=1","Find Beautiful Joy/ Legalese")</f>
        <v/>
      </c>
      <c r="B251" s="0" t="s">
        <v>373</v>
      </c>
      <c r="C251" s="0" t="s">
        <v>374</v>
      </c>
      <c r="D251" s="0" t="s">
        <v>375</v>
      </c>
      <c r="E251" s="0" t="inlineStr">
        <is>
          <t xml:space="preserve">Mazda</t>
        </is>
      </c>
      <c r="F251" s="0" t="s">
        <v>21</v>
      </c>
      <c r="G251" s="0" t="s">
        <v>22</v>
      </c>
      <c r="H251" s="5">
        <v>5219.767000</v>
      </c>
    </row>
    <row r="252" spans="1:9">
      <c r="A252" s="22" t="str">
        <f>HYPERLINK("https://app.vivvix.com/360/KMI/IntelliDrive/ApplUI/Pages/CreativePages/CustomReportCreativeDetail.aspx?App=23&amp;ReportView=4&amp;Qid=1711279&amp;Row=244&amp;Col=1","Find Beautiful Joy/ Legalese")</f>
        <v/>
      </c>
      <c r="B252" s="0" t="s">
        <v>373</v>
      </c>
      <c r="E252" s="0" t="inlineStr">
        <is>
          <t xml:space="preserve">Mazda</t>
        </is>
      </c>
      <c r="F252" s="0" t="s">
        <v>21</v>
      </c>
      <c r="G252" s="0" t="s">
        <v>22</v>
      </c>
      <c r="H252" s="5">
        <v>7043.316000</v>
      </c>
    </row>
    <row r="253" spans="1:9">
      <c r="A253" s="22" t="str">
        <f>HYPERLINK("https://app.vivvix.com/360/KMI/IntelliDrive/ApplUI/Pages/CreativePages/CustomReportCreativeDetail.aspx?App=23&amp;ReportView=4&amp;Qid=1711279&amp;Row=245&amp;Col=1","Find Great Summer Deals")</f>
        <v/>
      </c>
      <c r="B253" s="0" t="s">
        <v>376</v>
      </c>
      <c r="C253" s="0" t="s">
        <v>377</v>
      </c>
      <c r="D253" s="0" t="s">
        <v>377</v>
      </c>
      <c r="E253" s="0" t="inlineStr">
        <is>
          <t xml:space="preserve">Mazda</t>
        </is>
      </c>
      <c r="F253" s="0" t="s">
        <v>17</v>
      </c>
      <c r="G253" s="0" t="s">
        <v>33</v>
      </c>
      <c r="H253" s="5">
        <v>1146.061000</v>
      </c>
    </row>
    <row r="254" spans="1:9">
      <c r="A254" s="22" t="str">
        <f>HYPERLINK("https://app.vivvix.com/360/KMI/IntelliDrive/ApplUI/Pages/CreativePages/CustomReportCreativeDetail.aspx?App=23&amp;ReportView=4&amp;Qid=1711279&amp;Row=246&amp;Col=1","fIND OUT 15 SEC....")</f>
        <v/>
      </c>
      <c r="B254" s="0" t="s">
        <v>378</v>
      </c>
      <c r="E254" s="0" t="inlineStr">
        <is>
          <t xml:space="preserve">Mazda</t>
        </is>
      </c>
      <c r="F254" s="0" t="s">
        <v>28</v>
      </c>
      <c r="G254" s="0" t="s">
        <v>29</v>
      </c>
      <c r="H254" s="5">
        <v>3717963.302000</v>
      </c>
    </row>
    <row r="255" spans="1:9">
      <c r="A255" s="22" t="str">
        <f>HYPERLINK("https://app.vivvix.com/360/KMI/IntelliDrive/ApplUI/Pages/CreativePages/CustomReportCreativeDetail.aspx?App=23&amp;ReportView=4&amp;Qid=1711279&amp;Row=247&amp;Col=1","fIND OUT 15 SEC....")</f>
        <v/>
      </c>
      <c r="B255" s="0" t="s">
        <v>378</v>
      </c>
      <c r="C255" s="0" t="s">
        <v>379</v>
      </c>
      <c r="D255" s="0" t="s">
        <v>379</v>
      </c>
      <c r="E255" s="0" t="inlineStr">
        <is>
          <t xml:space="preserve">Mazda</t>
        </is>
      </c>
      <c r="F255" s="0" t="s">
        <v>28</v>
      </c>
      <c r="G255" s="0" t="s">
        <v>29</v>
      </c>
      <c r="H255" s="5">
        <v>17806.713000</v>
      </c>
    </row>
    <row r="256" spans="1:9">
      <c r="A256" s="22" t="str">
        <f>HYPERLINK("https://app.vivvix.com/360/KMI/IntelliDrive/ApplUI/Pages/CreativePages/CustomReportCreativeDetail.aspx?App=23&amp;ReportView=4&amp;Qid=1711279&amp;Row=248&amp;Col=1","Find Out IIHS Top Safety Pick Cars")</f>
        <v/>
      </c>
      <c r="B256" s="0" t="s">
        <v>380</v>
      </c>
      <c r="E256" s="0" t="inlineStr">
        <is>
          <t xml:space="preserve">Mazda</t>
        </is>
      </c>
      <c r="F256" s="0" t="s">
        <v>28</v>
      </c>
      <c r="G256" s="0" t="s">
        <v>29</v>
      </c>
      <c r="H256" s="5">
        <v>213779.208000</v>
      </c>
    </row>
    <row r="257" spans="1:9">
      <c r="A257" s="22" t="str">
        <f>HYPERLINK("https://app.vivvix.com/360/KMI/IntelliDrive/ApplUI/Pages/CreativePages/CustomReportCreativeDetail.aspx?App=23&amp;ReportView=4&amp;Qid=1711279&amp;Row=249&amp;Col=1","Find Out IIHS Top Safety Pick Cars")</f>
        <v/>
      </c>
      <c r="B257" s="0" t="s">
        <v>380</v>
      </c>
      <c r="C257" s="0" t="s">
        <v>381</v>
      </c>
      <c r="D257" s="0" t="s">
        <v>381</v>
      </c>
      <c r="E257" s="0" t="inlineStr">
        <is>
          <t xml:space="preserve">Mazda</t>
        </is>
      </c>
      <c r="F257" s="0" t="s">
        <v>28</v>
      </c>
      <c r="G257" s="0" t="s">
        <v>29</v>
      </c>
      <c r="H257" s="5">
        <v>8954.935000</v>
      </c>
    </row>
    <row r="258" spans="1:9">
      <c r="A258" s="22" t="str">
        <f>HYPERLINK("https://app.vivvix.com/360/KMI/IntelliDrive/ApplUI/Pages/CreativePages/CustomReportCreativeDetail.aspx?App=23&amp;ReportView=4&amp;Qid=1711279&amp;Row=250&amp;Col=1","Find Out Joy With Amazing Offer")</f>
        <v/>
      </c>
      <c r="B258" s="0" t="s">
        <v>382</v>
      </c>
      <c r="C258" s="0" t="s">
        <v>383</v>
      </c>
      <c r="D258" s="0" t="s">
        <v>383</v>
      </c>
      <c r="E258" s="0" t="inlineStr">
        <is>
          <t xml:space="preserve">Mazda</t>
        </is>
      </c>
      <c r="F258" s="0" t="s">
        <v>28</v>
      </c>
      <c r="G258" s="0" t="s">
        <v>29</v>
      </c>
      <c r="H258" s="5">
        <v>1538.838000</v>
      </c>
    </row>
    <row r="259" spans="1:9">
      <c r="A259" s="22" t="str">
        <f>HYPERLINK("https://app.vivvix.com/360/KMI/IntelliDrive/ApplUI/Pages/CreativePages/CustomReportCreativeDetail.aspx?App=23&amp;ReportView=4&amp;Qid=1711279&amp;Row=251&amp;Col=1","Find Out Number One Ranking SUV")</f>
        <v/>
      </c>
      <c r="B259" s="0" t="s">
        <v>384</v>
      </c>
      <c r="C259" s="0" t="s">
        <v>385</v>
      </c>
      <c r="D259" s="0" t="s">
        <v>385</v>
      </c>
      <c r="E259" s="0" t="inlineStr">
        <is>
          <t xml:space="preserve">Mazda</t>
        </is>
      </c>
      <c r="F259" s="0" t="s">
        <v>13</v>
      </c>
      <c r="G259" s="0" t="s">
        <v>49</v>
      </c>
      <c r="H259" s="5">
        <v>5935.166000</v>
      </c>
    </row>
    <row r="260" spans="1:9">
      <c r="A260" s="22" t="str">
        <f>HYPERLINK("https://app.vivvix.com/360/KMI/IntelliDrive/ApplUI/Pages/CreativePages/CustomReportCreativeDetail.aspx?App=23&amp;ReportView=4&amp;Qid=1711279&amp;Row=252&amp;Col=1","Find Out Number One Ranking SUV")</f>
        <v/>
      </c>
      <c r="B260" s="0" t="s">
        <v>384</v>
      </c>
      <c r="E260" s="0" t="inlineStr">
        <is>
          <t xml:space="preserve">Mazda</t>
        </is>
      </c>
      <c r="F260" s="0" t="s">
        <v>13</v>
      </c>
      <c r="G260" s="0" t="s">
        <v>49</v>
      </c>
      <c r="H260" s="5">
        <v>11744.531000</v>
      </c>
    </row>
    <row r="261" spans="1:9">
      <c r="A261" s="22" t="str">
        <f>HYPERLINK("https://app.vivvix.com/360/KMI/IntelliDrive/ApplUI/Pages/CreativePages/CustomReportCreativeDetail.aspx?App=23&amp;ReportView=4&amp;Qid=1711279&amp;Row=253&amp;Col=1","Find Out The Perfect Car")</f>
        <v/>
      </c>
      <c r="B261" s="0" t="s">
        <v>386</v>
      </c>
      <c r="C261" s="0" t="s">
        <v>387</v>
      </c>
      <c r="D261" s="0" t="s">
        <v>387</v>
      </c>
      <c r="E261" s="0" t="inlineStr">
        <is>
          <t xml:space="preserve">Mazda</t>
        </is>
      </c>
      <c r="F261" s="0" t="inlineStr">
        <is>
          <t xml:space="preserve">Mazda</t>
        </is>
      </c>
      <c r="G261" s="0" t="s">
        <v>210</v>
      </c>
      <c r="H261" s="5">
        <v>1625.355000</v>
      </c>
    </row>
    <row r="262" spans="1:9">
      <c r="A262" s="22" t="str">
        <f>HYPERLINK("https://app.vivvix.com/360/KMI/IntelliDrive/ApplUI/Pages/CreativePages/CustomReportCreativeDetail.aspx?App=23&amp;ReportView=4&amp;Qid=1711279&amp;Row=254&amp;Col=1","Find the connection your looking for this winter")</f>
        <v/>
      </c>
      <c r="B262" s="0" t="s">
        <v>388</v>
      </c>
      <c r="E262" s="0" t="inlineStr">
        <is>
          <t xml:space="preserve">Mazda</t>
        </is>
      </c>
      <c r="F262" s="0" t="s">
        <v>214</v>
      </c>
      <c r="G262" s="0" t="s">
        <v>389</v>
      </c>
      <c r="H262" s="5">
        <v>2905.735000</v>
      </c>
    </row>
    <row r="263" spans="1:9">
      <c r="A263" s="22" t="str">
        <f>HYPERLINK("https://app.vivvix.com/360/KMI/IntelliDrive/ApplUI/Pages/CreativePages/CustomReportCreativeDetail.aspx?App=23&amp;ReportView=4&amp;Qid=1711279&amp;Row=255&amp;Col=1","Find the connection youre looking for this winter")</f>
        <v/>
      </c>
      <c r="B263" s="0" t="s">
        <v>390</v>
      </c>
      <c r="C263" s="0" t="s">
        <v>16</v>
      </c>
      <c r="D263" s="0" t="s">
        <v>16</v>
      </c>
      <c r="E263" s="0" t="inlineStr">
        <is>
          <t xml:space="preserve">Mazda</t>
        </is>
      </c>
      <c r="F263" s="0" t="s">
        <v>17</v>
      </c>
      <c r="G263" s="0" t="s">
        <v>18</v>
      </c>
      <c r="H263" s="5">
        <v>33933.200000</v>
      </c>
    </row>
    <row r="264" spans="1:9">
      <c r="A264" s="22" t="str">
        <f>HYPERLINK("https://app.vivvix.com/360/KMI/IntelliDrive/ApplUI/Pages/CreativePages/CustomReportCreativeDetail.aspx?App=23&amp;ReportView=4&amp;Qid=1711279&amp;Row=256&amp;Col=1","For Electrifying Commutes")</f>
        <v/>
      </c>
      <c r="B264" s="0" t="s">
        <v>391</v>
      </c>
      <c r="C264" s="0" t="s">
        <v>392</v>
      </c>
      <c r="D264" s="0" t="s">
        <v>392</v>
      </c>
      <c r="E264" s="0" t="inlineStr">
        <is>
          <t xml:space="preserve">Mazda</t>
        </is>
      </c>
      <c r="F264" s="0" t="s">
        <v>56</v>
      </c>
      <c r="G264" s="0" t="s">
        <v>57</v>
      </c>
      <c r="H264" s="5">
        <v>1188.232000</v>
      </c>
    </row>
    <row r="265" spans="1:9">
      <c r="A265" s="22" t="str">
        <f>HYPERLINK("https://app.vivvix.com/360/KMI/IntelliDrive/ApplUI/Pages/CreativePages/CustomReportCreativeDetail.aspx?App=23&amp;ReportView=4&amp;Qid=1711279&amp;Row=257&amp;Col=1","for electrifying elegance")</f>
        <v/>
      </c>
      <c r="B265" s="0" t="s">
        <v>393</v>
      </c>
      <c r="C265" s="0" t="s">
        <v>394</v>
      </c>
      <c r="D265" s="0" t="s">
        <v>394</v>
      </c>
      <c r="E265" s="0" t="inlineStr">
        <is>
          <t xml:space="preserve">Mazda</t>
        </is>
      </c>
      <c r="F265" s="0" t="s">
        <v>56</v>
      </c>
      <c r="G265" s="0" t="s">
        <v>57</v>
      </c>
      <c r="H265" s="5">
        <v>558.612000</v>
      </c>
    </row>
    <row r="266" spans="1:9">
      <c r="A266" s="22" t="str">
        <f>HYPERLINK("https://app.vivvix.com/360/KMI/IntelliDrive/ApplUI/Pages/CreativePages/CustomReportCreativeDetail.aspx?App=23&amp;ReportView=4&amp;Qid=1711279&amp;Row=258&amp;Col=1","FOR ELECTRIFYING SOPHISTICATION")</f>
        <v/>
      </c>
      <c r="B266" s="0" t="s">
        <v>395</v>
      </c>
      <c r="C266" s="0" t="s">
        <v>396</v>
      </c>
      <c r="D266" s="0" t="s">
        <v>396</v>
      </c>
      <c r="E266" s="0" t="inlineStr">
        <is>
          <t xml:space="preserve">Mazda</t>
        </is>
      </c>
      <c r="F266" s="0" t="s">
        <v>28</v>
      </c>
      <c r="G266" s="0" t="s">
        <v>29</v>
      </c>
      <c r="H266" s="5">
        <v>187.153000</v>
      </c>
    </row>
    <row r="267" spans="1:9">
      <c r="A267" s="22" t="str">
        <f>HYPERLINK("https://app.vivvix.com/360/KMI/IntelliDrive/ApplUI/Pages/CreativePages/CustomReportCreativeDetail.aspx?App=23&amp;ReportView=4&amp;Qid=1711279&amp;Row=259&amp;Col=1","FOR ELECTRIFYING SOPHISTICATION")</f>
        <v/>
      </c>
      <c r="B267" s="0" t="s">
        <v>397</v>
      </c>
      <c r="C267" s="0" t="s">
        <v>398</v>
      </c>
      <c r="D267" s="0" t="s">
        <v>396</v>
      </c>
      <c r="E267" s="0" t="inlineStr">
        <is>
          <t xml:space="preserve">Mazda</t>
        </is>
      </c>
      <c r="F267" s="0" t="s">
        <v>28</v>
      </c>
      <c r="G267" s="0" t="s">
        <v>29</v>
      </c>
      <c r="H267" s="5">
        <v>8.525000</v>
      </c>
    </row>
    <row r="268" spans="1:9">
      <c r="A268" s="22" t="str">
        <f>HYPERLINK("https://app.vivvix.com/360/KMI/IntelliDrive/ApplUI/Pages/CreativePages/CustomReportCreativeDetail.aspx?App=23&amp;ReportView=4&amp;Qid=1711279&amp;Row=260&amp;Col=1","FOR TRAILBLAZING STYLE &amp; INTELLIGENT.....")</f>
        <v/>
      </c>
      <c r="B268" s="0" t="s">
        <v>399</v>
      </c>
      <c r="C268" s="0" t="s">
        <v>400</v>
      </c>
      <c r="D268" s="0" t="s">
        <v>400</v>
      </c>
      <c r="E268" s="0" t="inlineStr">
        <is>
          <t xml:space="preserve">Mazda</t>
        </is>
      </c>
      <c r="F268" s="0" t="s">
        <v>13</v>
      </c>
      <c r="G268" s="0" t="s">
        <v>49</v>
      </c>
      <c r="H268" s="5">
        <v>30.565000</v>
      </c>
    </row>
    <row r="269" spans="1:9">
      <c r="A269" s="22" t="str">
        <f>HYPERLINK("https://app.vivvix.com/360/KMI/IntelliDrive/ApplUI/Pages/CreativePages/CustomReportCreativeDetail.aspx?App=23&amp;ReportView=4&amp;Qid=1711279&amp;Row=261&amp;Col=1","From 3.95% Lease For 36 Months")</f>
        <v/>
      </c>
      <c r="B269" s="0" t="s">
        <v>401</v>
      </c>
      <c r="C269" s="0" t="s">
        <v>402</v>
      </c>
      <c r="D269" s="0" t="s">
        <v>402</v>
      </c>
      <c r="E269" s="0" t="inlineStr">
        <is>
          <t xml:space="preserve">Mazda</t>
        </is>
      </c>
      <c r="F269" s="0" t="s">
        <v>13</v>
      </c>
      <c r="G269" s="0" t="s">
        <v>14</v>
      </c>
      <c r="H269" s="5">
        <v>932.698000</v>
      </c>
    </row>
    <row r="270" spans="1:9">
      <c r="A270" s="22" t="str">
        <f>HYPERLINK("https://app.vivvix.com/360/KMI/IntelliDrive/ApplUI/Pages/CreativePages/CustomReportCreativeDetail.aspx?App=23&amp;ReportView=4&amp;Qid=1711279&amp;Row=262&amp;Col=1","Fuel For Longer Journeys")</f>
        <v/>
      </c>
      <c r="B270" s="0" t="s">
        <v>403</v>
      </c>
      <c r="C270" s="0" t="s">
        <v>404</v>
      </c>
      <c r="D270" s="0" t="s">
        <v>404</v>
      </c>
      <c r="E270" s="0" t="inlineStr">
        <is>
          <t xml:space="preserve">Mazda</t>
        </is>
      </c>
      <c r="F270" s="0" t="s">
        <v>115</v>
      </c>
      <c r="G270" s="0" t="s">
        <v>365</v>
      </c>
      <c r="H270" s="5">
        <v>7288.794000</v>
      </c>
    </row>
    <row r="271" spans="1:9">
      <c r="A271" s="22" t="str">
        <f>HYPERLINK("https://app.vivvix.com/360/KMI/IntelliDrive/ApplUI/Pages/CreativePages/CustomReportCreativeDetail.aspx?App=23&amp;ReportView=4&amp;Qid=1711279&amp;Row=263&amp;Col=1","Fuel For Longer Journeys")</f>
        <v/>
      </c>
      <c r="B271" s="0" t="s">
        <v>403</v>
      </c>
      <c r="E271" s="0" t="inlineStr">
        <is>
          <t xml:space="preserve">Mazda</t>
        </is>
      </c>
      <c r="F271" s="0" t="s">
        <v>115</v>
      </c>
      <c r="G271" s="0" t="s">
        <v>365</v>
      </c>
      <c r="H271" s="5">
        <v>5870.572000</v>
      </c>
    </row>
    <row r="272" spans="1:9">
      <c r="A272" s="22" t="str">
        <f>HYPERLINK("https://app.vivvix.com/360/KMI/IntelliDrive/ApplUI/Pages/CreativePages/CustomReportCreativeDetail.aspx?App=23&amp;ReportView=4&amp;Qid=1711279&amp;Row=264&amp;Col=1","Get 0% APR For 36 Months")</f>
        <v/>
      </c>
      <c r="B272" s="0" t="s">
        <v>405</v>
      </c>
      <c r="C272" s="0" t="s">
        <v>406</v>
      </c>
      <c r="D272" s="0" t="s">
        <v>406</v>
      </c>
      <c r="E272" s="0" t="inlineStr">
        <is>
          <t xml:space="preserve">Mazda</t>
        </is>
      </c>
      <c r="F272" s="0" t="s">
        <v>13</v>
      </c>
      <c r="G272" s="0" t="s">
        <v>49</v>
      </c>
      <c r="H272" s="5">
        <v>533.448000</v>
      </c>
    </row>
    <row r="273" spans="1:9">
      <c r="A273" s="22" t="str">
        <f>HYPERLINK("https://app.vivvix.com/360/KMI/IntelliDrive/ApplUI/Pages/CreativePages/CustomReportCreativeDetail.aspx?App=23&amp;ReportView=4&amp;Qid=1711279&amp;Row=265&amp;Col=1","get 2024 car at 0% APR FOR 36 MONTHS")</f>
        <v/>
      </c>
      <c r="B273" s="0" t="s">
        <v>407</v>
      </c>
      <c r="C273" s="0" t="s">
        <v>408</v>
      </c>
      <c r="D273" s="0" t="s">
        <v>408</v>
      </c>
      <c r="E273" s="0" t="inlineStr">
        <is>
          <t xml:space="preserve">Mazda</t>
        </is>
      </c>
      <c r="F273" s="0" t="s">
        <v>21</v>
      </c>
      <c r="G273" s="0" t="s">
        <v>22</v>
      </c>
      <c r="H273" s="5">
        <v>31.336000</v>
      </c>
    </row>
    <row r="274" spans="1:9">
      <c r="A274" s="22" t="str">
        <f>HYPERLINK("https://app.vivvix.com/360/KMI/IntelliDrive/ApplUI/Pages/CreativePages/CustomReportCreativeDetail.aspx?App=23&amp;ReportView=4&amp;Qid=1711279&amp;Row=266&amp;Col=1","get 2024 car at zero percent apr")</f>
        <v/>
      </c>
      <c r="B274" s="0" t="s">
        <v>409</v>
      </c>
      <c r="C274" s="0" t="s">
        <v>410</v>
      </c>
      <c r="D274" s="0" t="s">
        <v>410</v>
      </c>
      <c r="E274" s="0" t="inlineStr">
        <is>
          <t xml:space="preserve">Mazda</t>
        </is>
      </c>
      <c r="F274" s="0" t="s">
        <v>13</v>
      </c>
      <c r="G274" s="0" t="s">
        <v>49</v>
      </c>
      <c r="H274" s="5">
        <v>11.608000</v>
      </c>
    </row>
    <row r="275" spans="1:9">
      <c r="A275" s="22" t="str">
        <f>HYPERLINK("https://app.vivvix.com/360/KMI/IntelliDrive/ApplUI/Pages/CreativePages/CustomReportCreativeDetail.aspx?App=23&amp;ReportView=4&amp;Qid=1711279&amp;Row=267&amp;Col=1","Get A Amazing Car At 0% APR For 36 Months")</f>
        <v/>
      </c>
      <c r="B275" s="0" t="s">
        <v>411</v>
      </c>
      <c r="C275" s="0" t="s">
        <v>412</v>
      </c>
      <c r="D275" s="0" t="s">
        <v>413</v>
      </c>
      <c r="E275" s="0" t="inlineStr">
        <is>
          <t xml:space="preserve">Mazda</t>
        </is>
      </c>
      <c r="F275" s="0" t="s">
        <v>28</v>
      </c>
      <c r="G275" s="0" t="s">
        <v>29</v>
      </c>
      <c r="H275" s="5">
        <v>733.176000</v>
      </c>
    </row>
    <row r="276" spans="1:9">
      <c r="A276" s="22" t="str">
        <f>HYPERLINK("https://app.vivvix.com/360/KMI/IntelliDrive/ApplUI/Pages/CreativePages/CustomReportCreativeDetail.aspx?App=23&amp;ReportView=4&amp;Qid=1711279&amp;Row=268&amp;Col=1","Get A Amazing Car At 0% APR For 36 Months")</f>
        <v/>
      </c>
      <c r="B276" s="0" t="s">
        <v>411</v>
      </c>
      <c r="E276" s="0" t="inlineStr">
        <is>
          <t xml:space="preserve">Mazda</t>
        </is>
      </c>
      <c r="F276" s="0" t="s">
        <v>28</v>
      </c>
      <c r="G276" s="0" t="s">
        <v>29</v>
      </c>
      <c r="H276" s="5">
        <v>209.878000</v>
      </c>
    </row>
    <row r="277" spans="1:9">
      <c r="A277" s="22" t="str">
        <f>HYPERLINK("https://app.vivvix.com/360/KMI/IntelliDrive/ApplUI/Pages/CreativePages/CustomReportCreativeDetail.aspx?App=23&amp;ReportView=4&amp;Qid=1711279&amp;Row=269&amp;Col=1","Get A Great Deal Now")</f>
        <v/>
      </c>
      <c r="B277" s="0" t="s">
        <v>414</v>
      </c>
      <c r="C277" s="0" t="s">
        <v>415</v>
      </c>
      <c r="D277" s="0" t="s">
        <v>415</v>
      </c>
      <c r="E277" s="0" t="inlineStr">
        <is>
          <t xml:space="preserve">Mazda</t>
        </is>
      </c>
      <c r="F277" s="0" t="s">
        <v>13</v>
      </c>
      <c r="G277" s="0" t="s">
        <v>49</v>
      </c>
      <c r="H277" s="5">
        <v>1070.558000</v>
      </c>
    </row>
    <row r="278" spans="1:9">
      <c r="A278" s="22" t="str">
        <f>HYPERLINK("https://app.vivvix.com/360/KMI/IntelliDrive/ApplUI/Pages/CreativePages/CustomReportCreativeDetail.aspx?App=23&amp;ReportView=4&amp;Qid=1711279&amp;Row=270&amp;Col=1","Get Amazing Car")</f>
        <v/>
      </c>
      <c r="B278" s="0" t="s">
        <v>416</v>
      </c>
      <c r="C278" s="0" t="s">
        <v>413</v>
      </c>
      <c r="D278" s="0" t="s">
        <v>413</v>
      </c>
      <c r="E278" s="0" t="inlineStr">
        <is>
          <t xml:space="preserve">Mazda</t>
        </is>
      </c>
      <c r="F278" s="0" t="s">
        <v>28</v>
      </c>
      <c r="G278" s="0" t="s">
        <v>29</v>
      </c>
      <c r="H278" s="5">
        <v>1957.386000</v>
      </c>
    </row>
    <row r="279" spans="1:9">
      <c r="A279" s="22" t="str">
        <f>HYPERLINK("https://app.vivvix.com/360/KMI/IntelliDrive/ApplUI/Pages/CreativePages/CustomReportCreativeDetail.aspx?App=23&amp;ReportView=4&amp;Qid=1711279&amp;Row=271&amp;Col=1","Get An Alluring Experience With Premium Features")</f>
        <v/>
      </c>
      <c r="B279" s="0" t="s">
        <v>417</v>
      </c>
      <c r="C279" s="0" t="s">
        <v>418</v>
      </c>
      <c r="D279" s="0" t="s">
        <v>418</v>
      </c>
      <c r="E279" s="0" t="inlineStr">
        <is>
          <t xml:space="preserve">Mazda</t>
        </is>
      </c>
      <c r="F279" s="0" t="s">
        <v>13</v>
      </c>
      <c r="G279" s="0" t="s">
        <v>49</v>
      </c>
      <c r="H279" s="5">
        <v>55.472000</v>
      </c>
    </row>
    <row r="280" spans="1:9">
      <c r="A280" s="22" t="str">
        <f>HYPERLINK("https://app.vivvix.com/360/KMI/IntelliDrive/ApplUI/Pages/CreativePages/CustomReportCreativeDetail.aspx?App=23&amp;ReportView=4&amp;Qid=1711279&amp;Row=272&amp;Col=1","Get An Amazing Car")</f>
        <v/>
      </c>
      <c r="B280" s="0" t="s">
        <v>419</v>
      </c>
      <c r="E280" s="0" t="inlineStr">
        <is>
          <t xml:space="preserve">Mazda</t>
        </is>
      </c>
      <c r="F280" s="0" t="inlineStr">
        <is>
          <t xml:space="preserve">Mazda</t>
        </is>
      </c>
      <c r="G280" s="0" t="s">
        <v>210</v>
      </c>
      <c r="H280" s="5">
        <v>8036.943000</v>
      </c>
    </row>
    <row r="281" spans="1:9">
      <c r="A281" s="22" t="str">
        <f>HYPERLINK("https://app.vivvix.com/360/KMI/IntelliDrive/ApplUI/Pages/CreativePages/CustomReportCreativeDetail.aspx?App=23&amp;ReportView=4&amp;Qid=1711279&amp;Row=273&amp;Col=1","Get An Amazing Car")</f>
        <v/>
      </c>
      <c r="B281" s="0" t="s">
        <v>419</v>
      </c>
      <c r="E281" s="0" t="inlineStr">
        <is>
          <t xml:space="preserve">Mazda</t>
        </is>
      </c>
      <c r="F281" s="0" t="inlineStr">
        <is>
          <t xml:space="preserve">Mazda</t>
        </is>
      </c>
      <c r="G281" s="0" t="s">
        <v>210</v>
      </c>
      <c r="H281" s="5">
        <v>1924.219000</v>
      </c>
    </row>
    <row r="282" spans="1:9">
      <c r="A282" s="22" t="str">
        <f>HYPERLINK("https://app.vivvix.com/360/KMI/IntelliDrive/ApplUI/Pages/CreativePages/CustomReportCreativeDetail.aspx?App=23&amp;ReportView=4&amp;Qid=1711279&amp;Row=274&amp;Col=1","Get Bragging Rights")</f>
        <v/>
      </c>
      <c r="B282" s="0" t="s">
        <v>420</v>
      </c>
      <c r="C282" s="0" t="s">
        <v>421</v>
      </c>
      <c r="D282" s="0" t="s">
        <v>421</v>
      </c>
      <c r="E282" s="0" t="inlineStr">
        <is>
          <t xml:space="preserve">Mazda</t>
        </is>
      </c>
      <c r="F282" s="0" t="s">
        <v>28</v>
      </c>
      <c r="G282" s="0" t="s">
        <v>29</v>
      </c>
      <c r="H282" s="5">
        <v>1666.000000</v>
      </c>
    </row>
    <row r="283" spans="1:9">
      <c r="A283" s="22" t="str">
        <f>HYPERLINK("https://app.vivvix.com/360/KMI/IntelliDrive/ApplUI/Pages/CreativePages/CustomReportCreativeDetail.aspx?App=23&amp;ReportView=4&amp;Qid=1711279&amp;Row=275&amp;Col=1","Get Bragging Rights")</f>
        <v/>
      </c>
      <c r="B283" s="0" t="s">
        <v>420</v>
      </c>
      <c r="C283" s="0" t="s">
        <v>421</v>
      </c>
      <c r="D283" s="0" t="s">
        <v>421</v>
      </c>
      <c r="E283" s="0" t="inlineStr">
        <is>
          <t xml:space="preserve">Mazda</t>
        </is>
      </c>
      <c r="F283" s="0" t="s">
        <v>28</v>
      </c>
      <c r="G283" s="0" t="s">
        <v>29</v>
      </c>
      <c r="H283" s="5">
        <v>463.000000</v>
      </c>
    </row>
    <row r="284" spans="1:9">
      <c r="A284" s="22" t="str">
        <f>HYPERLINK("https://app.vivvix.com/360/KMI/IntelliDrive/ApplUI/Pages/CreativePages/CustomReportCreativeDetail.aspx?App=23&amp;ReportView=4&amp;Qid=1711279&amp;Row=276&amp;Col=1","Get Great Offers On Financing")</f>
        <v/>
      </c>
      <c r="B284" s="0" t="s">
        <v>422</v>
      </c>
      <c r="C284" s="0" t="s">
        <v>423</v>
      </c>
      <c r="D284" s="0" t="s">
        <v>423</v>
      </c>
      <c r="E284" s="0" t="inlineStr">
        <is>
          <t xml:space="preserve">Mazda</t>
        </is>
      </c>
      <c r="F284" s="0" t="s">
        <v>17</v>
      </c>
      <c r="G284" s="0" t="s">
        <v>33</v>
      </c>
      <c r="H284" s="5">
        <v>829.132000</v>
      </c>
    </row>
    <row r="285" spans="1:9">
      <c r="A285" s="22" t="str">
        <f>HYPERLINK("https://app.vivvix.com/360/KMI/IntelliDrive/ApplUI/Pages/CreativePages/CustomReportCreativeDetail.aspx?App=23&amp;ReportView=4&amp;Qid=1711279&amp;Row=277&amp;Col=1","Get Mazda Connected Services With Remote Start")</f>
        <v/>
      </c>
      <c r="B285" s="0" t="s">
        <v>424</v>
      </c>
      <c r="C285" s="0" t="s">
        <v>425</v>
      </c>
      <c r="D285" s="0" t="s">
        <v>425</v>
      </c>
      <c r="E285" s="0" t="inlineStr">
        <is>
          <t xml:space="preserve">Mazda</t>
        </is>
      </c>
      <c r="F285" s="0" t="s">
        <v>17</v>
      </c>
      <c r="G285" s="0" t="s">
        <v>33</v>
      </c>
      <c r="H285" s="5">
        <v>6.328000</v>
      </c>
    </row>
    <row r="286" spans="1:9">
      <c r="A286" s="22" t="str">
        <f>HYPERLINK("https://app.vivvix.com/360/KMI/IntelliDrive/ApplUI/Pages/CreativePages/CustomReportCreativeDetail.aspx?App=23&amp;ReportView=4&amp;Qid=1711279&amp;Row=278&amp;Col=1","Get New Hybrid Car")</f>
        <v/>
      </c>
      <c r="B286" s="0" t="s">
        <v>426</v>
      </c>
      <c r="C286" s="0" t="s">
        <v>427</v>
      </c>
      <c r="D286" s="0" t="s">
        <v>427</v>
      </c>
      <c r="E286" s="0" t="inlineStr">
        <is>
          <t xml:space="preserve">Mazda</t>
        </is>
      </c>
      <c r="F286" s="0" t="s">
        <v>52</v>
      </c>
      <c r="G286" s="0" t="s">
        <v>325</v>
      </c>
      <c r="H286" s="5">
        <v>19.784000</v>
      </c>
    </row>
    <row r="287" spans="1:9">
      <c r="A287" s="22" t="str">
        <f>HYPERLINK("https://app.vivvix.com/360/KMI/IntelliDrive/ApplUI/Pages/CreativePages/CustomReportCreativeDetail.aspx?App=23&amp;ReportView=4&amp;Qid=1711279&amp;Row=279&amp;Col=1","Get Off-Road Ready Mazda CX-50")</f>
        <v/>
      </c>
      <c r="B287" s="0" t="s">
        <v>428</v>
      </c>
      <c r="E287" s="0" t="inlineStr">
        <is>
          <t xml:space="preserve">Mazda</t>
        </is>
      </c>
      <c r="F287" s="0" t="s">
        <v>13</v>
      </c>
      <c r="G287" s="0" t="s">
        <v>49</v>
      </c>
      <c r="H287" s="5">
        <v>10904.428000</v>
      </c>
    </row>
    <row r="288" spans="1:9">
      <c r="A288" s="22" t="str">
        <f>HYPERLINK("https://app.vivvix.com/360/KMI/IntelliDrive/ApplUI/Pages/CreativePages/CustomReportCreativeDetail.aspx?App=23&amp;ReportView=4&amp;Qid=1711279&amp;Row=280&amp;Col=1","Get Off-Road Ready Mazda CX-50")</f>
        <v/>
      </c>
      <c r="B288" s="0" t="s">
        <v>428</v>
      </c>
      <c r="C288" s="0" t="s">
        <v>429</v>
      </c>
      <c r="D288" s="0" t="s">
        <v>429</v>
      </c>
      <c r="E288" s="0" t="inlineStr">
        <is>
          <t xml:space="preserve">Mazda</t>
        </is>
      </c>
      <c r="F288" s="0" t="s">
        <v>13</v>
      </c>
      <c r="G288" s="0" t="s">
        <v>49</v>
      </c>
      <c r="H288" s="5">
        <v>23059.636000</v>
      </c>
    </row>
    <row r="289" spans="1:9">
      <c r="A289" s="22" t="str">
        <f>HYPERLINK("https://app.vivvix.com/360/KMI/IntelliDrive/ApplUI/Pages/CreativePages/CustomReportCreativeDetail.aspx?App=23&amp;ReportView=4&amp;Qid=1711279&amp;Row=281&amp;Col=1","Get Off-Road Ready Mazda CX-50")</f>
        <v/>
      </c>
      <c r="B289" s="0" t="s">
        <v>430</v>
      </c>
      <c r="C289" s="0" t="s">
        <v>431</v>
      </c>
      <c r="D289" s="0" t="s">
        <v>431</v>
      </c>
      <c r="E289" s="0" t="inlineStr">
        <is>
          <t xml:space="preserve">Mazda</t>
        </is>
      </c>
      <c r="F289" s="0" t="s">
        <v>13</v>
      </c>
      <c r="G289" s="0" t="s">
        <v>49</v>
      </c>
      <c r="H289" s="5">
        <v>1263.919000</v>
      </c>
    </row>
    <row r="290" spans="1:9">
      <c r="A290" s="22" t="str">
        <f>HYPERLINK("https://app.vivvix.com/360/KMI/IntelliDrive/ApplUI/Pages/CreativePages/CustomReportCreativeDetail.aspx?App=23&amp;ReportView=4&amp;Qid=1711279&amp;Row=282&amp;Col=1","Get The 2024 Mazda CX-30 With Great Offers")</f>
        <v/>
      </c>
      <c r="B290" s="0" t="s">
        <v>432</v>
      </c>
      <c r="C290" s="0" t="s">
        <v>305</v>
      </c>
      <c r="D290" s="0" t="s">
        <v>305</v>
      </c>
      <c r="E290" s="0" t="inlineStr">
        <is>
          <t xml:space="preserve">Mazda</t>
        </is>
      </c>
      <c r="F290" s="0" t="s">
        <v>21</v>
      </c>
      <c r="G290" s="0" t="s">
        <v>22</v>
      </c>
      <c r="H290" s="5">
        <v>2420.992000</v>
      </c>
    </row>
    <row r="291" spans="1:9">
      <c r="A291" s="22" t="str">
        <f>HYPERLINK("https://app.vivvix.com/360/KMI/IntelliDrive/ApplUI/Pages/CreativePages/CustomReportCreativeDetail.aspx?App=23&amp;ReportView=4&amp;Qid=1711279&amp;Row=283&amp;Col=1","Get The 2024 Mazda CX-30 With Great Offers")</f>
        <v/>
      </c>
      <c r="B291" s="0" t="s">
        <v>432</v>
      </c>
      <c r="E291" s="0" t="inlineStr">
        <is>
          <t xml:space="preserve">Mazda</t>
        </is>
      </c>
      <c r="F291" s="0" t="s">
        <v>21</v>
      </c>
      <c r="G291" s="0" t="s">
        <v>22</v>
      </c>
      <c r="H291" s="5">
        <v>7177.948000</v>
      </c>
    </row>
    <row r="292" spans="1:9">
      <c r="A292" s="22" t="str">
        <f>HYPERLINK("https://app.vivvix.com/360/KMI/IntelliDrive/ApplUI/Pages/CreativePages/CustomReportCreativeDetail.aspx?App=23&amp;ReportView=4&amp;Qid=1711279&amp;Row=284&amp;Col=1","Get The 2025 Mazda CX-70 With Great Offers")</f>
        <v/>
      </c>
      <c r="B292" s="0" t="s">
        <v>433</v>
      </c>
      <c r="C292" s="0" t="s">
        <v>434</v>
      </c>
      <c r="D292" s="0" t="s">
        <v>434</v>
      </c>
      <c r="E292" s="0" t="inlineStr">
        <is>
          <t xml:space="preserve">Mazda</t>
        </is>
      </c>
      <c r="F292" s="0" t="s">
        <v>52</v>
      </c>
      <c r="G292" s="0" t="s">
        <v>325</v>
      </c>
      <c r="H292" s="5">
        <v>1481.807000</v>
      </c>
    </row>
    <row r="293" spans="1:9">
      <c r="A293" s="22" t="str">
        <f>HYPERLINK("https://app.vivvix.com/360/KMI/IntelliDrive/ApplUI/Pages/CreativePages/CustomReportCreativeDetail.aspx?App=23&amp;ReportView=4&amp;Qid=1711279&amp;Row=285&amp;Col=1","Get The 2025 Mazda CX-70 With Great Offers")</f>
        <v/>
      </c>
      <c r="B293" s="0" t="s">
        <v>433</v>
      </c>
      <c r="E293" s="0" t="inlineStr">
        <is>
          <t xml:space="preserve">Mazda</t>
        </is>
      </c>
      <c r="F293" s="0" t="s">
        <v>52</v>
      </c>
      <c r="G293" s="0" t="s">
        <v>325</v>
      </c>
      <c r="H293" s="5">
        <v>10498.038000</v>
      </c>
    </row>
    <row r="294" spans="1:9">
      <c r="A294" s="22" t="str">
        <f>HYPERLINK("https://app.vivvix.com/360/KMI/IntelliDrive/ApplUI/Pages/CreativePages/CustomReportCreativeDetail.aspx?App=23&amp;ReportView=4&amp;Qid=1711279&amp;Row=286&amp;Col=1","Get The 2025 Mazda CX-70 With Great Offers")</f>
        <v/>
      </c>
      <c r="B294" s="0" t="s">
        <v>435</v>
      </c>
      <c r="C294" s="0" t="s">
        <v>436</v>
      </c>
      <c r="D294" s="0" t="s">
        <v>436</v>
      </c>
      <c r="E294" s="0" t="inlineStr">
        <is>
          <t xml:space="preserve">Mazda</t>
        </is>
      </c>
      <c r="F294" s="0" t="s">
        <v>52</v>
      </c>
      <c r="G294" s="0" t="s">
        <v>325</v>
      </c>
      <c r="H294" s="5">
        <v>83.078000</v>
      </c>
    </row>
    <row r="295" spans="1:9">
      <c r="A295" s="22" t="str">
        <f>HYPERLINK("https://app.vivvix.com/360/KMI/IntelliDrive/ApplUI/Pages/CreativePages/CustomReportCreativeDetail.aspx?App=23&amp;ReportView=4&amp;Qid=1711279&amp;Row=287&amp;Col=1","Get The 2025 Mazda CX-70 With Great Offers")</f>
        <v/>
      </c>
      <c r="B295" s="0" t="s">
        <v>435</v>
      </c>
      <c r="E295" s="0" t="inlineStr">
        <is>
          <t xml:space="preserve">Mazda</t>
        </is>
      </c>
      <c r="F295" s="0" t="s">
        <v>52</v>
      </c>
      <c r="G295" s="0" t="s">
        <v>325</v>
      </c>
      <c r="H295" s="5">
        <v>251.858000</v>
      </c>
    </row>
    <row r="296" spans="1:9">
      <c r="A296" s="22" t="str">
        <f>HYPERLINK("https://app.vivvix.com/360/KMI/IntelliDrive/ApplUI/Pages/CreativePages/CustomReportCreativeDetail.aspx?App=23&amp;ReportView=4&amp;Qid=1711279&amp;Row=288&amp;Col=1","Get The All New Car")</f>
        <v/>
      </c>
      <c r="B296" s="0" t="s">
        <v>437</v>
      </c>
      <c r="C296" s="0" t="s">
        <v>438</v>
      </c>
      <c r="D296" s="0" t="s">
        <v>438</v>
      </c>
      <c r="E296" s="0" t="inlineStr">
        <is>
          <t xml:space="preserve">Mazda</t>
        </is>
      </c>
      <c r="F296" s="0" t="s">
        <v>52</v>
      </c>
      <c r="G296" s="0" t="s">
        <v>325</v>
      </c>
      <c r="H296" s="5">
        <v>109.242000</v>
      </c>
    </row>
    <row r="297" spans="1:9">
      <c r="A297" s="22" t="str">
        <f>HYPERLINK("https://app.vivvix.com/360/KMI/IntelliDrive/ApplUI/Pages/CreativePages/CustomReportCreativeDetail.aspx?App=23&amp;ReportView=4&amp;Qid=1711279&amp;Row=289&amp;Col=1","Get The All-New Mazda CX-70")</f>
        <v/>
      </c>
      <c r="B297" s="0" t="s">
        <v>439</v>
      </c>
      <c r="C297" s="0" t="s">
        <v>440</v>
      </c>
      <c r="D297" s="0" t="s">
        <v>440</v>
      </c>
      <c r="E297" s="0" t="inlineStr">
        <is>
          <t xml:space="preserve">Mazda</t>
        </is>
      </c>
      <c r="F297" s="0" t="s">
        <v>52</v>
      </c>
      <c r="G297" s="0" t="s">
        <v>325</v>
      </c>
      <c r="H297" s="5">
        <v>2838.736000</v>
      </c>
    </row>
    <row r="298" spans="1:9">
      <c r="A298" s="22" t="str">
        <f>HYPERLINK("https://app.vivvix.com/360/KMI/IntelliDrive/ApplUI/Pages/CreativePages/CustomReportCreativeDetail.aspx?App=23&amp;ReportView=4&amp;Qid=1711279&amp;Row=290&amp;Col=1","Get The All-New Mazda CX-70")</f>
        <v/>
      </c>
      <c r="B298" s="0" t="s">
        <v>439</v>
      </c>
      <c r="E298" s="0" t="inlineStr">
        <is>
          <t xml:space="preserve">Mazda</t>
        </is>
      </c>
      <c r="F298" s="0" t="s">
        <v>52</v>
      </c>
      <c r="G298" s="0" t="s">
        <v>325</v>
      </c>
      <c r="H298" s="5">
        <v>7820.200000</v>
      </c>
    </row>
    <row r="299" spans="1:9">
      <c r="A299" s="22" t="str">
        <f>HYPERLINK("https://app.vivvix.com/360/KMI/IntelliDrive/ApplUI/Pages/CreativePages/CustomReportCreativeDetail.aspx?App=23&amp;ReportView=4&amp;Qid=1711279&amp;Row=291&amp;Col=1","Get The Best Awarded Car")</f>
        <v/>
      </c>
      <c r="B299" s="0" t="s">
        <v>441</v>
      </c>
      <c r="C299" s="0" t="s">
        <v>442</v>
      </c>
      <c r="D299" s="0" t="s">
        <v>442</v>
      </c>
      <c r="E299" s="0" t="inlineStr">
        <is>
          <t xml:space="preserve">Mazda</t>
        </is>
      </c>
      <c r="F299" s="0" t="s">
        <v>13</v>
      </c>
      <c r="G299" s="0" t="s">
        <v>49</v>
      </c>
      <c r="H299" s="5">
        <v>16.222000</v>
      </c>
    </row>
    <row r="300" spans="1:9">
      <c r="A300" s="22" t="str">
        <f>HYPERLINK("https://app.vivvix.com/360/KMI/IntelliDrive/ApplUI/Pages/CreativePages/CustomReportCreativeDetail.aspx?App=23&amp;ReportView=4&amp;Qid=1711279&amp;Row=292&amp;Col=1","Get The Best Car")</f>
        <v/>
      </c>
      <c r="B300" s="0" t="s">
        <v>443</v>
      </c>
      <c r="C300" s="0" t="s">
        <v>444</v>
      </c>
      <c r="D300" s="0" t="s">
        <v>444</v>
      </c>
      <c r="E300" s="0" t="inlineStr">
        <is>
          <t xml:space="preserve">Mazda</t>
        </is>
      </c>
      <c r="F300" s="0" t="s">
        <v>13</v>
      </c>
      <c r="G300" s="0" t="s">
        <v>49</v>
      </c>
      <c r="H300" s="5">
        <v>46841.024000</v>
      </c>
    </row>
    <row r="301" spans="1:9">
      <c r="A301" s="22" t="str">
        <f>HYPERLINK("https://app.vivvix.com/360/KMI/IntelliDrive/ApplUI/Pages/CreativePages/CustomReportCreativeDetail.aspx?App=23&amp;ReportView=4&amp;Qid=1711279&amp;Row=293&amp;Col=1","Get The Best Car")</f>
        <v/>
      </c>
      <c r="B301" s="0" t="s">
        <v>443</v>
      </c>
      <c r="E301" s="0" t="inlineStr">
        <is>
          <t xml:space="preserve">Mazda</t>
        </is>
      </c>
      <c r="F301" s="0" t="s">
        <v>13</v>
      </c>
      <c r="G301" s="0" t="s">
        <v>49</v>
      </c>
      <c r="H301" s="5">
        <v>240146.687000</v>
      </c>
    </row>
    <row r="302" spans="1:9">
      <c r="A302" s="22" t="str">
        <f>HYPERLINK("https://app.vivvix.com/360/KMI/IntelliDrive/ApplUI/Pages/CreativePages/CustomReportCreativeDetail.aspx?App=23&amp;ReportView=4&amp;Qid=1711279&amp;Row=294&amp;Col=1","Get The Best Car")</f>
        <v/>
      </c>
      <c r="B302" s="0" t="s">
        <v>445</v>
      </c>
      <c r="C302" s="0" t="s">
        <v>446</v>
      </c>
      <c r="D302" s="0" t="s">
        <v>446</v>
      </c>
      <c r="E302" s="0" t="inlineStr">
        <is>
          <t xml:space="preserve">Mazda</t>
        </is>
      </c>
      <c r="F302" s="0" t="s">
        <v>17</v>
      </c>
      <c r="G302" s="0" t="s">
        <v>18</v>
      </c>
      <c r="H302" s="5">
        <v>2534.751000</v>
      </c>
    </row>
    <row r="303" spans="1:9">
      <c r="A303" s="22" t="str">
        <f>HYPERLINK("https://app.vivvix.com/360/KMI/IntelliDrive/ApplUI/Pages/CreativePages/CustomReportCreativeDetail.aspx?App=23&amp;ReportView=4&amp;Qid=1711279&amp;Row=295&amp;Col=1","Get The Best Car")</f>
        <v/>
      </c>
      <c r="B303" s="0" t="s">
        <v>447</v>
      </c>
      <c r="C303" s="0" t="s">
        <v>448</v>
      </c>
      <c r="D303" s="0" t="s">
        <v>448</v>
      </c>
      <c r="E303" s="0" t="inlineStr">
        <is>
          <t xml:space="preserve">Mazda</t>
        </is>
      </c>
      <c r="F303" s="0" t="s">
        <v>17</v>
      </c>
      <c r="G303" s="0" t="s">
        <v>33</v>
      </c>
      <c r="H303" s="5">
        <v>24.665000</v>
      </c>
    </row>
    <row r="304" spans="1:9">
      <c r="A304" s="22" t="str">
        <f>HYPERLINK("https://app.vivvix.com/360/KMI/IntelliDrive/ApplUI/Pages/CreativePages/CustomReportCreativeDetail.aspx?App=23&amp;ReportView=4&amp;Qid=1711279&amp;Row=296&amp;Col=1","Get The Best Car")</f>
        <v/>
      </c>
      <c r="B304" s="0" t="s">
        <v>449</v>
      </c>
      <c r="C304" s="0" t="s">
        <v>450</v>
      </c>
      <c r="D304" s="0" t="s">
        <v>450</v>
      </c>
      <c r="E304" s="0" t="inlineStr">
        <is>
          <t xml:space="preserve">Mazda</t>
        </is>
      </c>
      <c r="F304" s="0" t="s">
        <v>52</v>
      </c>
      <c r="G304" s="0" t="s">
        <v>325</v>
      </c>
      <c r="H304" s="5">
        <v>2290.398000</v>
      </c>
    </row>
    <row r="305" spans="1:9">
      <c r="A305" s="22" t="str">
        <f>HYPERLINK("https://app.vivvix.com/360/KMI/IntelliDrive/ApplUI/Pages/CreativePages/CustomReportCreativeDetail.aspx?App=23&amp;ReportView=4&amp;Qid=1711279&amp;Row=297&amp;Col=1","Get The Best Car")</f>
        <v/>
      </c>
      <c r="B305" s="0" t="s">
        <v>449</v>
      </c>
      <c r="E305" s="0" t="inlineStr">
        <is>
          <t xml:space="preserve">Mazda</t>
        </is>
      </c>
      <c r="F305" s="0" t="s">
        <v>52</v>
      </c>
      <c r="G305" s="0" t="s">
        <v>325</v>
      </c>
      <c r="H305" s="5">
        <v>125.929000</v>
      </c>
    </row>
    <row r="306" spans="1:9">
      <c r="A306" s="22" t="str">
        <f>HYPERLINK("https://app.vivvix.com/360/KMI/IntelliDrive/ApplUI/Pages/CreativePages/CustomReportCreativeDetail.aspx?App=23&amp;ReportView=4&amp;Qid=1711279&amp;Row=298&amp;Col=1","Get The Best Car")</f>
        <v/>
      </c>
      <c r="B306" s="0" t="s">
        <v>451</v>
      </c>
      <c r="C306" s="0" t="s">
        <v>452</v>
      </c>
      <c r="D306" s="0" t="s">
        <v>452</v>
      </c>
      <c r="E306" s="0" t="inlineStr">
        <is>
          <t xml:space="preserve">Mazda</t>
        </is>
      </c>
      <c r="F306" s="0" t="s">
        <v>13</v>
      </c>
      <c r="G306" s="0" t="s">
        <v>49</v>
      </c>
      <c r="H306" s="5">
        <v>1790.712000</v>
      </c>
    </row>
    <row r="307" spans="1:9">
      <c r="A307" s="22" t="str">
        <f>HYPERLINK("https://app.vivvix.com/360/KMI/IntelliDrive/ApplUI/Pages/CreativePages/CustomReportCreativeDetail.aspx?App=23&amp;ReportView=4&amp;Qid=1711279&amp;Row=299&amp;Col=1","Get The Best Car")</f>
        <v/>
      </c>
      <c r="B307" s="0" t="s">
        <v>453</v>
      </c>
      <c r="C307" s="0" t="s">
        <v>454</v>
      </c>
      <c r="D307" s="0" t="s">
        <v>454</v>
      </c>
      <c r="E307" s="0" t="inlineStr">
        <is>
          <t xml:space="preserve">Mazda</t>
        </is>
      </c>
      <c r="F307" s="0" t="s">
        <v>125</v>
      </c>
      <c r="G307" s="0" t="s">
        <v>346</v>
      </c>
      <c r="H307" s="5">
        <v>3218.478000</v>
      </c>
    </row>
    <row r="308" spans="1:9">
      <c r="A308" s="22" t="str">
        <f>HYPERLINK("https://app.vivvix.com/360/KMI/IntelliDrive/ApplUI/Pages/CreativePages/CustomReportCreativeDetail.aspx?App=23&amp;ReportView=4&amp;Qid=1711279&amp;Row=300&amp;Col=1","Get The Best Car")</f>
        <v/>
      </c>
      <c r="B308" s="0" t="s">
        <v>455</v>
      </c>
      <c r="C308" s="0" t="s">
        <v>456</v>
      </c>
      <c r="D308" s="0" t="s">
        <v>456</v>
      </c>
      <c r="E308" s="0" t="inlineStr">
        <is>
          <t xml:space="preserve">Mazda</t>
        </is>
      </c>
      <c r="F308" s="0" t="s">
        <v>17</v>
      </c>
      <c r="G308" s="0" t="s">
        <v>33</v>
      </c>
      <c r="H308" s="5">
        <v>2731.356000</v>
      </c>
    </row>
    <row r="309" spans="1:9">
      <c r="A309" s="22" t="str">
        <f>HYPERLINK("https://app.vivvix.com/360/KMI/IntelliDrive/ApplUI/Pages/CreativePages/CustomReportCreativeDetail.aspx?App=23&amp;ReportView=4&amp;Qid=1711279&amp;Row=301&amp;Col=1","Get The Best Car")</f>
        <v/>
      </c>
      <c r="B309" s="0" t="s">
        <v>455</v>
      </c>
      <c r="E309" s="0" t="inlineStr">
        <is>
          <t xml:space="preserve">Mazda</t>
        </is>
      </c>
      <c r="F309" s="0" t="s">
        <v>17</v>
      </c>
      <c r="G309" s="0" t="s">
        <v>33</v>
      </c>
      <c r="H309" s="5">
        <v>28272.060000</v>
      </c>
    </row>
    <row r="310" spans="1:9">
      <c r="A310" s="22" t="str">
        <f>HYPERLINK("https://app.vivvix.com/360/KMI/IntelliDrive/ApplUI/Pages/CreativePages/CustomReportCreativeDetail.aspx?App=23&amp;ReportView=4&amp;Qid=1711279&amp;Row=302&amp;Col=1","Get The Best Car")</f>
        <v/>
      </c>
      <c r="B310" s="0" t="s">
        <v>457</v>
      </c>
      <c r="E310" s="0" t="inlineStr">
        <is>
          <t xml:space="preserve">Mazda</t>
        </is>
      </c>
      <c r="F310" s="0" t="s">
        <v>125</v>
      </c>
      <c r="G310" s="0" t="s">
        <v>346</v>
      </c>
      <c r="H310" s="5">
        <v>834.394000</v>
      </c>
    </row>
    <row r="311" spans="1:9">
      <c r="A311" s="22" t="str">
        <f>HYPERLINK("https://app.vivvix.com/360/KMI/IntelliDrive/ApplUI/Pages/CreativePages/CustomReportCreativeDetail.aspx?App=23&amp;ReportView=4&amp;Qid=1711279&amp;Row=303&amp;Col=1","Get The Best Car")</f>
        <v/>
      </c>
      <c r="B311" s="0" t="s">
        <v>457</v>
      </c>
      <c r="C311" s="0" t="s">
        <v>458</v>
      </c>
      <c r="D311" s="0" t="s">
        <v>458</v>
      </c>
      <c r="E311" s="0" t="inlineStr">
        <is>
          <t xml:space="preserve">Mazda</t>
        </is>
      </c>
      <c r="F311" s="0" t="s">
        <v>125</v>
      </c>
      <c r="G311" s="0" t="s">
        <v>346</v>
      </c>
      <c r="H311" s="5">
        <v>14819.009000</v>
      </c>
    </row>
    <row r="312" spans="1:9">
      <c r="A312" s="22" t="str">
        <f>HYPERLINK("https://app.vivvix.com/360/KMI/IntelliDrive/ApplUI/Pages/CreativePages/CustomReportCreativeDetail.aspx?App=23&amp;ReportView=4&amp;Qid=1711279&amp;Row=304&amp;Col=1","Get The Best Car")</f>
        <v/>
      </c>
      <c r="B312" s="0" t="s">
        <v>459</v>
      </c>
      <c r="C312" s="0" t="s">
        <v>460</v>
      </c>
      <c r="D312" s="0" t="s">
        <v>460</v>
      </c>
      <c r="E312" s="0" t="inlineStr">
        <is>
          <t xml:space="preserve">Mazda</t>
        </is>
      </c>
      <c r="F312" s="0" t="s">
        <v>125</v>
      </c>
      <c r="G312" s="0" t="s">
        <v>346</v>
      </c>
      <c r="H312" s="5">
        <v>229.518000</v>
      </c>
    </row>
    <row r="313" spans="1:9">
      <c r="A313" s="22" t="str">
        <f>HYPERLINK("https://app.vivvix.com/360/KMI/IntelliDrive/ApplUI/Pages/CreativePages/CustomReportCreativeDetail.aspx?App=23&amp;ReportView=4&amp;Qid=1711279&amp;Row=305&amp;Col=1","Get The Best Car")</f>
        <v/>
      </c>
      <c r="B313" s="0" t="s">
        <v>461</v>
      </c>
      <c r="C313" s="0" t="s">
        <v>462</v>
      </c>
      <c r="D313" s="0" t="s">
        <v>462</v>
      </c>
      <c r="E313" s="0" t="inlineStr">
        <is>
          <t xml:space="preserve">Mazda</t>
        </is>
      </c>
      <c r="F313" s="0" t="s">
        <v>125</v>
      </c>
      <c r="G313" s="0" t="s">
        <v>346</v>
      </c>
      <c r="H313" s="5">
        <v>3599.846000</v>
      </c>
    </row>
    <row r="314" spans="1:9">
      <c r="A314" s="22" t="str">
        <f>HYPERLINK("https://app.vivvix.com/360/KMI/IntelliDrive/ApplUI/Pages/CreativePages/CustomReportCreativeDetail.aspx?App=23&amp;ReportView=4&amp;Qid=1711279&amp;Row=306&amp;Col=1","Get The Best Car")</f>
        <v/>
      </c>
      <c r="B314" s="0" t="s">
        <v>461</v>
      </c>
      <c r="E314" s="0" t="inlineStr">
        <is>
          <t xml:space="preserve">Mazda</t>
        </is>
      </c>
      <c r="F314" s="0" t="s">
        <v>125</v>
      </c>
      <c r="G314" s="0" t="s">
        <v>346</v>
      </c>
      <c r="H314" s="5">
        <v>6479.273000</v>
      </c>
    </row>
    <row r="315" spans="1:9">
      <c r="A315" s="22" t="str">
        <f>HYPERLINK("https://app.vivvix.com/360/KMI/IntelliDrive/ApplUI/Pages/CreativePages/CustomReportCreativeDetail.aspx?App=23&amp;ReportView=4&amp;Qid=1711279&amp;Row=307&amp;Col=1","Get The Best Car")</f>
        <v/>
      </c>
      <c r="B315" s="0" t="s">
        <v>463</v>
      </c>
      <c r="C315" s="0" t="s">
        <v>464</v>
      </c>
      <c r="D315" s="0" t="s">
        <v>464</v>
      </c>
      <c r="E315" s="0" t="inlineStr">
        <is>
          <t xml:space="preserve">Mazda</t>
        </is>
      </c>
      <c r="F315" s="0" t="s">
        <v>125</v>
      </c>
      <c r="G315" s="0" t="s">
        <v>346</v>
      </c>
      <c r="H315" s="5">
        <v>27.990000</v>
      </c>
    </row>
    <row r="316" spans="1:9">
      <c r="A316" s="22" t="str">
        <f>HYPERLINK("https://app.vivvix.com/360/KMI/IntelliDrive/ApplUI/Pages/CreativePages/CustomReportCreativeDetail.aspx?App=23&amp;ReportView=4&amp;Qid=1711279&amp;Row=308&amp;Col=1","Get The Best Car  .")</f>
        <v/>
      </c>
      <c r="B316" s="0" t="s">
        <v>465</v>
      </c>
      <c r="C316" s="0" t="s">
        <v>466</v>
      </c>
      <c r="D316" s="0" t="s">
        <v>466</v>
      </c>
      <c r="E316" s="0" t="inlineStr">
        <is>
          <t xml:space="preserve">Mazda</t>
        </is>
      </c>
      <c r="F316" s="0" t="s">
        <v>125</v>
      </c>
      <c r="G316" s="0" t="s">
        <v>346</v>
      </c>
      <c r="H316" s="5">
        <v>4120.592000</v>
      </c>
    </row>
    <row r="317" spans="1:9">
      <c r="A317" s="22" t="str">
        <f>HYPERLINK("https://app.vivvix.com/360/KMI/IntelliDrive/ApplUI/Pages/CreativePages/CustomReportCreativeDetail.aspx?App=23&amp;ReportView=4&amp;Qid=1711279&amp;Row=309&amp;Col=1","Get The Best Car Ever")</f>
        <v/>
      </c>
      <c r="B317" s="0" t="s">
        <v>467</v>
      </c>
      <c r="C317" s="0" t="s">
        <v>468</v>
      </c>
      <c r="D317" s="0" t="s">
        <v>408</v>
      </c>
      <c r="E317" s="0" t="inlineStr">
        <is>
          <t xml:space="preserve">Mazda</t>
        </is>
      </c>
      <c r="F317" s="0" t="s">
        <v>21</v>
      </c>
      <c r="G317" s="0" t="s">
        <v>22</v>
      </c>
      <c r="H317" s="5">
        <v>1118.646000</v>
      </c>
    </row>
    <row r="318" spans="1:9">
      <c r="A318" s="22" t="str">
        <f>HYPERLINK("https://app.vivvix.com/360/KMI/IntelliDrive/ApplUI/Pages/CreativePages/CustomReportCreativeDetail.aspx?App=23&amp;ReportView=4&amp;Qid=1711279&amp;Row=310&amp;Col=1","Get The Best Car Ever")</f>
        <v/>
      </c>
      <c r="B318" s="0" t="s">
        <v>467</v>
      </c>
      <c r="E318" s="0" t="inlineStr">
        <is>
          <t xml:space="preserve">Mazda</t>
        </is>
      </c>
      <c r="F318" s="0" t="s">
        <v>21</v>
      </c>
      <c r="G318" s="0" t="s">
        <v>22</v>
      </c>
      <c r="H318" s="5">
        <v>38568.393000</v>
      </c>
    </row>
    <row r="319" spans="1:9">
      <c r="A319" s="22" t="str">
        <f>HYPERLINK("https://app.vivvix.com/360/KMI/IntelliDrive/ApplUI/Pages/CreativePages/CustomReportCreativeDetail.aspx?App=23&amp;ReportView=4&amp;Qid=1711279&amp;Row=311&amp;Col=1","Get The Best Car Ever")</f>
        <v/>
      </c>
      <c r="B319" s="0" t="s">
        <v>469</v>
      </c>
      <c r="C319" s="0" t="s">
        <v>470</v>
      </c>
      <c r="D319" s="0" t="s">
        <v>470</v>
      </c>
      <c r="E319" s="0" t="inlineStr">
        <is>
          <t xml:space="preserve">Mazda</t>
        </is>
      </c>
      <c r="F319" s="0" t="s">
        <v>52</v>
      </c>
      <c r="G319" s="0" t="s">
        <v>325</v>
      </c>
      <c r="H319" s="5">
        <v>34.856000</v>
      </c>
    </row>
    <row r="320" spans="1:9">
      <c r="A320" s="22" t="str">
        <f>HYPERLINK("https://app.vivvix.com/360/KMI/IntelliDrive/ApplUI/Pages/CreativePages/CustomReportCreativeDetail.aspx?App=23&amp;ReportView=4&amp;Qid=1711279&amp;Row=312&amp;Col=1","Get The Best Deal On Mazda Find Out Event")</f>
        <v/>
      </c>
      <c r="B320" s="0" t="s">
        <v>471</v>
      </c>
      <c r="C320" s="0" t="s">
        <v>472</v>
      </c>
      <c r="D320" s="0" t="s">
        <v>472</v>
      </c>
      <c r="E320" s="0" t="inlineStr">
        <is>
          <t xml:space="preserve">Mazda</t>
        </is>
      </c>
      <c r="F320" s="0" t="s">
        <v>56</v>
      </c>
      <c r="G320" s="0" t="s">
        <v>57</v>
      </c>
      <c r="H320" s="5">
        <v>1067.013000</v>
      </c>
    </row>
    <row r="321" spans="1:9">
      <c r="A321" s="22" t="str">
        <f>HYPERLINK("https://app.vivvix.com/360/KMI/IntelliDrive/ApplUI/Pages/CreativePages/CustomReportCreativeDetail.aspx?App=23&amp;ReportView=4&amp;Qid=1711279&amp;Row=313&amp;Col=1","Get The Best Performance")</f>
        <v/>
      </c>
      <c r="B321" s="0" t="s">
        <v>473</v>
      </c>
      <c r="C321" s="0" t="s">
        <v>474</v>
      </c>
      <c r="D321" s="0" t="s">
        <v>474</v>
      </c>
      <c r="E321" s="0" t="inlineStr">
        <is>
          <t xml:space="preserve">Mazda</t>
        </is>
      </c>
      <c r="F321" s="0" t="s">
        <v>21</v>
      </c>
      <c r="G321" s="0" t="s">
        <v>22</v>
      </c>
      <c r="H321" s="5">
        <v>6624.760000</v>
      </c>
    </row>
    <row r="322" spans="1:9">
      <c r="A322" s="22" t="str">
        <f>HYPERLINK("https://app.vivvix.com/360/KMI/IntelliDrive/ApplUI/Pages/CreativePages/CustomReportCreativeDetail.aspx?App=23&amp;ReportView=4&amp;Qid=1711279&amp;Row=314&amp;Col=1","Get The Best Performance")</f>
        <v/>
      </c>
      <c r="B322" s="0" t="s">
        <v>473</v>
      </c>
      <c r="E322" s="0" t="inlineStr">
        <is>
          <t xml:space="preserve">Mazda</t>
        </is>
      </c>
      <c r="F322" s="0" t="s">
        <v>21</v>
      </c>
      <c r="G322" s="0" t="s">
        <v>22</v>
      </c>
      <c r="H322" s="5">
        <v>151684.379000</v>
      </c>
    </row>
    <row r="323" spans="1:9">
      <c r="A323" s="22" t="str">
        <f>HYPERLINK("https://app.vivvix.com/360/KMI/IntelliDrive/ApplUI/Pages/CreativePages/CustomReportCreativeDetail.aspx?App=23&amp;ReportView=4&amp;Qid=1711279&amp;Row=315&amp;Col=1","Get The Best Performance")</f>
        <v/>
      </c>
      <c r="B323" s="0" t="s">
        <v>475</v>
      </c>
      <c r="C323" s="0" t="s">
        <v>476</v>
      </c>
      <c r="D323" s="0" t="s">
        <v>476</v>
      </c>
      <c r="E323" s="0" t="inlineStr">
        <is>
          <t xml:space="preserve">Mazda</t>
        </is>
      </c>
      <c r="F323" s="0" t="s">
        <v>21</v>
      </c>
      <c r="G323" s="0" t="s">
        <v>22</v>
      </c>
      <c r="H323" s="5">
        <v>5.965000</v>
      </c>
    </row>
    <row r="324" spans="1:9">
      <c r="A324" s="22" t="str">
        <f>HYPERLINK("https://app.vivvix.com/360/KMI/IntelliDrive/ApplUI/Pages/CreativePages/CustomReportCreativeDetail.aspx?App=23&amp;ReportView=4&amp;Qid=1711279&amp;Row=316&amp;Col=1","Get The Best Safety Car")</f>
        <v/>
      </c>
      <c r="B324" s="0" t="s">
        <v>477</v>
      </c>
      <c r="C324" s="0" t="s">
        <v>478</v>
      </c>
      <c r="D324" s="0" t="s">
        <v>478</v>
      </c>
      <c r="E324" s="0" t="inlineStr">
        <is>
          <t xml:space="preserve">Mazda</t>
        </is>
      </c>
      <c r="F324" s="0" t="s">
        <v>17</v>
      </c>
      <c r="G324" s="0" t="s">
        <v>33</v>
      </c>
      <c r="H324" s="5">
        <v>160.216000</v>
      </c>
    </row>
    <row r="325" spans="1:9">
      <c r="A325" s="22" t="str">
        <f>HYPERLINK("https://app.vivvix.com/360/KMI/IntelliDrive/ApplUI/Pages/CreativePages/CustomReportCreativeDetail.aspx?App=23&amp;ReportView=4&amp;Qid=1711279&amp;Row=317&amp;Col=1","Get The Best SUV")</f>
        <v/>
      </c>
      <c r="B325" s="0" t="s">
        <v>479</v>
      </c>
      <c r="C325" s="0" t="s">
        <v>480</v>
      </c>
      <c r="D325" s="0" t="s">
        <v>480</v>
      </c>
      <c r="E325" s="0" t="inlineStr">
        <is>
          <t xml:space="preserve">Mazda</t>
        </is>
      </c>
      <c r="F325" s="0" t="s">
        <v>13</v>
      </c>
      <c r="G325" s="0" t="s">
        <v>49</v>
      </c>
      <c r="H325" s="5">
        <v>17526.955000</v>
      </c>
    </row>
    <row r="326" spans="1:9">
      <c r="A326" s="22" t="str">
        <f>HYPERLINK("https://app.vivvix.com/360/KMI/IntelliDrive/ApplUI/Pages/CreativePages/CustomReportCreativeDetail.aspx?App=23&amp;ReportView=4&amp;Qid=1711279&amp;Row=318&amp;Col=1","Get The Best SUV")</f>
        <v/>
      </c>
      <c r="B326" s="0" t="s">
        <v>479</v>
      </c>
      <c r="E326" s="0" t="inlineStr">
        <is>
          <t xml:space="preserve">Mazda</t>
        </is>
      </c>
      <c r="F326" s="0" t="s">
        <v>13</v>
      </c>
      <c r="G326" s="0" t="s">
        <v>49</v>
      </c>
      <c r="H326" s="5">
        <v>7072.606000</v>
      </c>
    </row>
    <row r="327" spans="1:9">
      <c r="A327" s="22" t="str">
        <f>HYPERLINK("https://app.vivvix.com/360/KMI/IntelliDrive/ApplUI/Pages/CreativePages/CustomReportCreativeDetail.aspx?App=23&amp;ReportView=4&amp;Qid=1711279&amp;Row=319&amp;Col=1","Get The Best Value Car")</f>
        <v/>
      </c>
      <c r="B327" s="0" t="s">
        <v>481</v>
      </c>
      <c r="C327" s="0" t="s">
        <v>482</v>
      </c>
      <c r="D327" s="0" t="s">
        <v>482</v>
      </c>
      <c r="E327" s="0" t="inlineStr">
        <is>
          <t xml:space="preserve">Mazda</t>
        </is>
      </c>
      <c r="F327" s="0" t="s">
        <v>52</v>
      </c>
      <c r="G327" s="0" t="s">
        <v>53</v>
      </c>
      <c r="H327" s="5">
        <v>1971.916000</v>
      </c>
    </row>
    <row r="328" spans="1:9">
      <c r="A328" s="22" t="str">
        <f>HYPERLINK("https://app.vivvix.com/360/KMI/IntelliDrive/ApplUI/Pages/CreativePages/CustomReportCreativeDetail.aspx?App=23&amp;ReportView=4&amp;Qid=1711279&amp;Row=320&amp;Col=1","Get The Best Value Car")</f>
        <v/>
      </c>
      <c r="B328" s="0" t="s">
        <v>481</v>
      </c>
      <c r="E328" s="0" t="inlineStr">
        <is>
          <t xml:space="preserve">Mazda</t>
        </is>
      </c>
      <c r="F328" s="0" t="s">
        <v>52</v>
      </c>
      <c r="G328" s="0" t="s">
        <v>53</v>
      </c>
      <c r="H328" s="5">
        <v>28624.942000</v>
      </c>
    </row>
    <row r="329" spans="1:9">
      <c r="A329" s="22" t="str">
        <f>HYPERLINK("https://app.vivvix.com/360/KMI/IntelliDrive/ApplUI/Pages/CreativePages/CustomReportCreativeDetail.aspx?App=23&amp;ReportView=4&amp;Qid=1711279&amp;Row=321&amp;Col=1","Get The Best Value Car")</f>
        <v/>
      </c>
      <c r="B329" s="0" t="s">
        <v>483</v>
      </c>
      <c r="C329" s="0" t="s">
        <v>484</v>
      </c>
      <c r="D329" s="0" t="s">
        <v>484</v>
      </c>
      <c r="E329" s="0" t="inlineStr">
        <is>
          <t xml:space="preserve">Mazda</t>
        </is>
      </c>
      <c r="F329" s="0" t="s">
        <v>52</v>
      </c>
      <c r="G329" s="0" t="s">
        <v>325</v>
      </c>
      <c r="H329" s="5">
        <v>135.252000</v>
      </c>
    </row>
    <row r="330" spans="1:9">
      <c r="A330" s="22" t="str">
        <f>HYPERLINK("https://app.vivvix.com/360/KMI/IntelliDrive/ApplUI/Pages/CreativePages/CustomReportCreativeDetail.aspx?App=23&amp;ReportView=4&amp;Qid=1711279&amp;Row=322&amp;Col=1","Get The Best Value For Your Money")</f>
        <v/>
      </c>
      <c r="B330" s="0" t="s">
        <v>485</v>
      </c>
      <c r="C330" s="0" t="s">
        <v>486</v>
      </c>
      <c r="D330" s="0" t="s">
        <v>486</v>
      </c>
      <c r="E330" s="0" t="inlineStr">
        <is>
          <t xml:space="preserve">Mazda</t>
        </is>
      </c>
      <c r="F330" s="0" t="s">
        <v>21</v>
      </c>
      <c r="G330" s="0" t="s">
        <v>22</v>
      </c>
      <c r="H330" s="5">
        <v>1078.095000</v>
      </c>
    </row>
    <row r="331" spans="1:9">
      <c r="A331" s="22" t="str">
        <f>HYPERLINK("https://app.vivvix.com/360/KMI/IntelliDrive/ApplUI/Pages/CreativePages/CustomReportCreativeDetail.aspx?App=23&amp;ReportView=4&amp;Qid=1711279&amp;Row=323&amp;Col=1","Get The Best Value For Your Money")</f>
        <v/>
      </c>
      <c r="B331" s="0" t="s">
        <v>485</v>
      </c>
      <c r="E331" s="0" t="inlineStr">
        <is>
          <t xml:space="preserve">Mazda</t>
        </is>
      </c>
      <c r="F331" s="0" t="s">
        <v>21</v>
      </c>
      <c r="G331" s="0" t="s">
        <v>22</v>
      </c>
      <c r="H331" s="5">
        <v>20482.902000</v>
      </c>
    </row>
    <row r="332" spans="1:9">
      <c r="A332" s="22" t="str">
        <f>HYPERLINK("https://app.vivvix.com/360/KMI/IntelliDrive/ApplUI/Pages/CreativePages/CustomReportCreativeDetail.aspx?App=23&amp;ReportView=4&amp;Qid=1711279&amp;Row=324&amp;Col=1","Get The Car For Your Special Moment")</f>
        <v/>
      </c>
      <c r="B332" s="0" t="s">
        <v>487</v>
      </c>
      <c r="C332" s="0" t="s">
        <v>488</v>
      </c>
      <c r="D332" s="0" t="s">
        <v>488</v>
      </c>
      <c r="E332" s="0" t="inlineStr">
        <is>
          <t xml:space="preserve">Mazda</t>
        </is>
      </c>
      <c r="F332" s="0" t="s">
        <v>17</v>
      </c>
      <c r="G332" s="0" t="s">
        <v>33</v>
      </c>
      <c r="H332" s="5">
        <v>288.918000</v>
      </c>
    </row>
    <row r="333" spans="1:9">
      <c r="A333" s="22" t="str">
        <f>HYPERLINK("https://app.vivvix.com/360/KMI/IntelliDrive/ApplUI/Pages/CreativePages/CustomReportCreativeDetail.aspx?App=23&amp;ReportView=4&amp;Qid=1711279&amp;Row=325&amp;Col=1","Get The Car Perfect For Family")</f>
        <v/>
      </c>
      <c r="B333" s="0" t="s">
        <v>489</v>
      </c>
      <c r="C333" s="0" t="s">
        <v>490</v>
      </c>
      <c r="D333" s="0" t="s">
        <v>490</v>
      </c>
      <c r="E333" s="0" t="inlineStr">
        <is>
          <t xml:space="preserve">Mazda</t>
        </is>
      </c>
      <c r="F333" s="0" t="s">
        <v>13</v>
      </c>
      <c r="G333" s="0" t="s">
        <v>36</v>
      </c>
      <c r="H333" s="5">
        <v>3484.348000</v>
      </c>
    </row>
    <row r="334" spans="1:9">
      <c r="A334" s="22" t="str">
        <f>HYPERLINK("https://app.vivvix.com/360/KMI/IntelliDrive/ApplUI/Pages/CreativePages/CustomReportCreativeDetail.aspx?App=23&amp;ReportView=4&amp;Qid=1711279&amp;Row=326&amp;Col=1","Get The Car Perfect For Family")</f>
        <v/>
      </c>
      <c r="B334" s="0" t="s">
        <v>491</v>
      </c>
      <c r="C334" s="0" t="s">
        <v>492</v>
      </c>
      <c r="D334" s="0" t="s">
        <v>492</v>
      </c>
      <c r="E334" s="0" t="inlineStr">
        <is>
          <t xml:space="preserve">Mazda</t>
        </is>
      </c>
      <c r="F334" s="0" t="s">
        <v>13</v>
      </c>
      <c r="G334" s="0" t="s">
        <v>36</v>
      </c>
      <c r="H334" s="5">
        <v>3170.055000</v>
      </c>
    </row>
    <row r="335" spans="1:9">
      <c r="A335" s="22" t="str">
        <f>HYPERLINK("https://app.vivvix.com/360/KMI/IntelliDrive/ApplUI/Pages/CreativePages/CustomReportCreativeDetail.aspx?App=23&amp;ReportView=4&amp;Qid=1711279&amp;Row=327&amp;Col=1","Get The Car With Great Features")</f>
        <v/>
      </c>
      <c r="B335" s="0" t="s">
        <v>493</v>
      </c>
      <c r="C335" s="0" t="s">
        <v>494</v>
      </c>
      <c r="D335" s="0" t="s">
        <v>494</v>
      </c>
      <c r="E335" s="0" t="inlineStr">
        <is>
          <t xml:space="preserve">Mazda</t>
        </is>
      </c>
      <c r="F335" s="0" t="s">
        <v>13</v>
      </c>
      <c r="G335" s="0" t="s">
        <v>49</v>
      </c>
      <c r="H335" s="5">
        <v>752.177000</v>
      </c>
    </row>
    <row r="336" spans="1:9">
      <c r="A336" s="22" t="str">
        <f>HYPERLINK("https://app.vivvix.com/360/KMI/IntelliDrive/ApplUI/Pages/CreativePages/CustomReportCreativeDetail.aspx?App=23&amp;ReportView=4&amp;Qid=1711279&amp;Row=328&amp;Col=1","Get the Connection to the Road")</f>
        <v/>
      </c>
      <c r="B336" s="0" t="s">
        <v>495</v>
      </c>
      <c r="C336" s="0" t="s">
        <v>496</v>
      </c>
      <c r="D336" s="0" t="s">
        <v>496</v>
      </c>
      <c r="E336" s="0" t="inlineStr">
        <is>
          <t xml:space="preserve">Mazda</t>
        </is>
      </c>
      <c r="F336" s="0" t="s">
        <v>13</v>
      </c>
      <c r="G336" s="0" t="s">
        <v>49</v>
      </c>
      <c r="H336" s="5">
        <v>4992.528000</v>
      </c>
    </row>
    <row r="337" spans="1:9">
      <c r="A337" s="22" t="str">
        <f>HYPERLINK("https://app.vivvix.com/360/KMI/IntelliDrive/ApplUI/Pages/CreativePages/CustomReportCreativeDetail.aspx?App=23&amp;ReportView=4&amp;Qid=1711279&amp;Row=329&amp;Col=1","Get The Finely Crafted Mazda CX-70")</f>
        <v/>
      </c>
      <c r="B337" s="0" t="s">
        <v>497</v>
      </c>
      <c r="C337" s="0" t="s">
        <v>498</v>
      </c>
      <c r="D337" s="0" t="s">
        <v>498</v>
      </c>
      <c r="E337" s="0" t="inlineStr">
        <is>
          <t xml:space="preserve">Mazda</t>
        </is>
      </c>
      <c r="F337" s="0" t="s">
        <v>52</v>
      </c>
      <c r="G337" s="0" t="s">
        <v>53</v>
      </c>
      <c r="H337" s="5">
        <v>1096.211000</v>
      </c>
    </row>
    <row r="338" spans="1:9">
      <c r="A338" s="22" t="str">
        <f>HYPERLINK("https://app.vivvix.com/360/KMI/IntelliDrive/ApplUI/Pages/CreativePages/CustomReportCreativeDetail.aspx?App=23&amp;ReportView=4&amp;Qid=1711279&amp;Row=330&amp;Col=1","Get The Finely Crafted Mazda CX-70")</f>
        <v/>
      </c>
      <c r="B338" s="0" t="s">
        <v>497</v>
      </c>
      <c r="E338" s="0" t="inlineStr">
        <is>
          <t xml:space="preserve">Mazda</t>
        </is>
      </c>
      <c r="F338" s="0" t="s">
        <v>52</v>
      </c>
      <c r="G338" s="0" t="s">
        <v>53</v>
      </c>
      <c r="H338" s="5">
        <v>29054.945000</v>
      </c>
    </row>
    <row r="339" spans="1:9">
      <c r="A339" s="22" t="str">
        <f>HYPERLINK("https://app.vivvix.com/360/KMI/IntelliDrive/ApplUI/Pages/CreativePages/CustomReportCreativeDetail.aspx?App=23&amp;ReportView=4&amp;Qid=1711279&amp;Row=331&amp;Col=1","Get The Hybrid Car")</f>
        <v/>
      </c>
      <c r="B339" s="0" t="s">
        <v>499</v>
      </c>
      <c r="C339" s="0" t="s">
        <v>500</v>
      </c>
      <c r="D339" s="0" t="s">
        <v>500</v>
      </c>
      <c r="E339" s="0" t="inlineStr">
        <is>
          <t xml:space="preserve">Mazda</t>
        </is>
      </c>
      <c r="F339" s="0" t="s">
        <v>125</v>
      </c>
      <c r="G339" s="0" t="s">
        <v>346</v>
      </c>
      <c r="H339" s="5">
        <v>2871.774000</v>
      </c>
    </row>
    <row r="340" spans="1:9">
      <c r="A340" s="22" t="str">
        <f>HYPERLINK("https://app.vivvix.com/360/KMI/IntelliDrive/ApplUI/Pages/CreativePages/CustomReportCreativeDetail.aspx?App=23&amp;ReportView=4&amp;Qid=1711279&amp;Row=332&amp;Col=1","Get The Hybrid Car")</f>
        <v/>
      </c>
      <c r="B340" s="0" t="s">
        <v>499</v>
      </c>
      <c r="E340" s="0" t="inlineStr">
        <is>
          <t xml:space="preserve">Mazda</t>
        </is>
      </c>
      <c r="F340" s="0" t="s">
        <v>125</v>
      </c>
      <c r="G340" s="0" t="s">
        <v>346</v>
      </c>
      <c r="H340" s="5">
        <v>12958.546000</v>
      </c>
    </row>
    <row r="341" spans="1:9">
      <c r="A341" s="22" t="str">
        <f>HYPERLINK("https://app.vivvix.com/360/KMI/IntelliDrive/ApplUI/Pages/CreativePages/CustomReportCreativeDetail.aspx?App=23&amp;ReportView=4&amp;Qid=1711279&amp;Row=333&amp;Col=1","Get The Mazda CX-90 With Great Offers")</f>
        <v/>
      </c>
      <c r="B341" s="0" t="s">
        <v>501</v>
      </c>
      <c r="C341" s="0" t="s">
        <v>502</v>
      </c>
      <c r="D341" s="0" t="s">
        <v>502</v>
      </c>
      <c r="E341" s="0" t="inlineStr">
        <is>
          <t xml:space="preserve">Mazda</t>
        </is>
      </c>
      <c r="F341" s="0" t="s">
        <v>28</v>
      </c>
      <c r="G341" s="0" t="s">
        <v>29</v>
      </c>
      <c r="H341" s="5">
        <v>45.530000</v>
      </c>
    </row>
    <row r="342" spans="1:9">
      <c r="A342" s="22" t="str">
        <f>HYPERLINK("https://app.vivvix.com/360/KMI/IntelliDrive/ApplUI/Pages/CreativePages/CustomReportCreativeDetail.aspx?App=23&amp;ReportView=4&amp;Qid=1711279&amp;Row=334&amp;Col=1","Get The Mazda With Great Offers")</f>
        <v/>
      </c>
      <c r="B342" s="0" t="s">
        <v>503</v>
      </c>
      <c r="C342" s="0" t="s">
        <v>504</v>
      </c>
      <c r="D342" s="0" t="s">
        <v>504</v>
      </c>
      <c r="E342" s="0" t="inlineStr">
        <is>
          <t xml:space="preserve">Mazda</t>
        </is>
      </c>
      <c r="F342" s="0" t="inlineStr">
        <is>
          <t xml:space="preserve">Mazda</t>
        </is>
      </c>
      <c r="G342" s="0" t="s">
        <v>505</v>
      </c>
      <c r="H342" s="5">
        <v>2571.694000</v>
      </c>
    </row>
    <row r="343" spans="1:9">
      <c r="A343" s="22" t="str">
        <f>HYPERLINK("https://app.vivvix.com/360/KMI/IntelliDrive/ApplUI/Pages/CreativePages/CustomReportCreativeDetail.aspx?App=23&amp;ReportView=4&amp;Qid=1711279&amp;Row=335&amp;Col=1","Get The Most Desirable SUV")</f>
        <v/>
      </c>
      <c r="B343" s="0" t="s">
        <v>506</v>
      </c>
      <c r="C343" s="0" t="s">
        <v>507</v>
      </c>
      <c r="D343" s="0" t="s">
        <v>507</v>
      </c>
      <c r="E343" s="0" t="inlineStr">
        <is>
          <t xml:space="preserve">Mazda</t>
        </is>
      </c>
      <c r="F343" s="0" t="s">
        <v>13</v>
      </c>
      <c r="G343" s="0" t="s">
        <v>49</v>
      </c>
      <c r="H343" s="5">
        <v>60.842000</v>
      </c>
    </row>
    <row r="344" spans="1:9">
      <c r="A344" s="22" t="str">
        <f>HYPERLINK("https://app.vivvix.com/360/KMI/IntelliDrive/ApplUI/Pages/CreativePages/CustomReportCreativeDetail.aspx?App=23&amp;ReportView=4&amp;Qid=1711279&amp;Row=336&amp;Col=1","Get The Most Desirable SUV")</f>
        <v/>
      </c>
      <c r="B344" s="0" t="s">
        <v>508</v>
      </c>
      <c r="C344" s="0" t="s">
        <v>509</v>
      </c>
      <c r="D344" s="0" t="s">
        <v>509</v>
      </c>
      <c r="E344" s="0" t="inlineStr">
        <is>
          <t xml:space="preserve">Mazda</t>
        </is>
      </c>
      <c r="F344" s="0" t="s">
        <v>13</v>
      </c>
      <c r="G344" s="0" t="s">
        <v>49</v>
      </c>
      <c r="H344" s="5">
        <v>459.622000</v>
      </c>
    </row>
    <row r="345" spans="1:9">
      <c r="A345" s="22" t="str">
        <f>HYPERLINK("https://app.vivvix.com/360/KMI/IntelliDrive/ApplUI/Pages/CreativePages/CustomReportCreativeDetail.aspx?App=23&amp;ReportView=4&amp;Qid=1711279&amp;Row=337&amp;Col=1","Get The Most Premium Elecric Vehicle")</f>
        <v/>
      </c>
      <c r="B345" s="0" t="s">
        <v>510</v>
      </c>
      <c r="C345" s="0" t="s">
        <v>511</v>
      </c>
      <c r="D345" s="0" t="s">
        <v>511</v>
      </c>
      <c r="E345" s="0" t="inlineStr">
        <is>
          <t xml:space="preserve">Mazda</t>
        </is>
      </c>
      <c r="F345" s="0" t="s">
        <v>115</v>
      </c>
      <c r="G345" s="0" t="s">
        <v>365</v>
      </c>
      <c r="H345" s="5">
        <v>629.286000</v>
      </c>
    </row>
    <row r="346" spans="1:9">
      <c r="A346" s="22" t="str">
        <f>HYPERLINK("https://app.vivvix.com/360/KMI/IntelliDrive/ApplUI/Pages/CreativePages/CustomReportCreativeDetail.aspx?App=23&amp;ReportView=4&amp;Qid=1711279&amp;Row=338&amp;Col=1","Get the Premium SUV")</f>
        <v/>
      </c>
      <c r="B346" s="0" t="s">
        <v>512</v>
      </c>
      <c r="C346" s="0" t="s">
        <v>513</v>
      </c>
      <c r="D346" s="0" t="s">
        <v>513</v>
      </c>
      <c r="E346" s="0" t="inlineStr">
        <is>
          <t xml:space="preserve">Mazda</t>
        </is>
      </c>
      <c r="F346" s="0" t="inlineStr">
        <is>
          <t xml:space="preserve">Mazda</t>
        </is>
      </c>
      <c r="G346" s="0" t="s">
        <v>210</v>
      </c>
      <c r="H346" s="5">
        <v>10305.618000</v>
      </c>
    </row>
    <row r="347" spans="1:9">
      <c r="A347" s="22" t="str">
        <f>HYPERLINK("https://app.vivvix.com/360/KMI/IntelliDrive/ApplUI/Pages/CreativePages/CustomReportCreativeDetail.aspx?App=23&amp;ReportView=4&amp;Qid=1711279&amp;Row=339&amp;Col=1","Get the Premium SUV")</f>
        <v/>
      </c>
      <c r="B347" s="0" t="s">
        <v>512</v>
      </c>
      <c r="E347" s="0" t="inlineStr">
        <is>
          <t xml:space="preserve">Mazda</t>
        </is>
      </c>
      <c r="F347" s="0" t="inlineStr">
        <is>
          <t xml:space="preserve">Mazda</t>
        </is>
      </c>
      <c r="G347" s="0" t="s">
        <v>210</v>
      </c>
      <c r="H347" s="5">
        <v>69429.246000</v>
      </c>
    </row>
    <row r="348" spans="1:9">
      <c r="A348" s="22" t="str">
        <f>HYPERLINK("https://app.vivvix.com/360/KMI/IntelliDrive/ApplUI/Pages/CreativePages/CustomReportCreativeDetail.aspx?App=23&amp;ReportView=4&amp;Qid=1711279&amp;Row=340&amp;Col=1","Get The Punches Above Class")</f>
        <v/>
      </c>
      <c r="B348" s="0" t="s">
        <v>514</v>
      </c>
      <c r="C348" s="0" t="s">
        <v>515</v>
      </c>
      <c r="D348" s="0" t="s">
        <v>515</v>
      </c>
      <c r="E348" s="0" t="inlineStr">
        <is>
          <t xml:space="preserve">Mazda</t>
        </is>
      </c>
      <c r="F348" s="0" t="s">
        <v>13</v>
      </c>
      <c r="G348" s="0" t="s">
        <v>49</v>
      </c>
      <c r="H348" s="5">
        <v>2367.725000</v>
      </c>
    </row>
    <row r="349" spans="1:9">
      <c r="A349" s="22" t="str">
        <f>HYPERLINK("https://app.vivvix.com/360/KMI/IntelliDrive/ApplUI/Pages/CreativePages/CustomReportCreativeDetail.aspx?App=23&amp;ReportView=4&amp;Qid=1711279&amp;Row=341&amp;Col=1","Get This Amazing Car")</f>
        <v/>
      </c>
      <c r="B349" s="0" t="s">
        <v>516</v>
      </c>
      <c r="C349" s="0" t="s">
        <v>517</v>
      </c>
      <c r="D349" s="0" t="s">
        <v>517</v>
      </c>
      <c r="E349" s="0" t="inlineStr">
        <is>
          <t xml:space="preserve">Mazda</t>
        </is>
      </c>
      <c r="F349" s="0" t="inlineStr">
        <is>
          <t xml:space="preserve">Mazda</t>
        </is>
      </c>
      <c r="G349" s="0" t="s">
        <v>210</v>
      </c>
      <c r="H349" s="5">
        <v>8096.494000</v>
      </c>
    </row>
    <row r="350" spans="1:9">
      <c r="A350" s="22" t="str">
        <f>HYPERLINK("https://app.vivvix.com/360/KMI/IntelliDrive/ApplUI/Pages/CreativePages/CustomReportCreativeDetail.aspx?App=23&amp;ReportView=4&amp;Qid=1711279&amp;Row=342&amp;Col=1","Get This Amazing Car")</f>
        <v/>
      </c>
      <c r="B350" s="0" t="s">
        <v>516</v>
      </c>
      <c r="E350" s="0" t="inlineStr">
        <is>
          <t xml:space="preserve">Mazda</t>
        </is>
      </c>
      <c r="F350" s="0" t="inlineStr">
        <is>
          <t xml:space="preserve">Mazda</t>
        </is>
      </c>
      <c r="G350" s="0" t="s">
        <v>210</v>
      </c>
      <c r="H350" s="5">
        <v>19523.922000</v>
      </c>
    </row>
    <row r="351" spans="1:9">
      <c r="A351" s="22" t="str">
        <f>HYPERLINK("https://app.vivvix.com/360/KMI/IntelliDrive/ApplUI/Pages/CreativePages/CustomReportCreativeDetail.aspx?App=23&amp;ReportView=4&amp;Qid=1711279&amp;Row=343&amp;Col=1","Get Your Car At Affordable Price")</f>
        <v/>
      </c>
      <c r="B351" s="0" t="s">
        <v>518</v>
      </c>
      <c r="C351" s="0" t="s">
        <v>519</v>
      </c>
      <c r="D351" s="0" t="s">
        <v>519</v>
      </c>
      <c r="E351" s="0" t="inlineStr">
        <is>
          <t xml:space="preserve">Mazda</t>
        </is>
      </c>
      <c r="F351" s="0" t="s">
        <v>56</v>
      </c>
      <c r="G351" s="0" t="s">
        <v>57</v>
      </c>
      <c r="H351" s="5">
        <v>224.026000</v>
      </c>
    </row>
    <row r="352" spans="1:9">
      <c r="A352" s="22" t="str">
        <f>HYPERLINK("https://app.vivvix.com/360/KMI/IntelliDrive/ApplUI/Pages/CreativePages/CustomReportCreativeDetail.aspx?App=23&amp;ReportView=4&amp;Qid=1711279&amp;Row=344&amp;Col=1","Go Freely Into Nature WIth Mazda")</f>
        <v/>
      </c>
      <c r="B352" s="0" t="s">
        <v>520</v>
      </c>
      <c r="C352" s="0" t="s">
        <v>521</v>
      </c>
      <c r="D352" s="0" t="s">
        <v>521</v>
      </c>
      <c r="E352" s="0" t="inlineStr">
        <is>
          <t xml:space="preserve">Mazda</t>
        </is>
      </c>
      <c r="F352" s="0" t="s">
        <v>17</v>
      </c>
      <c r="G352" s="0" t="s">
        <v>33</v>
      </c>
      <c r="H352" s="5">
        <v>175.971000</v>
      </c>
    </row>
    <row r="353" spans="1:9">
      <c r="A353" s="22" t="str">
        <f>HYPERLINK("https://app.vivvix.com/360/KMI/IntelliDrive/ApplUI/Pages/CreativePages/CustomReportCreativeDetail.aspx?App=23&amp;ReportView=4&amp;Qid=1711279&amp;Row=345&amp;Col=1","Great Ride")</f>
        <v/>
      </c>
      <c r="B353" s="0" t="s">
        <v>522</v>
      </c>
      <c r="C353" s="0" t="s">
        <v>523</v>
      </c>
      <c r="D353" s="0" t="s">
        <v>523</v>
      </c>
      <c r="E353" s="0" t="inlineStr">
        <is>
          <t xml:space="preserve">Mazda</t>
        </is>
      </c>
      <c r="F353" s="0" t="s">
        <v>13</v>
      </c>
      <c r="G353" s="0" t="s">
        <v>49</v>
      </c>
      <c r="H353" s="5">
        <v>496.140000</v>
      </c>
    </row>
    <row r="354" spans="1:9">
      <c r="A354" s="22" t="str">
        <f>HYPERLINK("https://app.vivvix.com/360/KMI/IntelliDrive/ApplUI/Pages/CreativePages/CustomReportCreativeDetail.aspx?App=23&amp;ReportView=4&amp;Qid=1711279&amp;Row=346&amp;Col=1","Great Safety Features Car")</f>
        <v/>
      </c>
      <c r="B354" s="0" t="s">
        <v>524</v>
      </c>
      <c r="C354" s="0" t="s">
        <v>525</v>
      </c>
      <c r="D354" s="0" t="s">
        <v>525</v>
      </c>
      <c r="E354" s="0" t="inlineStr">
        <is>
          <t xml:space="preserve">Mazda</t>
        </is>
      </c>
      <c r="F354" s="0" t="s">
        <v>52</v>
      </c>
      <c r="G354" s="0" t="s">
        <v>325</v>
      </c>
      <c r="H354" s="5">
        <v>4945.568000</v>
      </c>
    </row>
    <row r="355" spans="1:9">
      <c r="A355" s="22" t="str">
        <f>HYPERLINK("https://app.vivvix.com/360/KMI/IntelliDrive/ApplUI/Pages/CreativePages/CustomReportCreativeDetail.aspx?App=23&amp;ReportView=4&amp;Qid=1711279&amp;Row=347&amp;Col=1","Great Safety Features Car")</f>
        <v/>
      </c>
      <c r="B355" s="0" t="s">
        <v>524</v>
      </c>
      <c r="E355" s="0" t="inlineStr">
        <is>
          <t xml:space="preserve">Mazda</t>
        </is>
      </c>
      <c r="F355" s="0" t="s">
        <v>52</v>
      </c>
      <c r="G355" s="0" t="s">
        <v>325</v>
      </c>
      <c r="H355" s="5">
        <v>145.563000</v>
      </c>
    </row>
    <row r="356" spans="1:9">
      <c r="A356" s="22" t="str">
        <f>HYPERLINK("https://app.vivvix.com/360/KMI/IntelliDrive/ApplUI/Pages/CreativePages/CustomReportCreativeDetail.aspx?App=23&amp;ReportView=4&amp;Qid=1711279&amp;Row=348&amp;Col=1","Having a Car is Beauty/Legalese")</f>
        <v/>
      </c>
      <c r="B356" s="0" t="s">
        <v>526</v>
      </c>
      <c r="C356" s="0" t="s">
        <v>527</v>
      </c>
      <c r="D356" s="0" t="s">
        <v>528</v>
      </c>
      <c r="E356" s="0" t="inlineStr">
        <is>
          <t xml:space="preserve">Mazda</t>
        </is>
      </c>
      <c r="F356" s="0" t="s">
        <v>21</v>
      </c>
      <c r="G356" s="0" t="s">
        <v>22</v>
      </c>
      <c r="H356" s="5">
        <v>2841.696000</v>
      </c>
    </row>
    <row r="357" spans="1:9">
      <c r="A357" s="22" t="str">
        <f>HYPERLINK("https://app.vivvix.com/360/KMI/IntelliDrive/ApplUI/Pages/CreativePages/CustomReportCreativeDetail.aspx?App=23&amp;ReportView=4&amp;Qid=1711279&amp;Row=349&amp;Col=1","Having a Car is Beauty/Legalese")</f>
        <v/>
      </c>
      <c r="B357" s="0" t="s">
        <v>526</v>
      </c>
      <c r="E357" s="0" t="inlineStr">
        <is>
          <t xml:space="preserve">Mazda</t>
        </is>
      </c>
      <c r="F357" s="0" t="s">
        <v>21</v>
      </c>
      <c r="G357" s="0" t="s">
        <v>22</v>
      </c>
      <c r="H357" s="5">
        <v>47765.022000</v>
      </c>
    </row>
    <row r="358" spans="1:9">
      <c r="A358" s="22" t="str">
        <f>HYPERLINK("https://app.vivvix.com/360/KMI/IntelliDrive/ApplUI/Pages/CreativePages/CustomReportCreativeDetail.aspx?App=23&amp;ReportView=4&amp;Qid=1711279&amp;Row=350&amp;Col=1","hybrid car shown here.")</f>
        <v/>
      </c>
      <c r="B358" s="0" t="s">
        <v>529</v>
      </c>
      <c r="C358" s="0" t="s">
        <v>530</v>
      </c>
      <c r="D358" s="0" t="s">
        <v>530</v>
      </c>
      <c r="E358" s="0" t="inlineStr">
        <is>
          <t xml:space="preserve">Mazda</t>
        </is>
      </c>
      <c r="F358" s="0" t="s">
        <v>115</v>
      </c>
      <c r="G358" s="0" t="s">
        <v>365</v>
      </c>
      <c r="H358" s="5">
        <v>44.471000</v>
      </c>
    </row>
    <row r="359" spans="1:9">
      <c r="A359" s="22" t="str">
        <f>HYPERLINK("https://app.vivvix.com/360/KMI/IntelliDrive/ApplUI/Pages/CreativePages/CustomReportCreativeDetail.aspx?App=23&amp;ReportView=4&amp;Qid=1711279&amp;Row=351&amp;Col=1","i like how the screen is so big")</f>
        <v/>
      </c>
      <c r="B359" s="0" t="s">
        <v>531</v>
      </c>
      <c r="C359" s="0" t="s">
        <v>167</v>
      </c>
      <c r="D359" s="0" t="s">
        <v>167</v>
      </c>
      <c r="E359" s="0" t="inlineStr">
        <is>
          <t xml:space="preserve">Mazda</t>
        </is>
      </c>
      <c r="F359" s="0" t="s">
        <v>28</v>
      </c>
      <c r="G359" s="0" t="s">
        <v>29</v>
      </c>
      <c r="H359" s="5">
        <v>154332.592000</v>
      </c>
    </row>
    <row r="360" spans="1:9">
      <c r="A360" s="22" t="str">
        <f>HYPERLINK("https://app.vivvix.com/360/KMI/IntelliDrive/ApplUI/Pages/CreativePages/CustomReportCreativeDetail.aspx?App=23&amp;ReportView=4&amp;Qid=1711279&amp;Row=352&amp;Col=1","i like how the screen is so big")</f>
        <v/>
      </c>
      <c r="B360" s="0" t="s">
        <v>531</v>
      </c>
      <c r="E360" s="0" t="inlineStr">
        <is>
          <t xml:space="preserve">Mazda</t>
        </is>
      </c>
      <c r="F360" s="0" t="s">
        <v>28</v>
      </c>
      <c r="G360" s="0" t="s">
        <v>29</v>
      </c>
      <c r="H360" s="5">
        <v>103486.148000</v>
      </c>
    </row>
    <row r="361" spans="1:9">
      <c r="A361" s="22" t="str">
        <f>HYPERLINK("https://app.vivvix.com/360/KMI/IntelliDrive/ApplUI/Pages/CreativePages/CustomReportCreativeDetail.aspx?App=23&amp;ReportView=4&amp;Qid=1711279&amp;Row=353&amp;Col=1","INLINE 6 TURBO")</f>
        <v/>
      </c>
      <c r="B361" s="0" t="s">
        <v>532</v>
      </c>
      <c r="E361" s="0" t="inlineStr">
        <is>
          <t xml:space="preserve">Mazda</t>
        </is>
      </c>
      <c r="F361" s="0" t="s">
        <v>52</v>
      </c>
      <c r="G361" s="0" t="s">
        <v>325</v>
      </c>
      <c r="H361" s="5">
        <v>565017.749000</v>
      </c>
    </row>
    <row r="362" spans="1:9">
      <c r="A362" s="22" t="str">
        <f>HYPERLINK("https://app.vivvix.com/360/KMI/IntelliDrive/ApplUI/Pages/CreativePages/CustomReportCreativeDetail.aspx?App=23&amp;ReportView=4&amp;Qid=1711279&amp;Row=354&amp;Col=1","INLINE 6 TURBO")</f>
        <v/>
      </c>
      <c r="B362" s="0" t="s">
        <v>532</v>
      </c>
      <c r="E362" s="0" t="inlineStr">
        <is>
          <t xml:space="preserve">Mazda</t>
        </is>
      </c>
      <c r="F362" s="0" t="s">
        <v>52</v>
      </c>
      <c r="G362" s="0" t="s">
        <v>325</v>
      </c>
      <c r="H362" s="5">
        <v>6480.109000</v>
      </c>
    </row>
    <row r="363" spans="1:9">
      <c r="A363" s="22" t="str">
        <f>HYPERLINK("https://app.vivvix.com/360/KMI/IntelliDrive/ApplUI/Pages/CreativePages/CustomReportCreativeDetail.aspx?App=23&amp;ReportView=4&amp;Qid=1711279&amp;Row=355&amp;Col=1","INNOVATION TO DRIVE YOU FORWARD")</f>
        <v/>
      </c>
      <c r="B363" s="0" t="s">
        <v>533</v>
      </c>
      <c r="C363" s="0" t="s">
        <v>534</v>
      </c>
      <c r="D363" s="0" t="s">
        <v>534</v>
      </c>
      <c r="E363" s="0" t="inlineStr">
        <is>
          <t xml:space="preserve">Mazda</t>
        </is>
      </c>
      <c r="F363" s="0" t="s">
        <v>115</v>
      </c>
      <c r="G363" s="0" t="s">
        <v>365</v>
      </c>
      <c r="H363" s="5">
        <v>6242.224000</v>
      </c>
    </row>
    <row r="364" spans="1:9">
      <c r="A364" s="22" t="str">
        <f>HYPERLINK("https://app.vivvix.com/360/KMI/IntelliDrive/ApplUI/Pages/CreativePages/CustomReportCreativeDetail.aspx?App=23&amp;ReportView=4&amp;Qid=1711279&amp;Row=356&amp;Col=1","introducing suv where every part is crafted")</f>
        <v/>
      </c>
      <c r="B364" s="0" t="s">
        <v>535</v>
      </c>
      <c r="E364" s="0" t="inlineStr">
        <is>
          <t xml:space="preserve">Mazda</t>
        </is>
      </c>
      <c r="F364" s="0" t="s">
        <v>52</v>
      </c>
      <c r="G364" s="0" t="s">
        <v>325</v>
      </c>
      <c r="H364" s="5">
        <v>258720.454000</v>
      </c>
    </row>
    <row r="365" spans="1:9">
      <c r="A365" s="22" t="str">
        <f>HYPERLINK("https://app.vivvix.com/360/KMI/IntelliDrive/ApplUI/Pages/CreativePages/CustomReportCreativeDetail.aspx?App=23&amp;ReportView=4&amp;Qid=1711279&amp;Row=357&amp;Col=1","introducing suv where every part is crafted")</f>
        <v/>
      </c>
      <c r="B365" s="0" t="s">
        <v>535</v>
      </c>
      <c r="C365" s="0" t="s">
        <v>536</v>
      </c>
      <c r="D365" s="0" t="s">
        <v>536</v>
      </c>
      <c r="E365" s="0" t="inlineStr">
        <is>
          <t xml:space="preserve">Mazda</t>
        </is>
      </c>
      <c r="F365" s="0" t="s">
        <v>52</v>
      </c>
      <c r="G365" s="0" t="s">
        <v>325</v>
      </c>
      <c r="H365" s="5">
        <v>48532.128000</v>
      </c>
    </row>
    <row r="366" spans="1:9">
      <c r="A366" s="22" t="str">
        <f>HYPERLINK("https://app.vivvix.com/360/KMI/IntelliDrive/ApplUI/Pages/CreativePages/CustomReportCreativeDetail.aspx?App=23&amp;ReportView=4&amp;Qid=1711279&amp;Row=358&amp;Col=1","introducing suv where every part is crafted")</f>
        <v/>
      </c>
      <c r="B366" s="0" t="s">
        <v>537</v>
      </c>
      <c r="C366" s="0" t="s">
        <v>538</v>
      </c>
      <c r="D366" s="0" t="s">
        <v>538</v>
      </c>
      <c r="E366" s="0" t="inlineStr">
        <is>
          <t xml:space="preserve">Mazda</t>
        </is>
      </c>
      <c r="F366" s="0" t="s">
        <v>52</v>
      </c>
      <c r="G366" s="0" t="s">
        <v>325</v>
      </c>
      <c r="H366" s="5">
        <v>53827.591000</v>
      </c>
    </row>
    <row r="367" spans="1:9">
      <c r="A367" s="22" t="str">
        <f>HYPERLINK("https://app.vivvix.com/360/KMI/IntelliDrive/ApplUI/Pages/CreativePages/CustomReportCreativeDetail.aspx?App=23&amp;ReportView=4&amp;Qid=1711279&amp;Row=359&amp;Col=1","Japanese Engineered Cars Are Driven")</f>
        <v/>
      </c>
      <c r="B367" s="0" t="s">
        <v>539</v>
      </c>
      <c r="C367" s="0" t="s">
        <v>540</v>
      </c>
      <c r="D367" s="0" t="s">
        <v>540</v>
      </c>
      <c r="E367" s="0" t="inlineStr">
        <is>
          <t xml:space="preserve">Mazda</t>
        </is>
      </c>
      <c r="F367" s="0" t="s">
        <v>17</v>
      </c>
      <c r="G367" s="0" t="s">
        <v>33</v>
      </c>
      <c r="H367" s="5">
        <v>17.839000</v>
      </c>
    </row>
    <row r="368" spans="1:9">
      <c r="A368" s="22" t="str">
        <f>HYPERLINK("https://app.vivvix.com/360/KMI/IntelliDrive/ApplUI/Pages/CreativePages/CustomReportCreativeDetail.aspx?App=23&amp;ReportView=4&amp;Qid=1711279&amp;Row=360&amp;Col=1","Journey by Car")</f>
        <v/>
      </c>
      <c r="B368" s="0" t="s">
        <v>541</v>
      </c>
      <c r="C368" s="0" t="s">
        <v>542</v>
      </c>
      <c r="D368" s="0" t="s">
        <v>542</v>
      </c>
      <c r="E368" s="0" t="inlineStr">
        <is>
          <t xml:space="preserve">Mazda</t>
        </is>
      </c>
      <c r="F368" s="0" t="s">
        <v>125</v>
      </c>
      <c r="G368" s="0" t="s">
        <v>346</v>
      </c>
      <c r="H368" s="5">
        <v>100.764000</v>
      </c>
    </row>
    <row r="369" spans="1:9">
      <c r="A369" s="22" t="str">
        <f>HYPERLINK("https://app.vivvix.com/360/KMI/IntelliDrive/ApplUI/Pages/CreativePages/CustomReportCreativeDetail.aspx?App=23&amp;ReportView=4&amp;Qid=1711279&amp;Row=361&amp;Col=1","Just Drive")</f>
        <v/>
      </c>
      <c r="B369" s="0" t="s">
        <v>543</v>
      </c>
      <c r="E369" s="0" t="inlineStr">
        <is>
          <t xml:space="preserve">Mazda</t>
        </is>
      </c>
      <c r="F369" s="0" t="s">
        <v>204</v>
      </c>
      <c r="G369" s="0" t="s">
        <v>205</v>
      </c>
      <c r="H369" s="5">
        <v>96.313000</v>
      </c>
    </row>
    <row r="370" spans="1:9">
      <c r="A370" s="22" t="str">
        <f>HYPERLINK("https://app.vivvix.com/360/KMI/IntelliDrive/ApplUI/Pages/CreativePages/CustomReportCreativeDetail.aspx?App=23&amp;ReportView=4&amp;Qid=1711279&amp;Row=362&amp;Col=1","Just Drive")</f>
        <v/>
      </c>
      <c r="B370" s="0" t="s">
        <v>544</v>
      </c>
      <c r="C370" s="0" t="s">
        <v>545</v>
      </c>
      <c r="D370" s="0" t="s">
        <v>545</v>
      </c>
      <c r="E370" s="0" t="inlineStr">
        <is>
          <t xml:space="preserve">Mazda</t>
        </is>
      </c>
      <c r="F370" s="0" t="s">
        <v>13</v>
      </c>
      <c r="G370" s="0" t="s">
        <v>49</v>
      </c>
      <c r="H370" s="5">
        <v>108645.655000</v>
      </c>
    </row>
    <row r="371" spans="1:9">
      <c r="A371" s="22" t="str">
        <f>HYPERLINK("https://app.vivvix.com/360/KMI/IntelliDrive/ApplUI/Pages/CreativePages/CustomReportCreativeDetail.aspx?App=23&amp;ReportView=4&amp;Qid=1711279&amp;Row=363&amp;Col=1","Just Drive")</f>
        <v/>
      </c>
      <c r="B371" s="0" t="s">
        <v>544</v>
      </c>
      <c r="E371" s="0" t="inlineStr">
        <is>
          <t xml:space="preserve">Mazda</t>
        </is>
      </c>
      <c r="F371" s="0" t="s">
        <v>13</v>
      </c>
      <c r="G371" s="0" t="s">
        <v>49</v>
      </c>
      <c r="H371" s="5">
        <v>13650.474000</v>
      </c>
    </row>
    <row r="372" spans="1:9">
      <c r="A372" s="22" t="str">
        <f>HYPERLINK("https://app.vivvix.com/360/KMI/IntelliDrive/ApplUI/Pages/CreativePages/CustomReportCreativeDetail.aspx?App=23&amp;ReportView=4&amp;Qid=1711279&amp;Row=364&amp;Col=1","Just Drive")</f>
        <v/>
      </c>
      <c r="B372" s="0" t="s">
        <v>546</v>
      </c>
      <c r="C372" s="0" t="s">
        <v>547</v>
      </c>
      <c r="D372" s="0" t="s">
        <v>547</v>
      </c>
      <c r="E372" s="0" t="inlineStr">
        <is>
          <t xml:space="preserve">Mazda</t>
        </is>
      </c>
      <c r="F372" s="0" t="s">
        <v>13</v>
      </c>
      <c r="G372" s="0" t="s">
        <v>49</v>
      </c>
      <c r="H372" s="5">
        <v>5470.642000</v>
      </c>
    </row>
    <row r="373" spans="1:9">
      <c r="A373" s="22" t="str">
        <f>HYPERLINK("https://app.vivvix.com/360/KMI/IntelliDrive/ApplUI/Pages/CreativePages/CustomReportCreativeDetail.aspx?App=23&amp;ReportView=4&amp;Qid=1711279&amp;Row=365&amp;Col=1","Just Drive")</f>
        <v/>
      </c>
      <c r="B373" s="0" t="s">
        <v>546</v>
      </c>
      <c r="E373" s="0" t="inlineStr">
        <is>
          <t xml:space="preserve">Mazda</t>
        </is>
      </c>
      <c r="F373" s="0" t="s">
        <v>13</v>
      </c>
      <c r="G373" s="0" t="s">
        <v>49</v>
      </c>
      <c r="H373" s="5">
        <v>391780.644000</v>
      </c>
    </row>
    <row r="374" spans="1:9">
      <c r="A374" s="22" t="str">
        <f>HYPERLINK("https://app.vivvix.com/360/KMI/IntelliDrive/ApplUI/Pages/CreativePages/CustomReportCreativeDetail.aspx?App=23&amp;ReportView=4&amp;Qid=1711279&amp;Row=366&amp;Col=1","Just Drive")</f>
        <v/>
      </c>
      <c r="B374" s="0" t="s">
        <v>548</v>
      </c>
      <c r="E374" s="0" t="inlineStr">
        <is>
          <t xml:space="preserve">Mazda</t>
        </is>
      </c>
      <c r="F374" s="0" t="inlineStr">
        <is>
          <t xml:space="preserve">Mazda</t>
        </is>
      </c>
      <c r="G374" s="0" t="s">
        <v>210</v>
      </c>
      <c r="H374" s="5">
        <v>260673.664000</v>
      </c>
    </row>
    <row r="375" spans="1:9">
      <c r="A375" s="22" t="str">
        <f>HYPERLINK("https://app.vivvix.com/360/KMI/IntelliDrive/ApplUI/Pages/CreativePages/CustomReportCreativeDetail.aspx?App=23&amp;ReportView=4&amp;Qid=1711279&amp;Row=367&amp;Col=1","Just Drive")</f>
        <v/>
      </c>
      <c r="B375" s="0" t="s">
        <v>548</v>
      </c>
      <c r="C375" s="0" t="s">
        <v>549</v>
      </c>
      <c r="D375" s="0" t="s">
        <v>549</v>
      </c>
      <c r="E375" s="0" t="inlineStr">
        <is>
          <t xml:space="preserve">Mazda</t>
        </is>
      </c>
      <c r="F375" s="0" t="inlineStr">
        <is>
          <t xml:space="preserve">Mazda</t>
        </is>
      </c>
      <c r="G375" s="0" t="s">
        <v>210</v>
      </c>
      <c r="H375" s="5">
        <v>20189.539000</v>
      </c>
    </row>
    <row r="376" spans="1:9">
      <c r="A376" s="22" t="str">
        <f>HYPERLINK("https://app.vivvix.com/360/KMI/IntelliDrive/ApplUI/Pages/CreativePages/CustomReportCreativeDetail.aspx?App=23&amp;ReportView=4&amp;Qid=1711279&amp;Row=368&amp;Col=1","Just Drive")</f>
        <v/>
      </c>
      <c r="B376" s="0" t="s">
        <v>550</v>
      </c>
      <c r="C376" s="0" t="s">
        <v>551</v>
      </c>
      <c r="D376" s="0" t="s">
        <v>551</v>
      </c>
      <c r="E376" s="0" t="inlineStr">
        <is>
          <t xml:space="preserve">Mazda</t>
        </is>
      </c>
      <c r="F376" s="0" t="inlineStr">
        <is>
          <t xml:space="preserve">Mazda</t>
        </is>
      </c>
      <c r="G376" s="0" t="s">
        <v>171</v>
      </c>
      <c r="H376" s="5">
        <v>39315.098000</v>
      </c>
    </row>
    <row r="377" spans="1:9">
      <c r="A377" s="22" t="str">
        <f>HYPERLINK("https://app.vivvix.com/360/KMI/IntelliDrive/ApplUI/Pages/CreativePages/CustomReportCreativeDetail.aspx?App=23&amp;ReportView=4&amp;Qid=1711279&amp;Row=369&amp;Col=1","Just Drive")</f>
        <v/>
      </c>
      <c r="B377" s="0" t="s">
        <v>552</v>
      </c>
      <c r="E377" s="0" t="inlineStr">
        <is>
          <t xml:space="preserve">Mazda</t>
        </is>
      </c>
      <c r="F377" s="0" t="inlineStr">
        <is>
          <t xml:space="preserve">Mazda</t>
        </is>
      </c>
      <c r="G377" s="0" t="s">
        <v>171</v>
      </c>
      <c r="H377" s="5">
        <v>603.511000</v>
      </c>
    </row>
    <row r="378" spans="1:9">
      <c r="A378" s="22" t="str">
        <f>HYPERLINK("https://app.vivvix.com/360/KMI/IntelliDrive/ApplUI/Pages/CreativePages/CustomReportCreativeDetail.aspx?App=23&amp;ReportView=4&amp;Qid=1711279&amp;Row=370&amp;Col=1","Just Ride")</f>
        <v/>
      </c>
      <c r="B378" s="0" t="s">
        <v>553</v>
      </c>
      <c r="C378" s="0" t="s">
        <v>554</v>
      </c>
      <c r="D378" s="0" t="s">
        <v>554</v>
      </c>
      <c r="E378" s="0" t="inlineStr">
        <is>
          <t xml:space="preserve">Mazda</t>
        </is>
      </c>
      <c r="F378" s="0" t="s">
        <v>13</v>
      </c>
      <c r="G378" s="0" t="s">
        <v>14</v>
      </c>
      <c r="H378" s="5">
        <v>1865.396000</v>
      </c>
    </row>
    <row r="379" spans="1:9">
      <c r="A379" s="22" t="str">
        <f>HYPERLINK("https://app.vivvix.com/360/KMI/IntelliDrive/ApplUI/Pages/CreativePages/CustomReportCreativeDetail.aspx?App=23&amp;ReportView=4&amp;Qid=1711279&amp;Row=371&amp;Col=1","Know More")</f>
        <v/>
      </c>
      <c r="B379" s="0" t="s">
        <v>555</v>
      </c>
      <c r="C379" s="0" t="s">
        <v>556</v>
      </c>
      <c r="D379" s="0" t="s">
        <v>556</v>
      </c>
      <c r="E379" s="0" t="inlineStr">
        <is>
          <t xml:space="preserve">Mazda</t>
        </is>
      </c>
      <c r="F379" s="0" t="s">
        <v>13</v>
      </c>
      <c r="G379" s="0" t="s">
        <v>49</v>
      </c>
      <c r="H379" s="5">
        <v>454.345000</v>
      </c>
    </row>
    <row r="380" spans="1:9">
      <c r="A380" s="22" t="str">
        <f>HYPERLINK("https://app.vivvix.com/360/KMI/IntelliDrive/ApplUI/Pages/CreativePages/CustomReportCreativeDetail.aspx?App=23&amp;ReportView=4&amp;Qid=1711279&amp;Row=372&amp;Col=1","Know More")</f>
        <v/>
      </c>
      <c r="B380" s="0" t="s">
        <v>557</v>
      </c>
      <c r="C380" s="0" t="s">
        <v>558</v>
      </c>
      <c r="D380" s="0" t="s">
        <v>558</v>
      </c>
      <c r="E380" s="0" t="inlineStr">
        <is>
          <t xml:space="preserve">Mazda</t>
        </is>
      </c>
      <c r="F380" s="0" t="inlineStr">
        <is>
          <t xml:space="preserve">Mazda</t>
        </is>
      </c>
      <c r="G380" s="0" t="s">
        <v>171</v>
      </c>
      <c r="H380" s="5">
        <v>4428.815000</v>
      </c>
    </row>
    <row r="381" spans="1:9">
      <c r="A381" s="22" t="str">
        <f>HYPERLINK("https://app.vivvix.com/360/KMI/IntelliDrive/ApplUI/Pages/CreativePages/CustomReportCreativeDetail.aspx?App=23&amp;ReportView=4&amp;Qid=1711279&amp;Row=373&amp;Col=1","Know More")</f>
        <v/>
      </c>
      <c r="B381" s="0" t="s">
        <v>559</v>
      </c>
      <c r="E381" s="0" t="inlineStr">
        <is>
          <t xml:space="preserve">Mazda</t>
        </is>
      </c>
      <c r="F381" s="0" t="s">
        <v>204</v>
      </c>
      <c r="G381" s="0" t="s">
        <v>205</v>
      </c>
      <c r="H381" s="5">
        <v>208.023000</v>
      </c>
    </row>
    <row r="382" spans="1:9">
      <c r="A382" s="22" t="str">
        <f>HYPERLINK("https://app.vivvix.com/360/KMI/IntelliDrive/ApplUI/Pages/CreativePages/CustomReportCreativeDetail.aspx?App=23&amp;ReportView=4&amp;Qid=1711279&amp;Row=374&amp;Col=1","Know More")</f>
        <v/>
      </c>
      <c r="B382" s="0" t="s">
        <v>560</v>
      </c>
      <c r="C382" s="0" t="s">
        <v>561</v>
      </c>
      <c r="D382" s="0" t="s">
        <v>561</v>
      </c>
      <c r="E382" s="0" t="inlineStr">
        <is>
          <t xml:space="preserve">Mazda</t>
        </is>
      </c>
      <c r="F382" s="0" t="inlineStr">
        <is>
          <t xml:space="preserve">Mazda</t>
        </is>
      </c>
      <c r="G382" s="0" t="s">
        <v>171</v>
      </c>
      <c r="H382" s="5">
        <v>4481.227000</v>
      </c>
    </row>
    <row r="383" spans="1:9">
      <c r="A383" s="22" t="str">
        <f>HYPERLINK("https://app.vivvix.com/360/KMI/IntelliDrive/ApplUI/Pages/CreativePages/CustomReportCreativeDetail.aspx?App=23&amp;ReportView=4&amp;Qid=1711279&amp;Row=375&amp;Col=1","Know More")</f>
        <v/>
      </c>
      <c r="B383" s="0" t="s">
        <v>562</v>
      </c>
      <c r="E383" s="0" t="inlineStr">
        <is>
          <t xml:space="preserve">Mazda</t>
        </is>
      </c>
      <c r="F383" s="0" t="inlineStr">
        <is>
          <t xml:space="preserve">Mazda</t>
        </is>
      </c>
      <c r="G383" s="0" t="s">
        <v>171</v>
      </c>
      <c r="H383" s="5">
        <v>2423.330000</v>
      </c>
    </row>
    <row r="384" spans="1:9">
      <c r="A384" s="22" t="str">
        <f>HYPERLINK("https://app.vivvix.com/360/KMI/IntelliDrive/ApplUI/Pages/CreativePages/CustomReportCreativeDetail.aspx?App=23&amp;ReportView=4&amp;Qid=1711279&amp;Row=376&amp;Col=1","LANE DEPARTURE WARNING SYSTEM")</f>
        <v/>
      </c>
      <c r="B384" s="0" t="s">
        <v>563</v>
      </c>
      <c r="E384" s="0" t="inlineStr">
        <is>
          <t xml:space="preserve">Mazda</t>
        </is>
      </c>
      <c r="F384" s="0" t="s">
        <v>28</v>
      </c>
      <c r="G384" s="0" t="s">
        <v>29</v>
      </c>
      <c r="H384" s="5">
        <v>186524.040000</v>
      </c>
    </row>
    <row r="385" spans="1:9">
      <c r="A385" s="22" t="str">
        <f>HYPERLINK("https://app.vivvix.com/360/KMI/IntelliDrive/ApplUI/Pages/CreativePages/CustomReportCreativeDetail.aspx?App=23&amp;ReportView=4&amp;Qid=1711279&amp;Row=377&amp;Col=1","LANE DEPARTURE WARNING SYSTEM")</f>
        <v/>
      </c>
      <c r="B385" s="0" t="s">
        <v>563</v>
      </c>
      <c r="C385" s="0" t="s">
        <v>564</v>
      </c>
      <c r="D385" s="0" t="s">
        <v>82</v>
      </c>
      <c r="E385" s="0" t="inlineStr">
        <is>
          <t xml:space="preserve">Mazda</t>
        </is>
      </c>
      <c r="F385" s="0" t="s">
        <v>28</v>
      </c>
      <c r="G385" s="0" t="s">
        <v>29</v>
      </c>
      <c r="H385" s="5">
        <v>6282.706000</v>
      </c>
    </row>
    <row r="386" spans="1:9">
      <c r="A386" s="22" t="str">
        <f>HYPERLINK("https://app.vivvix.com/360/KMI/IntelliDrive/ApplUI/Pages/CreativePages/CustomReportCreativeDetail.aspx?App=23&amp;ReportView=4&amp;Qid=1711279&amp;Row=378&amp;Col=1","lane Departure warning system")</f>
        <v/>
      </c>
      <c r="B386" s="0" t="s">
        <v>565</v>
      </c>
      <c r="C386" s="0" t="s">
        <v>566</v>
      </c>
      <c r="D386" s="0" t="s">
        <v>566</v>
      </c>
      <c r="E386" s="0" t="inlineStr">
        <is>
          <t xml:space="preserve">Mazda</t>
        </is>
      </c>
      <c r="F386" s="0" t="s">
        <v>28</v>
      </c>
      <c r="G386" s="0" t="s">
        <v>29</v>
      </c>
      <c r="H386" s="5">
        <v>150921.431000</v>
      </c>
    </row>
    <row r="387" spans="1:9">
      <c r="A387" s="22" t="str">
        <f>HYPERLINK("https://app.vivvix.com/360/KMI/IntelliDrive/ApplUI/Pages/CreativePages/CustomReportCreativeDetail.aspx?App=23&amp;ReportView=4&amp;Qid=1711279&amp;Row=379&amp;Col=1","Learn More")</f>
        <v/>
      </c>
      <c r="B387" s="0" t="s">
        <v>567</v>
      </c>
      <c r="C387" s="0" t="s">
        <v>568</v>
      </c>
      <c r="D387" s="0" t="s">
        <v>568</v>
      </c>
      <c r="E387" s="0" t="inlineStr">
        <is>
          <t xml:space="preserve">Mazda</t>
        </is>
      </c>
      <c r="F387" s="0" t="s">
        <v>13</v>
      </c>
      <c r="G387" s="0" t="s">
        <v>49</v>
      </c>
      <c r="H387" s="5">
        <v>10492.071000</v>
      </c>
    </row>
    <row r="388" spans="1:9">
      <c r="A388" s="22" t="str">
        <f>HYPERLINK("https://app.vivvix.com/360/KMI/IntelliDrive/ApplUI/Pages/CreativePages/CustomReportCreativeDetail.aspx?App=23&amp;ReportView=4&amp;Qid=1711279&amp;Row=380&amp;Col=1","Learn More")</f>
        <v/>
      </c>
      <c r="B388" s="0" t="s">
        <v>567</v>
      </c>
      <c r="E388" s="0" t="inlineStr">
        <is>
          <t xml:space="preserve">Mazda</t>
        </is>
      </c>
      <c r="F388" s="0" t="s">
        <v>13</v>
      </c>
      <c r="G388" s="0" t="s">
        <v>49</v>
      </c>
      <c r="H388" s="5">
        <v>8532.652000</v>
      </c>
    </row>
    <row r="389" spans="1:9">
      <c r="A389" s="22" t="str">
        <f>HYPERLINK("https://app.vivvix.com/360/KMI/IntelliDrive/ApplUI/Pages/CreativePages/CustomReportCreativeDetail.aspx?App=23&amp;ReportView=4&amp;Qid=1711279&amp;Row=381&amp;Col=1","Leave You Wondering")</f>
        <v/>
      </c>
      <c r="B389" s="0" t="s">
        <v>569</v>
      </c>
      <c r="C389" s="0" t="s">
        <v>570</v>
      </c>
      <c r="D389" s="0" t="s">
        <v>570</v>
      </c>
      <c r="E389" s="0" t="inlineStr">
        <is>
          <t xml:space="preserve">Mazda</t>
        </is>
      </c>
      <c r="F389" s="0" t="s">
        <v>52</v>
      </c>
      <c r="G389" s="0" t="s">
        <v>53</v>
      </c>
      <c r="H389" s="5">
        <v>2232.310000</v>
      </c>
    </row>
    <row r="390" spans="1:9">
      <c r="A390" s="22" t="str">
        <f>HYPERLINK("https://app.vivvix.com/360/KMI/IntelliDrive/ApplUI/Pages/CreativePages/CustomReportCreativeDetail.aspx?App=23&amp;ReportView=4&amp;Qid=1711279&amp;Row=382&amp;Col=1","Leave You Wondering")</f>
        <v/>
      </c>
      <c r="B390" s="0" t="s">
        <v>569</v>
      </c>
      <c r="E390" s="0" t="inlineStr">
        <is>
          <t xml:space="preserve">Mazda</t>
        </is>
      </c>
      <c r="F390" s="0" t="s">
        <v>52</v>
      </c>
      <c r="G390" s="0" t="s">
        <v>53</v>
      </c>
      <c r="H390" s="5">
        <v>5679.022000</v>
      </c>
    </row>
    <row r="391" spans="1:9">
      <c r="A391" s="22" t="str">
        <f>HYPERLINK("https://app.vivvix.com/360/KMI/IntelliDrive/ApplUI/Pages/CreativePages/CustomReportCreativeDetail.aspx?App=23&amp;ReportView=4&amp;Qid=1711279&amp;Row=383&amp;Col=1","Let's Go")</f>
        <v/>
      </c>
      <c r="B391" s="0" t="s">
        <v>571</v>
      </c>
      <c r="E391" s="0" t="inlineStr">
        <is>
          <t xml:space="preserve">Mazda</t>
        </is>
      </c>
      <c r="F391" s="0" t="s">
        <v>204</v>
      </c>
      <c r="G391" s="0" t="s">
        <v>205</v>
      </c>
      <c r="H391" s="5">
        <v>35.624000</v>
      </c>
    </row>
    <row r="392" spans="1:9">
      <c r="A392" s="22" t="str">
        <f>HYPERLINK("https://app.vivvix.com/360/KMI/IntelliDrive/ApplUI/Pages/CreativePages/CustomReportCreativeDetail.aspx?App=23&amp;ReportView=4&amp;Qid=1711279&amp;Row=384&amp;Col=1","Let's Go")</f>
        <v/>
      </c>
      <c r="B392" s="0" t="s">
        <v>572</v>
      </c>
      <c r="E392" s="0" t="inlineStr">
        <is>
          <t xml:space="preserve">Mazda</t>
        </is>
      </c>
      <c r="F392" s="0" t="inlineStr">
        <is>
          <t xml:space="preserve">Mazda</t>
        </is>
      </c>
      <c r="G392" s="0" t="s">
        <v>171</v>
      </c>
      <c r="H392" s="5">
        <v>9682.332000</v>
      </c>
    </row>
    <row r="393" spans="1:9">
      <c r="A393" s="22" t="str">
        <f>HYPERLINK("https://app.vivvix.com/360/KMI/IntelliDrive/ApplUI/Pages/CreativePages/CustomReportCreativeDetail.aspx?App=23&amp;ReportView=4&amp;Qid=1711279&amp;Row=385&amp;Col=1","Let's Go")</f>
        <v/>
      </c>
      <c r="B393" s="0" t="s">
        <v>572</v>
      </c>
      <c r="E393" s="0" t="inlineStr">
        <is>
          <t xml:space="preserve">Mazda</t>
        </is>
      </c>
      <c r="F393" s="0" t="inlineStr">
        <is>
          <t xml:space="preserve">Mazda</t>
        </is>
      </c>
      <c r="G393" s="0" t="s">
        <v>171</v>
      </c>
      <c r="H393" s="5">
        <v>2306.229000</v>
      </c>
    </row>
    <row r="394" spans="1:9">
      <c r="A394" s="22" t="str">
        <f>HYPERLINK("https://app.vivvix.com/360/KMI/IntelliDrive/ApplUI/Pages/CreativePages/CustomReportCreativeDetail.aspx?App=23&amp;ReportView=4&amp;Qid=1711279&amp;Row=386&amp;Col=1","LOOKING FOR OUTSIDER SEC 15.")</f>
        <v/>
      </c>
      <c r="B394" s="0" t="s">
        <v>573</v>
      </c>
      <c r="C394" s="0" t="s">
        <v>574</v>
      </c>
      <c r="D394" s="0" t="s">
        <v>574</v>
      </c>
      <c r="E394" s="0" t="inlineStr">
        <is>
          <t xml:space="preserve">Mazda</t>
        </is>
      </c>
      <c r="F394" s="0" t="s">
        <v>13</v>
      </c>
      <c r="G394" s="0" t="s">
        <v>49</v>
      </c>
      <c r="H394" s="5">
        <v>503.623000</v>
      </c>
    </row>
    <row r="395" spans="1:9">
      <c r="A395" s="22" t="str">
        <f>HYPERLINK("https://app.vivvix.com/360/KMI/IntelliDrive/ApplUI/Pages/CreativePages/CustomReportCreativeDetail.aspx?App=23&amp;ReportView=4&amp;Qid=1711279&amp;Row=387&amp;Col=1","LOOKING FOR OUTSIDERS")</f>
        <v/>
      </c>
      <c r="B395" s="0" t="s">
        <v>575</v>
      </c>
      <c r="C395" s="0" t="s">
        <v>576</v>
      </c>
      <c r="D395" s="0" t="s">
        <v>576</v>
      </c>
      <c r="E395" s="0" t="inlineStr">
        <is>
          <t xml:space="preserve">Mazda</t>
        </is>
      </c>
      <c r="F395" s="0" t="s">
        <v>13</v>
      </c>
      <c r="G395" s="0" t="s">
        <v>49</v>
      </c>
      <c r="H395" s="5">
        <v>6929.662000</v>
      </c>
    </row>
    <row r="396" spans="1:9">
      <c r="A396" s="22" t="str">
        <f>HYPERLINK("https://app.vivvix.com/360/KMI/IntelliDrive/ApplUI/Pages/CreativePages/CustomReportCreativeDetail.aspx?App=23&amp;ReportView=4&amp;Qid=1711279&amp;Row=388&amp;Col=1","looking for outsiders")</f>
        <v/>
      </c>
      <c r="B396" s="0" t="s">
        <v>577</v>
      </c>
      <c r="C396" s="0" t="s">
        <v>578</v>
      </c>
      <c r="D396" s="0" t="s">
        <v>578</v>
      </c>
      <c r="E396" s="0" t="inlineStr">
        <is>
          <t xml:space="preserve">Mazda</t>
        </is>
      </c>
      <c r="F396" s="0" t="s">
        <v>13</v>
      </c>
      <c r="G396" s="0" t="s">
        <v>49</v>
      </c>
      <c r="H396" s="5">
        <v>26205.964000</v>
      </c>
    </row>
    <row r="397" spans="1:9">
      <c r="A397" s="22" t="str">
        <f>HYPERLINK("https://app.vivvix.com/360/KMI/IntelliDrive/ApplUI/Pages/CreativePages/CustomReportCreativeDetail.aspx?App=23&amp;ReportView=4&amp;Qid=1711279&amp;Row=389&amp;Col=1","looking for outsiders")</f>
        <v/>
      </c>
      <c r="B397" s="0" t="s">
        <v>579</v>
      </c>
      <c r="C397" s="0" t="s">
        <v>580</v>
      </c>
      <c r="D397" s="0" t="s">
        <v>580</v>
      </c>
      <c r="E397" s="0" t="inlineStr">
        <is>
          <t xml:space="preserve">Mazda</t>
        </is>
      </c>
      <c r="F397" s="0" t="s">
        <v>13</v>
      </c>
      <c r="G397" s="0" t="s">
        <v>49</v>
      </c>
      <c r="H397" s="5">
        <v>80107.638000</v>
      </c>
    </row>
    <row r="398" spans="1:9">
      <c r="A398" s="22" t="str">
        <f>HYPERLINK("https://app.vivvix.com/360/KMI/IntelliDrive/ApplUI/Pages/CreativePages/CustomReportCreativeDetail.aspx?App=23&amp;ReportView=4&amp;Qid=1711279&amp;Row=390&amp;Col=1","looking for outsiders")</f>
        <v/>
      </c>
      <c r="B398" s="0" t="s">
        <v>579</v>
      </c>
      <c r="E398" s="0" t="inlineStr">
        <is>
          <t xml:space="preserve">Mazda</t>
        </is>
      </c>
      <c r="F398" s="0" t="s">
        <v>13</v>
      </c>
      <c r="G398" s="0" t="s">
        <v>49</v>
      </c>
      <c r="H398" s="5">
        <v>407.771000</v>
      </c>
    </row>
    <row r="399" spans="1:9">
      <c r="A399" s="22" t="str">
        <f>HYPERLINK("https://app.vivvix.com/360/KMI/IntelliDrive/ApplUI/Pages/CreativePages/CustomReportCreativeDetail.aspx?App=23&amp;ReportView=4&amp;Qid=1711279&amp;Row=391&amp;Col=1","looking for outsiders")</f>
        <v/>
      </c>
      <c r="B399" s="0" t="s">
        <v>581</v>
      </c>
      <c r="C399" s="0" t="s">
        <v>582</v>
      </c>
      <c r="D399" s="0" t="s">
        <v>582</v>
      </c>
      <c r="E399" s="0" t="inlineStr">
        <is>
          <t xml:space="preserve">Mazda</t>
        </is>
      </c>
      <c r="F399" s="0" t="s">
        <v>13</v>
      </c>
      <c r="G399" s="0" t="s">
        <v>49</v>
      </c>
      <c r="H399" s="5">
        <v>54965.616000</v>
      </c>
    </row>
    <row r="400" spans="1:9">
      <c r="A400" s="22" t="str">
        <f>HYPERLINK("https://app.vivvix.com/360/KMI/IntelliDrive/ApplUI/Pages/CreativePages/CustomReportCreativeDetail.aspx?App=23&amp;ReportView=4&amp;Qid=1711279&amp;Row=392&amp;Col=1","looking for outsiders")</f>
        <v/>
      </c>
      <c r="B400" s="0" t="s">
        <v>581</v>
      </c>
      <c r="E400" s="0" t="inlineStr">
        <is>
          <t xml:space="preserve">Mazda</t>
        </is>
      </c>
      <c r="F400" s="0" t="s">
        <v>13</v>
      </c>
      <c r="G400" s="0" t="s">
        <v>49</v>
      </c>
      <c r="H400" s="5">
        <v>694.361000</v>
      </c>
    </row>
    <row r="401" spans="1:9">
      <c r="A401" s="22" t="str">
        <f>HYPERLINK("https://app.vivvix.com/360/KMI/IntelliDrive/ApplUI/Pages/CreativePages/CustomReportCreativeDetail.aspx?App=23&amp;ReportView=4&amp;Qid=1711279&amp;Row=393&amp;Col=1","Looking For Outsiders")</f>
        <v/>
      </c>
      <c r="B401" s="0" t="s">
        <v>583</v>
      </c>
      <c r="C401" s="0" t="s">
        <v>584</v>
      </c>
      <c r="D401" s="0" t="s">
        <v>584</v>
      </c>
      <c r="E401" s="0" t="inlineStr">
        <is>
          <t xml:space="preserve">Mazda</t>
        </is>
      </c>
      <c r="F401" s="0" t="s">
        <v>13</v>
      </c>
      <c r="G401" s="0" t="s">
        <v>49</v>
      </c>
      <c r="H401" s="5">
        <v>1573.039000</v>
      </c>
    </row>
    <row r="402" spans="1:9">
      <c r="A402" s="22" t="str">
        <f>HYPERLINK("https://app.vivvix.com/360/KMI/IntelliDrive/ApplUI/Pages/CreativePages/CustomReportCreativeDetail.aspx?App=23&amp;ReportView=4&amp;Qid=1711279&amp;Row=394&amp;Col=1","Looking For Outsiders")</f>
        <v/>
      </c>
      <c r="B402" s="0" t="s">
        <v>583</v>
      </c>
      <c r="E402" s="0" t="inlineStr">
        <is>
          <t xml:space="preserve">Mazda</t>
        </is>
      </c>
      <c r="F402" s="0" t="s">
        <v>13</v>
      </c>
      <c r="G402" s="0" t="s">
        <v>49</v>
      </c>
      <c r="H402" s="5">
        <v>2537.520000</v>
      </c>
    </row>
    <row r="403" spans="1:9">
      <c r="A403" s="22" t="str">
        <f>HYPERLINK("https://app.vivvix.com/360/KMI/IntelliDrive/ApplUI/Pages/CreativePages/CustomReportCreativeDetail.aspx?App=23&amp;ReportView=4&amp;Qid=1711279&amp;Row=395&amp;Col=1","Looking For Outsiders")</f>
        <v/>
      </c>
      <c r="B403" s="0" t="s">
        <v>585</v>
      </c>
      <c r="E403" s="0" t="inlineStr">
        <is>
          <t xml:space="preserve">Mazda</t>
        </is>
      </c>
      <c r="F403" s="0" t="s">
        <v>13</v>
      </c>
      <c r="G403" s="0" t="s">
        <v>49</v>
      </c>
      <c r="H403" s="5">
        <v>17456.059000</v>
      </c>
    </row>
    <row r="404" spans="1:9">
      <c r="A404" s="22" t="str">
        <f>HYPERLINK("https://app.vivvix.com/360/KMI/IntelliDrive/ApplUI/Pages/CreativePages/CustomReportCreativeDetail.aspx?App=23&amp;ReportView=4&amp;Qid=1711279&amp;Row=396&amp;Col=1","Looking For Outsiders")</f>
        <v/>
      </c>
      <c r="B404" s="0" t="s">
        <v>585</v>
      </c>
      <c r="C404" s="0" t="s">
        <v>586</v>
      </c>
      <c r="D404" s="0" t="s">
        <v>586</v>
      </c>
      <c r="E404" s="0" t="inlineStr">
        <is>
          <t xml:space="preserve">Mazda</t>
        </is>
      </c>
      <c r="F404" s="0" t="s">
        <v>13</v>
      </c>
      <c r="G404" s="0" t="s">
        <v>49</v>
      </c>
      <c r="H404" s="5">
        <v>124040.335000</v>
      </c>
    </row>
    <row r="405" spans="1:9">
      <c r="A405" s="22" t="str">
        <f>HYPERLINK("https://app.vivvix.com/360/KMI/IntelliDrive/ApplUI/Pages/CreativePages/CustomReportCreativeDetail.aspx?App=23&amp;ReportView=4&amp;Qid=1711279&amp;Row=397&amp;Col=1","Looking For Outsiders")</f>
        <v/>
      </c>
      <c r="B405" s="0" t="s">
        <v>587</v>
      </c>
      <c r="C405" s="0" t="s">
        <v>588</v>
      </c>
      <c r="D405" s="0" t="s">
        <v>588</v>
      </c>
      <c r="E405" s="0" t="inlineStr">
        <is>
          <t xml:space="preserve">Mazda</t>
        </is>
      </c>
      <c r="F405" s="0" t="s">
        <v>13</v>
      </c>
      <c r="G405" s="0" t="s">
        <v>49</v>
      </c>
      <c r="H405" s="5">
        <v>2519.930000</v>
      </c>
    </row>
    <row r="406" spans="1:9">
      <c r="A406" s="22" t="str">
        <f>HYPERLINK("https://app.vivvix.com/360/KMI/IntelliDrive/ApplUI/Pages/CreativePages/CustomReportCreativeDetail.aspx?App=23&amp;ReportView=4&amp;Qid=1711279&amp;Row=398&amp;Col=1","Looking For Outsiders")</f>
        <v/>
      </c>
      <c r="B406" s="0" t="s">
        <v>589</v>
      </c>
      <c r="C406" s="0" t="s">
        <v>590</v>
      </c>
      <c r="D406" s="0" t="s">
        <v>590</v>
      </c>
      <c r="E406" s="0" t="inlineStr">
        <is>
          <t xml:space="preserve">Mazda</t>
        </is>
      </c>
      <c r="F406" s="0" t="s">
        <v>13</v>
      </c>
      <c r="G406" s="0" t="s">
        <v>49</v>
      </c>
    </row>
    <row r="407" spans="1:9">
      <c r="A407" s="22" t="str">
        <f>HYPERLINK("https://app.vivvix.com/360/KMI/IntelliDrive/ApplUI/Pages/CreativePages/CustomReportCreativeDetail.aspx?App=23&amp;ReportView=4&amp;Qid=1711279&amp;Row=399&amp;Col=1","looking for outsiders")</f>
        <v/>
      </c>
      <c r="B407" s="0" t="s">
        <v>591</v>
      </c>
      <c r="C407" s="0" t="s">
        <v>248</v>
      </c>
      <c r="D407" s="0" t="s">
        <v>248</v>
      </c>
      <c r="E407" s="0" t="inlineStr">
        <is>
          <t xml:space="preserve">Mazda</t>
        </is>
      </c>
      <c r="F407" s="0" t="s">
        <v>13</v>
      </c>
      <c r="G407" s="0" t="s">
        <v>49</v>
      </c>
      <c r="H407" s="5">
        <v>261482.386000</v>
      </c>
    </row>
    <row r="408" spans="1:9">
      <c r="A408" s="22" t="str">
        <f>HYPERLINK("https://app.vivvix.com/360/KMI/IntelliDrive/ApplUI/Pages/CreativePages/CustomReportCreativeDetail.aspx?App=23&amp;ReportView=4&amp;Qid=1711279&amp;Row=400&amp;Col=1","looking for outsiders")</f>
        <v/>
      </c>
      <c r="B408" s="0" t="s">
        <v>591</v>
      </c>
      <c r="E408" s="0" t="inlineStr">
        <is>
          <t xml:space="preserve">Mazda</t>
        </is>
      </c>
      <c r="F408" s="0" t="s">
        <v>13</v>
      </c>
      <c r="G408" s="0" t="s">
        <v>49</v>
      </c>
      <c r="H408" s="5">
        <v>1477.138000</v>
      </c>
    </row>
    <row r="409" spans="1:9">
      <c r="A409" s="22" t="str">
        <f>HYPERLINK("https://app.vivvix.com/360/KMI/IntelliDrive/ApplUI/Pages/CreativePages/CustomReportCreativeDetail.aspx?App=23&amp;ReportView=4&amp;Qid=1711279&amp;Row=401&amp;Col=1","LOOKING FOR OUTSIDERS")</f>
        <v/>
      </c>
      <c r="B409" s="0" t="s">
        <v>592</v>
      </c>
      <c r="C409" s="0" t="s">
        <v>593</v>
      </c>
      <c r="D409" s="0" t="s">
        <v>593</v>
      </c>
      <c r="E409" s="0" t="inlineStr">
        <is>
          <t xml:space="preserve">Mazda</t>
        </is>
      </c>
      <c r="F409" s="0" t="s">
        <v>13</v>
      </c>
      <c r="G409" s="0" t="s">
        <v>49</v>
      </c>
      <c r="H409" s="5">
        <v>232607.498000</v>
      </c>
    </row>
    <row r="410" spans="1:9">
      <c r="A410" s="22" t="str">
        <f>HYPERLINK("https://app.vivvix.com/360/KMI/IntelliDrive/ApplUI/Pages/CreativePages/CustomReportCreativeDetail.aspx?App=23&amp;ReportView=4&amp;Qid=1711279&amp;Row=402&amp;Col=1","LOOKING FOR OUTSIDERS")</f>
        <v/>
      </c>
      <c r="B410" s="0" t="s">
        <v>592</v>
      </c>
      <c r="E410" s="0" t="inlineStr">
        <is>
          <t xml:space="preserve">Mazda</t>
        </is>
      </c>
      <c r="F410" s="0" t="s">
        <v>13</v>
      </c>
      <c r="G410" s="0" t="s">
        <v>49</v>
      </c>
      <c r="H410" s="5">
        <v>1333.307000</v>
      </c>
    </row>
    <row r="411" spans="1:9">
      <c r="A411" s="22" t="str">
        <f>HYPERLINK("https://app.vivvix.com/360/KMI/IntelliDrive/ApplUI/Pages/CreativePages/CustomReportCreativeDetail.aspx?App=23&amp;ReportView=4&amp;Qid=1711279&amp;Row=403&amp;Col=1","LOOKING FOR OUTSIDERS")</f>
        <v/>
      </c>
      <c r="B411" s="0" t="s">
        <v>594</v>
      </c>
      <c r="C411" s="0" t="s">
        <v>595</v>
      </c>
      <c r="D411" s="0" t="s">
        <v>595</v>
      </c>
      <c r="E411" s="0" t="inlineStr">
        <is>
          <t xml:space="preserve">Mazda</t>
        </is>
      </c>
      <c r="F411" s="0" t="s">
        <v>13</v>
      </c>
      <c r="G411" s="0" t="s">
        <v>49</v>
      </c>
      <c r="H411" s="5">
        <v>55411.459000</v>
      </c>
    </row>
    <row r="412" spans="1:9">
      <c r="A412" s="22" t="str">
        <f>HYPERLINK("https://app.vivvix.com/360/KMI/IntelliDrive/ApplUI/Pages/CreativePages/CustomReportCreativeDetail.aspx?App=23&amp;ReportView=4&amp;Qid=1711279&amp;Row=404&amp;Col=1","LOOKING FOR OUTSIDERS")</f>
        <v/>
      </c>
      <c r="B412" s="0" t="s">
        <v>594</v>
      </c>
      <c r="E412" s="0" t="inlineStr">
        <is>
          <t xml:space="preserve">Mazda</t>
        </is>
      </c>
      <c r="F412" s="0" t="s">
        <v>13</v>
      </c>
      <c r="G412" s="0" t="s">
        <v>49</v>
      </c>
      <c r="H412" s="5">
        <v>4475.365000</v>
      </c>
    </row>
    <row r="413" spans="1:9">
      <c r="A413" s="22" t="str">
        <f>HYPERLINK("https://app.vivvix.com/360/KMI/IntelliDrive/ApplUI/Pages/CreativePages/CustomReportCreativeDetail.aspx?App=23&amp;ReportView=4&amp;Qid=1711279&amp;Row=405&amp;Col=1","LOOKING FOR OUTSIDERS")</f>
        <v/>
      </c>
      <c r="B413" s="0" t="s">
        <v>596</v>
      </c>
      <c r="C413" s="0" t="s">
        <v>597</v>
      </c>
      <c r="D413" s="0" t="s">
        <v>597</v>
      </c>
      <c r="E413" s="0" t="inlineStr">
        <is>
          <t xml:space="preserve">Mazda</t>
        </is>
      </c>
      <c r="F413" s="0" t="s">
        <v>13</v>
      </c>
      <c r="G413" s="0" t="s">
        <v>49</v>
      </c>
      <c r="H413" s="5">
        <v>23889.513000</v>
      </c>
    </row>
    <row r="414" spans="1:9">
      <c r="A414" s="22" t="str">
        <f>HYPERLINK("https://app.vivvix.com/360/KMI/IntelliDrive/ApplUI/Pages/CreativePages/CustomReportCreativeDetail.aspx?App=23&amp;ReportView=4&amp;Qid=1711279&amp;Row=406&amp;Col=1","LOOKING FOR OUTSIDERS")</f>
        <v/>
      </c>
      <c r="B414" s="0" t="s">
        <v>596</v>
      </c>
      <c r="E414" s="0" t="inlineStr">
        <is>
          <t xml:space="preserve">Mazda</t>
        </is>
      </c>
      <c r="F414" s="0" t="s">
        <v>13</v>
      </c>
      <c r="G414" s="0" t="s">
        <v>49</v>
      </c>
      <c r="H414" s="5">
        <v>2645.864000</v>
      </c>
    </row>
    <row r="415" spans="1:9">
      <c r="A415" s="22" t="str">
        <f>HYPERLINK("https://app.vivvix.com/360/KMI/IntelliDrive/ApplUI/Pages/CreativePages/CustomReportCreativeDetail.aspx?App=23&amp;ReportView=4&amp;Qid=1711279&amp;Row=407&amp;Col=1","looking for outsiders")</f>
        <v/>
      </c>
      <c r="B415" s="0" t="s">
        <v>598</v>
      </c>
      <c r="C415" s="0" t="s">
        <v>599</v>
      </c>
      <c r="D415" s="0" t="s">
        <v>599</v>
      </c>
      <c r="E415" s="0" t="inlineStr">
        <is>
          <t xml:space="preserve">Mazda</t>
        </is>
      </c>
      <c r="F415" s="0" t="s">
        <v>13</v>
      </c>
      <c r="G415" s="0" t="s">
        <v>49</v>
      </c>
      <c r="H415" s="5">
        <v>193879.041000</v>
      </c>
    </row>
    <row r="416" spans="1:9">
      <c r="A416" s="22" t="str">
        <f>HYPERLINK("https://app.vivvix.com/360/KMI/IntelliDrive/ApplUI/Pages/CreativePages/CustomReportCreativeDetail.aspx?App=23&amp;ReportView=4&amp;Qid=1711279&amp;Row=408&amp;Col=1","looking for outsiders")</f>
        <v/>
      </c>
      <c r="B416" s="0" t="s">
        <v>598</v>
      </c>
      <c r="E416" s="0" t="inlineStr">
        <is>
          <t xml:space="preserve">Mazda</t>
        </is>
      </c>
      <c r="F416" s="0" t="s">
        <v>13</v>
      </c>
      <c r="G416" s="0" t="s">
        <v>49</v>
      </c>
      <c r="H416" s="5">
        <v>91527.725000</v>
      </c>
    </row>
    <row r="417" spans="1:9">
      <c r="A417" s="22" t="str">
        <f>HYPERLINK("https://app.vivvix.com/360/KMI/IntelliDrive/ApplUI/Pages/CreativePages/CustomReportCreativeDetail.aspx?App=23&amp;ReportView=4&amp;Qid=1711279&amp;Row=409&amp;Col=1","lOOKING FOR OUTSIDERS 15 SEC")</f>
        <v/>
      </c>
      <c r="B417" s="0" t="s">
        <v>600</v>
      </c>
      <c r="C417" s="0" t="s">
        <v>601</v>
      </c>
      <c r="D417" s="0" t="s">
        <v>601</v>
      </c>
      <c r="E417" s="0" t="inlineStr">
        <is>
          <t xml:space="preserve">Mazda</t>
        </is>
      </c>
      <c r="F417" s="0" t="s">
        <v>13</v>
      </c>
      <c r="G417" s="0" t="s">
        <v>49</v>
      </c>
      <c r="H417" s="5">
        <v>695.765000</v>
      </c>
    </row>
    <row r="418" spans="1:9">
      <c r="A418" s="22" t="str">
        <f>HYPERLINK("https://app.vivvix.com/360/KMI/IntelliDrive/ApplUI/Pages/CreativePages/CustomReportCreativeDetail.aspx?App=23&amp;ReportView=4&amp;Qid=1711279&amp;Row=410&amp;Col=1","LOOKING FOR OUTSIDERS 15 SEC")</f>
        <v/>
      </c>
      <c r="B418" s="0" t="s">
        <v>602</v>
      </c>
      <c r="C418" s="0" t="s">
        <v>603</v>
      </c>
      <c r="D418" s="0" t="s">
        <v>603</v>
      </c>
      <c r="E418" s="0" t="inlineStr">
        <is>
          <t xml:space="preserve">Mazda</t>
        </is>
      </c>
      <c r="F418" s="0" t="s">
        <v>13</v>
      </c>
      <c r="G418" s="0" t="s">
        <v>49</v>
      </c>
      <c r="H418" s="5">
        <v>232374.996000</v>
      </c>
    </row>
    <row r="419" spans="1:9">
      <c r="A419" s="22" t="str">
        <f>HYPERLINK("https://app.vivvix.com/360/KMI/IntelliDrive/ApplUI/Pages/CreativePages/CustomReportCreativeDetail.aspx?App=23&amp;ReportView=4&amp;Qid=1711279&amp;Row=411&amp;Col=1","LOOKING FOR OUTSIDERS 15 SEC.")</f>
        <v/>
      </c>
      <c r="B419" s="0" t="s">
        <v>604</v>
      </c>
      <c r="C419" s="0" t="s">
        <v>605</v>
      </c>
      <c r="D419" s="0" t="s">
        <v>605</v>
      </c>
      <c r="E419" s="0" t="inlineStr">
        <is>
          <t xml:space="preserve">Mazda</t>
        </is>
      </c>
      <c r="F419" s="0" t="s">
        <v>13</v>
      </c>
      <c r="G419" s="0" t="s">
        <v>49</v>
      </c>
      <c r="H419" s="5">
        <v>79340.447000</v>
      </c>
    </row>
    <row r="420" spans="1:9">
      <c r="A420" s="22" t="str">
        <f>HYPERLINK("https://app.vivvix.com/360/KMI/IntelliDrive/ApplUI/Pages/CreativePages/CustomReportCreativeDetail.aspx?App=23&amp;ReportView=4&amp;Qid=1711279&amp;Row=412&amp;Col=1","LOOKING FOR OUTSIDERS 15 SEC.")</f>
        <v/>
      </c>
      <c r="B420" s="0" t="s">
        <v>604</v>
      </c>
      <c r="E420" s="0" t="inlineStr">
        <is>
          <t xml:space="preserve">Mazda</t>
        </is>
      </c>
      <c r="F420" s="0" t="s">
        <v>13</v>
      </c>
      <c r="G420" s="0" t="s">
        <v>49</v>
      </c>
      <c r="H420" s="5">
        <v>99695.610000</v>
      </c>
    </row>
    <row r="421" spans="1:9">
      <c r="A421" s="22" t="str">
        <f>HYPERLINK("https://app.vivvix.com/360/KMI/IntelliDrive/ApplUI/Pages/CreativePages/CustomReportCreativeDetail.aspx?App=23&amp;ReportView=4&amp;Qid=1711279&amp;Row=413&amp;Col=1","LOOKING FOR OUTSIDERS 15 SEC...")</f>
        <v/>
      </c>
      <c r="B421" s="0" t="s">
        <v>606</v>
      </c>
      <c r="C421" s="0" t="s">
        <v>607</v>
      </c>
      <c r="D421" s="0" t="s">
        <v>607</v>
      </c>
      <c r="E421" s="0" t="inlineStr">
        <is>
          <t xml:space="preserve">Mazda</t>
        </is>
      </c>
      <c r="F421" s="0" t="s">
        <v>13</v>
      </c>
      <c r="G421" s="0" t="s">
        <v>49</v>
      </c>
      <c r="H421" s="5">
        <v>743.847000</v>
      </c>
    </row>
    <row r="422" spans="1:9">
      <c r="A422" s="22" t="str">
        <f>HYPERLINK("https://app.vivvix.com/360/KMI/IntelliDrive/ApplUI/Pages/CreativePages/CustomReportCreativeDetail.aspx?App=23&amp;ReportView=4&amp;Qid=1711279&amp;Row=414&amp;Col=1","LOOKING FOR OUTSIDERS 15 SECOND")</f>
        <v/>
      </c>
      <c r="B422" s="0" t="s">
        <v>608</v>
      </c>
      <c r="C422" s="0" t="s">
        <v>609</v>
      </c>
      <c r="D422" s="0" t="s">
        <v>609</v>
      </c>
      <c r="E422" s="0" t="inlineStr">
        <is>
          <t xml:space="preserve">Mazda</t>
        </is>
      </c>
      <c r="F422" s="0" t="s">
        <v>13</v>
      </c>
      <c r="G422" s="0" t="s">
        <v>49</v>
      </c>
      <c r="H422" s="5">
        <v>103137.578000</v>
      </c>
    </row>
    <row r="423" spans="1:9">
      <c r="A423" s="22" t="str">
        <f>HYPERLINK("https://app.vivvix.com/360/KMI/IntelliDrive/ApplUI/Pages/CreativePages/CustomReportCreativeDetail.aspx?App=23&amp;ReportView=4&amp;Qid=1711279&amp;Row=415&amp;Col=1","looking for outsiders 15 seconds")</f>
        <v/>
      </c>
      <c r="B423" s="0" t="s">
        <v>610</v>
      </c>
      <c r="C423" s="0" t="s">
        <v>59</v>
      </c>
      <c r="D423" s="0" t="s">
        <v>59</v>
      </c>
      <c r="E423" s="0" t="inlineStr">
        <is>
          <t xml:space="preserve">Mazda</t>
        </is>
      </c>
      <c r="F423" s="0" t="s">
        <v>13</v>
      </c>
      <c r="G423" s="0" t="s">
        <v>49</v>
      </c>
      <c r="H423" s="5">
        <v>12505.615000</v>
      </c>
    </row>
    <row r="424" spans="1:9">
      <c r="A424" s="22" t="str">
        <f>HYPERLINK("https://app.vivvix.com/360/KMI/IntelliDrive/ApplUI/Pages/CreativePages/CustomReportCreativeDetail.aspx?App=23&amp;ReportView=4&amp;Qid=1711279&amp;Row=416&amp;Col=1","looking for outsiders 15 seconds")</f>
        <v/>
      </c>
      <c r="B424" s="0" t="s">
        <v>610</v>
      </c>
      <c r="E424" s="0" t="inlineStr">
        <is>
          <t xml:space="preserve">Mazda</t>
        </is>
      </c>
      <c r="F424" s="0" t="s">
        <v>13</v>
      </c>
      <c r="G424" s="0" t="s">
        <v>49</v>
      </c>
      <c r="H424" s="5">
        <v>12275.330000</v>
      </c>
    </row>
    <row r="425" spans="1:9">
      <c r="A425" s="22" t="str">
        <f>HYPERLINK("https://app.vivvix.com/360/KMI/IntelliDrive/ApplUI/Pages/CreativePages/CustomReportCreativeDetail.aspx?App=23&amp;ReportView=4&amp;Qid=1711279&amp;Row=417&amp;Col=1","LOOKING FOR OUTSIDERS 15 SECONDS.")</f>
        <v/>
      </c>
      <c r="B425" s="0" t="s">
        <v>611</v>
      </c>
      <c r="C425" s="0" t="s">
        <v>199</v>
      </c>
      <c r="D425" s="0" t="s">
        <v>199</v>
      </c>
      <c r="E425" s="0" t="inlineStr">
        <is>
          <t xml:space="preserve">Mazda</t>
        </is>
      </c>
      <c r="F425" s="0" t="s">
        <v>13</v>
      </c>
      <c r="G425" s="0" t="s">
        <v>49</v>
      </c>
      <c r="H425" s="5">
        <v>10664.677000</v>
      </c>
    </row>
    <row r="426" spans="1:9">
      <c r="A426" s="22" t="str">
        <f>HYPERLINK("https://app.vivvix.com/360/KMI/IntelliDrive/ApplUI/Pages/CreativePages/CustomReportCreativeDetail.aspx?App=23&amp;ReportView=4&amp;Qid=1711279&amp;Row=418&amp;Col=1","LOOKING FOR OUTSIDERS 15 SECONDS.")</f>
        <v/>
      </c>
      <c r="B426" s="0" t="s">
        <v>611</v>
      </c>
      <c r="E426" s="0" t="inlineStr">
        <is>
          <t xml:space="preserve">Mazda</t>
        </is>
      </c>
      <c r="F426" s="0" t="s">
        <v>13</v>
      </c>
      <c r="G426" s="0" t="s">
        <v>49</v>
      </c>
      <c r="H426" s="5">
        <v>6293.553000</v>
      </c>
    </row>
    <row r="427" spans="1:9">
      <c r="A427" s="22" t="str">
        <f>HYPERLINK("https://app.vivvix.com/360/KMI/IntelliDrive/ApplUI/Pages/CreativePages/CustomReportCreativeDetail.aspx?App=23&amp;ReportView=4&amp;Qid=1711279&amp;Row=419&amp;Col=1","LOOKING FOR OUTSIDERS 30 SEC")</f>
        <v/>
      </c>
      <c r="B427" s="0" t="s">
        <v>612</v>
      </c>
      <c r="E427" s="0" t="inlineStr">
        <is>
          <t xml:space="preserve">Mazda</t>
        </is>
      </c>
      <c r="F427" s="0" t="s">
        <v>13</v>
      </c>
      <c r="G427" s="0" t="s">
        <v>49</v>
      </c>
      <c r="H427" s="5">
        <v>23724.630000</v>
      </c>
    </row>
    <row r="428" spans="1:9">
      <c r="A428" s="22" t="str">
        <f>HYPERLINK("https://app.vivvix.com/360/KMI/IntelliDrive/ApplUI/Pages/CreativePages/CustomReportCreativeDetail.aspx?App=23&amp;ReportView=4&amp;Qid=1711279&amp;Row=420&amp;Col=1","LOOKING FOR OUTSIDERS 30 SEC")</f>
        <v/>
      </c>
      <c r="B428" s="0" t="s">
        <v>612</v>
      </c>
      <c r="E428" s="0" t="inlineStr">
        <is>
          <t xml:space="preserve">Mazda</t>
        </is>
      </c>
      <c r="F428" s="0" t="s">
        <v>13</v>
      </c>
      <c r="G428" s="0" t="s">
        <v>49</v>
      </c>
      <c r="H428" s="5">
        <v>48255.815000</v>
      </c>
    </row>
    <row r="429" spans="1:9">
      <c r="A429" s="22" t="str">
        <f>HYPERLINK("https://app.vivvix.com/360/KMI/IntelliDrive/ApplUI/Pages/CreativePages/CustomReportCreativeDetail.aspx?App=23&amp;ReportView=4&amp;Qid=1711279&amp;Row=421&amp;Col=1","LOOKING FOR OUTSIDERS 30 SEC.")</f>
        <v/>
      </c>
      <c r="B429" s="0" t="s">
        <v>613</v>
      </c>
      <c r="C429" s="0" t="s">
        <v>614</v>
      </c>
      <c r="D429" s="0" t="s">
        <v>614</v>
      </c>
      <c r="E429" s="0" t="inlineStr">
        <is>
          <t xml:space="preserve">Mazda</t>
        </is>
      </c>
      <c r="F429" s="0" t="s">
        <v>13</v>
      </c>
      <c r="G429" s="0" t="s">
        <v>49</v>
      </c>
      <c r="H429" s="5">
        <v>111854.713000</v>
      </c>
    </row>
    <row r="430" spans="1:9">
      <c r="A430" s="22" t="str">
        <f>HYPERLINK("https://app.vivvix.com/360/KMI/IntelliDrive/ApplUI/Pages/CreativePages/CustomReportCreativeDetail.aspx?App=23&amp;ReportView=4&amp;Qid=1711279&amp;Row=422&amp;Col=1","LOOKING FOR OUTSIDERS 30 SEC...")</f>
        <v/>
      </c>
      <c r="B430" s="0" t="s">
        <v>615</v>
      </c>
      <c r="E430" s="0" t="inlineStr">
        <is>
          <t xml:space="preserve">Mazda</t>
        </is>
      </c>
      <c r="F430" s="0" t="s">
        <v>13</v>
      </c>
      <c r="G430" s="0" t="s">
        <v>49</v>
      </c>
      <c r="H430" s="5">
        <v>2128.084000</v>
      </c>
    </row>
    <row r="431" spans="1:9">
      <c r="A431" s="22" t="str">
        <f>HYPERLINK("https://app.vivvix.com/360/KMI/IntelliDrive/ApplUI/Pages/CreativePages/CustomReportCreativeDetail.aspx?App=23&amp;ReportView=4&amp;Qid=1711279&amp;Row=423&amp;Col=1","LOOKING FOR OUTSIDERS SEC  15")</f>
        <v/>
      </c>
      <c r="B431" s="0" t="s">
        <v>616</v>
      </c>
      <c r="C431" s="0" t="s">
        <v>617</v>
      </c>
      <c r="D431" s="0" t="s">
        <v>617</v>
      </c>
      <c r="E431" s="0" t="inlineStr">
        <is>
          <t xml:space="preserve">Mazda</t>
        </is>
      </c>
      <c r="F431" s="0" t="s">
        <v>13</v>
      </c>
      <c r="G431" s="0" t="s">
        <v>49</v>
      </c>
      <c r="H431" s="5">
        <v>106602.258000</v>
      </c>
    </row>
    <row r="432" spans="1:9">
      <c r="A432" s="22" t="str">
        <f>HYPERLINK("https://app.vivvix.com/360/KMI/IntelliDrive/ApplUI/Pages/CreativePages/CustomReportCreativeDetail.aspx?App=23&amp;ReportView=4&amp;Qid=1711279&amp;Row=424&amp;Col=1","LOOKING FOR OUTSIDERS SEC  15")</f>
        <v/>
      </c>
      <c r="B432" s="0" t="s">
        <v>616</v>
      </c>
      <c r="E432" s="0" t="inlineStr">
        <is>
          <t xml:space="preserve">Mazda</t>
        </is>
      </c>
      <c r="F432" s="0" t="s">
        <v>13</v>
      </c>
      <c r="G432" s="0" t="s">
        <v>49</v>
      </c>
      <c r="H432" s="5">
        <v>0.000000</v>
      </c>
    </row>
    <row r="433" spans="1:9">
      <c r="A433" s="22" t="str">
        <f>HYPERLINK("https://app.vivvix.com/360/KMI/IntelliDrive/ApplUI/Pages/CreativePages/CustomReportCreativeDetail.aspx?App=23&amp;ReportView=4&amp;Qid=1711279&amp;Row=425&amp;Col=1","LOOKING FOR OUTSIDERS SEC 15")</f>
        <v/>
      </c>
      <c r="B433" s="0" t="s">
        <v>618</v>
      </c>
      <c r="C433" s="0" t="s">
        <v>619</v>
      </c>
      <c r="D433" s="0" t="s">
        <v>619</v>
      </c>
      <c r="E433" s="0" t="inlineStr">
        <is>
          <t xml:space="preserve">Mazda</t>
        </is>
      </c>
      <c r="F433" s="0" t="s">
        <v>13</v>
      </c>
      <c r="G433" s="0" t="s">
        <v>49</v>
      </c>
      <c r="H433" s="5">
        <v>200301.827000</v>
      </c>
    </row>
    <row r="434" spans="1:9">
      <c r="A434" s="22" t="str">
        <f>HYPERLINK("https://app.vivvix.com/360/KMI/IntelliDrive/ApplUI/Pages/CreativePages/CustomReportCreativeDetail.aspx?App=23&amp;ReportView=4&amp;Qid=1711279&amp;Row=426&amp;Col=1","LOOKING FOR OUTSIDERS SEC 15")</f>
        <v/>
      </c>
      <c r="B434" s="0" t="s">
        <v>618</v>
      </c>
      <c r="E434" s="0" t="inlineStr">
        <is>
          <t xml:space="preserve">Mazda</t>
        </is>
      </c>
      <c r="F434" s="0" t="s">
        <v>13</v>
      </c>
      <c r="G434" s="0" t="s">
        <v>49</v>
      </c>
      <c r="H434" s="5">
        <v>6043.514000</v>
      </c>
    </row>
    <row r="435" spans="1:9">
      <c r="A435" s="22" t="str">
        <f>HYPERLINK("https://app.vivvix.com/360/KMI/IntelliDrive/ApplUI/Pages/CreativePages/CustomReportCreativeDetail.aspx?App=23&amp;ReportView=4&amp;Qid=1711279&amp;Row=427&amp;Col=1","LOOKING FOR OUTSIDERS SEC 15.")</f>
        <v/>
      </c>
      <c r="B435" s="0" t="s">
        <v>620</v>
      </c>
      <c r="C435" s="0" t="s">
        <v>621</v>
      </c>
      <c r="D435" s="0" t="s">
        <v>621</v>
      </c>
      <c r="E435" s="0" t="inlineStr">
        <is>
          <t xml:space="preserve">Mazda</t>
        </is>
      </c>
      <c r="F435" s="0" t="s">
        <v>13</v>
      </c>
      <c r="G435" s="0" t="s">
        <v>49</v>
      </c>
      <c r="H435" s="5">
        <v>95518.556000</v>
      </c>
    </row>
    <row r="436" spans="1:9">
      <c r="A436" s="22" t="str">
        <f>HYPERLINK("https://app.vivvix.com/360/KMI/IntelliDrive/ApplUI/Pages/CreativePages/CustomReportCreativeDetail.aspx?App=23&amp;ReportView=4&amp;Qid=1711279&amp;Row=428&amp;Col=1","LOOKING FOR OUTSIDERS SEC 15.")</f>
        <v/>
      </c>
      <c r="B436" s="0" t="s">
        <v>620</v>
      </c>
      <c r="E436" s="0" t="inlineStr">
        <is>
          <t xml:space="preserve">Mazda</t>
        </is>
      </c>
      <c r="F436" s="0" t="s">
        <v>13</v>
      </c>
      <c r="G436" s="0" t="s">
        <v>49</v>
      </c>
      <c r="H436" s="5">
        <v>1435.149000</v>
      </c>
    </row>
    <row r="437" spans="1:9">
      <c r="A437" s="22" t="str">
        <f>HYPERLINK("https://app.vivvix.com/360/KMI/IntelliDrive/ApplUI/Pages/CreativePages/CustomReportCreativeDetail.aspx?App=23&amp;ReportView=4&amp;Qid=1711279&amp;Row=429&amp;Col=1","LOOKING FOR OUTSIDES")</f>
        <v/>
      </c>
      <c r="B437" s="0" t="s">
        <v>622</v>
      </c>
      <c r="C437" s="0" t="s">
        <v>623</v>
      </c>
      <c r="D437" s="0" t="s">
        <v>623</v>
      </c>
      <c r="E437" s="0" t="inlineStr">
        <is>
          <t xml:space="preserve">Mazda</t>
        </is>
      </c>
      <c r="F437" s="0" t="s">
        <v>13</v>
      </c>
      <c r="G437" s="0" t="s">
        <v>49</v>
      </c>
      <c r="H437" s="5">
        <v>174.468000</v>
      </c>
    </row>
    <row r="438" spans="1:9">
      <c r="A438" s="22" t="str">
        <f>HYPERLINK("https://app.vivvix.com/360/KMI/IntelliDrive/ApplUI/Pages/CreativePages/CustomReportCreativeDetail.aspx?App=23&amp;ReportView=4&amp;Qid=1711279&amp;Row=430&amp;Col=1","Made To Move You")</f>
        <v/>
      </c>
      <c r="B438" s="0" t="s">
        <v>624</v>
      </c>
      <c r="C438" s="0" t="s">
        <v>317</v>
      </c>
      <c r="D438" s="0" t="s">
        <v>317</v>
      </c>
      <c r="E438" s="0" t="inlineStr">
        <is>
          <t xml:space="preserve">Mazda</t>
        </is>
      </c>
      <c r="F438" s="0" t="s">
        <v>28</v>
      </c>
      <c r="G438" s="0" t="s">
        <v>29</v>
      </c>
      <c r="H438" s="5">
        <v>1382.307000</v>
      </c>
    </row>
    <row r="439" spans="1:9">
      <c r="A439" s="22" t="str">
        <f>HYPERLINK("https://app.vivvix.com/360/KMI/IntelliDrive/ApplUI/Pages/CreativePages/CustomReportCreativeDetail.aspx?App=23&amp;ReportView=4&amp;Qid=1711279&amp;Row=431&amp;Col=1","Magic Around You/Legalese")</f>
        <v/>
      </c>
      <c r="B439" s="0" t="s">
        <v>625</v>
      </c>
      <c r="C439" s="0" t="s">
        <v>626</v>
      </c>
      <c r="D439" s="0" t="s">
        <v>627</v>
      </c>
      <c r="E439" s="0" t="inlineStr">
        <is>
          <t xml:space="preserve">Mazda</t>
        </is>
      </c>
      <c r="F439" s="0" t="s">
        <v>21</v>
      </c>
      <c r="G439" s="0" t="s">
        <v>22</v>
      </c>
      <c r="H439" s="5">
        <v>1520.319000</v>
      </c>
    </row>
    <row r="440" spans="1:9">
      <c r="A440" s="22" t="str">
        <f>HYPERLINK("https://app.vivvix.com/360/KMI/IntelliDrive/ApplUI/Pages/CreativePages/CustomReportCreativeDetail.aspx?App=23&amp;ReportView=4&amp;Qid=1711279&amp;Row=432&amp;Col=1","man says we are looking for outsiders")</f>
        <v/>
      </c>
      <c r="B440" s="0" t="s">
        <v>628</v>
      </c>
      <c r="E440" s="0" t="inlineStr">
        <is>
          <t xml:space="preserve">Mazda</t>
        </is>
      </c>
      <c r="F440" s="0" t="s">
        <v>13</v>
      </c>
      <c r="G440" s="0" t="s">
        <v>49</v>
      </c>
      <c r="H440" s="5">
        <v>62545.106000</v>
      </c>
    </row>
    <row r="441" spans="1:9">
      <c r="A441" s="22" t="str">
        <f>HYPERLINK("https://app.vivvix.com/360/KMI/IntelliDrive/ApplUI/Pages/CreativePages/CustomReportCreativeDetail.aspx?App=23&amp;ReportView=4&amp;Qid=1711279&amp;Row=433&amp;Col=1","man says we are looking for outsiders")</f>
        <v/>
      </c>
      <c r="B441" s="0" t="s">
        <v>628</v>
      </c>
      <c r="E441" s="0" t="inlineStr">
        <is>
          <t xml:space="preserve">Mazda</t>
        </is>
      </c>
      <c r="F441" s="0" t="s">
        <v>13</v>
      </c>
      <c r="G441" s="0" t="s">
        <v>49</v>
      </c>
      <c r="H441" s="5">
        <v>335.122000</v>
      </c>
    </row>
    <row r="442" spans="1:9">
      <c r="A442" s="22" t="str">
        <f>HYPERLINK("https://app.vivvix.com/360/KMI/IntelliDrive/ApplUI/Pages/CreativePages/CustomReportCreativeDetail.aspx?App=23&amp;ReportView=4&amp;Qid=1711279&amp;Row=434&amp;Col=1","Mazda ad in french")</f>
        <v/>
      </c>
      <c r="B442" s="0" t="s">
        <v>629</v>
      </c>
      <c r="C442" s="0" t="s">
        <v>630</v>
      </c>
      <c r="D442" s="0" t="s">
        <v>630</v>
      </c>
      <c r="E442" s="0" t="inlineStr">
        <is>
          <t xml:space="preserve">Mazda</t>
        </is>
      </c>
      <c r="F442" s="0" t="s">
        <v>28</v>
      </c>
      <c r="G442" s="0" t="s">
        <v>29</v>
      </c>
      <c r="H442" s="5">
        <v>7.282000</v>
      </c>
    </row>
    <row r="443" spans="1:9">
      <c r="A443" s="22" t="str">
        <f>HYPERLINK("https://app.vivvix.com/360/KMI/IntelliDrive/ApplUI/Pages/CreativePages/CustomReportCreativeDetail.aspx?App=23&amp;ReportView=4&amp;Qid=1711279&amp;Row=435&amp;Col=1","Mazda ad in french 15 sec")</f>
        <v/>
      </c>
      <c r="B443" s="0" t="s">
        <v>631</v>
      </c>
      <c r="C443" s="0" t="s">
        <v>632</v>
      </c>
      <c r="D443" s="0" t="s">
        <v>632</v>
      </c>
      <c r="E443" s="0" t="inlineStr">
        <is>
          <t xml:space="preserve">Mazda</t>
        </is>
      </c>
      <c r="F443" s="0" t="s">
        <v>330</v>
      </c>
      <c r="G443" s="0" t="s">
        <v>331</v>
      </c>
      <c r="H443" s="5">
        <v>1831.402000</v>
      </c>
    </row>
    <row r="444" spans="1:9">
      <c r="A444" s="22" t="str">
        <f>HYPERLINK("https://app.vivvix.com/360/KMI/IntelliDrive/ApplUI/Pages/CreativePages/CustomReportCreativeDetail.aspx?App=23&amp;ReportView=4&amp;Qid=1711279&amp;Row=436&amp;Col=1","Mazda ad in french 6 sec")</f>
        <v/>
      </c>
      <c r="B444" s="0" t="s">
        <v>633</v>
      </c>
      <c r="C444" s="0" t="s">
        <v>634</v>
      </c>
      <c r="D444" s="0" t="s">
        <v>634</v>
      </c>
      <c r="E444" s="0" t="inlineStr">
        <is>
          <t xml:space="preserve">Mazda</t>
        </is>
      </c>
      <c r="F444" s="0" t="s">
        <v>330</v>
      </c>
      <c r="G444" s="0" t="s">
        <v>331</v>
      </c>
      <c r="H444" s="5">
        <v>915.701000</v>
      </c>
    </row>
    <row r="445" spans="1:9">
      <c r="A445" s="22" t="str">
        <f>HYPERLINK("https://app.vivvix.com/360/KMI/IntelliDrive/ApplUI/Pages/CreativePages/CustomReportCreativeDetail.aspx?App=23&amp;ReportView=4&amp;Qid=1711279&amp;Row=437&amp;Col=1","Mazda Find Out Event, Get The Best Deal")</f>
        <v/>
      </c>
      <c r="B445" s="0" t="s">
        <v>635</v>
      </c>
      <c r="C445" s="0" t="s">
        <v>636</v>
      </c>
      <c r="D445" s="0" t="s">
        <v>636</v>
      </c>
      <c r="E445" s="0" t="inlineStr">
        <is>
          <t xml:space="preserve">Mazda</t>
        </is>
      </c>
      <c r="F445" s="0" t="inlineStr">
        <is>
          <t xml:space="preserve">Mazda</t>
        </is>
      </c>
      <c r="G445" s="0" t="s">
        <v>505</v>
      </c>
      <c r="H445" s="5">
        <v>1318.829000</v>
      </c>
    </row>
    <row r="446" spans="1:9">
      <c r="A446" s="22" t="str">
        <f>HYPERLINK("https://app.vivvix.com/360/KMI/IntelliDrive/ApplUI/Pages/CreativePages/CustomReportCreativeDetail.aspx?App=23&amp;ReportView=4&amp;Qid=1711279&amp;Row=438&amp;Col=1","Mazda in french")</f>
        <v/>
      </c>
      <c r="B446" s="0" t="s">
        <v>637</v>
      </c>
      <c r="C446" s="0" t="s">
        <v>638</v>
      </c>
      <c r="D446" s="0" t="s">
        <v>638</v>
      </c>
      <c r="E446" s="0" t="inlineStr">
        <is>
          <t xml:space="preserve">Mazda</t>
        </is>
      </c>
      <c r="F446" s="0" t="s">
        <v>13</v>
      </c>
      <c r="G446" s="0" t="s">
        <v>49</v>
      </c>
      <c r="H446" s="5">
        <v>66.681000</v>
      </c>
    </row>
    <row r="447" spans="1:9">
      <c r="A447" s="22" t="str">
        <f>HYPERLINK("https://app.vivvix.com/360/KMI/IntelliDrive/ApplUI/Pages/CreativePages/CustomReportCreativeDetail.aspx?App=23&amp;ReportView=4&amp;Qid=1711279&amp;Row=439&amp;Col=1","More 2024 IIHS Top Safety Pick+ Awards")</f>
        <v/>
      </c>
      <c r="B447" s="0" t="s">
        <v>639</v>
      </c>
      <c r="C447" s="0" t="s">
        <v>640</v>
      </c>
      <c r="D447" s="0" t="s">
        <v>640</v>
      </c>
      <c r="E447" s="0" t="inlineStr">
        <is>
          <t xml:space="preserve">Mazda</t>
        </is>
      </c>
      <c r="F447" s="0" t="inlineStr">
        <is>
          <t xml:space="preserve">Mazda</t>
        </is>
      </c>
      <c r="G447" s="0" t="s">
        <v>210</v>
      </c>
      <c r="H447" s="5">
        <v>4434.558000</v>
      </c>
    </row>
    <row r="448" spans="1:9">
      <c r="A448" s="22" t="str">
        <f>HYPERLINK("https://app.vivvix.com/360/KMI/IntelliDrive/ApplUI/Pages/CreativePages/CustomReportCreativeDetail.aspx?App=23&amp;ReportView=4&amp;Qid=1711279&amp;Row=440&amp;Col=1","More Adventures With Comfortable Drive")</f>
        <v/>
      </c>
      <c r="B448" s="0" t="s">
        <v>641</v>
      </c>
      <c r="C448" s="0" t="s">
        <v>642</v>
      </c>
      <c r="D448" s="0" t="s">
        <v>642</v>
      </c>
      <c r="E448" s="0" t="inlineStr">
        <is>
          <t xml:space="preserve">Mazda</t>
        </is>
      </c>
      <c r="F448" s="0" t="inlineStr">
        <is>
          <t xml:space="preserve">Mazda</t>
        </is>
      </c>
      <c r="G448" s="0" t="s">
        <v>210</v>
      </c>
      <c r="H448" s="5">
        <v>6661.550000</v>
      </c>
    </row>
    <row r="449" spans="1:9">
      <c r="A449" s="22" t="str">
        <f>HYPERLINK("https://app.vivvix.com/360/KMI/IntelliDrive/ApplUI/Pages/CreativePages/CustomReportCreativeDetail.aspx?App=23&amp;ReportView=4&amp;Qid=1711279&amp;Row=441&amp;Col=1","More Joy Per Experience")</f>
        <v/>
      </c>
      <c r="B449" s="0" t="s">
        <v>643</v>
      </c>
      <c r="C449" s="0" t="s">
        <v>644</v>
      </c>
      <c r="D449" s="0" t="s">
        <v>644</v>
      </c>
      <c r="E449" s="0" t="inlineStr">
        <is>
          <t xml:space="preserve">Mazda</t>
        </is>
      </c>
      <c r="F449" s="0" t="s">
        <v>13</v>
      </c>
      <c r="G449" s="0" t="s">
        <v>49</v>
      </c>
      <c r="H449" s="5">
        <v>18927.415000</v>
      </c>
    </row>
    <row r="450" spans="1:9">
      <c r="A450" s="22" t="str">
        <f>HYPERLINK("https://app.vivvix.com/360/KMI/IntelliDrive/ApplUI/Pages/CreativePages/CustomReportCreativeDetail.aspx?App=23&amp;ReportView=4&amp;Qid=1711279&amp;Row=442&amp;Col=1","More Joy Per Experience")</f>
        <v/>
      </c>
      <c r="B450" s="0" t="s">
        <v>643</v>
      </c>
      <c r="E450" s="0" t="inlineStr">
        <is>
          <t xml:space="preserve">Mazda</t>
        </is>
      </c>
      <c r="F450" s="0" t="s">
        <v>13</v>
      </c>
      <c r="G450" s="0" t="s">
        <v>49</v>
      </c>
      <c r="H450" s="5">
        <v>553.520000</v>
      </c>
    </row>
    <row r="451" spans="1:9">
      <c r="A451" s="22" t="str">
        <f>HYPERLINK("https://app.vivvix.com/360/KMI/IntelliDrive/ApplUI/Pages/CreativePages/CustomReportCreativeDetail.aspx?App=23&amp;ReportView=4&amp;Qid=1711279&amp;Row=443&amp;Col=1","More Power to Pursuit/Legalese")</f>
        <v/>
      </c>
      <c r="B451" s="0" t="s">
        <v>645</v>
      </c>
      <c r="C451" s="0" t="s">
        <v>646</v>
      </c>
      <c r="D451" s="0" t="s">
        <v>647</v>
      </c>
      <c r="E451" s="0" t="inlineStr">
        <is>
          <t xml:space="preserve">Mazda</t>
        </is>
      </c>
      <c r="F451" s="0" t="s">
        <v>21</v>
      </c>
      <c r="G451" s="0" t="s">
        <v>22</v>
      </c>
      <c r="H451" s="5">
        <v>3479.725000</v>
      </c>
    </row>
    <row r="452" spans="1:9">
      <c r="A452" s="22" t="str">
        <f>HYPERLINK("https://app.vivvix.com/360/KMI/IntelliDrive/ApplUI/Pages/CreativePages/CustomReportCreativeDetail.aspx?App=23&amp;ReportView=4&amp;Qid=1711279&amp;Row=444&amp;Col=1","More Power to Pursuit/Legalese")</f>
        <v/>
      </c>
      <c r="B452" s="0" t="s">
        <v>645</v>
      </c>
      <c r="E452" s="0" t="inlineStr">
        <is>
          <t xml:space="preserve">Mazda</t>
        </is>
      </c>
      <c r="F452" s="0" t="s">
        <v>21</v>
      </c>
      <c r="G452" s="0" t="s">
        <v>22</v>
      </c>
      <c r="H452" s="5">
        <v>28338.187000</v>
      </c>
    </row>
    <row r="453" spans="1:9">
      <c r="A453" s="22" t="str">
        <f>HYPERLINK("https://app.vivvix.com/360/KMI/IntelliDrive/ApplUI/Pages/CreativePages/CustomReportCreativeDetail.aspx?App=23&amp;ReportView=4&amp;Qid=1711279&amp;Row=445&amp;Col=1","more range more refinement more mazda")</f>
        <v/>
      </c>
      <c r="B453" s="0" t="s">
        <v>648</v>
      </c>
      <c r="C453" s="0" t="s">
        <v>649</v>
      </c>
      <c r="D453" s="0" t="s">
        <v>649</v>
      </c>
      <c r="E453" s="0" t="inlineStr">
        <is>
          <t xml:space="preserve">Mazda</t>
        </is>
      </c>
      <c r="F453" s="0" t="s">
        <v>125</v>
      </c>
      <c r="G453" s="0" t="s">
        <v>346</v>
      </c>
      <c r="H453" s="5">
        <v>4922.205000</v>
      </c>
    </row>
    <row r="454" spans="1:9">
      <c r="A454" s="22" t="str">
        <f>HYPERLINK("https://app.vivvix.com/360/KMI/IntelliDrive/ApplUI/Pages/CreativePages/CustomReportCreativeDetail.aspx?App=23&amp;ReportView=4&amp;Qid=1711279&amp;Row=446&amp;Col=1","MORE TIME DISCOVERING")</f>
        <v/>
      </c>
      <c r="B454" s="0" t="s">
        <v>650</v>
      </c>
      <c r="C454" s="0" t="s">
        <v>651</v>
      </c>
      <c r="D454" s="0" t="s">
        <v>651</v>
      </c>
      <c r="E454" s="0" t="inlineStr">
        <is>
          <t xml:space="preserve">Mazda</t>
        </is>
      </c>
      <c r="F454" s="0" t="s">
        <v>125</v>
      </c>
      <c r="G454" s="0" t="s">
        <v>346</v>
      </c>
      <c r="H454" s="5">
        <v>582.524000</v>
      </c>
    </row>
    <row r="455" spans="1:9">
      <c r="A455" s="22" t="str">
        <f>HYPERLINK("https://app.vivvix.com/360/KMI/IntelliDrive/ApplUI/Pages/CreativePages/CustomReportCreativeDetail.aspx?App=23&amp;ReportView=4&amp;Qid=1711279&amp;Row=447&amp;Col=1","move in to something better")</f>
        <v/>
      </c>
      <c r="B455" s="0" t="s">
        <v>652</v>
      </c>
      <c r="E455" s="0" t="inlineStr">
        <is>
          <t xml:space="preserve">Mazda</t>
        </is>
      </c>
      <c r="F455" s="0" t="s">
        <v>56</v>
      </c>
      <c r="G455" s="0" t="s">
        <v>57</v>
      </c>
      <c r="H455" s="5">
        <v>1654.772000</v>
      </c>
    </row>
    <row r="456" spans="1:9">
      <c r="A456" s="22" t="str">
        <f>HYPERLINK("https://app.vivvix.com/360/KMI/IntelliDrive/ApplUI/Pages/CreativePages/CustomReportCreativeDetail.aspx?App=23&amp;ReportView=4&amp;Qid=1711279&amp;Row=448&amp;Col=1","Move With The Season")</f>
        <v/>
      </c>
      <c r="B456" s="0" t="s">
        <v>653</v>
      </c>
      <c r="C456" s="0" t="s">
        <v>654</v>
      </c>
      <c r="D456" s="0" t="s">
        <v>654</v>
      </c>
      <c r="E456" s="0" t="inlineStr">
        <is>
          <t xml:space="preserve">Mazda</t>
        </is>
      </c>
      <c r="F456" s="0" t="s">
        <v>52</v>
      </c>
      <c r="G456" s="0" t="s">
        <v>53</v>
      </c>
      <c r="H456" s="5">
        <v>1189.389000</v>
      </c>
    </row>
    <row r="457" spans="1:9">
      <c r="A457" s="22" t="str">
        <f>HYPERLINK("https://app.vivvix.com/360/KMI/IntelliDrive/ApplUI/Pages/CreativePages/CustomReportCreativeDetail.aspx?App=23&amp;ReportView=4&amp;Qid=1711279&amp;Row=449&amp;Col=1","Must Drive")</f>
        <v/>
      </c>
      <c r="B457" s="0" t="s">
        <v>655</v>
      </c>
      <c r="E457" s="0" t="inlineStr">
        <is>
          <t xml:space="preserve">Mazda</t>
        </is>
      </c>
      <c r="F457" s="0" t="inlineStr">
        <is>
          <t xml:space="preserve">Mazda</t>
        </is>
      </c>
      <c r="G457" s="0" t="s">
        <v>171</v>
      </c>
      <c r="H457" s="5">
        <v>10577.057000</v>
      </c>
    </row>
    <row r="458" spans="1:9">
      <c r="A458" s="22" t="str">
        <f>HYPERLINK("https://app.vivvix.com/360/KMI/IntelliDrive/ApplUI/Pages/CreativePages/CustomReportCreativeDetail.aspx?App=23&amp;ReportView=4&amp;Qid=1711279&amp;Row=450&amp;Col=1","Must Drive")</f>
        <v/>
      </c>
      <c r="B458" s="0" t="s">
        <v>655</v>
      </c>
      <c r="E458" s="0" t="inlineStr">
        <is>
          <t xml:space="preserve">Mazda</t>
        </is>
      </c>
      <c r="F458" s="0" t="inlineStr">
        <is>
          <t xml:space="preserve">Mazda</t>
        </is>
      </c>
      <c r="G458" s="0" t="s">
        <v>171</v>
      </c>
      <c r="H458" s="5">
        <v>311639.388000</v>
      </c>
    </row>
    <row r="459" spans="1:9">
      <c r="A459" s="22" t="str">
        <f>HYPERLINK("https://app.vivvix.com/360/KMI/IntelliDrive/ApplUI/Pages/CreativePages/CustomReportCreativeDetail.aspx?App=23&amp;ReportView=4&amp;Qid=1711279&amp;Row=451&amp;Col=1","NAPPA LEATHER WITH QUILTED DETAIL")</f>
        <v/>
      </c>
      <c r="B459" s="0" t="s">
        <v>656</v>
      </c>
      <c r="E459" s="0" t="inlineStr">
        <is>
          <t xml:space="preserve">Mazda</t>
        </is>
      </c>
      <c r="F459" s="0" t="s">
        <v>28</v>
      </c>
      <c r="G459" s="0" t="s">
        <v>29</v>
      </c>
      <c r="H459" s="5">
        <v>307848.764000</v>
      </c>
    </row>
    <row r="460" spans="1:9">
      <c r="A460" s="22" t="str">
        <f>HYPERLINK("https://app.vivvix.com/360/KMI/IntelliDrive/ApplUI/Pages/CreativePages/CustomReportCreativeDetail.aspx?App=23&amp;ReportView=4&amp;Qid=1711279&amp;Row=452&amp;Col=1","NAPPA LEATHER WITH QUILTED DETAIL")</f>
        <v/>
      </c>
      <c r="B460" s="0" t="s">
        <v>656</v>
      </c>
      <c r="E460" s="0" t="inlineStr">
        <is>
          <t xml:space="preserve">Mazda</t>
        </is>
      </c>
      <c r="F460" s="0" t="s">
        <v>28</v>
      </c>
      <c r="G460" s="0" t="s">
        <v>29</v>
      </c>
      <c r="H460" s="5">
        <v>12214.089000</v>
      </c>
    </row>
    <row r="461" spans="1:9">
      <c r="A461" s="22" t="str">
        <f>HYPERLINK("https://app.vivvix.com/360/KMI/IntelliDrive/ApplUI/Pages/CreativePages/CustomReportCreativeDetail.aspx?App=23&amp;ReportView=4&amp;Qid=1711279&amp;Row=453&amp;Col=1","New Car")</f>
        <v/>
      </c>
      <c r="B461" s="0" t="s">
        <v>657</v>
      </c>
      <c r="E461" s="0" t="inlineStr">
        <is>
          <t xml:space="preserve">Mazda</t>
        </is>
      </c>
      <c r="F461" s="0" t="inlineStr">
        <is>
          <t xml:space="preserve">Mazda</t>
        </is>
      </c>
      <c r="G461" s="0" t="s">
        <v>171</v>
      </c>
      <c r="H461" s="5">
        <v>2740.346000</v>
      </c>
    </row>
    <row r="462" spans="1:9">
      <c r="A462" s="22" t="str">
        <f>HYPERLINK("https://app.vivvix.com/360/KMI/IntelliDrive/ApplUI/Pages/CreativePages/CustomReportCreativeDetail.aspx?App=23&amp;ReportView=4&amp;Qid=1711279&amp;Row=454&amp;Col=1","No Title Assigned - #15220363290")</f>
        <v/>
      </c>
      <c r="B462" s="0" t="s">
        <v>658</v>
      </c>
      <c r="C462" s="0" t="s">
        <v>659</v>
      </c>
      <c r="D462" s="0" t="s">
        <v>659</v>
      </c>
      <c r="E462" s="0" t="inlineStr">
        <is>
          <t xml:space="preserve">Mazda</t>
        </is>
      </c>
      <c r="F462" s="0" t="inlineStr">
        <is>
          <t xml:space="preserve">Mazda</t>
        </is>
      </c>
      <c r="G462" s="0" t="s">
        <v>210</v>
      </c>
      <c r="H462" s="5">
        <v>588.467900</v>
      </c>
    </row>
    <row r="463" spans="1:9">
      <c r="A463" s="22" t="str">
        <f>HYPERLINK("https://app.vivvix.com/360/KMI/IntelliDrive/ApplUI/Pages/CreativePages/CustomReportCreativeDetail.aspx?App=23&amp;ReportView=4&amp;Qid=1711279&amp;Row=455&amp;Col=1","No Title Assigned - #15246652176")</f>
        <v/>
      </c>
      <c r="B463" s="0" t="s">
        <v>660</v>
      </c>
      <c r="C463" s="0" t="s">
        <v>661</v>
      </c>
      <c r="D463" s="0" t="s">
        <v>661</v>
      </c>
      <c r="E463" s="0" t="inlineStr">
        <is>
          <t xml:space="preserve">Mazda</t>
        </is>
      </c>
      <c r="F463" s="0" t="inlineStr">
        <is>
          <t xml:space="preserve">Mazda</t>
        </is>
      </c>
      <c r="G463" s="0" t="s">
        <v>662</v>
      </c>
      <c r="H463" s="5">
        <v>1955.528400</v>
      </c>
    </row>
    <row r="464" spans="1:9">
      <c r="A464" s="22" t="str">
        <f>HYPERLINK("https://app.vivvix.com/360/KMI/IntelliDrive/ApplUI/Pages/CreativePages/CustomReportCreativeDetail.aspx?App=23&amp;ReportView=4&amp;Qid=1711279&amp;Row=456&amp;Col=1","No Title Assigned - #15248625535")</f>
        <v/>
      </c>
      <c r="B464" s="0" t="s">
        <v>663</v>
      </c>
      <c r="E464" s="0" t="inlineStr">
        <is>
          <t xml:space="preserve">Mazda</t>
        </is>
      </c>
      <c r="F464" s="0" t="inlineStr">
        <is>
          <t xml:space="preserve">Mazda</t>
        </is>
      </c>
      <c r="G464" s="0" t="s">
        <v>171</v>
      </c>
      <c r="H464" s="5">
        <v>348.629000</v>
      </c>
    </row>
    <row r="465" spans="1:9">
      <c r="A465" s="22" t="str">
        <f>HYPERLINK("https://app.vivvix.com/360/KMI/IntelliDrive/ApplUI/Pages/CreativePages/CustomReportCreativeDetail.aspx?App=23&amp;ReportView=4&amp;Qid=1711279&amp;Row=457&amp;Col=1","No Title Assigned - #15248879746")</f>
        <v/>
      </c>
      <c r="B465" s="0" t="s">
        <v>664</v>
      </c>
      <c r="C465" s="0" t="s">
        <v>665</v>
      </c>
      <c r="D465" s="0" t="s">
        <v>665</v>
      </c>
      <c r="E465" s="0" t="inlineStr">
        <is>
          <t xml:space="preserve">Mazda</t>
        </is>
      </c>
      <c r="F465" s="0" t="s">
        <v>666</v>
      </c>
      <c r="G465" s="0" t="s">
        <v>667</v>
      </c>
      <c r="H465" s="5">
        <v>280.514900</v>
      </c>
    </row>
    <row r="466" spans="1:9">
      <c r="A466" s="22" t="str">
        <f>HYPERLINK("https://app.vivvix.com/360/KMI/IntelliDrive/ApplUI/Pages/CreativePages/CustomReportCreativeDetail.aspx?App=23&amp;ReportView=4&amp;Qid=1711279&amp;Row=458&amp;Col=1","No Title Assigned - #15249771528")</f>
        <v/>
      </c>
      <c r="B466" s="0" t="s">
        <v>668</v>
      </c>
      <c r="C466" s="0" t="s">
        <v>669</v>
      </c>
      <c r="D466" s="0" t="s">
        <v>670</v>
      </c>
      <c r="E466" s="0" t="inlineStr">
        <is>
          <t xml:space="preserve">Mazda</t>
        </is>
      </c>
      <c r="F466" s="0" t="s">
        <v>369</v>
      </c>
      <c r="G466" s="0" t="s">
        <v>370</v>
      </c>
      <c r="H466" s="5">
        <v>506.361700</v>
      </c>
    </row>
    <row r="467" spans="1:9">
      <c r="A467" s="22" t="str">
        <f>HYPERLINK("https://app.vivvix.com/360/KMI/IntelliDrive/ApplUI/Pages/CreativePages/CustomReportCreativeDetail.aspx?App=23&amp;ReportView=4&amp;Qid=1711279&amp;Row=459&amp;Col=1","No Title Assigned - #15250901871")</f>
        <v/>
      </c>
      <c r="B467" s="0" t="s">
        <v>671</v>
      </c>
      <c r="C467" s="0" t="s">
        <v>672</v>
      </c>
      <c r="D467" s="0" t="s">
        <v>672</v>
      </c>
      <c r="E467" s="0" t="inlineStr">
        <is>
          <t xml:space="preserve">Mazda</t>
        </is>
      </c>
      <c r="F467" s="0" t="s">
        <v>21</v>
      </c>
      <c r="G467" s="0" t="s">
        <v>22</v>
      </c>
      <c r="H467" s="5">
        <v>2819.833700</v>
      </c>
    </row>
    <row r="468" spans="1:9">
      <c r="A468" s="22" t="str">
        <f>HYPERLINK("https://app.vivvix.com/360/KMI/IntelliDrive/ApplUI/Pages/CreativePages/CustomReportCreativeDetail.aspx?App=23&amp;ReportView=4&amp;Qid=1711279&amp;Row=460&amp;Col=1","No Title Assigned - #15252545638")</f>
        <v/>
      </c>
      <c r="B468" s="0" t="s">
        <v>673</v>
      </c>
      <c r="E468" s="0" t="inlineStr">
        <is>
          <t xml:space="preserve">Mazda</t>
        </is>
      </c>
      <c r="F468" s="0" t="s">
        <v>28</v>
      </c>
      <c r="G468" s="0" t="s">
        <v>29</v>
      </c>
      <c r="H468" s="5">
        <v>1840.926400</v>
      </c>
    </row>
    <row r="469" spans="1:9">
      <c r="A469" s="22" t="str">
        <f>HYPERLINK("https://app.vivvix.com/360/KMI/IntelliDrive/ApplUI/Pages/CreativePages/CustomReportCreativeDetail.aspx?App=23&amp;ReportView=4&amp;Qid=1711279&amp;Row=461&amp;Col=1","No Title Assigned - #15252884428")</f>
        <v/>
      </c>
      <c r="B469" s="0" t="s">
        <v>674</v>
      </c>
      <c r="C469" s="0" t="s">
        <v>675</v>
      </c>
      <c r="D469" s="0" t="s">
        <v>675</v>
      </c>
      <c r="E469" s="0" t="inlineStr">
        <is>
          <t xml:space="preserve">Mazda</t>
        </is>
      </c>
      <c r="F469" s="0" t="s">
        <v>13</v>
      </c>
      <c r="G469" s="0" t="s">
        <v>49</v>
      </c>
      <c r="H469" s="5">
        <v>16012.263400</v>
      </c>
    </row>
    <row r="470" spans="1:9">
      <c r="A470" s="22" t="str">
        <f>HYPERLINK("https://app.vivvix.com/360/KMI/IntelliDrive/ApplUI/Pages/CreativePages/CustomReportCreativeDetail.aspx?App=23&amp;ReportView=4&amp;Qid=1711279&amp;Row=462&amp;Col=1","No Title Assigned - #15252924240")</f>
        <v/>
      </c>
      <c r="B470" s="0" t="s">
        <v>676</v>
      </c>
      <c r="C470" s="0" t="s">
        <v>677</v>
      </c>
      <c r="D470" s="0" t="s">
        <v>677</v>
      </c>
      <c r="E470" s="0" t="inlineStr">
        <is>
          <t xml:space="preserve">Mazda</t>
        </is>
      </c>
      <c r="F470" s="0" t="s">
        <v>13</v>
      </c>
      <c r="G470" s="0" t="s">
        <v>49</v>
      </c>
      <c r="H470" s="5">
        <v>39.176800</v>
      </c>
    </row>
    <row r="471" spans="1:9">
      <c r="A471" s="22" t="str">
        <f>HYPERLINK("https://app.vivvix.com/360/KMI/IntelliDrive/ApplUI/Pages/CreativePages/CustomReportCreativeDetail.aspx?App=23&amp;ReportView=4&amp;Qid=1711279&amp;Row=463&amp;Col=1","No Title Assigned - #15252927179")</f>
        <v/>
      </c>
      <c r="B471" s="0" t="s">
        <v>678</v>
      </c>
      <c r="C471" s="0" t="s">
        <v>679</v>
      </c>
      <c r="D471" s="0" t="s">
        <v>679</v>
      </c>
      <c r="E471" s="0" t="inlineStr">
        <is>
          <t xml:space="preserve">Mazda</t>
        </is>
      </c>
      <c r="F471" s="0" t="s">
        <v>17</v>
      </c>
      <c r="G471" s="0" t="s">
        <v>33</v>
      </c>
      <c r="H471" s="5">
        <v>45805.700800</v>
      </c>
    </row>
    <row r="472" spans="1:9">
      <c r="A472" s="22" t="str">
        <f>HYPERLINK("https://app.vivvix.com/360/KMI/IntelliDrive/ApplUI/Pages/CreativePages/CustomReportCreativeDetail.aspx?App=23&amp;ReportView=4&amp;Qid=1711279&amp;Row=464&amp;Col=1","No Title Assigned - #15252927179")</f>
        <v/>
      </c>
      <c r="B472" s="0" t="s">
        <v>678</v>
      </c>
      <c r="E472" s="0" t="inlineStr">
        <is>
          <t xml:space="preserve">Mazda</t>
        </is>
      </c>
      <c r="F472" s="0" t="s">
        <v>17</v>
      </c>
      <c r="G472" s="0" t="s">
        <v>33</v>
      </c>
      <c r="H472" s="5">
        <v>37569.682700</v>
      </c>
    </row>
    <row r="473" spans="1:9">
      <c r="A473" s="22" t="str">
        <f>HYPERLINK("https://app.vivvix.com/360/KMI/IntelliDrive/ApplUI/Pages/CreativePages/CustomReportCreativeDetail.aspx?App=23&amp;ReportView=4&amp;Qid=1711279&amp;Row=465&amp;Col=1","No Title Assigned - #15252928285")</f>
        <v/>
      </c>
      <c r="B473" s="0" t="s">
        <v>680</v>
      </c>
      <c r="C473" s="0" t="s">
        <v>681</v>
      </c>
      <c r="D473" s="0" t="s">
        <v>681</v>
      </c>
      <c r="E473" s="0" t="inlineStr">
        <is>
          <t xml:space="preserve">Mazda</t>
        </is>
      </c>
      <c r="F473" s="0" t="s">
        <v>13</v>
      </c>
      <c r="G473" s="0" t="s">
        <v>49</v>
      </c>
      <c r="H473" s="5">
        <v>847.462400</v>
      </c>
    </row>
    <row r="474" spans="1:9">
      <c r="A474" s="22" t="str">
        <f>HYPERLINK("https://app.vivvix.com/360/KMI/IntelliDrive/ApplUI/Pages/CreativePages/CustomReportCreativeDetail.aspx?App=23&amp;ReportView=4&amp;Qid=1711279&amp;Row=466&amp;Col=1","No Title Assigned - #15252930134")</f>
        <v/>
      </c>
      <c r="B474" s="0" t="s">
        <v>682</v>
      </c>
      <c r="C474" s="0" t="s">
        <v>683</v>
      </c>
      <c r="D474" s="0" t="s">
        <v>683</v>
      </c>
      <c r="E474" s="0" t="inlineStr">
        <is>
          <t xml:space="preserve">Mazda</t>
        </is>
      </c>
      <c r="F474" s="0" t="s">
        <v>13</v>
      </c>
      <c r="G474" s="0" t="s">
        <v>49</v>
      </c>
      <c r="H474" s="5">
        <v>122424.582500</v>
      </c>
    </row>
    <row r="475" spans="1:9">
      <c r="A475" s="22" t="str">
        <f>HYPERLINK("https://app.vivvix.com/360/KMI/IntelliDrive/ApplUI/Pages/CreativePages/CustomReportCreativeDetail.aspx?App=23&amp;ReportView=4&amp;Qid=1711279&amp;Row=467&amp;Col=1","No Title Assigned - #15252930134")</f>
        <v/>
      </c>
      <c r="B475" s="0" t="s">
        <v>682</v>
      </c>
      <c r="E475" s="0" t="inlineStr">
        <is>
          <t xml:space="preserve">Mazda</t>
        </is>
      </c>
      <c r="F475" s="0" t="s">
        <v>13</v>
      </c>
      <c r="G475" s="0" t="s">
        <v>49</v>
      </c>
      <c r="H475" s="5">
        <v>23181.796400</v>
      </c>
    </row>
    <row r="476" spans="1:9">
      <c r="A476" s="22" t="str">
        <f>HYPERLINK("https://app.vivvix.com/360/KMI/IntelliDrive/ApplUI/Pages/CreativePages/CustomReportCreativeDetail.aspx?App=23&amp;ReportView=4&amp;Qid=1711279&amp;Row=468&amp;Col=1","No Title Assigned - #15252940828")</f>
        <v/>
      </c>
      <c r="B476" s="0" t="s">
        <v>684</v>
      </c>
      <c r="C476" s="0" t="s">
        <v>685</v>
      </c>
      <c r="D476" s="0" t="s">
        <v>685</v>
      </c>
      <c r="E476" s="0" t="inlineStr">
        <is>
          <t xml:space="preserve">Mazda</t>
        </is>
      </c>
      <c r="F476" s="0" t="s">
        <v>17</v>
      </c>
      <c r="G476" s="0" t="s">
        <v>33</v>
      </c>
      <c r="H476" s="5">
        <v>12039.493200</v>
      </c>
    </row>
    <row r="477" spans="1:9">
      <c r="A477" s="22" t="str">
        <f>HYPERLINK("https://app.vivvix.com/360/KMI/IntelliDrive/ApplUI/Pages/CreativePages/CustomReportCreativeDetail.aspx?App=23&amp;ReportView=4&amp;Qid=1711279&amp;Row=469&amp;Col=1","No Title Assigned - #15252941304")</f>
        <v/>
      </c>
      <c r="B477" s="0" t="s">
        <v>686</v>
      </c>
      <c r="C477" s="0" t="s">
        <v>687</v>
      </c>
      <c r="D477" s="0" t="s">
        <v>687</v>
      </c>
      <c r="E477" s="0" t="inlineStr">
        <is>
          <t xml:space="preserve">Mazda</t>
        </is>
      </c>
      <c r="F477" s="0" t="s">
        <v>17</v>
      </c>
      <c r="G477" s="0" t="s">
        <v>33</v>
      </c>
      <c r="H477" s="5">
        <v>38672.552300</v>
      </c>
    </row>
    <row r="478" spans="1:9">
      <c r="A478" s="22" t="str">
        <f>HYPERLINK("https://app.vivvix.com/360/KMI/IntelliDrive/ApplUI/Pages/CreativePages/CustomReportCreativeDetail.aspx?App=23&amp;ReportView=4&amp;Qid=1711279&amp;Row=470&amp;Col=1","No Title Assigned - #15252953218")</f>
        <v/>
      </c>
      <c r="B478" s="0" t="s">
        <v>688</v>
      </c>
      <c r="C478" s="0" t="s">
        <v>689</v>
      </c>
      <c r="D478" s="0" t="s">
        <v>689</v>
      </c>
      <c r="E478" s="0" t="inlineStr">
        <is>
          <t xml:space="preserve">Mazda</t>
        </is>
      </c>
      <c r="F478" s="0" t="s">
        <v>17</v>
      </c>
      <c r="G478" s="0" t="s">
        <v>33</v>
      </c>
      <c r="H478" s="5">
        <v>2169.908100</v>
      </c>
    </row>
    <row r="479" spans="1:9">
      <c r="A479" s="22" t="str">
        <f>HYPERLINK("https://app.vivvix.com/360/KMI/IntelliDrive/ApplUI/Pages/CreativePages/CustomReportCreativeDetail.aspx?App=23&amp;ReportView=4&amp;Qid=1711279&amp;Row=471&amp;Col=1","No Title Assigned - #15252974282")</f>
        <v/>
      </c>
      <c r="B479" s="0" t="s">
        <v>690</v>
      </c>
      <c r="C479" s="0" t="s">
        <v>691</v>
      </c>
      <c r="D479" s="0" t="s">
        <v>691</v>
      </c>
      <c r="E479" s="0" t="inlineStr">
        <is>
          <t xml:space="preserve">Mazda</t>
        </is>
      </c>
      <c r="F479" s="0" t="s">
        <v>17</v>
      </c>
      <c r="G479" s="0" t="s">
        <v>33</v>
      </c>
      <c r="H479" s="5">
        <v>129974.578600</v>
      </c>
    </row>
    <row r="480" spans="1:9">
      <c r="A480" s="22" t="str">
        <f>HYPERLINK("https://app.vivvix.com/360/KMI/IntelliDrive/ApplUI/Pages/CreativePages/CustomReportCreativeDetail.aspx?App=23&amp;ReportView=4&amp;Qid=1711279&amp;Row=472&amp;Col=1","No Title Assigned - #15252974282")</f>
        <v/>
      </c>
      <c r="B480" s="0" t="s">
        <v>690</v>
      </c>
      <c r="E480" s="0" t="inlineStr">
        <is>
          <t xml:space="preserve">Mazda</t>
        </is>
      </c>
      <c r="F480" s="0" t="s">
        <v>17</v>
      </c>
      <c r="G480" s="0" t="s">
        <v>33</v>
      </c>
      <c r="H480" s="5">
        <v>100934.414200</v>
      </c>
    </row>
    <row r="481" spans="1:9">
      <c r="A481" s="22" t="str">
        <f>HYPERLINK("https://app.vivvix.com/360/KMI/IntelliDrive/ApplUI/Pages/CreativePages/CustomReportCreativeDetail.aspx?App=23&amp;ReportView=4&amp;Qid=1711279&amp;Row=473&amp;Col=1","No Title Assigned - #15253006157")</f>
        <v/>
      </c>
      <c r="B481" s="0" t="s">
        <v>692</v>
      </c>
      <c r="C481" s="0" t="s">
        <v>693</v>
      </c>
      <c r="D481" s="0" t="s">
        <v>693</v>
      </c>
      <c r="E481" s="0" t="inlineStr">
        <is>
          <t xml:space="preserve">Mazda</t>
        </is>
      </c>
      <c r="F481" s="0" t="s">
        <v>56</v>
      </c>
      <c r="G481" s="0" t="s">
        <v>57</v>
      </c>
      <c r="H481" s="5">
        <v>5517.727000</v>
      </c>
    </row>
    <row r="482" spans="1:9">
      <c r="A482" s="22" t="str">
        <f>HYPERLINK("https://app.vivvix.com/360/KMI/IntelliDrive/ApplUI/Pages/CreativePages/CustomReportCreativeDetail.aspx?App=23&amp;ReportView=4&amp;Qid=1711279&amp;Row=474&amp;Col=1","No Title Assigned - #15253012020")</f>
        <v/>
      </c>
      <c r="B482" s="0" t="s">
        <v>694</v>
      </c>
      <c r="C482" s="0" t="s">
        <v>695</v>
      </c>
      <c r="D482" s="0" t="s">
        <v>695</v>
      </c>
      <c r="E482" s="0" t="inlineStr">
        <is>
          <t xml:space="preserve">Mazda</t>
        </is>
      </c>
      <c r="F482" s="0" t="s">
        <v>28</v>
      </c>
      <c r="G482" s="0" t="s">
        <v>29</v>
      </c>
      <c r="H482" s="5">
        <v>1769.159800</v>
      </c>
    </row>
    <row r="483" spans="1:9">
      <c r="A483" s="22" t="str">
        <f>HYPERLINK("https://app.vivvix.com/360/KMI/IntelliDrive/ApplUI/Pages/CreativePages/CustomReportCreativeDetail.aspx?App=23&amp;ReportView=4&amp;Qid=1711279&amp;Row=475&amp;Col=1","No Title Assigned - #15253016296")</f>
        <v/>
      </c>
      <c r="B483" s="0" t="s">
        <v>696</v>
      </c>
      <c r="C483" s="0" t="s">
        <v>697</v>
      </c>
      <c r="D483" s="0" t="s">
        <v>697</v>
      </c>
      <c r="E483" s="0" t="inlineStr">
        <is>
          <t xml:space="preserve">Mazda</t>
        </is>
      </c>
      <c r="F483" s="0" t="s">
        <v>28</v>
      </c>
      <c r="G483" s="0" t="s">
        <v>29</v>
      </c>
      <c r="H483" s="5">
        <v>37263.658800</v>
      </c>
    </row>
    <row r="484" spans="1:9">
      <c r="A484" s="22" t="str">
        <f>HYPERLINK("https://app.vivvix.com/360/KMI/IntelliDrive/ApplUI/Pages/CreativePages/CustomReportCreativeDetail.aspx?App=23&amp;ReportView=4&amp;Qid=1711279&amp;Row=476&amp;Col=1","No Title Assigned - #15253084406")</f>
        <v/>
      </c>
      <c r="B484" s="0" t="s">
        <v>698</v>
      </c>
      <c r="C484" s="0" t="s">
        <v>699</v>
      </c>
      <c r="D484" s="0" t="s">
        <v>699</v>
      </c>
      <c r="E484" s="0" t="inlineStr">
        <is>
          <t xml:space="preserve">Mazda</t>
        </is>
      </c>
      <c r="F484" s="0" t="s">
        <v>28</v>
      </c>
      <c r="G484" s="0" t="s">
        <v>29</v>
      </c>
      <c r="H484" s="5">
        <v>9590.743900</v>
      </c>
    </row>
    <row r="485" spans="1:9">
      <c r="A485" s="22" t="str">
        <f>HYPERLINK("https://app.vivvix.com/360/KMI/IntelliDrive/ApplUI/Pages/CreativePages/CustomReportCreativeDetail.aspx?App=23&amp;ReportView=4&amp;Qid=1711279&amp;Row=477&amp;Col=1","No Title Assigned - #15253100891")</f>
        <v/>
      </c>
      <c r="B485" s="0" t="s">
        <v>700</v>
      </c>
      <c r="C485" s="0" t="s">
        <v>701</v>
      </c>
      <c r="D485" s="0" t="s">
        <v>701</v>
      </c>
      <c r="E485" s="0" t="inlineStr">
        <is>
          <t xml:space="preserve">Mazda</t>
        </is>
      </c>
      <c r="F485" s="0" t="s">
        <v>17</v>
      </c>
      <c r="G485" s="0" t="s">
        <v>33</v>
      </c>
      <c r="H485" s="5">
        <v>23663.287300</v>
      </c>
    </row>
    <row r="486" spans="1:9">
      <c r="A486" s="22" t="str">
        <f>HYPERLINK("https://app.vivvix.com/360/KMI/IntelliDrive/ApplUI/Pages/CreativePages/CustomReportCreativeDetail.aspx?App=23&amp;ReportView=4&amp;Qid=1711279&amp;Row=478&amp;Col=1","No Title Assigned - #15253132731")</f>
        <v/>
      </c>
      <c r="B486" s="0" t="s">
        <v>702</v>
      </c>
      <c r="C486" s="0" t="s">
        <v>703</v>
      </c>
      <c r="D486" s="0" t="s">
        <v>703</v>
      </c>
      <c r="E486" s="0" t="inlineStr">
        <is>
          <t xml:space="preserve">Mazda</t>
        </is>
      </c>
      <c r="F486" s="0" t="s">
        <v>56</v>
      </c>
      <c r="G486" s="0" t="s">
        <v>57</v>
      </c>
      <c r="H486" s="5">
        <v>5189.313100</v>
      </c>
    </row>
    <row r="487" spans="1:9">
      <c r="A487" s="22" t="str">
        <f>HYPERLINK("https://app.vivvix.com/360/KMI/IntelliDrive/ApplUI/Pages/CreativePages/CustomReportCreativeDetail.aspx?App=23&amp;ReportView=4&amp;Qid=1711279&amp;Row=479&amp;Col=1","No Title Assigned - #15253156758")</f>
        <v/>
      </c>
      <c r="B487" s="0" t="s">
        <v>704</v>
      </c>
      <c r="C487" s="0" t="s">
        <v>705</v>
      </c>
      <c r="D487" s="0" t="s">
        <v>705</v>
      </c>
      <c r="E487" s="0" t="inlineStr">
        <is>
          <t xml:space="preserve">Mazda</t>
        </is>
      </c>
      <c r="F487" s="0" t="s">
        <v>17</v>
      </c>
      <c r="G487" s="0" t="s">
        <v>33</v>
      </c>
      <c r="H487" s="5">
        <v>475.382600</v>
      </c>
    </row>
    <row r="488" spans="1:9">
      <c r="A488" s="22" t="str">
        <f>HYPERLINK("https://app.vivvix.com/360/KMI/IntelliDrive/ApplUI/Pages/CreativePages/CustomReportCreativeDetail.aspx?App=23&amp;ReportView=4&amp;Qid=1711279&amp;Row=480&amp;Col=1","No Title Assigned - #15253159881")</f>
        <v/>
      </c>
      <c r="B488" s="0" t="s">
        <v>706</v>
      </c>
      <c r="C488" s="0" t="s">
        <v>707</v>
      </c>
      <c r="D488" s="0" t="s">
        <v>707</v>
      </c>
      <c r="E488" s="0" t="inlineStr">
        <is>
          <t xml:space="preserve">Mazda</t>
        </is>
      </c>
      <c r="F488" s="0" t="s">
        <v>56</v>
      </c>
      <c r="G488" s="0" t="s">
        <v>57</v>
      </c>
      <c r="H488" s="5">
        <v>55491.002200</v>
      </c>
    </row>
    <row r="489" spans="1:9">
      <c r="A489" s="22" t="str">
        <f>HYPERLINK("https://app.vivvix.com/360/KMI/IntelliDrive/ApplUI/Pages/CreativePages/CustomReportCreativeDetail.aspx?App=23&amp;ReportView=4&amp;Qid=1711279&amp;Row=481&amp;Col=1","No Title Assigned - #15253173991")</f>
        <v/>
      </c>
      <c r="B489" s="0" t="s">
        <v>708</v>
      </c>
      <c r="C489" s="0" t="s">
        <v>709</v>
      </c>
      <c r="D489" s="0" t="s">
        <v>709</v>
      </c>
      <c r="E489" s="0" t="inlineStr">
        <is>
          <t xml:space="preserve">Mazda</t>
        </is>
      </c>
      <c r="F489" s="0" t="s">
        <v>17</v>
      </c>
      <c r="G489" s="0" t="s">
        <v>33</v>
      </c>
      <c r="H489" s="5">
        <v>41408.704900</v>
      </c>
    </row>
    <row r="490" spans="1:9">
      <c r="A490" s="22" t="str">
        <f>HYPERLINK("https://app.vivvix.com/360/KMI/IntelliDrive/ApplUI/Pages/CreativePages/CustomReportCreativeDetail.aspx?App=23&amp;ReportView=4&amp;Qid=1711279&amp;Row=482&amp;Col=1","No Title Assigned - #15253224077")</f>
        <v/>
      </c>
      <c r="B490" s="0" t="s">
        <v>710</v>
      </c>
      <c r="E490" s="0" t="inlineStr">
        <is>
          <t xml:space="preserve">Mazda</t>
        </is>
      </c>
      <c r="F490" s="0" t="s">
        <v>17</v>
      </c>
      <c r="G490" s="0" t="s">
        <v>33</v>
      </c>
      <c r="H490" s="5">
        <v>78996.784400</v>
      </c>
    </row>
    <row r="491" spans="1:9">
      <c r="A491" s="22" t="str">
        <f>HYPERLINK("https://app.vivvix.com/360/KMI/IntelliDrive/ApplUI/Pages/CreativePages/CustomReportCreativeDetail.aspx?App=23&amp;ReportView=4&amp;Qid=1711279&amp;Row=483&amp;Col=1","No Title Assigned - #15253224077")</f>
        <v/>
      </c>
      <c r="B491" s="0" t="s">
        <v>710</v>
      </c>
      <c r="C491" s="0" t="s">
        <v>711</v>
      </c>
      <c r="D491" s="0" t="s">
        <v>711</v>
      </c>
      <c r="E491" s="0" t="inlineStr">
        <is>
          <t xml:space="preserve">Mazda</t>
        </is>
      </c>
      <c r="F491" s="0" t="s">
        <v>17</v>
      </c>
      <c r="G491" s="0" t="s">
        <v>33</v>
      </c>
      <c r="H491" s="5">
        <v>4071.938500</v>
      </c>
    </row>
    <row r="492" spans="1:9">
      <c r="A492" s="22" t="str">
        <f>HYPERLINK("https://app.vivvix.com/360/KMI/IntelliDrive/ApplUI/Pages/CreativePages/CustomReportCreativeDetail.aspx?App=23&amp;ReportView=4&amp;Qid=1711279&amp;Row=484&amp;Col=1","No Title Assigned - #15253233553")</f>
        <v/>
      </c>
      <c r="B492" s="0" t="s">
        <v>712</v>
      </c>
      <c r="C492" s="0" t="s">
        <v>713</v>
      </c>
      <c r="D492" s="0" t="s">
        <v>713</v>
      </c>
      <c r="E492" s="0" t="inlineStr">
        <is>
          <t xml:space="preserve">Mazda</t>
        </is>
      </c>
      <c r="F492" s="0" t="s">
        <v>17</v>
      </c>
      <c r="G492" s="0" t="s">
        <v>33</v>
      </c>
      <c r="H492" s="5">
        <v>555.764300</v>
      </c>
    </row>
    <row r="493" spans="1:9">
      <c r="A493" s="22" t="str">
        <f>HYPERLINK("https://app.vivvix.com/360/KMI/IntelliDrive/ApplUI/Pages/CreativePages/CustomReportCreativeDetail.aspx?App=23&amp;ReportView=4&amp;Qid=1711279&amp;Row=485&amp;Col=1","No Title Assigned - #15253249917")</f>
        <v/>
      </c>
      <c r="B493" s="0" t="s">
        <v>714</v>
      </c>
      <c r="C493" s="0" t="s">
        <v>715</v>
      </c>
      <c r="D493" s="0" t="s">
        <v>715</v>
      </c>
      <c r="E493" s="0" t="inlineStr">
        <is>
          <t xml:space="preserve">Mazda</t>
        </is>
      </c>
      <c r="F493" s="0" t="s">
        <v>17</v>
      </c>
      <c r="G493" s="0" t="s">
        <v>33</v>
      </c>
      <c r="H493" s="5">
        <v>2707.661400</v>
      </c>
    </row>
    <row r="494" spans="1:9">
      <c r="A494" s="22" t="str">
        <f>HYPERLINK("https://app.vivvix.com/360/KMI/IntelliDrive/ApplUI/Pages/CreativePages/CustomReportCreativeDetail.aspx?App=23&amp;ReportView=4&amp;Qid=1711279&amp;Row=486&amp;Col=1","No Title Assigned - #15253308894")</f>
        <v/>
      </c>
      <c r="B494" s="0" t="s">
        <v>716</v>
      </c>
      <c r="E494" s="0" t="inlineStr">
        <is>
          <t xml:space="preserve">Mazda</t>
        </is>
      </c>
      <c r="F494" s="0" t="s">
        <v>17</v>
      </c>
      <c r="G494" s="0" t="s">
        <v>33</v>
      </c>
      <c r="H494" s="5">
        <v>44361.474800</v>
      </c>
    </row>
    <row r="495" spans="1:9">
      <c r="A495" s="22" t="str">
        <f>HYPERLINK("https://app.vivvix.com/360/KMI/IntelliDrive/ApplUI/Pages/CreativePages/CustomReportCreativeDetail.aspx?App=23&amp;ReportView=4&amp;Qid=1711279&amp;Row=487&amp;Col=1","No Title Assigned - #15253308894")</f>
        <v/>
      </c>
      <c r="B495" s="0" t="s">
        <v>716</v>
      </c>
      <c r="C495" s="0" t="s">
        <v>717</v>
      </c>
      <c r="D495" s="0" t="s">
        <v>717</v>
      </c>
      <c r="E495" s="0" t="inlineStr">
        <is>
          <t xml:space="preserve">Mazda</t>
        </is>
      </c>
      <c r="F495" s="0" t="s">
        <v>17</v>
      </c>
      <c r="G495" s="0" t="s">
        <v>33</v>
      </c>
      <c r="H495" s="5">
        <v>34876.117700</v>
      </c>
    </row>
    <row r="496" spans="1:9">
      <c r="A496" s="22" t="str">
        <f>HYPERLINK("https://app.vivvix.com/360/KMI/IntelliDrive/ApplUI/Pages/CreativePages/CustomReportCreativeDetail.aspx?App=23&amp;ReportView=4&amp;Qid=1711279&amp;Row=488&amp;Col=1","No Title Assigned - #15253322099")</f>
        <v/>
      </c>
      <c r="B496" s="0" t="s">
        <v>718</v>
      </c>
      <c r="C496" s="0" t="s">
        <v>719</v>
      </c>
      <c r="D496" s="0" t="s">
        <v>719</v>
      </c>
      <c r="E496" s="0" t="inlineStr">
        <is>
          <t xml:space="preserve">Mazda</t>
        </is>
      </c>
      <c r="F496" s="0" t="s">
        <v>17</v>
      </c>
      <c r="G496" s="0" t="s">
        <v>33</v>
      </c>
      <c r="H496" s="5">
        <v>60871.317800</v>
      </c>
    </row>
    <row r="497" spans="1:9">
      <c r="A497" s="22" t="str">
        <f>HYPERLINK("https://app.vivvix.com/360/KMI/IntelliDrive/ApplUI/Pages/CreativePages/CustomReportCreativeDetail.aspx?App=23&amp;ReportView=4&amp;Qid=1711279&amp;Row=489&amp;Col=1","No Title Assigned - #15253322099")</f>
        <v/>
      </c>
      <c r="B497" s="0" t="s">
        <v>718</v>
      </c>
      <c r="E497" s="0" t="inlineStr">
        <is>
          <t xml:space="preserve">Mazda</t>
        </is>
      </c>
      <c r="F497" s="0" t="s">
        <v>17</v>
      </c>
      <c r="G497" s="0" t="s">
        <v>33</v>
      </c>
      <c r="H497" s="5">
        <v>33778.479200</v>
      </c>
    </row>
    <row r="498" spans="1:9">
      <c r="A498" s="22" t="str">
        <f>HYPERLINK("https://app.vivvix.com/360/KMI/IntelliDrive/ApplUI/Pages/CreativePages/CustomReportCreativeDetail.aspx?App=23&amp;ReportView=4&amp;Qid=1711279&amp;Row=490&amp;Col=1","No Title Assigned - #15253340564")</f>
        <v/>
      </c>
      <c r="B498" s="0" t="s">
        <v>720</v>
      </c>
      <c r="C498" s="0" t="s">
        <v>721</v>
      </c>
      <c r="D498" s="0" t="s">
        <v>721</v>
      </c>
      <c r="E498" s="0" t="inlineStr">
        <is>
          <t xml:space="preserve">Mazda</t>
        </is>
      </c>
      <c r="F498" s="0" t="s">
        <v>17</v>
      </c>
      <c r="G498" s="0" t="s">
        <v>33</v>
      </c>
      <c r="H498" s="5">
        <v>5337.682500</v>
      </c>
    </row>
    <row r="499" spans="1:9">
      <c r="A499" s="22" t="str">
        <f>HYPERLINK("https://app.vivvix.com/360/KMI/IntelliDrive/ApplUI/Pages/CreativePages/CustomReportCreativeDetail.aspx?App=23&amp;ReportView=4&amp;Qid=1711279&amp;Row=491&amp;Col=1","No Title Assigned - #15253340564")</f>
        <v/>
      </c>
      <c r="B499" s="0" t="s">
        <v>720</v>
      </c>
      <c r="E499" s="0" t="inlineStr">
        <is>
          <t xml:space="preserve">Mazda</t>
        </is>
      </c>
      <c r="F499" s="0" t="s">
        <v>17</v>
      </c>
      <c r="G499" s="0" t="s">
        <v>33</v>
      </c>
      <c r="H499" s="5">
        <v>26244.539100</v>
      </c>
    </row>
    <row r="500" spans="1:9">
      <c r="A500" s="22" t="str">
        <f>HYPERLINK("https://app.vivvix.com/360/KMI/IntelliDrive/ApplUI/Pages/CreativePages/CustomReportCreativeDetail.aspx?App=23&amp;ReportView=4&amp;Qid=1711279&amp;Row=492&amp;Col=1","No Title Assigned - #15253364424")</f>
        <v/>
      </c>
      <c r="B500" s="0" t="s">
        <v>722</v>
      </c>
      <c r="C500" s="0" t="s">
        <v>723</v>
      </c>
      <c r="D500" s="0" t="s">
        <v>723</v>
      </c>
      <c r="E500" s="0" t="inlineStr">
        <is>
          <t xml:space="preserve">Mazda</t>
        </is>
      </c>
      <c r="F500" s="0" t="s">
        <v>17</v>
      </c>
      <c r="G500" s="0" t="s">
        <v>33</v>
      </c>
      <c r="H500" s="5">
        <v>4051.474100</v>
      </c>
    </row>
    <row r="501" spans="1:9">
      <c r="A501" s="22" t="str">
        <f>HYPERLINK("https://app.vivvix.com/360/KMI/IntelliDrive/ApplUI/Pages/CreativePages/CustomReportCreativeDetail.aspx?App=23&amp;ReportView=4&amp;Qid=1711279&amp;Row=493&amp;Col=1","No Title Assigned - #15253364664")</f>
        <v/>
      </c>
      <c r="B501" s="0" t="s">
        <v>724</v>
      </c>
      <c r="C501" s="0" t="s">
        <v>725</v>
      </c>
      <c r="D501" s="0" t="s">
        <v>725</v>
      </c>
      <c r="E501" s="0" t="inlineStr">
        <is>
          <t xml:space="preserve">Mazda</t>
        </is>
      </c>
      <c r="F501" s="0" t="s">
        <v>17</v>
      </c>
      <c r="G501" s="0" t="s">
        <v>33</v>
      </c>
      <c r="H501" s="5">
        <v>2967.830400</v>
      </c>
    </row>
    <row r="502" spans="1:9">
      <c r="A502" s="22" t="str">
        <f>HYPERLINK("https://app.vivvix.com/360/KMI/IntelliDrive/ApplUI/Pages/CreativePages/CustomReportCreativeDetail.aspx?App=23&amp;ReportView=4&amp;Qid=1711279&amp;Row=494&amp;Col=1","No Title Assigned - #15253376127")</f>
        <v/>
      </c>
      <c r="B502" s="0" t="s">
        <v>726</v>
      </c>
      <c r="C502" s="0" t="s">
        <v>727</v>
      </c>
      <c r="D502" s="0" t="s">
        <v>727</v>
      </c>
      <c r="E502" s="0" t="inlineStr">
        <is>
          <t xml:space="preserve">Mazda</t>
        </is>
      </c>
      <c r="F502" s="0" t="s">
        <v>17</v>
      </c>
      <c r="G502" s="0" t="s">
        <v>33</v>
      </c>
      <c r="H502" s="5">
        <v>35248.627700</v>
      </c>
    </row>
    <row r="503" spans="1:9">
      <c r="A503" s="22" t="str">
        <f>HYPERLINK("https://app.vivvix.com/360/KMI/IntelliDrive/ApplUI/Pages/CreativePages/CustomReportCreativeDetail.aspx?App=23&amp;ReportView=4&amp;Qid=1711279&amp;Row=495&amp;Col=1","No Title Assigned - #15253381582")</f>
        <v/>
      </c>
      <c r="B503" s="0" t="s">
        <v>728</v>
      </c>
      <c r="C503" s="0" t="s">
        <v>729</v>
      </c>
      <c r="D503" s="0" t="s">
        <v>729</v>
      </c>
      <c r="E503" s="0" t="inlineStr">
        <is>
          <t xml:space="preserve">Mazda</t>
        </is>
      </c>
      <c r="F503" s="0" t="s">
        <v>28</v>
      </c>
      <c r="G503" s="0" t="s">
        <v>29</v>
      </c>
      <c r="H503" s="5">
        <v>205.380600</v>
      </c>
    </row>
    <row r="504" spans="1:9">
      <c r="A504" s="22" t="str">
        <f>HYPERLINK("https://app.vivvix.com/360/KMI/IntelliDrive/ApplUI/Pages/CreativePages/CustomReportCreativeDetail.aspx?App=23&amp;ReportView=4&amp;Qid=1711279&amp;Row=496&amp;Col=1","No Title Assigned - #15253398412")</f>
        <v/>
      </c>
      <c r="B504" s="0" t="s">
        <v>730</v>
      </c>
      <c r="E504" s="0" t="inlineStr">
        <is>
          <t xml:space="preserve">Mazda</t>
        </is>
      </c>
      <c r="F504" s="0" t="inlineStr">
        <is>
          <t xml:space="preserve">Mazda</t>
        </is>
      </c>
      <c r="G504" s="0" t="s">
        <v>171</v>
      </c>
      <c r="H504" s="5">
        <v>1634.847600</v>
      </c>
    </row>
    <row r="505" spans="1:9">
      <c r="A505" s="22" t="str">
        <f>HYPERLINK("https://app.vivvix.com/360/KMI/IntelliDrive/ApplUI/Pages/CreativePages/CustomReportCreativeDetail.aspx?App=23&amp;ReportView=4&amp;Qid=1711279&amp;Row=497&amp;Col=1","No Title Assigned - #15253436676")</f>
        <v/>
      </c>
      <c r="B505" s="0" t="s">
        <v>731</v>
      </c>
      <c r="C505" s="0" t="s">
        <v>732</v>
      </c>
      <c r="D505" s="0" t="s">
        <v>732</v>
      </c>
      <c r="E505" s="0" t="inlineStr">
        <is>
          <t xml:space="preserve">Mazda</t>
        </is>
      </c>
      <c r="F505" s="0" t="s">
        <v>17</v>
      </c>
      <c r="G505" s="0" t="s">
        <v>33</v>
      </c>
      <c r="H505" s="5">
        <v>3960.877600</v>
      </c>
    </row>
    <row r="506" spans="1:9">
      <c r="A506" s="22" t="str">
        <f>HYPERLINK("https://app.vivvix.com/360/KMI/IntelliDrive/ApplUI/Pages/CreativePages/CustomReportCreativeDetail.aspx?App=23&amp;ReportView=4&amp;Qid=1711279&amp;Row=498&amp;Col=1","No Title Assigned - #15253436677")</f>
        <v/>
      </c>
      <c r="B506" s="0" t="s">
        <v>733</v>
      </c>
      <c r="C506" s="0" t="s">
        <v>734</v>
      </c>
      <c r="D506" s="0" t="s">
        <v>734</v>
      </c>
      <c r="E506" s="0" t="inlineStr">
        <is>
          <t xml:space="preserve">Mazda</t>
        </is>
      </c>
      <c r="F506" s="0" t="s">
        <v>17</v>
      </c>
      <c r="G506" s="0" t="s">
        <v>33</v>
      </c>
      <c r="H506" s="5">
        <v>3240.822300</v>
      </c>
    </row>
    <row r="507" spans="1:9">
      <c r="A507" s="22" t="str">
        <f>HYPERLINK("https://app.vivvix.com/360/KMI/IntelliDrive/ApplUI/Pages/CreativePages/CustomReportCreativeDetail.aspx?App=23&amp;ReportView=4&amp;Qid=1711279&amp;Row=499&amp;Col=1","No Title Assigned - #15253439793")</f>
        <v/>
      </c>
      <c r="B507" s="0" t="s">
        <v>735</v>
      </c>
      <c r="C507" s="0" t="s">
        <v>736</v>
      </c>
      <c r="D507" s="0" t="s">
        <v>736</v>
      </c>
      <c r="E507" s="0" t="inlineStr">
        <is>
          <t xml:space="preserve">Mazda</t>
        </is>
      </c>
      <c r="F507" s="0" t="s">
        <v>28</v>
      </c>
      <c r="G507" s="0" t="s">
        <v>29</v>
      </c>
      <c r="H507" s="5">
        <v>463.132000</v>
      </c>
    </row>
    <row r="508" spans="1:9">
      <c r="A508" s="22" t="str">
        <f>HYPERLINK("https://app.vivvix.com/360/KMI/IntelliDrive/ApplUI/Pages/CreativePages/CustomReportCreativeDetail.aspx?App=23&amp;ReportView=4&amp;Qid=1711279&amp;Row=500&amp;Col=1","No Title Assigned - #15253478187")</f>
        <v/>
      </c>
      <c r="B508" s="0" t="s">
        <v>737</v>
      </c>
      <c r="C508" s="0" t="s">
        <v>738</v>
      </c>
      <c r="D508" s="0" t="s">
        <v>738</v>
      </c>
      <c r="E508" s="0" t="inlineStr">
        <is>
          <t xml:space="preserve">Mazda</t>
        </is>
      </c>
      <c r="F508" s="0" t="s">
        <v>28</v>
      </c>
      <c r="G508" s="0" t="s">
        <v>29</v>
      </c>
      <c r="H508" s="5">
        <v>3729.330100</v>
      </c>
    </row>
    <row r="509" spans="1:9">
      <c r="A509" s="22" t="str">
        <f>HYPERLINK("https://app.vivvix.com/360/KMI/IntelliDrive/ApplUI/Pages/CreativePages/CustomReportCreativeDetail.aspx?App=23&amp;ReportView=4&amp;Qid=1711279&amp;Row=501&amp;Col=1","No Title Assigned - #15253534468")</f>
        <v/>
      </c>
      <c r="B509" s="0" t="s">
        <v>739</v>
      </c>
      <c r="E509" s="0" t="inlineStr">
        <is>
          <t xml:space="preserve">Mazda</t>
        </is>
      </c>
      <c r="F509" s="0" t="inlineStr">
        <is>
          <t xml:space="preserve">Mazda</t>
        </is>
      </c>
      <c r="G509" s="0" t="s">
        <v>171</v>
      </c>
      <c r="H509" s="5">
        <v>71.770700</v>
      </c>
    </row>
    <row r="510" spans="1:9">
      <c r="A510" s="22" t="str">
        <f>HYPERLINK("https://app.vivvix.com/360/KMI/IntelliDrive/ApplUI/Pages/CreativePages/CustomReportCreativeDetail.aspx?App=23&amp;ReportView=4&amp;Qid=1711279&amp;Row=502&amp;Col=1","No Title Assigned - #15253546877")</f>
        <v/>
      </c>
      <c r="B510" s="0" t="s">
        <v>740</v>
      </c>
      <c r="E510" s="0" t="inlineStr">
        <is>
          <t xml:space="preserve">Mazda</t>
        </is>
      </c>
      <c r="F510" s="0" t="inlineStr">
        <is>
          <t xml:space="preserve">Mazda</t>
        </is>
      </c>
      <c r="G510" s="0" t="s">
        <v>171</v>
      </c>
      <c r="H510" s="5">
        <v>6266.245700</v>
      </c>
    </row>
    <row r="511" spans="1:9">
      <c r="A511" s="22" t="str">
        <f>HYPERLINK("https://app.vivvix.com/360/KMI/IntelliDrive/ApplUI/Pages/CreativePages/CustomReportCreativeDetail.aspx?App=23&amp;ReportView=4&amp;Qid=1711279&amp;Row=503&amp;Col=1","No Title Assigned - #15253546877")</f>
        <v/>
      </c>
      <c r="B511" s="0" t="s">
        <v>740</v>
      </c>
      <c r="C511" s="0" t="s">
        <v>741</v>
      </c>
      <c r="D511" s="0" t="s">
        <v>741</v>
      </c>
      <c r="E511" s="0" t="inlineStr">
        <is>
          <t xml:space="preserve">Mazda</t>
        </is>
      </c>
      <c r="F511" s="0" t="inlineStr">
        <is>
          <t xml:space="preserve">Mazda</t>
        </is>
      </c>
      <c r="G511" s="0" t="s">
        <v>171</v>
      </c>
      <c r="H511" s="5">
        <v>33123.363400</v>
      </c>
    </row>
    <row r="512" spans="1:9">
      <c r="A512" s="22" t="str">
        <f>HYPERLINK("https://app.vivvix.com/360/KMI/IntelliDrive/ApplUI/Pages/CreativePages/CustomReportCreativeDetail.aspx?App=23&amp;ReportView=4&amp;Qid=1711279&amp;Row=504&amp;Col=1","No Title Assigned - #15253635640")</f>
        <v/>
      </c>
      <c r="B512" s="0" t="s">
        <v>742</v>
      </c>
      <c r="E512" s="0" t="inlineStr">
        <is>
          <t xml:space="preserve">Mazda</t>
        </is>
      </c>
      <c r="F512" s="0" t="s">
        <v>17</v>
      </c>
      <c r="G512" s="0" t="s">
        <v>33</v>
      </c>
      <c r="H512" s="5">
        <v>20466.936200</v>
      </c>
    </row>
    <row r="513" spans="1:9">
      <c r="A513" s="22" t="str">
        <f>HYPERLINK("https://app.vivvix.com/360/KMI/IntelliDrive/ApplUI/Pages/CreativePages/CustomReportCreativeDetail.aspx?App=23&amp;ReportView=4&amp;Qid=1711279&amp;Row=505&amp;Col=1","No Title Assigned - #15253635640")</f>
        <v/>
      </c>
      <c r="B513" s="0" t="s">
        <v>742</v>
      </c>
      <c r="C513" s="0" t="s">
        <v>743</v>
      </c>
      <c r="D513" s="0" t="s">
        <v>743</v>
      </c>
      <c r="E513" s="0" t="inlineStr">
        <is>
          <t xml:space="preserve">Mazda</t>
        </is>
      </c>
      <c r="F513" s="0" t="s">
        <v>17</v>
      </c>
      <c r="G513" s="0" t="s">
        <v>33</v>
      </c>
      <c r="H513" s="5">
        <v>12154.551100</v>
      </c>
    </row>
    <row r="514" spans="1:9">
      <c r="A514" s="22" t="str">
        <f>HYPERLINK("https://app.vivvix.com/360/KMI/IntelliDrive/ApplUI/Pages/CreativePages/CustomReportCreativeDetail.aspx?App=23&amp;ReportView=4&amp;Qid=1711279&amp;Row=506&amp;Col=1","No Title Assigned - #15253639157")</f>
        <v/>
      </c>
      <c r="B514" s="0" t="s">
        <v>744</v>
      </c>
      <c r="C514" s="0" t="s">
        <v>745</v>
      </c>
      <c r="D514" s="0" t="s">
        <v>745</v>
      </c>
      <c r="E514" s="0" t="inlineStr">
        <is>
          <t xml:space="preserve">Mazda</t>
        </is>
      </c>
      <c r="F514" s="0" t="s">
        <v>28</v>
      </c>
      <c r="G514" s="0" t="s">
        <v>29</v>
      </c>
      <c r="H514" s="5">
        <v>5194.457500</v>
      </c>
    </row>
    <row r="515" spans="1:9">
      <c r="A515" s="22" t="str">
        <f>HYPERLINK("https://app.vivvix.com/360/KMI/IntelliDrive/ApplUI/Pages/CreativePages/CustomReportCreativeDetail.aspx?App=23&amp;ReportView=4&amp;Qid=1711279&amp;Row=507&amp;Col=1","No Title Assigned - #15253677776")</f>
        <v/>
      </c>
      <c r="B515" s="0" t="s">
        <v>746</v>
      </c>
      <c r="E515" s="0" t="inlineStr">
        <is>
          <t xml:space="preserve">Mazda</t>
        </is>
      </c>
      <c r="F515" s="0" t="s">
        <v>17</v>
      </c>
      <c r="G515" s="0" t="s">
        <v>33</v>
      </c>
      <c r="H515" s="5">
        <v>3848.515800</v>
      </c>
    </row>
    <row r="516" spans="1:9">
      <c r="A516" s="22" t="str">
        <f>HYPERLINK("https://app.vivvix.com/360/KMI/IntelliDrive/ApplUI/Pages/CreativePages/CustomReportCreativeDetail.aspx?App=23&amp;ReportView=4&amp;Qid=1711279&amp;Row=508&amp;Col=1","No Title Assigned - #15253677776")</f>
        <v/>
      </c>
      <c r="B516" s="0" t="s">
        <v>746</v>
      </c>
      <c r="C516" s="0" t="s">
        <v>747</v>
      </c>
      <c r="D516" s="0" t="s">
        <v>747</v>
      </c>
      <c r="E516" s="0" t="inlineStr">
        <is>
          <t xml:space="preserve">Mazda</t>
        </is>
      </c>
      <c r="F516" s="0" t="s">
        <v>17</v>
      </c>
      <c r="G516" s="0" t="s">
        <v>33</v>
      </c>
      <c r="H516" s="5">
        <v>343.481500</v>
      </c>
    </row>
    <row r="517" spans="1:9">
      <c r="A517" s="22" t="str">
        <f>HYPERLINK("https://app.vivvix.com/360/KMI/IntelliDrive/ApplUI/Pages/CreativePages/CustomReportCreativeDetail.aspx?App=23&amp;ReportView=4&amp;Qid=1711279&amp;Row=509&amp;Col=1","No Title Assigned - #15253687259")</f>
        <v/>
      </c>
      <c r="B517" s="0" t="s">
        <v>748</v>
      </c>
      <c r="C517" s="0" t="s">
        <v>749</v>
      </c>
      <c r="D517" s="0" t="s">
        <v>749</v>
      </c>
      <c r="E517" s="0" t="inlineStr">
        <is>
          <t xml:space="preserve">Mazda</t>
        </is>
      </c>
      <c r="F517" s="0" t="s">
        <v>17</v>
      </c>
      <c r="G517" s="0" t="s">
        <v>33</v>
      </c>
      <c r="H517" s="5">
        <v>785.433500</v>
      </c>
    </row>
    <row r="518" spans="1:9">
      <c r="A518" s="22" t="str">
        <f>HYPERLINK("https://app.vivvix.com/360/KMI/IntelliDrive/ApplUI/Pages/CreativePages/CustomReportCreativeDetail.aspx?App=23&amp;ReportView=4&amp;Qid=1711279&amp;Row=510&amp;Col=1","No Title Assigned - #15253816312")</f>
        <v/>
      </c>
      <c r="B518" s="0" t="s">
        <v>750</v>
      </c>
      <c r="C518" s="0" t="s">
        <v>751</v>
      </c>
      <c r="D518" s="0" t="s">
        <v>751</v>
      </c>
      <c r="E518" s="0" t="inlineStr">
        <is>
          <t xml:space="preserve">Mazda</t>
        </is>
      </c>
      <c r="F518" s="0" t="s">
        <v>17</v>
      </c>
      <c r="G518" s="0" t="s">
        <v>33</v>
      </c>
      <c r="H518" s="5">
        <v>6406.858600</v>
      </c>
    </row>
    <row r="519" spans="1:9">
      <c r="A519" s="22" t="str">
        <f>HYPERLINK("https://app.vivvix.com/360/KMI/IntelliDrive/ApplUI/Pages/CreativePages/CustomReportCreativeDetail.aspx?App=23&amp;ReportView=4&amp;Qid=1711279&amp;Row=511&amp;Col=1","No Title Assigned - #15253823998")</f>
        <v/>
      </c>
      <c r="B519" s="0" t="s">
        <v>752</v>
      </c>
      <c r="C519" s="0" t="s">
        <v>753</v>
      </c>
      <c r="D519" s="0" t="s">
        <v>753</v>
      </c>
      <c r="E519" s="0" t="inlineStr">
        <is>
          <t xml:space="preserve">Mazda</t>
        </is>
      </c>
      <c r="F519" s="0" t="s">
        <v>17</v>
      </c>
      <c r="G519" s="0" t="s">
        <v>33</v>
      </c>
      <c r="H519" s="5">
        <v>302.073400</v>
      </c>
    </row>
    <row r="520" spans="1:9">
      <c r="A520" s="22" t="str">
        <f>HYPERLINK("https://app.vivvix.com/360/KMI/IntelliDrive/ApplUI/Pages/CreativePages/CustomReportCreativeDetail.aspx?App=23&amp;ReportView=4&amp;Qid=1711279&amp;Row=512&amp;Col=1","No Title Assigned - #15253835892")</f>
        <v/>
      </c>
      <c r="B520" s="0" t="s">
        <v>754</v>
      </c>
      <c r="C520" s="0" t="s">
        <v>755</v>
      </c>
      <c r="D520" s="0" t="s">
        <v>755</v>
      </c>
      <c r="E520" s="0" t="inlineStr">
        <is>
          <t xml:space="preserve">Mazda</t>
        </is>
      </c>
      <c r="F520" s="0" t="s">
        <v>28</v>
      </c>
      <c r="G520" s="0" t="s">
        <v>29</v>
      </c>
      <c r="H520" s="5">
        <v>533.140100</v>
      </c>
    </row>
    <row r="521" spans="1:9">
      <c r="A521" s="22" t="str">
        <f>HYPERLINK("https://app.vivvix.com/360/KMI/IntelliDrive/ApplUI/Pages/CreativePages/CustomReportCreativeDetail.aspx?App=23&amp;ReportView=4&amp;Qid=1711279&amp;Row=513&amp;Col=1","No Title Assigned - #15253845897")</f>
        <v/>
      </c>
      <c r="B521" s="0" t="s">
        <v>756</v>
      </c>
      <c r="C521" s="0" t="s">
        <v>757</v>
      </c>
      <c r="D521" s="0" t="s">
        <v>757</v>
      </c>
      <c r="E521" s="0" t="inlineStr">
        <is>
          <t xml:space="preserve">Mazda</t>
        </is>
      </c>
      <c r="F521" s="0" t="s">
        <v>28</v>
      </c>
      <c r="G521" s="0" t="s">
        <v>29</v>
      </c>
      <c r="H521" s="5">
        <v>13025.919600</v>
      </c>
    </row>
    <row r="522" spans="1:9">
      <c r="A522" s="22" t="str">
        <f>HYPERLINK("https://app.vivvix.com/360/KMI/IntelliDrive/ApplUI/Pages/CreativePages/CustomReportCreativeDetail.aspx?App=23&amp;ReportView=4&amp;Qid=1711279&amp;Row=514&amp;Col=1","No Title Assigned - #15253864692")</f>
        <v/>
      </c>
      <c r="B522" s="0" t="s">
        <v>758</v>
      </c>
      <c r="C522" s="0" t="s">
        <v>759</v>
      </c>
      <c r="D522" s="0" t="s">
        <v>759</v>
      </c>
      <c r="E522" s="0" t="inlineStr">
        <is>
          <t xml:space="preserve">Mazda</t>
        </is>
      </c>
      <c r="F522" s="0" t="s">
        <v>28</v>
      </c>
      <c r="G522" s="0" t="s">
        <v>29</v>
      </c>
      <c r="H522" s="5">
        <v>752.425800</v>
      </c>
    </row>
    <row r="523" spans="1:9">
      <c r="A523" s="22" t="str">
        <f>HYPERLINK("https://app.vivvix.com/360/KMI/IntelliDrive/ApplUI/Pages/CreativePages/CustomReportCreativeDetail.aspx?App=23&amp;ReportView=4&amp;Qid=1711279&amp;Row=515&amp;Col=1","No Title Assigned - #15253871399")</f>
        <v/>
      </c>
      <c r="B523" s="0" t="s">
        <v>760</v>
      </c>
      <c r="C523" s="0" t="s">
        <v>761</v>
      </c>
      <c r="D523" s="0" t="s">
        <v>761</v>
      </c>
      <c r="E523" s="0" t="inlineStr">
        <is>
          <t xml:space="preserve">Mazda</t>
        </is>
      </c>
      <c r="F523" s="0" t="s">
        <v>28</v>
      </c>
      <c r="G523" s="0" t="s">
        <v>29</v>
      </c>
      <c r="H523" s="5">
        <v>578.704700</v>
      </c>
    </row>
    <row r="524" spans="1:9">
      <c r="A524" s="22" t="str">
        <f>HYPERLINK("https://app.vivvix.com/360/KMI/IntelliDrive/ApplUI/Pages/CreativePages/CustomReportCreativeDetail.aspx?App=23&amp;ReportView=4&amp;Qid=1711279&amp;Row=516&amp;Col=1","No Title Assigned - #15253871562")</f>
        <v/>
      </c>
      <c r="B524" s="0" t="s">
        <v>762</v>
      </c>
      <c r="C524" s="0" t="s">
        <v>763</v>
      </c>
      <c r="D524" s="0" t="s">
        <v>763</v>
      </c>
      <c r="E524" s="0" t="inlineStr">
        <is>
          <t xml:space="preserve">Mazda</t>
        </is>
      </c>
      <c r="F524" s="0" t="s">
        <v>28</v>
      </c>
      <c r="G524" s="0" t="s">
        <v>29</v>
      </c>
      <c r="H524" s="5">
        <v>1875.711100</v>
      </c>
    </row>
    <row r="525" spans="1:9">
      <c r="A525" s="22" t="str">
        <f>HYPERLINK("https://app.vivvix.com/360/KMI/IntelliDrive/ApplUI/Pages/CreativePages/CustomReportCreativeDetail.aspx?App=23&amp;ReportView=4&amp;Qid=1711279&amp;Row=517&amp;Col=1","No Title Assigned - #15253943142")</f>
        <v/>
      </c>
      <c r="B525" s="0" t="s">
        <v>764</v>
      </c>
      <c r="C525" s="0" t="s">
        <v>765</v>
      </c>
      <c r="D525" s="0" t="s">
        <v>765</v>
      </c>
      <c r="E525" s="0" t="inlineStr">
        <is>
          <t xml:space="preserve">Mazda</t>
        </is>
      </c>
      <c r="F525" s="0" t="s">
        <v>28</v>
      </c>
      <c r="G525" s="0" t="s">
        <v>29</v>
      </c>
      <c r="H525" s="5">
        <v>569.086200</v>
      </c>
    </row>
    <row r="526" spans="1:9">
      <c r="A526" s="22" t="str">
        <f>HYPERLINK("https://app.vivvix.com/360/KMI/IntelliDrive/ApplUI/Pages/CreativePages/CustomReportCreativeDetail.aspx?App=23&amp;ReportView=4&amp;Qid=1711279&amp;Row=518&amp;Col=1","No Title Assigned - #15254180741")</f>
        <v/>
      </c>
      <c r="B526" s="0" t="s">
        <v>766</v>
      </c>
      <c r="E526" s="0" t="inlineStr">
        <is>
          <t xml:space="preserve">Mazda</t>
        </is>
      </c>
      <c r="F526" s="0" t="s">
        <v>17</v>
      </c>
      <c r="G526" s="0" t="s">
        <v>33</v>
      </c>
      <c r="H526" s="5">
        <v>10630.937200</v>
      </c>
    </row>
    <row r="527" spans="1:9">
      <c r="A527" s="22" t="str">
        <f>HYPERLINK("https://app.vivvix.com/360/KMI/IntelliDrive/ApplUI/Pages/CreativePages/CustomReportCreativeDetail.aspx?App=23&amp;ReportView=4&amp;Qid=1711279&amp;Row=519&amp;Col=1","No Title Assigned - #15254253447")</f>
        <v/>
      </c>
      <c r="B527" s="0" t="s">
        <v>767</v>
      </c>
      <c r="C527" s="0" t="s">
        <v>768</v>
      </c>
      <c r="D527" s="0" t="s">
        <v>768</v>
      </c>
      <c r="E527" s="0" t="inlineStr">
        <is>
          <t xml:space="preserve">Mazda</t>
        </is>
      </c>
      <c r="F527" s="0" t="s">
        <v>28</v>
      </c>
      <c r="G527" s="0" t="s">
        <v>29</v>
      </c>
      <c r="H527" s="5">
        <v>174.539700</v>
      </c>
    </row>
    <row r="528" spans="1:9">
      <c r="A528" s="22" t="str">
        <f>HYPERLINK("https://app.vivvix.com/360/KMI/IntelliDrive/ApplUI/Pages/CreativePages/CustomReportCreativeDetail.aspx?App=23&amp;ReportView=4&amp;Qid=1711279&amp;Row=520&amp;Col=1","No Title Assigned - #15254415447")</f>
        <v/>
      </c>
      <c r="B528" s="0" t="s">
        <v>769</v>
      </c>
      <c r="C528" s="0" t="s">
        <v>770</v>
      </c>
      <c r="D528" s="0" t="s">
        <v>770</v>
      </c>
      <c r="E528" s="0" t="inlineStr">
        <is>
          <t xml:space="preserve">Mazda</t>
        </is>
      </c>
      <c r="F528" s="0" t="s">
        <v>17</v>
      </c>
      <c r="G528" s="0" t="s">
        <v>33</v>
      </c>
      <c r="H528" s="5">
        <v>924.019200</v>
      </c>
    </row>
    <row r="529" spans="1:9">
      <c r="A529" s="22" t="str">
        <f>HYPERLINK("https://app.vivvix.com/360/KMI/IntelliDrive/ApplUI/Pages/CreativePages/CustomReportCreativeDetail.aspx?App=23&amp;ReportView=4&amp;Qid=1711279&amp;Row=521&amp;Col=1","No Title Assigned - #15254498734")</f>
        <v/>
      </c>
      <c r="B529" s="0" t="s">
        <v>771</v>
      </c>
      <c r="C529" s="0" t="s">
        <v>772</v>
      </c>
      <c r="D529" s="0" t="s">
        <v>772</v>
      </c>
      <c r="E529" s="0" t="inlineStr">
        <is>
          <t xml:space="preserve">Mazda</t>
        </is>
      </c>
      <c r="F529" s="0" t="s">
        <v>13</v>
      </c>
      <c r="G529" s="0" t="s">
        <v>49</v>
      </c>
      <c r="H529" s="5">
        <v>1179.265800</v>
      </c>
    </row>
    <row r="530" spans="1:9">
      <c r="A530" s="22" t="str">
        <f>HYPERLINK("https://app.vivvix.com/360/KMI/IntelliDrive/ApplUI/Pages/CreativePages/CustomReportCreativeDetail.aspx?App=23&amp;ReportView=4&amp;Qid=1711279&amp;Row=522&amp;Col=1","No Title Assigned - #15254498734")</f>
        <v/>
      </c>
      <c r="B530" s="0" t="s">
        <v>771</v>
      </c>
      <c r="E530" s="0" t="inlineStr">
        <is>
          <t xml:space="preserve">Mazda</t>
        </is>
      </c>
      <c r="F530" s="0" t="s">
        <v>13</v>
      </c>
      <c r="G530" s="0" t="s">
        <v>49</v>
      </c>
      <c r="H530" s="5">
        <v>741.316400</v>
      </c>
    </row>
    <row r="531" spans="1:9">
      <c r="A531" s="22" t="str">
        <f>HYPERLINK("https://app.vivvix.com/360/KMI/IntelliDrive/ApplUI/Pages/CreativePages/CustomReportCreativeDetail.aspx?App=23&amp;ReportView=4&amp;Qid=1711279&amp;Row=523&amp;Col=1","No Title Assigned - #15254499978")</f>
        <v/>
      </c>
      <c r="B531" s="0" t="s">
        <v>773</v>
      </c>
      <c r="E531" s="0" t="inlineStr">
        <is>
          <t xml:space="preserve">Mazda</t>
        </is>
      </c>
      <c r="F531" s="0" t="s">
        <v>17</v>
      </c>
      <c r="G531" s="0" t="s">
        <v>33</v>
      </c>
      <c r="H531" s="5">
        <v>2241.733900</v>
      </c>
    </row>
    <row r="532" spans="1:9">
      <c r="A532" s="22" t="str">
        <f>HYPERLINK("https://app.vivvix.com/360/KMI/IntelliDrive/ApplUI/Pages/CreativePages/CustomReportCreativeDetail.aspx?App=23&amp;ReportView=4&amp;Qid=1711279&amp;Row=524&amp;Col=1","No Title Assigned - #15254549964")</f>
        <v/>
      </c>
      <c r="B532" s="0" t="s">
        <v>774</v>
      </c>
      <c r="C532" s="0" t="s">
        <v>775</v>
      </c>
      <c r="D532" s="0" t="s">
        <v>775</v>
      </c>
      <c r="E532" s="0" t="inlineStr">
        <is>
          <t xml:space="preserve">Mazda</t>
        </is>
      </c>
      <c r="F532" s="0" t="s">
        <v>17</v>
      </c>
      <c r="G532" s="0" t="s">
        <v>33</v>
      </c>
      <c r="H532" s="5">
        <v>997.401200</v>
      </c>
    </row>
    <row r="533" spans="1:9">
      <c r="A533" s="22" t="str">
        <f>HYPERLINK("https://app.vivvix.com/360/KMI/IntelliDrive/ApplUI/Pages/CreativePages/CustomReportCreativeDetail.aspx?App=23&amp;ReportView=4&amp;Qid=1711279&amp;Row=525&amp;Col=1","No Title Assigned - #15254610918")</f>
        <v/>
      </c>
      <c r="B533" s="0" t="s">
        <v>776</v>
      </c>
      <c r="C533" s="0" t="s">
        <v>777</v>
      </c>
      <c r="D533" s="0" t="s">
        <v>777</v>
      </c>
      <c r="E533" s="0" t="inlineStr">
        <is>
          <t xml:space="preserve">Mazda</t>
        </is>
      </c>
      <c r="F533" s="0" t="s">
        <v>17</v>
      </c>
      <c r="G533" s="0" t="s">
        <v>33</v>
      </c>
      <c r="H533" s="5">
        <v>9119.696100</v>
      </c>
    </row>
    <row r="534" spans="1:9">
      <c r="A534" s="22" t="str">
        <f>HYPERLINK("https://app.vivvix.com/360/KMI/IntelliDrive/ApplUI/Pages/CreativePages/CustomReportCreativeDetail.aspx?App=23&amp;ReportView=4&amp;Qid=1711279&amp;Row=526&amp;Col=1","No Title Assigned - #15254610919")</f>
        <v/>
      </c>
      <c r="B534" s="0" t="s">
        <v>778</v>
      </c>
      <c r="C534" s="0" t="s">
        <v>779</v>
      </c>
      <c r="D534" s="0" t="s">
        <v>779</v>
      </c>
      <c r="E534" s="0" t="inlineStr">
        <is>
          <t xml:space="preserve">Mazda</t>
        </is>
      </c>
      <c r="F534" s="0" t="s">
        <v>17</v>
      </c>
      <c r="G534" s="0" t="s">
        <v>33</v>
      </c>
      <c r="H534" s="5">
        <v>2504.949400</v>
      </c>
    </row>
    <row r="535" spans="1:9">
      <c r="A535" s="22" t="str">
        <f>HYPERLINK("https://app.vivvix.com/360/KMI/IntelliDrive/ApplUI/Pages/CreativePages/CustomReportCreativeDetail.aspx?App=23&amp;ReportView=4&amp;Qid=1711279&amp;Row=527&amp;Col=1","No Title Assigned - #15254669562")</f>
        <v/>
      </c>
      <c r="B535" s="0" t="s">
        <v>780</v>
      </c>
      <c r="C535" s="0" t="s">
        <v>781</v>
      </c>
      <c r="D535" s="0" t="s">
        <v>781</v>
      </c>
      <c r="E535" s="0" t="inlineStr">
        <is>
          <t xml:space="preserve">Mazda</t>
        </is>
      </c>
      <c r="F535" s="0" t="s">
        <v>28</v>
      </c>
      <c r="G535" s="0" t="s">
        <v>29</v>
      </c>
      <c r="H535" s="5">
        <v>41484.450500</v>
      </c>
    </row>
    <row r="536" spans="1:9">
      <c r="A536" s="22" t="str">
        <f>HYPERLINK("https://app.vivvix.com/360/KMI/IntelliDrive/ApplUI/Pages/CreativePages/CustomReportCreativeDetail.aspx?App=23&amp;ReportView=4&amp;Qid=1711279&amp;Row=528&amp;Col=1","No Title Assigned - #15254822421")</f>
        <v/>
      </c>
      <c r="B536" s="0" t="s">
        <v>782</v>
      </c>
      <c r="C536" s="0" t="s">
        <v>783</v>
      </c>
      <c r="D536" s="0" t="s">
        <v>783</v>
      </c>
      <c r="E536" s="0" t="inlineStr">
        <is>
          <t xml:space="preserve">Mazda</t>
        </is>
      </c>
      <c r="F536" s="0" t="s">
        <v>17</v>
      </c>
      <c r="G536" s="0" t="s">
        <v>33</v>
      </c>
      <c r="H536" s="5">
        <v>4934.134500</v>
      </c>
    </row>
    <row r="537" spans="1:9">
      <c r="A537" s="22" t="str">
        <f>HYPERLINK("https://app.vivvix.com/360/KMI/IntelliDrive/ApplUI/Pages/CreativePages/CustomReportCreativeDetail.aspx?App=23&amp;ReportView=4&amp;Qid=1711279&amp;Row=529&amp;Col=1","No Title Assigned - #15254824403")</f>
        <v/>
      </c>
      <c r="B537" s="0" t="s">
        <v>784</v>
      </c>
      <c r="C537" s="0" t="s">
        <v>785</v>
      </c>
      <c r="D537" s="0" t="s">
        <v>785</v>
      </c>
      <c r="E537" s="0" t="inlineStr">
        <is>
          <t xml:space="preserve">Mazda</t>
        </is>
      </c>
      <c r="F537" s="0" t="s">
        <v>17</v>
      </c>
      <c r="G537" s="0" t="s">
        <v>33</v>
      </c>
      <c r="H537" s="5">
        <v>43970.466700</v>
      </c>
    </row>
    <row r="538" spans="1:9">
      <c r="A538" s="22" t="str">
        <f>HYPERLINK("https://app.vivvix.com/360/KMI/IntelliDrive/ApplUI/Pages/CreativePages/CustomReportCreativeDetail.aspx?App=23&amp;ReportView=4&amp;Qid=1711279&amp;Row=530&amp;Col=1","No Title Assigned - #15254851310")</f>
        <v/>
      </c>
      <c r="B538" s="0" t="s">
        <v>786</v>
      </c>
      <c r="C538" s="0" t="s">
        <v>787</v>
      </c>
      <c r="D538" s="0" t="s">
        <v>787</v>
      </c>
      <c r="E538" s="0" t="inlineStr">
        <is>
          <t xml:space="preserve">Mazda</t>
        </is>
      </c>
      <c r="F538" s="0" t="s">
        <v>17</v>
      </c>
      <c r="G538" s="0" t="s">
        <v>33</v>
      </c>
      <c r="H538" s="5">
        <v>2255.744700</v>
      </c>
    </row>
    <row r="539" spans="1:9">
      <c r="A539" s="22" t="str">
        <f>HYPERLINK("https://app.vivvix.com/360/KMI/IntelliDrive/ApplUI/Pages/CreativePages/CustomReportCreativeDetail.aspx?App=23&amp;ReportView=4&amp;Qid=1711279&amp;Row=531&amp;Col=1","No Title Assigned - #15254886019")</f>
        <v/>
      </c>
      <c r="B539" s="0" t="s">
        <v>788</v>
      </c>
      <c r="C539" s="0" t="s">
        <v>789</v>
      </c>
      <c r="D539" s="0" t="s">
        <v>789</v>
      </c>
      <c r="E539" s="0" t="inlineStr">
        <is>
          <t xml:space="preserve">Mazda</t>
        </is>
      </c>
      <c r="F539" s="0" t="s">
        <v>28</v>
      </c>
      <c r="G539" s="0" t="s">
        <v>29</v>
      </c>
      <c r="H539" s="5">
        <v>212.533300</v>
      </c>
    </row>
    <row r="540" spans="1:9">
      <c r="A540" s="22" t="str">
        <f>HYPERLINK("https://app.vivvix.com/360/KMI/IntelliDrive/ApplUI/Pages/CreativePages/CustomReportCreativeDetail.aspx?App=23&amp;ReportView=4&amp;Qid=1711279&amp;Row=532&amp;Col=1","No Title Assigned - #15254967186")</f>
        <v/>
      </c>
      <c r="B540" s="0" t="s">
        <v>790</v>
      </c>
      <c r="E540" s="0" t="inlineStr">
        <is>
          <t xml:space="preserve">Mazda</t>
        </is>
      </c>
      <c r="F540" s="0" t="inlineStr">
        <is>
          <t xml:space="preserve">Mazda</t>
        </is>
      </c>
      <c r="G540" s="0" t="s">
        <v>171</v>
      </c>
      <c r="H540" s="5">
        <v>2865.360900</v>
      </c>
    </row>
    <row r="541" spans="1:9">
      <c r="A541" s="22" t="str">
        <f>HYPERLINK("https://app.vivvix.com/360/KMI/IntelliDrive/ApplUI/Pages/CreativePages/CustomReportCreativeDetail.aspx?App=23&amp;ReportView=4&amp;Qid=1711279&amp;Row=533&amp;Col=1","No Title Assigned - #15255106889")</f>
        <v/>
      </c>
      <c r="B541" s="0" t="s">
        <v>791</v>
      </c>
      <c r="C541" s="0" t="s">
        <v>792</v>
      </c>
      <c r="D541" s="0" t="s">
        <v>793</v>
      </c>
      <c r="E541" s="0" t="inlineStr">
        <is>
          <t xml:space="preserve">Mazda</t>
        </is>
      </c>
      <c r="F541" s="0" t="s">
        <v>28</v>
      </c>
      <c r="G541" s="0" t="s">
        <v>29</v>
      </c>
      <c r="H541" s="5">
        <v>829.592500</v>
      </c>
    </row>
    <row r="542" spans="1:9">
      <c r="A542" s="22" t="str">
        <f>HYPERLINK("https://app.vivvix.com/360/KMI/IntelliDrive/ApplUI/Pages/CreativePages/CustomReportCreativeDetail.aspx?App=23&amp;ReportView=4&amp;Qid=1711279&amp;Row=534&amp;Col=1","No Title Assigned - #15255360299")</f>
        <v/>
      </c>
      <c r="B542" s="0" t="s">
        <v>794</v>
      </c>
      <c r="C542" s="0" t="s">
        <v>795</v>
      </c>
      <c r="D542" s="0" t="s">
        <v>795</v>
      </c>
      <c r="E542" s="0" t="inlineStr">
        <is>
          <t xml:space="preserve">Mazda</t>
        </is>
      </c>
      <c r="F542" s="0" t="s">
        <v>17</v>
      </c>
      <c r="G542" s="0" t="s">
        <v>33</v>
      </c>
      <c r="H542" s="5">
        <v>2909.527600</v>
      </c>
    </row>
    <row r="543" spans="1:9">
      <c r="A543" s="22" t="str">
        <f>HYPERLINK("https://app.vivvix.com/360/KMI/IntelliDrive/ApplUI/Pages/CreativePages/CustomReportCreativeDetail.aspx?App=23&amp;ReportView=4&amp;Qid=1711279&amp;Row=535&amp;Col=1","No Title Assigned - #15255412009")</f>
        <v/>
      </c>
      <c r="B543" s="0" t="s">
        <v>796</v>
      </c>
      <c r="C543" s="0" t="s">
        <v>797</v>
      </c>
      <c r="D543" s="0" t="s">
        <v>797</v>
      </c>
      <c r="E543" s="0" t="inlineStr">
        <is>
          <t xml:space="preserve">Mazda</t>
        </is>
      </c>
      <c r="F543" s="0" t="s">
        <v>17</v>
      </c>
      <c r="G543" s="0" t="s">
        <v>33</v>
      </c>
      <c r="H543" s="5">
        <v>5528.828800</v>
      </c>
    </row>
    <row r="544" spans="1:9">
      <c r="A544" s="22" t="str">
        <f>HYPERLINK("https://app.vivvix.com/360/KMI/IntelliDrive/ApplUI/Pages/CreativePages/CustomReportCreativeDetail.aspx?App=23&amp;ReportView=4&amp;Qid=1711279&amp;Row=536&amp;Col=1","No Title Assigned - #15255564666")</f>
        <v/>
      </c>
      <c r="B544" s="0" t="s">
        <v>798</v>
      </c>
      <c r="E544" s="0" t="inlineStr">
        <is>
          <t xml:space="preserve">Mazda</t>
        </is>
      </c>
      <c r="F544" s="0" t="s">
        <v>17</v>
      </c>
      <c r="G544" s="0" t="s">
        <v>33</v>
      </c>
      <c r="H544" s="5">
        <v>24650.348400</v>
      </c>
    </row>
    <row r="545" spans="1:9">
      <c r="A545" s="22" t="str">
        <f>HYPERLINK("https://app.vivvix.com/360/KMI/IntelliDrive/ApplUI/Pages/CreativePages/CustomReportCreativeDetail.aspx?App=23&amp;ReportView=4&amp;Qid=1711279&amp;Row=537&amp;Col=1","No Title Assigned - #15255564666")</f>
        <v/>
      </c>
      <c r="B545" s="0" t="s">
        <v>798</v>
      </c>
      <c r="E545" s="0" t="inlineStr">
        <is>
          <t xml:space="preserve">Mazda</t>
        </is>
      </c>
      <c r="F545" s="0" t="s">
        <v>17</v>
      </c>
      <c r="G545" s="0" t="s">
        <v>33</v>
      </c>
      <c r="H545" s="5">
        <v>7243.162600</v>
      </c>
    </row>
    <row r="546" spans="1:9">
      <c r="A546" s="22" t="str">
        <f>HYPERLINK("https://app.vivvix.com/360/KMI/IntelliDrive/ApplUI/Pages/CreativePages/CustomReportCreativeDetail.aspx?App=23&amp;ReportView=4&amp;Qid=1711279&amp;Row=538&amp;Col=1","No Title Assigned - #15255816939")</f>
        <v/>
      </c>
      <c r="B546" s="0" t="s">
        <v>799</v>
      </c>
      <c r="C546" s="0" t="s">
        <v>800</v>
      </c>
      <c r="D546" s="0" t="s">
        <v>800</v>
      </c>
      <c r="E546" s="0" t="inlineStr">
        <is>
          <t xml:space="preserve">Mazda</t>
        </is>
      </c>
      <c r="F546" s="0" t="s">
        <v>17</v>
      </c>
      <c r="G546" s="0" t="s">
        <v>33</v>
      </c>
      <c r="H546" s="5">
        <v>591.463500</v>
      </c>
    </row>
    <row r="547" spans="1:9">
      <c r="A547" s="22" t="str">
        <f>HYPERLINK("https://app.vivvix.com/360/KMI/IntelliDrive/ApplUI/Pages/CreativePages/CustomReportCreativeDetail.aspx?App=23&amp;ReportView=4&amp;Qid=1711279&amp;Row=539&amp;Col=1","No Title Assigned - #15256101281")</f>
        <v/>
      </c>
      <c r="B547" s="0" t="s">
        <v>801</v>
      </c>
      <c r="C547" s="0" t="s">
        <v>802</v>
      </c>
      <c r="D547" s="0" t="s">
        <v>802</v>
      </c>
      <c r="E547" s="0" t="inlineStr">
        <is>
          <t xml:space="preserve">Mazda</t>
        </is>
      </c>
      <c r="F547" s="0" t="s">
        <v>56</v>
      </c>
      <c r="G547" s="0" t="s">
        <v>57</v>
      </c>
      <c r="H547" s="5">
        <v>463.132000</v>
      </c>
    </row>
    <row r="548" spans="1:9">
      <c r="A548" s="22" t="str">
        <f>HYPERLINK("https://app.vivvix.com/360/KMI/IntelliDrive/ApplUI/Pages/CreativePages/CustomReportCreativeDetail.aspx?App=23&amp;ReportView=4&amp;Qid=1711279&amp;Row=540&amp;Col=1","No Title Assigned - #15256101282")</f>
        <v/>
      </c>
      <c r="B548" s="0" t="s">
        <v>803</v>
      </c>
      <c r="C548" s="0" t="s">
        <v>804</v>
      </c>
      <c r="D548" s="0" t="s">
        <v>804</v>
      </c>
      <c r="E548" s="0" t="inlineStr">
        <is>
          <t xml:space="preserve">Mazda</t>
        </is>
      </c>
      <c r="F548" s="0" t="s">
        <v>28</v>
      </c>
      <c r="G548" s="0" t="s">
        <v>29</v>
      </c>
      <c r="H548" s="5">
        <v>463.132000</v>
      </c>
    </row>
    <row r="549" spans="1:9">
      <c r="A549" s="22" t="str">
        <f>HYPERLINK("https://app.vivvix.com/360/KMI/IntelliDrive/ApplUI/Pages/CreativePages/CustomReportCreativeDetail.aspx?App=23&amp;ReportView=4&amp;Qid=1711279&amp;Row=541&amp;Col=1","No Title Assigned - #15256243382")</f>
        <v/>
      </c>
      <c r="B549" s="0" t="s">
        <v>805</v>
      </c>
      <c r="C549" s="0" t="s">
        <v>806</v>
      </c>
      <c r="D549" s="0" t="s">
        <v>806</v>
      </c>
      <c r="E549" s="0" t="inlineStr">
        <is>
          <t xml:space="preserve">Mazda</t>
        </is>
      </c>
      <c r="F549" s="0" t="s">
        <v>13</v>
      </c>
      <c r="G549" s="0" t="s">
        <v>49</v>
      </c>
      <c r="H549" s="5">
        <v>705.590600</v>
      </c>
    </row>
    <row r="550" spans="1:9">
      <c r="A550" s="22" t="str">
        <f>HYPERLINK("https://app.vivvix.com/360/KMI/IntelliDrive/ApplUI/Pages/CreativePages/CustomReportCreativeDetail.aspx?App=23&amp;ReportView=4&amp;Qid=1711279&amp;Row=542&amp;Col=1","No Title Assigned - #15256339574")</f>
        <v/>
      </c>
      <c r="B550" s="0" t="s">
        <v>807</v>
      </c>
      <c r="C550" s="0" t="s">
        <v>808</v>
      </c>
      <c r="D550" s="0" t="s">
        <v>809</v>
      </c>
      <c r="E550" s="0" t="inlineStr">
        <is>
          <t xml:space="preserve">Mazda</t>
        </is>
      </c>
      <c r="F550" s="0" t="s">
        <v>369</v>
      </c>
      <c r="G550" s="0" t="s">
        <v>370</v>
      </c>
      <c r="H550" s="5">
        <v>319.736700</v>
      </c>
    </row>
    <row r="551" spans="1:9">
      <c r="A551" s="22" t="str">
        <f>HYPERLINK("https://app.vivvix.com/360/KMI/IntelliDrive/ApplUI/Pages/CreativePages/CustomReportCreativeDetail.aspx?App=23&amp;ReportView=4&amp;Qid=1711279&amp;Row=543&amp;Col=1","No Title Assigned - #15256913369")</f>
        <v/>
      </c>
      <c r="B551" s="0" t="s">
        <v>810</v>
      </c>
      <c r="C551" s="0" t="s">
        <v>811</v>
      </c>
      <c r="D551" s="0" t="s">
        <v>811</v>
      </c>
      <c r="E551" s="0" t="inlineStr">
        <is>
          <t xml:space="preserve">Mazda</t>
        </is>
      </c>
      <c r="F551" s="0" t="s">
        <v>13</v>
      </c>
      <c r="G551" s="0" t="s">
        <v>49</v>
      </c>
      <c r="H551" s="5">
        <v>5429.857400</v>
      </c>
    </row>
    <row r="552" spans="1:9">
      <c r="A552" s="22" t="str">
        <f>HYPERLINK("https://app.vivvix.com/360/KMI/IntelliDrive/ApplUI/Pages/CreativePages/CustomReportCreativeDetail.aspx?App=23&amp;ReportView=4&amp;Qid=1711279&amp;Row=544&amp;Col=1","No Title Assigned - #15256922109")</f>
        <v/>
      </c>
      <c r="B552" s="0" t="s">
        <v>812</v>
      </c>
      <c r="C552" s="0" t="s">
        <v>813</v>
      </c>
      <c r="D552" s="0" t="s">
        <v>813</v>
      </c>
      <c r="E552" s="0" t="inlineStr">
        <is>
          <t xml:space="preserve">Mazda</t>
        </is>
      </c>
      <c r="F552" s="0" t="s">
        <v>13</v>
      </c>
      <c r="G552" s="0" t="s">
        <v>49</v>
      </c>
      <c r="H552" s="5">
        <v>422.788800</v>
      </c>
    </row>
    <row r="553" spans="1:9">
      <c r="A553" s="22" t="str">
        <f>HYPERLINK("https://app.vivvix.com/360/KMI/IntelliDrive/ApplUI/Pages/CreativePages/CustomReportCreativeDetail.aspx?App=23&amp;ReportView=4&amp;Qid=1711279&amp;Row=545&amp;Col=1","No Title Assigned - #15256953791")</f>
        <v/>
      </c>
      <c r="B553" s="0" t="s">
        <v>814</v>
      </c>
      <c r="C553" s="0" t="s">
        <v>815</v>
      </c>
      <c r="D553" s="0" t="s">
        <v>815</v>
      </c>
      <c r="E553" s="0" t="inlineStr">
        <is>
          <t xml:space="preserve">Mazda</t>
        </is>
      </c>
      <c r="F553" s="0" t="s">
        <v>17</v>
      </c>
      <c r="G553" s="0" t="s">
        <v>33</v>
      </c>
      <c r="H553" s="5">
        <v>533.140100</v>
      </c>
    </row>
    <row r="554" spans="1:9">
      <c r="A554" s="22" t="str">
        <f>HYPERLINK("https://app.vivvix.com/360/KMI/IntelliDrive/ApplUI/Pages/CreativePages/CustomReportCreativeDetail.aspx?App=23&amp;ReportView=4&amp;Qid=1711279&amp;Row=546&amp;Col=1","No Title Assigned - #15257106843")</f>
        <v/>
      </c>
      <c r="B554" s="0" t="s">
        <v>816</v>
      </c>
      <c r="C554" s="0" t="s">
        <v>817</v>
      </c>
      <c r="D554" s="0" t="s">
        <v>817</v>
      </c>
      <c r="E554" s="0" t="inlineStr">
        <is>
          <t xml:space="preserve">Mazda</t>
        </is>
      </c>
      <c r="F554" s="0" t="s">
        <v>17</v>
      </c>
      <c r="G554" s="0" t="s">
        <v>33</v>
      </c>
      <c r="H554" s="5">
        <v>2132.560400</v>
      </c>
    </row>
    <row r="555" spans="1:9">
      <c r="A555" s="22" t="str">
        <f>HYPERLINK("https://app.vivvix.com/360/KMI/IntelliDrive/ApplUI/Pages/CreativePages/CustomReportCreativeDetail.aspx?App=23&amp;ReportView=4&amp;Qid=1711279&amp;Row=547&amp;Col=1","No Title Assigned - #15257661969")</f>
        <v/>
      </c>
      <c r="B555" s="0" t="s">
        <v>818</v>
      </c>
      <c r="C555" s="0" t="s">
        <v>819</v>
      </c>
      <c r="D555" s="0" t="s">
        <v>819</v>
      </c>
      <c r="E555" s="0" t="inlineStr">
        <is>
          <t xml:space="preserve">Mazda</t>
        </is>
      </c>
      <c r="F555" s="0" t="s">
        <v>13</v>
      </c>
      <c r="G555" s="0" t="s">
        <v>49</v>
      </c>
      <c r="H555" s="5">
        <v>8630.613500</v>
      </c>
    </row>
    <row r="556" spans="1:9">
      <c r="A556" s="22" t="str">
        <f>HYPERLINK("https://app.vivvix.com/360/KMI/IntelliDrive/ApplUI/Pages/CreativePages/CustomReportCreativeDetail.aspx?App=23&amp;ReportView=4&amp;Qid=1711279&amp;Row=548&amp;Col=1","No Title Assigned - #15257661969")</f>
        <v/>
      </c>
      <c r="B556" s="0" t="s">
        <v>818</v>
      </c>
      <c r="E556" s="0" t="inlineStr">
        <is>
          <t xml:space="preserve">Mazda</t>
        </is>
      </c>
      <c r="F556" s="0" t="s">
        <v>13</v>
      </c>
      <c r="G556" s="0" t="s">
        <v>49</v>
      </c>
      <c r="H556" s="5">
        <v>523.938200</v>
      </c>
    </row>
    <row r="557" spans="1:9">
      <c r="A557" s="22" t="str">
        <f>HYPERLINK("https://app.vivvix.com/360/KMI/IntelliDrive/ApplUI/Pages/CreativePages/CustomReportCreativeDetail.aspx?App=23&amp;ReportView=4&amp;Qid=1711279&amp;Row=549&amp;Col=1","No Title Assigned - #15257797272")</f>
        <v/>
      </c>
      <c r="B557" s="0" t="s">
        <v>820</v>
      </c>
      <c r="C557" s="0" t="s">
        <v>821</v>
      </c>
      <c r="D557" s="0" t="s">
        <v>821</v>
      </c>
      <c r="E557" s="0" t="inlineStr">
        <is>
          <t xml:space="preserve">Mazda</t>
        </is>
      </c>
      <c r="F557" s="0" t="s">
        <v>13</v>
      </c>
      <c r="G557" s="0" t="s">
        <v>49</v>
      </c>
      <c r="H557" s="5">
        <v>1520.174400</v>
      </c>
    </row>
    <row r="558" spans="1:9">
      <c r="A558" s="22" t="str">
        <f>HYPERLINK("https://app.vivvix.com/360/KMI/IntelliDrive/ApplUI/Pages/CreativePages/CustomReportCreativeDetail.aspx?App=23&amp;ReportView=4&amp;Qid=1711279&amp;Row=550&amp;Col=1","No Title Assigned - #15257896593")</f>
        <v/>
      </c>
      <c r="B558" s="0" t="s">
        <v>822</v>
      </c>
      <c r="C558" s="0" t="s">
        <v>823</v>
      </c>
      <c r="D558" s="0" t="s">
        <v>823</v>
      </c>
      <c r="E558" s="0" t="inlineStr">
        <is>
          <t xml:space="preserve">Mazda</t>
        </is>
      </c>
      <c r="F558" s="0" t="s">
        <v>21</v>
      </c>
      <c r="G558" s="0" t="s">
        <v>22</v>
      </c>
      <c r="H558" s="5">
        <v>53858.389100</v>
      </c>
    </row>
    <row r="559" spans="1:9">
      <c r="A559" s="22" t="str">
        <f>HYPERLINK("https://app.vivvix.com/360/KMI/IntelliDrive/ApplUI/Pages/CreativePages/CustomReportCreativeDetail.aspx?App=23&amp;ReportView=4&amp;Qid=1711279&amp;Row=551&amp;Col=1","No Title Assigned - #15257954804")</f>
        <v/>
      </c>
      <c r="B559" s="0" t="s">
        <v>824</v>
      </c>
      <c r="E559" s="0" t="inlineStr">
        <is>
          <t xml:space="preserve">Mazda</t>
        </is>
      </c>
      <c r="F559" s="0" t="s">
        <v>13</v>
      </c>
      <c r="G559" s="0" t="s">
        <v>49</v>
      </c>
      <c r="H559" s="5">
        <v>1841.094000</v>
      </c>
    </row>
    <row r="560" spans="1:9">
      <c r="A560" s="22" t="str">
        <f>HYPERLINK("https://app.vivvix.com/360/KMI/IntelliDrive/ApplUI/Pages/CreativePages/CustomReportCreativeDetail.aspx?App=23&amp;ReportView=4&amp;Qid=1711279&amp;Row=552&amp;Col=1","No Title Assigned - #15258028012")</f>
        <v/>
      </c>
      <c r="B560" s="0" t="s">
        <v>825</v>
      </c>
      <c r="C560" s="0" t="s">
        <v>826</v>
      </c>
      <c r="D560" s="0" t="s">
        <v>826</v>
      </c>
      <c r="E560" s="0" t="inlineStr">
        <is>
          <t xml:space="preserve">Mazda</t>
        </is>
      </c>
      <c r="F560" s="0" t="s">
        <v>56</v>
      </c>
      <c r="G560" s="0" t="s">
        <v>57</v>
      </c>
      <c r="H560" s="5">
        <v>2138.970300</v>
      </c>
    </row>
    <row r="561" spans="1:9">
      <c r="A561" s="22" t="str">
        <f>HYPERLINK("https://app.vivvix.com/360/KMI/IntelliDrive/ApplUI/Pages/CreativePages/CustomReportCreativeDetail.aspx?App=23&amp;ReportView=4&amp;Qid=1711279&amp;Row=553&amp;Col=1","No Title Assigned - #15258120489")</f>
        <v/>
      </c>
      <c r="B561" s="0" t="s">
        <v>827</v>
      </c>
      <c r="C561" s="0" t="s">
        <v>828</v>
      </c>
      <c r="D561" s="0" t="s">
        <v>828</v>
      </c>
      <c r="E561" s="0" t="inlineStr">
        <is>
          <t xml:space="preserve">Mazda</t>
        </is>
      </c>
      <c r="F561" s="0" t="s">
        <v>28</v>
      </c>
      <c r="G561" s="0" t="s">
        <v>29</v>
      </c>
      <c r="H561" s="5">
        <v>463.132000</v>
      </c>
    </row>
    <row r="562" spans="1:9">
      <c r="A562" s="22" t="str">
        <f>HYPERLINK("https://app.vivvix.com/360/KMI/IntelliDrive/ApplUI/Pages/CreativePages/CustomReportCreativeDetail.aspx?App=23&amp;ReportView=4&amp;Qid=1711279&amp;Row=554&amp;Col=1","No Title Assigned - #15258381107")</f>
        <v/>
      </c>
      <c r="B562" s="0" t="s">
        <v>829</v>
      </c>
      <c r="E562" s="0" t="inlineStr">
        <is>
          <t xml:space="preserve">Mazda</t>
        </is>
      </c>
      <c r="F562" s="0" t="inlineStr">
        <is>
          <t xml:space="preserve">Mazda</t>
        </is>
      </c>
      <c r="G562" s="0" t="s">
        <v>171</v>
      </c>
      <c r="H562" s="5">
        <v>4083.452300</v>
      </c>
    </row>
    <row r="563" spans="1:9">
      <c r="A563" s="22" t="str">
        <f>HYPERLINK("https://app.vivvix.com/360/KMI/IntelliDrive/ApplUI/Pages/CreativePages/CustomReportCreativeDetail.aspx?App=23&amp;ReportView=4&amp;Qid=1711279&amp;Row=555&amp;Col=1","No Title Assigned - #15258381107")</f>
        <v/>
      </c>
      <c r="B563" s="0" t="s">
        <v>829</v>
      </c>
      <c r="E563" s="0" t="inlineStr">
        <is>
          <t xml:space="preserve">Mazda</t>
        </is>
      </c>
      <c r="F563" s="0" t="inlineStr">
        <is>
          <t xml:space="preserve">Mazda</t>
        </is>
      </c>
      <c r="G563" s="0" t="s">
        <v>171</v>
      </c>
      <c r="H563" s="5">
        <v>845.174800</v>
      </c>
    </row>
    <row r="564" spans="1:9">
      <c r="A564" s="22" t="str">
        <f>HYPERLINK("https://app.vivvix.com/360/KMI/IntelliDrive/ApplUI/Pages/CreativePages/CustomReportCreativeDetail.aspx?App=23&amp;ReportView=4&amp;Qid=1711279&amp;Row=556&amp;Col=1","No Title Assigned - #15258441455")</f>
        <v/>
      </c>
      <c r="B564" s="0" t="s">
        <v>830</v>
      </c>
      <c r="C564" s="0" t="s">
        <v>831</v>
      </c>
      <c r="D564" s="0" t="s">
        <v>831</v>
      </c>
      <c r="E564" s="0" t="inlineStr">
        <is>
          <t xml:space="preserve">Mazda</t>
        </is>
      </c>
      <c r="F564" s="0" t="s">
        <v>13</v>
      </c>
      <c r="G564" s="0" t="s">
        <v>49</v>
      </c>
      <c r="H564" s="5">
        <v>432.291000</v>
      </c>
    </row>
    <row r="565" spans="1:9">
      <c r="A565" s="22" t="str">
        <f>HYPERLINK("https://app.vivvix.com/360/KMI/IntelliDrive/ApplUI/Pages/CreativePages/CustomReportCreativeDetail.aspx?App=23&amp;ReportView=4&amp;Qid=1711279&amp;Row=557&amp;Col=1","No Title Assigned - #15258520331")</f>
        <v/>
      </c>
      <c r="B565" s="0" t="s">
        <v>832</v>
      </c>
      <c r="C565" s="0" t="s">
        <v>833</v>
      </c>
      <c r="D565" s="0" t="s">
        <v>833</v>
      </c>
      <c r="E565" s="0" t="inlineStr">
        <is>
          <t xml:space="preserve">Mazda</t>
        </is>
      </c>
      <c r="F565" s="0" t="s">
        <v>13</v>
      </c>
      <c r="G565" s="0" t="s">
        <v>49</v>
      </c>
      <c r="H565" s="5">
        <v>717.144800</v>
      </c>
    </row>
    <row r="566" spans="1:9">
      <c r="A566" s="22" t="str">
        <f>HYPERLINK("https://app.vivvix.com/360/KMI/IntelliDrive/ApplUI/Pages/CreativePages/CustomReportCreativeDetail.aspx?App=23&amp;ReportView=4&amp;Qid=1711279&amp;Row=558&amp;Col=1","No Title Assigned - #15258611238")</f>
        <v/>
      </c>
      <c r="B566" s="0" t="s">
        <v>834</v>
      </c>
      <c r="C566" s="0" t="s">
        <v>835</v>
      </c>
      <c r="D566" s="0" t="s">
        <v>835</v>
      </c>
      <c r="E566" s="0" t="inlineStr">
        <is>
          <t xml:space="preserve">Mazda</t>
        </is>
      </c>
      <c r="F566" s="0" t="s">
        <v>28</v>
      </c>
      <c r="G566" s="0" t="s">
        <v>29</v>
      </c>
      <c r="H566" s="5">
        <v>149.434200</v>
      </c>
    </row>
    <row r="567" spans="1:9">
      <c r="A567" s="22" t="str">
        <f>HYPERLINK("https://app.vivvix.com/360/KMI/IntelliDrive/ApplUI/Pages/CreativePages/CustomReportCreativeDetail.aspx?App=23&amp;ReportView=4&amp;Qid=1711279&amp;Row=559&amp;Col=1","No Title Assigned - #15258756713")</f>
        <v/>
      </c>
      <c r="B567" s="0" t="s">
        <v>836</v>
      </c>
      <c r="E567" s="0" t="inlineStr">
        <is>
          <t xml:space="preserve">Mazda</t>
        </is>
      </c>
      <c r="F567" s="0" t="s">
        <v>13</v>
      </c>
      <c r="G567" s="0" t="s">
        <v>49</v>
      </c>
      <c r="H567" s="5">
        <v>67656.833200</v>
      </c>
    </row>
    <row r="568" spans="1:9">
      <c r="A568" s="22" t="str">
        <f>HYPERLINK("https://app.vivvix.com/360/KMI/IntelliDrive/ApplUI/Pages/CreativePages/CustomReportCreativeDetail.aspx?App=23&amp;ReportView=4&amp;Qid=1711279&amp;Row=560&amp;Col=1","No Title Assigned - #15258756713")</f>
        <v/>
      </c>
      <c r="B568" s="0" t="s">
        <v>836</v>
      </c>
      <c r="C568" s="0" t="s">
        <v>837</v>
      </c>
      <c r="D568" s="0" t="s">
        <v>837</v>
      </c>
      <c r="E568" s="0" t="inlineStr">
        <is>
          <t xml:space="preserve">Mazda</t>
        </is>
      </c>
      <c r="F568" s="0" t="s">
        <v>13</v>
      </c>
      <c r="G568" s="0" t="s">
        <v>49</v>
      </c>
      <c r="H568" s="5">
        <v>25569.491400</v>
      </c>
    </row>
    <row r="569" spans="1:9">
      <c r="A569" s="22" t="str">
        <f>HYPERLINK("https://app.vivvix.com/360/KMI/IntelliDrive/ApplUI/Pages/CreativePages/CustomReportCreativeDetail.aspx?App=23&amp;ReportView=4&amp;Qid=1711279&amp;Row=561&amp;Col=1","No Title Assigned - #15258817937")</f>
        <v/>
      </c>
      <c r="B569" s="0" t="s">
        <v>838</v>
      </c>
      <c r="C569" s="0" t="s">
        <v>839</v>
      </c>
      <c r="D569" s="0" t="s">
        <v>839</v>
      </c>
      <c r="E569" s="0" t="inlineStr">
        <is>
          <t xml:space="preserve">Mazda</t>
        </is>
      </c>
      <c r="F569" s="0" t="s">
        <v>13</v>
      </c>
      <c r="G569" s="0" t="s">
        <v>49</v>
      </c>
      <c r="H569" s="5">
        <v>219.958300</v>
      </c>
    </row>
    <row r="570" spans="1:9">
      <c r="A570" s="22" t="str">
        <f>HYPERLINK("https://app.vivvix.com/360/KMI/IntelliDrive/ApplUI/Pages/CreativePages/CustomReportCreativeDetail.aspx?App=23&amp;ReportView=4&amp;Qid=1711279&amp;Row=562&amp;Col=1","No Title Assigned - #15258877908")</f>
        <v/>
      </c>
      <c r="B570" s="0" t="s">
        <v>840</v>
      </c>
      <c r="C570" s="0" t="s">
        <v>841</v>
      </c>
      <c r="D570" s="0" t="s">
        <v>841</v>
      </c>
      <c r="E570" s="0" t="inlineStr">
        <is>
          <t xml:space="preserve">Mazda</t>
        </is>
      </c>
      <c r="F570" s="0" t="s">
        <v>13</v>
      </c>
      <c r="G570" s="0" t="s">
        <v>49</v>
      </c>
      <c r="H570" s="5">
        <v>98.048800</v>
      </c>
    </row>
    <row r="571" spans="1:9">
      <c r="A571" s="22" t="str">
        <f>HYPERLINK("https://app.vivvix.com/360/KMI/IntelliDrive/ApplUI/Pages/CreativePages/CustomReportCreativeDetail.aspx?App=23&amp;ReportView=4&amp;Qid=1711279&amp;Row=563&amp;Col=1","No Title Assigned - #15258916779")</f>
        <v/>
      </c>
      <c r="B571" s="0" t="s">
        <v>842</v>
      </c>
      <c r="C571" s="0" t="s">
        <v>843</v>
      </c>
      <c r="D571" s="0" t="s">
        <v>843</v>
      </c>
      <c r="E571" s="0" t="inlineStr">
        <is>
          <t xml:space="preserve">Mazda</t>
        </is>
      </c>
      <c r="F571" s="0" t="s">
        <v>17</v>
      </c>
      <c r="G571" s="0" t="s">
        <v>33</v>
      </c>
      <c r="H571" s="5">
        <v>934.209900</v>
      </c>
    </row>
    <row r="572" spans="1:9">
      <c r="A572" s="22" t="str">
        <f>HYPERLINK("https://app.vivvix.com/360/KMI/IntelliDrive/ApplUI/Pages/CreativePages/CustomReportCreativeDetail.aspx?App=23&amp;ReportView=4&amp;Qid=1711279&amp;Row=564&amp;Col=1","No Title Assigned - #15258956767")</f>
        <v/>
      </c>
      <c r="B572" s="0" t="s">
        <v>844</v>
      </c>
      <c r="C572" s="0" t="s">
        <v>845</v>
      </c>
      <c r="D572" s="0" t="s">
        <v>845</v>
      </c>
      <c r="E572" s="0" t="inlineStr">
        <is>
          <t xml:space="preserve">Mazda</t>
        </is>
      </c>
      <c r="F572" s="0" t="s">
        <v>17</v>
      </c>
      <c r="G572" s="0" t="s">
        <v>33</v>
      </c>
      <c r="H572" s="5">
        <v>2644.164600</v>
      </c>
    </row>
    <row r="573" spans="1:9">
      <c r="A573" s="22" t="str">
        <f>HYPERLINK("https://app.vivvix.com/360/KMI/IntelliDrive/ApplUI/Pages/CreativePages/CustomReportCreativeDetail.aspx?App=23&amp;ReportView=4&amp;Qid=1711279&amp;Row=565&amp;Col=1","No Title Assigned - #15259005115")</f>
        <v/>
      </c>
      <c r="B573" s="0" t="s">
        <v>846</v>
      </c>
      <c r="C573" s="0" t="s">
        <v>847</v>
      </c>
      <c r="D573" s="0" t="s">
        <v>847</v>
      </c>
      <c r="E573" s="0" t="inlineStr">
        <is>
          <t xml:space="preserve">Mazda</t>
        </is>
      </c>
      <c r="F573" s="0" t="s">
        <v>13</v>
      </c>
      <c r="G573" s="0" t="s">
        <v>49</v>
      </c>
      <c r="H573" s="5">
        <v>7876.802200</v>
      </c>
    </row>
    <row r="574" spans="1:9">
      <c r="A574" s="22" t="str">
        <f>HYPERLINK("https://app.vivvix.com/360/KMI/IntelliDrive/ApplUI/Pages/CreativePages/CustomReportCreativeDetail.aspx?App=23&amp;ReportView=4&amp;Qid=1711279&amp;Row=566&amp;Col=1","No Title Assigned - #15259005115")</f>
        <v/>
      </c>
      <c r="B574" s="0" t="s">
        <v>846</v>
      </c>
      <c r="E574" s="0" t="inlineStr">
        <is>
          <t xml:space="preserve">Mazda</t>
        </is>
      </c>
      <c r="F574" s="0" t="s">
        <v>13</v>
      </c>
      <c r="G574" s="0" t="s">
        <v>49</v>
      </c>
      <c r="H574" s="5">
        <v>6809.300500</v>
      </c>
    </row>
    <row r="575" spans="1:9">
      <c r="A575" s="22" t="str">
        <f>HYPERLINK("https://app.vivvix.com/360/KMI/IntelliDrive/ApplUI/Pages/CreativePages/CustomReportCreativeDetail.aspx?App=23&amp;ReportView=4&amp;Qid=1711279&amp;Row=567&amp;Col=1","No Title Assigned - #15259035773")</f>
        <v/>
      </c>
      <c r="B575" s="0" t="s">
        <v>848</v>
      </c>
      <c r="E575" s="0" t="inlineStr">
        <is>
          <t xml:space="preserve">Mazda</t>
        </is>
      </c>
      <c r="F575" s="0" t="s">
        <v>13</v>
      </c>
      <c r="G575" s="0" t="s">
        <v>49</v>
      </c>
      <c r="H575" s="5">
        <v>9879.480100</v>
      </c>
    </row>
    <row r="576" spans="1:9">
      <c r="A576" s="22" t="str">
        <f>HYPERLINK("https://app.vivvix.com/360/KMI/IntelliDrive/ApplUI/Pages/CreativePages/CustomReportCreativeDetail.aspx?App=23&amp;ReportView=4&amp;Qid=1711279&amp;Row=568&amp;Col=1","No Title Assigned - #15259035773")</f>
        <v/>
      </c>
      <c r="B576" s="0" t="s">
        <v>848</v>
      </c>
      <c r="C576" s="0" t="s">
        <v>849</v>
      </c>
      <c r="D576" s="0" t="s">
        <v>849</v>
      </c>
      <c r="E576" s="0" t="inlineStr">
        <is>
          <t xml:space="preserve">Mazda</t>
        </is>
      </c>
      <c r="F576" s="0" t="s">
        <v>13</v>
      </c>
      <c r="G576" s="0" t="s">
        <v>49</v>
      </c>
      <c r="H576" s="5">
        <v>812.141100</v>
      </c>
    </row>
    <row r="577" spans="1:9">
      <c r="A577" s="22" t="str">
        <f>HYPERLINK("https://app.vivvix.com/360/KMI/IntelliDrive/ApplUI/Pages/CreativePages/CustomReportCreativeDetail.aspx?App=23&amp;ReportView=4&amp;Qid=1711279&amp;Row=569&amp;Col=1","No Title Assigned - #15259041212")</f>
        <v/>
      </c>
      <c r="B577" s="0" t="s">
        <v>850</v>
      </c>
      <c r="C577" s="0" t="s">
        <v>851</v>
      </c>
      <c r="D577" s="0" t="s">
        <v>851</v>
      </c>
      <c r="E577" s="0" t="inlineStr">
        <is>
          <t xml:space="preserve">Mazda</t>
        </is>
      </c>
      <c r="F577" s="0" t="s">
        <v>13</v>
      </c>
      <c r="G577" s="0" t="s">
        <v>49</v>
      </c>
      <c r="H577" s="5">
        <v>21116.976400</v>
      </c>
    </row>
    <row r="578" spans="1:9">
      <c r="A578" s="22" t="str">
        <f>HYPERLINK("https://app.vivvix.com/360/KMI/IntelliDrive/ApplUI/Pages/CreativePages/CustomReportCreativeDetail.aspx?App=23&amp;ReportView=4&amp;Qid=1711279&amp;Row=570&amp;Col=1","No Title Assigned - #15259041212")</f>
        <v/>
      </c>
      <c r="B578" s="0" t="s">
        <v>850</v>
      </c>
      <c r="E578" s="0" t="inlineStr">
        <is>
          <t xml:space="preserve">Mazda</t>
        </is>
      </c>
      <c r="F578" s="0" t="s">
        <v>13</v>
      </c>
      <c r="G578" s="0" t="s">
        <v>49</v>
      </c>
      <c r="H578" s="5">
        <v>198.836700</v>
      </c>
    </row>
    <row r="579" spans="1:9">
      <c r="A579" s="22" t="str">
        <f>HYPERLINK("https://app.vivvix.com/360/KMI/IntelliDrive/ApplUI/Pages/CreativePages/CustomReportCreativeDetail.aspx?App=23&amp;ReportView=4&amp;Qid=1711279&amp;Row=571&amp;Col=1","No Title Assigned - #15259042213")</f>
        <v/>
      </c>
      <c r="B579" s="0" t="s">
        <v>852</v>
      </c>
      <c r="C579" s="0" t="s">
        <v>853</v>
      </c>
      <c r="D579" s="0" t="s">
        <v>853</v>
      </c>
      <c r="E579" s="0" t="inlineStr">
        <is>
          <t xml:space="preserve">Mazda</t>
        </is>
      </c>
      <c r="F579" s="0" t="s">
        <v>13</v>
      </c>
      <c r="G579" s="0" t="s">
        <v>49</v>
      </c>
      <c r="H579" s="5">
        <v>422.134500</v>
      </c>
    </row>
    <row r="580" spans="1:9">
      <c r="A580" s="22" t="str">
        <f>HYPERLINK("https://app.vivvix.com/360/KMI/IntelliDrive/ApplUI/Pages/CreativePages/CustomReportCreativeDetail.aspx?App=23&amp;ReportView=4&amp;Qid=1711279&amp;Row=572&amp;Col=1","No Title Assigned - #15259083633")</f>
        <v/>
      </c>
      <c r="B580" s="0" t="s">
        <v>854</v>
      </c>
      <c r="C580" s="0" t="s">
        <v>855</v>
      </c>
      <c r="D580" s="0" t="s">
        <v>855</v>
      </c>
      <c r="E580" s="0" t="inlineStr">
        <is>
          <t xml:space="preserve">Mazda</t>
        </is>
      </c>
      <c r="F580" s="0" t="s">
        <v>13</v>
      </c>
      <c r="G580" s="0" t="s">
        <v>49</v>
      </c>
      <c r="H580" s="5">
        <v>19901.394300</v>
      </c>
    </row>
    <row r="581" spans="1:9">
      <c r="A581" s="22" t="str">
        <f>HYPERLINK("https://app.vivvix.com/360/KMI/IntelliDrive/ApplUI/Pages/CreativePages/CustomReportCreativeDetail.aspx?App=23&amp;ReportView=4&amp;Qid=1711279&amp;Row=573&amp;Col=1","No Title Assigned - #15259116617")</f>
        <v/>
      </c>
      <c r="B581" s="0" t="s">
        <v>856</v>
      </c>
      <c r="C581" s="0" t="s">
        <v>857</v>
      </c>
      <c r="D581" s="0" t="s">
        <v>857</v>
      </c>
      <c r="E581" s="0" t="inlineStr">
        <is>
          <t xml:space="preserve">Mazda</t>
        </is>
      </c>
      <c r="F581" s="0" t="s">
        <v>13</v>
      </c>
      <c r="G581" s="0" t="s">
        <v>49</v>
      </c>
      <c r="H581" s="5">
        <v>46398.115300</v>
      </c>
    </row>
    <row r="582" spans="1:9">
      <c r="A582" s="22" t="str">
        <f>HYPERLINK("https://app.vivvix.com/360/KMI/IntelliDrive/ApplUI/Pages/CreativePages/CustomReportCreativeDetail.aspx?App=23&amp;ReportView=4&amp;Qid=1711279&amp;Row=574&amp;Col=1","No Title Assigned - #15259117394")</f>
        <v/>
      </c>
      <c r="B582" s="0" t="s">
        <v>858</v>
      </c>
      <c r="C582" s="0" t="s">
        <v>859</v>
      </c>
      <c r="D582" s="0" t="s">
        <v>859</v>
      </c>
      <c r="E582" s="0" t="inlineStr">
        <is>
          <t xml:space="preserve">Mazda</t>
        </is>
      </c>
      <c r="F582" s="0" t="s">
        <v>13</v>
      </c>
      <c r="G582" s="0" t="s">
        <v>49</v>
      </c>
      <c r="H582" s="5">
        <v>5347.691600</v>
      </c>
    </row>
    <row r="583" spans="1:9">
      <c r="A583" s="22" t="str">
        <f>HYPERLINK("https://app.vivvix.com/360/KMI/IntelliDrive/ApplUI/Pages/CreativePages/CustomReportCreativeDetail.aspx?App=23&amp;ReportView=4&amp;Qid=1711279&amp;Row=575&amp;Col=1","No Title Assigned - #15259133441")</f>
        <v/>
      </c>
      <c r="B583" s="0" t="s">
        <v>860</v>
      </c>
      <c r="C583" s="0" t="s">
        <v>861</v>
      </c>
      <c r="D583" s="0" t="s">
        <v>861</v>
      </c>
      <c r="E583" s="0" t="inlineStr">
        <is>
          <t xml:space="preserve">Mazda</t>
        </is>
      </c>
      <c r="F583" s="0" t="s">
        <v>13</v>
      </c>
      <c r="G583" s="0" t="s">
        <v>49</v>
      </c>
      <c r="H583" s="5">
        <v>6950.364900</v>
      </c>
    </row>
    <row r="584" spans="1:9">
      <c r="A584" s="22" t="str">
        <f>HYPERLINK("https://app.vivvix.com/360/KMI/IntelliDrive/ApplUI/Pages/CreativePages/CustomReportCreativeDetail.aspx?App=23&amp;ReportView=4&amp;Qid=1711279&amp;Row=576&amp;Col=1","No Title Assigned - #15259133442")</f>
        <v/>
      </c>
      <c r="B584" s="0" t="s">
        <v>862</v>
      </c>
      <c r="E584" s="0" t="inlineStr">
        <is>
          <t xml:space="preserve">Mazda</t>
        </is>
      </c>
      <c r="F584" s="0" t="inlineStr">
        <is>
          <t xml:space="preserve">Mazda</t>
        </is>
      </c>
      <c r="G584" s="0" t="s">
        <v>171</v>
      </c>
    </row>
    <row r="585" spans="1:9">
      <c r="A585" s="22" t="str">
        <f>HYPERLINK("https://app.vivvix.com/360/KMI/IntelliDrive/ApplUI/Pages/CreativePages/CustomReportCreativeDetail.aspx?App=23&amp;ReportView=4&amp;Qid=1711279&amp;Row=577&amp;Col=1","No Title Assigned - #15259133917")</f>
        <v/>
      </c>
      <c r="B585" s="0" t="s">
        <v>863</v>
      </c>
      <c r="C585" s="0" t="s">
        <v>864</v>
      </c>
      <c r="D585" s="0" t="s">
        <v>864</v>
      </c>
      <c r="E585" s="0" t="inlineStr">
        <is>
          <t xml:space="preserve">Mazda</t>
        </is>
      </c>
      <c r="F585" s="0" t="s">
        <v>13</v>
      </c>
      <c r="G585" s="0" t="s">
        <v>49</v>
      </c>
      <c r="H585" s="5">
        <v>632.804400</v>
      </c>
    </row>
    <row r="586" spans="1:9">
      <c r="A586" s="22" t="str">
        <f>HYPERLINK("https://app.vivvix.com/360/KMI/IntelliDrive/ApplUI/Pages/CreativePages/CustomReportCreativeDetail.aspx?App=23&amp;ReportView=4&amp;Qid=1711279&amp;Row=578&amp;Col=1","No Title Assigned - #15259133917")</f>
        <v/>
      </c>
      <c r="B586" s="0" t="s">
        <v>863</v>
      </c>
      <c r="E586" s="0" t="inlineStr">
        <is>
          <t xml:space="preserve">Mazda</t>
        </is>
      </c>
      <c r="F586" s="0" t="s">
        <v>13</v>
      </c>
      <c r="G586" s="0" t="s">
        <v>49</v>
      </c>
      <c r="H586" s="5">
        <v>578.164200</v>
      </c>
    </row>
    <row r="587" spans="1:9">
      <c r="A587" s="22" t="str">
        <f>HYPERLINK("https://app.vivvix.com/360/KMI/IntelliDrive/ApplUI/Pages/CreativePages/CustomReportCreativeDetail.aspx?App=23&amp;ReportView=4&amp;Qid=1711279&amp;Row=579&amp;Col=1","No Title Assigned - #15259188926")</f>
        <v/>
      </c>
      <c r="B587" s="0" t="s">
        <v>865</v>
      </c>
      <c r="C587" s="0" t="s">
        <v>866</v>
      </c>
      <c r="D587" s="0" t="s">
        <v>866</v>
      </c>
      <c r="E587" s="0" t="inlineStr">
        <is>
          <t xml:space="preserve">Mazda</t>
        </is>
      </c>
      <c r="F587" s="0" t="s">
        <v>13</v>
      </c>
      <c r="G587" s="0" t="s">
        <v>49</v>
      </c>
      <c r="H587" s="5">
        <v>108.243600</v>
      </c>
    </row>
    <row r="588" spans="1:9">
      <c r="A588" s="22" t="str">
        <f>HYPERLINK("https://app.vivvix.com/360/KMI/IntelliDrive/ApplUI/Pages/CreativePages/CustomReportCreativeDetail.aspx?App=23&amp;ReportView=4&amp;Qid=1711279&amp;Row=580&amp;Col=1","No Title Assigned - #15259267197")</f>
        <v/>
      </c>
      <c r="B588" s="0" t="s">
        <v>867</v>
      </c>
      <c r="E588" s="0" t="inlineStr">
        <is>
          <t xml:space="preserve">Mazda</t>
        </is>
      </c>
      <c r="F588" s="0" t="s">
        <v>13</v>
      </c>
      <c r="G588" s="0" t="s">
        <v>49</v>
      </c>
      <c r="H588" s="5">
        <v>9681.737800</v>
      </c>
    </row>
    <row r="589" spans="1:9">
      <c r="A589" s="22" t="str">
        <f>HYPERLINK("https://app.vivvix.com/360/KMI/IntelliDrive/ApplUI/Pages/CreativePages/CustomReportCreativeDetail.aspx?App=23&amp;ReportView=4&amp;Qid=1711279&amp;Row=581&amp;Col=1","No Title Assigned - #15259279801")</f>
        <v/>
      </c>
      <c r="B589" s="0" t="s">
        <v>868</v>
      </c>
      <c r="C589" s="0" t="s">
        <v>869</v>
      </c>
      <c r="D589" s="0" t="s">
        <v>869</v>
      </c>
      <c r="E589" s="0" t="inlineStr">
        <is>
          <t xml:space="preserve">Mazda</t>
        </is>
      </c>
      <c r="F589" s="0" t="s">
        <v>13</v>
      </c>
      <c r="G589" s="0" t="s">
        <v>49</v>
      </c>
      <c r="H589" s="5">
        <v>19435.547600</v>
      </c>
    </row>
    <row r="590" spans="1:9">
      <c r="A590" s="22" t="str">
        <f>HYPERLINK("https://app.vivvix.com/360/KMI/IntelliDrive/ApplUI/Pages/CreativePages/CustomReportCreativeDetail.aspx?App=23&amp;ReportView=4&amp;Qid=1711279&amp;Row=582&amp;Col=1","No Title Assigned - #15259282799")</f>
        <v/>
      </c>
      <c r="B590" s="0" t="s">
        <v>870</v>
      </c>
      <c r="C590" s="0" t="s">
        <v>871</v>
      </c>
      <c r="D590" s="0" t="s">
        <v>871</v>
      </c>
      <c r="E590" s="0" t="inlineStr">
        <is>
          <t xml:space="preserve">Mazda</t>
        </is>
      </c>
      <c r="F590" s="0" t="s">
        <v>13</v>
      </c>
      <c r="G590" s="0" t="s">
        <v>49</v>
      </c>
      <c r="H590" s="5">
        <v>125553.927000</v>
      </c>
    </row>
    <row r="591" spans="1:9">
      <c r="A591" s="22" t="str">
        <f>HYPERLINK("https://app.vivvix.com/360/KMI/IntelliDrive/ApplUI/Pages/CreativePages/CustomReportCreativeDetail.aspx?App=23&amp;ReportView=4&amp;Qid=1711279&amp;Row=583&amp;Col=1","No Title Assigned - #15259283029")</f>
        <v/>
      </c>
      <c r="B591" s="0" t="s">
        <v>872</v>
      </c>
      <c r="C591" s="0" t="s">
        <v>873</v>
      </c>
      <c r="D591" s="0" t="s">
        <v>873</v>
      </c>
      <c r="E591" s="0" t="inlineStr">
        <is>
          <t xml:space="preserve">Mazda</t>
        </is>
      </c>
      <c r="F591" s="0" t="s">
        <v>13</v>
      </c>
      <c r="G591" s="0" t="s">
        <v>49</v>
      </c>
      <c r="H591" s="5">
        <v>166.476300</v>
      </c>
    </row>
    <row r="592" spans="1:9">
      <c r="A592" s="22" t="str">
        <f>HYPERLINK("https://app.vivvix.com/360/KMI/IntelliDrive/ApplUI/Pages/CreativePages/CustomReportCreativeDetail.aspx?App=23&amp;ReportView=4&amp;Qid=1711279&amp;Row=584&amp;Col=1","No Title Assigned - #15259286339")</f>
        <v/>
      </c>
      <c r="B592" s="0" t="s">
        <v>874</v>
      </c>
      <c r="C592" s="0" t="s">
        <v>875</v>
      </c>
      <c r="D592" s="0" t="s">
        <v>875</v>
      </c>
      <c r="E592" s="0" t="inlineStr">
        <is>
          <t xml:space="preserve">Mazda</t>
        </is>
      </c>
      <c r="F592" s="0" t="s">
        <v>13</v>
      </c>
      <c r="G592" s="0" t="s">
        <v>49</v>
      </c>
      <c r="H592" s="5">
        <v>7477.926800</v>
      </c>
    </row>
    <row r="593" spans="1:9">
      <c r="A593" s="22" t="str">
        <f>HYPERLINK("https://app.vivvix.com/360/KMI/IntelliDrive/ApplUI/Pages/CreativePages/CustomReportCreativeDetail.aspx?App=23&amp;ReportView=4&amp;Qid=1711279&amp;Row=585&amp;Col=1","No Title Assigned - #15259286339")</f>
        <v/>
      </c>
      <c r="B593" s="0" t="s">
        <v>874</v>
      </c>
      <c r="E593" s="0" t="inlineStr">
        <is>
          <t xml:space="preserve">Mazda</t>
        </is>
      </c>
      <c r="F593" s="0" t="s">
        <v>13</v>
      </c>
      <c r="G593" s="0" t="s">
        <v>49</v>
      </c>
      <c r="H593" s="5">
        <v>13634.473600</v>
      </c>
    </row>
    <row r="594" spans="1:9">
      <c r="A594" s="22" t="str">
        <f>HYPERLINK("https://app.vivvix.com/360/KMI/IntelliDrive/ApplUI/Pages/CreativePages/CustomReportCreativeDetail.aspx?App=23&amp;ReportView=4&amp;Qid=1711279&amp;Row=586&amp;Col=1","No Title Assigned - #15259348702")</f>
        <v/>
      </c>
      <c r="B594" s="0" t="s">
        <v>876</v>
      </c>
      <c r="C594" s="0" t="s">
        <v>877</v>
      </c>
      <c r="D594" s="0" t="s">
        <v>877</v>
      </c>
      <c r="E594" s="0" t="inlineStr">
        <is>
          <t xml:space="preserve">Mazda</t>
        </is>
      </c>
      <c r="F594" s="0" t="s">
        <v>13</v>
      </c>
      <c r="G594" s="0" t="s">
        <v>49</v>
      </c>
      <c r="H594" s="5">
        <v>2579.507500</v>
      </c>
    </row>
    <row r="595" spans="1:9">
      <c r="A595" s="22" t="str">
        <f>HYPERLINK("https://app.vivvix.com/360/KMI/IntelliDrive/ApplUI/Pages/CreativePages/CustomReportCreativeDetail.aspx?App=23&amp;ReportView=4&amp;Qid=1711279&amp;Row=587&amp;Col=1","No Title Assigned - #15259407112")</f>
        <v/>
      </c>
      <c r="B595" s="0" t="s">
        <v>878</v>
      </c>
      <c r="E595" s="0" t="inlineStr">
        <is>
          <t xml:space="preserve">Mazda</t>
        </is>
      </c>
      <c r="F595" s="0" t="inlineStr">
        <is>
          <t xml:space="preserve">Mazda</t>
        </is>
      </c>
      <c r="G595" s="0" t="s">
        <v>171</v>
      </c>
      <c r="H595" s="5">
        <v>19.353700</v>
      </c>
    </row>
    <row r="596" spans="1:9">
      <c r="A596" s="22" t="str">
        <f>HYPERLINK("https://app.vivvix.com/360/KMI/IntelliDrive/ApplUI/Pages/CreativePages/CustomReportCreativeDetail.aspx?App=23&amp;ReportView=4&amp;Qid=1711279&amp;Row=588&amp;Col=1","No Title Assigned - #15259695726")</f>
        <v/>
      </c>
      <c r="B596" s="0" t="s">
        <v>879</v>
      </c>
      <c r="C596" s="0" t="s">
        <v>880</v>
      </c>
      <c r="D596" s="0" t="s">
        <v>880</v>
      </c>
      <c r="E596" s="0" t="inlineStr">
        <is>
          <t xml:space="preserve">Mazda</t>
        </is>
      </c>
      <c r="F596" s="0" t="s">
        <v>13</v>
      </c>
      <c r="G596" s="0" t="s">
        <v>49</v>
      </c>
      <c r="H596" s="5">
        <v>31.051300</v>
      </c>
    </row>
    <row r="597" spans="1:9">
      <c r="A597" s="22" t="str">
        <f>HYPERLINK("https://app.vivvix.com/360/KMI/IntelliDrive/ApplUI/Pages/CreativePages/CustomReportCreativeDetail.aspx?App=23&amp;ReportView=4&amp;Qid=1711279&amp;Row=589&amp;Col=1","No Title Assigned - #15259762801")</f>
        <v/>
      </c>
      <c r="B597" s="0" t="s">
        <v>881</v>
      </c>
      <c r="E597" s="0" t="inlineStr">
        <is>
          <t xml:space="preserve">Mazda</t>
        </is>
      </c>
      <c r="F597" s="0" t="inlineStr">
        <is>
          <t xml:space="preserve">Mazda</t>
        </is>
      </c>
      <c r="G597" s="0" t="s">
        <v>171</v>
      </c>
      <c r="H597" s="5">
        <v>164.752400</v>
      </c>
    </row>
    <row r="598" spans="1:9">
      <c r="A598" s="22" t="str">
        <f>HYPERLINK("https://app.vivvix.com/360/KMI/IntelliDrive/ApplUI/Pages/CreativePages/CustomReportCreativeDetail.aspx?App=23&amp;ReportView=4&amp;Qid=1711279&amp;Row=590&amp;Col=1","No Title Assigned - #15259770548")</f>
        <v/>
      </c>
      <c r="B598" s="0" t="s">
        <v>882</v>
      </c>
      <c r="C598" s="0" t="s">
        <v>883</v>
      </c>
      <c r="D598" s="0" t="s">
        <v>883</v>
      </c>
      <c r="E598" s="0" t="inlineStr">
        <is>
          <t xml:space="preserve">Mazda</t>
        </is>
      </c>
      <c r="F598" s="0" t="s">
        <v>28</v>
      </c>
      <c r="G598" s="0" t="s">
        <v>29</v>
      </c>
      <c r="H598" s="5">
        <v>152545.979300</v>
      </c>
    </row>
    <row r="599" spans="1:9">
      <c r="A599" s="22" t="str">
        <f>HYPERLINK("https://app.vivvix.com/360/KMI/IntelliDrive/ApplUI/Pages/CreativePages/CustomReportCreativeDetail.aspx?App=23&amp;ReportView=4&amp;Qid=1711279&amp;Row=591&amp;Col=1","No Title Assigned - #15259770548")</f>
        <v/>
      </c>
      <c r="B599" s="0" t="s">
        <v>882</v>
      </c>
      <c r="E599" s="0" t="inlineStr">
        <is>
          <t xml:space="preserve">Mazda</t>
        </is>
      </c>
      <c r="F599" s="0" t="s">
        <v>28</v>
      </c>
      <c r="G599" s="0" t="s">
        <v>29</v>
      </c>
      <c r="H599" s="5">
        <v>921.926000</v>
      </c>
    </row>
    <row r="600" spans="1:9">
      <c r="A600" s="22" t="str">
        <f>HYPERLINK("https://app.vivvix.com/360/KMI/IntelliDrive/ApplUI/Pages/CreativePages/CustomReportCreativeDetail.aspx?App=23&amp;ReportView=4&amp;Qid=1711279&amp;Row=592&amp;Col=1","No Title Assigned - #15259770991")</f>
        <v/>
      </c>
      <c r="B600" s="0" t="s">
        <v>884</v>
      </c>
      <c r="E600" s="0" t="inlineStr">
        <is>
          <t xml:space="preserve">Mazda</t>
        </is>
      </c>
      <c r="F600" s="0" t="s">
        <v>28</v>
      </c>
      <c r="G600" s="0" t="s">
        <v>29</v>
      </c>
      <c r="H600" s="5">
        <v>158650.145300</v>
      </c>
    </row>
    <row r="601" spans="1:9">
      <c r="A601" s="22" t="str">
        <f>HYPERLINK("https://app.vivvix.com/360/KMI/IntelliDrive/ApplUI/Pages/CreativePages/CustomReportCreativeDetail.aspx?App=23&amp;ReportView=4&amp;Qid=1711279&amp;Row=593&amp;Col=1","No Title Assigned - #15259770991")</f>
        <v/>
      </c>
      <c r="B601" s="0" t="s">
        <v>884</v>
      </c>
      <c r="C601" s="0" t="s">
        <v>885</v>
      </c>
      <c r="D601" s="0" t="s">
        <v>885</v>
      </c>
      <c r="E601" s="0" t="inlineStr">
        <is>
          <t xml:space="preserve">Mazda</t>
        </is>
      </c>
      <c r="F601" s="0" t="s">
        <v>28</v>
      </c>
      <c r="G601" s="0" t="s">
        <v>29</v>
      </c>
      <c r="H601" s="5">
        <v>267724.654100</v>
      </c>
    </row>
    <row r="602" spans="1:9">
      <c r="A602" s="22" t="str">
        <f>HYPERLINK("https://app.vivvix.com/360/KMI/IntelliDrive/ApplUI/Pages/CreativePages/CustomReportCreativeDetail.aspx?App=23&amp;ReportView=4&amp;Qid=1711279&amp;Row=594&amp;Col=1","No Title Assigned - #15259809922")</f>
        <v/>
      </c>
      <c r="B602" s="0" t="s">
        <v>886</v>
      </c>
      <c r="C602" s="0" t="s">
        <v>887</v>
      </c>
      <c r="D602" s="0" t="s">
        <v>887</v>
      </c>
      <c r="E602" s="0" t="inlineStr">
        <is>
          <t xml:space="preserve">Mazda</t>
        </is>
      </c>
      <c r="F602" s="0" t="s">
        <v>13</v>
      </c>
      <c r="G602" s="0" t="s">
        <v>49</v>
      </c>
      <c r="H602" s="5">
        <v>21031.651100</v>
      </c>
    </row>
    <row r="603" spans="1:9">
      <c r="A603" s="22" t="str">
        <f>HYPERLINK("https://app.vivvix.com/360/KMI/IntelliDrive/ApplUI/Pages/CreativePages/CustomReportCreativeDetail.aspx?App=23&amp;ReportView=4&amp;Qid=1711279&amp;Row=595&amp;Col=1","No Title Assigned - #15259812815")</f>
        <v/>
      </c>
      <c r="B603" s="0" t="s">
        <v>888</v>
      </c>
      <c r="C603" s="0" t="s">
        <v>889</v>
      </c>
      <c r="D603" s="0" t="s">
        <v>889</v>
      </c>
      <c r="E603" s="0" t="inlineStr">
        <is>
          <t xml:space="preserve">Mazda</t>
        </is>
      </c>
      <c r="F603" s="0" t="s">
        <v>13</v>
      </c>
      <c r="G603" s="0" t="s">
        <v>49</v>
      </c>
      <c r="H603" s="5">
        <v>114.828000</v>
      </c>
    </row>
    <row r="604" spans="1:9">
      <c r="A604" s="22" t="str">
        <f>HYPERLINK("https://app.vivvix.com/360/KMI/IntelliDrive/ApplUI/Pages/CreativePages/CustomReportCreativeDetail.aspx?App=23&amp;ReportView=4&amp;Qid=1711279&amp;Row=596&amp;Col=1","No Title Assigned - #15259970386")</f>
        <v/>
      </c>
      <c r="B604" s="0" t="s">
        <v>890</v>
      </c>
      <c r="C604" s="0" t="s">
        <v>891</v>
      </c>
      <c r="D604" s="0" t="s">
        <v>891</v>
      </c>
      <c r="E604" s="0" t="inlineStr">
        <is>
          <t xml:space="preserve">Mazda</t>
        </is>
      </c>
      <c r="F604" s="0" t="s">
        <v>28</v>
      </c>
      <c r="G604" s="0" t="s">
        <v>29</v>
      </c>
      <c r="H604" s="5">
        <v>222.356200</v>
      </c>
    </row>
    <row r="605" spans="1:9">
      <c r="A605" s="22" t="str">
        <f>HYPERLINK("https://app.vivvix.com/360/KMI/IntelliDrive/ApplUI/Pages/CreativePages/CustomReportCreativeDetail.aspx?App=23&amp;ReportView=4&amp;Qid=1711279&amp;Row=597&amp;Col=1","No Title Assigned - #15260014302")</f>
        <v/>
      </c>
      <c r="B605" s="0" t="s">
        <v>892</v>
      </c>
      <c r="C605" s="0" t="s">
        <v>893</v>
      </c>
      <c r="D605" s="0" t="s">
        <v>893</v>
      </c>
      <c r="E605" s="0" t="inlineStr">
        <is>
          <t xml:space="preserve">Mazda</t>
        </is>
      </c>
      <c r="F605" s="0" t="s">
        <v>13</v>
      </c>
      <c r="G605" s="0" t="s">
        <v>49</v>
      </c>
      <c r="H605" s="5">
        <v>950.878200</v>
      </c>
    </row>
    <row r="606" spans="1:9">
      <c r="A606" s="22" t="str">
        <f>HYPERLINK("https://app.vivvix.com/360/KMI/IntelliDrive/ApplUI/Pages/CreativePages/CustomReportCreativeDetail.aspx?App=23&amp;ReportView=4&amp;Qid=1711279&amp;Row=598&amp;Col=1","No Title Assigned - #15260021491")</f>
        <v/>
      </c>
      <c r="B606" s="0" t="s">
        <v>894</v>
      </c>
      <c r="C606" s="0" t="s">
        <v>895</v>
      </c>
      <c r="D606" s="0" t="s">
        <v>895</v>
      </c>
      <c r="E606" s="0" t="inlineStr">
        <is>
          <t xml:space="preserve">Mazda</t>
        </is>
      </c>
      <c r="F606" s="0" t="s">
        <v>13</v>
      </c>
      <c r="G606" s="0" t="s">
        <v>49</v>
      </c>
      <c r="H606" s="5">
        <v>570.418400</v>
      </c>
    </row>
    <row r="607" spans="1:9">
      <c r="A607" s="22" t="str">
        <f>HYPERLINK("https://app.vivvix.com/360/KMI/IntelliDrive/ApplUI/Pages/CreativePages/CustomReportCreativeDetail.aspx?App=23&amp;ReportView=4&amp;Qid=1711279&amp;Row=599&amp;Col=1","No Title Assigned - #15260066572")</f>
        <v/>
      </c>
      <c r="B607" s="0" t="s">
        <v>896</v>
      </c>
      <c r="C607" s="0" t="s">
        <v>897</v>
      </c>
      <c r="D607" s="0" t="s">
        <v>897</v>
      </c>
      <c r="E607" s="0" t="inlineStr">
        <is>
          <t xml:space="preserve">Mazda</t>
        </is>
      </c>
      <c r="F607" s="0" t="s">
        <v>28</v>
      </c>
      <c r="G607" s="0" t="s">
        <v>29</v>
      </c>
      <c r="H607" s="5">
        <v>91406.827600</v>
      </c>
    </row>
    <row r="608" spans="1:9">
      <c r="A608" s="22" t="str">
        <f>HYPERLINK("https://app.vivvix.com/360/KMI/IntelliDrive/ApplUI/Pages/CreativePages/CustomReportCreativeDetail.aspx?App=23&amp;ReportView=4&amp;Qid=1711279&amp;Row=600&amp;Col=1","No Title Assigned - #15260066572")</f>
        <v/>
      </c>
      <c r="B608" s="0" t="s">
        <v>896</v>
      </c>
      <c r="E608" s="0" t="inlineStr">
        <is>
          <t xml:space="preserve">Mazda</t>
        </is>
      </c>
      <c r="F608" s="0" t="s">
        <v>28</v>
      </c>
      <c r="G608" s="0" t="s">
        <v>29</v>
      </c>
      <c r="H608" s="5">
        <v>94239.178100</v>
      </c>
    </row>
    <row r="609" spans="1:9">
      <c r="A609" s="22" t="str">
        <f>HYPERLINK("https://app.vivvix.com/360/KMI/IntelliDrive/ApplUI/Pages/CreativePages/CustomReportCreativeDetail.aspx?App=23&amp;ReportView=4&amp;Qid=1711279&amp;Row=601&amp;Col=1","No Title Assigned - #15260067898")</f>
        <v/>
      </c>
      <c r="B609" s="0" t="s">
        <v>898</v>
      </c>
      <c r="C609" s="0" t="s">
        <v>899</v>
      </c>
      <c r="D609" s="0" t="s">
        <v>899</v>
      </c>
      <c r="E609" s="0" t="inlineStr">
        <is>
          <t xml:space="preserve">Mazda</t>
        </is>
      </c>
      <c r="F609" s="0" t="s">
        <v>28</v>
      </c>
      <c r="G609" s="0" t="s">
        <v>29</v>
      </c>
      <c r="H609" s="5">
        <v>12074.305300</v>
      </c>
    </row>
    <row r="610" spans="1:9">
      <c r="A610" s="22" t="str">
        <f>HYPERLINK("https://app.vivvix.com/360/KMI/IntelliDrive/ApplUI/Pages/CreativePages/CustomReportCreativeDetail.aspx?App=23&amp;ReportView=4&amp;Qid=1711279&amp;Row=602&amp;Col=1","No Title Assigned - #15260067898")</f>
        <v/>
      </c>
      <c r="B610" s="0" t="s">
        <v>898</v>
      </c>
      <c r="E610" s="0" t="inlineStr">
        <is>
          <t xml:space="preserve">Mazda</t>
        </is>
      </c>
      <c r="F610" s="0" t="s">
        <v>28</v>
      </c>
      <c r="G610" s="0" t="s">
        <v>29</v>
      </c>
      <c r="H610" s="5">
        <v>11045.231200</v>
      </c>
    </row>
    <row r="611" spans="1:9">
      <c r="A611" s="22" t="str">
        <f>HYPERLINK("https://app.vivvix.com/360/KMI/IntelliDrive/ApplUI/Pages/CreativePages/CustomReportCreativeDetail.aspx?App=23&amp;ReportView=4&amp;Qid=1711279&amp;Row=603&amp;Col=1","No Title Assigned - #15260095230")</f>
        <v/>
      </c>
      <c r="B611" s="0" t="s">
        <v>900</v>
      </c>
      <c r="C611" s="0" t="s">
        <v>901</v>
      </c>
      <c r="D611" s="0" t="s">
        <v>901</v>
      </c>
      <c r="E611" s="0" t="inlineStr">
        <is>
          <t xml:space="preserve">Mazda</t>
        </is>
      </c>
      <c r="F611" s="0" t="s">
        <v>28</v>
      </c>
      <c r="G611" s="0" t="s">
        <v>29</v>
      </c>
      <c r="H611" s="5">
        <v>8161.090400</v>
      </c>
    </row>
    <row r="612" spans="1:9">
      <c r="A612" s="22" t="str">
        <f>HYPERLINK("https://app.vivvix.com/360/KMI/IntelliDrive/ApplUI/Pages/CreativePages/CustomReportCreativeDetail.aspx?App=23&amp;ReportView=4&amp;Qid=1711279&amp;Row=604&amp;Col=1","No Title Assigned - #15260095230")</f>
        <v/>
      </c>
      <c r="B612" s="0" t="s">
        <v>900</v>
      </c>
      <c r="E612" s="0" t="inlineStr">
        <is>
          <t xml:space="preserve">Mazda</t>
        </is>
      </c>
      <c r="F612" s="0" t="s">
        <v>28</v>
      </c>
      <c r="G612" s="0" t="s">
        <v>29</v>
      </c>
      <c r="H612" s="5">
        <v>1068.378100</v>
      </c>
    </row>
    <row r="613" spans="1:9">
      <c r="A613" s="22" t="str">
        <f>HYPERLINK("https://app.vivvix.com/360/KMI/IntelliDrive/ApplUI/Pages/CreativePages/CustomReportCreativeDetail.aspx?App=23&amp;ReportView=4&amp;Qid=1711279&amp;Row=605&amp;Col=1","No Title Assigned - #15260249202")</f>
        <v/>
      </c>
      <c r="B613" s="0" t="s">
        <v>902</v>
      </c>
      <c r="E613" s="0" t="inlineStr">
        <is>
          <t xml:space="preserve">Mazda</t>
        </is>
      </c>
      <c r="F613" s="0" t="inlineStr">
        <is>
          <t xml:space="preserve">Mazda</t>
        </is>
      </c>
      <c r="G613" s="0" t="s">
        <v>171</v>
      </c>
      <c r="H613" s="5">
        <v>81.348800</v>
      </c>
    </row>
    <row r="614" spans="1:9">
      <c r="A614" s="22" t="str">
        <f>HYPERLINK("https://app.vivvix.com/360/KMI/IntelliDrive/ApplUI/Pages/CreativePages/CustomReportCreativeDetail.aspx?App=23&amp;ReportView=4&amp;Qid=1711279&amp;Row=606&amp;Col=1","No Title Assigned - #15260293682")</f>
        <v/>
      </c>
      <c r="B614" s="0" t="s">
        <v>903</v>
      </c>
      <c r="C614" s="0" t="s">
        <v>904</v>
      </c>
      <c r="D614" s="0" t="s">
        <v>904</v>
      </c>
      <c r="E614" s="0" t="inlineStr">
        <is>
          <t xml:space="preserve">Mazda</t>
        </is>
      </c>
      <c r="F614" s="0" t="s">
        <v>28</v>
      </c>
      <c r="G614" s="0" t="s">
        <v>29</v>
      </c>
      <c r="H614" s="5">
        <v>1293.038600</v>
      </c>
    </row>
    <row r="615" spans="1:9">
      <c r="A615" s="22" t="str">
        <f>HYPERLINK("https://app.vivvix.com/360/KMI/IntelliDrive/ApplUI/Pages/CreativePages/CustomReportCreativeDetail.aspx?App=23&amp;ReportView=4&amp;Qid=1711279&amp;Row=607&amp;Col=1","No Title Assigned - #15260313837")</f>
        <v/>
      </c>
      <c r="B615" s="0" t="s">
        <v>905</v>
      </c>
      <c r="C615" s="0" t="s">
        <v>906</v>
      </c>
      <c r="D615" s="0" t="s">
        <v>906</v>
      </c>
      <c r="E615" s="0" t="inlineStr">
        <is>
          <t xml:space="preserve">Mazda</t>
        </is>
      </c>
      <c r="F615" s="0" t="s">
        <v>13</v>
      </c>
      <c r="G615" s="0" t="s">
        <v>49</v>
      </c>
      <c r="H615" s="5">
        <v>1066.280200</v>
      </c>
    </row>
    <row r="616" spans="1:9">
      <c r="A616" s="22" t="str">
        <f>HYPERLINK("https://app.vivvix.com/360/KMI/IntelliDrive/ApplUI/Pages/CreativePages/CustomReportCreativeDetail.aspx?App=23&amp;ReportView=4&amp;Qid=1711279&amp;Row=608&amp;Col=1","No Title Assigned - #15260405492")</f>
        <v/>
      </c>
      <c r="B616" s="0" t="s">
        <v>907</v>
      </c>
      <c r="C616" s="0" t="s">
        <v>908</v>
      </c>
      <c r="D616" s="0" t="s">
        <v>908</v>
      </c>
      <c r="E616" s="0" t="inlineStr">
        <is>
          <t xml:space="preserve">Mazda</t>
        </is>
      </c>
      <c r="F616" s="0" t="s">
        <v>28</v>
      </c>
      <c r="G616" s="0" t="s">
        <v>29</v>
      </c>
      <c r="H616" s="5">
        <v>212.526400</v>
      </c>
    </row>
    <row r="617" spans="1:9">
      <c r="A617" s="22" t="str">
        <f>HYPERLINK("https://app.vivvix.com/360/KMI/IntelliDrive/ApplUI/Pages/CreativePages/CustomReportCreativeDetail.aspx?App=23&amp;ReportView=4&amp;Qid=1711279&amp;Row=609&amp;Col=1","No Title Assigned - #15260483338")</f>
        <v/>
      </c>
      <c r="B617" s="0" t="s">
        <v>909</v>
      </c>
      <c r="C617" s="0" t="s">
        <v>910</v>
      </c>
      <c r="D617" s="0" t="s">
        <v>910</v>
      </c>
      <c r="E617" s="0" t="inlineStr">
        <is>
          <t xml:space="preserve">Mazda</t>
        </is>
      </c>
      <c r="F617" s="0" t="inlineStr">
        <is>
          <t xml:space="preserve">Mazda</t>
        </is>
      </c>
      <c r="G617" s="0" t="s">
        <v>171</v>
      </c>
      <c r="H617" s="5">
        <v>254.586400</v>
      </c>
    </row>
    <row r="618" spans="1:9">
      <c r="A618" s="22" t="str">
        <f>HYPERLINK("https://app.vivvix.com/360/KMI/IntelliDrive/ApplUI/Pages/CreativePages/CustomReportCreativeDetail.aspx?App=23&amp;ReportView=4&amp;Qid=1711279&amp;Row=610&amp;Col=1","No Title Assigned - #15260485496")</f>
        <v/>
      </c>
      <c r="B618" s="0" t="s">
        <v>911</v>
      </c>
      <c r="C618" s="0" t="s">
        <v>912</v>
      </c>
      <c r="D618" s="0" t="s">
        <v>912</v>
      </c>
      <c r="E618" s="0" t="inlineStr">
        <is>
          <t xml:space="preserve">Mazda</t>
        </is>
      </c>
      <c r="F618" s="0" t="inlineStr">
        <is>
          <t xml:space="preserve">Mazda</t>
        </is>
      </c>
      <c r="G618" s="0" t="s">
        <v>171</v>
      </c>
      <c r="H618" s="5">
        <v>286.528200</v>
      </c>
    </row>
    <row r="619" spans="1:9">
      <c r="A619" s="22" t="str">
        <f>HYPERLINK("https://app.vivvix.com/360/KMI/IntelliDrive/ApplUI/Pages/CreativePages/CustomReportCreativeDetail.aspx?App=23&amp;ReportView=4&amp;Qid=1711279&amp;Row=611&amp;Col=1","No Title Assigned - #15260492250")</f>
        <v/>
      </c>
      <c r="B619" s="0" t="s">
        <v>913</v>
      </c>
      <c r="C619" s="0" t="s">
        <v>914</v>
      </c>
      <c r="D619" s="0" t="s">
        <v>914</v>
      </c>
      <c r="E619" s="0" t="inlineStr">
        <is>
          <t xml:space="preserve">Mazda</t>
        </is>
      </c>
      <c r="F619" s="0" t="s">
        <v>13</v>
      </c>
      <c r="G619" s="0" t="s">
        <v>49</v>
      </c>
      <c r="H619" s="5">
        <v>1460.664900</v>
      </c>
    </row>
    <row r="620" spans="1:9">
      <c r="A620" s="22" t="str">
        <f>HYPERLINK("https://app.vivvix.com/360/KMI/IntelliDrive/ApplUI/Pages/CreativePages/CustomReportCreativeDetail.aspx?App=23&amp;ReportView=4&amp;Qid=1711279&amp;Row=612&amp;Col=1","No Title Assigned - #15260592017")</f>
        <v/>
      </c>
      <c r="B620" s="0" t="s">
        <v>915</v>
      </c>
      <c r="E620" s="0" t="inlineStr">
        <is>
          <t xml:space="preserve">Mazda</t>
        </is>
      </c>
      <c r="F620" s="0" t="s">
        <v>13</v>
      </c>
      <c r="G620" s="0" t="s">
        <v>49</v>
      </c>
      <c r="H620" s="5">
        <v>197.652600</v>
      </c>
    </row>
    <row r="621" spans="1:9">
      <c r="A621" s="22" t="str">
        <f>HYPERLINK("https://app.vivvix.com/360/KMI/IntelliDrive/ApplUI/Pages/CreativePages/CustomReportCreativeDetail.aspx?App=23&amp;ReportView=4&amp;Qid=1711279&amp;Row=613&amp;Col=1","No Title Assigned - #15260594669")</f>
        <v/>
      </c>
      <c r="B621" s="0" t="s">
        <v>916</v>
      </c>
      <c r="E621" s="0" t="inlineStr">
        <is>
          <t xml:space="preserve">Mazda</t>
        </is>
      </c>
      <c r="F621" s="0" t="inlineStr">
        <is>
          <t xml:space="preserve">Mazda</t>
        </is>
      </c>
      <c r="G621" s="0" t="s">
        <v>171</v>
      </c>
      <c r="H621" s="5">
        <v>23.627400</v>
      </c>
    </row>
    <row r="622" spans="1:9">
      <c r="A622" s="22" t="str">
        <f>HYPERLINK("https://app.vivvix.com/360/KMI/IntelliDrive/ApplUI/Pages/CreativePages/CustomReportCreativeDetail.aspx?App=23&amp;ReportView=4&amp;Qid=1711279&amp;Row=614&amp;Col=1","No Title Assigned - #15260617775")</f>
        <v/>
      </c>
      <c r="B622" s="0" t="s">
        <v>917</v>
      </c>
      <c r="C622" s="0" t="s">
        <v>918</v>
      </c>
      <c r="D622" s="0" t="s">
        <v>918</v>
      </c>
      <c r="E622" s="0" t="inlineStr">
        <is>
          <t xml:space="preserve">Mazda</t>
        </is>
      </c>
      <c r="F622" s="0" t="s">
        <v>13</v>
      </c>
      <c r="G622" s="0" t="s">
        <v>49</v>
      </c>
      <c r="H622" s="5">
        <v>844.193800</v>
      </c>
    </row>
    <row r="623" spans="1:9">
      <c r="A623" s="22" t="str">
        <f>HYPERLINK("https://app.vivvix.com/360/KMI/IntelliDrive/ApplUI/Pages/CreativePages/CustomReportCreativeDetail.aspx?App=23&amp;ReportView=4&amp;Qid=1711279&amp;Row=615&amp;Col=1","No Title Assigned - #15260712158")</f>
        <v/>
      </c>
      <c r="B623" s="0" t="s">
        <v>919</v>
      </c>
      <c r="C623" s="0" t="s">
        <v>920</v>
      </c>
      <c r="D623" s="0" t="s">
        <v>920</v>
      </c>
      <c r="E623" s="0" t="inlineStr">
        <is>
          <t xml:space="preserve">Mazda</t>
        </is>
      </c>
      <c r="F623" s="0" t="s">
        <v>13</v>
      </c>
      <c r="G623" s="0" t="s">
        <v>49</v>
      </c>
      <c r="H623" s="5">
        <v>41768.660500</v>
      </c>
    </row>
    <row r="624" spans="1:9">
      <c r="A624" s="22" t="str">
        <f>HYPERLINK("https://app.vivvix.com/360/KMI/IntelliDrive/ApplUI/Pages/CreativePages/CustomReportCreativeDetail.aspx?App=23&amp;ReportView=4&amp;Qid=1711279&amp;Row=616&amp;Col=1","No Title Assigned - #15260712158")</f>
        <v/>
      </c>
      <c r="B624" s="0" t="s">
        <v>919</v>
      </c>
      <c r="E624" s="0" t="inlineStr">
        <is>
          <t xml:space="preserve">Mazda</t>
        </is>
      </c>
      <c r="F624" s="0" t="s">
        <v>13</v>
      </c>
      <c r="G624" s="0" t="s">
        <v>49</v>
      </c>
      <c r="H624" s="5">
        <v>32062.228800</v>
      </c>
    </row>
    <row r="625" spans="1:9">
      <c r="A625" s="22" t="str">
        <f>HYPERLINK("https://app.vivvix.com/360/KMI/IntelliDrive/ApplUI/Pages/CreativePages/CustomReportCreativeDetail.aspx?App=23&amp;ReportView=4&amp;Qid=1711279&amp;Row=617&amp;Col=1","No Title Assigned - #15260716627")</f>
        <v/>
      </c>
      <c r="B625" s="0" t="s">
        <v>921</v>
      </c>
      <c r="C625" s="0" t="s">
        <v>922</v>
      </c>
      <c r="D625" s="0" t="s">
        <v>922</v>
      </c>
      <c r="E625" s="0" t="inlineStr">
        <is>
          <t xml:space="preserve">Mazda</t>
        </is>
      </c>
      <c r="F625" s="0" t="s">
        <v>28</v>
      </c>
      <c r="G625" s="0" t="s">
        <v>29</v>
      </c>
      <c r="H625" s="5">
        <v>4570.550500</v>
      </c>
    </row>
    <row r="626" spans="1:9">
      <c r="A626" s="22" t="str">
        <f>HYPERLINK("https://app.vivvix.com/360/KMI/IntelliDrive/ApplUI/Pages/CreativePages/CustomReportCreativeDetail.aspx?App=23&amp;ReportView=4&amp;Qid=1711279&amp;Row=618&amp;Col=1","No Title Assigned - #15260716627")</f>
        <v/>
      </c>
      <c r="B626" s="0" t="s">
        <v>921</v>
      </c>
      <c r="E626" s="0" t="inlineStr">
        <is>
          <t xml:space="preserve">Mazda</t>
        </is>
      </c>
      <c r="F626" s="0" t="s">
        <v>28</v>
      </c>
      <c r="G626" s="0" t="s">
        <v>29</v>
      </c>
      <c r="H626" s="5">
        <v>5897.534000</v>
      </c>
    </row>
    <row r="627" spans="1:9">
      <c r="A627" s="22" t="str">
        <f>HYPERLINK("https://app.vivvix.com/360/KMI/IntelliDrive/ApplUI/Pages/CreativePages/CustomReportCreativeDetail.aspx?App=23&amp;ReportView=4&amp;Qid=1711279&amp;Row=619&amp;Col=1","No Title Assigned - #15260725867")</f>
        <v/>
      </c>
      <c r="B627" s="0" t="s">
        <v>923</v>
      </c>
      <c r="C627" s="0" t="s">
        <v>924</v>
      </c>
      <c r="D627" s="0" t="s">
        <v>924</v>
      </c>
      <c r="E627" s="0" t="inlineStr">
        <is>
          <t xml:space="preserve">Mazda</t>
        </is>
      </c>
      <c r="F627" s="0" t="s">
        <v>28</v>
      </c>
      <c r="G627" s="0" t="s">
        <v>29</v>
      </c>
      <c r="H627" s="5">
        <v>9012.629100</v>
      </c>
    </row>
    <row r="628" spans="1:9">
      <c r="A628" s="22" t="str">
        <f>HYPERLINK("https://app.vivvix.com/360/KMI/IntelliDrive/ApplUI/Pages/CreativePages/CustomReportCreativeDetail.aspx?App=23&amp;ReportView=4&amp;Qid=1711279&amp;Row=620&amp;Col=1","No Title Assigned - #15260725867")</f>
        <v/>
      </c>
      <c r="B628" s="0" t="s">
        <v>923</v>
      </c>
      <c r="E628" s="0" t="inlineStr">
        <is>
          <t xml:space="preserve">Mazda</t>
        </is>
      </c>
      <c r="F628" s="0" t="s">
        <v>28</v>
      </c>
      <c r="G628" s="0" t="s">
        <v>29</v>
      </c>
      <c r="H628" s="5">
        <v>134181.300500</v>
      </c>
    </row>
    <row r="629" spans="1:9">
      <c r="A629" s="22" t="str">
        <f>HYPERLINK("https://app.vivvix.com/360/KMI/IntelliDrive/ApplUI/Pages/CreativePages/CustomReportCreativeDetail.aspx?App=23&amp;ReportView=4&amp;Qid=1711279&amp;Row=621&amp;Col=1","No Title Assigned - #15260851585")</f>
        <v/>
      </c>
      <c r="B629" s="0" t="s">
        <v>925</v>
      </c>
      <c r="C629" s="0" t="s">
        <v>926</v>
      </c>
      <c r="D629" s="0" t="s">
        <v>926</v>
      </c>
      <c r="E629" s="0" t="inlineStr">
        <is>
          <t xml:space="preserve">Mazda</t>
        </is>
      </c>
      <c r="F629" s="0" t="s">
        <v>28</v>
      </c>
      <c r="G629" s="0" t="s">
        <v>29</v>
      </c>
      <c r="H629" s="5">
        <v>1875.711100</v>
      </c>
    </row>
    <row r="630" spans="1:9">
      <c r="A630" s="22" t="str">
        <f>HYPERLINK("https://app.vivvix.com/360/KMI/IntelliDrive/ApplUI/Pages/CreativePages/CustomReportCreativeDetail.aspx?App=23&amp;ReportView=4&amp;Qid=1711279&amp;Row=622&amp;Col=1","No Title Assigned - #15260978229")</f>
        <v/>
      </c>
      <c r="B630" s="0" t="s">
        <v>927</v>
      </c>
      <c r="C630" s="0" t="s">
        <v>928</v>
      </c>
      <c r="D630" s="0" t="s">
        <v>928</v>
      </c>
      <c r="E630" s="0" t="inlineStr">
        <is>
          <t xml:space="preserve">Mazda</t>
        </is>
      </c>
      <c r="F630" s="0" t="s">
        <v>13</v>
      </c>
      <c r="G630" s="0" t="s">
        <v>49</v>
      </c>
      <c r="H630" s="5">
        <v>185.339800</v>
      </c>
    </row>
    <row r="631" spans="1:9">
      <c r="A631" s="22" t="str">
        <f>HYPERLINK("https://app.vivvix.com/360/KMI/IntelliDrive/ApplUI/Pages/CreativePages/CustomReportCreativeDetail.aspx?App=23&amp;ReportView=4&amp;Qid=1711279&amp;Row=623&amp;Col=1","No Title Assigned - #15260995526")</f>
        <v/>
      </c>
      <c r="B631" s="0" t="s">
        <v>929</v>
      </c>
      <c r="E631" s="0" t="inlineStr">
        <is>
          <t xml:space="preserve">Mazda</t>
        </is>
      </c>
      <c r="F631" s="0" t="s">
        <v>204</v>
      </c>
      <c r="G631" s="0" t="s">
        <v>205</v>
      </c>
      <c r="H631" s="5">
        <v>2671.200000</v>
      </c>
    </row>
    <row r="632" spans="1:9">
      <c r="A632" s="22" t="str">
        <f>HYPERLINK("https://app.vivvix.com/360/KMI/IntelliDrive/ApplUI/Pages/CreativePages/CustomReportCreativeDetail.aspx?App=23&amp;ReportView=4&amp;Qid=1711279&amp;Row=624&amp;Col=1","No Title Assigned - #15261014251")</f>
        <v/>
      </c>
      <c r="B632" s="0" t="s">
        <v>930</v>
      </c>
      <c r="E632" s="0" t="inlineStr">
        <is>
          <t xml:space="preserve">Mazda</t>
        </is>
      </c>
      <c r="F632" s="0" t="s">
        <v>28</v>
      </c>
      <c r="G632" s="0" t="s">
        <v>29</v>
      </c>
      <c r="H632" s="5">
        <v>583757.938600</v>
      </c>
    </row>
    <row r="633" spans="1:9">
      <c r="A633" s="22" t="str">
        <f>HYPERLINK("https://app.vivvix.com/360/KMI/IntelliDrive/ApplUI/Pages/CreativePages/CustomReportCreativeDetail.aspx?App=23&amp;ReportView=4&amp;Qid=1711279&amp;Row=625&amp;Col=1","No Title Assigned - #15261014251")</f>
        <v/>
      </c>
      <c r="B633" s="0" t="s">
        <v>930</v>
      </c>
      <c r="C633" s="0" t="s">
        <v>931</v>
      </c>
      <c r="D633" s="0" t="s">
        <v>931</v>
      </c>
      <c r="E633" s="0" t="inlineStr">
        <is>
          <t xml:space="preserve">Mazda</t>
        </is>
      </c>
      <c r="F633" s="0" t="s">
        <v>28</v>
      </c>
      <c r="G633" s="0" t="s">
        <v>29</v>
      </c>
      <c r="H633" s="5">
        <v>118038.014600</v>
      </c>
    </row>
    <row r="634" spans="1:9">
      <c r="A634" s="22" t="str">
        <f>HYPERLINK("https://app.vivvix.com/360/KMI/IntelliDrive/ApplUI/Pages/CreativePages/CustomReportCreativeDetail.aspx?App=23&amp;ReportView=4&amp;Qid=1711279&amp;Row=626&amp;Col=1","No Title Assigned - #15261015968")</f>
        <v/>
      </c>
      <c r="B634" s="0" t="s">
        <v>932</v>
      </c>
      <c r="C634" s="0" t="s">
        <v>933</v>
      </c>
      <c r="D634" s="0" t="s">
        <v>933</v>
      </c>
      <c r="E634" s="0" t="inlineStr">
        <is>
          <t xml:space="preserve">Mazda</t>
        </is>
      </c>
      <c r="F634" s="0" t="s">
        <v>28</v>
      </c>
      <c r="G634" s="0" t="s">
        <v>29</v>
      </c>
      <c r="H634" s="5">
        <v>2553.123600</v>
      </c>
    </row>
    <row r="635" spans="1:9">
      <c r="A635" s="22" t="str">
        <f>HYPERLINK("https://app.vivvix.com/360/KMI/IntelliDrive/ApplUI/Pages/CreativePages/CustomReportCreativeDetail.aspx?App=23&amp;ReportView=4&amp;Qid=1711279&amp;Row=627&amp;Col=1","No Title Assigned - #15261015968")</f>
        <v/>
      </c>
      <c r="B635" s="0" t="s">
        <v>932</v>
      </c>
      <c r="E635" s="0" t="inlineStr">
        <is>
          <t xml:space="preserve">Mazda</t>
        </is>
      </c>
      <c r="F635" s="0" t="s">
        <v>28</v>
      </c>
      <c r="G635" s="0" t="s">
        <v>29</v>
      </c>
      <c r="H635" s="5">
        <v>119.058400</v>
      </c>
    </row>
    <row r="636" spans="1:9">
      <c r="A636" s="22" t="str">
        <f>HYPERLINK("https://app.vivvix.com/360/KMI/IntelliDrive/ApplUI/Pages/CreativePages/CustomReportCreativeDetail.aspx?App=23&amp;ReportView=4&amp;Qid=1711279&amp;Row=628&amp;Col=1","No Title Assigned - #15261016174")</f>
        <v/>
      </c>
      <c r="B636" s="0" t="s">
        <v>934</v>
      </c>
      <c r="E636" s="0" t="inlineStr">
        <is>
          <t xml:space="preserve">Mazda</t>
        </is>
      </c>
      <c r="F636" s="0" t="s">
        <v>28</v>
      </c>
      <c r="G636" s="0" t="s">
        <v>29</v>
      </c>
      <c r="H636" s="5">
        <v>43034.088800</v>
      </c>
    </row>
    <row r="637" spans="1:9">
      <c r="A637" s="22" t="str">
        <f>HYPERLINK("https://app.vivvix.com/360/KMI/IntelliDrive/ApplUI/Pages/CreativePages/CustomReportCreativeDetail.aspx?App=23&amp;ReportView=4&amp;Qid=1711279&amp;Row=629&amp;Col=1","No Title Assigned - #15261016174")</f>
        <v/>
      </c>
      <c r="B637" s="0" t="s">
        <v>934</v>
      </c>
      <c r="C637" s="0" t="s">
        <v>935</v>
      </c>
      <c r="D637" s="0" t="s">
        <v>935</v>
      </c>
      <c r="E637" s="0" t="inlineStr">
        <is>
          <t xml:space="preserve">Mazda</t>
        </is>
      </c>
      <c r="F637" s="0" t="s">
        <v>28</v>
      </c>
      <c r="G637" s="0" t="s">
        <v>29</v>
      </c>
      <c r="H637" s="5">
        <v>96116.460300</v>
      </c>
    </row>
    <row r="638" spans="1:9">
      <c r="A638" s="22" t="str">
        <f>HYPERLINK("https://app.vivvix.com/360/KMI/IntelliDrive/ApplUI/Pages/CreativePages/CustomReportCreativeDetail.aspx?App=23&amp;ReportView=4&amp;Qid=1711279&amp;Row=630&amp;Col=1","No Title Assigned - #15261016809")</f>
        <v/>
      </c>
      <c r="B638" s="0" t="s">
        <v>936</v>
      </c>
      <c r="C638" s="0" t="s">
        <v>937</v>
      </c>
      <c r="D638" s="0" t="s">
        <v>937</v>
      </c>
      <c r="E638" s="0" t="inlineStr">
        <is>
          <t xml:space="preserve">Mazda</t>
        </is>
      </c>
      <c r="F638" s="0" t="s">
        <v>28</v>
      </c>
      <c r="G638" s="0" t="s">
        <v>29</v>
      </c>
      <c r="H638" s="5">
        <v>128.692200</v>
      </c>
    </row>
    <row r="639" spans="1:9">
      <c r="A639" s="22" t="str">
        <f>HYPERLINK("https://app.vivvix.com/360/KMI/IntelliDrive/ApplUI/Pages/CreativePages/CustomReportCreativeDetail.aspx?App=23&amp;ReportView=4&amp;Qid=1711279&amp;Row=631&amp;Col=1","No Title Assigned - #15261018686")</f>
        <v/>
      </c>
      <c r="B639" s="0" t="s">
        <v>938</v>
      </c>
      <c r="C639" s="0" t="s">
        <v>939</v>
      </c>
      <c r="D639" s="0" t="s">
        <v>939</v>
      </c>
      <c r="E639" s="0" t="inlineStr">
        <is>
          <t xml:space="preserve">Mazda</t>
        </is>
      </c>
      <c r="F639" s="0" t="s">
        <v>28</v>
      </c>
      <c r="G639" s="0" t="s">
        <v>29</v>
      </c>
      <c r="H639" s="5">
        <v>1207.490800</v>
      </c>
    </row>
    <row r="640" spans="1:9">
      <c r="A640" s="22" t="str">
        <f>HYPERLINK("https://app.vivvix.com/360/KMI/IntelliDrive/ApplUI/Pages/CreativePages/CustomReportCreativeDetail.aspx?App=23&amp;ReportView=4&amp;Qid=1711279&amp;Row=632&amp;Col=1","No Title Assigned - #15261019742")</f>
        <v/>
      </c>
      <c r="B640" s="0" t="s">
        <v>940</v>
      </c>
      <c r="C640" s="0" t="s">
        <v>941</v>
      </c>
      <c r="D640" s="0" t="s">
        <v>941</v>
      </c>
      <c r="E640" s="0" t="inlineStr">
        <is>
          <t xml:space="preserve">Mazda</t>
        </is>
      </c>
      <c r="F640" s="0" t="s">
        <v>28</v>
      </c>
      <c r="G640" s="0" t="s">
        <v>29</v>
      </c>
      <c r="H640" s="5">
        <v>157.472600</v>
      </c>
    </row>
    <row r="641" spans="1:9">
      <c r="A641" s="22" t="str">
        <f>HYPERLINK("https://app.vivvix.com/360/KMI/IntelliDrive/ApplUI/Pages/CreativePages/CustomReportCreativeDetail.aspx?App=23&amp;ReportView=4&amp;Qid=1711279&amp;Row=633&amp;Col=1","No Title Assigned - #15261020549")</f>
        <v/>
      </c>
      <c r="B641" s="0" t="s">
        <v>942</v>
      </c>
      <c r="C641" s="0" t="s">
        <v>943</v>
      </c>
      <c r="D641" s="0" t="s">
        <v>943</v>
      </c>
      <c r="E641" s="0" t="inlineStr">
        <is>
          <t xml:space="preserve">Mazda</t>
        </is>
      </c>
      <c r="F641" s="0" t="s">
        <v>28</v>
      </c>
      <c r="G641" s="0" t="s">
        <v>29</v>
      </c>
      <c r="H641" s="5">
        <v>14904.822300</v>
      </c>
    </row>
    <row r="642" spans="1:9">
      <c r="A642" s="22" t="str">
        <f>HYPERLINK("https://app.vivvix.com/360/KMI/IntelliDrive/ApplUI/Pages/CreativePages/CustomReportCreativeDetail.aspx?App=23&amp;ReportView=4&amp;Qid=1711279&amp;Row=634&amp;Col=1","No Title Assigned - #15261022326")</f>
        <v/>
      </c>
      <c r="B642" s="0" t="s">
        <v>944</v>
      </c>
      <c r="C642" s="0" t="s">
        <v>945</v>
      </c>
      <c r="D642" s="0" t="s">
        <v>945</v>
      </c>
      <c r="E642" s="0" t="inlineStr">
        <is>
          <t xml:space="preserve">Mazda</t>
        </is>
      </c>
      <c r="F642" s="0" t="s">
        <v>28</v>
      </c>
      <c r="G642" s="0" t="s">
        <v>29</v>
      </c>
      <c r="H642" s="5">
        <v>42.027400</v>
      </c>
    </row>
    <row r="643" spans="1:9">
      <c r="A643" s="22" t="str">
        <f>HYPERLINK("https://app.vivvix.com/360/KMI/IntelliDrive/ApplUI/Pages/CreativePages/CustomReportCreativeDetail.aspx?App=23&amp;ReportView=4&amp;Qid=1711279&amp;Row=635&amp;Col=1","No Title Assigned - #15261023352")</f>
        <v/>
      </c>
      <c r="B643" s="0" t="s">
        <v>946</v>
      </c>
      <c r="C643" s="0" t="s">
        <v>947</v>
      </c>
      <c r="D643" s="0" t="s">
        <v>947</v>
      </c>
      <c r="E643" s="0" t="inlineStr">
        <is>
          <t xml:space="preserve">Mazda</t>
        </is>
      </c>
      <c r="F643" s="0" t="s">
        <v>13</v>
      </c>
      <c r="G643" s="0" t="s">
        <v>49</v>
      </c>
      <c r="H643" s="5">
        <v>36722.954600</v>
      </c>
    </row>
    <row r="644" spans="1:9">
      <c r="A644" s="22" t="str">
        <f>HYPERLINK("https://app.vivvix.com/360/KMI/IntelliDrive/ApplUI/Pages/CreativePages/CustomReportCreativeDetail.aspx?App=23&amp;ReportView=4&amp;Qid=1711279&amp;Row=636&amp;Col=1","No Title Assigned - #15261023381")</f>
        <v/>
      </c>
      <c r="B644" s="0" t="s">
        <v>948</v>
      </c>
      <c r="C644" s="0" t="s">
        <v>949</v>
      </c>
      <c r="D644" s="0" t="s">
        <v>949</v>
      </c>
      <c r="E644" s="0" t="inlineStr">
        <is>
          <t xml:space="preserve">Mazda</t>
        </is>
      </c>
      <c r="F644" s="0" t="s">
        <v>28</v>
      </c>
      <c r="G644" s="0" t="s">
        <v>29</v>
      </c>
      <c r="H644" s="5">
        <v>9192.591400</v>
      </c>
    </row>
    <row r="645" spans="1:9">
      <c r="A645" s="22" t="str">
        <f>HYPERLINK("https://app.vivvix.com/360/KMI/IntelliDrive/ApplUI/Pages/CreativePages/CustomReportCreativeDetail.aspx?App=23&amp;ReportView=4&amp;Qid=1711279&amp;Row=637&amp;Col=1","No Title Assigned - #15261023381")</f>
        <v/>
      </c>
      <c r="B645" s="0" t="s">
        <v>948</v>
      </c>
      <c r="E645" s="0" t="inlineStr">
        <is>
          <t xml:space="preserve">Mazda</t>
        </is>
      </c>
      <c r="F645" s="0" t="s">
        <v>28</v>
      </c>
      <c r="G645" s="0" t="s">
        <v>29</v>
      </c>
      <c r="H645" s="5">
        <v>3562.362000</v>
      </c>
    </row>
    <row r="646" spans="1:9">
      <c r="A646" s="22" t="str">
        <f>HYPERLINK("https://app.vivvix.com/360/KMI/IntelliDrive/ApplUI/Pages/CreativePages/CustomReportCreativeDetail.aspx?App=23&amp;ReportView=4&amp;Qid=1711279&amp;Row=638&amp;Col=1","No Title Assigned - #15261026867")</f>
        <v/>
      </c>
      <c r="B646" s="0" t="s">
        <v>950</v>
      </c>
      <c r="C646" s="0" t="s">
        <v>951</v>
      </c>
      <c r="D646" s="0" t="s">
        <v>951</v>
      </c>
      <c r="E646" s="0" t="inlineStr">
        <is>
          <t xml:space="preserve">Mazda</t>
        </is>
      </c>
      <c r="F646" s="0" t="s">
        <v>28</v>
      </c>
      <c r="G646" s="0" t="s">
        <v>29</v>
      </c>
      <c r="H646" s="5">
        <v>76131.606900</v>
      </c>
    </row>
    <row r="647" spans="1:9">
      <c r="A647" s="22" t="str">
        <f>HYPERLINK("https://app.vivvix.com/360/KMI/IntelliDrive/ApplUI/Pages/CreativePages/CustomReportCreativeDetail.aspx?App=23&amp;ReportView=4&amp;Qid=1711279&amp;Row=639&amp;Col=1","No Title Assigned - #15261026867")</f>
        <v/>
      </c>
      <c r="B647" s="0" t="s">
        <v>950</v>
      </c>
      <c r="E647" s="0" t="inlineStr">
        <is>
          <t xml:space="preserve">Mazda</t>
        </is>
      </c>
      <c r="F647" s="0" t="s">
        <v>28</v>
      </c>
      <c r="G647" s="0" t="s">
        <v>29</v>
      </c>
      <c r="H647" s="5">
        <v>49879.854100</v>
      </c>
    </row>
    <row r="648" spans="1:9">
      <c r="A648" s="22" t="str">
        <f>HYPERLINK("https://app.vivvix.com/360/KMI/IntelliDrive/ApplUI/Pages/CreativePages/CustomReportCreativeDetail.aspx?App=23&amp;ReportView=4&amp;Qid=1711279&amp;Row=640&amp;Col=1","No Title Assigned - #15261047910")</f>
        <v/>
      </c>
      <c r="B648" s="0" t="s">
        <v>952</v>
      </c>
      <c r="C648" s="0" t="s">
        <v>953</v>
      </c>
      <c r="D648" s="0" t="s">
        <v>953</v>
      </c>
      <c r="E648" s="0" t="inlineStr">
        <is>
          <t xml:space="preserve">Mazda</t>
        </is>
      </c>
      <c r="F648" s="0" t="s">
        <v>28</v>
      </c>
      <c r="G648" s="0" t="s">
        <v>29</v>
      </c>
      <c r="H648" s="5">
        <v>55.743400</v>
      </c>
    </row>
    <row r="649" spans="1:9">
      <c r="A649" s="22" t="str">
        <f>HYPERLINK("https://app.vivvix.com/360/KMI/IntelliDrive/ApplUI/Pages/CreativePages/CustomReportCreativeDetail.aspx?App=23&amp;ReportView=4&amp;Qid=1711279&amp;Row=641&amp;Col=1","No Title Assigned - #15261061871")</f>
        <v/>
      </c>
      <c r="B649" s="0" t="s">
        <v>954</v>
      </c>
      <c r="C649" s="0" t="s">
        <v>955</v>
      </c>
      <c r="D649" s="0" t="s">
        <v>955</v>
      </c>
      <c r="E649" s="0" t="inlineStr">
        <is>
          <t xml:space="preserve">Mazda</t>
        </is>
      </c>
      <c r="F649" s="0" t="s">
        <v>56</v>
      </c>
      <c r="G649" s="0" t="s">
        <v>57</v>
      </c>
      <c r="H649" s="5">
        <v>533.140100</v>
      </c>
    </row>
    <row r="650" spans="1:9">
      <c r="A650" s="22" t="str">
        <f>HYPERLINK("https://app.vivvix.com/360/KMI/IntelliDrive/ApplUI/Pages/CreativePages/CustomReportCreativeDetail.aspx?App=23&amp;ReportView=4&amp;Qid=1711279&amp;Row=642&amp;Col=1","No Title Assigned - #15261072082")</f>
        <v/>
      </c>
      <c r="B650" s="0" t="s">
        <v>956</v>
      </c>
      <c r="C650" s="0" t="s">
        <v>957</v>
      </c>
      <c r="D650" s="0" t="s">
        <v>957</v>
      </c>
      <c r="E650" s="0" t="inlineStr">
        <is>
          <t xml:space="preserve">Mazda</t>
        </is>
      </c>
      <c r="F650" s="0" t="s">
        <v>21</v>
      </c>
      <c r="G650" s="0" t="s">
        <v>22</v>
      </c>
      <c r="H650" s="5">
        <v>6274.155500</v>
      </c>
    </row>
    <row r="651" spans="1:9">
      <c r="A651" s="22" t="str">
        <f>HYPERLINK("https://app.vivvix.com/360/KMI/IntelliDrive/ApplUI/Pages/CreativePages/CustomReportCreativeDetail.aspx?App=23&amp;ReportView=4&amp;Qid=1711279&amp;Row=643&amp;Col=1","No Title Assigned - #15261072918")</f>
        <v/>
      </c>
      <c r="B651" s="0" t="s">
        <v>958</v>
      </c>
      <c r="C651" s="0" t="s">
        <v>959</v>
      </c>
      <c r="D651" s="0" t="s">
        <v>959</v>
      </c>
      <c r="E651" s="0" t="inlineStr">
        <is>
          <t xml:space="preserve">Mazda</t>
        </is>
      </c>
      <c r="F651" s="0" t="s">
        <v>21</v>
      </c>
      <c r="G651" s="0" t="s">
        <v>22</v>
      </c>
      <c r="H651" s="5">
        <v>19835.382800</v>
      </c>
    </row>
    <row r="652" spans="1:9">
      <c r="A652" s="22" t="str">
        <f>HYPERLINK("https://app.vivvix.com/360/KMI/IntelliDrive/ApplUI/Pages/CreativePages/CustomReportCreativeDetail.aspx?App=23&amp;ReportView=4&amp;Qid=1711279&amp;Row=644&amp;Col=1","No Title Assigned - #15261072918")</f>
        <v/>
      </c>
      <c r="B652" s="0" t="s">
        <v>958</v>
      </c>
      <c r="E652" s="0" t="inlineStr">
        <is>
          <t xml:space="preserve">Mazda</t>
        </is>
      </c>
      <c r="F652" s="0" t="s">
        <v>21</v>
      </c>
      <c r="G652" s="0" t="s">
        <v>22</v>
      </c>
      <c r="H652" s="5">
        <v>206.682900</v>
      </c>
    </row>
    <row r="653" spans="1:9">
      <c r="A653" s="22" t="str">
        <f>HYPERLINK("https://app.vivvix.com/360/KMI/IntelliDrive/ApplUI/Pages/CreativePages/CustomReportCreativeDetail.aspx?App=23&amp;ReportView=4&amp;Qid=1711279&amp;Row=645&amp;Col=1","No Title Assigned - #15261079247")</f>
        <v/>
      </c>
      <c r="B653" s="0" t="s">
        <v>960</v>
      </c>
      <c r="C653" s="0" t="s">
        <v>961</v>
      </c>
      <c r="D653" s="0" t="s">
        <v>961</v>
      </c>
      <c r="E653" s="0" t="inlineStr">
        <is>
          <t xml:space="preserve">Mazda</t>
        </is>
      </c>
      <c r="F653" s="0" t="s">
        <v>56</v>
      </c>
      <c r="G653" s="0" t="s">
        <v>57</v>
      </c>
      <c r="H653" s="5">
        <v>93.769900</v>
      </c>
    </row>
    <row r="654" spans="1:9">
      <c r="A654" s="22" t="str">
        <f>HYPERLINK("https://app.vivvix.com/360/KMI/IntelliDrive/ApplUI/Pages/CreativePages/CustomReportCreativeDetail.aspx?App=23&amp;ReportView=4&amp;Qid=1711279&amp;Row=646&amp;Col=1","No Title Assigned - #15261079596")</f>
        <v/>
      </c>
      <c r="B654" s="0" t="s">
        <v>962</v>
      </c>
      <c r="C654" s="0" t="s">
        <v>963</v>
      </c>
      <c r="D654" s="0" t="s">
        <v>963</v>
      </c>
      <c r="E654" s="0" t="inlineStr">
        <is>
          <t xml:space="preserve">Mazda</t>
        </is>
      </c>
      <c r="F654" s="0" t="s">
        <v>13</v>
      </c>
      <c r="G654" s="0" t="s">
        <v>49</v>
      </c>
      <c r="H654" s="5">
        <v>291.126100</v>
      </c>
    </row>
    <row r="655" spans="1:9">
      <c r="A655" s="22" t="str">
        <f>HYPERLINK("https://app.vivvix.com/360/KMI/IntelliDrive/ApplUI/Pages/CreativePages/CustomReportCreativeDetail.aspx?App=23&amp;ReportView=4&amp;Qid=1711279&amp;Row=647&amp;Col=1","No Title Assigned - #15261079797")</f>
        <v/>
      </c>
      <c r="B655" s="0" t="s">
        <v>964</v>
      </c>
      <c r="C655" s="0" t="s">
        <v>965</v>
      </c>
      <c r="D655" s="0" t="s">
        <v>965</v>
      </c>
      <c r="E655" s="0" t="inlineStr">
        <is>
          <t xml:space="preserve">Mazda</t>
        </is>
      </c>
      <c r="F655" s="0" t="s">
        <v>21</v>
      </c>
      <c r="G655" s="0" t="s">
        <v>22</v>
      </c>
      <c r="H655" s="5">
        <v>44.061000</v>
      </c>
    </row>
    <row r="656" spans="1:9">
      <c r="A656" s="22" t="str">
        <f>HYPERLINK("https://app.vivvix.com/360/KMI/IntelliDrive/ApplUI/Pages/CreativePages/CustomReportCreativeDetail.aspx?App=23&amp;ReportView=4&amp;Qid=1711279&amp;Row=648&amp;Col=1","No Title Assigned - #15261080310")</f>
        <v/>
      </c>
      <c r="B656" s="0" t="s">
        <v>966</v>
      </c>
      <c r="C656" s="0" t="s">
        <v>967</v>
      </c>
      <c r="D656" s="0" t="s">
        <v>967</v>
      </c>
      <c r="E656" s="0" t="inlineStr">
        <is>
          <t xml:space="preserve">Mazda</t>
        </is>
      </c>
      <c r="F656" s="0" t="s">
        <v>21</v>
      </c>
      <c r="G656" s="0" t="s">
        <v>22</v>
      </c>
      <c r="H656" s="5">
        <v>17289.116600</v>
      </c>
    </row>
    <row r="657" spans="1:9">
      <c r="A657" s="22" t="str">
        <f>HYPERLINK("https://app.vivvix.com/360/KMI/IntelliDrive/ApplUI/Pages/CreativePages/CustomReportCreativeDetail.aspx?App=23&amp;ReportView=4&amp;Qid=1711279&amp;Row=649&amp;Col=1","No Title Assigned - #15261080310")</f>
        <v/>
      </c>
      <c r="B657" s="0" t="s">
        <v>966</v>
      </c>
      <c r="E657" s="0" t="inlineStr">
        <is>
          <t xml:space="preserve">Mazda</t>
        </is>
      </c>
      <c r="F657" s="0" t="s">
        <v>21</v>
      </c>
      <c r="G657" s="0" t="s">
        <v>22</v>
      </c>
      <c r="H657" s="5">
        <v>10105.282200</v>
      </c>
    </row>
    <row r="658" spans="1:9">
      <c r="A658" s="22" t="str">
        <f>HYPERLINK("https://app.vivvix.com/360/KMI/IntelliDrive/ApplUI/Pages/CreativePages/CustomReportCreativeDetail.aspx?App=23&amp;ReportView=4&amp;Qid=1711279&amp;Row=650&amp;Col=1","No Title Assigned - #15261080724")</f>
        <v/>
      </c>
      <c r="B658" s="0" t="s">
        <v>968</v>
      </c>
      <c r="C658" s="0" t="s">
        <v>969</v>
      </c>
      <c r="D658" s="0" t="s">
        <v>969</v>
      </c>
      <c r="E658" s="0" t="inlineStr">
        <is>
          <t xml:space="preserve">Mazda</t>
        </is>
      </c>
      <c r="F658" s="0" t="s">
        <v>21</v>
      </c>
      <c r="G658" s="0" t="s">
        <v>22</v>
      </c>
      <c r="H658" s="5">
        <v>40724.720400</v>
      </c>
    </row>
    <row r="659" spans="1:9">
      <c r="A659" s="22" t="str">
        <f>HYPERLINK("https://app.vivvix.com/360/KMI/IntelliDrive/ApplUI/Pages/CreativePages/CustomReportCreativeDetail.aspx?App=23&amp;ReportView=4&amp;Qid=1711279&amp;Row=651&amp;Col=1","No Title Assigned - #15261080724")</f>
        <v/>
      </c>
      <c r="B659" s="0" t="s">
        <v>968</v>
      </c>
      <c r="E659" s="0" t="inlineStr">
        <is>
          <t xml:space="preserve">Mazda</t>
        </is>
      </c>
      <c r="F659" s="0" t="s">
        <v>21</v>
      </c>
      <c r="G659" s="0" t="s">
        <v>22</v>
      </c>
      <c r="H659" s="5">
        <v>206.682900</v>
      </c>
    </row>
    <row r="660" spans="1:9">
      <c r="A660" s="22" t="str">
        <f>HYPERLINK("https://app.vivvix.com/360/KMI/IntelliDrive/ApplUI/Pages/CreativePages/CustomReportCreativeDetail.aspx?App=23&amp;ReportView=4&amp;Qid=1711279&amp;Row=652&amp;Col=1","No Title Assigned - #15261080801")</f>
        <v/>
      </c>
      <c r="B660" s="0" t="s">
        <v>970</v>
      </c>
      <c r="C660" s="0" t="s">
        <v>971</v>
      </c>
      <c r="D660" s="0" t="s">
        <v>971</v>
      </c>
      <c r="E660" s="0" t="inlineStr">
        <is>
          <t xml:space="preserve">Mazda</t>
        </is>
      </c>
      <c r="F660" s="0" t="s">
        <v>21</v>
      </c>
      <c r="G660" s="0" t="s">
        <v>22</v>
      </c>
      <c r="H660" s="5">
        <v>12894.572000</v>
      </c>
    </row>
    <row r="661" spans="1:9">
      <c r="A661" s="22" t="str">
        <f>HYPERLINK("https://app.vivvix.com/360/KMI/IntelliDrive/ApplUI/Pages/CreativePages/CustomReportCreativeDetail.aspx?App=23&amp;ReportView=4&amp;Qid=1711279&amp;Row=653&amp;Col=1","No Title Assigned - #15261080801")</f>
        <v/>
      </c>
      <c r="B661" s="0" t="s">
        <v>970</v>
      </c>
      <c r="E661" s="0" t="inlineStr">
        <is>
          <t xml:space="preserve">Mazda</t>
        </is>
      </c>
      <c r="F661" s="0" t="s">
        <v>21</v>
      </c>
      <c r="G661" s="0" t="s">
        <v>22</v>
      </c>
      <c r="H661" s="5">
        <v>1779.991500</v>
      </c>
    </row>
    <row r="662" spans="1:9">
      <c r="A662" s="22" t="str">
        <f>HYPERLINK("https://app.vivvix.com/360/KMI/IntelliDrive/ApplUI/Pages/CreativePages/CustomReportCreativeDetail.aspx?App=23&amp;ReportView=4&amp;Qid=1711279&amp;Row=654&amp;Col=1","No Title Assigned - #15261081304")</f>
        <v/>
      </c>
      <c r="B662" s="0" t="s">
        <v>972</v>
      </c>
      <c r="C662" s="0" t="s">
        <v>973</v>
      </c>
      <c r="D662" s="0" t="s">
        <v>973</v>
      </c>
      <c r="E662" s="0" t="inlineStr">
        <is>
          <t xml:space="preserve">Mazda</t>
        </is>
      </c>
      <c r="F662" s="0" t="s">
        <v>21</v>
      </c>
      <c r="G662" s="0" t="s">
        <v>22</v>
      </c>
      <c r="H662" s="5">
        <v>2827.644900</v>
      </c>
    </row>
    <row r="663" spans="1:9">
      <c r="A663" s="22" t="str">
        <f>HYPERLINK("https://app.vivvix.com/360/KMI/IntelliDrive/ApplUI/Pages/CreativePages/CustomReportCreativeDetail.aspx?App=23&amp;ReportView=4&amp;Qid=1711279&amp;Row=655&amp;Col=1","No Title Assigned - #15261082507")</f>
        <v/>
      </c>
      <c r="B663" s="0" t="s">
        <v>974</v>
      </c>
      <c r="C663" s="0" t="s">
        <v>975</v>
      </c>
      <c r="D663" s="0" t="s">
        <v>975</v>
      </c>
      <c r="E663" s="0" t="inlineStr">
        <is>
          <t xml:space="preserve">Mazda</t>
        </is>
      </c>
      <c r="F663" s="0" t="s">
        <v>21</v>
      </c>
      <c r="G663" s="0" t="s">
        <v>22</v>
      </c>
      <c r="H663" s="5">
        <v>324659.544900</v>
      </c>
    </row>
    <row r="664" spans="1:9">
      <c r="A664" s="22" t="str">
        <f>HYPERLINK("https://app.vivvix.com/360/KMI/IntelliDrive/ApplUI/Pages/CreativePages/CustomReportCreativeDetail.aspx?App=23&amp;ReportView=4&amp;Qid=1711279&amp;Row=656&amp;Col=1","No Title Assigned - #15261084379")</f>
        <v/>
      </c>
      <c r="B664" s="0" t="s">
        <v>976</v>
      </c>
      <c r="C664" s="0" t="s">
        <v>977</v>
      </c>
      <c r="D664" s="0" t="s">
        <v>977</v>
      </c>
      <c r="E664" s="0" t="inlineStr">
        <is>
          <t xml:space="preserve">Mazda</t>
        </is>
      </c>
      <c r="F664" s="0" t="s">
        <v>21</v>
      </c>
      <c r="G664" s="0" t="s">
        <v>22</v>
      </c>
      <c r="H664" s="5">
        <v>13009.521200</v>
      </c>
    </row>
    <row r="665" spans="1:9">
      <c r="A665" s="22" t="str">
        <f>HYPERLINK("https://app.vivvix.com/360/KMI/IntelliDrive/ApplUI/Pages/CreativePages/CustomReportCreativeDetail.aspx?App=23&amp;ReportView=4&amp;Qid=1711279&amp;Row=657&amp;Col=1","No Title Assigned - #15261084379")</f>
        <v/>
      </c>
      <c r="B665" s="0" t="s">
        <v>976</v>
      </c>
      <c r="E665" s="0" t="inlineStr">
        <is>
          <t xml:space="preserve">Mazda</t>
        </is>
      </c>
      <c r="F665" s="0" t="s">
        <v>21</v>
      </c>
      <c r="G665" s="0" t="s">
        <v>22</v>
      </c>
      <c r="H665" s="5">
        <v>1543.251700</v>
      </c>
    </row>
    <row r="666" spans="1:9">
      <c r="A666" s="22" t="str">
        <f>HYPERLINK("https://app.vivvix.com/360/KMI/IntelliDrive/ApplUI/Pages/CreativePages/CustomReportCreativeDetail.aspx?App=23&amp;ReportView=4&amp;Qid=1711279&amp;Row=658&amp;Col=1","No Title Assigned - #15261084892")</f>
        <v/>
      </c>
      <c r="B666" s="0" t="s">
        <v>978</v>
      </c>
      <c r="C666" s="0" t="s">
        <v>979</v>
      </c>
      <c r="D666" s="0" t="s">
        <v>979</v>
      </c>
      <c r="E666" s="0" t="inlineStr">
        <is>
          <t xml:space="preserve">Mazda</t>
        </is>
      </c>
      <c r="F666" s="0" t="s">
        <v>21</v>
      </c>
      <c r="G666" s="0" t="s">
        <v>22</v>
      </c>
      <c r="H666" s="5">
        <v>29963.254400</v>
      </c>
    </row>
    <row r="667" spans="1:9">
      <c r="A667" s="22" t="str">
        <f>HYPERLINK("https://app.vivvix.com/360/KMI/IntelliDrive/ApplUI/Pages/CreativePages/CustomReportCreativeDetail.aspx?App=23&amp;ReportView=4&amp;Qid=1711279&amp;Row=659&amp;Col=1","No Title Assigned - #15261085205")</f>
        <v/>
      </c>
      <c r="B667" s="0" t="s">
        <v>980</v>
      </c>
      <c r="C667" s="0" t="s">
        <v>981</v>
      </c>
      <c r="D667" s="0" t="s">
        <v>981</v>
      </c>
      <c r="E667" s="0" t="inlineStr">
        <is>
          <t xml:space="preserve">Mazda</t>
        </is>
      </c>
      <c r="F667" s="0" t="s">
        <v>21</v>
      </c>
      <c r="G667" s="0" t="s">
        <v>22</v>
      </c>
      <c r="H667" s="5">
        <v>1575.857900</v>
      </c>
    </row>
    <row r="668" spans="1:9">
      <c r="A668" s="22" t="str">
        <f>HYPERLINK("https://app.vivvix.com/360/KMI/IntelliDrive/ApplUI/Pages/CreativePages/CustomReportCreativeDetail.aspx?App=23&amp;ReportView=4&amp;Qid=1711279&amp;Row=660&amp;Col=1","No Title Assigned - #15261087158")</f>
        <v/>
      </c>
      <c r="B668" s="0" t="s">
        <v>982</v>
      </c>
      <c r="C668" s="0" t="s">
        <v>983</v>
      </c>
      <c r="D668" s="0" t="s">
        <v>983</v>
      </c>
      <c r="E668" s="0" t="inlineStr">
        <is>
          <t xml:space="preserve">Mazda</t>
        </is>
      </c>
      <c r="F668" s="0" t="s">
        <v>21</v>
      </c>
      <c r="G668" s="0" t="s">
        <v>22</v>
      </c>
      <c r="H668" s="5">
        <v>10999.822900</v>
      </c>
    </row>
    <row r="669" spans="1:9">
      <c r="A669" s="22" t="str">
        <f>HYPERLINK("https://app.vivvix.com/360/KMI/IntelliDrive/ApplUI/Pages/CreativePages/CustomReportCreativeDetail.aspx?App=23&amp;ReportView=4&amp;Qid=1711279&amp;Row=661&amp;Col=1","No Title Assigned - #15261089151")</f>
        <v/>
      </c>
      <c r="B669" s="0" t="s">
        <v>984</v>
      </c>
      <c r="C669" s="0" t="s">
        <v>985</v>
      </c>
      <c r="D669" s="0" t="s">
        <v>985</v>
      </c>
      <c r="E669" s="0" t="inlineStr">
        <is>
          <t xml:space="preserve">Mazda</t>
        </is>
      </c>
      <c r="F669" s="0" t="s">
        <v>28</v>
      </c>
      <c r="G669" s="0" t="s">
        <v>29</v>
      </c>
      <c r="H669" s="5">
        <v>7.996000</v>
      </c>
    </row>
    <row r="670" spans="1:9">
      <c r="A670" s="22" t="str">
        <f>HYPERLINK("https://app.vivvix.com/360/KMI/IntelliDrive/ApplUI/Pages/CreativePages/CustomReportCreativeDetail.aspx?App=23&amp;ReportView=4&amp;Qid=1711279&amp;Row=662&amp;Col=1","No Title Assigned - #15261108394")</f>
        <v/>
      </c>
      <c r="B670" s="0" t="s">
        <v>986</v>
      </c>
      <c r="C670" s="0" t="s">
        <v>987</v>
      </c>
      <c r="D670" s="0" t="s">
        <v>987</v>
      </c>
      <c r="E670" s="0" t="inlineStr">
        <is>
          <t xml:space="preserve">Mazda</t>
        </is>
      </c>
      <c r="F670" s="0" t="s">
        <v>21</v>
      </c>
      <c r="G670" s="0" t="s">
        <v>22</v>
      </c>
      <c r="H670" s="5">
        <v>9654.964000</v>
      </c>
    </row>
    <row r="671" spans="1:9">
      <c r="A671" s="22" t="str">
        <f>HYPERLINK("https://app.vivvix.com/360/KMI/IntelliDrive/ApplUI/Pages/CreativePages/CustomReportCreativeDetail.aspx?App=23&amp;ReportView=4&amp;Qid=1711279&amp;Row=663&amp;Col=1","No Title Assigned - #15261112927")</f>
        <v/>
      </c>
      <c r="B671" s="0" t="s">
        <v>988</v>
      </c>
      <c r="C671" s="0" t="s">
        <v>989</v>
      </c>
      <c r="D671" s="0" t="s">
        <v>989</v>
      </c>
      <c r="E671" s="0" t="inlineStr">
        <is>
          <t xml:space="preserve">Mazda</t>
        </is>
      </c>
      <c r="F671" s="0" t="s">
        <v>21</v>
      </c>
      <c r="G671" s="0" t="s">
        <v>22</v>
      </c>
      <c r="H671" s="5">
        <v>14556.062100</v>
      </c>
    </row>
    <row r="672" spans="1:9">
      <c r="A672" s="22" t="str">
        <f>HYPERLINK("https://app.vivvix.com/360/KMI/IntelliDrive/ApplUI/Pages/CreativePages/CustomReportCreativeDetail.aspx?App=23&amp;ReportView=4&amp;Qid=1711279&amp;Row=664&amp;Col=1","No Title Assigned - #15261112927")</f>
        <v/>
      </c>
      <c r="B672" s="0" t="s">
        <v>988</v>
      </c>
      <c r="E672" s="0" t="inlineStr">
        <is>
          <t xml:space="preserve">Mazda</t>
        </is>
      </c>
      <c r="F672" s="0" t="s">
        <v>21</v>
      </c>
      <c r="G672" s="0" t="s">
        <v>22</v>
      </c>
      <c r="H672" s="5">
        <v>11953.210700</v>
      </c>
    </row>
    <row r="673" spans="1:9">
      <c r="A673" s="22" t="str">
        <f>HYPERLINK("https://app.vivvix.com/360/KMI/IntelliDrive/ApplUI/Pages/CreativePages/CustomReportCreativeDetail.aspx?App=23&amp;ReportView=4&amp;Qid=1711279&amp;Row=665&amp;Col=1","No Title Assigned - #15261115721")</f>
        <v/>
      </c>
      <c r="B673" s="0" t="s">
        <v>990</v>
      </c>
      <c r="C673" s="0" t="s">
        <v>991</v>
      </c>
      <c r="D673" s="0" t="s">
        <v>991</v>
      </c>
      <c r="E673" s="0" t="inlineStr">
        <is>
          <t xml:space="preserve">Mazda</t>
        </is>
      </c>
      <c r="F673" s="0" t="s">
        <v>21</v>
      </c>
      <c r="G673" s="0" t="s">
        <v>22</v>
      </c>
      <c r="H673" s="5">
        <v>8468.598100</v>
      </c>
    </row>
    <row r="674" spans="1:9">
      <c r="A674" s="22" t="str">
        <f>HYPERLINK("https://app.vivvix.com/360/KMI/IntelliDrive/ApplUI/Pages/CreativePages/CustomReportCreativeDetail.aspx?App=23&amp;ReportView=4&amp;Qid=1711279&amp;Row=666&amp;Col=1","No Title Assigned - #15261115721")</f>
        <v/>
      </c>
      <c r="B674" s="0" t="s">
        <v>990</v>
      </c>
      <c r="E674" s="0" t="inlineStr">
        <is>
          <t xml:space="preserve">Mazda</t>
        </is>
      </c>
      <c r="F674" s="0" t="s">
        <v>21</v>
      </c>
      <c r="G674" s="0" t="s">
        <v>22</v>
      </c>
      <c r="H674" s="5">
        <v>104759.367200</v>
      </c>
    </row>
    <row r="675" spans="1:9">
      <c r="A675" s="22" t="str">
        <f>HYPERLINK("https://app.vivvix.com/360/KMI/IntelliDrive/ApplUI/Pages/CreativePages/CustomReportCreativeDetail.aspx?App=23&amp;ReportView=4&amp;Qid=1711279&amp;Row=667&amp;Col=1","No Title Assigned - #15261118695")</f>
        <v/>
      </c>
      <c r="B675" s="0" t="s">
        <v>992</v>
      </c>
      <c r="C675" s="0" t="s">
        <v>993</v>
      </c>
      <c r="D675" s="0" t="s">
        <v>993</v>
      </c>
      <c r="E675" s="0" t="inlineStr">
        <is>
          <t xml:space="preserve">Mazda</t>
        </is>
      </c>
      <c r="F675" s="0" t="s">
        <v>21</v>
      </c>
      <c r="G675" s="0" t="s">
        <v>22</v>
      </c>
      <c r="H675" s="5">
        <v>2523.655600</v>
      </c>
    </row>
    <row r="676" spans="1:9">
      <c r="A676" s="22" t="str">
        <f>HYPERLINK("https://app.vivvix.com/360/KMI/IntelliDrive/ApplUI/Pages/CreativePages/CustomReportCreativeDetail.aspx?App=23&amp;ReportView=4&amp;Qid=1711279&amp;Row=668&amp;Col=1","No Title Assigned - #15261118818")</f>
        <v/>
      </c>
      <c r="B676" s="0" t="s">
        <v>994</v>
      </c>
      <c r="E676" s="0" t="inlineStr">
        <is>
          <t xml:space="preserve">Mazda</t>
        </is>
      </c>
      <c r="F676" s="0" t="s">
        <v>21</v>
      </c>
      <c r="G676" s="0" t="s">
        <v>22</v>
      </c>
      <c r="H676" s="5">
        <v>820.324400</v>
      </c>
    </row>
    <row r="677" spans="1:9">
      <c r="A677" s="22" t="str">
        <f>HYPERLINK("https://app.vivvix.com/360/KMI/IntelliDrive/ApplUI/Pages/CreativePages/CustomReportCreativeDetail.aspx?App=23&amp;ReportView=4&amp;Qid=1711279&amp;Row=669&amp;Col=1","No Title Assigned - #15261118818")</f>
        <v/>
      </c>
      <c r="B677" s="0" t="s">
        <v>994</v>
      </c>
      <c r="C677" s="0" t="s">
        <v>995</v>
      </c>
      <c r="D677" s="0" t="s">
        <v>995</v>
      </c>
      <c r="E677" s="0" t="inlineStr">
        <is>
          <t xml:space="preserve">Mazda</t>
        </is>
      </c>
      <c r="F677" s="0" t="s">
        <v>21</v>
      </c>
      <c r="G677" s="0" t="s">
        <v>22</v>
      </c>
      <c r="H677" s="5">
        <v>3980.264100</v>
      </c>
    </row>
    <row r="678" spans="1:9">
      <c r="A678" s="22" t="str">
        <f>HYPERLINK("https://app.vivvix.com/360/KMI/IntelliDrive/ApplUI/Pages/CreativePages/CustomReportCreativeDetail.aspx?App=23&amp;ReportView=4&amp;Qid=1711279&amp;Row=670&amp;Col=1","No Title Assigned - #15261120402")</f>
        <v/>
      </c>
      <c r="B678" s="0" t="s">
        <v>996</v>
      </c>
      <c r="C678" s="0" t="s">
        <v>997</v>
      </c>
      <c r="D678" s="0" t="s">
        <v>997</v>
      </c>
      <c r="E678" s="0" t="inlineStr">
        <is>
          <t xml:space="preserve">Mazda</t>
        </is>
      </c>
      <c r="F678" s="0" t="s">
        <v>21</v>
      </c>
      <c r="G678" s="0" t="s">
        <v>22</v>
      </c>
      <c r="H678" s="5">
        <v>309.816900</v>
      </c>
    </row>
    <row r="679" spans="1:9">
      <c r="A679" s="22" t="str">
        <f>HYPERLINK("https://app.vivvix.com/360/KMI/IntelliDrive/ApplUI/Pages/CreativePages/CustomReportCreativeDetail.aspx?App=23&amp;ReportView=4&amp;Qid=1711279&amp;Row=671&amp;Col=1","No Title Assigned - #15261121710")</f>
        <v/>
      </c>
      <c r="B679" s="0" t="s">
        <v>998</v>
      </c>
      <c r="C679" s="0" t="s">
        <v>999</v>
      </c>
      <c r="D679" s="0" t="s">
        <v>999</v>
      </c>
      <c r="E679" s="0" t="inlineStr">
        <is>
          <t xml:space="preserve">Mazda</t>
        </is>
      </c>
      <c r="F679" s="0" t="s">
        <v>21</v>
      </c>
      <c r="G679" s="0" t="s">
        <v>22</v>
      </c>
      <c r="H679" s="5">
        <v>3447.517900</v>
      </c>
    </row>
    <row r="680" spans="1:9">
      <c r="A680" s="22" t="str">
        <f>HYPERLINK("https://app.vivvix.com/360/KMI/IntelliDrive/ApplUI/Pages/CreativePages/CustomReportCreativeDetail.aspx?App=23&amp;ReportView=4&amp;Qid=1711279&amp;Row=672&amp;Col=1","No Title Assigned - #15261122143")</f>
        <v/>
      </c>
      <c r="B680" s="0" t="s">
        <v>1000</v>
      </c>
      <c r="C680" s="0" t="s">
        <v>1001</v>
      </c>
      <c r="D680" s="0" t="s">
        <v>1001</v>
      </c>
      <c r="E680" s="0" t="inlineStr">
        <is>
          <t xml:space="preserve">Mazda</t>
        </is>
      </c>
      <c r="F680" s="0" t="s">
        <v>21</v>
      </c>
      <c r="G680" s="0" t="s">
        <v>22</v>
      </c>
      <c r="H680" s="5">
        <v>2239.501400</v>
      </c>
    </row>
    <row r="681" spans="1:9">
      <c r="A681" s="22" t="str">
        <f>HYPERLINK("https://app.vivvix.com/360/KMI/IntelliDrive/ApplUI/Pages/CreativePages/CustomReportCreativeDetail.aspx?App=23&amp;ReportView=4&amp;Qid=1711279&amp;Row=673&amp;Col=1","No Title Assigned - #15261122415")</f>
        <v/>
      </c>
      <c r="B681" s="0" t="s">
        <v>1002</v>
      </c>
      <c r="C681" s="0" t="s">
        <v>1003</v>
      </c>
      <c r="D681" s="0" t="s">
        <v>1003</v>
      </c>
      <c r="E681" s="0" t="inlineStr">
        <is>
          <t xml:space="preserve">Mazda</t>
        </is>
      </c>
      <c r="F681" s="0" t="s">
        <v>21</v>
      </c>
      <c r="G681" s="0" t="s">
        <v>22</v>
      </c>
      <c r="H681" s="5">
        <v>75.688500</v>
      </c>
    </row>
    <row r="682" spans="1:9">
      <c r="A682" s="22" t="str">
        <f>HYPERLINK("https://app.vivvix.com/360/KMI/IntelliDrive/ApplUI/Pages/CreativePages/CustomReportCreativeDetail.aspx?App=23&amp;ReportView=4&amp;Qid=1711279&amp;Row=674&amp;Col=1","No Title Assigned - #15261123338")</f>
        <v/>
      </c>
      <c r="B682" s="0" t="s">
        <v>1004</v>
      </c>
      <c r="E682" s="0" t="inlineStr">
        <is>
          <t xml:space="preserve">Mazda</t>
        </is>
      </c>
      <c r="F682" s="0" t="s">
        <v>21</v>
      </c>
      <c r="G682" s="0" t="s">
        <v>22</v>
      </c>
      <c r="H682" s="5">
        <v>893.834200</v>
      </c>
    </row>
    <row r="683" spans="1:9">
      <c r="A683" s="22" t="str">
        <f>HYPERLINK("https://app.vivvix.com/360/KMI/IntelliDrive/ApplUI/Pages/CreativePages/CustomReportCreativeDetail.aspx?App=23&amp;ReportView=4&amp;Qid=1711279&amp;Row=675&amp;Col=1","No Title Assigned - #15261127814")</f>
        <v/>
      </c>
      <c r="B683" s="0" t="s">
        <v>1005</v>
      </c>
      <c r="C683" s="0" t="s">
        <v>1006</v>
      </c>
      <c r="D683" s="0" t="s">
        <v>1006</v>
      </c>
      <c r="E683" s="0" t="inlineStr">
        <is>
          <t xml:space="preserve">Mazda</t>
        </is>
      </c>
      <c r="F683" s="0" t="s">
        <v>21</v>
      </c>
      <c r="G683" s="0" t="s">
        <v>22</v>
      </c>
      <c r="H683" s="5">
        <v>1751.352000</v>
      </c>
    </row>
    <row r="684" spans="1:9">
      <c r="A684" s="22" t="str">
        <f>HYPERLINK("https://app.vivvix.com/360/KMI/IntelliDrive/ApplUI/Pages/CreativePages/CustomReportCreativeDetail.aspx?App=23&amp;ReportView=4&amp;Qid=1711279&amp;Row=676&amp;Col=1","No Title Assigned - #15261130266")</f>
        <v/>
      </c>
      <c r="B684" s="0" t="s">
        <v>1007</v>
      </c>
      <c r="C684" s="0" t="s">
        <v>1008</v>
      </c>
      <c r="D684" s="0" t="s">
        <v>1008</v>
      </c>
      <c r="E684" s="0" t="inlineStr">
        <is>
          <t xml:space="preserve">Mazda</t>
        </is>
      </c>
      <c r="F684" s="0" t="s">
        <v>13</v>
      </c>
      <c r="G684" s="0" t="s">
        <v>49</v>
      </c>
      <c r="H684" s="5">
        <v>893.345400</v>
      </c>
    </row>
    <row r="685" spans="1:9">
      <c r="A685" s="22" t="str">
        <f>HYPERLINK("https://app.vivvix.com/360/KMI/IntelliDrive/ApplUI/Pages/CreativePages/CustomReportCreativeDetail.aspx?App=23&amp;ReportView=4&amp;Qid=1711279&amp;Row=677&amp;Col=1","No Title Assigned - #15261137872")</f>
        <v/>
      </c>
      <c r="B685" s="0" t="s">
        <v>1009</v>
      </c>
      <c r="C685" s="0" t="s">
        <v>1010</v>
      </c>
      <c r="D685" s="0" t="s">
        <v>1010</v>
      </c>
      <c r="E685" s="0" t="inlineStr">
        <is>
          <t xml:space="preserve">Mazda</t>
        </is>
      </c>
      <c r="F685" s="0" t="s">
        <v>21</v>
      </c>
      <c r="G685" s="0" t="s">
        <v>22</v>
      </c>
      <c r="H685" s="5">
        <v>412.529400</v>
      </c>
    </row>
    <row r="686" spans="1:9">
      <c r="A686" s="22" t="str">
        <f>HYPERLINK("https://app.vivvix.com/360/KMI/IntelliDrive/ApplUI/Pages/CreativePages/CustomReportCreativeDetail.aspx?App=23&amp;ReportView=4&amp;Qid=1711279&amp;Row=678&amp;Col=1","No Title Assigned - #15261140513")</f>
        <v/>
      </c>
      <c r="B686" s="0" t="s">
        <v>1011</v>
      </c>
      <c r="C686" s="0" t="s">
        <v>1012</v>
      </c>
      <c r="D686" s="0" t="s">
        <v>1012</v>
      </c>
      <c r="E686" s="0" t="inlineStr">
        <is>
          <t xml:space="preserve">Mazda</t>
        </is>
      </c>
      <c r="F686" s="0" t="s">
        <v>21</v>
      </c>
      <c r="G686" s="0" t="s">
        <v>22</v>
      </c>
      <c r="H686" s="5">
        <v>1875.711100</v>
      </c>
    </row>
    <row r="687" spans="1:9">
      <c r="A687" s="22" t="str">
        <f>HYPERLINK("https://app.vivvix.com/360/KMI/IntelliDrive/ApplUI/Pages/CreativePages/CustomReportCreativeDetail.aspx?App=23&amp;ReportView=4&amp;Qid=1711279&amp;Row=679&amp;Col=1","No Title Assigned - #15261144531")</f>
        <v/>
      </c>
      <c r="B687" s="0" t="s">
        <v>1013</v>
      </c>
      <c r="C687" s="0" t="s">
        <v>1014</v>
      </c>
      <c r="D687" s="0" t="s">
        <v>1014</v>
      </c>
      <c r="E687" s="0" t="inlineStr">
        <is>
          <t xml:space="preserve">Mazda</t>
        </is>
      </c>
      <c r="F687" s="0" t="s">
        <v>21</v>
      </c>
      <c r="G687" s="0" t="s">
        <v>22</v>
      </c>
      <c r="H687" s="5">
        <v>513.765100</v>
      </c>
    </row>
    <row r="688" spans="1:9">
      <c r="A688" s="22" t="str">
        <f>HYPERLINK("https://app.vivvix.com/360/KMI/IntelliDrive/ApplUI/Pages/CreativePages/CustomReportCreativeDetail.aspx?App=23&amp;ReportView=4&amp;Qid=1711279&amp;Row=680&amp;Col=1","No Title Assigned - #15261145734")</f>
        <v/>
      </c>
      <c r="B688" s="0" t="s">
        <v>1015</v>
      </c>
      <c r="C688" s="0" t="s">
        <v>1016</v>
      </c>
      <c r="D688" s="0" t="s">
        <v>1016</v>
      </c>
      <c r="E688" s="0" t="inlineStr">
        <is>
          <t xml:space="preserve">Mazda</t>
        </is>
      </c>
      <c r="F688" s="0" t="s">
        <v>28</v>
      </c>
      <c r="G688" s="0" t="s">
        <v>29</v>
      </c>
      <c r="H688" s="5">
        <v>822.538800</v>
      </c>
    </row>
    <row r="689" spans="1:9">
      <c r="A689" s="22" t="str">
        <f>HYPERLINK("https://app.vivvix.com/360/KMI/IntelliDrive/ApplUI/Pages/CreativePages/CustomReportCreativeDetail.aspx?App=23&amp;ReportView=4&amp;Qid=1711279&amp;Row=681&amp;Col=1","No Title Assigned - #15261147386")</f>
        <v/>
      </c>
      <c r="B689" s="0" t="s">
        <v>1017</v>
      </c>
      <c r="C689" s="0" t="s">
        <v>1018</v>
      </c>
      <c r="D689" s="0" t="s">
        <v>1018</v>
      </c>
      <c r="E689" s="0" t="inlineStr">
        <is>
          <t xml:space="preserve">Mazda</t>
        </is>
      </c>
      <c r="F689" s="0" t="s">
        <v>21</v>
      </c>
      <c r="G689" s="0" t="s">
        <v>22</v>
      </c>
      <c r="H689" s="5">
        <v>4912.170100</v>
      </c>
    </row>
    <row r="690" spans="1:9">
      <c r="A690" s="22" t="str">
        <f>HYPERLINK("https://app.vivvix.com/360/KMI/IntelliDrive/ApplUI/Pages/CreativePages/CustomReportCreativeDetail.aspx?App=23&amp;ReportView=4&amp;Qid=1711279&amp;Row=682&amp;Col=1","No Title Assigned - #15261166037")</f>
        <v/>
      </c>
      <c r="B690" s="0" t="s">
        <v>1019</v>
      </c>
      <c r="C690" s="0" t="s">
        <v>1020</v>
      </c>
      <c r="D690" s="0" t="s">
        <v>1020</v>
      </c>
      <c r="E690" s="0" t="inlineStr">
        <is>
          <t xml:space="preserve">Mazda</t>
        </is>
      </c>
      <c r="F690" s="0" t="s">
        <v>13</v>
      </c>
      <c r="G690" s="0" t="s">
        <v>49</v>
      </c>
      <c r="H690" s="5">
        <v>2327.814500</v>
      </c>
    </row>
    <row r="691" spans="1:9">
      <c r="A691" s="22" t="str">
        <f>HYPERLINK("https://app.vivvix.com/360/KMI/IntelliDrive/ApplUI/Pages/CreativePages/CustomReportCreativeDetail.aspx?App=23&amp;ReportView=4&amp;Qid=1711279&amp;Row=683&amp;Col=1","No Title Assigned - #15261166037")</f>
        <v/>
      </c>
      <c r="B691" s="0" t="s">
        <v>1019</v>
      </c>
      <c r="E691" s="0" t="inlineStr">
        <is>
          <t xml:space="preserve">Mazda</t>
        </is>
      </c>
      <c r="F691" s="0" t="s">
        <v>13</v>
      </c>
      <c r="G691" s="0" t="s">
        <v>49</v>
      </c>
      <c r="H691" s="5">
        <v>4220.590100</v>
      </c>
    </row>
    <row r="692" spans="1:9">
      <c r="A692" s="22" t="str">
        <f>HYPERLINK("https://app.vivvix.com/360/KMI/IntelliDrive/ApplUI/Pages/CreativePages/CustomReportCreativeDetail.aspx?App=23&amp;ReportView=4&amp;Qid=1711279&amp;Row=684&amp;Col=1","No Title Assigned - #15261166109")</f>
        <v/>
      </c>
      <c r="B692" s="0" t="s">
        <v>1021</v>
      </c>
      <c r="E692" s="0" t="inlineStr">
        <is>
          <t xml:space="preserve">Mazda</t>
        </is>
      </c>
      <c r="F692" s="0" t="s">
        <v>13</v>
      </c>
      <c r="G692" s="0" t="s">
        <v>49</v>
      </c>
      <c r="H692" s="5">
        <v>1948.951500</v>
      </c>
    </row>
    <row r="693" spans="1:9">
      <c r="A693" s="22" t="str">
        <f>HYPERLINK("https://app.vivvix.com/360/KMI/IntelliDrive/ApplUI/Pages/CreativePages/CustomReportCreativeDetail.aspx?App=23&amp;ReportView=4&amp;Qid=1711279&amp;Row=685&amp;Col=1","No Title Assigned - #15261166354")</f>
        <v/>
      </c>
      <c r="B693" s="0" t="s">
        <v>1022</v>
      </c>
      <c r="C693" s="0" t="s">
        <v>1023</v>
      </c>
      <c r="D693" s="0" t="s">
        <v>1023</v>
      </c>
      <c r="E693" s="0" t="inlineStr">
        <is>
          <t xml:space="preserve">Mazda</t>
        </is>
      </c>
      <c r="F693" s="0" t="s">
        <v>13</v>
      </c>
      <c r="G693" s="0" t="s">
        <v>49</v>
      </c>
      <c r="H693" s="5">
        <v>140.945700</v>
      </c>
    </row>
    <row r="694" spans="1:9">
      <c r="A694" s="22" t="str">
        <f>HYPERLINK("https://app.vivvix.com/360/KMI/IntelliDrive/ApplUI/Pages/CreativePages/CustomReportCreativeDetail.aspx?App=23&amp;ReportView=4&amp;Qid=1711279&amp;Row=686&amp;Col=1","No Title Assigned - #15261166354")</f>
        <v/>
      </c>
      <c r="B694" s="0" t="s">
        <v>1022</v>
      </c>
      <c r="E694" s="0" t="inlineStr">
        <is>
          <t xml:space="preserve">Mazda</t>
        </is>
      </c>
      <c r="F694" s="0" t="s">
        <v>13</v>
      </c>
      <c r="G694" s="0" t="s">
        <v>49</v>
      </c>
      <c r="H694" s="5">
        <v>1951.848300</v>
      </c>
    </row>
    <row r="695" spans="1:9">
      <c r="A695" s="22" t="str">
        <f>HYPERLINK("https://app.vivvix.com/360/KMI/IntelliDrive/ApplUI/Pages/CreativePages/CustomReportCreativeDetail.aspx?App=23&amp;ReportView=4&amp;Qid=1711279&amp;Row=687&amp;Col=1","No Title Assigned - #15261166500")</f>
        <v/>
      </c>
      <c r="B695" s="0" t="s">
        <v>1024</v>
      </c>
      <c r="C695" s="0" t="s">
        <v>1025</v>
      </c>
      <c r="D695" s="0" t="s">
        <v>1025</v>
      </c>
      <c r="E695" s="0" t="inlineStr">
        <is>
          <t xml:space="preserve">Mazda</t>
        </is>
      </c>
      <c r="F695" s="0" t="s">
        <v>13</v>
      </c>
      <c r="G695" s="0" t="s">
        <v>49</v>
      </c>
      <c r="H695" s="5">
        <v>1182.927000</v>
      </c>
    </row>
    <row r="696" spans="1:9">
      <c r="A696" s="22" t="str">
        <f>HYPERLINK("https://app.vivvix.com/360/KMI/IntelliDrive/ApplUI/Pages/CreativePages/CustomReportCreativeDetail.aspx?App=23&amp;ReportView=4&amp;Qid=1711279&amp;Row=688&amp;Col=1","No Title Assigned - #15261167663")</f>
        <v/>
      </c>
      <c r="B696" s="0" t="s">
        <v>1026</v>
      </c>
      <c r="C696" s="0" t="s">
        <v>1027</v>
      </c>
      <c r="D696" s="0" t="s">
        <v>1027</v>
      </c>
      <c r="E696" s="0" t="inlineStr">
        <is>
          <t xml:space="preserve">Mazda</t>
        </is>
      </c>
      <c r="F696" s="0" t="s">
        <v>13</v>
      </c>
      <c r="G696" s="0" t="s">
        <v>49</v>
      </c>
      <c r="H696" s="5">
        <v>13.584800</v>
      </c>
    </row>
    <row r="697" spans="1:9">
      <c r="A697" s="22" t="str">
        <f>HYPERLINK("https://app.vivvix.com/360/KMI/IntelliDrive/ApplUI/Pages/CreativePages/CustomReportCreativeDetail.aspx?App=23&amp;ReportView=4&amp;Qid=1711279&amp;Row=689&amp;Col=1","No Title Assigned - #15261168313")</f>
        <v/>
      </c>
      <c r="B697" s="0" t="s">
        <v>1028</v>
      </c>
      <c r="C697" s="0" t="s">
        <v>1029</v>
      </c>
      <c r="D697" s="0" t="s">
        <v>1029</v>
      </c>
      <c r="E697" s="0" t="inlineStr">
        <is>
          <t xml:space="preserve">Mazda</t>
        </is>
      </c>
      <c r="F697" s="0" t="s">
        <v>13</v>
      </c>
      <c r="G697" s="0" t="s">
        <v>49</v>
      </c>
      <c r="H697" s="5">
        <v>1555.207400</v>
      </c>
    </row>
    <row r="698" spans="1:9">
      <c r="A698" s="22" t="str">
        <f>HYPERLINK("https://app.vivvix.com/360/KMI/IntelliDrive/ApplUI/Pages/CreativePages/CustomReportCreativeDetail.aspx?App=23&amp;ReportView=4&amp;Qid=1711279&amp;Row=690&amp;Col=1","No Title Assigned - #15261168364")</f>
        <v/>
      </c>
      <c r="B698" s="0" t="s">
        <v>1030</v>
      </c>
      <c r="C698" s="0" t="s">
        <v>1031</v>
      </c>
      <c r="D698" s="0" t="s">
        <v>1031</v>
      </c>
      <c r="E698" s="0" t="inlineStr">
        <is>
          <t xml:space="preserve">Mazda</t>
        </is>
      </c>
      <c r="F698" s="0" t="s">
        <v>13</v>
      </c>
      <c r="G698" s="0" t="s">
        <v>49</v>
      </c>
      <c r="H698" s="5">
        <v>431.671400</v>
      </c>
    </row>
    <row r="699" spans="1:9">
      <c r="A699" s="22" t="str">
        <f>HYPERLINK("https://app.vivvix.com/360/KMI/IntelliDrive/ApplUI/Pages/CreativePages/CustomReportCreativeDetail.aspx?App=23&amp;ReportView=4&amp;Qid=1711279&amp;Row=691&amp;Col=1","No Title Assigned - #15261168752")</f>
        <v/>
      </c>
      <c r="B699" s="0" t="s">
        <v>1032</v>
      </c>
      <c r="E699" s="0" t="inlineStr">
        <is>
          <t xml:space="preserve">Mazda</t>
        </is>
      </c>
      <c r="F699" s="0" t="s">
        <v>13</v>
      </c>
      <c r="G699" s="0" t="s">
        <v>49</v>
      </c>
      <c r="H699" s="5">
        <v>841.400300</v>
      </c>
    </row>
    <row r="700" spans="1:9">
      <c r="A700" s="22" t="str">
        <f>HYPERLINK("https://app.vivvix.com/360/KMI/IntelliDrive/ApplUI/Pages/CreativePages/CustomReportCreativeDetail.aspx?App=23&amp;ReportView=4&amp;Qid=1711279&amp;Row=692&amp;Col=1","No Title Assigned - #15261169409")</f>
        <v/>
      </c>
      <c r="B700" s="0" t="s">
        <v>1033</v>
      </c>
      <c r="C700" s="0" t="s">
        <v>1034</v>
      </c>
      <c r="D700" s="0" t="s">
        <v>1034</v>
      </c>
      <c r="E700" s="0" t="inlineStr">
        <is>
          <t xml:space="preserve">Mazda</t>
        </is>
      </c>
      <c r="F700" s="0" t="s">
        <v>13</v>
      </c>
      <c r="G700" s="0" t="s">
        <v>49</v>
      </c>
      <c r="H700" s="5">
        <v>142.182300</v>
      </c>
    </row>
    <row r="701" spans="1:9">
      <c r="A701" s="22" t="str">
        <f>HYPERLINK("https://app.vivvix.com/360/KMI/IntelliDrive/ApplUI/Pages/CreativePages/CustomReportCreativeDetail.aspx?App=23&amp;ReportView=4&amp;Qid=1711279&amp;Row=693&amp;Col=1","No Title Assigned - #15261169525")</f>
        <v/>
      </c>
      <c r="B701" s="0" t="s">
        <v>1035</v>
      </c>
      <c r="C701" s="0" t="s">
        <v>1036</v>
      </c>
      <c r="D701" s="0" t="s">
        <v>1036</v>
      </c>
      <c r="E701" s="0" t="inlineStr">
        <is>
          <t xml:space="preserve">Mazda</t>
        </is>
      </c>
      <c r="F701" s="0" t="s">
        <v>13</v>
      </c>
      <c r="G701" s="0" t="s">
        <v>49</v>
      </c>
      <c r="H701" s="5">
        <v>57620.817000</v>
      </c>
    </row>
    <row r="702" spans="1:9">
      <c r="A702" s="22" t="str">
        <f>HYPERLINK("https://app.vivvix.com/360/KMI/IntelliDrive/ApplUI/Pages/CreativePages/CustomReportCreativeDetail.aspx?App=23&amp;ReportView=4&amp;Qid=1711279&amp;Row=694&amp;Col=1","No Title Assigned - #15261169525")</f>
        <v/>
      </c>
      <c r="B702" s="0" t="s">
        <v>1035</v>
      </c>
      <c r="E702" s="0" t="inlineStr">
        <is>
          <t xml:space="preserve">Mazda</t>
        </is>
      </c>
      <c r="F702" s="0" t="s">
        <v>13</v>
      </c>
      <c r="G702" s="0" t="s">
        <v>49</v>
      </c>
      <c r="H702" s="5">
        <v>12218.362000</v>
      </c>
    </row>
    <row r="703" spans="1:9">
      <c r="A703" s="22" t="str">
        <f>HYPERLINK("https://app.vivvix.com/360/KMI/IntelliDrive/ApplUI/Pages/CreativePages/CustomReportCreativeDetail.aspx?App=23&amp;ReportView=4&amp;Qid=1711279&amp;Row=695&amp;Col=1","No Title Assigned - #15261169640")</f>
        <v/>
      </c>
      <c r="B703" s="0" t="s">
        <v>1037</v>
      </c>
      <c r="E703" s="0" t="inlineStr">
        <is>
          <t xml:space="preserve">Mazda</t>
        </is>
      </c>
      <c r="F703" s="0" t="s">
        <v>13</v>
      </c>
      <c r="G703" s="0" t="s">
        <v>49</v>
      </c>
      <c r="H703" s="5">
        <v>221.693500</v>
      </c>
    </row>
    <row r="704" spans="1:9">
      <c r="A704" s="22" t="str">
        <f>HYPERLINK("https://app.vivvix.com/360/KMI/IntelliDrive/ApplUI/Pages/CreativePages/CustomReportCreativeDetail.aspx?App=23&amp;ReportView=4&amp;Qid=1711279&amp;Row=696&amp;Col=1","No Title Assigned - #15261170012")</f>
        <v/>
      </c>
      <c r="B704" s="0" t="s">
        <v>1038</v>
      </c>
      <c r="C704" s="0" t="s">
        <v>1039</v>
      </c>
      <c r="D704" s="0" t="s">
        <v>1039</v>
      </c>
      <c r="E704" s="0" t="inlineStr">
        <is>
          <t xml:space="preserve">Mazda</t>
        </is>
      </c>
      <c r="F704" s="0" t="s">
        <v>13</v>
      </c>
      <c r="G704" s="0" t="s">
        <v>49</v>
      </c>
      <c r="H704" s="5">
        <v>898.153100</v>
      </c>
    </row>
    <row r="705" spans="1:9">
      <c r="A705" s="22" t="str">
        <f>HYPERLINK("https://app.vivvix.com/360/KMI/IntelliDrive/ApplUI/Pages/CreativePages/CustomReportCreativeDetail.aspx?App=23&amp;ReportView=4&amp;Qid=1711279&amp;Row=697&amp;Col=1","No Title Assigned - #15261170143")</f>
        <v/>
      </c>
      <c r="B705" s="0" t="s">
        <v>1040</v>
      </c>
      <c r="C705" s="0" t="s">
        <v>1041</v>
      </c>
      <c r="D705" s="0" t="s">
        <v>1041</v>
      </c>
      <c r="E705" s="0" t="inlineStr">
        <is>
          <t xml:space="preserve">Mazda</t>
        </is>
      </c>
      <c r="F705" s="0" t="s">
        <v>13</v>
      </c>
      <c r="G705" s="0" t="s">
        <v>49</v>
      </c>
      <c r="H705" s="5">
        <v>242.468800</v>
      </c>
    </row>
    <row r="706" spans="1:9">
      <c r="A706" s="22" t="str">
        <f>HYPERLINK("https://app.vivvix.com/360/KMI/IntelliDrive/ApplUI/Pages/CreativePages/CustomReportCreativeDetail.aspx?App=23&amp;ReportView=4&amp;Qid=1711279&amp;Row=698&amp;Col=1","No Title Assigned - #15261170410")</f>
        <v/>
      </c>
      <c r="B706" s="0" t="s">
        <v>1042</v>
      </c>
      <c r="C706" s="0" t="s">
        <v>1043</v>
      </c>
      <c r="D706" s="0" t="s">
        <v>1043</v>
      </c>
      <c r="E706" s="0" t="inlineStr">
        <is>
          <t xml:space="preserve">Mazda</t>
        </is>
      </c>
      <c r="F706" s="0" t="s">
        <v>13</v>
      </c>
      <c r="G706" s="0" t="s">
        <v>49</v>
      </c>
      <c r="H706" s="5">
        <v>816.695700</v>
      </c>
    </row>
    <row r="707" spans="1:9">
      <c r="A707" s="22" t="str">
        <f>HYPERLINK("https://app.vivvix.com/360/KMI/IntelliDrive/ApplUI/Pages/CreativePages/CustomReportCreativeDetail.aspx?App=23&amp;ReportView=4&amp;Qid=1711279&amp;Row=699&amp;Col=1","No Title Assigned - #15261170527")</f>
        <v/>
      </c>
      <c r="B707" s="0" t="s">
        <v>1044</v>
      </c>
      <c r="C707" s="0" t="s">
        <v>1045</v>
      </c>
      <c r="D707" s="0" t="s">
        <v>1045</v>
      </c>
      <c r="E707" s="0" t="inlineStr">
        <is>
          <t xml:space="preserve">Mazda</t>
        </is>
      </c>
      <c r="F707" s="0" t="s">
        <v>13</v>
      </c>
      <c r="G707" s="0" t="s">
        <v>49</v>
      </c>
      <c r="H707" s="5">
        <v>521.278300</v>
      </c>
    </row>
    <row r="708" spans="1:9">
      <c r="A708" s="22" t="str">
        <f>HYPERLINK("https://app.vivvix.com/360/KMI/IntelliDrive/ApplUI/Pages/CreativePages/CustomReportCreativeDetail.aspx?App=23&amp;ReportView=4&amp;Qid=1711279&amp;Row=700&amp;Col=1","No Title Assigned - #15261172048")</f>
        <v/>
      </c>
      <c r="B708" s="0" t="s">
        <v>1046</v>
      </c>
      <c r="C708" s="0" t="s">
        <v>1047</v>
      </c>
      <c r="D708" s="0" t="s">
        <v>1047</v>
      </c>
      <c r="E708" s="0" t="inlineStr">
        <is>
          <t xml:space="preserve">Mazda</t>
        </is>
      </c>
      <c r="F708" s="0" t="s">
        <v>13</v>
      </c>
      <c r="G708" s="0" t="s">
        <v>49</v>
      </c>
      <c r="H708" s="5">
        <v>1130.965500</v>
      </c>
    </row>
    <row r="709" spans="1:9">
      <c r="A709" s="22" t="str">
        <f>HYPERLINK("https://app.vivvix.com/360/KMI/IntelliDrive/ApplUI/Pages/CreativePages/CustomReportCreativeDetail.aspx?App=23&amp;ReportView=4&amp;Qid=1711279&amp;Row=701&amp;Col=1","No Title Assigned - #15261172522")</f>
        <v/>
      </c>
      <c r="B709" s="0" t="s">
        <v>1048</v>
      </c>
      <c r="C709" s="0" t="s">
        <v>1049</v>
      </c>
      <c r="D709" s="0" t="s">
        <v>1049</v>
      </c>
      <c r="E709" s="0" t="inlineStr">
        <is>
          <t xml:space="preserve">Mazda</t>
        </is>
      </c>
      <c r="F709" s="0" t="s">
        <v>13</v>
      </c>
      <c r="G709" s="0" t="s">
        <v>49</v>
      </c>
      <c r="H709" s="5">
        <v>26.166500</v>
      </c>
    </row>
    <row r="710" spans="1:9">
      <c r="A710" s="22" t="str">
        <f>HYPERLINK("https://app.vivvix.com/360/KMI/IntelliDrive/ApplUI/Pages/CreativePages/CustomReportCreativeDetail.aspx?App=23&amp;ReportView=4&amp;Qid=1711279&amp;Row=702&amp;Col=1","No Title Assigned - #15261173167")</f>
        <v/>
      </c>
      <c r="B710" s="0" t="s">
        <v>1050</v>
      </c>
      <c r="E710" s="0" t="inlineStr">
        <is>
          <t xml:space="preserve">Mazda</t>
        </is>
      </c>
      <c r="F710" s="0" t="s">
        <v>13</v>
      </c>
      <c r="G710" s="0" t="s">
        <v>49</v>
      </c>
      <c r="H710" s="5">
        <v>88492.687500</v>
      </c>
    </row>
    <row r="711" spans="1:9">
      <c r="A711" s="22" t="str">
        <f>HYPERLINK("https://app.vivvix.com/360/KMI/IntelliDrive/ApplUI/Pages/CreativePages/CustomReportCreativeDetail.aspx?App=23&amp;ReportView=4&amp;Qid=1711279&amp;Row=703&amp;Col=1","No Title Assigned - #15261173761")</f>
        <v/>
      </c>
      <c r="B711" s="0" t="s">
        <v>1051</v>
      </c>
      <c r="C711" s="0" t="s">
        <v>1052</v>
      </c>
      <c r="D711" s="0" t="s">
        <v>1052</v>
      </c>
      <c r="E711" s="0" t="inlineStr">
        <is>
          <t xml:space="preserve">Mazda</t>
        </is>
      </c>
      <c r="F711" s="0" t="s">
        <v>13</v>
      </c>
      <c r="G711" s="0" t="s">
        <v>49</v>
      </c>
      <c r="H711" s="5">
        <v>71968.830000</v>
      </c>
    </row>
    <row r="712" spans="1:9">
      <c r="A712" s="22" t="str">
        <f>HYPERLINK("https://app.vivvix.com/360/KMI/IntelliDrive/ApplUI/Pages/CreativePages/CustomReportCreativeDetail.aspx?App=23&amp;ReportView=4&amp;Qid=1711279&amp;Row=704&amp;Col=1","No Title Assigned - #15261173761")</f>
        <v/>
      </c>
      <c r="B712" s="0" t="s">
        <v>1051</v>
      </c>
      <c r="E712" s="0" t="inlineStr">
        <is>
          <t xml:space="preserve">Mazda</t>
        </is>
      </c>
      <c r="F712" s="0" t="s">
        <v>13</v>
      </c>
      <c r="G712" s="0" t="s">
        <v>49</v>
      </c>
      <c r="H712" s="5">
        <v>18938.889500</v>
      </c>
    </row>
    <row r="713" spans="1:9">
      <c r="A713" s="22" t="str">
        <f>HYPERLINK("https://app.vivvix.com/360/KMI/IntelliDrive/ApplUI/Pages/CreativePages/CustomReportCreativeDetail.aspx?App=23&amp;ReportView=4&amp;Qid=1711279&amp;Row=705&amp;Col=1","No Title Assigned - #15261174212")</f>
        <v/>
      </c>
      <c r="B713" s="0" t="s">
        <v>1053</v>
      </c>
      <c r="C713" s="0" t="s">
        <v>1054</v>
      </c>
      <c r="D713" s="0" t="s">
        <v>1054</v>
      </c>
      <c r="E713" s="0" t="inlineStr">
        <is>
          <t xml:space="preserve">Mazda</t>
        </is>
      </c>
      <c r="F713" s="0" t="s">
        <v>13</v>
      </c>
      <c r="G713" s="0" t="s">
        <v>49</v>
      </c>
      <c r="H713" s="5">
        <v>419.085500</v>
      </c>
    </row>
    <row r="714" spans="1:9">
      <c r="A714" s="22" t="str">
        <f>HYPERLINK("https://app.vivvix.com/360/KMI/IntelliDrive/ApplUI/Pages/CreativePages/CustomReportCreativeDetail.aspx?App=23&amp;ReportView=4&amp;Qid=1711279&amp;Row=706&amp;Col=1","No Title Assigned - #15261174761")</f>
        <v/>
      </c>
      <c r="B714" s="0" t="s">
        <v>1055</v>
      </c>
      <c r="C714" s="0" t="s">
        <v>1056</v>
      </c>
      <c r="D714" s="0" t="s">
        <v>1056</v>
      </c>
      <c r="E714" s="0" t="inlineStr">
        <is>
          <t xml:space="preserve">Mazda</t>
        </is>
      </c>
      <c r="F714" s="0" t="s">
        <v>13</v>
      </c>
      <c r="G714" s="0" t="s">
        <v>49</v>
      </c>
      <c r="H714" s="5">
        <v>674.600800</v>
      </c>
    </row>
    <row r="715" spans="1:9">
      <c r="A715" s="22" t="str">
        <f>HYPERLINK("https://app.vivvix.com/360/KMI/IntelliDrive/ApplUI/Pages/CreativePages/CustomReportCreativeDetail.aspx?App=23&amp;ReportView=4&amp;Qid=1711279&amp;Row=707&amp;Col=1","No Title Assigned - #15261174869")</f>
        <v/>
      </c>
      <c r="B715" s="0" t="s">
        <v>1057</v>
      </c>
      <c r="C715" s="0" t="s">
        <v>1058</v>
      </c>
      <c r="D715" s="0" t="s">
        <v>1058</v>
      </c>
      <c r="E715" s="0" t="inlineStr">
        <is>
          <t xml:space="preserve">Mazda</t>
        </is>
      </c>
      <c r="F715" s="0" t="s">
        <v>13</v>
      </c>
      <c r="G715" s="0" t="s">
        <v>49</v>
      </c>
      <c r="H715" s="5">
        <v>3897.523100</v>
      </c>
    </row>
    <row r="716" spans="1:9">
      <c r="A716" s="22" t="str">
        <f>HYPERLINK("https://app.vivvix.com/360/KMI/IntelliDrive/ApplUI/Pages/CreativePages/CustomReportCreativeDetail.aspx?App=23&amp;ReportView=4&amp;Qid=1711279&amp;Row=708&amp;Col=1","No Title Assigned - #15261174869")</f>
        <v/>
      </c>
      <c r="B716" s="0" t="s">
        <v>1057</v>
      </c>
      <c r="E716" s="0" t="inlineStr">
        <is>
          <t xml:space="preserve">Mazda</t>
        </is>
      </c>
      <c r="F716" s="0" t="s">
        <v>13</v>
      </c>
      <c r="G716" s="0" t="s">
        <v>49</v>
      </c>
      <c r="H716" s="5">
        <v>880.429300</v>
      </c>
    </row>
    <row r="717" spans="1:9">
      <c r="A717" s="22" t="str">
        <f>HYPERLINK("https://app.vivvix.com/360/KMI/IntelliDrive/ApplUI/Pages/CreativePages/CustomReportCreativeDetail.aspx?App=23&amp;ReportView=4&amp;Qid=1711279&amp;Row=709&amp;Col=1","No Title Assigned - #15261174973")</f>
        <v/>
      </c>
      <c r="B717" s="0" t="s">
        <v>1059</v>
      </c>
      <c r="C717" s="0" t="s">
        <v>1060</v>
      </c>
      <c r="D717" s="0" t="s">
        <v>1060</v>
      </c>
      <c r="E717" s="0" t="inlineStr">
        <is>
          <t xml:space="preserve">Mazda</t>
        </is>
      </c>
      <c r="F717" s="0" t="s">
        <v>13</v>
      </c>
      <c r="G717" s="0" t="s">
        <v>49</v>
      </c>
      <c r="H717" s="5">
        <v>1536.663000</v>
      </c>
    </row>
    <row r="718" spans="1:9">
      <c r="A718" s="22" t="str">
        <f>HYPERLINK("https://app.vivvix.com/360/KMI/IntelliDrive/ApplUI/Pages/CreativePages/CustomReportCreativeDetail.aspx?App=23&amp;ReportView=4&amp;Qid=1711279&amp;Row=710&amp;Col=1","No Title Assigned - #15261174973")</f>
        <v/>
      </c>
      <c r="B718" s="0" t="s">
        <v>1059</v>
      </c>
      <c r="E718" s="0" t="inlineStr">
        <is>
          <t xml:space="preserve">Mazda</t>
        </is>
      </c>
      <c r="F718" s="0" t="s">
        <v>13</v>
      </c>
      <c r="G718" s="0" t="s">
        <v>49</v>
      </c>
      <c r="H718" s="5">
        <v>130.434400</v>
      </c>
    </row>
    <row r="719" spans="1:9">
      <c r="A719" s="22" t="str">
        <f>HYPERLINK("https://app.vivvix.com/360/KMI/IntelliDrive/ApplUI/Pages/CreativePages/CustomReportCreativeDetail.aspx?App=23&amp;ReportView=4&amp;Qid=1711279&amp;Row=711&amp;Col=1","No Title Assigned - #15261176682")</f>
        <v/>
      </c>
      <c r="B719" s="0" t="s">
        <v>1061</v>
      </c>
      <c r="C719" s="0" t="s">
        <v>1062</v>
      </c>
      <c r="D719" s="0" t="s">
        <v>1062</v>
      </c>
      <c r="E719" s="0" t="inlineStr">
        <is>
          <t xml:space="preserve">Mazda</t>
        </is>
      </c>
      <c r="F719" s="0" t="s">
        <v>13</v>
      </c>
      <c r="G719" s="0" t="s">
        <v>49</v>
      </c>
      <c r="H719" s="5">
        <v>619.840900</v>
      </c>
    </row>
    <row r="720" spans="1:9">
      <c r="A720" s="22" t="str">
        <f>HYPERLINK("https://app.vivvix.com/360/KMI/IntelliDrive/ApplUI/Pages/CreativePages/CustomReportCreativeDetail.aspx?App=23&amp;ReportView=4&amp;Qid=1711279&amp;Row=712&amp;Col=1","No Title Assigned - #15261176682")</f>
        <v/>
      </c>
      <c r="B720" s="0" t="s">
        <v>1061</v>
      </c>
      <c r="E720" s="0" t="inlineStr">
        <is>
          <t xml:space="preserve">Mazda</t>
        </is>
      </c>
      <c r="F720" s="0" t="s">
        <v>13</v>
      </c>
      <c r="G720" s="0" t="s">
        <v>49</v>
      </c>
      <c r="H720" s="5">
        <v>9659.562600</v>
      </c>
    </row>
    <row r="721" spans="1:9">
      <c r="A721" s="22" t="str">
        <f>HYPERLINK("https://app.vivvix.com/360/KMI/IntelliDrive/ApplUI/Pages/CreativePages/CustomReportCreativeDetail.aspx?App=23&amp;ReportView=4&amp;Qid=1711279&amp;Row=713&amp;Col=1","No Title Assigned - #15261177946")</f>
        <v/>
      </c>
      <c r="B721" s="0" t="s">
        <v>1063</v>
      </c>
      <c r="C721" s="0" t="s">
        <v>1064</v>
      </c>
      <c r="D721" s="0" t="s">
        <v>1064</v>
      </c>
      <c r="E721" s="0" t="inlineStr">
        <is>
          <t xml:space="preserve">Mazda</t>
        </is>
      </c>
      <c r="F721" s="0" t="s">
        <v>13</v>
      </c>
      <c r="G721" s="0" t="s">
        <v>49</v>
      </c>
      <c r="H721" s="5">
        <v>78233.237800</v>
      </c>
    </row>
    <row r="722" spans="1:9">
      <c r="A722" s="22" t="str">
        <f>HYPERLINK("https://app.vivvix.com/360/KMI/IntelliDrive/ApplUI/Pages/CreativePages/CustomReportCreativeDetail.aspx?App=23&amp;ReportView=4&amp;Qid=1711279&amp;Row=714&amp;Col=1","No Title Assigned - #15261181325")</f>
        <v/>
      </c>
      <c r="B722" s="0" t="s">
        <v>1065</v>
      </c>
      <c r="E722" s="0" t="inlineStr">
        <is>
          <t xml:space="preserve">Mazda</t>
        </is>
      </c>
      <c r="F722" s="0" t="s">
        <v>13</v>
      </c>
      <c r="G722" s="0" t="s">
        <v>49</v>
      </c>
      <c r="H722" s="5">
        <v>36.115500</v>
      </c>
    </row>
    <row r="723" spans="1:9">
      <c r="A723" s="22" t="str">
        <f>HYPERLINK("https://app.vivvix.com/360/KMI/IntelliDrive/ApplUI/Pages/CreativePages/CustomReportCreativeDetail.aspx?App=23&amp;ReportView=4&amp;Qid=1711279&amp;Row=715&amp;Col=1","No Title Assigned - #15261181325")</f>
        <v/>
      </c>
      <c r="B723" s="0" t="s">
        <v>1065</v>
      </c>
      <c r="C723" s="0" t="s">
        <v>1066</v>
      </c>
      <c r="D723" s="0" t="s">
        <v>1066</v>
      </c>
      <c r="E723" s="0" t="inlineStr">
        <is>
          <t xml:space="preserve">Mazda</t>
        </is>
      </c>
      <c r="F723" s="0" t="s">
        <v>13</v>
      </c>
      <c r="G723" s="0" t="s">
        <v>49</v>
      </c>
      <c r="H723" s="5">
        <v>4.719700</v>
      </c>
    </row>
    <row r="724" spans="1:9">
      <c r="A724" s="22" t="str">
        <f>HYPERLINK("https://app.vivvix.com/360/KMI/IntelliDrive/ApplUI/Pages/CreativePages/CustomReportCreativeDetail.aspx?App=23&amp;ReportView=4&amp;Qid=1711279&amp;Row=716&amp;Col=1","No Title Assigned - #15261185434")</f>
        <v/>
      </c>
      <c r="B724" s="0" t="s">
        <v>1067</v>
      </c>
      <c r="E724" s="0" t="inlineStr">
        <is>
          <t xml:space="preserve">Mazda</t>
        </is>
      </c>
      <c r="F724" s="0" t="s">
        <v>13</v>
      </c>
      <c r="G724" s="0" t="s">
        <v>49</v>
      </c>
      <c r="H724" s="5">
        <v>5681.360000</v>
      </c>
    </row>
    <row r="725" spans="1:9">
      <c r="A725" s="22" t="str">
        <f>HYPERLINK("https://app.vivvix.com/360/KMI/IntelliDrive/ApplUI/Pages/CreativePages/CustomReportCreativeDetail.aspx?App=23&amp;ReportView=4&amp;Qid=1711279&amp;Row=717&amp;Col=1","No Title Assigned - #15261185434")</f>
        <v/>
      </c>
      <c r="B725" s="0" t="s">
        <v>1067</v>
      </c>
      <c r="C725" s="0" t="s">
        <v>1068</v>
      </c>
      <c r="D725" s="0" t="s">
        <v>1068</v>
      </c>
      <c r="E725" s="0" t="inlineStr">
        <is>
          <t xml:space="preserve">Mazda</t>
        </is>
      </c>
      <c r="F725" s="0" t="s">
        <v>13</v>
      </c>
      <c r="G725" s="0" t="s">
        <v>49</v>
      </c>
      <c r="H725" s="5">
        <v>107.333800</v>
      </c>
    </row>
    <row r="726" spans="1:9">
      <c r="A726" s="22" t="str">
        <f>HYPERLINK("https://app.vivvix.com/360/KMI/IntelliDrive/ApplUI/Pages/CreativePages/CustomReportCreativeDetail.aspx?App=23&amp;ReportView=4&amp;Qid=1711279&amp;Row=718&amp;Col=1","No Title Assigned - #15261198274")</f>
        <v/>
      </c>
      <c r="B726" s="0" t="s">
        <v>1069</v>
      </c>
      <c r="E726" s="0" t="inlineStr">
        <is>
          <t xml:space="preserve">Mazda</t>
        </is>
      </c>
      <c r="F726" s="0" t="s">
        <v>13</v>
      </c>
      <c r="G726" s="0" t="s">
        <v>49</v>
      </c>
      <c r="H726" s="5">
        <v>8888.764600</v>
      </c>
    </row>
    <row r="727" spans="1:9">
      <c r="A727" s="22" t="str">
        <f>HYPERLINK("https://app.vivvix.com/360/KMI/IntelliDrive/ApplUI/Pages/CreativePages/CustomReportCreativeDetail.aspx?App=23&amp;ReportView=4&amp;Qid=1711279&amp;Row=719&amp;Col=1","No Title Assigned - #15261208378")</f>
        <v/>
      </c>
      <c r="B727" s="0" t="s">
        <v>1070</v>
      </c>
      <c r="C727" s="0" t="s">
        <v>792</v>
      </c>
      <c r="D727" s="0" t="s">
        <v>793</v>
      </c>
      <c r="E727" s="0" t="inlineStr">
        <is>
          <t xml:space="preserve">Mazda</t>
        </is>
      </c>
      <c r="F727" s="0" t="s">
        <v>28</v>
      </c>
      <c r="G727" s="0" t="s">
        <v>29</v>
      </c>
      <c r="H727" s="5">
        <v>441.481600</v>
      </c>
    </row>
    <row r="728" spans="1:9">
      <c r="A728" s="22" t="str">
        <f>HYPERLINK("https://app.vivvix.com/360/KMI/IntelliDrive/ApplUI/Pages/CreativePages/CustomReportCreativeDetail.aspx?App=23&amp;ReportView=4&amp;Qid=1711279&amp;Row=720&amp;Col=1","No Title Assigned - #15261210073")</f>
        <v/>
      </c>
      <c r="B728" s="0" t="s">
        <v>1071</v>
      </c>
      <c r="C728" s="0" t="s">
        <v>1072</v>
      </c>
      <c r="D728" s="0" t="s">
        <v>1072</v>
      </c>
      <c r="E728" s="0" t="inlineStr">
        <is>
          <t xml:space="preserve">Mazda</t>
        </is>
      </c>
      <c r="F728" s="0" t="s">
        <v>13</v>
      </c>
      <c r="G728" s="0" t="s">
        <v>49</v>
      </c>
      <c r="H728" s="5">
        <v>429.056200</v>
      </c>
    </row>
    <row r="729" spans="1:9">
      <c r="A729" s="22" t="str">
        <f>HYPERLINK("https://app.vivvix.com/360/KMI/IntelliDrive/ApplUI/Pages/CreativePages/CustomReportCreativeDetail.aspx?App=23&amp;ReportView=4&amp;Qid=1711279&amp;Row=721&amp;Col=1","No Title Assigned - #15261228745")</f>
        <v/>
      </c>
      <c r="B729" s="0" t="s">
        <v>1073</v>
      </c>
      <c r="C729" s="0" t="s">
        <v>1074</v>
      </c>
      <c r="D729" s="0" t="s">
        <v>1074</v>
      </c>
      <c r="E729" s="0" t="inlineStr">
        <is>
          <t xml:space="preserve">Mazda</t>
        </is>
      </c>
      <c r="F729" s="0" t="s">
        <v>28</v>
      </c>
      <c r="G729" s="0" t="s">
        <v>29</v>
      </c>
      <c r="H729" s="5">
        <v>930.382900</v>
      </c>
    </row>
    <row r="730" spans="1:9">
      <c r="A730" s="22" t="str">
        <f>HYPERLINK("https://app.vivvix.com/360/KMI/IntelliDrive/ApplUI/Pages/CreativePages/CustomReportCreativeDetail.aspx?App=23&amp;ReportView=4&amp;Qid=1711279&amp;Row=722&amp;Col=1","No Title Assigned - #15261230023")</f>
        <v/>
      </c>
      <c r="B730" s="0" t="s">
        <v>1075</v>
      </c>
      <c r="C730" s="0" t="s">
        <v>1076</v>
      </c>
      <c r="D730" s="0" t="s">
        <v>1076</v>
      </c>
      <c r="E730" s="0" t="inlineStr">
        <is>
          <t xml:space="preserve">Mazda</t>
        </is>
      </c>
      <c r="F730" s="0" t="s">
        <v>21</v>
      </c>
      <c r="G730" s="0" t="s">
        <v>22</v>
      </c>
      <c r="H730" s="5">
        <v>586.892500</v>
      </c>
    </row>
    <row r="731" spans="1:9">
      <c r="A731" s="22" t="str">
        <f>HYPERLINK("https://app.vivvix.com/360/KMI/IntelliDrive/ApplUI/Pages/CreativePages/CustomReportCreativeDetail.aspx?App=23&amp;ReportView=4&amp;Qid=1711279&amp;Row=723&amp;Col=1","No Title Assigned - #15261234671")</f>
        <v/>
      </c>
      <c r="B731" s="0" t="s">
        <v>1077</v>
      </c>
      <c r="C731" s="0" t="s">
        <v>1078</v>
      </c>
      <c r="D731" s="0" t="s">
        <v>1078</v>
      </c>
      <c r="E731" s="0" t="inlineStr">
        <is>
          <t xml:space="preserve">Mazda</t>
        </is>
      </c>
      <c r="F731" s="0" t="s">
        <v>21</v>
      </c>
      <c r="G731" s="0" t="s">
        <v>22</v>
      </c>
      <c r="H731" s="5">
        <v>28.885400</v>
      </c>
    </row>
    <row r="732" spans="1:9">
      <c r="A732" s="22" t="str">
        <f>HYPERLINK("https://app.vivvix.com/360/KMI/IntelliDrive/ApplUI/Pages/CreativePages/CustomReportCreativeDetail.aspx?App=23&amp;ReportView=4&amp;Qid=1711279&amp;Row=724&amp;Col=1","No Title Assigned - #15261235607")</f>
        <v/>
      </c>
      <c r="B732" s="0" t="s">
        <v>1079</v>
      </c>
      <c r="C732" s="0" t="s">
        <v>1080</v>
      </c>
      <c r="D732" s="0" t="s">
        <v>1080</v>
      </c>
      <c r="E732" s="0" t="inlineStr">
        <is>
          <t xml:space="preserve">Mazda</t>
        </is>
      </c>
      <c r="F732" s="0" t="s">
        <v>21</v>
      </c>
      <c r="G732" s="0" t="s">
        <v>22</v>
      </c>
      <c r="H732" s="5">
        <v>2481.350100</v>
      </c>
    </row>
    <row r="733" spans="1:9">
      <c r="A733" s="22" t="str">
        <f>HYPERLINK("https://app.vivvix.com/360/KMI/IntelliDrive/ApplUI/Pages/CreativePages/CustomReportCreativeDetail.aspx?App=23&amp;ReportView=4&amp;Qid=1711279&amp;Row=725&amp;Col=1","No Title Assigned - #15261236306")</f>
        <v/>
      </c>
      <c r="B733" s="0" t="s">
        <v>1081</v>
      </c>
      <c r="C733" s="0" t="s">
        <v>1082</v>
      </c>
      <c r="D733" s="0" t="s">
        <v>1082</v>
      </c>
      <c r="E733" s="0" t="inlineStr">
        <is>
          <t xml:space="preserve">Mazda</t>
        </is>
      </c>
      <c r="F733" s="0" t="s">
        <v>21</v>
      </c>
      <c r="G733" s="0" t="s">
        <v>22</v>
      </c>
      <c r="H733" s="5">
        <v>9513.095900</v>
      </c>
    </row>
    <row r="734" spans="1:9">
      <c r="A734" s="22" t="str">
        <f>HYPERLINK("https://app.vivvix.com/360/KMI/IntelliDrive/ApplUI/Pages/CreativePages/CustomReportCreativeDetail.aspx?App=23&amp;ReportView=4&amp;Qid=1711279&amp;Row=726&amp;Col=1","No Title Assigned - #15261236306")</f>
        <v/>
      </c>
      <c r="B734" s="0" t="s">
        <v>1081</v>
      </c>
      <c r="E734" s="0" t="inlineStr">
        <is>
          <t xml:space="preserve">Mazda</t>
        </is>
      </c>
      <c r="F734" s="0" t="s">
        <v>21</v>
      </c>
      <c r="G734" s="0" t="s">
        <v>22</v>
      </c>
      <c r="H734" s="5">
        <v>436.420000</v>
      </c>
    </row>
    <row r="735" spans="1:9">
      <c r="A735" s="22" t="str">
        <f>HYPERLINK("https://app.vivvix.com/360/KMI/IntelliDrive/ApplUI/Pages/CreativePages/CustomReportCreativeDetail.aspx?App=23&amp;ReportView=4&amp;Qid=1711279&amp;Row=727&amp;Col=1","No Title Assigned - #15261238419")</f>
        <v/>
      </c>
      <c r="B735" s="0" t="s">
        <v>1083</v>
      </c>
      <c r="C735" s="0" t="s">
        <v>1084</v>
      </c>
      <c r="D735" s="0" t="s">
        <v>1084</v>
      </c>
      <c r="E735" s="0" t="inlineStr">
        <is>
          <t xml:space="preserve">Mazda</t>
        </is>
      </c>
      <c r="F735" s="0" t="s">
        <v>21</v>
      </c>
      <c r="G735" s="0" t="s">
        <v>22</v>
      </c>
      <c r="H735" s="5">
        <v>2011.095900</v>
      </c>
    </row>
    <row r="736" spans="1:9">
      <c r="A736" s="22" t="str">
        <f>HYPERLINK("https://app.vivvix.com/360/KMI/IntelliDrive/ApplUI/Pages/CreativePages/CustomReportCreativeDetail.aspx?App=23&amp;ReportView=4&amp;Qid=1711279&amp;Row=728&amp;Col=1","No Title Assigned - #15261238875")</f>
        <v/>
      </c>
      <c r="B736" s="0" t="s">
        <v>1085</v>
      </c>
      <c r="C736" s="0" t="s">
        <v>1086</v>
      </c>
      <c r="D736" s="0" t="s">
        <v>1086</v>
      </c>
      <c r="E736" s="0" t="inlineStr">
        <is>
          <t xml:space="preserve">Mazda</t>
        </is>
      </c>
      <c r="F736" s="0" t="s">
        <v>21</v>
      </c>
      <c r="G736" s="0" t="s">
        <v>22</v>
      </c>
      <c r="H736" s="5">
        <v>8761.018600</v>
      </c>
    </row>
    <row r="737" spans="1:9">
      <c r="A737" s="22" t="str">
        <f>HYPERLINK("https://app.vivvix.com/360/KMI/IntelliDrive/ApplUI/Pages/CreativePages/CustomReportCreativeDetail.aspx?App=23&amp;ReportView=4&amp;Qid=1711279&amp;Row=729&amp;Col=1","No Title Assigned - #15261238875")</f>
        <v/>
      </c>
      <c r="B737" s="0" t="s">
        <v>1085</v>
      </c>
      <c r="E737" s="0" t="inlineStr">
        <is>
          <t xml:space="preserve">Mazda</t>
        </is>
      </c>
      <c r="F737" s="0" t="s">
        <v>21</v>
      </c>
      <c r="G737" s="0" t="s">
        <v>22</v>
      </c>
      <c r="H737" s="5">
        <v>15863.412100</v>
      </c>
    </row>
    <row r="738" spans="1:9">
      <c r="A738" s="22" t="str">
        <f>HYPERLINK("https://app.vivvix.com/360/KMI/IntelliDrive/ApplUI/Pages/CreativePages/CustomReportCreativeDetail.aspx?App=23&amp;ReportView=4&amp;Qid=1711279&amp;Row=730&amp;Col=1","No Title Assigned - #15261239218")</f>
        <v/>
      </c>
      <c r="B738" s="0" t="s">
        <v>1087</v>
      </c>
      <c r="C738" s="0" t="s">
        <v>1088</v>
      </c>
      <c r="D738" s="0" t="s">
        <v>1088</v>
      </c>
      <c r="E738" s="0" t="inlineStr">
        <is>
          <t xml:space="preserve">Mazda</t>
        </is>
      </c>
      <c r="F738" s="0" t="s">
        <v>21</v>
      </c>
      <c r="G738" s="0" t="s">
        <v>22</v>
      </c>
      <c r="H738" s="5">
        <v>375.429400</v>
      </c>
    </row>
    <row r="739" spans="1:9">
      <c r="A739" s="22" t="str">
        <f>HYPERLINK("https://app.vivvix.com/360/KMI/IntelliDrive/ApplUI/Pages/CreativePages/CustomReportCreativeDetail.aspx?App=23&amp;ReportView=4&amp;Qid=1711279&amp;Row=731&amp;Col=1","No Title Assigned - #15261239221")</f>
        <v/>
      </c>
      <c r="B739" s="0" t="s">
        <v>1089</v>
      </c>
      <c r="C739" s="0" t="s">
        <v>1090</v>
      </c>
      <c r="D739" s="0" t="s">
        <v>1090</v>
      </c>
      <c r="E739" s="0" t="inlineStr">
        <is>
          <t xml:space="preserve">Mazda</t>
        </is>
      </c>
      <c r="F739" s="0" t="s">
        <v>21</v>
      </c>
      <c r="G739" s="0" t="s">
        <v>22</v>
      </c>
      <c r="H739" s="5">
        <v>171.507200</v>
      </c>
    </row>
    <row r="740" spans="1:9">
      <c r="A740" s="22" t="str">
        <f>HYPERLINK("https://app.vivvix.com/360/KMI/IntelliDrive/ApplUI/Pages/CreativePages/CustomReportCreativeDetail.aspx?App=23&amp;ReportView=4&amp;Qid=1711279&amp;Row=732&amp;Col=1","No Title Assigned - #15261239258")</f>
        <v/>
      </c>
      <c r="B740" s="0" t="s">
        <v>1091</v>
      </c>
      <c r="C740" s="0" t="s">
        <v>1092</v>
      </c>
      <c r="D740" s="0" t="s">
        <v>1092</v>
      </c>
      <c r="E740" s="0" t="inlineStr">
        <is>
          <t xml:space="preserve">Mazda</t>
        </is>
      </c>
      <c r="F740" s="0" t="s">
        <v>21</v>
      </c>
      <c r="G740" s="0" t="s">
        <v>22</v>
      </c>
      <c r="H740" s="5">
        <v>1324.387600</v>
      </c>
    </row>
    <row r="741" spans="1:9">
      <c r="A741" s="22" t="str">
        <f>HYPERLINK("https://app.vivvix.com/360/KMI/IntelliDrive/ApplUI/Pages/CreativePages/CustomReportCreativeDetail.aspx?App=23&amp;ReportView=4&amp;Qid=1711279&amp;Row=733&amp;Col=1","No Title Assigned - #15261239610")</f>
        <v/>
      </c>
      <c r="B741" s="0" t="s">
        <v>1093</v>
      </c>
      <c r="C741" s="0" t="s">
        <v>1094</v>
      </c>
      <c r="D741" s="0" t="s">
        <v>1094</v>
      </c>
      <c r="E741" s="0" t="inlineStr">
        <is>
          <t xml:space="preserve">Mazda</t>
        </is>
      </c>
      <c r="F741" s="0" t="s">
        <v>21</v>
      </c>
      <c r="G741" s="0" t="s">
        <v>22</v>
      </c>
      <c r="H741" s="5">
        <v>17.124200</v>
      </c>
    </row>
    <row r="742" spans="1:9">
      <c r="A742" s="22" t="str">
        <f>HYPERLINK("https://app.vivvix.com/360/KMI/IntelliDrive/ApplUI/Pages/CreativePages/CustomReportCreativeDetail.aspx?App=23&amp;ReportView=4&amp;Qid=1711279&amp;Row=734&amp;Col=1","No Title Assigned - #15261240260")</f>
        <v/>
      </c>
      <c r="B742" s="0" t="s">
        <v>1095</v>
      </c>
      <c r="C742" s="0" t="s">
        <v>1096</v>
      </c>
      <c r="D742" s="0" t="s">
        <v>1096</v>
      </c>
      <c r="E742" s="0" t="inlineStr">
        <is>
          <t xml:space="preserve">Mazda</t>
        </is>
      </c>
      <c r="F742" s="0" t="s">
        <v>21</v>
      </c>
      <c r="G742" s="0" t="s">
        <v>22</v>
      </c>
      <c r="H742" s="5">
        <v>37.635200</v>
      </c>
    </row>
    <row r="743" spans="1:9">
      <c r="A743" s="22" t="str">
        <f>HYPERLINK("https://app.vivvix.com/360/KMI/IntelliDrive/ApplUI/Pages/CreativePages/CustomReportCreativeDetail.aspx?App=23&amp;ReportView=4&amp;Qid=1711279&amp;Row=735&amp;Col=1","No Title Assigned - #15261240584")</f>
        <v/>
      </c>
      <c r="B743" s="0" t="s">
        <v>1097</v>
      </c>
      <c r="C743" s="0" t="s">
        <v>1098</v>
      </c>
      <c r="D743" s="0" t="s">
        <v>1098</v>
      </c>
      <c r="E743" s="0" t="inlineStr">
        <is>
          <t xml:space="preserve">Mazda</t>
        </is>
      </c>
      <c r="F743" s="0" t="s">
        <v>21</v>
      </c>
      <c r="G743" s="0" t="s">
        <v>22</v>
      </c>
      <c r="H743" s="5">
        <v>201.836600</v>
      </c>
    </row>
    <row r="744" spans="1:9">
      <c r="A744" s="22" t="str">
        <f>HYPERLINK("https://app.vivvix.com/360/KMI/IntelliDrive/ApplUI/Pages/CreativePages/CustomReportCreativeDetail.aspx?App=23&amp;ReportView=4&amp;Qid=1711279&amp;Row=736&amp;Col=1","No Title Assigned - #15261240585")</f>
        <v/>
      </c>
      <c r="B744" s="0" t="s">
        <v>1099</v>
      </c>
      <c r="C744" s="0" t="s">
        <v>1100</v>
      </c>
      <c r="D744" s="0" t="s">
        <v>1100</v>
      </c>
      <c r="E744" s="0" t="inlineStr">
        <is>
          <t xml:space="preserve">Mazda</t>
        </is>
      </c>
      <c r="F744" s="0" t="s">
        <v>21</v>
      </c>
      <c r="G744" s="0" t="s">
        <v>22</v>
      </c>
      <c r="H744" s="5">
        <v>25540.818000</v>
      </c>
    </row>
    <row r="745" spans="1:9">
      <c r="A745" s="22" t="str">
        <f>HYPERLINK("https://app.vivvix.com/360/KMI/IntelliDrive/ApplUI/Pages/CreativePages/CustomReportCreativeDetail.aspx?App=23&amp;ReportView=4&amp;Qid=1711279&amp;Row=737&amp;Col=1","No Title Assigned - #15261240585")</f>
        <v/>
      </c>
      <c r="B745" s="0" t="s">
        <v>1099</v>
      </c>
      <c r="E745" s="0" t="inlineStr">
        <is>
          <t xml:space="preserve">Mazda</t>
        </is>
      </c>
      <c r="F745" s="0" t="s">
        <v>21</v>
      </c>
      <c r="G745" s="0" t="s">
        <v>22</v>
      </c>
      <c r="H745" s="5">
        <v>15863.412100</v>
      </c>
    </row>
    <row r="746" spans="1:9">
      <c r="A746" s="22" t="str">
        <f>HYPERLINK("https://app.vivvix.com/360/KMI/IntelliDrive/ApplUI/Pages/CreativePages/CustomReportCreativeDetail.aspx?App=23&amp;ReportView=4&amp;Qid=1711279&amp;Row=738&amp;Col=1","No Title Assigned - #15261240734")</f>
        <v/>
      </c>
      <c r="B746" s="0" t="s">
        <v>1101</v>
      </c>
      <c r="C746" s="0" t="s">
        <v>1102</v>
      </c>
      <c r="D746" s="0" t="s">
        <v>1102</v>
      </c>
      <c r="E746" s="0" t="inlineStr">
        <is>
          <t xml:space="preserve">Mazda</t>
        </is>
      </c>
      <c r="F746" s="0" t="s">
        <v>21</v>
      </c>
      <c r="G746" s="0" t="s">
        <v>22</v>
      </c>
      <c r="H746" s="5">
        <v>116.895000</v>
      </c>
    </row>
    <row r="747" spans="1:9">
      <c r="A747" s="22" t="str">
        <f>HYPERLINK("https://app.vivvix.com/360/KMI/IntelliDrive/ApplUI/Pages/CreativePages/CustomReportCreativeDetail.aspx?App=23&amp;ReportView=4&amp;Qid=1711279&amp;Row=739&amp;Col=1","No Title Assigned - #15261240923")</f>
        <v/>
      </c>
      <c r="B747" s="0" t="s">
        <v>1103</v>
      </c>
      <c r="C747" s="0" t="s">
        <v>1104</v>
      </c>
      <c r="D747" s="0" t="s">
        <v>1104</v>
      </c>
      <c r="E747" s="0" t="inlineStr">
        <is>
          <t xml:space="preserve">Mazda</t>
        </is>
      </c>
      <c r="F747" s="0" t="s">
        <v>21</v>
      </c>
      <c r="G747" s="0" t="s">
        <v>22</v>
      </c>
      <c r="H747" s="5">
        <v>2846.935900</v>
      </c>
    </row>
    <row r="748" spans="1:9">
      <c r="A748" s="22" t="str">
        <f>HYPERLINK("https://app.vivvix.com/360/KMI/IntelliDrive/ApplUI/Pages/CreativePages/CustomReportCreativeDetail.aspx?App=23&amp;ReportView=4&amp;Qid=1711279&amp;Row=740&amp;Col=1","No Title Assigned - #15261241183")</f>
        <v/>
      </c>
      <c r="B748" s="0" t="s">
        <v>1105</v>
      </c>
      <c r="C748" s="0" t="s">
        <v>1106</v>
      </c>
      <c r="D748" s="0" t="s">
        <v>1106</v>
      </c>
      <c r="E748" s="0" t="inlineStr">
        <is>
          <t xml:space="preserve">Mazda</t>
        </is>
      </c>
      <c r="F748" s="0" t="s">
        <v>21</v>
      </c>
      <c r="G748" s="0" t="s">
        <v>22</v>
      </c>
      <c r="H748" s="5">
        <v>656.806700</v>
      </c>
    </row>
    <row r="749" spans="1:9">
      <c r="A749" s="22" t="str">
        <f>HYPERLINK("https://app.vivvix.com/360/KMI/IntelliDrive/ApplUI/Pages/CreativePages/CustomReportCreativeDetail.aspx?App=23&amp;ReportView=4&amp;Qid=1711279&amp;Row=741&amp;Col=1","No Title Assigned - #15261241303")</f>
        <v/>
      </c>
      <c r="B749" s="0" t="s">
        <v>1107</v>
      </c>
      <c r="C749" s="0" t="s">
        <v>1108</v>
      </c>
      <c r="D749" s="0" t="s">
        <v>1108</v>
      </c>
      <c r="E749" s="0" t="inlineStr">
        <is>
          <t xml:space="preserve">Mazda</t>
        </is>
      </c>
      <c r="F749" s="0" t="s">
        <v>21</v>
      </c>
      <c r="G749" s="0" t="s">
        <v>22</v>
      </c>
      <c r="H749" s="5">
        <v>47513.324400</v>
      </c>
    </row>
    <row r="750" spans="1:9">
      <c r="A750" s="22" t="str">
        <f>HYPERLINK("https://app.vivvix.com/360/KMI/IntelliDrive/ApplUI/Pages/CreativePages/CustomReportCreativeDetail.aspx?App=23&amp;ReportView=4&amp;Qid=1711279&amp;Row=742&amp;Col=1","No Title Assigned - #15261241303")</f>
        <v/>
      </c>
      <c r="B750" s="0" t="s">
        <v>1107</v>
      </c>
      <c r="E750" s="0" t="inlineStr">
        <is>
          <t xml:space="preserve">Mazda</t>
        </is>
      </c>
      <c r="F750" s="0" t="s">
        <v>21</v>
      </c>
      <c r="G750" s="0" t="s">
        <v>22</v>
      </c>
      <c r="H750" s="5">
        <v>44463.358300</v>
      </c>
    </row>
    <row r="751" spans="1:9">
      <c r="A751" s="22" t="str">
        <f>HYPERLINK("https://app.vivvix.com/360/KMI/IntelliDrive/ApplUI/Pages/CreativePages/CustomReportCreativeDetail.aspx?App=23&amp;ReportView=4&amp;Qid=1711279&amp;Row=743&amp;Col=1","No Title Assigned - #15261242991")</f>
        <v/>
      </c>
      <c r="B751" s="0" t="s">
        <v>1109</v>
      </c>
      <c r="C751" s="0" t="s">
        <v>1110</v>
      </c>
      <c r="D751" s="0" t="s">
        <v>1110</v>
      </c>
      <c r="E751" s="0" t="inlineStr">
        <is>
          <t xml:space="preserve">Mazda</t>
        </is>
      </c>
      <c r="F751" s="0" t="s">
        <v>17</v>
      </c>
      <c r="G751" s="0" t="s">
        <v>33</v>
      </c>
      <c r="H751" s="5">
        <v>115.670200</v>
      </c>
    </row>
    <row r="752" spans="1:9">
      <c r="A752" s="22" t="str">
        <f>HYPERLINK("https://app.vivvix.com/360/KMI/IntelliDrive/ApplUI/Pages/CreativePages/CustomReportCreativeDetail.aspx?App=23&amp;ReportView=4&amp;Qid=1711279&amp;Row=744&amp;Col=1","No Title Assigned - #15261260253")</f>
        <v/>
      </c>
      <c r="B752" s="0" t="s">
        <v>1111</v>
      </c>
      <c r="C752" s="0" t="s">
        <v>1112</v>
      </c>
      <c r="D752" s="0" t="s">
        <v>1112</v>
      </c>
      <c r="E752" s="0" t="inlineStr">
        <is>
          <t xml:space="preserve">Mazda</t>
        </is>
      </c>
      <c r="F752" s="0" t="s">
        <v>21</v>
      </c>
      <c r="G752" s="0" t="s">
        <v>22</v>
      </c>
      <c r="H752" s="5">
        <v>366.093900</v>
      </c>
    </row>
    <row r="753" spans="1:9">
      <c r="A753" s="22" t="str">
        <f>HYPERLINK("https://app.vivvix.com/360/KMI/IntelliDrive/ApplUI/Pages/CreativePages/CustomReportCreativeDetail.aspx?App=23&amp;ReportView=4&amp;Qid=1711279&amp;Row=745&amp;Col=1","No Title Assigned - #15261262743")</f>
        <v/>
      </c>
      <c r="B753" s="0" t="s">
        <v>1113</v>
      </c>
      <c r="C753" s="0" t="s">
        <v>1114</v>
      </c>
      <c r="D753" s="0" t="s">
        <v>1114</v>
      </c>
      <c r="E753" s="0" t="inlineStr">
        <is>
          <t xml:space="preserve">Mazda</t>
        </is>
      </c>
      <c r="F753" s="0" t="s">
        <v>21</v>
      </c>
      <c r="G753" s="0" t="s">
        <v>22</v>
      </c>
      <c r="H753" s="5">
        <v>4653.661900</v>
      </c>
    </row>
    <row r="754" spans="1:9">
      <c r="A754" s="22" t="str">
        <f>HYPERLINK("https://app.vivvix.com/360/KMI/IntelliDrive/ApplUI/Pages/CreativePages/CustomReportCreativeDetail.aspx?App=23&amp;ReportView=4&amp;Qid=1711279&amp;Row=746&amp;Col=1","No Title Assigned - #15261262743")</f>
        <v/>
      </c>
      <c r="B754" s="0" t="s">
        <v>1113</v>
      </c>
      <c r="E754" s="0" t="inlineStr">
        <is>
          <t xml:space="preserve">Mazda</t>
        </is>
      </c>
      <c r="F754" s="0" t="s">
        <v>21</v>
      </c>
      <c r="G754" s="0" t="s">
        <v>22</v>
      </c>
      <c r="H754" s="5">
        <v>519.061800</v>
      </c>
    </row>
    <row r="755" spans="1:9">
      <c r="A755" s="22" t="str">
        <f>HYPERLINK("https://app.vivvix.com/360/KMI/IntelliDrive/ApplUI/Pages/CreativePages/CustomReportCreativeDetail.aspx?App=23&amp;ReportView=4&amp;Qid=1711279&amp;Row=747&amp;Col=1","No Title Assigned - #15261266470")</f>
        <v/>
      </c>
      <c r="B755" s="0" t="s">
        <v>1115</v>
      </c>
      <c r="C755" s="0" t="s">
        <v>1116</v>
      </c>
      <c r="D755" s="0" t="s">
        <v>1116</v>
      </c>
      <c r="E755" s="0" t="inlineStr">
        <is>
          <t xml:space="preserve">Mazda</t>
        </is>
      </c>
      <c r="F755" s="0" t="s">
        <v>28</v>
      </c>
      <c r="G755" s="0" t="s">
        <v>29</v>
      </c>
      <c r="H755" s="5">
        <v>2078.184800</v>
      </c>
    </row>
    <row r="756" spans="1:9">
      <c r="A756" s="22" t="str">
        <f>HYPERLINK("https://app.vivvix.com/360/KMI/IntelliDrive/ApplUI/Pages/CreativePages/CustomReportCreativeDetail.aspx?App=23&amp;ReportView=4&amp;Qid=1711279&amp;Row=748&amp;Col=1","No Title Assigned - #15261266470")</f>
        <v/>
      </c>
      <c r="B756" s="0" t="s">
        <v>1115</v>
      </c>
      <c r="E756" s="0" t="inlineStr">
        <is>
          <t xml:space="preserve">Mazda</t>
        </is>
      </c>
      <c r="F756" s="0" t="s">
        <v>28</v>
      </c>
      <c r="G756" s="0" t="s">
        <v>29</v>
      </c>
      <c r="H756" s="5">
        <v>456.241100</v>
      </c>
    </row>
    <row r="757" spans="1:9">
      <c r="A757" s="22" t="str">
        <f>HYPERLINK("https://app.vivvix.com/360/KMI/IntelliDrive/ApplUI/Pages/CreativePages/CustomReportCreativeDetail.aspx?App=23&amp;ReportView=4&amp;Qid=1711279&amp;Row=749&amp;Col=1","No Title Assigned - #15261268261")</f>
        <v/>
      </c>
      <c r="B757" s="0" t="s">
        <v>1117</v>
      </c>
      <c r="C757" s="0" t="s">
        <v>1118</v>
      </c>
      <c r="D757" s="0" t="s">
        <v>1118</v>
      </c>
      <c r="E757" s="0" t="inlineStr">
        <is>
          <t xml:space="preserve">Mazda</t>
        </is>
      </c>
      <c r="F757" s="0" t="s">
        <v>17</v>
      </c>
      <c r="G757" s="0" t="s">
        <v>33</v>
      </c>
      <c r="H757" s="5">
        <v>1510.631500</v>
      </c>
    </row>
    <row r="758" spans="1:9">
      <c r="A758" s="22" t="str">
        <f>HYPERLINK("https://app.vivvix.com/360/KMI/IntelliDrive/ApplUI/Pages/CreativePages/CustomReportCreativeDetail.aspx?App=23&amp;ReportView=4&amp;Qid=1711279&amp;Row=750&amp;Col=1","No Title Assigned - #15261270013")</f>
        <v/>
      </c>
      <c r="B758" s="0" t="s">
        <v>1119</v>
      </c>
      <c r="C758" s="0" t="s">
        <v>1120</v>
      </c>
      <c r="D758" s="0" t="s">
        <v>1120</v>
      </c>
      <c r="E758" s="0" t="inlineStr">
        <is>
          <t xml:space="preserve">Mazda</t>
        </is>
      </c>
      <c r="F758" s="0" t="s">
        <v>21</v>
      </c>
      <c r="G758" s="0" t="s">
        <v>22</v>
      </c>
      <c r="H758" s="5">
        <v>3249.702500</v>
      </c>
    </row>
    <row r="759" spans="1:9">
      <c r="A759" s="22" t="str">
        <f>HYPERLINK("https://app.vivvix.com/360/KMI/IntelliDrive/ApplUI/Pages/CreativePages/CustomReportCreativeDetail.aspx?App=23&amp;ReportView=4&amp;Qid=1711279&amp;Row=751&amp;Col=1","No Title Assigned - #15261270039")</f>
        <v/>
      </c>
      <c r="B759" s="0" t="s">
        <v>1121</v>
      </c>
      <c r="C759" s="0" t="s">
        <v>1122</v>
      </c>
      <c r="D759" s="0" t="s">
        <v>1122</v>
      </c>
      <c r="E759" s="0" t="inlineStr">
        <is>
          <t xml:space="preserve">Mazda</t>
        </is>
      </c>
      <c r="F759" s="0" t="s">
        <v>28</v>
      </c>
      <c r="G759" s="0" t="s">
        <v>29</v>
      </c>
      <c r="H759" s="5">
        <v>1537.085800</v>
      </c>
    </row>
    <row r="760" spans="1:9">
      <c r="A760" s="22" t="str">
        <f>HYPERLINK("https://app.vivvix.com/360/KMI/IntelliDrive/ApplUI/Pages/CreativePages/CustomReportCreativeDetail.aspx?App=23&amp;ReportView=4&amp;Qid=1711279&amp;Row=752&amp;Col=1","No Title Assigned - #15261271239")</f>
        <v/>
      </c>
      <c r="B760" s="0" t="s">
        <v>1123</v>
      </c>
      <c r="C760" s="0" t="s">
        <v>1124</v>
      </c>
      <c r="D760" s="0" t="s">
        <v>1124</v>
      </c>
      <c r="E760" s="0" t="inlineStr">
        <is>
          <t xml:space="preserve">Mazda</t>
        </is>
      </c>
      <c r="F760" s="0" t="s">
        <v>17</v>
      </c>
      <c r="G760" s="0" t="s">
        <v>33</v>
      </c>
      <c r="H760" s="5">
        <v>704.434700</v>
      </c>
    </row>
    <row r="761" spans="1:9">
      <c r="A761" s="22" t="str">
        <f>HYPERLINK("https://app.vivvix.com/360/KMI/IntelliDrive/ApplUI/Pages/CreativePages/CustomReportCreativeDetail.aspx?App=23&amp;ReportView=4&amp;Qid=1711279&amp;Row=753&amp;Col=1","No Title Assigned - #15261272210")</f>
        <v/>
      </c>
      <c r="B761" s="0" t="s">
        <v>1125</v>
      </c>
      <c r="C761" s="0" t="s">
        <v>1126</v>
      </c>
      <c r="D761" s="0" t="s">
        <v>1126</v>
      </c>
      <c r="E761" s="0" t="inlineStr">
        <is>
          <t xml:space="preserve">Mazda</t>
        </is>
      </c>
      <c r="F761" s="0" t="s">
        <v>21</v>
      </c>
      <c r="G761" s="0" t="s">
        <v>22</v>
      </c>
      <c r="H761" s="5">
        <v>41240.140800</v>
      </c>
    </row>
    <row r="762" spans="1:9">
      <c r="A762" s="22" t="str">
        <f>HYPERLINK("https://app.vivvix.com/360/KMI/IntelliDrive/ApplUI/Pages/CreativePages/CustomReportCreativeDetail.aspx?App=23&amp;ReportView=4&amp;Qid=1711279&amp;Row=754&amp;Col=1","No Title Assigned - #15261272868")</f>
        <v/>
      </c>
      <c r="B762" s="0" t="s">
        <v>1127</v>
      </c>
      <c r="C762" s="0" t="s">
        <v>1128</v>
      </c>
      <c r="D762" s="0" t="s">
        <v>1128</v>
      </c>
      <c r="E762" s="0" t="inlineStr">
        <is>
          <t xml:space="preserve">Mazda</t>
        </is>
      </c>
      <c r="F762" s="0" t="s">
        <v>28</v>
      </c>
      <c r="G762" s="0" t="s">
        <v>29</v>
      </c>
      <c r="H762" s="5">
        <v>38.088100</v>
      </c>
    </row>
    <row r="763" spans="1:9">
      <c r="A763" s="22" t="str">
        <f>HYPERLINK("https://app.vivvix.com/360/KMI/IntelliDrive/ApplUI/Pages/CreativePages/CustomReportCreativeDetail.aspx?App=23&amp;ReportView=4&amp;Qid=1711279&amp;Row=755&amp;Col=1","No Title Assigned - #15261272868")</f>
        <v/>
      </c>
      <c r="B763" s="0" t="s">
        <v>1127</v>
      </c>
      <c r="E763" s="0" t="inlineStr">
        <is>
          <t xml:space="preserve">Mazda</t>
        </is>
      </c>
      <c r="F763" s="0" t="s">
        <v>28</v>
      </c>
      <c r="G763" s="0" t="s">
        <v>29</v>
      </c>
      <c r="H763" s="5">
        <v>912.482200</v>
      </c>
    </row>
    <row r="764" spans="1:9">
      <c r="A764" s="22" t="str">
        <f>HYPERLINK("https://app.vivvix.com/360/KMI/IntelliDrive/ApplUI/Pages/CreativePages/CustomReportCreativeDetail.aspx?App=23&amp;ReportView=4&amp;Qid=1711279&amp;Row=756&amp;Col=1","No Title Assigned - #15261273165")</f>
        <v/>
      </c>
      <c r="B764" s="0" t="s">
        <v>1129</v>
      </c>
      <c r="C764" s="0" t="s">
        <v>1130</v>
      </c>
      <c r="D764" s="0" t="s">
        <v>1130</v>
      </c>
      <c r="E764" s="0" t="inlineStr">
        <is>
          <t xml:space="preserve">Mazda</t>
        </is>
      </c>
      <c r="F764" s="0" t="s">
        <v>17</v>
      </c>
      <c r="G764" s="0" t="s">
        <v>33</v>
      </c>
      <c r="H764" s="5">
        <v>1990.942800</v>
      </c>
    </row>
    <row r="765" spans="1:9">
      <c r="A765" s="22" t="str">
        <f>HYPERLINK("https://app.vivvix.com/360/KMI/IntelliDrive/ApplUI/Pages/CreativePages/CustomReportCreativeDetail.aspx?App=23&amp;ReportView=4&amp;Qid=1711279&amp;Row=757&amp;Col=1","No Title Assigned - #15261273439")</f>
        <v/>
      </c>
      <c r="B765" s="0" t="s">
        <v>1131</v>
      </c>
      <c r="C765" s="0" t="s">
        <v>1132</v>
      </c>
      <c r="D765" s="0" t="s">
        <v>1132</v>
      </c>
      <c r="E765" s="0" t="inlineStr">
        <is>
          <t xml:space="preserve">Mazda</t>
        </is>
      </c>
      <c r="F765" s="0" t="s">
        <v>17</v>
      </c>
      <c r="G765" s="0" t="s">
        <v>33</v>
      </c>
      <c r="H765" s="5">
        <v>8359.570200</v>
      </c>
    </row>
    <row r="766" spans="1:9">
      <c r="A766" s="22" t="str">
        <f>HYPERLINK("https://app.vivvix.com/360/KMI/IntelliDrive/ApplUI/Pages/CreativePages/CustomReportCreativeDetail.aspx?App=23&amp;ReportView=4&amp;Qid=1711279&amp;Row=758&amp;Col=1","No Title Assigned - #15261273439")</f>
        <v/>
      </c>
      <c r="B766" s="0" t="s">
        <v>1131</v>
      </c>
      <c r="E766" s="0" t="inlineStr">
        <is>
          <t xml:space="preserve">Mazda</t>
        </is>
      </c>
      <c r="F766" s="0" t="s">
        <v>17</v>
      </c>
      <c r="G766" s="0" t="s">
        <v>33</v>
      </c>
      <c r="H766" s="5">
        <v>1841.094000</v>
      </c>
    </row>
    <row r="767" spans="1:9">
      <c r="A767" s="22" t="str">
        <f>HYPERLINK("https://app.vivvix.com/360/KMI/IntelliDrive/ApplUI/Pages/CreativePages/CustomReportCreativeDetail.aspx?App=23&amp;ReportView=4&amp;Qid=1711279&amp;Row=759&amp;Col=1","No Title Assigned - #15261273863")</f>
        <v/>
      </c>
      <c r="B767" s="0" t="s">
        <v>1133</v>
      </c>
      <c r="C767" s="0" t="s">
        <v>1134</v>
      </c>
      <c r="D767" s="0" t="s">
        <v>1134</v>
      </c>
      <c r="E767" s="0" t="inlineStr">
        <is>
          <t xml:space="preserve">Mazda</t>
        </is>
      </c>
      <c r="F767" s="0" t="s">
        <v>17</v>
      </c>
      <c r="G767" s="0" t="s">
        <v>33</v>
      </c>
      <c r="H767" s="5">
        <v>46391.072400</v>
      </c>
    </row>
    <row r="768" spans="1:9">
      <c r="A768" s="22" t="str">
        <f>HYPERLINK("https://app.vivvix.com/360/KMI/IntelliDrive/ApplUI/Pages/CreativePages/CustomReportCreativeDetail.aspx?App=23&amp;ReportView=4&amp;Qid=1711279&amp;Row=760&amp;Col=1","No Title Assigned - #15261275449")</f>
        <v/>
      </c>
      <c r="B768" s="0" t="s">
        <v>1135</v>
      </c>
      <c r="C768" s="0" t="s">
        <v>1136</v>
      </c>
      <c r="D768" s="0" t="s">
        <v>1136</v>
      </c>
      <c r="E768" s="0" t="inlineStr">
        <is>
          <t xml:space="preserve">Mazda</t>
        </is>
      </c>
      <c r="F768" s="0" t="s">
        <v>21</v>
      </c>
      <c r="G768" s="0" t="s">
        <v>22</v>
      </c>
      <c r="H768" s="5">
        <v>12769.435400</v>
      </c>
    </row>
    <row r="769" spans="1:9">
      <c r="A769" s="22" t="str">
        <f>HYPERLINK("https://app.vivvix.com/360/KMI/IntelliDrive/ApplUI/Pages/CreativePages/CustomReportCreativeDetail.aspx?App=23&amp;ReportView=4&amp;Qid=1711279&amp;Row=761&amp;Col=1","No Title Assigned - #15261275747")</f>
        <v/>
      </c>
      <c r="B769" s="0" t="s">
        <v>1137</v>
      </c>
      <c r="C769" s="0" t="s">
        <v>1138</v>
      </c>
      <c r="D769" s="0" t="s">
        <v>1138</v>
      </c>
      <c r="E769" s="0" t="inlineStr">
        <is>
          <t xml:space="preserve">Mazda</t>
        </is>
      </c>
      <c r="F769" s="0" t="s">
        <v>17</v>
      </c>
      <c r="G769" s="0" t="s">
        <v>33</v>
      </c>
      <c r="H769" s="5">
        <v>480.981200</v>
      </c>
    </row>
    <row r="770" spans="1:9">
      <c r="A770" s="22" t="str">
        <f>HYPERLINK("https://app.vivvix.com/360/KMI/IntelliDrive/ApplUI/Pages/CreativePages/CustomReportCreativeDetail.aspx?App=23&amp;ReportView=4&amp;Qid=1711279&amp;Row=762&amp;Col=1","No Title Assigned - #15261284262")</f>
        <v/>
      </c>
      <c r="B770" s="0" t="s">
        <v>1139</v>
      </c>
      <c r="C770" s="0" t="s">
        <v>1140</v>
      </c>
      <c r="D770" s="0" t="s">
        <v>1140</v>
      </c>
      <c r="E770" s="0" t="inlineStr">
        <is>
          <t xml:space="preserve">Mazda</t>
        </is>
      </c>
      <c r="F770" s="0" t="s">
        <v>21</v>
      </c>
      <c r="G770" s="0" t="s">
        <v>22</v>
      </c>
      <c r="H770" s="5">
        <v>1132.675800</v>
      </c>
    </row>
    <row r="771" spans="1:9">
      <c r="A771" s="22" t="str">
        <f>HYPERLINK("https://app.vivvix.com/360/KMI/IntelliDrive/ApplUI/Pages/CreativePages/CustomReportCreativeDetail.aspx?App=23&amp;ReportView=4&amp;Qid=1711279&amp;Row=763&amp;Col=1","No Title Assigned - #15261286321")</f>
        <v/>
      </c>
      <c r="B771" s="0" t="s">
        <v>1141</v>
      </c>
      <c r="C771" s="0" t="s">
        <v>1142</v>
      </c>
      <c r="D771" s="0" t="s">
        <v>1142</v>
      </c>
      <c r="E771" s="0" t="inlineStr">
        <is>
          <t xml:space="preserve">Mazda</t>
        </is>
      </c>
      <c r="F771" s="0" t="s">
        <v>17</v>
      </c>
      <c r="G771" s="0" t="s">
        <v>33</v>
      </c>
      <c r="H771" s="5">
        <v>431.977500</v>
      </c>
    </row>
    <row r="772" spans="1:9">
      <c r="A772" s="22" t="str">
        <f>HYPERLINK("https://app.vivvix.com/360/KMI/IntelliDrive/ApplUI/Pages/CreativePages/CustomReportCreativeDetail.aspx?App=23&amp;ReportView=4&amp;Qid=1711279&amp;Row=764&amp;Col=1","No Title Assigned - #15261288652")</f>
        <v/>
      </c>
      <c r="B772" s="0" t="s">
        <v>1143</v>
      </c>
      <c r="C772" s="0" t="s">
        <v>1144</v>
      </c>
      <c r="D772" s="0" t="s">
        <v>1144</v>
      </c>
      <c r="E772" s="0" t="inlineStr">
        <is>
          <t xml:space="preserve">Mazda</t>
        </is>
      </c>
      <c r="F772" s="0" t="s">
        <v>13</v>
      </c>
      <c r="G772" s="0" t="s">
        <v>49</v>
      </c>
      <c r="H772" s="5">
        <v>998.357100</v>
      </c>
    </row>
    <row r="773" spans="1:9">
      <c r="A773" s="22" t="str">
        <f>HYPERLINK("https://app.vivvix.com/360/KMI/IntelliDrive/ApplUI/Pages/CreativePages/CustomReportCreativeDetail.aspx?App=23&amp;ReportView=4&amp;Qid=1711279&amp;Row=765&amp;Col=1","No Title Assigned - #15261288652")</f>
        <v/>
      </c>
      <c r="B773" s="0" t="s">
        <v>1143</v>
      </c>
      <c r="E773" s="0" t="inlineStr">
        <is>
          <t xml:space="preserve">Mazda</t>
        </is>
      </c>
      <c r="F773" s="0" t="s">
        <v>13</v>
      </c>
      <c r="G773" s="0" t="s">
        <v>49</v>
      </c>
      <c r="H773" s="5">
        <v>838.320800</v>
      </c>
    </row>
    <row r="774" spans="1:9">
      <c r="A774" s="22" t="str">
        <f>HYPERLINK("https://app.vivvix.com/360/KMI/IntelliDrive/ApplUI/Pages/CreativePages/CustomReportCreativeDetail.aspx?App=23&amp;ReportView=4&amp;Qid=1711279&amp;Row=766&amp;Col=1","No Title Assigned - #15261291036")</f>
        <v/>
      </c>
      <c r="B774" s="0" t="s">
        <v>1145</v>
      </c>
      <c r="C774" s="0" t="s">
        <v>1146</v>
      </c>
      <c r="D774" s="0" t="s">
        <v>1146</v>
      </c>
      <c r="E774" s="0" t="inlineStr">
        <is>
          <t xml:space="preserve">Mazda</t>
        </is>
      </c>
      <c r="F774" s="0" t="s">
        <v>17</v>
      </c>
      <c r="G774" s="0" t="s">
        <v>33</v>
      </c>
      <c r="H774" s="5">
        <v>1619.826300</v>
      </c>
    </row>
    <row r="775" spans="1:9">
      <c r="A775" s="22" t="str">
        <f>HYPERLINK("https://app.vivvix.com/360/KMI/IntelliDrive/ApplUI/Pages/CreativePages/CustomReportCreativeDetail.aspx?App=23&amp;ReportView=4&amp;Qid=1711279&amp;Row=767&amp;Col=1","No Title Assigned - #15261292632")</f>
        <v/>
      </c>
      <c r="B775" s="0" t="s">
        <v>1147</v>
      </c>
      <c r="C775" s="0" t="s">
        <v>1148</v>
      </c>
      <c r="D775" s="0" t="s">
        <v>1148</v>
      </c>
      <c r="E775" s="0" t="inlineStr">
        <is>
          <t xml:space="preserve">Mazda</t>
        </is>
      </c>
      <c r="F775" s="0" t="s">
        <v>21</v>
      </c>
      <c r="G775" s="0" t="s">
        <v>22</v>
      </c>
      <c r="H775" s="5">
        <v>905.473200</v>
      </c>
    </row>
    <row r="776" spans="1:9">
      <c r="A776" s="22" t="str">
        <f>HYPERLINK("https://app.vivvix.com/360/KMI/IntelliDrive/ApplUI/Pages/CreativePages/CustomReportCreativeDetail.aspx?App=23&amp;ReportView=4&amp;Qid=1711279&amp;Row=768&amp;Col=1","No Title Assigned - #15261312098")</f>
        <v/>
      </c>
      <c r="B776" s="0" t="s">
        <v>1149</v>
      </c>
      <c r="C776" s="0" t="s">
        <v>1150</v>
      </c>
      <c r="D776" s="0" t="s">
        <v>1150</v>
      </c>
      <c r="E776" s="0" t="inlineStr">
        <is>
          <t xml:space="preserve">Mazda</t>
        </is>
      </c>
      <c r="F776" s="0" t="s">
        <v>28</v>
      </c>
      <c r="G776" s="0" t="s">
        <v>29</v>
      </c>
      <c r="H776" s="5">
        <v>419.321100</v>
      </c>
    </row>
    <row r="777" spans="1:9">
      <c r="A777" s="22" t="str">
        <f>HYPERLINK("https://app.vivvix.com/360/KMI/IntelliDrive/ApplUI/Pages/CreativePages/CustomReportCreativeDetail.aspx?App=23&amp;ReportView=4&amp;Qid=1711279&amp;Row=769&amp;Col=1","No Title Assigned - #15261312479")</f>
        <v/>
      </c>
      <c r="B777" s="0" t="s">
        <v>1151</v>
      </c>
      <c r="C777" s="0" t="s">
        <v>1152</v>
      </c>
      <c r="D777" s="0" t="s">
        <v>1152</v>
      </c>
      <c r="E777" s="0" t="inlineStr">
        <is>
          <t xml:space="preserve">Mazda</t>
        </is>
      </c>
      <c r="F777" s="0" t="s">
        <v>28</v>
      </c>
      <c r="G777" s="0" t="s">
        <v>29</v>
      </c>
      <c r="H777" s="5">
        <v>768.285400</v>
      </c>
    </row>
    <row r="778" spans="1:9">
      <c r="A778" s="22" t="str">
        <f>HYPERLINK("https://app.vivvix.com/360/KMI/IntelliDrive/ApplUI/Pages/CreativePages/CustomReportCreativeDetail.aspx?App=23&amp;ReportView=4&amp;Qid=1711279&amp;Row=770&amp;Col=1","No Title Assigned - #15261313437")</f>
        <v/>
      </c>
      <c r="B778" s="0" t="s">
        <v>1153</v>
      </c>
      <c r="C778" s="0" t="s">
        <v>1154</v>
      </c>
      <c r="D778" s="0" t="s">
        <v>1154</v>
      </c>
      <c r="E778" s="0" t="inlineStr">
        <is>
          <t xml:space="preserve">Mazda</t>
        </is>
      </c>
      <c r="F778" s="0" t="s">
        <v>21</v>
      </c>
      <c r="G778" s="0" t="s">
        <v>22</v>
      </c>
      <c r="H778" s="5">
        <v>841.548000</v>
      </c>
    </row>
    <row r="779" spans="1:9">
      <c r="A779" s="22" t="str">
        <f>HYPERLINK("https://app.vivvix.com/360/KMI/IntelliDrive/ApplUI/Pages/CreativePages/CustomReportCreativeDetail.aspx?App=23&amp;ReportView=4&amp;Qid=1711279&amp;Row=771&amp;Col=1","No Title Assigned - #15261315180")</f>
        <v/>
      </c>
      <c r="B779" s="0" t="s">
        <v>1155</v>
      </c>
      <c r="C779" s="0" t="s">
        <v>1156</v>
      </c>
      <c r="D779" s="0" t="s">
        <v>1156</v>
      </c>
      <c r="E779" s="0" t="inlineStr">
        <is>
          <t xml:space="preserve">Mazda</t>
        </is>
      </c>
      <c r="F779" s="0" t="s">
        <v>28</v>
      </c>
      <c r="G779" s="0" t="s">
        <v>29</v>
      </c>
      <c r="H779" s="5">
        <v>1133.448600</v>
      </c>
    </row>
    <row r="780" spans="1:9">
      <c r="A780" s="22" t="str">
        <f>HYPERLINK("https://app.vivvix.com/360/KMI/IntelliDrive/ApplUI/Pages/CreativePages/CustomReportCreativeDetail.aspx?App=23&amp;ReportView=4&amp;Qid=1711279&amp;Row=772&amp;Col=1","No Title Assigned - #15261319215")</f>
        <v/>
      </c>
      <c r="B780" s="0" t="s">
        <v>1157</v>
      </c>
      <c r="C780" s="0" t="s">
        <v>1158</v>
      </c>
      <c r="D780" s="0" t="s">
        <v>1158</v>
      </c>
      <c r="E780" s="0" t="inlineStr">
        <is>
          <t xml:space="preserve">Mazda</t>
        </is>
      </c>
      <c r="F780" s="0" t="s">
        <v>13</v>
      </c>
      <c r="G780" s="0" t="s">
        <v>49</v>
      </c>
      <c r="H780" s="5">
        <v>574.271700</v>
      </c>
    </row>
    <row r="781" spans="1:9">
      <c r="A781" s="22" t="str">
        <f>HYPERLINK("https://app.vivvix.com/360/KMI/IntelliDrive/ApplUI/Pages/CreativePages/CustomReportCreativeDetail.aspx?App=23&amp;ReportView=4&amp;Qid=1711279&amp;Row=773&amp;Col=1","No Title Assigned - #15261320019")</f>
        <v/>
      </c>
      <c r="B781" s="0" t="s">
        <v>1159</v>
      </c>
      <c r="C781" s="0" t="s">
        <v>1160</v>
      </c>
      <c r="D781" s="0" t="s">
        <v>1160</v>
      </c>
      <c r="E781" s="0" t="inlineStr">
        <is>
          <t xml:space="preserve">Mazda</t>
        </is>
      </c>
      <c r="F781" s="0" t="s">
        <v>13</v>
      </c>
      <c r="G781" s="0" t="s">
        <v>49</v>
      </c>
      <c r="H781" s="5">
        <v>229.772800</v>
      </c>
    </row>
    <row r="782" spans="1:9">
      <c r="A782" s="22" t="str">
        <f>HYPERLINK("https://app.vivvix.com/360/KMI/IntelliDrive/ApplUI/Pages/CreativePages/CustomReportCreativeDetail.aspx?App=23&amp;ReportView=4&amp;Qid=1711279&amp;Row=774&amp;Col=1","No Title Assigned - #15261330921")</f>
        <v/>
      </c>
      <c r="B782" s="0" t="s">
        <v>1161</v>
      </c>
      <c r="C782" s="0" t="s">
        <v>1162</v>
      </c>
      <c r="D782" s="0" t="s">
        <v>1162</v>
      </c>
      <c r="E782" s="0" t="inlineStr">
        <is>
          <t xml:space="preserve">Mazda</t>
        </is>
      </c>
      <c r="F782" s="0" t="s">
        <v>17</v>
      </c>
      <c r="G782" s="0" t="s">
        <v>33</v>
      </c>
      <c r="H782" s="5">
        <v>150.803600</v>
      </c>
    </row>
    <row r="783" spans="1:9">
      <c r="A783" s="22" t="str">
        <f>HYPERLINK("https://app.vivvix.com/360/KMI/IntelliDrive/ApplUI/Pages/CreativePages/CustomReportCreativeDetail.aspx?App=23&amp;ReportView=4&amp;Qid=1711279&amp;Row=775&amp;Col=1","No Title Assigned - #15261352701")</f>
        <v/>
      </c>
      <c r="B783" s="0" t="s">
        <v>1163</v>
      </c>
      <c r="C783" s="0" t="s">
        <v>1164</v>
      </c>
      <c r="D783" s="0" t="s">
        <v>1164</v>
      </c>
      <c r="E783" s="0" t="inlineStr">
        <is>
          <t xml:space="preserve">Mazda</t>
        </is>
      </c>
      <c r="F783" s="0" t="s">
        <v>21</v>
      </c>
      <c r="G783" s="0" t="s">
        <v>22</v>
      </c>
      <c r="H783" s="5">
        <v>48.303800</v>
      </c>
    </row>
    <row r="784" spans="1:9">
      <c r="A784" s="22" t="str">
        <f>HYPERLINK("https://app.vivvix.com/360/KMI/IntelliDrive/ApplUI/Pages/CreativePages/CustomReportCreativeDetail.aspx?App=23&amp;ReportView=4&amp;Qid=1711279&amp;Row=776&amp;Col=1","No Title Assigned - #15261352754")</f>
        <v/>
      </c>
      <c r="B784" s="0" t="s">
        <v>1165</v>
      </c>
      <c r="C784" s="0" t="s">
        <v>1166</v>
      </c>
      <c r="D784" s="0" t="s">
        <v>1166</v>
      </c>
      <c r="E784" s="0" t="inlineStr">
        <is>
          <t xml:space="preserve">Mazda</t>
        </is>
      </c>
      <c r="F784" s="0" t="s">
        <v>17</v>
      </c>
      <c r="G784" s="0" t="s">
        <v>33</v>
      </c>
      <c r="H784" s="5">
        <v>1127.269300</v>
      </c>
    </row>
    <row r="785" spans="1:9">
      <c r="A785" s="22" t="str">
        <f>HYPERLINK("https://app.vivvix.com/360/KMI/IntelliDrive/ApplUI/Pages/CreativePages/CustomReportCreativeDetail.aspx?App=23&amp;ReportView=4&amp;Qid=1711279&amp;Row=777&amp;Col=1","No Title Assigned - #15261360766")</f>
        <v/>
      </c>
      <c r="B785" s="0" t="s">
        <v>1167</v>
      </c>
      <c r="C785" s="0" t="s">
        <v>1168</v>
      </c>
      <c r="D785" s="0" t="s">
        <v>1168</v>
      </c>
      <c r="E785" s="0" t="inlineStr">
        <is>
          <t xml:space="preserve">Mazda</t>
        </is>
      </c>
      <c r="F785" s="0" t="s">
        <v>13</v>
      </c>
      <c r="G785" s="0" t="s">
        <v>49</v>
      </c>
      <c r="H785" s="5">
        <v>623.289000</v>
      </c>
    </row>
    <row r="786" spans="1:9">
      <c r="A786" s="22" t="str">
        <f>HYPERLINK("https://app.vivvix.com/360/KMI/IntelliDrive/ApplUI/Pages/CreativePages/CustomReportCreativeDetail.aspx?App=23&amp;ReportView=4&amp;Qid=1711279&amp;Row=778&amp;Col=1","No Title Assigned - #15261365660")</f>
        <v/>
      </c>
      <c r="B786" s="0" t="s">
        <v>1169</v>
      </c>
      <c r="C786" s="0" t="s">
        <v>1170</v>
      </c>
      <c r="D786" s="0" t="s">
        <v>1170</v>
      </c>
      <c r="E786" s="0" t="inlineStr">
        <is>
          <t xml:space="preserve">Mazda</t>
        </is>
      </c>
      <c r="F786" s="0" t="s">
        <v>17</v>
      </c>
      <c r="G786" s="0" t="s">
        <v>33</v>
      </c>
      <c r="H786" s="5">
        <v>3605.479100</v>
      </c>
    </row>
    <row r="787" spans="1:9">
      <c r="A787" s="22" t="str">
        <f>HYPERLINK("https://app.vivvix.com/360/KMI/IntelliDrive/ApplUI/Pages/CreativePages/CustomReportCreativeDetail.aspx?App=23&amp;ReportView=4&amp;Qid=1711279&amp;Row=779&amp;Col=1","No Title Assigned - #15261365660")</f>
        <v/>
      </c>
      <c r="B787" s="0" t="s">
        <v>1169</v>
      </c>
      <c r="E787" s="0" t="inlineStr">
        <is>
          <t xml:space="preserve">Mazda</t>
        </is>
      </c>
      <c r="F787" s="0" t="s">
        <v>17</v>
      </c>
      <c r="G787" s="0" t="s">
        <v>33</v>
      </c>
      <c r="H787" s="5">
        <v>1119.803300</v>
      </c>
    </row>
    <row r="788" spans="1:9">
      <c r="A788" s="22" t="str">
        <f>HYPERLINK("https://app.vivvix.com/360/KMI/IntelliDrive/ApplUI/Pages/CreativePages/CustomReportCreativeDetail.aspx?App=23&amp;ReportView=4&amp;Qid=1711279&amp;Row=780&amp;Col=1","No Title Assigned - #15261375665")</f>
        <v/>
      </c>
      <c r="B788" s="0" t="s">
        <v>1171</v>
      </c>
      <c r="C788" s="0" t="s">
        <v>1172</v>
      </c>
      <c r="D788" s="0" t="s">
        <v>1172</v>
      </c>
      <c r="E788" s="0" t="inlineStr">
        <is>
          <t xml:space="preserve">Mazda</t>
        </is>
      </c>
      <c r="F788" s="0" t="s">
        <v>21</v>
      </c>
      <c r="G788" s="0" t="s">
        <v>22</v>
      </c>
      <c r="H788" s="5">
        <v>1855.493300</v>
      </c>
    </row>
    <row r="789" spans="1:9">
      <c r="A789" s="22" t="str">
        <f>HYPERLINK("https://app.vivvix.com/360/KMI/IntelliDrive/ApplUI/Pages/CreativePages/CustomReportCreativeDetail.aspx?App=23&amp;ReportView=4&amp;Qid=1711279&amp;Row=781&amp;Col=1","No Title Assigned - #15261375665")</f>
        <v/>
      </c>
      <c r="B789" s="0" t="s">
        <v>1171</v>
      </c>
      <c r="E789" s="0" t="inlineStr">
        <is>
          <t xml:space="preserve">Mazda</t>
        </is>
      </c>
      <c r="F789" s="0" t="s">
        <v>21</v>
      </c>
      <c r="G789" s="0" t="s">
        <v>22</v>
      </c>
      <c r="H789" s="5">
        <v>15863.412100</v>
      </c>
    </row>
    <row r="790" spans="1:9">
      <c r="A790" s="22" t="str">
        <f>HYPERLINK("https://app.vivvix.com/360/KMI/IntelliDrive/ApplUI/Pages/CreativePages/CustomReportCreativeDetail.aspx?App=23&amp;ReportView=4&amp;Qid=1711279&amp;Row=782&amp;Col=1","No Title Assigned - #15261386624")</f>
        <v/>
      </c>
      <c r="B790" s="0" t="s">
        <v>1173</v>
      </c>
      <c r="C790" s="0" t="s">
        <v>1174</v>
      </c>
      <c r="D790" s="0" t="s">
        <v>1174</v>
      </c>
      <c r="E790" s="0" t="inlineStr">
        <is>
          <t xml:space="preserve">Mazda</t>
        </is>
      </c>
      <c r="F790" s="0" t="s">
        <v>17</v>
      </c>
      <c r="G790" s="0" t="s">
        <v>33</v>
      </c>
      <c r="H790" s="5">
        <v>2300.410800</v>
      </c>
    </row>
    <row r="791" spans="1:9">
      <c r="A791" s="22" t="str">
        <f>HYPERLINK("https://app.vivvix.com/360/KMI/IntelliDrive/ApplUI/Pages/CreativePages/CustomReportCreativeDetail.aspx?App=23&amp;ReportView=4&amp;Qid=1711279&amp;Row=783&amp;Col=1","No Title Assigned - #15261386624")</f>
        <v/>
      </c>
      <c r="B791" s="0" t="s">
        <v>1173</v>
      </c>
      <c r="E791" s="0" t="inlineStr">
        <is>
          <t xml:space="preserve">Mazda</t>
        </is>
      </c>
      <c r="F791" s="0" t="s">
        <v>17</v>
      </c>
      <c r="G791" s="0" t="s">
        <v>33</v>
      </c>
      <c r="H791" s="5">
        <v>3126.868500</v>
      </c>
    </row>
    <row r="792" spans="1:9">
      <c r="A792" s="22" t="str">
        <f>HYPERLINK("https://app.vivvix.com/360/KMI/IntelliDrive/ApplUI/Pages/CreativePages/CustomReportCreativeDetail.aspx?App=23&amp;ReportView=4&amp;Qid=1711279&amp;Row=784&amp;Col=1","No Title Assigned - #15261388342")</f>
        <v/>
      </c>
      <c r="B792" s="0" t="s">
        <v>1175</v>
      </c>
      <c r="C792" s="0" t="s">
        <v>1176</v>
      </c>
      <c r="D792" s="0" t="s">
        <v>1176</v>
      </c>
      <c r="E792" s="0" t="inlineStr">
        <is>
          <t xml:space="preserve">Mazda</t>
        </is>
      </c>
      <c r="F792" s="0" t="s">
        <v>28</v>
      </c>
      <c r="G792" s="0" t="s">
        <v>29</v>
      </c>
      <c r="H792" s="5">
        <v>708.074500</v>
      </c>
    </row>
    <row r="793" spans="1:9">
      <c r="A793" s="22" t="str">
        <f>HYPERLINK("https://app.vivvix.com/360/KMI/IntelliDrive/ApplUI/Pages/CreativePages/CustomReportCreativeDetail.aspx?App=23&amp;ReportView=4&amp;Qid=1711279&amp;Row=785&amp;Col=1","No Title Assigned - #15261389332")</f>
        <v/>
      </c>
      <c r="B793" s="0" t="s">
        <v>1177</v>
      </c>
      <c r="C793" s="0" t="s">
        <v>1178</v>
      </c>
      <c r="D793" s="0" t="s">
        <v>1178</v>
      </c>
      <c r="E793" s="0" t="inlineStr">
        <is>
          <t xml:space="preserve">Mazda</t>
        </is>
      </c>
      <c r="F793" s="0" t="s">
        <v>17</v>
      </c>
      <c r="G793" s="0" t="s">
        <v>33</v>
      </c>
      <c r="H793" s="5">
        <v>94670.235300</v>
      </c>
    </row>
    <row r="794" spans="1:9">
      <c r="A794" s="22" t="str">
        <f>HYPERLINK("https://app.vivvix.com/360/KMI/IntelliDrive/ApplUI/Pages/CreativePages/CustomReportCreativeDetail.aspx?App=23&amp;ReportView=4&amp;Qid=1711279&amp;Row=786&amp;Col=1","No Title Assigned - #15261392618")</f>
        <v/>
      </c>
      <c r="B794" s="0" t="s">
        <v>1179</v>
      </c>
      <c r="C794" s="0" t="s">
        <v>1180</v>
      </c>
      <c r="D794" s="0" t="s">
        <v>1180</v>
      </c>
      <c r="E794" s="0" t="inlineStr">
        <is>
          <t xml:space="preserve">Mazda</t>
        </is>
      </c>
      <c r="F794" s="0" t="s">
        <v>21</v>
      </c>
      <c r="G794" s="0" t="s">
        <v>22</v>
      </c>
      <c r="H794" s="5">
        <v>4502.411600</v>
      </c>
    </row>
    <row r="795" spans="1:9">
      <c r="A795" s="22" t="str">
        <f>HYPERLINK("https://app.vivvix.com/360/KMI/IntelliDrive/ApplUI/Pages/CreativePages/CustomReportCreativeDetail.aspx?App=23&amp;ReportView=4&amp;Qid=1711279&amp;Row=787&amp;Col=1","No Title Assigned - #15261392967")</f>
        <v/>
      </c>
      <c r="B795" s="0" t="s">
        <v>1181</v>
      </c>
      <c r="C795" s="0" t="s">
        <v>1182</v>
      </c>
      <c r="D795" s="0" t="s">
        <v>1182</v>
      </c>
      <c r="E795" s="0" t="inlineStr">
        <is>
          <t xml:space="preserve">Mazda</t>
        </is>
      </c>
      <c r="F795" s="0" t="s">
        <v>21</v>
      </c>
      <c r="G795" s="0" t="s">
        <v>22</v>
      </c>
      <c r="H795" s="5">
        <v>238.316600</v>
      </c>
    </row>
    <row r="796" spans="1:9">
      <c r="A796" s="22" t="str">
        <f>HYPERLINK("https://app.vivvix.com/360/KMI/IntelliDrive/ApplUI/Pages/CreativePages/CustomReportCreativeDetail.aspx?App=23&amp;ReportView=4&amp;Qid=1711279&amp;Row=788&amp;Col=1","No Title Assigned - #15261407443")</f>
        <v/>
      </c>
      <c r="B796" s="0" t="s">
        <v>1183</v>
      </c>
      <c r="C796" s="0" t="s">
        <v>1184</v>
      </c>
      <c r="D796" s="0" t="s">
        <v>1184</v>
      </c>
      <c r="E796" s="0" t="inlineStr">
        <is>
          <t xml:space="preserve">Mazda</t>
        </is>
      </c>
      <c r="F796" s="0" t="s">
        <v>17</v>
      </c>
      <c r="G796" s="0" t="s">
        <v>33</v>
      </c>
      <c r="H796" s="5">
        <v>39.972500</v>
      </c>
    </row>
    <row r="797" spans="1:9">
      <c r="A797" s="22" t="str">
        <f>HYPERLINK("https://app.vivvix.com/360/KMI/IntelliDrive/ApplUI/Pages/CreativePages/CustomReportCreativeDetail.aspx?App=23&amp;ReportView=4&amp;Qid=1711279&amp;Row=789&amp;Col=1","No Title Assigned - #15261408984")</f>
        <v/>
      </c>
      <c r="B797" s="0" t="s">
        <v>1185</v>
      </c>
      <c r="C797" s="0" t="s">
        <v>1186</v>
      </c>
      <c r="D797" s="0" t="s">
        <v>1186</v>
      </c>
      <c r="E797" s="0" t="inlineStr">
        <is>
          <t xml:space="preserve">Mazda</t>
        </is>
      </c>
      <c r="F797" s="0" t="s">
        <v>17</v>
      </c>
      <c r="G797" s="0" t="s">
        <v>33</v>
      </c>
      <c r="H797" s="5">
        <v>880.789600</v>
      </c>
    </row>
    <row r="798" spans="1:9">
      <c r="A798" s="22" t="str">
        <f>HYPERLINK("https://app.vivvix.com/360/KMI/IntelliDrive/ApplUI/Pages/CreativePages/CustomReportCreativeDetail.aspx?App=23&amp;ReportView=4&amp;Qid=1711279&amp;Row=790&amp;Col=1","No Title Assigned - #15261409301")</f>
        <v/>
      </c>
      <c r="B798" s="0" t="s">
        <v>1187</v>
      </c>
      <c r="C798" s="0" t="s">
        <v>1188</v>
      </c>
      <c r="D798" s="0" t="s">
        <v>1188</v>
      </c>
      <c r="E798" s="0" t="inlineStr">
        <is>
          <t xml:space="preserve">Mazda</t>
        </is>
      </c>
      <c r="F798" s="0" t="s">
        <v>21</v>
      </c>
      <c r="G798" s="0" t="s">
        <v>22</v>
      </c>
      <c r="H798" s="5">
        <v>2199.263500</v>
      </c>
    </row>
    <row r="799" spans="1:9">
      <c r="A799" s="22" t="str">
        <f>HYPERLINK("https://app.vivvix.com/360/KMI/IntelliDrive/ApplUI/Pages/CreativePages/CustomReportCreativeDetail.aspx?App=23&amp;ReportView=4&amp;Qid=1711279&amp;Row=791&amp;Col=1","No Title Assigned - #15261415579")</f>
        <v/>
      </c>
      <c r="B799" s="0" t="s">
        <v>1189</v>
      </c>
      <c r="C799" s="0" t="s">
        <v>1190</v>
      </c>
      <c r="D799" s="0" t="s">
        <v>1190</v>
      </c>
      <c r="E799" s="0" t="inlineStr">
        <is>
          <t xml:space="preserve">Mazda</t>
        </is>
      </c>
      <c r="F799" s="0" t="s">
        <v>21</v>
      </c>
      <c r="G799" s="0" t="s">
        <v>22</v>
      </c>
      <c r="H799" s="5">
        <v>108.665400</v>
      </c>
    </row>
    <row r="800" spans="1:9">
      <c r="A800" s="22" t="str">
        <f>HYPERLINK("https://app.vivvix.com/360/KMI/IntelliDrive/ApplUI/Pages/CreativePages/CustomReportCreativeDetail.aspx?App=23&amp;ReportView=4&amp;Qid=1711279&amp;Row=792&amp;Col=1","No Title Assigned - #15261416723")</f>
        <v/>
      </c>
      <c r="B800" s="0" t="s">
        <v>1191</v>
      </c>
      <c r="C800" s="0" t="s">
        <v>1192</v>
      </c>
      <c r="D800" s="0" t="s">
        <v>1192</v>
      </c>
      <c r="E800" s="0" t="inlineStr">
        <is>
          <t xml:space="preserve">Mazda</t>
        </is>
      </c>
      <c r="F800" s="0" t="s">
        <v>21</v>
      </c>
      <c r="G800" s="0" t="s">
        <v>22</v>
      </c>
      <c r="H800" s="5">
        <v>74.856900</v>
      </c>
    </row>
    <row r="801" spans="1:9">
      <c r="A801" s="22" t="str">
        <f>HYPERLINK("https://app.vivvix.com/360/KMI/IntelliDrive/ApplUI/Pages/CreativePages/CustomReportCreativeDetail.aspx?App=23&amp;ReportView=4&amp;Qid=1711279&amp;Row=793&amp;Col=1","No Title Assigned - #15261432210")</f>
        <v/>
      </c>
      <c r="B801" s="0" t="s">
        <v>1193</v>
      </c>
      <c r="E801" s="0" t="inlineStr">
        <is>
          <t xml:space="preserve">Mazda</t>
        </is>
      </c>
      <c r="F801" s="0" t="s">
        <v>21</v>
      </c>
      <c r="G801" s="0" t="s">
        <v>22</v>
      </c>
      <c r="H801" s="5">
        <v>39.604400</v>
      </c>
    </row>
    <row r="802" spans="1:9">
      <c r="A802" s="22" t="str">
        <f>HYPERLINK("https://app.vivvix.com/360/KMI/IntelliDrive/ApplUI/Pages/CreativePages/CustomReportCreativeDetail.aspx?App=23&amp;ReportView=4&amp;Qid=1711279&amp;Row=794&amp;Col=1","No Title Assigned - #15261436025")</f>
        <v/>
      </c>
      <c r="B802" s="0" t="s">
        <v>1194</v>
      </c>
      <c r="C802" s="0" t="s">
        <v>1195</v>
      </c>
      <c r="D802" s="0" t="s">
        <v>1195</v>
      </c>
      <c r="E802" s="0" t="inlineStr">
        <is>
          <t xml:space="preserve">Mazda</t>
        </is>
      </c>
      <c r="F802" s="0" t="s">
        <v>13</v>
      </c>
      <c r="G802" s="0" t="s">
        <v>49</v>
      </c>
      <c r="H802" s="5">
        <v>37.907600</v>
      </c>
    </row>
    <row r="803" spans="1:9">
      <c r="A803" s="22" t="str">
        <f>HYPERLINK("https://app.vivvix.com/360/KMI/IntelliDrive/ApplUI/Pages/CreativePages/CustomReportCreativeDetail.aspx?App=23&amp;ReportView=4&amp;Qid=1711279&amp;Row=795&amp;Col=1","No Title Assigned - #15261442416")</f>
        <v/>
      </c>
      <c r="B803" s="0" t="s">
        <v>1196</v>
      </c>
      <c r="C803" s="0" t="s">
        <v>1197</v>
      </c>
      <c r="D803" s="0" t="s">
        <v>1197</v>
      </c>
      <c r="E803" s="0" t="inlineStr">
        <is>
          <t xml:space="preserve">Mazda</t>
        </is>
      </c>
      <c r="F803" s="0" t="s">
        <v>21</v>
      </c>
      <c r="G803" s="0" t="s">
        <v>22</v>
      </c>
      <c r="H803" s="5">
        <v>1450.567900</v>
      </c>
    </row>
    <row r="804" spans="1:9">
      <c r="A804" s="22" t="str">
        <f>HYPERLINK("https://app.vivvix.com/360/KMI/IntelliDrive/ApplUI/Pages/CreativePages/CustomReportCreativeDetail.aspx?App=23&amp;ReportView=4&amp;Qid=1711279&amp;Row=796&amp;Col=1","No Title Assigned - #15261445086")</f>
        <v/>
      </c>
      <c r="B804" s="0" t="s">
        <v>1198</v>
      </c>
      <c r="E804" s="0" t="inlineStr">
        <is>
          <t xml:space="preserve">Mazda</t>
        </is>
      </c>
      <c r="F804" s="0" t="inlineStr">
        <is>
          <t xml:space="preserve">Mazda</t>
        </is>
      </c>
      <c r="G804" s="0" t="s">
        <v>171</v>
      </c>
    </row>
    <row r="805" spans="1:9">
      <c r="A805" s="22" t="str">
        <f>HYPERLINK("https://app.vivvix.com/360/KMI/IntelliDrive/ApplUI/Pages/CreativePages/CustomReportCreativeDetail.aspx?App=23&amp;ReportView=4&amp;Qid=1711279&amp;Row=797&amp;Col=1","No Title Assigned - #15261465728")</f>
        <v/>
      </c>
      <c r="B805" s="0" t="s">
        <v>1199</v>
      </c>
      <c r="C805" s="0" t="s">
        <v>1200</v>
      </c>
      <c r="D805" s="0" t="s">
        <v>1200</v>
      </c>
      <c r="E805" s="0" t="inlineStr">
        <is>
          <t xml:space="preserve">Mazda</t>
        </is>
      </c>
      <c r="F805" s="0" t="s">
        <v>17</v>
      </c>
      <c r="G805" s="0" t="s">
        <v>33</v>
      </c>
      <c r="H805" s="5">
        <v>1802.872400</v>
      </c>
    </row>
    <row r="806" spans="1:9">
      <c r="A806" s="22" t="str">
        <f>HYPERLINK("https://app.vivvix.com/360/KMI/IntelliDrive/ApplUI/Pages/CreativePages/CustomReportCreativeDetail.aspx?App=23&amp;ReportView=4&amp;Qid=1711279&amp;Row=798&amp;Col=1","No Title Assigned - #15261466902")</f>
        <v/>
      </c>
      <c r="B806" s="0" t="s">
        <v>1201</v>
      </c>
      <c r="C806" s="0" t="s">
        <v>1202</v>
      </c>
      <c r="D806" s="0" t="s">
        <v>1202</v>
      </c>
      <c r="E806" s="0" t="inlineStr">
        <is>
          <t xml:space="preserve">Mazda</t>
        </is>
      </c>
      <c r="F806" s="0" t="s">
        <v>17</v>
      </c>
      <c r="G806" s="0" t="s">
        <v>33</v>
      </c>
      <c r="H806" s="5">
        <v>3049.295100</v>
      </c>
    </row>
    <row r="807" spans="1:9">
      <c r="A807" s="22" t="str">
        <f>HYPERLINK("https://app.vivvix.com/360/KMI/IntelliDrive/ApplUI/Pages/CreativePages/CustomReportCreativeDetail.aspx?App=23&amp;ReportView=4&amp;Qid=1711279&amp;Row=799&amp;Col=1","No Title Assigned - #15261468986")</f>
        <v/>
      </c>
      <c r="B807" s="0" t="s">
        <v>1203</v>
      </c>
      <c r="E807" s="0" t="inlineStr">
        <is>
          <t xml:space="preserve">Mazda</t>
        </is>
      </c>
      <c r="F807" s="0" t="s">
        <v>17</v>
      </c>
      <c r="G807" s="0" t="s">
        <v>33</v>
      </c>
      <c r="H807" s="5">
        <v>15741.081500</v>
      </c>
    </row>
    <row r="808" spans="1:9">
      <c r="A808" s="22" t="str">
        <f>HYPERLINK("https://app.vivvix.com/360/KMI/IntelliDrive/ApplUI/Pages/CreativePages/CustomReportCreativeDetail.aspx?App=23&amp;ReportView=4&amp;Qid=1711279&amp;Row=800&amp;Col=1","No Title Assigned - #15261472552")</f>
        <v/>
      </c>
      <c r="B808" s="0" t="s">
        <v>1204</v>
      </c>
      <c r="E808" s="0" t="inlineStr">
        <is>
          <t xml:space="preserve">Mazda</t>
        </is>
      </c>
      <c r="F808" s="0" t="s">
        <v>21</v>
      </c>
      <c r="G808" s="0" t="s">
        <v>22</v>
      </c>
      <c r="H808" s="5">
        <v>5018.268400</v>
      </c>
    </row>
    <row r="809" spans="1:9">
      <c r="A809" s="22" t="str">
        <f>HYPERLINK("https://app.vivvix.com/360/KMI/IntelliDrive/ApplUI/Pages/CreativePages/CustomReportCreativeDetail.aspx?App=23&amp;ReportView=4&amp;Qid=1711279&amp;Row=801&amp;Col=1","No Title Assigned - #15261472552")</f>
        <v/>
      </c>
      <c r="B809" s="0" t="s">
        <v>1204</v>
      </c>
      <c r="C809" s="0" t="s">
        <v>1205</v>
      </c>
      <c r="D809" s="0" t="s">
        <v>1205</v>
      </c>
      <c r="E809" s="0" t="inlineStr">
        <is>
          <t xml:space="preserve">Mazda</t>
        </is>
      </c>
      <c r="F809" s="0" t="s">
        <v>21</v>
      </c>
      <c r="G809" s="0" t="s">
        <v>22</v>
      </c>
      <c r="H809" s="5">
        <v>199.913300</v>
      </c>
    </row>
    <row r="810" spans="1:9">
      <c r="A810" s="22" t="str">
        <f>HYPERLINK("https://app.vivvix.com/360/KMI/IntelliDrive/ApplUI/Pages/CreativePages/CustomReportCreativeDetail.aspx?App=23&amp;ReportView=4&amp;Qid=1711279&amp;Row=802&amp;Col=1","No Title Assigned - #15261476760")</f>
        <v/>
      </c>
      <c r="B810" s="0" t="s">
        <v>1206</v>
      </c>
      <c r="E810" s="0" t="inlineStr">
        <is>
          <t xml:space="preserve">Mazda</t>
        </is>
      </c>
      <c r="F810" s="0" t="s">
        <v>21</v>
      </c>
      <c r="G810" s="0" t="s">
        <v>22</v>
      </c>
      <c r="H810" s="5">
        <v>2543.016800</v>
      </c>
    </row>
    <row r="811" spans="1:9">
      <c r="A811" s="22" t="str">
        <f>HYPERLINK("https://app.vivvix.com/360/KMI/IntelliDrive/ApplUI/Pages/CreativePages/CustomReportCreativeDetail.aspx?App=23&amp;ReportView=4&amp;Qid=1711279&amp;Row=803&amp;Col=1","No Title Assigned - #15261482004")</f>
        <v/>
      </c>
      <c r="B811" s="0" t="s">
        <v>1207</v>
      </c>
      <c r="E811" s="0" t="inlineStr">
        <is>
          <t xml:space="preserve">Mazda</t>
        </is>
      </c>
      <c r="F811" s="0" t="s">
        <v>21</v>
      </c>
      <c r="G811" s="0" t="s">
        <v>22</v>
      </c>
      <c r="H811" s="5">
        <v>515.557400</v>
      </c>
    </row>
    <row r="812" spans="1:9">
      <c r="A812" s="22" t="str">
        <f>HYPERLINK("https://app.vivvix.com/360/KMI/IntelliDrive/ApplUI/Pages/CreativePages/CustomReportCreativeDetail.aspx?App=23&amp;ReportView=4&amp;Qid=1711279&amp;Row=804&amp;Col=1","No Title Assigned - #15261496683")</f>
        <v/>
      </c>
      <c r="B812" s="0" t="s">
        <v>1208</v>
      </c>
      <c r="C812" s="0" t="s">
        <v>1209</v>
      </c>
      <c r="D812" s="0" t="s">
        <v>1209</v>
      </c>
      <c r="E812" s="0" t="inlineStr">
        <is>
          <t xml:space="preserve">Mazda</t>
        </is>
      </c>
      <c r="F812" s="0" t="s">
        <v>17</v>
      </c>
      <c r="G812" s="0" t="s">
        <v>33</v>
      </c>
      <c r="H812" s="5">
        <v>3507.736700</v>
      </c>
    </row>
    <row r="813" spans="1:9">
      <c r="A813" s="22" t="str">
        <f>HYPERLINK("https://app.vivvix.com/360/KMI/IntelliDrive/ApplUI/Pages/CreativePages/CustomReportCreativeDetail.aspx?App=23&amp;ReportView=4&amp;Qid=1711279&amp;Row=805&amp;Col=1","No Title Assigned - #15261511270")</f>
        <v/>
      </c>
      <c r="B813" s="0" t="s">
        <v>1210</v>
      </c>
      <c r="C813" s="0" t="s">
        <v>1211</v>
      </c>
      <c r="D813" s="0" t="s">
        <v>1211</v>
      </c>
      <c r="E813" s="0" t="inlineStr">
        <is>
          <t xml:space="preserve">Mazda</t>
        </is>
      </c>
      <c r="F813" s="0" t="s">
        <v>21</v>
      </c>
      <c r="G813" s="0" t="s">
        <v>22</v>
      </c>
      <c r="H813" s="5">
        <v>445.278300</v>
      </c>
    </row>
    <row r="814" spans="1:9">
      <c r="A814" s="22" t="str">
        <f>HYPERLINK("https://app.vivvix.com/360/KMI/IntelliDrive/ApplUI/Pages/CreativePages/CustomReportCreativeDetail.aspx?App=23&amp;ReportView=4&amp;Qid=1711279&amp;Row=806&amp;Col=1","No Title Assigned - #15261516347")</f>
        <v/>
      </c>
      <c r="B814" s="0" t="s">
        <v>1212</v>
      </c>
      <c r="C814" s="0" t="s">
        <v>1213</v>
      </c>
      <c r="D814" s="0" t="s">
        <v>1213</v>
      </c>
      <c r="E814" s="0" t="inlineStr">
        <is>
          <t xml:space="preserve">Mazda</t>
        </is>
      </c>
      <c r="F814" s="0" t="s">
        <v>17</v>
      </c>
      <c r="G814" s="0" t="s">
        <v>33</v>
      </c>
      <c r="H814" s="5">
        <v>1044.950200</v>
      </c>
    </row>
    <row r="815" spans="1:9">
      <c r="A815" s="22" t="str">
        <f>HYPERLINK("https://app.vivvix.com/360/KMI/IntelliDrive/ApplUI/Pages/CreativePages/CustomReportCreativeDetail.aspx?App=23&amp;ReportView=4&amp;Qid=1711279&amp;Row=807&amp;Col=1","No Title Assigned - #15261520864")</f>
        <v/>
      </c>
      <c r="B815" s="0" t="s">
        <v>1214</v>
      </c>
      <c r="C815" s="0" t="s">
        <v>1215</v>
      </c>
      <c r="D815" s="0" t="s">
        <v>1215</v>
      </c>
      <c r="E815" s="0" t="inlineStr">
        <is>
          <t xml:space="preserve">Mazda</t>
        </is>
      </c>
      <c r="F815" s="0" t="s">
        <v>21</v>
      </c>
      <c r="G815" s="0" t="s">
        <v>22</v>
      </c>
      <c r="H815" s="5">
        <v>471.476100</v>
      </c>
    </row>
    <row r="816" spans="1:9">
      <c r="A816" s="22" t="str">
        <f>HYPERLINK("https://app.vivvix.com/360/KMI/IntelliDrive/ApplUI/Pages/CreativePages/CustomReportCreativeDetail.aspx?App=23&amp;ReportView=4&amp;Qid=1711279&amp;Row=808&amp;Col=1","No Title Assigned - #15261524903")</f>
        <v/>
      </c>
      <c r="B816" s="0" t="s">
        <v>1216</v>
      </c>
      <c r="C816" s="0" t="s">
        <v>1217</v>
      </c>
      <c r="D816" s="0" t="s">
        <v>1217</v>
      </c>
      <c r="E816" s="0" t="inlineStr">
        <is>
          <t xml:space="preserve">Mazda</t>
        </is>
      </c>
      <c r="F816" s="0" t="s">
        <v>21</v>
      </c>
      <c r="G816" s="0" t="s">
        <v>22</v>
      </c>
      <c r="H816" s="5">
        <v>78.309400</v>
      </c>
    </row>
    <row r="817" spans="1:9">
      <c r="A817" s="22" t="str">
        <f>HYPERLINK("https://app.vivvix.com/360/KMI/IntelliDrive/ApplUI/Pages/CreativePages/CustomReportCreativeDetail.aspx?App=23&amp;ReportView=4&amp;Qid=1711279&amp;Row=809&amp;Col=1","No Title Assigned - #15261529187")</f>
        <v/>
      </c>
      <c r="B817" s="0" t="s">
        <v>1218</v>
      </c>
      <c r="C817" s="0" t="s">
        <v>1219</v>
      </c>
      <c r="D817" s="0" t="s">
        <v>1219</v>
      </c>
      <c r="E817" s="0" t="inlineStr">
        <is>
          <t xml:space="preserve">Mazda</t>
        </is>
      </c>
      <c r="F817" s="0" t="s">
        <v>13</v>
      </c>
      <c r="G817" s="0" t="s">
        <v>49</v>
      </c>
      <c r="H817" s="5">
        <v>28.903500</v>
      </c>
    </row>
    <row r="818" spans="1:9">
      <c r="A818" s="22" t="str">
        <f>HYPERLINK("https://app.vivvix.com/360/KMI/IntelliDrive/ApplUI/Pages/CreativePages/CustomReportCreativeDetail.aspx?App=23&amp;ReportView=4&amp;Qid=1711279&amp;Row=810&amp;Col=1","No Title Assigned - #15261530879")</f>
        <v/>
      </c>
      <c r="B818" s="0" t="s">
        <v>1220</v>
      </c>
      <c r="C818" s="0" t="s">
        <v>1221</v>
      </c>
      <c r="D818" s="0" t="s">
        <v>1221</v>
      </c>
      <c r="E818" s="0" t="inlineStr">
        <is>
          <t xml:space="preserve">Mazda</t>
        </is>
      </c>
      <c r="F818" s="0" t="s">
        <v>21</v>
      </c>
      <c r="G818" s="0" t="s">
        <v>314</v>
      </c>
      <c r="H818" s="5">
        <v>9201.095000</v>
      </c>
    </row>
    <row r="819" spans="1:9">
      <c r="A819" s="22" t="str">
        <f>HYPERLINK("https://app.vivvix.com/360/KMI/IntelliDrive/ApplUI/Pages/CreativePages/CustomReportCreativeDetail.aspx?App=23&amp;ReportView=4&amp;Qid=1711279&amp;Row=811&amp;Col=1","No Title Assigned - #15261534317")</f>
        <v/>
      </c>
      <c r="B819" s="0" t="s">
        <v>1222</v>
      </c>
      <c r="C819" s="0" t="s">
        <v>1223</v>
      </c>
      <c r="D819" s="0" t="s">
        <v>1223</v>
      </c>
      <c r="E819" s="0" t="inlineStr">
        <is>
          <t xml:space="preserve">Mazda</t>
        </is>
      </c>
      <c r="F819" s="0" t="s">
        <v>21</v>
      </c>
      <c r="G819" s="0" t="s">
        <v>314</v>
      </c>
      <c r="H819" s="5">
        <v>3676.036900</v>
      </c>
    </row>
    <row r="820" spans="1:9">
      <c r="A820" s="22" t="str">
        <f>HYPERLINK("https://app.vivvix.com/360/KMI/IntelliDrive/ApplUI/Pages/CreativePages/CustomReportCreativeDetail.aspx?App=23&amp;ReportView=4&amp;Qid=1711279&amp;Row=812&amp;Col=1","No Title Assigned - #15261534577")</f>
        <v/>
      </c>
      <c r="B820" s="0" t="s">
        <v>1224</v>
      </c>
      <c r="E820" s="0" t="inlineStr">
        <is>
          <t xml:space="preserve">Mazda</t>
        </is>
      </c>
      <c r="F820" s="0" t="s">
        <v>21</v>
      </c>
      <c r="G820" s="0" t="s">
        <v>314</v>
      </c>
      <c r="H820" s="5">
        <v>34250.725600</v>
      </c>
    </row>
    <row r="821" spans="1:9">
      <c r="A821" s="22" t="str">
        <f>HYPERLINK("https://app.vivvix.com/360/KMI/IntelliDrive/ApplUI/Pages/CreativePages/CustomReportCreativeDetail.aspx?App=23&amp;ReportView=4&amp;Qid=1711279&amp;Row=813&amp;Col=1","No Title Assigned - #15261534577")</f>
        <v/>
      </c>
      <c r="B821" s="0" t="s">
        <v>1224</v>
      </c>
      <c r="C821" s="0" t="s">
        <v>1225</v>
      </c>
      <c r="D821" s="0" t="s">
        <v>1225</v>
      </c>
      <c r="E821" s="0" t="inlineStr">
        <is>
          <t xml:space="preserve">Mazda</t>
        </is>
      </c>
      <c r="F821" s="0" t="s">
        <v>21</v>
      </c>
      <c r="G821" s="0" t="s">
        <v>314</v>
      </c>
      <c r="H821" s="5">
        <v>3211.013800</v>
      </c>
    </row>
    <row r="822" spans="1:9">
      <c r="A822" s="22" t="str">
        <f>HYPERLINK("https://app.vivvix.com/360/KMI/IntelliDrive/ApplUI/Pages/CreativePages/CustomReportCreativeDetail.aspx?App=23&amp;ReportView=4&amp;Qid=1711279&amp;Row=814&amp;Col=1","No Title Assigned - #15261537840")</f>
        <v/>
      </c>
      <c r="B822" s="0" t="s">
        <v>1226</v>
      </c>
      <c r="C822" s="0" t="s">
        <v>1227</v>
      </c>
      <c r="D822" s="0" t="s">
        <v>1227</v>
      </c>
      <c r="E822" s="0" t="inlineStr">
        <is>
          <t xml:space="preserve">Mazda</t>
        </is>
      </c>
      <c r="F822" s="0" t="s">
        <v>21</v>
      </c>
      <c r="G822" s="0" t="s">
        <v>314</v>
      </c>
      <c r="H822" s="5">
        <v>945.383400</v>
      </c>
    </row>
    <row r="823" spans="1:9">
      <c r="A823" s="22" t="str">
        <f>HYPERLINK("https://app.vivvix.com/360/KMI/IntelliDrive/ApplUI/Pages/CreativePages/CustomReportCreativeDetail.aspx?App=23&amp;ReportView=4&amp;Qid=1711279&amp;Row=815&amp;Col=1","No Title Assigned - #15261539134")</f>
        <v/>
      </c>
      <c r="B823" s="0" t="s">
        <v>1228</v>
      </c>
      <c r="C823" s="0" t="s">
        <v>1229</v>
      </c>
      <c r="D823" s="0" t="s">
        <v>1229</v>
      </c>
      <c r="E823" s="0" t="inlineStr">
        <is>
          <t xml:space="preserve">Mazda</t>
        </is>
      </c>
      <c r="F823" s="0" t="s">
        <v>21</v>
      </c>
      <c r="G823" s="0" t="s">
        <v>314</v>
      </c>
      <c r="H823" s="5">
        <v>500.332600</v>
      </c>
    </row>
    <row r="824" spans="1:9">
      <c r="A824" s="22" t="str">
        <f>HYPERLINK("https://app.vivvix.com/360/KMI/IntelliDrive/ApplUI/Pages/CreativePages/CustomReportCreativeDetail.aspx?App=23&amp;ReportView=4&amp;Qid=1711279&amp;Row=816&amp;Col=1","No Title Assigned - #15261551280")</f>
        <v/>
      </c>
      <c r="B824" s="0" t="s">
        <v>1230</v>
      </c>
      <c r="C824" s="0" t="s">
        <v>1231</v>
      </c>
      <c r="D824" s="0" t="s">
        <v>1231</v>
      </c>
      <c r="E824" s="0" t="inlineStr">
        <is>
          <t xml:space="preserve">Mazda</t>
        </is>
      </c>
      <c r="F824" s="0" t="s">
        <v>21</v>
      </c>
      <c r="G824" s="0" t="s">
        <v>22</v>
      </c>
      <c r="H824" s="5">
        <v>210.053200</v>
      </c>
    </row>
    <row r="825" spans="1:9">
      <c r="A825" s="22" t="str">
        <f>HYPERLINK("https://app.vivvix.com/360/KMI/IntelliDrive/ApplUI/Pages/CreativePages/CustomReportCreativeDetail.aspx?App=23&amp;ReportView=4&amp;Qid=1711279&amp;Row=817&amp;Col=1","No Title Assigned - #15261551463")</f>
        <v/>
      </c>
      <c r="B825" s="0" t="s">
        <v>1232</v>
      </c>
      <c r="C825" s="0" t="s">
        <v>1233</v>
      </c>
      <c r="D825" s="0" t="s">
        <v>1233</v>
      </c>
      <c r="E825" s="0" t="inlineStr">
        <is>
          <t xml:space="preserve">Mazda</t>
        </is>
      </c>
      <c r="F825" s="0" t="s">
        <v>21</v>
      </c>
      <c r="G825" s="0" t="s">
        <v>314</v>
      </c>
      <c r="H825" s="5">
        <v>151.300000</v>
      </c>
    </row>
    <row r="826" spans="1:9">
      <c r="A826" s="22" t="str">
        <f>HYPERLINK("https://app.vivvix.com/360/KMI/IntelliDrive/ApplUI/Pages/CreativePages/CustomReportCreativeDetail.aspx?App=23&amp;ReportView=4&amp;Qid=1711279&amp;Row=818&amp;Col=1","No Title Assigned - #15261551838")</f>
        <v/>
      </c>
      <c r="B826" s="0" t="s">
        <v>1234</v>
      </c>
      <c r="C826" s="0" t="s">
        <v>1235</v>
      </c>
      <c r="D826" s="0" t="s">
        <v>1235</v>
      </c>
      <c r="E826" s="0" t="inlineStr">
        <is>
          <t xml:space="preserve">Mazda</t>
        </is>
      </c>
      <c r="F826" s="0" t="s">
        <v>21</v>
      </c>
      <c r="G826" s="0" t="s">
        <v>314</v>
      </c>
      <c r="H826" s="5">
        <v>631.217600</v>
      </c>
    </row>
    <row r="827" spans="1:9">
      <c r="A827" s="22" t="str">
        <f>HYPERLINK("https://app.vivvix.com/360/KMI/IntelliDrive/ApplUI/Pages/CreativePages/CustomReportCreativeDetail.aspx?App=23&amp;ReportView=4&amp;Qid=1711279&amp;Row=819&amp;Col=1","No Title Assigned - #15261557180")</f>
        <v/>
      </c>
      <c r="B827" s="0" t="s">
        <v>1236</v>
      </c>
      <c r="C827" s="0" t="s">
        <v>1237</v>
      </c>
      <c r="D827" s="0" t="s">
        <v>1237</v>
      </c>
      <c r="E827" s="0" t="inlineStr">
        <is>
          <t xml:space="preserve">Mazda</t>
        </is>
      </c>
      <c r="F827" s="0" t="s">
        <v>17</v>
      </c>
      <c r="G827" s="0" t="s">
        <v>33</v>
      </c>
      <c r="H827" s="5">
        <v>441.102700</v>
      </c>
    </row>
    <row r="828" spans="1:9">
      <c r="A828" s="22" t="str">
        <f>HYPERLINK("https://app.vivvix.com/360/KMI/IntelliDrive/ApplUI/Pages/CreativePages/CustomReportCreativeDetail.aspx?App=23&amp;ReportView=4&amp;Qid=1711279&amp;Row=820&amp;Col=1","No Title Assigned - #15261574461")</f>
        <v/>
      </c>
      <c r="B828" s="0" t="s">
        <v>1238</v>
      </c>
      <c r="C828" s="0" t="s">
        <v>1239</v>
      </c>
      <c r="D828" s="0" t="s">
        <v>1239</v>
      </c>
      <c r="E828" s="0" t="inlineStr">
        <is>
          <t xml:space="preserve">Mazda</t>
        </is>
      </c>
      <c r="F828" s="0" t="s">
        <v>21</v>
      </c>
      <c r="G828" s="0" t="s">
        <v>314</v>
      </c>
      <c r="H828" s="5">
        <v>11718.143300</v>
      </c>
    </row>
    <row r="829" spans="1:9">
      <c r="A829" s="22" t="str">
        <f>HYPERLINK("https://app.vivvix.com/360/KMI/IntelliDrive/ApplUI/Pages/CreativePages/CustomReportCreativeDetail.aspx?App=23&amp;ReportView=4&amp;Qid=1711279&amp;Row=821&amp;Col=1","No Title Assigned - #15261582715")</f>
        <v/>
      </c>
      <c r="B829" s="0" t="s">
        <v>1240</v>
      </c>
      <c r="C829" s="0" t="s">
        <v>1241</v>
      </c>
      <c r="D829" s="0" t="s">
        <v>1241</v>
      </c>
      <c r="E829" s="0" t="inlineStr">
        <is>
          <t xml:space="preserve">Mazda</t>
        </is>
      </c>
      <c r="F829" s="0" t="s">
        <v>21</v>
      </c>
      <c r="G829" s="0" t="s">
        <v>314</v>
      </c>
      <c r="H829" s="5">
        <v>653.765400</v>
      </c>
    </row>
    <row r="830" spans="1:9">
      <c r="A830" s="22" t="str">
        <f>HYPERLINK("https://app.vivvix.com/360/KMI/IntelliDrive/ApplUI/Pages/CreativePages/CustomReportCreativeDetail.aspx?App=23&amp;ReportView=4&amp;Qid=1711279&amp;Row=822&amp;Col=1","No Title Assigned - #15261590287")</f>
        <v/>
      </c>
      <c r="B830" s="0" t="s">
        <v>1242</v>
      </c>
      <c r="C830" s="0" t="s">
        <v>1243</v>
      </c>
      <c r="D830" s="0" t="s">
        <v>1243</v>
      </c>
      <c r="E830" s="0" t="inlineStr">
        <is>
          <t xml:space="preserve">Mazda</t>
        </is>
      </c>
      <c r="F830" s="0" t="s">
        <v>21</v>
      </c>
      <c r="G830" s="0" t="s">
        <v>22</v>
      </c>
      <c r="H830" s="5">
        <v>27662.265600</v>
      </c>
    </row>
    <row r="831" spans="1:9">
      <c r="A831" s="22" t="str">
        <f>HYPERLINK("https://app.vivvix.com/360/KMI/IntelliDrive/ApplUI/Pages/CreativePages/CustomReportCreativeDetail.aspx?App=23&amp;ReportView=4&amp;Qid=1711279&amp;Row=823&amp;Col=1","No Title Assigned - #15261669650")</f>
        <v/>
      </c>
      <c r="B831" s="0" t="s">
        <v>1244</v>
      </c>
      <c r="C831" s="0" t="s">
        <v>1245</v>
      </c>
      <c r="D831" s="0" t="s">
        <v>1245</v>
      </c>
      <c r="E831" s="0" t="inlineStr">
        <is>
          <t xml:space="preserve">Mazda</t>
        </is>
      </c>
      <c r="F831" s="0" t="s">
        <v>17</v>
      </c>
      <c r="G831" s="0" t="s">
        <v>18</v>
      </c>
      <c r="H831" s="5">
        <v>46894.156300</v>
      </c>
    </row>
    <row r="832" spans="1:9">
      <c r="A832" s="22" t="str">
        <f>HYPERLINK("https://app.vivvix.com/360/KMI/IntelliDrive/ApplUI/Pages/CreativePages/CustomReportCreativeDetail.aspx?App=23&amp;ReportView=4&amp;Qid=1711279&amp;Row=824&amp;Col=1","No Title Assigned - #15261674171")</f>
        <v/>
      </c>
      <c r="B832" s="0" t="s">
        <v>1246</v>
      </c>
      <c r="C832" s="0" t="s">
        <v>1247</v>
      </c>
      <c r="D832" s="0" t="s">
        <v>1247</v>
      </c>
      <c r="E832" s="0" t="inlineStr">
        <is>
          <t xml:space="preserve">Mazda</t>
        </is>
      </c>
      <c r="F832" s="0" t="s">
        <v>21</v>
      </c>
      <c r="G832" s="0" t="s">
        <v>314</v>
      </c>
      <c r="H832" s="5">
        <v>425.286700</v>
      </c>
    </row>
    <row r="833" spans="1:9">
      <c r="A833" s="22" t="str">
        <f>HYPERLINK("https://app.vivvix.com/360/KMI/IntelliDrive/ApplUI/Pages/CreativePages/CustomReportCreativeDetail.aspx?App=23&amp;ReportView=4&amp;Qid=1711279&amp;Row=825&amp;Col=1","No Title Assigned - #15261675418")</f>
        <v/>
      </c>
      <c r="B833" s="0" t="s">
        <v>1248</v>
      </c>
      <c r="C833" s="0" t="s">
        <v>1249</v>
      </c>
      <c r="D833" s="0" t="s">
        <v>670</v>
      </c>
      <c r="E833" s="0" t="inlineStr">
        <is>
          <t xml:space="preserve">Mazda</t>
        </is>
      </c>
      <c r="F833" s="0" t="s">
        <v>369</v>
      </c>
      <c r="G833" s="0" t="s">
        <v>370</v>
      </c>
      <c r="H833" s="5">
        <v>441.481600</v>
      </c>
    </row>
    <row r="834" spans="1:9">
      <c r="A834" s="22" t="str">
        <f>HYPERLINK("https://app.vivvix.com/360/KMI/IntelliDrive/ApplUI/Pages/CreativePages/CustomReportCreativeDetail.aspx?App=23&amp;ReportView=4&amp;Qid=1711279&amp;Row=826&amp;Col=1","No Title Assigned - #15261676325")</f>
        <v/>
      </c>
      <c r="B834" s="0" t="s">
        <v>1250</v>
      </c>
      <c r="E834" s="0" t="inlineStr">
        <is>
          <t xml:space="preserve">Mazda</t>
        </is>
      </c>
      <c r="F834" s="0" t="inlineStr">
        <is>
          <t xml:space="preserve">Mazda</t>
        </is>
      </c>
      <c r="G834" s="0" t="s">
        <v>171</v>
      </c>
    </row>
    <row r="835" spans="1:9">
      <c r="A835" s="22" t="str">
        <f>HYPERLINK("https://app.vivvix.com/360/KMI/IntelliDrive/ApplUI/Pages/CreativePages/CustomReportCreativeDetail.aspx?App=23&amp;ReportView=4&amp;Qid=1711279&amp;Row=827&amp;Col=1","No Title Assigned - #15261676326")</f>
        <v/>
      </c>
      <c r="B835" s="0" t="s">
        <v>1251</v>
      </c>
      <c r="E835" s="0" t="inlineStr">
        <is>
          <t xml:space="preserve">Mazda</t>
        </is>
      </c>
      <c r="F835" s="0" t="inlineStr">
        <is>
          <t xml:space="preserve">Mazda</t>
        </is>
      </c>
      <c r="G835" s="0" t="s">
        <v>171</v>
      </c>
    </row>
    <row r="836" spans="1:9">
      <c r="A836" s="22" t="str">
        <f>HYPERLINK("https://app.vivvix.com/360/KMI/IntelliDrive/ApplUI/Pages/CreativePages/CustomReportCreativeDetail.aspx?App=23&amp;ReportView=4&amp;Qid=1711279&amp;Row=828&amp;Col=1","No Title Assigned - #15261685860")</f>
        <v/>
      </c>
      <c r="B836" s="0" t="s">
        <v>1252</v>
      </c>
      <c r="C836" s="0" t="s">
        <v>1253</v>
      </c>
      <c r="D836" s="0" t="s">
        <v>1253</v>
      </c>
      <c r="E836" s="0" t="inlineStr">
        <is>
          <t xml:space="preserve">Mazda</t>
        </is>
      </c>
      <c r="F836" s="0" t="s">
        <v>17</v>
      </c>
      <c r="G836" s="0" t="s">
        <v>33</v>
      </c>
      <c r="H836" s="5">
        <v>59.609900</v>
      </c>
    </row>
    <row r="837" spans="1:9">
      <c r="A837" s="22" t="str">
        <f>HYPERLINK("https://app.vivvix.com/360/KMI/IntelliDrive/ApplUI/Pages/CreativePages/CustomReportCreativeDetail.aspx?App=23&amp;ReportView=4&amp;Qid=1711279&amp;Row=829&amp;Col=1","No Title Assigned - #15261712412")</f>
        <v/>
      </c>
      <c r="B837" s="0" t="s">
        <v>1254</v>
      </c>
      <c r="C837" s="0" t="s">
        <v>1255</v>
      </c>
      <c r="D837" s="0" t="s">
        <v>1255</v>
      </c>
      <c r="E837" s="0" t="inlineStr">
        <is>
          <t xml:space="preserve">Mazda</t>
        </is>
      </c>
      <c r="F837" s="0" t="s">
        <v>17</v>
      </c>
      <c r="G837" s="0" t="s">
        <v>18</v>
      </c>
      <c r="H837" s="5">
        <v>896.978900</v>
      </c>
    </row>
    <row r="838" spans="1:9">
      <c r="A838" s="22" t="str">
        <f>HYPERLINK("https://app.vivvix.com/360/KMI/IntelliDrive/ApplUI/Pages/CreativePages/CustomReportCreativeDetail.aspx?App=23&amp;ReportView=4&amp;Qid=1711279&amp;Row=830&amp;Col=1","No Title Assigned - #15261825605")</f>
        <v/>
      </c>
      <c r="B838" s="0" t="s">
        <v>1256</v>
      </c>
      <c r="E838" s="0" t="inlineStr">
        <is>
          <t xml:space="preserve">Mazda</t>
        </is>
      </c>
      <c r="F838" s="0" t="s">
        <v>13</v>
      </c>
      <c r="G838" s="0" t="s">
        <v>49</v>
      </c>
      <c r="H838" s="5">
        <v>5245.193400</v>
      </c>
    </row>
    <row r="839" spans="1:9">
      <c r="A839" s="22" t="str">
        <f>HYPERLINK("https://app.vivvix.com/360/KMI/IntelliDrive/ApplUI/Pages/CreativePages/CustomReportCreativeDetail.aspx?App=23&amp;ReportView=4&amp;Qid=1711279&amp;Row=831&amp;Col=1","No Title Assigned - #15261825605")</f>
        <v/>
      </c>
      <c r="B839" s="0" t="s">
        <v>1256</v>
      </c>
      <c r="C839" s="0" t="s">
        <v>1257</v>
      </c>
      <c r="D839" s="0" t="s">
        <v>1257</v>
      </c>
      <c r="E839" s="0" t="inlineStr">
        <is>
          <t xml:space="preserve">Mazda</t>
        </is>
      </c>
      <c r="F839" s="0" t="s">
        <v>13</v>
      </c>
      <c r="G839" s="0" t="s">
        <v>49</v>
      </c>
      <c r="H839" s="5">
        <v>22323.327300</v>
      </c>
    </row>
    <row r="840" spans="1:9">
      <c r="A840" s="22" t="str">
        <f>HYPERLINK("https://app.vivvix.com/360/KMI/IntelliDrive/ApplUI/Pages/CreativePages/CustomReportCreativeDetail.aspx?App=23&amp;ReportView=4&amp;Qid=1711279&amp;Row=832&amp;Col=1","No Title Assigned - #15261854800")</f>
        <v/>
      </c>
      <c r="B840" s="0" t="s">
        <v>1258</v>
      </c>
      <c r="C840" s="0" t="s">
        <v>1259</v>
      </c>
      <c r="D840" s="0" t="s">
        <v>1259</v>
      </c>
      <c r="E840" s="0" t="inlineStr">
        <is>
          <t xml:space="preserve">Mazda</t>
        </is>
      </c>
      <c r="F840" s="0" t="s">
        <v>21</v>
      </c>
      <c r="G840" s="0" t="s">
        <v>314</v>
      </c>
      <c r="H840" s="5">
        <v>2507.753800</v>
      </c>
    </row>
    <row r="841" spans="1:9">
      <c r="A841" s="22" t="str">
        <f>HYPERLINK("https://app.vivvix.com/360/KMI/IntelliDrive/ApplUI/Pages/CreativePages/CustomReportCreativeDetail.aspx?App=23&amp;ReportView=4&amp;Qid=1711279&amp;Row=833&amp;Col=1","No Title Assigned - #15261912162")</f>
        <v/>
      </c>
      <c r="B841" s="0" t="s">
        <v>1260</v>
      </c>
      <c r="C841" s="0" t="s">
        <v>1261</v>
      </c>
      <c r="D841" s="0" t="s">
        <v>1261</v>
      </c>
      <c r="E841" s="0" t="inlineStr">
        <is>
          <t xml:space="preserve">Mazda</t>
        </is>
      </c>
      <c r="F841" s="0" t="s">
        <v>666</v>
      </c>
      <c r="G841" s="0" t="s">
        <v>667</v>
      </c>
      <c r="H841" s="5">
        <v>721.471800</v>
      </c>
    </row>
    <row r="842" spans="1:9">
      <c r="A842" s="22" t="str">
        <f>HYPERLINK("https://app.vivvix.com/360/KMI/IntelliDrive/ApplUI/Pages/CreativePages/CustomReportCreativeDetail.aspx?App=23&amp;ReportView=4&amp;Qid=1711279&amp;Row=834&amp;Col=1","No Title Assigned - #15261947699")</f>
        <v/>
      </c>
      <c r="B842" s="0" t="s">
        <v>1262</v>
      </c>
      <c r="C842" s="0" t="s">
        <v>1263</v>
      </c>
      <c r="D842" s="0" t="s">
        <v>1263</v>
      </c>
      <c r="E842" s="0" t="inlineStr">
        <is>
          <t xml:space="preserve">Mazda</t>
        </is>
      </c>
      <c r="F842" s="0" t="inlineStr">
        <is>
          <t xml:space="preserve">Mazda</t>
        </is>
      </c>
      <c r="G842" s="0" t="s">
        <v>210</v>
      </c>
      <c r="H842" s="5">
        <v>21019.007800</v>
      </c>
    </row>
    <row r="843" spans="1:9">
      <c r="A843" s="22" t="str">
        <f>HYPERLINK("https://app.vivvix.com/360/KMI/IntelliDrive/ApplUI/Pages/CreativePages/CustomReportCreativeDetail.aspx?App=23&amp;ReportView=4&amp;Qid=1711279&amp;Row=835&amp;Col=1","No Title Assigned - #15261977804")</f>
        <v/>
      </c>
      <c r="B843" s="0" t="s">
        <v>1264</v>
      </c>
      <c r="C843" s="0" t="s">
        <v>1265</v>
      </c>
      <c r="D843" s="0" t="s">
        <v>1265</v>
      </c>
      <c r="E843" s="0" t="inlineStr">
        <is>
          <t xml:space="preserve">Mazda</t>
        </is>
      </c>
      <c r="F843" s="0" t="s">
        <v>13</v>
      </c>
      <c r="G843" s="0" t="s">
        <v>49</v>
      </c>
      <c r="H843" s="5">
        <v>1659.415600</v>
      </c>
    </row>
    <row r="844" spans="1:9">
      <c r="A844" s="22" t="str">
        <f>HYPERLINK("https://app.vivvix.com/360/KMI/IntelliDrive/ApplUI/Pages/CreativePages/CustomReportCreativeDetail.aspx?App=23&amp;ReportView=4&amp;Qid=1711279&amp;Row=836&amp;Col=1","No Title Assigned - #15261977808")</f>
        <v/>
      </c>
      <c r="B844" s="0" t="s">
        <v>1266</v>
      </c>
      <c r="E844" s="0" t="inlineStr">
        <is>
          <t xml:space="preserve">Mazda</t>
        </is>
      </c>
      <c r="F844" s="0" t="inlineStr">
        <is>
          <t xml:space="preserve">Mazda</t>
        </is>
      </c>
      <c r="G844" s="0" t="s">
        <v>171</v>
      </c>
    </row>
    <row r="845" spans="1:9">
      <c r="A845" s="22" t="str">
        <f>HYPERLINK("https://app.vivvix.com/360/KMI/IntelliDrive/ApplUI/Pages/CreativePages/CustomReportCreativeDetail.aspx?App=23&amp;ReportView=4&amp;Qid=1711279&amp;Row=837&amp;Col=1","No Title Assigned - #15261993591")</f>
        <v/>
      </c>
      <c r="B845" s="0" t="s">
        <v>1267</v>
      </c>
      <c r="C845" s="0" t="s">
        <v>1268</v>
      </c>
      <c r="D845" s="0" t="s">
        <v>1269</v>
      </c>
      <c r="E845" s="0" t="inlineStr">
        <is>
          <t xml:space="preserve">Mazda</t>
        </is>
      </c>
      <c r="F845" s="0" t="s">
        <v>21</v>
      </c>
      <c r="G845" s="0" t="s">
        <v>22</v>
      </c>
      <c r="H845" s="5">
        <v>413.197200</v>
      </c>
    </row>
    <row r="846" spans="1:9">
      <c r="A846" s="22" t="str">
        <f>HYPERLINK("https://app.vivvix.com/360/KMI/IntelliDrive/ApplUI/Pages/CreativePages/CustomReportCreativeDetail.aspx?App=23&amp;ReportView=4&amp;Qid=1711279&amp;Row=838&amp;Col=1","No Title Assigned - #15262040903")</f>
        <v/>
      </c>
      <c r="B846" s="0" t="s">
        <v>1270</v>
      </c>
      <c r="C846" s="0" t="s">
        <v>1271</v>
      </c>
      <c r="D846" s="0" t="s">
        <v>1271</v>
      </c>
      <c r="E846" s="0" t="inlineStr">
        <is>
          <t xml:space="preserve">Mazda</t>
        </is>
      </c>
      <c r="F846" s="0" t="s">
        <v>13</v>
      </c>
      <c r="G846" s="0" t="s">
        <v>49</v>
      </c>
      <c r="H846" s="5">
        <v>2755.409800</v>
      </c>
    </row>
    <row r="847" spans="1:9">
      <c r="A847" s="22" t="str">
        <f>HYPERLINK("https://app.vivvix.com/360/KMI/IntelliDrive/ApplUI/Pages/CreativePages/CustomReportCreativeDetail.aspx?App=23&amp;ReportView=4&amp;Qid=1711279&amp;Row=839&amp;Col=1","No Title Assigned - #15262046143")</f>
        <v/>
      </c>
      <c r="B847" s="0" t="s">
        <v>1272</v>
      </c>
      <c r="E847" s="0" t="inlineStr">
        <is>
          <t xml:space="preserve">Mazda</t>
        </is>
      </c>
      <c r="F847" s="0" t="inlineStr">
        <is>
          <t xml:space="preserve">Mazda</t>
        </is>
      </c>
      <c r="G847" s="0" t="s">
        <v>171</v>
      </c>
    </row>
    <row r="848" spans="1:9">
      <c r="A848" s="22" t="str">
        <f>HYPERLINK("https://app.vivvix.com/360/KMI/IntelliDrive/ApplUI/Pages/CreativePages/CustomReportCreativeDetail.aspx?App=23&amp;ReportView=4&amp;Qid=1711279&amp;Row=840&amp;Col=1","No Title Assigned - #15262075098")</f>
        <v/>
      </c>
      <c r="B848" s="0" t="s">
        <v>1273</v>
      </c>
      <c r="E848" s="0" t="inlineStr">
        <is>
          <t xml:space="preserve">Mazda</t>
        </is>
      </c>
      <c r="F848" s="0" t="inlineStr">
        <is>
          <t xml:space="preserve">Mazda</t>
        </is>
      </c>
      <c r="G848" s="0" t="s">
        <v>171</v>
      </c>
    </row>
    <row r="849" spans="1:9">
      <c r="A849" s="22" t="str">
        <f>HYPERLINK("https://app.vivvix.com/360/KMI/IntelliDrive/ApplUI/Pages/CreativePages/CustomReportCreativeDetail.aspx?App=23&amp;ReportView=4&amp;Qid=1711279&amp;Row=841&amp;Col=1","No Title Assigned - #15262091751")</f>
        <v/>
      </c>
      <c r="B849" s="0" t="s">
        <v>1274</v>
      </c>
      <c r="C849" s="0" t="s">
        <v>1275</v>
      </c>
      <c r="D849" s="0" t="s">
        <v>1275</v>
      </c>
      <c r="E849" s="0" t="inlineStr">
        <is>
          <t xml:space="preserve">Mazda</t>
        </is>
      </c>
      <c r="F849" s="0" t="s">
        <v>28</v>
      </c>
      <c r="G849" s="0" t="s">
        <v>29</v>
      </c>
      <c r="H849" s="5">
        <v>35502.014900</v>
      </c>
    </row>
    <row r="850" spans="1:9">
      <c r="A850" s="22" t="str">
        <f>HYPERLINK("https://app.vivvix.com/360/KMI/IntelliDrive/ApplUI/Pages/CreativePages/CustomReportCreativeDetail.aspx?App=23&amp;ReportView=4&amp;Qid=1711279&amp;Row=842&amp;Col=1","No Title Assigned - #15262091751")</f>
        <v/>
      </c>
      <c r="B850" s="0" t="s">
        <v>1274</v>
      </c>
      <c r="E850" s="0" t="inlineStr">
        <is>
          <t xml:space="preserve">Mazda</t>
        </is>
      </c>
      <c r="F850" s="0" t="s">
        <v>28</v>
      </c>
      <c r="G850" s="0" t="s">
        <v>29</v>
      </c>
      <c r="H850" s="5">
        <v>14121.613200</v>
      </c>
    </row>
    <row r="851" spans="1:9">
      <c r="A851" s="22" t="str">
        <f>HYPERLINK("https://app.vivvix.com/360/KMI/IntelliDrive/ApplUI/Pages/CreativePages/CustomReportCreativeDetail.aspx?App=23&amp;ReportView=4&amp;Qid=1711279&amp;Row=843&amp;Col=1","No Title Assigned - #15262241768")</f>
        <v/>
      </c>
      <c r="B851" s="0" t="s">
        <v>1276</v>
      </c>
      <c r="C851" s="0" t="s">
        <v>1277</v>
      </c>
      <c r="D851" s="0" t="s">
        <v>1277</v>
      </c>
      <c r="E851" s="0" t="inlineStr">
        <is>
          <t xml:space="preserve">Mazda</t>
        </is>
      </c>
      <c r="F851" s="0" t="s">
        <v>13</v>
      </c>
      <c r="G851" s="0" t="s">
        <v>49</v>
      </c>
      <c r="H851" s="5">
        <v>9288.951400</v>
      </c>
    </row>
    <row r="852" spans="1:9">
      <c r="A852" s="22" t="str">
        <f>HYPERLINK("https://app.vivvix.com/360/KMI/IntelliDrive/ApplUI/Pages/CreativePages/CustomReportCreativeDetail.aspx?App=23&amp;ReportView=4&amp;Qid=1711279&amp;Row=844&amp;Col=1","No Title Assigned - #15262295568")</f>
        <v/>
      </c>
      <c r="B852" s="0" t="s">
        <v>1278</v>
      </c>
      <c r="C852" s="0" t="s">
        <v>1279</v>
      </c>
      <c r="D852" s="0" t="s">
        <v>1279</v>
      </c>
      <c r="E852" s="0" t="inlineStr">
        <is>
          <t xml:space="preserve">Mazda</t>
        </is>
      </c>
      <c r="F852" s="0" t="s">
        <v>13</v>
      </c>
      <c r="G852" s="0" t="s">
        <v>49</v>
      </c>
      <c r="H852" s="5">
        <v>42223.500100</v>
      </c>
    </row>
    <row r="853" spans="1:9">
      <c r="A853" s="22" t="str">
        <f>HYPERLINK("https://app.vivvix.com/360/KMI/IntelliDrive/ApplUI/Pages/CreativePages/CustomReportCreativeDetail.aspx?App=23&amp;ReportView=4&amp;Qid=1711279&amp;Row=845&amp;Col=1","No Title Assigned - #15262295568")</f>
        <v/>
      </c>
      <c r="B853" s="0" t="s">
        <v>1278</v>
      </c>
      <c r="E853" s="0" t="inlineStr">
        <is>
          <t xml:space="preserve">Mazda</t>
        </is>
      </c>
      <c r="F853" s="0" t="s">
        <v>13</v>
      </c>
      <c r="G853" s="0" t="s">
        <v>49</v>
      </c>
      <c r="H853" s="5">
        <v>1401.542600</v>
      </c>
    </row>
    <row r="854" spans="1:9">
      <c r="A854" s="22" t="str">
        <f>HYPERLINK("https://app.vivvix.com/360/KMI/IntelliDrive/ApplUI/Pages/CreativePages/CustomReportCreativeDetail.aspx?App=23&amp;ReportView=4&amp;Qid=1711279&amp;Row=846&amp;Col=1","No Title Assigned - #15262295593")</f>
        <v/>
      </c>
      <c r="B854" s="0" t="s">
        <v>1280</v>
      </c>
      <c r="C854" s="0" t="s">
        <v>1281</v>
      </c>
      <c r="D854" s="0" t="s">
        <v>1281</v>
      </c>
      <c r="E854" s="0" t="inlineStr">
        <is>
          <t xml:space="preserve">Mazda</t>
        </is>
      </c>
      <c r="F854" s="0" t="s">
        <v>13</v>
      </c>
      <c r="G854" s="0" t="s">
        <v>49</v>
      </c>
      <c r="H854" s="5">
        <v>45180.292000</v>
      </c>
    </row>
    <row r="855" spans="1:9">
      <c r="A855" s="22" t="str">
        <f>HYPERLINK("https://app.vivvix.com/360/KMI/IntelliDrive/ApplUI/Pages/CreativePages/CustomReportCreativeDetail.aspx?App=23&amp;ReportView=4&amp;Qid=1711279&amp;Row=847&amp;Col=1","No Title Assigned - #15262295593")</f>
        <v/>
      </c>
      <c r="B855" s="0" t="s">
        <v>1280</v>
      </c>
      <c r="E855" s="0" t="inlineStr">
        <is>
          <t xml:space="preserve">Mazda</t>
        </is>
      </c>
      <c r="F855" s="0" t="s">
        <v>13</v>
      </c>
      <c r="G855" s="0" t="s">
        <v>49</v>
      </c>
      <c r="H855" s="5">
        <v>134556.057300</v>
      </c>
    </row>
    <row r="856" spans="1:9">
      <c r="A856" s="22" t="str">
        <f>HYPERLINK("https://app.vivvix.com/360/KMI/IntelliDrive/ApplUI/Pages/CreativePages/CustomReportCreativeDetail.aspx?App=23&amp;ReportView=4&amp;Qid=1711279&amp;Row=848&amp;Col=1","No Title Assigned - #15262297826")</f>
        <v/>
      </c>
      <c r="B856" s="0" t="s">
        <v>1282</v>
      </c>
      <c r="C856" s="0" t="s">
        <v>1283</v>
      </c>
      <c r="D856" s="0" t="s">
        <v>1283</v>
      </c>
      <c r="E856" s="0" t="inlineStr">
        <is>
          <t xml:space="preserve">Mazda</t>
        </is>
      </c>
      <c r="F856" s="0" t="s">
        <v>13</v>
      </c>
      <c r="G856" s="0" t="s">
        <v>49</v>
      </c>
      <c r="H856" s="5">
        <v>605.400100</v>
      </c>
    </row>
    <row r="857" spans="1:9">
      <c r="A857" s="22" t="str">
        <f>HYPERLINK("https://app.vivvix.com/360/KMI/IntelliDrive/ApplUI/Pages/CreativePages/CustomReportCreativeDetail.aspx?App=23&amp;ReportView=4&amp;Qid=1711279&amp;Row=849&amp;Col=1","No Title Assigned - #15262297826")</f>
        <v/>
      </c>
      <c r="B857" s="0" t="s">
        <v>1282</v>
      </c>
      <c r="E857" s="0" t="inlineStr">
        <is>
          <t xml:space="preserve">Mazda</t>
        </is>
      </c>
      <c r="F857" s="0" t="s">
        <v>13</v>
      </c>
      <c r="G857" s="0" t="s">
        <v>49</v>
      </c>
      <c r="H857" s="5">
        <v>46.622200</v>
      </c>
    </row>
    <row r="858" spans="1:9">
      <c r="A858" s="22" t="str">
        <f>HYPERLINK("https://app.vivvix.com/360/KMI/IntelliDrive/ApplUI/Pages/CreativePages/CustomReportCreativeDetail.aspx?App=23&amp;ReportView=4&amp;Qid=1711279&amp;Row=850&amp;Col=1","No Title Assigned - #15262317962")</f>
        <v/>
      </c>
      <c r="B858" s="0" t="s">
        <v>1284</v>
      </c>
      <c r="C858" s="0" t="s">
        <v>1285</v>
      </c>
      <c r="D858" s="0" t="s">
        <v>1285</v>
      </c>
      <c r="E858" s="0" t="inlineStr">
        <is>
          <t xml:space="preserve">Mazda</t>
        </is>
      </c>
      <c r="F858" s="0" t="s">
        <v>13</v>
      </c>
      <c r="G858" s="0" t="s">
        <v>49</v>
      </c>
      <c r="H858" s="5">
        <v>190.269500</v>
      </c>
    </row>
    <row r="859" spans="1:9">
      <c r="A859" s="22" t="str">
        <f>HYPERLINK("https://app.vivvix.com/360/KMI/IntelliDrive/ApplUI/Pages/CreativePages/CustomReportCreativeDetail.aspx?App=23&amp;ReportView=4&amp;Qid=1711279&amp;Row=851&amp;Col=1","No Title Assigned - #15262520679")</f>
        <v/>
      </c>
      <c r="B859" s="0" t="s">
        <v>1286</v>
      </c>
      <c r="C859" s="0" t="s">
        <v>1287</v>
      </c>
      <c r="D859" s="0" t="s">
        <v>1287</v>
      </c>
      <c r="E859" s="0" t="inlineStr">
        <is>
          <t xml:space="preserve">Mazda</t>
        </is>
      </c>
      <c r="F859" s="0" t="s">
        <v>28</v>
      </c>
      <c r="G859" s="0" t="s">
        <v>29</v>
      </c>
      <c r="H859" s="5">
        <v>10.026100</v>
      </c>
    </row>
    <row r="860" spans="1:9">
      <c r="A860" s="22" t="str">
        <f>HYPERLINK("https://app.vivvix.com/360/KMI/IntelliDrive/ApplUI/Pages/CreativePages/CustomReportCreativeDetail.aspx?App=23&amp;ReportView=4&amp;Qid=1711279&amp;Row=852&amp;Col=1","No Title Assigned - #15262570328")</f>
        <v/>
      </c>
      <c r="B860" s="0" t="s">
        <v>1288</v>
      </c>
      <c r="C860" s="0" t="s">
        <v>1289</v>
      </c>
      <c r="D860" s="0" t="s">
        <v>1289</v>
      </c>
      <c r="E860" s="0" t="inlineStr">
        <is>
          <t xml:space="preserve">Mazda</t>
        </is>
      </c>
      <c r="F860" s="0" t="s">
        <v>28</v>
      </c>
      <c r="G860" s="0" t="s">
        <v>29</v>
      </c>
      <c r="H860" s="5">
        <v>210762.256800</v>
      </c>
    </row>
    <row r="861" spans="1:9">
      <c r="A861" s="22" t="str">
        <f>HYPERLINK("https://app.vivvix.com/360/KMI/IntelliDrive/ApplUI/Pages/CreativePages/CustomReportCreativeDetail.aspx?App=23&amp;ReportView=4&amp;Qid=1711279&amp;Row=853&amp;Col=1","No Title Assigned - #15262570328")</f>
        <v/>
      </c>
      <c r="B861" s="0" t="s">
        <v>1288</v>
      </c>
      <c r="E861" s="0" t="inlineStr">
        <is>
          <t xml:space="preserve">Mazda</t>
        </is>
      </c>
      <c r="F861" s="0" t="s">
        <v>28</v>
      </c>
      <c r="G861" s="0" t="s">
        <v>29</v>
      </c>
      <c r="H861" s="5">
        <v>527427.749800</v>
      </c>
    </row>
    <row r="862" spans="1:9">
      <c r="A862" s="22" t="str">
        <f>HYPERLINK("https://app.vivvix.com/360/KMI/IntelliDrive/ApplUI/Pages/CreativePages/CustomReportCreativeDetail.aspx?App=23&amp;ReportView=4&amp;Qid=1711279&amp;Row=854&amp;Col=1","No Title Assigned - #15262621423")</f>
        <v/>
      </c>
      <c r="B862" s="0" t="s">
        <v>1290</v>
      </c>
      <c r="C862" s="0" t="s">
        <v>1291</v>
      </c>
      <c r="D862" s="0" t="s">
        <v>1291</v>
      </c>
      <c r="E862" s="0" t="inlineStr">
        <is>
          <t xml:space="preserve">Mazda</t>
        </is>
      </c>
      <c r="F862" s="0" t="s">
        <v>13</v>
      </c>
      <c r="G862" s="0" t="s">
        <v>49</v>
      </c>
      <c r="H862" s="5">
        <v>249.012700</v>
      </c>
    </row>
    <row r="863" spans="1:9">
      <c r="A863" s="22" t="str">
        <f>HYPERLINK("https://app.vivvix.com/360/KMI/IntelliDrive/ApplUI/Pages/CreativePages/CustomReportCreativeDetail.aspx?App=23&amp;ReportView=4&amp;Qid=1711279&amp;Row=855&amp;Col=1","No Title Assigned - #15262645723")</f>
        <v/>
      </c>
      <c r="B863" s="0" t="s">
        <v>1292</v>
      </c>
      <c r="C863" s="0" t="s">
        <v>1293</v>
      </c>
      <c r="D863" s="0" t="s">
        <v>1293</v>
      </c>
      <c r="E863" s="0" t="inlineStr">
        <is>
          <t xml:space="preserve">Mazda</t>
        </is>
      </c>
      <c r="F863" s="0" t="s">
        <v>13</v>
      </c>
      <c r="G863" s="0" t="s">
        <v>49</v>
      </c>
      <c r="H863" s="5">
        <v>79.848900</v>
      </c>
    </row>
    <row r="864" spans="1:9">
      <c r="A864" s="22" t="str">
        <f>HYPERLINK("https://app.vivvix.com/360/KMI/IntelliDrive/ApplUI/Pages/CreativePages/CustomReportCreativeDetail.aspx?App=23&amp;ReportView=4&amp;Qid=1711279&amp;Row=856&amp;Col=1","No Title Assigned - #15262687879")</f>
        <v/>
      </c>
      <c r="B864" s="0" t="s">
        <v>1294</v>
      </c>
      <c r="C864" s="0" t="s">
        <v>1295</v>
      </c>
      <c r="D864" s="0" t="s">
        <v>1295</v>
      </c>
      <c r="E864" s="0" t="inlineStr">
        <is>
          <t xml:space="preserve">Mazda</t>
        </is>
      </c>
      <c r="F864" s="0" t="s">
        <v>13</v>
      </c>
      <c r="G864" s="0" t="s">
        <v>49</v>
      </c>
      <c r="H864" s="5">
        <v>9718.878000</v>
      </c>
    </row>
    <row r="865" spans="1:9">
      <c r="A865" s="22" t="str">
        <f>HYPERLINK("https://app.vivvix.com/360/KMI/IntelliDrive/ApplUI/Pages/CreativePages/CustomReportCreativeDetail.aspx?App=23&amp;ReportView=4&amp;Qid=1711279&amp;Row=857&amp;Col=1","No Title Assigned - #15262692825")</f>
        <v/>
      </c>
      <c r="B865" s="0" t="s">
        <v>1296</v>
      </c>
      <c r="C865" s="0" t="s">
        <v>1297</v>
      </c>
      <c r="D865" s="0" t="s">
        <v>1297</v>
      </c>
      <c r="E865" s="0" t="inlineStr">
        <is>
          <t xml:space="preserve">Mazda</t>
        </is>
      </c>
      <c r="F865" s="0" t="s">
        <v>28</v>
      </c>
      <c r="G865" s="0" t="s">
        <v>29</v>
      </c>
      <c r="H865" s="5">
        <v>2485.929300</v>
      </c>
    </row>
    <row r="866" spans="1:9">
      <c r="A866" s="22" t="str">
        <f>HYPERLINK("https://app.vivvix.com/360/KMI/IntelliDrive/ApplUI/Pages/CreativePages/CustomReportCreativeDetail.aspx?App=23&amp;ReportView=4&amp;Qid=1711279&amp;Row=858&amp;Col=1","No Title Assigned - #15262692825")</f>
        <v/>
      </c>
      <c r="B866" s="0" t="s">
        <v>1296</v>
      </c>
      <c r="E866" s="0" t="inlineStr">
        <is>
          <t xml:space="preserve">Mazda</t>
        </is>
      </c>
      <c r="F866" s="0" t="s">
        <v>28</v>
      </c>
      <c r="G866" s="0" t="s">
        <v>29</v>
      </c>
      <c r="H866" s="5">
        <v>6074.032700</v>
      </c>
    </row>
    <row r="867" spans="1:9">
      <c r="A867" s="22" t="str">
        <f>HYPERLINK("https://app.vivvix.com/360/KMI/IntelliDrive/ApplUI/Pages/CreativePages/CustomReportCreativeDetail.aspx?App=23&amp;ReportView=4&amp;Qid=1711279&amp;Row=859&amp;Col=1","No Title Assigned - #15262695032")</f>
        <v/>
      </c>
      <c r="B867" s="0" t="s">
        <v>1298</v>
      </c>
      <c r="C867" s="0" t="s">
        <v>1299</v>
      </c>
      <c r="D867" s="0" t="s">
        <v>1299</v>
      </c>
      <c r="E867" s="0" t="inlineStr">
        <is>
          <t xml:space="preserve">Mazda</t>
        </is>
      </c>
      <c r="F867" s="0" t="s">
        <v>17</v>
      </c>
      <c r="G867" s="0" t="s">
        <v>33</v>
      </c>
      <c r="H867" s="5">
        <v>3992.400200</v>
      </c>
    </row>
    <row r="868" spans="1:9">
      <c r="A868" s="22" t="str">
        <f>HYPERLINK("https://app.vivvix.com/360/KMI/IntelliDrive/ApplUI/Pages/CreativePages/CustomReportCreativeDetail.aspx?App=23&amp;ReportView=4&amp;Qid=1711279&amp;Row=860&amp;Col=1","No Title Assigned - #15262700240")</f>
        <v/>
      </c>
      <c r="B868" s="0" t="s">
        <v>1300</v>
      </c>
      <c r="C868" s="0" t="s">
        <v>1301</v>
      </c>
      <c r="D868" s="0" t="s">
        <v>1301</v>
      </c>
      <c r="E868" s="0" t="inlineStr">
        <is>
          <t xml:space="preserve">Mazda</t>
        </is>
      </c>
      <c r="F868" s="0" t="s">
        <v>28</v>
      </c>
      <c r="G868" s="0" t="s">
        <v>29</v>
      </c>
      <c r="H868" s="5">
        <v>2899.921800</v>
      </c>
    </row>
    <row r="869" spans="1:9">
      <c r="A869" s="22" t="str">
        <f>HYPERLINK("https://app.vivvix.com/360/KMI/IntelliDrive/ApplUI/Pages/CreativePages/CustomReportCreativeDetail.aspx?App=23&amp;ReportView=4&amp;Qid=1711279&amp;Row=861&amp;Col=1","No Title Assigned - #15262700240")</f>
        <v/>
      </c>
      <c r="B869" s="0" t="s">
        <v>1300</v>
      </c>
      <c r="E869" s="0" t="inlineStr">
        <is>
          <t xml:space="preserve">Mazda</t>
        </is>
      </c>
      <c r="F869" s="0" t="s">
        <v>28</v>
      </c>
      <c r="G869" s="0" t="s">
        <v>29</v>
      </c>
      <c r="H869" s="5">
        <v>409.113900</v>
      </c>
    </row>
    <row r="870" spans="1:9">
      <c r="A870" s="22" t="str">
        <f>HYPERLINK("https://app.vivvix.com/360/KMI/IntelliDrive/ApplUI/Pages/CreativePages/CustomReportCreativeDetail.aspx?App=23&amp;ReportView=4&amp;Qid=1711279&amp;Row=862&amp;Col=1","No Title Assigned - #15262737305")</f>
        <v/>
      </c>
      <c r="B870" s="0" t="s">
        <v>1302</v>
      </c>
      <c r="C870" s="0" t="s">
        <v>1303</v>
      </c>
      <c r="D870" s="0" t="s">
        <v>1303</v>
      </c>
      <c r="E870" s="0" t="inlineStr">
        <is>
          <t xml:space="preserve">Mazda</t>
        </is>
      </c>
      <c r="F870" s="0" t="s">
        <v>28</v>
      </c>
      <c r="G870" s="0" t="s">
        <v>29</v>
      </c>
      <c r="H870" s="5">
        <v>6791.392500</v>
      </c>
    </row>
    <row r="871" spans="1:9">
      <c r="A871" s="22" t="str">
        <f>HYPERLINK("https://app.vivvix.com/360/KMI/IntelliDrive/ApplUI/Pages/CreativePages/CustomReportCreativeDetail.aspx?App=23&amp;ReportView=4&amp;Qid=1711279&amp;Row=863&amp;Col=1","No Title Assigned - #15262742674")</f>
        <v/>
      </c>
      <c r="B871" s="0" t="s">
        <v>1304</v>
      </c>
      <c r="E871" s="0" t="inlineStr">
        <is>
          <t xml:space="preserve">Mazda</t>
        </is>
      </c>
      <c r="F871" s="0" t="s">
        <v>28</v>
      </c>
      <c r="G871" s="0" t="s">
        <v>29</v>
      </c>
      <c r="H871" s="5">
        <v>1094.488200</v>
      </c>
    </row>
    <row r="872" spans="1:9">
      <c r="A872" s="22" t="str">
        <f>HYPERLINK("https://app.vivvix.com/360/KMI/IntelliDrive/ApplUI/Pages/CreativePages/CustomReportCreativeDetail.aspx?App=23&amp;ReportView=4&amp;Qid=1711279&amp;Row=864&amp;Col=1","No Title Assigned - #15262742674")</f>
        <v/>
      </c>
      <c r="B872" s="0" t="s">
        <v>1304</v>
      </c>
      <c r="C872" s="0" t="s">
        <v>1305</v>
      </c>
      <c r="D872" s="0" t="s">
        <v>1305</v>
      </c>
      <c r="E872" s="0" t="inlineStr">
        <is>
          <t xml:space="preserve">Mazda</t>
        </is>
      </c>
      <c r="F872" s="0" t="s">
        <v>28</v>
      </c>
      <c r="G872" s="0" t="s">
        <v>29</v>
      </c>
      <c r="H872" s="5">
        <v>85.199600</v>
      </c>
    </row>
    <row r="873" spans="1:9">
      <c r="A873" s="22" t="str">
        <f>HYPERLINK("https://app.vivvix.com/360/KMI/IntelliDrive/ApplUI/Pages/CreativePages/CustomReportCreativeDetail.aspx?App=23&amp;ReportView=4&amp;Qid=1711279&amp;Row=865&amp;Col=1","No Title Assigned - #15262760079")</f>
        <v/>
      </c>
      <c r="B873" s="0" t="s">
        <v>1306</v>
      </c>
      <c r="C873" s="0" t="s">
        <v>1307</v>
      </c>
      <c r="D873" s="0" t="s">
        <v>1307</v>
      </c>
      <c r="E873" s="0" t="inlineStr">
        <is>
          <t xml:space="preserve">Mazda</t>
        </is>
      </c>
      <c r="F873" s="0" t="s">
        <v>28</v>
      </c>
      <c r="G873" s="0" t="s">
        <v>29</v>
      </c>
      <c r="H873" s="5">
        <v>507.717500</v>
      </c>
    </row>
    <row r="874" spans="1:9">
      <c r="A874" s="22" t="str">
        <f>HYPERLINK("https://app.vivvix.com/360/KMI/IntelliDrive/ApplUI/Pages/CreativePages/CustomReportCreativeDetail.aspx?App=23&amp;ReportView=4&amp;Qid=1711279&amp;Row=866&amp;Col=1","No Title Assigned - #15262806945")</f>
        <v/>
      </c>
      <c r="B874" s="0" t="s">
        <v>1308</v>
      </c>
      <c r="E874" s="0" t="inlineStr">
        <is>
          <t xml:space="preserve">Mazda</t>
        </is>
      </c>
      <c r="F874" s="0" t="inlineStr">
        <is>
          <t xml:space="preserve">Mazda</t>
        </is>
      </c>
      <c r="G874" s="0" t="s">
        <v>171</v>
      </c>
      <c r="H874" s="5">
        <v>18334.058600</v>
      </c>
    </row>
    <row r="875" spans="1:9">
      <c r="A875" s="22" t="str">
        <f>HYPERLINK("https://app.vivvix.com/360/KMI/IntelliDrive/ApplUI/Pages/CreativePages/CustomReportCreativeDetail.aspx?App=23&amp;ReportView=4&amp;Qid=1711279&amp;Row=867&amp;Col=1","No Title Assigned - #15262862905")</f>
        <v/>
      </c>
      <c r="B875" s="0" t="s">
        <v>1309</v>
      </c>
      <c r="C875" s="0" t="s">
        <v>1310</v>
      </c>
      <c r="D875" s="0" t="s">
        <v>1310</v>
      </c>
      <c r="E875" s="0" t="inlineStr">
        <is>
          <t xml:space="preserve">Mazda</t>
        </is>
      </c>
      <c r="F875" s="0" t="s">
        <v>17</v>
      </c>
      <c r="G875" s="0" t="s">
        <v>18</v>
      </c>
      <c r="H875" s="5">
        <v>426.002900</v>
      </c>
    </row>
    <row r="876" spans="1:9">
      <c r="A876" s="22" t="str">
        <f>HYPERLINK("https://app.vivvix.com/360/KMI/IntelliDrive/ApplUI/Pages/CreativePages/CustomReportCreativeDetail.aspx?App=23&amp;ReportView=4&amp;Qid=1711279&amp;Row=868&amp;Col=1","No Title Assigned - #15262875005")</f>
        <v/>
      </c>
      <c r="B876" s="0" t="s">
        <v>1311</v>
      </c>
      <c r="E876" s="0" t="inlineStr">
        <is>
          <t xml:space="preserve">Mazda</t>
        </is>
      </c>
      <c r="F876" s="0" t="inlineStr">
        <is>
          <t xml:space="preserve">Mazda</t>
        </is>
      </c>
      <c r="G876" s="0" t="s">
        <v>171</v>
      </c>
    </row>
    <row r="877" spans="1:9">
      <c r="A877" s="22" t="str">
        <f>HYPERLINK("https://app.vivvix.com/360/KMI/IntelliDrive/ApplUI/Pages/CreativePages/CustomReportCreativeDetail.aspx?App=23&amp;ReportView=4&amp;Qid=1711279&amp;Row=869&amp;Col=1","No Title Assigned - #15262877745")</f>
        <v/>
      </c>
      <c r="B877" s="0" t="s">
        <v>1312</v>
      </c>
      <c r="C877" s="0" t="s">
        <v>1313</v>
      </c>
      <c r="D877" s="0" t="s">
        <v>1313</v>
      </c>
      <c r="E877" s="0" t="inlineStr">
        <is>
          <t xml:space="preserve">Mazda</t>
        </is>
      </c>
      <c r="F877" s="0" t="s">
        <v>13</v>
      </c>
      <c r="G877" s="0" t="s">
        <v>49</v>
      </c>
      <c r="H877" s="5">
        <v>249.012700</v>
      </c>
    </row>
    <row r="878" spans="1:9">
      <c r="A878" s="22" t="str">
        <f>HYPERLINK("https://app.vivvix.com/360/KMI/IntelliDrive/ApplUI/Pages/CreativePages/CustomReportCreativeDetail.aspx?App=23&amp;ReportView=4&amp;Qid=1711279&amp;Row=870&amp;Col=1","No Title Assigned - #15262924753")</f>
        <v/>
      </c>
      <c r="B878" s="0" t="s">
        <v>1314</v>
      </c>
      <c r="C878" s="0" t="s">
        <v>1315</v>
      </c>
      <c r="D878" s="0" t="s">
        <v>1315</v>
      </c>
      <c r="E878" s="0" t="inlineStr">
        <is>
          <t xml:space="preserve">Mazda</t>
        </is>
      </c>
      <c r="F878" s="0" t="s">
        <v>28</v>
      </c>
      <c r="G878" s="0" t="s">
        <v>29</v>
      </c>
      <c r="H878" s="5">
        <v>28296.108700</v>
      </c>
    </row>
    <row r="879" spans="1:9">
      <c r="A879" s="22" t="str">
        <f>HYPERLINK("https://app.vivvix.com/360/KMI/IntelliDrive/ApplUI/Pages/CreativePages/CustomReportCreativeDetail.aspx?App=23&amp;ReportView=4&amp;Qid=1711279&amp;Row=871&amp;Col=1","No Title Assigned - #15262924753")</f>
        <v/>
      </c>
      <c r="B879" s="0" t="s">
        <v>1314</v>
      </c>
      <c r="E879" s="0" t="inlineStr">
        <is>
          <t xml:space="preserve">Mazda</t>
        </is>
      </c>
      <c r="F879" s="0" t="s">
        <v>28</v>
      </c>
      <c r="G879" s="0" t="s">
        <v>29</v>
      </c>
      <c r="H879" s="5">
        <v>329.208800</v>
      </c>
    </row>
    <row r="880" spans="1:9">
      <c r="A880" s="22" t="str">
        <f>HYPERLINK("https://app.vivvix.com/360/KMI/IntelliDrive/ApplUI/Pages/CreativePages/CustomReportCreativeDetail.aspx?App=23&amp;ReportView=4&amp;Qid=1711279&amp;Row=872&amp;Col=1","No Title Assigned - #15262938776")</f>
        <v/>
      </c>
      <c r="B880" s="0" t="s">
        <v>1316</v>
      </c>
      <c r="C880" s="0" t="s">
        <v>808</v>
      </c>
      <c r="D880" s="0" t="s">
        <v>809</v>
      </c>
      <c r="E880" s="0" t="inlineStr">
        <is>
          <t xml:space="preserve">Mazda</t>
        </is>
      </c>
      <c r="F880" s="0" t="s">
        <v>369</v>
      </c>
      <c r="G880" s="0" t="s">
        <v>370</v>
      </c>
      <c r="H880" s="5">
        <v>882.963200</v>
      </c>
    </row>
    <row r="881" spans="1:9">
      <c r="A881" s="22" t="str">
        <f>HYPERLINK("https://app.vivvix.com/360/KMI/IntelliDrive/ApplUI/Pages/CreativePages/CustomReportCreativeDetail.aspx?App=23&amp;ReportView=4&amp;Qid=1711279&amp;Row=873&amp;Col=1","No Title Assigned - #15262996444")</f>
        <v/>
      </c>
      <c r="B881" s="0" t="s">
        <v>1317</v>
      </c>
      <c r="C881" s="0" t="s">
        <v>1318</v>
      </c>
      <c r="D881" s="0" t="s">
        <v>1318</v>
      </c>
      <c r="E881" s="0" t="inlineStr">
        <is>
          <t xml:space="preserve">Mazda</t>
        </is>
      </c>
      <c r="F881" s="0" t="s">
        <v>21</v>
      </c>
      <c r="G881" s="0" t="s">
        <v>22</v>
      </c>
      <c r="H881" s="5">
        <v>3128.832500</v>
      </c>
    </row>
    <row r="882" spans="1:9">
      <c r="A882" s="22" t="str">
        <f>HYPERLINK("https://app.vivvix.com/360/KMI/IntelliDrive/ApplUI/Pages/CreativePages/CustomReportCreativeDetail.aspx?App=23&amp;ReportView=4&amp;Qid=1711279&amp;Row=874&amp;Col=1","No Title Assigned - #15263017752")</f>
        <v/>
      </c>
      <c r="B882" s="0" t="s">
        <v>1319</v>
      </c>
      <c r="C882" s="0" t="s">
        <v>1320</v>
      </c>
      <c r="D882" s="0" t="s">
        <v>1320</v>
      </c>
      <c r="E882" s="0" t="inlineStr">
        <is>
          <t xml:space="preserve">Mazda</t>
        </is>
      </c>
      <c r="F882" s="0" t="s">
        <v>21</v>
      </c>
      <c r="G882" s="0" t="s">
        <v>22</v>
      </c>
      <c r="H882" s="5">
        <v>611.219900</v>
      </c>
    </row>
    <row r="883" spans="1:9">
      <c r="A883" s="22" t="str">
        <f>HYPERLINK("https://app.vivvix.com/360/KMI/IntelliDrive/ApplUI/Pages/CreativePages/CustomReportCreativeDetail.aspx?App=23&amp;ReportView=4&amp;Qid=1711279&amp;Row=875&amp;Col=1","No Title Assigned - #15263021036")</f>
        <v/>
      </c>
      <c r="B883" s="0" t="s">
        <v>1321</v>
      </c>
      <c r="C883" s="0" t="s">
        <v>1322</v>
      </c>
      <c r="D883" s="0" t="s">
        <v>1322</v>
      </c>
      <c r="E883" s="0" t="inlineStr">
        <is>
          <t xml:space="preserve">Mazda</t>
        </is>
      </c>
      <c r="F883" s="0" t="s">
        <v>17</v>
      </c>
      <c r="G883" s="0" t="s">
        <v>33</v>
      </c>
      <c r="H883" s="5">
        <v>30229.744100</v>
      </c>
    </row>
    <row r="884" spans="1:9">
      <c r="A884" s="22" t="str">
        <f>HYPERLINK("https://app.vivvix.com/360/KMI/IntelliDrive/ApplUI/Pages/CreativePages/CustomReportCreativeDetail.aspx?App=23&amp;ReportView=4&amp;Qid=1711279&amp;Row=876&amp;Col=1","No Title Assigned - #15263036585")</f>
        <v/>
      </c>
      <c r="B884" s="0" t="s">
        <v>1323</v>
      </c>
      <c r="C884" s="0" t="s">
        <v>1324</v>
      </c>
      <c r="D884" s="0" t="s">
        <v>1324</v>
      </c>
      <c r="E884" s="0" t="inlineStr">
        <is>
          <t xml:space="preserve">Mazda</t>
        </is>
      </c>
      <c r="F884" s="0" t="s">
        <v>13</v>
      </c>
      <c r="G884" s="0" t="s">
        <v>49</v>
      </c>
      <c r="H884" s="5">
        <v>669.533600</v>
      </c>
    </row>
    <row r="885" spans="1:9">
      <c r="A885" s="22" t="str">
        <f>HYPERLINK("https://app.vivvix.com/360/KMI/IntelliDrive/ApplUI/Pages/CreativePages/CustomReportCreativeDetail.aspx?App=23&amp;ReportView=4&amp;Qid=1711279&amp;Row=877&amp;Col=1","No Title Assigned - #15263041962")</f>
        <v/>
      </c>
      <c r="B885" s="0" t="s">
        <v>1325</v>
      </c>
      <c r="E885" s="0" t="inlineStr">
        <is>
          <t xml:space="preserve">Mazda</t>
        </is>
      </c>
      <c r="F885" s="0" t="inlineStr">
        <is>
          <t xml:space="preserve">Mazda</t>
        </is>
      </c>
      <c r="G885" s="0" t="s">
        <v>171</v>
      </c>
      <c r="H885" s="5">
        <v>9732.643600</v>
      </c>
    </row>
    <row r="886" spans="1:9">
      <c r="A886" s="22" t="str">
        <f>HYPERLINK("https://app.vivvix.com/360/KMI/IntelliDrive/ApplUI/Pages/CreativePages/CustomReportCreativeDetail.aspx?App=23&amp;ReportView=4&amp;Qid=1711279&amp;Row=878&amp;Col=1","No Title Assigned - #15263051981")</f>
        <v/>
      </c>
      <c r="B886" s="0" t="s">
        <v>1326</v>
      </c>
      <c r="C886" s="0" t="s">
        <v>1327</v>
      </c>
      <c r="D886" s="0" t="s">
        <v>1327</v>
      </c>
      <c r="E886" s="0" t="inlineStr">
        <is>
          <t xml:space="preserve">Mazda</t>
        </is>
      </c>
      <c r="F886" s="0" t="s">
        <v>1328</v>
      </c>
      <c r="G886" s="0" t="s">
        <v>1329</v>
      </c>
      <c r="H886" s="5">
        <v>441.633800</v>
      </c>
    </row>
    <row r="887" spans="1:9">
      <c r="A887" s="22" t="str">
        <f>HYPERLINK("https://app.vivvix.com/360/KMI/IntelliDrive/ApplUI/Pages/CreativePages/CustomReportCreativeDetail.aspx?App=23&amp;ReportView=4&amp;Qid=1711279&amp;Row=879&amp;Col=1","No Title Assigned - #15263184713")</f>
        <v/>
      </c>
      <c r="B887" s="0" t="s">
        <v>1330</v>
      </c>
      <c r="E887" s="0" t="inlineStr">
        <is>
          <t xml:space="preserve">Mazda</t>
        </is>
      </c>
      <c r="F887" s="0" t="s">
        <v>13</v>
      </c>
      <c r="G887" s="0" t="s">
        <v>49</v>
      </c>
      <c r="H887" s="5">
        <v>994.094900</v>
      </c>
    </row>
    <row r="888" spans="1:9">
      <c r="A888" s="22" t="str">
        <f>HYPERLINK("https://app.vivvix.com/360/KMI/IntelliDrive/ApplUI/Pages/CreativePages/CustomReportCreativeDetail.aspx?App=23&amp;ReportView=4&amp;Qid=1711279&amp;Row=880&amp;Col=1","No Title Assigned - #15263184713")</f>
        <v/>
      </c>
      <c r="B888" s="0" t="s">
        <v>1330</v>
      </c>
      <c r="C888" s="0" t="s">
        <v>1331</v>
      </c>
      <c r="D888" s="0" t="s">
        <v>1331</v>
      </c>
      <c r="E888" s="0" t="inlineStr">
        <is>
          <t xml:space="preserve">Mazda</t>
        </is>
      </c>
      <c r="F888" s="0" t="s">
        <v>13</v>
      </c>
      <c r="G888" s="0" t="s">
        <v>49</v>
      </c>
      <c r="H888" s="5">
        <v>2754.629800</v>
      </c>
    </row>
    <row r="889" spans="1:9">
      <c r="A889" s="22" t="str">
        <f>HYPERLINK("https://app.vivvix.com/360/KMI/IntelliDrive/ApplUI/Pages/CreativePages/CustomReportCreativeDetail.aspx?App=23&amp;ReportView=4&amp;Qid=1711279&amp;Row=881&amp;Col=1","No Title Assigned - #15263201117")</f>
        <v/>
      </c>
      <c r="B889" s="0" t="s">
        <v>1332</v>
      </c>
      <c r="C889" s="0" t="s">
        <v>1333</v>
      </c>
      <c r="D889" s="0" t="s">
        <v>1333</v>
      </c>
      <c r="E889" s="0" t="inlineStr">
        <is>
          <t xml:space="preserve">Mazda</t>
        </is>
      </c>
      <c r="F889" s="0" t="s">
        <v>17</v>
      </c>
      <c r="G889" s="0" t="s">
        <v>33</v>
      </c>
      <c r="H889" s="5">
        <v>591.463500</v>
      </c>
    </row>
    <row r="890" spans="1:9">
      <c r="A890" s="22" t="str">
        <f>HYPERLINK("https://app.vivvix.com/360/KMI/IntelliDrive/ApplUI/Pages/CreativePages/CustomReportCreativeDetail.aspx?App=23&amp;ReportView=4&amp;Qid=1711279&amp;Row=882&amp;Col=1","No Title Assigned - #15263227270")</f>
        <v/>
      </c>
      <c r="B890" s="0" t="s">
        <v>1334</v>
      </c>
      <c r="C890" s="0" t="s">
        <v>1335</v>
      </c>
      <c r="D890" s="0" t="s">
        <v>1335</v>
      </c>
      <c r="E890" s="0" t="inlineStr">
        <is>
          <t xml:space="preserve">Mazda</t>
        </is>
      </c>
      <c r="F890" s="0" t="s">
        <v>28</v>
      </c>
      <c r="G890" s="0" t="s">
        <v>29</v>
      </c>
      <c r="H890" s="5">
        <v>1281.980900</v>
      </c>
    </row>
    <row r="891" spans="1:9">
      <c r="A891" s="22" t="str">
        <f>HYPERLINK("https://app.vivvix.com/360/KMI/IntelliDrive/ApplUI/Pages/CreativePages/CustomReportCreativeDetail.aspx?App=23&amp;ReportView=4&amp;Qid=1711279&amp;Row=883&amp;Col=1","No Title Assigned - #15263227271")</f>
        <v/>
      </c>
      <c r="B891" s="0" t="s">
        <v>1336</v>
      </c>
      <c r="C891" s="0" t="s">
        <v>1337</v>
      </c>
      <c r="D891" s="0" t="s">
        <v>1337</v>
      </c>
      <c r="E891" s="0" t="inlineStr">
        <is>
          <t xml:space="preserve">Mazda</t>
        </is>
      </c>
      <c r="F891" s="0" t="s">
        <v>28</v>
      </c>
      <c r="G891" s="0" t="s">
        <v>29</v>
      </c>
      <c r="H891" s="5">
        <v>979.588300</v>
      </c>
    </row>
    <row r="892" spans="1:9">
      <c r="A892" s="22" t="str">
        <f>HYPERLINK("https://app.vivvix.com/360/KMI/IntelliDrive/ApplUI/Pages/CreativePages/CustomReportCreativeDetail.aspx?App=23&amp;ReportView=4&amp;Qid=1711279&amp;Row=884&amp;Col=1","No Title Assigned - #15263278522")</f>
        <v/>
      </c>
      <c r="B892" s="0" t="s">
        <v>1338</v>
      </c>
      <c r="E892" s="0" t="inlineStr">
        <is>
          <t xml:space="preserve">Mazda</t>
        </is>
      </c>
      <c r="F892" s="0" t="inlineStr">
        <is>
          <t xml:space="preserve">Mazda</t>
        </is>
      </c>
      <c r="G892" s="0" t="s">
        <v>171</v>
      </c>
    </row>
    <row r="893" spans="1:9">
      <c r="A893" s="22" t="str">
        <f>HYPERLINK("https://app.vivvix.com/360/KMI/IntelliDrive/ApplUI/Pages/CreativePages/CustomReportCreativeDetail.aspx?App=23&amp;ReportView=4&amp;Qid=1711279&amp;Row=885&amp;Col=1","No Title Assigned - #15263297044")</f>
        <v/>
      </c>
      <c r="B893" s="0" t="s">
        <v>1339</v>
      </c>
      <c r="C893" s="0" t="s">
        <v>1340</v>
      </c>
      <c r="D893" s="0" t="s">
        <v>1340</v>
      </c>
      <c r="E893" s="0" t="inlineStr">
        <is>
          <t xml:space="preserve">Mazda</t>
        </is>
      </c>
      <c r="F893" s="0" t="s">
        <v>13</v>
      </c>
      <c r="G893" s="0" t="s">
        <v>49</v>
      </c>
      <c r="H893" s="5">
        <v>1028.390900</v>
      </c>
    </row>
    <row r="894" spans="1:9">
      <c r="A894" s="22" t="str">
        <f>HYPERLINK("https://app.vivvix.com/360/KMI/IntelliDrive/ApplUI/Pages/CreativePages/CustomReportCreativeDetail.aspx?App=23&amp;ReportView=4&amp;Qid=1711279&amp;Row=886&amp;Col=1","No Title Assigned - #15263310161")</f>
        <v/>
      </c>
      <c r="B894" s="0" t="s">
        <v>1341</v>
      </c>
      <c r="C894" s="0" t="s">
        <v>1342</v>
      </c>
      <c r="D894" s="0" t="s">
        <v>1342</v>
      </c>
      <c r="E894" s="0" t="inlineStr">
        <is>
          <t xml:space="preserve">Mazda</t>
        </is>
      </c>
      <c r="F894" s="0" t="s">
        <v>13</v>
      </c>
      <c r="G894" s="0" t="s">
        <v>49</v>
      </c>
      <c r="H894" s="5">
        <v>517.392500</v>
      </c>
    </row>
    <row r="895" spans="1:9">
      <c r="A895" s="22" t="str">
        <f>HYPERLINK("https://app.vivvix.com/360/KMI/IntelliDrive/ApplUI/Pages/CreativePages/CustomReportCreativeDetail.aspx?App=23&amp;ReportView=4&amp;Qid=1711279&amp;Row=887&amp;Col=1","No Title Assigned - #15263331115")</f>
        <v/>
      </c>
      <c r="B895" s="0" t="s">
        <v>1343</v>
      </c>
      <c r="C895" s="0" t="s">
        <v>1344</v>
      </c>
      <c r="D895" s="0" t="s">
        <v>1344</v>
      </c>
      <c r="E895" s="0" t="inlineStr">
        <is>
          <t xml:space="preserve">Mazda</t>
        </is>
      </c>
      <c r="F895" s="0" t="s">
        <v>13</v>
      </c>
      <c r="G895" s="0" t="s">
        <v>49</v>
      </c>
      <c r="H895" s="5">
        <v>24623.021500</v>
      </c>
    </row>
    <row r="896" spans="1:9">
      <c r="A896" s="22" t="str">
        <f>HYPERLINK("https://app.vivvix.com/360/KMI/IntelliDrive/ApplUI/Pages/CreativePages/CustomReportCreativeDetail.aspx?App=23&amp;ReportView=4&amp;Qid=1711279&amp;Row=888&amp;Col=1","No Title Assigned - #15263338089")</f>
        <v/>
      </c>
      <c r="B896" s="0" t="s">
        <v>1345</v>
      </c>
      <c r="C896" s="0" t="s">
        <v>1346</v>
      </c>
      <c r="D896" s="0" t="s">
        <v>1346</v>
      </c>
      <c r="E896" s="0" t="inlineStr">
        <is>
          <t xml:space="preserve">Mazda</t>
        </is>
      </c>
      <c r="F896" s="0" t="s">
        <v>13</v>
      </c>
      <c r="G896" s="0" t="s">
        <v>49</v>
      </c>
      <c r="H896" s="5">
        <v>2724.247900</v>
      </c>
    </row>
    <row r="897" spans="1:9">
      <c r="A897" s="22" t="str">
        <f>HYPERLINK("https://app.vivvix.com/360/KMI/IntelliDrive/ApplUI/Pages/CreativePages/CustomReportCreativeDetail.aspx?App=23&amp;ReportView=4&amp;Qid=1711279&amp;Row=889&amp;Col=1","No Title Assigned - #15263338089")</f>
        <v/>
      </c>
      <c r="B897" s="0" t="s">
        <v>1345</v>
      </c>
      <c r="E897" s="0" t="inlineStr">
        <is>
          <t xml:space="preserve">Mazda</t>
        </is>
      </c>
      <c r="F897" s="0" t="s">
        <v>13</v>
      </c>
      <c r="G897" s="0" t="s">
        <v>49</v>
      </c>
      <c r="H897" s="5">
        <v>182.873800</v>
      </c>
    </row>
    <row r="898" spans="1:9">
      <c r="A898" s="22" t="str">
        <f>HYPERLINK("https://app.vivvix.com/360/KMI/IntelliDrive/ApplUI/Pages/CreativePages/CustomReportCreativeDetail.aspx?App=23&amp;ReportView=4&amp;Qid=1711279&amp;Row=890&amp;Col=1","No Title Assigned - #15263389043")</f>
        <v/>
      </c>
      <c r="B898" s="0" t="s">
        <v>1347</v>
      </c>
      <c r="C898" s="0" t="s">
        <v>1348</v>
      </c>
      <c r="D898" s="0" t="s">
        <v>1348</v>
      </c>
      <c r="E898" s="0" t="inlineStr">
        <is>
          <t xml:space="preserve">Mazda</t>
        </is>
      </c>
      <c r="F898" s="0" t="s">
        <v>21</v>
      </c>
      <c r="G898" s="0" t="s">
        <v>22</v>
      </c>
      <c r="H898" s="5">
        <v>586.186100</v>
      </c>
    </row>
    <row r="899" spans="1:9">
      <c r="A899" s="22" t="str">
        <f>HYPERLINK("https://app.vivvix.com/360/KMI/IntelliDrive/ApplUI/Pages/CreativePages/CustomReportCreativeDetail.aspx?App=23&amp;ReportView=4&amp;Qid=1711279&amp;Row=891&amp;Col=1","No Title Assigned - #15263397581")</f>
        <v/>
      </c>
      <c r="B899" s="0" t="s">
        <v>1349</v>
      </c>
      <c r="C899" s="0" t="s">
        <v>1350</v>
      </c>
      <c r="D899" s="0" t="s">
        <v>1350</v>
      </c>
      <c r="E899" s="0" t="inlineStr">
        <is>
          <t xml:space="preserve">Mazda</t>
        </is>
      </c>
      <c r="F899" s="0" t="s">
        <v>21</v>
      </c>
      <c r="G899" s="0" t="s">
        <v>22</v>
      </c>
      <c r="H899" s="5">
        <v>1521.380300</v>
      </c>
    </row>
    <row r="900" spans="1:9">
      <c r="A900" s="22" t="str">
        <f>HYPERLINK("https://app.vivvix.com/360/KMI/IntelliDrive/ApplUI/Pages/CreativePages/CustomReportCreativeDetail.aspx?App=23&amp;ReportView=4&amp;Qid=1711279&amp;Row=892&amp;Col=1","No Title Assigned - #15263402075")</f>
        <v/>
      </c>
      <c r="B900" s="0" t="s">
        <v>1351</v>
      </c>
      <c r="C900" s="0" t="s">
        <v>1352</v>
      </c>
      <c r="D900" s="0" t="s">
        <v>1352</v>
      </c>
      <c r="E900" s="0" t="inlineStr">
        <is>
          <t xml:space="preserve">Mazda</t>
        </is>
      </c>
      <c r="F900" s="0" t="s">
        <v>21</v>
      </c>
      <c r="G900" s="0" t="s">
        <v>22</v>
      </c>
      <c r="H900" s="5">
        <v>15115.617400</v>
      </c>
    </row>
    <row r="901" spans="1:9">
      <c r="A901" s="22" t="str">
        <f>HYPERLINK("https://app.vivvix.com/360/KMI/IntelliDrive/ApplUI/Pages/CreativePages/CustomReportCreativeDetail.aspx?App=23&amp;ReportView=4&amp;Qid=1711279&amp;Row=893&amp;Col=1","No Title Assigned - #15263406374")</f>
        <v/>
      </c>
      <c r="B901" s="0" t="s">
        <v>1353</v>
      </c>
      <c r="C901" s="0" t="s">
        <v>1354</v>
      </c>
      <c r="D901" s="0" t="s">
        <v>1354</v>
      </c>
      <c r="E901" s="0" t="inlineStr">
        <is>
          <t xml:space="preserve">Mazda</t>
        </is>
      </c>
      <c r="F901" s="0" t="s">
        <v>21</v>
      </c>
      <c r="G901" s="0" t="s">
        <v>22</v>
      </c>
      <c r="H901" s="5">
        <v>136729.102000</v>
      </c>
    </row>
    <row r="902" spans="1:9">
      <c r="A902" s="22" t="str">
        <f>HYPERLINK("https://app.vivvix.com/360/KMI/IntelliDrive/ApplUI/Pages/CreativePages/CustomReportCreativeDetail.aspx?App=23&amp;ReportView=4&amp;Qid=1711279&amp;Row=894&amp;Col=1","No Title Assigned - #15263406684")</f>
        <v/>
      </c>
      <c r="B902" s="0" t="s">
        <v>1355</v>
      </c>
      <c r="C902" s="0" t="s">
        <v>1356</v>
      </c>
      <c r="D902" s="0" t="s">
        <v>1356</v>
      </c>
      <c r="E902" s="0" t="inlineStr">
        <is>
          <t xml:space="preserve">Mazda</t>
        </is>
      </c>
      <c r="F902" s="0" t="inlineStr">
        <is>
          <t xml:space="preserve">Mazda</t>
        </is>
      </c>
      <c r="G902" s="0" t="s">
        <v>171</v>
      </c>
      <c r="H902" s="5">
        <v>829.631900</v>
      </c>
    </row>
    <row r="903" spans="1:9">
      <c r="A903" s="22" t="str">
        <f>HYPERLINK("https://app.vivvix.com/360/KMI/IntelliDrive/ApplUI/Pages/CreativePages/CustomReportCreativeDetail.aspx?App=23&amp;ReportView=4&amp;Qid=1711279&amp;Row=895&amp;Col=1","No Title Assigned - #15263409839")</f>
        <v/>
      </c>
      <c r="B903" s="0" t="s">
        <v>1357</v>
      </c>
      <c r="C903" s="0" t="s">
        <v>1358</v>
      </c>
      <c r="D903" s="0" t="s">
        <v>1358</v>
      </c>
      <c r="E903" s="0" t="inlineStr">
        <is>
          <t xml:space="preserve">Mazda</t>
        </is>
      </c>
      <c r="F903" s="0" t="s">
        <v>21</v>
      </c>
      <c r="G903" s="0" t="s">
        <v>22</v>
      </c>
      <c r="H903" s="5">
        <v>41876.451100</v>
      </c>
    </row>
    <row r="904" spans="1:9">
      <c r="A904" s="22" t="str">
        <f>HYPERLINK("https://app.vivvix.com/360/KMI/IntelliDrive/ApplUI/Pages/CreativePages/CustomReportCreativeDetail.aspx?App=23&amp;ReportView=4&amp;Qid=1711279&amp;Row=896&amp;Col=1","No Title Assigned - #15263422358")</f>
        <v/>
      </c>
      <c r="B904" s="0" t="s">
        <v>1359</v>
      </c>
      <c r="C904" s="0" t="s">
        <v>1360</v>
      </c>
      <c r="D904" s="0" t="s">
        <v>1360</v>
      </c>
      <c r="E904" s="0" t="inlineStr">
        <is>
          <t xml:space="preserve">Mazda</t>
        </is>
      </c>
      <c r="F904" s="0" t="s">
        <v>28</v>
      </c>
      <c r="G904" s="0" t="s">
        <v>29</v>
      </c>
      <c r="H904" s="5">
        <v>8886.400300</v>
      </c>
    </row>
    <row r="905" spans="1:9">
      <c r="A905" s="22" t="str">
        <f>HYPERLINK("https://app.vivvix.com/360/KMI/IntelliDrive/ApplUI/Pages/CreativePages/CustomReportCreativeDetail.aspx?App=23&amp;ReportView=4&amp;Qid=1711279&amp;Row=897&amp;Col=1","No Title Assigned - #15263422359")</f>
        <v/>
      </c>
      <c r="B905" s="0" t="s">
        <v>1361</v>
      </c>
      <c r="E905" s="0" t="inlineStr">
        <is>
          <t xml:space="preserve">Mazda</t>
        </is>
      </c>
      <c r="F905" s="0" t="inlineStr">
        <is>
          <t xml:space="preserve">Mazda</t>
        </is>
      </c>
      <c r="G905" s="0" t="s">
        <v>171</v>
      </c>
      <c r="H905" s="5">
        <v>14411.767200</v>
      </c>
    </row>
    <row r="906" spans="1:9">
      <c r="A906" s="22" t="str">
        <f>HYPERLINK("https://app.vivvix.com/360/KMI/IntelliDrive/ApplUI/Pages/CreativePages/CustomReportCreativeDetail.aspx?App=23&amp;ReportView=4&amp;Qid=1711279&amp;Row=898&amp;Col=1","No Title Assigned - #15263422359")</f>
        <v/>
      </c>
      <c r="B906" s="0" t="s">
        <v>1361</v>
      </c>
      <c r="E906" s="0" t="inlineStr">
        <is>
          <t xml:space="preserve">Mazda</t>
        </is>
      </c>
      <c r="F906" s="0" t="inlineStr">
        <is>
          <t xml:space="preserve">Mazda</t>
        </is>
      </c>
      <c r="G906" s="0" t="s">
        <v>171</v>
      </c>
      <c r="H906" s="5">
        <v>2973.407300</v>
      </c>
    </row>
    <row r="907" spans="1:9">
      <c r="A907" s="22" t="str">
        <f>HYPERLINK("https://app.vivvix.com/360/KMI/IntelliDrive/ApplUI/Pages/CreativePages/CustomReportCreativeDetail.aspx?App=23&amp;ReportView=4&amp;Qid=1711279&amp;Row=899&amp;Col=1","No Title Assigned - #15263426328")</f>
        <v/>
      </c>
      <c r="B907" s="0" t="s">
        <v>1362</v>
      </c>
      <c r="E907" s="0" t="inlineStr">
        <is>
          <t xml:space="preserve">Mazda</t>
        </is>
      </c>
      <c r="F907" s="0" t="inlineStr">
        <is>
          <t xml:space="preserve">Mazda</t>
        </is>
      </c>
      <c r="G907" s="0" t="s">
        <v>171</v>
      </c>
    </row>
    <row r="908" spans="1:9">
      <c r="A908" s="22" t="str">
        <f>HYPERLINK("https://app.vivvix.com/360/KMI/IntelliDrive/ApplUI/Pages/CreativePages/CustomReportCreativeDetail.aspx?App=23&amp;ReportView=4&amp;Qid=1711279&amp;Row=900&amp;Col=1","No Title Assigned - #15263426328")</f>
        <v/>
      </c>
      <c r="B908" s="0" t="s">
        <v>1362</v>
      </c>
      <c r="E908" s="0" t="inlineStr">
        <is>
          <t xml:space="preserve">Mazda</t>
        </is>
      </c>
      <c r="F908" s="0" t="inlineStr">
        <is>
          <t xml:space="preserve">Mazda</t>
        </is>
      </c>
      <c r="G908" s="0" t="s">
        <v>171</v>
      </c>
    </row>
    <row r="909" spans="1:9">
      <c r="A909" s="22" t="str">
        <f>HYPERLINK("https://app.vivvix.com/360/KMI/IntelliDrive/ApplUI/Pages/CreativePages/CustomReportCreativeDetail.aspx?App=23&amp;ReportView=4&amp;Qid=1711279&amp;Row=901&amp;Col=1","No Title Assigned - #15263439575")</f>
        <v/>
      </c>
      <c r="B909" s="0" t="s">
        <v>1363</v>
      </c>
      <c r="C909" s="0" t="s">
        <v>1364</v>
      </c>
      <c r="D909" s="0" t="s">
        <v>1364</v>
      </c>
      <c r="E909" s="0" t="inlineStr">
        <is>
          <t xml:space="preserve">Mazda</t>
        </is>
      </c>
      <c r="F909" s="0" t="inlineStr">
        <is>
          <t xml:space="preserve">Mazda</t>
        </is>
      </c>
      <c r="G909" s="0" t="s">
        <v>171</v>
      </c>
    </row>
    <row r="910" spans="1:9">
      <c r="A910" s="22" t="str">
        <f>HYPERLINK("https://app.vivvix.com/360/KMI/IntelliDrive/ApplUI/Pages/CreativePages/CustomReportCreativeDetail.aspx?App=23&amp;ReportView=4&amp;Qid=1711279&amp;Row=902&amp;Col=1","No Title Assigned - #15263440375")</f>
        <v/>
      </c>
      <c r="B910" s="0" t="s">
        <v>1365</v>
      </c>
      <c r="E910" s="0" t="inlineStr">
        <is>
          <t xml:space="preserve">Mazda</t>
        </is>
      </c>
      <c r="F910" s="0" t="inlineStr">
        <is>
          <t xml:space="preserve">Mazda</t>
        </is>
      </c>
      <c r="G910" s="0" t="s">
        <v>171</v>
      </c>
      <c r="H910" s="5">
        <v>2141.881900</v>
      </c>
    </row>
    <row r="911" spans="1:9">
      <c r="A911" s="22" t="str">
        <f>HYPERLINK("https://app.vivvix.com/360/KMI/IntelliDrive/ApplUI/Pages/CreativePages/CustomReportCreativeDetail.aspx?App=23&amp;ReportView=4&amp;Qid=1711279&amp;Row=903&amp;Col=1","No Title Assigned - #15263441455")</f>
        <v/>
      </c>
      <c r="B911" s="0" t="s">
        <v>1366</v>
      </c>
      <c r="E911" s="0" t="inlineStr">
        <is>
          <t xml:space="preserve">Mazda</t>
        </is>
      </c>
      <c r="F911" s="0" t="inlineStr">
        <is>
          <t xml:space="preserve">Mazda</t>
        </is>
      </c>
      <c r="G911" s="0" t="s">
        <v>171</v>
      </c>
      <c r="H911" s="5">
        <v>69.375200</v>
      </c>
    </row>
    <row r="912" spans="1:9">
      <c r="A912" s="22" t="str">
        <f>HYPERLINK("https://app.vivvix.com/360/KMI/IntelliDrive/ApplUI/Pages/CreativePages/CustomReportCreativeDetail.aspx?App=23&amp;ReportView=4&amp;Qid=1711279&amp;Row=904&amp;Col=1","No Title Assigned - #15263441713")</f>
        <v/>
      </c>
      <c r="B912" s="0" t="s">
        <v>1367</v>
      </c>
      <c r="C912" s="0" t="s">
        <v>1368</v>
      </c>
      <c r="D912" s="0" t="s">
        <v>1368</v>
      </c>
      <c r="E912" s="0" t="inlineStr">
        <is>
          <t xml:space="preserve">Mazda</t>
        </is>
      </c>
      <c r="F912" s="0" t="inlineStr">
        <is>
          <t xml:space="preserve">Mazda</t>
        </is>
      </c>
      <c r="G912" s="0" t="s">
        <v>171</v>
      </c>
      <c r="H912" s="5">
        <v>4897.089100</v>
      </c>
    </row>
    <row r="913" spans="1:9">
      <c r="A913" s="22" t="str">
        <f>HYPERLINK("https://app.vivvix.com/360/KMI/IntelliDrive/ApplUI/Pages/CreativePages/CustomReportCreativeDetail.aspx?App=23&amp;ReportView=4&amp;Qid=1711279&amp;Row=905&amp;Col=1","No Title Assigned - #15263441713")</f>
        <v/>
      </c>
      <c r="B913" s="0" t="s">
        <v>1367</v>
      </c>
      <c r="E913" s="0" t="inlineStr">
        <is>
          <t xml:space="preserve">Mazda</t>
        </is>
      </c>
      <c r="F913" s="0" t="inlineStr">
        <is>
          <t xml:space="preserve">Mazda</t>
        </is>
      </c>
      <c r="G913" s="0" t="s">
        <v>171</v>
      </c>
      <c r="H913" s="5">
        <v>24108.746800</v>
      </c>
    </row>
    <row r="914" spans="1:9">
      <c r="A914" s="22" t="str">
        <f>HYPERLINK("https://app.vivvix.com/360/KMI/IntelliDrive/ApplUI/Pages/CreativePages/CustomReportCreativeDetail.aspx?App=23&amp;ReportView=4&amp;Qid=1711279&amp;Row=906&amp;Col=1","No Title Assigned - #15263443114")</f>
        <v/>
      </c>
      <c r="B914" s="0" t="s">
        <v>1369</v>
      </c>
      <c r="E914" s="0" t="inlineStr">
        <is>
          <t xml:space="preserve">Mazda</t>
        </is>
      </c>
      <c r="F914" s="0" t="inlineStr">
        <is>
          <t xml:space="preserve">Mazda</t>
        </is>
      </c>
      <c r="G914" s="0" t="s">
        <v>171</v>
      </c>
    </row>
    <row r="915" spans="1:9">
      <c r="A915" s="22" t="str">
        <f>HYPERLINK("https://app.vivvix.com/360/KMI/IntelliDrive/ApplUI/Pages/CreativePages/CustomReportCreativeDetail.aspx?App=23&amp;ReportView=4&amp;Qid=1711279&amp;Row=907&amp;Col=1","No Title Assigned - #15263443325")</f>
        <v/>
      </c>
      <c r="B915" s="0" t="s">
        <v>1370</v>
      </c>
      <c r="C915" s="0" t="s">
        <v>1371</v>
      </c>
      <c r="D915" s="0" t="s">
        <v>1371</v>
      </c>
      <c r="E915" s="0" t="inlineStr">
        <is>
          <t xml:space="preserve">Mazda</t>
        </is>
      </c>
      <c r="F915" s="0" t="inlineStr">
        <is>
          <t xml:space="preserve">Mazda</t>
        </is>
      </c>
      <c r="G915" s="0" t="s">
        <v>171</v>
      </c>
    </row>
    <row r="916" spans="1:9">
      <c r="A916" s="22" t="str">
        <f>HYPERLINK("https://app.vivvix.com/360/KMI/IntelliDrive/ApplUI/Pages/CreativePages/CustomReportCreativeDetail.aspx?App=23&amp;ReportView=4&amp;Qid=1711279&amp;Row=908&amp;Col=1","No Title Assigned - #15263443949")</f>
        <v/>
      </c>
      <c r="B916" s="0" t="s">
        <v>1372</v>
      </c>
      <c r="E916" s="0" t="inlineStr">
        <is>
          <t xml:space="preserve">Mazda</t>
        </is>
      </c>
      <c r="F916" s="0" t="inlineStr">
        <is>
          <t xml:space="preserve">Mazda</t>
        </is>
      </c>
      <c r="G916" s="0" t="s">
        <v>171</v>
      </c>
      <c r="H916" s="5">
        <v>1424.504100</v>
      </c>
    </row>
    <row r="917" spans="1:9">
      <c r="A917" s="22" t="str">
        <f>HYPERLINK("https://app.vivvix.com/360/KMI/IntelliDrive/ApplUI/Pages/CreativePages/CustomReportCreativeDetail.aspx?App=23&amp;ReportView=4&amp;Qid=1711279&amp;Row=909&amp;Col=1","No Title Assigned - #15263446568")</f>
        <v/>
      </c>
      <c r="B917" s="0" t="s">
        <v>1373</v>
      </c>
      <c r="E917" s="0" t="inlineStr">
        <is>
          <t xml:space="preserve">Mazda</t>
        </is>
      </c>
      <c r="F917" s="0" t="s">
        <v>28</v>
      </c>
      <c r="G917" s="0" t="s">
        <v>29</v>
      </c>
      <c r="H917" s="5">
        <v>19799.735600</v>
      </c>
    </row>
    <row r="918" spans="1:9">
      <c r="A918" s="22" t="str">
        <f>HYPERLINK("https://app.vivvix.com/360/KMI/IntelliDrive/ApplUI/Pages/CreativePages/CustomReportCreativeDetail.aspx?App=23&amp;ReportView=4&amp;Qid=1711279&amp;Row=910&amp;Col=1","No Title Assigned - #15263446568")</f>
        <v/>
      </c>
      <c r="B918" s="0" t="s">
        <v>1373</v>
      </c>
      <c r="C918" s="0" t="s">
        <v>1374</v>
      </c>
      <c r="D918" s="0" t="s">
        <v>1374</v>
      </c>
      <c r="E918" s="0" t="inlineStr">
        <is>
          <t xml:space="preserve">Mazda</t>
        </is>
      </c>
      <c r="F918" s="0" t="s">
        <v>28</v>
      </c>
      <c r="G918" s="0" t="s">
        <v>29</v>
      </c>
      <c r="H918" s="5">
        <v>2100.377100</v>
      </c>
    </row>
    <row r="919" spans="1:9">
      <c r="A919" s="22" t="str">
        <f>HYPERLINK("https://app.vivvix.com/360/KMI/IntelliDrive/ApplUI/Pages/CreativePages/CustomReportCreativeDetail.aspx?App=23&amp;ReportView=4&amp;Qid=1711279&amp;Row=911&amp;Col=1","No Title Assigned - #15263448379")</f>
        <v/>
      </c>
      <c r="B919" s="0" t="s">
        <v>1375</v>
      </c>
      <c r="C919" s="0" t="s">
        <v>1376</v>
      </c>
      <c r="D919" s="0" t="s">
        <v>1376</v>
      </c>
      <c r="E919" s="0" t="inlineStr">
        <is>
          <t xml:space="preserve">Mazda</t>
        </is>
      </c>
      <c r="F919" s="0" t="s">
        <v>21</v>
      </c>
      <c r="G919" s="0" t="s">
        <v>22</v>
      </c>
      <c r="H919" s="5">
        <v>17.453800</v>
      </c>
    </row>
    <row r="920" spans="1:9">
      <c r="A920" s="22" t="str">
        <f>HYPERLINK("https://app.vivvix.com/360/KMI/IntelliDrive/ApplUI/Pages/CreativePages/CustomReportCreativeDetail.aspx?App=23&amp;ReportView=4&amp;Qid=1711279&amp;Row=912&amp;Col=1","No Title Assigned - #15263451739")</f>
        <v/>
      </c>
      <c r="B920" s="0" t="s">
        <v>1377</v>
      </c>
      <c r="C920" s="0" t="s">
        <v>1378</v>
      </c>
      <c r="D920" s="0" t="s">
        <v>1378</v>
      </c>
      <c r="E920" s="0" t="inlineStr">
        <is>
          <t xml:space="preserve">Mazda</t>
        </is>
      </c>
      <c r="F920" s="0" t="s">
        <v>13</v>
      </c>
      <c r="G920" s="0" t="s">
        <v>49</v>
      </c>
      <c r="H920" s="5">
        <v>28619.351600</v>
      </c>
    </row>
    <row r="921" spans="1:9">
      <c r="A921" s="22" t="str">
        <f>HYPERLINK("https://app.vivvix.com/360/KMI/IntelliDrive/ApplUI/Pages/CreativePages/CustomReportCreativeDetail.aspx?App=23&amp;ReportView=4&amp;Qid=1711279&amp;Row=913&amp;Col=1","No Title Assigned - #15263455790")</f>
        <v/>
      </c>
      <c r="B921" s="0" t="s">
        <v>1379</v>
      </c>
      <c r="E921" s="0" t="inlineStr">
        <is>
          <t xml:space="preserve">Mazda</t>
        </is>
      </c>
      <c r="F921" s="0" t="s">
        <v>28</v>
      </c>
      <c r="G921" s="0" t="s">
        <v>29</v>
      </c>
      <c r="H921" s="5">
        <v>3729.278700</v>
      </c>
    </row>
    <row r="922" spans="1:9">
      <c r="A922" s="22" t="str">
        <f>HYPERLINK("https://app.vivvix.com/360/KMI/IntelliDrive/ApplUI/Pages/CreativePages/CustomReportCreativeDetail.aspx?App=23&amp;ReportView=4&amp;Qid=1711279&amp;Row=914&amp;Col=1","No Title Assigned - #15263455790")</f>
        <v/>
      </c>
      <c r="B922" s="0" t="s">
        <v>1379</v>
      </c>
      <c r="C922" s="0" t="s">
        <v>1380</v>
      </c>
      <c r="D922" s="0" t="s">
        <v>1380</v>
      </c>
      <c r="E922" s="0" t="inlineStr">
        <is>
          <t xml:space="preserve">Mazda</t>
        </is>
      </c>
      <c r="F922" s="0" t="s">
        <v>28</v>
      </c>
      <c r="G922" s="0" t="s">
        <v>29</v>
      </c>
      <c r="H922" s="5">
        <v>2699.609500</v>
      </c>
    </row>
    <row r="923" spans="1:9">
      <c r="A923" s="22" t="str">
        <f>HYPERLINK("https://app.vivvix.com/360/KMI/IntelliDrive/ApplUI/Pages/CreativePages/CustomReportCreativeDetail.aspx?App=23&amp;ReportView=4&amp;Qid=1711279&amp;Row=915&amp;Col=1","No Title Assigned - #15263455902")</f>
        <v/>
      </c>
      <c r="B923" s="0" t="s">
        <v>1381</v>
      </c>
      <c r="C923" s="0" t="s">
        <v>1382</v>
      </c>
      <c r="D923" s="0" t="s">
        <v>1382</v>
      </c>
      <c r="E923" s="0" t="inlineStr">
        <is>
          <t xml:space="preserve">Mazda</t>
        </is>
      </c>
      <c r="F923" s="0" t="s">
        <v>13</v>
      </c>
      <c r="G923" s="0" t="s">
        <v>49</v>
      </c>
      <c r="H923" s="5">
        <v>1016.229200</v>
      </c>
    </row>
    <row r="924" spans="1:9">
      <c r="A924" s="22" t="str">
        <f>HYPERLINK("https://app.vivvix.com/360/KMI/IntelliDrive/ApplUI/Pages/CreativePages/CustomReportCreativeDetail.aspx?App=23&amp;ReportView=4&amp;Qid=1711279&amp;Row=916&amp;Col=1","No Title Assigned - #15263456272")</f>
        <v/>
      </c>
      <c r="B924" s="0" t="s">
        <v>1383</v>
      </c>
      <c r="C924" s="0" t="s">
        <v>1384</v>
      </c>
      <c r="D924" s="0" t="s">
        <v>1384</v>
      </c>
      <c r="E924" s="0" t="inlineStr">
        <is>
          <t xml:space="preserve">Mazda</t>
        </is>
      </c>
      <c r="F924" s="0" t="s">
        <v>28</v>
      </c>
      <c r="G924" s="0" t="s">
        <v>29</v>
      </c>
      <c r="H924" s="5">
        <v>491.978900</v>
      </c>
    </row>
    <row r="925" spans="1:9">
      <c r="A925" s="22" t="str">
        <f>HYPERLINK("https://app.vivvix.com/360/KMI/IntelliDrive/ApplUI/Pages/CreativePages/CustomReportCreativeDetail.aspx?App=23&amp;ReportView=4&amp;Qid=1711279&amp;Row=917&amp;Col=1","No Title Assigned - #15263456372")</f>
        <v/>
      </c>
      <c r="B925" s="0" t="s">
        <v>1385</v>
      </c>
      <c r="C925" s="0" t="s">
        <v>1386</v>
      </c>
      <c r="D925" s="0" t="s">
        <v>1386</v>
      </c>
      <c r="E925" s="0" t="inlineStr">
        <is>
          <t xml:space="preserve">Mazda</t>
        </is>
      </c>
      <c r="F925" s="0" t="s">
        <v>28</v>
      </c>
      <c r="G925" s="0" t="s">
        <v>29</v>
      </c>
      <c r="H925" s="5">
        <v>3650.852000</v>
      </c>
    </row>
    <row r="926" spans="1:9">
      <c r="A926" s="22" t="str">
        <f>HYPERLINK("https://app.vivvix.com/360/KMI/IntelliDrive/ApplUI/Pages/CreativePages/CustomReportCreativeDetail.aspx?App=23&amp;ReportView=4&amp;Qid=1711279&amp;Row=918&amp;Col=1","No Title Assigned - #15263456560")</f>
        <v/>
      </c>
      <c r="B926" s="0" t="s">
        <v>1387</v>
      </c>
      <c r="C926" s="0" t="s">
        <v>1388</v>
      </c>
      <c r="D926" s="0" t="s">
        <v>1388</v>
      </c>
      <c r="E926" s="0" t="inlineStr">
        <is>
          <t xml:space="preserve">Mazda</t>
        </is>
      </c>
      <c r="F926" s="0" t="s">
        <v>13</v>
      </c>
      <c r="G926" s="0" t="s">
        <v>49</v>
      </c>
      <c r="H926" s="5">
        <v>2651.728400</v>
      </c>
    </row>
    <row r="927" spans="1:9">
      <c r="A927" s="22" t="str">
        <f>HYPERLINK("https://app.vivvix.com/360/KMI/IntelliDrive/ApplUI/Pages/CreativePages/CustomReportCreativeDetail.aspx?App=23&amp;ReportView=4&amp;Qid=1711279&amp;Row=919&amp;Col=1","No Title Assigned - #15263456762")</f>
        <v/>
      </c>
      <c r="B927" s="0" t="s">
        <v>1389</v>
      </c>
      <c r="C927" s="0" t="s">
        <v>1390</v>
      </c>
      <c r="D927" s="0" t="s">
        <v>1390</v>
      </c>
      <c r="E927" s="0" t="inlineStr">
        <is>
          <t xml:space="preserve">Mazda</t>
        </is>
      </c>
      <c r="F927" s="0" t="s">
        <v>28</v>
      </c>
      <c r="G927" s="0" t="s">
        <v>29</v>
      </c>
      <c r="H927" s="5">
        <v>1151.459800</v>
      </c>
    </row>
    <row r="928" spans="1:9">
      <c r="A928" s="22" t="str">
        <f>HYPERLINK("https://app.vivvix.com/360/KMI/IntelliDrive/ApplUI/Pages/CreativePages/CustomReportCreativeDetail.aspx?App=23&amp;ReportView=4&amp;Qid=1711279&amp;Row=920&amp;Col=1","No Title Assigned - #15263456874")</f>
        <v/>
      </c>
      <c r="B928" s="0" t="s">
        <v>1391</v>
      </c>
      <c r="C928" s="0" t="s">
        <v>1392</v>
      </c>
      <c r="D928" s="0" t="s">
        <v>1392</v>
      </c>
      <c r="E928" s="0" t="inlineStr">
        <is>
          <t xml:space="preserve">Mazda</t>
        </is>
      </c>
      <c r="F928" s="0" t="s">
        <v>13</v>
      </c>
      <c r="G928" s="0" t="s">
        <v>49</v>
      </c>
      <c r="H928" s="5">
        <v>516.331400</v>
      </c>
    </row>
    <row r="929" spans="1:9">
      <c r="A929" s="22" t="str">
        <f>HYPERLINK("https://app.vivvix.com/360/KMI/IntelliDrive/ApplUI/Pages/CreativePages/CustomReportCreativeDetail.aspx?App=23&amp;ReportView=4&amp;Qid=1711279&amp;Row=921&amp;Col=1","No Title Assigned - #15263456877")</f>
        <v/>
      </c>
      <c r="B929" s="0" t="s">
        <v>1393</v>
      </c>
      <c r="C929" s="0" t="s">
        <v>1394</v>
      </c>
      <c r="D929" s="0" t="s">
        <v>1394</v>
      </c>
      <c r="E929" s="0" t="inlineStr">
        <is>
          <t xml:space="preserve">Mazda</t>
        </is>
      </c>
      <c r="F929" s="0" t="s">
        <v>13</v>
      </c>
      <c r="G929" s="0" t="s">
        <v>49</v>
      </c>
      <c r="H929" s="5">
        <v>144.452000</v>
      </c>
    </row>
    <row r="930" spans="1:9">
      <c r="A930" s="22" t="str">
        <f>HYPERLINK("https://app.vivvix.com/360/KMI/IntelliDrive/ApplUI/Pages/CreativePages/CustomReportCreativeDetail.aspx?App=23&amp;ReportView=4&amp;Qid=1711279&amp;Row=922&amp;Col=1","No Title Assigned - #15263458394")</f>
        <v/>
      </c>
      <c r="B930" s="0" t="s">
        <v>1395</v>
      </c>
      <c r="C930" s="0" t="s">
        <v>1396</v>
      </c>
      <c r="D930" s="0" t="s">
        <v>1396</v>
      </c>
      <c r="E930" s="0" t="inlineStr">
        <is>
          <t xml:space="preserve">Mazda</t>
        </is>
      </c>
      <c r="F930" s="0" t="s">
        <v>13</v>
      </c>
      <c r="G930" s="0" t="s">
        <v>49</v>
      </c>
      <c r="H930" s="5">
        <v>1852.201700</v>
      </c>
    </row>
    <row r="931" spans="1:9">
      <c r="A931" s="22" t="str">
        <f>HYPERLINK("https://app.vivvix.com/360/KMI/IntelliDrive/ApplUI/Pages/CreativePages/CustomReportCreativeDetail.aspx?App=23&amp;ReportView=4&amp;Qid=1711279&amp;Row=923&amp;Col=1","No Title Assigned - #15263458419")</f>
        <v/>
      </c>
      <c r="B931" s="0" t="s">
        <v>1397</v>
      </c>
      <c r="E931" s="0" t="inlineStr">
        <is>
          <t xml:space="preserve">Mazda</t>
        </is>
      </c>
      <c r="F931" s="0" t="inlineStr">
        <is>
          <t xml:space="preserve">Mazda</t>
        </is>
      </c>
      <c r="G931" s="0" t="s">
        <v>171</v>
      </c>
      <c r="H931" s="5">
        <v>1050.501200</v>
      </c>
    </row>
    <row r="932" spans="1:9">
      <c r="A932" s="22" t="str">
        <f>HYPERLINK("https://app.vivvix.com/360/KMI/IntelliDrive/ApplUI/Pages/CreativePages/CustomReportCreativeDetail.aspx?App=23&amp;ReportView=4&amp;Qid=1711279&amp;Row=924&amp;Col=1","No Title Assigned - #15263458905")</f>
        <v/>
      </c>
      <c r="B932" s="0" t="s">
        <v>1398</v>
      </c>
      <c r="C932" s="0" t="s">
        <v>1399</v>
      </c>
      <c r="D932" s="0" t="s">
        <v>1399</v>
      </c>
      <c r="E932" s="0" t="inlineStr">
        <is>
          <t xml:space="preserve">Mazda</t>
        </is>
      </c>
      <c r="F932" s="0" t="s">
        <v>13</v>
      </c>
      <c r="G932" s="0" t="s">
        <v>49</v>
      </c>
      <c r="H932" s="5">
        <v>137.164600</v>
      </c>
    </row>
    <row r="933" spans="1:9">
      <c r="A933" s="22" t="str">
        <f>HYPERLINK("https://app.vivvix.com/360/KMI/IntelliDrive/ApplUI/Pages/CreativePages/CustomReportCreativeDetail.aspx?App=23&amp;ReportView=4&amp;Qid=1711279&amp;Row=925&amp;Col=1","No Title Assigned - #15263459489")</f>
        <v/>
      </c>
      <c r="B933" s="0" t="s">
        <v>1400</v>
      </c>
      <c r="C933" s="0" t="s">
        <v>1401</v>
      </c>
      <c r="D933" s="0" t="s">
        <v>1401</v>
      </c>
      <c r="E933" s="0" t="inlineStr">
        <is>
          <t xml:space="preserve">Mazda</t>
        </is>
      </c>
      <c r="F933" s="0" t="s">
        <v>13</v>
      </c>
      <c r="G933" s="0" t="s">
        <v>49</v>
      </c>
      <c r="H933" s="5">
        <v>139.593800</v>
      </c>
    </row>
    <row r="934" spans="1:9">
      <c r="A934" s="22" t="str">
        <f>HYPERLINK("https://app.vivvix.com/360/KMI/IntelliDrive/ApplUI/Pages/CreativePages/CustomReportCreativeDetail.aspx?App=23&amp;ReportView=4&amp;Qid=1711279&amp;Row=926&amp;Col=1","No Title Assigned - #15263459766")</f>
        <v/>
      </c>
      <c r="B934" s="0" t="s">
        <v>1402</v>
      </c>
      <c r="C934" s="0" t="s">
        <v>1403</v>
      </c>
      <c r="D934" s="0" t="s">
        <v>1403</v>
      </c>
      <c r="E934" s="0" t="inlineStr">
        <is>
          <t xml:space="preserve">Mazda</t>
        </is>
      </c>
      <c r="F934" s="0" t="s">
        <v>13</v>
      </c>
      <c r="G934" s="0" t="s">
        <v>49</v>
      </c>
      <c r="H934" s="5">
        <v>588.273100</v>
      </c>
    </row>
    <row r="935" spans="1:9">
      <c r="A935" s="22" t="str">
        <f>HYPERLINK("https://app.vivvix.com/360/KMI/IntelliDrive/ApplUI/Pages/CreativePages/CustomReportCreativeDetail.aspx?App=23&amp;ReportView=4&amp;Qid=1711279&amp;Row=927&amp;Col=1","No Title Assigned - #15263460945")</f>
        <v/>
      </c>
      <c r="B935" s="0" t="s">
        <v>1404</v>
      </c>
      <c r="C935" s="0" t="s">
        <v>1405</v>
      </c>
      <c r="D935" s="0" t="s">
        <v>1405</v>
      </c>
      <c r="E935" s="0" t="inlineStr">
        <is>
          <t xml:space="preserve">Mazda</t>
        </is>
      </c>
      <c r="F935" s="0" t="s">
        <v>13</v>
      </c>
      <c r="G935" s="0" t="s">
        <v>49</v>
      </c>
      <c r="H935" s="5">
        <v>421.720900</v>
      </c>
    </row>
    <row r="936" spans="1:9">
      <c r="A936" s="22" t="str">
        <f>HYPERLINK("https://app.vivvix.com/360/KMI/IntelliDrive/ApplUI/Pages/CreativePages/CustomReportCreativeDetail.aspx?App=23&amp;ReportView=4&amp;Qid=1711279&amp;Row=928&amp;Col=1","No Title Assigned - #15263461534")</f>
        <v/>
      </c>
      <c r="B936" s="0" t="s">
        <v>1406</v>
      </c>
      <c r="C936" s="0" t="s">
        <v>1407</v>
      </c>
      <c r="D936" s="0" t="s">
        <v>1407</v>
      </c>
      <c r="E936" s="0" t="inlineStr">
        <is>
          <t xml:space="preserve">Mazda</t>
        </is>
      </c>
      <c r="F936" s="0" t="s">
        <v>28</v>
      </c>
      <c r="G936" s="0" t="s">
        <v>29</v>
      </c>
      <c r="H936" s="5">
        <v>1273.902200</v>
      </c>
    </row>
    <row r="937" spans="1:9">
      <c r="A937" s="22" t="str">
        <f>HYPERLINK("https://app.vivvix.com/360/KMI/IntelliDrive/ApplUI/Pages/CreativePages/CustomReportCreativeDetail.aspx?App=23&amp;ReportView=4&amp;Qid=1711279&amp;Row=929&amp;Col=1","No Title Assigned - #15263461639")</f>
        <v/>
      </c>
      <c r="B937" s="0" t="s">
        <v>1408</v>
      </c>
      <c r="C937" s="0" t="s">
        <v>1409</v>
      </c>
      <c r="D937" s="0" t="s">
        <v>1409</v>
      </c>
      <c r="E937" s="0" t="inlineStr">
        <is>
          <t xml:space="preserve">Mazda</t>
        </is>
      </c>
      <c r="F937" s="0" t="s">
        <v>13</v>
      </c>
      <c r="G937" s="0" t="s">
        <v>49</v>
      </c>
      <c r="H937" s="5">
        <v>100.932600</v>
      </c>
    </row>
    <row r="938" spans="1:9">
      <c r="A938" s="22" t="str">
        <f>HYPERLINK("https://app.vivvix.com/360/KMI/IntelliDrive/ApplUI/Pages/CreativePages/CustomReportCreativeDetail.aspx?App=23&amp;ReportView=4&amp;Qid=1711279&amp;Row=930&amp;Col=1","No Title Assigned - #15263462581")</f>
        <v/>
      </c>
      <c r="B938" s="0" t="s">
        <v>1410</v>
      </c>
      <c r="C938" s="0" t="s">
        <v>1411</v>
      </c>
      <c r="D938" s="0" t="s">
        <v>1411</v>
      </c>
      <c r="E938" s="0" t="inlineStr">
        <is>
          <t xml:space="preserve">Mazda</t>
        </is>
      </c>
      <c r="F938" s="0" t="s">
        <v>369</v>
      </c>
      <c r="G938" s="0" t="s">
        <v>370</v>
      </c>
      <c r="H938" s="5">
        <v>2132.560400</v>
      </c>
    </row>
    <row r="939" spans="1:9">
      <c r="A939" s="22" t="str">
        <f>HYPERLINK("https://app.vivvix.com/360/KMI/IntelliDrive/ApplUI/Pages/CreativePages/CustomReportCreativeDetail.aspx?App=23&amp;ReportView=4&amp;Qid=1711279&amp;Row=931&amp;Col=1","No Title Assigned - #15263462595")</f>
        <v/>
      </c>
      <c r="B939" s="0" t="s">
        <v>1412</v>
      </c>
      <c r="C939" s="0" t="s">
        <v>1413</v>
      </c>
      <c r="D939" s="0" t="s">
        <v>1413</v>
      </c>
      <c r="E939" s="0" t="inlineStr">
        <is>
          <t xml:space="preserve">Mazda</t>
        </is>
      </c>
      <c r="F939" s="0" t="s">
        <v>369</v>
      </c>
      <c r="G939" s="0" t="s">
        <v>370</v>
      </c>
      <c r="H939" s="5">
        <v>533.140100</v>
      </c>
    </row>
    <row r="940" spans="1:9">
      <c r="A940" s="22" t="str">
        <f>HYPERLINK("https://app.vivvix.com/360/KMI/IntelliDrive/ApplUI/Pages/CreativePages/CustomReportCreativeDetail.aspx?App=23&amp;ReportView=4&amp;Qid=1711279&amp;Row=932&amp;Col=1","No Title Assigned - #15263462601")</f>
        <v/>
      </c>
      <c r="B940" s="0" t="s">
        <v>1414</v>
      </c>
      <c r="C940" s="0" t="s">
        <v>1411</v>
      </c>
      <c r="D940" s="0" t="s">
        <v>1411</v>
      </c>
      <c r="E940" s="0" t="inlineStr">
        <is>
          <t xml:space="preserve">Mazda</t>
        </is>
      </c>
      <c r="F940" s="0" t="s">
        <v>369</v>
      </c>
      <c r="G940" s="0" t="s">
        <v>370</v>
      </c>
      <c r="H940" s="5">
        <v>533.140100</v>
      </c>
    </row>
    <row r="941" spans="1:9">
      <c r="A941" s="22" t="str">
        <f>HYPERLINK("https://app.vivvix.com/360/KMI/IntelliDrive/ApplUI/Pages/CreativePages/CustomReportCreativeDetail.aspx?App=23&amp;ReportView=4&amp;Qid=1711279&amp;Row=933&amp;Col=1","No Title Assigned - #15263463210")</f>
        <v/>
      </c>
      <c r="B941" s="0" t="s">
        <v>1415</v>
      </c>
      <c r="C941" s="0" t="s">
        <v>1416</v>
      </c>
      <c r="D941" s="0" t="s">
        <v>1416</v>
      </c>
      <c r="E941" s="0" t="inlineStr">
        <is>
          <t xml:space="preserve">Mazda</t>
        </is>
      </c>
      <c r="F941" s="0" t="s">
        <v>28</v>
      </c>
      <c r="G941" s="0" t="s">
        <v>29</v>
      </c>
      <c r="H941" s="5">
        <v>854.124100</v>
      </c>
    </row>
    <row r="942" spans="1:9">
      <c r="A942" s="22" t="str">
        <f>HYPERLINK("https://app.vivvix.com/360/KMI/IntelliDrive/ApplUI/Pages/CreativePages/CustomReportCreativeDetail.aspx?App=23&amp;ReportView=4&amp;Qid=1711279&amp;Row=934&amp;Col=1","No Title Assigned - #15263464089")</f>
        <v/>
      </c>
      <c r="B942" s="0" t="s">
        <v>1417</v>
      </c>
      <c r="C942" s="0" t="s">
        <v>1418</v>
      </c>
      <c r="D942" s="0" t="s">
        <v>1418</v>
      </c>
      <c r="E942" s="0" t="inlineStr">
        <is>
          <t xml:space="preserve">Mazda</t>
        </is>
      </c>
      <c r="F942" s="0" t="s">
        <v>28</v>
      </c>
      <c r="G942" s="0" t="s">
        <v>29</v>
      </c>
      <c r="H942" s="5">
        <v>15903.401900</v>
      </c>
    </row>
    <row r="943" spans="1:9">
      <c r="A943" s="22" t="str">
        <f>HYPERLINK("https://app.vivvix.com/360/KMI/IntelliDrive/ApplUI/Pages/CreativePages/CustomReportCreativeDetail.aspx?App=23&amp;ReportView=4&amp;Qid=1711279&amp;Row=935&amp;Col=1","No Title Assigned - #15263468274")</f>
        <v/>
      </c>
      <c r="B943" s="0" t="s">
        <v>1419</v>
      </c>
      <c r="C943" s="0" t="s">
        <v>1420</v>
      </c>
      <c r="D943" s="0" t="s">
        <v>1420</v>
      </c>
      <c r="E943" s="0" t="inlineStr">
        <is>
          <t xml:space="preserve">Mazda</t>
        </is>
      </c>
      <c r="F943" s="0" t="s">
        <v>13</v>
      </c>
      <c r="G943" s="0" t="s">
        <v>49</v>
      </c>
      <c r="H943" s="5">
        <v>422.875300</v>
      </c>
    </row>
    <row r="944" spans="1:9">
      <c r="A944" s="22" t="str">
        <f>HYPERLINK("https://app.vivvix.com/360/KMI/IntelliDrive/ApplUI/Pages/CreativePages/CustomReportCreativeDetail.aspx?App=23&amp;ReportView=4&amp;Qid=1711279&amp;Row=936&amp;Col=1","No Title Assigned - #15263471967")</f>
        <v/>
      </c>
      <c r="B944" s="0" t="s">
        <v>1421</v>
      </c>
      <c r="C944" s="0" t="s">
        <v>1422</v>
      </c>
      <c r="D944" s="0" t="s">
        <v>1422</v>
      </c>
      <c r="E944" s="0" t="inlineStr">
        <is>
          <t xml:space="preserve">Mazda</t>
        </is>
      </c>
      <c r="F944" s="0" t="s">
        <v>13</v>
      </c>
      <c r="G944" s="0" t="s">
        <v>49</v>
      </c>
      <c r="H944" s="5">
        <v>479.209200</v>
      </c>
    </row>
    <row r="945" spans="1:9">
      <c r="A945" s="22" t="str">
        <f>HYPERLINK("https://app.vivvix.com/360/KMI/IntelliDrive/ApplUI/Pages/CreativePages/CustomReportCreativeDetail.aspx?App=23&amp;ReportView=4&amp;Qid=1711279&amp;Row=937&amp;Col=1","No Title Assigned - #15263472415")</f>
        <v/>
      </c>
      <c r="B945" s="0" t="s">
        <v>1423</v>
      </c>
      <c r="C945" s="0" t="s">
        <v>1424</v>
      </c>
      <c r="D945" s="0" t="s">
        <v>1424</v>
      </c>
      <c r="E945" s="0" t="inlineStr">
        <is>
          <t xml:space="preserve">Mazda</t>
        </is>
      </c>
      <c r="F945" s="0" t="s">
        <v>13</v>
      </c>
      <c r="G945" s="0" t="s">
        <v>49</v>
      </c>
      <c r="H945" s="5">
        <v>422.770400</v>
      </c>
    </row>
    <row r="946" spans="1:9">
      <c r="A946" s="22" t="str">
        <f>HYPERLINK("https://app.vivvix.com/360/KMI/IntelliDrive/ApplUI/Pages/CreativePages/CustomReportCreativeDetail.aspx?App=23&amp;ReportView=4&amp;Qid=1711279&amp;Row=938&amp;Col=1","No Title Assigned - #15263490311")</f>
        <v/>
      </c>
      <c r="B946" s="0" t="s">
        <v>1425</v>
      </c>
      <c r="C946" s="0" t="s">
        <v>1426</v>
      </c>
      <c r="D946" s="0" t="s">
        <v>1426</v>
      </c>
      <c r="E946" s="0" t="inlineStr">
        <is>
          <t xml:space="preserve">Mazda</t>
        </is>
      </c>
      <c r="F946" s="0" t="s">
        <v>13</v>
      </c>
      <c r="G946" s="0" t="s">
        <v>49</v>
      </c>
      <c r="H946" s="5">
        <v>62275.191000</v>
      </c>
    </row>
    <row r="947" spans="1:9">
      <c r="A947" s="22" t="str">
        <f>HYPERLINK("https://app.vivvix.com/360/KMI/IntelliDrive/ApplUI/Pages/CreativePages/CustomReportCreativeDetail.aspx?App=23&amp;ReportView=4&amp;Qid=1711279&amp;Row=939&amp;Col=1","No Title Assigned - #15263490311")</f>
        <v/>
      </c>
      <c r="B947" s="0" t="s">
        <v>1425</v>
      </c>
      <c r="E947" s="0" t="inlineStr">
        <is>
          <t xml:space="preserve">Mazda</t>
        </is>
      </c>
      <c r="F947" s="0" t="s">
        <v>13</v>
      </c>
      <c r="G947" s="0" t="s">
        <v>49</v>
      </c>
      <c r="H947" s="5">
        <v>82756.144400</v>
      </c>
    </row>
    <row r="948" spans="1:9">
      <c r="A948" s="22" t="str">
        <f>HYPERLINK("https://app.vivvix.com/360/KMI/IntelliDrive/ApplUI/Pages/CreativePages/CustomReportCreativeDetail.aspx?App=23&amp;ReportView=4&amp;Qid=1711279&amp;Row=940&amp;Col=1","No Title Assigned - #15263498544")</f>
        <v/>
      </c>
      <c r="B948" s="0" t="s">
        <v>1427</v>
      </c>
      <c r="C948" s="0" t="s">
        <v>1428</v>
      </c>
      <c r="D948" s="0" t="s">
        <v>1428</v>
      </c>
      <c r="E948" s="0" t="inlineStr">
        <is>
          <t xml:space="preserve">Mazda</t>
        </is>
      </c>
      <c r="F948" s="0" t="s">
        <v>13</v>
      </c>
      <c r="G948" s="0" t="s">
        <v>49</v>
      </c>
      <c r="H948" s="5">
        <v>419.823900</v>
      </c>
    </row>
    <row r="949" spans="1:9">
      <c r="A949" s="22" t="str">
        <f>HYPERLINK("https://app.vivvix.com/360/KMI/IntelliDrive/ApplUI/Pages/CreativePages/CustomReportCreativeDetail.aspx?App=23&amp;ReportView=4&amp;Qid=1711279&amp;Row=941&amp;Col=1","No Title Assigned - #15263500481")</f>
        <v/>
      </c>
      <c r="B949" s="0" t="s">
        <v>1429</v>
      </c>
      <c r="C949" s="0" t="s">
        <v>1430</v>
      </c>
      <c r="D949" s="0" t="s">
        <v>1430</v>
      </c>
      <c r="E949" s="0" t="inlineStr">
        <is>
          <t xml:space="preserve">Mazda</t>
        </is>
      </c>
      <c r="F949" s="0" t="s">
        <v>21</v>
      </c>
      <c r="G949" s="0" t="s">
        <v>22</v>
      </c>
      <c r="H949" s="5">
        <v>487.699600</v>
      </c>
    </row>
    <row r="950" spans="1:9">
      <c r="A950" s="22" t="str">
        <f>HYPERLINK("https://app.vivvix.com/360/KMI/IntelliDrive/ApplUI/Pages/CreativePages/CustomReportCreativeDetail.aspx?App=23&amp;ReportView=4&amp;Qid=1711279&amp;Row=942&amp;Col=1","No Title Assigned - #15263502545")</f>
        <v/>
      </c>
      <c r="B950" s="0" t="s">
        <v>1431</v>
      </c>
      <c r="C950" s="0" t="s">
        <v>1432</v>
      </c>
      <c r="D950" s="0" t="s">
        <v>1432</v>
      </c>
      <c r="E950" s="0" t="inlineStr">
        <is>
          <t xml:space="preserve">Mazda</t>
        </is>
      </c>
      <c r="F950" s="0" t="s">
        <v>13</v>
      </c>
      <c r="G950" s="0" t="s">
        <v>49</v>
      </c>
      <c r="H950" s="5">
        <v>21.083700</v>
      </c>
    </row>
    <row r="951" spans="1:9">
      <c r="A951" s="22" t="str">
        <f>HYPERLINK("https://app.vivvix.com/360/KMI/IntelliDrive/ApplUI/Pages/CreativePages/CustomReportCreativeDetail.aspx?App=23&amp;ReportView=4&amp;Qid=1711279&amp;Row=943&amp;Col=1","No Title Assigned - #15263516026")</f>
        <v/>
      </c>
      <c r="B951" s="0" t="s">
        <v>1433</v>
      </c>
      <c r="C951" s="0" t="s">
        <v>1434</v>
      </c>
      <c r="D951" s="0" t="s">
        <v>1434</v>
      </c>
      <c r="E951" s="0" t="inlineStr">
        <is>
          <t xml:space="preserve">Mazda</t>
        </is>
      </c>
      <c r="F951" s="0" t="inlineStr">
        <is>
          <t xml:space="preserve">Mazda</t>
        </is>
      </c>
      <c r="G951" s="0" t="s">
        <v>210</v>
      </c>
      <c r="H951" s="5">
        <v>328.509700</v>
      </c>
    </row>
    <row r="952" spans="1:9">
      <c r="A952" s="22" t="str">
        <f>HYPERLINK("https://app.vivvix.com/360/KMI/IntelliDrive/ApplUI/Pages/CreativePages/CustomReportCreativeDetail.aspx?App=23&amp;ReportView=4&amp;Qid=1711279&amp;Row=944&amp;Col=1","No Title Assigned - #15263516249")</f>
        <v/>
      </c>
      <c r="B952" s="0" t="s">
        <v>1435</v>
      </c>
      <c r="C952" s="0" t="s">
        <v>1436</v>
      </c>
      <c r="D952" s="0" t="s">
        <v>1436</v>
      </c>
      <c r="E952" s="0" t="inlineStr">
        <is>
          <t xml:space="preserve">Mazda</t>
        </is>
      </c>
      <c r="F952" s="0" t="s">
        <v>28</v>
      </c>
      <c r="G952" s="0" t="s">
        <v>29</v>
      </c>
      <c r="H952" s="5">
        <v>48526.584200</v>
      </c>
    </row>
    <row r="953" spans="1:9">
      <c r="A953" s="22" t="str">
        <f>HYPERLINK("https://app.vivvix.com/360/KMI/IntelliDrive/ApplUI/Pages/CreativePages/CustomReportCreativeDetail.aspx?App=23&amp;ReportView=4&amp;Qid=1711279&amp;Row=945&amp;Col=1","No Title Assigned - #15263561956")</f>
        <v/>
      </c>
      <c r="B953" s="0" t="s">
        <v>1437</v>
      </c>
      <c r="C953" s="0" t="s">
        <v>1438</v>
      </c>
      <c r="D953" s="0" t="s">
        <v>1438</v>
      </c>
      <c r="E953" s="0" t="inlineStr">
        <is>
          <t xml:space="preserve">Mazda</t>
        </is>
      </c>
      <c r="F953" s="0" t="s">
        <v>21</v>
      </c>
      <c r="G953" s="0" t="s">
        <v>22</v>
      </c>
      <c r="H953" s="5">
        <v>108.665400</v>
      </c>
    </row>
    <row r="954" spans="1:9">
      <c r="A954" s="22" t="str">
        <f>HYPERLINK("https://app.vivvix.com/360/KMI/IntelliDrive/ApplUI/Pages/CreativePages/CustomReportCreativeDetail.aspx?App=23&amp;ReportView=4&amp;Qid=1711279&amp;Row=946&amp;Col=1","No Title Assigned - #15263618843")</f>
        <v/>
      </c>
      <c r="B954" s="0" t="s">
        <v>1439</v>
      </c>
      <c r="C954" s="0" t="s">
        <v>1440</v>
      </c>
      <c r="D954" s="0" t="s">
        <v>1440</v>
      </c>
      <c r="E954" s="0" t="inlineStr">
        <is>
          <t xml:space="preserve">Mazda</t>
        </is>
      </c>
      <c r="F954" s="0" t="s">
        <v>13</v>
      </c>
      <c r="G954" s="0" t="s">
        <v>49</v>
      </c>
      <c r="H954" s="5">
        <v>410.638300</v>
      </c>
    </row>
    <row r="955" spans="1:9">
      <c r="A955" s="22" t="str">
        <f>HYPERLINK("https://app.vivvix.com/360/KMI/IntelliDrive/ApplUI/Pages/CreativePages/CustomReportCreativeDetail.aspx?App=23&amp;ReportView=4&amp;Qid=1711279&amp;Row=947&amp;Col=1","No Title Assigned - #15263620206")</f>
        <v/>
      </c>
      <c r="B955" s="0" t="s">
        <v>1441</v>
      </c>
      <c r="C955" s="0" t="s">
        <v>1442</v>
      </c>
      <c r="D955" s="0" t="s">
        <v>1442</v>
      </c>
      <c r="E955" s="0" t="inlineStr">
        <is>
          <t xml:space="preserve">Mazda</t>
        </is>
      </c>
      <c r="F955" s="0" t="s">
        <v>21</v>
      </c>
      <c r="G955" s="0" t="s">
        <v>22</v>
      </c>
      <c r="H955" s="5">
        <v>1610.392500</v>
      </c>
    </row>
    <row r="956" spans="1:9">
      <c r="A956" s="22" t="str">
        <f>HYPERLINK("https://app.vivvix.com/360/KMI/IntelliDrive/ApplUI/Pages/CreativePages/CustomReportCreativeDetail.aspx?App=23&amp;ReportView=4&amp;Qid=1711279&amp;Row=948&amp;Col=1","No Title Assigned - #15263621297")</f>
        <v/>
      </c>
      <c r="B956" s="0" t="s">
        <v>1443</v>
      </c>
      <c r="E956" s="0" t="inlineStr">
        <is>
          <t xml:space="preserve">Mazda</t>
        </is>
      </c>
      <c r="F956" s="0" t="s">
        <v>13</v>
      </c>
      <c r="G956" s="0" t="s">
        <v>49</v>
      </c>
      <c r="H956" s="5">
        <v>786.525000</v>
      </c>
    </row>
    <row r="957" spans="1:9">
      <c r="A957" s="22" t="str">
        <f>HYPERLINK("https://app.vivvix.com/360/KMI/IntelliDrive/ApplUI/Pages/CreativePages/CustomReportCreativeDetail.aspx?App=23&amp;ReportView=4&amp;Qid=1711279&amp;Row=949&amp;Col=1","No Title Assigned - #15263621497")</f>
        <v/>
      </c>
      <c r="B957" s="0" t="s">
        <v>1444</v>
      </c>
      <c r="C957" s="0" t="s">
        <v>1445</v>
      </c>
      <c r="D957" s="0" t="s">
        <v>1445</v>
      </c>
      <c r="E957" s="0" t="inlineStr">
        <is>
          <t xml:space="preserve">Mazda</t>
        </is>
      </c>
      <c r="F957" s="0" t="s">
        <v>13</v>
      </c>
      <c r="G957" s="0" t="s">
        <v>49</v>
      </c>
      <c r="H957" s="5">
        <v>546.540600</v>
      </c>
    </row>
    <row r="958" spans="1:9">
      <c r="A958" s="22" t="str">
        <f>HYPERLINK("https://app.vivvix.com/360/KMI/IntelliDrive/ApplUI/Pages/CreativePages/CustomReportCreativeDetail.aspx?App=23&amp;ReportView=4&amp;Qid=1711279&amp;Row=950&amp;Col=1","No Title Assigned - #15263654994")</f>
        <v/>
      </c>
      <c r="B958" s="0" t="s">
        <v>1446</v>
      </c>
      <c r="C958" s="0" t="s">
        <v>1447</v>
      </c>
      <c r="D958" s="0" t="s">
        <v>1447</v>
      </c>
      <c r="E958" s="0" t="inlineStr">
        <is>
          <t xml:space="preserve">Mazda</t>
        </is>
      </c>
      <c r="F958" s="0" t="s">
        <v>21</v>
      </c>
      <c r="G958" s="0" t="s">
        <v>22</v>
      </c>
      <c r="H958" s="5">
        <v>1189.185800</v>
      </c>
    </row>
    <row r="959" spans="1:9">
      <c r="A959" s="22" t="str">
        <f>HYPERLINK("https://app.vivvix.com/360/KMI/IntelliDrive/ApplUI/Pages/CreativePages/CustomReportCreativeDetail.aspx?App=23&amp;ReportView=4&amp;Qid=1711279&amp;Row=951&amp;Col=1","No Title Assigned - #15263662842")</f>
        <v/>
      </c>
      <c r="B959" s="0" t="s">
        <v>1448</v>
      </c>
      <c r="C959" s="0" t="s">
        <v>1449</v>
      </c>
      <c r="D959" s="0" t="s">
        <v>1449</v>
      </c>
      <c r="E959" s="0" t="inlineStr">
        <is>
          <t xml:space="preserve">Mazda</t>
        </is>
      </c>
      <c r="F959" s="0" t="s">
        <v>13</v>
      </c>
      <c r="G959" s="0" t="s">
        <v>49</v>
      </c>
      <c r="H959" s="5">
        <v>21595.014500</v>
      </c>
    </row>
    <row r="960" spans="1:9">
      <c r="A960" s="22" t="str">
        <f>HYPERLINK("https://app.vivvix.com/360/KMI/IntelliDrive/ApplUI/Pages/CreativePages/CustomReportCreativeDetail.aspx?App=23&amp;ReportView=4&amp;Qid=1711279&amp;Row=952&amp;Col=1","No Title Assigned - #15263692102")</f>
        <v/>
      </c>
      <c r="B960" s="0" t="s">
        <v>1450</v>
      </c>
      <c r="C960" s="0" t="s">
        <v>1451</v>
      </c>
      <c r="D960" s="0" t="s">
        <v>1451</v>
      </c>
      <c r="E960" s="0" t="inlineStr">
        <is>
          <t xml:space="preserve">Mazda</t>
        </is>
      </c>
      <c r="F960" s="0" t="s">
        <v>1452</v>
      </c>
      <c r="G960" s="0" t="s">
        <v>1453</v>
      </c>
      <c r="H960" s="5">
        <v>496.457300</v>
      </c>
    </row>
    <row r="961" spans="1:9">
      <c r="A961" s="22" t="str">
        <f>HYPERLINK("https://app.vivvix.com/360/KMI/IntelliDrive/ApplUI/Pages/CreativePages/CustomReportCreativeDetail.aspx?App=23&amp;ReportView=4&amp;Qid=1711279&amp;Row=953&amp;Col=1","No Title Assigned - #15263740986")</f>
        <v/>
      </c>
      <c r="B961" s="0" t="s">
        <v>1454</v>
      </c>
      <c r="E961" s="0" t="inlineStr">
        <is>
          <t xml:space="preserve">Mazda</t>
        </is>
      </c>
      <c r="F961" s="0" t="inlineStr">
        <is>
          <t xml:space="preserve">Mazda</t>
        </is>
      </c>
      <c r="G961" s="0" t="s">
        <v>171</v>
      </c>
    </row>
    <row r="962" spans="1:9">
      <c r="A962" s="22" t="str">
        <f>HYPERLINK("https://app.vivvix.com/360/KMI/IntelliDrive/ApplUI/Pages/CreativePages/CustomReportCreativeDetail.aspx?App=23&amp;ReportView=4&amp;Qid=1711279&amp;Row=954&amp;Col=1","No Title Assigned - #15263754926")</f>
        <v/>
      </c>
      <c r="B962" s="0" t="s">
        <v>1455</v>
      </c>
      <c r="E962" s="0" t="inlineStr">
        <is>
          <t xml:space="preserve">Mazda</t>
        </is>
      </c>
      <c r="F962" s="0" t="s">
        <v>21</v>
      </c>
      <c r="G962" s="0" t="s">
        <v>22</v>
      </c>
      <c r="H962" s="5">
        <v>2185.267700</v>
      </c>
    </row>
    <row r="963" spans="1:9">
      <c r="A963" s="22" t="str">
        <f>HYPERLINK("https://app.vivvix.com/360/KMI/IntelliDrive/ApplUI/Pages/CreativePages/CustomReportCreativeDetail.aspx?App=23&amp;ReportView=4&amp;Qid=1711279&amp;Row=955&amp;Col=1","No Title Assigned - #15263766636")</f>
        <v/>
      </c>
      <c r="B963" s="0" t="s">
        <v>1456</v>
      </c>
      <c r="C963" s="0" t="s">
        <v>1457</v>
      </c>
      <c r="D963" s="0" t="s">
        <v>1457</v>
      </c>
      <c r="E963" s="0" t="inlineStr">
        <is>
          <t xml:space="preserve">Mazda</t>
        </is>
      </c>
      <c r="F963" s="0" t="s">
        <v>17</v>
      </c>
      <c r="G963" s="0" t="s">
        <v>33</v>
      </c>
      <c r="H963" s="5">
        <v>533.140100</v>
      </c>
    </row>
    <row r="964" spans="1:9">
      <c r="A964" s="22" t="str">
        <f>HYPERLINK("https://app.vivvix.com/360/KMI/IntelliDrive/ApplUI/Pages/CreativePages/CustomReportCreativeDetail.aspx?App=23&amp;ReportView=4&amp;Qid=1711279&amp;Row=956&amp;Col=1","No Title Assigned - #15263766641")</f>
        <v/>
      </c>
      <c r="B964" s="0" t="s">
        <v>1458</v>
      </c>
      <c r="C964" s="0" t="s">
        <v>804</v>
      </c>
      <c r="D964" s="0" t="s">
        <v>804</v>
      </c>
      <c r="E964" s="0" t="inlineStr">
        <is>
          <t xml:space="preserve">Mazda</t>
        </is>
      </c>
      <c r="F964" s="0" t="s">
        <v>28</v>
      </c>
      <c r="G964" s="0" t="s">
        <v>29</v>
      </c>
      <c r="H964" s="5">
        <v>533.140100</v>
      </c>
    </row>
    <row r="965" spans="1:9">
      <c r="A965" s="22" t="str">
        <f>HYPERLINK("https://app.vivvix.com/360/KMI/IntelliDrive/ApplUI/Pages/CreativePages/CustomReportCreativeDetail.aspx?App=23&amp;ReportView=4&amp;Qid=1711279&amp;Row=957&amp;Col=1","No Title Assigned - #15263807105")</f>
        <v/>
      </c>
      <c r="B965" s="0" t="s">
        <v>1459</v>
      </c>
      <c r="E965" s="0" t="inlineStr">
        <is>
          <t xml:space="preserve">Mazda</t>
        </is>
      </c>
      <c r="F965" s="0" t="inlineStr">
        <is>
          <t xml:space="preserve">Mazda</t>
        </is>
      </c>
      <c r="G965" s="0" t="s">
        <v>171</v>
      </c>
      <c r="H965" s="5">
        <v>78.002000</v>
      </c>
    </row>
    <row r="966" spans="1:9">
      <c r="A966" s="22" t="str">
        <f>HYPERLINK("https://app.vivvix.com/360/KMI/IntelliDrive/ApplUI/Pages/CreativePages/CustomReportCreativeDetail.aspx?App=23&amp;ReportView=4&amp;Qid=1711279&amp;Row=958&amp;Col=1","No Title Assigned - #15263808919")</f>
        <v/>
      </c>
      <c r="B966" s="0" t="s">
        <v>1460</v>
      </c>
      <c r="E966" s="0" t="inlineStr">
        <is>
          <t xml:space="preserve">Mazda</t>
        </is>
      </c>
      <c r="F966" s="0" t="s">
        <v>21</v>
      </c>
      <c r="G966" s="0" t="s">
        <v>22</v>
      </c>
      <c r="H966" s="5">
        <v>5.123800</v>
      </c>
    </row>
    <row r="967" spans="1:9">
      <c r="A967" s="22" t="str">
        <f>HYPERLINK("https://app.vivvix.com/360/KMI/IntelliDrive/ApplUI/Pages/CreativePages/CustomReportCreativeDetail.aspx?App=23&amp;ReportView=4&amp;Qid=1711279&amp;Row=959&amp;Col=1","No Title Assigned - #15263817865")</f>
        <v/>
      </c>
      <c r="B967" s="0" t="s">
        <v>1461</v>
      </c>
      <c r="C967" s="0" t="s">
        <v>1462</v>
      </c>
      <c r="D967" s="0" t="s">
        <v>1462</v>
      </c>
      <c r="E967" s="0" t="inlineStr">
        <is>
          <t xml:space="preserve">Mazda</t>
        </is>
      </c>
      <c r="F967" s="0" t="s">
        <v>28</v>
      </c>
      <c r="G967" s="0" t="s">
        <v>29</v>
      </c>
      <c r="H967" s="5">
        <v>464.797400</v>
      </c>
    </row>
    <row r="968" spans="1:9">
      <c r="A968" s="22" t="str">
        <f>HYPERLINK("https://app.vivvix.com/360/KMI/IntelliDrive/ApplUI/Pages/CreativePages/CustomReportCreativeDetail.aspx?App=23&amp;ReportView=4&amp;Qid=1711279&amp;Row=960&amp;Col=1","No Title Assigned - #15263819389")</f>
        <v/>
      </c>
      <c r="B968" s="0" t="s">
        <v>1463</v>
      </c>
      <c r="C968" s="0" t="s">
        <v>1464</v>
      </c>
      <c r="D968" s="0" t="s">
        <v>1464</v>
      </c>
      <c r="E968" s="0" t="inlineStr">
        <is>
          <t xml:space="preserve">Mazda</t>
        </is>
      </c>
      <c r="F968" s="0" t="s">
        <v>13</v>
      </c>
      <c r="G968" s="0" t="s">
        <v>49</v>
      </c>
      <c r="H968" s="5">
        <v>456.604700</v>
      </c>
    </row>
    <row r="969" spans="1:9">
      <c r="A969" s="22" t="str">
        <f>HYPERLINK("https://app.vivvix.com/360/KMI/IntelliDrive/ApplUI/Pages/CreativePages/CustomReportCreativeDetail.aspx?App=23&amp;ReportView=4&amp;Qid=1711279&amp;Row=961&amp;Col=1","No Title Assigned - #15263822042")</f>
        <v/>
      </c>
      <c r="B969" s="0" t="s">
        <v>1465</v>
      </c>
      <c r="C969" s="0" t="s">
        <v>1466</v>
      </c>
      <c r="D969" s="0" t="s">
        <v>1466</v>
      </c>
      <c r="E969" s="0" t="inlineStr">
        <is>
          <t xml:space="preserve">Mazda</t>
        </is>
      </c>
      <c r="F969" s="0" t="s">
        <v>28</v>
      </c>
      <c r="G969" s="0" t="s">
        <v>29</v>
      </c>
      <c r="H969" s="5">
        <v>1074.419700</v>
      </c>
    </row>
    <row r="970" spans="1:9">
      <c r="A970" s="22" t="str">
        <f>HYPERLINK("https://app.vivvix.com/360/KMI/IntelliDrive/ApplUI/Pages/CreativePages/CustomReportCreativeDetail.aspx?App=23&amp;ReportView=4&amp;Qid=1711279&amp;Row=962&amp;Col=1","No Title Assigned - #15263822679")</f>
        <v/>
      </c>
      <c r="B970" s="0" t="s">
        <v>1467</v>
      </c>
      <c r="C970" s="0" t="s">
        <v>1468</v>
      </c>
      <c r="D970" s="0" t="s">
        <v>1468</v>
      </c>
      <c r="E970" s="0" t="inlineStr">
        <is>
          <t xml:space="preserve">Mazda</t>
        </is>
      </c>
      <c r="F970" s="0" t="s">
        <v>28</v>
      </c>
      <c r="G970" s="0" t="s">
        <v>29</v>
      </c>
      <c r="H970" s="5">
        <v>416.165400</v>
      </c>
    </row>
    <row r="971" spans="1:9">
      <c r="A971" s="22" t="str">
        <f>HYPERLINK("https://app.vivvix.com/360/KMI/IntelliDrive/ApplUI/Pages/CreativePages/CustomReportCreativeDetail.aspx?App=23&amp;ReportView=4&amp;Qid=1711279&amp;Row=963&amp;Col=1","No Title Assigned - #15263851824")</f>
        <v/>
      </c>
      <c r="B971" s="0" t="s">
        <v>1469</v>
      </c>
      <c r="C971" s="0" t="s">
        <v>1470</v>
      </c>
      <c r="D971" s="0" t="s">
        <v>1470</v>
      </c>
      <c r="E971" s="0" t="inlineStr">
        <is>
          <t xml:space="preserve">Mazda</t>
        </is>
      </c>
      <c r="F971" s="0" t="s">
        <v>28</v>
      </c>
      <c r="G971" s="0" t="s">
        <v>29</v>
      </c>
      <c r="H971" s="5">
        <v>1041.668200</v>
      </c>
    </row>
    <row r="972" spans="1:9">
      <c r="A972" s="22" t="str">
        <f>HYPERLINK("https://app.vivvix.com/360/KMI/IntelliDrive/ApplUI/Pages/CreativePages/CustomReportCreativeDetail.aspx?App=23&amp;ReportView=4&amp;Qid=1711279&amp;Row=964&amp;Col=1","No Title Assigned - #15263851824")</f>
        <v/>
      </c>
      <c r="B972" s="0" t="s">
        <v>1469</v>
      </c>
      <c r="E972" s="0" t="inlineStr">
        <is>
          <t xml:space="preserve">Mazda</t>
        </is>
      </c>
      <c r="F972" s="0" t="s">
        <v>28</v>
      </c>
      <c r="G972" s="0" t="s">
        <v>29</v>
      </c>
      <c r="H972" s="5">
        <v>1296.879300</v>
      </c>
    </row>
    <row r="973" spans="1:9">
      <c r="A973" s="22" t="str">
        <f>HYPERLINK("https://app.vivvix.com/360/KMI/IntelliDrive/ApplUI/Pages/CreativePages/CustomReportCreativeDetail.aspx?App=23&amp;ReportView=4&amp;Qid=1711279&amp;Row=965&amp;Col=1","No Title Assigned - #15263851843")</f>
        <v/>
      </c>
      <c r="B973" s="0" t="s">
        <v>1471</v>
      </c>
      <c r="C973" s="0" t="s">
        <v>1472</v>
      </c>
      <c r="D973" s="0" t="s">
        <v>1472</v>
      </c>
      <c r="E973" s="0" t="inlineStr">
        <is>
          <t xml:space="preserve">Mazda</t>
        </is>
      </c>
      <c r="F973" s="0" t="s">
        <v>28</v>
      </c>
      <c r="G973" s="0" t="s">
        <v>29</v>
      </c>
      <c r="H973" s="5">
        <v>47.014000</v>
      </c>
    </row>
    <row r="974" spans="1:9">
      <c r="A974" s="22" t="str">
        <f>HYPERLINK("https://app.vivvix.com/360/KMI/IntelliDrive/ApplUI/Pages/CreativePages/CustomReportCreativeDetail.aspx?App=23&amp;ReportView=4&amp;Qid=1711279&amp;Row=966&amp;Col=1","No Title Assigned - #15263852211")</f>
        <v/>
      </c>
      <c r="B974" s="0" t="s">
        <v>1473</v>
      </c>
      <c r="C974" s="0" t="s">
        <v>1474</v>
      </c>
      <c r="D974" s="0" t="s">
        <v>1474</v>
      </c>
      <c r="E974" s="0" t="inlineStr">
        <is>
          <t xml:space="preserve">Mazda</t>
        </is>
      </c>
      <c r="F974" s="0" t="s">
        <v>28</v>
      </c>
      <c r="G974" s="0" t="s">
        <v>29</v>
      </c>
      <c r="H974" s="5">
        <v>63.251100</v>
      </c>
    </row>
    <row r="975" spans="1:9">
      <c r="A975" s="22" t="str">
        <f>HYPERLINK("https://app.vivvix.com/360/KMI/IntelliDrive/ApplUI/Pages/CreativePages/CustomReportCreativeDetail.aspx?App=23&amp;ReportView=4&amp;Qid=1711279&amp;Row=967&amp;Col=1","No Title Assigned - #15263856372")</f>
        <v/>
      </c>
      <c r="B975" s="0" t="s">
        <v>1475</v>
      </c>
      <c r="C975" s="0" t="s">
        <v>1476</v>
      </c>
      <c r="D975" s="0" t="s">
        <v>1476</v>
      </c>
      <c r="E975" s="0" t="inlineStr">
        <is>
          <t xml:space="preserve">Mazda</t>
        </is>
      </c>
      <c r="F975" s="0" t="s">
        <v>28</v>
      </c>
      <c r="G975" s="0" t="s">
        <v>29</v>
      </c>
      <c r="H975" s="5">
        <v>64.844700</v>
      </c>
    </row>
    <row r="976" spans="1:9">
      <c r="A976" s="22" t="str">
        <f>HYPERLINK("https://app.vivvix.com/360/KMI/IntelliDrive/ApplUI/Pages/CreativePages/CustomReportCreativeDetail.aspx?App=23&amp;ReportView=4&amp;Qid=1711279&amp;Row=968&amp;Col=1","No Title Assigned - #15263857805")</f>
        <v/>
      </c>
      <c r="B976" s="0" t="s">
        <v>1477</v>
      </c>
      <c r="C976" s="0" t="s">
        <v>1478</v>
      </c>
      <c r="D976" s="0" t="s">
        <v>1478</v>
      </c>
      <c r="E976" s="0" t="inlineStr">
        <is>
          <t xml:space="preserve">Mazda</t>
        </is>
      </c>
      <c r="F976" s="0" t="s">
        <v>28</v>
      </c>
      <c r="G976" s="0" t="s">
        <v>29</v>
      </c>
      <c r="H976" s="5">
        <v>1841.094000</v>
      </c>
    </row>
    <row r="977" spans="1:9">
      <c r="A977" s="22" t="str">
        <f>HYPERLINK("https://app.vivvix.com/360/KMI/IntelliDrive/ApplUI/Pages/CreativePages/CustomReportCreativeDetail.aspx?App=23&amp;ReportView=4&amp;Qid=1711279&amp;Row=969&amp;Col=1","No Title Assigned - #15263860052")</f>
        <v/>
      </c>
      <c r="B977" s="0" t="s">
        <v>1479</v>
      </c>
      <c r="C977" s="0" t="s">
        <v>1480</v>
      </c>
      <c r="D977" s="0" t="s">
        <v>1480</v>
      </c>
      <c r="E977" s="0" t="inlineStr">
        <is>
          <t xml:space="preserve">Mazda</t>
        </is>
      </c>
      <c r="F977" s="0" t="s">
        <v>28</v>
      </c>
      <c r="G977" s="0" t="s">
        <v>29</v>
      </c>
      <c r="H977" s="5">
        <v>2863.376000</v>
      </c>
    </row>
    <row r="978" spans="1:9">
      <c r="A978" s="22" t="str">
        <f>HYPERLINK("https://app.vivvix.com/360/KMI/IntelliDrive/ApplUI/Pages/CreativePages/CustomReportCreativeDetail.aspx?App=23&amp;ReportView=4&amp;Qid=1711279&amp;Row=970&amp;Col=1","No Title Assigned - #15263860052")</f>
        <v/>
      </c>
      <c r="B978" s="0" t="s">
        <v>1479</v>
      </c>
      <c r="E978" s="0" t="inlineStr">
        <is>
          <t xml:space="preserve">Mazda</t>
        </is>
      </c>
      <c r="F978" s="0" t="s">
        <v>28</v>
      </c>
      <c r="G978" s="0" t="s">
        <v>29</v>
      </c>
      <c r="H978" s="5">
        <v>1536.268800</v>
      </c>
    </row>
    <row r="979" spans="1:9">
      <c r="A979" s="22" t="str">
        <f>HYPERLINK("https://app.vivvix.com/360/KMI/IntelliDrive/ApplUI/Pages/CreativePages/CustomReportCreativeDetail.aspx?App=23&amp;ReportView=4&amp;Qid=1711279&amp;Row=971&amp;Col=1","No Title Assigned - #15263866272")</f>
        <v/>
      </c>
      <c r="B979" s="0" t="s">
        <v>1481</v>
      </c>
      <c r="C979" s="0" t="s">
        <v>1482</v>
      </c>
      <c r="D979" s="0" t="s">
        <v>1482</v>
      </c>
      <c r="E979" s="0" t="inlineStr">
        <is>
          <t xml:space="preserve">Mazda</t>
        </is>
      </c>
      <c r="F979" s="0" t="s">
        <v>28</v>
      </c>
      <c r="G979" s="0" t="s">
        <v>29</v>
      </c>
      <c r="H979" s="5">
        <v>1408.232700</v>
      </c>
    </row>
    <row r="980" spans="1:9">
      <c r="A980" s="22" t="str">
        <f>HYPERLINK("https://app.vivvix.com/360/KMI/IntelliDrive/ApplUI/Pages/CreativePages/CustomReportCreativeDetail.aspx?App=23&amp;ReportView=4&amp;Qid=1711279&amp;Row=972&amp;Col=1","No Title Assigned - #15263867628")</f>
        <v/>
      </c>
      <c r="B980" s="0" t="s">
        <v>1483</v>
      </c>
      <c r="C980" s="0" t="s">
        <v>1484</v>
      </c>
      <c r="D980" s="0" t="s">
        <v>1484</v>
      </c>
      <c r="E980" s="0" t="inlineStr">
        <is>
          <t xml:space="preserve">Mazda</t>
        </is>
      </c>
      <c r="F980" s="0" t="s">
        <v>28</v>
      </c>
      <c r="G980" s="0" t="s">
        <v>29</v>
      </c>
      <c r="H980" s="5">
        <v>15497.831900</v>
      </c>
    </row>
    <row r="981" spans="1:9">
      <c r="A981" s="22" t="str">
        <f>HYPERLINK("https://app.vivvix.com/360/KMI/IntelliDrive/ApplUI/Pages/CreativePages/CustomReportCreativeDetail.aspx?App=23&amp;ReportView=4&amp;Qid=1711279&amp;Row=973&amp;Col=1","No Title Assigned - #15263867727")</f>
        <v/>
      </c>
      <c r="B981" s="0" t="s">
        <v>1485</v>
      </c>
      <c r="C981" s="0" t="s">
        <v>1486</v>
      </c>
      <c r="D981" s="0" t="s">
        <v>1486</v>
      </c>
      <c r="E981" s="0" t="inlineStr">
        <is>
          <t xml:space="preserve">Mazda</t>
        </is>
      </c>
      <c r="F981" s="0" t="s">
        <v>28</v>
      </c>
      <c r="G981" s="0" t="s">
        <v>29</v>
      </c>
      <c r="H981" s="5">
        <v>221019.339900</v>
      </c>
    </row>
    <row r="982" spans="1:9">
      <c r="A982" s="22" t="str">
        <f>HYPERLINK("https://app.vivvix.com/360/KMI/IntelliDrive/ApplUI/Pages/CreativePages/CustomReportCreativeDetail.aspx?App=23&amp;ReportView=4&amp;Qid=1711279&amp;Row=974&amp;Col=1","No Title Assigned - #15263867727")</f>
        <v/>
      </c>
      <c r="B982" s="0" t="s">
        <v>1485</v>
      </c>
      <c r="E982" s="0" t="inlineStr">
        <is>
          <t xml:space="preserve">Mazda</t>
        </is>
      </c>
      <c r="F982" s="0" t="s">
        <v>28</v>
      </c>
      <c r="G982" s="0" t="s">
        <v>29</v>
      </c>
      <c r="H982" s="5">
        <v>79890.685800</v>
      </c>
    </row>
    <row r="983" spans="1:9">
      <c r="A983" s="22" t="str">
        <f>HYPERLINK("https://app.vivvix.com/360/KMI/IntelliDrive/ApplUI/Pages/CreativePages/CustomReportCreativeDetail.aspx?App=23&amp;ReportView=4&amp;Qid=1711279&amp;Row=975&amp;Col=1","No Title Assigned - #15263869500")</f>
        <v/>
      </c>
      <c r="B983" s="0" t="s">
        <v>1487</v>
      </c>
      <c r="E983" s="0" t="inlineStr">
        <is>
          <t xml:space="preserve">Mazda</t>
        </is>
      </c>
      <c r="F983" s="0" t="inlineStr">
        <is>
          <t xml:space="preserve">Mazda</t>
        </is>
      </c>
      <c r="G983" s="0" t="s">
        <v>171</v>
      </c>
    </row>
    <row r="984" spans="1:9">
      <c r="A984" s="22" t="str">
        <f>HYPERLINK("https://app.vivvix.com/360/KMI/IntelliDrive/ApplUI/Pages/CreativePages/CustomReportCreativeDetail.aspx?App=23&amp;ReportView=4&amp;Qid=1711279&amp;Row=976&amp;Col=1","No Title Assigned - #15263869959")</f>
        <v/>
      </c>
      <c r="B984" s="0" t="s">
        <v>1488</v>
      </c>
      <c r="E984" s="0" t="inlineStr">
        <is>
          <t xml:space="preserve">Mazda</t>
        </is>
      </c>
      <c r="F984" s="0" t="inlineStr">
        <is>
          <t xml:space="preserve">Mazda</t>
        </is>
      </c>
      <c r="G984" s="0" t="s">
        <v>171</v>
      </c>
      <c r="H984" s="5">
        <v>536965.116000</v>
      </c>
    </row>
    <row r="985" spans="1:9">
      <c r="A985" s="22" t="str">
        <f>HYPERLINK("https://app.vivvix.com/360/KMI/IntelliDrive/ApplUI/Pages/CreativePages/CustomReportCreativeDetail.aspx?App=23&amp;ReportView=4&amp;Qid=1711279&amp;Row=977&amp;Col=1","No Title Assigned - #15263869959")</f>
        <v/>
      </c>
      <c r="B985" s="0" t="s">
        <v>1488</v>
      </c>
      <c r="E985" s="0" t="inlineStr">
        <is>
          <t xml:space="preserve">Mazda</t>
        </is>
      </c>
      <c r="F985" s="0" t="inlineStr">
        <is>
          <t xml:space="preserve">Mazda</t>
        </is>
      </c>
      <c r="G985" s="0" t="s">
        <v>171</v>
      </c>
      <c r="H985" s="5">
        <v>63695.275200</v>
      </c>
    </row>
    <row r="986" spans="1:9">
      <c r="A986" s="22" t="str">
        <f>HYPERLINK("https://app.vivvix.com/360/KMI/IntelliDrive/ApplUI/Pages/CreativePages/CustomReportCreativeDetail.aspx?App=23&amp;ReportView=4&amp;Qid=1711279&amp;Row=978&amp;Col=1","No Title Assigned - #15263870194")</f>
        <v/>
      </c>
      <c r="B986" s="0" t="s">
        <v>1489</v>
      </c>
      <c r="E986" s="0" t="inlineStr">
        <is>
          <t xml:space="preserve">Mazda</t>
        </is>
      </c>
      <c r="F986" s="0" t="inlineStr">
        <is>
          <t xml:space="preserve">Mazda</t>
        </is>
      </c>
      <c r="G986" s="0" t="s">
        <v>171</v>
      </c>
      <c r="H986" s="5">
        <v>35678.392600</v>
      </c>
    </row>
    <row r="987" spans="1:9">
      <c r="A987" s="22" t="str">
        <f>HYPERLINK("https://app.vivvix.com/360/KMI/IntelliDrive/ApplUI/Pages/CreativePages/CustomReportCreativeDetail.aspx?App=23&amp;ReportView=4&amp;Qid=1711279&amp;Row=979&amp;Col=1","No Title Assigned - #15263870194")</f>
        <v/>
      </c>
      <c r="B987" s="0" t="s">
        <v>1489</v>
      </c>
      <c r="E987" s="0" t="inlineStr">
        <is>
          <t xml:space="preserve">Mazda</t>
        </is>
      </c>
      <c r="F987" s="0" t="inlineStr">
        <is>
          <t xml:space="preserve">Mazda</t>
        </is>
      </c>
      <c r="G987" s="0" t="s">
        <v>171</v>
      </c>
      <c r="H987" s="5">
        <v>57921.164300</v>
      </c>
    </row>
    <row r="988" spans="1:9">
      <c r="A988" s="22" t="str">
        <f>HYPERLINK("https://app.vivvix.com/360/KMI/IntelliDrive/ApplUI/Pages/CreativePages/CustomReportCreativeDetail.aspx?App=23&amp;ReportView=4&amp;Qid=1711279&amp;Row=980&amp;Col=1","No Title Assigned - #15263870219")</f>
        <v/>
      </c>
      <c r="B988" s="0" t="s">
        <v>1490</v>
      </c>
      <c r="E988" s="0" t="inlineStr">
        <is>
          <t xml:space="preserve">Mazda</t>
        </is>
      </c>
      <c r="F988" s="0" t="inlineStr">
        <is>
          <t xml:space="preserve">Mazda</t>
        </is>
      </c>
      <c r="G988" s="0" t="s">
        <v>171</v>
      </c>
    </row>
    <row r="989" spans="1:9">
      <c r="A989" s="22" t="str">
        <f>HYPERLINK("https://app.vivvix.com/360/KMI/IntelliDrive/ApplUI/Pages/CreativePages/CustomReportCreativeDetail.aspx?App=23&amp;ReportView=4&amp;Qid=1711279&amp;Row=981&amp;Col=1","No Title Assigned - #15263871074")</f>
        <v/>
      </c>
      <c r="B989" s="0" t="s">
        <v>1491</v>
      </c>
      <c r="E989" s="0" t="inlineStr">
        <is>
          <t xml:space="preserve">Mazda</t>
        </is>
      </c>
      <c r="F989" s="0" t="inlineStr">
        <is>
          <t xml:space="preserve">Mazda</t>
        </is>
      </c>
      <c r="G989" s="0" t="s">
        <v>171</v>
      </c>
    </row>
    <row r="990" spans="1:9">
      <c r="A990" s="22" t="str">
        <f>HYPERLINK("https://app.vivvix.com/360/KMI/IntelliDrive/ApplUI/Pages/CreativePages/CustomReportCreativeDetail.aspx?App=23&amp;ReportView=4&amp;Qid=1711279&amp;Row=982&amp;Col=1","No Title Assigned - #15263872491")</f>
        <v/>
      </c>
      <c r="B990" s="0" t="s">
        <v>1492</v>
      </c>
      <c r="E990" s="0" t="inlineStr">
        <is>
          <t xml:space="preserve">Mazda</t>
        </is>
      </c>
      <c r="F990" s="0" t="inlineStr">
        <is>
          <t xml:space="preserve">Mazda</t>
        </is>
      </c>
      <c r="G990" s="0" t="s">
        <v>171</v>
      </c>
      <c r="H990" s="5">
        <v>248725.003100</v>
      </c>
    </row>
    <row r="991" spans="1:9">
      <c r="A991" s="22" t="str">
        <f>HYPERLINK("https://app.vivvix.com/360/KMI/IntelliDrive/ApplUI/Pages/CreativePages/CustomReportCreativeDetail.aspx?App=23&amp;ReportView=4&amp;Qid=1711279&amp;Row=983&amp;Col=1","No Title Assigned - #15263872491")</f>
        <v/>
      </c>
      <c r="B991" s="0" t="s">
        <v>1492</v>
      </c>
      <c r="E991" s="0" t="inlineStr">
        <is>
          <t xml:space="preserve">Mazda</t>
        </is>
      </c>
      <c r="F991" s="0" t="inlineStr">
        <is>
          <t xml:space="preserve">Mazda</t>
        </is>
      </c>
      <c r="G991" s="0" t="s">
        <v>171</v>
      </c>
      <c r="H991" s="5">
        <v>633142.272700</v>
      </c>
    </row>
    <row r="992" spans="1:9">
      <c r="A992" s="22" t="str">
        <f>HYPERLINK("https://app.vivvix.com/360/KMI/IntelliDrive/ApplUI/Pages/CreativePages/CustomReportCreativeDetail.aspx?App=23&amp;ReportView=4&amp;Qid=1711279&amp;Row=984&amp;Col=1","No Title Assigned - #15263874409")</f>
        <v/>
      </c>
      <c r="B992" s="0" t="s">
        <v>1493</v>
      </c>
      <c r="E992" s="0" t="inlineStr">
        <is>
          <t xml:space="preserve">Mazda</t>
        </is>
      </c>
      <c r="F992" s="0" t="inlineStr">
        <is>
          <t xml:space="preserve">Mazda</t>
        </is>
      </c>
      <c r="G992" s="0" t="s">
        <v>171</v>
      </c>
    </row>
    <row r="993" spans="1:9">
      <c r="A993" s="22" t="str">
        <f>HYPERLINK("https://app.vivvix.com/360/KMI/IntelliDrive/ApplUI/Pages/CreativePages/CustomReportCreativeDetail.aspx?App=23&amp;ReportView=4&amp;Qid=1711279&amp;Row=985&amp;Col=1","No Title Assigned - #15263877663")</f>
        <v/>
      </c>
      <c r="B993" s="0" t="s">
        <v>1494</v>
      </c>
      <c r="E993" s="0" t="inlineStr">
        <is>
          <t xml:space="preserve">Mazda</t>
        </is>
      </c>
      <c r="F993" s="0" t="s">
        <v>28</v>
      </c>
      <c r="G993" s="0" t="s">
        <v>29</v>
      </c>
      <c r="H993" s="5">
        <v>2794.482600</v>
      </c>
    </row>
    <row r="994" spans="1:9">
      <c r="A994" s="22" t="str">
        <f>HYPERLINK("https://app.vivvix.com/360/KMI/IntelliDrive/ApplUI/Pages/CreativePages/CustomReportCreativeDetail.aspx?App=23&amp;ReportView=4&amp;Qid=1711279&amp;Row=986&amp;Col=1","No Title Assigned - #15263877663")</f>
        <v/>
      </c>
      <c r="B994" s="0" t="s">
        <v>1494</v>
      </c>
      <c r="C994" s="0" t="s">
        <v>1495</v>
      </c>
      <c r="D994" s="0" t="s">
        <v>1495</v>
      </c>
      <c r="E994" s="0" t="inlineStr">
        <is>
          <t xml:space="preserve">Mazda</t>
        </is>
      </c>
      <c r="F994" s="0" t="s">
        <v>28</v>
      </c>
      <c r="G994" s="0" t="s">
        <v>29</v>
      </c>
      <c r="H994" s="5">
        <v>2292.399300</v>
      </c>
    </row>
    <row r="995" spans="1:9">
      <c r="A995" s="22" t="str">
        <f>HYPERLINK("https://app.vivvix.com/360/KMI/IntelliDrive/ApplUI/Pages/CreativePages/CustomReportCreativeDetail.aspx?App=23&amp;ReportView=4&amp;Qid=1711279&amp;Row=987&amp;Col=1","No Title Assigned - #15263880977")</f>
        <v/>
      </c>
      <c r="B995" s="0" t="s">
        <v>1496</v>
      </c>
      <c r="E995" s="0" t="inlineStr">
        <is>
          <t xml:space="preserve">Mazda</t>
        </is>
      </c>
      <c r="F995" s="0" t="s">
        <v>28</v>
      </c>
      <c r="G995" s="0" t="s">
        <v>29</v>
      </c>
      <c r="H995" s="5">
        <v>24712.275400</v>
      </c>
    </row>
    <row r="996" spans="1:9">
      <c r="A996" s="22" t="str">
        <f>HYPERLINK("https://app.vivvix.com/360/KMI/IntelliDrive/ApplUI/Pages/CreativePages/CustomReportCreativeDetail.aspx?App=23&amp;ReportView=4&amp;Qid=1711279&amp;Row=988&amp;Col=1","No Title Assigned - #15263880977")</f>
        <v/>
      </c>
      <c r="B996" s="0" t="s">
        <v>1496</v>
      </c>
      <c r="C996" s="0" t="s">
        <v>1497</v>
      </c>
      <c r="D996" s="0" t="s">
        <v>1497</v>
      </c>
      <c r="E996" s="0" t="inlineStr">
        <is>
          <t xml:space="preserve">Mazda</t>
        </is>
      </c>
      <c r="F996" s="0" t="s">
        <v>28</v>
      </c>
      <c r="G996" s="0" t="s">
        <v>29</v>
      </c>
      <c r="H996" s="5">
        <v>9732.643600</v>
      </c>
    </row>
    <row r="997" spans="1:9">
      <c r="A997" s="22" t="str">
        <f>HYPERLINK("https://app.vivvix.com/360/KMI/IntelliDrive/ApplUI/Pages/CreativePages/CustomReportCreativeDetail.aspx?App=23&amp;ReportView=4&amp;Qid=1711279&amp;Row=989&amp;Col=1","No Title Assigned - #15263881211")</f>
        <v/>
      </c>
      <c r="B997" s="0" t="s">
        <v>1498</v>
      </c>
      <c r="C997" s="0" t="s">
        <v>1499</v>
      </c>
      <c r="D997" s="0" t="s">
        <v>1499</v>
      </c>
      <c r="E997" s="0" t="inlineStr">
        <is>
          <t xml:space="preserve">Mazda</t>
        </is>
      </c>
      <c r="F997" s="0" t="s">
        <v>28</v>
      </c>
      <c r="G997" s="0" t="s">
        <v>29</v>
      </c>
      <c r="H997" s="5">
        <v>21.083700</v>
      </c>
    </row>
    <row r="998" spans="1:9">
      <c r="A998" s="22" t="str">
        <f>HYPERLINK("https://app.vivvix.com/360/KMI/IntelliDrive/ApplUI/Pages/CreativePages/CustomReportCreativeDetail.aspx?App=23&amp;ReportView=4&amp;Qid=1711279&amp;Row=990&amp;Col=1","No Title Assigned - #15263881662")</f>
        <v/>
      </c>
      <c r="B998" s="0" t="s">
        <v>1500</v>
      </c>
      <c r="C998" s="0" t="s">
        <v>1501</v>
      </c>
      <c r="D998" s="0" t="s">
        <v>1501</v>
      </c>
      <c r="E998" s="0" t="inlineStr">
        <is>
          <t xml:space="preserve">Mazda</t>
        </is>
      </c>
      <c r="F998" s="0" t="s">
        <v>28</v>
      </c>
      <c r="G998" s="0" t="s">
        <v>29</v>
      </c>
      <c r="H998" s="5">
        <v>140017.712300</v>
      </c>
    </row>
    <row r="999" spans="1:9">
      <c r="A999" s="22" t="str">
        <f>HYPERLINK("https://app.vivvix.com/360/KMI/IntelliDrive/ApplUI/Pages/CreativePages/CustomReportCreativeDetail.aspx?App=23&amp;ReportView=4&amp;Qid=1711279&amp;Row=991&amp;Col=1","No Title Assigned - #15263881662")</f>
        <v/>
      </c>
      <c r="B999" s="0" t="s">
        <v>1500</v>
      </c>
      <c r="E999" s="0" t="inlineStr">
        <is>
          <t xml:space="preserve">Mazda</t>
        </is>
      </c>
      <c r="F999" s="0" t="s">
        <v>28</v>
      </c>
      <c r="G999" s="0" t="s">
        <v>29</v>
      </c>
      <c r="H999" s="5">
        <v>103427.735400</v>
      </c>
    </row>
    <row r="1000" spans="1:9">
      <c r="A1000" s="22" t="str">
        <f>HYPERLINK("https://app.vivvix.com/360/KMI/IntelliDrive/ApplUI/Pages/CreativePages/CustomReportCreativeDetail.aspx?App=23&amp;ReportView=4&amp;Qid=1711279&amp;Row=992&amp;Col=1","No Title Assigned - #15263884439")</f>
        <v/>
      </c>
      <c r="B1000" s="0" t="s">
        <v>1502</v>
      </c>
      <c r="C1000" s="0" t="s">
        <v>1503</v>
      </c>
      <c r="D1000" s="0" t="s">
        <v>1503</v>
      </c>
      <c r="E1000" s="0" t="inlineStr">
        <is>
          <t xml:space="preserve">Mazda</t>
        </is>
      </c>
      <c r="F1000" s="0" t="s">
        <v>28</v>
      </c>
      <c r="G1000" s="0" t="s">
        <v>29</v>
      </c>
      <c r="H1000" s="5">
        <v>247.327800</v>
      </c>
    </row>
    <row r="1001" spans="1:9">
      <c r="A1001" s="22" t="str">
        <f>HYPERLINK("https://app.vivvix.com/360/KMI/IntelliDrive/ApplUI/Pages/CreativePages/CustomReportCreativeDetail.aspx?App=23&amp;ReportView=4&amp;Qid=1711279&amp;Row=993&amp;Col=1","No Title Assigned - #15263908040")</f>
        <v/>
      </c>
      <c r="B1001" s="0" t="s">
        <v>1504</v>
      </c>
      <c r="C1001" s="0" t="s">
        <v>1505</v>
      </c>
      <c r="D1001" s="0" t="s">
        <v>1505</v>
      </c>
      <c r="E1001" s="0" t="inlineStr">
        <is>
          <t xml:space="preserve">Mazda</t>
        </is>
      </c>
      <c r="F1001" s="0" t="s">
        <v>28</v>
      </c>
      <c r="G1001" s="0" t="s">
        <v>29</v>
      </c>
      <c r="H1001" s="5">
        <v>960.045800</v>
      </c>
    </row>
    <row r="1002" spans="1:9">
      <c r="A1002" s="22" t="str">
        <f>HYPERLINK("https://app.vivvix.com/360/KMI/IntelliDrive/ApplUI/Pages/CreativePages/CustomReportCreativeDetail.aspx?App=23&amp;ReportView=4&amp;Qid=1711279&amp;Row=994&amp;Col=1","No Title Assigned - #15263908281")</f>
        <v/>
      </c>
      <c r="B1002" s="0" t="s">
        <v>1506</v>
      </c>
      <c r="C1002" s="0" t="s">
        <v>1507</v>
      </c>
      <c r="D1002" s="0" t="s">
        <v>1507</v>
      </c>
      <c r="E1002" s="0" t="inlineStr">
        <is>
          <t xml:space="preserve">Mazda</t>
        </is>
      </c>
      <c r="F1002" s="0" t="s">
        <v>28</v>
      </c>
      <c r="G1002" s="0" t="s">
        <v>29</v>
      </c>
      <c r="H1002" s="5">
        <v>5458.907300</v>
      </c>
    </row>
    <row r="1003" spans="1:9">
      <c r="A1003" s="22" t="str">
        <f>HYPERLINK("https://app.vivvix.com/360/KMI/IntelliDrive/ApplUI/Pages/CreativePages/CustomReportCreativeDetail.aspx?App=23&amp;ReportView=4&amp;Qid=1711279&amp;Row=995&amp;Col=1","No Title Assigned - #15263908281")</f>
        <v/>
      </c>
      <c r="B1003" s="0" t="s">
        <v>1506</v>
      </c>
      <c r="E1003" s="0" t="inlineStr">
        <is>
          <t xml:space="preserve">Mazda</t>
        </is>
      </c>
      <c r="F1003" s="0" t="s">
        <v>28</v>
      </c>
      <c r="G1003" s="0" t="s">
        <v>29</v>
      </c>
      <c r="H1003" s="5">
        <v>620.072200</v>
      </c>
    </row>
    <row r="1004" spans="1:9">
      <c r="A1004" s="22" t="str">
        <f>HYPERLINK("https://app.vivvix.com/360/KMI/IntelliDrive/ApplUI/Pages/CreativePages/CustomReportCreativeDetail.aspx?App=23&amp;ReportView=4&amp;Qid=1711279&amp;Row=996&amp;Col=1","No Title Assigned - #15263912344")</f>
        <v/>
      </c>
      <c r="B1004" s="0" t="s">
        <v>1508</v>
      </c>
      <c r="C1004" s="0" t="s">
        <v>1509</v>
      </c>
      <c r="D1004" s="0" t="s">
        <v>1484</v>
      </c>
      <c r="E1004" s="0" t="inlineStr">
        <is>
          <t xml:space="preserve">Mazda</t>
        </is>
      </c>
      <c r="F1004" s="0" t="s">
        <v>28</v>
      </c>
      <c r="G1004" s="0" t="s">
        <v>29</v>
      </c>
      <c r="H1004" s="5">
        <v>3757.030500</v>
      </c>
    </row>
    <row r="1005" spans="1:9">
      <c r="A1005" s="22" t="str">
        <f>HYPERLINK("https://app.vivvix.com/360/KMI/IntelliDrive/ApplUI/Pages/CreativePages/CustomReportCreativeDetail.aspx?App=23&amp;ReportView=4&amp;Qid=1711279&amp;Row=997&amp;Col=1","No Title Assigned - #15263912351")</f>
        <v/>
      </c>
      <c r="B1005" s="0" t="s">
        <v>1510</v>
      </c>
      <c r="C1005" s="0" t="s">
        <v>1511</v>
      </c>
      <c r="D1005" s="0" t="s">
        <v>1501</v>
      </c>
      <c r="E1005" s="0" t="inlineStr">
        <is>
          <t xml:space="preserve">Mazda</t>
        </is>
      </c>
      <c r="F1005" s="0" t="s">
        <v>28</v>
      </c>
      <c r="G1005" s="0" t="s">
        <v>29</v>
      </c>
      <c r="H1005" s="5">
        <v>3757.030500</v>
      </c>
    </row>
    <row r="1006" spans="1:9">
      <c r="A1006" s="22" t="str">
        <f>HYPERLINK("https://app.vivvix.com/360/KMI/IntelliDrive/ApplUI/Pages/CreativePages/CustomReportCreativeDetail.aspx?App=23&amp;ReportView=4&amp;Qid=1711279&amp;Row=998&amp;Col=1","No Title Assigned - #15263912545")</f>
        <v/>
      </c>
      <c r="B1006" s="0" t="s">
        <v>1512</v>
      </c>
      <c r="C1006" s="0" t="s">
        <v>1513</v>
      </c>
      <c r="D1006" s="0" t="s">
        <v>1513</v>
      </c>
      <c r="E1006" s="0" t="inlineStr">
        <is>
          <t xml:space="preserve">Mazda</t>
        </is>
      </c>
      <c r="F1006" s="0" t="s">
        <v>28</v>
      </c>
      <c r="G1006" s="0" t="s">
        <v>29</v>
      </c>
      <c r="H1006" s="5">
        <v>1715.109500</v>
      </c>
    </row>
    <row r="1007" spans="1:9">
      <c r="A1007" s="22" t="str">
        <f>HYPERLINK("https://app.vivvix.com/360/KMI/IntelliDrive/ApplUI/Pages/CreativePages/CustomReportCreativeDetail.aspx?App=23&amp;ReportView=4&amp;Qid=1711279&amp;Row=999&amp;Col=1","No Title Assigned - #15263912545")</f>
        <v/>
      </c>
      <c r="B1007" s="0" t="s">
        <v>1512</v>
      </c>
      <c r="E1007" s="0" t="inlineStr">
        <is>
          <t xml:space="preserve">Mazda</t>
        </is>
      </c>
      <c r="F1007" s="0" t="s">
        <v>28</v>
      </c>
      <c r="G1007" s="0" t="s">
        <v>29</v>
      </c>
      <c r="H1007" s="5">
        <v>1841.094000</v>
      </c>
    </row>
    <row r="1008" spans="1:9">
      <c r="A1008" s="22" t="str">
        <f>HYPERLINK("https://app.vivvix.com/360/KMI/IntelliDrive/ApplUI/Pages/CreativePages/CustomReportCreativeDetail.aspx?App=23&amp;ReportView=4&amp;Qid=1711279&amp;Row=1000&amp;Col=1","No Title Assigned - #15263916643")</f>
        <v/>
      </c>
      <c r="B1008" s="0" t="s">
        <v>1514</v>
      </c>
      <c r="C1008" s="0" t="s">
        <v>1515</v>
      </c>
      <c r="D1008" s="0" t="s">
        <v>1515</v>
      </c>
      <c r="E1008" s="0" t="inlineStr">
        <is>
          <t xml:space="preserve">Mazda</t>
        </is>
      </c>
      <c r="F1008" s="0" t="s">
        <v>28</v>
      </c>
      <c r="G1008" s="0" t="s">
        <v>29</v>
      </c>
      <c r="H1008" s="5">
        <v>242.567100</v>
      </c>
    </row>
    <row r="1009" spans="1:9">
      <c r="A1009" s="22" t="str">
        <f>HYPERLINK("https://app.vivvix.com/360/KMI/IntelliDrive/ApplUI/Pages/CreativePages/CustomReportCreativeDetail.aspx?App=23&amp;ReportView=4&amp;Qid=1711279&amp;Row=1001&amp;Col=1","No Title Assigned - #15263917563")</f>
        <v/>
      </c>
      <c r="B1009" s="0" t="s">
        <v>1516</v>
      </c>
      <c r="C1009" s="0" t="s">
        <v>1517</v>
      </c>
      <c r="D1009" s="0" t="s">
        <v>1517</v>
      </c>
      <c r="E1009" s="0" t="inlineStr">
        <is>
          <t xml:space="preserve">Mazda</t>
        </is>
      </c>
      <c r="F1009" s="0" t="s">
        <v>28</v>
      </c>
      <c r="G1009" s="0" t="s">
        <v>29</v>
      </c>
      <c r="H1009" s="5">
        <v>4088.904600</v>
      </c>
    </row>
    <row r="1010" spans="1:9">
      <c r="A1010" s="22" t="str">
        <f>HYPERLINK("https://app.vivvix.com/360/KMI/IntelliDrive/ApplUI/Pages/CreativePages/CustomReportCreativeDetail.aspx?App=23&amp;ReportView=4&amp;Qid=1711279&amp;Row=1002&amp;Col=1","No Title Assigned - #15263921434")</f>
        <v/>
      </c>
      <c r="B1010" s="0" t="s">
        <v>1518</v>
      </c>
      <c r="C1010" s="0" t="s">
        <v>1519</v>
      </c>
      <c r="D1010" s="0" t="s">
        <v>1519</v>
      </c>
      <c r="E1010" s="0" t="inlineStr">
        <is>
          <t xml:space="preserve">Mazda</t>
        </is>
      </c>
      <c r="F1010" s="0" t="s">
        <v>28</v>
      </c>
      <c r="G1010" s="0" t="s">
        <v>29</v>
      </c>
      <c r="H1010" s="5">
        <v>632.420300</v>
      </c>
    </row>
    <row r="1011" spans="1:9">
      <c r="A1011" s="22" t="str">
        <f>HYPERLINK("https://app.vivvix.com/360/KMI/IntelliDrive/ApplUI/Pages/CreativePages/CustomReportCreativeDetail.aspx?App=23&amp;ReportView=4&amp;Qid=1711279&amp;Row=1003&amp;Col=1","No Title Assigned - #15263922869")</f>
        <v/>
      </c>
      <c r="B1011" s="0" t="s">
        <v>1520</v>
      </c>
      <c r="C1011" s="0" t="s">
        <v>1521</v>
      </c>
      <c r="D1011" s="0" t="s">
        <v>1521</v>
      </c>
      <c r="E1011" s="0" t="inlineStr">
        <is>
          <t xml:space="preserve">Mazda</t>
        </is>
      </c>
      <c r="F1011" s="0" t="s">
        <v>28</v>
      </c>
      <c r="G1011" s="0" t="s">
        <v>29</v>
      </c>
      <c r="H1011" s="5">
        <v>12479.247500</v>
      </c>
    </row>
    <row r="1012" spans="1:9">
      <c r="A1012" s="22" t="str">
        <f>HYPERLINK("https://app.vivvix.com/360/KMI/IntelliDrive/ApplUI/Pages/CreativePages/CustomReportCreativeDetail.aspx?App=23&amp;ReportView=4&amp;Qid=1711279&amp;Row=1004&amp;Col=1","No Title Assigned - #15263922869")</f>
        <v/>
      </c>
      <c r="B1012" s="0" t="s">
        <v>1520</v>
      </c>
      <c r="E1012" s="0" t="inlineStr">
        <is>
          <t xml:space="preserve">Mazda</t>
        </is>
      </c>
      <c r="F1012" s="0" t="s">
        <v>28</v>
      </c>
      <c r="G1012" s="0" t="s">
        <v>29</v>
      </c>
      <c r="H1012" s="5">
        <v>124292.325800</v>
      </c>
    </row>
    <row r="1013" spans="1:9">
      <c r="A1013" s="22" t="str">
        <f>HYPERLINK("https://app.vivvix.com/360/KMI/IntelliDrive/ApplUI/Pages/CreativePages/CustomReportCreativeDetail.aspx?App=23&amp;ReportView=4&amp;Qid=1711279&amp;Row=1005&amp;Col=1","No Title Assigned - #15263926811")</f>
        <v/>
      </c>
      <c r="B1013" s="0" t="s">
        <v>1522</v>
      </c>
      <c r="E1013" s="0" t="inlineStr">
        <is>
          <t xml:space="preserve">Mazda</t>
        </is>
      </c>
      <c r="F1013" s="0" t="inlineStr">
        <is>
          <t xml:space="preserve">Mazda</t>
        </is>
      </c>
      <c r="G1013" s="0" t="s">
        <v>171</v>
      </c>
    </row>
    <row r="1014" spans="1:9">
      <c r="A1014" s="22" t="str">
        <f>HYPERLINK("https://app.vivvix.com/360/KMI/IntelliDrive/ApplUI/Pages/CreativePages/CustomReportCreativeDetail.aspx?App=23&amp;ReportView=4&amp;Qid=1711279&amp;Row=1006&amp;Col=1","No Title Assigned - #15263926893")</f>
        <v/>
      </c>
      <c r="B1014" s="0" t="s">
        <v>1523</v>
      </c>
      <c r="E1014" s="0" t="inlineStr">
        <is>
          <t xml:space="preserve">Mazda</t>
        </is>
      </c>
      <c r="F1014" s="0" t="inlineStr">
        <is>
          <t xml:space="preserve">Mazda</t>
        </is>
      </c>
      <c r="G1014" s="0" t="s">
        <v>171</v>
      </c>
    </row>
    <row r="1015" spans="1:9">
      <c r="A1015" s="22" t="str">
        <f>HYPERLINK("https://app.vivvix.com/360/KMI/IntelliDrive/ApplUI/Pages/CreativePages/CustomReportCreativeDetail.aspx?App=23&amp;ReportView=4&amp;Qid=1711279&amp;Row=1007&amp;Col=1","No Title Assigned - #15263926939")</f>
        <v/>
      </c>
      <c r="B1015" s="0" t="s">
        <v>1524</v>
      </c>
      <c r="E1015" s="0" t="inlineStr">
        <is>
          <t xml:space="preserve">Mazda</t>
        </is>
      </c>
      <c r="F1015" s="0" t="inlineStr">
        <is>
          <t xml:space="preserve">Mazda</t>
        </is>
      </c>
      <c r="G1015" s="0" t="s">
        <v>171</v>
      </c>
    </row>
    <row r="1016" spans="1:9">
      <c r="A1016" s="22" t="str">
        <f>HYPERLINK("https://app.vivvix.com/360/KMI/IntelliDrive/ApplUI/Pages/CreativePages/CustomReportCreativeDetail.aspx?App=23&amp;ReportView=4&amp;Qid=1711279&amp;Row=1008&amp;Col=1","No Title Assigned - #15263930143")</f>
        <v/>
      </c>
      <c r="B1016" s="0" t="s">
        <v>1525</v>
      </c>
      <c r="C1016" s="0" t="s">
        <v>1526</v>
      </c>
      <c r="D1016" s="0" t="s">
        <v>1526</v>
      </c>
      <c r="E1016" s="0" t="inlineStr">
        <is>
          <t xml:space="preserve">Mazda</t>
        </is>
      </c>
      <c r="F1016" s="0" t="s">
        <v>13</v>
      </c>
      <c r="G1016" s="0" t="s">
        <v>49</v>
      </c>
      <c r="H1016" s="5">
        <v>1610.392500</v>
      </c>
    </row>
    <row r="1017" spans="1:9">
      <c r="A1017" s="22" t="str">
        <f>HYPERLINK("https://app.vivvix.com/360/KMI/IntelliDrive/ApplUI/Pages/CreativePages/CustomReportCreativeDetail.aspx?App=23&amp;ReportView=4&amp;Qid=1711279&amp;Row=1009&amp;Col=1","No Title Assigned - #15263935547")</f>
        <v/>
      </c>
      <c r="B1017" s="0" t="s">
        <v>1527</v>
      </c>
      <c r="C1017" s="0" t="s">
        <v>1528</v>
      </c>
      <c r="D1017" s="0" t="s">
        <v>1528</v>
      </c>
      <c r="E1017" s="0" t="inlineStr">
        <is>
          <t xml:space="preserve">Mazda</t>
        </is>
      </c>
      <c r="F1017" s="0" t="s">
        <v>28</v>
      </c>
      <c r="G1017" s="0" t="s">
        <v>29</v>
      </c>
      <c r="H1017" s="5">
        <v>440.111500</v>
      </c>
    </row>
    <row r="1018" spans="1:9">
      <c r="A1018" s="22" t="str">
        <f>HYPERLINK("https://app.vivvix.com/360/KMI/IntelliDrive/ApplUI/Pages/CreativePages/CustomReportCreativeDetail.aspx?App=23&amp;ReportView=4&amp;Qid=1711279&amp;Row=1010&amp;Col=1","No Title Assigned - #15263936418")</f>
        <v/>
      </c>
      <c r="B1018" s="0" t="s">
        <v>1529</v>
      </c>
      <c r="C1018" s="0" t="s">
        <v>1530</v>
      </c>
      <c r="D1018" s="0" t="s">
        <v>1530</v>
      </c>
      <c r="E1018" s="0" t="inlineStr">
        <is>
          <t xml:space="preserve">Mazda</t>
        </is>
      </c>
      <c r="F1018" s="0" t="s">
        <v>17</v>
      </c>
      <c r="G1018" s="0" t="s">
        <v>33</v>
      </c>
      <c r="H1018" s="5">
        <v>249.401700</v>
      </c>
    </row>
    <row r="1019" spans="1:9">
      <c r="A1019" s="22" t="str">
        <f>HYPERLINK("https://app.vivvix.com/360/KMI/IntelliDrive/ApplUI/Pages/CreativePages/CustomReportCreativeDetail.aspx?App=23&amp;ReportView=4&amp;Qid=1711279&amp;Row=1011&amp;Col=1","No Title Assigned - #15263950145")</f>
        <v/>
      </c>
      <c r="B1019" s="0" t="s">
        <v>1531</v>
      </c>
      <c r="C1019" s="0" t="s">
        <v>1532</v>
      </c>
      <c r="D1019" s="0" t="s">
        <v>1532</v>
      </c>
      <c r="E1019" s="0" t="inlineStr">
        <is>
          <t xml:space="preserve">Mazda</t>
        </is>
      </c>
      <c r="F1019" s="0" t="s">
        <v>28</v>
      </c>
      <c r="G1019" s="0" t="s">
        <v>29</v>
      </c>
      <c r="H1019" s="5">
        <v>4075.878600</v>
      </c>
    </row>
    <row r="1020" spans="1:9">
      <c r="A1020" s="22" t="str">
        <f>HYPERLINK("https://app.vivvix.com/360/KMI/IntelliDrive/ApplUI/Pages/CreativePages/CustomReportCreativeDetail.aspx?App=23&amp;ReportView=4&amp;Qid=1711279&amp;Row=1012&amp;Col=1","No Title Assigned - #15263965747")</f>
        <v/>
      </c>
      <c r="B1020" s="0" t="s">
        <v>1533</v>
      </c>
      <c r="C1020" s="0" t="s">
        <v>1534</v>
      </c>
      <c r="D1020" s="0" t="s">
        <v>1534</v>
      </c>
      <c r="E1020" s="0" t="inlineStr">
        <is>
          <t xml:space="preserve">Mazda</t>
        </is>
      </c>
      <c r="F1020" s="0" t="s">
        <v>28</v>
      </c>
      <c r="G1020" s="0" t="s">
        <v>29</v>
      </c>
      <c r="H1020" s="5">
        <v>2475.308900</v>
      </c>
    </row>
    <row r="1021" spans="1:9">
      <c r="A1021" s="22" t="str">
        <f>HYPERLINK("https://app.vivvix.com/360/KMI/IntelliDrive/ApplUI/Pages/CreativePages/CustomReportCreativeDetail.aspx?App=23&amp;ReportView=4&amp;Qid=1711279&amp;Row=1013&amp;Col=1","No Title Assigned - #15263965747")</f>
        <v/>
      </c>
      <c r="B1021" s="0" t="s">
        <v>1533</v>
      </c>
      <c r="E1021" s="0" t="inlineStr">
        <is>
          <t xml:space="preserve">Mazda</t>
        </is>
      </c>
      <c r="F1021" s="0" t="s">
        <v>28</v>
      </c>
      <c r="G1021" s="0" t="s">
        <v>29</v>
      </c>
      <c r="H1021" s="5">
        <v>5000.259200</v>
      </c>
    </row>
    <row r="1022" spans="1:9">
      <c r="A1022" s="22" t="str">
        <f>HYPERLINK("https://app.vivvix.com/360/KMI/IntelliDrive/ApplUI/Pages/CreativePages/CustomReportCreativeDetail.aspx?App=23&amp;ReportView=4&amp;Qid=1711279&amp;Row=1014&amp;Col=1","No Title Assigned - #15263965748")</f>
        <v/>
      </c>
      <c r="B1022" s="0" t="s">
        <v>1535</v>
      </c>
      <c r="C1022" s="0" t="s">
        <v>1536</v>
      </c>
      <c r="D1022" s="0" t="s">
        <v>1536</v>
      </c>
      <c r="E1022" s="0" t="inlineStr">
        <is>
          <t xml:space="preserve">Mazda</t>
        </is>
      </c>
      <c r="F1022" s="0" t="s">
        <v>28</v>
      </c>
      <c r="G1022" s="0" t="s">
        <v>29</v>
      </c>
      <c r="H1022" s="5">
        <v>729.334000</v>
      </c>
    </row>
    <row r="1023" spans="1:9">
      <c r="A1023" s="22" t="str">
        <f>HYPERLINK("https://app.vivvix.com/360/KMI/IntelliDrive/ApplUI/Pages/CreativePages/CustomReportCreativeDetail.aspx?App=23&amp;ReportView=4&amp;Qid=1711279&amp;Row=1015&amp;Col=1","No Title Assigned - #15263965749")</f>
        <v/>
      </c>
      <c r="B1023" s="0" t="s">
        <v>1537</v>
      </c>
      <c r="C1023" s="0" t="s">
        <v>1538</v>
      </c>
      <c r="D1023" s="0" t="s">
        <v>1538</v>
      </c>
      <c r="E1023" s="0" t="inlineStr">
        <is>
          <t xml:space="preserve">Mazda</t>
        </is>
      </c>
      <c r="F1023" s="0" t="s">
        <v>28</v>
      </c>
      <c r="G1023" s="0" t="s">
        <v>29</v>
      </c>
      <c r="H1023" s="5">
        <v>188.056000</v>
      </c>
    </row>
    <row r="1024" spans="1:9">
      <c r="A1024" s="22" t="str">
        <f>HYPERLINK("https://app.vivvix.com/360/KMI/IntelliDrive/ApplUI/Pages/CreativePages/CustomReportCreativeDetail.aspx?App=23&amp;ReportView=4&amp;Qid=1711279&amp;Row=1016&amp;Col=1","No Title Assigned - #15263965750")</f>
        <v/>
      </c>
      <c r="B1024" s="0" t="s">
        <v>1539</v>
      </c>
      <c r="C1024" s="0" t="s">
        <v>1540</v>
      </c>
      <c r="D1024" s="0" t="s">
        <v>1540</v>
      </c>
      <c r="E1024" s="0" t="inlineStr">
        <is>
          <t xml:space="preserve">Mazda</t>
        </is>
      </c>
      <c r="F1024" s="0" t="s">
        <v>28</v>
      </c>
      <c r="G1024" s="0" t="s">
        <v>29</v>
      </c>
      <c r="H1024" s="5">
        <v>195.172300</v>
      </c>
    </row>
    <row r="1025" spans="1:9">
      <c r="A1025" s="22" t="str">
        <f>HYPERLINK("https://app.vivvix.com/360/KMI/IntelliDrive/ApplUI/Pages/CreativePages/CustomReportCreativeDetail.aspx?App=23&amp;ReportView=4&amp;Qid=1711279&amp;Row=1017&amp;Col=1","No Title Assigned - #15263965750")</f>
        <v/>
      </c>
      <c r="B1025" s="0" t="s">
        <v>1539</v>
      </c>
      <c r="E1025" s="0" t="inlineStr">
        <is>
          <t xml:space="preserve">Mazda</t>
        </is>
      </c>
      <c r="F1025" s="0" t="s">
        <v>28</v>
      </c>
      <c r="G1025" s="0" t="s">
        <v>29</v>
      </c>
      <c r="H1025" s="5">
        <v>375.525300</v>
      </c>
    </row>
    <row r="1026" spans="1:9">
      <c r="A1026" s="22" t="str">
        <f>HYPERLINK("https://app.vivvix.com/360/KMI/IntelliDrive/ApplUI/Pages/CreativePages/CustomReportCreativeDetail.aspx?App=23&amp;ReportView=4&amp;Qid=1711279&amp;Row=1018&amp;Col=1","No Title Assigned - #15263965751")</f>
        <v/>
      </c>
      <c r="B1026" s="0" t="s">
        <v>1541</v>
      </c>
      <c r="C1026" s="0" t="s">
        <v>1542</v>
      </c>
      <c r="D1026" s="0" t="s">
        <v>1542</v>
      </c>
      <c r="E1026" s="0" t="inlineStr">
        <is>
          <t xml:space="preserve">Mazda</t>
        </is>
      </c>
      <c r="F1026" s="0" t="s">
        <v>28</v>
      </c>
      <c r="G1026" s="0" t="s">
        <v>29</v>
      </c>
      <c r="H1026" s="5">
        <v>47.014000</v>
      </c>
    </row>
    <row r="1027" spans="1:9">
      <c r="A1027" s="22" t="str">
        <f>HYPERLINK("https://app.vivvix.com/360/KMI/IntelliDrive/ApplUI/Pages/CreativePages/CustomReportCreativeDetail.aspx?App=23&amp;ReportView=4&amp;Qid=1711279&amp;Row=1019&amp;Col=1","No Title Assigned - #15263965752")</f>
        <v/>
      </c>
      <c r="B1027" s="0" t="s">
        <v>1543</v>
      </c>
      <c r="C1027" s="0" t="s">
        <v>1544</v>
      </c>
      <c r="D1027" s="0" t="s">
        <v>1544</v>
      </c>
      <c r="E1027" s="0" t="inlineStr">
        <is>
          <t xml:space="preserve">Mazda</t>
        </is>
      </c>
      <c r="F1027" s="0" t="s">
        <v>28</v>
      </c>
      <c r="G1027" s="0" t="s">
        <v>29</v>
      </c>
      <c r="H1027" s="5">
        <v>50.689100</v>
      </c>
    </row>
    <row r="1028" spans="1:9">
      <c r="A1028" s="22" t="str">
        <f>HYPERLINK("https://app.vivvix.com/360/KMI/IntelliDrive/ApplUI/Pages/CreativePages/CustomReportCreativeDetail.aspx?App=23&amp;ReportView=4&amp;Qid=1711279&amp;Row=1020&amp;Col=1","No Title Assigned - #15263965814")</f>
        <v/>
      </c>
      <c r="B1028" s="0" t="s">
        <v>1545</v>
      </c>
      <c r="C1028" s="0" t="s">
        <v>1546</v>
      </c>
      <c r="D1028" s="0" t="s">
        <v>931</v>
      </c>
      <c r="E1028" s="0" t="inlineStr">
        <is>
          <t xml:space="preserve">Mazda</t>
        </is>
      </c>
      <c r="F1028" s="0" t="s">
        <v>28</v>
      </c>
      <c r="G1028" s="0" t="s">
        <v>29</v>
      </c>
      <c r="H1028" s="5">
        <v>400.675000</v>
      </c>
    </row>
    <row r="1029" spans="1:9">
      <c r="A1029" s="22" t="str">
        <f>HYPERLINK("https://app.vivvix.com/360/KMI/IntelliDrive/ApplUI/Pages/CreativePages/CustomReportCreativeDetail.aspx?App=23&amp;ReportView=4&amp;Qid=1711279&amp;Row=1021&amp;Col=1","No Title Assigned - #15263968834")</f>
        <v/>
      </c>
      <c r="B1029" s="0" t="s">
        <v>1547</v>
      </c>
      <c r="C1029" s="0" t="s">
        <v>1548</v>
      </c>
      <c r="D1029" s="0" t="s">
        <v>1548</v>
      </c>
      <c r="E1029" s="0" t="inlineStr">
        <is>
          <t xml:space="preserve">Mazda</t>
        </is>
      </c>
      <c r="F1029" s="0" t="s">
        <v>28</v>
      </c>
      <c r="G1029" s="0" t="s">
        <v>29</v>
      </c>
      <c r="H1029" s="5">
        <v>17008.818400</v>
      </c>
    </row>
    <row r="1030" spans="1:9">
      <c r="A1030" s="22" t="str">
        <f>HYPERLINK("https://app.vivvix.com/360/KMI/IntelliDrive/ApplUI/Pages/CreativePages/CustomReportCreativeDetail.aspx?App=23&amp;ReportView=4&amp;Qid=1711279&amp;Row=1022&amp;Col=1","No Title Assigned - #15263968834")</f>
        <v/>
      </c>
      <c r="B1030" s="0" t="s">
        <v>1547</v>
      </c>
      <c r="E1030" s="0" t="inlineStr">
        <is>
          <t xml:space="preserve">Mazda</t>
        </is>
      </c>
      <c r="F1030" s="0" t="s">
        <v>28</v>
      </c>
      <c r="G1030" s="0" t="s">
        <v>29</v>
      </c>
      <c r="H1030" s="5">
        <v>33014.171800</v>
      </c>
    </row>
    <row r="1031" spans="1:9">
      <c r="A1031" s="22" t="str">
        <f>HYPERLINK("https://app.vivvix.com/360/KMI/IntelliDrive/ApplUI/Pages/CreativePages/CustomReportCreativeDetail.aspx?App=23&amp;ReportView=4&amp;Qid=1711279&amp;Row=1023&amp;Col=1","No Title Assigned - #15263975213")</f>
        <v/>
      </c>
      <c r="B1031" s="0" t="s">
        <v>1549</v>
      </c>
      <c r="C1031" s="0" t="s">
        <v>1550</v>
      </c>
      <c r="D1031" s="0" t="s">
        <v>1550</v>
      </c>
      <c r="E1031" s="0" t="inlineStr">
        <is>
          <t xml:space="preserve">Mazda</t>
        </is>
      </c>
      <c r="F1031" s="0" t="s">
        <v>28</v>
      </c>
      <c r="G1031" s="0" t="s">
        <v>29</v>
      </c>
      <c r="H1031" s="5">
        <v>150.757200</v>
      </c>
    </row>
    <row r="1032" spans="1:9">
      <c r="A1032" s="22" t="str">
        <f>HYPERLINK("https://app.vivvix.com/360/KMI/IntelliDrive/ApplUI/Pages/CreativePages/CustomReportCreativeDetail.aspx?App=23&amp;ReportView=4&amp;Qid=1711279&amp;Row=1024&amp;Col=1","No Title Assigned - #15263977585")</f>
        <v/>
      </c>
      <c r="B1032" s="0" t="s">
        <v>1551</v>
      </c>
      <c r="C1032" s="0" t="s">
        <v>1552</v>
      </c>
      <c r="D1032" s="0" t="s">
        <v>1552</v>
      </c>
      <c r="E1032" s="0" t="inlineStr">
        <is>
          <t xml:space="preserve">Mazda</t>
        </is>
      </c>
      <c r="F1032" s="0" t="s">
        <v>28</v>
      </c>
      <c r="G1032" s="0" t="s">
        <v>29</v>
      </c>
      <c r="H1032" s="5">
        <v>103.449100</v>
      </c>
    </row>
    <row r="1033" spans="1:9">
      <c r="A1033" s="22" t="str">
        <f>HYPERLINK("https://app.vivvix.com/360/KMI/IntelliDrive/ApplUI/Pages/CreativePages/CustomReportCreativeDetail.aspx?App=23&amp;ReportView=4&amp;Qid=1711279&amp;Row=1025&amp;Col=1","No Title Assigned - #15263978631")</f>
        <v/>
      </c>
      <c r="B1033" s="0" t="s">
        <v>1553</v>
      </c>
      <c r="C1033" s="0" t="s">
        <v>1554</v>
      </c>
      <c r="D1033" s="0" t="s">
        <v>1484</v>
      </c>
      <c r="E1033" s="0" t="inlineStr">
        <is>
          <t xml:space="preserve">Mazda</t>
        </is>
      </c>
      <c r="F1033" s="0" t="s">
        <v>28</v>
      </c>
      <c r="G1033" s="0" t="s">
        <v>29</v>
      </c>
      <c r="H1033" s="5">
        <v>1186.019200</v>
      </c>
    </row>
    <row r="1034" spans="1:9">
      <c r="A1034" s="22" t="str">
        <f>HYPERLINK("https://app.vivvix.com/360/KMI/IntelliDrive/ApplUI/Pages/CreativePages/CustomReportCreativeDetail.aspx?App=23&amp;ReportView=4&amp;Qid=1711279&amp;Row=1026&amp;Col=1","No Title Assigned - #15263979400")</f>
        <v/>
      </c>
      <c r="B1034" s="0" t="s">
        <v>1555</v>
      </c>
      <c r="C1034" s="0" t="s">
        <v>1556</v>
      </c>
      <c r="D1034" s="0" t="s">
        <v>1556</v>
      </c>
      <c r="E1034" s="0" t="inlineStr">
        <is>
          <t xml:space="preserve">Mazda</t>
        </is>
      </c>
      <c r="F1034" s="0" t="s">
        <v>28</v>
      </c>
      <c r="G1034" s="0" t="s">
        <v>29</v>
      </c>
      <c r="H1034" s="5">
        <v>27033.447700</v>
      </c>
    </row>
    <row r="1035" spans="1:9">
      <c r="A1035" s="22" t="str">
        <f>HYPERLINK("https://app.vivvix.com/360/KMI/IntelliDrive/ApplUI/Pages/CreativePages/CustomReportCreativeDetail.aspx?App=23&amp;ReportView=4&amp;Qid=1711279&amp;Row=1027&amp;Col=1","No Title Assigned - #15263980106")</f>
        <v/>
      </c>
      <c r="B1035" s="0" t="s">
        <v>1557</v>
      </c>
      <c r="C1035" s="0" t="s">
        <v>1558</v>
      </c>
      <c r="D1035" s="0" t="s">
        <v>1558</v>
      </c>
      <c r="E1035" s="0" t="inlineStr">
        <is>
          <t xml:space="preserve">Mazda</t>
        </is>
      </c>
      <c r="F1035" s="0" t="s">
        <v>28</v>
      </c>
      <c r="G1035" s="0" t="s">
        <v>29</v>
      </c>
      <c r="H1035" s="5">
        <v>21.083700</v>
      </c>
    </row>
    <row r="1036" spans="1:9">
      <c r="A1036" s="22" t="str">
        <f>HYPERLINK("https://app.vivvix.com/360/KMI/IntelliDrive/ApplUI/Pages/CreativePages/CustomReportCreativeDetail.aspx?App=23&amp;ReportView=4&amp;Qid=1711279&amp;Row=1028&amp;Col=1","No Title Assigned - #15263980147")</f>
        <v/>
      </c>
      <c r="B1036" s="0" t="s">
        <v>1559</v>
      </c>
      <c r="C1036" s="0" t="s">
        <v>1560</v>
      </c>
      <c r="D1036" s="0" t="s">
        <v>1560</v>
      </c>
      <c r="E1036" s="0" t="inlineStr">
        <is>
          <t xml:space="preserve">Mazda</t>
        </is>
      </c>
      <c r="F1036" s="0" t="s">
        <v>28</v>
      </c>
      <c r="G1036" s="0" t="s">
        <v>29</v>
      </c>
      <c r="H1036" s="5">
        <v>238.804400</v>
      </c>
    </row>
    <row r="1037" spans="1:9">
      <c r="A1037" s="22" t="str">
        <f>HYPERLINK("https://app.vivvix.com/360/KMI/IntelliDrive/ApplUI/Pages/CreativePages/CustomReportCreativeDetail.aspx?App=23&amp;ReportView=4&amp;Qid=1711279&amp;Row=1029&amp;Col=1","No Title Assigned - #15263980260")</f>
        <v/>
      </c>
      <c r="B1037" s="0" t="s">
        <v>1561</v>
      </c>
      <c r="C1037" s="0" t="s">
        <v>1562</v>
      </c>
      <c r="D1037" s="0" t="s">
        <v>1562</v>
      </c>
      <c r="E1037" s="0" t="inlineStr">
        <is>
          <t xml:space="preserve">Mazda</t>
        </is>
      </c>
      <c r="F1037" s="0" t="s">
        <v>28</v>
      </c>
      <c r="G1037" s="0" t="s">
        <v>29</v>
      </c>
      <c r="H1037" s="5">
        <v>7456.233500</v>
      </c>
    </row>
    <row r="1038" spans="1:9">
      <c r="A1038" s="22" t="str">
        <f>HYPERLINK("https://app.vivvix.com/360/KMI/IntelliDrive/ApplUI/Pages/CreativePages/CustomReportCreativeDetail.aspx?App=23&amp;ReportView=4&amp;Qid=1711279&amp;Row=1030&amp;Col=1","No Title Assigned - #15263980260")</f>
        <v/>
      </c>
      <c r="B1038" s="0" t="s">
        <v>1561</v>
      </c>
      <c r="E1038" s="0" t="inlineStr">
        <is>
          <t xml:space="preserve">Mazda</t>
        </is>
      </c>
      <c r="F1038" s="0" t="s">
        <v>28</v>
      </c>
      <c r="G1038" s="0" t="s">
        <v>29</v>
      </c>
      <c r="H1038" s="5">
        <v>21812.551400</v>
      </c>
    </row>
    <row r="1039" spans="1:9">
      <c r="A1039" s="22" t="str">
        <f>HYPERLINK("https://app.vivvix.com/360/KMI/IntelliDrive/ApplUI/Pages/CreativePages/CustomReportCreativeDetail.aspx?App=23&amp;ReportView=4&amp;Qid=1711279&amp;Row=1031&amp;Col=1","No Title Assigned - #15263981783")</f>
        <v/>
      </c>
      <c r="B1039" s="0" t="s">
        <v>1563</v>
      </c>
      <c r="C1039" s="0" t="s">
        <v>1564</v>
      </c>
      <c r="D1039" s="0" t="s">
        <v>1564</v>
      </c>
      <c r="E1039" s="0" t="inlineStr">
        <is>
          <t xml:space="preserve">Mazda</t>
        </is>
      </c>
      <c r="F1039" s="0" t="s">
        <v>28</v>
      </c>
      <c r="G1039" s="0" t="s">
        <v>29</v>
      </c>
      <c r="H1039" s="5">
        <v>509.498900</v>
      </c>
    </row>
    <row r="1040" spans="1:9">
      <c r="A1040" s="22" t="str">
        <f>HYPERLINK("https://app.vivvix.com/360/KMI/IntelliDrive/ApplUI/Pages/CreativePages/CustomReportCreativeDetail.aspx?App=23&amp;ReportView=4&amp;Qid=1711279&amp;Row=1032&amp;Col=1","No Title Assigned - #15263982627")</f>
        <v/>
      </c>
      <c r="B1040" s="0" t="s">
        <v>1565</v>
      </c>
      <c r="E1040" s="0" t="inlineStr">
        <is>
          <t xml:space="preserve">Mazda</t>
        </is>
      </c>
      <c r="F1040" s="0" t="s">
        <v>21</v>
      </c>
      <c r="G1040" s="0" t="s">
        <v>22</v>
      </c>
    </row>
    <row r="1041" spans="1:9">
      <c r="A1041" s="22" t="str">
        <f>HYPERLINK("https://app.vivvix.com/360/KMI/IntelliDrive/ApplUI/Pages/CreativePages/CustomReportCreativeDetail.aspx?App=23&amp;ReportView=4&amp;Qid=1711279&amp;Row=1033&amp;Col=1","No Title Assigned - #15263982824")</f>
        <v/>
      </c>
      <c r="B1041" s="0" t="s">
        <v>1566</v>
      </c>
      <c r="E1041" s="0" t="inlineStr">
        <is>
          <t xml:space="preserve">Mazda</t>
        </is>
      </c>
      <c r="F1041" s="0" t="inlineStr">
        <is>
          <t xml:space="preserve">Mazda</t>
        </is>
      </c>
      <c r="G1041" s="0" t="s">
        <v>171</v>
      </c>
    </row>
    <row r="1042" spans="1:9">
      <c r="A1042" s="22" t="str">
        <f>HYPERLINK("https://app.vivvix.com/360/KMI/IntelliDrive/ApplUI/Pages/CreativePages/CustomReportCreativeDetail.aspx?App=23&amp;ReportView=4&amp;Qid=1711279&amp;Row=1034&amp;Col=1","No Title Assigned - #15263986594")</f>
        <v/>
      </c>
      <c r="B1042" s="0" t="s">
        <v>1567</v>
      </c>
      <c r="E1042" s="0" t="inlineStr">
        <is>
          <t xml:space="preserve">Mazda</t>
        </is>
      </c>
      <c r="F1042" s="0" t="s">
        <v>1568</v>
      </c>
      <c r="G1042" s="0" t="s">
        <v>1569</v>
      </c>
    </row>
    <row r="1043" spans="1:9">
      <c r="A1043" s="22" t="str">
        <f>HYPERLINK("https://app.vivvix.com/360/KMI/IntelliDrive/ApplUI/Pages/CreativePages/CustomReportCreativeDetail.aspx?App=23&amp;ReportView=4&amp;Qid=1711279&amp;Row=1035&amp;Col=1","No Title Assigned - #15263987512")</f>
        <v/>
      </c>
      <c r="B1043" s="0" t="s">
        <v>1570</v>
      </c>
      <c r="C1043" s="0" t="s">
        <v>1571</v>
      </c>
      <c r="D1043" s="0" t="s">
        <v>1571</v>
      </c>
      <c r="E1043" s="0" t="inlineStr">
        <is>
          <t xml:space="preserve">Mazda</t>
        </is>
      </c>
      <c r="F1043" s="0" t="s">
        <v>28</v>
      </c>
      <c r="G1043" s="0" t="s">
        <v>29</v>
      </c>
      <c r="H1043" s="5">
        <v>1117.144500</v>
      </c>
    </row>
    <row r="1044" spans="1:9">
      <c r="A1044" s="22" t="str">
        <f>HYPERLINK("https://app.vivvix.com/360/KMI/IntelliDrive/ApplUI/Pages/CreativePages/CustomReportCreativeDetail.aspx?App=23&amp;ReportView=4&amp;Qid=1711279&amp;Row=1036&amp;Col=1","No Title Assigned - #15263990494")</f>
        <v/>
      </c>
      <c r="B1044" s="0" t="s">
        <v>1572</v>
      </c>
      <c r="C1044" s="0" t="s">
        <v>1573</v>
      </c>
      <c r="D1044" s="0" t="s">
        <v>1573</v>
      </c>
      <c r="E1044" s="0" t="inlineStr">
        <is>
          <t xml:space="preserve">Mazda</t>
        </is>
      </c>
      <c r="F1044" s="0" t="s">
        <v>13</v>
      </c>
      <c r="G1044" s="0" t="s">
        <v>49</v>
      </c>
      <c r="H1044" s="5">
        <v>2132.560400</v>
      </c>
    </row>
    <row r="1045" spans="1:9">
      <c r="A1045" s="22" t="str">
        <f>HYPERLINK("https://app.vivvix.com/360/KMI/IntelliDrive/ApplUI/Pages/CreativePages/CustomReportCreativeDetail.aspx?App=23&amp;ReportView=4&amp;Qid=1711279&amp;Row=1037&amp;Col=1","No Title Assigned - #15264003028")</f>
        <v/>
      </c>
      <c r="B1045" s="0" t="s">
        <v>1574</v>
      </c>
      <c r="C1045" s="0" t="s">
        <v>1575</v>
      </c>
      <c r="D1045" s="0" t="s">
        <v>1575</v>
      </c>
      <c r="E1045" s="0" t="inlineStr">
        <is>
          <t xml:space="preserve">Mazda</t>
        </is>
      </c>
      <c r="F1045" s="0" t="s">
        <v>28</v>
      </c>
      <c r="G1045" s="0" t="s">
        <v>29</v>
      </c>
      <c r="H1045" s="5">
        <v>834.768000</v>
      </c>
    </row>
    <row r="1046" spans="1:9">
      <c r="A1046" s="22" t="str">
        <f>HYPERLINK("https://app.vivvix.com/360/KMI/IntelliDrive/ApplUI/Pages/CreativePages/CustomReportCreativeDetail.aspx?App=23&amp;ReportView=4&amp;Qid=1711279&amp;Row=1038&amp;Col=1","No Title Assigned - #15264024234")</f>
        <v/>
      </c>
      <c r="B1046" s="0" t="s">
        <v>1576</v>
      </c>
      <c r="C1046" s="0" t="s">
        <v>1577</v>
      </c>
      <c r="D1046" s="0" t="s">
        <v>1577</v>
      </c>
      <c r="E1046" s="0" t="inlineStr">
        <is>
          <t xml:space="preserve">Mazda</t>
        </is>
      </c>
      <c r="F1046" s="0" t="s">
        <v>28</v>
      </c>
      <c r="G1046" s="0" t="s">
        <v>29</v>
      </c>
      <c r="H1046" s="5">
        <v>1045.702400</v>
      </c>
    </row>
    <row r="1047" spans="1:9">
      <c r="A1047" s="22" t="str">
        <f>HYPERLINK("https://app.vivvix.com/360/KMI/IntelliDrive/ApplUI/Pages/CreativePages/CustomReportCreativeDetail.aspx?App=23&amp;ReportView=4&amp;Qid=1711279&amp;Row=1039&amp;Col=1","No Title Assigned - #15264024534")</f>
        <v/>
      </c>
      <c r="B1047" s="0" t="s">
        <v>1578</v>
      </c>
      <c r="E1047" s="0" t="inlineStr">
        <is>
          <t xml:space="preserve">Mazda</t>
        </is>
      </c>
      <c r="F1047" s="0" t="inlineStr">
        <is>
          <t xml:space="preserve">Mazda</t>
        </is>
      </c>
      <c r="G1047" s="0" t="s">
        <v>171</v>
      </c>
    </row>
    <row r="1048" spans="1:9">
      <c r="A1048" s="22" t="str">
        <f>HYPERLINK("https://app.vivvix.com/360/KMI/IntelliDrive/ApplUI/Pages/CreativePages/CustomReportCreativeDetail.aspx?App=23&amp;ReportView=4&amp;Qid=1711279&amp;Row=1040&amp;Col=1","No Title Assigned - #15264026417")</f>
        <v/>
      </c>
      <c r="B1048" s="0" t="s">
        <v>1579</v>
      </c>
      <c r="C1048" s="0" t="s">
        <v>1580</v>
      </c>
      <c r="D1048" s="0" t="s">
        <v>1580</v>
      </c>
      <c r="E1048" s="0" t="inlineStr">
        <is>
          <t xml:space="preserve">Mazda</t>
        </is>
      </c>
      <c r="F1048" s="0" t="s">
        <v>28</v>
      </c>
      <c r="G1048" s="0" t="s">
        <v>29</v>
      </c>
      <c r="H1048" s="5">
        <v>491.978900</v>
      </c>
    </row>
    <row r="1049" spans="1:9">
      <c r="A1049" s="22" t="str">
        <f>HYPERLINK("https://app.vivvix.com/360/KMI/IntelliDrive/ApplUI/Pages/CreativePages/CustomReportCreativeDetail.aspx?App=23&amp;ReportView=4&amp;Qid=1711279&amp;Row=1041&amp;Col=1","No Title Assigned - #15264028006")</f>
        <v/>
      </c>
      <c r="B1049" s="0" t="s">
        <v>1581</v>
      </c>
      <c r="C1049" s="0" t="s">
        <v>1582</v>
      </c>
      <c r="D1049" s="0" t="s">
        <v>1582</v>
      </c>
      <c r="E1049" s="0" t="inlineStr">
        <is>
          <t xml:space="preserve">Mazda</t>
        </is>
      </c>
      <c r="F1049" s="0" t="s">
        <v>28</v>
      </c>
      <c r="G1049" s="0" t="s">
        <v>29</v>
      </c>
      <c r="H1049" s="5">
        <v>224.259900</v>
      </c>
    </row>
    <row r="1050" spans="1:9">
      <c r="A1050" s="22" t="str">
        <f>HYPERLINK("https://app.vivvix.com/360/KMI/IntelliDrive/ApplUI/Pages/CreativePages/CustomReportCreativeDetail.aspx?App=23&amp;ReportView=4&amp;Qid=1711279&amp;Row=1042&amp;Col=1","No Title Assigned - #15264028254")</f>
        <v/>
      </c>
      <c r="B1050" s="0" t="s">
        <v>1583</v>
      </c>
      <c r="C1050" s="0" t="s">
        <v>1584</v>
      </c>
      <c r="D1050" s="0" t="s">
        <v>1584</v>
      </c>
      <c r="E1050" s="0" t="inlineStr">
        <is>
          <t xml:space="preserve">Mazda</t>
        </is>
      </c>
      <c r="F1050" s="0" t="s">
        <v>28</v>
      </c>
      <c r="G1050" s="0" t="s">
        <v>29</v>
      </c>
      <c r="H1050" s="5">
        <v>261.392000</v>
      </c>
    </row>
    <row r="1051" spans="1:9">
      <c r="A1051" s="22" t="str">
        <f>HYPERLINK("https://app.vivvix.com/360/KMI/IntelliDrive/ApplUI/Pages/CreativePages/CustomReportCreativeDetail.aspx?App=23&amp;ReportView=4&amp;Qid=1711279&amp;Row=1043&amp;Col=1","No Title Assigned - #15264038126")</f>
        <v/>
      </c>
      <c r="B1051" s="0" t="s">
        <v>1585</v>
      </c>
      <c r="E1051" s="0" t="inlineStr">
        <is>
          <t xml:space="preserve">Mazda</t>
        </is>
      </c>
      <c r="F1051" s="0" t="inlineStr">
        <is>
          <t xml:space="preserve">Mazda</t>
        </is>
      </c>
      <c r="G1051" s="0" t="s">
        <v>171</v>
      </c>
      <c r="H1051" s="5">
        <v>28172.595300</v>
      </c>
    </row>
    <row r="1052" spans="1:9">
      <c r="A1052" s="22" t="str">
        <f>HYPERLINK("https://app.vivvix.com/360/KMI/IntelliDrive/ApplUI/Pages/CreativePages/CustomReportCreativeDetail.aspx?App=23&amp;ReportView=4&amp;Qid=1711279&amp;Row=1044&amp;Col=1","No Title Assigned - #15264038126")</f>
        <v/>
      </c>
      <c r="B1052" s="0" t="s">
        <v>1585</v>
      </c>
      <c r="E1052" s="0" t="inlineStr">
        <is>
          <t xml:space="preserve">Mazda</t>
        </is>
      </c>
      <c r="F1052" s="0" t="inlineStr">
        <is>
          <t xml:space="preserve">Mazda</t>
        </is>
      </c>
      <c r="G1052" s="0" t="s">
        <v>171</v>
      </c>
      <c r="H1052" s="5">
        <v>129841.099200</v>
      </c>
    </row>
    <row r="1053" spans="1:9">
      <c r="A1053" s="22" t="str">
        <f>HYPERLINK("https://app.vivvix.com/360/KMI/IntelliDrive/ApplUI/Pages/CreativePages/CustomReportCreativeDetail.aspx?App=23&amp;ReportView=4&amp;Qid=1711279&amp;Row=1045&amp;Col=1","No Title Assigned - #15264038130")</f>
        <v/>
      </c>
      <c r="B1053" s="0" t="s">
        <v>1586</v>
      </c>
      <c r="E1053" s="0" t="inlineStr">
        <is>
          <t xml:space="preserve">Mazda</t>
        </is>
      </c>
      <c r="F1053" s="0" t="inlineStr">
        <is>
          <t xml:space="preserve">Mazda</t>
        </is>
      </c>
      <c r="G1053" s="0" t="s">
        <v>171</v>
      </c>
      <c r="H1053" s="5">
        <v>3308.626600</v>
      </c>
    </row>
    <row r="1054" spans="1:9">
      <c r="A1054" s="22" t="str">
        <f>HYPERLINK("https://app.vivvix.com/360/KMI/IntelliDrive/ApplUI/Pages/CreativePages/CustomReportCreativeDetail.aspx?App=23&amp;ReportView=4&amp;Qid=1711279&amp;Row=1046&amp;Col=1","No Title Assigned - #15264038130")</f>
        <v/>
      </c>
      <c r="B1054" s="0" t="s">
        <v>1586</v>
      </c>
      <c r="E1054" s="0" t="inlineStr">
        <is>
          <t xml:space="preserve">Mazda</t>
        </is>
      </c>
      <c r="F1054" s="0" t="inlineStr">
        <is>
          <t xml:space="preserve">Mazda</t>
        </is>
      </c>
      <c r="G1054" s="0" t="s">
        <v>171</v>
      </c>
      <c r="H1054" s="5">
        <v>50675.714900</v>
      </c>
    </row>
    <row r="1055" spans="1:9">
      <c r="A1055" s="22" t="str">
        <f>HYPERLINK("https://app.vivvix.com/360/KMI/IntelliDrive/ApplUI/Pages/CreativePages/CustomReportCreativeDetail.aspx?App=23&amp;ReportView=4&amp;Qid=1711279&amp;Row=1047&amp;Col=1","No Title Assigned - #15264040081")</f>
        <v/>
      </c>
      <c r="B1055" s="0" t="s">
        <v>1587</v>
      </c>
      <c r="C1055" s="0" t="s">
        <v>1588</v>
      </c>
      <c r="D1055" s="0" t="s">
        <v>1588</v>
      </c>
      <c r="E1055" s="0" t="inlineStr">
        <is>
          <t xml:space="preserve">Mazda</t>
        </is>
      </c>
      <c r="F1055" s="0" t="s">
        <v>28</v>
      </c>
      <c r="G1055" s="0" t="s">
        <v>29</v>
      </c>
      <c r="H1055" s="5">
        <v>531.950400</v>
      </c>
    </row>
    <row r="1056" spans="1:9">
      <c r="A1056" s="22" t="str">
        <f>HYPERLINK("https://app.vivvix.com/360/KMI/IntelliDrive/ApplUI/Pages/CreativePages/CustomReportCreativeDetail.aspx?App=23&amp;ReportView=4&amp;Qid=1711279&amp;Row=1048&amp;Col=1","No Title Assigned - #15264043054")</f>
        <v/>
      </c>
      <c r="B1056" s="0" t="s">
        <v>1589</v>
      </c>
      <c r="C1056" s="0" t="s">
        <v>1590</v>
      </c>
      <c r="D1056" s="0" t="s">
        <v>1590</v>
      </c>
      <c r="E1056" s="0" t="inlineStr">
        <is>
          <t xml:space="preserve">Mazda</t>
        </is>
      </c>
      <c r="F1056" s="0" t="s">
        <v>28</v>
      </c>
      <c r="G1056" s="0" t="s">
        <v>29</v>
      </c>
      <c r="H1056" s="5">
        <v>42.167400</v>
      </c>
    </row>
    <row r="1057" spans="1:9">
      <c r="A1057" s="22" t="str">
        <f>HYPERLINK("https://app.vivvix.com/360/KMI/IntelliDrive/ApplUI/Pages/CreativePages/CustomReportCreativeDetail.aspx?App=23&amp;ReportView=4&amp;Qid=1711279&amp;Row=1049&amp;Col=1","No Title Assigned - #15264043062")</f>
        <v/>
      </c>
      <c r="B1057" s="0" t="s">
        <v>1591</v>
      </c>
      <c r="C1057" s="0" t="s">
        <v>1592</v>
      </c>
      <c r="D1057" s="0" t="s">
        <v>1592</v>
      </c>
      <c r="E1057" s="0" t="inlineStr">
        <is>
          <t xml:space="preserve">Mazda</t>
        </is>
      </c>
      <c r="F1057" s="0" t="s">
        <v>28</v>
      </c>
      <c r="G1057" s="0" t="s">
        <v>29</v>
      </c>
      <c r="H1057" s="5">
        <v>203.360500</v>
      </c>
    </row>
    <row r="1058" spans="1:9">
      <c r="A1058" s="22" t="str">
        <f>HYPERLINK("https://app.vivvix.com/360/KMI/IntelliDrive/ApplUI/Pages/CreativePages/CustomReportCreativeDetail.aspx?App=23&amp;ReportView=4&amp;Qid=1711279&amp;Row=1050&amp;Col=1","No Title Assigned - #15264043063")</f>
        <v/>
      </c>
      <c r="B1058" s="0" t="s">
        <v>1593</v>
      </c>
      <c r="C1058" s="0" t="s">
        <v>1594</v>
      </c>
      <c r="D1058" s="0" t="s">
        <v>1594</v>
      </c>
      <c r="E1058" s="0" t="inlineStr">
        <is>
          <t xml:space="preserve">Mazda</t>
        </is>
      </c>
      <c r="F1058" s="0" t="s">
        <v>28</v>
      </c>
      <c r="G1058" s="0" t="s">
        <v>29</v>
      </c>
      <c r="H1058" s="5">
        <v>42.167400</v>
      </c>
    </row>
    <row r="1059" spans="1:9">
      <c r="A1059" s="22" t="str">
        <f>HYPERLINK("https://app.vivvix.com/360/KMI/IntelliDrive/ApplUI/Pages/CreativePages/CustomReportCreativeDetail.aspx?App=23&amp;ReportView=4&amp;Qid=1711279&amp;Row=1051&amp;Col=1","No Title Assigned - #15264043064")</f>
        <v/>
      </c>
      <c r="B1059" s="0" t="s">
        <v>1595</v>
      </c>
      <c r="C1059" s="0" t="s">
        <v>1596</v>
      </c>
      <c r="D1059" s="0" t="s">
        <v>1596</v>
      </c>
      <c r="E1059" s="0" t="inlineStr">
        <is>
          <t xml:space="preserve">Mazda</t>
        </is>
      </c>
      <c r="F1059" s="0" t="s">
        <v>28</v>
      </c>
      <c r="G1059" s="0" t="s">
        <v>29</v>
      </c>
      <c r="H1059" s="5">
        <v>42.167400</v>
      </c>
    </row>
    <row r="1060" spans="1:9">
      <c r="A1060" s="22" t="str">
        <f>HYPERLINK("https://app.vivvix.com/360/KMI/IntelliDrive/ApplUI/Pages/CreativePages/CustomReportCreativeDetail.aspx?App=23&amp;ReportView=4&amp;Qid=1711279&amp;Row=1052&amp;Col=1","No Title Assigned - #15264043089")</f>
        <v/>
      </c>
      <c r="B1060" s="0" t="s">
        <v>1597</v>
      </c>
      <c r="C1060" s="0" t="s">
        <v>1598</v>
      </c>
      <c r="D1060" s="0" t="s">
        <v>1598</v>
      </c>
      <c r="E1060" s="0" t="inlineStr">
        <is>
          <t xml:space="preserve">Mazda</t>
        </is>
      </c>
      <c r="F1060" s="0" t="s">
        <v>28</v>
      </c>
      <c r="G1060" s="0" t="s">
        <v>29</v>
      </c>
      <c r="H1060" s="5">
        <v>1875.711100</v>
      </c>
    </row>
    <row r="1061" spans="1:9">
      <c r="A1061" s="22" t="str">
        <f>HYPERLINK("https://app.vivvix.com/360/KMI/IntelliDrive/ApplUI/Pages/CreativePages/CustomReportCreativeDetail.aspx?App=23&amp;ReportView=4&amp;Qid=1711279&amp;Row=1053&amp;Col=1","No Title Assigned - #15264043120")</f>
        <v/>
      </c>
      <c r="B1061" s="0" t="s">
        <v>1599</v>
      </c>
      <c r="C1061" s="0" t="s">
        <v>1600</v>
      </c>
      <c r="D1061" s="0" t="s">
        <v>1600</v>
      </c>
      <c r="E1061" s="0" t="inlineStr">
        <is>
          <t xml:space="preserve">Mazda</t>
        </is>
      </c>
      <c r="F1061" s="0" t="s">
        <v>13</v>
      </c>
      <c r="G1061" s="0" t="s">
        <v>49</v>
      </c>
      <c r="H1061" s="5">
        <v>10135.593900</v>
      </c>
    </row>
    <row r="1062" spans="1:9">
      <c r="A1062" s="22" t="str">
        <f>HYPERLINK("https://app.vivvix.com/360/KMI/IntelliDrive/ApplUI/Pages/CreativePages/CustomReportCreativeDetail.aspx?App=23&amp;ReportView=4&amp;Qid=1711279&amp;Row=1054&amp;Col=1","No Title Assigned - #15264043178")</f>
        <v/>
      </c>
      <c r="B1062" s="0" t="s">
        <v>1601</v>
      </c>
      <c r="C1062" s="0" t="s">
        <v>1602</v>
      </c>
      <c r="D1062" s="0" t="s">
        <v>1602</v>
      </c>
      <c r="E1062" s="0" t="inlineStr">
        <is>
          <t xml:space="preserve">Mazda</t>
        </is>
      </c>
      <c r="F1062" s="0" t="s">
        <v>28</v>
      </c>
      <c r="G1062" s="0" t="s">
        <v>29</v>
      </c>
      <c r="H1062" s="5">
        <v>244.053900</v>
      </c>
    </row>
    <row r="1063" spans="1:9">
      <c r="A1063" s="22" t="str">
        <f>HYPERLINK("https://app.vivvix.com/360/KMI/IntelliDrive/ApplUI/Pages/CreativePages/CustomReportCreativeDetail.aspx?App=23&amp;ReportView=4&amp;Qid=1711279&amp;Row=1055&amp;Col=1","No Title Assigned - #15264044150")</f>
        <v/>
      </c>
      <c r="B1063" s="0" t="s">
        <v>1603</v>
      </c>
      <c r="C1063" s="0" t="s">
        <v>1604</v>
      </c>
      <c r="D1063" s="0" t="s">
        <v>1604</v>
      </c>
      <c r="E1063" s="0" t="inlineStr">
        <is>
          <t xml:space="preserve">Mazda</t>
        </is>
      </c>
      <c r="F1063" s="0" t="s">
        <v>28</v>
      </c>
      <c r="G1063" s="0" t="s">
        <v>29</v>
      </c>
      <c r="H1063" s="5">
        <v>94.000900</v>
      </c>
    </row>
    <row r="1064" spans="1:9">
      <c r="A1064" s="22" t="str">
        <f>HYPERLINK("https://app.vivvix.com/360/KMI/IntelliDrive/ApplUI/Pages/CreativePages/CustomReportCreativeDetail.aspx?App=23&amp;ReportView=4&amp;Qid=1711279&amp;Row=1056&amp;Col=1","No Title Assigned - #15264046061")</f>
        <v/>
      </c>
      <c r="B1064" s="0" t="s">
        <v>1605</v>
      </c>
      <c r="C1064" s="0" t="s">
        <v>1606</v>
      </c>
      <c r="D1064" s="0" t="s">
        <v>1606</v>
      </c>
      <c r="E1064" s="0" t="inlineStr">
        <is>
          <t xml:space="preserve">Mazda</t>
        </is>
      </c>
      <c r="F1064" s="0" t="s">
        <v>28</v>
      </c>
      <c r="G1064" s="0" t="s">
        <v>29</v>
      </c>
      <c r="H1064" s="5">
        <v>7368.434500</v>
      </c>
    </row>
    <row r="1065" spans="1:9">
      <c r="A1065" s="22" t="str">
        <f>HYPERLINK("https://app.vivvix.com/360/KMI/IntelliDrive/ApplUI/Pages/CreativePages/CustomReportCreativeDetail.aspx?App=23&amp;ReportView=4&amp;Qid=1711279&amp;Row=1057&amp;Col=1","No Title Assigned - #15264051072")</f>
        <v/>
      </c>
      <c r="B1065" s="0" t="s">
        <v>1607</v>
      </c>
      <c r="E1065" s="0" t="inlineStr">
        <is>
          <t xml:space="preserve">Mazda</t>
        </is>
      </c>
      <c r="F1065" s="0" t="inlineStr">
        <is>
          <t xml:space="preserve">Mazda</t>
        </is>
      </c>
      <c r="G1065" s="0" t="s">
        <v>171</v>
      </c>
      <c r="H1065" s="5">
        <v>1422.243000</v>
      </c>
    </row>
    <row r="1066" spans="1:9">
      <c r="A1066" s="22" t="str">
        <f>HYPERLINK("https://app.vivvix.com/360/KMI/IntelliDrive/ApplUI/Pages/CreativePages/CustomReportCreativeDetail.aspx?App=23&amp;ReportView=4&amp;Qid=1711279&amp;Row=1058&amp;Col=1","No Title Assigned - #15264056592")</f>
        <v/>
      </c>
      <c r="B1066" s="0" t="s">
        <v>1608</v>
      </c>
      <c r="C1066" s="0" t="s">
        <v>1609</v>
      </c>
      <c r="D1066" s="0" t="s">
        <v>1609</v>
      </c>
      <c r="E1066" s="0" t="inlineStr">
        <is>
          <t xml:space="preserve">Mazda</t>
        </is>
      </c>
      <c r="F1066" s="0" t="s">
        <v>17</v>
      </c>
      <c r="G1066" s="0" t="s">
        <v>33</v>
      </c>
      <c r="H1066" s="5">
        <v>1610.392500</v>
      </c>
    </row>
    <row r="1067" spans="1:9">
      <c r="A1067" s="22" t="str">
        <f>HYPERLINK("https://app.vivvix.com/360/KMI/IntelliDrive/ApplUI/Pages/CreativePages/CustomReportCreativeDetail.aspx?App=23&amp;ReportView=4&amp;Qid=1711279&amp;Row=1059&amp;Col=1","No Title Assigned - #15264058653")</f>
        <v/>
      </c>
      <c r="B1067" s="0" t="s">
        <v>1610</v>
      </c>
      <c r="E1067" s="0" t="inlineStr">
        <is>
          <t xml:space="preserve">Mazda</t>
        </is>
      </c>
      <c r="F1067" s="0" t="s">
        <v>28</v>
      </c>
      <c r="G1067" s="0" t="s">
        <v>29</v>
      </c>
      <c r="H1067" s="5">
        <v>1841.094000</v>
      </c>
    </row>
    <row r="1068" spans="1:9">
      <c r="A1068" s="22" t="str">
        <f>HYPERLINK("https://app.vivvix.com/360/KMI/IntelliDrive/ApplUI/Pages/CreativePages/CustomReportCreativeDetail.aspx?App=23&amp;ReportView=4&amp;Qid=1711279&amp;Row=1060&amp;Col=1","No Title Assigned - #15264058653")</f>
        <v/>
      </c>
      <c r="B1068" s="0" t="s">
        <v>1610</v>
      </c>
      <c r="C1068" s="0" t="s">
        <v>1611</v>
      </c>
      <c r="D1068" s="0" t="s">
        <v>1611</v>
      </c>
      <c r="E1068" s="0" t="inlineStr">
        <is>
          <t xml:space="preserve">Mazda</t>
        </is>
      </c>
      <c r="F1068" s="0" t="s">
        <v>28</v>
      </c>
      <c r="G1068" s="0" t="s">
        <v>29</v>
      </c>
      <c r="H1068" s="5">
        <v>67.090000</v>
      </c>
    </row>
    <row r="1069" spans="1:9">
      <c r="A1069" s="22" t="str">
        <f>HYPERLINK("https://app.vivvix.com/360/KMI/IntelliDrive/ApplUI/Pages/CreativePages/CustomReportCreativeDetail.aspx?App=23&amp;ReportView=4&amp;Qid=1711279&amp;Row=1061&amp;Col=1","No Title Assigned - #15264079441")</f>
        <v/>
      </c>
      <c r="B1069" s="0" t="s">
        <v>1612</v>
      </c>
      <c r="C1069" s="0" t="s">
        <v>1613</v>
      </c>
      <c r="D1069" s="0" t="s">
        <v>1613</v>
      </c>
      <c r="E1069" s="0" t="inlineStr">
        <is>
          <t xml:space="preserve">Mazda</t>
        </is>
      </c>
      <c r="F1069" s="0" t="s">
        <v>28</v>
      </c>
      <c r="G1069" s="0" t="s">
        <v>29</v>
      </c>
      <c r="H1069" s="5">
        <v>294.146000</v>
      </c>
    </row>
    <row r="1070" spans="1:9">
      <c r="A1070" s="22" t="str">
        <f>HYPERLINK("https://app.vivvix.com/360/KMI/IntelliDrive/ApplUI/Pages/CreativePages/CustomReportCreativeDetail.aspx?App=23&amp;ReportView=4&amp;Qid=1711279&amp;Row=1062&amp;Col=1","No Title Assigned - #15264089866")</f>
        <v/>
      </c>
      <c r="B1070" s="0" t="s">
        <v>1614</v>
      </c>
      <c r="C1070" s="0" t="s">
        <v>1615</v>
      </c>
      <c r="D1070" s="0" t="s">
        <v>1615</v>
      </c>
      <c r="E1070" s="0" t="inlineStr">
        <is>
          <t xml:space="preserve">Mazda</t>
        </is>
      </c>
      <c r="F1070" s="0" t="s">
        <v>28</v>
      </c>
      <c r="G1070" s="0" t="s">
        <v>29</v>
      </c>
      <c r="H1070" s="5">
        <v>261.392000</v>
      </c>
    </row>
    <row r="1071" spans="1:9">
      <c r="A1071" s="22" t="str">
        <f>HYPERLINK("https://app.vivvix.com/360/KMI/IntelliDrive/ApplUI/Pages/CreativePages/CustomReportCreativeDetail.aspx?App=23&amp;ReportView=4&amp;Qid=1711279&amp;Row=1063&amp;Col=1","No Title Assigned - #15264140626")</f>
        <v/>
      </c>
      <c r="B1071" s="0" t="s">
        <v>1616</v>
      </c>
      <c r="C1071" s="0" t="s">
        <v>1617</v>
      </c>
      <c r="D1071" s="0" t="s">
        <v>1617</v>
      </c>
      <c r="E1071" s="0" t="inlineStr">
        <is>
          <t xml:space="preserve">Mazda</t>
        </is>
      </c>
      <c r="F1071" s="0" t="s">
        <v>28</v>
      </c>
      <c r="G1071" s="0" t="s">
        <v>29</v>
      </c>
      <c r="H1071" s="5">
        <v>5660.854100</v>
      </c>
    </row>
    <row r="1072" spans="1:9">
      <c r="A1072" s="22" t="str">
        <f>HYPERLINK("https://app.vivvix.com/360/KMI/IntelliDrive/ApplUI/Pages/CreativePages/CustomReportCreativeDetail.aspx?App=23&amp;ReportView=4&amp;Qid=1711279&amp;Row=1064&amp;Col=1","No Title Assigned - #15264140626")</f>
        <v/>
      </c>
      <c r="B1072" s="0" t="s">
        <v>1616</v>
      </c>
      <c r="E1072" s="0" t="inlineStr">
        <is>
          <t xml:space="preserve">Mazda</t>
        </is>
      </c>
      <c r="F1072" s="0" t="s">
        <v>28</v>
      </c>
      <c r="G1072" s="0" t="s">
        <v>29</v>
      </c>
      <c r="H1072" s="5">
        <v>5813.356600</v>
      </c>
    </row>
    <row r="1073" spans="1:9">
      <c r="A1073" s="22" t="str">
        <f>HYPERLINK("https://app.vivvix.com/360/KMI/IntelliDrive/ApplUI/Pages/CreativePages/CustomReportCreativeDetail.aspx?App=23&amp;ReportView=4&amp;Qid=1711279&amp;Row=1065&amp;Col=1","No Title Assigned - #15264152560")</f>
        <v/>
      </c>
      <c r="B1073" s="0" t="s">
        <v>1618</v>
      </c>
      <c r="C1073" s="0" t="s">
        <v>1619</v>
      </c>
      <c r="D1073" s="0" t="s">
        <v>1619</v>
      </c>
      <c r="E1073" s="0" t="inlineStr">
        <is>
          <t xml:space="preserve">Mazda</t>
        </is>
      </c>
      <c r="F1073" s="0" t="s">
        <v>28</v>
      </c>
      <c r="G1073" s="0" t="s">
        <v>29</v>
      </c>
      <c r="H1073" s="5">
        <v>469.300700</v>
      </c>
    </row>
    <row r="1074" spans="1:9">
      <c r="A1074" s="22" t="str">
        <f>HYPERLINK("https://app.vivvix.com/360/KMI/IntelliDrive/ApplUI/Pages/CreativePages/CustomReportCreativeDetail.aspx?App=23&amp;ReportView=4&amp;Qid=1711279&amp;Row=1066&amp;Col=1","No Title Assigned - #15264161325")</f>
        <v/>
      </c>
      <c r="B1074" s="0" t="s">
        <v>1620</v>
      </c>
      <c r="E1074" s="0" t="inlineStr">
        <is>
          <t xml:space="preserve">Mazda</t>
        </is>
      </c>
      <c r="F1074" s="0" t="inlineStr">
        <is>
          <t xml:space="preserve">Mazda</t>
        </is>
      </c>
      <c r="G1074" s="0" t="s">
        <v>171</v>
      </c>
      <c r="H1074" s="5">
        <v>1500.061000</v>
      </c>
    </row>
    <row r="1075" spans="1:9">
      <c r="A1075" s="22" t="str">
        <f>HYPERLINK("https://app.vivvix.com/360/KMI/IntelliDrive/ApplUI/Pages/CreativePages/CustomReportCreativeDetail.aspx?App=23&amp;ReportView=4&amp;Qid=1711279&amp;Row=1067&amp;Col=1","No Title Assigned - #15264161325")</f>
        <v/>
      </c>
      <c r="B1075" s="0" t="s">
        <v>1620</v>
      </c>
      <c r="E1075" s="0" t="inlineStr">
        <is>
          <t xml:space="preserve">Mazda</t>
        </is>
      </c>
      <c r="F1075" s="0" t="inlineStr">
        <is>
          <t xml:space="preserve">Mazda</t>
        </is>
      </c>
      <c r="G1075" s="0" t="s">
        <v>171</v>
      </c>
    </row>
    <row r="1076" spans="1:9">
      <c r="A1076" s="22" t="str">
        <f>HYPERLINK("https://app.vivvix.com/360/KMI/IntelliDrive/ApplUI/Pages/CreativePages/CustomReportCreativeDetail.aspx?App=23&amp;ReportView=4&amp;Qid=1711279&amp;Row=1068&amp;Col=1","No Title Assigned - #15264175059")</f>
        <v/>
      </c>
      <c r="B1076" s="0" t="s">
        <v>1621</v>
      </c>
      <c r="C1076" s="0" t="s">
        <v>1622</v>
      </c>
      <c r="D1076" s="0" t="s">
        <v>1622</v>
      </c>
      <c r="E1076" s="0" t="inlineStr">
        <is>
          <t xml:space="preserve">Mazda</t>
        </is>
      </c>
      <c r="F1076" s="0" t="s">
        <v>28</v>
      </c>
      <c r="G1076" s="0" t="s">
        <v>29</v>
      </c>
      <c r="H1076" s="5">
        <v>102.584200</v>
      </c>
    </row>
    <row r="1077" spans="1:9">
      <c r="A1077" s="22" t="str">
        <f>HYPERLINK("https://app.vivvix.com/360/KMI/IntelliDrive/ApplUI/Pages/CreativePages/CustomReportCreativeDetail.aspx?App=23&amp;ReportView=4&amp;Qid=1711279&amp;Row=1069&amp;Col=1","No Title Assigned - #15264175335")</f>
        <v/>
      </c>
      <c r="B1077" s="0" t="s">
        <v>1623</v>
      </c>
      <c r="C1077" s="0" t="s">
        <v>1624</v>
      </c>
      <c r="D1077" s="0" t="s">
        <v>1624</v>
      </c>
      <c r="E1077" s="0" t="inlineStr">
        <is>
          <t xml:space="preserve">Mazda</t>
        </is>
      </c>
      <c r="F1077" s="0" t="s">
        <v>28</v>
      </c>
      <c r="G1077" s="0" t="s">
        <v>29</v>
      </c>
      <c r="H1077" s="5">
        <v>346.929400</v>
      </c>
    </row>
    <row r="1078" spans="1:9">
      <c r="A1078" s="22" t="str">
        <f>HYPERLINK("https://app.vivvix.com/360/KMI/IntelliDrive/ApplUI/Pages/CreativePages/CustomReportCreativeDetail.aspx?App=23&amp;ReportView=4&amp;Qid=1711279&amp;Row=1070&amp;Col=1","No Title Assigned - #15264176717")</f>
        <v/>
      </c>
      <c r="B1078" s="0" t="s">
        <v>1625</v>
      </c>
      <c r="C1078" s="0" t="s">
        <v>1626</v>
      </c>
      <c r="D1078" s="0" t="s">
        <v>1626</v>
      </c>
      <c r="E1078" s="0" t="inlineStr">
        <is>
          <t xml:space="preserve">Mazda</t>
        </is>
      </c>
      <c r="F1078" s="0" t="s">
        <v>28</v>
      </c>
      <c r="G1078" s="0" t="s">
        <v>29</v>
      </c>
      <c r="H1078" s="5">
        <v>7043.488800</v>
      </c>
    </row>
    <row r="1079" spans="1:9">
      <c r="A1079" s="22" t="str">
        <f>HYPERLINK("https://app.vivvix.com/360/KMI/IntelliDrive/ApplUI/Pages/CreativePages/CustomReportCreativeDetail.aspx?App=23&amp;ReportView=4&amp;Qid=1711279&amp;Row=1071&amp;Col=1","No Title Assigned - #15264192587")</f>
        <v/>
      </c>
      <c r="B1079" s="0" t="s">
        <v>1627</v>
      </c>
      <c r="C1079" s="0" t="s">
        <v>1628</v>
      </c>
      <c r="D1079" s="0" t="s">
        <v>1628</v>
      </c>
      <c r="E1079" s="0" t="inlineStr">
        <is>
          <t xml:space="preserve">Mazda</t>
        </is>
      </c>
      <c r="F1079" s="0" t="s">
        <v>17</v>
      </c>
      <c r="G1079" s="0" t="s">
        <v>33</v>
      </c>
      <c r="H1079" s="5">
        <v>591.463500</v>
      </c>
    </row>
    <row r="1080" spans="1:9">
      <c r="A1080" s="22" t="str">
        <f>HYPERLINK("https://app.vivvix.com/360/KMI/IntelliDrive/ApplUI/Pages/CreativePages/CustomReportCreativeDetail.aspx?App=23&amp;ReportView=4&amp;Qid=1711279&amp;Row=1072&amp;Col=1","No Title Assigned - #15264229017")</f>
        <v/>
      </c>
      <c r="B1080" s="0" t="s">
        <v>1629</v>
      </c>
      <c r="E1080" s="0" t="inlineStr">
        <is>
          <t xml:space="preserve">Mazda</t>
        </is>
      </c>
      <c r="F1080" s="0" t="inlineStr">
        <is>
          <t xml:space="preserve">Mazda</t>
        </is>
      </c>
      <c r="G1080" s="0" t="s">
        <v>171</v>
      </c>
      <c r="H1080" s="5">
        <v>18334.058600</v>
      </c>
    </row>
    <row r="1081" spans="1:9">
      <c r="A1081" s="22" t="str">
        <f>HYPERLINK("https://app.vivvix.com/360/KMI/IntelliDrive/ApplUI/Pages/CreativePages/CustomReportCreativeDetail.aspx?App=23&amp;ReportView=4&amp;Qid=1711279&amp;Row=1073&amp;Col=1","No Title Assigned - #15264238072")</f>
        <v/>
      </c>
      <c r="B1081" s="0" t="s">
        <v>1630</v>
      </c>
      <c r="E1081" s="0" t="inlineStr">
        <is>
          <t xml:space="preserve">Mazda</t>
        </is>
      </c>
      <c r="F1081" s="0" t="s">
        <v>28</v>
      </c>
      <c r="G1081" s="0" t="s">
        <v>29</v>
      </c>
      <c r="H1081" s="5">
        <v>967.157500</v>
      </c>
    </row>
    <row r="1082" spans="1:9">
      <c r="A1082" s="22" t="str">
        <f>HYPERLINK("https://app.vivvix.com/360/KMI/IntelliDrive/ApplUI/Pages/CreativePages/CustomReportCreativeDetail.aspx?App=23&amp;ReportView=4&amp;Qid=1711279&amp;Row=1074&amp;Col=1","No Title Assigned - #15264238072")</f>
        <v/>
      </c>
      <c r="B1082" s="0" t="s">
        <v>1630</v>
      </c>
      <c r="C1082" s="0" t="s">
        <v>1631</v>
      </c>
      <c r="D1082" s="0" t="s">
        <v>1631</v>
      </c>
      <c r="E1082" s="0" t="inlineStr">
        <is>
          <t xml:space="preserve">Mazda</t>
        </is>
      </c>
      <c r="F1082" s="0" t="s">
        <v>28</v>
      </c>
      <c r="G1082" s="0" t="s">
        <v>29</v>
      </c>
      <c r="H1082" s="5">
        <v>64.844700</v>
      </c>
    </row>
    <row r="1083" spans="1:9">
      <c r="A1083" s="22" t="str">
        <f>HYPERLINK("https://app.vivvix.com/360/KMI/IntelliDrive/ApplUI/Pages/CreativePages/CustomReportCreativeDetail.aspx?App=23&amp;ReportView=4&amp;Qid=1711279&amp;Row=1075&amp;Col=1","No Title Assigned - #15264238318")</f>
        <v/>
      </c>
      <c r="B1083" s="0" t="s">
        <v>1632</v>
      </c>
      <c r="C1083" s="0" t="s">
        <v>1633</v>
      </c>
      <c r="D1083" s="0" t="s">
        <v>1633</v>
      </c>
      <c r="E1083" s="0" t="inlineStr">
        <is>
          <t xml:space="preserve">Mazda</t>
        </is>
      </c>
      <c r="F1083" s="0" t="s">
        <v>13</v>
      </c>
      <c r="G1083" s="0" t="s">
        <v>49</v>
      </c>
      <c r="H1083" s="5">
        <v>429.289100</v>
      </c>
    </row>
    <row r="1084" spans="1:9">
      <c r="A1084" s="22" t="str">
        <f>HYPERLINK("https://app.vivvix.com/360/KMI/IntelliDrive/ApplUI/Pages/CreativePages/CustomReportCreativeDetail.aspx?App=23&amp;ReportView=4&amp;Qid=1711279&amp;Row=1076&amp;Col=1","No Title Assigned - #15264238484")</f>
        <v/>
      </c>
      <c r="B1084" s="0" t="s">
        <v>1634</v>
      </c>
      <c r="C1084" s="0" t="s">
        <v>1635</v>
      </c>
      <c r="D1084" s="0" t="s">
        <v>1635</v>
      </c>
      <c r="E1084" s="0" t="inlineStr">
        <is>
          <t xml:space="preserve">Mazda</t>
        </is>
      </c>
      <c r="F1084" s="0" t="s">
        <v>28</v>
      </c>
      <c r="G1084" s="0" t="s">
        <v>29</v>
      </c>
      <c r="H1084" s="5">
        <v>129.689400</v>
      </c>
    </row>
    <row r="1085" spans="1:9">
      <c r="A1085" s="22" t="str">
        <f>HYPERLINK("https://app.vivvix.com/360/KMI/IntelliDrive/ApplUI/Pages/CreativePages/CustomReportCreativeDetail.aspx?App=23&amp;ReportView=4&amp;Qid=1711279&amp;Row=1077&amp;Col=1","No Title Assigned - #15264244143")</f>
        <v/>
      </c>
      <c r="B1085" s="0" t="s">
        <v>1636</v>
      </c>
      <c r="C1085" s="0" t="s">
        <v>1637</v>
      </c>
      <c r="D1085" s="0" t="s">
        <v>1637</v>
      </c>
      <c r="E1085" s="0" t="inlineStr">
        <is>
          <t xml:space="preserve">Mazda</t>
        </is>
      </c>
      <c r="F1085" s="0" t="s">
        <v>28</v>
      </c>
      <c r="G1085" s="0" t="s">
        <v>29</v>
      </c>
      <c r="H1085" s="5">
        <v>11172.047300</v>
      </c>
    </row>
    <row r="1086" spans="1:9">
      <c r="A1086" s="22" t="str">
        <f>HYPERLINK("https://app.vivvix.com/360/KMI/IntelliDrive/ApplUI/Pages/CreativePages/CustomReportCreativeDetail.aspx?App=23&amp;ReportView=4&amp;Qid=1711279&amp;Row=1078&amp;Col=1","No Title Assigned - #15264244143")</f>
        <v/>
      </c>
      <c r="B1086" s="0" t="s">
        <v>1636</v>
      </c>
      <c r="E1086" s="0" t="inlineStr">
        <is>
          <t xml:space="preserve">Mazda</t>
        </is>
      </c>
      <c r="F1086" s="0" t="s">
        <v>28</v>
      </c>
      <c r="G1086" s="0" t="s">
        <v>29</v>
      </c>
      <c r="H1086" s="5">
        <v>25016.765800</v>
      </c>
    </row>
    <row r="1087" spans="1:9">
      <c r="A1087" s="22" t="str">
        <f>HYPERLINK("https://app.vivvix.com/360/KMI/IntelliDrive/ApplUI/Pages/CreativePages/CustomReportCreativeDetail.aspx?App=23&amp;ReportView=4&amp;Qid=1711279&amp;Row=1079&amp;Col=1","No Title Assigned - #15264244609")</f>
        <v/>
      </c>
      <c r="B1087" s="0" t="s">
        <v>1638</v>
      </c>
      <c r="C1087" s="0" t="s">
        <v>1639</v>
      </c>
      <c r="D1087" s="0" t="s">
        <v>1639</v>
      </c>
      <c r="E1087" s="0" t="inlineStr">
        <is>
          <t xml:space="preserve">Mazda</t>
        </is>
      </c>
      <c r="F1087" s="0" t="s">
        <v>28</v>
      </c>
      <c r="G1087" s="0" t="s">
        <v>29</v>
      </c>
      <c r="H1087" s="5">
        <v>199.210000</v>
      </c>
    </row>
    <row r="1088" spans="1:9">
      <c r="A1088" s="22" t="str">
        <f>HYPERLINK("https://app.vivvix.com/360/KMI/IntelliDrive/ApplUI/Pages/CreativePages/CustomReportCreativeDetail.aspx?App=23&amp;ReportView=4&amp;Qid=1711279&amp;Row=1080&amp;Col=1","No Title Assigned - #15264244672")</f>
        <v/>
      </c>
      <c r="B1088" s="0" t="s">
        <v>1640</v>
      </c>
      <c r="C1088" s="0" t="s">
        <v>1641</v>
      </c>
      <c r="D1088" s="0" t="s">
        <v>1642</v>
      </c>
      <c r="E1088" s="0" t="inlineStr">
        <is>
          <t xml:space="preserve">Mazda</t>
        </is>
      </c>
      <c r="F1088" s="0" t="s">
        <v>13</v>
      </c>
      <c r="G1088" s="0" t="s">
        <v>49</v>
      </c>
      <c r="H1088" s="5">
        <v>663.286000</v>
      </c>
    </row>
    <row r="1089" spans="1:9">
      <c r="A1089" s="22" t="str">
        <f>HYPERLINK("https://app.vivvix.com/360/KMI/IntelliDrive/ApplUI/Pages/CreativePages/CustomReportCreativeDetail.aspx?App=23&amp;ReportView=4&amp;Qid=1711279&amp;Row=1081&amp;Col=1","No Title Assigned - #15264298095")</f>
        <v/>
      </c>
      <c r="B1089" s="0" t="s">
        <v>1643</v>
      </c>
      <c r="E1089" s="0" t="inlineStr">
        <is>
          <t xml:space="preserve">Mazda</t>
        </is>
      </c>
      <c r="F1089" s="0" t="inlineStr">
        <is>
          <t xml:space="preserve">Mazda</t>
        </is>
      </c>
      <c r="G1089" s="0" t="s">
        <v>171</v>
      </c>
      <c r="H1089" s="5">
        <v>319.215600</v>
      </c>
    </row>
    <row r="1090" spans="1:9">
      <c r="A1090" s="22" t="str">
        <f>HYPERLINK("https://app.vivvix.com/360/KMI/IntelliDrive/ApplUI/Pages/CreativePages/CustomReportCreativeDetail.aspx?App=23&amp;ReportView=4&amp;Qid=1711279&amp;Row=1082&amp;Col=1","No Title Assigned - #15264315817")</f>
        <v/>
      </c>
      <c r="B1090" s="0" t="s">
        <v>1644</v>
      </c>
      <c r="C1090" s="0" t="s">
        <v>1645</v>
      </c>
      <c r="D1090" s="0" t="s">
        <v>1497</v>
      </c>
      <c r="E1090" s="0" t="inlineStr">
        <is>
          <t xml:space="preserve">Mazda</t>
        </is>
      </c>
      <c r="F1090" s="0" t="s">
        <v>28</v>
      </c>
      <c r="G1090" s="0" t="s">
        <v>29</v>
      </c>
      <c r="H1090" s="5">
        <v>19843.411300</v>
      </c>
    </row>
    <row r="1091" spans="1:9">
      <c r="A1091" s="22" t="str">
        <f>HYPERLINK("https://app.vivvix.com/360/KMI/IntelliDrive/ApplUI/Pages/CreativePages/CustomReportCreativeDetail.aspx?App=23&amp;ReportView=4&amp;Qid=1711279&amp;Row=1083&amp;Col=1","No Title Assigned - #15264355778")</f>
        <v/>
      </c>
      <c r="B1091" s="0" t="s">
        <v>1646</v>
      </c>
      <c r="C1091" s="0" t="s">
        <v>1647</v>
      </c>
      <c r="D1091" s="0" t="s">
        <v>1647</v>
      </c>
      <c r="E1091" s="0" t="inlineStr">
        <is>
          <t xml:space="preserve">Mazda</t>
        </is>
      </c>
      <c r="F1091" s="0" t="s">
        <v>28</v>
      </c>
      <c r="G1091" s="0" t="s">
        <v>29</v>
      </c>
      <c r="H1091" s="5">
        <v>102.584200</v>
      </c>
    </row>
    <row r="1092" spans="1:9">
      <c r="A1092" s="22" t="str">
        <f>HYPERLINK("https://app.vivvix.com/360/KMI/IntelliDrive/ApplUI/Pages/CreativePages/CustomReportCreativeDetail.aspx?App=23&amp;ReportView=4&amp;Qid=1711279&amp;Row=1084&amp;Col=1","No Title Assigned - #15264370994")</f>
        <v/>
      </c>
      <c r="B1092" s="0" t="s">
        <v>1648</v>
      </c>
      <c r="C1092" s="0" t="s">
        <v>1649</v>
      </c>
      <c r="D1092" s="0" t="s">
        <v>1649</v>
      </c>
      <c r="E1092" s="0" t="inlineStr">
        <is>
          <t xml:space="preserve">Mazda</t>
        </is>
      </c>
      <c r="F1092" s="0" t="s">
        <v>28</v>
      </c>
      <c r="G1092" s="0" t="s">
        <v>29</v>
      </c>
      <c r="H1092" s="5">
        <v>55596.930700</v>
      </c>
    </row>
    <row r="1093" spans="1:9">
      <c r="A1093" s="22" t="str">
        <f>HYPERLINK("https://app.vivvix.com/360/KMI/IntelliDrive/ApplUI/Pages/CreativePages/CustomReportCreativeDetail.aspx?App=23&amp;ReportView=4&amp;Qid=1711279&amp;Row=1085&amp;Col=1","No Title Assigned - #15264370994")</f>
        <v/>
      </c>
      <c r="B1093" s="0" t="s">
        <v>1648</v>
      </c>
      <c r="E1093" s="0" t="inlineStr">
        <is>
          <t xml:space="preserve">Mazda</t>
        </is>
      </c>
      <c r="F1093" s="0" t="s">
        <v>28</v>
      </c>
      <c r="G1093" s="0" t="s">
        <v>29</v>
      </c>
      <c r="H1093" s="5">
        <v>33648.909900</v>
      </c>
    </row>
    <row r="1094" spans="1:9">
      <c r="A1094" s="22" t="str">
        <f>HYPERLINK("https://app.vivvix.com/360/KMI/IntelliDrive/ApplUI/Pages/CreativePages/CustomReportCreativeDetail.aspx?App=23&amp;ReportView=4&amp;Qid=1711279&amp;Row=1086&amp;Col=1","No Title Assigned - #15264372780")</f>
        <v/>
      </c>
      <c r="B1094" s="0" t="s">
        <v>1650</v>
      </c>
      <c r="C1094" s="0" t="s">
        <v>1651</v>
      </c>
      <c r="D1094" s="0" t="s">
        <v>1651</v>
      </c>
      <c r="E1094" s="0" t="inlineStr">
        <is>
          <t xml:space="preserve">Mazda</t>
        </is>
      </c>
      <c r="F1094" s="0" t="s">
        <v>28</v>
      </c>
      <c r="G1094" s="0" t="s">
        <v>29</v>
      </c>
      <c r="H1094" s="5">
        <v>18058.228400</v>
      </c>
    </row>
    <row r="1095" spans="1:9">
      <c r="A1095" s="22" t="str">
        <f>HYPERLINK("https://app.vivvix.com/360/KMI/IntelliDrive/ApplUI/Pages/CreativePages/CustomReportCreativeDetail.aspx?App=23&amp;ReportView=4&amp;Qid=1711279&amp;Row=1087&amp;Col=1","No Title Assigned - #15264372780")</f>
        <v/>
      </c>
      <c r="B1095" s="0" t="s">
        <v>1650</v>
      </c>
      <c r="E1095" s="0" t="inlineStr">
        <is>
          <t xml:space="preserve">Mazda</t>
        </is>
      </c>
      <c r="F1095" s="0" t="s">
        <v>28</v>
      </c>
      <c r="G1095" s="0" t="s">
        <v>29</v>
      </c>
      <c r="H1095" s="5">
        <v>8795.488900</v>
      </c>
    </row>
    <row r="1096" spans="1:9">
      <c r="A1096" s="22" t="str">
        <f>HYPERLINK("https://app.vivvix.com/360/KMI/IntelliDrive/ApplUI/Pages/CreativePages/CustomReportCreativeDetail.aspx?App=23&amp;ReportView=4&amp;Qid=1711279&amp;Row=1088&amp;Col=1","No Title Assigned - #15264374897")</f>
        <v/>
      </c>
      <c r="B1096" s="0" t="s">
        <v>1652</v>
      </c>
      <c r="C1096" s="0" t="s">
        <v>1653</v>
      </c>
      <c r="D1096" s="0" t="s">
        <v>1653</v>
      </c>
      <c r="E1096" s="0" t="inlineStr">
        <is>
          <t xml:space="preserve">Mazda</t>
        </is>
      </c>
      <c r="F1096" s="0" t="s">
        <v>28</v>
      </c>
      <c r="G1096" s="0" t="s">
        <v>29</v>
      </c>
      <c r="H1096" s="5">
        <v>14648.009600</v>
      </c>
    </row>
    <row r="1097" spans="1:9">
      <c r="A1097" s="22" t="str">
        <f>HYPERLINK("https://app.vivvix.com/360/KMI/IntelliDrive/ApplUI/Pages/CreativePages/CustomReportCreativeDetail.aspx?App=23&amp;ReportView=4&amp;Qid=1711279&amp;Row=1089&amp;Col=1","No Title Assigned - #15264374897")</f>
        <v/>
      </c>
      <c r="B1097" s="0" t="s">
        <v>1652</v>
      </c>
      <c r="E1097" s="0" t="inlineStr">
        <is>
          <t xml:space="preserve">Mazda</t>
        </is>
      </c>
      <c r="F1097" s="0" t="s">
        <v>28</v>
      </c>
      <c r="G1097" s="0" t="s">
        <v>29</v>
      </c>
      <c r="H1097" s="5">
        <v>3825.771400</v>
      </c>
    </row>
    <row r="1098" spans="1:9">
      <c r="A1098" s="22" t="str">
        <f>HYPERLINK("https://app.vivvix.com/360/KMI/IntelliDrive/ApplUI/Pages/CreativePages/CustomReportCreativeDetail.aspx?App=23&amp;ReportView=4&amp;Qid=1711279&amp;Row=1090&amp;Col=1","No Title Assigned - #15264375061")</f>
        <v/>
      </c>
      <c r="B1098" s="0" t="s">
        <v>1654</v>
      </c>
      <c r="C1098" s="0" t="s">
        <v>1655</v>
      </c>
      <c r="D1098" s="0" t="s">
        <v>1497</v>
      </c>
      <c r="E1098" s="0" t="inlineStr">
        <is>
          <t xml:space="preserve">Mazda</t>
        </is>
      </c>
      <c r="F1098" s="0" t="s">
        <v>28</v>
      </c>
      <c r="G1098" s="0" t="s">
        <v>29</v>
      </c>
      <c r="H1098" s="5">
        <v>4966.563400</v>
      </c>
    </row>
    <row r="1099" spans="1:9">
      <c r="A1099" s="22" t="str">
        <f>HYPERLINK("https://app.vivvix.com/360/KMI/IntelliDrive/ApplUI/Pages/CreativePages/CustomReportCreativeDetail.aspx?App=23&amp;ReportView=4&amp;Qid=1711279&amp;Row=1091&amp;Col=1","No Title Assigned - #15264378381")</f>
        <v/>
      </c>
      <c r="B1099" s="0" t="s">
        <v>1656</v>
      </c>
      <c r="C1099" s="0" t="s">
        <v>1657</v>
      </c>
      <c r="D1099" s="0" t="s">
        <v>1657</v>
      </c>
      <c r="E1099" s="0" t="inlineStr">
        <is>
          <t xml:space="preserve">Mazda</t>
        </is>
      </c>
      <c r="F1099" s="0" t="s">
        <v>28</v>
      </c>
      <c r="G1099" s="0" t="s">
        <v>29</v>
      </c>
      <c r="H1099" s="5">
        <v>10933.747300</v>
      </c>
    </row>
    <row r="1100" spans="1:9">
      <c r="A1100" s="22" t="str">
        <f>HYPERLINK("https://app.vivvix.com/360/KMI/IntelliDrive/ApplUI/Pages/CreativePages/CustomReportCreativeDetail.aspx?App=23&amp;ReportView=4&amp;Qid=1711279&amp;Row=1092&amp;Col=1","No Title Assigned - #15264386053")</f>
        <v/>
      </c>
      <c r="B1100" s="0" t="s">
        <v>1658</v>
      </c>
      <c r="E1100" s="0" t="inlineStr">
        <is>
          <t xml:space="preserve">Mazda</t>
        </is>
      </c>
      <c r="F1100" s="0" t="s">
        <v>28</v>
      </c>
      <c r="G1100" s="0" t="s">
        <v>29</v>
      </c>
      <c r="H1100" s="5">
        <v>438.769500</v>
      </c>
    </row>
    <row r="1101" spans="1:9">
      <c r="A1101" s="22" t="str">
        <f>HYPERLINK("https://app.vivvix.com/360/KMI/IntelliDrive/ApplUI/Pages/CreativePages/CustomReportCreativeDetail.aspx?App=23&amp;ReportView=4&amp;Qid=1711279&amp;Row=1093&amp;Col=1","No Title Assigned - #15264403129")</f>
        <v/>
      </c>
      <c r="B1101" s="0" t="s">
        <v>1659</v>
      </c>
      <c r="C1101" s="0" t="s">
        <v>1660</v>
      </c>
      <c r="D1101" s="0" t="s">
        <v>1660</v>
      </c>
      <c r="E1101" s="0" t="inlineStr">
        <is>
          <t xml:space="preserve">Mazda</t>
        </is>
      </c>
      <c r="F1101" s="0" t="s">
        <v>13</v>
      </c>
      <c r="G1101" s="0" t="s">
        <v>49</v>
      </c>
      <c r="H1101" s="5">
        <v>721.003100</v>
      </c>
    </row>
    <row r="1102" spans="1:9">
      <c r="A1102" s="22" t="str">
        <f>HYPERLINK("https://app.vivvix.com/360/KMI/IntelliDrive/ApplUI/Pages/CreativePages/CustomReportCreativeDetail.aspx?App=23&amp;ReportView=4&amp;Qid=1711279&amp;Row=1094&amp;Col=1","No Title Assigned - #15264407893")</f>
        <v/>
      </c>
      <c r="B1102" s="0" t="s">
        <v>1661</v>
      </c>
      <c r="C1102" s="0" t="s">
        <v>1662</v>
      </c>
      <c r="D1102" s="0" t="s">
        <v>1662</v>
      </c>
      <c r="E1102" s="0" t="inlineStr">
        <is>
          <t xml:space="preserve">Mazda</t>
        </is>
      </c>
      <c r="F1102" s="0" t="s">
        <v>13</v>
      </c>
      <c r="G1102" s="0" t="s">
        <v>49</v>
      </c>
      <c r="H1102" s="5">
        <v>268.502800</v>
      </c>
    </row>
    <row r="1103" spans="1:9">
      <c r="A1103" s="22" t="str">
        <f>HYPERLINK("https://app.vivvix.com/360/KMI/IntelliDrive/ApplUI/Pages/CreativePages/CustomReportCreativeDetail.aspx?App=23&amp;ReportView=4&amp;Qid=1711279&amp;Row=1095&amp;Col=1","No Title Assigned - #15264424524")</f>
        <v/>
      </c>
      <c r="B1103" s="0" t="s">
        <v>1663</v>
      </c>
      <c r="E1103" s="0" t="inlineStr">
        <is>
          <t xml:space="preserve">Mazda</t>
        </is>
      </c>
      <c r="F1103" s="0" t="s">
        <v>28</v>
      </c>
      <c r="G1103" s="0" t="s">
        <v>29</v>
      </c>
      <c r="H1103" s="5">
        <v>1647.742100</v>
      </c>
    </row>
    <row r="1104" spans="1:9">
      <c r="A1104" s="22" t="str">
        <f>HYPERLINK("https://app.vivvix.com/360/KMI/IntelliDrive/ApplUI/Pages/CreativePages/CustomReportCreativeDetail.aspx?App=23&amp;ReportView=4&amp;Qid=1711279&amp;Row=1096&amp;Col=1","No Title Assigned - #15264424524")</f>
        <v/>
      </c>
      <c r="B1104" s="0" t="s">
        <v>1663</v>
      </c>
      <c r="C1104" s="0" t="s">
        <v>1664</v>
      </c>
      <c r="D1104" s="0" t="s">
        <v>1664</v>
      </c>
      <c r="E1104" s="0" t="inlineStr">
        <is>
          <t xml:space="preserve">Mazda</t>
        </is>
      </c>
      <c r="F1104" s="0" t="s">
        <v>28</v>
      </c>
      <c r="G1104" s="0" t="s">
        <v>29</v>
      </c>
      <c r="H1104" s="5">
        <v>816.938000</v>
      </c>
    </row>
    <row r="1105" spans="1:9">
      <c r="A1105" s="22" t="str">
        <f>HYPERLINK("https://app.vivvix.com/360/KMI/IntelliDrive/ApplUI/Pages/CreativePages/CustomReportCreativeDetail.aspx?App=23&amp;ReportView=4&amp;Qid=1711279&amp;Row=1097&amp;Col=1","No Title Assigned - #15264441957")</f>
        <v/>
      </c>
      <c r="B1105" s="0" t="s">
        <v>1665</v>
      </c>
      <c r="E1105" s="0" t="inlineStr">
        <is>
          <t xml:space="preserve">Mazda</t>
        </is>
      </c>
      <c r="F1105" s="0" t="inlineStr">
        <is>
          <t xml:space="preserve">Mazda</t>
        </is>
      </c>
      <c r="G1105" s="0" t="s">
        <v>171</v>
      </c>
    </row>
    <row r="1106" spans="1:9">
      <c r="A1106" s="22" t="str">
        <f>HYPERLINK("https://app.vivvix.com/360/KMI/IntelliDrive/ApplUI/Pages/CreativePages/CustomReportCreativeDetail.aspx?App=23&amp;ReportView=4&amp;Qid=1711279&amp;Row=1098&amp;Col=1","No Title Assigned - #15264469925")</f>
        <v/>
      </c>
      <c r="B1106" s="0" t="s">
        <v>1666</v>
      </c>
      <c r="C1106" s="0" t="s">
        <v>1667</v>
      </c>
      <c r="D1106" s="0" t="s">
        <v>1667</v>
      </c>
      <c r="E1106" s="0" t="inlineStr">
        <is>
          <t xml:space="preserve">Mazda</t>
        </is>
      </c>
      <c r="F1106" s="0" t="inlineStr">
        <is>
          <t xml:space="preserve">Mazda</t>
        </is>
      </c>
      <c r="G1106" s="0" t="s">
        <v>210</v>
      </c>
      <c r="H1106" s="5">
        <v>275.249300</v>
      </c>
    </row>
    <row r="1107" spans="1:9">
      <c r="A1107" s="22" t="str">
        <f>HYPERLINK("https://app.vivvix.com/360/KMI/IntelliDrive/ApplUI/Pages/CreativePages/CustomReportCreativeDetail.aspx?App=23&amp;ReportView=4&amp;Qid=1711279&amp;Row=1099&amp;Col=1","No Title Assigned - #15264482433")</f>
        <v/>
      </c>
      <c r="B1107" s="0" t="s">
        <v>1668</v>
      </c>
      <c r="C1107" s="0" t="s">
        <v>1669</v>
      </c>
      <c r="D1107" s="0" t="s">
        <v>1457</v>
      </c>
      <c r="E1107" s="0" t="inlineStr">
        <is>
          <t xml:space="preserve">Mazda</t>
        </is>
      </c>
      <c r="F1107" s="0" t="s">
        <v>17</v>
      </c>
      <c r="G1107" s="0" t="s">
        <v>33</v>
      </c>
      <c r="H1107" s="5">
        <v>1066.280200</v>
      </c>
    </row>
    <row r="1108" spans="1:9">
      <c r="A1108" s="22" t="str">
        <f>HYPERLINK("https://app.vivvix.com/360/KMI/IntelliDrive/ApplUI/Pages/CreativePages/CustomReportCreativeDetail.aspx?App=23&amp;ReportView=4&amp;Qid=1711279&amp;Row=1100&amp;Col=1","No Title Assigned - #15264484827")</f>
        <v/>
      </c>
      <c r="B1108" s="0" t="s">
        <v>1670</v>
      </c>
      <c r="E1108" s="0" t="inlineStr">
        <is>
          <t xml:space="preserve">Mazda</t>
        </is>
      </c>
      <c r="F1108" s="0" t="inlineStr">
        <is>
          <t xml:space="preserve">Mazda</t>
        </is>
      </c>
      <c r="G1108" s="0" t="s">
        <v>171</v>
      </c>
      <c r="H1108" s="5">
        <v>234.421800</v>
      </c>
    </row>
    <row r="1109" spans="1:9">
      <c r="A1109" s="22" t="str">
        <f>HYPERLINK("https://app.vivvix.com/360/KMI/IntelliDrive/ApplUI/Pages/CreativePages/CustomReportCreativeDetail.aspx?App=23&amp;ReportView=4&amp;Qid=1711279&amp;Row=1101&amp;Col=1","No Title Assigned - #15264492085")</f>
        <v/>
      </c>
      <c r="B1109" s="0" t="s">
        <v>1671</v>
      </c>
      <c r="E1109" s="0" t="inlineStr">
        <is>
          <t xml:space="preserve">Mazda</t>
        </is>
      </c>
      <c r="F1109" s="0" t="inlineStr">
        <is>
          <t xml:space="preserve">Mazda</t>
        </is>
      </c>
      <c r="G1109" s="0" t="s">
        <v>171</v>
      </c>
      <c r="H1109" s="5">
        <v>9732.643600</v>
      </c>
    </row>
    <row r="1110" spans="1:9">
      <c r="A1110" s="22" t="str">
        <f>HYPERLINK("https://app.vivvix.com/360/KMI/IntelliDrive/ApplUI/Pages/CreativePages/CustomReportCreativeDetail.aspx?App=23&amp;ReportView=4&amp;Qid=1711279&amp;Row=1102&amp;Col=1","No Title Assigned - #15264495120")</f>
        <v/>
      </c>
      <c r="B1110" s="0" t="s">
        <v>1672</v>
      </c>
      <c r="E1110" s="0" t="inlineStr">
        <is>
          <t xml:space="preserve">Mazda</t>
        </is>
      </c>
      <c r="F1110" s="0" t="inlineStr">
        <is>
          <t xml:space="preserve">Mazda</t>
        </is>
      </c>
      <c r="G1110" s="0" t="s">
        <v>171</v>
      </c>
      <c r="H1110" s="5">
        <v>1896.855300</v>
      </c>
    </row>
    <row r="1111" spans="1:9">
      <c r="A1111" s="22" t="str">
        <f>HYPERLINK("https://app.vivvix.com/360/KMI/IntelliDrive/ApplUI/Pages/CreativePages/CustomReportCreativeDetail.aspx?App=23&amp;ReportView=4&amp;Qid=1711279&amp;Row=1103&amp;Col=1","No Title Assigned - #15264497438")</f>
        <v/>
      </c>
      <c r="B1111" s="0" t="s">
        <v>1673</v>
      </c>
      <c r="E1111" s="0" t="inlineStr">
        <is>
          <t xml:space="preserve">Mazda</t>
        </is>
      </c>
      <c r="F1111" s="0" t="inlineStr">
        <is>
          <t xml:space="preserve">Mazda</t>
        </is>
      </c>
      <c r="G1111" s="0" t="s">
        <v>171</v>
      </c>
    </row>
    <row r="1112" spans="1:9">
      <c r="A1112" s="22" t="str">
        <f>HYPERLINK("https://app.vivvix.com/360/KMI/IntelliDrive/ApplUI/Pages/CreativePages/CustomReportCreativeDetail.aspx?App=23&amp;ReportView=4&amp;Qid=1711279&amp;Row=1104&amp;Col=1","No Title Assigned - #15264499015")</f>
        <v/>
      </c>
      <c r="B1112" s="0" t="s">
        <v>1674</v>
      </c>
      <c r="E1112" s="0" t="inlineStr">
        <is>
          <t xml:space="preserve">Mazda</t>
        </is>
      </c>
      <c r="F1112" s="0" t="inlineStr">
        <is>
          <t xml:space="preserve">Mazda</t>
        </is>
      </c>
      <c r="G1112" s="0" t="s">
        <v>171</v>
      </c>
      <c r="H1112" s="5">
        <v>234.421800</v>
      </c>
    </row>
    <row r="1113" spans="1:9">
      <c r="A1113" s="22" t="str">
        <f>HYPERLINK("https://app.vivvix.com/360/KMI/IntelliDrive/ApplUI/Pages/CreativePages/CustomReportCreativeDetail.aspx?App=23&amp;ReportView=4&amp;Qid=1711279&amp;Row=1105&amp;Col=1","No Title Assigned - #15264503439")</f>
        <v/>
      </c>
      <c r="B1113" s="0" t="s">
        <v>1675</v>
      </c>
      <c r="C1113" s="0" t="s">
        <v>1676</v>
      </c>
      <c r="D1113" s="0" t="s">
        <v>1676</v>
      </c>
      <c r="E1113" s="0" t="inlineStr">
        <is>
          <t xml:space="preserve">Mazda</t>
        </is>
      </c>
      <c r="F1113" s="0" t="s">
        <v>28</v>
      </c>
      <c r="G1113" s="0" t="s">
        <v>29</v>
      </c>
      <c r="H1113" s="5">
        <v>4320.658600</v>
      </c>
    </row>
    <row r="1114" spans="1:9">
      <c r="A1114" s="22" t="str">
        <f>HYPERLINK("https://app.vivvix.com/360/KMI/IntelliDrive/ApplUI/Pages/CreativePages/CustomReportCreativeDetail.aspx?App=23&amp;ReportView=4&amp;Qid=1711279&amp;Row=1106&amp;Col=1","No Title Assigned - #15264503439")</f>
        <v/>
      </c>
      <c r="B1114" s="0" t="s">
        <v>1675</v>
      </c>
      <c r="E1114" s="0" t="inlineStr">
        <is>
          <t xml:space="preserve">Mazda</t>
        </is>
      </c>
      <c r="F1114" s="0" t="s">
        <v>28</v>
      </c>
      <c r="G1114" s="0" t="s">
        <v>29</v>
      </c>
      <c r="H1114" s="5">
        <v>8924.714600</v>
      </c>
    </row>
    <row r="1115" spans="1:9">
      <c r="A1115" s="22" t="str">
        <f>HYPERLINK("https://app.vivvix.com/360/KMI/IntelliDrive/ApplUI/Pages/CreativePages/CustomReportCreativeDetail.aspx?App=23&amp;ReportView=4&amp;Qid=1711279&amp;Row=1107&amp;Col=1","No Title Assigned - #15264505059")</f>
        <v/>
      </c>
      <c r="B1115" s="0" t="s">
        <v>1677</v>
      </c>
      <c r="C1115" s="0" t="s">
        <v>1678</v>
      </c>
      <c r="D1115" s="0" t="s">
        <v>1678</v>
      </c>
      <c r="E1115" s="0" t="inlineStr">
        <is>
          <t xml:space="preserve">Mazda</t>
        </is>
      </c>
      <c r="F1115" s="0" t="s">
        <v>28</v>
      </c>
      <c r="G1115" s="0" t="s">
        <v>29</v>
      </c>
      <c r="H1115" s="5">
        <v>61913.238900</v>
      </c>
    </row>
    <row r="1116" spans="1:9">
      <c r="A1116" s="22" t="str">
        <f>HYPERLINK("https://app.vivvix.com/360/KMI/IntelliDrive/ApplUI/Pages/CreativePages/CustomReportCreativeDetail.aspx?App=23&amp;ReportView=4&amp;Qid=1711279&amp;Row=1108&amp;Col=1","No Title Assigned - #15264505059")</f>
        <v/>
      </c>
      <c r="B1116" s="0" t="s">
        <v>1677</v>
      </c>
      <c r="E1116" s="0" t="inlineStr">
        <is>
          <t xml:space="preserve">Mazda</t>
        </is>
      </c>
      <c r="F1116" s="0" t="s">
        <v>28</v>
      </c>
      <c r="G1116" s="0" t="s">
        <v>29</v>
      </c>
      <c r="H1116" s="5">
        <v>82183.995900</v>
      </c>
    </row>
    <row r="1117" spans="1:9">
      <c r="A1117" s="22" t="str">
        <f>HYPERLINK("https://app.vivvix.com/360/KMI/IntelliDrive/ApplUI/Pages/CreativePages/CustomReportCreativeDetail.aspx?App=23&amp;ReportView=4&amp;Qid=1711279&amp;Row=1109&amp;Col=1","No Title Assigned - #15264505485")</f>
        <v/>
      </c>
      <c r="B1117" s="0" t="s">
        <v>1679</v>
      </c>
      <c r="C1117" s="0" t="s">
        <v>1680</v>
      </c>
      <c r="D1117" s="0" t="s">
        <v>1680</v>
      </c>
      <c r="E1117" s="0" t="inlineStr">
        <is>
          <t xml:space="preserve">Mazda</t>
        </is>
      </c>
      <c r="F1117" s="0" t="s">
        <v>28</v>
      </c>
      <c r="G1117" s="0" t="s">
        <v>29</v>
      </c>
      <c r="H1117" s="5">
        <v>172.875500</v>
      </c>
    </row>
    <row r="1118" spans="1:9">
      <c r="A1118" s="22" t="str">
        <f>HYPERLINK("https://app.vivvix.com/360/KMI/IntelliDrive/ApplUI/Pages/CreativePages/CustomReportCreativeDetail.aspx?App=23&amp;ReportView=4&amp;Qid=1711279&amp;Row=1110&amp;Col=1","No Title Assigned - #15264505756")</f>
        <v/>
      </c>
      <c r="B1118" s="0" t="s">
        <v>1681</v>
      </c>
      <c r="C1118" s="0" t="s">
        <v>1682</v>
      </c>
      <c r="D1118" s="0" t="s">
        <v>1682</v>
      </c>
      <c r="E1118" s="0" t="inlineStr">
        <is>
          <t xml:space="preserve">Mazda</t>
        </is>
      </c>
      <c r="F1118" s="0" t="s">
        <v>56</v>
      </c>
      <c r="G1118" s="0" t="s">
        <v>57</v>
      </c>
      <c r="H1118" s="5">
        <v>3158.561700</v>
      </c>
    </row>
    <row r="1119" spans="1:9">
      <c r="A1119" s="22" t="str">
        <f>HYPERLINK("https://app.vivvix.com/360/KMI/IntelliDrive/ApplUI/Pages/CreativePages/CustomReportCreativeDetail.aspx?App=23&amp;ReportView=4&amp;Qid=1711279&amp;Row=1111&amp;Col=1","No Title Assigned - #15264510352")</f>
        <v/>
      </c>
      <c r="B1119" s="0" t="s">
        <v>1683</v>
      </c>
      <c r="C1119" s="0" t="s">
        <v>1684</v>
      </c>
      <c r="D1119" s="0" t="s">
        <v>1684</v>
      </c>
      <c r="E1119" s="0" t="inlineStr">
        <is>
          <t xml:space="preserve">Mazda</t>
        </is>
      </c>
      <c r="F1119" s="0" t="s">
        <v>13</v>
      </c>
      <c r="G1119" s="0" t="s">
        <v>49</v>
      </c>
      <c r="H1119" s="5">
        <v>490.244000</v>
      </c>
    </row>
    <row r="1120" spans="1:9">
      <c r="A1120" s="22" t="str">
        <f>HYPERLINK("https://app.vivvix.com/360/KMI/IntelliDrive/ApplUI/Pages/CreativePages/CustomReportCreativeDetail.aspx?App=23&amp;ReportView=4&amp;Qid=1711279&amp;Row=1112&amp;Col=1","No Title Assigned - #15264510509")</f>
        <v/>
      </c>
      <c r="B1120" s="0" t="s">
        <v>1685</v>
      </c>
      <c r="C1120" s="0" t="s">
        <v>1686</v>
      </c>
      <c r="D1120" s="0" t="s">
        <v>1686</v>
      </c>
      <c r="E1120" s="0" t="inlineStr">
        <is>
          <t xml:space="preserve">Mazda</t>
        </is>
      </c>
      <c r="F1120" s="0" t="s">
        <v>13</v>
      </c>
      <c r="G1120" s="0" t="s">
        <v>49</v>
      </c>
      <c r="H1120" s="5">
        <v>136.324800</v>
      </c>
    </row>
    <row r="1121" spans="1:9">
      <c r="A1121" s="22" t="str">
        <f>HYPERLINK("https://app.vivvix.com/360/KMI/IntelliDrive/ApplUI/Pages/CreativePages/CustomReportCreativeDetail.aspx?App=23&amp;ReportView=4&amp;Qid=1711279&amp;Row=1113&amp;Col=1","No Title Assigned - #15264516617")</f>
        <v/>
      </c>
      <c r="B1121" s="0" t="s">
        <v>1687</v>
      </c>
      <c r="C1121" s="0" t="s">
        <v>1688</v>
      </c>
      <c r="D1121" s="0" t="s">
        <v>1688</v>
      </c>
      <c r="E1121" s="0" t="inlineStr">
        <is>
          <t xml:space="preserve">Mazda</t>
        </is>
      </c>
      <c r="F1121" s="0" t="s">
        <v>28</v>
      </c>
      <c r="G1121" s="0" t="s">
        <v>29</v>
      </c>
      <c r="H1121" s="5">
        <v>496.305800</v>
      </c>
    </row>
    <row r="1122" spans="1:9">
      <c r="A1122" s="22" t="str">
        <f>HYPERLINK("https://app.vivvix.com/360/KMI/IntelliDrive/ApplUI/Pages/CreativePages/CustomReportCreativeDetail.aspx?App=23&amp;ReportView=4&amp;Qid=1711279&amp;Row=1114&amp;Col=1","No Title Assigned - #15264517432")</f>
        <v/>
      </c>
      <c r="B1122" s="0" t="s">
        <v>1689</v>
      </c>
      <c r="C1122" s="0" t="s">
        <v>1690</v>
      </c>
      <c r="D1122" s="0" t="s">
        <v>1690</v>
      </c>
      <c r="E1122" s="0" t="inlineStr">
        <is>
          <t xml:space="preserve">Mazda</t>
        </is>
      </c>
      <c r="F1122" s="0" t="s">
        <v>28</v>
      </c>
      <c r="G1122" s="0" t="s">
        <v>29</v>
      </c>
      <c r="H1122" s="5">
        <v>985.414700</v>
      </c>
    </row>
    <row r="1123" spans="1:9">
      <c r="A1123" s="22" t="str">
        <f>HYPERLINK("https://app.vivvix.com/360/KMI/IntelliDrive/ApplUI/Pages/CreativePages/CustomReportCreativeDetail.aspx?App=23&amp;ReportView=4&amp;Qid=1711279&amp;Row=1115&amp;Col=1","No Title Assigned - #15264532850")</f>
        <v/>
      </c>
      <c r="B1123" s="0" t="s">
        <v>1691</v>
      </c>
      <c r="C1123" s="0" t="s">
        <v>1692</v>
      </c>
      <c r="D1123" s="0" t="s">
        <v>1692</v>
      </c>
      <c r="E1123" s="0" t="inlineStr">
        <is>
          <t xml:space="preserve">Mazda</t>
        </is>
      </c>
      <c r="F1123" s="0" t="s">
        <v>21</v>
      </c>
      <c r="G1123" s="0" t="s">
        <v>22</v>
      </c>
      <c r="H1123" s="5">
        <v>411.532800</v>
      </c>
    </row>
    <row r="1124" spans="1:9">
      <c r="A1124" s="22" t="str">
        <f>HYPERLINK("https://app.vivvix.com/360/KMI/IntelliDrive/ApplUI/Pages/CreativePages/CustomReportCreativeDetail.aspx?App=23&amp;ReportView=4&amp;Qid=1711279&amp;Row=1116&amp;Col=1","No Title Assigned - #15264543796")</f>
        <v/>
      </c>
      <c r="B1124" s="0" t="s">
        <v>1693</v>
      </c>
      <c r="C1124" s="0" t="s">
        <v>1694</v>
      </c>
      <c r="D1124" s="0" t="s">
        <v>1694</v>
      </c>
      <c r="E1124" s="0" t="inlineStr">
        <is>
          <t xml:space="preserve">Mazda</t>
        </is>
      </c>
      <c r="F1124" s="0" t="s">
        <v>17</v>
      </c>
      <c r="G1124" s="0" t="s">
        <v>33</v>
      </c>
      <c r="H1124" s="5">
        <v>1610.392500</v>
      </c>
    </row>
    <row r="1125" spans="1:9">
      <c r="A1125" s="22" t="str">
        <f>HYPERLINK("https://app.vivvix.com/360/KMI/IntelliDrive/ApplUI/Pages/CreativePages/CustomReportCreativeDetail.aspx?App=23&amp;ReportView=4&amp;Qid=1711279&amp;Row=1117&amp;Col=1","No Title Assigned - #15264554692")</f>
        <v/>
      </c>
      <c r="B1125" s="0" t="s">
        <v>1695</v>
      </c>
      <c r="E1125" s="0" t="inlineStr">
        <is>
          <t xml:space="preserve">Mazda</t>
        </is>
      </c>
      <c r="F1125" s="0" t="inlineStr">
        <is>
          <t xml:space="preserve">Mazda</t>
        </is>
      </c>
      <c r="G1125" s="0" t="s">
        <v>171</v>
      </c>
    </row>
    <row r="1126" spans="1:9">
      <c r="A1126" s="22" t="str">
        <f>HYPERLINK("https://app.vivvix.com/360/KMI/IntelliDrive/ApplUI/Pages/CreativePages/CustomReportCreativeDetail.aspx?App=23&amp;ReportView=4&amp;Qid=1711279&amp;Row=1118&amp;Col=1","No Title Assigned - #15264554692")</f>
        <v/>
      </c>
      <c r="B1126" s="0" t="s">
        <v>1695</v>
      </c>
      <c r="E1126" s="0" t="inlineStr">
        <is>
          <t xml:space="preserve">Mazda</t>
        </is>
      </c>
      <c r="F1126" s="0" t="inlineStr">
        <is>
          <t xml:space="preserve">Mazda</t>
        </is>
      </c>
      <c r="G1126" s="0" t="s">
        <v>171</v>
      </c>
      <c r="H1126" s="5">
        <v>219.745100</v>
      </c>
    </row>
    <row r="1127" spans="1:9">
      <c r="A1127" s="22" t="str">
        <f>HYPERLINK("https://app.vivvix.com/360/KMI/IntelliDrive/ApplUI/Pages/CreativePages/CustomReportCreativeDetail.aspx?App=23&amp;ReportView=4&amp;Qid=1711279&amp;Row=1119&amp;Col=1","No Title Assigned - #15264555146")</f>
        <v/>
      </c>
      <c r="B1127" s="0" t="s">
        <v>1696</v>
      </c>
      <c r="E1127" s="0" t="inlineStr">
        <is>
          <t xml:space="preserve">Mazda</t>
        </is>
      </c>
      <c r="F1127" s="0" t="inlineStr">
        <is>
          <t xml:space="preserve">Mazda</t>
        </is>
      </c>
      <c r="G1127" s="0" t="s">
        <v>171</v>
      </c>
      <c r="H1127" s="5">
        <v>176492.206600</v>
      </c>
    </row>
    <row r="1128" spans="1:9">
      <c r="A1128" s="22" t="str">
        <f>HYPERLINK("https://app.vivvix.com/360/KMI/IntelliDrive/ApplUI/Pages/CreativePages/CustomReportCreativeDetail.aspx?App=23&amp;ReportView=4&amp;Qid=1711279&amp;Row=1120&amp;Col=1","No Title Assigned - #15264555146")</f>
        <v/>
      </c>
      <c r="B1128" s="0" t="s">
        <v>1696</v>
      </c>
      <c r="E1128" s="0" t="inlineStr">
        <is>
          <t xml:space="preserve">Mazda</t>
        </is>
      </c>
      <c r="F1128" s="0" t="inlineStr">
        <is>
          <t xml:space="preserve">Mazda</t>
        </is>
      </c>
      <c r="G1128" s="0" t="s">
        <v>171</v>
      </c>
      <c r="H1128" s="5">
        <v>691363.954900</v>
      </c>
    </row>
    <row r="1129" spans="1:9">
      <c r="A1129" s="22" t="str">
        <f>HYPERLINK("https://app.vivvix.com/360/KMI/IntelliDrive/ApplUI/Pages/CreativePages/CustomReportCreativeDetail.aspx?App=23&amp;ReportView=4&amp;Qid=1711279&amp;Row=1121&amp;Col=1","No Title Assigned - #15264565116")</f>
        <v/>
      </c>
      <c r="B1129" s="0" t="s">
        <v>1697</v>
      </c>
      <c r="C1129" s="0" t="s">
        <v>1698</v>
      </c>
      <c r="D1129" s="0" t="s">
        <v>1698</v>
      </c>
      <c r="E1129" s="0" t="inlineStr">
        <is>
          <t xml:space="preserve">Mazda</t>
        </is>
      </c>
      <c r="F1129" s="0" t="s">
        <v>28</v>
      </c>
      <c r="G1129" s="0" t="s">
        <v>29</v>
      </c>
      <c r="H1129" s="5">
        <v>148.110100</v>
      </c>
    </row>
    <row r="1130" spans="1:9">
      <c r="A1130" s="22" t="str">
        <f>HYPERLINK("https://app.vivvix.com/360/KMI/IntelliDrive/ApplUI/Pages/CreativePages/CustomReportCreativeDetail.aspx?App=23&amp;ReportView=4&amp;Qid=1711279&amp;Row=1122&amp;Col=1","No Title Assigned - #15264565117")</f>
        <v/>
      </c>
      <c r="B1130" s="0" t="s">
        <v>1699</v>
      </c>
      <c r="C1130" s="0" t="s">
        <v>1700</v>
      </c>
      <c r="D1130" s="0" t="s">
        <v>1700</v>
      </c>
      <c r="E1130" s="0" t="inlineStr">
        <is>
          <t xml:space="preserve">Mazda</t>
        </is>
      </c>
      <c r="F1130" s="0" t="s">
        <v>28</v>
      </c>
      <c r="G1130" s="0" t="s">
        <v>29</v>
      </c>
      <c r="H1130" s="5">
        <v>4835.595800</v>
      </c>
    </row>
    <row r="1131" spans="1:9">
      <c r="A1131" s="22" t="str">
        <f>HYPERLINK("https://app.vivvix.com/360/KMI/IntelliDrive/ApplUI/Pages/CreativePages/CustomReportCreativeDetail.aspx?App=23&amp;ReportView=4&amp;Qid=1711279&amp;Row=1123&amp;Col=1","No Title Assigned - #15264565117")</f>
        <v/>
      </c>
      <c r="B1131" s="0" t="s">
        <v>1699</v>
      </c>
      <c r="E1131" s="0" t="inlineStr">
        <is>
          <t xml:space="preserve">Mazda</t>
        </is>
      </c>
      <c r="F1131" s="0" t="s">
        <v>28</v>
      </c>
      <c r="G1131" s="0" t="s">
        <v>29</v>
      </c>
      <c r="H1131" s="5">
        <v>409.127600</v>
      </c>
    </row>
    <row r="1132" spans="1:9">
      <c r="A1132" s="22" t="str">
        <f>HYPERLINK("https://app.vivvix.com/360/KMI/IntelliDrive/ApplUI/Pages/CreativePages/CustomReportCreativeDetail.aspx?App=23&amp;ReportView=4&amp;Qid=1711279&amp;Row=1124&amp;Col=1","No Title Assigned - #15264565118")</f>
        <v/>
      </c>
      <c r="B1132" s="0" t="s">
        <v>1701</v>
      </c>
      <c r="C1132" s="0" t="s">
        <v>1702</v>
      </c>
      <c r="D1132" s="0" t="s">
        <v>1702</v>
      </c>
      <c r="E1132" s="0" t="inlineStr">
        <is>
          <t xml:space="preserve">Mazda</t>
        </is>
      </c>
      <c r="F1132" s="0" t="s">
        <v>28</v>
      </c>
      <c r="G1132" s="0" t="s">
        <v>29</v>
      </c>
      <c r="H1132" s="5">
        <v>1470.143500</v>
      </c>
    </row>
    <row r="1133" spans="1:9">
      <c r="A1133" s="22" t="str">
        <f>HYPERLINK("https://app.vivvix.com/360/KMI/IntelliDrive/ApplUI/Pages/CreativePages/CustomReportCreativeDetail.aspx?App=23&amp;ReportView=4&amp;Qid=1711279&amp;Row=1125&amp;Col=1","No Title Assigned - #15264565347")</f>
        <v/>
      </c>
      <c r="B1133" s="0" t="s">
        <v>1703</v>
      </c>
      <c r="C1133" s="0" t="s">
        <v>1704</v>
      </c>
      <c r="D1133" s="0" t="s">
        <v>1704</v>
      </c>
      <c r="E1133" s="0" t="inlineStr">
        <is>
          <t xml:space="preserve">Mazda</t>
        </is>
      </c>
      <c r="F1133" s="0" t="s">
        <v>28</v>
      </c>
      <c r="G1133" s="0" t="s">
        <v>29</v>
      </c>
      <c r="H1133" s="5">
        <v>750.894000</v>
      </c>
    </row>
    <row r="1134" spans="1:9">
      <c r="A1134" s="22" t="str">
        <f>HYPERLINK("https://app.vivvix.com/360/KMI/IntelliDrive/ApplUI/Pages/CreativePages/CustomReportCreativeDetail.aspx?App=23&amp;ReportView=4&amp;Qid=1711279&amp;Row=1126&amp;Col=1","No Title Assigned - #15264567010")</f>
        <v/>
      </c>
      <c r="B1134" s="0" t="s">
        <v>1705</v>
      </c>
      <c r="C1134" s="0" t="s">
        <v>1706</v>
      </c>
      <c r="D1134" s="0" t="s">
        <v>1706</v>
      </c>
      <c r="E1134" s="0" t="inlineStr">
        <is>
          <t xml:space="preserve">Mazda</t>
        </is>
      </c>
      <c r="F1134" s="0" t="s">
        <v>28</v>
      </c>
      <c r="G1134" s="0" t="s">
        <v>29</v>
      </c>
      <c r="H1134" s="5">
        <v>7507.784100</v>
      </c>
    </row>
    <row r="1135" spans="1:9">
      <c r="A1135" s="22" t="str">
        <f>HYPERLINK("https://app.vivvix.com/360/KMI/IntelliDrive/ApplUI/Pages/CreativePages/CustomReportCreativeDetail.aspx?App=23&amp;ReportView=4&amp;Qid=1711279&amp;Row=1127&amp;Col=1","No Title Assigned - #15264567010")</f>
        <v/>
      </c>
      <c r="B1135" s="0" t="s">
        <v>1705</v>
      </c>
      <c r="E1135" s="0" t="inlineStr">
        <is>
          <t xml:space="preserve">Mazda</t>
        </is>
      </c>
      <c r="F1135" s="0" t="s">
        <v>28</v>
      </c>
      <c r="G1135" s="0" t="s">
        <v>29</v>
      </c>
      <c r="H1135" s="5">
        <v>71799.546000</v>
      </c>
    </row>
    <row r="1136" spans="1:9">
      <c r="A1136" s="22" t="str">
        <f>HYPERLINK("https://app.vivvix.com/360/KMI/IntelliDrive/ApplUI/Pages/CreativePages/CustomReportCreativeDetail.aspx?App=23&amp;ReportView=4&amp;Qid=1711279&amp;Row=1128&amp;Col=1","No Title Assigned - #15264568164")</f>
        <v/>
      </c>
      <c r="B1136" s="0" t="s">
        <v>1707</v>
      </c>
      <c r="C1136" s="0" t="s">
        <v>1708</v>
      </c>
      <c r="D1136" s="0" t="s">
        <v>1708</v>
      </c>
      <c r="E1136" s="0" t="inlineStr">
        <is>
          <t xml:space="preserve">Mazda</t>
        </is>
      </c>
      <c r="F1136" s="0" t="s">
        <v>28</v>
      </c>
      <c r="G1136" s="0" t="s">
        <v>29</v>
      </c>
      <c r="H1136" s="5">
        <v>3292.778600</v>
      </c>
    </row>
    <row r="1137" spans="1:9">
      <c r="A1137" s="22" t="str">
        <f>HYPERLINK("https://app.vivvix.com/360/KMI/IntelliDrive/ApplUI/Pages/CreativePages/CustomReportCreativeDetail.aspx?App=23&amp;ReportView=4&amp;Qid=1711279&amp;Row=1129&amp;Col=1","No Title Assigned - #15264568164")</f>
        <v/>
      </c>
      <c r="B1137" s="0" t="s">
        <v>1707</v>
      </c>
      <c r="E1137" s="0" t="inlineStr">
        <is>
          <t xml:space="preserve">Mazda</t>
        </is>
      </c>
      <c r="F1137" s="0" t="s">
        <v>28</v>
      </c>
      <c r="G1137" s="0" t="s">
        <v>29</v>
      </c>
      <c r="H1137" s="5">
        <v>8029.654300</v>
      </c>
    </row>
    <row r="1138" spans="1:9">
      <c r="A1138" s="22" t="str">
        <f>HYPERLINK("https://app.vivvix.com/360/KMI/IntelliDrive/ApplUI/Pages/CreativePages/CustomReportCreativeDetail.aspx?App=23&amp;ReportView=4&amp;Qid=1711279&amp;Row=1130&amp;Col=1","No Title Assigned - #15264568258")</f>
        <v/>
      </c>
      <c r="B1138" s="0" t="s">
        <v>1709</v>
      </c>
      <c r="C1138" s="0" t="s">
        <v>1710</v>
      </c>
      <c r="D1138" s="0" t="s">
        <v>1710</v>
      </c>
      <c r="E1138" s="0" t="inlineStr">
        <is>
          <t xml:space="preserve">Mazda</t>
        </is>
      </c>
      <c r="F1138" s="0" t="s">
        <v>28</v>
      </c>
      <c r="G1138" s="0" t="s">
        <v>29</v>
      </c>
      <c r="H1138" s="5">
        <v>352.438900</v>
      </c>
    </row>
    <row r="1139" spans="1:9">
      <c r="A1139" s="22" t="str">
        <f>HYPERLINK("https://app.vivvix.com/360/KMI/IntelliDrive/ApplUI/Pages/CreativePages/CustomReportCreativeDetail.aspx?App=23&amp;ReportView=4&amp;Qid=1711279&amp;Row=1131&amp;Col=1","No Title Assigned - #15264568258")</f>
        <v/>
      </c>
      <c r="B1139" s="0" t="s">
        <v>1709</v>
      </c>
      <c r="E1139" s="0" t="inlineStr">
        <is>
          <t xml:space="preserve">Mazda</t>
        </is>
      </c>
      <c r="F1139" s="0" t="s">
        <v>28</v>
      </c>
      <c r="G1139" s="0" t="s">
        <v>29</v>
      </c>
      <c r="H1139" s="5">
        <v>436.419800</v>
      </c>
    </row>
    <row r="1140" spans="1:9">
      <c r="A1140" s="22" t="str">
        <f>HYPERLINK("https://app.vivvix.com/360/KMI/IntelliDrive/ApplUI/Pages/CreativePages/CustomReportCreativeDetail.aspx?App=23&amp;ReportView=4&amp;Qid=1711279&amp;Row=1132&amp;Col=1","No Title Assigned - #15264572009")</f>
        <v/>
      </c>
      <c r="B1140" s="0" t="s">
        <v>1711</v>
      </c>
      <c r="C1140" s="0" t="s">
        <v>1712</v>
      </c>
      <c r="D1140" s="0" t="s">
        <v>1712</v>
      </c>
      <c r="E1140" s="0" t="inlineStr">
        <is>
          <t xml:space="preserve">Mazda</t>
        </is>
      </c>
      <c r="F1140" s="0" t="s">
        <v>21</v>
      </c>
      <c r="G1140" s="0" t="s">
        <v>22</v>
      </c>
      <c r="H1140" s="5">
        <v>108.665400</v>
      </c>
    </row>
    <row r="1141" spans="1:9">
      <c r="A1141" s="22" t="str">
        <f>HYPERLINK("https://app.vivvix.com/360/KMI/IntelliDrive/ApplUI/Pages/CreativePages/CustomReportCreativeDetail.aspx?App=23&amp;ReportView=4&amp;Qid=1711279&amp;Row=1133&amp;Col=1","No Title Assigned - #15264572543")</f>
        <v/>
      </c>
      <c r="B1141" s="0" t="s">
        <v>1713</v>
      </c>
      <c r="C1141" s="0" t="s">
        <v>1714</v>
      </c>
      <c r="D1141" s="0" t="s">
        <v>1714</v>
      </c>
      <c r="E1141" s="0" t="inlineStr">
        <is>
          <t xml:space="preserve">Mazda</t>
        </is>
      </c>
      <c r="F1141" s="0" t="s">
        <v>28</v>
      </c>
      <c r="G1141" s="0" t="s">
        <v>29</v>
      </c>
      <c r="H1141" s="5">
        <v>304041.292300</v>
      </c>
    </row>
    <row r="1142" spans="1:9">
      <c r="A1142" s="22" t="str">
        <f>HYPERLINK("https://app.vivvix.com/360/KMI/IntelliDrive/ApplUI/Pages/CreativePages/CustomReportCreativeDetail.aspx?App=23&amp;ReportView=4&amp;Qid=1711279&amp;Row=1134&amp;Col=1","No Title Assigned - #15264572543")</f>
        <v/>
      </c>
      <c r="B1142" s="0" t="s">
        <v>1713</v>
      </c>
      <c r="E1142" s="0" t="inlineStr">
        <is>
          <t xml:space="preserve">Mazda</t>
        </is>
      </c>
      <c r="F1142" s="0" t="s">
        <v>28</v>
      </c>
      <c r="G1142" s="0" t="s">
        <v>29</v>
      </c>
      <c r="H1142" s="5">
        <v>55401.341000</v>
      </c>
    </row>
    <row r="1143" spans="1:9">
      <c r="A1143" s="22" t="str">
        <f>HYPERLINK("https://app.vivvix.com/360/KMI/IntelliDrive/ApplUI/Pages/CreativePages/CustomReportCreativeDetail.aspx?App=23&amp;ReportView=4&amp;Qid=1711279&amp;Row=1135&amp;Col=1","No Title Assigned - #15264574172")</f>
        <v/>
      </c>
      <c r="B1143" s="0" t="s">
        <v>1715</v>
      </c>
      <c r="C1143" s="0" t="s">
        <v>1716</v>
      </c>
      <c r="D1143" s="0" t="s">
        <v>1716</v>
      </c>
      <c r="E1143" s="0" t="inlineStr">
        <is>
          <t xml:space="preserve">Mazda</t>
        </is>
      </c>
      <c r="F1143" s="0" t="s">
        <v>28</v>
      </c>
      <c r="G1143" s="0" t="s">
        <v>29</v>
      </c>
      <c r="H1143" s="5">
        <v>62989.590000</v>
      </c>
    </row>
    <row r="1144" spans="1:9">
      <c r="A1144" s="22" t="str">
        <f>HYPERLINK("https://app.vivvix.com/360/KMI/IntelliDrive/ApplUI/Pages/CreativePages/CustomReportCreativeDetail.aspx?App=23&amp;ReportView=4&amp;Qid=1711279&amp;Row=1136&amp;Col=1","No Title Assigned - #15264574172")</f>
        <v/>
      </c>
      <c r="B1144" s="0" t="s">
        <v>1715</v>
      </c>
      <c r="E1144" s="0" t="inlineStr">
        <is>
          <t xml:space="preserve">Mazda</t>
        </is>
      </c>
      <c r="F1144" s="0" t="s">
        <v>28</v>
      </c>
      <c r="G1144" s="0" t="s">
        <v>29</v>
      </c>
      <c r="H1144" s="5">
        <v>62151.119200</v>
      </c>
    </row>
    <row r="1145" spans="1:9">
      <c r="A1145" s="22" t="str">
        <f>HYPERLINK("https://app.vivvix.com/360/KMI/IntelliDrive/ApplUI/Pages/CreativePages/CustomReportCreativeDetail.aspx?App=23&amp;ReportView=4&amp;Qid=1711279&amp;Row=1137&amp;Col=1","No Title Assigned - #15264574478")</f>
        <v/>
      </c>
      <c r="B1145" s="0" t="s">
        <v>1717</v>
      </c>
      <c r="E1145" s="0" t="inlineStr">
        <is>
          <t xml:space="preserve">Mazda</t>
        </is>
      </c>
      <c r="F1145" s="0" t="s">
        <v>13</v>
      </c>
      <c r="G1145" s="0" t="s">
        <v>49</v>
      </c>
      <c r="H1145" s="5">
        <v>20600.699600</v>
      </c>
    </row>
    <row r="1146" spans="1:9">
      <c r="A1146" s="22" t="str">
        <f>HYPERLINK("https://app.vivvix.com/360/KMI/IntelliDrive/ApplUI/Pages/CreativePages/CustomReportCreativeDetail.aspx?App=23&amp;ReportView=4&amp;Qid=1711279&amp;Row=1138&amp;Col=1","No Title Assigned - #15264574478")</f>
        <v/>
      </c>
      <c r="B1146" s="0" t="s">
        <v>1717</v>
      </c>
      <c r="C1146" s="0" t="s">
        <v>1718</v>
      </c>
      <c r="D1146" s="0" t="s">
        <v>1718</v>
      </c>
      <c r="E1146" s="0" t="inlineStr">
        <is>
          <t xml:space="preserve">Mazda</t>
        </is>
      </c>
      <c r="F1146" s="0" t="s">
        <v>13</v>
      </c>
      <c r="G1146" s="0" t="s">
        <v>49</v>
      </c>
      <c r="H1146" s="5">
        <v>64695.672500</v>
      </c>
    </row>
    <row r="1147" spans="1:9">
      <c r="A1147" s="22" t="str">
        <f>HYPERLINK("https://app.vivvix.com/360/KMI/IntelliDrive/ApplUI/Pages/CreativePages/CustomReportCreativeDetail.aspx?App=23&amp;ReportView=4&amp;Qid=1711279&amp;Row=1139&amp;Col=1","No Title Assigned - #15264646952")</f>
        <v/>
      </c>
      <c r="B1147" s="0" t="s">
        <v>1719</v>
      </c>
      <c r="C1147" s="0" t="s">
        <v>1720</v>
      </c>
      <c r="D1147" s="0" t="s">
        <v>1720</v>
      </c>
      <c r="E1147" s="0" t="inlineStr">
        <is>
          <t xml:space="preserve">Mazda</t>
        </is>
      </c>
      <c r="F1147" s="0" t="s">
        <v>13</v>
      </c>
      <c r="G1147" s="0" t="s">
        <v>49</v>
      </c>
      <c r="H1147" s="5">
        <v>635.255500</v>
      </c>
    </row>
    <row r="1148" spans="1:9">
      <c r="A1148" s="22" t="str">
        <f>HYPERLINK("https://app.vivvix.com/360/KMI/IntelliDrive/ApplUI/Pages/CreativePages/CustomReportCreativeDetail.aspx?App=23&amp;ReportView=4&amp;Qid=1711279&amp;Row=1140&amp;Col=1","No Title Assigned - #15264647427")</f>
        <v/>
      </c>
      <c r="B1148" s="0" t="s">
        <v>1721</v>
      </c>
      <c r="C1148" s="0" t="s">
        <v>1722</v>
      </c>
      <c r="D1148" s="0" t="s">
        <v>1722</v>
      </c>
      <c r="E1148" s="0" t="inlineStr">
        <is>
          <t xml:space="preserve">Mazda</t>
        </is>
      </c>
      <c r="F1148" s="0" t="s">
        <v>13</v>
      </c>
      <c r="G1148" s="0" t="s">
        <v>49</v>
      </c>
      <c r="H1148" s="5">
        <v>15694.509600</v>
      </c>
    </row>
    <row r="1149" spans="1:9">
      <c r="A1149" s="22" t="str">
        <f>HYPERLINK("https://app.vivvix.com/360/KMI/IntelliDrive/ApplUI/Pages/CreativePages/CustomReportCreativeDetail.aspx?App=23&amp;ReportView=4&amp;Qid=1711279&amp;Row=1141&amp;Col=1","No Title Assigned - #15264648317")</f>
        <v/>
      </c>
      <c r="B1149" s="0" t="s">
        <v>1723</v>
      </c>
      <c r="C1149" s="0" t="s">
        <v>1724</v>
      </c>
      <c r="D1149" s="0" t="s">
        <v>1724</v>
      </c>
      <c r="E1149" s="0" t="inlineStr">
        <is>
          <t xml:space="preserve">Mazda</t>
        </is>
      </c>
      <c r="F1149" s="0" t="s">
        <v>28</v>
      </c>
      <c r="G1149" s="0" t="s">
        <v>29</v>
      </c>
      <c r="H1149" s="5">
        <v>1222.349800</v>
      </c>
    </row>
    <row r="1150" spans="1:9">
      <c r="A1150" s="22" t="str">
        <f>HYPERLINK("https://app.vivvix.com/360/KMI/IntelliDrive/ApplUI/Pages/CreativePages/CustomReportCreativeDetail.aspx?App=23&amp;ReportView=4&amp;Qid=1711279&amp;Row=1142&amp;Col=1","No Title Assigned - #15264648558")</f>
        <v/>
      </c>
      <c r="B1150" s="0" t="s">
        <v>1725</v>
      </c>
      <c r="E1150" s="0" t="inlineStr">
        <is>
          <t xml:space="preserve">Mazda</t>
        </is>
      </c>
      <c r="F1150" s="0" t="s">
        <v>13</v>
      </c>
      <c r="G1150" s="0" t="s">
        <v>49</v>
      </c>
      <c r="H1150" s="5">
        <v>2460.170900</v>
      </c>
    </row>
    <row r="1151" spans="1:9">
      <c r="A1151" s="22" t="str">
        <f>HYPERLINK("https://app.vivvix.com/360/KMI/IntelliDrive/ApplUI/Pages/CreativePages/CustomReportCreativeDetail.aspx?App=23&amp;ReportView=4&amp;Qid=1711279&amp;Row=1143&amp;Col=1","No Title Assigned - #15264648558")</f>
        <v/>
      </c>
      <c r="B1151" s="0" t="s">
        <v>1725</v>
      </c>
      <c r="C1151" s="0" t="s">
        <v>1726</v>
      </c>
      <c r="D1151" s="0" t="s">
        <v>1726</v>
      </c>
      <c r="E1151" s="0" t="inlineStr">
        <is>
          <t xml:space="preserve">Mazda</t>
        </is>
      </c>
      <c r="F1151" s="0" t="s">
        <v>13</v>
      </c>
      <c r="G1151" s="0" t="s">
        <v>49</v>
      </c>
      <c r="H1151" s="5">
        <v>80214.103100</v>
      </c>
    </row>
    <row r="1152" spans="1:9">
      <c r="A1152" s="22" t="str">
        <f>HYPERLINK("https://app.vivvix.com/360/KMI/IntelliDrive/ApplUI/Pages/CreativePages/CustomReportCreativeDetail.aspx?App=23&amp;ReportView=4&amp;Qid=1711279&amp;Row=1144&amp;Col=1","No Title Assigned - #15264648909")</f>
        <v/>
      </c>
      <c r="B1152" s="0" t="s">
        <v>1727</v>
      </c>
      <c r="C1152" s="0" t="s">
        <v>1728</v>
      </c>
      <c r="D1152" s="0" t="s">
        <v>1728</v>
      </c>
      <c r="E1152" s="0" t="inlineStr">
        <is>
          <t xml:space="preserve">Mazda</t>
        </is>
      </c>
      <c r="F1152" s="0" t="s">
        <v>28</v>
      </c>
      <c r="G1152" s="0" t="s">
        <v>29</v>
      </c>
      <c r="H1152" s="5">
        <v>124.171400</v>
      </c>
    </row>
    <row r="1153" spans="1:9">
      <c r="A1153" s="22" t="str">
        <f>HYPERLINK("https://app.vivvix.com/360/KMI/IntelliDrive/ApplUI/Pages/CreativePages/CustomReportCreativeDetail.aspx?App=23&amp;ReportView=4&amp;Qid=1711279&amp;Row=1145&amp;Col=1","No Title Assigned - #15264649315")</f>
        <v/>
      </c>
      <c r="B1153" s="0" t="s">
        <v>1729</v>
      </c>
      <c r="E1153" s="0" t="inlineStr">
        <is>
          <t xml:space="preserve">Mazda</t>
        </is>
      </c>
      <c r="F1153" s="0" t="s">
        <v>28</v>
      </c>
      <c r="G1153" s="0" t="s">
        <v>29</v>
      </c>
      <c r="H1153" s="5">
        <v>1445.369500</v>
      </c>
    </row>
    <row r="1154" spans="1:9">
      <c r="A1154" s="22" t="str">
        <f>HYPERLINK("https://app.vivvix.com/360/KMI/IntelliDrive/ApplUI/Pages/CreativePages/CustomReportCreativeDetail.aspx?App=23&amp;ReportView=4&amp;Qid=1711279&amp;Row=1146&amp;Col=1","No Title Assigned - #15264649315")</f>
        <v/>
      </c>
      <c r="B1154" s="0" t="s">
        <v>1729</v>
      </c>
      <c r="C1154" s="0" t="s">
        <v>1730</v>
      </c>
      <c r="D1154" s="0" t="s">
        <v>1730</v>
      </c>
      <c r="E1154" s="0" t="inlineStr">
        <is>
          <t xml:space="preserve">Mazda</t>
        </is>
      </c>
      <c r="F1154" s="0" t="s">
        <v>28</v>
      </c>
      <c r="G1154" s="0" t="s">
        <v>29</v>
      </c>
      <c r="H1154" s="5">
        <v>38296.487300</v>
      </c>
    </row>
    <row r="1155" spans="1:9">
      <c r="A1155" s="22" t="str">
        <f>HYPERLINK("https://app.vivvix.com/360/KMI/IntelliDrive/ApplUI/Pages/CreativePages/CustomReportCreativeDetail.aspx?App=23&amp;ReportView=4&amp;Qid=1711279&amp;Row=1147&amp;Col=1","No Title Assigned - #15264649406")</f>
        <v/>
      </c>
      <c r="B1155" s="0" t="s">
        <v>1731</v>
      </c>
      <c r="C1155" s="0" t="s">
        <v>1732</v>
      </c>
      <c r="D1155" s="0" t="s">
        <v>1732</v>
      </c>
      <c r="E1155" s="0" t="inlineStr">
        <is>
          <t xml:space="preserve">Mazda</t>
        </is>
      </c>
      <c r="F1155" s="0" t="s">
        <v>28</v>
      </c>
      <c r="G1155" s="0" t="s">
        <v>29</v>
      </c>
      <c r="H1155" s="5">
        <v>423.080500</v>
      </c>
    </row>
    <row r="1156" spans="1:9">
      <c r="A1156" s="22" t="str">
        <f>HYPERLINK("https://app.vivvix.com/360/KMI/IntelliDrive/ApplUI/Pages/CreativePages/CustomReportCreativeDetail.aspx?App=23&amp;ReportView=4&amp;Qid=1711279&amp;Row=1148&amp;Col=1","No Title Assigned - #15264649415")</f>
        <v/>
      </c>
      <c r="B1156" s="0" t="s">
        <v>1733</v>
      </c>
      <c r="C1156" s="0" t="s">
        <v>1734</v>
      </c>
      <c r="D1156" s="0" t="s">
        <v>1734</v>
      </c>
      <c r="E1156" s="0" t="inlineStr">
        <is>
          <t xml:space="preserve">Mazda</t>
        </is>
      </c>
      <c r="F1156" s="0" t="s">
        <v>17</v>
      </c>
      <c r="G1156" s="0" t="s">
        <v>33</v>
      </c>
      <c r="H1156" s="5">
        <v>642.079100</v>
      </c>
    </row>
    <row r="1157" spans="1:9">
      <c r="A1157" s="22" t="str">
        <f>HYPERLINK("https://app.vivvix.com/360/KMI/IntelliDrive/ApplUI/Pages/CreativePages/CustomReportCreativeDetail.aspx?App=23&amp;ReportView=4&amp;Qid=1711279&amp;Row=1149&amp;Col=1","No Title Assigned - #15264650505")</f>
        <v/>
      </c>
      <c r="B1157" s="0" t="s">
        <v>1735</v>
      </c>
      <c r="C1157" s="0" t="s">
        <v>1736</v>
      </c>
      <c r="D1157" s="0" t="s">
        <v>1736</v>
      </c>
      <c r="E1157" s="0" t="inlineStr">
        <is>
          <t xml:space="preserve">Mazda</t>
        </is>
      </c>
      <c r="F1157" s="0" t="s">
        <v>28</v>
      </c>
      <c r="G1157" s="0" t="s">
        <v>29</v>
      </c>
      <c r="H1157" s="5">
        <v>5601.866000</v>
      </c>
    </row>
    <row r="1158" spans="1:9">
      <c r="A1158" s="22" t="str">
        <f>HYPERLINK("https://app.vivvix.com/360/KMI/IntelliDrive/ApplUI/Pages/CreativePages/CustomReportCreativeDetail.aspx?App=23&amp;ReportView=4&amp;Qid=1711279&amp;Row=1150&amp;Col=1","No Title Assigned - #15264654682")</f>
        <v/>
      </c>
      <c r="B1158" s="0" t="s">
        <v>1737</v>
      </c>
      <c r="E1158" s="0" t="inlineStr">
        <is>
          <t xml:space="preserve">Mazda</t>
        </is>
      </c>
      <c r="F1158" s="0" t="inlineStr">
        <is>
          <t xml:space="preserve">Mazda</t>
        </is>
      </c>
      <c r="G1158" s="0" t="s">
        <v>171</v>
      </c>
    </row>
    <row r="1159" spans="1:9">
      <c r="A1159" s="22" t="str">
        <f>HYPERLINK("https://app.vivvix.com/360/KMI/IntelliDrive/ApplUI/Pages/CreativePages/CustomReportCreativeDetail.aspx?App=23&amp;ReportView=4&amp;Qid=1711279&amp;Row=1151&amp;Col=1","No Title Assigned - #15264657131")</f>
        <v/>
      </c>
      <c r="B1159" s="0" t="s">
        <v>1738</v>
      </c>
      <c r="C1159" s="0" t="s">
        <v>1739</v>
      </c>
      <c r="D1159" s="0" t="s">
        <v>1739</v>
      </c>
      <c r="E1159" s="0" t="inlineStr">
        <is>
          <t xml:space="preserve">Mazda</t>
        </is>
      </c>
      <c r="F1159" s="0" t="s">
        <v>28</v>
      </c>
      <c r="G1159" s="0" t="s">
        <v>29</v>
      </c>
      <c r="H1159" s="5">
        <v>2690.568400</v>
      </c>
    </row>
    <row r="1160" spans="1:9">
      <c r="A1160" s="22" t="str">
        <f>HYPERLINK("https://app.vivvix.com/360/KMI/IntelliDrive/ApplUI/Pages/CreativePages/CustomReportCreativeDetail.aspx?App=23&amp;ReportView=4&amp;Qid=1711279&amp;Row=1152&amp;Col=1","No Title Assigned - #15264660826")</f>
        <v/>
      </c>
      <c r="B1160" s="0" t="s">
        <v>1740</v>
      </c>
      <c r="C1160" s="0" t="s">
        <v>1741</v>
      </c>
      <c r="D1160" s="0" t="s">
        <v>1741</v>
      </c>
      <c r="E1160" s="0" t="inlineStr">
        <is>
          <t xml:space="preserve">Mazda</t>
        </is>
      </c>
      <c r="F1160" s="0" t="s">
        <v>28</v>
      </c>
      <c r="G1160" s="0" t="s">
        <v>29</v>
      </c>
      <c r="H1160" s="5">
        <v>2535.269900</v>
      </c>
    </row>
    <row r="1161" spans="1:9">
      <c r="A1161" s="22" t="str">
        <f>HYPERLINK("https://app.vivvix.com/360/KMI/IntelliDrive/ApplUI/Pages/CreativePages/CustomReportCreativeDetail.aspx?App=23&amp;ReportView=4&amp;Qid=1711279&amp;Row=1153&amp;Col=1","No Title Assigned - #15264665859")</f>
        <v/>
      </c>
      <c r="B1161" s="0" t="s">
        <v>1742</v>
      </c>
      <c r="E1161" s="0" t="inlineStr">
        <is>
          <t xml:space="preserve">Mazda</t>
        </is>
      </c>
      <c r="F1161" s="0" t="s">
        <v>28</v>
      </c>
      <c r="G1161" s="0" t="s">
        <v>29</v>
      </c>
      <c r="H1161" s="5">
        <v>2400.950100</v>
      </c>
    </row>
    <row r="1162" spans="1:9">
      <c r="A1162" s="22" t="str">
        <f>HYPERLINK("https://app.vivvix.com/360/KMI/IntelliDrive/ApplUI/Pages/CreativePages/CustomReportCreativeDetail.aspx?App=23&amp;ReportView=4&amp;Qid=1711279&amp;Row=1154&amp;Col=1","No Title Assigned - #15264665859")</f>
        <v/>
      </c>
      <c r="B1162" s="0" t="s">
        <v>1742</v>
      </c>
      <c r="C1162" s="0" t="s">
        <v>1743</v>
      </c>
      <c r="D1162" s="0" t="s">
        <v>1743</v>
      </c>
      <c r="E1162" s="0" t="inlineStr">
        <is>
          <t xml:space="preserve">Mazda</t>
        </is>
      </c>
      <c r="F1162" s="0" t="s">
        <v>28</v>
      </c>
      <c r="G1162" s="0" t="s">
        <v>29</v>
      </c>
      <c r="H1162" s="5">
        <v>4806.672200</v>
      </c>
    </row>
    <row r="1163" spans="1:9">
      <c r="A1163" s="22" t="str">
        <f>HYPERLINK("https://app.vivvix.com/360/KMI/IntelliDrive/ApplUI/Pages/CreativePages/CustomReportCreativeDetail.aspx?App=23&amp;ReportView=4&amp;Qid=1711279&amp;Row=1155&amp;Col=1","No Title Assigned - #15264666610")</f>
        <v/>
      </c>
      <c r="B1163" s="0" t="s">
        <v>1744</v>
      </c>
      <c r="C1163" s="0" t="s">
        <v>1745</v>
      </c>
      <c r="D1163" s="0" t="s">
        <v>1745</v>
      </c>
      <c r="E1163" s="0" t="inlineStr">
        <is>
          <t xml:space="preserve">Mazda</t>
        </is>
      </c>
      <c r="F1163" s="0" t="s">
        <v>28</v>
      </c>
      <c r="G1163" s="0" t="s">
        <v>29</v>
      </c>
      <c r="H1163" s="5">
        <v>465.595500</v>
      </c>
    </row>
    <row r="1164" spans="1:9">
      <c r="A1164" s="22" t="str">
        <f>HYPERLINK("https://app.vivvix.com/360/KMI/IntelliDrive/ApplUI/Pages/CreativePages/CustomReportCreativeDetail.aspx?App=23&amp;ReportView=4&amp;Qid=1711279&amp;Row=1156&amp;Col=1","No Title Assigned - #15264667949")</f>
        <v/>
      </c>
      <c r="B1164" s="0" t="s">
        <v>1746</v>
      </c>
      <c r="C1164" s="0" t="s">
        <v>1747</v>
      </c>
      <c r="D1164" s="0" t="s">
        <v>1747</v>
      </c>
      <c r="E1164" s="0" t="inlineStr">
        <is>
          <t xml:space="preserve">Mazda</t>
        </is>
      </c>
      <c r="F1164" s="0" t="s">
        <v>28</v>
      </c>
      <c r="G1164" s="0" t="s">
        <v>29</v>
      </c>
      <c r="H1164" s="5">
        <v>2175.499100</v>
      </c>
    </row>
    <row r="1165" spans="1:9">
      <c r="A1165" s="22" t="str">
        <f>HYPERLINK("https://app.vivvix.com/360/KMI/IntelliDrive/ApplUI/Pages/CreativePages/CustomReportCreativeDetail.aspx?App=23&amp;ReportView=4&amp;Qid=1711279&amp;Row=1157&amp;Col=1","No Title Assigned - #15264669247")</f>
        <v/>
      </c>
      <c r="B1165" s="0" t="s">
        <v>1748</v>
      </c>
      <c r="C1165" s="0" t="s">
        <v>1749</v>
      </c>
      <c r="D1165" s="0" t="s">
        <v>1749</v>
      </c>
      <c r="E1165" s="0" t="inlineStr">
        <is>
          <t xml:space="preserve">Mazda</t>
        </is>
      </c>
      <c r="F1165" s="0" t="s">
        <v>28</v>
      </c>
      <c r="G1165" s="0" t="s">
        <v>29</v>
      </c>
      <c r="H1165" s="5">
        <v>1489.940200</v>
      </c>
    </row>
    <row r="1166" spans="1:9">
      <c r="A1166" s="22" t="str">
        <f>HYPERLINK("https://app.vivvix.com/360/KMI/IntelliDrive/ApplUI/Pages/CreativePages/CustomReportCreativeDetail.aspx?App=23&amp;ReportView=4&amp;Qid=1711279&amp;Row=1158&amp;Col=1","No Title Assigned - #15264684945")</f>
        <v/>
      </c>
      <c r="B1166" s="0" t="s">
        <v>1750</v>
      </c>
      <c r="C1166" s="0" t="s">
        <v>1751</v>
      </c>
      <c r="D1166" s="0" t="s">
        <v>1751</v>
      </c>
      <c r="E1166" s="0" t="inlineStr">
        <is>
          <t xml:space="preserve">Mazda</t>
        </is>
      </c>
      <c r="F1166" s="0" t="s">
        <v>28</v>
      </c>
      <c r="G1166" s="0" t="s">
        <v>29</v>
      </c>
      <c r="H1166" s="5">
        <v>513.751300</v>
      </c>
    </row>
    <row r="1167" spans="1:9">
      <c r="A1167" s="22" t="str">
        <f>HYPERLINK("https://app.vivvix.com/360/KMI/IntelliDrive/ApplUI/Pages/CreativePages/CustomReportCreativeDetail.aspx?App=23&amp;ReportView=4&amp;Qid=1711279&amp;Row=1159&amp;Col=1","No Title Assigned - #15264685012")</f>
        <v/>
      </c>
      <c r="B1167" s="0" t="s">
        <v>1752</v>
      </c>
      <c r="E1167" s="0" t="inlineStr">
        <is>
          <t xml:space="preserve">Mazda</t>
        </is>
      </c>
      <c r="F1167" s="0" t="s">
        <v>28</v>
      </c>
      <c r="G1167" s="0" t="s">
        <v>29</v>
      </c>
      <c r="H1167" s="5">
        <v>9168.021900</v>
      </c>
    </row>
    <row r="1168" spans="1:9">
      <c r="A1168" s="22" t="str">
        <f>HYPERLINK("https://app.vivvix.com/360/KMI/IntelliDrive/ApplUI/Pages/CreativePages/CustomReportCreativeDetail.aspx?App=23&amp;ReportView=4&amp;Qid=1711279&amp;Row=1160&amp;Col=1","No Title Assigned - #15264685012")</f>
        <v/>
      </c>
      <c r="B1168" s="0" t="s">
        <v>1752</v>
      </c>
      <c r="C1168" s="0" t="s">
        <v>1753</v>
      </c>
      <c r="D1168" s="0" t="s">
        <v>1753</v>
      </c>
      <c r="E1168" s="0" t="inlineStr">
        <is>
          <t xml:space="preserve">Mazda</t>
        </is>
      </c>
      <c r="F1168" s="0" t="s">
        <v>28</v>
      </c>
      <c r="G1168" s="0" t="s">
        <v>29</v>
      </c>
      <c r="H1168" s="5">
        <v>8528.626200</v>
      </c>
    </row>
    <row r="1169" spans="1:9">
      <c r="A1169" s="22" t="str">
        <f>HYPERLINK("https://app.vivvix.com/360/KMI/IntelliDrive/ApplUI/Pages/CreativePages/CustomReportCreativeDetail.aspx?App=23&amp;ReportView=4&amp;Qid=1711279&amp;Row=1161&amp;Col=1","No Title Assigned - #15264686726")</f>
        <v/>
      </c>
      <c r="B1169" s="0" t="s">
        <v>1754</v>
      </c>
      <c r="C1169" s="0" t="s">
        <v>1755</v>
      </c>
      <c r="D1169" s="0" t="s">
        <v>1755</v>
      </c>
      <c r="E1169" s="0" t="inlineStr">
        <is>
          <t xml:space="preserve">Mazda</t>
        </is>
      </c>
      <c r="F1169" s="0" t="s">
        <v>28</v>
      </c>
      <c r="G1169" s="0" t="s">
        <v>29</v>
      </c>
      <c r="H1169" s="5">
        <v>124.171400</v>
      </c>
    </row>
    <row r="1170" spans="1:9">
      <c r="A1170" s="22" t="str">
        <f>HYPERLINK("https://app.vivvix.com/360/KMI/IntelliDrive/ApplUI/Pages/CreativePages/CustomReportCreativeDetail.aspx?App=23&amp;ReportView=4&amp;Qid=1711279&amp;Row=1162&amp;Col=1","No Title Assigned - #15264686899")</f>
        <v/>
      </c>
      <c r="B1170" s="0" t="s">
        <v>1756</v>
      </c>
      <c r="C1170" s="0" t="s">
        <v>1757</v>
      </c>
      <c r="D1170" s="0" t="s">
        <v>1757</v>
      </c>
      <c r="E1170" s="0" t="inlineStr">
        <is>
          <t xml:space="preserve">Mazda</t>
        </is>
      </c>
      <c r="F1170" s="0" t="s">
        <v>13</v>
      </c>
      <c r="G1170" s="0" t="s">
        <v>49</v>
      </c>
      <c r="H1170" s="5">
        <v>424088.959500</v>
      </c>
    </row>
    <row r="1171" spans="1:9">
      <c r="A1171" s="22" t="str">
        <f>HYPERLINK("https://app.vivvix.com/360/KMI/IntelliDrive/ApplUI/Pages/CreativePages/CustomReportCreativeDetail.aspx?App=23&amp;ReportView=4&amp;Qid=1711279&amp;Row=1163&amp;Col=1","No Title Assigned - #15264686899")</f>
        <v/>
      </c>
      <c r="B1171" s="0" t="s">
        <v>1756</v>
      </c>
      <c r="E1171" s="0" t="inlineStr">
        <is>
          <t xml:space="preserve">Mazda</t>
        </is>
      </c>
      <c r="F1171" s="0" t="s">
        <v>13</v>
      </c>
      <c r="G1171" s="0" t="s">
        <v>49</v>
      </c>
      <c r="H1171" s="5">
        <v>2294.415500</v>
      </c>
    </row>
    <row r="1172" spans="1:9">
      <c r="A1172" s="22" t="str">
        <f>HYPERLINK("https://app.vivvix.com/360/KMI/IntelliDrive/ApplUI/Pages/CreativePages/CustomReportCreativeDetail.aspx?App=23&amp;ReportView=4&amp;Qid=1711279&amp;Row=1164&amp;Col=1","No Title Assigned - #15264687009")</f>
        <v/>
      </c>
      <c r="B1172" s="0" t="s">
        <v>1758</v>
      </c>
      <c r="C1172" s="0" t="s">
        <v>1759</v>
      </c>
      <c r="D1172" s="0" t="s">
        <v>1759</v>
      </c>
      <c r="E1172" s="0" t="inlineStr">
        <is>
          <t xml:space="preserve">Mazda</t>
        </is>
      </c>
      <c r="F1172" s="0" t="s">
        <v>28</v>
      </c>
      <c r="G1172" s="0" t="s">
        <v>29</v>
      </c>
      <c r="H1172" s="5">
        <v>422.171000</v>
      </c>
    </row>
    <row r="1173" spans="1:9">
      <c r="A1173" s="22" t="str">
        <f>HYPERLINK("https://app.vivvix.com/360/KMI/IntelliDrive/ApplUI/Pages/CreativePages/CustomReportCreativeDetail.aspx?App=23&amp;ReportView=4&amp;Qid=1711279&amp;Row=1165&amp;Col=1","No Title Assigned - #15264687363")</f>
        <v/>
      </c>
      <c r="B1173" s="0" t="s">
        <v>1760</v>
      </c>
      <c r="C1173" s="0" t="s">
        <v>1761</v>
      </c>
      <c r="D1173" s="0" t="s">
        <v>1761</v>
      </c>
      <c r="E1173" s="0" t="inlineStr">
        <is>
          <t xml:space="preserve">Mazda</t>
        </is>
      </c>
      <c r="F1173" s="0" t="s">
        <v>28</v>
      </c>
      <c r="G1173" s="0" t="s">
        <v>29</v>
      </c>
      <c r="H1173" s="5">
        <v>2715.648800</v>
      </c>
    </row>
    <row r="1174" spans="1:9">
      <c r="A1174" s="22" t="str">
        <f>HYPERLINK("https://app.vivvix.com/360/KMI/IntelliDrive/ApplUI/Pages/CreativePages/CustomReportCreativeDetail.aspx?App=23&amp;ReportView=4&amp;Qid=1711279&amp;Row=1166&amp;Col=1","No Title Assigned - #15264687363")</f>
        <v/>
      </c>
      <c r="B1174" s="0" t="s">
        <v>1760</v>
      </c>
      <c r="E1174" s="0" t="inlineStr">
        <is>
          <t xml:space="preserve">Mazda</t>
        </is>
      </c>
      <c r="F1174" s="0" t="s">
        <v>28</v>
      </c>
      <c r="G1174" s="0" t="s">
        <v>29</v>
      </c>
      <c r="H1174" s="5">
        <v>2012.163000</v>
      </c>
    </row>
    <row r="1175" spans="1:9">
      <c r="A1175" s="22" t="str">
        <f>HYPERLINK("https://app.vivvix.com/360/KMI/IntelliDrive/ApplUI/Pages/CreativePages/CustomReportCreativeDetail.aspx?App=23&amp;ReportView=4&amp;Qid=1711279&amp;Row=1167&amp;Col=1","No Title Assigned - #15264688631")</f>
        <v/>
      </c>
      <c r="B1175" s="0" t="s">
        <v>1762</v>
      </c>
      <c r="E1175" s="0" t="inlineStr">
        <is>
          <t xml:space="preserve">Mazda</t>
        </is>
      </c>
      <c r="F1175" s="0" t="inlineStr">
        <is>
          <t xml:space="preserve">Mazda</t>
        </is>
      </c>
      <c r="G1175" s="0" t="s">
        <v>171</v>
      </c>
      <c r="H1175" s="5">
        <v>556.352000</v>
      </c>
    </row>
    <row r="1176" spans="1:9">
      <c r="A1176" s="22" t="str">
        <f>HYPERLINK("https://app.vivvix.com/360/KMI/IntelliDrive/ApplUI/Pages/CreativePages/CustomReportCreativeDetail.aspx?App=23&amp;ReportView=4&amp;Qid=1711279&amp;Row=1168&amp;Col=1","No Title Assigned - #15264688631")</f>
        <v/>
      </c>
      <c r="B1176" s="0" t="s">
        <v>1762</v>
      </c>
      <c r="E1176" s="0" t="inlineStr">
        <is>
          <t xml:space="preserve">Mazda</t>
        </is>
      </c>
      <c r="F1176" s="0" t="inlineStr">
        <is>
          <t xml:space="preserve">Mazda</t>
        </is>
      </c>
      <c r="G1176" s="0" t="s">
        <v>171</v>
      </c>
      <c r="H1176" s="5">
        <v>89.955000</v>
      </c>
    </row>
    <row r="1177" spans="1:9">
      <c r="A1177" s="22" t="str">
        <f>HYPERLINK("https://app.vivvix.com/360/KMI/IntelliDrive/ApplUI/Pages/CreativePages/CustomReportCreativeDetail.aspx?App=23&amp;ReportView=4&amp;Qid=1711279&amp;Row=1169&amp;Col=1","No Title Assigned - #15264690007")</f>
        <v/>
      </c>
      <c r="B1177" s="0" t="s">
        <v>1763</v>
      </c>
      <c r="E1177" s="0" t="inlineStr">
        <is>
          <t xml:space="preserve">Mazda</t>
        </is>
      </c>
      <c r="F1177" s="0" t="inlineStr">
        <is>
          <t xml:space="preserve">Mazda</t>
        </is>
      </c>
      <c r="G1177" s="0" t="s">
        <v>171</v>
      </c>
      <c r="H1177" s="5">
        <v>36.061100</v>
      </c>
    </row>
    <row r="1178" spans="1:9">
      <c r="A1178" s="22" t="str">
        <f>HYPERLINK("https://app.vivvix.com/360/KMI/IntelliDrive/ApplUI/Pages/CreativePages/CustomReportCreativeDetail.aspx?App=23&amp;ReportView=4&amp;Qid=1711279&amp;Row=1170&amp;Col=1","No Title Assigned - #15264690982")</f>
        <v/>
      </c>
      <c r="B1178" s="0" t="s">
        <v>1764</v>
      </c>
      <c r="E1178" s="0" t="inlineStr">
        <is>
          <t xml:space="preserve">Mazda</t>
        </is>
      </c>
      <c r="F1178" s="0" t="inlineStr">
        <is>
          <t xml:space="preserve">Mazda</t>
        </is>
      </c>
      <c r="G1178" s="0" t="s">
        <v>171</v>
      </c>
    </row>
    <row r="1179" spans="1:9">
      <c r="A1179" s="22" t="str">
        <f>HYPERLINK("https://app.vivvix.com/360/KMI/IntelliDrive/ApplUI/Pages/CreativePages/CustomReportCreativeDetail.aspx?App=23&amp;ReportView=4&amp;Qid=1711279&amp;Row=1171&amp;Col=1","No Title Assigned - #15264690982")</f>
        <v/>
      </c>
      <c r="B1179" s="0" t="s">
        <v>1764</v>
      </c>
      <c r="E1179" s="0" t="inlineStr">
        <is>
          <t xml:space="preserve">Mazda</t>
        </is>
      </c>
      <c r="F1179" s="0" t="inlineStr">
        <is>
          <t xml:space="preserve">Mazda</t>
        </is>
      </c>
      <c r="G1179" s="0" t="s">
        <v>171</v>
      </c>
      <c r="H1179" s="5">
        <v>673.369300</v>
      </c>
    </row>
    <row r="1180" spans="1:9">
      <c r="A1180" s="22" t="str">
        <f>HYPERLINK("https://app.vivvix.com/360/KMI/IntelliDrive/ApplUI/Pages/CreativePages/CustomReportCreativeDetail.aspx?App=23&amp;ReportView=4&amp;Qid=1711279&amp;Row=1172&amp;Col=1","No Title Assigned - #15264691033")</f>
        <v/>
      </c>
      <c r="B1180" s="0" t="s">
        <v>1765</v>
      </c>
      <c r="C1180" s="0" t="s">
        <v>1766</v>
      </c>
      <c r="D1180" s="0" t="s">
        <v>1766</v>
      </c>
      <c r="E1180" s="0" t="inlineStr">
        <is>
          <t xml:space="preserve">Mazda</t>
        </is>
      </c>
      <c r="F1180" s="0" t="inlineStr">
        <is>
          <t xml:space="preserve">Mazda</t>
        </is>
      </c>
      <c r="G1180" s="0" t="s">
        <v>171</v>
      </c>
    </row>
    <row r="1181" spans="1:9">
      <c r="A1181" s="22" t="str">
        <f>HYPERLINK("https://app.vivvix.com/360/KMI/IntelliDrive/ApplUI/Pages/CreativePages/CustomReportCreativeDetail.aspx?App=23&amp;ReportView=4&amp;Qid=1711279&amp;Row=1173&amp;Col=1","No Title Assigned - #15264691402")</f>
        <v/>
      </c>
      <c r="B1181" s="0" t="s">
        <v>1767</v>
      </c>
      <c r="E1181" s="0" t="inlineStr">
        <is>
          <t xml:space="preserve">Mazda</t>
        </is>
      </c>
      <c r="F1181" s="0" t="inlineStr">
        <is>
          <t xml:space="preserve">Mazda</t>
        </is>
      </c>
      <c r="G1181" s="0" t="s">
        <v>171</v>
      </c>
    </row>
    <row r="1182" spans="1:9">
      <c r="A1182" s="22" t="str">
        <f>HYPERLINK("https://app.vivvix.com/360/KMI/IntelliDrive/ApplUI/Pages/CreativePages/CustomReportCreativeDetail.aspx?App=23&amp;ReportView=4&amp;Qid=1711279&amp;Row=1174&amp;Col=1","No Title Assigned - #15264696051")</f>
        <v/>
      </c>
      <c r="B1182" s="0" t="s">
        <v>1768</v>
      </c>
      <c r="E1182" s="0" t="inlineStr">
        <is>
          <t xml:space="preserve">Mazda</t>
        </is>
      </c>
      <c r="F1182" s="0" t="inlineStr">
        <is>
          <t xml:space="preserve">Mazda</t>
        </is>
      </c>
      <c r="G1182" s="0" t="s">
        <v>171</v>
      </c>
    </row>
    <row r="1183" spans="1:9">
      <c r="A1183" s="22" t="str">
        <f>HYPERLINK("https://app.vivvix.com/360/KMI/IntelliDrive/ApplUI/Pages/CreativePages/CustomReportCreativeDetail.aspx?App=23&amp;ReportView=4&amp;Qid=1711279&amp;Row=1175&amp;Col=1","No Title Assigned - #15264696569")</f>
        <v/>
      </c>
      <c r="B1183" s="0" t="s">
        <v>1769</v>
      </c>
      <c r="E1183" s="0" t="inlineStr">
        <is>
          <t xml:space="preserve">Mazda</t>
        </is>
      </c>
      <c r="F1183" s="0" t="inlineStr">
        <is>
          <t xml:space="preserve">Mazda</t>
        </is>
      </c>
      <c r="G1183" s="0" t="s">
        <v>171</v>
      </c>
      <c r="H1183" s="5">
        <v>330.087500</v>
      </c>
    </row>
    <row r="1184" spans="1:9">
      <c r="A1184" s="22" t="str">
        <f>HYPERLINK("https://app.vivvix.com/360/KMI/IntelliDrive/ApplUI/Pages/CreativePages/CustomReportCreativeDetail.aspx?App=23&amp;ReportView=4&amp;Qid=1711279&amp;Row=1176&amp;Col=1","No Title Assigned - #15264701298")</f>
        <v/>
      </c>
      <c r="B1184" s="0" t="s">
        <v>1770</v>
      </c>
      <c r="E1184" s="0" t="inlineStr">
        <is>
          <t xml:space="preserve">Mazda</t>
        </is>
      </c>
      <c r="F1184" s="0" t="inlineStr">
        <is>
          <t xml:space="preserve">Mazda</t>
        </is>
      </c>
      <c r="G1184" s="0" t="s">
        <v>171</v>
      </c>
    </row>
    <row r="1185" spans="1:9">
      <c r="A1185" s="22" t="str">
        <f>HYPERLINK("https://app.vivvix.com/360/KMI/IntelliDrive/ApplUI/Pages/CreativePages/CustomReportCreativeDetail.aspx?App=23&amp;ReportView=4&amp;Qid=1711279&amp;Row=1177&amp;Col=1","No Title Assigned - #15264703718")</f>
        <v/>
      </c>
      <c r="B1185" s="0" t="s">
        <v>1771</v>
      </c>
      <c r="E1185" s="0" t="inlineStr">
        <is>
          <t xml:space="preserve">Mazda</t>
        </is>
      </c>
      <c r="F1185" s="0" t="inlineStr">
        <is>
          <t xml:space="preserve">Mazda</t>
        </is>
      </c>
      <c r="G1185" s="0" t="s">
        <v>171</v>
      </c>
      <c r="H1185" s="5">
        <v>171.255800</v>
      </c>
    </row>
    <row r="1186" spans="1:9">
      <c r="A1186" s="22" t="str">
        <f>HYPERLINK("https://app.vivvix.com/360/KMI/IntelliDrive/ApplUI/Pages/CreativePages/CustomReportCreativeDetail.aspx?App=23&amp;ReportView=4&amp;Qid=1711279&amp;Row=1178&amp;Col=1","No Title Assigned - #15264703721")</f>
        <v/>
      </c>
      <c r="B1186" s="0" t="s">
        <v>1772</v>
      </c>
      <c r="E1186" s="0" t="inlineStr">
        <is>
          <t xml:space="preserve">Mazda</t>
        </is>
      </c>
      <c r="F1186" s="0" t="inlineStr">
        <is>
          <t xml:space="preserve">Mazda</t>
        </is>
      </c>
      <c r="G1186" s="0" t="s">
        <v>171</v>
      </c>
    </row>
    <row r="1187" spans="1:9">
      <c r="A1187" s="22" t="str">
        <f>HYPERLINK("https://app.vivvix.com/360/KMI/IntelliDrive/ApplUI/Pages/CreativePages/CustomReportCreativeDetail.aspx?App=23&amp;ReportView=4&amp;Qid=1711279&amp;Row=1179&amp;Col=1","No Title Assigned - #15264705947")</f>
        <v/>
      </c>
      <c r="B1187" s="0" t="s">
        <v>1773</v>
      </c>
      <c r="E1187" s="0" t="inlineStr">
        <is>
          <t xml:space="preserve">Mazda</t>
        </is>
      </c>
      <c r="F1187" s="0" t="inlineStr">
        <is>
          <t xml:space="preserve">Mazda</t>
        </is>
      </c>
      <c r="G1187" s="0" t="s">
        <v>171</v>
      </c>
    </row>
    <row r="1188" spans="1:9">
      <c r="A1188" s="22" t="str">
        <f>HYPERLINK("https://app.vivvix.com/360/KMI/IntelliDrive/ApplUI/Pages/CreativePages/CustomReportCreativeDetail.aspx?App=23&amp;ReportView=4&amp;Qid=1711279&amp;Row=1180&amp;Col=1","No Title Assigned - #15264707786")</f>
        <v/>
      </c>
      <c r="B1188" s="0" t="s">
        <v>1774</v>
      </c>
      <c r="E1188" s="0" t="inlineStr">
        <is>
          <t xml:space="preserve">Mazda</t>
        </is>
      </c>
      <c r="F1188" s="0" t="inlineStr">
        <is>
          <t xml:space="preserve">Mazda</t>
        </is>
      </c>
      <c r="G1188" s="0" t="s">
        <v>171</v>
      </c>
    </row>
    <row r="1189" spans="1:9">
      <c r="A1189" s="22" t="str">
        <f>HYPERLINK("https://app.vivvix.com/360/KMI/IntelliDrive/ApplUI/Pages/CreativePages/CustomReportCreativeDetail.aspx?App=23&amp;ReportView=4&amp;Qid=1711279&amp;Row=1181&amp;Col=1","No Title Assigned - #15264708973")</f>
        <v/>
      </c>
      <c r="B1189" s="0" t="s">
        <v>1775</v>
      </c>
      <c r="C1189" s="0" t="s">
        <v>1776</v>
      </c>
      <c r="D1189" s="0" t="s">
        <v>1776</v>
      </c>
      <c r="E1189" s="0" t="inlineStr">
        <is>
          <t xml:space="preserve">Mazda</t>
        </is>
      </c>
      <c r="F1189" s="0" t="s">
        <v>28</v>
      </c>
      <c r="G1189" s="0" t="s">
        <v>29</v>
      </c>
      <c r="H1189" s="5">
        <v>2244.082200</v>
      </c>
    </row>
    <row r="1190" spans="1:9">
      <c r="A1190" s="22" t="str">
        <f>HYPERLINK("https://app.vivvix.com/360/KMI/IntelliDrive/ApplUI/Pages/CreativePages/CustomReportCreativeDetail.aspx?App=23&amp;ReportView=4&amp;Qid=1711279&amp;Row=1182&amp;Col=1","No Title Assigned - #15264709820")</f>
        <v/>
      </c>
      <c r="B1190" s="0" t="s">
        <v>1777</v>
      </c>
      <c r="C1190" s="0" t="s">
        <v>1778</v>
      </c>
      <c r="D1190" s="0" t="s">
        <v>1778</v>
      </c>
      <c r="E1190" s="0" t="inlineStr">
        <is>
          <t xml:space="preserve">Mazda</t>
        </is>
      </c>
      <c r="F1190" s="0" t="s">
        <v>28</v>
      </c>
      <c r="G1190" s="0" t="s">
        <v>29</v>
      </c>
      <c r="H1190" s="5">
        <v>39647.689800</v>
      </c>
    </row>
    <row r="1191" spans="1:9">
      <c r="A1191" s="22" t="str">
        <f>HYPERLINK("https://app.vivvix.com/360/KMI/IntelliDrive/ApplUI/Pages/CreativePages/CustomReportCreativeDetail.aspx?App=23&amp;ReportView=4&amp;Qid=1711279&amp;Row=1183&amp;Col=1","No Title Assigned - #15264710794")</f>
        <v/>
      </c>
      <c r="B1191" s="0" t="s">
        <v>1779</v>
      </c>
      <c r="C1191" s="0" t="s">
        <v>1780</v>
      </c>
      <c r="D1191" s="0" t="s">
        <v>1780</v>
      </c>
      <c r="E1191" s="0" t="inlineStr">
        <is>
          <t xml:space="preserve">Mazda</t>
        </is>
      </c>
      <c r="F1191" s="0" t="s">
        <v>28</v>
      </c>
      <c r="G1191" s="0" t="s">
        <v>29</v>
      </c>
      <c r="H1191" s="5">
        <v>3946.323800</v>
      </c>
    </row>
    <row r="1192" spans="1:9">
      <c r="A1192" s="22" t="str">
        <f>HYPERLINK("https://app.vivvix.com/360/KMI/IntelliDrive/ApplUI/Pages/CreativePages/CustomReportCreativeDetail.aspx?App=23&amp;ReportView=4&amp;Qid=1711279&amp;Row=1184&amp;Col=1","No Title Assigned - #15264710794")</f>
        <v/>
      </c>
      <c r="B1192" s="0" t="s">
        <v>1779</v>
      </c>
      <c r="E1192" s="0" t="inlineStr">
        <is>
          <t xml:space="preserve">Mazda</t>
        </is>
      </c>
      <c r="F1192" s="0" t="s">
        <v>28</v>
      </c>
      <c r="G1192" s="0" t="s">
        <v>29</v>
      </c>
      <c r="H1192" s="5">
        <v>4360.584000</v>
      </c>
    </row>
    <row r="1193" spans="1:9">
      <c r="A1193" s="22" t="str">
        <f>HYPERLINK("https://app.vivvix.com/360/KMI/IntelliDrive/ApplUI/Pages/CreativePages/CustomReportCreativeDetail.aspx?App=23&amp;ReportView=4&amp;Qid=1711279&amp;Row=1185&amp;Col=1","No Title Assigned - #15264711616")</f>
        <v/>
      </c>
      <c r="B1193" s="0" t="s">
        <v>1781</v>
      </c>
      <c r="C1193" s="0" t="s">
        <v>1782</v>
      </c>
      <c r="D1193" s="0" t="s">
        <v>1782</v>
      </c>
      <c r="E1193" s="0" t="inlineStr">
        <is>
          <t xml:space="preserve">Mazda</t>
        </is>
      </c>
      <c r="F1193" s="0" t="s">
        <v>28</v>
      </c>
      <c r="G1193" s="0" t="s">
        <v>29</v>
      </c>
      <c r="H1193" s="5">
        <v>118.726000</v>
      </c>
    </row>
    <row r="1194" spans="1:9">
      <c r="A1194" s="22" t="str">
        <f>HYPERLINK("https://app.vivvix.com/360/KMI/IntelliDrive/ApplUI/Pages/CreativePages/CustomReportCreativeDetail.aspx?App=23&amp;ReportView=4&amp;Qid=1711279&amp;Row=1186&amp;Col=1","No Title Assigned - #15264711925")</f>
        <v/>
      </c>
      <c r="B1194" s="0" t="s">
        <v>1783</v>
      </c>
      <c r="C1194" s="0" t="s">
        <v>1784</v>
      </c>
      <c r="D1194" s="0" t="s">
        <v>1784</v>
      </c>
      <c r="E1194" s="0" t="inlineStr">
        <is>
          <t xml:space="preserve">Mazda</t>
        </is>
      </c>
      <c r="F1194" s="0" t="s">
        <v>28</v>
      </c>
      <c r="G1194" s="0" t="s">
        <v>29</v>
      </c>
      <c r="H1194" s="5">
        <v>234.725500</v>
      </c>
    </row>
    <row r="1195" spans="1:9">
      <c r="A1195" s="22" t="str">
        <f>HYPERLINK("https://app.vivvix.com/360/KMI/IntelliDrive/ApplUI/Pages/CreativePages/CustomReportCreativeDetail.aspx?App=23&amp;ReportView=4&amp;Qid=1711279&amp;Row=1187&amp;Col=1","No Title Assigned - #15264715198")</f>
        <v/>
      </c>
      <c r="B1195" s="0" t="s">
        <v>1785</v>
      </c>
      <c r="C1195" s="0" t="s">
        <v>1786</v>
      </c>
      <c r="D1195" s="0" t="s">
        <v>1786</v>
      </c>
      <c r="E1195" s="0" t="inlineStr">
        <is>
          <t xml:space="preserve">Mazda</t>
        </is>
      </c>
      <c r="F1195" s="0" t="s">
        <v>13</v>
      </c>
      <c r="G1195" s="0" t="s">
        <v>49</v>
      </c>
      <c r="H1195" s="5">
        <v>50828.929700</v>
      </c>
    </row>
    <row r="1196" spans="1:9">
      <c r="A1196" s="22" t="str">
        <f>HYPERLINK("https://app.vivvix.com/360/KMI/IntelliDrive/ApplUI/Pages/CreativePages/CustomReportCreativeDetail.aspx?App=23&amp;ReportView=4&amp;Qid=1711279&amp;Row=1188&amp;Col=1","No Title Assigned - #15264715199")</f>
        <v/>
      </c>
      <c r="B1196" s="0" t="s">
        <v>1787</v>
      </c>
      <c r="C1196" s="0" t="s">
        <v>1788</v>
      </c>
      <c r="D1196" s="0" t="s">
        <v>1788</v>
      </c>
      <c r="E1196" s="0" t="inlineStr">
        <is>
          <t xml:space="preserve">Mazda</t>
        </is>
      </c>
      <c r="F1196" s="0" t="s">
        <v>13</v>
      </c>
      <c r="G1196" s="0" t="s">
        <v>49</v>
      </c>
      <c r="H1196" s="5">
        <v>50828.929700</v>
      </c>
    </row>
    <row r="1197" spans="1:9">
      <c r="A1197" s="22" t="str">
        <f>HYPERLINK("https://app.vivvix.com/360/KMI/IntelliDrive/ApplUI/Pages/CreativePages/CustomReportCreativeDetail.aspx?App=23&amp;ReportView=4&amp;Qid=1711279&amp;Row=1189&amp;Col=1","No Title Assigned - #15264715912")</f>
        <v/>
      </c>
      <c r="B1197" s="0" t="s">
        <v>1789</v>
      </c>
      <c r="C1197" s="0" t="s">
        <v>1790</v>
      </c>
      <c r="D1197" s="0" t="s">
        <v>1790</v>
      </c>
      <c r="E1197" s="0" t="inlineStr">
        <is>
          <t xml:space="preserve">Mazda</t>
        </is>
      </c>
      <c r="F1197" s="0" t="s">
        <v>28</v>
      </c>
      <c r="G1197" s="0" t="s">
        <v>29</v>
      </c>
      <c r="H1197" s="5">
        <v>198.773500</v>
      </c>
    </row>
    <row r="1198" spans="1:9">
      <c r="A1198" s="22" t="str">
        <f>HYPERLINK("https://app.vivvix.com/360/KMI/IntelliDrive/ApplUI/Pages/CreativePages/CustomReportCreativeDetail.aspx?App=23&amp;ReportView=4&amp;Qid=1711279&amp;Row=1190&amp;Col=1","No Title Assigned - #15264716078")</f>
        <v/>
      </c>
      <c r="B1198" s="0" t="s">
        <v>1791</v>
      </c>
      <c r="C1198" s="0" t="s">
        <v>1792</v>
      </c>
      <c r="D1198" s="0" t="s">
        <v>1792</v>
      </c>
      <c r="E1198" s="0" t="inlineStr">
        <is>
          <t xml:space="preserve">Mazda</t>
        </is>
      </c>
      <c r="F1198" s="0" t="s">
        <v>28</v>
      </c>
      <c r="G1198" s="0" t="s">
        <v>29</v>
      </c>
      <c r="H1198" s="5">
        <v>654.507100</v>
      </c>
    </row>
    <row r="1199" spans="1:9">
      <c r="A1199" s="22" t="str">
        <f>HYPERLINK("https://app.vivvix.com/360/KMI/IntelliDrive/ApplUI/Pages/CreativePages/CustomReportCreativeDetail.aspx?App=23&amp;ReportView=4&amp;Qid=1711279&amp;Row=1191&amp;Col=1","No Title Assigned - #15264716146")</f>
        <v/>
      </c>
      <c r="B1199" s="0" t="s">
        <v>1793</v>
      </c>
      <c r="E1199" s="0" t="inlineStr">
        <is>
          <t xml:space="preserve">Mazda</t>
        </is>
      </c>
      <c r="F1199" s="0" t="inlineStr">
        <is>
          <t xml:space="preserve">Mazda</t>
        </is>
      </c>
      <c r="G1199" s="0" t="s">
        <v>171</v>
      </c>
    </row>
    <row r="1200" spans="1:9">
      <c r="A1200" s="22" t="str">
        <f>HYPERLINK("https://app.vivvix.com/360/KMI/IntelliDrive/ApplUI/Pages/CreativePages/CustomReportCreativeDetail.aspx?App=23&amp;ReportView=4&amp;Qid=1711279&amp;Row=1192&amp;Col=1","No Title Assigned - #15264716478")</f>
        <v/>
      </c>
      <c r="B1200" s="0" t="s">
        <v>1794</v>
      </c>
      <c r="C1200" s="0" t="s">
        <v>1795</v>
      </c>
      <c r="D1200" s="0" t="s">
        <v>1795</v>
      </c>
      <c r="E1200" s="0" t="inlineStr">
        <is>
          <t xml:space="preserve">Mazda</t>
        </is>
      </c>
      <c r="F1200" s="0" t="s">
        <v>13</v>
      </c>
      <c r="G1200" s="0" t="s">
        <v>49</v>
      </c>
      <c r="H1200" s="5">
        <v>38.276000</v>
      </c>
    </row>
    <row r="1201" spans="1:9">
      <c r="A1201" s="22" t="str">
        <f>HYPERLINK("https://app.vivvix.com/360/KMI/IntelliDrive/ApplUI/Pages/CreativePages/CustomReportCreativeDetail.aspx?App=23&amp;ReportView=4&amp;Qid=1711279&amp;Row=1193&amp;Col=1","No Title Assigned - #15264717405")</f>
        <v/>
      </c>
      <c r="B1201" s="0" t="s">
        <v>1796</v>
      </c>
      <c r="C1201" s="0" t="s">
        <v>1797</v>
      </c>
      <c r="D1201" s="0" t="s">
        <v>1797</v>
      </c>
      <c r="E1201" s="0" t="inlineStr">
        <is>
          <t xml:space="preserve">Mazda</t>
        </is>
      </c>
      <c r="F1201" s="0" t="s">
        <v>28</v>
      </c>
      <c r="G1201" s="0" t="s">
        <v>29</v>
      </c>
      <c r="H1201" s="5">
        <v>6055.069200</v>
      </c>
    </row>
    <row r="1202" spans="1:9">
      <c r="A1202" s="22" t="str">
        <f>HYPERLINK("https://app.vivvix.com/360/KMI/IntelliDrive/ApplUI/Pages/CreativePages/CustomReportCreativeDetail.aspx?App=23&amp;ReportView=4&amp;Qid=1711279&amp;Row=1194&amp;Col=1","No Title Assigned - #15264717405")</f>
        <v/>
      </c>
      <c r="B1202" s="0" t="s">
        <v>1796</v>
      </c>
      <c r="E1202" s="0" t="inlineStr">
        <is>
          <t xml:space="preserve">Mazda</t>
        </is>
      </c>
      <c r="F1202" s="0" t="s">
        <v>28</v>
      </c>
      <c r="G1202" s="0" t="s">
        <v>29</v>
      </c>
      <c r="H1202" s="5">
        <v>34064.967000</v>
      </c>
    </row>
    <row r="1203" spans="1:9">
      <c r="A1203" s="22" t="str">
        <f>HYPERLINK("https://app.vivvix.com/360/KMI/IntelliDrive/ApplUI/Pages/CreativePages/CustomReportCreativeDetail.aspx?App=23&amp;ReportView=4&amp;Qid=1711279&amp;Row=1195&amp;Col=1","No Title Assigned - #15264717503")</f>
        <v/>
      </c>
      <c r="B1203" s="0" t="s">
        <v>1798</v>
      </c>
      <c r="C1203" s="0" t="s">
        <v>1799</v>
      </c>
      <c r="D1203" s="0" t="s">
        <v>1799</v>
      </c>
      <c r="E1203" s="0" t="inlineStr">
        <is>
          <t xml:space="preserve">Mazda</t>
        </is>
      </c>
      <c r="F1203" s="0" t="s">
        <v>28</v>
      </c>
      <c r="G1203" s="0" t="s">
        <v>29</v>
      </c>
      <c r="H1203" s="5">
        <v>430.364500</v>
      </c>
    </row>
    <row r="1204" spans="1:9">
      <c r="A1204" s="22" t="str">
        <f>HYPERLINK("https://app.vivvix.com/360/KMI/IntelliDrive/ApplUI/Pages/CreativePages/CustomReportCreativeDetail.aspx?App=23&amp;ReportView=4&amp;Qid=1711279&amp;Row=1196&amp;Col=1","No Title Assigned - #15264719827")</f>
        <v/>
      </c>
      <c r="B1204" s="0" t="s">
        <v>1800</v>
      </c>
      <c r="C1204" s="0" t="s">
        <v>1801</v>
      </c>
      <c r="D1204" s="0" t="s">
        <v>1801</v>
      </c>
      <c r="E1204" s="0" t="inlineStr">
        <is>
          <t xml:space="preserve">Mazda</t>
        </is>
      </c>
      <c r="F1204" s="0" t="s">
        <v>28</v>
      </c>
      <c r="G1204" s="0" t="s">
        <v>29</v>
      </c>
      <c r="H1204" s="5">
        <v>429.231900</v>
      </c>
    </row>
    <row r="1205" spans="1:9">
      <c r="A1205" s="22" t="str">
        <f>HYPERLINK("https://app.vivvix.com/360/KMI/IntelliDrive/ApplUI/Pages/CreativePages/CustomReportCreativeDetail.aspx?App=23&amp;ReportView=4&amp;Qid=1711279&amp;Row=1197&amp;Col=1","No Title Assigned - #15264720294")</f>
        <v/>
      </c>
      <c r="B1205" s="0" t="s">
        <v>1802</v>
      </c>
      <c r="C1205" s="0" t="s">
        <v>1803</v>
      </c>
      <c r="D1205" s="0" t="s">
        <v>1803</v>
      </c>
      <c r="E1205" s="0" t="inlineStr">
        <is>
          <t xml:space="preserve">Mazda</t>
        </is>
      </c>
      <c r="F1205" s="0" t="s">
        <v>28</v>
      </c>
      <c r="G1205" s="0" t="s">
        <v>29</v>
      </c>
      <c r="H1205" s="5">
        <v>1956.848800</v>
      </c>
    </row>
    <row r="1206" spans="1:9">
      <c r="A1206" s="22" t="str">
        <f>HYPERLINK("https://app.vivvix.com/360/KMI/IntelliDrive/ApplUI/Pages/CreativePages/CustomReportCreativeDetail.aspx?App=23&amp;ReportView=4&amp;Qid=1711279&amp;Row=1198&amp;Col=1","No Title Assigned - #15264722070")</f>
        <v/>
      </c>
      <c r="B1206" s="0" t="s">
        <v>1804</v>
      </c>
      <c r="C1206" s="0" t="s">
        <v>1805</v>
      </c>
      <c r="D1206" s="0" t="s">
        <v>1805</v>
      </c>
      <c r="E1206" s="0" t="inlineStr">
        <is>
          <t xml:space="preserve">Mazda</t>
        </is>
      </c>
      <c r="F1206" s="0" t="s">
        <v>28</v>
      </c>
      <c r="G1206" s="0" t="s">
        <v>29</v>
      </c>
      <c r="H1206" s="5">
        <v>206.731800</v>
      </c>
    </row>
    <row r="1207" spans="1:9">
      <c r="A1207" s="22" t="str">
        <f>HYPERLINK("https://app.vivvix.com/360/KMI/IntelliDrive/ApplUI/Pages/CreativePages/CustomReportCreativeDetail.aspx?App=23&amp;ReportView=4&amp;Qid=1711279&amp;Row=1199&amp;Col=1","No Title Assigned - #15264727791")</f>
        <v/>
      </c>
      <c r="B1207" s="0" t="s">
        <v>1806</v>
      </c>
      <c r="C1207" s="0" t="s">
        <v>1807</v>
      </c>
      <c r="D1207" s="0" t="s">
        <v>1807</v>
      </c>
      <c r="E1207" s="0" t="inlineStr">
        <is>
          <t xml:space="preserve">Mazda</t>
        </is>
      </c>
      <c r="F1207" s="0" t="s">
        <v>28</v>
      </c>
      <c r="G1207" s="0" t="s">
        <v>29</v>
      </c>
      <c r="H1207" s="5">
        <v>1574.572800</v>
      </c>
    </row>
    <row r="1208" spans="1:9">
      <c r="A1208" s="22" t="str">
        <f>HYPERLINK("https://app.vivvix.com/360/KMI/IntelliDrive/ApplUI/Pages/CreativePages/CustomReportCreativeDetail.aspx?App=23&amp;ReportView=4&amp;Qid=1711279&amp;Row=1200&amp;Col=1","No Title Assigned - #15264749138")</f>
        <v/>
      </c>
      <c r="B1208" s="0" t="s">
        <v>1808</v>
      </c>
      <c r="E1208" s="0" t="inlineStr">
        <is>
          <t xml:space="preserve">Mazda</t>
        </is>
      </c>
      <c r="F1208" s="0" t="inlineStr">
        <is>
          <t xml:space="preserve">Mazda</t>
        </is>
      </c>
      <c r="G1208" s="0" t="s">
        <v>171</v>
      </c>
    </row>
    <row r="1209" spans="1:9">
      <c r="A1209" s="22" t="str">
        <f>HYPERLINK("https://app.vivvix.com/360/KMI/IntelliDrive/ApplUI/Pages/CreativePages/CustomReportCreativeDetail.aspx?App=23&amp;ReportView=4&amp;Qid=1711279&amp;Row=1201&amp;Col=1","No Title Assigned - #15264753170")</f>
        <v/>
      </c>
      <c r="B1209" s="0" t="s">
        <v>1809</v>
      </c>
      <c r="E1209" s="0" t="inlineStr">
        <is>
          <t xml:space="preserve">Mazda</t>
        </is>
      </c>
      <c r="F1209" s="0" t="inlineStr">
        <is>
          <t xml:space="preserve">Mazda</t>
        </is>
      </c>
      <c r="G1209" s="0" t="s">
        <v>171</v>
      </c>
    </row>
    <row r="1210" spans="1:9">
      <c r="A1210" s="22" t="str">
        <f>HYPERLINK("https://app.vivvix.com/360/KMI/IntelliDrive/ApplUI/Pages/CreativePages/CustomReportCreativeDetail.aspx?App=23&amp;ReportView=4&amp;Qid=1711279&amp;Row=1202&amp;Col=1","No Title Assigned - #15264758679")</f>
        <v/>
      </c>
      <c r="B1210" s="0" t="s">
        <v>1810</v>
      </c>
      <c r="E1210" s="0" t="inlineStr">
        <is>
          <t xml:space="preserve">Mazda</t>
        </is>
      </c>
      <c r="F1210" s="0" t="inlineStr">
        <is>
          <t xml:space="preserve">Mazda</t>
        </is>
      </c>
      <c r="G1210" s="0" t="s">
        <v>171</v>
      </c>
      <c r="H1210" s="5">
        <v>19845.256800</v>
      </c>
    </row>
    <row r="1211" spans="1:9">
      <c r="A1211" s="22" t="str">
        <f>HYPERLINK("https://app.vivvix.com/360/KMI/IntelliDrive/ApplUI/Pages/CreativePages/CustomReportCreativeDetail.aspx?App=23&amp;ReportView=4&amp;Qid=1711279&amp;Row=1203&amp;Col=1","No Title Assigned - #15264758679")</f>
        <v/>
      </c>
      <c r="B1211" s="0" t="s">
        <v>1810</v>
      </c>
      <c r="E1211" s="0" t="inlineStr">
        <is>
          <t xml:space="preserve">Mazda</t>
        </is>
      </c>
      <c r="F1211" s="0" t="inlineStr">
        <is>
          <t xml:space="preserve">Mazda</t>
        </is>
      </c>
      <c r="G1211" s="0" t="s">
        <v>171</v>
      </c>
      <c r="H1211" s="5">
        <v>14584.866500</v>
      </c>
    </row>
    <row r="1212" spans="1:9">
      <c r="A1212" s="22" t="str">
        <f>HYPERLINK("https://app.vivvix.com/360/KMI/IntelliDrive/ApplUI/Pages/CreativePages/CustomReportCreativeDetail.aspx?App=23&amp;ReportView=4&amp;Qid=1711279&amp;Row=1204&amp;Col=1","No Title Assigned - #15264761728")</f>
        <v/>
      </c>
      <c r="B1212" s="0" t="s">
        <v>1811</v>
      </c>
      <c r="E1212" s="0" t="inlineStr">
        <is>
          <t xml:space="preserve">Mazda</t>
        </is>
      </c>
      <c r="F1212" s="0" t="inlineStr">
        <is>
          <t xml:space="preserve">Mazda</t>
        </is>
      </c>
      <c r="G1212" s="0" t="s">
        <v>171</v>
      </c>
      <c r="H1212" s="5">
        <v>7906.562100</v>
      </c>
    </row>
    <row r="1213" spans="1:9">
      <c r="A1213" s="22" t="str">
        <f>HYPERLINK("https://app.vivvix.com/360/KMI/IntelliDrive/ApplUI/Pages/CreativePages/CustomReportCreativeDetail.aspx?App=23&amp;ReportView=4&amp;Qid=1711279&amp;Row=1205&amp;Col=1","No Title Assigned - #15264761728")</f>
        <v/>
      </c>
      <c r="B1213" s="0" t="s">
        <v>1811</v>
      </c>
      <c r="C1213" s="0" t="s">
        <v>1812</v>
      </c>
      <c r="D1213" s="0" t="s">
        <v>1812</v>
      </c>
      <c r="E1213" s="0" t="inlineStr">
        <is>
          <t xml:space="preserve">Mazda</t>
        </is>
      </c>
      <c r="F1213" s="0" t="inlineStr">
        <is>
          <t xml:space="preserve">Mazda</t>
        </is>
      </c>
      <c r="G1213" s="0" t="s">
        <v>171</v>
      </c>
    </row>
    <row r="1214" spans="1:9">
      <c r="A1214" s="22" t="str">
        <f>HYPERLINK("https://app.vivvix.com/360/KMI/IntelliDrive/ApplUI/Pages/CreativePages/CustomReportCreativeDetail.aspx?App=23&amp;ReportView=4&amp;Qid=1711279&amp;Row=1206&amp;Col=1","No Title Assigned - #15264761729")</f>
        <v/>
      </c>
      <c r="B1214" s="0" t="s">
        <v>1813</v>
      </c>
      <c r="E1214" s="0" t="inlineStr">
        <is>
          <t xml:space="preserve">Mazda</t>
        </is>
      </c>
      <c r="F1214" s="0" t="inlineStr">
        <is>
          <t xml:space="preserve">Mazda</t>
        </is>
      </c>
      <c r="G1214" s="0" t="s">
        <v>171</v>
      </c>
      <c r="H1214" s="5">
        <v>79048.557000</v>
      </c>
    </row>
    <row r="1215" spans="1:9">
      <c r="A1215" s="22" t="str">
        <f>HYPERLINK("https://app.vivvix.com/360/KMI/IntelliDrive/ApplUI/Pages/CreativePages/CustomReportCreativeDetail.aspx?App=23&amp;ReportView=4&amp;Qid=1711279&amp;Row=1207&amp;Col=1","No Title Assigned - #15264761729")</f>
        <v/>
      </c>
      <c r="B1215" s="0" t="s">
        <v>1813</v>
      </c>
      <c r="E1215" s="0" t="inlineStr">
        <is>
          <t xml:space="preserve">Mazda</t>
        </is>
      </c>
      <c r="F1215" s="0" t="inlineStr">
        <is>
          <t xml:space="preserve">Mazda</t>
        </is>
      </c>
      <c r="G1215" s="0" t="s">
        <v>171</v>
      </c>
      <c r="H1215" s="5">
        <v>10759.061600</v>
      </c>
    </row>
    <row r="1216" spans="1:9">
      <c r="A1216" s="22" t="str">
        <f>HYPERLINK("https://app.vivvix.com/360/KMI/IntelliDrive/ApplUI/Pages/CreativePages/CustomReportCreativeDetail.aspx?App=23&amp;ReportView=4&amp;Qid=1711279&amp;Row=1208&amp;Col=1","No Title Assigned - #15264765073")</f>
        <v/>
      </c>
      <c r="B1216" s="0" t="s">
        <v>1814</v>
      </c>
      <c r="E1216" s="0" t="inlineStr">
        <is>
          <t xml:space="preserve">Mazda</t>
        </is>
      </c>
      <c r="F1216" s="0" t="s">
        <v>13</v>
      </c>
      <c r="G1216" s="0" t="s">
        <v>49</v>
      </c>
      <c r="H1216" s="5">
        <v>1494.332300</v>
      </c>
    </row>
    <row r="1217" spans="1:9">
      <c r="A1217" s="22" t="str">
        <f>HYPERLINK("https://app.vivvix.com/360/KMI/IntelliDrive/ApplUI/Pages/CreativePages/CustomReportCreativeDetail.aspx?App=23&amp;ReportView=4&amp;Qid=1711279&amp;Row=1209&amp;Col=1","No Title Assigned - #15264765073")</f>
        <v/>
      </c>
      <c r="B1217" s="0" t="s">
        <v>1814</v>
      </c>
      <c r="C1217" s="0" t="s">
        <v>1815</v>
      </c>
      <c r="D1217" s="0" t="s">
        <v>1815</v>
      </c>
      <c r="E1217" s="0" t="inlineStr">
        <is>
          <t xml:space="preserve">Mazda</t>
        </is>
      </c>
      <c r="F1217" s="0" t="s">
        <v>13</v>
      </c>
      <c r="G1217" s="0" t="s">
        <v>49</v>
      </c>
      <c r="H1217" s="5">
        <v>28254.506400</v>
      </c>
    </row>
    <row r="1218" spans="1:9">
      <c r="A1218" s="22" t="str">
        <f>HYPERLINK("https://app.vivvix.com/360/KMI/IntelliDrive/ApplUI/Pages/CreativePages/CustomReportCreativeDetail.aspx?App=23&amp;ReportView=4&amp;Qid=1711279&amp;Row=1210&amp;Col=1","No Title Assigned - #15264770680")</f>
        <v/>
      </c>
      <c r="B1218" s="0" t="s">
        <v>1816</v>
      </c>
      <c r="C1218" s="0" t="s">
        <v>1817</v>
      </c>
      <c r="D1218" s="0" t="s">
        <v>1817</v>
      </c>
      <c r="E1218" s="0" t="inlineStr">
        <is>
          <t xml:space="preserve">Mazda</t>
        </is>
      </c>
      <c r="F1218" s="0" t="s">
        <v>28</v>
      </c>
      <c r="G1218" s="0" t="s">
        <v>29</v>
      </c>
      <c r="H1218" s="5">
        <v>479.016700</v>
      </c>
    </row>
    <row r="1219" spans="1:9">
      <c r="A1219" s="22" t="str">
        <f>HYPERLINK("https://app.vivvix.com/360/KMI/IntelliDrive/ApplUI/Pages/CreativePages/CustomReportCreativeDetail.aspx?App=23&amp;ReportView=4&amp;Qid=1711279&amp;Row=1211&amp;Col=1","No Title Assigned - #15264770768")</f>
        <v/>
      </c>
      <c r="B1219" s="0" t="s">
        <v>1818</v>
      </c>
      <c r="C1219" s="0" t="s">
        <v>1819</v>
      </c>
      <c r="D1219" s="0" t="s">
        <v>1819</v>
      </c>
      <c r="E1219" s="0" t="inlineStr">
        <is>
          <t xml:space="preserve">Mazda</t>
        </is>
      </c>
      <c r="F1219" s="0" t="s">
        <v>28</v>
      </c>
      <c r="G1219" s="0" t="s">
        <v>29</v>
      </c>
      <c r="H1219" s="5">
        <v>427.902100</v>
      </c>
    </row>
    <row r="1220" spans="1:9">
      <c r="A1220" s="22" t="str">
        <f>HYPERLINK("https://app.vivvix.com/360/KMI/IntelliDrive/ApplUI/Pages/CreativePages/CustomReportCreativeDetail.aspx?App=23&amp;ReportView=4&amp;Qid=1711279&amp;Row=1212&amp;Col=1","No Title Assigned - #15264772345")</f>
        <v/>
      </c>
      <c r="B1220" s="0" t="s">
        <v>1820</v>
      </c>
      <c r="C1220" s="0" t="s">
        <v>1821</v>
      </c>
      <c r="D1220" s="0" t="s">
        <v>1821</v>
      </c>
      <c r="E1220" s="0" t="inlineStr">
        <is>
          <t xml:space="preserve">Mazda</t>
        </is>
      </c>
      <c r="F1220" s="0" t="s">
        <v>28</v>
      </c>
      <c r="G1220" s="0" t="s">
        <v>29</v>
      </c>
      <c r="H1220" s="5">
        <v>9480.100400</v>
      </c>
    </row>
    <row r="1221" spans="1:9">
      <c r="A1221" s="22" t="str">
        <f>HYPERLINK("https://app.vivvix.com/360/KMI/IntelliDrive/ApplUI/Pages/CreativePages/CustomReportCreativeDetail.aspx?App=23&amp;ReportView=4&amp;Qid=1711279&amp;Row=1213&amp;Col=1","No Title Assigned - #15264772345")</f>
        <v/>
      </c>
      <c r="B1221" s="0" t="s">
        <v>1820</v>
      </c>
      <c r="E1221" s="0" t="inlineStr">
        <is>
          <t xml:space="preserve">Mazda</t>
        </is>
      </c>
      <c r="F1221" s="0" t="s">
        <v>28</v>
      </c>
      <c r="G1221" s="0" t="s">
        <v>29</v>
      </c>
      <c r="H1221" s="5">
        <v>10006.210900</v>
      </c>
    </row>
    <row r="1222" spans="1:9">
      <c r="A1222" s="22" t="str">
        <f>HYPERLINK("https://app.vivvix.com/360/KMI/IntelliDrive/ApplUI/Pages/CreativePages/CustomReportCreativeDetail.aspx?App=23&amp;ReportView=4&amp;Qid=1711279&amp;Row=1214&amp;Col=1","No Title Assigned - #15264777654")</f>
        <v/>
      </c>
      <c r="B1222" s="0" t="s">
        <v>1822</v>
      </c>
      <c r="E1222" s="0" t="inlineStr">
        <is>
          <t xml:space="preserve">Mazda</t>
        </is>
      </c>
      <c r="F1222" s="0" t="s">
        <v>28</v>
      </c>
      <c r="G1222" s="0" t="s">
        <v>29</v>
      </c>
      <c r="H1222" s="5">
        <v>1885.501800</v>
      </c>
    </row>
    <row r="1223" spans="1:9">
      <c r="A1223" s="22" t="str">
        <f>HYPERLINK("https://app.vivvix.com/360/KMI/IntelliDrive/ApplUI/Pages/CreativePages/CustomReportCreativeDetail.aspx?App=23&amp;ReportView=4&amp;Qid=1711279&amp;Row=1215&amp;Col=1","No Title Assigned - #15264777654")</f>
        <v/>
      </c>
      <c r="B1223" s="0" t="s">
        <v>1822</v>
      </c>
      <c r="E1223" s="0" t="inlineStr">
        <is>
          <t xml:space="preserve">Mazda</t>
        </is>
      </c>
      <c r="F1223" s="0" t="s">
        <v>28</v>
      </c>
      <c r="G1223" s="0" t="s">
        <v>29</v>
      </c>
      <c r="H1223" s="5">
        <v>1027.347500</v>
      </c>
    </row>
    <row r="1224" spans="1:9">
      <c r="A1224" s="22" t="str">
        <f>HYPERLINK("https://app.vivvix.com/360/KMI/IntelliDrive/ApplUI/Pages/CreativePages/CustomReportCreativeDetail.aspx?App=23&amp;ReportView=4&amp;Qid=1711279&amp;Row=1216&amp;Col=1","No Title Assigned - #15264778293")</f>
        <v/>
      </c>
      <c r="B1224" s="0" t="s">
        <v>1823</v>
      </c>
      <c r="C1224" s="0" t="s">
        <v>1824</v>
      </c>
      <c r="D1224" s="0" t="s">
        <v>1824</v>
      </c>
      <c r="E1224" s="0" t="inlineStr">
        <is>
          <t xml:space="preserve">Mazda</t>
        </is>
      </c>
      <c r="F1224" s="0" t="s">
        <v>28</v>
      </c>
      <c r="G1224" s="0" t="s">
        <v>29</v>
      </c>
      <c r="H1224" s="5">
        <v>773.622600</v>
      </c>
    </row>
    <row r="1225" spans="1:9">
      <c r="A1225" s="22" t="str">
        <f>HYPERLINK("https://app.vivvix.com/360/KMI/IntelliDrive/ApplUI/Pages/CreativePages/CustomReportCreativeDetail.aspx?App=23&amp;ReportView=4&amp;Qid=1711279&amp;Row=1217&amp;Col=1","No Title Assigned - #15264779849")</f>
        <v/>
      </c>
      <c r="B1225" s="0" t="s">
        <v>1825</v>
      </c>
      <c r="C1225" s="0" t="s">
        <v>1826</v>
      </c>
      <c r="D1225" s="0" t="s">
        <v>1826</v>
      </c>
      <c r="E1225" s="0" t="inlineStr">
        <is>
          <t xml:space="preserve">Mazda</t>
        </is>
      </c>
      <c r="F1225" s="0" t="s">
        <v>28</v>
      </c>
      <c r="G1225" s="0" t="s">
        <v>29</v>
      </c>
      <c r="H1225" s="5">
        <v>571.337500</v>
      </c>
    </row>
    <row r="1226" spans="1:9">
      <c r="A1226" s="22" t="str">
        <f>HYPERLINK("https://app.vivvix.com/360/KMI/IntelliDrive/ApplUI/Pages/CreativePages/CustomReportCreativeDetail.aspx?App=23&amp;ReportView=4&amp;Qid=1711279&amp;Row=1218&amp;Col=1","No Title Assigned - #15264780747")</f>
        <v/>
      </c>
      <c r="B1226" s="0" t="s">
        <v>1827</v>
      </c>
      <c r="C1226" s="0" t="s">
        <v>1828</v>
      </c>
      <c r="D1226" s="0" t="s">
        <v>1828</v>
      </c>
      <c r="E1226" s="0" t="inlineStr">
        <is>
          <t xml:space="preserve">Mazda</t>
        </is>
      </c>
      <c r="F1226" s="0" t="s">
        <v>28</v>
      </c>
      <c r="G1226" s="0" t="s">
        <v>29</v>
      </c>
      <c r="H1226" s="5">
        <v>430.364500</v>
      </c>
    </row>
    <row r="1227" spans="1:9">
      <c r="A1227" s="22" t="str">
        <f>HYPERLINK("https://app.vivvix.com/360/KMI/IntelliDrive/ApplUI/Pages/CreativePages/CustomReportCreativeDetail.aspx?App=23&amp;ReportView=4&amp;Qid=1711279&amp;Row=1219&amp;Col=1","No Title Assigned - #15264783019")</f>
        <v/>
      </c>
      <c r="B1227" s="0" t="s">
        <v>1829</v>
      </c>
      <c r="C1227" s="0" t="s">
        <v>1830</v>
      </c>
      <c r="D1227" s="0" t="s">
        <v>1830</v>
      </c>
      <c r="E1227" s="0" t="inlineStr">
        <is>
          <t xml:space="preserve">Mazda</t>
        </is>
      </c>
      <c r="F1227" s="0" t="s">
        <v>21</v>
      </c>
      <c r="G1227" s="0" t="s">
        <v>22</v>
      </c>
      <c r="H1227" s="5">
        <v>1837.653100</v>
      </c>
    </row>
    <row r="1228" spans="1:9">
      <c r="A1228" s="22" t="str">
        <f>HYPERLINK("https://app.vivvix.com/360/KMI/IntelliDrive/ApplUI/Pages/CreativePages/CustomReportCreativeDetail.aspx?App=23&amp;ReportView=4&amp;Qid=1711279&amp;Row=1220&amp;Col=1","No Title Assigned - #15264789397")</f>
        <v/>
      </c>
      <c r="B1228" s="0" t="s">
        <v>1831</v>
      </c>
      <c r="C1228" s="0" t="s">
        <v>1832</v>
      </c>
      <c r="D1228" s="0" t="s">
        <v>1832</v>
      </c>
      <c r="E1228" s="0" t="inlineStr">
        <is>
          <t xml:space="preserve">Mazda</t>
        </is>
      </c>
      <c r="F1228" s="0" t="s">
        <v>28</v>
      </c>
      <c r="G1228" s="0" t="s">
        <v>29</v>
      </c>
      <c r="H1228" s="5">
        <v>3260.771700</v>
      </c>
    </row>
    <row r="1229" spans="1:9">
      <c r="A1229" s="22" t="str">
        <f>HYPERLINK("https://app.vivvix.com/360/KMI/IntelliDrive/ApplUI/Pages/CreativePages/CustomReportCreativeDetail.aspx?App=23&amp;ReportView=4&amp;Qid=1711279&amp;Row=1221&amp;Col=1","No Title Assigned - #15264794506")</f>
        <v/>
      </c>
      <c r="B1229" s="0" t="s">
        <v>1833</v>
      </c>
      <c r="E1229" s="0" t="inlineStr">
        <is>
          <t xml:space="preserve">Mazda</t>
        </is>
      </c>
      <c r="F1229" s="0" t="s">
        <v>28</v>
      </c>
      <c r="G1229" s="0" t="s">
        <v>29</v>
      </c>
      <c r="H1229" s="5">
        <v>82.826000</v>
      </c>
    </row>
    <row r="1230" spans="1:9">
      <c r="A1230" s="22" t="str">
        <f>HYPERLINK("https://app.vivvix.com/360/KMI/IntelliDrive/ApplUI/Pages/CreativePages/CustomReportCreativeDetail.aspx?App=23&amp;ReportView=4&amp;Qid=1711279&amp;Row=1222&amp;Col=1","No Title Assigned - #15264794506")</f>
        <v/>
      </c>
      <c r="B1230" s="0" t="s">
        <v>1833</v>
      </c>
      <c r="E1230" s="0" t="inlineStr">
        <is>
          <t xml:space="preserve">Mazda</t>
        </is>
      </c>
      <c r="F1230" s="0" t="s">
        <v>28</v>
      </c>
      <c r="G1230" s="0" t="s">
        <v>29</v>
      </c>
      <c r="H1230" s="5">
        <v>1488.187600</v>
      </c>
    </row>
    <row r="1231" spans="1:9">
      <c r="A1231" s="22" t="str">
        <f>HYPERLINK("https://app.vivvix.com/360/KMI/IntelliDrive/ApplUI/Pages/CreativePages/CustomReportCreativeDetail.aspx?App=23&amp;ReportView=4&amp;Qid=1711279&amp;Row=1223&amp;Col=1","No Title Assigned - #15264804700")</f>
        <v/>
      </c>
      <c r="B1231" s="0" t="s">
        <v>1834</v>
      </c>
      <c r="E1231" s="0" t="inlineStr">
        <is>
          <t xml:space="preserve">Mazda</t>
        </is>
      </c>
      <c r="F1231" s="0" t="inlineStr">
        <is>
          <t xml:space="preserve">Mazda</t>
        </is>
      </c>
      <c r="G1231" s="0" t="s">
        <v>171</v>
      </c>
      <c r="H1231" s="5">
        <v>3747.078900</v>
      </c>
    </row>
    <row r="1232" spans="1:9">
      <c r="A1232" s="22" t="str">
        <f>HYPERLINK("https://app.vivvix.com/360/KMI/IntelliDrive/ApplUI/Pages/CreativePages/CustomReportCreativeDetail.aspx?App=23&amp;ReportView=4&amp;Qid=1711279&amp;Row=1224&amp;Col=1","No Title Assigned - #15264805601")</f>
        <v/>
      </c>
      <c r="B1232" s="0" t="s">
        <v>1835</v>
      </c>
      <c r="E1232" s="0" t="inlineStr">
        <is>
          <t xml:space="preserve">Mazda</t>
        </is>
      </c>
      <c r="F1232" s="0" t="inlineStr">
        <is>
          <t xml:space="preserve">Mazda</t>
        </is>
      </c>
      <c r="G1232" s="0" t="s">
        <v>171</v>
      </c>
      <c r="H1232" s="5">
        <v>324.066200</v>
      </c>
    </row>
    <row r="1233" spans="1:9">
      <c r="A1233" s="22" t="str">
        <f>HYPERLINK("https://app.vivvix.com/360/KMI/IntelliDrive/ApplUI/Pages/CreativePages/CustomReportCreativeDetail.aspx?App=23&amp;ReportView=4&amp;Qid=1711279&amp;Row=1225&amp;Col=1","No Title Assigned - #15264806550")</f>
        <v/>
      </c>
      <c r="B1233" s="0" t="s">
        <v>1836</v>
      </c>
      <c r="C1233" s="0" t="s">
        <v>1837</v>
      </c>
      <c r="D1233" s="0" t="s">
        <v>1837</v>
      </c>
      <c r="E1233" s="0" t="inlineStr">
        <is>
          <t xml:space="preserve">Mazda</t>
        </is>
      </c>
      <c r="F1233" s="0" t="inlineStr">
        <is>
          <t xml:space="preserve">Mazda</t>
        </is>
      </c>
      <c r="G1233" s="0" t="s">
        <v>171</v>
      </c>
    </row>
    <row r="1234" spans="1:9">
      <c r="A1234" s="22" t="str">
        <f>HYPERLINK("https://app.vivvix.com/360/KMI/IntelliDrive/ApplUI/Pages/CreativePages/CustomReportCreativeDetail.aspx?App=23&amp;ReportView=4&amp;Qid=1711279&amp;Row=1226&amp;Col=1","No Title Assigned - #15264818594")</f>
        <v/>
      </c>
      <c r="B1234" s="0" t="s">
        <v>1838</v>
      </c>
      <c r="E1234" s="0" t="inlineStr">
        <is>
          <t xml:space="preserve">Mazda</t>
        </is>
      </c>
      <c r="F1234" s="0" t="inlineStr">
        <is>
          <t xml:space="preserve">Mazda</t>
        </is>
      </c>
      <c r="G1234" s="0" t="s">
        <v>171</v>
      </c>
      <c r="H1234" s="5">
        <v>17106.394000</v>
      </c>
    </row>
    <row r="1235" spans="1:9">
      <c r="A1235" s="22" t="str">
        <f>HYPERLINK("https://app.vivvix.com/360/KMI/IntelliDrive/ApplUI/Pages/CreativePages/CustomReportCreativeDetail.aspx?App=23&amp;ReportView=4&amp;Qid=1711279&amp;Row=1227&amp;Col=1","No Title Assigned - #15264818594")</f>
        <v/>
      </c>
      <c r="B1235" s="0" t="s">
        <v>1838</v>
      </c>
      <c r="E1235" s="0" t="inlineStr">
        <is>
          <t xml:space="preserve">Mazda</t>
        </is>
      </c>
      <c r="F1235" s="0" t="inlineStr">
        <is>
          <t xml:space="preserve">Mazda</t>
        </is>
      </c>
      <c r="G1235" s="0" t="s">
        <v>171</v>
      </c>
      <c r="H1235" s="5">
        <v>20871.941400</v>
      </c>
    </row>
    <row r="1236" spans="1:9">
      <c r="A1236" s="22" t="str">
        <f>HYPERLINK("https://app.vivvix.com/360/KMI/IntelliDrive/ApplUI/Pages/CreativePages/CustomReportCreativeDetail.aspx?App=23&amp;ReportView=4&amp;Qid=1711279&amp;Row=1228&amp;Col=1","No Title Assigned - #15264820096")</f>
        <v/>
      </c>
      <c r="B1236" s="0" t="s">
        <v>1839</v>
      </c>
      <c r="E1236" s="0" t="inlineStr">
        <is>
          <t xml:space="preserve">Mazda</t>
        </is>
      </c>
      <c r="F1236" s="0" t="inlineStr">
        <is>
          <t xml:space="preserve">Mazda</t>
        </is>
      </c>
      <c r="G1236" s="0" t="s">
        <v>171</v>
      </c>
    </row>
    <row r="1237" spans="1:9">
      <c r="A1237" s="22" t="str">
        <f>HYPERLINK("https://app.vivvix.com/360/KMI/IntelliDrive/ApplUI/Pages/CreativePages/CustomReportCreativeDetail.aspx?App=23&amp;ReportView=4&amp;Qid=1711279&amp;Row=1229&amp;Col=1","No Title Assigned - #15264823047")</f>
        <v/>
      </c>
      <c r="B1237" s="0" t="s">
        <v>1840</v>
      </c>
      <c r="C1237" s="0" t="s">
        <v>1841</v>
      </c>
      <c r="D1237" s="0" t="s">
        <v>1841</v>
      </c>
      <c r="E1237" s="0" t="inlineStr">
        <is>
          <t xml:space="preserve">Mazda</t>
        </is>
      </c>
      <c r="F1237" s="0" t="s">
        <v>13</v>
      </c>
      <c r="G1237" s="0" t="s">
        <v>49</v>
      </c>
      <c r="H1237" s="5">
        <v>420.602500</v>
      </c>
    </row>
    <row r="1238" spans="1:9">
      <c r="A1238" s="22" t="str">
        <f>HYPERLINK("https://app.vivvix.com/360/KMI/IntelliDrive/ApplUI/Pages/CreativePages/CustomReportCreativeDetail.aspx?App=23&amp;ReportView=4&amp;Qid=1711279&amp;Row=1230&amp;Col=1","No Title Assigned - #15264823047")</f>
        <v/>
      </c>
      <c r="B1238" s="0" t="s">
        <v>1840</v>
      </c>
      <c r="E1238" s="0" t="inlineStr">
        <is>
          <t xml:space="preserve">Mazda</t>
        </is>
      </c>
      <c r="F1238" s="0" t="s">
        <v>13</v>
      </c>
      <c r="G1238" s="0" t="s">
        <v>49</v>
      </c>
      <c r="H1238" s="5">
        <v>1746.206200</v>
      </c>
    </row>
    <row r="1239" spans="1:9">
      <c r="A1239" s="22" t="str">
        <f>HYPERLINK("https://app.vivvix.com/360/KMI/IntelliDrive/ApplUI/Pages/CreativePages/CustomReportCreativeDetail.aspx?App=23&amp;ReportView=4&amp;Qid=1711279&amp;Row=1231&amp;Col=1","No Title Assigned - #15264823068")</f>
        <v/>
      </c>
      <c r="B1239" s="0" t="s">
        <v>1842</v>
      </c>
      <c r="C1239" s="0" t="s">
        <v>1843</v>
      </c>
      <c r="D1239" s="0" t="s">
        <v>1843</v>
      </c>
      <c r="E1239" s="0" t="inlineStr">
        <is>
          <t xml:space="preserve">Mazda</t>
        </is>
      </c>
      <c r="F1239" s="0" t="s">
        <v>28</v>
      </c>
      <c r="G1239" s="0" t="s">
        <v>29</v>
      </c>
      <c r="H1239" s="5">
        <v>445.114400</v>
      </c>
    </row>
    <row r="1240" spans="1:9">
      <c r="A1240" s="22" t="str">
        <f>HYPERLINK("https://app.vivvix.com/360/KMI/IntelliDrive/ApplUI/Pages/CreativePages/CustomReportCreativeDetail.aspx?App=23&amp;ReportView=4&amp;Qid=1711279&amp;Row=1232&amp;Col=1","No Title Assigned - #15264824514")</f>
        <v/>
      </c>
      <c r="B1240" s="0" t="s">
        <v>1844</v>
      </c>
      <c r="C1240" s="0" t="s">
        <v>1845</v>
      </c>
      <c r="D1240" s="0" t="s">
        <v>1845</v>
      </c>
      <c r="E1240" s="0" t="inlineStr">
        <is>
          <t xml:space="preserve">Mazda</t>
        </is>
      </c>
      <c r="F1240" s="0" t="s">
        <v>28</v>
      </c>
      <c r="G1240" s="0" t="s">
        <v>29</v>
      </c>
      <c r="H1240" s="5">
        <v>3260.771700</v>
      </c>
    </row>
    <row r="1241" spans="1:9">
      <c r="A1241" s="22" t="str">
        <f>HYPERLINK("https://app.vivvix.com/360/KMI/IntelliDrive/ApplUI/Pages/CreativePages/CustomReportCreativeDetail.aspx?App=23&amp;ReportView=4&amp;Qid=1711279&amp;Row=1233&amp;Col=1","No Title Assigned - #15264825529")</f>
        <v/>
      </c>
      <c r="B1241" s="0" t="s">
        <v>1846</v>
      </c>
      <c r="C1241" s="0" t="s">
        <v>1847</v>
      </c>
      <c r="D1241" s="0" t="s">
        <v>1847</v>
      </c>
      <c r="E1241" s="0" t="inlineStr">
        <is>
          <t xml:space="preserve">Mazda</t>
        </is>
      </c>
      <c r="F1241" s="0" t="s">
        <v>13</v>
      </c>
      <c r="G1241" s="0" t="s">
        <v>49</v>
      </c>
      <c r="H1241" s="5">
        <v>2295.793200</v>
      </c>
    </row>
    <row r="1242" spans="1:9">
      <c r="A1242" s="22" t="str">
        <f>HYPERLINK("https://app.vivvix.com/360/KMI/IntelliDrive/ApplUI/Pages/CreativePages/CustomReportCreativeDetail.aspx?App=23&amp;ReportView=4&amp;Qid=1711279&amp;Row=1234&amp;Col=1","No Title Assigned - #15264825682")</f>
        <v/>
      </c>
      <c r="B1242" s="0" t="s">
        <v>1848</v>
      </c>
      <c r="C1242" s="0" t="s">
        <v>1849</v>
      </c>
      <c r="D1242" s="0" t="s">
        <v>1849</v>
      </c>
      <c r="E1242" s="0" t="inlineStr">
        <is>
          <t xml:space="preserve">Mazda</t>
        </is>
      </c>
      <c r="F1242" s="0" t="s">
        <v>13</v>
      </c>
      <c r="G1242" s="0" t="s">
        <v>49</v>
      </c>
      <c r="H1242" s="5">
        <v>2295.793200</v>
      </c>
    </row>
    <row r="1243" spans="1:9">
      <c r="A1243" s="22" t="str">
        <f>HYPERLINK("https://app.vivvix.com/360/KMI/IntelliDrive/ApplUI/Pages/CreativePages/CustomReportCreativeDetail.aspx?App=23&amp;ReportView=4&amp;Qid=1711279&amp;Row=1235&amp;Col=1","No Title Assigned - #15264828729")</f>
        <v/>
      </c>
      <c r="B1243" s="0" t="s">
        <v>1850</v>
      </c>
      <c r="E1243" s="0" t="inlineStr">
        <is>
          <t xml:space="preserve">Mazda</t>
        </is>
      </c>
      <c r="F1243" s="0" t="s">
        <v>56</v>
      </c>
      <c r="G1243" s="0" t="s">
        <v>57</v>
      </c>
      <c r="H1243" s="5">
        <v>16717.082000</v>
      </c>
    </row>
    <row r="1244" spans="1:9">
      <c r="A1244" s="22" t="str">
        <f>HYPERLINK("https://app.vivvix.com/360/KMI/IntelliDrive/ApplUI/Pages/CreativePages/CustomReportCreativeDetail.aspx?App=23&amp;ReportView=4&amp;Qid=1711279&amp;Row=1236&amp;Col=1","No Title Assigned - #15264828729")</f>
        <v/>
      </c>
      <c r="B1244" s="0" t="s">
        <v>1850</v>
      </c>
      <c r="E1244" s="0" t="inlineStr">
        <is>
          <t xml:space="preserve">Mazda</t>
        </is>
      </c>
      <c r="F1244" s="0" t="s">
        <v>56</v>
      </c>
      <c r="G1244" s="0" t="s">
        <v>57</v>
      </c>
      <c r="H1244" s="5">
        <v>2687.937000</v>
      </c>
    </row>
    <row r="1245" spans="1:9">
      <c r="A1245" s="22" t="str">
        <f>HYPERLINK("https://app.vivvix.com/360/KMI/IntelliDrive/ApplUI/Pages/CreativePages/CustomReportCreativeDetail.aspx?App=23&amp;ReportView=4&amp;Qid=1711279&amp;Row=1237&amp;Col=1","No Title Assigned - #15264829911")</f>
        <v/>
      </c>
      <c r="B1245" s="0" t="s">
        <v>1851</v>
      </c>
      <c r="C1245" s="0" t="s">
        <v>1852</v>
      </c>
      <c r="D1245" s="0" t="s">
        <v>1852</v>
      </c>
      <c r="E1245" s="0" t="inlineStr">
        <is>
          <t xml:space="preserve">Mazda</t>
        </is>
      </c>
      <c r="F1245" s="0" t="s">
        <v>56</v>
      </c>
      <c r="G1245" s="0" t="s">
        <v>57</v>
      </c>
      <c r="H1245" s="5">
        <v>430.364500</v>
      </c>
    </row>
    <row r="1246" spans="1:9">
      <c r="A1246" s="22" t="str">
        <f>HYPERLINK("https://app.vivvix.com/360/KMI/IntelliDrive/ApplUI/Pages/CreativePages/CustomReportCreativeDetail.aspx?App=23&amp;ReportView=4&amp;Qid=1711279&amp;Row=1238&amp;Col=1","No Title Assigned - #15264831487")</f>
        <v/>
      </c>
      <c r="B1246" s="0" t="s">
        <v>1853</v>
      </c>
      <c r="E1246" s="0" t="inlineStr">
        <is>
          <t xml:space="preserve">Mazda</t>
        </is>
      </c>
      <c r="F1246" s="0" t="s">
        <v>13</v>
      </c>
      <c r="G1246" s="0" t="s">
        <v>49</v>
      </c>
      <c r="H1246" s="5">
        <v>6312.431100</v>
      </c>
    </row>
    <row r="1247" spans="1:9">
      <c r="A1247" s="22" t="str">
        <f>HYPERLINK("https://app.vivvix.com/360/KMI/IntelliDrive/ApplUI/Pages/CreativePages/CustomReportCreativeDetail.aspx?App=23&amp;ReportView=4&amp;Qid=1711279&amp;Row=1239&amp;Col=1","No Title Assigned - #15264831487")</f>
        <v/>
      </c>
      <c r="B1247" s="0" t="s">
        <v>1853</v>
      </c>
      <c r="C1247" s="0" t="s">
        <v>1854</v>
      </c>
      <c r="D1247" s="0" t="s">
        <v>1854</v>
      </c>
      <c r="E1247" s="0" t="inlineStr">
        <is>
          <t xml:space="preserve">Mazda</t>
        </is>
      </c>
      <c r="F1247" s="0" t="s">
        <v>13</v>
      </c>
      <c r="G1247" s="0" t="s">
        <v>49</v>
      </c>
      <c r="H1247" s="5">
        <v>1474.708000</v>
      </c>
    </row>
    <row r="1248" spans="1:9">
      <c r="A1248" s="22" t="str">
        <f>HYPERLINK("https://app.vivvix.com/360/KMI/IntelliDrive/ApplUI/Pages/CreativePages/CustomReportCreativeDetail.aspx?App=23&amp;ReportView=4&amp;Qid=1711279&amp;Row=1240&amp;Col=1","No Title Assigned - #15264833973")</f>
        <v/>
      </c>
      <c r="B1248" s="0" t="s">
        <v>1855</v>
      </c>
      <c r="C1248" s="0" t="s">
        <v>1856</v>
      </c>
      <c r="D1248" s="0" t="s">
        <v>1856</v>
      </c>
      <c r="E1248" s="0" t="inlineStr">
        <is>
          <t xml:space="preserve">Mazda</t>
        </is>
      </c>
      <c r="F1248" s="0" t="s">
        <v>28</v>
      </c>
      <c r="G1248" s="0" t="s">
        <v>29</v>
      </c>
      <c r="H1248" s="5">
        <v>860.729000</v>
      </c>
    </row>
    <row r="1249" spans="1:9">
      <c r="A1249" s="22" t="str">
        <f>HYPERLINK("https://app.vivvix.com/360/KMI/IntelliDrive/ApplUI/Pages/CreativePages/CustomReportCreativeDetail.aspx?App=23&amp;ReportView=4&amp;Qid=1711279&amp;Row=1241&amp;Col=1","No Title Assigned - #15264836672")</f>
        <v/>
      </c>
      <c r="B1249" s="0" t="s">
        <v>1857</v>
      </c>
      <c r="C1249" s="0" t="s">
        <v>1858</v>
      </c>
      <c r="D1249" s="0" t="s">
        <v>1858</v>
      </c>
      <c r="E1249" s="0" t="inlineStr">
        <is>
          <t xml:space="preserve">Mazda</t>
        </is>
      </c>
      <c r="F1249" s="0" t="s">
        <v>28</v>
      </c>
      <c r="G1249" s="0" t="s">
        <v>29</v>
      </c>
      <c r="H1249" s="5">
        <v>681.415500</v>
      </c>
    </row>
    <row r="1250" spans="1:9">
      <c r="A1250" s="22" t="str">
        <f>HYPERLINK("https://app.vivvix.com/360/KMI/IntelliDrive/ApplUI/Pages/CreativePages/CustomReportCreativeDetail.aspx?App=23&amp;ReportView=4&amp;Qid=1711279&amp;Row=1242&amp;Col=1","No Title Assigned - #15264851186")</f>
        <v/>
      </c>
      <c r="B1250" s="0" t="s">
        <v>1859</v>
      </c>
      <c r="C1250" s="0" t="s">
        <v>1860</v>
      </c>
      <c r="D1250" s="0" t="s">
        <v>1860</v>
      </c>
      <c r="E1250" s="0" t="inlineStr">
        <is>
          <t xml:space="preserve">Mazda</t>
        </is>
      </c>
      <c r="F1250" s="0" t="s">
        <v>21</v>
      </c>
      <c r="G1250" s="0" t="s">
        <v>22</v>
      </c>
      <c r="H1250" s="5">
        <v>312.439500</v>
      </c>
    </row>
    <row r="1251" spans="1:9">
      <c r="A1251" s="22" t="str">
        <f>HYPERLINK("https://app.vivvix.com/360/KMI/IntelliDrive/ApplUI/Pages/CreativePages/CustomReportCreativeDetail.aspx?App=23&amp;ReportView=4&amp;Qid=1711279&amp;Row=1243&amp;Col=1","No Title Assigned - #15264854821")</f>
        <v/>
      </c>
      <c r="B1251" s="0" t="s">
        <v>1861</v>
      </c>
      <c r="C1251" s="0" t="s">
        <v>1862</v>
      </c>
      <c r="D1251" s="0" t="s">
        <v>1862</v>
      </c>
      <c r="E1251" s="0" t="inlineStr">
        <is>
          <t xml:space="preserve">Mazda</t>
        </is>
      </c>
      <c r="F1251" s="0" t="s">
        <v>21</v>
      </c>
      <c r="G1251" s="0" t="s">
        <v>22</v>
      </c>
      <c r="H1251" s="5">
        <v>54404.398400</v>
      </c>
    </row>
    <row r="1252" spans="1:9">
      <c r="A1252" s="22" t="str">
        <f>HYPERLINK("https://app.vivvix.com/360/KMI/IntelliDrive/ApplUI/Pages/CreativePages/CustomReportCreativeDetail.aspx?App=23&amp;ReportView=4&amp;Qid=1711279&amp;Row=1244&amp;Col=1","No Title Assigned - #15264854821")</f>
        <v/>
      </c>
      <c r="B1252" s="0" t="s">
        <v>1861</v>
      </c>
      <c r="E1252" s="0" t="inlineStr">
        <is>
          <t xml:space="preserve">Mazda</t>
        </is>
      </c>
      <c r="F1252" s="0" t="s">
        <v>21</v>
      </c>
      <c r="G1252" s="0" t="s">
        <v>22</v>
      </c>
      <c r="H1252" s="5">
        <v>121.383500</v>
      </c>
    </row>
    <row r="1253" spans="1:9">
      <c r="A1253" s="22" t="str">
        <f>HYPERLINK("https://app.vivvix.com/360/KMI/IntelliDrive/ApplUI/Pages/CreativePages/CustomReportCreativeDetail.aspx?App=23&amp;ReportView=4&amp;Qid=1711279&amp;Row=1245&amp;Col=1","No Title Assigned - #15264865753")</f>
        <v/>
      </c>
      <c r="B1253" s="0" t="s">
        <v>1863</v>
      </c>
      <c r="E1253" s="0" t="inlineStr">
        <is>
          <t xml:space="preserve">Mazda</t>
        </is>
      </c>
      <c r="F1253" s="0" t="s">
        <v>28</v>
      </c>
      <c r="G1253" s="0" t="s">
        <v>29</v>
      </c>
      <c r="H1253" s="5">
        <v>853.251600</v>
      </c>
    </row>
    <row r="1254" spans="1:9">
      <c r="A1254" s="22" t="str">
        <f>HYPERLINK("https://app.vivvix.com/360/KMI/IntelliDrive/ApplUI/Pages/CreativePages/CustomReportCreativeDetail.aspx?App=23&amp;ReportView=4&amp;Qid=1711279&amp;Row=1246&amp;Col=1","No Title Assigned - #15264865753")</f>
        <v/>
      </c>
      <c r="B1254" s="0" t="s">
        <v>1863</v>
      </c>
      <c r="C1254" s="0" t="s">
        <v>1864</v>
      </c>
      <c r="D1254" s="0" t="s">
        <v>1864</v>
      </c>
      <c r="E1254" s="0" t="inlineStr">
        <is>
          <t xml:space="preserve">Mazda</t>
        </is>
      </c>
      <c r="F1254" s="0" t="s">
        <v>28</v>
      </c>
      <c r="G1254" s="0" t="s">
        <v>29</v>
      </c>
      <c r="H1254" s="5">
        <v>220.159700</v>
      </c>
    </row>
    <row r="1255" spans="1:9">
      <c r="A1255" s="22" t="str">
        <f>HYPERLINK("https://app.vivvix.com/360/KMI/IntelliDrive/ApplUI/Pages/CreativePages/CustomReportCreativeDetail.aspx?App=23&amp;ReportView=4&amp;Qid=1711279&amp;Row=1247&amp;Col=1","No Title Assigned - #15264867130")</f>
        <v/>
      </c>
      <c r="B1255" s="0" t="s">
        <v>1865</v>
      </c>
      <c r="C1255" s="0" t="s">
        <v>1866</v>
      </c>
      <c r="D1255" s="0" t="s">
        <v>1866</v>
      </c>
      <c r="E1255" s="0" t="inlineStr">
        <is>
          <t xml:space="preserve">Mazda</t>
        </is>
      </c>
      <c r="F1255" s="0" t="s">
        <v>13</v>
      </c>
      <c r="G1255" s="0" t="s">
        <v>49</v>
      </c>
      <c r="H1255" s="5">
        <v>229.656000</v>
      </c>
    </row>
    <row r="1256" spans="1:9">
      <c r="A1256" s="22" t="str">
        <f>HYPERLINK("https://app.vivvix.com/360/KMI/IntelliDrive/ApplUI/Pages/CreativePages/CustomReportCreativeDetail.aspx?App=23&amp;ReportView=4&amp;Qid=1711279&amp;Row=1248&amp;Col=1","No Title Assigned - #15264874600")</f>
        <v/>
      </c>
      <c r="B1256" s="0" t="s">
        <v>1867</v>
      </c>
      <c r="E1256" s="0" t="inlineStr">
        <is>
          <t xml:space="preserve">Mazda</t>
        </is>
      </c>
      <c r="F1256" s="0" t="inlineStr">
        <is>
          <t xml:space="preserve">Mazda</t>
        </is>
      </c>
      <c r="G1256" s="0" t="s">
        <v>210</v>
      </c>
      <c r="H1256" s="5">
        <v>16175.160100</v>
      </c>
    </row>
    <row r="1257" spans="1:9">
      <c r="A1257" s="22" t="str">
        <f>HYPERLINK("https://app.vivvix.com/360/KMI/IntelliDrive/ApplUI/Pages/CreativePages/CustomReportCreativeDetail.aspx?App=23&amp;ReportView=4&amp;Qid=1711279&amp;Row=1249&amp;Col=1","No Title Assigned - #15264874600")</f>
        <v/>
      </c>
      <c r="B1257" s="0" t="s">
        <v>1867</v>
      </c>
      <c r="C1257" s="0" t="s">
        <v>1868</v>
      </c>
      <c r="D1257" s="0" t="s">
        <v>1868</v>
      </c>
      <c r="E1257" s="0" t="inlineStr">
        <is>
          <t xml:space="preserve">Mazda</t>
        </is>
      </c>
      <c r="F1257" s="0" t="inlineStr">
        <is>
          <t xml:space="preserve">Mazda</t>
        </is>
      </c>
      <c r="G1257" s="0" t="s">
        <v>210</v>
      </c>
      <c r="H1257" s="5">
        <v>15347.709200</v>
      </c>
    </row>
    <row r="1258" spans="1:9">
      <c r="A1258" s="22" t="str">
        <f>HYPERLINK("https://app.vivvix.com/360/KMI/IntelliDrive/ApplUI/Pages/CreativePages/CustomReportCreativeDetail.aspx?App=23&amp;ReportView=4&amp;Qid=1711279&amp;Row=1250&amp;Col=1","No Title Assigned - #15264874932")</f>
        <v/>
      </c>
      <c r="B1258" s="0" t="s">
        <v>1869</v>
      </c>
      <c r="C1258" s="0" t="s">
        <v>1870</v>
      </c>
      <c r="D1258" s="0" t="s">
        <v>1870</v>
      </c>
      <c r="E1258" s="0" t="inlineStr">
        <is>
          <t xml:space="preserve">Mazda</t>
        </is>
      </c>
      <c r="F1258" s="0" t="s">
        <v>13</v>
      </c>
      <c r="G1258" s="0" t="s">
        <v>49</v>
      </c>
      <c r="H1258" s="5">
        <v>2465.287800</v>
      </c>
    </row>
    <row r="1259" spans="1:9">
      <c r="A1259" s="22" t="str">
        <f>HYPERLINK("https://app.vivvix.com/360/KMI/IntelliDrive/ApplUI/Pages/CreativePages/CustomReportCreativeDetail.aspx?App=23&amp;ReportView=4&amp;Qid=1711279&amp;Row=1251&amp;Col=1","No Title Assigned - #15264875650")</f>
        <v/>
      </c>
      <c r="B1259" s="0" t="s">
        <v>1871</v>
      </c>
      <c r="C1259" s="0" t="s">
        <v>1872</v>
      </c>
      <c r="D1259" s="0" t="s">
        <v>1872</v>
      </c>
      <c r="E1259" s="0" t="inlineStr">
        <is>
          <t xml:space="preserve">Mazda</t>
        </is>
      </c>
      <c r="F1259" s="0" t="s">
        <v>13</v>
      </c>
      <c r="G1259" s="0" t="s">
        <v>49</v>
      </c>
      <c r="H1259" s="5">
        <v>1430.248400</v>
      </c>
    </row>
    <row r="1260" spans="1:9">
      <c r="A1260" s="22" t="str">
        <f>HYPERLINK("https://app.vivvix.com/360/KMI/IntelliDrive/ApplUI/Pages/CreativePages/CustomReportCreativeDetail.aspx?App=23&amp;ReportView=4&amp;Qid=1711279&amp;Row=1252&amp;Col=1","No Title Assigned - #15264876766")</f>
        <v/>
      </c>
      <c r="B1260" s="0" t="s">
        <v>1873</v>
      </c>
      <c r="C1260" s="0" t="s">
        <v>1874</v>
      </c>
      <c r="D1260" s="0" t="s">
        <v>1874</v>
      </c>
      <c r="E1260" s="0" t="inlineStr">
        <is>
          <t xml:space="preserve">Mazda</t>
        </is>
      </c>
      <c r="F1260" s="0" t="s">
        <v>28</v>
      </c>
      <c r="G1260" s="0" t="s">
        <v>29</v>
      </c>
      <c r="H1260" s="5">
        <v>2245.563200</v>
      </c>
    </row>
    <row r="1261" spans="1:9">
      <c r="A1261" s="22" t="str">
        <f>HYPERLINK("https://app.vivvix.com/360/KMI/IntelliDrive/ApplUI/Pages/CreativePages/CustomReportCreativeDetail.aspx?App=23&amp;ReportView=4&amp;Qid=1711279&amp;Row=1253&amp;Col=1","No Title Assigned - #15264876921")</f>
        <v/>
      </c>
      <c r="B1261" s="0" t="s">
        <v>1875</v>
      </c>
      <c r="C1261" s="0" t="s">
        <v>1876</v>
      </c>
      <c r="D1261" s="0" t="s">
        <v>1876</v>
      </c>
      <c r="E1261" s="0" t="inlineStr">
        <is>
          <t xml:space="preserve">Mazda</t>
        </is>
      </c>
      <c r="F1261" s="0" t="s">
        <v>13</v>
      </c>
      <c r="G1261" s="0" t="s">
        <v>49</v>
      </c>
      <c r="H1261" s="5">
        <v>1837.653100</v>
      </c>
    </row>
    <row r="1262" spans="1:9">
      <c r="A1262" s="22" t="str">
        <f>HYPERLINK("https://app.vivvix.com/360/KMI/IntelliDrive/ApplUI/Pages/CreativePages/CustomReportCreativeDetail.aspx?App=23&amp;ReportView=4&amp;Qid=1711279&amp;Row=1254&amp;Col=1","No Title Assigned - #15264878327")</f>
        <v/>
      </c>
      <c r="B1262" s="0" t="s">
        <v>1877</v>
      </c>
      <c r="C1262" s="0" t="s">
        <v>1878</v>
      </c>
      <c r="D1262" s="0" t="s">
        <v>1878</v>
      </c>
      <c r="E1262" s="0" t="inlineStr">
        <is>
          <t xml:space="preserve">Mazda</t>
        </is>
      </c>
      <c r="F1262" s="0" t="s">
        <v>13</v>
      </c>
      <c r="G1262" s="0" t="s">
        <v>49</v>
      </c>
      <c r="H1262" s="5">
        <v>3355.038700</v>
      </c>
    </row>
    <row r="1263" spans="1:9">
      <c r="A1263" s="22" t="str">
        <f>HYPERLINK("https://app.vivvix.com/360/KMI/IntelliDrive/ApplUI/Pages/CreativePages/CustomReportCreativeDetail.aspx?App=23&amp;ReportView=4&amp;Qid=1711279&amp;Row=1255&amp;Col=1","No Title Assigned - #15264880227")</f>
        <v/>
      </c>
      <c r="B1263" s="0" t="s">
        <v>1879</v>
      </c>
      <c r="C1263" s="0" t="s">
        <v>1880</v>
      </c>
      <c r="D1263" s="0" t="s">
        <v>1880</v>
      </c>
      <c r="E1263" s="0" t="inlineStr">
        <is>
          <t xml:space="preserve">Mazda</t>
        </is>
      </c>
      <c r="F1263" s="0" t="s">
        <v>13</v>
      </c>
      <c r="G1263" s="0" t="s">
        <v>49</v>
      </c>
      <c r="H1263" s="5">
        <v>274.712400</v>
      </c>
    </row>
    <row r="1264" spans="1:9">
      <c r="A1264" s="22" t="str">
        <f>HYPERLINK("https://app.vivvix.com/360/KMI/IntelliDrive/ApplUI/Pages/CreativePages/CustomReportCreativeDetail.aspx?App=23&amp;ReportView=4&amp;Qid=1711279&amp;Row=1256&amp;Col=1","No Title Assigned - #15264912966")</f>
        <v/>
      </c>
      <c r="B1264" s="0" t="s">
        <v>1881</v>
      </c>
      <c r="C1264" s="0" t="s">
        <v>1882</v>
      </c>
      <c r="D1264" s="0" t="s">
        <v>1882</v>
      </c>
      <c r="E1264" s="0" t="inlineStr">
        <is>
          <t xml:space="preserve">Mazda</t>
        </is>
      </c>
      <c r="F1264" s="0" t="s">
        <v>28</v>
      </c>
      <c r="G1264" s="0" t="s">
        <v>29</v>
      </c>
      <c r="H1264" s="5">
        <v>705.919600</v>
      </c>
    </row>
    <row r="1265" spans="1:9">
      <c r="A1265" s="22" t="str">
        <f>HYPERLINK("https://app.vivvix.com/360/KMI/IntelliDrive/ApplUI/Pages/CreativePages/CustomReportCreativeDetail.aspx?App=23&amp;ReportView=4&amp;Qid=1711279&amp;Row=1257&amp;Col=1","No Title Assigned - #15264916659")</f>
        <v/>
      </c>
      <c r="B1265" s="0" t="s">
        <v>1883</v>
      </c>
      <c r="E1265" s="0" t="inlineStr">
        <is>
          <t xml:space="preserve">Mazda</t>
        </is>
      </c>
      <c r="F1265" s="0" t="s">
        <v>21</v>
      </c>
      <c r="G1265" s="0" t="s">
        <v>22</v>
      </c>
      <c r="H1265" s="5">
        <v>716.206100</v>
      </c>
    </row>
    <row r="1266" spans="1:9">
      <c r="A1266" s="22" t="str">
        <f>HYPERLINK("https://app.vivvix.com/360/KMI/IntelliDrive/ApplUI/Pages/CreativePages/CustomReportCreativeDetail.aspx?App=23&amp;ReportView=4&amp;Qid=1711279&amp;Row=1258&amp;Col=1","No Title Assigned - #15264917267")</f>
        <v/>
      </c>
      <c r="B1266" s="0" t="s">
        <v>1884</v>
      </c>
      <c r="C1266" s="0" t="s">
        <v>1885</v>
      </c>
      <c r="D1266" s="0" t="s">
        <v>1885</v>
      </c>
      <c r="E1266" s="0" t="inlineStr">
        <is>
          <t xml:space="preserve">Mazda</t>
        </is>
      </c>
      <c r="F1266" s="0" t="s">
        <v>13</v>
      </c>
      <c r="G1266" s="0" t="s">
        <v>49</v>
      </c>
      <c r="H1266" s="5">
        <v>15973.317200</v>
      </c>
    </row>
    <row r="1267" spans="1:9">
      <c r="A1267" s="22" t="str">
        <f>HYPERLINK("https://app.vivvix.com/360/KMI/IntelliDrive/ApplUI/Pages/CreativePages/CustomReportCreativeDetail.aspx?App=23&amp;ReportView=4&amp;Qid=1711279&amp;Row=1259&amp;Col=1","No Title Assigned - #15264917267")</f>
        <v/>
      </c>
      <c r="B1267" s="0" t="s">
        <v>1884</v>
      </c>
      <c r="E1267" s="0" t="inlineStr">
        <is>
          <t xml:space="preserve">Mazda</t>
        </is>
      </c>
      <c r="F1267" s="0" t="s">
        <v>13</v>
      </c>
      <c r="G1267" s="0" t="s">
        <v>49</v>
      </c>
      <c r="H1267" s="5">
        <v>122222.839300</v>
      </c>
    </row>
    <row r="1268" spans="1:9">
      <c r="A1268" s="22" t="str">
        <f>HYPERLINK("https://app.vivvix.com/360/KMI/IntelliDrive/ApplUI/Pages/CreativePages/CustomReportCreativeDetail.aspx?App=23&amp;ReportView=4&amp;Qid=1711279&amp;Row=1260&amp;Col=1","No Title Assigned - #15264918244")</f>
        <v/>
      </c>
      <c r="B1268" s="0" t="s">
        <v>1886</v>
      </c>
      <c r="C1268" s="0" t="s">
        <v>1887</v>
      </c>
      <c r="D1268" s="0" t="s">
        <v>1887</v>
      </c>
      <c r="E1268" s="0" t="inlineStr">
        <is>
          <t xml:space="preserve">Mazda</t>
        </is>
      </c>
      <c r="F1268" s="0" t="s">
        <v>13</v>
      </c>
      <c r="G1268" s="0" t="s">
        <v>49</v>
      </c>
      <c r="H1268" s="5">
        <v>419.503300</v>
      </c>
    </row>
    <row r="1269" spans="1:9">
      <c r="A1269" s="22" t="str">
        <f>HYPERLINK("https://app.vivvix.com/360/KMI/IntelliDrive/ApplUI/Pages/CreativePages/CustomReportCreativeDetail.aspx?App=23&amp;ReportView=4&amp;Qid=1711279&amp;Row=1261&amp;Col=1","No Title Assigned - #15264921828")</f>
        <v/>
      </c>
      <c r="B1269" s="0" t="s">
        <v>1888</v>
      </c>
      <c r="C1269" s="0" t="s">
        <v>1889</v>
      </c>
      <c r="D1269" s="0" t="s">
        <v>1889</v>
      </c>
      <c r="E1269" s="0" t="inlineStr">
        <is>
          <t xml:space="preserve">Mazda</t>
        </is>
      </c>
      <c r="F1269" s="0" t="s">
        <v>28</v>
      </c>
      <c r="G1269" s="0" t="s">
        <v>29</v>
      </c>
      <c r="H1269" s="5">
        <v>504.817500</v>
      </c>
    </row>
    <row r="1270" spans="1:9">
      <c r="A1270" s="22" t="str">
        <f>HYPERLINK("https://app.vivvix.com/360/KMI/IntelliDrive/ApplUI/Pages/CreativePages/CustomReportCreativeDetail.aspx?App=23&amp;ReportView=4&amp;Qid=1711279&amp;Row=1262&amp;Col=1","No Title Assigned - #15264921941")</f>
        <v/>
      </c>
      <c r="B1270" s="0" t="s">
        <v>1890</v>
      </c>
      <c r="C1270" s="0" t="s">
        <v>1891</v>
      </c>
      <c r="D1270" s="0" t="s">
        <v>1891</v>
      </c>
      <c r="E1270" s="0" t="inlineStr">
        <is>
          <t xml:space="preserve">Mazda</t>
        </is>
      </c>
      <c r="F1270" s="0" t="s">
        <v>13</v>
      </c>
      <c r="G1270" s="0" t="s">
        <v>49</v>
      </c>
      <c r="H1270" s="5">
        <v>485.533600</v>
      </c>
    </row>
    <row r="1271" spans="1:9">
      <c r="A1271" s="22" t="str">
        <f>HYPERLINK("https://app.vivvix.com/360/KMI/IntelliDrive/ApplUI/Pages/CreativePages/CustomReportCreativeDetail.aspx?App=23&amp;ReportView=4&amp;Qid=1711279&amp;Row=1263&amp;Col=1","No Title Assigned - #15264922400")</f>
        <v/>
      </c>
      <c r="B1271" s="0" t="s">
        <v>1892</v>
      </c>
      <c r="E1271" s="0" t="inlineStr">
        <is>
          <t xml:space="preserve">Mazda</t>
        </is>
      </c>
      <c r="F1271" s="0" t="inlineStr">
        <is>
          <t xml:space="preserve">Mazda</t>
        </is>
      </c>
      <c r="G1271" s="0" t="s">
        <v>171</v>
      </c>
      <c r="H1271" s="5">
        <v>9490.704100</v>
      </c>
    </row>
    <row r="1272" spans="1:9">
      <c r="A1272" s="22" t="str">
        <f>HYPERLINK("https://app.vivvix.com/360/KMI/IntelliDrive/ApplUI/Pages/CreativePages/CustomReportCreativeDetail.aspx?App=23&amp;ReportView=4&amp;Qid=1711279&amp;Row=1264&amp;Col=1","No Title Assigned - #15264928020")</f>
        <v/>
      </c>
      <c r="B1272" s="0" t="s">
        <v>1893</v>
      </c>
      <c r="C1272" s="0" t="s">
        <v>1894</v>
      </c>
      <c r="D1272" s="0" t="s">
        <v>1894</v>
      </c>
      <c r="E1272" s="0" t="inlineStr">
        <is>
          <t xml:space="preserve">Mazda</t>
        </is>
      </c>
      <c r="F1272" s="0" t="s">
        <v>13</v>
      </c>
      <c r="G1272" s="0" t="s">
        <v>49</v>
      </c>
      <c r="H1272" s="5">
        <v>353.231600</v>
      </c>
    </row>
    <row r="1273" spans="1:9">
      <c r="A1273" s="22" t="str">
        <f>HYPERLINK("https://app.vivvix.com/360/KMI/IntelliDrive/ApplUI/Pages/CreativePages/CustomReportCreativeDetail.aspx?App=23&amp;ReportView=4&amp;Qid=1711279&amp;Row=1265&amp;Col=1","No Title Assigned - #15264929770")</f>
        <v/>
      </c>
      <c r="B1273" s="0" t="s">
        <v>1895</v>
      </c>
      <c r="C1273" s="0" t="s">
        <v>1896</v>
      </c>
      <c r="D1273" s="0" t="s">
        <v>1896</v>
      </c>
      <c r="E1273" s="0" t="inlineStr">
        <is>
          <t xml:space="preserve">Mazda</t>
        </is>
      </c>
      <c r="F1273" s="0" t="s">
        <v>13</v>
      </c>
      <c r="G1273" s="0" t="s">
        <v>49</v>
      </c>
      <c r="H1273" s="5">
        <v>449.757200</v>
      </c>
    </row>
    <row r="1274" spans="1:9">
      <c r="A1274" s="22" t="str">
        <f>HYPERLINK("https://app.vivvix.com/360/KMI/IntelliDrive/ApplUI/Pages/CreativePages/CustomReportCreativeDetail.aspx?App=23&amp;ReportView=4&amp;Qid=1711279&amp;Row=1266&amp;Col=1","No Title Assigned - #15264931878")</f>
        <v/>
      </c>
      <c r="B1274" s="0" t="s">
        <v>1897</v>
      </c>
      <c r="E1274" s="0" t="inlineStr">
        <is>
          <t xml:space="preserve">Mazda</t>
        </is>
      </c>
      <c r="F1274" s="0" t="inlineStr">
        <is>
          <t xml:space="preserve">Mazda</t>
        </is>
      </c>
      <c r="G1274" s="0" t="s">
        <v>171</v>
      </c>
      <c r="H1274" s="5">
        <v>441.079900</v>
      </c>
    </row>
    <row r="1275" spans="1:9">
      <c r="A1275" s="22" t="str">
        <f>HYPERLINK("https://app.vivvix.com/360/KMI/IntelliDrive/ApplUI/Pages/CreativePages/CustomReportCreativeDetail.aspx?App=23&amp;ReportView=4&amp;Qid=1711279&amp;Row=1267&amp;Col=1","No Title Assigned - #15264933592")</f>
        <v/>
      </c>
      <c r="B1275" s="0" t="s">
        <v>1898</v>
      </c>
      <c r="C1275" s="0" t="s">
        <v>1899</v>
      </c>
      <c r="D1275" s="0" t="s">
        <v>1899</v>
      </c>
      <c r="E1275" s="0" t="inlineStr">
        <is>
          <t xml:space="preserve">Mazda</t>
        </is>
      </c>
      <c r="F1275" s="0" t="s">
        <v>13</v>
      </c>
      <c r="G1275" s="0" t="s">
        <v>49</v>
      </c>
      <c r="H1275" s="5">
        <v>3332.012900</v>
      </c>
    </row>
    <row r="1276" spans="1:9">
      <c r="A1276" s="22" t="str">
        <f>HYPERLINK("https://app.vivvix.com/360/KMI/IntelliDrive/ApplUI/Pages/CreativePages/CustomReportCreativeDetail.aspx?App=23&amp;ReportView=4&amp;Qid=1711279&amp;Row=1268&amp;Col=1","No Title Assigned - #15264938094")</f>
        <v/>
      </c>
      <c r="B1276" s="0" t="s">
        <v>1900</v>
      </c>
      <c r="E1276" s="0" t="inlineStr">
        <is>
          <t xml:space="preserve">Mazda</t>
        </is>
      </c>
      <c r="F1276" s="0" t="inlineStr">
        <is>
          <t xml:space="preserve">Mazda</t>
        </is>
      </c>
      <c r="G1276" s="0" t="s">
        <v>171</v>
      </c>
    </row>
    <row r="1277" spans="1:9">
      <c r="A1277" s="22" t="str">
        <f>HYPERLINK("https://app.vivvix.com/360/KMI/IntelliDrive/ApplUI/Pages/CreativePages/CustomReportCreativeDetail.aspx?App=23&amp;ReportView=4&amp;Qid=1711279&amp;Row=1269&amp;Col=1","No Title Assigned - #15264938158")</f>
        <v/>
      </c>
      <c r="B1277" s="0" t="s">
        <v>1901</v>
      </c>
      <c r="E1277" s="0" t="inlineStr">
        <is>
          <t xml:space="preserve">Mazda</t>
        </is>
      </c>
      <c r="F1277" s="0" t="inlineStr">
        <is>
          <t xml:space="preserve">Mazda</t>
        </is>
      </c>
      <c r="G1277" s="0" t="s">
        <v>171</v>
      </c>
    </row>
    <row r="1278" spans="1:9">
      <c r="A1278" s="22" t="str">
        <f>HYPERLINK("https://app.vivvix.com/360/KMI/IntelliDrive/ApplUI/Pages/CreativePages/CustomReportCreativeDetail.aspx?App=23&amp;ReportView=4&amp;Qid=1711279&amp;Row=1270&amp;Col=1","No Title Assigned - #15264940476")</f>
        <v/>
      </c>
      <c r="B1278" s="0" t="s">
        <v>1902</v>
      </c>
      <c r="C1278" s="0" t="s">
        <v>1903</v>
      </c>
      <c r="D1278" s="0" t="s">
        <v>1903</v>
      </c>
      <c r="E1278" s="0" t="inlineStr">
        <is>
          <t xml:space="preserve">Mazda</t>
        </is>
      </c>
      <c r="F1278" s="0" t="s">
        <v>13</v>
      </c>
      <c r="G1278" s="0" t="s">
        <v>49</v>
      </c>
      <c r="H1278" s="5">
        <v>2821.405000</v>
      </c>
    </row>
    <row r="1279" spans="1:9">
      <c r="A1279" s="22" t="str">
        <f>HYPERLINK("https://app.vivvix.com/360/KMI/IntelliDrive/ApplUI/Pages/CreativePages/CustomReportCreativeDetail.aspx?App=23&amp;ReportView=4&amp;Qid=1711279&amp;Row=1271&amp;Col=1","No Title Assigned - #15264941935")</f>
        <v/>
      </c>
      <c r="B1279" s="0" t="s">
        <v>1904</v>
      </c>
      <c r="C1279" s="0" t="s">
        <v>1905</v>
      </c>
      <c r="D1279" s="0" t="s">
        <v>1905</v>
      </c>
      <c r="E1279" s="0" t="inlineStr">
        <is>
          <t xml:space="preserve">Mazda</t>
        </is>
      </c>
      <c r="F1279" s="0" t="s">
        <v>13</v>
      </c>
      <c r="G1279" s="0" t="s">
        <v>49</v>
      </c>
      <c r="H1279" s="5">
        <v>7379.220700</v>
      </c>
    </row>
    <row r="1280" spans="1:9">
      <c r="A1280" s="22" t="str">
        <f>HYPERLINK("https://app.vivvix.com/360/KMI/IntelliDrive/ApplUI/Pages/CreativePages/CustomReportCreativeDetail.aspx?App=23&amp;ReportView=4&amp;Qid=1711279&amp;Row=1272&amp;Col=1","No Title Assigned - #15264944383")</f>
        <v/>
      </c>
      <c r="B1280" s="0" t="s">
        <v>1906</v>
      </c>
      <c r="C1280" s="0" t="s">
        <v>1907</v>
      </c>
      <c r="D1280" s="0" t="s">
        <v>1907</v>
      </c>
      <c r="E1280" s="0" t="inlineStr">
        <is>
          <t xml:space="preserve">Mazda</t>
        </is>
      </c>
      <c r="F1280" s="0" t="s">
        <v>56</v>
      </c>
      <c r="G1280" s="0" t="s">
        <v>57</v>
      </c>
      <c r="H1280" s="5">
        <v>452.858300</v>
      </c>
    </row>
    <row r="1281" spans="1:9">
      <c r="A1281" s="22" t="str">
        <f>HYPERLINK("https://app.vivvix.com/360/KMI/IntelliDrive/ApplUI/Pages/CreativePages/CustomReportCreativeDetail.aspx?App=23&amp;ReportView=4&amp;Qid=1711279&amp;Row=1273&amp;Col=1","No Title Assigned - #15264944702")</f>
        <v/>
      </c>
      <c r="B1281" s="0" t="s">
        <v>1908</v>
      </c>
      <c r="C1281" s="0" t="s">
        <v>1909</v>
      </c>
      <c r="D1281" s="0" t="s">
        <v>1909</v>
      </c>
      <c r="E1281" s="0" t="inlineStr">
        <is>
          <t xml:space="preserve">Mazda</t>
        </is>
      </c>
      <c r="F1281" s="0" t="s">
        <v>13</v>
      </c>
      <c r="G1281" s="0" t="s">
        <v>49</v>
      </c>
      <c r="H1281" s="5">
        <v>38.276000</v>
      </c>
    </row>
    <row r="1282" spans="1:9">
      <c r="A1282" s="22" t="str">
        <f>HYPERLINK("https://app.vivvix.com/360/KMI/IntelliDrive/ApplUI/Pages/CreativePages/CustomReportCreativeDetail.aspx?App=23&amp;ReportView=4&amp;Qid=1711279&amp;Row=1274&amp;Col=1","No Title Assigned - #15264945842")</f>
        <v/>
      </c>
      <c r="B1282" s="0" t="s">
        <v>1910</v>
      </c>
      <c r="C1282" s="0" t="s">
        <v>1911</v>
      </c>
      <c r="D1282" s="0" t="s">
        <v>1911</v>
      </c>
      <c r="E1282" s="0" t="inlineStr">
        <is>
          <t xml:space="preserve">Mazda</t>
        </is>
      </c>
      <c r="F1282" s="0" t="s">
        <v>28</v>
      </c>
      <c r="G1282" s="0" t="s">
        <v>29</v>
      </c>
      <c r="H1282" s="5">
        <v>634.104100</v>
      </c>
    </row>
    <row r="1283" spans="1:9">
      <c r="A1283" s="22" t="str">
        <f>HYPERLINK("https://app.vivvix.com/360/KMI/IntelliDrive/ApplUI/Pages/CreativePages/CustomReportCreativeDetail.aspx?App=23&amp;ReportView=4&amp;Qid=1711279&amp;Row=1275&amp;Col=1","No Title Assigned - #15264945887")</f>
        <v/>
      </c>
      <c r="B1283" s="0" t="s">
        <v>1912</v>
      </c>
      <c r="E1283" s="0" t="inlineStr">
        <is>
          <t xml:space="preserve">Mazda</t>
        </is>
      </c>
      <c r="F1283" s="0" t="s">
        <v>13</v>
      </c>
      <c r="G1283" s="0" t="s">
        <v>49</v>
      </c>
      <c r="H1283" s="5">
        <v>2375.719400</v>
      </c>
    </row>
    <row r="1284" spans="1:9">
      <c r="A1284" s="22" t="str">
        <f>HYPERLINK("https://app.vivvix.com/360/KMI/IntelliDrive/ApplUI/Pages/CreativePages/CustomReportCreativeDetail.aspx?App=23&amp;ReportView=4&amp;Qid=1711279&amp;Row=1276&amp;Col=1","No Title Assigned - #15264945887")</f>
        <v/>
      </c>
      <c r="B1284" s="0" t="s">
        <v>1912</v>
      </c>
      <c r="C1284" s="0" t="s">
        <v>1913</v>
      </c>
      <c r="D1284" s="0" t="s">
        <v>1913</v>
      </c>
      <c r="E1284" s="0" t="inlineStr">
        <is>
          <t xml:space="preserve">Mazda</t>
        </is>
      </c>
      <c r="F1284" s="0" t="s">
        <v>13</v>
      </c>
      <c r="G1284" s="0" t="s">
        <v>49</v>
      </c>
      <c r="H1284" s="5">
        <v>42557.796100</v>
      </c>
    </row>
    <row r="1285" spans="1:9">
      <c r="A1285" s="22" t="str">
        <f>HYPERLINK("https://app.vivvix.com/360/KMI/IntelliDrive/ApplUI/Pages/CreativePages/CustomReportCreativeDetail.aspx?App=23&amp;ReportView=4&amp;Qid=1711279&amp;Row=1277&amp;Col=1","No Title Assigned - #15264945962")</f>
        <v/>
      </c>
      <c r="B1285" s="0" t="s">
        <v>1914</v>
      </c>
      <c r="C1285" s="0" t="s">
        <v>1915</v>
      </c>
      <c r="D1285" s="0" t="s">
        <v>1915</v>
      </c>
      <c r="E1285" s="0" t="inlineStr">
        <is>
          <t xml:space="preserve">Mazda</t>
        </is>
      </c>
      <c r="F1285" s="0" t="s">
        <v>28</v>
      </c>
      <c r="G1285" s="0" t="s">
        <v>29</v>
      </c>
      <c r="H1285" s="5">
        <v>549.295800</v>
      </c>
    </row>
    <row r="1286" spans="1:9">
      <c r="A1286" s="22" t="str">
        <f>HYPERLINK("https://app.vivvix.com/360/KMI/IntelliDrive/ApplUI/Pages/CreativePages/CustomReportCreativeDetail.aspx?App=23&amp;ReportView=4&amp;Qid=1711279&amp;Row=1278&amp;Col=1","No Title Assigned - #15264946257")</f>
        <v/>
      </c>
      <c r="B1286" s="0" t="s">
        <v>1916</v>
      </c>
      <c r="C1286" s="0" t="s">
        <v>1917</v>
      </c>
      <c r="D1286" s="0" t="s">
        <v>1917</v>
      </c>
      <c r="E1286" s="0" t="inlineStr">
        <is>
          <t xml:space="preserve">Mazda</t>
        </is>
      </c>
      <c r="F1286" s="0" t="s">
        <v>28</v>
      </c>
      <c r="G1286" s="0" t="s">
        <v>29</v>
      </c>
      <c r="H1286" s="5">
        <v>168145.419700</v>
      </c>
    </row>
    <row r="1287" spans="1:9">
      <c r="A1287" s="22" t="str">
        <f>HYPERLINK("https://app.vivvix.com/360/KMI/IntelliDrive/ApplUI/Pages/CreativePages/CustomReportCreativeDetail.aspx?App=23&amp;ReportView=4&amp;Qid=1711279&amp;Row=1279&amp;Col=1","No Title Assigned - #15264946257")</f>
        <v/>
      </c>
      <c r="B1287" s="0" t="s">
        <v>1916</v>
      </c>
      <c r="E1287" s="0" t="inlineStr">
        <is>
          <t xml:space="preserve">Mazda</t>
        </is>
      </c>
      <c r="F1287" s="0" t="s">
        <v>28</v>
      </c>
      <c r="G1287" s="0" t="s">
        <v>29</v>
      </c>
      <c r="H1287" s="5">
        <v>94096.426100</v>
      </c>
    </row>
    <row r="1288" spans="1:9">
      <c r="A1288" s="22" t="str">
        <f>HYPERLINK("https://app.vivvix.com/360/KMI/IntelliDrive/ApplUI/Pages/CreativePages/CustomReportCreativeDetail.aspx?App=23&amp;ReportView=4&amp;Qid=1711279&amp;Row=1280&amp;Col=1","No Title Assigned - #15264947138")</f>
        <v/>
      </c>
      <c r="B1288" s="0" t="s">
        <v>1918</v>
      </c>
      <c r="C1288" s="0" t="s">
        <v>1919</v>
      </c>
      <c r="D1288" s="0" t="s">
        <v>1919</v>
      </c>
      <c r="E1288" s="0" t="inlineStr">
        <is>
          <t xml:space="preserve">Mazda</t>
        </is>
      </c>
      <c r="F1288" s="0" t="s">
        <v>28</v>
      </c>
      <c r="G1288" s="0" t="s">
        <v>29</v>
      </c>
      <c r="H1288" s="5">
        <v>429.417100</v>
      </c>
    </row>
    <row r="1289" spans="1:9">
      <c r="A1289" s="22" t="str">
        <f>HYPERLINK("https://app.vivvix.com/360/KMI/IntelliDrive/ApplUI/Pages/CreativePages/CustomReportCreativeDetail.aspx?App=23&amp;ReportView=4&amp;Qid=1711279&amp;Row=1281&amp;Col=1","No Title Assigned - #15264947165")</f>
        <v/>
      </c>
      <c r="B1289" s="0" t="s">
        <v>1920</v>
      </c>
      <c r="E1289" s="0" t="inlineStr">
        <is>
          <t xml:space="preserve">Mazda</t>
        </is>
      </c>
      <c r="F1289" s="0" t="s">
        <v>28</v>
      </c>
      <c r="G1289" s="0" t="s">
        <v>29</v>
      </c>
      <c r="H1289" s="5">
        <v>11532.508800</v>
      </c>
    </row>
    <row r="1290" spans="1:9">
      <c r="A1290" s="22" t="str">
        <f>HYPERLINK("https://app.vivvix.com/360/KMI/IntelliDrive/ApplUI/Pages/CreativePages/CustomReportCreativeDetail.aspx?App=23&amp;ReportView=4&amp;Qid=1711279&amp;Row=1282&amp;Col=1","No Title Assigned - #15264947165")</f>
        <v/>
      </c>
      <c r="B1290" s="0" t="s">
        <v>1920</v>
      </c>
      <c r="C1290" s="0" t="s">
        <v>1921</v>
      </c>
      <c r="D1290" s="0" t="s">
        <v>1921</v>
      </c>
      <c r="E1290" s="0" t="inlineStr">
        <is>
          <t xml:space="preserve">Mazda</t>
        </is>
      </c>
      <c r="F1290" s="0" t="s">
        <v>28</v>
      </c>
      <c r="G1290" s="0" t="s">
        <v>29</v>
      </c>
      <c r="H1290" s="5">
        <v>562.628300</v>
      </c>
    </row>
    <row r="1291" spans="1:9">
      <c r="A1291" s="22" t="str">
        <f>HYPERLINK("https://app.vivvix.com/360/KMI/IntelliDrive/ApplUI/Pages/CreativePages/CustomReportCreativeDetail.aspx?App=23&amp;ReportView=4&amp;Qid=1711279&amp;Row=1283&amp;Col=1","No Title Assigned - #15264952391")</f>
        <v/>
      </c>
      <c r="B1291" s="0" t="s">
        <v>1922</v>
      </c>
      <c r="E1291" s="0" t="inlineStr">
        <is>
          <t xml:space="preserve">Mazda</t>
        </is>
      </c>
      <c r="F1291" s="0" t="inlineStr">
        <is>
          <t xml:space="preserve">Mazda</t>
        </is>
      </c>
      <c r="G1291" s="0" t="s">
        <v>171</v>
      </c>
      <c r="H1291" s="5">
        <v>17.825700</v>
      </c>
    </row>
    <row r="1292" spans="1:9">
      <c r="A1292" s="22" t="str">
        <f>HYPERLINK("https://app.vivvix.com/360/KMI/IntelliDrive/ApplUI/Pages/CreativePages/CustomReportCreativeDetail.aspx?App=23&amp;ReportView=4&amp;Qid=1711279&amp;Row=1284&amp;Col=1","No Title Assigned - #15264975966")</f>
        <v/>
      </c>
      <c r="B1292" s="0" t="s">
        <v>1923</v>
      </c>
      <c r="C1292" s="0" t="s">
        <v>1924</v>
      </c>
      <c r="D1292" s="0" t="s">
        <v>1924</v>
      </c>
      <c r="E1292" s="0" t="inlineStr">
        <is>
          <t xml:space="preserve">Mazda</t>
        </is>
      </c>
      <c r="F1292" s="0" t="s">
        <v>13</v>
      </c>
      <c r="G1292" s="0" t="s">
        <v>49</v>
      </c>
      <c r="H1292" s="5">
        <v>7341.153500</v>
      </c>
    </row>
    <row r="1293" spans="1:9">
      <c r="A1293" s="22" t="str">
        <f>HYPERLINK("https://app.vivvix.com/360/KMI/IntelliDrive/ApplUI/Pages/CreativePages/CustomReportCreativeDetail.aspx?App=23&amp;ReportView=4&amp;Qid=1711279&amp;Row=1285&amp;Col=1","No Title Assigned - #15264975971")</f>
        <v/>
      </c>
      <c r="B1293" s="0" t="s">
        <v>1925</v>
      </c>
      <c r="C1293" s="0" t="s">
        <v>1926</v>
      </c>
      <c r="D1293" s="0" t="s">
        <v>1926</v>
      </c>
      <c r="E1293" s="0" t="inlineStr">
        <is>
          <t xml:space="preserve">Mazda</t>
        </is>
      </c>
      <c r="F1293" s="0" t="s">
        <v>13</v>
      </c>
      <c r="G1293" s="0" t="s">
        <v>49</v>
      </c>
      <c r="H1293" s="5">
        <v>9922.763100</v>
      </c>
    </row>
    <row r="1294" spans="1:9">
      <c r="A1294" s="22" t="str">
        <f>HYPERLINK("https://app.vivvix.com/360/KMI/IntelliDrive/ApplUI/Pages/CreativePages/CustomReportCreativeDetail.aspx?App=23&amp;ReportView=4&amp;Qid=1711279&amp;Row=1286&amp;Col=1","No Title Assigned - #15264981269")</f>
        <v/>
      </c>
      <c r="B1294" s="0" t="s">
        <v>1927</v>
      </c>
      <c r="C1294" s="0" t="s">
        <v>1928</v>
      </c>
      <c r="D1294" s="0" t="s">
        <v>1928</v>
      </c>
      <c r="E1294" s="0" t="inlineStr">
        <is>
          <t xml:space="preserve">Mazda</t>
        </is>
      </c>
      <c r="F1294" s="0" t="s">
        <v>666</v>
      </c>
      <c r="G1294" s="0" t="s">
        <v>667</v>
      </c>
      <c r="H1294" s="5">
        <v>463.132000</v>
      </c>
    </row>
    <row r="1295" spans="1:9">
      <c r="A1295" s="22" t="str">
        <f>HYPERLINK("https://app.vivvix.com/360/KMI/IntelliDrive/ApplUI/Pages/CreativePages/CustomReportCreativeDetail.aspx?App=23&amp;ReportView=4&amp;Qid=1711279&amp;Row=1287&amp;Col=1","No Title Assigned - #15264983661")</f>
        <v/>
      </c>
      <c r="B1295" s="0" t="s">
        <v>1929</v>
      </c>
      <c r="C1295" s="0" t="s">
        <v>1930</v>
      </c>
      <c r="D1295" s="0" t="s">
        <v>1930</v>
      </c>
      <c r="E1295" s="0" t="inlineStr">
        <is>
          <t xml:space="preserve">Mazda</t>
        </is>
      </c>
      <c r="F1295" s="0" t="s">
        <v>13</v>
      </c>
      <c r="G1295" s="0" t="s">
        <v>49</v>
      </c>
      <c r="H1295" s="5">
        <v>156.707200</v>
      </c>
    </row>
    <row r="1296" spans="1:9">
      <c r="A1296" s="22" t="str">
        <f>HYPERLINK("https://app.vivvix.com/360/KMI/IntelliDrive/ApplUI/Pages/CreativePages/CustomReportCreativeDetail.aspx?App=23&amp;ReportView=4&amp;Qid=1711279&amp;Row=1288&amp;Col=1","No Title Assigned - #15264987122")</f>
        <v/>
      </c>
      <c r="B1296" s="0" t="s">
        <v>1931</v>
      </c>
      <c r="E1296" s="0" t="inlineStr">
        <is>
          <t xml:space="preserve">Mazda</t>
        </is>
      </c>
      <c r="F1296" s="0" t="inlineStr">
        <is>
          <t xml:space="preserve">Mazda</t>
        </is>
      </c>
      <c r="G1296" s="0" t="s">
        <v>171</v>
      </c>
      <c r="H1296" s="5">
        <v>3747.078900</v>
      </c>
    </row>
    <row r="1297" spans="1:9">
      <c r="A1297" s="22" t="str">
        <f>HYPERLINK("https://app.vivvix.com/360/KMI/IntelliDrive/ApplUI/Pages/CreativePages/CustomReportCreativeDetail.aspx?App=23&amp;ReportView=4&amp;Qid=1711279&amp;Row=1289&amp;Col=1","No Title Assigned - #15264988581")</f>
        <v/>
      </c>
      <c r="B1297" s="0" t="s">
        <v>1932</v>
      </c>
      <c r="E1297" s="0" t="inlineStr">
        <is>
          <t xml:space="preserve">Mazda</t>
        </is>
      </c>
      <c r="F1297" s="0" t="inlineStr">
        <is>
          <t xml:space="preserve">Mazda</t>
        </is>
      </c>
      <c r="G1297" s="0" t="s">
        <v>171</v>
      </c>
      <c r="H1297" s="5">
        <v>3747.078900</v>
      </c>
    </row>
    <row r="1298" spans="1:9">
      <c r="A1298" s="22" t="str">
        <f>HYPERLINK("https://app.vivvix.com/360/KMI/IntelliDrive/ApplUI/Pages/CreativePages/CustomReportCreativeDetail.aspx?App=23&amp;ReportView=4&amp;Qid=1711279&amp;Row=1290&amp;Col=1","No Title Assigned - #15264992447")</f>
        <v/>
      </c>
      <c r="B1298" s="0" t="s">
        <v>1933</v>
      </c>
      <c r="C1298" s="0" t="s">
        <v>1934</v>
      </c>
      <c r="D1298" s="0" t="s">
        <v>1934</v>
      </c>
      <c r="E1298" s="0" t="inlineStr">
        <is>
          <t xml:space="preserve">Mazda</t>
        </is>
      </c>
      <c r="F1298" s="0" t="s">
        <v>13</v>
      </c>
      <c r="G1298" s="0" t="s">
        <v>49</v>
      </c>
      <c r="H1298" s="5">
        <v>1430.248400</v>
      </c>
    </row>
    <row r="1299" spans="1:9">
      <c r="A1299" s="22" t="str">
        <f>HYPERLINK("https://app.vivvix.com/360/KMI/IntelliDrive/ApplUI/Pages/CreativePages/CustomReportCreativeDetail.aspx?App=23&amp;ReportView=4&amp;Qid=1711279&amp;Row=1291&amp;Col=1","No Title Assigned - #15264992447")</f>
        <v/>
      </c>
      <c r="B1299" s="0" t="s">
        <v>1933</v>
      </c>
      <c r="E1299" s="0" t="inlineStr">
        <is>
          <t xml:space="preserve">Mazda</t>
        </is>
      </c>
      <c r="F1299" s="0" t="s">
        <v>13</v>
      </c>
      <c r="G1299" s="0" t="s">
        <v>49</v>
      </c>
      <c r="H1299" s="5">
        <v>416.611800</v>
      </c>
    </row>
    <row r="1300" spans="1:9">
      <c r="A1300" s="22" t="str">
        <f>HYPERLINK("https://app.vivvix.com/360/KMI/IntelliDrive/ApplUI/Pages/CreativePages/CustomReportCreativeDetail.aspx?App=23&amp;ReportView=4&amp;Qid=1711279&amp;Row=1292&amp;Col=1","No Title Assigned - #15264994227")</f>
        <v/>
      </c>
      <c r="B1300" s="0" t="s">
        <v>1935</v>
      </c>
      <c r="C1300" s="0" t="s">
        <v>1936</v>
      </c>
      <c r="D1300" s="0" t="s">
        <v>1937</v>
      </c>
      <c r="E1300" s="0" t="inlineStr">
        <is>
          <t xml:space="preserve">Mazda</t>
        </is>
      </c>
      <c r="F1300" s="0" t="s">
        <v>28</v>
      </c>
      <c r="G1300" s="0" t="s">
        <v>29</v>
      </c>
      <c r="H1300" s="5">
        <v>120121.797700</v>
      </c>
    </row>
    <row r="1301" spans="1:9">
      <c r="A1301" s="22" t="str">
        <f>HYPERLINK("https://app.vivvix.com/360/KMI/IntelliDrive/ApplUI/Pages/CreativePages/CustomReportCreativeDetail.aspx?App=23&amp;ReportView=4&amp;Qid=1711279&amp;Row=1293&amp;Col=1","No Title Assigned - #15264997451")</f>
        <v/>
      </c>
      <c r="B1301" s="0" t="s">
        <v>1938</v>
      </c>
      <c r="E1301" s="0" t="inlineStr">
        <is>
          <t xml:space="preserve">Mazda</t>
        </is>
      </c>
      <c r="F1301" s="0" t="s">
        <v>13</v>
      </c>
      <c r="G1301" s="0" t="s">
        <v>49</v>
      </c>
      <c r="H1301" s="5">
        <v>103.371900</v>
      </c>
    </row>
    <row r="1302" spans="1:9">
      <c r="A1302" s="22" t="str">
        <f>HYPERLINK("https://app.vivvix.com/360/KMI/IntelliDrive/ApplUI/Pages/CreativePages/CustomReportCreativeDetail.aspx?App=23&amp;ReportView=4&amp;Qid=1711279&amp;Row=1294&amp;Col=1","No Title Assigned - #15264997451")</f>
        <v/>
      </c>
      <c r="B1302" s="0" t="s">
        <v>1938</v>
      </c>
      <c r="C1302" s="0" t="s">
        <v>1939</v>
      </c>
      <c r="D1302" s="0" t="s">
        <v>1939</v>
      </c>
      <c r="E1302" s="0" t="inlineStr">
        <is>
          <t xml:space="preserve">Mazda</t>
        </is>
      </c>
      <c r="F1302" s="0" t="s">
        <v>13</v>
      </c>
      <c r="G1302" s="0" t="s">
        <v>49</v>
      </c>
      <c r="H1302" s="5">
        <v>804.537100</v>
      </c>
    </row>
    <row r="1303" spans="1:9">
      <c r="A1303" s="22" t="str">
        <f>HYPERLINK("https://app.vivvix.com/360/KMI/IntelliDrive/ApplUI/Pages/CreativePages/CustomReportCreativeDetail.aspx?App=23&amp;ReportView=4&amp;Qid=1711279&amp;Row=1295&amp;Col=1","No Title Assigned - #15264999184")</f>
        <v/>
      </c>
      <c r="B1303" s="0" t="s">
        <v>1940</v>
      </c>
      <c r="E1303" s="0" t="inlineStr">
        <is>
          <t xml:space="preserve">Mazda</t>
        </is>
      </c>
      <c r="F1303" s="0" t="inlineStr">
        <is>
          <t xml:space="preserve">Mazda</t>
        </is>
      </c>
      <c r="G1303" s="0" t="s">
        <v>171</v>
      </c>
      <c r="H1303" s="5">
        <v>42146.556000</v>
      </c>
    </row>
    <row r="1304" spans="1:9">
      <c r="A1304" s="22" t="str">
        <f>HYPERLINK("https://app.vivvix.com/360/KMI/IntelliDrive/ApplUI/Pages/CreativePages/CustomReportCreativeDetail.aspx?App=23&amp;ReportView=4&amp;Qid=1711279&amp;Row=1296&amp;Col=1","No Title Assigned - #15265006298")</f>
        <v/>
      </c>
      <c r="B1304" s="0" t="s">
        <v>1941</v>
      </c>
      <c r="C1304" s="0" t="s">
        <v>1942</v>
      </c>
      <c r="D1304" s="0" t="s">
        <v>1942</v>
      </c>
      <c r="E1304" s="0" t="inlineStr">
        <is>
          <t xml:space="preserve">Mazda</t>
        </is>
      </c>
      <c r="F1304" s="0" t="s">
        <v>13</v>
      </c>
      <c r="G1304" s="0" t="s">
        <v>49</v>
      </c>
      <c r="H1304" s="5">
        <v>1496.729900</v>
      </c>
    </row>
    <row r="1305" spans="1:9">
      <c r="A1305" s="22" t="str">
        <f>HYPERLINK("https://app.vivvix.com/360/KMI/IntelliDrive/ApplUI/Pages/CreativePages/CustomReportCreativeDetail.aspx?App=23&amp;ReportView=4&amp;Qid=1711279&amp;Row=1297&amp;Col=1","No Title Assigned - #15265007517")</f>
        <v/>
      </c>
      <c r="B1305" s="0" t="s">
        <v>1943</v>
      </c>
      <c r="C1305" s="0" t="s">
        <v>1944</v>
      </c>
      <c r="D1305" s="0" t="s">
        <v>1944</v>
      </c>
      <c r="E1305" s="0" t="inlineStr">
        <is>
          <t xml:space="preserve">Mazda</t>
        </is>
      </c>
      <c r="F1305" s="0" t="s">
        <v>28</v>
      </c>
      <c r="G1305" s="0" t="s">
        <v>29</v>
      </c>
      <c r="H1305" s="5">
        <v>2105.132200</v>
      </c>
    </row>
    <row r="1306" spans="1:9">
      <c r="A1306" s="22" t="str">
        <f>HYPERLINK("https://app.vivvix.com/360/KMI/IntelliDrive/ApplUI/Pages/CreativePages/CustomReportCreativeDetail.aspx?App=23&amp;ReportView=4&amp;Qid=1711279&amp;Row=1298&amp;Col=1","No Title Assigned - #15265007517")</f>
        <v/>
      </c>
      <c r="B1306" s="0" t="s">
        <v>1943</v>
      </c>
      <c r="E1306" s="0" t="inlineStr">
        <is>
          <t xml:space="preserve">Mazda</t>
        </is>
      </c>
      <c r="F1306" s="0" t="s">
        <v>28</v>
      </c>
      <c r="G1306" s="0" t="s">
        <v>29</v>
      </c>
      <c r="H1306" s="5">
        <v>337.531400</v>
      </c>
    </row>
    <row r="1307" spans="1:9">
      <c r="A1307" s="22" t="str">
        <f>HYPERLINK("https://app.vivvix.com/360/KMI/IntelliDrive/ApplUI/Pages/CreativePages/CustomReportCreativeDetail.aspx?App=23&amp;ReportView=4&amp;Qid=1711279&amp;Row=1299&amp;Col=1","No Title Assigned - #15265010006")</f>
        <v/>
      </c>
      <c r="B1307" s="0" t="s">
        <v>1945</v>
      </c>
      <c r="E1307" s="0" t="inlineStr">
        <is>
          <t xml:space="preserve">Mazda</t>
        </is>
      </c>
      <c r="F1307" s="0" t="s">
        <v>28</v>
      </c>
      <c r="G1307" s="0" t="s">
        <v>29</v>
      </c>
      <c r="H1307" s="5">
        <v>121.614800</v>
      </c>
    </row>
    <row r="1308" spans="1:9">
      <c r="A1308" s="22" t="str">
        <f>HYPERLINK("https://app.vivvix.com/360/KMI/IntelliDrive/ApplUI/Pages/CreativePages/CustomReportCreativeDetail.aspx?App=23&amp;ReportView=4&amp;Qid=1711279&amp;Row=1300&amp;Col=1","No Title Assigned - #15265010006")</f>
        <v/>
      </c>
      <c r="B1308" s="0" t="s">
        <v>1945</v>
      </c>
      <c r="C1308" s="0" t="s">
        <v>1946</v>
      </c>
      <c r="D1308" s="0" t="s">
        <v>1946</v>
      </c>
      <c r="E1308" s="0" t="inlineStr">
        <is>
          <t xml:space="preserve">Mazda</t>
        </is>
      </c>
      <c r="F1308" s="0" t="s">
        <v>28</v>
      </c>
      <c r="G1308" s="0" t="s">
        <v>29</v>
      </c>
      <c r="H1308" s="5">
        <v>5086.587900</v>
      </c>
    </row>
    <row r="1309" spans="1:9">
      <c r="A1309" s="22" t="str">
        <f>HYPERLINK("https://app.vivvix.com/360/KMI/IntelliDrive/ApplUI/Pages/CreativePages/CustomReportCreativeDetail.aspx?App=23&amp;ReportView=4&amp;Qid=1711279&amp;Row=1301&amp;Col=1","No Title Assigned - #15265018080")</f>
        <v/>
      </c>
      <c r="B1309" s="0" t="s">
        <v>1947</v>
      </c>
      <c r="C1309" s="0" t="s">
        <v>1948</v>
      </c>
      <c r="D1309" s="0" t="s">
        <v>1948</v>
      </c>
      <c r="E1309" s="0" t="inlineStr">
        <is>
          <t xml:space="preserve">Mazda</t>
        </is>
      </c>
      <c r="F1309" s="0" t="s">
        <v>13</v>
      </c>
      <c r="G1309" s="0" t="s">
        <v>49</v>
      </c>
      <c r="H1309" s="5">
        <v>2097.667500</v>
      </c>
    </row>
    <row r="1310" spans="1:9">
      <c r="A1310" s="22" t="str">
        <f>HYPERLINK("https://app.vivvix.com/360/KMI/IntelliDrive/ApplUI/Pages/CreativePages/CustomReportCreativeDetail.aspx?App=23&amp;ReportView=4&amp;Qid=1711279&amp;Row=1302&amp;Col=1","No Title Assigned - #15265034773")</f>
        <v/>
      </c>
      <c r="B1310" s="0" t="s">
        <v>1949</v>
      </c>
      <c r="C1310" s="0" t="s">
        <v>1950</v>
      </c>
      <c r="D1310" s="0" t="s">
        <v>1937</v>
      </c>
      <c r="E1310" s="0" t="inlineStr">
        <is>
          <t xml:space="preserve">Mazda</t>
        </is>
      </c>
      <c r="F1310" s="0" t="s">
        <v>28</v>
      </c>
      <c r="G1310" s="0" t="s">
        <v>29</v>
      </c>
      <c r="H1310" s="5">
        <v>15514.790000</v>
      </c>
    </row>
    <row r="1311" spans="1:9">
      <c r="A1311" s="22" t="str">
        <f>HYPERLINK("https://app.vivvix.com/360/KMI/IntelliDrive/ApplUI/Pages/CreativePages/CustomReportCreativeDetail.aspx?App=23&amp;ReportView=4&amp;Qid=1711279&amp;Row=1303&amp;Col=1","No Title Assigned - #15265044545")</f>
        <v/>
      </c>
      <c r="B1311" s="0" t="s">
        <v>1951</v>
      </c>
      <c r="C1311" s="0" t="s">
        <v>1952</v>
      </c>
      <c r="D1311" s="0" t="s">
        <v>1952</v>
      </c>
      <c r="E1311" s="0" t="inlineStr">
        <is>
          <t xml:space="preserve">Mazda</t>
        </is>
      </c>
      <c r="F1311" s="0" t="s">
        <v>28</v>
      </c>
      <c r="G1311" s="0" t="s">
        <v>29</v>
      </c>
      <c r="H1311" s="5">
        <v>38.276000</v>
      </c>
    </row>
    <row r="1312" spans="1:9">
      <c r="A1312" s="22" t="str">
        <f>HYPERLINK("https://app.vivvix.com/360/KMI/IntelliDrive/ApplUI/Pages/CreativePages/CustomReportCreativeDetail.aspx?App=23&amp;ReportView=4&amp;Qid=1711279&amp;Row=1304&amp;Col=1","No Title Assigned - #15265056524")</f>
        <v/>
      </c>
      <c r="B1312" s="0" t="s">
        <v>1953</v>
      </c>
      <c r="E1312" s="0" t="inlineStr">
        <is>
          <t xml:space="preserve">Mazda</t>
        </is>
      </c>
      <c r="F1312" s="0" t="inlineStr">
        <is>
          <t xml:space="preserve">Mazda</t>
        </is>
      </c>
      <c r="G1312" s="0" t="s">
        <v>171</v>
      </c>
      <c r="H1312" s="5">
        <v>15878.749500</v>
      </c>
    </row>
    <row r="1313" spans="1:9">
      <c r="A1313" s="22" t="str">
        <f>HYPERLINK("https://app.vivvix.com/360/KMI/IntelliDrive/ApplUI/Pages/CreativePages/CustomReportCreativeDetail.aspx?App=23&amp;ReportView=4&amp;Qid=1711279&amp;Row=1305&amp;Col=1","No Title Assigned - #15265058020")</f>
        <v/>
      </c>
      <c r="B1313" s="0" t="s">
        <v>1954</v>
      </c>
      <c r="E1313" s="0" t="inlineStr">
        <is>
          <t xml:space="preserve">Mazda</t>
        </is>
      </c>
      <c r="F1313" s="0" t="inlineStr">
        <is>
          <t xml:space="preserve">Mazda</t>
        </is>
      </c>
      <c r="G1313" s="0" t="s">
        <v>171</v>
      </c>
      <c r="H1313" s="5">
        <v>2399.158300</v>
      </c>
    </row>
    <row r="1314" spans="1:9">
      <c r="A1314" s="22" t="str">
        <f>HYPERLINK("https://app.vivvix.com/360/KMI/IntelliDrive/ApplUI/Pages/CreativePages/CustomReportCreativeDetail.aspx?App=23&amp;ReportView=4&amp;Qid=1711279&amp;Row=1306&amp;Col=1","No Title Assigned - #15265058020")</f>
        <v/>
      </c>
      <c r="B1314" s="0" t="s">
        <v>1954</v>
      </c>
      <c r="E1314" s="0" t="inlineStr">
        <is>
          <t xml:space="preserve">Mazda</t>
        </is>
      </c>
      <c r="F1314" s="0" t="inlineStr">
        <is>
          <t xml:space="preserve">Mazda</t>
        </is>
      </c>
      <c r="G1314" s="0" t="s">
        <v>171</v>
      </c>
      <c r="H1314" s="5">
        <v>707.511400</v>
      </c>
    </row>
    <row r="1315" spans="1:9">
      <c r="A1315" s="22" t="str">
        <f>HYPERLINK("https://app.vivvix.com/360/KMI/IntelliDrive/ApplUI/Pages/CreativePages/CustomReportCreativeDetail.aspx?App=23&amp;ReportView=4&amp;Qid=1711279&amp;Row=1307&amp;Col=1","No Title Assigned - #15265063539")</f>
        <v/>
      </c>
      <c r="B1315" s="0" t="s">
        <v>1955</v>
      </c>
      <c r="E1315" s="0" t="inlineStr">
        <is>
          <t xml:space="preserve">Mazda</t>
        </is>
      </c>
      <c r="F1315" s="0" t="inlineStr">
        <is>
          <t xml:space="preserve">Mazda</t>
        </is>
      </c>
      <c r="G1315" s="0" t="s">
        <v>171</v>
      </c>
      <c r="H1315" s="5">
        <v>108.178300</v>
      </c>
    </row>
    <row r="1316" spans="1:9">
      <c r="A1316" s="22" t="str">
        <f>HYPERLINK("https://app.vivvix.com/360/KMI/IntelliDrive/ApplUI/Pages/CreativePages/CustomReportCreativeDetail.aspx?App=23&amp;ReportView=4&amp;Qid=1711279&amp;Row=1308&amp;Col=1","No Title Assigned - #15265063761")</f>
        <v/>
      </c>
      <c r="B1316" s="0" t="s">
        <v>1956</v>
      </c>
      <c r="E1316" s="0" t="inlineStr">
        <is>
          <t xml:space="preserve">Mazda</t>
        </is>
      </c>
      <c r="F1316" s="0" t="inlineStr">
        <is>
          <t xml:space="preserve">Mazda</t>
        </is>
      </c>
      <c r="G1316" s="0" t="s">
        <v>171</v>
      </c>
    </row>
    <row r="1317" spans="1:9">
      <c r="A1317" s="22" t="str">
        <f>HYPERLINK("https://app.vivvix.com/360/KMI/IntelliDrive/ApplUI/Pages/CreativePages/CustomReportCreativeDetail.aspx?App=23&amp;ReportView=4&amp;Qid=1711279&amp;Row=1309&amp;Col=1","No Title Assigned - #15265065404")</f>
        <v/>
      </c>
      <c r="B1317" s="0" t="s">
        <v>1957</v>
      </c>
      <c r="C1317" s="0" t="s">
        <v>1958</v>
      </c>
      <c r="D1317" s="0" t="s">
        <v>1958</v>
      </c>
      <c r="E1317" s="0" t="inlineStr">
        <is>
          <t xml:space="preserve">Mazda</t>
        </is>
      </c>
      <c r="F1317" s="0" t="inlineStr">
        <is>
          <t xml:space="preserve">Mazda</t>
        </is>
      </c>
      <c r="G1317" s="0" t="s">
        <v>171</v>
      </c>
    </row>
    <row r="1318" spans="1:9">
      <c r="A1318" s="22" t="str">
        <f>HYPERLINK("https://app.vivvix.com/360/KMI/IntelliDrive/ApplUI/Pages/CreativePages/CustomReportCreativeDetail.aspx?App=23&amp;ReportView=4&amp;Qid=1711279&amp;Row=1310&amp;Col=1","No Title Assigned - #15265072833")</f>
        <v/>
      </c>
      <c r="B1318" s="0" t="s">
        <v>1959</v>
      </c>
      <c r="E1318" s="0" t="inlineStr">
        <is>
          <t xml:space="preserve">Mazda</t>
        </is>
      </c>
      <c r="F1318" s="0" t="inlineStr">
        <is>
          <t xml:space="preserve">Mazda</t>
        </is>
      </c>
      <c r="G1318" s="0" t="s">
        <v>171</v>
      </c>
    </row>
    <row r="1319" spans="1:9">
      <c r="A1319" s="22" t="str">
        <f>HYPERLINK("https://app.vivvix.com/360/KMI/IntelliDrive/ApplUI/Pages/CreativePages/CustomReportCreativeDetail.aspx?App=23&amp;ReportView=4&amp;Qid=1711279&amp;Row=1311&amp;Col=1","No Title Assigned - #15265096201")</f>
        <v/>
      </c>
      <c r="B1319" s="0" t="s">
        <v>1960</v>
      </c>
      <c r="C1319" s="0" t="s">
        <v>1937</v>
      </c>
      <c r="D1319" s="0" t="s">
        <v>1937</v>
      </c>
      <c r="E1319" s="0" t="inlineStr">
        <is>
          <t xml:space="preserve">Mazda</t>
        </is>
      </c>
      <c r="F1319" s="0" t="s">
        <v>28</v>
      </c>
      <c r="G1319" s="0" t="s">
        <v>29</v>
      </c>
      <c r="H1319" s="5">
        <v>323455.843200</v>
      </c>
    </row>
    <row r="1320" spans="1:9">
      <c r="A1320" s="22" t="str">
        <f>HYPERLINK("https://app.vivvix.com/360/KMI/IntelliDrive/ApplUI/Pages/CreativePages/CustomReportCreativeDetail.aspx?App=23&amp;ReportView=4&amp;Qid=1711279&amp;Row=1312&amp;Col=1","No Title Assigned - #15265104869")</f>
        <v/>
      </c>
      <c r="B1320" s="0" t="s">
        <v>1961</v>
      </c>
      <c r="C1320" s="0" t="s">
        <v>1962</v>
      </c>
      <c r="D1320" s="0" t="s">
        <v>1937</v>
      </c>
      <c r="E1320" s="0" t="inlineStr">
        <is>
          <t xml:space="preserve">Mazda</t>
        </is>
      </c>
      <c r="F1320" s="0" t="s">
        <v>28</v>
      </c>
      <c r="G1320" s="0" t="s">
        <v>29</v>
      </c>
      <c r="H1320" s="5">
        <v>266319.423400</v>
      </c>
    </row>
    <row r="1321" spans="1:9">
      <c r="A1321" s="22" t="str">
        <f>HYPERLINK("https://app.vivvix.com/360/KMI/IntelliDrive/ApplUI/Pages/CreativePages/CustomReportCreativeDetail.aspx?App=23&amp;ReportView=4&amp;Qid=1711279&amp;Row=1313&amp;Col=1","No Title Assigned - #15265106493")</f>
        <v/>
      </c>
      <c r="B1321" s="0" t="s">
        <v>1963</v>
      </c>
      <c r="C1321" s="0" t="s">
        <v>1964</v>
      </c>
      <c r="D1321" s="0" t="s">
        <v>1964</v>
      </c>
      <c r="E1321" s="0" t="inlineStr">
        <is>
          <t xml:space="preserve">Mazda</t>
        </is>
      </c>
      <c r="F1321" s="0" t="s">
        <v>28</v>
      </c>
      <c r="G1321" s="0" t="s">
        <v>29</v>
      </c>
      <c r="H1321" s="5">
        <v>609.029000</v>
      </c>
    </row>
    <row r="1322" spans="1:9">
      <c r="A1322" s="22" t="str">
        <f>HYPERLINK("https://app.vivvix.com/360/KMI/IntelliDrive/ApplUI/Pages/CreativePages/CustomReportCreativeDetail.aspx?App=23&amp;ReportView=4&amp;Qid=1711279&amp;Row=1314&amp;Col=1","No Title Assigned - #15265108836")</f>
        <v/>
      </c>
      <c r="B1322" s="0" t="s">
        <v>1965</v>
      </c>
      <c r="C1322" s="0" t="s">
        <v>1966</v>
      </c>
      <c r="D1322" s="0" t="s">
        <v>1966</v>
      </c>
      <c r="E1322" s="0" t="inlineStr">
        <is>
          <t xml:space="preserve">Mazda</t>
        </is>
      </c>
      <c r="F1322" s="0" t="s">
        <v>13</v>
      </c>
      <c r="G1322" s="0" t="s">
        <v>49</v>
      </c>
      <c r="H1322" s="5">
        <v>38.276000</v>
      </c>
    </row>
    <row r="1323" spans="1:9">
      <c r="A1323" s="22" t="str">
        <f>HYPERLINK("https://app.vivvix.com/360/KMI/IntelliDrive/ApplUI/Pages/CreativePages/CustomReportCreativeDetail.aspx?App=23&amp;ReportView=4&amp;Qid=1711279&amp;Row=1315&amp;Col=1","No Title Assigned - #15265112086")</f>
        <v/>
      </c>
      <c r="B1323" s="0" t="s">
        <v>1967</v>
      </c>
      <c r="C1323" s="0" t="s">
        <v>1968</v>
      </c>
      <c r="D1323" s="0" t="s">
        <v>1968</v>
      </c>
      <c r="E1323" s="0" t="inlineStr">
        <is>
          <t xml:space="preserve">Mazda</t>
        </is>
      </c>
      <c r="F1323" s="0" t="s">
        <v>13</v>
      </c>
      <c r="G1323" s="0" t="s">
        <v>49</v>
      </c>
      <c r="H1323" s="5">
        <v>603.903200</v>
      </c>
    </row>
    <row r="1324" spans="1:9">
      <c r="A1324" s="22" t="str">
        <f>HYPERLINK("https://app.vivvix.com/360/KMI/IntelliDrive/ApplUI/Pages/CreativePages/CustomReportCreativeDetail.aspx?App=23&amp;ReportView=4&amp;Qid=1711279&amp;Row=1316&amp;Col=1","No Title Assigned - #15265112087")</f>
        <v/>
      </c>
      <c r="B1324" s="0" t="s">
        <v>1969</v>
      </c>
      <c r="C1324" s="0" t="s">
        <v>1970</v>
      </c>
      <c r="D1324" s="0" t="s">
        <v>1970</v>
      </c>
      <c r="E1324" s="0" t="inlineStr">
        <is>
          <t xml:space="preserve">Mazda</t>
        </is>
      </c>
      <c r="F1324" s="0" t="s">
        <v>28</v>
      </c>
      <c r="G1324" s="0" t="s">
        <v>29</v>
      </c>
      <c r="H1324" s="5">
        <v>711.951600</v>
      </c>
    </row>
    <row r="1325" spans="1:9">
      <c r="A1325" s="22" t="str">
        <f>HYPERLINK("https://app.vivvix.com/360/KMI/IntelliDrive/ApplUI/Pages/CreativePages/CustomReportCreativeDetail.aspx?App=23&amp;ReportView=4&amp;Qid=1711279&amp;Row=1317&amp;Col=1","No Title Assigned - #15265112169")</f>
        <v/>
      </c>
      <c r="B1325" s="0" t="s">
        <v>1971</v>
      </c>
      <c r="C1325" s="0" t="s">
        <v>1972</v>
      </c>
      <c r="D1325" s="0" t="s">
        <v>1642</v>
      </c>
      <c r="E1325" s="0" t="inlineStr">
        <is>
          <t xml:space="preserve">Mazda</t>
        </is>
      </c>
      <c r="F1325" s="0" t="s">
        <v>13</v>
      </c>
      <c r="G1325" s="0" t="s">
        <v>49</v>
      </c>
      <c r="H1325" s="5">
        <v>301.951600</v>
      </c>
    </row>
    <row r="1326" spans="1:9">
      <c r="A1326" s="22" t="str">
        <f>HYPERLINK("https://app.vivvix.com/360/KMI/IntelliDrive/ApplUI/Pages/CreativePages/CustomReportCreativeDetail.aspx?App=23&amp;ReportView=4&amp;Qid=1711279&amp;Row=1318&amp;Col=1","No Title Assigned - #15265112382")</f>
        <v/>
      </c>
      <c r="B1326" s="0" t="s">
        <v>1973</v>
      </c>
      <c r="C1326" s="0" t="s">
        <v>1974</v>
      </c>
      <c r="D1326" s="0" t="s">
        <v>1974</v>
      </c>
      <c r="E1326" s="0" t="inlineStr">
        <is>
          <t xml:space="preserve">Mazda</t>
        </is>
      </c>
      <c r="F1326" s="0" t="s">
        <v>13</v>
      </c>
      <c r="G1326" s="0" t="s">
        <v>49</v>
      </c>
      <c r="H1326" s="5">
        <v>687.948800</v>
      </c>
    </row>
    <row r="1327" spans="1:9">
      <c r="A1327" s="22" t="str">
        <f>HYPERLINK("https://app.vivvix.com/360/KMI/IntelliDrive/ApplUI/Pages/CreativePages/CustomReportCreativeDetail.aspx?App=23&amp;ReportView=4&amp;Qid=1711279&amp;Row=1319&amp;Col=1","No Title Assigned - #15265112458")</f>
        <v/>
      </c>
      <c r="B1327" s="0" t="s">
        <v>1975</v>
      </c>
      <c r="C1327" s="0" t="s">
        <v>1976</v>
      </c>
      <c r="D1327" s="0" t="s">
        <v>1976</v>
      </c>
      <c r="E1327" s="0" t="inlineStr">
        <is>
          <t xml:space="preserve">Mazda</t>
        </is>
      </c>
      <c r="F1327" s="0" t="s">
        <v>13</v>
      </c>
      <c r="G1327" s="0" t="s">
        <v>49</v>
      </c>
      <c r="H1327" s="5">
        <v>938.168600</v>
      </c>
    </row>
    <row r="1328" spans="1:9">
      <c r="A1328" s="22" t="str">
        <f>HYPERLINK("https://app.vivvix.com/360/KMI/IntelliDrive/ApplUI/Pages/CreativePages/CustomReportCreativeDetail.aspx?App=23&amp;ReportView=4&amp;Qid=1711279&amp;Row=1320&amp;Col=1","No Title Assigned - #15265115180")</f>
        <v/>
      </c>
      <c r="B1328" s="0" t="s">
        <v>1977</v>
      </c>
      <c r="C1328" s="0" t="s">
        <v>1978</v>
      </c>
      <c r="D1328" s="0" t="s">
        <v>1978</v>
      </c>
      <c r="E1328" s="0" t="inlineStr">
        <is>
          <t xml:space="preserve">Mazda</t>
        </is>
      </c>
      <c r="F1328" s="0" t="s">
        <v>369</v>
      </c>
      <c r="G1328" s="0" t="s">
        <v>370</v>
      </c>
      <c r="H1328" s="5">
        <v>463.132000</v>
      </c>
    </row>
    <row r="1329" spans="1:9">
      <c r="A1329" s="22" t="str">
        <f>HYPERLINK("https://app.vivvix.com/360/KMI/IntelliDrive/ApplUI/Pages/CreativePages/CustomReportCreativeDetail.aspx?App=23&amp;ReportView=4&amp;Qid=1711279&amp;Row=1321&amp;Col=1","No Title Assigned - #15265116836")</f>
        <v/>
      </c>
      <c r="B1329" s="0" t="s">
        <v>1979</v>
      </c>
      <c r="E1329" s="0" t="inlineStr">
        <is>
          <t xml:space="preserve">Mazda</t>
        </is>
      </c>
      <c r="F1329" s="0" t="s">
        <v>28</v>
      </c>
      <c r="G1329" s="0" t="s">
        <v>29</v>
      </c>
      <c r="H1329" s="5">
        <v>167827.378600</v>
      </c>
    </row>
    <row r="1330" spans="1:9">
      <c r="A1330" s="22" t="str">
        <f>HYPERLINK("https://app.vivvix.com/360/KMI/IntelliDrive/ApplUI/Pages/CreativePages/CustomReportCreativeDetail.aspx?App=23&amp;ReportView=4&amp;Qid=1711279&amp;Row=1322&amp;Col=1","No Title Assigned - #15265116836")</f>
        <v/>
      </c>
      <c r="B1330" s="0" t="s">
        <v>1979</v>
      </c>
      <c r="C1330" s="0" t="s">
        <v>1980</v>
      </c>
      <c r="D1330" s="0" t="s">
        <v>1980</v>
      </c>
      <c r="E1330" s="0" t="inlineStr">
        <is>
          <t xml:space="preserve">Mazda</t>
        </is>
      </c>
      <c r="F1330" s="0" t="s">
        <v>28</v>
      </c>
      <c r="G1330" s="0" t="s">
        <v>29</v>
      </c>
      <c r="H1330" s="5">
        <v>63259.672900</v>
      </c>
    </row>
    <row r="1331" spans="1:9">
      <c r="A1331" s="22" t="str">
        <f>HYPERLINK("https://app.vivvix.com/360/KMI/IntelliDrive/ApplUI/Pages/CreativePages/CustomReportCreativeDetail.aspx?App=23&amp;ReportView=4&amp;Qid=1711279&amp;Row=1323&amp;Col=1","No Title Assigned - #15265123242")</f>
        <v/>
      </c>
      <c r="B1331" s="0" t="s">
        <v>1981</v>
      </c>
      <c r="C1331" s="0" t="s">
        <v>1982</v>
      </c>
      <c r="D1331" s="0" t="s">
        <v>1982</v>
      </c>
      <c r="E1331" s="0" t="inlineStr">
        <is>
          <t xml:space="preserve">Mazda</t>
        </is>
      </c>
      <c r="F1331" s="0" t="s">
        <v>56</v>
      </c>
      <c r="G1331" s="0" t="s">
        <v>57</v>
      </c>
      <c r="H1331" s="5">
        <v>11211.320400</v>
      </c>
    </row>
    <row r="1332" spans="1:9">
      <c r="A1332" s="22" t="str">
        <f>HYPERLINK("https://app.vivvix.com/360/KMI/IntelliDrive/ApplUI/Pages/CreativePages/CustomReportCreativeDetail.aspx?App=23&amp;ReportView=4&amp;Qid=1711279&amp;Row=1324&amp;Col=1","No Title Assigned - #15265124920")</f>
        <v/>
      </c>
      <c r="B1332" s="0" t="s">
        <v>1983</v>
      </c>
      <c r="C1332" s="0" t="s">
        <v>1984</v>
      </c>
      <c r="D1332" s="0" t="s">
        <v>1899</v>
      </c>
      <c r="E1332" s="0" t="inlineStr">
        <is>
          <t xml:space="preserve">Mazda</t>
        </is>
      </c>
      <c r="F1332" s="0" t="s">
        <v>13</v>
      </c>
      <c r="G1332" s="0" t="s">
        <v>49</v>
      </c>
      <c r="H1332" s="5">
        <v>5592.221300</v>
      </c>
    </row>
    <row r="1333" spans="1:9">
      <c r="A1333" s="22" t="str">
        <f>HYPERLINK("https://app.vivvix.com/360/KMI/IntelliDrive/ApplUI/Pages/CreativePages/CustomReportCreativeDetail.aspx?App=23&amp;ReportView=4&amp;Qid=1711279&amp;Row=1325&amp;Col=1","No Title Assigned - #15265124921")</f>
        <v/>
      </c>
      <c r="B1333" s="0" t="s">
        <v>1985</v>
      </c>
      <c r="C1333" s="0" t="s">
        <v>1986</v>
      </c>
      <c r="D1333" s="0" t="s">
        <v>1986</v>
      </c>
      <c r="E1333" s="0" t="inlineStr">
        <is>
          <t xml:space="preserve">Mazda</t>
        </is>
      </c>
      <c r="F1333" s="0" t="s">
        <v>13</v>
      </c>
      <c r="G1333" s="0" t="s">
        <v>49</v>
      </c>
      <c r="H1333" s="5">
        <v>570.418400</v>
      </c>
    </row>
    <row r="1334" spans="1:9">
      <c r="A1334" s="22" t="str">
        <f>HYPERLINK("https://app.vivvix.com/360/KMI/IntelliDrive/ApplUI/Pages/CreativePages/CustomReportCreativeDetail.aspx?App=23&amp;ReportView=4&amp;Qid=1711279&amp;Row=1326&amp;Col=1","No Title Assigned - #15265130088")</f>
        <v/>
      </c>
      <c r="B1334" s="0" t="s">
        <v>1987</v>
      </c>
      <c r="C1334" s="0" t="s">
        <v>1988</v>
      </c>
      <c r="D1334" s="0" t="s">
        <v>1988</v>
      </c>
      <c r="E1334" s="0" t="inlineStr">
        <is>
          <t xml:space="preserve">Mazda</t>
        </is>
      </c>
      <c r="F1334" s="0" t="s">
        <v>13</v>
      </c>
      <c r="G1334" s="0" t="s">
        <v>49</v>
      </c>
      <c r="H1334" s="5">
        <v>23717.099000</v>
      </c>
    </row>
    <row r="1335" spans="1:9">
      <c r="A1335" s="22" t="str">
        <f>HYPERLINK("https://app.vivvix.com/360/KMI/IntelliDrive/ApplUI/Pages/CreativePages/CustomReportCreativeDetail.aspx?App=23&amp;ReportView=4&amp;Qid=1711279&amp;Row=1327&amp;Col=1","No Title Assigned - #15265131321")</f>
        <v/>
      </c>
      <c r="B1335" s="0" t="s">
        <v>1989</v>
      </c>
      <c r="C1335" s="0" t="s">
        <v>1990</v>
      </c>
      <c r="D1335" s="0" t="s">
        <v>1990</v>
      </c>
      <c r="E1335" s="0" t="inlineStr">
        <is>
          <t xml:space="preserve">Mazda</t>
        </is>
      </c>
      <c r="F1335" s="0" t="s">
        <v>13</v>
      </c>
      <c r="G1335" s="0" t="s">
        <v>49</v>
      </c>
      <c r="H1335" s="5">
        <v>28491.524300</v>
      </c>
    </row>
    <row r="1336" spans="1:9">
      <c r="A1336" s="22" t="str">
        <f>HYPERLINK("https://app.vivvix.com/360/KMI/IntelliDrive/ApplUI/Pages/CreativePages/CustomReportCreativeDetail.aspx?App=23&amp;ReportView=4&amp;Qid=1711279&amp;Row=1328&amp;Col=1","No Title Assigned - #15265131321")</f>
        <v/>
      </c>
      <c r="B1336" s="0" t="s">
        <v>1989</v>
      </c>
      <c r="E1336" s="0" t="inlineStr">
        <is>
          <t xml:space="preserve">Mazda</t>
        </is>
      </c>
      <c r="F1336" s="0" t="s">
        <v>13</v>
      </c>
      <c r="G1336" s="0" t="s">
        <v>49</v>
      </c>
      <c r="H1336" s="5">
        <v>555.095600</v>
      </c>
    </row>
    <row r="1337" spans="1:9">
      <c r="A1337" s="22" t="str">
        <f>HYPERLINK("https://app.vivvix.com/360/KMI/IntelliDrive/ApplUI/Pages/CreativePages/CustomReportCreativeDetail.aspx?App=23&amp;ReportView=4&amp;Qid=1711279&amp;Row=1329&amp;Col=1","No Title Assigned - #15265132210")</f>
        <v/>
      </c>
      <c r="B1337" s="0" t="s">
        <v>1991</v>
      </c>
      <c r="E1337" s="0" t="inlineStr">
        <is>
          <t xml:space="preserve">Mazda</t>
        </is>
      </c>
      <c r="F1337" s="0" t="inlineStr">
        <is>
          <t xml:space="preserve">Mazda</t>
        </is>
      </c>
      <c r="G1337" s="0" t="s">
        <v>1992</v>
      </c>
      <c r="H1337" s="5">
        <v>23055.176200</v>
      </c>
    </row>
    <row r="1338" spans="1:9">
      <c r="A1338" s="22" t="str">
        <f>HYPERLINK("https://app.vivvix.com/360/KMI/IntelliDrive/ApplUI/Pages/CreativePages/CustomReportCreativeDetail.aspx?App=23&amp;ReportView=4&amp;Qid=1711279&amp;Row=1330&amp;Col=1","No Title Assigned - #15265133212")</f>
        <v/>
      </c>
      <c r="B1338" s="0" t="s">
        <v>1993</v>
      </c>
      <c r="E1338" s="0" t="inlineStr">
        <is>
          <t xml:space="preserve">Mazda</t>
        </is>
      </c>
      <c r="F1338" s="0" t="inlineStr">
        <is>
          <t xml:space="preserve">Mazda</t>
        </is>
      </c>
      <c r="G1338" s="0" t="s">
        <v>171</v>
      </c>
      <c r="H1338" s="5">
        <v>2834.501300</v>
      </c>
    </row>
    <row r="1339" spans="1:9">
      <c r="A1339" s="22" t="str">
        <f>HYPERLINK("https://app.vivvix.com/360/KMI/IntelliDrive/ApplUI/Pages/CreativePages/CustomReportCreativeDetail.aspx?App=23&amp;ReportView=4&amp;Qid=1711279&amp;Row=1331&amp;Col=1","No Title Assigned - #15265133212")</f>
        <v/>
      </c>
      <c r="B1339" s="0" t="s">
        <v>1993</v>
      </c>
      <c r="E1339" s="0" t="inlineStr">
        <is>
          <t xml:space="preserve">Mazda</t>
        </is>
      </c>
      <c r="F1339" s="0" t="inlineStr">
        <is>
          <t xml:space="preserve">Mazda</t>
        </is>
      </c>
      <c r="G1339" s="0" t="s">
        <v>171</v>
      </c>
      <c r="H1339" s="5">
        <v>3538.895500</v>
      </c>
    </row>
    <row r="1340" spans="1:9">
      <c r="A1340" s="22" t="str">
        <f>HYPERLINK("https://app.vivvix.com/360/KMI/IntelliDrive/ApplUI/Pages/CreativePages/CustomReportCreativeDetail.aspx?App=23&amp;ReportView=4&amp;Qid=1711279&amp;Row=1332&amp;Col=1","No Title Assigned - #15265133455")</f>
        <v/>
      </c>
      <c r="B1340" s="0" t="s">
        <v>1994</v>
      </c>
      <c r="E1340" s="0" t="inlineStr">
        <is>
          <t xml:space="preserve">Mazda</t>
        </is>
      </c>
      <c r="F1340" s="0" t="inlineStr">
        <is>
          <t xml:space="preserve">Mazda</t>
        </is>
      </c>
      <c r="G1340" s="0" t="s">
        <v>171</v>
      </c>
      <c r="H1340" s="5">
        <v>14815.570800</v>
      </c>
    </row>
    <row r="1341" spans="1:9">
      <c r="A1341" s="22" t="str">
        <f>HYPERLINK("https://app.vivvix.com/360/KMI/IntelliDrive/ApplUI/Pages/CreativePages/CustomReportCreativeDetail.aspx?App=23&amp;ReportView=4&amp;Qid=1711279&amp;Row=1333&amp;Col=1","No Title Assigned - #15265135947")</f>
        <v/>
      </c>
      <c r="B1341" s="0" t="s">
        <v>1995</v>
      </c>
      <c r="C1341" s="0" t="s">
        <v>1996</v>
      </c>
      <c r="D1341" s="0" t="s">
        <v>1996</v>
      </c>
      <c r="E1341" s="0" t="inlineStr">
        <is>
          <t xml:space="preserve">Mazda</t>
        </is>
      </c>
      <c r="F1341" s="0" t="s">
        <v>13</v>
      </c>
      <c r="G1341" s="0" t="s">
        <v>49</v>
      </c>
      <c r="H1341" s="5">
        <v>19.588400</v>
      </c>
    </row>
    <row r="1342" spans="1:9">
      <c r="A1342" s="22" t="str">
        <f>HYPERLINK("https://app.vivvix.com/360/KMI/IntelliDrive/ApplUI/Pages/CreativePages/CustomReportCreativeDetail.aspx?App=23&amp;ReportView=4&amp;Qid=1711279&amp;Row=1334&amp;Col=1","No Title Assigned - #15265137020")</f>
        <v/>
      </c>
      <c r="B1342" s="0" t="s">
        <v>1997</v>
      </c>
      <c r="C1342" s="0" t="s">
        <v>1998</v>
      </c>
      <c r="D1342" s="0" t="s">
        <v>1998</v>
      </c>
      <c r="E1342" s="0" t="inlineStr">
        <is>
          <t xml:space="preserve">Mazda</t>
        </is>
      </c>
      <c r="F1342" s="0" t="s">
        <v>28</v>
      </c>
      <c r="G1342" s="0" t="s">
        <v>29</v>
      </c>
      <c r="H1342" s="5">
        <v>153.104000</v>
      </c>
    </row>
    <row r="1343" spans="1:9">
      <c r="A1343" s="22" t="str">
        <f>HYPERLINK("https://app.vivvix.com/360/KMI/IntelliDrive/ApplUI/Pages/CreativePages/CustomReportCreativeDetail.aspx?App=23&amp;ReportView=4&amp;Qid=1711279&amp;Row=1335&amp;Col=1","No Title Assigned - #15265139335")</f>
        <v/>
      </c>
      <c r="B1343" s="0" t="s">
        <v>1999</v>
      </c>
      <c r="C1343" s="0" t="s">
        <v>2000</v>
      </c>
      <c r="D1343" s="0" t="s">
        <v>2000</v>
      </c>
      <c r="E1343" s="0" t="inlineStr">
        <is>
          <t xml:space="preserve">Mazda</t>
        </is>
      </c>
      <c r="F1343" s="0" t="s">
        <v>13</v>
      </c>
      <c r="G1343" s="0" t="s">
        <v>49</v>
      </c>
      <c r="H1343" s="5">
        <v>248.620700</v>
      </c>
    </row>
    <row r="1344" spans="1:9">
      <c r="A1344" s="22" t="str">
        <f>HYPERLINK("https://app.vivvix.com/360/KMI/IntelliDrive/ApplUI/Pages/CreativePages/CustomReportCreativeDetail.aspx?App=23&amp;ReportView=4&amp;Qid=1711279&amp;Row=1336&amp;Col=1","No Title Assigned - #15265139369")</f>
        <v/>
      </c>
      <c r="B1344" s="0" t="s">
        <v>2001</v>
      </c>
      <c r="C1344" s="0" t="s">
        <v>2002</v>
      </c>
      <c r="D1344" s="0" t="s">
        <v>2002</v>
      </c>
      <c r="E1344" s="0" t="inlineStr">
        <is>
          <t xml:space="preserve">Mazda</t>
        </is>
      </c>
      <c r="F1344" s="0" t="s">
        <v>369</v>
      </c>
      <c r="G1344" s="0" t="s">
        <v>370</v>
      </c>
      <c r="H1344" s="5">
        <v>560.421200</v>
      </c>
    </row>
    <row r="1345" spans="1:9">
      <c r="A1345" s="22" t="str">
        <f>HYPERLINK("https://app.vivvix.com/360/KMI/IntelliDrive/ApplUI/Pages/CreativePages/CustomReportCreativeDetail.aspx?App=23&amp;ReportView=4&amp;Qid=1711279&amp;Row=1337&amp;Col=1","No Title Assigned - #15265139371")</f>
        <v/>
      </c>
      <c r="B1345" s="0" t="s">
        <v>2003</v>
      </c>
      <c r="C1345" s="0" t="s">
        <v>2004</v>
      </c>
      <c r="D1345" s="0" t="s">
        <v>2004</v>
      </c>
      <c r="E1345" s="0" t="inlineStr">
        <is>
          <t xml:space="preserve">Mazda</t>
        </is>
      </c>
      <c r="F1345" s="0" t="s">
        <v>369</v>
      </c>
      <c r="G1345" s="0" t="s">
        <v>370</v>
      </c>
      <c r="H1345" s="5">
        <v>1328.516600</v>
      </c>
    </row>
    <row r="1346" spans="1:9">
      <c r="A1346" s="22" t="str">
        <f>HYPERLINK("https://app.vivvix.com/360/KMI/IntelliDrive/ApplUI/Pages/CreativePages/CustomReportCreativeDetail.aspx?App=23&amp;ReportView=4&amp;Qid=1711279&amp;Row=1338&amp;Col=1","No Title Assigned - #15265141216")</f>
        <v/>
      </c>
      <c r="B1346" s="0" t="s">
        <v>2005</v>
      </c>
      <c r="C1346" s="0" t="s">
        <v>2000</v>
      </c>
      <c r="D1346" s="0" t="s">
        <v>2000</v>
      </c>
      <c r="E1346" s="0" t="inlineStr">
        <is>
          <t xml:space="preserve">Mazda</t>
        </is>
      </c>
      <c r="F1346" s="0" t="s">
        <v>13</v>
      </c>
      <c r="G1346" s="0" t="s">
        <v>49</v>
      </c>
      <c r="H1346" s="5">
        <v>10799.663600</v>
      </c>
    </row>
    <row r="1347" spans="1:9">
      <c r="A1347" s="22" t="str">
        <f>HYPERLINK("https://app.vivvix.com/360/KMI/IntelliDrive/ApplUI/Pages/CreativePages/CustomReportCreativeDetail.aspx?App=23&amp;ReportView=4&amp;Qid=1711279&amp;Row=1339&amp;Col=1","No Title Assigned - #15265141989")</f>
        <v/>
      </c>
      <c r="B1347" s="0" t="s">
        <v>2006</v>
      </c>
      <c r="C1347" s="0" t="s">
        <v>2007</v>
      </c>
      <c r="D1347" s="0" t="s">
        <v>2007</v>
      </c>
      <c r="E1347" s="0" t="inlineStr">
        <is>
          <t xml:space="preserve">Mazda</t>
        </is>
      </c>
      <c r="F1347" s="0" t="s">
        <v>28</v>
      </c>
      <c r="G1347" s="0" t="s">
        <v>29</v>
      </c>
      <c r="H1347" s="5">
        <v>2095.913100</v>
      </c>
    </row>
    <row r="1348" spans="1:9">
      <c r="A1348" s="22" t="str">
        <f>HYPERLINK("https://app.vivvix.com/360/KMI/IntelliDrive/ApplUI/Pages/CreativePages/CustomReportCreativeDetail.aspx?App=23&amp;ReportView=4&amp;Qid=1711279&amp;Row=1340&amp;Col=1","No Title Assigned - #15265141989")</f>
        <v/>
      </c>
      <c r="B1348" s="0" t="s">
        <v>2006</v>
      </c>
      <c r="E1348" s="0" t="inlineStr">
        <is>
          <t xml:space="preserve">Mazda</t>
        </is>
      </c>
      <c r="F1348" s="0" t="s">
        <v>28</v>
      </c>
      <c r="G1348" s="0" t="s">
        <v>29</v>
      </c>
      <c r="H1348" s="5">
        <v>1205.758700</v>
      </c>
    </row>
    <row r="1349" spans="1:9">
      <c r="A1349" s="22" t="str">
        <f>HYPERLINK("https://app.vivvix.com/360/KMI/IntelliDrive/ApplUI/Pages/CreativePages/CustomReportCreativeDetail.aspx?App=23&amp;ReportView=4&amp;Qid=1711279&amp;Row=1341&amp;Col=1","No Title Assigned - #15265148907")</f>
        <v/>
      </c>
      <c r="B1349" s="0" t="s">
        <v>2008</v>
      </c>
      <c r="C1349" s="0" t="s">
        <v>2009</v>
      </c>
      <c r="D1349" s="0" t="s">
        <v>2009</v>
      </c>
      <c r="E1349" s="0" t="inlineStr">
        <is>
          <t xml:space="preserve">Mazda</t>
        </is>
      </c>
      <c r="F1349" s="0" t="inlineStr">
        <is>
          <t xml:space="preserve">Mazda</t>
        </is>
      </c>
      <c r="G1349" s="0" t="s">
        <v>171</v>
      </c>
      <c r="H1349" s="5">
        <v>3747.078900</v>
      </c>
    </row>
    <row r="1350" spans="1:9">
      <c r="A1350" s="22" t="str">
        <f>HYPERLINK("https://app.vivvix.com/360/KMI/IntelliDrive/ApplUI/Pages/CreativePages/CustomReportCreativeDetail.aspx?App=23&amp;ReportView=4&amp;Qid=1711279&amp;Row=1342&amp;Col=1","No Title Assigned - #15265149885")</f>
        <v/>
      </c>
      <c r="B1350" s="0" t="s">
        <v>2010</v>
      </c>
      <c r="E1350" s="0" t="inlineStr">
        <is>
          <t xml:space="preserve">Mazda</t>
        </is>
      </c>
      <c r="F1350" s="0" t="s">
        <v>13</v>
      </c>
      <c r="G1350" s="0" t="s">
        <v>49</v>
      </c>
      <c r="H1350" s="5">
        <v>14202.054700</v>
      </c>
    </row>
    <row r="1351" spans="1:9">
      <c r="A1351" s="22" t="str">
        <f>HYPERLINK("https://app.vivvix.com/360/KMI/IntelliDrive/ApplUI/Pages/CreativePages/CustomReportCreativeDetail.aspx?App=23&amp;ReportView=4&amp;Qid=1711279&amp;Row=1343&amp;Col=1","No Title Assigned - #15265152150")</f>
        <v/>
      </c>
      <c r="B1351" s="0" t="s">
        <v>2011</v>
      </c>
      <c r="C1351" s="0" t="s">
        <v>2012</v>
      </c>
      <c r="D1351" s="0" t="s">
        <v>2000</v>
      </c>
      <c r="E1351" s="0" t="inlineStr">
        <is>
          <t xml:space="preserve">Mazda</t>
        </is>
      </c>
      <c r="F1351" s="0" t="s">
        <v>13</v>
      </c>
      <c r="G1351" s="0" t="s">
        <v>49</v>
      </c>
      <c r="H1351" s="5">
        <v>730.570600</v>
      </c>
    </row>
    <row r="1352" spans="1:9">
      <c r="A1352" s="22" t="str">
        <f>HYPERLINK("https://app.vivvix.com/360/KMI/IntelliDrive/ApplUI/Pages/CreativePages/CustomReportCreativeDetail.aspx?App=23&amp;ReportView=4&amp;Qid=1711279&amp;Row=1344&amp;Col=1","No Title Assigned - #15265174291")</f>
        <v/>
      </c>
      <c r="B1352" s="0" t="s">
        <v>2013</v>
      </c>
      <c r="E1352" s="0" t="inlineStr">
        <is>
          <t xml:space="preserve">Mazda</t>
        </is>
      </c>
      <c r="F1352" s="0" t="inlineStr">
        <is>
          <t xml:space="preserve">Mazda</t>
        </is>
      </c>
      <c r="G1352" s="0" t="s">
        <v>171</v>
      </c>
      <c r="H1352" s="5">
        <v>7378.044500</v>
      </c>
    </row>
    <row r="1353" spans="1:9">
      <c r="A1353" s="22" t="str">
        <f>HYPERLINK("https://app.vivvix.com/360/KMI/IntelliDrive/ApplUI/Pages/CreativePages/CustomReportCreativeDetail.aspx?App=23&amp;ReportView=4&amp;Qid=1711279&amp;Row=1345&amp;Col=1","No Title Assigned - #15265174791")</f>
        <v/>
      </c>
      <c r="B1353" s="0" t="s">
        <v>2014</v>
      </c>
      <c r="E1353" s="0" t="inlineStr">
        <is>
          <t xml:space="preserve">Mazda</t>
        </is>
      </c>
      <c r="F1353" s="0" t="inlineStr">
        <is>
          <t xml:space="preserve">Mazda</t>
        </is>
      </c>
      <c r="G1353" s="0" t="s">
        <v>171</v>
      </c>
      <c r="H1353" s="5">
        <v>7494.157800</v>
      </c>
    </row>
    <row r="1354" spans="1:9">
      <c r="A1354" s="22" t="str">
        <f>HYPERLINK("https://app.vivvix.com/360/KMI/IntelliDrive/ApplUI/Pages/CreativePages/CustomReportCreativeDetail.aspx?App=23&amp;ReportView=4&amp;Qid=1711279&amp;Row=1346&amp;Col=1","No Title Assigned - #15265175532")</f>
        <v/>
      </c>
      <c r="B1354" s="0" t="s">
        <v>2015</v>
      </c>
      <c r="C1354" s="0" t="s">
        <v>2016</v>
      </c>
      <c r="D1354" s="0" t="s">
        <v>2016</v>
      </c>
      <c r="E1354" s="0" t="inlineStr">
        <is>
          <t xml:space="preserve">Mazda</t>
        </is>
      </c>
      <c r="F1354" s="0" t="inlineStr">
        <is>
          <t xml:space="preserve">Mazda</t>
        </is>
      </c>
      <c r="G1354" s="0" t="s">
        <v>171</v>
      </c>
      <c r="H1354" s="5">
        <v>1072.917100</v>
      </c>
    </row>
    <row r="1355" spans="1:9">
      <c r="A1355" s="22" t="str">
        <f>HYPERLINK("https://app.vivvix.com/360/KMI/IntelliDrive/ApplUI/Pages/CreativePages/CustomReportCreativeDetail.aspx?App=23&amp;ReportView=4&amp;Qid=1711279&amp;Row=1347&amp;Col=1","No Title Assigned - #15265175812")</f>
        <v/>
      </c>
      <c r="B1355" s="0" t="s">
        <v>2017</v>
      </c>
      <c r="E1355" s="0" t="inlineStr">
        <is>
          <t xml:space="preserve">Mazda</t>
        </is>
      </c>
      <c r="F1355" s="0" t="inlineStr">
        <is>
          <t xml:space="preserve">Mazda</t>
        </is>
      </c>
      <c r="G1355" s="0" t="s">
        <v>171</v>
      </c>
      <c r="H1355" s="5">
        <v>526.869000</v>
      </c>
    </row>
    <row r="1356" spans="1:9">
      <c r="A1356" s="22" t="str">
        <f>HYPERLINK("https://app.vivvix.com/360/KMI/IntelliDrive/ApplUI/Pages/CreativePages/CustomReportCreativeDetail.aspx?App=23&amp;ReportView=4&amp;Qid=1711279&amp;Row=1348&amp;Col=1","No Title Assigned - #15265175812")</f>
        <v/>
      </c>
      <c r="B1356" s="0" t="s">
        <v>2017</v>
      </c>
      <c r="C1356" s="0" t="s">
        <v>2018</v>
      </c>
      <c r="D1356" s="0" t="s">
        <v>2018</v>
      </c>
      <c r="E1356" s="0" t="inlineStr">
        <is>
          <t xml:space="preserve">Mazda</t>
        </is>
      </c>
      <c r="F1356" s="0" t="inlineStr">
        <is>
          <t xml:space="preserve">Mazda</t>
        </is>
      </c>
      <c r="G1356" s="0" t="s">
        <v>171</v>
      </c>
      <c r="H1356" s="5">
        <v>8362.159400</v>
      </c>
    </row>
    <row r="1357" spans="1:9">
      <c r="A1357" s="22" t="str">
        <f>HYPERLINK("https://app.vivvix.com/360/KMI/IntelliDrive/ApplUI/Pages/CreativePages/CustomReportCreativeDetail.aspx?App=23&amp;ReportView=4&amp;Qid=1711279&amp;Row=1349&amp;Col=1","No Title Assigned - #15265177498")</f>
        <v/>
      </c>
      <c r="B1357" s="0" t="s">
        <v>2019</v>
      </c>
      <c r="E1357" s="0" t="inlineStr">
        <is>
          <t xml:space="preserve">Mazda</t>
        </is>
      </c>
      <c r="F1357" s="0" t="inlineStr">
        <is>
          <t xml:space="preserve">Mazda</t>
        </is>
      </c>
      <c r="G1357" s="0" t="s">
        <v>171</v>
      </c>
      <c r="H1357" s="5">
        <v>138641.919300</v>
      </c>
    </row>
    <row r="1358" spans="1:9">
      <c r="A1358" s="22" t="str">
        <f>HYPERLINK("https://app.vivvix.com/360/KMI/IntelliDrive/ApplUI/Pages/CreativePages/CustomReportCreativeDetail.aspx?App=23&amp;ReportView=4&amp;Qid=1711279&amp;Row=1350&amp;Col=1","No Title Assigned - #15265178648")</f>
        <v/>
      </c>
      <c r="B1358" s="0" t="s">
        <v>2020</v>
      </c>
      <c r="C1358" s="0" t="s">
        <v>2021</v>
      </c>
      <c r="D1358" s="0" t="s">
        <v>2021</v>
      </c>
      <c r="E1358" s="0" t="inlineStr">
        <is>
          <t xml:space="preserve">Mazda</t>
        </is>
      </c>
      <c r="F1358" s="0" t="s">
        <v>28</v>
      </c>
      <c r="G1358" s="0" t="s">
        <v>29</v>
      </c>
      <c r="H1358" s="5">
        <v>464.338200</v>
      </c>
    </row>
    <row r="1359" spans="1:9">
      <c r="A1359" s="22" t="str">
        <f>HYPERLINK("https://app.vivvix.com/360/KMI/IntelliDrive/ApplUI/Pages/CreativePages/CustomReportCreativeDetail.aspx?App=23&amp;ReportView=4&amp;Qid=1711279&amp;Row=1351&amp;Col=1","No Title Assigned - #15265181754")</f>
        <v/>
      </c>
      <c r="B1359" s="0" t="s">
        <v>2022</v>
      </c>
      <c r="E1359" s="0" t="inlineStr">
        <is>
          <t xml:space="preserve">Mazda</t>
        </is>
      </c>
      <c r="F1359" s="0" t="inlineStr">
        <is>
          <t xml:space="preserve">Mazda</t>
        </is>
      </c>
      <c r="G1359" s="0" t="s">
        <v>171</v>
      </c>
      <c r="H1359" s="5">
        <v>2255.840400</v>
      </c>
    </row>
    <row r="1360" spans="1:9">
      <c r="A1360" s="22" t="str">
        <f>HYPERLINK("https://app.vivvix.com/360/KMI/IntelliDrive/ApplUI/Pages/CreativePages/CustomReportCreativeDetail.aspx?App=23&amp;ReportView=4&amp;Qid=1711279&amp;Row=1352&amp;Col=1","No Title Assigned - #15265181754")</f>
        <v/>
      </c>
      <c r="B1360" s="0" t="s">
        <v>2022</v>
      </c>
      <c r="E1360" s="0" t="inlineStr">
        <is>
          <t xml:space="preserve">Mazda</t>
        </is>
      </c>
      <c r="F1360" s="0" t="inlineStr">
        <is>
          <t xml:space="preserve">Mazda</t>
        </is>
      </c>
      <c r="G1360" s="0" t="s">
        <v>171</v>
      </c>
      <c r="H1360" s="5">
        <v>47.360000</v>
      </c>
    </row>
    <row r="1361" spans="1:9">
      <c r="A1361" s="22" t="str">
        <f>HYPERLINK("https://app.vivvix.com/360/KMI/IntelliDrive/ApplUI/Pages/CreativePages/CustomReportCreativeDetail.aspx?App=23&amp;ReportView=4&amp;Qid=1711279&amp;Row=1353&amp;Col=1","No Title Assigned - #15265185026")</f>
        <v/>
      </c>
      <c r="B1361" s="0" t="s">
        <v>2023</v>
      </c>
      <c r="E1361" s="0" t="inlineStr">
        <is>
          <t xml:space="preserve">Mazda</t>
        </is>
      </c>
      <c r="F1361" s="0" t="inlineStr">
        <is>
          <t xml:space="preserve">Mazda</t>
        </is>
      </c>
      <c r="G1361" s="0" t="s">
        <v>171</v>
      </c>
      <c r="H1361" s="5">
        <v>4000.666200</v>
      </c>
    </row>
    <row r="1362" spans="1:9">
      <c r="A1362" s="22" t="str">
        <f>HYPERLINK("https://app.vivvix.com/360/KMI/IntelliDrive/ApplUI/Pages/CreativePages/CustomReportCreativeDetail.aspx?App=23&amp;ReportView=4&amp;Qid=1711279&amp;Row=1354&amp;Col=1","No Title Assigned - #15265185026")</f>
        <v/>
      </c>
      <c r="B1362" s="0" t="s">
        <v>2023</v>
      </c>
      <c r="C1362" s="0" t="s">
        <v>2024</v>
      </c>
      <c r="D1362" s="0" t="s">
        <v>2024</v>
      </c>
      <c r="E1362" s="0" t="inlineStr">
        <is>
          <t xml:space="preserve">Mazda</t>
        </is>
      </c>
      <c r="F1362" s="0" t="inlineStr">
        <is>
          <t xml:space="preserve">Mazda</t>
        </is>
      </c>
      <c r="G1362" s="0" t="s">
        <v>171</v>
      </c>
      <c r="H1362" s="5">
        <v>31604.863200</v>
      </c>
    </row>
    <row r="1363" spans="1:9">
      <c r="A1363" s="22" t="str">
        <f>HYPERLINK("https://app.vivvix.com/360/KMI/IntelliDrive/ApplUI/Pages/CreativePages/CustomReportCreativeDetail.aspx?App=23&amp;ReportView=4&amp;Qid=1711279&amp;Row=1355&amp;Col=1","No Title Assigned - #15265185547")</f>
        <v/>
      </c>
      <c r="B1363" s="0" t="s">
        <v>2025</v>
      </c>
      <c r="E1363" s="0" t="inlineStr">
        <is>
          <t xml:space="preserve">Mazda</t>
        </is>
      </c>
      <c r="F1363" s="0" t="inlineStr">
        <is>
          <t xml:space="preserve">Mazda</t>
        </is>
      </c>
      <c r="G1363" s="0" t="s">
        <v>171</v>
      </c>
      <c r="H1363" s="5">
        <v>59743.641100</v>
      </c>
    </row>
    <row r="1364" spans="1:9">
      <c r="A1364" s="22" t="str">
        <f>HYPERLINK("https://app.vivvix.com/360/KMI/IntelliDrive/ApplUI/Pages/CreativePages/CustomReportCreativeDetail.aspx?App=23&amp;ReportView=4&amp;Qid=1711279&amp;Row=1356&amp;Col=1","No Title Assigned - #15265185547")</f>
        <v/>
      </c>
      <c r="B1364" s="0" t="s">
        <v>2025</v>
      </c>
      <c r="E1364" s="0" t="inlineStr">
        <is>
          <t xml:space="preserve">Mazda</t>
        </is>
      </c>
      <c r="F1364" s="0" t="inlineStr">
        <is>
          <t xml:space="preserve">Mazda</t>
        </is>
      </c>
      <c r="G1364" s="0" t="s">
        <v>171</v>
      </c>
      <c r="H1364" s="5">
        <v>69599.410000</v>
      </c>
    </row>
    <row r="1365" spans="1:9">
      <c r="A1365" s="22" t="str">
        <f>HYPERLINK("https://app.vivvix.com/360/KMI/IntelliDrive/ApplUI/Pages/CreativePages/CustomReportCreativeDetail.aspx?App=23&amp;ReportView=4&amp;Qid=1711279&amp;Row=1357&amp;Col=1","No Title Assigned - #15265195059")</f>
        <v/>
      </c>
      <c r="B1365" s="0" t="s">
        <v>2026</v>
      </c>
      <c r="C1365" s="0" t="s">
        <v>2027</v>
      </c>
      <c r="D1365" s="0" t="s">
        <v>2027</v>
      </c>
      <c r="E1365" s="0" t="inlineStr">
        <is>
          <t xml:space="preserve">Mazda</t>
        </is>
      </c>
      <c r="F1365" s="0" t="inlineStr">
        <is>
          <t xml:space="preserve">Mazda</t>
        </is>
      </c>
      <c r="G1365" s="0" t="s">
        <v>171</v>
      </c>
    </row>
    <row r="1366" spans="1:9">
      <c r="A1366" s="22" t="str">
        <f>HYPERLINK("https://app.vivvix.com/360/KMI/IntelliDrive/ApplUI/Pages/CreativePages/CustomReportCreativeDetail.aspx?App=23&amp;ReportView=4&amp;Qid=1711279&amp;Row=1358&amp;Col=1","No Title Assigned - #15265195933")</f>
        <v/>
      </c>
      <c r="B1366" s="0" t="s">
        <v>2028</v>
      </c>
      <c r="C1366" s="0" t="s">
        <v>2029</v>
      </c>
      <c r="D1366" s="0" t="s">
        <v>2029</v>
      </c>
      <c r="E1366" s="0" t="inlineStr">
        <is>
          <t xml:space="preserve">Mazda</t>
        </is>
      </c>
      <c r="F1366" s="0" t="inlineStr">
        <is>
          <t xml:space="preserve">Mazda</t>
        </is>
      </c>
      <c r="G1366" s="0" t="s">
        <v>171</v>
      </c>
      <c r="H1366" s="5">
        <v>1018.001000</v>
      </c>
    </row>
    <row r="1367" spans="1:9">
      <c r="A1367" s="22" t="str">
        <f>HYPERLINK("https://app.vivvix.com/360/KMI/IntelliDrive/ApplUI/Pages/CreativePages/CustomReportCreativeDetail.aspx?App=23&amp;ReportView=4&amp;Qid=1711279&amp;Row=1359&amp;Col=1","No Title Assigned - #15265196631")</f>
        <v/>
      </c>
      <c r="B1367" s="0" t="s">
        <v>2030</v>
      </c>
      <c r="E1367" s="0" t="inlineStr">
        <is>
          <t xml:space="preserve">Mazda</t>
        </is>
      </c>
      <c r="F1367" s="0" t="inlineStr">
        <is>
          <t xml:space="preserve">Mazda</t>
        </is>
      </c>
      <c r="G1367" s="0" t="s">
        <v>171</v>
      </c>
      <c r="H1367" s="5">
        <v>102.972200</v>
      </c>
    </row>
    <row r="1368" spans="1:9">
      <c r="A1368" s="22" t="str">
        <f>HYPERLINK("https://app.vivvix.com/360/KMI/IntelliDrive/ApplUI/Pages/CreativePages/CustomReportCreativeDetail.aspx?App=23&amp;ReportView=4&amp;Qid=1711279&amp;Row=1360&amp;Col=1","No Title Assigned - #15265198489")</f>
        <v/>
      </c>
      <c r="B1368" s="0" t="s">
        <v>2031</v>
      </c>
      <c r="C1368" s="0" t="s">
        <v>2032</v>
      </c>
      <c r="D1368" s="0" t="s">
        <v>2032</v>
      </c>
      <c r="E1368" s="0" t="inlineStr">
        <is>
          <t xml:space="preserve">Mazda</t>
        </is>
      </c>
      <c r="F1368" s="0" t="s">
        <v>28</v>
      </c>
      <c r="G1368" s="0" t="s">
        <v>29</v>
      </c>
      <c r="H1368" s="5">
        <v>237.558000</v>
      </c>
    </row>
    <row r="1369" spans="1:9">
      <c r="A1369" s="22" t="str">
        <f>HYPERLINK("https://app.vivvix.com/360/KMI/IntelliDrive/ApplUI/Pages/CreativePages/CustomReportCreativeDetail.aspx?App=23&amp;ReportView=4&amp;Qid=1711279&amp;Row=1361&amp;Col=1","No Title Assigned - #15265201570")</f>
        <v/>
      </c>
      <c r="B1369" s="0" t="s">
        <v>2033</v>
      </c>
      <c r="C1369" s="0" t="s">
        <v>2034</v>
      </c>
      <c r="D1369" s="0" t="s">
        <v>2034</v>
      </c>
      <c r="E1369" s="0" t="inlineStr">
        <is>
          <t xml:space="preserve">Mazda</t>
        </is>
      </c>
      <c r="F1369" s="0" t="s">
        <v>13</v>
      </c>
      <c r="G1369" s="0" t="s">
        <v>49</v>
      </c>
      <c r="H1369" s="5">
        <v>3586.897700</v>
      </c>
    </row>
    <row r="1370" spans="1:9">
      <c r="A1370" s="22" t="str">
        <f>HYPERLINK("https://app.vivvix.com/360/KMI/IntelliDrive/ApplUI/Pages/CreativePages/CustomReportCreativeDetail.aspx?App=23&amp;ReportView=4&amp;Qid=1711279&amp;Row=1362&amp;Col=1","No Title Assigned - #15265224314")</f>
        <v/>
      </c>
      <c r="B1370" s="0" t="s">
        <v>2035</v>
      </c>
      <c r="C1370" s="0" t="s">
        <v>2036</v>
      </c>
      <c r="D1370" s="0" t="s">
        <v>2036</v>
      </c>
      <c r="E1370" s="0" t="inlineStr">
        <is>
          <t xml:space="preserve">Mazda</t>
        </is>
      </c>
      <c r="F1370" s="0" t="s">
        <v>28</v>
      </c>
      <c r="G1370" s="0" t="s">
        <v>29</v>
      </c>
      <c r="H1370" s="5">
        <v>1624.265600</v>
      </c>
    </row>
    <row r="1371" spans="1:9">
      <c r="A1371" s="22" t="str">
        <f>HYPERLINK("https://app.vivvix.com/360/KMI/IntelliDrive/ApplUI/Pages/CreativePages/CustomReportCreativeDetail.aspx?App=23&amp;ReportView=4&amp;Qid=1711279&amp;Row=1363&amp;Col=1","No Title Assigned - #15265228962")</f>
        <v/>
      </c>
      <c r="B1371" s="0" t="s">
        <v>2037</v>
      </c>
      <c r="C1371" s="0" t="s">
        <v>2038</v>
      </c>
      <c r="D1371" s="0" t="s">
        <v>2038</v>
      </c>
      <c r="E1371" s="0" t="inlineStr">
        <is>
          <t xml:space="preserve">Mazda</t>
        </is>
      </c>
      <c r="F1371" s="0" t="s">
        <v>28</v>
      </c>
      <c r="G1371" s="0" t="s">
        <v>29</v>
      </c>
      <c r="H1371" s="5">
        <v>231.383900</v>
      </c>
    </row>
    <row r="1372" spans="1:9">
      <c r="A1372" s="22" t="str">
        <f>HYPERLINK("https://app.vivvix.com/360/KMI/IntelliDrive/ApplUI/Pages/CreativePages/CustomReportCreativeDetail.aspx?App=23&amp;ReportView=4&amp;Qid=1711279&amp;Row=1364&amp;Col=1","No Title Assigned - #15265229251")</f>
        <v/>
      </c>
      <c r="B1372" s="0" t="s">
        <v>2039</v>
      </c>
      <c r="C1372" s="0" t="s">
        <v>2040</v>
      </c>
      <c r="D1372" s="0" t="s">
        <v>2040</v>
      </c>
      <c r="E1372" s="0" t="inlineStr">
        <is>
          <t xml:space="preserve">Mazda</t>
        </is>
      </c>
      <c r="F1372" s="0" t="s">
        <v>28</v>
      </c>
      <c r="G1372" s="0" t="s">
        <v>29</v>
      </c>
      <c r="H1372" s="5">
        <v>9669.701000</v>
      </c>
    </row>
    <row r="1373" spans="1:9">
      <c r="A1373" s="22" t="str">
        <f>HYPERLINK("https://app.vivvix.com/360/KMI/IntelliDrive/ApplUI/Pages/CreativePages/CustomReportCreativeDetail.aspx?App=23&amp;ReportView=4&amp;Qid=1711279&amp;Row=1365&amp;Col=1","No Title Assigned - #15265229594")</f>
        <v/>
      </c>
      <c r="B1373" s="0" t="s">
        <v>2041</v>
      </c>
      <c r="C1373" s="0" t="s">
        <v>2042</v>
      </c>
      <c r="D1373" s="0" t="s">
        <v>2042</v>
      </c>
      <c r="E1373" s="0" t="inlineStr">
        <is>
          <t xml:space="preserve">Mazda</t>
        </is>
      </c>
      <c r="F1373" s="0" t="s">
        <v>28</v>
      </c>
      <c r="G1373" s="0" t="s">
        <v>29</v>
      </c>
      <c r="H1373" s="5">
        <v>553.528000</v>
      </c>
    </row>
    <row r="1374" spans="1:9">
      <c r="A1374" s="22" t="str">
        <f>HYPERLINK("https://app.vivvix.com/360/KMI/IntelliDrive/ApplUI/Pages/CreativePages/CustomReportCreativeDetail.aspx?App=23&amp;ReportView=4&amp;Qid=1711279&amp;Row=1366&amp;Col=1","No Title Assigned - #15265231670")</f>
        <v/>
      </c>
      <c r="B1374" s="0" t="s">
        <v>2043</v>
      </c>
      <c r="C1374" s="0" t="s">
        <v>2044</v>
      </c>
      <c r="D1374" s="0" t="s">
        <v>2044</v>
      </c>
      <c r="E1374" s="0" t="inlineStr">
        <is>
          <t xml:space="preserve">Mazda</t>
        </is>
      </c>
      <c r="F1374" s="0" t="s">
        <v>13</v>
      </c>
      <c r="G1374" s="0" t="s">
        <v>49</v>
      </c>
      <c r="H1374" s="5">
        <v>240.419500</v>
      </c>
    </row>
    <row r="1375" spans="1:9">
      <c r="A1375" s="22" t="str">
        <f>HYPERLINK("https://app.vivvix.com/360/KMI/IntelliDrive/ApplUI/Pages/CreativePages/CustomReportCreativeDetail.aspx?App=23&amp;ReportView=4&amp;Qid=1711279&amp;Row=1367&amp;Col=1","No Title Assigned - #15265231670")</f>
        <v/>
      </c>
      <c r="B1375" s="0" t="s">
        <v>2043</v>
      </c>
      <c r="E1375" s="0" t="inlineStr">
        <is>
          <t xml:space="preserve">Mazda</t>
        </is>
      </c>
      <c r="F1375" s="0" t="s">
        <v>13</v>
      </c>
      <c r="G1375" s="0" t="s">
        <v>49</v>
      </c>
      <c r="H1375" s="5">
        <v>1026.861600</v>
      </c>
    </row>
    <row r="1376" spans="1:9">
      <c r="A1376" s="22" t="str">
        <f>HYPERLINK("https://app.vivvix.com/360/KMI/IntelliDrive/ApplUI/Pages/CreativePages/CustomReportCreativeDetail.aspx?App=23&amp;ReportView=4&amp;Qid=1711279&amp;Row=1368&amp;Col=1","No Title Assigned - #15265231672")</f>
        <v/>
      </c>
      <c r="B1376" s="0" t="s">
        <v>2045</v>
      </c>
      <c r="C1376" s="0" t="s">
        <v>2046</v>
      </c>
      <c r="D1376" s="0" t="s">
        <v>2046</v>
      </c>
      <c r="E1376" s="0" t="inlineStr">
        <is>
          <t xml:space="preserve">Mazda</t>
        </is>
      </c>
      <c r="F1376" s="0" t="s">
        <v>13</v>
      </c>
      <c r="G1376" s="0" t="s">
        <v>49</v>
      </c>
      <c r="H1376" s="5">
        <v>38.276000</v>
      </c>
    </row>
    <row r="1377" spans="1:9">
      <c r="A1377" s="22" t="str">
        <f>HYPERLINK("https://app.vivvix.com/360/KMI/IntelliDrive/ApplUI/Pages/CreativePages/CustomReportCreativeDetail.aspx?App=23&amp;ReportView=4&amp;Qid=1711279&amp;Row=1369&amp;Col=1","No Title Assigned - #15265232203")</f>
        <v/>
      </c>
      <c r="B1377" s="0" t="s">
        <v>2047</v>
      </c>
      <c r="C1377" s="0" t="s">
        <v>2048</v>
      </c>
      <c r="D1377" s="0" t="s">
        <v>2048</v>
      </c>
      <c r="E1377" s="0" t="inlineStr">
        <is>
          <t xml:space="preserve">Mazda</t>
        </is>
      </c>
      <c r="F1377" s="0" t="s">
        <v>13</v>
      </c>
      <c r="G1377" s="0" t="s">
        <v>49</v>
      </c>
      <c r="H1377" s="5">
        <v>647.452000</v>
      </c>
    </row>
    <row r="1378" spans="1:9">
      <c r="A1378" s="22" t="str">
        <f>HYPERLINK("https://app.vivvix.com/360/KMI/IntelliDrive/ApplUI/Pages/CreativePages/CustomReportCreativeDetail.aspx?App=23&amp;ReportView=4&amp;Qid=1711279&amp;Row=1370&amp;Col=1","No Title Assigned - #15265243147")</f>
        <v/>
      </c>
      <c r="B1378" s="0" t="s">
        <v>2049</v>
      </c>
      <c r="C1378" s="0" t="s">
        <v>2050</v>
      </c>
      <c r="D1378" s="0" t="s">
        <v>2050</v>
      </c>
      <c r="E1378" s="0" t="inlineStr">
        <is>
          <t xml:space="preserve">Mazda</t>
        </is>
      </c>
      <c r="F1378" s="0" t="s">
        <v>13</v>
      </c>
      <c r="G1378" s="0" t="s">
        <v>49</v>
      </c>
      <c r="H1378" s="5">
        <v>145.792900</v>
      </c>
    </row>
    <row r="1379" spans="1:9">
      <c r="A1379" s="22" t="str">
        <f>HYPERLINK("https://app.vivvix.com/360/KMI/IntelliDrive/ApplUI/Pages/CreativePages/CustomReportCreativeDetail.aspx?App=23&amp;ReportView=4&amp;Qid=1711279&amp;Row=1371&amp;Col=1","No Title Assigned - #15265243151")</f>
        <v/>
      </c>
      <c r="B1379" s="0" t="s">
        <v>2051</v>
      </c>
      <c r="C1379" s="0" t="s">
        <v>2052</v>
      </c>
      <c r="D1379" s="0" t="s">
        <v>2052</v>
      </c>
      <c r="E1379" s="0" t="inlineStr">
        <is>
          <t xml:space="preserve">Mazda</t>
        </is>
      </c>
      <c r="F1379" s="0" t="s">
        <v>13</v>
      </c>
      <c r="G1379" s="0" t="s">
        <v>49</v>
      </c>
      <c r="H1379" s="5">
        <v>291.585800</v>
      </c>
    </row>
    <row r="1380" spans="1:9">
      <c r="A1380" s="22" t="str">
        <f>HYPERLINK("https://app.vivvix.com/360/KMI/IntelliDrive/ApplUI/Pages/CreativePages/CustomReportCreativeDetail.aspx?App=23&amp;ReportView=4&amp;Qid=1711279&amp;Row=1372&amp;Col=1","No Title Assigned - #15265243195")</f>
        <v/>
      </c>
      <c r="B1380" s="0" t="s">
        <v>2053</v>
      </c>
      <c r="C1380" s="0" t="s">
        <v>2054</v>
      </c>
      <c r="D1380" s="0" t="s">
        <v>2054</v>
      </c>
      <c r="E1380" s="0" t="inlineStr">
        <is>
          <t xml:space="preserve">Mazda</t>
        </is>
      </c>
      <c r="F1380" s="0" t="s">
        <v>13</v>
      </c>
      <c r="G1380" s="0" t="s">
        <v>49</v>
      </c>
      <c r="H1380" s="5">
        <v>791.638400</v>
      </c>
    </row>
    <row r="1381" spans="1:9">
      <c r="A1381" s="22" t="str">
        <f>HYPERLINK("https://app.vivvix.com/360/KMI/IntelliDrive/ApplUI/Pages/CreativePages/CustomReportCreativeDetail.aspx?App=23&amp;ReportView=4&amp;Qid=1711279&amp;Row=1373&amp;Col=1","No Title Assigned - #15265243195")</f>
        <v/>
      </c>
      <c r="B1381" s="0" t="s">
        <v>2053</v>
      </c>
      <c r="E1381" s="0" t="inlineStr">
        <is>
          <t xml:space="preserve">Mazda</t>
        </is>
      </c>
      <c r="F1381" s="0" t="s">
        <v>13</v>
      </c>
      <c r="G1381" s="0" t="s">
        <v>49</v>
      </c>
      <c r="H1381" s="5">
        <v>1798.379200</v>
      </c>
    </row>
    <row r="1382" spans="1:9">
      <c r="A1382" s="22" t="str">
        <f>HYPERLINK("https://app.vivvix.com/360/KMI/IntelliDrive/ApplUI/Pages/CreativePages/CustomReportCreativeDetail.aspx?App=23&amp;ReportView=4&amp;Qid=1711279&amp;Row=1374&amp;Col=1","No Title Assigned - #15265244941")</f>
        <v/>
      </c>
      <c r="B1382" s="0" t="s">
        <v>2055</v>
      </c>
      <c r="C1382" s="0" t="s">
        <v>2056</v>
      </c>
      <c r="D1382" s="0" t="s">
        <v>2056</v>
      </c>
      <c r="E1382" s="0" t="inlineStr">
        <is>
          <t xml:space="preserve">Mazda</t>
        </is>
      </c>
      <c r="F1382" s="0" t="s">
        <v>21</v>
      </c>
      <c r="G1382" s="0" t="s">
        <v>22</v>
      </c>
      <c r="H1382" s="5">
        <v>680.517300</v>
      </c>
    </row>
    <row r="1383" spans="1:9">
      <c r="A1383" s="22" t="str">
        <f>HYPERLINK("https://app.vivvix.com/360/KMI/IntelliDrive/ApplUI/Pages/CreativePages/CustomReportCreativeDetail.aspx?App=23&amp;ReportView=4&amp;Qid=1711279&amp;Row=1375&amp;Col=1","No Title Assigned - #15265245334")</f>
        <v/>
      </c>
      <c r="B1383" s="0" t="s">
        <v>2057</v>
      </c>
      <c r="C1383" s="0" t="s">
        <v>2058</v>
      </c>
      <c r="D1383" s="0" t="s">
        <v>2058</v>
      </c>
      <c r="E1383" s="0" t="inlineStr">
        <is>
          <t xml:space="preserve">Mazda</t>
        </is>
      </c>
      <c r="F1383" s="0" t="s">
        <v>28</v>
      </c>
      <c r="G1383" s="0" t="s">
        <v>29</v>
      </c>
      <c r="H1383" s="5">
        <v>218.072500</v>
      </c>
    </row>
    <row r="1384" spans="1:9">
      <c r="A1384" s="22" t="str">
        <f>HYPERLINK("https://app.vivvix.com/360/KMI/IntelliDrive/ApplUI/Pages/CreativePages/CustomReportCreativeDetail.aspx?App=23&amp;ReportView=4&amp;Qid=1711279&amp;Row=1376&amp;Col=1","No Title Assigned - #15265245619")</f>
        <v/>
      </c>
      <c r="B1384" s="0" t="s">
        <v>2059</v>
      </c>
      <c r="C1384" s="0" t="s">
        <v>2060</v>
      </c>
      <c r="D1384" s="0" t="s">
        <v>2060</v>
      </c>
      <c r="E1384" s="0" t="inlineStr">
        <is>
          <t xml:space="preserve">Mazda</t>
        </is>
      </c>
      <c r="F1384" s="0" t="s">
        <v>28</v>
      </c>
      <c r="G1384" s="0" t="s">
        <v>29</v>
      </c>
      <c r="H1384" s="5">
        <v>231.012400</v>
      </c>
    </row>
    <row r="1385" spans="1:9">
      <c r="A1385" s="22" t="str">
        <f>HYPERLINK("https://app.vivvix.com/360/KMI/IntelliDrive/ApplUI/Pages/CreativePages/CustomReportCreativeDetail.aspx?App=23&amp;ReportView=4&amp;Qid=1711279&amp;Row=1377&amp;Col=1","No Title Assigned - #15265248641")</f>
        <v/>
      </c>
      <c r="B1385" s="0" t="s">
        <v>2061</v>
      </c>
      <c r="E1385" s="0" t="inlineStr">
        <is>
          <t xml:space="preserve">Mazda</t>
        </is>
      </c>
      <c r="F1385" s="0" t="inlineStr">
        <is>
          <t xml:space="preserve">Mazda</t>
        </is>
      </c>
      <c r="G1385" s="0" t="s">
        <v>171</v>
      </c>
      <c r="H1385" s="5">
        <v>3747.078900</v>
      </c>
    </row>
    <row r="1386" spans="1:9">
      <c r="A1386" s="22" t="str">
        <f>HYPERLINK("https://app.vivvix.com/360/KMI/IntelliDrive/ApplUI/Pages/CreativePages/CustomReportCreativeDetail.aspx?App=23&amp;ReportView=4&amp;Qid=1711279&amp;Row=1378&amp;Col=1","No Title Assigned - #15265251778")</f>
        <v/>
      </c>
      <c r="B1386" s="0" t="s">
        <v>2062</v>
      </c>
      <c r="C1386" s="0" t="s">
        <v>2063</v>
      </c>
      <c r="D1386" s="0" t="s">
        <v>2063</v>
      </c>
      <c r="E1386" s="0" t="inlineStr">
        <is>
          <t xml:space="preserve">Mazda</t>
        </is>
      </c>
      <c r="F1386" s="0" t="s">
        <v>1328</v>
      </c>
      <c r="G1386" s="0" t="s">
        <v>1329</v>
      </c>
      <c r="H1386" s="5">
        <v>13328.051600</v>
      </c>
    </row>
    <row r="1387" spans="1:9">
      <c r="A1387" s="22" t="str">
        <f>HYPERLINK("https://app.vivvix.com/360/KMI/IntelliDrive/ApplUI/Pages/CreativePages/CustomReportCreativeDetail.aspx?App=23&amp;ReportView=4&amp;Qid=1711279&amp;Row=1379&amp;Col=1","No Title Assigned - #15265254693")</f>
        <v/>
      </c>
      <c r="B1387" s="0" t="s">
        <v>2064</v>
      </c>
      <c r="C1387" s="0" t="s">
        <v>2065</v>
      </c>
      <c r="D1387" s="0" t="s">
        <v>2065</v>
      </c>
      <c r="E1387" s="0" t="inlineStr">
        <is>
          <t xml:space="preserve">Mazda</t>
        </is>
      </c>
      <c r="F1387" s="0" t="s">
        <v>17</v>
      </c>
      <c r="G1387" s="0" t="s">
        <v>33</v>
      </c>
      <c r="H1387" s="5">
        <v>214.085500</v>
      </c>
    </row>
    <row r="1388" spans="1:9">
      <c r="A1388" s="22" t="str">
        <f>HYPERLINK("https://app.vivvix.com/360/KMI/IntelliDrive/ApplUI/Pages/CreativePages/CustomReportCreativeDetail.aspx?App=23&amp;ReportView=4&amp;Qid=1711279&amp;Row=1380&amp;Col=1","No Title Assigned - #15265255748")</f>
        <v/>
      </c>
      <c r="B1388" s="0" t="s">
        <v>2066</v>
      </c>
      <c r="C1388" s="0" t="s">
        <v>2067</v>
      </c>
      <c r="D1388" s="0" t="s">
        <v>2067</v>
      </c>
      <c r="E1388" s="0" t="inlineStr">
        <is>
          <t xml:space="preserve">Mazda</t>
        </is>
      </c>
      <c r="F1388" s="0" t="s">
        <v>13</v>
      </c>
      <c r="G1388" s="0" t="s">
        <v>49</v>
      </c>
      <c r="H1388" s="5">
        <v>420.602500</v>
      </c>
    </row>
    <row r="1389" spans="1:9">
      <c r="A1389" s="22" t="str">
        <f>HYPERLINK("https://app.vivvix.com/360/KMI/IntelliDrive/ApplUI/Pages/CreativePages/CustomReportCreativeDetail.aspx?App=23&amp;ReportView=4&amp;Qid=1711279&amp;Row=1381&amp;Col=1","No Title Assigned - #15265258117")</f>
        <v/>
      </c>
      <c r="B1389" s="0" t="s">
        <v>2068</v>
      </c>
      <c r="C1389" s="0" t="s">
        <v>2069</v>
      </c>
      <c r="D1389" s="0" t="s">
        <v>2069</v>
      </c>
      <c r="E1389" s="0" t="inlineStr">
        <is>
          <t xml:space="preserve">Mazda</t>
        </is>
      </c>
      <c r="F1389" s="0" t="s">
        <v>28</v>
      </c>
      <c r="G1389" s="0" t="s">
        <v>29</v>
      </c>
      <c r="H1389" s="5">
        <v>1260.169200</v>
      </c>
    </row>
    <row r="1390" spans="1:9">
      <c r="A1390" s="22" t="str">
        <f>HYPERLINK("https://app.vivvix.com/360/KMI/IntelliDrive/ApplUI/Pages/CreativePages/CustomReportCreativeDetail.aspx?App=23&amp;ReportView=4&amp;Qid=1711279&amp;Row=1382&amp;Col=1","No Title Assigned - #15265261019")</f>
        <v/>
      </c>
      <c r="B1390" s="0" t="s">
        <v>2070</v>
      </c>
      <c r="E1390" s="0" t="inlineStr">
        <is>
          <t xml:space="preserve">Mazda</t>
        </is>
      </c>
      <c r="F1390" s="0" t="s">
        <v>28</v>
      </c>
      <c r="G1390" s="0" t="s">
        <v>29</v>
      </c>
      <c r="H1390" s="5">
        <v>3878.697500</v>
      </c>
    </row>
    <row r="1391" spans="1:9">
      <c r="A1391" s="22" t="str">
        <f>HYPERLINK("https://app.vivvix.com/360/KMI/IntelliDrive/ApplUI/Pages/CreativePages/CustomReportCreativeDetail.aspx?App=23&amp;ReportView=4&amp;Qid=1711279&amp;Row=1383&amp;Col=1","No Title Assigned - #15265261524")</f>
        <v/>
      </c>
      <c r="B1391" s="0" t="s">
        <v>2071</v>
      </c>
      <c r="C1391" s="0" t="s">
        <v>2072</v>
      </c>
      <c r="D1391" s="0" t="s">
        <v>2072</v>
      </c>
      <c r="E1391" s="0" t="inlineStr">
        <is>
          <t xml:space="preserve">Mazda</t>
        </is>
      </c>
      <c r="F1391" s="0" t="s">
        <v>13</v>
      </c>
      <c r="G1391" s="0" t="s">
        <v>49</v>
      </c>
      <c r="H1391" s="5">
        <v>445.537300</v>
      </c>
    </row>
    <row r="1392" spans="1:9">
      <c r="A1392" s="22" t="str">
        <f>HYPERLINK("https://app.vivvix.com/360/KMI/IntelliDrive/ApplUI/Pages/CreativePages/CustomReportCreativeDetail.aspx?App=23&amp;ReportView=4&amp;Qid=1711279&amp;Row=1384&amp;Col=1","No Title Assigned - #15265261894")</f>
        <v/>
      </c>
      <c r="B1392" s="0" t="s">
        <v>2073</v>
      </c>
      <c r="C1392" s="0" t="s">
        <v>2074</v>
      </c>
      <c r="D1392" s="0" t="s">
        <v>2074</v>
      </c>
      <c r="E1392" s="0" t="inlineStr">
        <is>
          <t xml:space="preserve">Mazda</t>
        </is>
      </c>
      <c r="F1392" s="0" t="s">
        <v>21</v>
      </c>
      <c r="G1392" s="0" t="s">
        <v>22</v>
      </c>
      <c r="H1392" s="5">
        <v>463.132000</v>
      </c>
    </row>
    <row r="1393" spans="1:9">
      <c r="A1393" s="22" t="str">
        <f>HYPERLINK("https://app.vivvix.com/360/KMI/IntelliDrive/ApplUI/Pages/CreativePages/CustomReportCreativeDetail.aspx?App=23&amp;ReportView=4&amp;Qid=1711279&amp;Row=1385&amp;Col=1","No Title Assigned - #15265267089")</f>
        <v/>
      </c>
      <c r="B1393" s="0" t="s">
        <v>2075</v>
      </c>
      <c r="C1393" s="0" t="s">
        <v>2076</v>
      </c>
      <c r="D1393" s="0" t="s">
        <v>2076</v>
      </c>
      <c r="E1393" s="0" t="inlineStr">
        <is>
          <t xml:space="preserve">Mazda</t>
        </is>
      </c>
      <c r="F1393" s="0" t="s">
        <v>28</v>
      </c>
      <c r="G1393" s="0" t="s">
        <v>29</v>
      </c>
      <c r="H1393" s="5">
        <v>432.223300</v>
      </c>
    </row>
    <row r="1394" spans="1:9">
      <c r="A1394" s="22" t="str">
        <f>HYPERLINK("https://app.vivvix.com/360/KMI/IntelliDrive/ApplUI/Pages/CreativePages/CustomReportCreativeDetail.aspx?App=23&amp;ReportView=4&amp;Qid=1711279&amp;Row=1386&amp;Col=1","No Title Assigned - #15265281982")</f>
        <v/>
      </c>
      <c r="B1394" s="0" t="s">
        <v>2077</v>
      </c>
      <c r="E1394" s="0" t="inlineStr">
        <is>
          <t xml:space="preserve">Mazda</t>
        </is>
      </c>
      <c r="F1394" s="0" t="inlineStr">
        <is>
          <t xml:space="preserve">Mazda</t>
        </is>
      </c>
      <c r="G1394" s="0" t="s">
        <v>171</v>
      </c>
      <c r="H1394" s="5">
        <v>9280.455400</v>
      </c>
    </row>
    <row r="1395" spans="1:9">
      <c r="A1395" s="22" t="str">
        <f>HYPERLINK("https://app.vivvix.com/360/KMI/IntelliDrive/ApplUI/Pages/CreativePages/CustomReportCreativeDetail.aspx?App=23&amp;ReportView=4&amp;Qid=1711279&amp;Row=1387&amp;Col=1","No Title Assigned - #15265292104")</f>
        <v/>
      </c>
      <c r="B1395" s="0" t="s">
        <v>2078</v>
      </c>
      <c r="C1395" s="0" t="s">
        <v>2079</v>
      </c>
      <c r="D1395" s="0" t="s">
        <v>2079</v>
      </c>
      <c r="E1395" s="0" t="inlineStr">
        <is>
          <t xml:space="preserve">Mazda</t>
        </is>
      </c>
      <c r="F1395" s="0" t="s">
        <v>13</v>
      </c>
      <c r="G1395" s="0" t="s">
        <v>49</v>
      </c>
      <c r="H1395" s="5">
        <v>2094.659700</v>
      </c>
    </row>
    <row r="1396" spans="1:9">
      <c r="A1396" s="22" t="str">
        <f>HYPERLINK("https://app.vivvix.com/360/KMI/IntelliDrive/ApplUI/Pages/CreativePages/CustomReportCreativeDetail.aspx?App=23&amp;ReportView=4&amp;Qid=1711279&amp;Row=1388&amp;Col=1","No Title Assigned - #15265294669")</f>
        <v/>
      </c>
      <c r="B1396" s="0" t="s">
        <v>2080</v>
      </c>
      <c r="E1396" s="0" t="inlineStr">
        <is>
          <t xml:space="preserve">Mazda</t>
        </is>
      </c>
      <c r="F1396" s="0" t="s">
        <v>28</v>
      </c>
      <c r="G1396" s="0" t="s">
        <v>29</v>
      </c>
      <c r="H1396" s="5">
        <v>425.552100</v>
      </c>
    </row>
    <row r="1397" spans="1:9">
      <c r="A1397" s="22" t="str">
        <f>HYPERLINK("https://app.vivvix.com/360/KMI/IntelliDrive/ApplUI/Pages/CreativePages/CustomReportCreativeDetail.aspx?App=23&amp;ReportView=4&amp;Qid=1711279&amp;Row=1389&amp;Col=1","No Title Assigned - #15265294669")</f>
        <v/>
      </c>
      <c r="B1397" s="0" t="s">
        <v>2080</v>
      </c>
      <c r="C1397" s="0" t="s">
        <v>2081</v>
      </c>
      <c r="D1397" s="0" t="s">
        <v>2081</v>
      </c>
      <c r="E1397" s="0" t="inlineStr">
        <is>
          <t xml:space="preserve">Mazda</t>
        </is>
      </c>
      <c r="F1397" s="0" t="s">
        <v>28</v>
      </c>
      <c r="G1397" s="0" t="s">
        <v>29</v>
      </c>
      <c r="H1397" s="5">
        <v>8115.609400</v>
      </c>
    </row>
    <row r="1398" spans="1:9">
      <c r="A1398" s="22" t="str">
        <f>HYPERLINK("https://app.vivvix.com/360/KMI/IntelliDrive/ApplUI/Pages/CreativePages/CustomReportCreativeDetail.aspx?App=23&amp;ReportView=4&amp;Qid=1711279&amp;Row=1390&amp;Col=1","No Title Assigned - #15265299631")</f>
        <v/>
      </c>
      <c r="B1398" s="0" t="s">
        <v>2082</v>
      </c>
      <c r="C1398" s="0" t="s">
        <v>2083</v>
      </c>
      <c r="D1398" s="0" t="s">
        <v>2083</v>
      </c>
      <c r="E1398" s="0" t="inlineStr">
        <is>
          <t xml:space="preserve">Mazda</t>
        </is>
      </c>
      <c r="F1398" s="0" t="inlineStr">
        <is>
          <t xml:space="preserve">Mazda</t>
        </is>
      </c>
      <c r="G1398" s="0" t="s">
        <v>210</v>
      </c>
      <c r="H1398" s="5">
        <v>816.820700</v>
      </c>
    </row>
    <row r="1399" spans="1:9">
      <c r="A1399" s="22" t="str">
        <f>HYPERLINK("https://app.vivvix.com/360/KMI/IntelliDrive/ApplUI/Pages/CreativePages/CustomReportCreativeDetail.aspx?App=23&amp;ReportView=4&amp;Qid=1711279&amp;Row=1391&amp;Col=1","No Title Assigned - #15265302012")</f>
        <v/>
      </c>
      <c r="B1399" s="0" t="s">
        <v>2084</v>
      </c>
      <c r="E1399" s="0" t="inlineStr">
        <is>
          <t xml:space="preserve">Mazda</t>
        </is>
      </c>
      <c r="F1399" s="0" t="inlineStr">
        <is>
          <t xml:space="preserve">Mazda</t>
        </is>
      </c>
      <c r="G1399" s="0" t="s">
        <v>171</v>
      </c>
      <c r="H1399" s="5">
        <v>15974.600100</v>
      </c>
    </row>
    <row r="1400" spans="1:9">
      <c r="A1400" s="22" t="str">
        <f>HYPERLINK("https://app.vivvix.com/360/KMI/IntelliDrive/ApplUI/Pages/CreativePages/CustomReportCreativeDetail.aspx?App=23&amp;ReportView=4&amp;Qid=1711279&amp;Row=1392&amp;Col=1","No Title Assigned - #15265302121")</f>
        <v/>
      </c>
      <c r="B1400" s="0" t="s">
        <v>2085</v>
      </c>
      <c r="E1400" s="0" t="inlineStr">
        <is>
          <t xml:space="preserve">Mazda</t>
        </is>
      </c>
      <c r="F1400" s="0" t="inlineStr">
        <is>
          <t xml:space="preserve">Mazda</t>
        </is>
      </c>
      <c r="G1400" s="0" t="s">
        <v>171</v>
      </c>
    </row>
    <row r="1401" spans="1:9">
      <c r="A1401" s="22" t="str">
        <f>HYPERLINK("https://app.vivvix.com/360/KMI/IntelliDrive/ApplUI/Pages/CreativePages/CustomReportCreativeDetail.aspx?App=23&amp;ReportView=4&amp;Qid=1711279&amp;Row=1393&amp;Col=1","No Title Assigned - #15265303001")</f>
        <v/>
      </c>
      <c r="B1401" s="0" t="s">
        <v>2086</v>
      </c>
      <c r="C1401" s="0" t="s">
        <v>2087</v>
      </c>
      <c r="D1401" s="0" t="s">
        <v>2087</v>
      </c>
      <c r="E1401" s="0" t="inlineStr">
        <is>
          <t xml:space="preserve">Mazda</t>
        </is>
      </c>
      <c r="F1401" s="0" t="inlineStr">
        <is>
          <t xml:space="preserve">Mazda</t>
        </is>
      </c>
      <c r="G1401" s="0" t="s">
        <v>171</v>
      </c>
      <c r="H1401" s="5">
        <v>10408.190400</v>
      </c>
    </row>
    <row r="1402" spans="1:9">
      <c r="A1402" s="22" t="str">
        <f>HYPERLINK("https://app.vivvix.com/360/KMI/IntelliDrive/ApplUI/Pages/CreativePages/CustomReportCreativeDetail.aspx?App=23&amp;ReportView=4&amp;Qid=1711279&amp;Row=1394&amp;Col=1","No Title Assigned - #15265305008")</f>
        <v/>
      </c>
      <c r="B1402" s="0" t="s">
        <v>2088</v>
      </c>
      <c r="E1402" s="0" t="inlineStr">
        <is>
          <t xml:space="preserve">Mazda</t>
        </is>
      </c>
      <c r="F1402" s="0" t="inlineStr">
        <is>
          <t xml:space="preserve">Mazda</t>
        </is>
      </c>
      <c r="G1402" s="0" t="s">
        <v>171</v>
      </c>
      <c r="H1402" s="5">
        <v>5324.866700</v>
      </c>
    </row>
    <row r="1403" spans="1:9">
      <c r="A1403" s="22" t="str">
        <f>HYPERLINK("https://app.vivvix.com/360/KMI/IntelliDrive/ApplUI/Pages/CreativePages/CustomReportCreativeDetail.aspx?App=23&amp;ReportView=4&amp;Qid=1711279&amp;Row=1395&amp;Col=1","No Title Assigned - #15265305062")</f>
        <v/>
      </c>
      <c r="B1403" s="0" t="s">
        <v>2089</v>
      </c>
      <c r="C1403" s="0" t="s">
        <v>2090</v>
      </c>
      <c r="D1403" s="0" t="s">
        <v>2090</v>
      </c>
      <c r="E1403" s="0" t="inlineStr">
        <is>
          <t xml:space="preserve">Mazda</t>
        </is>
      </c>
      <c r="F1403" s="0" t="inlineStr">
        <is>
          <t xml:space="preserve">Mazda</t>
        </is>
      </c>
      <c r="G1403" s="0" t="s">
        <v>171</v>
      </c>
      <c r="H1403" s="5">
        <v>10644.437000</v>
      </c>
    </row>
    <row r="1404" spans="1:9">
      <c r="A1404" s="22" t="str">
        <f>HYPERLINK("https://app.vivvix.com/360/KMI/IntelliDrive/ApplUI/Pages/CreativePages/CustomReportCreativeDetail.aspx?App=23&amp;ReportView=4&amp;Qid=1711279&amp;Row=1396&amp;Col=1","No Title Assigned - #15265305062")</f>
        <v/>
      </c>
      <c r="B1404" s="0" t="s">
        <v>2089</v>
      </c>
      <c r="E1404" s="0" t="inlineStr">
        <is>
          <t xml:space="preserve">Mazda</t>
        </is>
      </c>
      <c r="F1404" s="0" t="inlineStr">
        <is>
          <t xml:space="preserve">Mazda</t>
        </is>
      </c>
      <c r="G1404" s="0" t="s">
        <v>171</v>
      </c>
      <c r="H1404" s="5">
        <v>468.091600</v>
      </c>
    </row>
    <row r="1405" spans="1:9">
      <c r="A1405" s="22" t="str">
        <f>HYPERLINK("https://app.vivvix.com/360/KMI/IntelliDrive/ApplUI/Pages/CreativePages/CustomReportCreativeDetail.aspx?App=23&amp;ReportView=4&amp;Qid=1711279&amp;Row=1397&amp;Col=1","No Title Assigned - #15265305080")</f>
        <v/>
      </c>
      <c r="B1405" s="0" t="s">
        <v>2091</v>
      </c>
      <c r="E1405" s="0" t="inlineStr">
        <is>
          <t xml:space="preserve">Mazda</t>
        </is>
      </c>
      <c r="F1405" s="0" t="inlineStr">
        <is>
          <t xml:space="preserve">Mazda</t>
        </is>
      </c>
      <c r="G1405" s="0" t="s">
        <v>171</v>
      </c>
      <c r="H1405" s="5">
        <v>6242.474100</v>
      </c>
    </row>
    <row r="1406" spans="1:9">
      <c r="A1406" s="22" t="str">
        <f>HYPERLINK("https://app.vivvix.com/360/KMI/IntelliDrive/ApplUI/Pages/CreativePages/CustomReportCreativeDetail.aspx?App=23&amp;ReportView=4&amp;Qid=1711279&amp;Row=1398&amp;Col=1","No Title Assigned - #15265305168")</f>
        <v/>
      </c>
      <c r="B1406" s="0" t="s">
        <v>2092</v>
      </c>
      <c r="E1406" s="0" t="inlineStr">
        <is>
          <t xml:space="preserve">Mazda</t>
        </is>
      </c>
      <c r="F1406" s="0" t="inlineStr">
        <is>
          <t xml:space="preserve">Mazda</t>
        </is>
      </c>
      <c r="G1406" s="0" t="s">
        <v>171</v>
      </c>
      <c r="H1406" s="5">
        <v>33483.688300</v>
      </c>
    </row>
    <row r="1407" spans="1:9">
      <c r="A1407" s="22" t="str">
        <f>HYPERLINK("https://app.vivvix.com/360/KMI/IntelliDrive/ApplUI/Pages/CreativePages/CustomReportCreativeDetail.aspx?App=23&amp;ReportView=4&amp;Qid=1711279&amp;Row=1399&amp;Col=1","No Title Assigned - #15265305168")</f>
        <v/>
      </c>
      <c r="B1407" s="0" t="s">
        <v>2092</v>
      </c>
      <c r="E1407" s="0" t="inlineStr">
        <is>
          <t xml:space="preserve">Mazda</t>
        </is>
      </c>
      <c r="F1407" s="0" t="inlineStr">
        <is>
          <t xml:space="preserve">Mazda</t>
        </is>
      </c>
      <c r="G1407" s="0" t="s">
        <v>171</v>
      </c>
      <c r="H1407" s="5">
        <v>1340.582800</v>
      </c>
    </row>
    <row r="1408" spans="1:9">
      <c r="A1408" s="22" t="str">
        <f>HYPERLINK("https://app.vivvix.com/360/KMI/IntelliDrive/ApplUI/Pages/CreativePages/CustomReportCreativeDetail.aspx?App=23&amp;ReportView=4&amp;Qid=1711279&amp;Row=1400&amp;Col=1","No Title Assigned - #15265307866")</f>
        <v/>
      </c>
      <c r="B1408" s="0" t="s">
        <v>2093</v>
      </c>
      <c r="C1408" s="0" t="s">
        <v>2094</v>
      </c>
      <c r="D1408" s="0" t="s">
        <v>2094</v>
      </c>
      <c r="E1408" s="0" t="inlineStr">
        <is>
          <t xml:space="preserve">Mazda</t>
        </is>
      </c>
      <c r="F1408" s="0" t="s">
        <v>17</v>
      </c>
      <c r="G1408" s="0" t="s">
        <v>33</v>
      </c>
      <c r="H1408" s="5">
        <v>1496.729900</v>
      </c>
    </row>
    <row r="1409" spans="1:9">
      <c r="A1409" s="22" t="str">
        <f>HYPERLINK("https://app.vivvix.com/360/KMI/IntelliDrive/ApplUI/Pages/CreativePages/CustomReportCreativeDetail.aspx?App=23&amp;ReportView=4&amp;Qid=1711279&amp;Row=1401&amp;Col=1","No Title Assigned - #15265309059")</f>
        <v/>
      </c>
      <c r="B1409" s="0" t="s">
        <v>2095</v>
      </c>
      <c r="E1409" s="0" t="inlineStr">
        <is>
          <t xml:space="preserve">Mazda</t>
        </is>
      </c>
      <c r="F1409" s="0" t="s">
        <v>13</v>
      </c>
      <c r="G1409" s="0" t="s">
        <v>49</v>
      </c>
      <c r="H1409" s="5">
        <v>12688.422100</v>
      </c>
    </row>
    <row r="1410" spans="1:9">
      <c r="A1410" s="22" t="str">
        <f>HYPERLINK("https://app.vivvix.com/360/KMI/IntelliDrive/ApplUI/Pages/CreativePages/CustomReportCreativeDetail.aspx?App=23&amp;ReportView=4&amp;Qid=1711279&amp;Row=1402&amp;Col=1","No Title Assigned - #15265309059")</f>
        <v/>
      </c>
      <c r="B1410" s="0" t="s">
        <v>2095</v>
      </c>
      <c r="C1410" s="0" t="s">
        <v>1939</v>
      </c>
      <c r="D1410" s="0" t="s">
        <v>1939</v>
      </c>
      <c r="E1410" s="0" t="inlineStr">
        <is>
          <t xml:space="preserve">Mazda</t>
        </is>
      </c>
      <c r="F1410" s="0" t="s">
        <v>13</v>
      </c>
      <c r="G1410" s="0" t="s">
        <v>49</v>
      </c>
      <c r="H1410" s="5">
        <v>4859.439000</v>
      </c>
    </row>
    <row r="1411" spans="1:9">
      <c r="A1411" s="22" t="str">
        <f>HYPERLINK("https://app.vivvix.com/360/KMI/IntelliDrive/ApplUI/Pages/CreativePages/CustomReportCreativeDetail.aspx?App=23&amp;ReportView=4&amp;Qid=1711279&amp;Row=1403&amp;Col=1","No Title Assigned - #15265310755")</f>
        <v/>
      </c>
      <c r="B1411" s="0" t="s">
        <v>2096</v>
      </c>
      <c r="E1411" s="0" t="inlineStr">
        <is>
          <t xml:space="preserve">Mazda</t>
        </is>
      </c>
      <c r="F1411" s="0" t="s">
        <v>28</v>
      </c>
      <c r="G1411" s="0" t="s">
        <v>29</v>
      </c>
      <c r="H1411" s="5">
        <v>4210.488800</v>
      </c>
    </row>
    <row r="1412" spans="1:9">
      <c r="A1412" s="22" t="str">
        <f>HYPERLINK("https://app.vivvix.com/360/KMI/IntelliDrive/ApplUI/Pages/CreativePages/CustomReportCreativeDetail.aspx?App=23&amp;ReportView=4&amp;Qid=1711279&amp;Row=1404&amp;Col=1","No Title Assigned - #15265310755")</f>
        <v/>
      </c>
      <c r="B1412" s="0" t="s">
        <v>2096</v>
      </c>
      <c r="C1412" s="0" t="s">
        <v>2097</v>
      </c>
      <c r="D1412" s="0" t="s">
        <v>2097</v>
      </c>
      <c r="E1412" s="0" t="inlineStr">
        <is>
          <t xml:space="preserve">Mazda</t>
        </is>
      </c>
      <c r="F1412" s="0" t="s">
        <v>28</v>
      </c>
      <c r="G1412" s="0" t="s">
        <v>29</v>
      </c>
      <c r="H1412" s="5">
        <v>10594.320600</v>
      </c>
    </row>
    <row r="1413" spans="1:9">
      <c r="A1413" s="22" t="str">
        <f>HYPERLINK("https://app.vivvix.com/360/KMI/IntelliDrive/ApplUI/Pages/CreativePages/CustomReportCreativeDetail.aspx?App=23&amp;ReportView=4&amp;Qid=1711279&amp;Row=1405&amp;Col=1","No Title Assigned - #15265351302")</f>
        <v/>
      </c>
      <c r="B1413" s="0" t="s">
        <v>2098</v>
      </c>
      <c r="E1413" s="0" t="inlineStr">
        <is>
          <t xml:space="preserve">Mazda</t>
        </is>
      </c>
      <c r="F1413" s="0" t="s">
        <v>13</v>
      </c>
      <c r="G1413" s="0" t="s">
        <v>49</v>
      </c>
      <c r="H1413" s="5">
        <v>1104.459400</v>
      </c>
    </row>
    <row r="1414" spans="1:9">
      <c r="A1414" s="22" t="str">
        <f>HYPERLINK("https://app.vivvix.com/360/KMI/IntelliDrive/ApplUI/Pages/CreativePages/CustomReportCreativeDetail.aspx?App=23&amp;ReportView=4&amp;Qid=1711279&amp;Row=1406&amp;Col=1","No Title Assigned - #15265351302")</f>
        <v/>
      </c>
      <c r="B1414" s="0" t="s">
        <v>2098</v>
      </c>
      <c r="C1414" s="0" t="s">
        <v>2099</v>
      </c>
      <c r="D1414" s="0" t="s">
        <v>2099</v>
      </c>
      <c r="E1414" s="0" t="inlineStr">
        <is>
          <t xml:space="preserve">Mazda</t>
        </is>
      </c>
      <c r="F1414" s="0" t="s">
        <v>13</v>
      </c>
      <c r="G1414" s="0" t="s">
        <v>49</v>
      </c>
      <c r="H1414" s="5">
        <v>1530.399700</v>
      </c>
    </row>
    <row r="1415" spans="1:9">
      <c r="A1415" s="22" t="str">
        <f>HYPERLINK("https://app.vivvix.com/360/KMI/IntelliDrive/ApplUI/Pages/CreativePages/CustomReportCreativeDetail.aspx?App=23&amp;ReportView=4&amp;Qid=1711279&amp;Row=1407&amp;Col=1","No Title Assigned - #15265354947")</f>
        <v/>
      </c>
      <c r="B1415" s="0" t="s">
        <v>2100</v>
      </c>
      <c r="C1415" s="0" t="s">
        <v>2101</v>
      </c>
      <c r="D1415" s="0" t="s">
        <v>1573</v>
      </c>
      <c r="E1415" s="0" t="inlineStr">
        <is>
          <t xml:space="preserve">Mazda</t>
        </is>
      </c>
      <c r="F1415" s="0" t="s">
        <v>13</v>
      </c>
      <c r="G1415" s="0" t="s">
        <v>49</v>
      </c>
      <c r="H1415" s="5">
        <v>463.132000</v>
      </c>
    </row>
    <row r="1416" spans="1:9">
      <c r="A1416" s="22" t="str">
        <f>HYPERLINK("https://app.vivvix.com/360/KMI/IntelliDrive/ApplUI/Pages/CreativePages/CustomReportCreativeDetail.aspx?App=23&amp;ReportView=4&amp;Qid=1711279&amp;Row=1408&amp;Col=1","No Title Assigned - #15265374179")</f>
        <v/>
      </c>
      <c r="B1416" s="0" t="s">
        <v>2102</v>
      </c>
      <c r="E1416" s="0" t="inlineStr">
        <is>
          <t xml:space="preserve">Mazda</t>
        </is>
      </c>
      <c r="F1416" s="0" t="s">
        <v>13</v>
      </c>
      <c r="G1416" s="0" t="s">
        <v>49</v>
      </c>
      <c r="H1416" s="5">
        <v>66.870600</v>
      </c>
    </row>
    <row r="1417" spans="1:9">
      <c r="A1417" s="22" t="str">
        <f>HYPERLINK("https://app.vivvix.com/360/KMI/IntelliDrive/ApplUI/Pages/CreativePages/CustomReportCreativeDetail.aspx?App=23&amp;ReportView=4&amp;Qid=1711279&amp;Row=1409&amp;Col=1","No Title Assigned - #15265374179")</f>
        <v/>
      </c>
      <c r="B1417" s="0" t="s">
        <v>2102</v>
      </c>
      <c r="C1417" s="0" t="s">
        <v>2103</v>
      </c>
      <c r="D1417" s="0" t="s">
        <v>2103</v>
      </c>
      <c r="E1417" s="0" t="inlineStr">
        <is>
          <t xml:space="preserve">Mazda</t>
        </is>
      </c>
      <c r="F1417" s="0" t="s">
        <v>13</v>
      </c>
      <c r="G1417" s="0" t="s">
        <v>49</v>
      </c>
      <c r="H1417" s="5">
        <v>74.765100</v>
      </c>
    </row>
    <row r="1418" spans="1:9">
      <c r="A1418" s="22" t="str">
        <f>HYPERLINK("https://app.vivvix.com/360/KMI/IntelliDrive/ApplUI/Pages/CreativePages/CustomReportCreativeDetail.aspx?App=23&amp;ReportView=4&amp;Qid=1711279&amp;Row=1410&amp;Col=1","No Title Assigned - #15265374180")</f>
        <v/>
      </c>
      <c r="B1418" s="0" t="s">
        <v>2104</v>
      </c>
      <c r="C1418" s="0" t="s">
        <v>2105</v>
      </c>
      <c r="D1418" s="0" t="s">
        <v>2105</v>
      </c>
      <c r="E1418" s="0" t="inlineStr">
        <is>
          <t xml:space="preserve">Mazda</t>
        </is>
      </c>
      <c r="F1418" s="0" t="s">
        <v>13</v>
      </c>
      <c r="G1418" s="0" t="s">
        <v>49</v>
      </c>
      <c r="H1418" s="5">
        <v>149.530200</v>
      </c>
    </row>
    <row r="1419" spans="1:9">
      <c r="A1419" s="22" t="str">
        <f>HYPERLINK("https://app.vivvix.com/360/KMI/IntelliDrive/ApplUI/Pages/CreativePages/CustomReportCreativeDetail.aspx?App=23&amp;ReportView=4&amp;Qid=1711279&amp;Row=1411&amp;Col=1","No Title Assigned - #15265374185")</f>
        <v/>
      </c>
      <c r="B1419" s="0" t="s">
        <v>2106</v>
      </c>
      <c r="C1419" s="0" t="s">
        <v>2107</v>
      </c>
      <c r="D1419" s="0" t="s">
        <v>2107</v>
      </c>
      <c r="E1419" s="0" t="inlineStr">
        <is>
          <t xml:space="preserve">Mazda</t>
        </is>
      </c>
      <c r="F1419" s="0" t="s">
        <v>13</v>
      </c>
      <c r="G1419" s="0" t="s">
        <v>49</v>
      </c>
      <c r="H1419" s="5">
        <v>74.765100</v>
      </c>
    </row>
    <row r="1420" spans="1:9">
      <c r="A1420" s="22" t="str">
        <f>HYPERLINK("https://app.vivvix.com/360/KMI/IntelliDrive/ApplUI/Pages/CreativePages/CustomReportCreativeDetail.aspx?App=23&amp;ReportView=4&amp;Qid=1711279&amp;Row=1412&amp;Col=1","No Title Assigned - #15265374186")</f>
        <v/>
      </c>
      <c r="B1420" s="0" t="s">
        <v>2108</v>
      </c>
      <c r="C1420" s="0" t="s">
        <v>2109</v>
      </c>
      <c r="D1420" s="0" t="s">
        <v>2109</v>
      </c>
      <c r="E1420" s="0" t="inlineStr">
        <is>
          <t xml:space="preserve">Mazda</t>
        </is>
      </c>
      <c r="F1420" s="0" t="s">
        <v>13</v>
      </c>
      <c r="G1420" s="0" t="s">
        <v>49</v>
      </c>
      <c r="H1420" s="5">
        <v>1643.254200</v>
      </c>
    </row>
    <row r="1421" spans="1:9">
      <c r="A1421" s="22" t="str">
        <f>HYPERLINK("https://app.vivvix.com/360/KMI/IntelliDrive/ApplUI/Pages/CreativePages/CustomReportCreativeDetail.aspx?App=23&amp;ReportView=4&amp;Qid=1711279&amp;Row=1413&amp;Col=1","No Title Assigned - #15265374186")</f>
        <v/>
      </c>
      <c r="B1421" s="0" t="s">
        <v>2108</v>
      </c>
      <c r="E1421" s="0" t="inlineStr">
        <is>
          <t xml:space="preserve">Mazda</t>
        </is>
      </c>
      <c r="F1421" s="0" t="s">
        <v>13</v>
      </c>
      <c r="G1421" s="0" t="s">
        <v>49</v>
      </c>
      <c r="H1421" s="5">
        <v>1363.183300</v>
      </c>
    </row>
    <row r="1422" spans="1:9">
      <c r="A1422" s="22" t="str">
        <f>HYPERLINK("https://app.vivvix.com/360/KMI/IntelliDrive/ApplUI/Pages/CreativePages/CustomReportCreativeDetail.aspx?App=23&amp;ReportView=4&amp;Qid=1711279&amp;Row=1414&amp;Col=1","No Title Assigned - #15265378651")</f>
        <v/>
      </c>
      <c r="B1422" s="0" t="s">
        <v>2110</v>
      </c>
      <c r="C1422" s="0" t="s">
        <v>2111</v>
      </c>
      <c r="D1422" s="0" t="s">
        <v>2111</v>
      </c>
      <c r="E1422" s="0" t="inlineStr">
        <is>
          <t xml:space="preserve">Mazda</t>
        </is>
      </c>
      <c r="F1422" s="0" t="s">
        <v>28</v>
      </c>
      <c r="G1422" s="0" t="s">
        <v>29</v>
      </c>
      <c r="H1422" s="5">
        <v>8499.374000</v>
      </c>
    </row>
    <row r="1423" spans="1:9">
      <c r="A1423" s="22" t="str">
        <f>HYPERLINK("https://app.vivvix.com/360/KMI/IntelliDrive/ApplUI/Pages/CreativePages/CustomReportCreativeDetail.aspx?App=23&amp;ReportView=4&amp;Qid=1711279&amp;Row=1415&amp;Col=1","No Title Assigned - #15265391654")</f>
        <v/>
      </c>
      <c r="B1423" s="0" t="s">
        <v>2112</v>
      </c>
      <c r="C1423" s="0" t="s">
        <v>2113</v>
      </c>
      <c r="D1423" s="0" t="s">
        <v>2113</v>
      </c>
      <c r="E1423" s="0" t="inlineStr">
        <is>
          <t xml:space="preserve">Mazda</t>
        </is>
      </c>
      <c r="F1423" s="0" t="s">
        <v>13</v>
      </c>
      <c r="G1423" s="0" t="s">
        <v>49</v>
      </c>
      <c r="H1423" s="5">
        <v>106.850100</v>
      </c>
    </row>
    <row r="1424" spans="1:9">
      <c r="A1424" s="22" t="str">
        <f>HYPERLINK("https://app.vivvix.com/360/KMI/IntelliDrive/ApplUI/Pages/CreativePages/CustomReportCreativeDetail.aspx?App=23&amp;ReportView=4&amp;Qid=1711279&amp;Row=1416&amp;Col=1","No Title Assigned - #15265392120")</f>
        <v/>
      </c>
      <c r="B1424" s="0" t="s">
        <v>2114</v>
      </c>
      <c r="C1424" s="0" t="s">
        <v>2115</v>
      </c>
      <c r="D1424" s="0" t="s">
        <v>2115</v>
      </c>
      <c r="E1424" s="0" t="inlineStr">
        <is>
          <t xml:space="preserve">Mazda</t>
        </is>
      </c>
      <c r="F1424" s="0" t="s">
        <v>13</v>
      </c>
      <c r="G1424" s="0" t="s">
        <v>49</v>
      </c>
      <c r="H1424" s="5">
        <v>1792.212300</v>
      </c>
    </row>
    <row r="1425" spans="1:9">
      <c r="A1425" s="22" t="str">
        <f>HYPERLINK("https://app.vivvix.com/360/KMI/IntelliDrive/ApplUI/Pages/CreativePages/CustomReportCreativeDetail.aspx?App=23&amp;ReportView=4&amp;Qid=1711279&amp;Row=1417&amp;Col=1","No Title Assigned - #15265393034")</f>
        <v/>
      </c>
      <c r="B1425" s="0" t="s">
        <v>2116</v>
      </c>
      <c r="C1425" s="0" t="s">
        <v>2117</v>
      </c>
      <c r="D1425" s="0" t="s">
        <v>2117</v>
      </c>
      <c r="E1425" s="0" t="inlineStr">
        <is>
          <t xml:space="preserve">Mazda</t>
        </is>
      </c>
      <c r="F1425" s="0" t="s">
        <v>13</v>
      </c>
      <c r="G1425" s="0" t="s">
        <v>49</v>
      </c>
      <c r="H1425" s="5">
        <v>437.634400</v>
      </c>
    </row>
    <row r="1426" spans="1:9">
      <c r="A1426" s="22" t="str">
        <f>HYPERLINK("https://app.vivvix.com/360/KMI/IntelliDrive/ApplUI/Pages/CreativePages/CustomReportCreativeDetail.aspx?App=23&amp;ReportView=4&amp;Qid=1711279&amp;Row=1418&amp;Col=1","No Title Assigned - #15265405561")</f>
        <v/>
      </c>
      <c r="B1426" s="0" t="s">
        <v>2118</v>
      </c>
      <c r="C1426" s="0" t="s">
        <v>2119</v>
      </c>
      <c r="D1426" s="0" t="s">
        <v>2119</v>
      </c>
      <c r="E1426" s="0" t="inlineStr">
        <is>
          <t xml:space="preserve">Mazda</t>
        </is>
      </c>
      <c r="F1426" s="0" t="s">
        <v>13</v>
      </c>
      <c r="G1426" s="0" t="s">
        <v>49</v>
      </c>
      <c r="H1426" s="5">
        <v>436.012400</v>
      </c>
    </row>
    <row r="1427" spans="1:9">
      <c r="A1427" s="22" t="str">
        <f>HYPERLINK("https://app.vivvix.com/360/KMI/IntelliDrive/ApplUI/Pages/CreativePages/CustomReportCreativeDetail.aspx?App=23&amp;ReportView=4&amp;Qid=1711279&amp;Row=1419&amp;Col=1","No Title Assigned - #15265411013")</f>
        <v/>
      </c>
      <c r="B1427" s="0" t="s">
        <v>2120</v>
      </c>
      <c r="E1427" s="0" t="inlineStr">
        <is>
          <t xml:space="preserve">Mazda</t>
        </is>
      </c>
      <c r="F1427" s="0" t="s">
        <v>204</v>
      </c>
      <c r="G1427" s="0" t="s">
        <v>205</v>
      </c>
      <c r="H1427" s="5">
        <v>2341.325000</v>
      </c>
    </row>
    <row r="1428" spans="1:9">
      <c r="A1428" s="22" t="str">
        <f>HYPERLINK("https://app.vivvix.com/360/KMI/IntelliDrive/ApplUI/Pages/CreativePages/CustomReportCreativeDetail.aspx?App=23&amp;ReportView=4&amp;Qid=1711279&amp;Row=1420&amp;Col=1","No Title Assigned - #15265416714")</f>
        <v/>
      </c>
      <c r="B1428" s="0" t="s">
        <v>2121</v>
      </c>
      <c r="C1428" s="0" t="s">
        <v>2122</v>
      </c>
      <c r="D1428" s="0" t="s">
        <v>2122</v>
      </c>
      <c r="E1428" s="0" t="inlineStr">
        <is>
          <t xml:space="preserve">Mazda</t>
        </is>
      </c>
      <c r="F1428" s="0" t="s">
        <v>13</v>
      </c>
      <c r="G1428" s="0" t="s">
        <v>49</v>
      </c>
      <c r="H1428" s="5">
        <v>1631.231100</v>
      </c>
    </row>
    <row r="1429" spans="1:9">
      <c r="A1429" s="22" t="str">
        <f>HYPERLINK("https://app.vivvix.com/360/KMI/IntelliDrive/ApplUI/Pages/CreativePages/CustomReportCreativeDetail.aspx?App=23&amp;ReportView=4&amp;Qid=1711279&amp;Row=1421&amp;Col=1","No Title Assigned - #15265416715")</f>
        <v/>
      </c>
      <c r="B1429" s="0" t="s">
        <v>2123</v>
      </c>
      <c r="C1429" s="0" t="s">
        <v>2124</v>
      </c>
      <c r="D1429" s="0" t="s">
        <v>2124</v>
      </c>
      <c r="E1429" s="0" t="inlineStr">
        <is>
          <t xml:space="preserve">Mazda</t>
        </is>
      </c>
      <c r="F1429" s="0" t="s">
        <v>13</v>
      </c>
      <c r="G1429" s="0" t="s">
        <v>49</v>
      </c>
      <c r="H1429" s="5">
        <v>495.840700</v>
      </c>
    </row>
    <row r="1430" spans="1:9">
      <c r="A1430" s="22" t="str">
        <f>HYPERLINK("https://app.vivvix.com/360/KMI/IntelliDrive/ApplUI/Pages/CreativePages/CustomReportCreativeDetail.aspx?App=23&amp;ReportView=4&amp;Qid=1711279&amp;Row=1422&amp;Col=1","No Title Assigned - #15265417251")</f>
        <v/>
      </c>
      <c r="B1430" s="0" t="s">
        <v>2125</v>
      </c>
      <c r="C1430" s="0" t="s">
        <v>2126</v>
      </c>
      <c r="D1430" s="0" t="s">
        <v>2126</v>
      </c>
      <c r="E1430" s="0" t="inlineStr">
        <is>
          <t xml:space="preserve">Mazda</t>
        </is>
      </c>
      <c r="F1430" s="0" t="s">
        <v>13</v>
      </c>
      <c r="G1430" s="0" t="s">
        <v>49</v>
      </c>
      <c r="H1430" s="5">
        <v>677.691600</v>
      </c>
    </row>
    <row r="1431" spans="1:9">
      <c r="A1431" s="22" t="str">
        <f>HYPERLINK("https://app.vivvix.com/360/KMI/IntelliDrive/ApplUI/Pages/CreativePages/CustomReportCreativeDetail.aspx?App=23&amp;ReportView=4&amp;Qid=1711279&amp;Row=1423&amp;Col=1","No Title Assigned - #15265437455")</f>
        <v/>
      </c>
      <c r="B1431" s="0" t="s">
        <v>2127</v>
      </c>
      <c r="E1431" s="0" t="inlineStr">
        <is>
          <t xml:space="preserve">Mazda</t>
        </is>
      </c>
      <c r="F1431" s="0" t="inlineStr">
        <is>
          <t xml:space="preserve">Mazda</t>
        </is>
      </c>
      <c r="G1431" s="0" t="s">
        <v>171</v>
      </c>
      <c r="H1431" s="5">
        <v>339.396800</v>
      </c>
    </row>
    <row r="1432" spans="1:9">
      <c r="A1432" s="22" t="str">
        <f>HYPERLINK("https://app.vivvix.com/360/KMI/IntelliDrive/ApplUI/Pages/CreativePages/CustomReportCreativeDetail.aspx?App=23&amp;ReportView=4&amp;Qid=1711279&amp;Row=1424&amp;Col=1","No Title Assigned - #15265439524")</f>
        <v/>
      </c>
      <c r="B1432" s="0" t="s">
        <v>2128</v>
      </c>
      <c r="C1432" s="0" t="s">
        <v>2129</v>
      </c>
      <c r="D1432" s="0" t="s">
        <v>2129</v>
      </c>
      <c r="E1432" s="0" t="inlineStr">
        <is>
          <t xml:space="preserve">Mazda</t>
        </is>
      </c>
      <c r="F1432" s="0" t="inlineStr">
        <is>
          <t xml:space="preserve">Mazda</t>
        </is>
      </c>
      <c r="G1432" s="0" t="s">
        <v>171</v>
      </c>
    </row>
    <row r="1433" spans="1:9">
      <c r="A1433" s="22" t="str">
        <f>HYPERLINK("https://app.vivvix.com/360/KMI/IntelliDrive/ApplUI/Pages/CreativePages/CustomReportCreativeDetail.aspx?App=23&amp;ReportView=4&amp;Qid=1711279&amp;Row=1425&amp;Col=1","No Title Assigned - #15265440291")</f>
        <v/>
      </c>
      <c r="B1433" s="0" t="s">
        <v>2130</v>
      </c>
      <c r="E1433" s="0" t="inlineStr">
        <is>
          <t xml:space="preserve">Mazda</t>
        </is>
      </c>
      <c r="F1433" s="0" t="inlineStr">
        <is>
          <t xml:space="preserve">Mazda</t>
        </is>
      </c>
      <c r="G1433" s="0" t="s">
        <v>171</v>
      </c>
    </row>
    <row r="1434" spans="1:9">
      <c r="A1434" s="22" t="str">
        <f>HYPERLINK("https://app.vivvix.com/360/KMI/IntelliDrive/ApplUI/Pages/CreativePages/CustomReportCreativeDetail.aspx?App=23&amp;ReportView=4&amp;Qid=1711279&amp;Row=1426&amp;Col=1","No Title Assigned - #15265440577")</f>
        <v/>
      </c>
      <c r="B1434" s="0" t="s">
        <v>2131</v>
      </c>
      <c r="E1434" s="0" t="inlineStr">
        <is>
          <t xml:space="preserve">Mazda</t>
        </is>
      </c>
      <c r="F1434" s="0" t="inlineStr">
        <is>
          <t xml:space="preserve">Mazda</t>
        </is>
      </c>
      <c r="G1434" s="0" t="s">
        <v>171</v>
      </c>
    </row>
    <row r="1435" spans="1:9">
      <c r="A1435" s="22" t="str">
        <f>HYPERLINK("https://app.vivvix.com/360/KMI/IntelliDrive/ApplUI/Pages/CreativePages/CustomReportCreativeDetail.aspx?App=23&amp;ReportView=4&amp;Qid=1711279&amp;Row=1427&amp;Col=1","No Title Assigned - #15265440815")</f>
        <v/>
      </c>
      <c r="B1435" s="0" t="s">
        <v>2132</v>
      </c>
      <c r="E1435" s="0" t="inlineStr">
        <is>
          <t xml:space="preserve">Mazda</t>
        </is>
      </c>
      <c r="F1435" s="0" t="inlineStr">
        <is>
          <t xml:space="preserve">Mazda</t>
        </is>
      </c>
      <c r="G1435" s="0" t="s">
        <v>171</v>
      </c>
      <c r="H1435" s="5">
        <v>14849.167000</v>
      </c>
    </row>
    <row r="1436" spans="1:9">
      <c r="A1436" s="22" t="str">
        <f>HYPERLINK("https://app.vivvix.com/360/KMI/IntelliDrive/ApplUI/Pages/CreativePages/CustomReportCreativeDetail.aspx?App=23&amp;ReportView=4&amp;Qid=1711279&amp;Row=1428&amp;Col=1","No Title Assigned - #15265440815")</f>
        <v/>
      </c>
      <c r="B1436" s="0" t="s">
        <v>2132</v>
      </c>
      <c r="E1436" s="0" t="inlineStr">
        <is>
          <t xml:space="preserve">Mazda</t>
        </is>
      </c>
      <c r="F1436" s="0" t="inlineStr">
        <is>
          <t xml:space="preserve">Mazda</t>
        </is>
      </c>
      <c r="G1436" s="0" t="s">
        <v>171</v>
      </c>
      <c r="H1436" s="5">
        <v>146.414600</v>
      </c>
    </row>
    <row r="1437" spans="1:9">
      <c r="A1437" s="22" t="str">
        <f>HYPERLINK("https://app.vivvix.com/360/KMI/IntelliDrive/ApplUI/Pages/CreativePages/CustomReportCreativeDetail.aspx?App=23&amp;ReportView=4&amp;Qid=1711279&amp;Row=1429&amp;Col=1","No Title Assigned - #15265443621")</f>
        <v/>
      </c>
      <c r="B1437" s="0" t="s">
        <v>2133</v>
      </c>
      <c r="C1437" s="0" t="s">
        <v>2134</v>
      </c>
      <c r="D1437" s="0" t="s">
        <v>2134</v>
      </c>
      <c r="E1437" s="0" t="inlineStr">
        <is>
          <t xml:space="preserve">Mazda</t>
        </is>
      </c>
      <c r="F1437" s="0" t="s">
        <v>13</v>
      </c>
      <c r="G1437" s="0" t="s">
        <v>49</v>
      </c>
      <c r="H1437" s="5">
        <v>850.772300</v>
      </c>
    </row>
    <row r="1438" spans="1:9">
      <c r="A1438" s="22" t="str">
        <f>HYPERLINK("https://app.vivvix.com/360/KMI/IntelliDrive/ApplUI/Pages/CreativePages/CustomReportCreativeDetail.aspx?App=23&amp;ReportView=4&amp;Qid=1711279&amp;Row=1430&amp;Col=1","No Title Assigned - #15265445625")</f>
        <v/>
      </c>
      <c r="B1438" s="0" t="s">
        <v>2135</v>
      </c>
      <c r="C1438" s="0" t="s">
        <v>2136</v>
      </c>
      <c r="D1438" s="0" t="s">
        <v>2136</v>
      </c>
      <c r="E1438" s="0" t="inlineStr">
        <is>
          <t xml:space="preserve">Mazda</t>
        </is>
      </c>
      <c r="F1438" s="0" t="inlineStr">
        <is>
          <t xml:space="preserve">Mazda</t>
        </is>
      </c>
      <c r="G1438" s="0" t="s">
        <v>171</v>
      </c>
    </row>
    <row r="1439" spans="1:9">
      <c r="A1439" s="22" t="str">
        <f>HYPERLINK("https://app.vivvix.com/360/KMI/IntelliDrive/ApplUI/Pages/CreativePages/CustomReportCreativeDetail.aspx?App=23&amp;ReportView=4&amp;Qid=1711279&amp;Row=1431&amp;Col=1","No Title Assigned - #15265448142")</f>
        <v/>
      </c>
      <c r="B1439" s="0" t="s">
        <v>2137</v>
      </c>
      <c r="C1439" s="0" t="s">
        <v>2138</v>
      </c>
      <c r="D1439" s="0" t="s">
        <v>2138</v>
      </c>
      <c r="E1439" s="0" t="inlineStr">
        <is>
          <t xml:space="preserve">Mazda</t>
        </is>
      </c>
      <c r="F1439" s="0" t="inlineStr">
        <is>
          <t xml:space="preserve">Mazda</t>
        </is>
      </c>
      <c r="G1439" s="0" t="s">
        <v>171</v>
      </c>
    </row>
    <row r="1440" spans="1:9">
      <c r="A1440" s="22" t="str">
        <f>HYPERLINK("https://app.vivvix.com/360/KMI/IntelliDrive/ApplUI/Pages/CreativePages/CustomReportCreativeDetail.aspx?App=23&amp;ReportView=4&amp;Qid=1711279&amp;Row=1432&amp;Col=1","No Title Assigned - #15265448803")</f>
        <v/>
      </c>
      <c r="B1440" s="0" t="s">
        <v>2139</v>
      </c>
      <c r="C1440" s="0" t="s">
        <v>2140</v>
      </c>
      <c r="D1440" s="0" t="s">
        <v>2140</v>
      </c>
      <c r="E1440" s="0" t="inlineStr">
        <is>
          <t xml:space="preserve">Mazda</t>
        </is>
      </c>
      <c r="F1440" s="0" t="s">
        <v>28</v>
      </c>
      <c r="G1440" s="0" t="s">
        <v>29</v>
      </c>
      <c r="H1440" s="5">
        <v>1345.041100</v>
      </c>
    </row>
    <row r="1441" spans="1:9">
      <c r="A1441" s="22" t="str">
        <f>HYPERLINK("https://app.vivvix.com/360/KMI/IntelliDrive/ApplUI/Pages/CreativePages/CustomReportCreativeDetail.aspx?App=23&amp;ReportView=4&amp;Qid=1711279&amp;Row=1433&amp;Col=1","No Title Assigned - #15265449235")</f>
        <v/>
      </c>
      <c r="B1441" s="0" t="s">
        <v>2141</v>
      </c>
      <c r="E1441" s="0" t="inlineStr">
        <is>
          <t xml:space="preserve">Mazda</t>
        </is>
      </c>
      <c r="F1441" s="0" t="inlineStr">
        <is>
          <t xml:space="preserve">Mazda</t>
        </is>
      </c>
      <c r="G1441" s="0" t="s">
        <v>171</v>
      </c>
    </row>
    <row r="1442" spans="1:9">
      <c r="A1442" s="22" t="str">
        <f>HYPERLINK("https://app.vivvix.com/360/KMI/IntelliDrive/ApplUI/Pages/CreativePages/CustomReportCreativeDetail.aspx?App=23&amp;ReportView=4&amp;Qid=1711279&amp;Row=1434&amp;Col=1","No Title Assigned - #15265452047")</f>
        <v/>
      </c>
      <c r="B1442" s="0" t="s">
        <v>2142</v>
      </c>
      <c r="C1442" s="0" t="s">
        <v>2143</v>
      </c>
      <c r="D1442" s="0" t="s">
        <v>2143</v>
      </c>
      <c r="E1442" s="0" t="inlineStr">
        <is>
          <t xml:space="preserve">Mazda</t>
        </is>
      </c>
      <c r="F1442" s="0" t="s">
        <v>13</v>
      </c>
      <c r="G1442" s="0" t="s">
        <v>49</v>
      </c>
      <c r="H1442" s="5">
        <v>411.264700</v>
      </c>
    </row>
    <row r="1443" spans="1:9">
      <c r="A1443" s="22" t="str">
        <f>HYPERLINK("https://app.vivvix.com/360/KMI/IntelliDrive/ApplUI/Pages/CreativePages/CustomReportCreativeDetail.aspx?App=23&amp;ReportView=4&amp;Qid=1711279&amp;Row=1435&amp;Col=1","No Title Assigned - #15265493548")</f>
        <v/>
      </c>
      <c r="B1443" s="0" t="s">
        <v>2144</v>
      </c>
      <c r="E1443" s="0" t="inlineStr">
        <is>
          <t xml:space="preserve">Mazda</t>
        </is>
      </c>
      <c r="F1443" s="0" t="s">
        <v>28</v>
      </c>
      <c r="G1443" s="0" t="s">
        <v>29</v>
      </c>
      <c r="H1443" s="5">
        <v>9388.763900</v>
      </c>
    </row>
    <row r="1444" spans="1:9">
      <c r="A1444" s="22" t="str">
        <f>HYPERLINK("https://app.vivvix.com/360/KMI/IntelliDrive/ApplUI/Pages/CreativePages/CustomReportCreativeDetail.aspx?App=23&amp;ReportView=4&amp;Qid=1711279&amp;Row=1436&amp;Col=1","No Title Assigned - #15265494358")</f>
        <v/>
      </c>
      <c r="B1444" s="0" t="s">
        <v>2145</v>
      </c>
      <c r="C1444" s="0" t="s">
        <v>2146</v>
      </c>
      <c r="D1444" s="0" t="s">
        <v>2146</v>
      </c>
      <c r="E1444" s="0" t="inlineStr">
        <is>
          <t xml:space="preserve">Mazda</t>
        </is>
      </c>
      <c r="F1444" s="0" t="s">
        <v>56</v>
      </c>
      <c r="G1444" s="0" t="s">
        <v>57</v>
      </c>
      <c r="H1444" s="5">
        <v>411.057900</v>
      </c>
    </row>
    <row r="1445" spans="1:9">
      <c r="A1445" s="22" t="str">
        <f>HYPERLINK("https://app.vivvix.com/360/KMI/IntelliDrive/ApplUI/Pages/CreativePages/CustomReportCreativeDetail.aspx?App=23&amp;ReportView=4&amp;Qid=1711279&amp;Row=1437&amp;Col=1","No Title Assigned - #15265499098")</f>
        <v/>
      </c>
      <c r="B1445" s="0" t="s">
        <v>2147</v>
      </c>
      <c r="C1445" s="0" t="s">
        <v>2148</v>
      </c>
      <c r="D1445" s="0" t="s">
        <v>2148</v>
      </c>
      <c r="E1445" s="0" t="inlineStr">
        <is>
          <t xml:space="preserve">Mazda</t>
        </is>
      </c>
      <c r="F1445" s="0" t="s">
        <v>666</v>
      </c>
      <c r="G1445" s="0" t="s">
        <v>667</v>
      </c>
      <c r="H1445" s="5">
        <v>561.029800</v>
      </c>
    </row>
    <row r="1446" spans="1:9">
      <c r="A1446" s="22" t="str">
        <f>HYPERLINK("https://app.vivvix.com/360/KMI/IntelliDrive/ApplUI/Pages/CreativePages/CustomReportCreativeDetail.aspx?App=23&amp;ReportView=4&amp;Qid=1711279&amp;Row=1438&amp;Col=1","No Title Assigned - #15265571873")</f>
        <v/>
      </c>
      <c r="B1446" s="0" t="s">
        <v>2149</v>
      </c>
      <c r="C1446" s="0" t="s">
        <v>2150</v>
      </c>
      <c r="D1446" s="0" t="s">
        <v>2150</v>
      </c>
      <c r="E1446" s="0" t="inlineStr">
        <is>
          <t xml:space="preserve">Mazda</t>
        </is>
      </c>
      <c r="F1446" s="0" t="s">
        <v>28</v>
      </c>
      <c r="G1446" s="0" t="s">
        <v>29</v>
      </c>
      <c r="H1446" s="5">
        <v>898.648400</v>
      </c>
    </row>
    <row r="1447" spans="1:9">
      <c r="A1447" s="22" t="str">
        <f>HYPERLINK("https://app.vivvix.com/360/KMI/IntelliDrive/ApplUI/Pages/CreativePages/CustomReportCreativeDetail.aspx?App=23&amp;ReportView=4&amp;Qid=1711279&amp;Row=1439&amp;Col=1","No Title Assigned - #15265571873")</f>
        <v/>
      </c>
      <c r="B1447" s="0" t="s">
        <v>2149</v>
      </c>
      <c r="E1447" s="0" t="inlineStr">
        <is>
          <t xml:space="preserve">Mazda</t>
        </is>
      </c>
      <c r="F1447" s="0" t="s">
        <v>28</v>
      </c>
      <c r="G1447" s="0" t="s">
        <v>29</v>
      </c>
      <c r="H1447" s="5">
        <v>160.487900</v>
      </c>
    </row>
    <row r="1448" spans="1:9">
      <c r="A1448" s="22" t="str">
        <f>HYPERLINK("https://app.vivvix.com/360/KMI/IntelliDrive/ApplUI/Pages/CreativePages/CustomReportCreativeDetail.aspx?App=23&amp;ReportView=4&amp;Qid=1711279&amp;Row=1440&amp;Col=1","No Title Assigned - #15265578823")</f>
        <v/>
      </c>
      <c r="B1448" s="0" t="s">
        <v>2151</v>
      </c>
      <c r="C1448" s="0" t="s">
        <v>2152</v>
      </c>
      <c r="D1448" s="0" t="s">
        <v>2152</v>
      </c>
      <c r="E1448" s="0" t="inlineStr">
        <is>
          <t xml:space="preserve">Mazda</t>
        </is>
      </c>
      <c r="F1448" s="0" t="s">
        <v>13</v>
      </c>
      <c r="G1448" s="0" t="s">
        <v>49</v>
      </c>
      <c r="H1448" s="5">
        <v>1238.585100</v>
      </c>
    </row>
    <row r="1449" spans="1:9">
      <c r="A1449" s="22" t="str">
        <f>HYPERLINK("https://app.vivvix.com/360/KMI/IntelliDrive/ApplUI/Pages/CreativePages/CustomReportCreativeDetail.aspx?App=23&amp;ReportView=4&amp;Qid=1711279&amp;Row=1441&amp;Col=1","No Title Assigned - #15265587274")</f>
        <v/>
      </c>
      <c r="B1449" s="0" t="s">
        <v>2153</v>
      </c>
      <c r="C1449" s="0" t="s">
        <v>2154</v>
      </c>
      <c r="D1449" s="0" t="s">
        <v>2154</v>
      </c>
      <c r="E1449" s="0" t="inlineStr">
        <is>
          <t xml:space="preserve">Mazda</t>
        </is>
      </c>
      <c r="F1449" s="0" t="s">
        <v>13</v>
      </c>
      <c r="G1449" s="0" t="s">
        <v>49</v>
      </c>
      <c r="H1449" s="5">
        <v>1659.415600</v>
      </c>
    </row>
    <row r="1450" spans="1:9">
      <c r="A1450" s="22" t="str">
        <f>HYPERLINK("https://app.vivvix.com/360/KMI/IntelliDrive/ApplUI/Pages/CreativePages/CustomReportCreativeDetail.aspx?App=23&amp;ReportView=4&amp;Qid=1711279&amp;Row=1442&amp;Col=1","No Title Assigned - #15265587288")</f>
        <v/>
      </c>
      <c r="B1450" s="0" t="s">
        <v>2155</v>
      </c>
      <c r="C1450" s="0" t="s">
        <v>2156</v>
      </c>
      <c r="D1450" s="0" t="s">
        <v>2156</v>
      </c>
      <c r="E1450" s="0" t="inlineStr">
        <is>
          <t xml:space="preserve">Mazda</t>
        </is>
      </c>
      <c r="F1450" s="0" t="s">
        <v>13</v>
      </c>
      <c r="G1450" s="0" t="s">
        <v>49</v>
      </c>
      <c r="H1450" s="5">
        <v>1435.449100</v>
      </c>
    </row>
    <row r="1451" spans="1:9">
      <c r="A1451" s="22" t="str">
        <f>HYPERLINK("https://app.vivvix.com/360/KMI/IntelliDrive/ApplUI/Pages/CreativePages/CustomReportCreativeDetail.aspx?App=23&amp;ReportView=4&amp;Qid=1711279&amp;Row=1443&amp;Col=1","No Title Assigned - #15265599651")</f>
        <v/>
      </c>
      <c r="B1451" s="0" t="s">
        <v>2157</v>
      </c>
      <c r="C1451" s="0" t="s">
        <v>2158</v>
      </c>
      <c r="D1451" s="0" t="s">
        <v>2158</v>
      </c>
      <c r="E1451" s="0" t="inlineStr">
        <is>
          <t xml:space="preserve">Mazda</t>
        </is>
      </c>
      <c r="F1451" s="0" t="s">
        <v>13</v>
      </c>
      <c r="G1451" s="0" t="s">
        <v>49</v>
      </c>
      <c r="H1451" s="5">
        <v>603.583500</v>
      </c>
    </row>
    <row r="1452" spans="1:9">
      <c r="A1452" s="22" t="str">
        <f>HYPERLINK("https://app.vivvix.com/360/KMI/IntelliDrive/ApplUI/Pages/CreativePages/CustomReportCreativeDetail.aspx?App=23&amp;ReportView=4&amp;Qid=1711279&amp;Row=1444&amp;Col=1","No Title Assigned - #15265646481")</f>
        <v/>
      </c>
      <c r="B1452" s="0" t="s">
        <v>2159</v>
      </c>
      <c r="E1452" s="0" t="inlineStr">
        <is>
          <t xml:space="preserve">Mazda</t>
        </is>
      </c>
      <c r="F1452" s="0" t="inlineStr">
        <is>
          <t xml:space="preserve">Mazda</t>
        </is>
      </c>
      <c r="G1452" s="0" t="s">
        <v>171</v>
      </c>
    </row>
    <row r="1453" spans="1:9">
      <c r="A1453" s="22" t="str">
        <f>HYPERLINK("https://app.vivvix.com/360/KMI/IntelliDrive/ApplUI/Pages/CreativePages/CustomReportCreativeDetail.aspx?App=23&amp;ReportView=4&amp;Qid=1711279&amp;Row=1445&amp;Col=1","No Title Assigned - #15265653344")</f>
        <v/>
      </c>
      <c r="B1453" s="0" t="s">
        <v>2160</v>
      </c>
      <c r="C1453" s="0" t="s">
        <v>2161</v>
      </c>
      <c r="D1453" s="0" t="s">
        <v>2161</v>
      </c>
      <c r="E1453" s="0" t="inlineStr">
        <is>
          <t xml:space="preserve">Mazda</t>
        </is>
      </c>
      <c r="F1453" s="0" t="s">
        <v>28</v>
      </c>
      <c r="G1453" s="0" t="s">
        <v>29</v>
      </c>
      <c r="H1453" s="5">
        <v>627.428300</v>
      </c>
    </row>
    <row r="1454" spans="1:9">
      <c r="A1454" s="22" t="str">
        <f>HYPERLINK("https://app.vivvix.com/360/KMI/IntelliDrive/ApplUI/Pages/CreativePages/CustomReportCreativeDetail.aspx?App=23&amp;ReportView=4&amp;Qid=1711279&amp;Row=1446&amp;Col=1","No Title Assigned - #15265659119")</f>
        <v/>
      </c>
      <c r="B1454" s="0" t="s">
        <v>2162</v>
      </c>
      <c r="C1454" s="0" t="s">
        <v>2163</v>
      </c>
      <c r="D1454" s="0" t="s">
        <v>2163</v>
      </c>
      <c r="E1454" s="0" t="inlineStr">
        <is>
          <t xml:space="preserve">Mazda</t>
        </is>
      </c>
      <c r="F1454" s="0" t="s">
        <v>13</v>
      </c>
      <c r="G1454" s="0" t="s">
        <v>49</v>
      </c>
      <c r="H1454" s="5">
        <v>397.495500</v>
      </c>
    </row>
    <row r="1455" spans="1:9">
      <c r="A1455" s="22" t="str">
        <f>HYPERLINK("https://app.vivvix.com/360/KMI/IntelliDrive/ApplUI/Pages/CreativePages/CustomReportCreativeDetail.aspx?App=23&amp;ReportView=4&amp;Qid=1711279&amp;Row=1447&amp;Col=1","No Title Assigned - #15265659119")</f>
        <v/>
      </c>
      <c r="B1455" s="0" t="s">
        <v>2162</v>
      </c>
      <c r="E1455" s="0" t="inlineStr">
        <is>
          <t xml:space="preserve">Mazda</t>
        </is>
      </c>
      <c r="F1455" s="0" t="s">
        <v>13</v>
      </c>
      <c r="G1455" s="0" t="s">
        <v>49</v>
      </c>
      <c r="H1455" s="5">
        <v>7533.741500</v>
      </c>
    </row>
    <row r="1456" spans="1:9">
      <c r="A1456" s="22" t="str">
        <f>HYPERLINK("https://app.vivvix.com/360/KMI/IntelliDrive/ApplUI/Pages/CreativePages/CustomReportCreativeDetail.aspx?App=23&amp;ReportView=4&amp;Qid=1711279&amp;Row=1448&amp;Col=1","No Title Assigned - #15265659984")</f>
        <v/>
      </c>
      <c r="B1456" s="0" t="s">
        <v>2164</v>
      </c>
      <c r="C1456" s="0" t="s">
        <v>2165</v>
      </c>
      <c r="D1456" s="0" t="s">
        <v>2165</v>
      </c>
      <c r="E1456" s="0" t="inlineStr">
        <is>
          <t xml:space="preserve">Mazda</t>
        </is>
      </c>
      <c r="F1456" s="0" t="s">
        <v>28</v>
      </c>
      <c r="G1456" s="0" t="s">
        <v>29</v>
      </c>
      <c r="H1456" s="5">
        <v>829.650100</v>
      </c>
    </row>
    <row r="1457" spans="1:9">
      <c r="A1457" s="22" t="str">
        <f>HYPERLINK("https://app.vivvix.com/360/KMI/IntelliDrive/ApplUI/Pages/CreativePages/CustomReportCreativeDetail.aspx?App=23&amp;ReportView=4&amp;Qid=1711279&amp;Row=1449&amp;Col=1","No Title Assigned - #15265664938")</f>
        <v/>
      </c>
      <c r="B1457" s="0" t="s">
        <v>2166</v>
      </c>
      <c r="C1457" s="0" t="s">
        <v>2167</v>
      </c>
      <c r="D1457" s="0" t="s">
        <v>2167</v>
      </c>
      <c r="E1457" s="0" t="inlineStr">
        <is>
          <t xml:space="preserve">Mazda</t>
        </is>
      </c>
      <c r="F1457" s="0" t="s">
        <v>28</v>
      </c>
      <c r="G1457" s="0" t="s">
        <v>29</v>
      </c>
      <c r="H1457" s="5">
        <v>706.186600</v>
      </c>
    </row>
    <row r="1458" spans="1:9">
      <c r="A1458" s="22" t="str">
        <f>HYPERLINK("https://app.vivvix.com/360/KMI/IntelliDrive/ApplUI/Pages/CreativePages/CustomReportCreativeDetail.aspx?App=23&amp;ReportView=4&amp;Qid=1711279&amp;Row=1450&amp;Col=1","No Title Assigned - #15265707242")</f>
        <v/>
      </c>
      <c r="B1458" s="0" t="s">
        <v>2168</v>
      </c>
      <c r="E1458" s="0" t="inlineStr">
        <is>
          <t xml:space="preserve">Mazda</t>
        </is>
      </c>
      <c r="F1458" s="0" t="inlineStr">
        <is>
          <t xml:space="preserve">Mazda</t>
        </is>
      </c>
      <c r="G1458" s="0" t="s">
        <v>171</v>
      </c>
    </row>
    <row r="1459" spans="1:9">
      <c r="A1459" s="22" t="str">
        <f>HYPERLINK("https://app.vivvix.com/360/KMI/IntelliDrive/ApplUI/Pages/CreativePages/CustomReportCreativeDetail.aspx?App=23&amp;ReportView=4&amp;Qid=1711279&amp;Row=1451&amp;Col=1","No Title Assigned - #15265715786")</f>
        <v/>
      </c>
      <c r="B1459" s="0" t="s">
        <v>2169</v>
      </c>
      <c r="C1459" s="0" t="s">
        <v>2170</v>
      </c>
      <c r="D1459" s="0" t="s">
        <v>2170</v>
      </c>
      <c r="E1459" s="0" t="inlineStr">
        <is>
          <t xml:space="preserve">Mazda</t>
        </is>
      </c>
      <c r="F1459" s="0" t="s">
        <v>13</v>
      </c>
      <c r="G1459" s="0" t="s">
        <v>49</v>
      </c>
      <c r="H1459" s="5">
        <v>2646.217500</v>
      </c>
    </row>
    <row r="1460" spans="1:9">
      <c r="A1460" s="22" t="str">
        <f>HYPERLINK("https://app.vivvix.com/360/KMI/IntelliDrive/ApplUI/Pages/CreativePages/CustomReportCreativeDetail.aspx?App=23&amp;ReportView=4&amp;Qid=1711279&amp;Row=1452&amp;Col=1","No Title Assigned - #15265724886")</f>
        <v/>
      </c>
      <c r="B1460" s="0" t="s">
        <v>2171</v>
      </c>
      <c r="C1460" s="0" t="s">
        <v>2172</v>
      </c>
      <c r="D1460" s="0" t="s">
        <v>2172</v>
      </c>
      <c r="E1460" s="0" t="inlineStr">
        <is>
          <t xml:space="preserve">Mazda</t>
        </is>
      </c>
      <c r="F1460" s="0" t="s">
        <v>13</v>
      </c>
      <c r="G1460" s="0" t="s">
        <v>49</v>
      </c>
      <c r="H1460" s="5">
        <v>534.810100</v>
      </c>
    </row>
    <row r="1461" spans="1:9">
      <c r="A1461" s="22" t="str">
        <f>HYPERLINK("https://app.vivvix.com/360/KMI/IntelliDrive/ApplUI/Pages/CreativePages/CustomReportCreativeDetail.aspx?App=23&amp;ReportView=4&amp;Qid=1711279&amp;Row=1453&amp;Col=1","No Title Assigned - #15265727715")</f>
        <v/>
      </c>
      <c r="B1461" s="0" t="s">
        <v>2173</v>
      </c>
      <c r="C1461" s="0" t="s">
        <v>2174</v>
      </c>
      <c r="D1461" s="0" t="s">
        <v>2174</v>
      </c>
      <c r="E1461" s="0" t="inlineStr">
        <is>
          <t xml:space="preserve">Mazda</t>
        </is>
      </c>
      <c r="F1461" s="0" t="s">
        <v>13</v>
      </c>
      <c r="G1461" s="0" t="s">
        <v>49</v>
      </c>
      <c r="H1461" s="5">
        <v>1284.407900</v>
      </c>
    </row>
    <row r="1462" spans="1:9">
      <c r="A1462" s="22" t="str">
        <f>HYPERLINK("https://app.vivvix.com/360/KMI/IntelliDrive/ApplUI/Pages/CreativePages/CustomReportCreativeDetail.aspx?App=23&amp;ReportView=4&amp;Qid=1711279&amp;Row=1454&amp;Col=1","No Title Assigned - #15265727733")</f>
        <v/>
      </c>
      <c r="B1462" s="0" t="s">
        <v>2175</v>
      </c>
      <c r="C1462" s="0" t="s">
        <v>2176</v>
      </c>
      <c r="D1462" s="0" t="s">
        <v>2176</v>
      </c>
      <c r="E1462" s="0" t="inlineStr">
        <is>
          <t xml:space="preserve">Mazda</t>
        </is>
      </c>
      <c r="F1462" s="0" t="s">
        <v>21</v>
      </c>
      <c r="G1462" s="0" t="s">
        <v>22</v>
      </c>
      <c r="H1462" s="5">
        <v>463.132000</v>
      </c>
    </row>
    <row r="1463" spans="1:9">
      <c r="A1463" s="22" t="str">
        <f>HYPERLINK("https://app.vivvix.com/360/KMI/IntelliDrive/ApplUI/Pages/CreativePages/CustomReportCreativeDetail.aspx?App=23&amp;ReportView=4&amp;Qid=1711279&amp;Row=1455&amp;Col=1","No Title Assigned - #15265727742")</f>
        <v/>
      </c>
      <c r="B1463" s="0" t="s">
        <v>2177</v>
      </c>
      <c r="C1463" s="0" t="s">
        <v>2178</v>
      </c>
      <c r="D1463" s="0" t="s">
        <v>2178</v>
      </c>
      <c r="E1463" s="0" t="inlineStr">
        <is>
          <t xml:space="preserve">Mazda</t>
        </is>
      </c>
      <c r="F1463" s="0" t="s">
        <v>21</v>
      </c>
      <c r="G1463" s="0" t="s">
        <v>22</v>
      </c>
      <c r="H1463" s="5">
        <v>463.132000</v>
      </c>
    </row>
    <row r="1464" spans="1:9">
      <c r="A1464" s="22" t="str">
        <f>HYPERLINK("https://app.vivvix.com/360/KMI/IntelliDrive/ApplUI/Pages/CreativePages/CustomReportCreativeDetail.aspx?App=23&amp;ReportView=4&amp;Qid=1711279&amp;Row=1456&amp;Col=1","No Title Assigned - #15265727755")</f>
        <v/>
      </c>
      <c r="B1464" s="0" t="s">
        <v>2179</v>
      </c>
      <c r="C1464" s="0" t="s">
        <v>2180</v>
      </c>
      <c r="D1464" s="0" t="s">
        <v>2180</v>
      </c>
      <c r="E1464" s="0" t="inlineStr">
        <is>
          <t xml:space="preserve">Mazda</t>
        </is>
      </c>
      <c r="F1464" s="0" t="s">
        <v>21</v>
      </c>
      <c r="G1464" s="0" t="s">
        <v>22</v>
      </c>
      <c r="H1464" s="5">
        <v>1210.707000</v>
      </c>
    </row>
    <row r="1465" spans="1:9">
      <c r="A1465" s="22" t="str">
        <f>HYPERLINK("https://app.vivvix.com/360/KMI/IntelliDrive/ApplUI/Pages/CreativePages/CustomReportCreativeDetail.aspx?App=23&amp;ReportView=4&amp;Qid=1711279&amp;Row=1457&amp;Col=1","No Title Assigned - #15265773902")</f>
        <v/>
      </c>
      <c r="B1465" s="0" t="s">
        <v>2181</v>
      </c>
      <c r="C1465" s="0" t="s">
        <v>2182</v>
      </c>
      <c r="D1465" s="0" t="s">
        <v>2182</v>
      </c>
      <c r="E1465" s="0" t="inlineStr">
        <is>
          <t xml:space="preserve">Mazda</t>
        </is>
      </c>
      <c r="F1465" s="0" t="s">
        <v>21</v>
      </c>
      <c r="G1465" s="0" t="s">
        <v>22</v>
      </c>
      <c r="H1465" s="5">
        <v>2149.285200</v>
      </c>
    </row>
    <row r="1466" spans="1:9">
      <c r="A1466" s="22" t="str">
        <f>HYPERLINK("https://app.vivvix.com/360/KMI/IntelliDrive/ApplUI/Pages/CreativePages/CustomReportCreativeDetail.aspx?App=23&amp;ReportView=4&amp;Qid=1711279&amp;Row=1458&amp;Col=1","No Title Assigned - #15265773914")</f>
        <v/>
      </c>
      <c r="B1466" s="0" t="s">
        <v>2183</v>
      </c>
      <c r="C1466" s="0" t="s">
        <v>2184</v>
      </c>
      <c r="D1466" s="0" t="s">
        <v>2184</v>
      </c>
      <c r="E1466" s="0" t="inlineStr">
        <is>
          <t xml:space="preserve">Mazda</t>
        </is>
      </c>
      <c r="F1466" s="0" t="s">
        <v>21</v>
      </c>
      <c r="G1466" s="0" t="s">
        <v>22</v>
      </c>
      <c r="H1466" s="5">
        <v>1074.642600</v>
      </c>
    </row>
    <row r="1467" spans="1:9">
      <c r="A1467" s="22" t="str">
        <f>HYPERLINK("https://app.vivvix.com/360/KMI/IntelliDrive/ApplUI/Pages/CreativePages/CustomReportCreativeDetail.aspx?App=23&amp;ReportView=4&amp;Qid=1711279&amp;Row=1459&amp;Col=1","No Title Assigned - #15265777671")</f>
        <v/>
      </c>
      <c r="B1467" s="0" t="s">
        <v>2185</v>
      </c>
      <c r="C1467" s="0" t="s">
        <v>2186</v>
      </c>
      <c r="D1467" s="0" t="s">
        <v>2186</v>
      </c>
      <c r="E1467" s="0" t="inlineStr">
        <is>
          <t xml:space="preserve">Mazda</t>
        </is>
      </c>
      <c r="F1467" s="0" t="s">
        <v>13</v>
      </c>
      <c r="G1467" s="0" t="s">
        <v>49</v>
      </c>
      <c r="H1467" s="5">
        <v>421.232100</v>
      </c>
    </row>
    <row r="1468" spans="1:9">
      <c r="A1468" s="22" t="str">
        <f>HYPERLINK("https://app.vivvix.com/360/KMI/IntelliDrive/ApplUI/Pages/CreativePages/CustomReportCreativeDetail.aspx?App=23&amp;ReportView=4&amp;Qid=1711279&amp;Row=1460&amp;Col=1","No Title Assigned - #15265779748")</f>
        <v/>
      </c>
      <c r="B1468" s="0" t="s">
        <v>2187</v>
      </c>
      <c r="C1468" s="0" t="s">
        <v>2188</v>
      </c>
      <c r="D1468" s="0" t="s">
        <v>2188</v>
      </c>
      <c r="E1468" s="0" t="inlineStr">
        <is>
          <t xml:space="preserve">Mazda</t>
        </is>
      </c>
      <c r="F1468" s="0" t="s">
        <v>21</v>
      </c>
      <c r="G1468" s="0" t="s">
        <v>22</v>
      </c>
      <c r="H1468" s="5">
        <v>424.711000</v>
      </c>
    </row>
    <row r="1469" spans="1:9">
      <c r="A1469" s="22" t="str">
        <f>HYPERLINK("https://app.vivvix.com/360/KMI/IntelliDrive/ApplUI/Pages/CreativePages/CustomReportCreativeDetail.aspx?App=23&amp;ReportView=4&amp;Qid=1711279&amp;Row=1461&amp;Col=1","No Title Assigned - #15265786601")</f>
        <v/>
      </c>
      <c r="B1469" s="0" t="s">
        <v>2189</v>
      </c>
      <c r="C1469" s="0" t="s">
        <v>2190</v>
      </c>
      <c r="D1469" s="0" t="s">
        <v>2190</v>
      </c>
      <c r="E1469" s="0" t="inlineStr">
        <is>
          <t xml:space="preserve">Mazda</t>
        </is>
      </c>
      <c r="F1469" s="0" t="s">
        <v>13</v>
      </c>
      <c r="G1469" s="0" t="s">
        <v>49</v>
      </c>
      <c r="H1469" s="5">
        <v>1913.478300</v>
      </c>
    </row>
    <row r="1470" spans="1:9">
      <c r="A1470" s="22" t="str">
        <f>HYPERLINK("https://app.vivvix.com/360/KMI/IntelliDrive/ApplUI/Pages/CreativePages/CustomReportCreativeDetail.aspx?App=23&amp;ReportView=4&amp;Qid=1711279&amp;Row=1462&amp;Col=1","No Title Assigned - #15265789632")</f>
        <v/>
      </c>
      <c r="B1470" s="0" t="s">
        <v>2191</v>
      </c>
      <c r="E1470" s="0" t="inlineStr">
        <is>
          <t xml:space="preserve">Mazda</t>
        </is>
      </c>
      <c r="F1470" s="0" t="inlineStr">
        <is>
          <t xml:space="preserve">Mazda</t>
        </is>
      </c>
      <c r="G1470" s="0" t="s">
        <v>171</v>
      </c>
      <c r="H1470" s="5">
        <v>460.598000</v>
      </c>
    </row>
    <row r="1471" spans="1:9">
      <c r="A1471" s="22" t="str">
        <f>HYPERLINK("https://app.vivvix.com/360/KMI/IntelliDrive/ApplUI/Pages/CreativePages/CustomReportCreativeDetail.aspx?App=23&amp;ReportView=4&amp;Qid=1711279&amp;Row=1463&amp;Col=1","No Title Assigned - #15265826029")</f>
        <v/>
      </c>
      <c r="B1471" s="0" t="s">
        <v>2192</v>
      </c>
      <c r="C1471" s="0" t="s">
        <v>2193</v>
      </c>
      <c r="D1471" s="0" t="s">
        <v>2193</v>
      </c>
      <c r="E1471" s="0" t="inlineStr">
        <is>
          <t xml:space="preserve">Mazda</t>
        </is>
      </c>
      <c r="F1471" s="0" t="s">
        <v>21</v>
      </c>
      <c r="G1471" s="0" t="s">
        <v>22</v>
      </c>
      <c r="H1471" s="5">
        <v>22614.863300</v>
      </c>
    </row>
    <row r="1472" spans="1:9">
      <c r="A1472" s="22" t="str">
        <f>HYPERLINK("https://app.vivvix.com/360/KMI/IntelliDrive/ApplUI/Pages/CreativePages/CustomReportCreativeDetail.aspx?App=23&amp;ReportView=4&amp;Qid=1711279&amp;Row=1464&amp;Col=1","No Title Assigned - #15265830898")</f>
        <v/>
      </c>
      <c r="B1472" s="0" t="s">
        <v>2194</v>
      </c>
      <c r="C1472" s="0" t="s">
        <v>2195</v>
      </c>
      <c r="D1472" s="0" t="s">
        <v>2195</v>
      </c>
      <c r="E1472" s="0" t="inlineStr">
        <is>
          <t xml:space="preserve">Mazda</t>
        </is>
      </c>
      <c r="F1472" s="0" t="s">
        <v>13</v>
      </c>
      <c r="G1472" s="0" t="s">
        <v>49</v>
      </c>
      <c r="H1472" s="5">
        <v>1407.832400</v>
      </c>
    </row>
    <row r="1473" spans="1:9">
      <c r="A1473" s="22" t="str">
        <f>HYPERLINK("https://app.vivvix.com/360/KMI/IntelliDrive/ApplUI/Pages/CreativePages/CustomReportCreativeDetail.aspx?App=23&amp;ReportView=4&amp;Qid=1711279&amp;Row=1465&amp;Col=1","No Title Assigned - #15265830980")</f>
        <v/>
      </c>
      <c r="B1473" s="0" t="s">
        <v>2196</v>
      </c>
      <c r="C1473" s="0" t="s">
        <v>2197</v>
      </c>
      <c r="D1473" s="0" t="s">
        <v>2197</v>
      </c>
      <c r="E1473" s="0" t="inlineStr">
        <is>
          <t xml:space="preserve">Mazda</t>
        </is>
      </c>
      <c r="F1473" s="0" t="s">
        <v>13</v>
      </c>
      <c r="G1473" s="0" t="s">
        <v>49</v>
      </c>
      <c r="H1473" s="5">
        <v>1407.832400</v>
      </c>
    </row>
    <row r="1474" spans="1:9">
      <c r="A1474" s="22" t="str">
        <f>HYPERLINK("https://app.vivvix.com/360/KMI/IntelliDrive/ApplUI/Pages/CreativePages/CustomReportCreativeDetail.aspx?App=23&amp;ReportView=4&amp;Qid=1711279&amp;Row=1466&amp;Col=1","No Title Assigned - #15265836218")</f>
        <v/>
      </c>
      <c r="B1474" s="0" t="s">
        <v>2198</v>
      </c>
      <c r="C1474" s="0" t="s">
        <v>2199</v>
      </c>
      <c r="D1474" s="0" t="s">
        <v>2199</v>
      </c>
      <c r="E1474" s="0" t="inlineStr">
        <is>
          <t xml:space="preserve">Mazda</t>
        </is>
      </c>
      <c r="F1474" s="0" t="s">
        <v>28</v>
      </c>
      <c r="G1474" s="0" t="s">
        <v>29</v>
      </c>
      <c r="H1474" s="5">
        <v>797.218000</v>
      </c>
    </row>
    <row r="1475" spans="1:9">
      <c r="A1475" s="22" t="str">
        <f>HYPERLINK("https://app.vivvix.com/360/KMI/IntelliDrive/ApplUI/Pages/CreativePages/CustomReportCreativeDetail.aspx?App=23&amp;ReportView=4&amp;Qid=1711279&amp;Row=1467&amp;Col=1","No Title Assigned - #15265837739")</f>
        <v/>
      </c>
      <c r="B1475" s="0" t="s">
        <v>2200</v>
      </c>
      <c r="E1475" s="0" t="inlineStr">
        <is>
          <t xml:space="preserve">Mazda</t>
        </is>
      </c>
      <c r="F1475" s="0" t="inlineStr">
        <is>
          <t xml:space="preserve">Mazda</t>
        </is>
      </c>
      <c r="G1475" s="0" t="s">
        <v>210</v>
      </c>
      <c r="H1475" s="5">
        <v>46976.690000</v>
      </c>
    </row>
    <row r="1476" spans="1:9">
      <c r="A1476" s="22" t="str">
        <f>HYPERLINK("https://app.vivvix.com/360/KMI/IntelliDrive/ApplUI/Pages/CreativePages/CustomReportCreativeDetail.aspx?App=23&amp;ReportView=4&amp;Qid=1711279&amp;Row=1468&amp;Col=1","No Title Assigned - #15265837739")</f>
        <v/>
      </c>
      <c r="B1476" s="0" t="s">
        <v>2200</v>
      </c>
      <c r="C1476" s="0" t="s">
        <v>2201</v>
      </c>
      <c r="D1476" s="0" t="s">
        <v>2201</v>
      </c>
      <c r="E1476" s="0" t="inlineStr">
        <is>
          <t xml:space="preserve">Mazda</t>
        </is>
      </c>
      <c r="F1476" s="0" t="inlineStr">
        <is>
          <t xml:space="preserve">Mazda</t>
        </is>
      </c>
      <c r="G1476" s="0" t="s">
        <v>210</v>
      </c>
      <c r="H1476" s="5">
        <v>160812.006600</v>
      </c>
    </row>
    <row r="1477" spans="1:9">
      <c r="A1477" s="22" t="str">
        <f>HYPERLINK("https://app.vivvix.com/360/KMI/IntelliDrive/ApplUI/Pages/CreativePages/CustomReportCreativeDetail.aspx?App=23&amp;ReportView=4&amp;Qid=1711279&amp;Row=1469&amp;Col=1","No Title Assigned - #15265839321")</f>
        <v/>
      </c>
      <c r="B1477" s="0" t="s">
        <v>2202</v>
      </c>
      <c r="C1477" s="0" t="s">
        <v>2203</v>
      </c>
      <c r="D1477" s="0" t="s">
        <v>2203</v>
      </c>
      <c r="E1477" s="0" t="inlineStr">
        <is>
          <t xml:space="preserve">Mazda</t>
        </is>
      </c>
      <c r="F1477" s="0" t="s">
        <v>13</v>
      </c>
      <c r="G1477" s="0" t="s">
        <v>49</v>
      </c>
      <c r="H1477" s="5">
        <v>10170.073400</v>
      </c>
    </row>
    <row r="1478" spans="1:9">
      <c r="A1478" s="22" t="str">
        <f>HYPERLINK("https://app.vivvix.com/360/KMI/IntelliDrive/ApplUI/Pages/CreativePages/CustomReportCreativeDetail.aspx?App=23&amp;ReportView=4&amp;Qid=1711279&amp;Row=1470&amp;Col=1","No Title Assigned - #15265839321")</f>
        <v/>
      </c>
      <c r="B1478" s="0" t="s">
        <v>2202</v>
      </c>
      <c r="E1478" s="0" t="inlineStr">
        <is>
          <t xml:space="preserve">Mazda</t>
        </is>
      </c>
      <c r="F1478" s="0" t="s">
        <v>13</v>
      </c>
      <c r="G1478" s="0" t="s">
        <v>49</v>
      </c>
      <c r="H1478" s="5">
        <v>308.721600</v>
      </c>
    </row>
    <row r="1479" spans="1:9">
      <c r="A1479" s="22" t="str">
        <f>HYPERLINK("https://app.vivvix.com/360/KMI/IntelliDrive/ApplUI/Pages/CreativePages/CustomReportCreativeDetail.aspx?App=23&amp;ReportView=4&amp;Qid=1711279&amp;Row=1471&amp;Col=1","No Title Assigned - #15265848503")</f>
        <v/>
      </c>
      <c r="B1479" s="0" t="s">
        <v>2204</v>
      </c>
      <c r="C1479" s="0" t="s">
        <v>2205</v>
      </c>
      <c r="D1479" s="0" t="s">
        <v>2205</v>
      </c>
      <c r="E1479" s="0" t="inlineStr">
        <is>
          <t xml:space="preserve">Mazda</t>
        </is>
      </c>
      <c r="F1479" s="0" t="s">
        <v>28</v>
      </c>
      <c r="G1479" s="0" t="s">
        <v>29</v>
      </c>
      <c r="H1479" s="5">
        <v>943.190800</v>
      </c>
    </row>
    <row r="1480" spans="1:9">
      <c r="A1480" s="22" t="str">
        <f>HYPERLINK("https://app.vivvix.com/360/KMI/IntelliDrive/ApplUI/Pages/CreativePages/CustomReportCreativeDetail.aspx?App=23&amp;ReportView=4&amp;Qid=1711279&amp;Row=1472&amp;Col=1","No Title Assigned - #15265854621")</f>
        <v/>
      </c>
      <c r="B1480" s="0" t="s">
        <v>2206</v>
      </c>
      <c r="C1480" s="0" t="s">
        <v>2207</v>
      </c>
      <c r="D1480" s="0" t="s">
        <v>2208</v>
      </c>
      <c r="E1480" s="0" t="inlineStr">
        <is>
          <t xml:space="preserve">Mazda</t>
        </is>
      </c>
      <c r="F1480" s="0" t="s">
        <v>13</v>
      </c>
      <c r="G1480" s="0" t="s">
        <v>49</v>
      </c>
      <c r="H1480" s="5">
        <v>596.236200</v>
      </c>
    </row>
    <row r="1481" spans="1:9">
      <c r="A1481" s="22" t="str">
        <f>HYPERLINK("https://app.vivvix.com/360/KMI/IntelliDrive/ApplUI/Pages/CreativePages/CustomReportCreativeDetail.aspx?App=23&amp;ReportView=4&amp;Qid=1711279&amp;Row=1473&amp;Col=1","No Title Assigned - #15265904663")</f>
        <v/>
      </c>
      <c r="B1481" s="0" t="s">
        <v>2209</v>
      </c>
      <c r="C1481" s="0" t="s">
        <v>2210</v>
      </c>
      <c r="D1481" s="0" t="s">
        <v>2210</v>
      </c>
      <c r="E1481" s="0" t="inlineStr">
        <is>
          <t xml:space="preserve">Mazda</t>
        </is>
      </c>
      <c r="F1481" s="0" t="s">
        <v>28</v>
      </c>
      <c r="G1481" s="0" t="s">
        <v>29</v>
      </c>
      <c r="H1481" s="5">
        <v>7814.524700</v>
      </c>
    </row>
    <row r="1482" spans="1:9">
      <c r="A1482" s="22" t="str">
        <f>HYPERLINK("https://app.vivvix.com/360/KMI/IntelliDrive/ApplUI/Pages/CreativePages/CustomReportCreativeDetail.aspx?App=23&amp;ReportView=4&amp;Qid=1711279&amp;Row=1474&amp;Col=1","No Title Assigned - #15265904663")</f>
        <v/>
      </c>
      <c r="B1482" s="0" t="s">
        <v>2209</v>
      </c>
      <c r="E1482" s="0" t="inlineStr">
        <is>
          <t xml:space="preserve">Mazda</t>
        </is>
      </c>
      <c r="F1482" s="0" t="s">
        <v>28</v>
      </c>
      <c r="G1482" s="0" t="s">
        <v>29</v>
      </c>
      <c r="H1482" s="5">
        <v>681.744000</v>
      </c>
    </row>
    <row r="1483" spans="1:9">
      <c r="A1483" s="22" t="str">
        <f>HYPERLINK("https://app.vivvix.com/360/KMI/IntelliDrive/ApplUI/Pages/CreativePages/CustomReportCreativeDetail.aspx?App=23&amp;ReportView=4&amp;Qid=1711279&amp;Row=1475&amp;Col=1","No Title Assigned - #15265907736")</f>
        <v/>
      </c>
      <c r="B1483" s="0" t="s">
        <v>2211</v>
      </c>
      <c r="C1483" s="0" t="s">
        <v>2212</v>
      </c>
      <c r="D1483" s="0" t="s">
        <v>2212</v>
      </c>
      <c r="E1483" s="0" t="inlineStr">
        <is>
          <t xml:space="preserve">Mazda</t>
        </is>
      </c>
      <c r="F1483" s="0" t="s">
        <v>28</v>
      </c>
      <c r="G1483" s="0" t="s">
        <v>29</v>
      </c>
      <c r="H1483" s="5">
        <v>5375.760800</v>
      </c>
    </row>
    <row r="1484" spans="1:9">
      <c r="A1484" s="22" t="str">
        <f>HYPERLINK("https://app.vivvix.com/360/KMI/IntelliDrive/ApplUI/Pages/CreativePages/CustomReportCreativeDetail.aspx?App=23&amp;ReportView=4&amp;Qid=1711279&amp;Row=1476&amp;Col=1","No Title Assigned - #15265907736")</f>
        <v/>
      </c>
      <c r="B1484" s="0" t="s">
        <v>2211</v>
      </c>
      <c r="E1484" s="0" t="inlineStr">
        <is>
          <t xml:space="preserve">Mazda</t>
        </is>
      </c>
      <c r="F1484" s="0" t="s">
        <v>28</v>
      </c>
      <c r="G1484" s="0" t="s">
        <v>29</v>
      </c>
      <c r="H1484" s="5">
        <v>48.411300</v>
      </c>
    </row>
    <row r="1485" spans="1:9">
      <c r="A1485" s="22" t="str">
        <f>HYPERLINK("https://app.vivvix.com/360/KMI/IntelliDrive/ApplUI/Pages/CreativePages/CustomReportCreativeDetail.aspx?App=23&amp;ReportView=4&amp;Qid=1711279&amp;Row=1477&amp;Col=1","No Title Assigned - #15265908441")</f>
        <v/>
      </c>
      <c r="B1485" s="0" t="s">
        <v>2213</v>
      </c>
      <c r="C1485" s="0" t="s">
        <v>2214</v>
      </c>
      <c r="D1485" s="0" t="s">
        <v>2214</v>
      </c>
      <c r="E1485" s="0" t="inlineStr">
        <is>
          <t xml:space="preserve">Mazda</t>
        </is>
      </c>
      <c r="F1485" s="0" t="s">
        <v>13</v>
      </c>
      <c r="G1485" s="0" t="s">
        <v>49</v>
      </c>
      <c r="H1485" s="5">
        <v>652726.652400</v>
      </c>
    </row>
    <row r="1486" spans="1:9">
      <c r="A1486" s="22" t="str">
        <f>HYPERLINK("https://app.vivvix.com/360/KMI/IntelliDrive/ApplUI/Pages/CreativePages/CustomReportCreativeDetail.aspx?App=23&amp;ReportView=4&amp;Qid=1711279&amp;Row=1478&amp;Col=1","No Title Assigned - #15265908441")</f>
        <v/>
      </c>
      <c r="B1486" s="0" t="s">
        <v>2213</v>
      </c>
      <c r="E1486" s="0" t="inlineStr">
        <is>
          <t xml:space="preserve">Mazda</t>
        </is>
      </c>
      <c r="F1486" s="0" t="s">
        <v>13</v>
      </c>
      <c r="G1486" s="0" t="s">
        <v>49</v>
      </c>
      <c r="H1486" s="5">
        <v>310362.911900</v>
      </c>
    </row>
    <row r="1487" spans="1:9">
      <c r="A1487" s="22" t="str">
        <f>HYPERLINK("https://app.vivvix.com/360/KMI/IntelliDrive/ApplUI/Pages/CreativePages/CustomReportCreativeDetail.aspx?App=23&amp;ReportView=4&amp;Qid=1711279&amp;Row=1479&amp;Col=1","No Title Assigned - #15265926659")</f>
        <v/>
      </c>
      <c r="B1487" s="0" t="s">
        <v>2215</v>
      </c>
      <c r="C1487" s="0" t="s">
        <v>2216</v>
      </c>
      <c r="D1487" s="0" t="s">
        <v>2216</v>
      </c>
      <c r="E1487" s="0" t="inlineStr">
        <is>
          <t xml:space="preserve">Mazda</t>
        </is>
      </c>
      <c r="F1487" s="0" t="s">
        <v>13</v>
      </c>
      <c r="G1487" s="0" t="s">
        <v>49</v>
      </c>
      <c r="H1487" s="5">
        <v>20854.077000</v>
      </c>
    </row>
    <row r="1488" spans="1:9">
      <c r="A1488" s="22" t="str">
        <f>HYPERLINK("https://app.vivvix.com/360/KMI/IntelliDrive/ApplUI/Pages/CreativePages/CustomReportCreativeDetail.aspx?App=23&amp;ReportView=4&amp;Qid=1711279&amp;Row=1480&amp;Col=1","No Title Assigned - #15265941783")</f>
        <v/>
      </c>
      <c r="B1488" s="0" t="s">
        <v>2217</v>
      </c>
      <c r="C1488" s="0" t="s">
        <v>2218</v>
      </c>
      <c r="D1488" s="0" t="s">
        <v>2218</v>
      </c>
      <c r="E1488" s="0" t="inlineStr">
        <is>
          <t xml:space="preserve">Mazda</t>
        </is>
      </c>
      <c r="F1488" s="0" t="s">
        <v>28</v>
      </c>
      <c r="G1488" s="0" t="s">
        <v>29</v>
      </c>
      <c r="H1488" s="5">
        <v>588.847600</v>
      </c>
    </row>
    <row r="1489" spans="1:9">
      <c r="A1489" s="22" t="str">
        <f>HYPERLINK("https://app.vivvix.com/360/KMI/IntelliDrive/ApplUI/Pages/CreativePages/CustomReportCreativeDetail.aspx?App=23&amp;ReportView=4&amp;Qid=1711279&amp;Row=1481&amp;Col=1","No Title Assigned - #15265941783")</f>
        <v/>
      </c>
      <c r="B1489" s="0" t="s">
        <v>2217</v>
      </c>
      <c r="E1489" s="0" t="inlineStr">
        <is>
          <t xml:space="preserve">Mazda</t>
        </is>
      </c>
      <c r="F1489" s="0" t="s">
        <v>28</v>
      </c>
      <c r="G1489" s="0" t="s">
        <v>29</v>
      </c>
      <c r="H1489" s="5">
        <v>27202.199200</v>
      </c>
    </row>
    <row r="1490" spans="1:9">
      <c r="A1490" s="22" t="str">
        <f>HYPERLINK("https://app.vivvix.com/360/KMI/IntelliDrive/ApplUI/Pages/CreativePages/CustomReportCreativeDetail.aspx?App=23&amp;ReportView=4&amp;Qid=1711279&amp;Row=1482&amp;Col=1","No Title Assigned - #15265964686")</f>
        <v/>
      </c>
      <c r="B1490" s="0" t="s">
        <v>2219</v>
      </c>
      <c r="C1490" s="0" t="s">
        <v>2220</v>
      </c>
      <c r="D1490" s="0" t="s">
        <v>2220</v>
      </c>
      <c r="E1490" s="0" t="inlineStr">
        <is>
          <t xml:space="preserve">Mazda</t>
        </is>
      </c>
      <c r="F1490" s="0" t="s">
        <v>13</v>
      </c>
      <c r="G1490" s="0" t="s">
        <v>49</v>
      </c>
      <c r="H1490" s="5">
        <v>1746.206200</v>
      </c>
    </row>
    <row r="1491" spans="1:9">
      <c r="A1491" s="22" t="str">
        <f>HYPERLINK("https://app.vivvix.com/360/KMI/IntelliDrive/ApplUI/Pages/CreativePages/CustomReportCreativeDetail.aspx?App=23&amp;ReportView=4&amp;Qid=1711279&amp;Row=1483&amp;Col=1","No Title Assigned - #15265978521")</f>
        <v/>
      </c>
      <c r="B1491" s="0" t="s">
        <v>2221</v>
      </c>
      <c r="C1491" s="0" t="s">
        <v>2222</v>
      </c>
      <c r="D1491" s="0" t="s">
        <v>2222</v>
      </c>
      <c r="E1491" s="0" t="inlineStr">
        <is>
          <t xml:space="preserve">Mazda</t>
        </is>
      </c>
      <c r="F1491" s="0" t="s">
        <v>13</v>
      </c>
      <c r="G1491" s="0" t="s">
        <v>49</v>
      </c>
      <c r="H1491" s="5">
        <v>3896.130900</v>
      </c>
    </row>
    <row r="1492" spans="1:9">
      <c r="A1492" s="22" t="str">
        <f>HYPERLINK("https://app.vivvix.com/360/KMI/IntelliDrive/ApplUI/Pages/CreativePages/CustomReportCreativeDetail.aspx?App=23&amp;ReportView=4&amp;Qid=1711279&amp;Row=1484&amp;Col=1","No Title Assigned - #15265979424")</f>
        <v/>
      </c>
      <c r="B1492" s="0" t="s">
        <v>2223</v>
      </c>
      <c r="C1492" s="0" t="s">
        <v>2224</v>
      </c>
      <c r="D1492" s="0" t="s">
        <v>2224</v>
      </c>
      <c r="E1492" s="0" t="inlineStr">
        <is>
          <t xml:space="preserve">Mazda</t>
        </is>
      </c>
      <c r="F1492" s="0" t="s">
        <v>28</v>
      </c>
      <c r="G1492" s="0" t="s">
        <v>29</v>
      </c>
      <c r="H1492" s="5">
        <v>581.540900</v>
      </c>
    </row>
    <row r="1493" spans="1:9">
      <c r="A1493" s="22" t="str">
        <f>HYPERLINK("https://app.vivvix.com/360/KMI/IntelliDrive/ApplUI/Pages/CreativePages/CustomReportCreativeDetail.aspx?App=23&amp;ReportView=4&amp;Qid=1711279&amp;Row=1485&amp;Col=1","No Title Assigned - #15265985259")</f>
        <v/>
      </c>
      <c r="B1493" s="0" t="s">
        <v>2225</v>
      </c>
      <c r="E1493" s="0" t="inlineStr">
        <is>
          <t xml:space="preserve">Mazda</t>
        </is>
      </c>
      <c r="F1493" s="0" t="s">
        <v>13</v>
      </c>
      <c r="G1493" s="0" t="s">
        <v>49</v>
      </c>
      <c r="H1493" s="5">
        <v>1318.315800</v>
      </c>
    </row>
    <row r="1494" spans="1:9">
      <c r="A1494" s="22" t="str">
        <f>HYPERLINK("https://app.vivvix.com/360/KMI/IntelliDrive/ApplUI/Pages/CreativePages/CustomReportCreativeDetail.aspx?App=23&amp;ReportView=4&amp;Qid=1711279&amp;Row=1486&amp;Col=1","No Title Assigned - #15265987554")</f>
        <v/>
      </c>
      <c r="B1494" s="0" t="s">
        <v>2226</v>
      </c>
      <c r="C1494" s="0" t="s">
        <v>2227</v>
      </c>
      <c r="D1494" s="0" t="s">
        <v>2227</v>
      </c>
      <c r="E1494" s="0" t="inlineStr">
        <is>
          <t xml:space="preserve">Mazda</t>
        </is>
      </c>
      <c r="F1494" s="0" t="s">
        <v>13</v>
      </c>
      <c r="G1494" s="0" t="s">
        <v>49</v>
      </c>
      <c r="H1494" s="5">
        <v>6983.268300</v>
      </c>
    </row>
    <row r="1495" spans="1:9">
      <c r="A1495" s="22" t="str">
        <f>HYPERLINK("https://app.vivvix.com/360/KMI/IntelliDrive/ApplUI/Pages/CreativePages/CustomReportCreativeDetail.aspx?App=23&amp;ReportView=4&amp;Qid=1711279&amp;Row=1487&amp;Col=1","No Title Assigned - #15265990944")</f>
        <v/>
      </c>
      <c r="B1495" s="0" t="s">
        <v>2228</v>
      </c>
      <c r="C1495" s="0" t="s">
        <v>2229</v>
      </c>
      <c r="D1495" s="0" t="s">
        <v>2229</v>
      </c>
      <c r="E1495" s="0" t="inlineStr">
        <is>
          <t xml:space="preserve">Mazda</t>
        </is>
      </c>
      <c r="F1495" s="0" t="s">
        <v>13</v>
      </c>
      <c r="G1495" s="0" t="s">
        <v>49</v>
      </c>
      <c r="H1495" s="5">
        <v>39.176800</v>
      </c>
    </row>
    <row r="1496" spans="1:9">
      <c r="A1496" s="22" t="str">
        <f>HYPERLINK("https://app.vivvix.com/360/KMI/IntelliDrive/ApplUI/Pages/CreativePages/CustomReportCreativeDetail.aspx?App=23&amp;ReportView=4&amp;Qid=1711279&amp;Row=1488&amp;Col=1","No Title Assigned - #15266001591")</f>
        <v/>
      </c>
      <c r="B1496" s="0" t="s">
        <v>2230</v>
      </c>
      <c r="E1496" s="0" t="inlineStr">
        <is>
          <t xml:space="preserve">Mazda</t>
        </is>
      </c>
      <c r="F1496" s="0" t="inlineStr">
        <is>
          <t xml:space="preserve">Mazda</t>
        </is>
      </c>
      <c r="G1496" s="0" t="s">
        <v>171</v>
      </c>
      <c r="H1496" s="5">
        <v>21073.278000</v>
      </c>
    </row>
    <row r="1497" spans="1:9">
      <c r="A1497" s="22" t="str">
        <f>HYPERLINK("https://app.vivvix.com/360/KMI/IntelliDrive/ApplUI/Pages/CreativePages/CustomReportCreativeDetail.aspx?App=23&amp;ReportView=4&amp;Qid=1711279&amp;Row=1489&amp;Col=1","No Title Assigned - #15266025917")</f>
        <v/>
      </c>
      <c r="B1497" s="0" t="s">
        <v>2231</v>
      </c>
      <c r="C1497" s="0" t="s">
        <v>2232</v>
      </c>
      <c r="D1497" s="0" t="s">
        <v>2232</v>
      </c>
      <c r="E1497" s="0" t="inlineStr">
        <is>
          <t xml:space="preserve">Mazda</t>
        </is>
      </c>
      <c r="F1497" s="0" t="s">
        <v>28</v>
      </c>
      <c r="G1497" s="0" t="s">
        <v>29</v>
      </c>
      <c r="H1497" s="5">
        <v>5194.837900</v>
      </c>
    </row>
    <row r="1498" spans="1:9">
      <c r="A1498" s="22" t="str">
        <f>HYPERLINK("https://app.vivvix.com/360/KMI/IntelliDrive/ApplUI/Pages/CreativePages/CustomReportCreativeDetail.aspx?App=23&amp;ReportView=4&amp;Qid=1711279&amp;Row=1490&amp;Col=1","No Title Assigned - #15266030126")</f>
        <v/>
      </c>
      <c r="B1498" s="0" t="s">
        <v>2233</v>
      </c>
      <c r="C1498" s="0" t="s">
        <v>2234</v>
      </c>
      <c r="D1498" s="0" t="s">
        <v>2234</v>
      </c>
      <c r="E1498" s="0" t="inlineStr">
        <is>
          <t xml:space="preserve">Mazda</t>
        </is>
      </c>
      <c r="F1498" s="0" t="s">
        <v>17</v>
      </c>
      <c r="G1498" s="0" t="s">
        <v>33</v>
      </c>
      <c r="H1498" s="5">
        <v>29659.069200</v>
      </c>
    </row>
    <row r="1499" spans="1:9">
      <c r="A1499" s="22" t="str">
        <f>HYPERLINK("https://app.vivvix.com/360/KMI/IntelliDrive/ApplUI/Pages/CreativePages/CustomReportCreativeDetail.aspx?App=23&amp;ReportView=4&amp;Qid=1711279&amp;Row=1491&amp;Col=1","No Title Assigned - #15266030138")</f>
        <v/>
      </c>
      <c r="B1499" s="0" t="s">
        <v>2235</v>
      </c>
      <c r="C1499" s="0" t="s">
        <v>2236</v>
      </c>
      <c r="D1499" s="0" t="s">
        <v>2236</v>
      </c>
      <c r="E1499" s="0" t="inlineStr">
        <is>
          <t xml:space="preserve">Mazda</t>
        </is>
      </c>
      <c r="F1499" s="0" t="s">
        <v>17</v>
      </c>
      <c r="G1499" s="0" t="s">
        <v>33</v>
      </c>
      <c r="H1499" s="5">
        <v>33261.000500</v>
      </c>
    </row>
    <row r="1500" spans="1:9">
      <c r="A1500" s="22" t="str">
        <f>HYPERLINK("https://app.vivvix.com/360/KMI/IntelliDrive/ApplUI/Pages/CreativePages/CustomReportCreativeDetail.aspx?App=23&amp;ReportView=4&amp;Qid=1711279&amp;Row=1492&amp;Col=1","No Title Assigned - #15266035412")</f>
        <v/>
      </c>
      <c r="B1500" s="0" t="s">
        <v>2237</v>
      </c>
      <c r="C1500" s="0" t="s">
        <v>2238</v>
      </c>
      <c r="D1500" s="0" t="s">
        <v>1501</v>
      </c>
      <c r="E1500" s="0" t="inlineStr">
        <is>
          <t xml:space="preserve">Mazda</t>
        </is>
      </c>
      <c r="F1500" s="0" t="s">
        <v>28</v>
      </c>
      <c r="G1500" s="0" t="s">
        <v>29</v>
      </c>
      <c r="H1500" s="5">
        <v>9807.169400</v>
      </c>
    </row>
    <row r="1501" spans="1:9">
      <c r="A1501" s="22" t="str">
        <f>HYPERLINK("https://app.vivvix.com/360/KMI/IntelliDrive/ApplUI/Pages/CreativePages/CustomReportCreativeDetail.aspx?App=23&amp;ReportView=4&amp;Qid=1711279&amp;Row=1493&amp;Col=1","No Title Assigned - #15266035412")</f>
        <v/>
      </c>
      <c r="B1501" s="0" t="s">
        <v>2237</v>
      </c>
      <c r="E1501" s="0" t="inlineStr">
        <is>
          <t xml:space="preserve">Mazda</t>
        </is>
      </c>
      <c r="F1501" s="0" t="s">
        <v>28</v>
      </c>
      <c r="G1501" s="0" t="s">
        <v>29</v>
      </c>
      <c r="H1501" s="5">
        <v>944.720900</v>
      </c>
    </row>
    <row r="1502" spans="1:9">
      <c r="A1502" s="22" t="str">
        <f>HYPERLINK("https://app.vivvix.com/360/KMI/IntelliDrive/ApplUI/Pages/CreativePages/CustomReportCreativeDetail.aspx?App=23&amp;ReportView=4&amp;Qid=1711279&amp;Row=1494&amp;Col=1","No Title Assigned - #15266035674")</f>
        <v/>
      </c>
      <c r="B1502" s="0" t="s">
        <v>2239</v>
      </c>
      <c r="E1502" s="0" t="inlineStr">
        <is>
          <t xml:space="preserve">Mazda</t>
        </is>
      </c>
      <c r="F1502" s="0" t="s">
        <v>13</v>
      </c>
      <c r="G1502" s="0" t="s">
        <v>49</v>
      </c>
      <c r="H1502" s="5">
        <v>55456.125800</v>
      </c>
    </row>
    <row r="1503" spans="1:9">
      <c r="A1503" s="22" t="str">
        <f>HYPERLINK("https://app.vivvix.com/360/KMI/IntelliDrive/ApplUI/Pages/CreativePages/CustomReportCreativeDetail.aspx?App=23&amp;ReportView=4&amp;Qid=1711279&amp;Row=1495&amp;Col=1","No Title Assigned - #15266035674")</f>
        <v/>
      </c>
      <c r="B1503" s="0" t="s">
        <v>2239</v>
      </c>
      <c r="E1503" s="0" t="inlineStr">
        <is>
          <t xml:space="preserve">Mazda</t>
        </is>
      </c>
      <c r="F1503" s="0" t="s">
        <v>13</v>
      </c>
      <c r="G1503" s="0" t="s">
        <v>49</v>
      </c>
      <c r="H1503" s="5">
        <v>10362.404800</v>
      </c>
    </row>
    <row r="1504" spans="1:9">
      <c r="A1504" s="22" t="str">
        <f>HYPERLINK("https://app.vivvix.com/360/KMI/IntelliDrive/ApplUI/Pages/CreativePages/CustomReportCreativeDetail.aspx?App=23&amp;ReportView=4&amp;Qid=1711279&amp;Row=1496&amp;Col=1","No Title Assigned - #15266036432")</f>
        <v/>
      </c>
      <c r="B1504" s="0" t="s">
        <v>2240</v>
      </c>
      <c r="C1504" s="0" t="s">
        <v>2220</v>
      </c>
      <c r="D1504" s="0" t="s">
        <v>2220</v>
      </c>
      <c r="E1504" s="0" t="inlineStr">
        <is>
          <t xml:space="preserve">Mazda</t>
        </is>
      </c>
      <c r="F1504" s="0" t="s">
        <v>13</v>
      </c>
      <c r="G1504" s="0" t="s">
        <v>49</v>
      </c>
      <c r="H1504" s="5">
        <v>4554.206200</v>
      </c>
    </row>
    <row r="1505" spans="1:9">
      <c r="A1505" s="22" t="str">
        <f>HYPERLINK("https://app.vivvix.com/360/KMI/IntelliDrive/ApplUI/Pages/CreativePages/CustomReportCreativeDetail.aspx?App=23&amp;ReportView=4&amp;Qid=1711279&amp;Row=1497&amp;Col=1","No Title Assigned - #15266038669")</f>
        <v/>
      </c>
      <c r="B1505" s="0" t="s">
        <v>2241</v>
      </c>
      <c r="C1505" s="0" t="s">
        <v>2242</v>
      </c>
      <c r="D1505" s="0" t="s">
        <v>2242</v>
      </c>
      <c r="E1505" s="0" t="inlineStr">
        <is>
          <t xml:space="preserve">Mazda</t>
        </is>
      </c>
      <c r="F1505" s="0" t="inlineStr">
        <is>
          <t xml:space="preserve">Mazda</t>
        </is>
      </c>
      <c r="G1505" s="0" t="s">
        <v>171</v>
      </c>
      <c r="H1505" s="5">
        <v>1291.435900</v>
      </c>
    </row>
    <row r="1506" spans="1:9">
      <c r="A1506" s="22" t="str">
        <f>HYPERLINK("https://app.vivvix.com/360/KMI/IntelliDrive/ApplUI/Pages/CreativePages/CustomReportCreativeDetail.aspx?App=23&amp;ReportView=4&amp;Qid=1711279&amp;Row=1498&amp;Col=1","No Title Assigned - #15266046374")</f>
        <v/>
      </c>
      <c r="B1506" s="0" t="s">
        <v>2243</v>
      </c>
      <c r="C1506" s="0" t="s">
        <v>2244</v>
      </c>
      <c r="D1506" s="0" t="s">
        <v>2244</v>
      </c>
      <c r="E1506" s="0" t="inlineStr">
        <is>
          <t xml:space="preserve">Mazda</t>
        </is>
      </c>
      <c r="F1506" s="0" t="inlineStr">
        <is>
          <t xml:space="preserve">Mazda</t>
        </is>
      </c>
      <c r="G1506" s="0" t="s">
        <v>210</v>
      </c>
      <c r="H1506" s="5">
        <v>205.465400</v>
      </c>
    </row>
    <row r="1507" spans="1:9">
      <c r="A1507" s="22" t="str">
        <f>HYPERLINK("https://app.vivvix.com/360/KMI/IntelliDrive/ApplUI/Pages/CreativePages/CustomReportCreativeDetail.aspx?App=23&amp;ReportView=4&amp;Qid=1711279&amp;Row=1499&amp;Col=1","No Title Assigned - #15266052054")</f>
        <v/>
      </c>
      <c r="B1507" s="0" t="s">
        <v>2245</v>
      </c>
      <c r="C1507" s="0" t="s">
        <v>2246</v>
      </c>
      <c r="D1507" s="0" t="s">
        <v>2246</v>
      </c>
      <c r="E1507" s="0" t="inlineStr">
        <is>
          <t xml:space="preserve">Mazda</t>
        </is>
      </c>
      <c r="F1507" s="0" t="s">
        <v>13</v>
      </c>
      <c r="G1507" s="0" t="s">
        <v>49</v>
      </c>
      <c r="H1507" s="5">
        <v>6624.762600</v>
      </c>
    </row>
    <row r="1508" spans="1:9">
      <c r="A1508" s="22" t="str">
        <f>HYPERLINK("https://app.vivvix.com/360/KMI/IntelliDrive/ApplUI/Pages/CreativePages/CustomReportCreativeDetail.aspx?App=23&amp;ReportView=4&amp;Qid=1711279&amp;Row=1500&amp;Col=1","No Title Assigned - #15266052895")</f>
        <v/>
      </c>
      <c r="B1508" s="0" t="s">
        <v>2247</v>
      </c>
      <c r="C1508" s="0" t="s">
        <v>2248</v>
      </c>
      <c r="D1508" s="0" t="s">
        <v>2248</v>
      </c>
      <c r="E1508" s="0" t="inlineStr">
        <is>
          <t xml:space="preserve">Mazda</t>
        </is>
      </c>
      <c r="F1508" s="0" t="s">
        <v>21</v>
      </c>
      <c r="G1508" s="0" t="s">
        <v>22</v>
      </c>
      <c r="H1508" s="5">
        <v>45378.220300</v>
      </c>
    </row>
    <row r="1509" spans="1:9">
      <c r="A1509" s="22" t="str">
        <f>HYPERLINK("https://app.vivvix.com/360/KMI/IntelliDrive/ApplUI/Pages/CreativePages/CustomReportCreativeDetail.aspx?App=23&amp;ReportView=4&amp;Qid=1711279&amp;Row=1501&amp;Col=1","No Title Assigned - #15266052895")</f>
        <v/>
      </c>
      <c r="B1509" s="0" t="s">
        <v>2247</v>
      </c>
      <c r="E1509" s="0" t="inlineStr">
        <is>
          <t xml:space="preserve">Mazda</t>
        </is>
      </c>
      <c r="F1509" s="0" t="s">
        <v>21</v>
      </c>
      <c r="G1509" s="0" t="s">
        <v>22</v>
      </c>
      <c r="H1509" s="5">
        <v>12485.583200</v>
      </c>
    </row>
    <row r="1510" spans="1:9">
      <c r="A1510" s="22" t="str">
        <f>HYPERLINK("https://app.vivvix.com/360/KMI/IntelliDrive/ApplUI/Pages/CreativePages/CustomReportCreativeDetail.aspx?App=23&amp;ReportView=4&amp;Qid=1711279&amp;Row=1502&amp;Col=1","No Title Assigned - #15266053572")</f>
        <v/>
      </c>
      <c r="B1510" s="0" t="s">
        <v>2249</v>
      </c>
      <c r="C1510" s="0" t="s">
        <v>2250</v>
      </c>
      <c r="D1510" s="0" t="s">
        <v>2250</v>
      </c>
      <c r="E1510" s="0" t="inlineStr">
        <is>
          <t xml:space="preserve">Mazda</t>
        </is>
      </c>
      <c r="F1510" s="0" t="s">
        <v>28</v>
      </c>
      <c r="G1510" s="0" t="s">
        <v>29</v>
      </c>
      <c r="H1510" s="5">
        <v>407.469800</v>
      </c>
    </row>
    <row r="1511" spans="1:9">
      <c r="A1511" s="22" t="str">
        <f>HYPERLINK("https://app.vivvix.com/360/KMI/IntelliDrive/ApplUI/Pages/CreativePages/CustomReportCreativeDetail.aspx?App=23&amp;ReportView=4&amp;Qid=1711279&amp;Row=1503&amp;Col=1","No Title Assigned - #15266054439")</f>
        <v/>
      </c>
      <c r="B1511" s="0" t="s">
        <v>2251</v>
      </c>
      <c r="C1511" s="0" t="s">
        <v>2252</v>
      </c>
      <c r="D1511" s="0" t="s">
        <v>2252</v>
      </c>
      <c r="E1511" s="0" t="inlineStr">
        <is>
          <t xml:space="preserve">Mazda</t>
        </is>
      </c>
      <c r="F1511" s="0" t="s">
        <v>13</v>
      </c>
      <c r="G1511" s="0" t="s">
        <v>49</v>
      </c>
      <c r="H1511" s="5">
        <v>347.751000</v>
      </c>
    </row>
    <row r="1512" spans="1:9">
      <c r="A1512" s="22" t="str">
        <f>HYPERLINK("https://app.vivvix.com/360/KMI/IntelliDrive/ApplUI/Pages/CreativePages/CustomReportCreativeDetail.aspx?App=23&amp;ReportView=4&amp;Qid=1711279&amp;Row=1504&amp;Col=1","No Title Assigned - #15266055833")</f>
        <v/>
      </c>
      <c r="B1512" s="0" t="s">
        <v>2253</v>
      </c>
      <c r="C1512" s="0" t="s">
        <v>2254</v>
      </c>
      <c r="D1512" s="0" t="s">
        <v>2254</v>
      </c>
      <c r="E1512" s="0" t="inlineStr">
        <is>
          <t xml:space="preserve">Mazda</t>
        </is>
      </c>
      <c r="F1512" s="0" t="s">
        <v>28</v>
      </c>
      <c r="G1512" s="0" t="s">
        <v>29</v>
      </c>
      <c r="H1512" s="5">
        <v>746.950400</v>
      </c>
    </row>
    <row r="1513" spans="1:9">
      <c r="A1513" s="22" t="str">
        <f>HYPERLINK("https://app.vivvix.com/360/KMI/IntelliDrive/ApplUI/Pages/CreativePages/CustomReportCreativeDetail.aspx?App=23&amp;ReportView=4&amp;Qid=1711279&amp;Row=1505&amp;Col=1","No Title Assigned - #15266056623")</f>
        <v/>
      </c>
      <c r="B1513" s="0" t="s">
        <v>2255</v>
      </c>
      <c r="C1513" s="0" t="s">
        <v>2256</v>
      </c>
      <c r="D1513" s="0" t="s">
        <v>2256</v>
      </c>
      <c r="E1513" s="0" t="inlineStr">
        <is>
          <t xml:space="preserve">Mazda</t>
        </is>
      </c>
      <c r="F1513" s="0" t="s">
        <v>28</v>
      </c>
      <c r="G1513" s="0" t="s">
        <v>29</v>
      </c>
      <c r="H1513" s="5">
        <v>845.007200</v>
      </c>
    </row>
    <row r="1514" spans="1:9">
      <c r="A1514" s="22" t="str">
        <f>HYPERLINK("https://app.vivvix.com/360/KMI/IntelliDrive/ApplUI/Pages/CreativePages/CustomReportCreativeDetail.aspx?App=23&amp;ReportView=4&amp;Qid=1711279&amp;Row=1506&amp;Col=1","No Title Assigned - #15266059106")</f>
        <v/>
      </c>
      <c r="B1514" s="0" t="s">
        <v>2257</v>
      </c>
      <c r="E1514" s="0" t="inlineStr">
        <is>
          <t xml:space="preserve">Mazda</t>
        </is>
      </c>
      <c r="F1514" s="0" t="s">
        <v>28</v>
      </c>
      <c r="G1514" s="0" t="s">
        <v>29</v>
      </c>
      <c r="H1514" s="5">
        <v>45399.636800</v>
      </c>
    </row>
    <row r="1515" spans="1:9">
      <c r="A1515" s="22" t="str">
        <f>HYPERLINK("https://app.vivvix.com/360/KMI/IntelliDrive/ApplUI/Pages/CreativePages/CustomReportCreativeDetail.aspx?App=23&amp;ReportView=4&amp;Qid=1711279&amp;Row=1507&amp;Col=1","No Title Assigned - #15266083888")</f>
        <v/>
      </c>
      <c r="B1515" s="0" t="s">
        <v>2258</v>
      </c>
      <c r="C1515" s="0" t="s">
        <v>2259</v>
      </c>
      <c r="D1515" s="0" t="s">
        <v>2259</v>
      </c>
      <c r="E1515" s="0" t="inlineStr">
        <is>
          <t xml:space="preserve">Mazda</t>
        </is>
      </c>
      <c r="F1515" s="0" t="s">
        <v>28</v>
      </c>
      <c r="G1515" s="0" t="s">
        <v>29</v>
      </c>
      <c r="H1515" s="5">
        <v>17794.758900</v>
      </c>
    </row>
    <row r="1516" spans="1:9">
      <c r="A1516" s="22" t="str">
        <f>HYPERLINK("https://app.vivvix.com/360/KMI/IntelliDrive/ApplUI/Pages/CreativePages/CustomReportCreativeDetail.aspx?App=23&amp;ReportView=4&amp;Qid=1711279&amp;Row=1508&amp;Col=1","No Title Assigned - #15266083888")</f>
        <v/>
      </c>
      <c r="B1516" s="0" t="s">
        <v>2258</v>
      </c>
      <c r="E1516" s="0" t="inlineStr">
        <is>
          <t xml:space="preserve">Mazda</t>
        </is>
      </c>
      <c r="F1516" s="0" t="s">
        <v>28</v>
      </c>
      <c r="G1516" s="0" t="s">
        <v>29</v>
      </c>
      <c r="H1516" s="5">
        <v>119287.507300</v>
      </c>
    </row>
    <row r="1517" spans="1:9">
      <c r="A1517" s="22" t="str">
        <f>HYPERLINK("https://app.vivvix.com/360/KMI/IntelliDrive/ApplUI/Pages/CreativePages/CustomReportCreativeDetail.aspx?App=23&amp;ReportView=4&amp;Qid=1711279&amp;Row=1509&amp;Col=1","No Title Assigned - #15266090785")</f>
        <v/>
      </c>
      <c r="B1517" s="0" t="s">
        <v>2260</v>
      </c>
      <c r="C1517" s="0" t="s">
        <v>2261</v>
      </c>
      <c r="D1517" s="0" t="s">
        <v>2261</v>
      </c>
      <c r="E1517" s="0" t="inlineStr">
        <is>
          <t xml:space="preserve">Mazda</t>
        </is>
      </c>
      <c r="F1517" s="0" t="s">
        <v>28</v>
      </c>
      <c r="G1517" s="0" t="s">
        <v>29</v>
      </c>
      <c r="H1517" s="5">
        <v>4198.522200</v>
      </c>
    </row>
    <row r="1518" spans="1:9">
      <c r="A1518" s="22" t="str">
        <f>HYPERLINK("https://app.vivvix.com/360/KMI/IntelliDrive/ApplUI/Pages/CreativePages/CustomReportCreativeDetail.aspx?App=23&amp;ReportView=4&amp;Qid=1711279&amp;Row=1510&amp;Col=1","No Title Assigned - #15266091902")</f>
        <v/>
      </c>
      <c r="B1518" s="0" t="s">
        <v>2262</v>
      </c>
      <c r="C1518" s="0" t="s">
        <v>2263</v>
      </c>
      <c r="D1518" s="0" t="s">
        <v>2263</v>
      </c>
      <c r="E1518" s="0" t="inlineStr">
        <is>
          <t xml:space="preserve">Mazda</t>
        </is>
      </c>
      <c r="F1518" s="0" t="s">
        <v>13</v>
      </c>
      <c r="G1518" s="0" t="s">
        <v>49</v>
      </c>
      <c r="H1518" s="5">
        <v>5194.837900</v>
      </c>
    </row>
    <row r="1519" spans="1:9">
      <c r="A1519" s="22" t="str">
        <f>HYPERLINK("https://app.vivvix.com/360/KMI/IntelliDrive/ApplUI/Pages/CreativePages/CustomReportCreativeDetail.aspx?App=23&amp;ReportView=4&amp;Qid=1711279&amp;Row=1511&amp;Col=1","No Title Assigned - #15266093287")</f>
        <v/>
      </c>
      <c r="B1519" s="0" t="s">
        <v>2264</v>
      </c>
      <c r="C1519" s="0" t="s">
        <v>2265</v>
      </c>
      <c r="D1519" s="0" t="s">
        <v>2265</v>
      </c>
      <c r="E1519" s="0" t="inlineStr">
        <is>
          <t xml:space="preserve">Mazda</t>
        </is>
      </c>
      <c r="F1519" s="0" t="s">
        <v>28</v>
      </c>
      <c r="G1519" s="0" t="s">
        <v>29</v>
      </c>
      <c r="H1519" s="5">
        <v>4454.553800</v>
      </c>
    </row>
    <row r="1520" spans="1:9">
      <c r="A1520" s="22" t="str">
        <f>HYPERLINK("https://app.vivvix.com/360/KMI/IntelliDrive/ApplUI/Pages/CreativePages/CustomReportCreativeDetail.aspx?App=23&amp;ReportView=4&amp;Qid=1711279&amp;Row=1512&amp;Col=1","No Title Assigned - #15266093792")</f>
        <v/>
      </c>
      <c r="B1520" s="0" t="s">
        <v>2266</v>
      </c>
      <c r="C1520" s="0" t="s">
        <v>2267</v>
      </c>
      <c r="D1520" s="0" t="s">
        <v>2267</v>
      </c>
      <c r="E1520" s="0" t="inlineStr">
        <is>
          <t xml:space="preserve">Mazda</t>
        </is>
      </c>
      <c r="F1520" s="0" t="s">
        <v>21</v>
      </c>
      <c r="G1520" s="0" t="s">
        <v>22</v>
      </c>
      <c r="H1520" s="5">
        <v>1851.348600</v>
      </c>
    </row>
    <row r="1521" spans="1:9">
      <c r="A1521" s="22" t="str">
        <f>HYPERLINK("https://app.vivvix.com/360/KMI/IntelliDrive/ApplUI/Pages/CreativePages/CustomReportCreativeDetail.aspx?App=23&amp;ReportView=4&amp;Qid=1711279&amp;Row=1513&amp;Col=1","No Title Assigned - #15266094791")</f>
        <v/>
      </c>
      <c r="B1521" s="0" t="s">
        <v>2268</v>
      </c>
      <c r="C1521" s="0" t="s">
        <v>2269</v>
      </c>
      <c r="D1521" s="0" t="s">
        <v>2269</v>
      </c>
      <c r="E1521" s="0" t="inlineStr">
        <is>
          <t xml:space="preserve">Mazda</t>
        </is>
      </c>
      <c r="F1521" s="0" t="inlineStr">
        <is>
          <t xml:space="preserve">Mazda</t>
        </is>
      </c>
      <c r="G1521" s="0" t="s">
        <v>1992</v>
      </c>
      <c r="H1521" s="5">
        <v>12867.509900</v>
      </c>
    </row>
    <row r="1522" spans="1:9">
      <c r="A1522" s="22" t="str">
        <f>HYPERLINK("https://app.vivvix.com/360/KMI/IntelliDrive/ApplUI/Pages/CreativePages/CustomReportCreativeDetail.aspx?App=23&amp;ReportView=4&amp;Qid=1711279&amp;Row=1514&amp;Col=1","No Title Assigned - #15266094807")</f>
        <v/>
      </c>
      <c r="B1522" s="0" t="s">
        <v>2270</v>
      </c>
      <c r="C1522" s="0" t="s">
        <v>2271</v>
      </c>
      <c r="D1522" s="0" t="s">
        <v>2271</v>
      </c>
      <c r="E1522" s="0" t="inlineStr">
        <is>
          <t xml:space="preserve">Mazda</t>
        </is>
      </c>
      <c r="F1522" s="0" t="inlineStr">
        <is>
          <t xml:space="preserve">Mazda</t>
        </is>
      </c>
      <c r="G1522" s="0" t="s">
        <v>1992</v>
      </c>
      <c r="H1522" s="5">
        <v>25245.256800</v>
      </c>
    </row>
    <row r="1523" spans="1:9">
      <c r="A1523" s="22" t="str">
        <f>HYPERLINK("https://app.vivvix.com/360/KMI/IntelliDrive/ApplUI/Pages/CreativePages/CustomReportCreativeDetail.aspx?App=23&amp;ReportView=4&amp;Qid=1711279&amp;Row=1515&amp;Col=1","No Title Assigned - #15266096351")</f>
        <v/>
      </c>
      <c r="B1523" s="0" t="s">
        <v>2272</v>
      </c>
      <c r="C1523" s="0" t="s">
        <v>2273</v>
      </c>
      <c r="D1523" s="0" t="s">
        <v>2273</v>
      </c>
      <c r="E1523" s="0" t="inlineStr">
        <is>
          <t xml:space="preserve">Mazda</t>
        </is>
      </c>
      <c r="F1523" s="0" t="inlineStr">
        <is>
          <t xml:space="preserve">Mazda</t>
        </is>
      </c>
      <c r="G1523" s="0" t="s">
        <v>2274</v>
      </c>
      <c r="H1523" s="5">
        <v>22958.728200</v>
      </c>
    </row>
    <row r="1524" spans="1:9">
      <c r="A1524" s="22" t="str">
        <f>HYPERLINK("https://app.vivvix.com/360/KMI/IntelliDrive/ApplUI/Pages/CreativePages/CustomReportCreativeDetail.aspx?App=23&amp;ReportView=4&amp;Qid=1711279&amp;Row=1516&amp;Col=1","No Title Assigned - #15266097498")</f>
        <v/>
      </c>
      <c r="B1524" s="0" t="s">
        <v>2275</v>
      </c>
      <c r="C1524" s="0" t="s">
        <v>2276</v>
      </c>
      <c r="D1524" s="0" t="s">
        <v>2276</v>
      </c>
      <c r="E1524" s="0" t="inlineStr">
        <is>
          <t xml:space="preserve">Mazda</t>
        </is>
      </c>
      <c r="F1524" s="0" t="inlineStr">
        <is>
          <t xml:space="preserve">Mazda</t>
        </is>
      </c>
      <c r="G1524" s="0" t="s">
        <v>1992</v>
      </c>
      <c r="H1524" s="5">
        <v>30151.212300</v>
      </c>
    </row>
    <row r="1525" spans="1:9">
      <c r="A1525" s="22" t="str">
        <f>HYPERLINK("https://app.vivvix.com/360/KMI/IntelliDrive/ApplUI/Pages/CreativePages/CustomReportCreativeDetail.aspx?App=23&amp;ReportView=4&amp;Qid=1711279&amp;Row=1517&amp;Col=1","No Title Assigned - #15266098185")</f>
        <v/>
      </c>
      <c r="B1525" s="0" t="s">
        <v>2277</v>
      </c>
      <c r="C1525" s="0" t="s">
        <v>2278</v>
      </c>
      <c r="D1525" s="0" t="s">
        <v>2278</v>
      </c>
      <c r="E1525" s="0" t="inlineStr">
        <is>
          <t xml:space="preserve">Mazda</t>
        </is>
      </c>
      <c r="F1525" s="0" t="inlineStr">
        <is>
          <t xml:space="preserve">Mazda</t>
        </is>
      </c>
      <c r="G1525" s="0" t="s">
        <v>2274</v>
      </c>
      <c r="H1525" s="5">
        <v>35085.746300</v>
      </c>
    </row>
    <row r="1526" spans="1:9">
      <c r="A1526" s="22" t="str">
        <f>HYPERLINK("https://app.vivvix.com/360/KMI/IntelliDrive/ApplUI/Pages/CreativePages/CustomReportCreativeDetail.aspx?App=23&amp;ReportView=4&amp;Qid=1711279&amp;Row=1518&amp;Col=1","No Title Assigned - #15266098307")</f>
        <v/>
      </c>
      <c r="B1526" s="0" t="s">
        <v>2279</v>
      </c>
      <c r="C1526" s="0" t="s">
        <v>2280</v>
      </c>
      <c r="D1526" s="0" t="s">
        <v>2281</v>
      </c>
      <c r="E1526" s="0" t="inlineStr">
        <is>
          <t xml:space="preserve">Mazda</t>
        </is>
      </c>
      <c r="F1526" s="0" t="s">
        <v>17</v>
      </c>
      <c r="G1526" s="0" t="s">
        <v>33</v>
      </c>
      <c r="H1526" s="5">
        <v>1328.952500</v>
      </c>
    </row>
    <row r="1527" spans="1:9">
      <c r="A1527" s="22" t="str">
        <f>HYPERLINK("https://app.vivvix.com/360/KMI/IntelliDrive/ApplUI/Pages/CreativePages/CustomReportCreativeDetail.aspx?App=23&amp;ReportView=4&amp;Qid=1711279&amp;Row=1519&amp;Col=1","No Title Assigned - #15266098323")</f>
        <v/>
      </c>
      <c r="B1527" s="0" t="s">
        <v>2282</v>
      </c>
      <c r="C1527" s="0" t="s">
        <v>2283</v>
      </c>
      <c r="D1527" s="0" t="s">
        <v>2283</v>
      </c>
      <c r="E1527" s="0" t="inlineStr">
        <is>
          <t xml:space="preserve">Mazda</t>
        </is>
      </c>
      <c r="F1527" s="0" t="s">
        <v>17</v>
      </c>
      <c r="G1527" s="0" t="s">
        <v>97</v>
      </c>
      <c r="H1527" s="5">
        <v>34292.062000</v>
      </c>
    </row>
    <row r="1528" spans="1:9">
      <c r="A1528" s="22" t="str">
        <f>HYPERLINK("https://app.vivvix.com/360/KMI/IntelliDrive/ApplUI/Pages/CreativePages/CustomReportCreativeDetail.aspx?App=23&amp;ReportView=4&amp;Qid=1711279&amp;Row=1520&amp;Col=1","No Title Assigned - #15266100745")</f>
        <v/>
      </c>
      <c r="B1528" s="0" t="s">
        <v>2284</v>
      </c>
      <c r="C1528" s="0" t="s">
        <v>2285</v>
      </c>
      <c r="D1528" s="0" t="s">
        <v>2285</v>
      </c>
      <c r="E1528" s="0" t="inlineStr">
        <is>
          <t xml:space="preserve">Mazda</t>
        </is>
      </c>
      <c r="F1528" s="0" t="s">
        <v>13</v>
      </c>
      <c r="G1528" s="0" t="s">
        <v>49</v>
      </c>
      <c r="H1528" s="5">
        <v>1407.832400</v>
      </c>
    </row>
    <row r="1529" spans="1:9">
      <c r="A1529" s="22" t="str">
        <f>HYPERLINK("https://app.vivvix.com/360/KMI/IntelliDrive/ApplUI/Pages/CreativePages/CustomReportCreativeDetail.aspx?App=23&amp;ReportView=4&amp;Qid=1711279&amp;Row=1521&amp;Col=1","No Title Assigned - #15266100756")</f>
        <v/>
      </c>
      <c r="B1529" s="0" t="s">
        <v>2286</v>
      </c>
      <c r="C1529" s="0" t="s">
        <v>2287</v>
      </c>
      <c r="D1529" s="0" t="s">
        <v>2287</v>
      </c>
      <c r="E1529" s="0" t="inlineStr">
        <is>
          <t xml:space="preserve">Mazda</t>
        </is>
      </c>
      <c r="F1529" s="0" t="s">
        <v>13</v>
      </c>
      <c r="G1529" s="0" t="s">
        <v>49</v>
      </c>
      <c r="H1529" s="5">
        <v>2608.307700</v>
      </c>
    </row>
    <row r="1530" spans="1:9">
      <c r="A1530" s="22" t="str">
        <f>HYPERLINK("https://app.vivvix.com/360/KMI/IntelliDrive/ApplUI/Pages/CreativePages/CustomReportCreativeDetail.aspx?App=23&amp;ReportView=4&amp;Qid=1711279&amp;Row=1522&amp;Col=1","No Title Assigned - #15266100800")</f>
        <v/>
      </c>
      <c r="B1530" s="0" t="s">
        <v>2288</v>
      </c>
      <c r="C1530" s="0" t="s">
        <v>2289</v>
      </c>
      <c r="D1530" s="0" t="s">
        <v>2289</v>
      </c>
      <c r="E1530" s="0" t="inlineStr">
        <is>
          <t xml:space="preserve">Mazda</t>
        </is>
      </c>
      <c r="F1530" s="0" t="s">
        <v>17</v>
      </c>
      <c r="G1530" s="0" t="s">
        <v>2290</v>
      </c>
      <c r="H1530" s="5">
        <v>2613.653800</v>
      </c>
    </row>
    <row r="1531" spans="1:9">
      <c r="A1531" s="22" t="str">
        <f>HYPERLINK("https://app.vivvix.com/360/KMI/IntelliDrive/ApplUI/Pages/CreativePages/CustomReportCreativeDetail.aspx?App=23&amp;ReportView=4&amp;Qid=1711279&amp;Row=1523&amp;Col=1","No Title Assigned - #15266100806")</f>
        <v/>
      </c>
      <c r="B1531" s="0" t="s">
        <v>2291</v>
      </c>
      <c r="C1531" s="0" t="s">
        <v>2292</v>
      </c>
      <c r="D1531" s="0" t="s">
        <v>2236</v>
      </c>
      <c r="E1531" s="0" t="inlineStr">
        <is>
          <t xml:space="preserve">Mazda</t>
        </is>
      </c>
      <c r="F1531" s="0" t="s">
        <v>17</v>
      </c>
      <c r="G1531" s="0" t="s">
        <v>33</v>
      </c>
      <c r="H1531" s="5">
        <v>28.069200</v>
      </c>
    </row>
    <row r="1532" spans="1:9">
      <c r="A1532" s="22" t="str">
        <f>HYPERLINK("https://app.vivvix.com/360/KMI/IntelliDrive/ApplUI/Pages/CreativePages/CustomReportCreativeDetail.aspx?App=23&amp;ReportView=4&amp;Qid=1711279&amp;Row=1524&amp;Col=1","No Title Assigned - #15266101062")</f>
        <v/>
      </c>
      <c r="B1532" s="0" t="s">
        <v>2293</v>
      </c>
      <c r="C1532" s="0" t="s">
        <v>2294</v>
      </c>
      <c r="D1532" s="0" t="s">
        <v>2294</v>
      </c>
      <c r="E1532" s="0" t="inlineStr">
        <is>
          <t xml:space="preserve">Mazda</t>
        </is>
      </c>
      <c r="F1532" s="0" t="s">
        <v>56</v>
      </c>
      <c r="G1532" s="0" t="s">
        <v>57</v>
      </c>
      <c r="H1532" s="5">
        <v>624.577500</v>
      </c>
    </row>
    <row r="1533" spans="1:9">
      <c r="A1533" s="22" t="str">
        <f>HYPERLINK("https://app.vivvix.com/360/KMI/IntelliDrive/ApplUI/Pages/CreativePages/CustomReportCreativeDetail.aspx?App=23&amp;ReportView=4&amp;Qid=1711279&amp;Row=1525&amp;Col=1","No Title Assigned - #15266102389")</f>
        <v/>
      </c>
      <c r="B1533" s="0" t="s">
        <v>2295</v>
      </c>
      <c r="C1533" s="0" t="s">
        <v>2296</v>
      </c>
      <c r="D1533" s="0" t="s">
        <v>2296</v>
      </c>
      <c r="E1533" s="0" t="inlineStr">
        <is>
          <t xml:space="preserve">Mazda</t>
        </is>
      </c>
      <c r="F1533" s="0" t="s">
        <v>28</v>
      </c>
      <c r="G1533" s="0" t="s">
        <v>29</v>
      </c>
      <c r="H1533" s="5">
        <v>180.922900</v>
      </c>
    </row>
    <row r="1534" spans="1:9">
      <c r="A1534" s="22" t="str">
        <f>HYPERLINK("https://app.vivvix.com/360/KMI/IntelliDrive/ApplUI/Pages/CreativePages/CustomReportCreativeDetail.aspx?App=23&amp;ReportView=4&amp;Qid=1711279&amp;Row=1526&amp;Col=1","No Title Assigned - #15266102389")</f>
        <v/>
      </c>
      <c r="B1534" s="0" t="s">
        <v>2295</v>
      </c>
      <c r="E1534" s="0" t="inlineStr">
        <is>
          <t xml:space="preserve">Mazda</t>
        </is>
      </c>
      <c r="F1534" s="0" t="s">
        <v>28</v>
      </c>
      <c r="G1534" s="0" t="s">
        <v>29</v>
      </c>
      <c r="H1534" s="5">
        <v>219.278100</v>
      </c>
    </row>
    <row r="1535" spans="1:9">
      <c r="A1535" s="22" t="str">
        <f>HYPERLINK("https://app.vivvix.com/360/KMI/IntelliDrive/ApplUI/Pages/CreativePages/CustomReportCreativeDetail.aspx?App=23&amp;ReportView=4&amp;Qid=1711279&amp;Row=1527&amp;Col=1","No Title Assigned - #15266102804")</f>
        <v/>
      </c>
      <c r="B1535" s="0" t="s">
        <v>2297</v>
      </c>
      <c r="C1535" s="0" t="s">
        <v>2298</v>
      </c>
      <c r="D1535" s="0" t="s">
        <v>2298</v>
      </c>
      <c r="E1535" s="0" t="inlineStr">
        <is>
          <t xml:space="preserve">Mazda</t>
        </is>
      </c>
      <c r="F1535" s="0" t="s">
        <v>13</v>
      </c>
      <c r="G1535" s="0" t="s">
        <v>49</v>
      </c>
      <c r="H1535" s="5">
        <v>210606.124100</v>
      </c>
    </row>
    <row r="1536" spans="1:9">
      <c r="A1536" s="22" t="str">
        <f>HYPERLINK("https://app.vivvix.com/360/KMI/IntelliDrive/ApplUI/Pages/CreativePages/CustomReportCreativeDetail.aspx?App=23&amp;ReportView=4&amp;Qid=1711279&amp;Row=1528&amp;Col=1","No Title Assigned - #15266102812")</f>
        <v/>
      </c>
      <c r="B1536" s="0" t="s">
        <v>2299</v>
      </c>
      <c r="E1536" s="0" t="inlineStr">
        <is>
          <t xml:space="preserve">Mazda</t>
        </is>
      </c>
      <c r="F1536" s="0" t="inlineStr">
        <is>
          <t xml:space="preserve">Mazda</t>
        </is>
      </c>
      <c r="G1536" s="0" t="s">
        <v>171</v>
      </c>
    </row>
    <row r="1537" spans="1:9">
      <c r="A1537" s="22" t="str">
        <f>HYPERLINK("https://app.vivvix.com/360/KMI/IntelliDrive/ApplUI/Pages/CreativePages/CustomReportCreativeDetail.aspx?App=23&amp;ReportView=4&amp;Qid=1711279&amp;Row=1529&amp;Col=1","No Title Assigned - #15266103002")</f>
        <v/>
      </c>
      <c r="B1537" s="0" t="s">
        <v>2300</v>
      </c>
      <c r="C1537" s="0" t="s">
        <v>2301</v>
      </c>
      <c r="D1537" s="0" t="s">
        <v>2301</v>
      </c>
      <c r="E1537" s="0" t="inlineStr">
        <is>
          <t xml:space="preserve">Mazda</t>
        </is>
      </c>
      <c r="F1537" s="0" t="s">
        <v>13</v>
      </c>
      <c r="G1537" s="0" t="s">
        <v>49</v>
      </c>
      <c r="H1537" s="5">
        <v>8920.656600</v>
      </c>
    </row>
    <row r="1538" spans="1:9">
      <c r="A1538" s="22" t="str">
        <f>HYPERLINK("https://app.vivvix.com/360/KMI/IntelliDrive/ApplUI/Pages/CreativePages/CustomReportCreativeDetail.aspx?App=23&amp;ReportView=4&amp;Qid=1711279&amp;Row=1530&amp;Col=1","No Title Assigned - #15266106026")</f>
        <v/>
      </c>
      <c r="B1538" s="0" t="s">
        <v>2302</v>
      </c>
      <c r="C1538" s="0" t="s">
        <v>2303</v>
      </c>
      <c r="D1538" s="0" t="s">
        <v>2303</v>
      </c>
      <c r="E1538" s="0" t="inlineStr">
        <is>
          <t xml:space="preserve">Mazda</t>
        </is>
      </c>
      <c r="F1538" s="0" t="s">
        <v>28</v>
      </c>
      <c r="G1538" s="0" t="s">
        <v>29</v>
      </c>
      <c r="H1538" s="5">
        <v>2433.311600</v>
      </c>
    </row>
    <row r="1539" spans="1:9">
      <c r="A1539" s="22" t="str">
        <f>HYPERLINK("https://app.vivvix.com/360/KMI/IntelliDrive/ApplUI/Pages/CreativePages/CustomReportCreativeDetail.aspx?App=23&amp;ReportView=4&amp;Qid=1711279&amp;Row=1531&amp;Col=1","No Title Assigned - #15266106107")</f>
        <v/>
      </c>
      <c r="B1539" s="0" t="s">
        <v>2304</v>
      </c>
      <c r="C1539" s="0" t="s">
        <v>2305</v>
      </c>
      <c r="D1539" s="0" t="s">
        <v>2305</v>
      </c>
      <c r="E1539" s="0" t="inlineStr">
        <is>
          <t xml:space="preserve">Mazda</t>
        </is>
      </c>
      <c r="F1539" s="0" t="s">
        <v>28</v>
      </c>
      <c r="G1539" s="0" t="s">
        <v>29</v>
      </c>
      <c r="H1539" s="5">
        <v>116.402500</v>
      </c>
    </row>
    <row r="1540" spans="1:9">
      <c r="A1540" s="22" t="str">
        <f>HYPERLINK("https://app.vivvix.com/360/KMI/IntelliDrive/ApplUI/Pages/CreativePages/CustomReportCreativeDetail.aspx?App=23&amp;ReportView=4&amp;Qid=1711279&amp;Row=1532&amp;Col=1","No Title Assigned - #15266106179")</f>
        <v/>
      </c>
      <c r="B1540" s="0" t="s">
        <v>2306</v>
      </c>
      <c r="C1540" s="0" t="s">
        <v>2307</v>
      </c>
      <c r="D1540" s="0" t="s">
        <v>2307</v>
      </c>
      <c r="E1540" s="0" t="inlineStr">
        <is>
          <t xml:space="preserve">Mazda</t>
        </is>
      </c>
      <c r="F1540" s="0" t="s">
        <v>28</v>
      </c>
      <c r="G1540" s="0" t="s">
        <v>29</v>
      </c>
      <c r="H1540" s="5">
        <v>464.720400</v>
      </c>
    </row>
    <row r="1541" spans="1:9">
      <c r="A1541" s="22" t="str">
        <f>HYPERLINK("https://app.vivvix.com/360/KMI/IntelliDrive/ApplUI/Pages/CreativePages/CustomReportCreativeDetail.aspx?App=23&amp;ReportView=4&amp;Qid=1711279&amp;Row=1533&amp;Col=1","No Title Assigned - #15266106185")</f>
        <v/>
      </c>
      <c r="B1541" s="0" t="s">
        <v>2308</v>
      </c>
      <c r="C1541" s="0" t="s">
        <v>2309</v>
      </c>
      <c r="D1541" s="0" t="s">
        <v>2309</v>
      </c>
      <c r="E1541" s="0" t="inlineStr">
        <is>
          <t xml:space="preserve">Mazda</t>
        </is>
      </c>
      <c r="F1541" s="0" t="s">
        <v>28</v>
      </c>
      <c r="G1541" s="0" t="s">
        <v>29</v>
      </c>
      <c r="H1541" s="5">
        <v>58.912400</v>
      </c>
    </row>
    <row r="1542" spans="1:9">
      <c r="A1542" s="22" t="str">
        <f>HYPERLINK("https://app.vivvix.com/360/KMI/IntelliDrive/ApplUI/Pages/CreativePages/CustomReportCreativeDetail.aspx?App=23&amp;ReportView=4&amp;Qid=1711279&amp;Row=1534&amp;Col=1","No Title Assigned - #15266107068")</f>
        <v/>
      </c>
      <c r="B1542" s="0" t="s">
        <v>2310</v>
      </c>
      <c r="C1542" s="0" t="s">
        <v>2311</v>
      </c>
      <c r="D1542" s="0" t="s">
        <v>2311</v>
      </c>
      <c r="E1542" s="0" t="inlineStr">
        <is>
          <t xml:space="preserve">Mazda</t>
        </is>
      </c>
      <c r="F1542" s="0" t="s">
        <v>28</v>
      </c>
      <c r="G1542" s="0" t="s">
        <v>29</v>
      </c>
      <c r="H1542" s="5">
        <v>19.588400</v>
      </c>
    </row>
    <row r="1543" spans="1:9">
      <c r="A1543" s="22" t="str">
        <f>HYPERLINK("https://app.vivvix.com/360/KMI/IntelliDrive/ApplUI/Pages/CreativePages/CustomReportCreativeDetail.aspx?App=23&amp;ReportView=4&amp;Qid=1711279&amp;Row=1535&amp;Col=1","No Title Assigned - #15266107160")</f>
        <v/>
      </c>
      <c r="B1543" s="0" t="s">
        <v>2312</v>
      </c>
      <c r="C1543" s="0" t="s">
        <v>2313</v>
      </c>
      <c r="D1543" s="0" t="s">
        <v>2313</v>
      </c>
      <c r="E1543" s="0" t="inlineStr">
        <is>
          <t xml:space="preserve">Mazda</t>
        </is>
      </c>
      <c r="F1543" s="0" t="inlineStr">
        <is>
          <t xml:space="preserve">Mazda</t>
        </is>
      </c>
      <c r="G1543" s="0" t="s">
        <v>171</v>
      </c>
    </row>
    <row r="1544" spans="1:9">
      <c r="A1544" s="22" t="str">
        <f>HYPERLINK("https://app.vivvix.com/360/KMI/IntelliDrive/ApplUI/Pages/CreativePages/CustomReportCreativeDetail.aspx?App=23&amp;ReportView=4&amp;Qid=1711279&amp;Row=1536&amp;Col=1","No Title Assigned - #15266109065")</f>
        <v/>
      </c>
      <c r="B1544" s="0" t="s">
        <v>2314</v>
      </c>
      <c r="E1544" s="0" t="inlineStr">
        <is>
          <t xml:space="preserve">Mazda</t>
        </is>
      </c>
      <c r="F1544" s="0" t="s">
        <v>21</v>
      </c>
      <c r="G1544" s="0" t="s">
        <v>22</v>
      </c>
      <c r="H1544" s="5">
        <v>7494.157800</v>
      </c>
    </row>
    <row r="1545" spans="1:9">
      <c r="A1545" s="22" t="str">
        <f>HYPERLINK("https://app.vivvix.com/360/KMI/IntelliDrive/ApplUI/Pages/CreativePages/CustomReportCreativeDetail.aspx?App=23&amp;ReportView=4&amp;Qid=1711279&amp;Row=1537&amp;Col=1","No Title Assigned - #15266112689")</f>
        <v/>
      </c>
      <c r="B1545" s="0" t="s">
        <v>2315</v>
      </c>
      <c r="C1545" s="0" t="s">
        <v>2316</v>
      </c>
      <c r="D1545" s="0" t="s">
        <v>2316</v>
      </c>
      <c r="E1545" s="0" t="inlineStr">
        <is>
          <t xml:space="preserve">Mazda</t>
        </is>
      </c>
      <c r="F1545" s="0" t="s">
        <v>13</v>
      </c>
      <c r="G1545" s="0" t="s">
        <v>49</v>
      </c>
      <c r="H1545" s="5">
        <v>599.346600</v>
      </c>
    </row>
    <row r="1546" spans="1:9">
      <c r="A1546" s="22" t="str">
        <f>HYPERLINK("https://app.vivvix.com/360/KMI/IntelliDrive/ApplUI/Pages/CreativePages/CustomReportCreativeDetail.aspx?App=23&amp;ReportView=4&amp;Qid=1711279&amp;Row=1538&amp;Col=1","No Title Assigned - #15266115372")</f>
        <v/>
      </c>
      <c r="B1546" s="0" t="s">
        <v>2317</v>
      </c>
      <c r="C1546" s="0" t="s">
        <v>2318</v>
      </c>
      <c r="D1546" s="0" t="s">
        <v>2318</v>
      </c>
      <c r="E1546" s="0" t="inlineStr">
        <is>
          <t xml:space="preserve">Mazda</t>
        </is>
      </c>
      <c r="F1546" s="0" t="s">
        <v>13</v>
      </c>
      <c r="G1546" s="0" t="s">
        <v>49</v>
      </c>
      <c r="H1546" s="5">
        <v>507.558300</v>
      </c>
    </row>
    <row r="1547" spans="1:9">
      <c r="A1547" s="22" t="str">
        <f>HYPERLINK("https://app.vivvix.com/360/KMI/IntelliDrive/ApplUI/Pages/CreativePages/CustomReportCreativeDetail.aspx?App=23&amp;ReportView=4&amp;Qid=1711279&amp;Row=1539&amp;Col=1","No Title Assigned - #15266116919")</f>
        <v/>
      </c>
      <c r="B1547" s="0" t="s">
        <v>2319</v>
      </c>
      <c r="E1547" s="0" t="inlineStr">
        <is>
          <t xml:space="preserve">Mazda</t>
        </is>
      </c>
      <c r="F1547" s="0" t="s">
        <v>13</v>
      </c>
      <c r="G1547" s="0" t="s">
        <v>49</v>
      </c>
      <c r="H1547" s="5">
        <v>507.558300</v>
      </c>
    </row>
    <row r="1548" spans="1:9">
      <c r="A1548" s="22" t="str">
        <f>HYPERLINK("https://app.vivvix.com/360/KMI/IntelliDrive/ApplUI/Pages/CreativePages/CustomReportCreativeDetail.aspx?App=23&amp;ReportView=4&amp;Qid=1711279&amp;Row=1540&amp;Col=1","No Title Assigned - #15266117003")</f>
        <v/>
      </c>
      <c r="B1548" s="0" t="s">
        <v>2320</v>
      </c>
      <c r="E1548" s="0" t="inlineStr">
        <is>
          <t xml:space="preserve">Mazda</t>
        </is>
      </c>
      <c r="F1548" s="0" t="s">
        <v>28</v>
      </c>
      <c r="G1548" s="0" t="s">
        <v>29</v>
      </c>
      <c r="H1548" s="5">
        <v>631.574200</v>
      </c>
    </row>
    <row r="1549" spans="1:9">
      <c r="A1549" s="22" t="str">
        <f>HYPERLINK("https://app.vivvix.com/360/KMI/IntelliDrive/ApplUI/Pages/CreativePages/CustomReportCreativeDetail.aspx?App=23&amp;ReportView=4&amp;Qid=1711279&amp;Row=1541&amp;Col=1","No Title Assigned - #15266117003")</f>
        <v/>
      </c>
      <c r="B1549" s="0" t="s">
        <v>2320</v>
      </c>
      <c r="E1549" s="0" t="inlineStr">
        <is>
          <t xml:space="preserve">Mazda</t>
        </is>
      </c>
      <c r="F1549" s="0" t="s">
        <v>28</v>
      </c>
      <c r="G1549" s="0" t="s">
        <v>29</v>
      </c>
      <c r="H1549" s="5">
        <v>482.200000</v>
      </c>
    </row>
    <row r="1550" spans="1:9">
      <c r="A1550" s="22" t="str">
        <f>HYPERLINK("https://app.vivvix.com/360/KMI/IntelliDrive/ApplUI/Pages/CreativePages/CustomReportCreativeDetail.aspx?App=23&amp;ReportView=4&amp;Qid=1711279&amp;Row=1542&amp;Col=1","No Title Assigned - #15266118499")</f>
        <v/>
      </c>
      <c r="B1550" s="0" t="s">
        <v>2321</v>
      </c>
      <c r="C1550" s="0" t="s">
        <v>2322</v>
      </c>
      <c r="D1550" s="0" t="s">
        <v>2322</v>
      </c>
      <c r="E1550" s="0" t="inlineStr">
        <is>
          <t xml:space="preserve">Mazda</t>
        </is>
      </c>
      <c r="F1550" s="0" t="s">
        <v>21</v>
      </c>
      <c r="G1550" s="0" t="s">
        <v>22</v>
      </c>
      <c r="H1550" s="5">
        <v>283.768800</v>
      </c>
    </row>
    <row r="1551" spans="1:9">
      <c r="A1551" s="22" t="str">
        <f>HYPERLINK("https://app.vivvix.com/360/KMI/IntelliDrive/ApplUI/Pages/CreativePages/CustomReportCreativeDetail.aspx?App=23&amp;ReportView=4&amp;Qid=1711279&amp;Row=1543&amp;Col=1","No Title Assigned - #15266119442")</f>
        <v/>
      </c>
      <c r="B1551" s="0" t="s">
        <v>2323</v>
      </c>
      <c r="C1551" s="0" t="s">
        <v>2324</v>
      </c>
      <c r="D1551" s="0" t="s">
        <v>2324</v>
      </c>
      <c r="E1551" s="0" t="inlineStr">
        <is>
          <t xml:space="preserve">Mazda</t>
        </is>
      </c>
      <c r="F1551" s="0" t="s">
        <v>13</v>
      </c>
      <c r="G1551" s="0" t="s">
        <v>49</v>
      </c>
      <c r="H1551" s="5">
        <v>28222.405000</v>
      </c>
    </row>
    <row r="1552" spans="1:9">
      <c r="A1552" s="22" t="str">
        <f>HYPERLINK("https://app.vivvix.com/360/KMI/IntelliDrive/ApplUI/Pages/CreativePages/CustomReportCreativeDetail.aspx?App=23&amp;ReportView=4&amp;Qid=1711279&amp;Row=1544&amp;Col=1","No Title Assigned - #15266119442")</f>
        <v/>
      </c>
      <c r="B1552" s="0" t="s">
        <v>2323</v>
      </c>
      <c r="E1552" s="0" t="inlineStr">
        <is>
          <t xml:space="preserve">Mazda</t>
        </is>
      </c>
      <c r="F1552" s="0" t="s">
        <v>13</v>
      </c>
      <c r="G1552" s="0" t="s">
        <v>49</v>
      </c>
      <c r="H1552" s="5">
        <v>16597.445900</v>
      </c>
    </row>
    <row r="1553" spans="1:9">
      <c r="A1553" s="22" t="str">
        <f>HYPERLINK("https://app.vivvix.com/360/KMI/IntelliDrive/ApplUI/Pages/CreativePages/CustomReportCreativeDetail.aspx?App=23&amp;ReportView=4&amp;Qid=1711279&amp;Row=1545&amp;Col=1","No Title Assigned - #15266119605")</f>
        <v/>
      </c>
      <c r="B1553" s="0" t="s">
        <v>2325</v>
      </c>
      <c r="E1553" s="0" t="inlineStr">
        <is>
          <t xml:space="preserve">Mazda</t>
        </is>
      </c>
      <c r="F1553" s="0" t="s">
        <v>28</v>
      </c>
      <c r="G1553" s="0" t="s">
        <v>29</v>
      </c>
      <c r="H1553" s="5">
        <v>2094.335600</v>
      </c>
    </row>
    <row r="1554" spans="1:9">
      <c r="A1554" s="22" t="str">
        <f>HYPERLINK("https://app.vivvix.com/360/KMI/IntelliDrive/ApplUI/Pages/CreativePages/CustomReportCreativeDetail.aspx?App=23&amp;ReportView=4&amp;Qid=1711279&amp;Row=1546&amp;Col=1","No Title Assigned - #15266123663")</f>
        <v/>
      </c>
      <c r="B1554" s="0" t="s">
        <v>2326</v>
      </c>
      <c r="C1554" s="0" t="s">
        <v>2327</v>
      </c>
      <c r="D1554" s="0" t="s">
        <v>2327</v>
      </c>
      <c r="E1554" s="0" t="inlineStr">
        <is>
          <t xml:space="preserve">Mazda</t>
        </is>
      </c>
      <c r="F1554" s="0" t="s">
        <v>13</v>
      </c>
      <c r="G1554" s="0" t="s">
        <v>49</v>
      </c>
      <c r="H1554" s="5">
        <v>416.358400</v>
      </c>
    </row>
    <row r="1555" spans="1:9">
      <c r="A1555" s="22" t="str">
        <f>HYPERLINK("https://app.vivvix.com/360/KMI/IntelliDrive/ApplUI/Pages/CreativePages/CustomReportCreativeDetail.aspx?App=23&amp;ReportView=4&amp;Qid=1711279&amp;Row=1547&amp;Col=1","No Title Assigned - #15266123779")</f>
        <v/>
      </c>
      <c r="B1555" s="0" t="s">
        <v>2328</v>
      </c>
      <c r="C1555" s="0" t="s">
        <v>2329</v>
      </c>
      <c r="D1555" s="0" t="s">
        <v>2329</v>
      </c>
      <c r="E1555" s="0" t="inlineStr">
        <is>
          <t xml:space="preserve">Mazda</t>
        </is>
      </c>
      <c r="F1555" s="0" t="s">
        <v>28</v>
      </c>
      <c r="G1555" s="0" t="s">
        <v>29</v>
      </c>
      <c r="H1555" s="5">
        <v>1625.592600</v>
      </c>
    </row>
    <row r="1556" spans="1:9">
      <c r="A1556" s="22" t="str">
        <f>HYPERLINK("https://app.vivvix.com/360/KMI/IntelliDrive/ApplUI/Pages/CreativePages/CustomReportCreativeDetail.aspx?App=23&amp;ReportView=4&amp;Qid=1711279&amp;Row=1548&amp;Col=1","No Title Assigned - #15266123779")</f>
        <v/>
      </c>
      <c r="B1556" s="0" t="s">
        <v>2328</v>
      </c>
      <c r="E1556" s="0" t="inlineStr">
        <is>
          <t xml:space="preserve">Mazda</t>
        </is>
      </c>
      <c r="F1556" s="0" t="s">
        <v>28</v>
      </c>
      <c r="G1556" s="0" t="s">
        <v>29</v>
      </c>
      <c r="H1556" s="5">
        <v>77.344400</v>
      </c>
    </row>
    <row r="1557" spans="1:9">
      <c r="A1557" s="22" t="str">
        <f>HYPERLINK("https://app.vivvix.com/360/KMI/IntelliDrive/ApplUI/Pages/CreativePages/CustomReportCreativeDetail.aspx?App=23&amp;ReportView=4&amp;Qid=1711279&amp;Row=1549&amp;Col=1","No Title Assigned - #15266123991")</f>
        <v/>
      </c>
      <c r="B1557" s="0" t="s">
        <v>2330</v>
      </c>
      <c r="C1557" s="0" t="s">
        <v>2331</v>
      </c>
      <c r="D1557" s="0" t="s">
        <v>2331</v>
      </c>
      <c r="E1557" s="0" t="inlineStr">
        <is>
          <t xml:space="preserve">Mazda</t>
        </is>
      </c>
      <c r="F1557" s="0" t="s">
        <v>28</v>
      </c>
      <c r="G1557" s="0" t="s">
        <v>29</v>
      </c>
      <c r="H1557" s="5">
        <v>440.911400</v>
      </c>
    </row>
    <row r="1558" spans="1:9">
      <c r="A1558" s="22" t="str">
        <f>HYPERLINK("https://app.vivvix.com/360/KMI/IntelliDrive/ApplUI/Pages/CreativePages/CustomReportCreativeDetail.aspx?App=23&amp;ReportView=4&amp;Qid=1711279&amp;Row=1550&amp;Col=1","No Title Assigned - #15266138809")</f>
        <v/>
      </c>
      <c r="B1558" s="0" t="s">
        <v>2332</v>
      </c>
      <c r="C1558" s="0" t="s">
        <v>2333</v>
      </c>
      <c r="D1558" s="0" t="s">
        <v>2334</v>
      </c>
      <c r="E1558" s="0" t="inlineStr">
        <is>
          <t xml:space="preserve">Mazda</t>
        </is>
      </c>
      <c r="F1558" s="0" t="s">
        <v>17</v>
      </c>
      <c r="G1558" s="0" t="s">
        <v>33</v>
      </c>
      <c r="H1558" s="5">
        <v>15204.949400</v>
      </c>
    </row>
    <row r="1559" spans="1:9">
      <c r="A1559" s="22" t="str">
        <f>HYPERLINK("https://app.vivvix.com/360/KMI/IntelliDrive/ApplUI/Pages/CreativePages/CustomReportCreativeDetail.aspx?App=23&amp;ReportView=4&amp;Qid=1711279&amp;Row=1551&amp;Col=1","No Title Assigned - #15266141552")</f>
        <v/>
      </c>
      <c r="B1559" s="0" t="s">
        <v>2335</v>
      </c>
      <c r="C1559" s="0" t="s">
        <v>2336</v>
      </c>
      <c r="D1559" s="0" t="s">
        <v>2336</v>
      </c>
      <c r="E1559" s="0" t="inlineStr">
        <is>
          <t xml:space="preserve">Mazda</t>
        </is>
      </c>
      <c r="F1559" s="0" t="s">
        <v>17</v>
      </c>
      <c r="G1559" s="0" t="s">
        <v>33</v>
      </c>
      <c r="H1559" s="5">
        <v>1088.614700</v>
      </c>
    </row>
    <row r="1560" spans="1:9">
      <c r="A1560" s="22" t="str">
        <f>HYPERLINK("https://app.vivvix.com/360/KMI/IntelliDrive/ApplUI/Pages/CreativePages/CustomReportCreativeDetail.aspx?App=23&amp;ReportView=4&amp;Qid=1711279&amp;Row=1552&amp;Col=1","No Title Assigned - #15266145855")</f>
        <v/>
      </c>
      <c r="B1560" s="0" t="s">
        <v>2337</v>
      </c>
      <c r="E1560" s="0" t="inlineStr">
        <is>
          <t xml:space="preserve">Mazda</t>
        </is>
      </c>
      <c r="F1560" s="0" t="s">
        <v>56</v>
      </c>
      <c r="G1560" s="0" t="s">
        <v>57</v>
      </c>
      <c r="H1560" s="5">
        <v>45084.137500</v>
      </c>
    </row>
    <row r="1561" spans="1:9">
      <c r="A1561" s="22" t="str">
        <f>HYPERLINK("https://app.vivvix.com/360/KMI/IntelliDrive/ApplUI/Pages/CreativePages/CustomReportCreativeDetail.aspx?App=23&amp;ReportView=4&amp;Qid=1711279&amp;Row=1553&amp;Col=1","No Title Assigned - #15266154236")</f>
        <v/>
      </c>
      <c r="B1561" s="0" t="s">
        <v>2338</v>
      </c>
      <c r="C1561" s="0" t="s">
        <v>2339</v>
      </c>
      <c r="D1561" s="0" t="s">
        <v>2339</v>
      </c>
      <c r="E1561" s="0" t="inlineStr">
        <is>
          <t xml:space="preserve">Mazda</t>
        </is>
      </c>
      <c r="F1561" s="0" t="s">
        <v>28</v>
      </c>
      <c r="G1561" s="0" t="s">
        <v>29</v>
      </c>
      <c r="H1561" s="5">
        <v>156.380800</v>
      </c>
    </row>
    <row r="1562" spans="1:9">
      <c r="A1562" s="22" t="str">
        <f>HYPERLINK("https://app.vivvix.com/360/KMI/IntelliDrive/ApplUI/Pages/CreativePages/CustomReportCreativeDetail.aspx?App=23&amp;ReportView=4&amp;Qid=1711279&amp;Row=1554&amp;Col=1","No Title Assigned - #15266155584")</f>
        <v/>
      </c>
      <c r="B1562" s="0" t="s">
        <v>2340</v>
      </c>
      <c r="E1562" s="0" t="inlineStr">
        <is>
          <t xml:space="preserve">Mazda</t>
        </is>
      </c>
      <c r="F1562" s="0" t="s">
        <v>28</v>
      </c>
      <c r="G1562" s="0" t="s">
        <v>29</v>
      </c>
      <c r="H1562" s="5">
        <v>117.332900</v>
      </c>
    </row>
    <row r="1563" spans="1:9">
      <c r="A1563" s="22" t="str">
        <f>HYPERLINK("https://app.vivvix.com/360/KMI/IntelliDrive/ApplUI/Pages/CreativePages/CustomReportCreativeDetail.aspx?App=23&amp;ReportView=4&amp;Qid=1711279&amp;Row=1555&amp;Col=1","No Title Assigned - #15266155584")</f>
        <v/>
      </c>
      <c r="B1563" s="0" t="s">
        <v>2340</v>
      </c>
      <c r="C1563" s="0" t="s">
        <v>2341</v>
      </c>
      <c r="D1563" s="0" t="s">
        <v>2341</v>
      </c>
      <c r="E1563" s="0" t="inlineStr">
        <is>
          <t xml:space="preserve">Mazda</t>
        </is>
      </c>
      <c r="F1563" s="0" t="s">
        <v>28</v>
      </c>
      <c r="G1563" s="0" t="s">
        <v>29</v>
      </c>
      <c r="H1563" s="5">
        <v>12492.330000</v>
      </c>
    </row>
    <row r="1564" spans="1:9">
      <c r="A1564" s="22" t="str">
        <f>HYPERLINK("https://app.vivvix.com/360/KMI/IntelliDrive/ApplUI/Pages/CreativePages/CustomReportCreativeDetail.aspx?App=23&amp;ReportView=4&amp;Qid=1711279&amp;Row=1556&amp;Col=1","No Title Assigned - #15266158070")</f>
        <v/>
      </c>
      <c r="B1564" s="0" t="s">
        <v>2342</v>
      </c>
      <c r="C1564" s="0" t="s">
        <v>2343</v>
      </c>
      <c r="D1564" s="0" t="s">
        <v>2343</v>
      </c>
      <c r="E1564" s="0" t="inlineStr">
        <is>
          <t xml:space="preserve">Mazda</t>
        </is>
      </c>
      <c r="F1564" s="0" t="s">
        <v>28</v>
      </c>
      <c r="G1564" s="0" t="s">
        <v>29</v>
      </c>
      <c r="H1564" s="5">
        <v>39.176800</v>
      </c>
    </row>
    <row r="1565" spans="1:9">
      <c r="A1565" s="22" t="str">
        <f>HYPERLINK("https://app.vivvix.com/360/KMI/IntelliDrive/ApplUI/Pages/CreativePages/CustomReportCreativeDetail.aspx?App=23&amp;ReportView=4&amp;Qid=1711279&amp;Row=1557&amp;Col=1","No Title Assigned - #15266158072")</f>
        <v/>
      </c>
      <c r="B1565" s="0" t="s">
        <v>2344</v>
      </c>
      <c r="C1565" s="0" t="s">
        <v>2345</v>
      </c>
      <c r="D1565" s="0" t="s">
        <v>2345</v>
      </c>
      <c r="E1565" s="0" t="inlineStr">
        <is>
          <t xml:space="preserve">Mazda</t>
        </is>
      </c>
      <c r="F1565" s="0" t="s">
        <v>28</v>
      </c>
      <c r="G1565" s="0" t="s">
        <v>29</v>
      </c>
      <c r="H1565" s="5">
        <v>39.176800</v>
      </c>
    </row>
    <row r="1566" spans="1:9">
      <c r="A1566" s="22" t="str">
        <f>HYPERLINK("https://app.vivvix.com/360/KMI/IntelliDrive/ApplUI/Pages/CreativePages/CustomReportCreativeDetail.aspx?App=23&amp;ReportView=4&amp;Qid=1711279&amp;Row=1558&amp;Col=1","No Title Assigned - #15266159617")</f>
        <v/>
      </c>
      <c r="B1566" s="0" t="s">
        <v>2346</v>
      </c>
      <c r="C1566" s="0" t="s">
        <v>2347</v>
      </c>
      <c r="D1566" s="0" t="s">
        <v>2347</v>
      </c>
      <c r="E1566" s="0" t="inlineStr">
        <is>
          <t xml:space="preserve">Mazda</t>
        </is>
      </c>
      <c r="F1566" s="0" t="s">
        <v>28</v>
      </c>
      <c r="G1566" s="0" t="s">
        <v>29</v>
      </c>
      <c r="H1566" s="5">
        <v>440.858400</v>
      </c>
    </row>
    <row r="1567" spans="1:9">
      <c r="A1567" s="22" t="str">
        <f>HYPERLINK("https://app.vivvix.com/360/KMI/IntelliDrive/ApplUI/Pages/CreativePages/CustomReportCreativeDetail.aspx?App=23&amp;ReportView=4&amp;Qid=1711279&amp;Row=1559&amp;Col=1","No Title Assigned - #15266160646")</f>
        <v/>
      </c>
      <c r="B1567" s="0" t="s">
        <v>2348</v>
      </c>
      <c r="E1567" s="0" t="inlineStr">
        <is>
          <t xml:space="preserve">Mazda</t>
        </is>
      </c>
      <c r="F1567" s="0" t="s">
        <v>13</v>
      </c>
      <c r="G1567" s="0" t="s">
        <v>49</v>
      </c>
      <c r="H1567" s="5">
        <v>1087.792200</v>
      </c>
    </row>
    <row r="1568" spans="1:9">
      <c r="A1568" s="22" t="str">
        <f>HYPERLINK("https://app.vivvix.com/360/KMI/IntelliDrive/ApplUI/Pages/CreativePages/CustomReportCreativeDetail.aspx?App=23&amp;ReportView=4&amp;Qid=1711279&amp;Row=1560&amp;Col=1","No Title Assigned - #15266160646")</f>
        <v/>
      </c>
      <c r="B1568" s="0" t="s">
        <v>2348</v>
      </c>
      <c r="C1568" s="0" t="s">
        <v>2349</v>
      </c>
      <c r="D1568" s="0" t="s">
        <v>2349</v>
      </c>
      <c r="E1568" s="0" t="inlineStr">
        <is>
          <t xml:space="preserve">Mazda</t>
        </is>
      </c>
      <c r="F1568" s="0" t="s">
        <v>13</v>
      </c>
      <c r="G1568" s="0" t="s">
        <v>49</v>
      </c>
      <c r="H1568" s="5">
        <v>22442.421900</v>
      </c>
    </row>
    <row r="1569" spans="1:9">
      <c r="A1569" s="22" t="str">
        <f>HYPERLINK("https://app.vivvix.com/360/KMI/IntelliDrive/ApplUI/Pages/CreativePages/CustomReportCreativeDetail.aspx?App=23&amp;ReportView=4&amp;Qid=1711279&amp;Row=1561&amp;Col=1","No Title Assigned - #15266162980")</f>
        <v/>
      </c>
      <c r="B1569" s="0" t="s">
        <v>2350</v>
      </c>
      <c r="C1569" s="0" t="s">
        <v>2351</v>
      </c>
      <c r="D1569" s="0" t="s">
        <v>2351</v>
      </c>
      <c r="E1569" s="0" t="inlineStr">
        <is>
          <t xml:space="preserve">Mazda</t>
        </is>
      </c>
      <c r="F1569" s="0" t="s">
        <v>666</v>
      </c>
      <c r="G1569" s="0" t="s">
        <v>667</v>
      </c>
      <c r="H1569" s="5">
        <v>1483.587600</v>
      </c>
    </row>
    <row r="1570" spans="1:9">
      <c r="A1570" s="22" t="str">
        <f>HYPERLINK("https://app.vivvix.com/360/KMI/IntelliDrive/ApplUI/Pages/CreativePages/CustomReportCreativeDetail.aspx?App=23&amp;ReportView=4&amp;Qid=1711279&amp;Row=1562&amp;Col=1","No Title Assigned - #15266163514")</f>
        <v/>
      </c>
      <c r="B1570" s="0" t="s">
        <v>2352</v>
      </c>
      <c r="C1570" s="0" t="s">
        <v>2353</v>
      </c>
      <c r="D1570" s="0" t="s">
        <v>2353</v>
      </c>
      <c r="E1570" s="0" t="inlineStr">
        <is>
          <t xml:space="preserve">Mazda</t>
        </is>
      </c>
      <c r="F1570" s="0" t="s">
        <v>13</v>
      </c>
      <c r="G1570" s="0" t="s">
        <v>49</v>
      </c>
      <c r="H1570" s="5">
        <v>8379.621100</v>
      </c>
    </row>
    <row r="1571" spans="1:9">
      <c r="A1571" s="22" t="str">
        <f>HYPERLINK("https://app.vivvix.com/360/KMI/IntelliDrive/ApplUI/Pages/CreativePages/CustomReportCreativeDetail.aspx?App=23&amp;ReportView=4&amp;Qid=1711279&amp;Row=1563&amp;Col=1","No Title Assigned - #15266164346")</f>
        <v/>
      </c>
      <c r="B1571" s="0" t="s">
        <v>2354</v>
      </c>
      <c r="C1571" s="0" t="s">
        <v>2355</v>
      </c>
      <c r="D1571" s="0" t="s">
        <v>2355</v>
      </c>
      <c r="E1571" s="0" t="inlineStr">
        <is>
          <t xml:space="preserve">Mazda</t>
        </is>
      </c>
      <c r="F1571" s="0" t="s">
        <v>56</v>
      </c>
      <c r="G1571" s="0" t="s">
        <v>57</v>
      </c>
      <c r="H1571" s="5">
        <v>193.498200</v>
      </c>
    </row>
    <row r="1572" spans="1:9">
      <c r="A1572" s="22" t="str">
        <f>HYPERLINK("https://app.vivvix.com/360/KMI/IntelliDrive/ApplUI/Pages/CreativePages/CustomReportCreativeDetail.aspx?App=23&amp;ReportView=4&amp;Qid=1711279&amp;Row=1564&amp;Col=1","No Title Assigned - #15266164650")</f>
        <v/>
      </c>
      <c r="B1572" s="0" t="s">
        <v>2356</v>
      </c>
      <c r="C1572" s="0" t="s">
        <v>2357</v>
      </c>
      <c r="D1572" s="0" t="s">
        <v>2357</v>
      </c>
      <c r="E1572" s="0" t="inlineStr">
        <is>
          <t xml:space="preserve">Mazda</t>
        </is>
      </c>
      <c r="F1572" s="0" t="s">
        <v>28</v>
      </c>
      <c r="G1572" s="0" t="s">
        <v>29</v>
      </c>
      <c r="H1572" s="5">
        <v>125.164900</v>
      </c>
    </row>
    <row r="1573" spans="1:9">
      <c r="A1573" s="22" t="str">
        <f>HYPERLINK("https://app.vivvix.com/360/KMI/IntelliDrive/ApplUI/Pages/CreativePages/CustomReportCreativeDetail.aspx?App=23&amp;ReportView=4&amp;Qid=1711279&amp;Row=1565&amp;Col=1","No Title Assigned - #15266166550")</f>
        <v/>
      </c>
      <c r="B1573" s="0" t="s">
        <v>2358</v>
      </c>
      <c r="C1573" s="0" t="s">
        <v>2359</v>
      </c>
      <c r="D1573" s="0" t="s">
        <v>2359</v>
      </c>
      <c r="E1573" s="0" t="inlineStr">
        <is>
          <t xml:space="preserve">Mazda</t>
        </is>
      </c>
      <c r="F1573" s="0" t="s">
        <v>13</v>
      </c>
      <c r="G1573" s="0" t="s">
        <v>49</v>
      </c>
      <c r="H1573" s="5">
        <v>12405.253200</v>
      </c>
    </row>
    <row r="1574" spans="1:9">
      <c r="A1574" s="22" t="str">
        <f>HYPERLINK("https://app.vivvix.com/360/KMI/IntelliDrive/ApplUI/Pages/CreativePages/CustomReportCreativeDetail.aspx?App=23&amp;ReportView=4&amp;Qid=1711279&amp;Row=1566&amp;Col=1","No Title Assigned - #15266166558")</f>
        <v/>
      </c>
      <c r="B1574" s="0" t="s">
        <v>2360</v>
      </c>
      <c r="C1574" s="0" t="s">
        <v>2361</v>
      </c>
      <c r="D1574" s="0" t="s">
        <v>2361</v>
      </c>
      <c r="E1574" s="0" t="inlineStr">
        <is>
          <t xml:space="preserve">Mazda</t>
        </is>
      </c>
      <c r="F1574" s="0" t="s">
        <v>13</v>
      </c>
      <c r="G1574" s="0" t="s">
        <v>49</v>
      </c>
      <c r="H1574" s="5">
        <v>1002.514600</v>
      </c>
    </row>
    <row r="1575" spans="1:9">
      <c r="A1575" s="22" t="str">
        <f>HYPERLINK("https://app.vivvix.com/360/KMI/IntelliDrive/ApplUI/Pages/CreativePages/CustomReportCreativeDetail.aspx?App=23&amp;ReportView=4&amp;Qid=1711279&amp;Row=1567&amp;Col=1","No Title Assigned - #15266167154")</f>
        <v/>
      </c>
      <c r="B1575" s="0" t="s">
        <v>2362</v>
      </c>
      <c r="E1575" s="0" t="inlineStr">
        <is>
          <t xml:space="preserve">Mazda</t>
        </is>
      </c>
      <c r="F1575" s="0" t="s">
        <v>21</v>
      </c>
      <c r="G1575" s="0" t="s">
        <v>22</v>
      </c>
    </row>
    <row r="1576" spans="1:9">
      <c r="A1576" s="22" t="str">
        <f>HYPERLINK("https://app.vivvix.com/360/KMI/IntelliDrive/ApplUI/Pages/CreativePages/CustomReportCreativeDetail.aspx?App=23&amp;ReportView=4&amp;Qid=1711279&amp;Row=1568&amp;Col=1","No Title Assigned - #15266167154")</f>
        <v/>
      </c>
      <c r="B1576" s="0" t="s">
        <v>2362</v>
      </c>
      <c r="E1576" s="0" t="inlineStr">
        <is>
          <t xml:space="preserve">Mazda</t>
        </is>
      </c>
      <c r="F1576" s="0" t="s">
        <v>21</v>
      </c>
      <c r="G1576" s="0" t="s">
        <v>22</v>
      </c>
    </row>
    <row r="1577" spans="1:9">
      <c r="A1577" s="22" t="str">
        <f>HYPERLINK("https://app.vivvix.com/360/KMI/IntelliDrive/ApplUI/Pages/CreativePages/CustomReportCreativeDetail.aspx?App=23&amp;ReportView=4&amp;Qid=1711279&amp;Row=1569&amp;Col=1","No Title Assigned - #15266170132")</f>
        <v/>
      </c>
      <c r="B1577" s="0" t="s">
        <v>2363</v>
      </c>
      <c r="C1577" s="0" t="s">
        <v>2364</v>
      </c>
      <c r="D1577" s="0" t="s">
        <v>2364</v>
      </c>
      <c r="E1577" s="0" t="inlineStr">
        <is>
          <t xml:space="preserve">Mazda</t>
        </is>
      </c>
      <c r="F1577" s="0" t="inlineStr">
        <is>
          <t xml:space="preserve">Mazda</t>
        </is>
      </c>
      <c r="G1577" s="0" t="s">
        <v>171</v>
      </c>
      <c r="H1577" s="5">
        <v>1347.627400</v>
      </c>
    </row>
    <row r="1578" spans="1:9">
      <c r="A1578" s="22" t="str">
        <f>HYPERLINK("https://app.vivvix.com/360/KMI/IntelliDrive/ApplUI/Pages/CreativePages/CustomReportCreativeDetail.aspx?App=23&amp;ReportView=4&amp;Qid=1711279&amp;Row=1570&amp;Col=1","No Title Assigned - #15266170595")</f>
        <v/>
      </c>
      <c r="B1578" s="0" t="s">
        <v>2365</v>
      </c>
      <c r="C1578" s="0" t="s">
        <v>2366</v>
      </c>
      <c r="D1578" s="0" t="s">
        <v>2366</v>
      </c>
      <c r="E1578" s="0" t="inlineStr">
        <is>
          <t xml:space="preserve">Mazda</t>
        </is>
      </c>
      <c r="F1578" s="0" t="s">
        <v>28</v>
      </c>
      <c r="G1578" s="0" t="s">
        <v>29</v>
      </c>
      <c r="H1578" s="5">
        <v>19647.190900</v>
      </c>
    </row>
    <row r="1579" spans="1:9">
      <c r="A1579" s="22" t="str">
        <f>HYPERLINK("https://app.vivvix.com/360/KMI/IntelliDrive/ApplUI/Pages/CreativePages/CustomReportCreativeDetail.aspx?App=23&amp;ReportView=4&amp;Qid=1711279&amp;Row=1571&amp;Col=1","No Title Assigned - #15266170595")</f>
        <v/>
      </c>
      <c r="B1579" s="0" t="s">
        <v>2365</v>
      </c>
      <c r="E1579" s="0" t="inlineStr">
        <is>
          <t xml:space="preserve">Mazda</t>
        </is>
      </c>
      <c r="F1579" s="0" t="s">
        <v>28</v>
      </c>
      <c r="G1579" s="0" t="s">
        <v>29</v>
      </c>
      <c r="H1579" s="5">
        <v>6273.135100</v>
      </c>
    </row>
    <row r="1580" spans="1:9">
      <c r="A1580" s="22" t="str">
        <f>HYPERLINK("https://app.vivvix.com/360/KMI/IntelliDrive/ApplUI/Pages/CreativePages/CustomReportCreativeDetail.aspx?App=23&amp;ReportView=4&amp;Qid=1711279&amp;Row=1572&amp;Col=1","No Title Assigned - #15266170673")</f>
        <v/>
      </c>
      <c r="B1580" s="0" t="s">
        <v>2367</v>
      </c>
      <c r="C1580" s="0" t="s">
        <v>2368</v>
      </c>
      <c r="D1580" s="0" t="s">
        <v>2368</v>
      </c>
      <c r="E1580" s="0" t="inlineStr">
        <is>
          <t xml:space="preserve">Mazda</t>
        </is>
      </c>
      <c r="F1580" s="0" t="s">
        <v>28</v>
      </c>
      <c r="G1580" s="0" t="s">
        <v>29</v>
      </c>
      <c r="H1580" s="5">
        <v>2610.781800</v>
      </c>
    </row>
    <row r="1581" spans="1:9">
      <c r="A1581" s="22" t="str">
        <f>HYPERLINK("https://app.vivvix.com/360/KMI/IntelliDrive/ApplUI/Pages/CreativePages/CustomReportCreativeDetail.aspx?App=23&amp;ReportView=4&amp;Qid=1711279&amp;Row=1573&amp;Col=1","No Title Assigned - #15266170673")</f>
        <v/>
      </c>
      <c r="B1581" s="0" t="s">
        <v>2367</v>
      </c>
      <c r="E1581" s="0" t="inlineStr">
        <is>
          <t xml:space="preserve">Mazda</t>
        </is>
      </c>
      <c r="F1581" s="0" t="s">
        <v>28</v>
      </c>
      <c r="G1581" s="0" t="s">
        <v>29</v>
      </c>
      <c r="H1581" s="5">
        <v>23.965500</v>
      </c>
    </row>
    <row r="1582" spans="1:9">
      <c r="A1582" s="22" t="str">
        <f>HYPERLINK("https://app.vivvix.com/360/KMI/IntelliDrive/ApplUI/Pages/CreativePages/CustomReportCreativeDetail.aspx?App=23&amp;ReportView=4&amp;Qid=1711279&amp;Row=1574&amp;Col=1","No Title Assigned - #15266170943")</f>
        <v/>
      </c>
      <c r="B1582" s="0" t="s">
        <v>2369</v>
      </c>
      <c r="C1582" s="0" t="s">
        <v>2370</v>
      </c>
      <c r="D1582" s="0" t="s">
        <v>2370</v>
      </c>
      <c r="E1582" s="0" t="inlineStr">
        <is>
          <t xml:space="preserve">Mazda</t>
        </is>
      </c>
      <c r="F1582" s="0" t="s">
        <v>369</v>
      </c>
      <c r="G1582" s="0" t="s">
        <v>370</v>
      </c>
      <c r="H1582" s="5">
        <v>1668.645800</v>
      </c>
    </row>
    <row r="1583" spans="1:9">
      <c r="A1583" s="22" t="str">
        <f>HYPERLINK("https://app.vivvix.com/360/KMI/IntelliDrive/ApplUI/Pages/CreativePages/CustomReportCreativeDetail.aspx?App=23&amp;ReportView=4&amp;Qid=1711279&amp;Row=1575&amp;Col=1","No Title Assigned - #15266170944")</f>
        <v/>
      </c>
      <c r="B1583" s="0" t="s">
        <v>2371</v>
      </c>
      <c r="C1583" s="0" t="s">
        <v>2372</v>
      </c>
      <c r="D1583" s="0" t="s">
        <v>2372</v>
      </c>
      <c r="E1583" s="0" t="inlineStr">
        <is>
          <t xml:space="preserve">Mazda</t>
        </is>
      </c>
      <c r="F1583" s="0" t="s">
        <v>369</v>
      </c>
      <c r="G1583" s="0" t="s">
        <v>370</v>
      </c>
      <c r="H1583" s="5">
        <v>929.829400</v>
      </c>
    </row>
    <row r="1584" spans="1:9">
      <c r="A1584" s="22" t="str">
        <f>HYPERLINK("https://app.vivvix.com/360/KMI/IntelliDrive/ApplUI/Pages/CreativePages/CustomReportCreativeDetail.aspx?App=23&amp;ReportView=4&amp;Qid=1711279&amp;Row=1576&amp;Col=1","No Title Assigned - #15266170945")</f>
        <v/>
      </c>
      <c r="B1584" s="0" t="s">
        <v>2373</v>
      </c>
      <c r="C1584" s="0" t="s">
        <v>2374</v>
      </c>
      <c r="D1584" s="0" t="s">
        <v>2374</v>
      </c>
      <c r="E1584" s="0" t="inlineStr">
        <is>
          <t xml:space="preserve">Mazda</t>
        </is>
      </c>
      <c r="F1584" s="0" t="s">
        <v>369</v>
      </c>
      <c r="G1584" s="0" t="s">
        <v>370</v>
      </c>
      <c r="H1584" s="5">
        <v>929.829400</v>
      </c>
    </row>
    <row r="1585" spans="1:9">
      <c r="A1585" s="22" t="str">
        <f>HYPERLINK("https://app.vivvix.com/360/KMI/IntelliDrive/ApplUI/Pages/CreativePages/CustomReportCreativeDetail.aspx?App=23&amp;ReportView=4&amp;Qid=1711279&amp;Row=1577&amp;Col=1","No Title Assigned - #15266171904")</f>
        <v/>
      </c>
      <c r="B1585" s="0" t="s">
        <v>2375</v>
      </c>
      <c r="E1585" s="0" t="inlineStr">
        <is>
          <t xml:space="preserve">Mazda</t>
        </is>
      </c>
      <c r="F1585" s="0" t="inlineStr">
        <is>
          <t xml:space="preserve">Mazda</t>
        </is>
      </c>
      <c r="G1585" s="0" t="s">
        <v>171</v>
      </c>
      <c r="H1585" s="5">
        <v>3747.078900</v>
      </c>
    </row>
    <row r="1586" spans="1:9">
      <c r="A1586" s="22" t="str">
        <f>HYPERLINK("https://app.vivvix.com/360/KMI/IntelliDrive/ApplUI/Pages/CreativePages/CustomReportCreativeDetail.aspx?App=23&amp;ReportView=4&amp;Qid=1711279&amp;Row=1578&amp;Col=1","No Title Assigned - #15266172170")</f>
        <v/>
      </c>
      <c r="B1586" s="0" t="s">
        <v>2376</v>
      </c>
      <c r="C1586" s="0" t="s">
        <v>2377</v>
      </c>
      <c r="D1586" s="0" t="s">
        <v>2377</v>
      </c>
      <c r="E1586" s="0" t="inlineStr">
        <is>
          <t xml:space="preserve">Mazda</t>
        </is>
      </c>
      <c r="F1586" s="0" t="s">
        <v>28</v>
      </c>
      <c r="G1586" s="0" t="s">
        <v>29</v>
      </c>
      <c r="H1586" s="5">
        <v>2295.793200</v>
      </c>
    </row>
    <row r="1587" spans="1:9">
      <c r="A1587" s="22" t="str">
        <f>HYPERLINK("https://app.vivvix.com/360/KMI/IntelliDrive/ApplUI/Pages/CreativePages/CustomReportCreativeDetail.aspx?App=23&amp;ReportView=4&amp;Qid=1711279&amp;Row=1579&amp;Col=1","No Title Assigned - #15266172560")</f>
        <v/>
      </c>
      <c r="B1587" s="0" t="s">
        <v>2378</v>
      </c>
      <c r="C1587" s="0" t="s">
        <v>2379</v>
      </c>
      <c r="D1587" s="0" t="s">
        <v>2379</v>
      </c>
      <c r="E1587" s="0" t="inlineStr">
        <is>
          <t xml:space="preserve">Mazda</t>
        </is>
      </c>
      <c r="F1587" s="0" t="s">
        <v>28</v>
      </c>
      <c r="G1587" s="0" t="s">
        <v>29</v>
      </c>
      <c r="H1587" s="5">
        <v>463.132000</v>
      </c>
    </row>
    <row r="1588" spans="1:9">
      <c r="A1588" s="22" t="str">
        <f>HYPERLINK("https://app.vivvix.com/360/KMI/IntelliDrive/ApplUI/Pages/CreativePages/CustomReportCreativeDetail.aspx?App=23&amp;ReportView=4&amp;Qid=1711279&amp;Row=1580&amp;Col=1","No Title Assigned - #15266172780")</f>
        <v/>
      </c>
      <c r="B1588" s="0" t="s">
        <v>2380</v>
      </c>
      <c r="C1588" s="0" t="s">
        <v>2381</v>
      </c>
      <c r="D1588" s="0" t="s">
        <v>2381</v>
      </c>
      <c r="E1588" s="0" t="inlineStr">
        <is>
          <t xml:space="preserve">Mazda</t>
        </is>
      </c>
      <c r="F1588" s="0" t="s">
        <v>56</v>
      </c>
      <c r="G1588" s="0" t="s">
        <v>57</v>
      </c>
      <c r="H1588" s="5">
        <v>1883.840400</v>
      </c>
    </row>
    <row r="1589" spans="1:9">
      <c r="A1589" s="22" t="str">
        <f>HYPERLINK("https://app.vivvix.com/360/KMI/IntelliDrive/ApplUI/Pages/CreativePages/CustomReportCreativeDetail.aspx?App=23&amp;ReportView=4&amp;Qid=1711279&amp;Row=1581&amp;Col=1","No Title Assigned - #15266172818")</f>
        <v/>
      </c>
      <c r="B1589" s="0" t="s">
        <v>2382</v>
      </c>
      <c r="C1589" s="0" t="s">
        <v>2383</v>
      </c>
      <c r="D1589" s="0" t="s">
        <v>2383</v>
      </c>
      <c r="E1589" s="0" t="inlineStr">
        <is>
          <t xml:space="preserve">Mazda</t>
        </is>
      </c>
      <c r="F1589" s="0" t="s">
        <v>28</v>
      </c>
      <c r="G1589" s="0" t="s">
        <v>29</v>
      </c>
      <c r="H1589" s="5">
        <v>2295.793200</v>
      </c>
    </row>
    <row r="1590" spans="1:9">
      <c r="A1590" s="22" t="str">
        <f>HYPERLINK("https://app.vivvix.com/360/KMI/IntelliDrive/ApplUI/Pages/CreativePages/CustomReportCreativeDetail.aspx?App=23&amp;ReportView=4&amp;Qid=1711279&amp;Row=1582&amp;Col=1","No Title Assigned - #15266173395")</f>
        <v/>
      </c>
      <c r="B1590" s="0" t="s">
        <v>2384</v>
      </c>
      <c r="C1590" s="0" t="s">
        <v>2385</v>
      </c>
      <c r="D1590" s="0" t="s">
        <v>2385</v>
      </c>
      <c r="E1590" s="0" t="inlineStr">
        <is>
          <t xml:space="preserve">Mazda</t>
        </is>
      </c>
      <c r="F1590" s="0" t="s">
        <v>13</v>
      </c>
      <c r="G1590" s="0" t="s">
        <v>49</v>
      </c>
      <c r="H1590" s="5">
        <v>9945.904200</v>
      </c>
    </row>
    <row r="1591" spans="1:9">
      <c r="A1591" s="22" t="str">
        <f>HYPERLINK("https://app.vivvix.com/360/KMI/IntelliDrive/ApplUI/Pages/CreativePages/CustomReportCreativeDetail.aspx?App=23&amp;ReportView=4&amp;Qid=1711279&amp;Row=1583&amp;Col=1","No Title Assigned - #15266175902")</f>
        <v/>
      </c>
      <c r="B1591" s="0" t="s">
        <v>2386</v>
      </c>
      <c r="E1591" s="0" t="inlineStr">
        <is>
          <t xml:space="preserve">Mazda</t>
        </is>
      </c>
      <c r="F1591" s="0" t="inlineStr">
        <is>
          <t xml:space="preserve">Mazda</t>
        </is>
      </c>
      <c r="G1591" s="0" t="s">
        <v>171</v>
      </c>
      <c r="H1591" s="5">
        <v>44283.639900</v>
      </c>
    </row>
    <row r="1592" spans="1:9">
      <c r="A1592" s="22" t="str">
        <f>HYPERLINK("https://app.vivvix.com/360/KMI/IntelliDrive/ApplUI/Pages/CreativePages/CustomReportCreativeDetail.aspx?App=23&amp;ReportView=4&amp;Qid=1711279&amp;Row=1584&amp;Col=1","No Title Assigned - #15266175902")</f>
        <v/>
      </c>
      <c r="B1592" s="0" t="s">
        <v>2386</v>
      </c>
      <c r="E1592" s="0" t="inlineStr">
        <is>
          <t xml:space="preserve">Mazda</t>
        </is>
      </c>
      <c r="F1592" s="0" t="inlineStr">
        <is>
          <t xml:space="preserve">Mazda</t>
        </is>
      </c>
      <c r="G1592" s="0" t="s">
        <v>171</v>
      </c>
      <c r="H1592" s="5">
        <v>221.264700</v>
      </c>
    </row>
    <row r="1593" spans="1:9">
      <c r="A1593" s="22" t="str">
        <f>HYPERLINK("https://app.vivvix.com/360/KMI/IntelliDrive/ApplUI/Pages/CreativePages/CustomReportCreativeDetail.aspx?App=23&amp;ReportView=4&amp;Qid=1711279&amp;Row=1585&amp;Col=1","No Title Assigned - #15266175910")</f>
        <v/>
      </c>
      <c r="B1593" s="0" t="s">
        <v>2387</v>
      </c>
      <c r="C1593" s="0" t="s">
        <v>2388</v>
      </c>
      <c r="D1593" s="0" t="s">
        <v>2388</v>
      </c>
      <c r="E1593" s="0" t="inlineStr">
        <is>
          <t xml:space="preserve">Mazda</t>
        </is>
      </c>
      <c r="F1593" s="0" t="s">
        <v>56</v>
      </c>
      <c r="G1593" s="0" t="s">
        <v>57</v>
      </c>
      <c r="H1593" s="5">
        <v>59.458100</v>
      </c>
    </row>
    <row r="1594" spans="1:9">
      <c r="A1594" s="22" t="str">
        <f>HYPERLINK("https://app.vivvix.com/360/KMI/IntelliDrive/ApplUI/Pages/CreativePages/CustomReportCreativeDetail.aspx?App=23&amp;ReportView=4&amp;Qid=1711279&amp;Row=1586&amp;Col=1","No Title Assigned - #15266175929")</f>
        <v/>
      </c>
      <c r="B1594" s="0" t="s">
        <v>2389</v>
      </c>
      <c r="C1594" s="0" t="s">
        <v>2390</v>
      </c>
      <c r="D1594" s="0" t="s">
        <v>2390</v>
      </c>
      <c r="E1594" s="0" t="inlineStr">
        <is>
          <t xml:space="preserve">Mazda</t>
        </is>
      </c>
      <c r="F1594" s="0" t="s">
        <v>13</v>
      </c>
      <c r="G1594" s="0" t="s">
        <v>49</v>
      </c>
      <c r="H1594" s="5">
        <v>14202.054700</v>
      </c>
    </row>
    <row r="1595" spans="1:9">
      <c r="A1595" s="22" t="str">
        <f>HYPERLINK("https://app.vivvix.com/360/KMI/IntelliDrive/ApplUI/Pages/CreativePages/CustomReportCreativeDetail.aspx?App=23&amp;ReportView=4&amp;Qid=1711279&amp;Row=1587&amp;Col=1","No Title Assigned - #15266176127")</f>
        <v/>
      </c>
      <c r="B1595" s="0" t="s">
        <v>2391</v>
      </c>
      <c r="C1595" s="0" t="s">
        <v>2392</v>
      </c>
      <c r="D1595" s="0" t="s">
        <v>2392</v>
      </c>
      <c r="E1595" s="0" t="inlineStr">
        <is>
          <t xml:space="preserve">Mazda</t>
        </is>
      </c>
      <c r="F1595" s="0" t="s">
        <v>21</v>
      </c>
      <c r="G1595" s="0" t="s">
        <v>22</v>
      </c>
      <c r="H1595" s="5">
        <v>3191.137800</v>
      </c>
    </row>
    <row r="1596" spans="1:9">
      <c r="A1596" s="22" t="str">
        <f>HYPERLINK("https://app.vivvix.com/360/KMI/IntelliDrive/ApplUI/Pages/CreativePages/CustomReportCreativeDetail.aspx?App=23&amp;ReportView=4&amp;Qid=1711279&amp;Row=1588&amp;Col=1","No Title Assigned - #15266176134")</f>
        <v/>
      </c>
      <c r="B1596" s="0" t="s">
        <v>2393</v>
      </c>
      <c r="C1596" s="0" t="s">
        <v>2394</v>
      </c>
      <c r="D1596" s="0" t="s">
        <v>2394</v>
      </c>
      <c r="E1596" s="0" t="inlineStr">
        <is>
          <t xml:space="preserve">Mazda</t>
        </is>
      </c>
      <c r="F1596" s="0" t="s">
        <v>17</v>
      </c>
      <c r="G1596" s="0" t="s">
        <v>33</v>
      </c>
      <c r="H1596" s="5">
        <v>1422.174300</v>
      </c>
    </row>
    <row r="1597" spans="1:9">
      <c r="A1597" s="22" t="str">
        <f>HYPERLINK("https://app.vivvix.com/360/KMI/IntelliDrive/ApplUI/Pages/CreativePages/CustomReportCreativeDetail.aspx?App=23&amp;ReportView=4&amp;Qid=1711279&amp;Row=1589&amp;Col=1","No Title Assigned - #15266176135")</f>
        <v/>
      </c>
      <c r="B1597" s="0" t="s">
        <v>2395</v>
      </c>
      <c r="C1597" s="0" t="s">
        <v>2396</v>
      </c>
      <c r="D1597" s="0" t="s">
        <v>2396</v>
      </c>
      <c r="E1597" s="0" t="inlineStr">
        <is>
          <t xml:space="preserve">Mazda</t>
        </is>
      </c>
      <c r="F1597" s="0" t="s">
        <v>21</v>
      </c>
      <c r="G1597" s="0" t="s">
        <v>22</v>
      </c>
      <c r="H1597" s="5">
        <v>4218.497200</v>
      </c>
    </row>
    <row r="1598" spans="1:9">
      <c r="A1598" s="22" t="str">
        <f>HYPERLINK("https://app.vivvix.com/360/KMI/IntelliDrive/ApplUI/Pages/CreativePages/CustomReportCreativeDetail.aspx?App=23&amp;ReportView=4&amp;Qid=1711279&amp;Row=1590&amp;Col=1","No Title Assigned - #15266177020")</f>
        <v/>
      </c>
      <c r="B1598" s="0" t="s">
        <v>2397</v>
      </c>
      <c r="C1598" s="0" t="s">
        <v>2398</v>
      </c>
      <c r="D1598" s="0" t="s">
        <v>1497</v>
      </c>
      <c r="E1598" s="0" t="inlineStr">
        <is>
          <t xml:space="preserve">Mazda</t>
        </is>
      </c>
      <c r="F1598" s="0" t="s">
        <v>28</v>
      </c>
      <c r="G1598" s="0" t="s">
        <v>29</v>
      </c>
      <c r="H1598" s="5">
        <v>627.428300</v>
      </c>
    </row>
    <row r="1599" spans="1:9">
      <c r="A1599" s="22" t="str">
        <f>HYPERLINK("https://app.vivvix.com/360/KMI/IntelliDrive/ApplUI/Pages/CreativePages/CustomReportCreativeDetail.aspx?App=23&amp;ReportView=4&amp;Qid=1711279&amp;Row=1591&amp;Col=1","No Title Assigned - #15266177891")</f>
        <v/>
      </c>
      <c r="B1599" s="0" t="s">
        <v>2399</v>
      </c>
      <c r="C1599" s="0" t="s">
        <v>2400</v>
      </c>
      <c r="D1599" s="0" t="s">
        <v>1501</v>
      </c>
      <c r="E1599" s="0" t="inlineStr">
        <is>
          <t xml:space="preserve">Mazda</t>
        </is>
      </c>
      <c r="F1599" s="0" t="s">
        <v>28</v>
      </c>
      <c r="G1599" s="0" t="s">
        <v>29</v>
      </c>
      <c r="H1599" s="5">
        <v>2925.849400</v>
      </c>
    </row>
    <row r="1600" spans="1:9">
      <c r="A1600" s="22" t="str">
        <f>HYPERLINK("https://app.vivvix.com/360/KMI/IntelliDrive/ApplUI/Pages/CreativePages/CustomReportCreativeDetail.aspx?App=23&amp;ReportView=4&amp;Qid=1711279&amp;Row=1592&amp;Col=1","No Title Assigned - #15266178366")</f>
        <v/>
      </c>
      <c r="B1600" s="0" t="s">
        <v>2401</v>
      </c>
      <c r="C1600" s="0" t="s">
        <v>2402</v>
      </c>
      <c r="D1600" s="0" t="s">
        <v>2402</v>
      </c>
      <c r="E1600" s="0" t="inlineStr">
        <is>
          <t xml:space="preserve">Mazda</t>
        </is>
      </c>
      <c r="F1600" s="0" t="s">
        <v>28</v>
      </c>
      <c r="G1600" s="0" t="s">
        <v>29</v>
      </c>
      <c r="H1600" s="5">
        <v>521.481100</v>
      </c>
    </row>
    <row r="1601" spans="1:9">
      <c r="A1601" s="22" t="str">
        <f>HYPERLINK("https://app.vivvix.com/360/KMI/IntelliDrive/ApplUI/Pages/CreativePages/CustomReportCreativeDetail.aspx?App=23&amp;ReportView=4&amp;Qid=1711279&amp;Row=1593&amp;Col=1","No Title Assigned - #15266180599")</f>
        <v/>
      </c>
      <c r="B1601" s="0" t="s">
        <v>2403</v>
      </c>
      <c r="C1601" s="0" t="s">
        <v>2404</v>
      </c>
      <c r="D1601" s="0" t="s">
        <v>2404</v>
      </c>
      <c r="E1601" s="0" t="inlineStr">
        <is>
          <t xml:space="preserve">Mazda</t>
        </is>
      </c>
      <c r="F1601" s="0" t="s">
        <v>28</v>
      </c>
      <c r="G1601" s="0" t="s">
        <v>29</v>
      </c>
      <c r="H1601" s="5">
        <v>6794.343500</v>
      </c>
    </row>
    <row r="1602" spans="1:9">
      <c r="A1602" s="22" t="str">
        <f>HYPERLINK("https://app.vivvix.com/360/KMI/IntelliDrive/ApplUI/Pages/CreativePages/CustomReportCreativeDetail.aspx?App=23&amp;ReportView=4&amp;Qid=1711279&amp;Row=1594&amp;Col=1","No Title Assigned - #15266180599")</f>
        <v/>
      </c>
      <c r="B1602" s="0" t="s">
        <v>2403</v>
      </c>
      <c r="E1602" s="0" t="inlineStr">
        <is>
          <t xml:space="preserve">Mazda</t>
        </is>
      </c>
      <c r="F1602" s="0" t="s">
        <v>28</v>
      </c>
      <c r="G1602" s="0" t="s">
        <v>29</v>
      </c>
      <c r="H1602" s="5">
        <v>27916.577500</v>
      </c>
    </row>
    <row r="1603" spans="1:9">
      <c r="A1603" s="22" t="str">
        <f>HYPERLINK("https://app.vivvix.com/360/KMI/IntelliDrive/ApplUI/Pages/CreativePages/CustomReportCreativeDetail.aspx?App=23&amp;ReportView=4&amp;Qid=1711279&amp;Row=1595&amp;Col=1","No Title Assigned - #15266180640")</f>
        <v/>
      </c>
      <c r="B1603" s="0" t="s">
        <v>2405</v>
      </c>
      <c r="C1603" s="0" t="s">
        <v>2406</v>
      </c>
      <c r="D1603" s="0" t="s">
        <v>2406</v>
      </c>
      <c r="E1603" s="0" t="inlineStr">
        <is>
          <t xml:space="preserve">Mazda</t>
        </is>
      </c>
      <c r="F1603" s="0" t="s">
        <v>13</v>
      </c>
      <c r="G1603" s="0" t="s">
        <v>49</v>
      </c>
      <c r="H1603" s="5">
        <v>121.234400</v>
      </c>
    </row>
    <row r="1604" spans="1:9">
      <c r="A1604" s="22" t="str">
        <f>HYPERLINK("https://app.vivvix.com/360/KMI/IntelliDrive/ApplUI/Pages/CreativePages/CustomReportCreativeDetail.aspx?App=23&amp;ReportView=4&amp;Qid=1711279&amp;Row=1596&amp;Col=1","No Title Assigned - #15266191267")</f>
        <v/>
      </c>
      <c r="B1604" s="0" t="s">
        <v>2407</v>
      </c>
      <c r="C1604" s="0" t="s">
        <v>2408</v>
      </c>
      <c r="D1604" s="0" t="s">
        <v>2408</v>
      </c>
      <c r="E1604" s="0" t="inlineStr">
        <is>
          <t xml:space="preserve">Mazda</t>
        </is>
      </c>
      <c r="F1604" s="0" t="s">
        <v>13</v>
      </c>
      <c r="G1604" s="0" t="s">
        <v>49</v>
      </c>
      <c r="H1604" s="5">
        <v>283.768800</v>
      </c>
    </row>
    <row r="1605" spans="1:9">
      <c r="A1605" s="22" t="str">
        <f>HYPERLINK("https://app.vivvix.com/360/KMI/IntelliDrive/ApplUI/Pages/CreativePages/CustomReportCreativeDetail.aspx?App=23&amp;ReportView=4&amp;Qid=1711279&amp;Row=1597&amp;Col=1","No Title Assigned - #15266194010")</f>
        <v/>
      </c>
      <c r="B1605" s="0" t="s">
        <v>2409</v>
      </c>
      <c r="C1605" s="0" t="s">
        <v>2410</v>
      </c>
      <c r="D1605" s="0" t="s">
        <v>2410</v>
      </c>
      <c r="E1605" s="0" t="inlineStr">
        <is>
          <t xml:space="preserve">Mazda</t>
        </is>
      </c>
      <c r="F1605" s="0" t="s">
        <v>28</v>
      </c>
      <c r="G1605" s="0" t="s">
        <v>295</v>
      </c>
      <c r="H1605" s="5">
        <v>7581.678100</v>
      </c>
    </row>
    <row r="1606" spans="1:9">
      <c r="A1606" s="22" t="str">
        <f>HYPERLINK("https://app.vivvix.com/360/KMI/IntelliDrive/ApplUI/Pages/CreativePages/CustomReportCreativeDetail.aspx?App=23&amp;ReportView=4&amp;Qid=1711279&amp;Row=1598&amp;Col=1","No Title Assigned - #15266194057")</f>
        <v/>
      </c>
      <c r="B1606" s="0" t="s">
        <v>2411</v>
      </c>
      <c r="C1606" s="0" t="s">
        <v>2412</v>
      </c>
      <c r="D1606" s="0" t="s">
        <v>2412</v>
      </c>
      <c r="E1606" s="0" t="inlineStr">
        <is>
          <t xml:space="preserve">Mazda</t>
        </is>
      </c>
      <c r="F1606" s="0" t="inlineStr">
        <is>
          <t xml:space="preserve">Mazda</t>
        </is>
      </c>
      <c r="G1606" s="0" t="s">
        <v>2413</v>
      </c>
      <c r="H1606" s="5">
        <v>2320.526600</v>
      </c>
    </row>
    <row r="1607" spans="1:9">
      <c r="A1607" s="22" t="str">
        <f>HYPERLINK("https://app.vivvix.com/360/KMI/IntelliDrive/ApplUI/Pages/CreativePages/CustomReportCreativeDetail.aspx?App=23&amp;ReportView=4&amp;Qid=1711279&amp;Row=1599&amp;Col=1","No Title Assigned - #15266194225")</f>
        <v/>
      </c>
      <c r="B1607" s="0" t="s">
        <v>2414</v>
      </c>
      <c r="C1607" s="0" t="s">
        <v>2415</v>
      </c>
      <c r="D1607" s="0" t="s">
        <v>2415</v>
      </c>
      <c r="E1607" s="0" t="inlineStr">
        <is>
          <t xml:space="preserve">Mazda</t>
        </is>
      </c>
      <c r="F1607" s="0" t="s">
        <v>28</v>
      </c>
      <c r="G1607" s="0" t="s">
        <v>29</v>
      </c>
      <c r="H1607" s="5">
        <v>561.029800</v>
      </c>
    </row>
    <row r="1608" spans="1:9">
      <c r="A1608" s="22" t="str">
        <f>HYPERLINK("https://app.vivvix.com/360/KMI/IntelliDrive/ApplUI/Pages/CreativePages/CustomReportCreativeDetail.aspx?App=23&amp;ReportView=4&amp;Qid=1711279&amp;Row=1600&amp;Col=1","No Title Assigned - #15266194238")</f>
        <v/>
      </c>
      <c r="B1608" s="0" t="s">
        <v>2416</v>
      </c>
      <c r="C1608" s="0" t="s">
        <v>2417</v>
      </c>
      <c r="D1608" s="0" t="s">
        <v>2417</v>
      </c>
      <c r="E1608" s="0" t="inlineStr">
        <is>
          <t xml:space="preserve">Mazda</t>
        </is>
      </c>
      <c r="F1608" s="0" t="s">
        <v>28</v>
      </c>
      <c r="G1608" s="0" t="s">
        <v>29</v>
      </c>
      <c r="H1608" s="5">
        <v>44319.260900</v>
      </c>
    </row>
    <row r="1609" spans="1:9">
      <c r="A1609" s="22" t="str">
        <f>HYPERLINK("https://app.vivvix.com/360/KMI/IntelliDrive/ApplUI/Pages/CreativePages/CustomReportCreativeDetail.aspx?App=23&amp;ReportView=4&amp;Qid=1711279&amp;Row=1601&amp;Col=1","No Title Assigned - #15266195507")</f>
        <v/>
      </c>
      <c r="B1609" s="0" t="s">
        <v>2418</v>
      </c>
      <c r="C1609" s="0" t="s">
        <v>2419</v>
      </c>
      <c r="D1609" s="0" t="s">
        <v>2419</v>
      </c>
      <c r="E1609" s="0" t="inlineStr">
        <is>
          <t xml:space="preserve">Mazda</t>
        </is>
      </c>
      <c r="F1609" s="0" t="s">
        <v>13</v>
      </c>
      <c r="G1609" s="0" t="s">
        <v>49</v>
      </c>
      <c r="H1609" s="5">
        <v>5086.587900</v>
      </c>
    </row>
    <row r="1610" spans="1:9">
      <c r="A1610" s="22" t="str">
        <f>HYPERLINK("https://app.vivvix.com/360/KMI/IntelliDrive/ApplUI/Pages/CreativePages/CustomReportCreativeDetail.aspx?App=23&amp;ReportView=4&amp;Qid=1711279&amp;Row=1602&amp;Col=1","No Title Assigned - #15266211141")</f>
        <v/>
      </c>
      <c r="B1610" s="0" t="s">
        <v>2420</v>
      </c>
      <c r="E1610" s="0" t="inlineStr">
        <is>
          <t xml:space="preserve">Mazda</t>
        </is>
      </c>
      <c r="F1610" s="0" t="s">
        <v>28</v>
      </c>
      <c r="G1610" s="0" t="s">
        <v>29</v>
      </c>
      <c r="H1610" s="5">
        <v>66316.578100</v>
      </c>
    </row>
    <row r="1611" spans="1:9">
      <c r="A1611" s="22" t="str">
        <f>HYPERLINK("https://app.vivvix.com/360/KMI/IntelliDrive/ApplUI/Pages/CreativePages/CustomReportCreativeDetail.aspx?App=23&amp;ReportView=4&amp;Qid=1711279&amp;Row=1603&amp;Col=1","No Title Assigned - #15266211141")</f>
        <v/>
      </c>
      <c r="B1611" s="0" t="s">
        <v>2420</v>
      </c>
      <c r="C1611" s="0" t="s">
        <v>2421</v>
      </c>
      <c r="D1611" s="0" t="s">
        <v>2421</v>
      </c>
      <c r="E1611" s="0" t="inlineStr">
        <is>
          <t xml:space="preserve">Mazda</t>
        </is>
      </c>
      <c r="F1611" s="0" t="s">
        <v>28</v>
      </c>
      <c r="G1611" s="0" t="s">
        <v>29</v>
      </c>
      <c r="H1611" s="5">
        <v>403503.790900</v>
      </c>
    </row>
    <row r="1612" spans="1:9">
      <c r="A1612" s="22" t="str">
        <f>HYPERLINK("https://app.vivvix.com/360/KMI/IntelliDrive/ApplUI/Pages/CreativePages/CustomReportCreativeDetail.aspx?App=23&amp;ReportView=4&amp;Qid=1711279&amp;Row=1604&amp;Col=1","No Title Assigned - #15266225541")</f>
        <v/>
      </c>
      <c r="B1612" s="0" t="s">
        <v>2422</v>
      </c>
      <c r="C1612" s="0" t="s">
        <v>2423</v>
      </c>
      <c r="D1612" s="0" t="s">
        <v>2423</v>
      </c>
      <c r="E1612" s="0" t="inlineStr">
        <is>
          <t xml:space="preserve">Mazda</t>
        </is>
      </c>
      <c r="F1612" s="0" t="s">
        <v>13</v>
      </c>
      <c r="G1612" s="0" t="s">
        <v>49</v>
      </c>
      <c r="H1612" s="5">
        <v>9556.133700</v>
      </c>
    </row>
    <row r="1613" spans="1:9">
      <c r="A1613" s="22" t="str">
        <f>HYPERLINK("https://app.vivvix.com/360/KMI/IntelliDrive/ApplUI/Pages/CreativePages/CustomReportCreativeDetail.aspx?App=23&amp;ReportView=4&amp;Qid=1711279&amp;Row=1605&amp;Col=1","No Title Assigned - #15266231254")</f>
        <v/>
      </c>
      <c r="B1613" s="0" t="s">
        <v>2424</v>
      </c>
      <c r="C1613" s="0" t="s">
        <v>2425</v>
      </c>
      <c r="D1613" s="0" t="s">
        <v>2425</v>
      </c>
      <c r="E1613" s="0" t="inlineStr">
        <is>
          <t xml:space="preserve">Mazda</t>
        </is>
      </c>
      <c r="F1613" s="0" t="s">
        <v>21</v>
      </c>
      <c r="G1613" s="0" t="s">
        <v>22</v>
      </c>
      <c r="H1613" s="5">
        <v>27091.604800</v>
      </c>
    </row>
    <row r="1614" spans="1:9">
      <c r="A1614" s="22" t="str">
        <f>HYPERLINK("https://app.vivvix.com/360/KMI/IntelliDrive/ApplUI/Pages/CreativePages/CustomReportCreativeDetail.aspx?App=23&amp;ReportView=4&amp;Qid=1711279&amp;Row=1606&amp;Col=1","No Title Assigned - #15266231255")</f>
        <v/>
      </c>
      <c r="B1614" s="0" t="s">
        <v>2426</v>
      </c>
      <c r="C1614" s="0" t="s">
        <v>2427</v>
      </c>
      <c r="D1614" s="0" t="s">
        <v>2427</v>
      </c>
      <c r="E1614" s="0" t="inlineStr">
        <is>
          <t xml:space="preserve">Mazda</t>
        </is>
      </c>
      <c r="F1614" s="0" t="s">
        <v>21</v>
      </c>
      <c r="G1614" s="0" t="s">
        <v>2428</v>
      </c>
      <c r="H1614" s="5">
        <v>20062.989800</v>
      </c>
    </row>
    <row r="1615" spans="1:9">
      <c r="A1615" s="22" t="str">
        <f>HYPERLINK("https://app.vivvix.com/360/KMI/IntelliDrive/ApplUI/Pages/CreativePages/CustomReportCreativeDetail.aspx?App=23&amp;ReportView=4&amp;Qid=1711279&amp;Row=1607&amp;Col=1","No Title Assigned - #15266231256")</f>
        <v/>
      </c>
      <c r="B1615" s="0" t="s">
        <v>2429</v>
      </c>
      <c r="C1615" s="0" t="s">
        <v>2430</v>
      </c>
      <c r="D1615" s="0" t="s">
        <v>2430</v>
      </c>
      <c r="E1615" s="0" t="inlineStr">
        <is>
          <t xml:space="preserve">Mazda</t>
        </is>
      </c>
      <c r="F1615" s="0" t="inlineStr">
        <is>
          <t xml:space="preserve">Mazda</t>
        </is>
      </c>
      <c r="G1615" s="0" t="s">
        <v>210</v>
      </c>
      <c r="H1615" s="5">
        <v>5719.129500</v>
      </c>
    </row>
    <row r="1616" spans="1:9">
      <c r="A1616" s="22" t="str">
        <f>HYPERLINK("https://app.vivvix.com/360/KMI/IntelliDrive/ApplUI/Pages/CreativePages/CustomReportCreativeDetail.aspx?App=23&amp;ReportView=4&amp;Qid=1711279&amp;Row=1608&amp;Col=1","No Title Assigned - #15266231280")</f>
        <v/>
      </c>
      <c r="B1616" s="0" t="s">
        <v>2431</v>
      </c>
      <c r="C1616" s="0" t="s">
        <v>2432</v>
      </c>
      <c r="D1616" s="0" t="s">
        <v>2432</v>
      </c>
      <c r="E1616" s="0" t="inlineStr">
        <is>
          <t xml:space="preserve">Mazda</t>
        </is>
      </c>
      <c r="F1616" s="0" t="s">
        <v>369</v>
      </c>
      <c r="G1616" s="0" t="s">
        <v>370</v>
      </c>
      <c r="H1616" s="5">
        <v>3471.252400</v>
      </c>
    </row>
    <row r="1617" spans="1:9">
      <c r="A1617" s="22" t="str">
        <f>HYPERLINK("https://app.vivvix.com/360/KMI/IntelliDrive/ApplUI/Pages/CreativePages/CustomReportCreativeDetail.aspx?App=23&amp;ReportView=4&amp;Qid=1711279&amp;Row=1609&amp;Col=1","No Title Assigned - #15266231281")</f>
        <v/>
      </c>
      <c r="B1617" s="0" t="s">
        <v>2433</v>
      </c>
      <c r="C1617" s="0" t="s">
        <v>2434</v>
      </c>
      <c r="D1617" s="0" t="s">
        <v>2434</v>
      </c>
      <c r="E1617" s="0" t="inlineStr">
        <is>
          <t xml:space="preserve">Mazda</t>
        </is>
      </c>
      <c r="F1617" s="0" t="s">
        <v>369</v>
      </c>
      <c r="G1617" s="0" t="s">
        <v>370</v>
      </c>
      <c r="H1617" s="5">
        <v>9495.732500</v>
      </c>
    </row>
    <row r="1618" spans="1:9">
      <c r="A1618" s="22" t="str">
        <f>HYPERLINK("https://app.vivvix.com/360/KMI/IntelliDrive/ApplUI/Pages/CreativePages/CustomReportCreativeDetail.aspx?App=23&amp;ReportView=4&amp;Qid=1711279&amp;Row=1610&amp;Col=1","No Title Assigned - #15266232120")</f>
        <v/>
      </c>
      <c r="B1618" s="0" t="s">
        <v>2435</v>
      </c>
      <c r="C1618" s="0" t="s">
        <v>2436</v>
      </c>
      <c r="D1618" s="0" t="s">
        <v>2436</v>
      </c>
      <c r="E1618" s="0" t="inlineStr">
        <is>
          <t xml:space="preserve">Mazda</t>
        </is>
      </c>
      <c r="F1618" s="0" t="s">
        <v>28</v>
      </c>
      <c r="G1618" s="0" t="s">
        <v>29</v>
      </c>
      <c r="H1618" s="5">
        <v>1039.774700</v>
      </c>
    </row>
    <row r="1619" spans="1:9">
      <c r="A1619" s="22" t="str">
        <f>HYPERLINK("https://app.vivvix.com/360/KMI/IntelliDrive/ApplUI/Pages/CreativePages/CustomReportCreativeDetail.aspx?App=23&amp;ReportView=4&amp;Qid=1711279&amp;Row=1611&amp;Col=1","No Title Assigned - #15266233349")</f>
        <v/>
      </c>
      <c r="B1619" s="0" t="s">
        <v>2437</v>
      </c>
      <c r="E1619" s="0" t="inlineStr">
        <is>
          <t xml:space="preserve">Mazda</t>
        </is>
      </c>
      <c r="F1619" s="0" t="s">
        <v>13</v>
      </c>
      <c r="G1619" s="0" t="s">
        <v>49</v>
      </c>
      <c r="H1619" s="5">
        <v>682.509900</v>
      </c>
    </row>
    <row r="1620" spans="1:9">
      <c r="A1620" s="22" t="str">
        <f>HYPERLINK("https://app.vivvix.com/360/KMI/IntelliDrive/ApplUI/Pages/CreativePages/CustomReportCreativeDetail.aspx?App=23&amp;ReportView=4&amp;Qid=1711279&amp;Row=1612&amp;Col=1","No Title Assigned - #15266233646")</f>
        <v/>
      </c>
      <c r="B1620" s="0" t="s">
        <v>2438</v>
      </c>
      <c r="C1620" s="0" t="s">
        <v>2439</v>
      </c>
      <c r="D1620" s="0" t="s">
        <v>2439</v>
      </c>
      <c r="E1620" s="0" t="inlineStr">
        <is>
          <t xml:space="preserve">Mazda</t>
        </is>
      </c>
      <c r="F1620" s="0" t="s">
        <v>56</v>
      </c>
      <c r="G1620" s="0" t="s">
        <v>57</v>
      </c>
      <c r="H1620" s="5">
        <v>6179.429500</v>
      </c>
    </row>
    <row r="1621" spans="1:9">
      <c r="A1621" s="22" t="str">
        <f>HYPERLINK("https://app.vivvix.com/360/KMI/IntelliDrive/ApplUI/Pages/CreativePages/CustomReportCreativeDetail.aspx?App=23&amp;ReportView=4&amp;Qid=1711279&amp;Row=1613&amp;Col=1","No Title Assigned - #15266235134")</f>
        <v/>
      </c>
      <c r="B1621" s="0" t="s">
        <v>2440</v>
      </c>
      <c r="C1621" s="0" t="s">
        <v>2441</v>
      </c>
      <c r="D1621" s="0" t="s">
        <v>2441</v>
      </c>
      <c r="E1621" s="0" t="inlineStr">
        <is>
          <t xml:space="preserve">Mazda</t>
        </is>
      </c>
      <c r="F1621" s="0" t="s">
        <v>13</v>
      </c>
      <c r="G1621" s="0" t="s">
        <v>49</v>
      </c>
      <c r="H1621" s="5">
        <v>981.438500</v>
      </c>
    </row>
    <row r="1622" spans="1:9">
      <c r="A1622" s="22" t="str">
        <f>HYPERLINK("https://app.vivvix.com/360/KMI/IntelliDrive/ApplUI/Pages/CreativePages/CustomReportCreativeDetail.aspx?App=23&amp;ReportView=4&amp;Qid=1711279&amp;Row=1614&amp;Col=1","No Title Assigned - #15266235216")</f>
        <v/>
      </c>
      <c r="B1622" s="0" t="s">
        <v>2442</v>
      </c>
      <c r="C1622" s="0" t="s">
        <v>2443</v>
      </c>
      <c r="D1622" s="0" t="s">
        <v>2443</v>
      </c>
      <c r="E1622" s="0" t="inlineStr">
        <is>
          <t xml:space="preserve">Mazda</t>
        </is>
      </c>
      <c r="F1622" s="0" t="s">
        <v>28</v>
      </c>
      <c r="G1622" s="0" t="s">
        <v>29</v>
      </c>
      <c r="H1622" s="5">
        <v>2060.356300</v>
      </c>
    </row>
    <row r="1623" spans="1:9">
      <c r="A1623" s="22" t="str">
        <f>HYPERLINK("https://app.vivvix.com/360/KMI/IntelliDrive/ApplUI/Pages/CreativePages/CustomReportCreativeDetail.aspx?App=23&amp;ReportView=4&amp;Qid=1711279&amp;Row=1615&amp;Col=1","No Title Assigned - #15266235216")</f>
        <v/>
      </c>
      <c r="B1623" s="0" t="s">
        <v>2442</v>
      </c>
      <c r="E1623" s="0" t="inlineStr">
        <is>
          <t xml:space="preserve">Mazda</t>
        </is>
      </c>
      <c r="F1623" s="0" t="s">
        <v>28</v>
      </c>
      <c r="G1623" s="0" t="s">
        <v>29</v>
      </c>
      <c r="H1623" s="5">
        <v>698.813600</v>
      </c>
    </row>
    <row r="1624" spans="1:9">
      <c r="A1624" s="22" t="str">
        <f>HYPERLINK("https://app.vivvix.com/360/KMI/IntelliDrive/ApplUI/Pages/CreativePages/CustomReportCreativeDetail.aspx?App=23&amp;ReportView=4&amp;Qid=1711279&amp;Row=1616&amp;Col=1","No Title Assigned - #15266237824")</f>
        <v/>
      </c>
      <c r="B1624" s="0" t="s">
        <v>2444</v>
      </c>
      <c r="C1624" s="0" t="s">
        <v>2445</v>
      </c>
      <c r="D1624" s="0" t="s">
        <v>2445</v>
      </c>
      <c r="E1624" s="0" t="inlineStr">
        <is>
          <t xml:space="preserve">Mazda</t>
        </is>
      </c>
      <c r="F1624" s="0" t="s">
        <v>28</v>
      </c>
      <c r="G1624" s="0" t="s">
        <v>29</v>
      </c>
      <c r="H1624" s="5">
        <v>19.588400</v>
      </c>
    </row>
    <row r="1625" spans="1:9">
      <c r="A1625" s="22" t="str">
        <f>HYPERLINK("https://app.vivvix.com/360/KMI/IntelliDrive/ApplUI/Pages/CreativePages/CustomReportCreativeDetail.aspx?App=23&amp;ReportView=4&amp;Qid=1711279&amp;Row=1617&amp;Col=1","No Title Assigned - #15266238135")</f>
        <v/>
      </c>
      <c r="B1625" s="0" t="s">
        <v>2446</v>
      </c>
      <c r="C1625" s="0" t="s">
        <v>2447</v>
      </c>
      <c r="D1625" s="0" t="s">
        <v>2447</v>
      </c>
      <c r="E1625" s="0" t="inlineStr">
        <is>
          <t xml:space="preserve">Mazda</t>
        </is>
      </c>
      <c r="F1625" s="0" t="s">
        <v>28</v>
      </c>
      <c r="G1625" s="0" t="s">
        <v>29</v>
      </c>
      <c r="H1625" s="5">
        <v>9902.489000</v>
      </c>
    </row>
    <row r="1626" spans="1:9">
      <c r="A1626" s="22" t="str">
        <f>HYPERLINK("https://app.vivvix.com/360/KMI/IntelliDrive/ApplUI/Pages/CreativePages/CustomReportCreativeDetail.aspx?App=23&amp;ReportView=4&amp;Qid=1711279&amp;Row=1618&amp;Col=1","No Title Assigned - #15266254864")</f>
        <v/>
      </c>
      <c r="B1626" s="0" t="s">
        <v>2448</v>
      </c>
      <c r="C1626" s="0" t="s">
        <v>2449</v>
      </c>
      <c r="D1626" s="0" t="s">
        <v>2449</v>
      </c>
      <c r="E1626" s="0" t="inlineStr">
        <is>
          <t xml:space="preserve">Mazda</t>
        </is>
      </c>
      <c r="F1626" s="0" t="s">
        <v>28</v>
      </c>
      <c r="G1626" s="0" t="s">
        <v>29</v>
      </c>
      <c r="H1626" s="5">
        <v>3258.972900</v>
      </c>
    </row>
    <row r="1627" spans="1:9">
      <c r="A1627" s="22" t="str">
        <f>HYPERLINK("https://app.vivvix.com/360/KMI/IntelliDrive/ApplUI/Pages/CreativePages/CustomReportCreativeDetail.aspx?App=23&amp;ReportView=4&amp;Qid=1711279&amp;Row=1619&amp;Col=1","No Title Assigned - #15266266485")</f>
        <v/>
      </c>
      <c r="B1627" s="0" t="s">
        <v>2450</v>
      </c>
      <c r="E1627" s="0" t="inlineStr">
        <is>
          <t xml:space="preserve">Mazda</t>
        </is>
      </c>
      <c r="F1627" s="0" t="inlineStr">
        <is>
          <t xml:space="preserve">Mazda</t>
        </is>
      </c>
      <c r="G1627" s="0" t="s">
        <v>171</v>
      </c>
      <c r="H1627" s="5">
        <v>98773.996200</v>
      </c>
    </row>
    <row r="1628" spans="1:9">
      <c r="A1628" s="22" t="str">
        <f>HYPERLINK("https://app.vivvix.com/360/KMI/IntelliDrive/ApplUI/Pages/CreativePages/CustomReportCreativeDetail.aspx?App=23&amp;ReportView=4&amp;Qid=1711279&amp;Row=1620&amp;Col=1","No Title Assigned - #15266267551")</f>
        <v/>
      </c>
      <c r="B1628" s="0" t="s">
        <v>2451</v>
      </c>
      <c r="C1628" s="0" t="s">
        <v>2452</v>
      </c>
      <c r="D1628" s="0" t="s">
        <v>2452</v>
      </c>
      <c r="E1628" s="0" t="inlineStr">
        <is>
          <t xml:space="preserve">Mazda</t>
        </is>
      </c>
      <c r="F1628" s="0" t="s">
        <v>28</v>
      </c>
      <c r="G1628" s="0" t="s">
        <v>29</v>
      </c>
      <c r="H1628" s="5">
        <v>170.632300</v>
      </c>
    </row>
    <row r="1629" spans="1:9">
      <c r="A1629" s="22" t="str">
        <f>HYPERLINK("https://app.vivvix.com/360/KMI/IntelliDrive/ApplUI/Pages/CreativePages/CustomReportCreativeDetail.aspx?App=23&amp;ReportView=4&amp;Qid=1711279&amp;Row=1621&amp;Col=1","No Title Assigned - #15266270621")</f>
        <v/>
      </c>
      <c r="B1629" s="0" t="s">
        <v>2453</v>
      </c>
      <c r="C1629" s="0" t="s">
        <v>2454</v>
      </c>
      <c r="D1629" s="0" t="s">
        <v>2454</v>
      </c>
      <c r="E1629" s="0" t="inlineStr">
        <is>
          <t xml:space="preserve">Mazda</t>
        </is>
      </c>
      <c r="F1629" s="0" t="s">
        <v>13</v>
      </c>
      <c r="G1629" s="0" t="s">
        <v>49</v>
      </c>
      <c r="H1629" s="5">
        <v>1162.426500</v>
      </c>
    </row>
    <row r="1630" spans="1:9">
      <c r="A1630" s="22" t="str">
        <f>HYPERLINK("https://app.vivvix.com/360/KMI/IntelliDrive/ApplUI/Pages/CreativePages/CustomReportCreativeDetail.aspx?App=23&amp;ReportView=4&amp;Qid=1711279&amp;Row=1622&amp;Col=1","No Title Assigned - #15266271795")</f>
        <v/>
      </c>
      <c r="B1630" s="0" t="s">
        <v>2455</v>
      </c>
      <c r="C1630" s="0" t="s">
        <v>2456</v>
      </c>
      <c r="D1630" s="0" t="s">
        <v>2456</v>
      </c>
      <c r="E1630" s="0" t="inlineStr">
        <is>
          <t xml:space="preserve">Mazda</t>
        </is>
      </c>
      <c r="F1630" s="0" t="s">
        <v>13</v>
      </c>
      <c r="G1630" s="0" t="s">
        <v>49</v>
      </c>
      <c r="H1630" s="5">
        <v>8833.727800</v>
      </c>
    </row>
    <row r="1631" spans="1:9">
      <c r="A1631" s="22" t="str">
        <f>HYPERLINK("https://app.vivvix.com/360/KMI/IntelliDrive/ApplUI/Pages/CreativePages/CustomReportCreativeDetail.aspx?App=23&amp;ReportView=4&amp;Qid=1711279&amp;Row=1623&amp;Col=1","No Title Assigned - #15266272184")</f>
        <v/>
      </c>
      <c r="B1631" s="0" t="s">
        <v>2457</v>
      </c>
      <c r="C1631" s="0" t="s">
        <v>2458</v>
      </c>
      <c r="D1631" s="0" t="s">
        <v>2458</v>
      </c>
      <c r="E1631" s="0" t="inlineStr">
        <is>
          <t xml:space="preserve">Mazda</t>
        </is>
      </c>
      <c r="F1631" s="0" t="s">
        <v>13</v>
      </c>
      <c r="G1631" s="0" t="s">
        <v>49</v>
      </c>
      <c r="H1631" s="5">
        <v>4859.439000</v>
      </c>
    </row>
    <row r="1632" spans="1:9">
      <c r="A1632" s="22" t="str">
        <f>HYPERLINK("https://app.vivvix.com/360/KMI/IntelliDrive/ApplUI/Pages/CreativePages/CustomReportCreativeDetail.aspx?App=23&amp;ReportView=4&amp;Qid=1711279&amp;Row=1624&amp;Col=1","No Title Assigned - #15266284864")</f>
        <v/>
      </c>
      <c r="B1632" s="0" t="s">
        <v>2459</v>
      </c>
      <c r="C1632" s="0" t="s">
        <v>2460</v>
      </c>
      <c r="D1632" s="0" t="s">
        <v>2460</v>
      </c>
      <c r="E1632" s="0" t="inlineStr">
        <is>
          <t xml:space="preserve">Mazda</t>
        </is>
      </c>
      <c r="F1632" s="0" t="s">
        <v>13</v>
      </c>
      <c r="G1632" s="0" t="s">
        <v>49</v>
      </c>
      <c r="H1632" s="5">
        <v>12954.710400</v>
      </c>
    </row>
    <row r="1633" spans="1:9">
      <c r="A1633" s="22" t="str">
        <f>HYPERLINK("https://app.vivvix.com/360/KMI/IntelliDrive/ApplUI/Pages/CreativePages/CustomReportCreativeDetail.aspx?App=23&amp;ReportView=4&amp;Qid=1711279&amp;Row=1625&amp;Col=1","No Title Assigned - #15266288510")</f>
        <v/>
      </c>
      <c r="B1633" s="0" t="s">
        <v>2461</v>
      </c>
      <c r="C1633" s="0" t="s">
        <v>2462</v>
      </c>
      <c r="D1633" s="0" t="s">
        <v>2462</v>
      </c>
      <c r="E1633" s="0" t="inlineStr">
        <is>
          <t xml:space="preserve">Mazda</t>
        </is>
      </c>
      <c r="F1633" s="0" t="s">
        <v>56</v>
      </c>
      <c r="G1633" s="0" t="s">
        <v>57</v>
      </c>
      <c r="H1633" s="5">
        <v>193.498200</v>
      </c>
    </row>
    <row r="1634" spans="1:9">
      <c r="A1634" s="22" t="str">
        <f>HYPERLINK("https://app.vivvix.com/360/KMI/IntelliDrive/ApplUI/Pages/CreativePages/CustomReportCreativeDetail.aspx?App=23&amp;ReportView=4&amp;Qid=1711279&amp;Row=1626&amp;Col=1","No Title Assigned - #15266288555")</f>
        <v/>
      </c>
      <c r="B1634" s="0" t="s">
        <v>2463</v>
      </c>
      <c r="C1634" s="0" t="s">
        <v>2464</v>
      </c>
      <c r="D1634" s="0" t="s">
        <v>2464</v>
      </c>
      <c r="E1634" s="0" t="inlineStr">
        <is>
          <t xml:space="preserve">Mazda</t>
        </is>
      </c>
      <c r="F1634" s="0" t="s">
        <v>28</v>
      </c>
      <c r="G1634" s="0" t="s">
        <v>29</v>
      </c>
      <c r="H1634" s="5">
        <v>125.164900</v>
      </c>
    </row>
    <row r="1635" spans="1:9">
      <c r="A1635" s="22" t="str">
        <f>HYPERLINK("https://app.vivvix.com/360/KMI/IntelliDrive/ApplUI/Pages/CreativePages/CustomReportCreativeDetail.aspx?App=23&amp;ReportView=4&amp;Qid=1711279&amp;Row=1627&amp;Col=1","No Title Assigned - #15266292022")</f>
        <v/>
      </c>
      <c r="B1635" s="0" t="s">
        <v>2465</v>
      </c>
      <c r="C1635" s="0" t="s">
        <v>2466</v>
      </c>
      <c r="D1635" s="0" t="s">
        <v>2466</v>
      </c>
      <c r="E1635" s="0" t="inlineStr">
        <is>
          <t xml:space="preserve">Mazda</t>
        </is>
      </c>
      <c r="F1635" s="0" t="s">
        <v>13</v>
      </c>
      <c r="G1635" s="0" t="s">
        <v>49</v>
      </c>
      <c r="H1635" s="5">
        <v>475.240200</v>
      </c>
    </row>
    <row r="1636" spans="1:9">
      <c r="A1636" s="22" t="str">
        <f>HYPERLINK("https://app.vivvix.com/360/KMI/IntelliDrive/ApplUI/Pages/CreativePages/CustomReportCreativeDetail.aspx?App=23&amp;ReportView=4&amp;Qid=1711279&amp;Row=1628&amp;Col=1","No Title Assigned - #15266293236")</f>
        <v/>
      </c>
      <c r="B1636" s="0" t="s">
        <v>2467</v>
      </c>
      <c r="C1636" s="0" t="s">
        <v>2468</v>
      </c>
      <c r="D1636" s="0" t="s">
        <v>2468</v>
      </c>
      <c r="E1636" s="0" t="inlineStr">
        <is>
          <t xml:space="preserve">Mazda</t>
        </is>
      </c>
      <c r="F1636" s="0" t="inlineStr">
        <is>
          <t xml:space="preserve">Mazda</t>
        </is>
      </c>
      <c r="G1636" s="0" t="s">
        <v>1992</v>
      </c>
      <c r="H1636" s="5">
        <v>100683.079900</v>
      </c>
    </row>
    <row r="1637" spans="1:9">
      <c r="A1637" s="22" t="str">
        <f>HYPERLINK("https://app.vivvix.com/360/KMI/IntelliDrive/ApplUI/Pages/CreativePages/CustomReportCreativeDetail.aspx?App=23&amp;ReportView=4&amp;Qid=1711279&amp;Row=1629&amp;Col=1","No Title Assigned - #15266293772")</f>
        <v/>
      </c>
      <c r="B1637" s="0" t="s">
        <v>2469</v>
      </c>
      <c r="C1637" s="0" t="s">
        <v>2470</v>
      </c>
      <c r="D1637" s="0" t="s">
        <v>2470</v>
      </c>
      <c r="E1637" s="0" t="inlineStr">
        <is>
          <t xml:space="preserve">Mazda</t>
        </is>
      </c>
      <c r="F1637" s="0" t="s">
        <v>28</v>
      </c>
      <c r="G1637" s="0" t="s">
        <v>29</v>
      </c>
      <c r="H1637" s="5">
        <v>262.471100</v>
      </c>
    </row>
    <row r="1638" spans="1:9">
      <c r="A1638" s="22" t="str">
        <f>HYPERLINK("https://app.vivvix.com/360/KMI/IntelliDrive/ApplUI/Pages/CreativePages/CustomReportCreativeDetail.aspx?App=23&amp;ReportView=4&amp;Qid=1711279&amp;Row=1630&amp;Col=1","No Title Assigned - #15266293886")</f>
        <v/>
      </c>
      <c r="B1638" s="0" t="s">
        <v>2471</v>
      </c>
      <c r="C1638" s="0" t="s">
        <v>2472</v>
      </c>
      <c r="D1638" s="0" t="s">
        <v>2472</v>
      </c>
      <c r="E1638" s="0" t="inlineStr">
        <is>
          <t xml:space="preserve">Mazda</t>
        </is>
      </c>
      <c r="F1638" s="0" t="s">
        <v>28</v>
      </c>
      <c r="G1638" s="0" t="s">
        <v>29</v>
      </c>
      <c r="H1638" s="5">
        <v>125.164900</v>
      </c>
    </row>
    <row r="1639" spans="1:9">
      <c r="A1639" s="22" t="str">
        <f>HYPERLINK("https://app.vivvix.com/360/KMI/IntelliDrive/ApplUI/Pages/CreativePages/CustomReportCreativeDetail.aspx?App=23&amp;ReportView=4&amp;Qid=1711279&amp;Row=1631&amp;Col=1","No Title Assigned - #15266293924")</f>
        <v/>
      </c>
      <c r="B1639" s="0" t="s">
        <v>2473</v>
      </c>
      <c r="C1639" s="0" t="s">
        <v>2474</v>
      </c>
      <c r="D1639" s="0" t="s">
        <v>2474</v>
      </c>
      <c r="E1639" s="0" t="inlineStr">
        <is>
          <t xml:space="preserve">Mazda</t>
        </is>
      </c>
      <c r="F1639" s="0" t="s">
        <v>28</v>
      </c>
      <c r="G1639" s="0" t="s">
        <v>29</v>
      </c>
      <c r="H1639" s="5">
        <v>1185.527500</v>
      </c>
    </row>
    <row r="1640" spans="1:9">
      <c r="A1640" s="22" t="str">
        <f>HYPERLINK("https://app.vivvix.com/360/KMI/IntelliDrive/ApplUI/Pages/CreativePages/CustomReportCreativeDetail.aspx?App=23&amp;ReportView=4&amp;Qid=1711279&amp;Row=1632&amp;Col=1","No Title Assigned - #15266293940")</f>
        <v/>
      </c>
      <c r="B1640" s="0" t="s">
        <v>2475</v>
      </c>
      <c r="C1640" s="0" t="s">
        <v>2476</v>
      </c>
      <c r="D1640" s="0" t="s">
        <v>2476</v>
      </c>
      <c r="E1640" s="0" t="inlineStr">
        <is>
          <t xml:space="preserve">Mazda</t>
        </is>
      </c>
      <c r="F1640" s="0" t="s">
        <v>28</v>
      </c>
      <c r="G1640" s="0" t="s">
        <v>29</v>
      </c>
      <c r="H1640" s="5">
        <v>1943.824200</v>
      </c>
    </row>
    <row r="1641" spans="1:9">
      <c r="A1641" s="22" t="str">
        <f>HYPERLINK("https://app.vivvix.com/360/KMI/IntelliDrive/ApplUI/Pages/CreativePages/CustomReportCreativeDetail.aspx?App=23&amp;ReportView=4&amp;Qid=1711279&amp;Row=1633&amp;Col=1","No Title Assigned - #15266293959")</f>
        <v/>
      </c>
      <c r="B1641" s="0" t="s">
        <v>2477</v>
      </c>
      <c r="C1641" s="0" t="s">
        <v>2478</v>
      </c>
      <c r="D1641" s="0" t="s">
        <v>2478</v>
      </c>
      <c r="E1641" s="0" t="inlineStr">
        <is>
          <t xml:space="preserve">Mazda</t>
        </is>
      </c>
      <c r="F1641" s="0" t="inlineStr">
        <is>
          <t xml:space="preserve">Mazda</t>
        </is>
      </c>
      <c r="G1641" s="0" t="s">
        <v>1992</v>
      </c>
      <c r="H1641" s="5">
        <v>10894.256100</v>
      </c>
    </row>
    <row r="1642" spans="1:9">
      <c r="A1642" s="22" t="str">
        <f>HYPERLINK("https://app.vivvix.com/360/KMI/IntelliDrive/ApplUI/Pages/CreativePages/CustomReportCreativeDetail.aspx?App=23&amp;ReportView=4&amp;Qid=1711279&amp;Row=1634&amp;Col=1","No Title Assigned - #15266294011")</f>
        <v/>
      </c>
      <c r="B1642" s="0" t="s">
        <v>2479</v>
      </c>
      <c r="C1642" s="0" t="s">
        <v>2480</v>
      </c>
      <c r="D1642" s="0" t="s">
        <v>2480</v>
      </c>
      <c r="E1642" s="0" t="inlineStr">
        <is>
          <t xml:space="preserve">Mazda</t>
        </is>
      </c>
      <c r="F1642" s="0" t="s">
        <v>28</v>
      </c>
      <c r="G1642" s="0" t="s">
        <v>29</v>
      </c>
      <c r="H1642" s="5">
        <v>549.570200</v>
      </c>
    </row>
    <row r="1643" spans="1:9">
      <c r="A1643" s="22" t="str">
        <f>HYPERLINK("https://app.vivvix.com/360/KMI/IntelliDrive/ApplUI/Pages/CreativePages/CustomReportCreativeDetail.aspx?App=23&amp;ReportView=4&amp;Qid=1711279&amp;Row=1635&amp;Col=1","No Title Assigned - #15266294458")</f>
        <v/>
      </c>
      <c r="B1643" s="0" t="s">
        <v>2481</v>
      </c>
      <c r="C1643" s="0" t="s">
        <v>2482</v>
      </c>
      <c r="D1643" s="0" t="s">
        <v>2482</v>
      </c>
      <c r="E1643" s="0" t="inlineStr">
        <is>
          <t xml:space="preserve">Mazda</t>
        </is>
      </c>
      <c r="F1643" s="0" t="s">
        <v>28</v>
      </c>
      <c r="G1643" s="0" t="s">
        <v>29</v>
      </c>
      <c r="H1643" s="5">
        <v>274.785100</v>
      </c>
    </row>
    <row r="1644" spans="1:9">
      <c r="A1644" s="22" t="str">
        <f>HYPERLINK("https://app.vivvix.com/360/KMI/IntelliDrive/ApplUI/Pages/CreativePages/CustomReportCreativeDetail.aspx?App=23&amp;ReportView=4&amp;Qid=1711279&amp;Row=1636&amp;Col=1","No Title Assigned - #15266294707")</f>
        <v/>
      </c>
      <c r="B1644" s="0" t="s">
        <v>2483</v>
      </c>
      <c r="C1644" s="0" t="s">
        <v>2484</v>
      </c>
      <c r="D1644" s="0" t="s">
        <v>2484</v>
      </c>
      <c r="E1644" s="0" t="inlineStr">
        <is>
          <t xml:space="preserve">Mazda</t>
        </is>
      </c>
      <c r="F1644" s="0" t="s">
        <v>28</v>
      </c>
      <c r="G1644" s="0" t="s">
        <v>29</v>
      </c>
      <c r="H1644" s="5">
        <v>549.570200</v>
      </c>
    </row>
    <row r="1645" spans="1:9">
      <c r="A1645" s="22" t="str">
        <f>HYPERLINK("https://app.vivvix.com/360/KMI/IntelliDrive/ApplUI/Pages/CreativePages/CustomReportCreativeDetail.aspx?App=23&amp;ReportView=4&amp;Qid=1711279&amp;Row=1637&amp;Col=1","No Title Assigned - #15266294771")</f>
        <v/>
      </c>
      <c r="B1645" s="0" t="s">
        <v>2485</v>
      </c>
      <c r="C1645" s="0" t="s">
        <v>2486</v>
      </c>
      <c r="D1645" s="0" t="s">
        <v>2486</v>
      </c>
      <c r="E1645" s="0" t="inlineStr">
        <is>
          <t xml:space="preserve">Mazda</t>
        </is>
      </c>
      <c r="F1645" s="0" t="s">
        <v>13</v>
      </c>
      <c r="G1645" s="0" t="s">
        <v>49</v>
      </c>
      <c r="H1645" s="5">
        <v>121.234400</v>
      </c>
    </row>
    <row r="1646" spans="1:9">
      <c r="A1646" s="22" t="str">
        <f>HYPERLINK("https://app.vivvix.com/360/KMI/IntelliDrive/ApplUI/Pages/CreativePages/CustomReportCreativeDetail.aspx?App=23&amp;ReportView=4&amp;Qid=1711279&amp;Row=1638&amp;Col=1","No Title Assigned - #15266296172")</f>
        <v/>
      </c>
      <c r="B1646" s="0" t="s">
        <v>2487</v>
      </c>
      <c r="E1646" s="0" t="inlineStr">
        <is>
          <t xml:space="preserve">Mazda</t>
        </is>
      </c>
      <c r="F1646" s="0" t="inlineStr">
        <is>
          <t xml:space="preserve">Mazda</t>
        </is>
      </c>
      <c r="G1646" s="0" t="s">
        <v>171</v>
      </c>
      <c r="H1646" s="5">
        <v>98.468800</v>
      </c>
    </row>
    <row r="1647" spans="1:9">
      <c r="A1647" s="22" t="str">
        <f>HYPERLINK("https://app.vivvix.com/360/KMI/IntelliDrive/ApplUI/Pages/CreativePages/CustomReportCreativeDetail.aspx?App=23&amp;ReportView=4&amp;Qid=1711279&amp;Row=1639&amp;Col=1","No Title Assigned - #15266296311")</f>
        <v/>
      </c>
      <c r="B1647" s="0" t="s">
        <v>2488</v>
      </c>
      <c r="C1647" s="0" t="s">
        <v>2489</v>
      </c>
      <c r="D1647" s="0" t="s">
        <v>2489</v>
      </c>
      <c r="E1647" s="0" t="inlineStr">
        <is>
          <t xml:space="preserve">Mazda</t>
        </is>
      </c>
      <c r="F1647" s="0" t="s">
        <v>28</v>
      </c>
      <c r="G1647" s="0" t="s">
        <v>29</v>
      </c>
      <c r="H1647" s="5">
        <v>3824.598600</v>
      </c>
    </row>
    <row r="1648" spans="1:9">
      <c r="A1648" s="22" t="str">
        <f>HYPERLINK("https://app.vivvix.com/360/KMI/IntelliDrive/ApplUI/Pages/CreativePages/CustomReportCreativeDetail.aspx?App=23&amp;ReportView=4&amp;Qid=1711279&amp;Row=1640&amp;Col=1","No Title Assigned - #15266298271")</f>
        <v/>
      </c>
      <c r="B1648" s="0" t="s">
        <v>2490</v>
      </c>
      <c r="E1648" s="0" t="inlineStr">
        <is>
          <t xml:space="preserve">Mazda</t>
        </is>
      </c>
      <c r="F1648" s="0" t="s">
        <v>13</v>
      </c>
      <c r="G1648" s="0" t="s">
        <v>49</v>
      </c>
      <c r="H1648" s="5">
        <v>134267.544000</v>
      </c>
    </row>
    <row r="1649" spans="1:9">
      <c r="A1649" s="22" t="str">
        <f>HYPERLINK("https://app.vivvix.com/360/KMI/IntelliDrive/ApplUI/Pages/CreativePages/CustomReportCreativeDetail.aspx?App=23&amp;ReportView=4&amp;Qid=1711279&amp;Row=1641&amp;Col=1","No Title Assigned - #15266298271")</f>
        <v/>
      </c>
      <c r="B1649" s="0" t="s">
        <v>2490</v>
      </c>
      <c r="C1649" s="0" t="s">
        <v>2491</v>
      </c>
      <c r="D1649" s="0" t="s">
        <v>2491</v>
      </c>
      <c r="E1649" s="0" t="inlineStr">
        <is>
          <t xml:space="preserve">Mazda</t>
        </is>
      </c>
      <c r="F1649" s="0" t="s">
        <v>13</v>
      </c>
      <c r="G1649" s="0" t="s">
        <v>49</v>
      </c>
      <c r="H1649" s="5">
        <v>209611.482000</v>
      </c>
    </row>
    <row r="1650" spans="1:9">
      <c r="A1650" s="22" t="str">
        <f>HYPERLINK("https://app.vivvix.com/360/KMI/IntelliDrive/ApplUI/Pages/CreativePages/CustomReportCreativeDetail.aspx?App=23&amp;ReportView=4&amp;Qid=1711279&amp;Row=1642&amp;Col=1","No Title Assigned - #15266299110")</f>
        <v/>
      </c>
      <c r="B1650" s="0" t="s">
        <v>2492</v>
      </c>
      <c r="C1650" s="0" t="s">
        <v>2493</v>
      </c>
      <c r="D1650" s="0" t="s">
        <v>2493</v>
      </c>
      <c r="E1650" s="0" t="inlineStr">
        <is>
          <t xml:space="preserve">Mazda</t>
        </is>
      </c>
      <c r="F1650" s="0" t="s">
        <v>17</v>
      </c>
      <c r="G1650" s="0" t="s">
        <v>33</v>
      </c>
      <c r="H1650" s="5">
        <v>6254.414100</v>
      </c>
    </row>
    <row r="1651" spans="1:9">
      <c r="A1651" s="22" t="str">
        <f>HYPERLINK("https://app.vivvix.com/360/KMI/IntelliDrive/ApplUI/Pages/CreativePages/CustomReportCreativeDetail.aspx?App=23&amp;ReportView=4&amp;Qid=1711279&amp;Row=1643&amp;Col=1","No Title Assigned - #15266299424")</f>
        <v/>
      </c>
      <c r="B1651" s="0" t="s">
        <v>2494</v>
      </c>
      <c r="C1651" s="0" t="s">
        <v>2495</v>
      </c>
      <c r="D1651" s="0" t="s">
        <v>2495</v>
      </c>
      <c r="E1651" s="0" t="inlineStr">
        <is>
          <t xml:space="preserve">Mazda</t>
        </is>
      </c>
      <c r="F1651" s="0" t="s">
        <v>13</v>
      </c>
      <c r="G1651" s="0" t="s">
        <v>49</v>
      </c>
      <c r="H1651" s="5">
        <v>824.316800</v>
      </c>
    </row>
    <row r="1652" spans="1:9">
      <c r="A1652" s="22" t="str">
        <f>HYPERLINK("https://app.vivvix.com/360/KMI/IntelliDrive/ApplUI/Pages/CreativePages/CustomReportCreativeDetail.aspx?App=23&amp;ReportView=4&amp;Qid=1711279&amp;Row=1644&amp;Col=1","No Title Assigned - #15266301110")</f>
        <v/>
      </c>
      <c r="B1652" s="0" t="s">
        <v>2496</v>
      </c>
      <c r="C1652" s="0" t="s">
        <v>2497</v>
      </c>
      <c r="D1652" s="0" t="s">
        <v>2497</v>
      </c>
      <c r="E1652" s="0" t="inlineStr">
        <is>
          <t xml:space="preserve">Mazda</t>
        </is>
      </c>
      <c r="F1652" s="0" t="s">
        <v>13</v>
      </c>
      <c r="G1652" s="0" t="s">
        <v>49</v>
      </c>
      <c r="H1652" s="5">
        <v>431.734900</v>
      </c>
    </row>
    <row r="1653" spans="1:9">
      <c r="A1653" s="22" t="str">
        <f>HYPERLINK("https://app.vivvix.com/360/KMI/IntelliDrive/ApplUI/Pages/CreativePages/CustomReportCreativeDetail.aspx?App=23&amp;ReportView=4&amp;Qid=1711279&amp;Row=1645&amp;Col=1","No Title Assigned - #15266301789")</f>
        <v/>
      </c>
      <c r="B1653" s="0" t="s">
        <v>2498</v>
      </c>
      <c r="C1653" s="0" t="s">
        <v>2499</v>
      </c>
      <c r="D1653" s="0" t="s">
        <v>2499</v>
      </c>
      <c r="E1653" s="0" t="inlineStr">
        <is>
          <t xml:space="preserve">Mazda</t>
        </is>
      </c>
      <c r="F1653" s="0" t="s">
        <v>13</v>
      </c>
      <c r="G1653" s="0" t="s">
        <v>49</v>
      </c>
      <c r="H1653" s="5">
        <v>656.388500</v>
      </c>
    </row>
    <row r="1654" spans="1:9">
      <c r="A1654" s="22" t="str">
        <f>HYPERLINK("https://app.vivvix.com/360/KMI/IntelliDrive/ApplUI/Pages/CreativePages/CustomReportCreativeDetail.aspx?App=23&amp;ReportView=4&amp;Qid=1711279&amp;Row=1646&amp;Col=1","No Title Assigned - #15266302493")</f>
        <v/>
      </c>
      <c r="B1654" s="0" t="s">
        <v>2500</v>
      </c>
      <c r="C1654" s="0" t="s">
        <v>2501</v>
      </c>
      <c r="D1654" s="0" t="s">
        <v>2501</v>
      </c>
      <c r="E1654" s="0" t="inlineStr">
        <is>
          <t xml:space="preserve">Mazda</t>
        </is>
      </c>
      <c r="F1654" s="0" t="s">
        <v>28</v>
      </c>
      <c r="G1654" s="0" t="s">
        <v>29</v>
      </c>
      <c r="H1654" s="5">
        <v>556.696100</v>
      </c>
    </row>
    <row r="1655" spans="1:9">
      <c r="A1655" s="22" t="str">
        <f>HYPERLINK("https://app.vivvix.com/360/KMI/IntelliDrive/ApplUI/Pages/CreativePages/CustomReportCreativeDetail.aspx?App=23&amp;ReportView=4&amp;Qid=1711279&amp;Row=1647&amp;Col=1","No Title Assigned - #15266304390")</f>
        <v/>
      </c>
      <c r="B1655" s="0" t="s">
        <v>2502</v>
      </c>
      <c r="C1655" s="0" t="s">
        <v>2503</v>
      </c>
      <c r="D1655" s="0" t="s">
        <v>2503</v>
      </c>
      <c r="E1655" s="0" t="inlineStr">
        <is>
          <t xml:space="preserve">Mazda</t>
        </is>
      </c>
      <c r="F1655" s="0" t="s">
        <v>56</v>
      </c>
      <c r="G1655" s="0" t="s">
        <v>57</v>
      </c>
      <c r="H1655" s="5">
        <v>4010.508500</v>
      </c>
    </row>
    <row r="1656" spans="1:9">
      <c r="A1656" s="22" t="str">
        <f>HYPERLINK("https://app.vivvix.com/360/KMI/IntelliDrive/ApplUI/Pages/CreativePages/CustomReportCreativeDetail.aspx?App=23&amp;ReportView=4&amp;Qid=1711279&amp;Row=1648&amp;Col=1","No Title Assigned - #15266304417")</f>
        <v/>
      </c>
      <c r="B1656" s="0" t="s">
        <v>2504</v>
      </c>
      <c r="E1656" s="0" t="inlineStr">
        <is>
          <t xml:space="preserve">Mazda</t>
        </is>
      </c>
      <c r="F1656" s="0" t="s">
        <v>28</v>
      </c>
      <c r="G1656" s="0" t="s">
        <v>29</v>
      </c>
      <c r="H1656" s="5">
        <v>7778.394900</v>
      </c>
    </row>
    <row r="1657" spans="1:9">
      <c r="A1657" s="22" t="str">
        <f>HYPERLINK("https://app.vivvix.com/360/KMI/IntelliDrive/ApplUI/Pages/CreativePages/CustomReportCreativeDetail.aspx?App=23&amp;ReportView=4&amp;Qid=1711279&amp;Row=1649&amp;Col=1","No Title Assigned - #15266304417")</f>
        <v/>
      </c>
      <c r="B1657" s="0" t="s">
        <v>2504</v>
      </c>
      <c r="C1657" s="0" t="s">
        <v>2505</v>
      </c>
      <c r="D1657" s="0" t="s">
        <v>2505</v>
      </c>
      <c r="E1657" s="0" t="inlineStr">
        <is>
          <t xml:space="preserve">Mazda</t>
        </is>
      </c>
      <c r="F1657" s="0" t="s">
        <v>28</v>
      </c>
      <c r="G1657" s="0" t="s">
        <v>29</v>
      </c>
      <c r="H1657" s="5">
        <v>12049.471300</v>
      </c>
    </row>
    <row r="1658" spans="1:9">
      <c r="A1658" s="22" t="str">
        <f>HYPERLINK("https://app.vivvix.com/360/KMI/IntelliDrive/ApplUI/Pages/CreativePages/CustomReportCreativeDetail.aspx?App=23&amp;ReportView=4&amp;Qid=1711279&amp;Row=1650&amp;Col=1","No Title Assigned - #15266306720")</f>
        <v/>
      </c>
      <c r="B1658" s="0" t="s">
        <v>2506</v>
      </c>
      <c r="C1658" s="0" t="s">
        <v>2507</v>
      </c>
      <c r="D1658" s="0" t="s">
        <v>2507</v>
      </c>
      <c r="E1658" s="0" t="inlineStr">
        <is>
          <t xml:space="preserve">Mazda</t>
        </is>
      </c>
      <c r="F1658" s="0" t="s">
        <v>13</v>
      </c>
      <c r="G1658" s="0" t="s">
        <v>49</v>
      </c>
      <c r="H1658" s="5">
        <v>38.276000</v>
      </c>
    </row>
    <row r="1659" spans="1:9">
      <c r="A1659" s="22" t="str">
        <f>HYPERLINK("https://app.vivvix.com/360/KMI/IntelliDrive/ApplUI/Pages/CreativePages/CustomReportCreativeDetail.aspx?App=23&amp;ReportView=4&amp;Qid=1711279&amp;Row=1651&amp;Col=1","No Title Assigned - #15266307333")</f>
        <v/>
      </c>
      <c r="B1659" s="0" t="s">
        <v>2508</v>
      </c>
      <c r="C1659" s="0" t="s">
        <v>2509</v>
      </c>
      <c r="D1659" s="0" t="s">
        <v>2509</v>
      </c>
      <c r="E1659" s="0" t="inlineStr">
        <is>
          <t xml:space="preserve">Mazda</t>
        </is>
      </c>
      <c r="F1659" s="0" t="s">
        <v>28</v>
      </c>
      <c r="G1659" s="0" t="s">
        <v>29</v>
      </c>
      <c r="H1659" s="5">
        <v>705.182600</v>
      </c>
    </row>
    <row r="1660" spans="1:9">
      <c r="A1660" s="22" t="str">
        <f>HYPERLINK("https://app.vivvix.com/360/KMI/IntelliDrive/ApplUI/Pages/CreativePages/CustomReportCreativeDetail.aspx?App=23&amp;ReportView=4&amp;Qid=1711279&amp;Row=1652&amp;Col=1","No Title Assigned - #15266307521")</f>
        <v/>
      </c>
      <c r="B1660" s="0" t="s">
        <v>2510</v>
      </c>
      <c r="C1660" s="0" t="s">
        <v>2511</v>
      </c>
      <c r="D1660" s="0" t="s">
        <v>2511</v>
      </c>
      <c r="E1660" s="0" t="inlineStr">
        <is>
          <t xml:space="preserve">Mazda</t>
        </is>
      </c>
      <c r="F1660" s="0" t="s">
        <v>28</v>
      </c>
      <c r="G1660" s="0" t="s">
        <v>29</v>
      </c>
      <c r="H1660" s="5">
        <v>1520.208800</v>
      </c>
    </row>
    <row r="1661" spans="1:9">
      <c r="A1661" s="22" t="str">
        <f>HYPERLINK("https://app.vivvix.com/360/KMI/IntelliDrive/ApplUI/Pages/CreativePages/CustomReportCreativeDetail.aspx?App=23&amp;ReportView=4&amp;Qid=1711279&amp;Row=1653&amp;Col=1","No Title Assigned - #15266307521")</f>
        <v/>
      </c>
      <c r="B1661" s="0" t="s">
        <v>2510</v>
      </c>
      <c r="E1661" s="0" t="inlineStr">
        <is>
          <t xml:space="preserve">Mazda</t>
        </is>
      </c>
      <c r="F1661" s="0" t="s">
        <v>28</v>
      </c>
      <c r="G1661" s="0" t="s">
        <v>29</v>
      </c>
      <c r="H1661" s="5">
        <v>35.410200</v>
      </c>
    </row>
    <row r="1662" spans="1:9">
      <c r="A1662" s="22" t="str">
        <f>HYPERLINK("https://app.vivvix.com/360/KMI/IntelliDrive/ApplUI/Pages/CreativePages/CustomReportCreativeDetail.aspx?App=23&amp;ReportView=4&amp;Qid=1711279&amp;Row=1654&amp;Col=1","No Title Assigned - #15266307734")</f>
        <v/>
      </c>
      <c r="B1662" s="0" t="s">
        <v>2512</v>
      </c>
      <c r="C1662" s="0" t="s">
        <v>2513</v>
      </c>
      <c r="D1662" s="0" t="s">
        <v>2513</v>
      </c>
      <c r="E1662" s="0" t="inlineStr">
        <is>
          <t xml:space="preserve">Mazda</t>
        </is>
      </c>
      <c r="F1662" s="0" t="s">
        <v>13</v>
      </c>
      <c r="G1662" s="0" t="s">
        <v>49</v>
      </c>
      <c r="H1662" s="5">
        <v>420.485600</v>
      </c>
    </row>
    <row r="1663" spans="1:9">
      <c r="A1663" s="22" t="str">
        <f>HYPERLINK("https://app.vivvix.com/360/KMI/IntelliDrive/ApplUI/Pages/CreativePages/CustomReportCreativeDetail.aspx?App=23&amp;ReportView=4&amp;Qid=1711279&amp;Row=1655&amp;Col=1","No Title Assigned - #15266307750")</f>
        <v/>
      </c>
      <c r="B1663" s="0" t="s">
        <v>2514</v>
      </c>
      <c r="C1663" s="0" t="s">
        <v>2515</v>
      </c>
      <c r="D1663" s="0" t="s">
        <v>2515</v>
      </c>
      <c r="E1663" s="0" t="inlineStr">
        <is>
          <t xml:space="preserve">Mazda</t>
        </is>
      </c>
      <c r="F1663" s="0" t="s">
        <v>28</v>
      </c>
      <c r="G1663" s="0" t="s">
        <v>29</v>
      </c>
      <c r="H1663" s="5">
        <v>420.485600</v>
      </c>
    </row>
    <row r="1664" spans="1:9">
      <c r="A1664" s="22" t="str">
        <f>HYPERLINK("https://app.vivvix.com/360/KMI/IntelliDrive/ApplUI/Pages/CreativePages/CustomReportCreativeDetail.aspx?App=23&amp;ReportView=4&amp;Qid=1711279&amp;Row=1656&amp;Col=1","No Title Assigned - #15266307817")</f>
        <v/>
      </c>
      <c r="B1664" s="0" t="s">
        <v>2516</v>
      </c>
      <c r="C1664" s="0" t="s">
        <v>2517</v>
      </c>
      <c r="D1664" s="0" t="s">
        <v>2517</v>
      </c>
      <c r="E1664" s="0" t="inlineStr">
        <is>
          <t xml:space="preserve">Mazda</t>
        </is>
      </c>
      <c r="F1664" s="0" t="s">
        <v>28</v>
      </c>
      <c r="G1664" s="0" t="s">
        <v>29</v>
      </c>
      <c r="H1664" s="5">
        <v>19.588400</v>
      </c>
    </row>
    <row r="1665" spans="1:9">
      <c r="A1665" s="22" t="str">
        <f>HYPERLINK("https://app.vivvix.com/360/KMI/IntelliDrive/ApplUI/Pages/CreativePages/CustomReportCreativeDetail.aspx?App=23&amp;ReportView=4&amp;Qid=1711279&amp;Row=1657&amp;Col=1","No Title Assigned - #15266307818")</f>
        <v/>
      </c>
      <c r="B1665" s="0" t="s">
        <v>2518</v>
      </c>
      <c r="C1665" s="0" t="s">
        <v>2519</v>
      </c>
      <c r="D1665" s="0" t="s">
        <v>2519</v>
      </c>
      <c r="E1665" s="0" t="inlineStr">
        <is>
          <t xml:space="preserve">Mazda</t>
        </is>
      </c>
      <c r="F1665" s="0" t="s">
        <v>28</v>
      </c>
      <c r="G1665" s="0" t="s">
        <v>29</v>
      </c>
      <c r="H1665" s="5">
        <v>19.588400</v>
      </c>
    </row>
    <row r="1666" spans="1:9">
      <c r="A1666" s="22" t="str">
        <f>HYPERLINK("https://app.vivvix.com/360/KMI/IntelliDrive/ApplUI/Pages/CreativePages/CustomReportCreativeDetail.aspx?App=23&amp;ReportView=4&amp;Qid=1711279&amp;Row=1658&amp;Col=1","No Title Assigned - #15266308035")</f>
        <v/>
      </c>
      <c r="B1666" s="0" t="s">
        <v>2520</v>
      </c>
      <c r="C1666" s="0" t="s">
        <v>2521</v>
      </c>
      <c r="D1666" s="0" t="s">
        <v>2521</v>
      </c>
      <c r="E1666" s="0" t="inlineStr">
        <is>
          <t xml:space="preserve">Mazda</t>
        </is>
      </c>
      <c r="F1666" s="0" t="s">
        <v>28</v>
      </c>
      <c r="G1666" s="0" t="s">
        <v>29</v>
      </c>
      <c r="H1666" s="5">
        <v>1476.976800</v>
      </c>
    </row>
    <row r="1667" spans="1:9">
      <c r="A1667" s="22" t="str">
        <f>HYPERLINK("https://app.vivvix.com/360/KMI/IntelliDrive/ApplUI/Pages/CreativePages/CustomReportCreativeDetail.aspx?App=23&amp;ReportView=4&amp;Qid=1711279&amp;Row=1659&amp;Col=1","No Title Assigned - #15266314978")</f>
        <v/>
      </c>
      <c r="B1667" s="0" t="s">
        <v>2522</v>
      </c>
      <c r="C1667" s="0" t="s">
        <v>2523</v>
      </c>
      <c r="D1667" s="0" t="s">
        <v>2523</v>
      </c>
      <c r="E1667" s="0" t="inlineStr">
        <is>
          <t xml:space="preserve">Mazda</t>
        </is>
      </c>
      <c r="F1667" s="0" t="s">
        <v>13</v>
      </c>
      <c r="G1667" s="0" t="s">
        <v>49</v>
      </c>
      <c r="H1667" s="5">
        <v>209.524100</v>
      </c>
    </row>
    <row r="1668" spans="1:9">
      <c r="A1668" s="22" t="str">
        <f>HYPERLINK("https://app.vivvix.com/360/KMI/IntelliDrive/ApplUI/Pages/CreativePages/CustomReportCreativeDetail.aspx?App=23&amp;ReportView=4&amp;Qid=1711279&amp;Row=1660&amp;Col=1","No Title Assigned - #15266324787")</f>
        <v/>
      </c>
      <c r="B1668" s="0" t="s">
        <v>2524</v>
      </c>
      <c r="E1668" s="0" t="inlineStr">
        <is>
          <t xml:space="preserve">Mazda</t>
        </is>
      </c>
      <c r="F1668" s="0" t="s">
        <v>13</v>
      </c>
      <c r="G1668" s="0" t="s">
        <v>49</v>
      </c>
      <c r="H1668" s="5">
        <v>1243.319800</v>
      </c>
    </row>
    <row r="1669" spans="1:9">
      <c r="A1669" s="22" t="str">
        <f>HYPERLINK("https://app.vivvix.com/360/KMI/IntelliDrive/ApplUI/Pages/CreativePages/CustomReportCreativeDetail.aspx?App=23&amp;ReportView=4&amp;Qid=1711279&amp;Row=1661&amp;Col=1","No Title Assigned - #15266324787")</f>
        <v/>
      </c>
      <c r="B1669" s="0" t="s">
        <v>2524</v>
      </c>
      <c r="C1669" s="0" t="s">
        <v>2525</v>
      </c>
      <c r="D1669" s="0" t="s">
        <v>2525</v>
      </c>
      <c r="E1669" s="0" t="inlineStr">
        <is>
          <t xml:space="preserve">Mazda</t>
        </is>
      </c>
      <c r="F1669" s="0" t="s">
        <v>13</v>
      </c>
      <c r="G1669" s="0" t="s">
        <v>49</v>
      </c>
      <c r="H1669" s="5">
        <v>6070.278500</v>
      </c>
    </row>
    <row r="1670" spans="1:9">
      <c r="A1670" s="22" t="str">
        <f>HYPERLINK("https://app.vivvix.com/360/KMI/IntelliDrive/ApplUI/Pages/CreativePages/CustomReportCreativeDetail.aspx?App=23&amp;ReportView=4&amp;Qid=1711279&amp;Row=1662&amp;Col=1","No Title Assigned - #15266326355")</f>
        <v/>
      </c>
      <c r="B1670" s="0" t="s">
        <v>2526</v>
      </c>
      <c r="C1670" s="0" t="s">
        <v>2527</v>
      </c>
      <c r="D1670" s="0" t="s">
        <v>2527</v>
      </c>
      <c r="E1670" s="0" t="inlineStr">
        <is>
          <t xml:space="preserve">Mazda</t>
        </is>
      </c>
      <c r="F1670" s="0" t="s">
        <v>13</v>
      </c>
      <c r="G1670" s="0" t="s">
        <v>49</v>
      </c>
      <c r="H1670" s="5">
        <v>10724.052700</v>
      </c>
    </row>
    <row r="1671" spans="1:9">
      <c r="A1671" s="22" t="str">
        <f>HYPERLINK("https://app.vivvix.com/360/KMI/IntelliDrive/ApplUI/Pages/CreativePages/CustomReportCreativeDetail.aspx?App=23&amp;ReportView=4&amp;Qid=1711279&amp;Row=1663&amp;Col=1","No Title Assigned - #15266332356")</f>
        <v/>
      </c>
      <c r="B1671" s="0" t="s">
        <v>2528</v>
      </c>
      <c r="C1671" s="0" t="s">
        <v>2529</v>
      </c>
      <c r="D1671" s="0" t="s">
        <v>2529</v>
      </c>
      <c r="E1671" s="0" t="inlineStr">
        <is>
          <t xml:space="preserve">Mazda</t>
        </is>
      </c>
      <c r="F1671" s="0" t="inlineStr">
        <is>
          <t xml:space="preserve">Mazda</t>
        </is>
      </c>
      <c r="G1671" s="0" t="s">
        <v>1992</v>
      </c>
      <c r="H1671" s="5">
        <v>5168.312900</v>
      </c>
    </row>
    <row r="1672" spans="1:9">
      <c r="A1672" s="22" t="str">
        <f>HYPERLINK("https://app.vivvix.com/360/KMI/IntelliDrive/ApplUI/Pages/CreativePages/CustomReportCreativeDetail.aspx?App=23&amp;ReportView=4&amp;Qid=1711279&amp;Row=1664&amp;Col=1","No Title Assigned - #15266341017")</f>
        <v/>
      </c>
      <c r="B1672" s="0" t="s">
        <v>2530</v>
      </c>
      <c r="C1672" s="0" t="s">
        <v>2531</v>
      </c>
      <c r="D1672" s="0" t="s">
        <v>2531</v>
      </c>
      <c r="E1672" s="0" t="inlineStr">
        <is>
          <t xml:space="preserve">Mazda</t>
        </is>
      </c>
      <c r="F1672" s="0" t="s">
        <v>28</v>
      </c>
      <c r="G1672" s="0" t="s">
        <v>29</v>
      </c>
      <c r="H1672" s="5">
        <v>625.523200</v>
      </c>
    </row>
    <row r="1673" spans="1:9">
      <c r="A1673" s="22" t="str">
        <f>HYPERLINK("https://app.vivvix.com/360/KMI/IntelliDrive/ApplUI/Pages/CreativePages/CustomReportCreativeDetail.aspx?App=23&amp;ReportView=4&amp;Qid=1711279&amp;Row=1665&amp;Col=1","No Title Assigned - #15266341048")</f>
        <v/>
      </c>
      <c r="B1673" s="0" t="s">
        <v>2532</v>
      </c>
      <c r="C1673" s="0" t="s">
        <v>2533</v>
      </c>
      <c r="D1673" s="0" t="s">
        <v>2533</v>
      </c>
      <c r="E1673" s="0" t="inlineStr">
        <is>
          <t xml:space="preserve">Mazda</t>
        </is>
      </c>
      <c r="F1673" s="0" t="s">
        <v>13</v>
      </c>
      <c r="G1673" s="0" t="s">
        <v>49</v>
      </c>
      <c r="H1673" s="5">
        <v>484.380800</v>
      </c>
    </row>
    <row r="1674" spans="1:9">
      <c r="A1674" s="22" t="str">
        <f>HYPERLINK("https://app.vivvix.com/360/KMI/IntelliDrive/ApplUI/Pages/CreativePages/CustomReportCreativeDetail.aspx?App=23&amp;ReportView=4&amp;Qid=1711279&amp;Row=1666&amp;Col=1","No Title Assigned - #15266344918")</f>
        <v/>
      </c>
      <c r="B1674" s="0" t="s">
        <v>2534</v>
      </c>
      <c r="E1674" s="0" t="inlineStr">
        <is>
          <t xml:space="preserve">Mazda</t>
        </is>
      </c>
      <c r="F1674" s="0" t="inlineStr">
        <is>
          <t xml:space="preserve">Mazda</t>
        </is>
      </c>
      <c r="G1674" s="0" t="s">
        <v>171</v>
      </c>
      <c r="H1674" s="5">
        <v>9490.704100</v>
      </c>
    </row>
    <row r="1675" spans="1:9">
      <c r="A1675" s="22" t="str">
        <f>HYPERLINK("https://app.vivvix.com/360/KMI/IntelliDrive/ApplUI/Pages/CreativePages/CustomReportCreativeDetail.aspx?App=23&amp;ReportView=4&amp;Qid=1711279&amp;Row=1667&amp;Col=1","No Title Assigned - #15266345234")</f>
        <v/>
      </c>
      <c r="B1675" s="0" t="s">
        <v>2535</v>
      </c>
      <c r="C1675" s="0" t="s">
        <v>2536</v>
      </c>
      <c r="D1675" s="0" t="s">
        <v>2536</v>
      </c>
      <c r="E1675" s="0" t="inlineStr">
        <is>
          <t xml:space="preserve">Mazda</t>
        </is>
      </c>
      <c r="F1675" s="0" t="s">
        <v>17</v>
      </c>
      <c r="G1675" s="0" t="s">
        <v>33</v>
      </c>
      <c r="H1675" s="5">
        <v>453.599800</v>
      </c>
    </row>
    <row r="1676" spans="1:9">
      <c r="A1676" s="22" t="str">
        <f>HYPERLINK("https://app.vivvix.com/360/KMI/IntelliDrive/ApplUI/Pages/CreativePages/CustomReportCreativeDetail.aspx?App=23&amp;ReportView=4&amp;Qid=1711279&amp;Row=1668&amp;Col=1","No Title Assigned - #15266345355")</f>
        <v/>
      </c>
      <c r="B1676" s="0" t="s">
        <v>2537</v>
      </c>
      <c r="C1676" s="0" t="s">
        <v>2538</v>
      </c>
      <c r="D1676" s="0" t="s">
        <v>2538</v>
      </c>
      <c r="E1676" s="0" t="inlineStr">
        <is>
          <t xml:space="preserve">Mazda</t>
        </is>
      </c>
      <c r="F1676" s="0" t="s">
        <v>13</v>
      </c>
      <c r="G1676" s="0" t="s">
        <v>49</v>
      </c>
      <c r="H1676" s="5">
        <v>45927.917000</v>
      </c>
    </row>
    <row r="1677" spans="1:9">
      <c r="A1677" s="22" t="str">
        <f>HYPERLINK("https://app.vivvix.com/360/KMI/IntelliDrive/ApplUI/Pages/CreativePages/CustomReportCreativeDetail.aspx?App=23&amp;ReportView=4&amp;Qid=1711279&amp;Row=1669&amp;Col=1","No Title Assigned - #15266346403")</f>
        <v/>
      </c>
      <c r="B1677" s="0" t="s">
        <v>2539</v>
      </c>
      <c r="E1677" s="0" t="inlineStr">
        <is>
          <t xml:space="preserve">Mazda</t>
        </is>
      </c>
      <c r="F1677" s="0" t="inlineStr">
        <is>
          <t xml:space="preserve">Mazda</t>
        </is>
      </c>
      <c r="G1677" s="0" t="s">
        <v>171</v>
      </c>
    </row>
    <row r="1678" spans="1:9">
      <c r="A1678" s="22" t="str">
        <f>HYPERLINK("https://app.vivvix.com/360/KMI/IntelliDrive/ApplUI/Pages/CreativePages/CustomReportCreativeDetail.aspx?App=23&amp;ReportView=4&amp;Qid=1711279&amp;Row=1670&amp;Col=1","No Title Assigned - #15266346432")</f>
        <v/>
      </c>
      <c r="B1678" s="0" t="s">
        <v>2540</v>
      </c>
      <c r="C1678" s="0" t="s">
        <v>2541</v>
      </c>
      <c r="D1678" s="0" t="s">
        <v>2541</v>
      </c>
      <c r="E1678" s="0" t="inlineStr">
        <is>
          <t xml:space="preserve">Mazda</t>
        </is>
      </c>
      <c r="F1678" s="0" t="inlineStr">
        <is>
          <t xml:space="preserve">Mazda</t>
        </is>
      </c>
      <c r="G1678" s="0" t="s">
        <v>171</v>
      </c>
    </row>
    <row r="1679" spans="1:9">
      <c r="A1679" s="22" t="str">
        <f>HYPERLINK("https://app.vivvix.com/360/KMI/IntelliDrive/ApplUI/Pages/CreativePages/CustomReportCreativeDetail.aspx?App=23&amp;ReportView=4&amp;Qid=1711279&amp;Row=1671&amp;Col=1","No Title Assigned - #15266346489")</f>
        <v/>
      </c>
      <c r="B1679" s="0" t="s">
        <v>2542</v>
      </c>
      <c r="E1679" s="0" t="inlineStr">
        <is>
          <t xml:space="preserve">Mazda</t>
        </is>
      </c>
      <c r="F1679" s="0" t="inlineStr">
        <is>
          <t xml:space="preserve">Mazda</t>
        </is>
      </c>
      <c r="G1679" s="0" t="s">
        <v>171</v>
      </c>
    </row>
    <row r="1680" spans="1:9">
      <c r="A1680" s="22" t="str">
        <f>HYPERLINK("https://app.vivvix.com/360/KMI/IntelliDrive/ApplUI/Pages/CreativePages/CustomReportCreativeDetail.aspx?App=23&amp;ReportView=4&amp;Qid=1711279&amp;Row=1672&amp;Col=1","No Title Assigned - #15266346512")</f>
        <v/>
      </c>
      <c r="B1680" s="0" t="s">
        <v>2543</v>
      </c>
      <c r="C1680" s="0" t="s">
        <v>2544</v>
      </c>
      <c r="D1680" s="0" t="s">
        <v>2544</v>
      </c>
      <c r="E1680" s="0" t="inlineStr">
        <is>
          <t xml:space="preserve">Mazda</t>
        </is>
      </c>
      <c r="F1680" s="0" t="s">
        <v>17</v>
      </c>
      <c r="G1680" s="0" t="s">
        <v>33</v>
      </c>
      <c r="H1680" s="5">
        <v>1563.464600</v>
      </c>
    </row>
    <row r="1681" spans="1:9">
      <c r="A1681" s="22" t="str">
        <f>HYPERLINK("https://app.vivvix.com/360/KMI/IntelliDrive/ApplUI/Pages/CreativePages/CustomReportCreativeDetail.aspx?App=23&amp;ReportView=4&amp;Qid=1711279&amp;Row=1673&amp;Col=1","No Title Assigned - #15266353992")</f>
        <v/>
      </c>
      <c r="B1681" s="0" t="s">
        <v>2545</v>
      </c>
      <c r="C1681" s="0" t="s">
        <v>2546</v>
      </c>
      <c r="D1681" s="0" t="s">
        <v>2546</v>
      </c>
      <c r="E1681" s="0" t="inlineStr">
        <is>
          <t xml:space="preserve">Mazda</t>
        </is>
      </c>
      <c r="F1681" s="0" t="s">
        <v>56</v>
      </c>
      <c r="G1681" s="0" t="s">
        <v>57</v>
      </c>
      <c r="H1681" s="5">
        <v>33095.356400</v>
      </c>
    </row>
    <row r="1682" spans="1:9">
      <c r="A1682" s="22" t="str">
        <f>HYPERLINK("https://app.vivvix.com/360/KMI/IntelliDrive/ApplUI/Pages/CreativePages/CustomReportCreativeDetail.aspx?App=23&amp;ReportView=4&amp;Qid=1711279&amp;Row=1674&amp;Col=1","No Title Assigned - #15266354148")</f>
        <v/>
      </c>
      <c r="B1682" s="0" t="s">
        <v>2547</v>
      </c>
      <c r="C1682" s="0" t="s">
        <v>2548</v>
      </c>
      <c r="D1682" s="0" t="s">
        <v>2548</v>
      </c>
      <c r="E1682" s="0" t="inlineStr">
        <is>
          <t xml:space="preserve">Mazda</t>
        </is>
      </c>
      <c r="F1682" s="0" t="s">
        <v>13</v>
      </c>
      <c r="G1682" s="0" t="s">
        <v>49</v>
      </c>
      <c r="H1682" s="5">
        <v>4274.583600</v>
      </c>
    </row>
    <row r="1683" spans="1:9">
      <c r="A1683" s="22" t="str">
        <f>HYPERLINK("https://app.vivvix.com/360/KMI/IntelliDrive/ApplUI/Pages/CreativePages/CustomReportCreativeDetail.aspx?App=23&amp;ReportView=4&amp;Qid=1711279&amp;Row=1675&amp;Col=1","No Title Assigned - #15266356098")</f>
        <v/>
      </c>
      <c r="B1683" s="0" t="s">
        <v>2549</v>
      </c>
      <c r="E1683" s="0" t="inlineStr">
        <is>
          <t xml:space="preserve">Mazda</t>
        </is>
      </c>
      <c r="F1683" s="0" t="inlineStr">
        <is>
          <t xml:space="preserve">Mazda</t>
        </is>
      </c>
      <c r="G1683" s="0" t="s">
        <v>171</v>
      </c>
    </row>
    <row r="1684" spans="1:9">
      <c r="A1684" s="22" t="str">
        <f>HYPERLINK("https://app.vivvix.com/360/KMI/IntelliDrive/ApplUI/Pages/CreativePages/CustomReportCreativeDetail.aspx?App=23&amp;ReportView=4&amp;Qid=1711279&amp;Row=1676&amp;Col=1","No Title Assigned - #15266356099")</f>
        <v/>
      </c>
      <c r="B1684" s="0" t="s">
        <v>2550</v>
      </c>
      <c r="C1684" s="0" t="s">
        <v>2551</v>
      </c>
      <c r="D1684" s="0" t="s">
        <v>2551</v>
      </c>
      <c r="E1684" s="0" t="inlineStr">
        <is>
          <t xml:space="preserve">Mazda</t>
        </is>
      </c>
      <c r="F1684" s="0" t="s">
        <v>17</v>
      </c>
      <c r="G1684" s="0" t="s">
        <v>33</v>
      </c>
      <c r="H1684" s="5">
        <v>763.063200</v>
      </c>
    </row>
    <row r="1685" spans="1:9">
      <c r="A1685" s="22" t="str">
        <f>HYPERLINK("https://app.vivvix.com/360/KMI/IntelliDrive/ApplUI/Pages/CreativePages/CustomReportCreativeDetail.aspx?App=23&amp;ReportView=4&amp;Qid=1711279&amp;Row=1677&amp;Col=1","No Title Assigned - #15266356327")</f>
        <v/>
      </c>
      <c r="B1685" s="0" t="s">
        <v>2552</v>
      </c>
      <c r="E1685" s="0" t="inlineStr">
        <is>
          <t xml:space="preserve">Mazda</t>
        </is>
      </c>
      <c r="F1685" s="0" t="inlineStr">
        <is>
          <t xml:space="preserve">Mazda</t>
        </is>
      </c>
      <c r="G1685" s="0" t="s">
        <v>171</v>
      </c>
      <c r="H1685" s="5">
        <v>6989.152300</v>
      </c>
    </row>
    <row r="1686" spans="1:9">
      <c r="A1686" s="22" t="str">
        <f>HYPERLINK("https://app.vivvix.com/360/KMI/IntelliDrive/ApplUI/Pages/CreativePages/CustomReportCreativeDetail.aspx?App=23&amp;ReportView=4&amp;Qid=1711279&amp;Row=1678&amp;Col=1","No Title Assigned - #15266361648")</f>
        <v/>
      </c>
      <c r="B1686" s="0" t="s">
        <v>2553</v>
      </c>
      <c r="C1686" s="0" t="s">
        <v>2554</v>
      </c>
      <c r="D1686" s="0" t="s">
        <v>2554</v>
      </c>
      <c r="E1686" s="0" t="inlineStr">
        <is>
          <t xml:space="preserve">Mazda</t>
        </is>
      </c>
      <c r="F1686" s="0" t="s">
        <v>28</v>
      </c>
      <c r="G1686" s="0" t="s">
        <v>295</v>
      </c>
      <c r="H1686" s="5">
        <v>4924.525200</v>
      </c>
    </row>
    <row r="1687" spans="1:9">
      <c r="A1687" s="22" t="str">
        <f>HYPERLINK("https://app.vivvix.com/360/KMI/IntelliDrive/ApplUI/Pages/CreativePages/CustomReportCreativeDetail.aspx?App=23&amp;ReportView=4&amp;Qid=1711279&amp;Row=1679&amp;Col=1","No Title Assigned - #15266362926")</f>
        <v/>
      </c>
      <c r="B1687" s="0" t="s">
        <v>2555</v>
      </c>
      <c r="C1687" s="0" t="s">
        <v>2556</v>
      </c>
      <c r="D1687" s="0" t="s">
        <v>2556</v>
      </c>
      <c r="E1687" s="0" t="inlineStr">
        <is>
          <t xml:space="preserve">Mazda</t>
        </is>
      </c>
      <c r="F1687" s="0" t="s">
        <v>28</v>
      </c>
      <c r="G1687" s="0" t="s">
        <v>29</v>
      </c>
      <c r="H1687" s="5">
        <v>381.685600</v>
      </c>
    </row>
    <row r="1688" spans="1:9">
      <c r="A1688" s="22" t="str">
        <f>HYPERLINK("https://app.vivvix.com/360/KMI/IntelliDrive/ApplUI/Pages/CreativePages/CustomReportCreativeDetail.aspx?App=23&amp;ReportView=4&amp;Qid=1711279&amp;Row=1680&amp;Col=1","No Title Assigned - #15266365583")</f>
        <v/>
      </c>
      <c r="B1688" s="0" t="s">
        <v>2557</v>
      </c>
      <c r="C1688" s="0" t="s">
        <v>2558</v>
      </c>
      <c r="D1688" s="0" t="s">
        <v>2558</v>
      </c>
      <c r="E1688" s="0" t="inlineStr">
        <is>
          <t xml:space="preserve">Mazda</t>
        </is>
      </c>
      <c r="F1688" s="0" t="s">
        <v>56</v>
      </c>
      <c r="G1688" s="0" t="s">
        <v>57</v>
      </c>
      <c r="H1688" s="5">
        <v>840.114800</v>
      </c>
    </row>
    <row r="1689" spans="1:9">
      <c r="A1689" s="22" t="str">
        <f>HYPERLINK("https://app.vivvix.com/360/KMI/IntelliDrive/ApplUI/Pages/CreativePages/CustomReportCreativeDetail.aspx?App=23&amp;ReportView=4&amp;Qid=1711279&amp;Row=1681&amp;Col=1","No Title Assigned - #15266366492")</f>
        <v/>
      </c>
      <c r="B1689" s="0" t="s">
        <v>2559</v>
      </c>
      <c r="E1689" s="0" t="inlineStr">
        <is>
          <t xml:space="preserve">Mazda</t>
        </is>
      </c>
      <c r="F1689" s="0" t="inlineStr">
        <is>
          <t xml:space="preserve">Mazda</t>
        </is>
      </c>
      <c r="G1689" s="0" t="s">
        <v>171</v>
      </c>
      <c r="H1689" s="5">
        <v>3747.078900</v>
      </c>
    </row>
    <row r="1690" spans="1:9">
      <c r="A1690" s="22" t="str">
        <f>HYPERLINK("https://app.vivvix.com/360/KMI/IntelliDrive/ApplUI/Pages/CreativePages/CustomReportCreativeDetail.aspx?App=23&amp;ReportView=4&amp;Qid=1711279&amp;Row=1682&amp;Col=1","No Title Assigned - #15266367223")</f>
        <v/>
      </c>
      <c r="B1690" s="0" t="s">
        <v>2560</v>
      </c>
      <c r="C1690" s="0" t="s">
        <v>2561</v>
      </c>
      <c r="D1690" s="0" t="s">
        <v>2561</v>
      </c>
      <c r="E1690" s="0" t="inlineStr">
        <is>
          <t xml:space="preserve">Mazda</t>
        </is>
      </c>
      <c r="F1690" s="0" t="s">
        <v>17</v>
      </c>
      <c r="G1690" s="0" t="s">
        <v>33</v>
      </c>
      <c r="H1690" s="5">
        <v>2970.737100</v>
      </c>
    </row>
    <row r="1691" spans="1:9">
      <c r="A1691" s="22" t="str">
        <f>HYPERLINK("https://app.vivvix.com/360/KMI/IntelliDrive/ApplUI/Pages/CreativePages/CustomReportCreativeDetail.aspx?App=23&amp;ReportView=4&amp;Qid=1711279&amp;Row=1683&amp;Col=1","No Title Assigned - #15266367250")</f>
        <v/>
      </c>
      <c r="B1691" s="0" t="s">
        <v>2562</v>
      </c>
      <c r="C1691" s="0" t="s">
        <v>2563</v>
      </c>
      <c r="D1691" s="0" t="s">
        <v>2563</v>
      </c>
      <c r="E1691" s="0" t="inlineStr">
        <is>
          <t xml:space="preserve">Mazda</t>
        </is>
      </c>
      <c r="F1691" s="0" t="s">
        <v>13</v>
      </c>
      <c r="G1691" s="0" t="s">
        <v>49</v>
      </c>
      <c r="H1691" s="5">
        <v>9454.957300</v>
      </c>
    </row>
    <row r="1692" spans="1:9">
      <c r="A1692" s="22" t="str">
        <f>HYPERLINK("https://app.vivvix.com/360/KMI/IntelliDrive/ApplUI/Pages/CreativePages/CustomReportCreativeDetail.aspx?App=23&amp;ReportView=4&amp;Qid=1711279&amp;Row=1684&amp;Col=1","No Title Assigned - #15266369031")</f>
        <v/>
      </c>
      <c r="B1692" s="0" t="s">
        <v>2564</v>
      </c>
      <c r="C1692" s="0" t="s">
        <v>2565</v>
      </c>
      <c r="D1692" s="0" t="s">
        <v>2565</v>
      </c>
      <c r="E1692" s="0" t="inlineStr">
        <is>
          <t xml:space="preserve">Mazda</t>
        </is>
      </c>
      <c r="F1692" s="0" t="s">
        <v>28</v>
      </c>
      <c r="G1692" s="0" t="s">
        <v>295</v>
      </c>
      <c r="H1692" s="5">
        <v>12093.878700</v>
      </c>
    </row>
    <row r="1693" spans="1:9">
      <c r="A1693" s="22" t="str">
        <f>HYPERLINK("https://app.vivvix.com/360/KMI/IntelliDrive/ApplUI/Pages/CreativePages/CustomReportCreativeDetail.aspx?App=23&amp;ReportView=4&amp;Qid=1711279&amp;Row=1685&amp;Col=1","No Title Assigned - #15266369536")</f>
        <v/>
      </c>
      <c r="B1693" s="0" t="s">
        <v>2566</v>
      </c>
      <c r="C1693" s="0" t="s">
        <v>2567</v>
      </c>
      <c r="D1693" s="0" t="s">
        <v>2567</v>
      </c>
      <c r="E1693" s="0" t="inlineStr">
        <is>
          <t xml:space="preserve">Mazda</t>
        </is>
      </c>
      <c r="F1693" s="0" t="s">
        <v>56</v>
      </c>
      <c r="G1693" s="0" t="s">
        <v>57</v>
      </c>
      <c r="H1693" s="5">
        <v>429.588400</v>
      </c>
    </row>
    <row r="1694" spans="1:9">
      <c r="A1694" s="22" t="str">
        <f>HYPERLINK("https://app.vivvix.com/360/KMI/IntelliDrive/ApplUI/Pages/CreativePages/CustomReportCreativeDetail.aspx?App=23&amp;ReportView=4&amp;Qid=1711279&amp;Row=1686&amp;Col=1","No Title Assigned - #15266374051")</f>
        <v/>
      </c>
      <c r="B1694" s="0" t="s">
        <v>2568</v>
      </c>
      <c r="E1694" s="0" t="inlineStr">
        <is>
          <t xml:space="preserve">Mazda</t>
        </is>
      </c>
      <c r="F1694" s="0" t="s">
        <v>28</v>
      </c>
      <c r="G1694" s="0" t="s">
        <v>29</v>
      </c>
      <c r="H1694" s="5">
        <v>1576227.577800</v>
      </c>
    </row>
    <row r="1695" spans="1:9">
      <c r="A1695" s="22" t="str">
        <f>HYPERLINK("https://app.vivvix.com/360/KMI/IntelliDrive/ApplUI/Pages/CreativePages/CustomReportCreativeDetail.aspx?App=23&amp;ReportView=4&amp;Qid=1711279&amp;Row=1687&amp;Col=1","No Title Assigned - #15266374051")</f>
        <v/>
      </c>
      <c r="B1695" s="0" t="s">
        <v>2568</v>
      </c>
      <c r="C1695" s="0" t="s">
        <v>2569</v>
      </c>
      <c r="D1695" s="0" t="s">
        <v>2569</v>
      </c>
      <c r="E1695" s="0" t="inlineStr">
        <is>
          <t xml:space="preserve">Mazda</t>
        </is>
      </c>
      <c r="F1695" s="0" t="s">
        <v>28</v>
      </c>
      <c r="G1695" s="0" t="s">
        <v>29</v>
      </c>
      <c r="H1695" s="5">
        <v>1069328.293400</v>
      </c>
    </row>
    <row r="1696" spans="1:9">
      <c r="A1696" s="22" t="str">
        <f>HYPERLINK("https://app.vivvix.com/360/KMI/IntelliDrive/ApplUI/Pages/CreativePages/CustomReportCreativeDetail.aspx?App=23&amp;ReportView=4&amp;Qid=1711279&amp;Row=1688&amp;Col=1","No Title Assigned - #15266376181")</f>
        <v/>
      </c>
      <c r="B1696" s="0" t="s">
        <v>2570</v>
      </c>
      <c r="C1696" s="0" t="s">
        <v>2571</v>
      </c>
      <c r="D1696" s="0" t="s">
        <v>2571</v>
      </c>
      <c r="E1696" s="0" t="inlineStr">
        <is>
          <t xml:space="preserve">Mazda</t>
        </is>
      </c>
      <c r="F1696" s="0" t="s">
        <v>28</v>
      </c>
      <c r="G1696" s="0" t="s">
        <v>29</v>
      </c>
      <c r="H1696" s="5">
        <v>839.434800</v>
      </c>
    </row>
    <row r="1697" spans="1:9">
      <c r="A1697" s="22" t="str">
        <f>HYPERLINK("https://app.vivvix.com/360/KMI/IntelliDrive/ApplUI/Pages/CreativePages/CustomReportCreativeDetail.aspx?App=23&amp;ReportView=4&amp;Qid=1711279&amp;Row=1689&amp;Col=1","No Title Assigned - #15266376851")</f>
        <v/>
      </c>
      <c r="B1697" s="0" t="s">
        <v>2572</v>
      </c>
      <c r="E1697" s="0" t="inlineStr">
        <is>
          <t xml:space="preserve">Mazda</t>
        </is>
      </c>
      <c r="F1697" s="0" t="inlineStr">
        <is>
          <t xml:space="preserve">Mazda</t>
        </is>
      </c>
      <c r="G1697" s="0" t="s">
        <v>171</v>
      </c>
      <c r="H1697" s="5">
        <v>3747.078900</v>
      </c>
    </row>
    <row r="1698" spans="1:9">
      <c r="A1698" s="22" t="str">
        <f>HYPERLINK("https://app.vivvix.com/360/KMI/IntelliDrive/ApplUI/Pages/CreativePages/CustomReportCreativeDetail.aspx?App=23&amp;ReportView=4&amp;Qid=1711279&amp;Row=1690&amp;Col=1","No Title Assigned - #15266376876")</f>
        <v/>
      </c>
      <c r="B1698" s="0" t="s">
        <v>2573</v>
      </c>
      <c r="C1698" s="0" t="s">
        <v>2574</v>
      </c>
      <c r="D1698" s="0" t="s">
        <v>2574</v>
      </c>
      <c r="E1698" s="0" t="inlineStr">
        <is>
          <t xml:space="preserve">Mazda</t>
        </is>
      </c>
      <c r="F1698" s="0" t="s">
        <v>28</v>
      </c>
      <c r="G1698" s="0" t="s">
        <v>29</v>
      </c>
      <c r="H1698" s="5">
        <v>5903.046400</v>
      </c>
    </row>
    <row r="1699" spans="1:9">
      <c r="A1699" s="22" t="str">
        <f>HYPERLINK("https://app.vivvix.com/360/KMI/IntelliDrive/ApplUI/Pages/CreativePages/CustomReportCreativeDetail.aspx?App=23&amp;ReportView=4&amp;Qid=1711279&amp;Row=1691&amp;Col=1","No Title Assigned - #15266377976")</f>
        <v/>
      </c>
      <c r="B1699" s="0" t="s">
        <v>2575</v>
      </c>
      <c r="C1699" s="0" t="s">
        <v>2576</v>
      </c>
      <c r="D1699" s="0" t="s">
        <v>2576</v>
      </c>
      <c r="E1699" s="0" t="inlineStr">
        <is>
          <t xml:space="preserve">Mazda</t>
        </is>
      </c>
      <c r="F1699" s="0" t="s">
        <v>17</v>
      </c>
      <c r="G1699" s="0" t="s">
        <v>33</v>
      </c>
      <c r="H1699" s="5">
        <v>17716.769700</v>
      </c>
    </row>
    <row r="1700" spans="1:9">
      <c r="A1700" s="22" t="str">
        <f>HYPERLINK("https://app.vivvix.com/360/KMI/IntelliDrive/ApplUI/Pages/CreativePages/CustomReportCreativeDetail.aspx?App=23&amp;ReportView=4&amp;Qid=1711279&amp;Row=1692&amp;Col=1","No Title Assigned - #15266388542")</f>
        <v/>
      </c>
      <c r="B1700" s="0" t="s">
        <v>2577</v>
      </c>
      <c r="C1700" s="0" t="s">
        <v>2578</v>
      </c>
      <c r="D1700" s="0" t="s">
        <v>2578</v>
      </c>
      <c r="E1700" s="0" t="inlineStr">
        <is>
          <t xml:space="preserve">Mazda</t>
        </is>
      </c>
      <c r="F1700" s="0" t="s">
        <v>28</v>
      </c>
      <c r="G1700" s="0" t="s">
        <v>29</v>
      </c>
      <c r="H1700" s="5">
        <v>93363.210900</v>
      </c>
    </row>
    <row r="1701" spans="1:9">
      <c r="A1701" s="22" t="str">
        <f>HYPERLINK("https://app.vivvix.com/360/KMI/IntelliDrive/ApplUI/Pages/CreativePages/CustomReportCreativeDetail.aspx?App=23&amp;ReportView=4&amp;Qid=1711279&amp;Row=1693&amp;Col=1","No Title Assigned - #15266389499")</f>
        <v/>
      </c>
      <c r="B1701" s="0" t="s">
        <v>2579</v>
      </c>
      <c r="C1701" s="0" t="s">
        <v>2580</v>
      </c>
      <c r="D1701" s="0" t="s">
        <v>2580</v>
      </c>
      <c r="E1701" s="0" t="inlineStr">
        <is>
          <t xml:space="preserve">Mazda</t>
        </is>
      </c>
      <c r="F1701" s="0" t="s">
        <v>21</v>
      </c>
      <c r="G1701" s="0" t="s">
        <v>22</v>
      </c>
      <c r="H1701" s="5">
        <v>283.768800</v>
      </c>
    </row>
    <row r="1702" spans="1:9">
      <c r="A1702" s="22" t="str">
        <f>HYPERLINK("https://app.vivvix.com/360/KMI/IntelliDrive/ApplUI/Pages/CreativePages/CustomReportCreativeDetail.aspx?App=23&amp;ReportView=4&amp;Qid=1711279&amp;Row=1694&amp;Col=1","No Title Assigned - #15266391926")</f>
        <v/>
      </c>
      <c r="B1702" s="0" t="s">
        <v>2581</v>
      </c>
      <c r="C1702" s="0" t="s">
        <v>2582</v>
      </c>
      <c r="D1702" s="0" t="s">
        <v>2582</v>
      </c>
      <c r="E1702" s="0" t="inlineStr">
        <is>
          <t xml:space="preserve">Mazda</t>
        </is>
      </c>
      <c r="F1702" s="0" t="s">
        <v>17</v>
      </c>
      <c r="G1702" s="0" t="s">
        <v>33</v>
      </c>
      <c r="H1702" s="5">
        <v>3808.698600</v>
      </c>
    </row>
    <row r="1703" spans="1:9">
      <c r="A1703" s="22" t="str">
        <f>HYPERLINK("https://app.vivvix.com/360/KMI/IntelliDrive/ApplUI/Pages/CreativePages/CustomReportCreativeDetail.aspx?App=23&amp;ReportView=4&amp;Qid=1711279&amp;Row=1695&amp;Col=1","No Title Assigned - #15266393959")</f>
        <v/>
      </c>
      <c r="B1703" s="0" t="s">
        <v>2583</v>
      </c>
      <c r="C1703" s="0" t="s">
        <v>2584</v>
      </c>
      <c r="D1703" s="0" t="s">
        <v>2584</v>
      </c>
      <c r="E1703" s="0" t="inlineStr">
        <is>
          <t xml:space="preserve">Mazda</t>
        </is>
      </c>
      <c r="F1703" s="0" t="s">
        <v>17</v>
      </c>
      <c r="G1703" s="0" t="s">
        <v>33</v>
      </c>
      <c r="H1703" s="5">
        <v>36297.862100</v>
      </c>
    </row>
    <row r="1704" spans="1:9">
      <c r="A1704" s="22" t="str">
        <f>HYPERLINK("https://app.vivvix.com/360/KMI/IntelliDrive/ApplUI/Pages/CreativePages/CustomReportCreativeDetail.aspx?App=23&amp;ReportView=4&amp;Qid=1711279&amp;Row=1696&amp;Col=1","No Title Assigned - #15266399717")</f>
        <v/>
      </c>
      <c r="B1704" s="0" t="s">
        <v>2585</v>
      </c>
      <c r="C1704" s="0" t="s">
        <v>2586</v>
      </c>
      <c r="D1704" s="0" t="s">
        <v>2586</v>
      </c>
      <c r="E1704" s="0" t="inlineStr">
        <is>
          <t xml:space="preserve">Mazda</t>
        </is>
      </c>
      <c r="F1704" s="0" t="s">
        <v>28</v>
      </c>
      <c r="G1704" s="0" t="s">
        <v>29</v>
      </c>
      <c r="H1704" s="5">
        <v>215.435400</v>
      </c>
    </row>
    <row r="1705" spans="1:9">
      <c r="A1705" s="22" t="str">
        <f>HYPERLINK("https://app.vivvix.com/360/KMI/IntelliDrive/ApplUI/Pages/CreativePages/CustomReportCreativeDetail.aspx?App=23&amp;ReportView=4&amp;Qid=1711279&amp;Row=1697&amp;Col=1","No Title Assigned - #15266401048")</f>
        <v/>
      </c>
      <c r="B1705" s="0" t="s">
        <v>2587</v>
      </c>
      <c r="C1705" s="0" t="s">
        <v>2588</v>
      </c>
      <c r="D1705" s="0" t="s">
        <v>2588</v>
      </c>
      <c r="E1705" s="0" t="inlineStr">
        <is>
          <t xml:space="preserve">Mazda</t>
        </is>
      </c>
      <c r="F1705" s="0" t="s">
        <v>13</v>
      </c>
      <c r="G1705" s="0" t="s">
        <v>49</v>
      </c>
      <c r="H1705" s="5">
        <v>419.010100</v>
      </c>
    </row>
    <row r="1706" spans="1:9">
      <c r="A1706" s="22" t="str">
        <f>HYPERLINK("https://app.vivvix.com/360/KMI/IntelliDrive/ApplUI/Pages/CreativePages/CustomReportCreativeDetail.aspx?App=23&amp;ReportView=4&amp;Qid=1711279&amp;Row=1698&amp;Col=1","No Title Assigned - #15266402945")</f>
        <v/>
      </c>
      <c r="B1706" s="0" t="s">
        <v>2589</v>
      </c>
      <c r="C1706" s="0" t="s">
        <v>2590</v>
      </c>
      <c r="D1706" s="0" t="s">
        <v>2590</v>
      </c>
      <c r="E1706" s="0" t="inlineStr">
        <is>
          <t xml:space="preserve">Mazda</t>
        </is>
      </c>
      <c r="F1706" s="0" t="s">
        <v>28</v>
      </c>
      <c r="G1706" s="0" t="s">
        <v>29</v>
      </c>
      <c r="H1706" s="5">
        <v>38413.053800</v>
      </c>
    </row>
    <row r="1707" spans="1:9">
      <c r="A1707" s="22" t="str">
        <f>HYPERLINK("https://app.vivvix.com/360/KMI/IntelliDrive/ApplUI/Pages/CreativePages/CustomReportCreativeDetail.aspx?App=23&amp;ReportView=4&amp;Qid=1711279&amp;Row=1699&amp;Col=1","No Title Assigned - #15266402945")</f>
        <v/>
      </c>
      <c r="B1707" s="0" t="s">
        <v>2589</v>
      </c>
      <c r="E1707" s="0" t="inlineStr">
        <is>
          <t xml:space="preserve">Mazda</t>
        </is>
      </c>
      <c r="F1707" s="0" t="s">
        <v>28</v>
      </c>
      <c r="G1707" s="0" t="s">
        <v>29</v>
      </c>
      <c r="H1707" s="5">
        <v>1967.415300</v>
      </c>
    </row>
    <row r="1708" spans="1:9">
      <c r="A1708" s="22" t="str">
        <f>HYPERLINK("https://app.vivvix.com/360/KMI/IntelliDrive/ApplUI/Pages/CreativePages/CustomReportCreativeDetail.aspx?App=23&amp;ReportView=4&amp;Qid=1711279&amp;Row=1700&amp;Col=1","No Title Assigned - #15266404287")</f>
        <v/>
      </c>
      <c r="B1708" s="0" t="s">
        <v>2591</v>
      </c>
      <c r="C1708" s="0" t="s">
        <v>2592</v>
      </c>
      <c r="D1708" s="0" t="s">
        <v>2592</v>
      </c>
      <c r="E1708" s="0" t="inlineStr">
        <is>
          <t xml:space="preserve">Mazda</t>
        </is>
      </c>
      <c r="F1708" s="0" t="s">
        <v>28</v>
      </c>
      <c r="G1708" s="0" t="s">
        <v>29</v>
      </c>
      <c r="H1708" s="5">
        <v>122055.846000</v>
      </c>
    </row>
    <row r="1709" spans="1:9">
      <c r="A1709" s="22" t="str">
        <f>HYPERLINK("https://app.vivvix.com/360/KMI/IntelliDrive/ApplUI/Pages/CreativePages/CustomReportCreativeDetail.aspx?App=23&amp;ReportView=4&amp;Qid=1711279&amp;Row=1701&amp;Col=1","No Title Assigned - #15266404289")</f>
        <v/>
      </c>
      <c r="B1709" s="0" t="s">
        <v>2593</v>
      </c>
      <c r="C1709" s="0" t="s">
        <v>2594</v>
      </c>
      <c r="D1709" s="0" t="s">
        <v>2594</v>
      </c>
      <c r="E1709" s="0" t="inlineStr">
        <is>
          <t xml:space="preserve">Mazda</t>
        </is>
      </c>
      <c r="F1709" s="0" t="s">
        <v>28</v>
      </c>
      <c r="G1709" s="0" t="s">
        <v>29</v>
      </c>
      <c r="H1709" s="5">
        <v>19.588400</v>
      </c>
    </row>
    <row r="1710" spans="1:9">
      <c r="A1710" s="22" t="str">
        <f>HYPERLINK("https://app.vivvix.com/360/KMI/IntelliDrive/ApplUI/Pages/CreativePages/CustomReportCreativeDetail.aspx?App=23&amp;ReportView=4&amp;Qid=1711279&amp;Row=1702&amp;Col=1","No Title Assigned - #15266404300")</f>
        <v/>
      </c>
      <c r="B1710" s="0" t="s">
        <v>2595</v>
      </c>
      <c r="C1710" s="0" t="s">
        <v>2596</v>
      </c>
      <c r="D1710" s="0" t="s">
        <v>2596</v>
      </c>
      <c r="E1710" s="0" t="inlineStr">
        <is>
          <t xml:space="preserve">Mazda</t>
        </is>
      </c>
      <c r="F1710" s="0" t="s">
        <v>28</v>
      </c>
      <c r="G1710" s="0" t="s">
        <v>29</v>
      </c>
      <c r="H1710" s="5">
        <v>6812.674700</v>
      </c>
    </row>
    <row r="1711" spans="1:9">
      <c r="A1711" s="22" t="str">
        <f>HYPERLINK("https://app.vivvix.com/360/KMI/IntelliDrive/ApplUI/Pages/CreativePages/CustomReportCreativeDetail.aspx?App=23&amp;ReportView=4&amp;Qid=1711279&amp;Row=1703&amp;Col=1","No Title Assigned - #15266404726")</f>
        <v/>
      </c>
      <c r="B1711" s="0" t="s">
        <v>2597</v>
      </c>
      <c r="C1711" s="0" t="s">
        <v>2598</v>
      </c>
      <c r="D1711" s="0" t="s">
        <v>2598</v>
      </c>
      <c r="E1711" s="0" t="inlineStr">
        <is>
          <t xml:space="preserve">Mazda</t>
        </is>
      </c>
      <c r="F1711" s="0" t="s">
        <v>28</v>
      </c>
      <c r="G1711" s="0" t="s">
        <v>29</v>
      </c>
      <c r="H1711" s="5">
        <v>209.401000</v>
      </c>
    </row>
    <row r="1712" spans="1:9">
      <c r="A1712" s="22" t="str">
        <f>HYPERLINK("https://app.vivvix.com/360/KMI/IntelliDrive/ApplUI/Pages/CreativePages/CustomReportCreativeDetail.aspx?App=23&amp;ReportView=4&amp;Qid=1711279&amp;Row=1704&amp;Col=1","No Title Assigned - #15266404924")</f>
        <v/>
      </c>
      <c r="B1712" s="0" t="s">
        <v>2599</v>
      </c>
      <c r="C1712" s="0" t="s">
        <v>2600</v>
      </c>
      <c r="D1712" s="0" t="s">
        <v>2600</v>
      </c>
      <c r="E1712" s="0" t="inlineStr">
        <is>
          <t xml:space="preserve">Mazda</t>
        </is>
      </c>
      <c r="F1712" s="0" t="s">
        <v>28</v>
      </c>
      <c r="G1712" s="0" t="s">
        <v>29</v>
      </c>
      <c r="H1712" s="5">
        <v>11560.802600</v>
      </c>
    </row>
    <row r="1713" spans="1:9">
      <c r="A1713" s="22" t="str">
        <f>HYPERLINK("https://app.vivvix.com/360/KMI/IntelliDrive/ApplUI/Pages/CreativePages/CustomReportCreativeDetail.aspx?App=23&amp;ReportView=4&amp;Qid=1711279&amp;Row=1705&amp;Col=1","No Title Assigned - #15266404924")</f>
        <v/>
      </c>
      <c r="B1713" s="0" t="s">
        <v>2599</v>
      </c>
      <c r="E1713" s="0" t="inlineStr">
        <is>
          <t xml:space="preserve">Mazda</t>
        </is>
      </c>
      <c r="F1713" s="0" t="s">
        <v>28</v>
      </c>
      <c r="G1713" s="0" t="s">
        <v>29</v>
      </c>
      <c r="H1713" s="5">
        <v>2989.217000</v>
      </c>
    </row>
    <row r="1714" spans="1:9">
      <c r="A1714" s="22" t="str">
        <f>HYPERLINK("https://app.vivvix.com/360/KMI/IntelliDrive/ApplUI/Pages/CreativePages/CustomReportCreativeDetail.aspx?App=23&amp;ReportView=4&amp;Qid=1711279&amp;Row=1706&amp;Col=1","No Title Assigned - #15266404991")</f>
        <v/>
      </c>
      <c r="B1714" s="0" t="s">
        <v>2601</v>
      </c>
      <c r="C1714" s="0" t="s">
        <v>2602</v>
      </c>
      <c r="D1714" s="0" t="s">
        <v>2602</v>
      </c>
      <c r="E1714" s="0" t="inlineStr">
        <is>
          <t xml:space="preserve">Mazda</t>
        </is>
      </c>
      <c r="F1714" s="0" t="s">
        <v>28</v>
      </c>
      <c r="G1714" s="0" t="s">
        <v>29</v>
      </c>
      <c r="H1714" s="5">
        <v>10311.042000</v>
      </c>
    </row>
    <row r="1715" spans="1:9">
      <c r="A1715" s="22" t="str">
        <f>HYPERLINK("https://app.vivvix.com/360/KMI/IntelliDrive/ApplUI/Pages/CreativePages/CustomReportCreativeDetail.aspx?App=23&amp;ReportView=4&amp;Qid=1711279&amp;Row=1707&amp;Col=1","No Title Assigned - #15266405005")</f>
        <v/>
      </c>
      <c r="B1715" s="0" t="s">
        <v>2603</v>
      </c>
      <c r="C1715" s="0" t="s">
        <v>2604</v>
      </c>
      <c r="D1715" s="0" t="s">
        <v>2604</v>
      </c>
      <c r="E1715" s="0" t="inlineStr">
        <is>
          <t xml:space="preserve">Mazda</t>
        </is>
      </c>
      <c r="F1715" s="0" t="s">
        <v>28</v>
      </c>
      <c r="G1715" s="0" t="s">
        <v>29</v>
      </c>
      <c r="H1715" s="5">
        <v>16926.190300</v>
      </c>
    </row>
    <row r="1716" spans="1:9">
      <c r="A1716" s="22" t="str">
        <f>HYPERLINK("https://app.vivvix.com/360/KMI/IntelliDrive/ApplUI/Pages/CreativePages/CustomReportCreativeDetail.aspx?App=23&amp;ReportView=4&amp;Qid=1711279&amp;Row=1708&amp;Col=1","No Title Assigned - #15266405062")</f>
        <v/>
      </c>
      <c r="B1716" s="0" t="s">
        <v>2605</v>
      </c>
      <c r="C1716" s="0" t="s">
        <v>2606</v>
      </c>
      <c r="D1716" s="0" t="s">
        <v>2606</v>
      </c>
      <c r="E1716" s="0" t="inlineStr">
        <is>
          <t xml:space="preserve">Mazda</t>
        </is>
      </c>
      <c r="F1716" s="0" t="s">
        <v>28</v>
      </c>
      <c r="G1716" s="0" t="s">
        <v>29</v>
      </c>
      <c r="H1716" s="5">
        <v>526.684300</v>
      </c>
    </row>
    <row r="1717" spans="1:9">
      <c r="A1717" s="22" t="str">
        <f>HYPERLINK("https://app.vivvix.com/360/KMI/IntelliDrive/ApplUI/Pages/CreativePages/CustomReportCreativeDetail.aspx?App=23&amp;ReportView=4&amp;Qid=1711279&amp;Row=1709&amp;Col=1","No Title Assigned - #15266405682")</f>
        <v/>
      </c>
      <c r="B1717" s="0" t="s">
        <v>2607</v>
      </c>
      <c r="C1717" s="0" t="s">
        <v>2608</v>
      </c>
      <c r="D1717" s="0" t="s">
        <v>2608</v>
      </c>
      <c r="E1717" s="0" t="inlineStr">
        <is>
          <t xml:space="preserve">Mazda</t>
        </is>
      </c>
      <c r="F1717" s="0" t="s">
        <v>28</v>
      </c>
      <c r="G1717" s="0" t="s">
        <v>29</v>
      </c>
      <c r="H1717" s="5">
        <v>19.588400</v>
      </c>
    </row>
    <row r="1718" spans="1:9">
      <c r="A1718" s="22" t="str">
        <f>HYPERLINK("https://app.vivvix.com/360/KMI/IntelliDrive/ApplUI/Pages/CreativePages/CustomReportCreativeDetail.aspx?App=23&amp;ReportView=4&amp;Qid=1711279&amp;Row=1710&amp;Col=1","No Title Assigned - #15266406242")</f>
        <v/>
      </c>
      <c r="B1718" s="0" t="s">
        <v>2609</v>
      </c>
      <c r="C1718" s="0" t="s">
        <v>2610</v>
      </c>
      <c r="D1718" s="0" t="s">
        <v>2610</v>
      </c>
      <c r="E1718" s="0" t="inlineStr">
        <is>
          <t xml:space="preserve">Mazda</t>
        </is>
      </c>
      <c r="F1718" s="0" t="s">
        <v>28</v>
      </c>
      <c r="G1718" s="0" t="s">
        <v>29</v>
      </c>
      <c r="H1718" s="5">
        <v>593.794200</v>
      </c>
    </row>
    <row r="1719" spans="1:9">
      <c r="A1719" s="22" t="str">
        <f>HYPERLINK("https://app.vivvix.com/360/KMI/IntelliDrive/ApplUI/Pages/CreativePages/CustomReportCreativeDetail.aspx?App=23&amp;ReportView=4&amp;Qid=1711279&amp;Row=1711&amp;Col=1","No Title Assigned - #15266406256")</f>
        <v/>
      </c>
      <c r="B1719" s="0" t="s">
        <v>2611</v>
      </c>
      <c r="C1719" s="0" t="s">
        <v>2612</v>
      </c>
      <c r="D1719" s="0" t="s">
        <v>2612</v>
      </c>
      <c r="E1719" s="0" t="inlineStr">
        <is>
          <t xml:space="preserve">Mazda</t>
        </is>
      </c>
      <c r="F1719" s="0" t="s">
        <v>28</v>
      </c>
      <c r="G1719" s="0" t="s">
        <v>29</v>
      </c>
      <c r="H1719" s="5">
        <v>38.276000</v>
      </c>
    </row>
    <row r="1720" spans="1:9">
      <c r="A1720" s="22" t="str">
        <f>HYPERLINK("https://app.vivvix.com/360/KMI/IntelliDrive/ApplUI/Pages/CreativePages/CustomReportCreativeDetail.aspx?App=23&amp;ReportView=4&amp;Qid=1711279&amp;Row=1712&amp;Col=1","No Title Assigned - #15266406257")</f>
        <v/>
      </c>
      <c r="B1720" s="0" t="s">
        <v>2613</v>
      </c>
      <c r="C1720" s="0" t="s">
        <v>2614</v>
      </c>
      <c r="D1720" s="0" t="s">
        <v>2614</v>
      </c>
      <c r="E1720" s="0" t="inlineStr">
        <is>
          <t xml:space="preserve">Mazda</t>
        </is>
      </c>
      <c r="F1720" s="0" t="s">
        <v>28</v>
      </c>
      <c r="G1720" s="0" t="s">
        <v>29</v>
      </c>
      <c r="H1720" s="5">
        <v>46.986900</v>
      </c>
    </row>
    <row r="1721" spans="1:9">
      <c r="A1721" s="22" t="str">
        <f>HYPERLINK("https://app.vivvix.com/360/KMI/IntelliDrive/ApplUI/Pages/CreativePages/CustomReportCreativeDetail.aspx?App=23&amp;ReportView=4&amp;Qid=1711279&amp;Row=1713&amp;Col=1","No Title Assigned - #15266406273")</f>
        <v/>
      </c>
      <c r="B1721" s="0" t="s">
        <v>2615</v>
      </c>
      <c r="C1721" s="0" t="s">
        <v>2616</v>
      </c>
      <c r="D1721" s="0" t="s">
        <v>2616</v>
      </c>
      <c r="E1721" s="0" t="inlineStr">
        <is>
          <t xml:space="preserve">Mazda</t>
        </is>
      </c>
      <c r="F1721" s="0" t="s">
        <v>28</v>
      </c>
      <c r="G1721" s="0" t="s">
        <v>29</v>
      </c>
      <c r="H1721" s="5">
        <v>754.665700</v>
      </c>
    </row>
    <row r="1722" spans="1:9">
      <c r="A1722" s="22" t="str">
        <f>HYPERLINK("https://app.vivvix.com/360/KMI/IntelliDrive/ApplUI/Pages/CreativePages/CustomReportCreativeDetail.aspx?App=23&amp;ReportView=4&amp;Qid=1711279&amp;Row=1714&amp;Col=1","No Title Assigned - #15266406908")</f>
        <v/>
      </c>
      <c r="B1722" s="0" t="s">
        <v>2617</v>
      </c>
      <c r="C1722" s="0" t="s">
        <v>2618</v>
      </c>
      <c r="D1722" s="0" t="s">
        <v>2618</v>
      </c>
      <c r="E1722" s="0" t="inlineStr">
        <is>
          <t xml:space="preserve">Mazda</t>
        </is>
      </c>
      <c r="F1722" s="0" t="s">
        <v>28</v>
      </c>
      <c r="G1722" s="0" t="s">
        <v>29</v>
      </c>
      <c r="H1722" s="5">
        <v>790.586200</v>
      </c>
    </row>
    <row r="1723" spans="1:9">
      <c r="A1723" s="22" t="str">
        <f>HYPERLINK("https://app.vivvix.com/360/KMI/IntelliDrive/ApplUI/Pages/CreativePages/CustomReportCreativeDetail.aspx?App=23&amp;ReportView=4&amp;Qid=1711279&amp;Row=1715&amp;Col=1","No Title Assigned - #15266406908")</f>
        <v/>
      </c>
      <c r="B1723" s="0" t="s">
        <v>2617</v>
      </c>
      <c r="E1723" s="0" t="inlineStr">
        <is>
          <t xml:space="preserve">Mazda</t>
        </is>
      </c>
      <c r="F1723" s="0" t="s">
        <v>28</v>
      </c>
      <c r="G1723" s="0" t="s">
        <v>29</v>
      </c>
      <c r="H1723" s="5">
        <v>2089.083300</v>
      </c>
    </row>
    <row r="1724" spans="1:9">
      <c r="A1724" s="22" t="str">
        <f>HYPERLINK("https://app.vivvix.com/360/KMI/IntelliDrive/ApplUI/Pages/CreativePages/CustomReportCreativeDetail.aspx?App=23&amp;ReportView=4&amp;Qid=1711279&amp;Row=1716&amp;Col=1","No Title Assigned - #15266407077")</f>
        <v/>
      </c>
      <c r="B1724" s="0" t="s">
        <v>2619</v>
      </c>
      <c r="C1724" s="0" t="s">
        <v>2620</v>
      </c>
      <c r="D1724" s="0" t="s">
        <v>2620</v>
      </c>
      <c r="E1724" s="0" t="inlineStr">
        <is>
          <t xml:space="preserve">Mazda</t>
        </is>
      </c>
      <c r="F1724" s="0" t="s">
        <v>28</v>
      </c>
      <c r="G1724" s="0" t="s">
        <v>29</v>
      </c>
      <c r="H1724" s="5">
        <v>502.679400</v>
      </c>
    </row>
    <row r="1725" spans="1:9">
      <c r="A1725" s="22" t="str">
        <f>HYPERLINK("https://app.vivvix.com/360/KMI/IntelliDrive/ApplUI/Pages/CreativePages/CustomReportCreativeDetail.aspx?App=23&amp;ReportView=4&amp;Qid=1711279&amp;Row=1717&amp;Col=1","No Title Assigned - #15266407774")</f>
        <v/>
      </c>
      <c r="B1725" s="0" t="s">
        <v>2621</v>
      </c>
      <c r="C1725" s="0" t="s">
        <v>2622</v>
      </c>
      <c r="D1725" s="0" t="s">
        <v>2622</v>
      </c>
      <c r="E1725" s="0" t="inlineStr">
        <is>
          <t xml:space="preserve">Mazda</t>
        </is>
      </c>
      <c r="F1725" s="0" t="s">
        <v>28</v>
      </c>
      <c r="G1725" s="0" t="s">
        <v>29</v>
      </c>
      <c r="H1725" s="5">
        <v>706.163100</v>
      </c>
    </row>
    <row r="1726" spans="1:9">
      <c r="A1726" s="22" t="str">
        <f>HYPERLINK("https://app.vivvix.com/360/KMI/IntelliDrive/ApplUI/Pages/CreativePages/CustomReportCreativeDetail.aspx?App=23&amp;ReportView=4&amp;Qid=1711279&amp;Row=1718&amp;Col=1","No Title Assigned - #15266407829")</f>
        <v/>
      </c>
      <c r="B1726" s="0" t="s">
        <v>2623</v>
      </c>
      <c r="E1726" s="0" t="inlineStr">
        <is>
          <t xml:space="preserve">Mazda</t>
        </is>
      </c>
      <c r="F1726" s="0" t="inlineStr">
        <is>
          <t xml:space="preserve">Mazda</t>
        </is>
      </c>
      <c r="G1726" s="0" t="s">
        <v>171</v>
      </c>
      <c r="H1726" s="5">
        <v>3747.078900</v>
      </c>
    </row>
    <row r="1727" spans="1:9">
      <c r="A1727" s="22" t="str">
        <f>HYPERLINK("https://app.vivvix.com/360/KMI/IntelliDrive/ApplUI/Pages/CreativePages/CustomReportCreativeDetail.aspx?App=23&amp;ReportView=4&amp;Qid=1711279&amp;Row=1719&amp;Col=1","No Title Assigned - #15266408002")</f>
        <v/>
      </c>
      <c r="B1727" s="0" t="s">
        <v>2624</v>
      </c>
      <c r="C1727" s="0" t="s">
        <v>2625</v>
      </c>
      <c r="D1727" s="0" t="s">
        <v>2625</v>
      </c>
      <c r="E1727" s="0" t="inlineStr">
        <is>
          <t xml:space="preserve">Mazda</t>
        </is>
      </c>
      <c r="F1727" s="0" t="s">
        <v>28</v>
      </c>
      <c r="G1727" s="0" t="s">
        <v>29</v>
      </c>
      <c r="H1727" s="5">
        <v>3121.313000</v>
      </c>
    </row>
    <row r="1728" spans="1:9">
      <c r="A1728" s="22" t="str">
        <f>HYPERLINK("https://app.vivvix.com/360/KMI/IntelliDrive/ApplUI/Pages/CreativePages/CustomReportCreativeDetail.aspx?App=23&amp;ReportView=4&amp;Qid=1711279&amp;Row=1720&amp;Col=1","No Title Assigned - #15266408002")</f>
        <v/>
      </c>
      <c r="B1728" s="0" t="s">
        <v>2624</v>
      </c>
      <c r="E1728" s="0" t="inlineStr">
        <is>
          <t xml:space="preserve">Mazda</t>
        </is>
      </c>
      <c r="F1728" s="0" t="s">
        <v>28</v>
      </c>
      <c r="G1728" s="0" t="s">
        <v>29</v>
      </c>
      <c r="H1728" s="5">
        <v>30116.746100</v>
      </c>
    </row>
    <row r="1729" spans="1:9">
      <c r="A1729" s="22" t="str">
        <f>HYPERLINK("https://app.vivvix.com/360/KMI/IntelliDrive/ApplUI/Pages/CreativePages/CustomReportCreativeDetail.aspx?App=23&amp;ReportView=4&amp;Qid=1711279&amp;Row=1721&amp;Col=1","No Title Assigned - #15266408018")</f>
        <v/>
      </c>
      <c r="B1729" s="0" t="s">
        <v>2626</v>
      </c>
      <c r="C1729" s="0" t="s">
        <v>2627</v>
      </c>
      <c r="D1729" s="0" t="s">
        <v>2415</v>
      </c>
      <c r="E1729" s="0" t="inlineStr">
        <is>
          <t xml:space="preserve">Mazda</t>
        </is>
      </c>
      <c r="F1729" s="0" t="s">
        <v>28</v>
      </c>
      <c r="G1729" s="0" t="s">
        <v>29</v>
      </c>
      <c r="H1729" s="5">
        <v>463.132000</v>
      </c>
    </row>
    <row r="1730" spans="1:9">
      <c r="A1730" s="22" t="str">
        <f>HYPERLINK("https://app.vivvix.com/360/KMI/IntelliDrive/ApplUI/Pages/CreativePages/CustomReportCreativeDetail.aspx?App=23&amp;ReportView=4&amp;Qid=1711279&amp;Row=1722&amp;Col=1","No Title Assigned - #15266408928")</f>
        <v/>
      </c>
      <c r="B1730" s="0" t="s">
        <v>2628</v>
      </c>
      <c r="C1730" s="0" t="s">
        <v>2629</v>
      </c>
      <c r="D1730" s="0" t="s">
        <v>2629</v>
      </c>
      <c r="E1730" s="0" t="inlineStr">
        <is>
          <t xml:space="preserve">Mazda</t>
        </is>
      </c>
      <c r="F1730" s="0" t="s">
        <v>28</v>
      </c>
      <c r="G1730" s="0" t="s">
        <v>29</v>
      </c>
      <c r="H1730" s="5">
        <v>14421.620700</v>
      </c>
    </row>
    <row r="1731" spans="1:9">
      <c r="A1731" s="22" t="str">
        <f>HYPERLINK("https://app.vivvix.com/360/KMI/IntelliDrive/ApplUI/Pages/CreativePages/CustomReportCreativeDetail.aspx?App=23&amp;ReportView=4&amp;Qid=1711279&amp;Row=1723&amp;Col=1","No Title Assigned - #15266408928")</f>
        <v/>
      </c>
      <c r="B1731" s="0" t="s">
        <v>2628</v>
      </c>
      <c r="E1731" s="0" t="inlineStr">
        <is>
          <t xml:space="preserve">Mazda</t>
        </is>
      </c>
      <c r="F1731" s="0" t="s">
        <v>28</v>
      </c>
      <c r="G1731" s="0" t="s">
        <v>29</v>
      </c>
      <c r="H1731" s="5">
        <v>87227.752400</v>
      </c>
    </row>
    <row r="1732" spans="1:9">
      <c r="A1732" s="22" t="str">
        <f>HYPERLINK("https://app.vivvix.com/360/KMI/IntelliDrive/ApplUI/Pages/CreativePages/CustomReportCreativeDetail.aspx?App=23&amp;ReportView=4&amp;Qid=1711279&amp;Row=1724&amp;Col=1","No Title Assigned - #15266409080")</f>
        <v/>
      </c>
      <c r="B1732" s="0" t="s">
        <v>2630</v>
      </c>
      <c r="C1732" s="0" t="s">
        <v>2631</v>
      </c>
      <c r="D1732" s="0" t="s">
        <v>2631</v>
      </c>
      <c r="E1732" s="0" t="inlineStr">
        <is>
          <t xml:space="preserve">Mazda</t>
        </is>
      </c>
      <c r="F1732" s="0" t="s">
        <v>28</v>
      </c>
      <c r="G1732" s="0" t="s">
        <v>29</v>
      </c>
      <c r="H1732" s="5">
        <v>4859.439000</v>
      </c>
    </row>
    <row r="1733" spans="1:9">
      <c r="A1733" s="22" t="str">
        <f>HYPERLINK("https://app.vivvix.com/360/KMI/IntelliDrive/ApplUI/Pages/CreativePages/CustomReportCreativeDetail.aspx?App=23&amp;ReportView=4&amp;Qid=1711279&amp;Row=1725&amp;Col=1","No Title Assigned - #15266410819")</f>
        <v/>
      </c>
      <c r="B1733" s="0" t="s">
        <v>2632</v>
      </c>
      <c r="C1733" s="0" t="s">
        <v>2633</v>
      </c>
      <c r="D1733" s="0" t="s">
        <v>2633</v>
      </c>
      <c r="E1733" s="0" t="inlineStr">
        <is>
          <t xml:space="preserve">Mazda</t>
        </is>
      </c>
      <c r="F1733" s="0" t="s">
        <v>28</v>
      </c>
      <c r="G1733" s="0" t="s">
        <v>29</v>
      </c>
      <c r="H1733" s="5">
        <v>424.664600</v>
      </c>
    </row>
    <row r="1734" spans="1:9">
      <c r="A1734" s="22" t="str">
        <f>HYPERLINK("https://app.vivvix.com/360/KMI/IntelliDrive/ApplUI/Pages/CreativePages/CustomReportCreativeDetail.aspx?App=23&amp;ReportView=4&amp;Qid=1711279&amp;Row=1726&amp;Col=1","No Title Assigned - #15266411538")</f>
        <v/>
      </c>
      <c r="B1734" s="0" t="s">
        <v>2634</v>
      </c>
      <c r="C1734" s="0" t="s">
        <v>2635</v>
      </c>
      <c r="D1734" s="0" t="s">
        <v>2635</v>
      </c>
      <c r="E1734" s="0" t="inlineStr">
        <is>
          <t xml:space="preserve">Mazda</t>
        </is>
      </c>
      <c r="F1734" s="0" t="s">
        <v>28</v>
      </c>
      <c r="G1734" s="0" t="s">
        <v>29</v>
      </c>
      <c r="H1734" s="5">
        <v>811.793600</v>
      </c>
    </row>
    <row r="1735" spans="1:9">
      <c r="A1735" s="22" t="str">
        <f>HYPERLINK("https://app.vivvix.com/360/KMI/IntelliDrive/ApplUI/Pages/CreativePages/CustomReportCreativeDetail.aspx?App=23&amp;ReportView=4&amp;Qid=1711279&amp;Row=1727&amp;Col=1","No Title Assigned - #15266413267")</f>
        <v/>
      </c>
      <c r="B1735" s="0" t="s">
        <v>2636</v>
      </c>
      <c r="C1735" s="0" t="s">
        <v>2637</v>
      </c>
      <c r="D1735" s="0" t="s">
        <v>2637</v>
      </c>
      <c r="E1735" s="0" t="inlineStr">
        <is>
          <t xml:space="preserve">Mazda</t>
        </is>
      </c>
      <c r="F1735" s="0" t="s">
        <v>28</v>
      </c>
      <c r="G1735" s="0" t="s">
        <v>29</v>
      </c>
      <c r="H1735" s="5">
        <v>1050.971700</v>
      </c>
    </row>
    <row r="1736" spans="1:9">
      <c r="A1736" s="22" t="str">
        <f>HYPERLINK("https://app.vivvix.com/360/KMI/IntelliDrive/ApplUI/Pages/CreativePages/CustomReportCreativeDetail.aspx?App=23&amp;ReportView=4&amp;Qid=1711279&amp;Row=1728&amp;Col=1","No Title Assigned - #15266414191")</f>
        <v/>
      </c>
      <c r="B1736" s="0" t="s">
        <v>2638</v>
      </c>
      <c r="E1736" s="0" t="inlineStr">
        <is>
          <t xml:space="preserve">Mazda</t>
        </is>
      </c>
      <c r="F1736" s="0" t="s">
        <v>28</v>
      </c>
      <c r="G1736" s="0" t="s">
        <v>29</v>
      </c>
      <c r="H1736" s="5">
        <v>175.352300</v>
      </c>
    </row>
    <row r="1737" spans="1:9">
      <c r="A1737" s="22" t="str">
        <f>HYPERLINK("https://app.vivvix.com/360/KMI/IntelliDrive/ApplUI/Pages/CreativePages/CustomReportCreativeDetail.aspx?App=23&amp;ReportView=4&amp;Qid=1711279&amp;Row=1729&amp;Col=1","No Title Assigned - #15266414191")</f>
        <v/>
      </c>
      <c r="B1737" s="0" t="s">
        <v>2638</v>
      </c>
      <c r="C1737" s="0" t="s">
        <v>2639</v>
      </c>
      <c r="D1737" s="0" t="s">
        <v>2639</v>
      </c>
      <c r="E1737" s="0" t="inlineStr">
        <is>
          <t xml:space="preserve">Mazda</t>
        </is>
      </c>
      <c r="F1737" s="0" t="s">
        <v>28</v>
      </c>
      <c r="G1737" s="0" t="s">
        <v>29</v>
      </c>
      <c r="H1737" s="5">
        <v>1196.996200</v>
      </c>
    </row>
    <row r="1738" spans="1:9">
      <c r="A1738" s="22" t="str">
        <f>HYPERLINK("https://app.vivvix.com/360/KMI/IntelliDrive/ApplUI/Pages/CreativePages/CustomReportCreativeDetail.aspx?App=23&amp;ReportView=4&amp;Qid=1711279&amp;Row=1730&amp;Col=1","No Title Assigned - #15266415701")</f>
        <v/>
      </c>
      <c r="B1738" s="0" t="s">
        <v>2640</v>
      </c>
      <c r="C1738" s="0" t="s">
        <v>2641</v>
      </c>
      <c r="D1738" s="0" t="s">
        <v>2641</v>
      </c>
      <c r="E1738" s="0" t="inlineStr">
        <is>
          <t xml:space="preserve">Mazda</t>
        </is>
      </c>
      <c r="F1738" s="0" t="s">
        <v>369</v>
      </c>
      <c r="G1738" s="0" t="s">
        <v>370</v>
      </c>
      <c r="H1738" s="5">
        <v>31225.542000</v>
      </c>
    </row>
    <row r="1739" spans="1:9">
      <c r="A1739" s="22" t="str">
        <f>HYPERLINK("https://app.vivvix.com/360/KMI/IntelliDrive/ApplUI/Pages/CreativePages/CustomReportCreativeDetail.aspx?App=23&amp;ReportView=4&amp;Qid=1711279&amp;Row=1731&amp;Col=1","No Title Assigned - #15266415702")</f>
        <v/>
      </c>
      <c r="B1739" s="0" t="s">
        <v>2642</v>
      </c>
      <c r="C1739" s="0" t="s">
        <v>2643</v>
      </c>
      <c r="D1739" s="0" t="s">
        <v>2643</v>
      </c>
      <c r="E1739" s="0" t="inlineStr">
        <is>
          <t xml:space="preserve">Mazda</t>
        </is>
      </c>
      <c r="F1739" s="0" t="s">
        <v>369</v>
      </c>
      <c r="G1739" s="0" t="s">
        <v>2644</v>
      </c>
      <c r="H1739" s="5">
        <v>3706.518000</v>
      </c>
    </row>
    <row r="1740" spans="1:9">
      <c r="A1740" s="22" t="str">
        <f>HYPERLINK("https://app.vivvix.com/360/KMI/IntelliDrive/ApplUI/Pages/CreativePages/CustomReportCreativeDetail.aspx?App=23&amp;ReportView=4&amp;Qid=1711279&amp;Row=1732&amp;Col=1","No Title Assigned - #15266415761")</f>
        <v/>
      </c>
      <c r="B1740" s="0" t="s">
        <v>2645</v>
      </c>
      <c r="C1740" s="0" t="s">
        <v>2646</v>
      </c>
      <c r="D1740" s="0" t="s">
        <v>2646</v>
      </c>
      <c r="E1740" s="0" t="inlineStr">
        <is>
          <t xml:space="preserve">Mazda</t>
        </is>
      </c>
      <c r="F1740" s="0" t="s">
        <v>28</v>
      </c>
      <c r="G1740" s="0" t="s">
        <v>29</v>
      </c>
      <c r="H1740" s="5">
        <v>871.185100</v>
      </c>
    </row>
    <row r="1741" spans="1:9">
      <c r="A1741" s="22" t="str">
        <f>HYPERLINK("https://app.vivvix.com/360/KMI/IntelliDrive/ApplUI/Pages/CreativePages/CustomReportCreativeDetail.aspx?App=23&amp;ReportView=4&amp;Qid=1711279&amp;Row=1733&amp;Col=1","No Title Assigned - #15266416605")</f>
        <v/>
      </c>
      <c r="B1741" s="0" t="s">
        <v>2647</v>
      </c>
      <c r="C1741" s="0" t="s">
        <v>2648</v>
      </c>
      <c r="D1741" s="0" t="s">
        <v>2648</v>
      </c>
      <c r="E1741" s="0" t="inlineStr">
        <is>
          <t xml:space="preserve">Mazda</t>
        </is>
      </c>
      <c r="F1741" s="0" t="s">
        <v>28</v>
      </c>
      <c r="G1741" s="0" t="s">
        <v>29</v>
      </c>
      <c r="H1741" s="5">
        <v>19.588400</v>
      </c>
    </row>
    <row r="1742" spans="1:9">
      <c r="A1742" s="22" t="str">
        <f>HYPERLINK("https://app.vivvix.com/360/KMI/IntelliDrive/ApplUI/Pages/CreativePages/CustomReportCreativeDetail.aspx?App=23&amp;ReportView=4&amp;Qid=1711279&amp;Row=1734&amp;Col=1","No Title Assigned - #15266417435")</f>
        <v/>
      </c>
      <c r="B1742" s="0" t="s">
        <v>2649</v>
      </c>
      <c r="C1742" s="0" t="s">
        <v>2650</v>
      </c>
      <c r="D1742" s="0" t="s">
        <v>2650</v>
      </c>
      <c r="E1742" s="0" t="inlineStr">
        <is>
          <t xml:space="preserve">Mazda</t>
        </is>
      </c>
      <c r="F1742" s="0" t="s">
        <v>28</v>
      </c>
      <c r="G1742" s="0" t="s">
        <v>29</v>
      </c>
      <c r="H1742" s="5">
        <v>265.252300</v>
      </c>
    </row>
    <row r="1743" spans="1:9">
      <c r="A1743" s="22" t="str">
        <f>HYPERLINK("https://app.vivvix.com/360/KMI/IntelliDrive/ApplUI/Pages/CreativePages/CustomReportCreativeDetail.aspx?App=23&amp;ReportView=4&amp;Qid=1711279&amp;Row=1735&amp;Col=1","No Title Assigned - #15266417435")</f>
        <v/>
      </c>
      <c r="B1743" s="0" t="s">
        <v>2649</v>
      </c>
      <c r="E1743" s="0" t="inlineStr">
        <is>
          <t xml:space="preserve">Mazda</t>
        </is>
      </c>
      <c r="F1743" s="0" t="s">
        <v>28</v>
      </c>
      <c r="G1743" s="0" t="s">
        <v>29</v>
      </c>
      <c r="H1743" s="5">
        <v>2225.434100</v>
      </c>
    </row>
    <row r="1744" spans="1:9">
      <c r="A1744" s="22" t="str">
        <f>HYPERLINK("https://app.vivvix.com/360/KMI/IntelliDrive/ApplUI/Pages/CreativePages/CustomReportCreativeDetail.aspx?App=23&amp;ReportView=4&amp;Qid=1711279&amp;Row=1736&amp;Col=1","No Title Assigned - #15266417860")</f>
        <v/>
      </c>
      <c r="B1744" s="0" t="s">
        <v>2651</v>
      </c>
      <c r="C1744" s="0" t="s">
        <v>2652</v>
      </c>
      <c r="D1744" s="0" t="s">
        <v>2652</v>
      </c>
      <c r="E1744" s="0" t="inlineStr">
        <is>
          <t xml:space="preserve">Mazda</t>
        </is>
      </c>
      <c r="F1744" s="0" t="s">
        <v>28</v>
      </c>
      <c r="G1744" s="0" t="s">
        <v>29</v>
      </c>
      <c r="H1744" s="5">
        <v>5379.797300</v>
      </c>
    </row>
    <row r="1745" spans="1:9">
      <c r="A1745" s="22" t="str">
        <f>HYPERLINK("https://app.vivvix.com/360/KMI/IntelliDrive/ApplUI/Pages/CreativePages/CustomReportCreativeDetail.aspx?App=23&amp;ReportView=4&amp;Qid=1711279&amp;Row=1737&amp;Col=1","No Title Assigned - #15266417860")</f>
        <v/>
      </c>
      <c r="B1745" s="0" t="s">
        <v>2651</v>
      </c>
      <c r="E1745" s="0" t="inlineStr">
        <is>
          <t xml:space="preserve">Mazda</t>
        </is>
      </c>
      <c r="F1745" s="0" t="s">
        <v>28</v>
      </c>
      <c r="G1745" s="0" t="s">
        <v>29</v>
      </c>
      <c r="H1745" s="5">
        <v>206.805100</v>
      </c>
    </row>
    <row r="1746" spans="1:9">
      <c r="A1746" s="22" t="str">
        <f>HYPERLINK("https://app.vivvix.com/360/KMI/IntelliDrive/ApplUI/Pages/CreativePages/CustomReportCreativeDetail.aspx?App=23&amp;ReportView=4&amp;Qid=1711279&amp;Row=1738&amp;Col=1","No Title Assigned - #15266418286")</f>
        <v/>
      </c>
      <c r="B1746" s="0" t="s">
        <v>2653</v>
      </c>
      <c r="C1746" s="0" t="s">
        <v>2654</v>
      </c>
      <c r="D1746" s="0" t="s">
        <v>2150</v>
      </c>
      <c r="E1746" s="0" t="inlineStr">
        <is>
          <t xml:space="preserve">Mazda</t>
        </is>
      </c>
      <c r="F1746" s="0" t="s">
        <v>28</v>
      </c>
      <c r="G1746" s="0" t="s">
        <v>29</v>
      </c>
      <c r="H1746" s="5">
        <v>4859.439000</v>
      </c>
    </row>
    <row r="1747" spans="1:9">
      <c r="A1747" s="22" t="str">
        <f>HYPERLINK("https://app.vivvix.com/360/KMI/IntelliDrive/ApplUI/Pages/CreativePages/CustomReportCreativeDetail.aspx?App=23&amp;ReportView=4&amp;Qid=1711279&amp;Row=1739&amp;Col=1","No Title Assigned - #15266418625")</f>
        <v/>
      </c>
      <c r="B1747" s="0" t="s">
        <v>2655</v>
      </c>
      <c r="C1747" s="0" t="s">
        <v>2656</v>
      </c>
      <c r="D1747" s="0" t="s">
        <v>2656</v>
      </c>
      <c r="E1747" s="0" t="inlineStr">
        <is>
          <t xml:space="preserve">Mazda</t>
        </is>
      </c>
      <c r="F1747" s="0" t="s">
        <v>28</v>
      </c>
      <c r="G1747" s="0" t="s">
        <v>29</v>
      </c>
      <c r="H1747" s="5">
        <v>10739.697700</v>
      </c>
    </row>
    <row r="1748" spans="1:9">
      <c r="A1748" s="22" t="str">
        <f>HYPERLINK("https://app.vivvix.com/360/KMI/IntelliDrive/ApplUI/Pages/CreativePages/CustomReportCreativeDetail.aspx?App=23&amp;ReportView=4&amp;Qid=1711279&amp;Row=1740&amp;Col=1","No Title Assigned - #15266419403")</f>
        <v/>
      </c>
      <c r="B1748" s="0" t="s">
        <v>2657</v>
      </c>
      <c r="E1748" s="0" t="inlineStr">
        <is>
          <t xml:space="preserve">Mazda</t>
        </is>
      </c>
      <c r="F1748" s="0" t="s">
        <v>13</v>
      </c>
      <c r="G1748" s="0" t="s">
        <v>49</v>
      </c>
      <c r="H1748" s="5">
        <v>978.363300</v>
      </c>
    </row>
    <row r="1749" spans="1:9">
      <c r="A1749" s="22" t="str">
        <f>HYPERLINK("https://app.vivvix.com/360/KMI/IntelliDrive/ApplUI/Pages/CreativePages/CustomReportCreativeDetail.aspx?App=23&amp;ReportView=4&amp;Qid=1711279&amp;Row=1741&amp;Col=1","No Title Assigned - #15266419403")</f>
        <v/>
      </c>
      <c r="B1749" s="0" t="s">
        <v>2657</v>
      </c>
      <c r="C1749" s="0" t="s">
        <v>2658</v>
      </c>
      <c r="D1749" s="0" t="s">
        <v>2658</v>
      </c>
      <c r="E1749" s="0" t="inlineStr">
        <is>
          <t xml:space="preserve">Mazda</t>
        </is>
      </c>
      <c r="F1749" s="0" t="s">
        <v>13</v>
      </c>
      <c r="G1749" s="0" t="s">
        <v>49</v>
      </c>
      <c r="H1749" s="5">
        <v>11428.706100</v>
      </c>
    </row>
    <row r="1750" spans="1:9">
      <c r="A1750" s="22" t="str">
        <f>HYPERLINK("https://app.vivvix.com/360/KMI/IntelliDrive/ApplUI/Pages/CreativePages/CustomReportCreativeDetail.aspx?App=23&amp;ReportView=4&amp;Qid=1711279&amp;Row=1742&amp;Col=1","No Title Assigned - #15266419504")</f>
        <v/>
      </c>
      <c r="B1750" s="0" t="s">
        <v>2659</v>
      </c>
      <c r="C1750" s="0" t="s">
        <v>2660</v>
      </c>
      <c r="D1750" s="0" t="s">
        <v>2660</v>
      </c>
      <c r="E1750" s="0" t="inlineStr">
        <is>
          <t xml:space="preserve">Mazda</t>
        </is>
      </c>
      <c r="F1750" s="0" t="inlineStr">
        <is>
          <t xml:space="preserve">Mazda</t>
        </is>
      </c>
      <c r="G1750" s="0" t="s">
        <v>171</v>
      </c>
      <c r="H1750" s="5">
        <v>39.006000</v>
      </c>
    </row>
    <row r="1751" spans="1:9">
      <c r="A1751" s="22" t="str">
        <f>HYPERLINK("https://app.vivvix.com/360/KMI/IntelliDrive/ApplUI/Pages/CreativePages/CustomReportCreativeDetail.aspx?App=23&amp;ReportView=4&amp;Qid=1711279&amp;Row=1743&amp;Col=1","No Title Assigned - #15266419801")</f>
        <v/>
      </c>
      <c r="B1751" s="0" t="s">
        <v>2661</v>
      </c>
      <c r="E1751" s="0" t="inlineStr">
        <is>
          <t xml:space="preserve">Mazda</t>
        </is>
      </c>
      <c r="F1751" s="0" t="inlineStr">
        <is>
          <t xml:space="preserve">Mazda</t>
        </is>
      </c>
      <c r="G1751" s="0" t="s">
        <v>171</v>
      </c>
      <c r="H1751" s="5">
        <v>2162.411100</v>
      </c>
    </row>
    <row r="1752" spans="1:9">
      <c r="A1752" s="22" t="str">
        <f>HYPERLINK("https://app.vivvix.com/360/KMI/IntelliDrive/ApplUI/Pages/CreativePages/CustomReportCreativeDetail.aspx?App=23&amp;ReportView=4&amp;Qid=1711279&amp;Row=1744&amp;Col=1","No Title Assigned - #15266419801")</f>
        <v/>
      </c>
      <c r="B1752" s="0" t="s">
        <v>2661</v>
      </c>
      <c r="C1752" s="0" t="s">
        <v>2662</v>
      </c>
      <c r="D1752" s="0" t="s">
        <v>2662</v>
      </c>
      <c r="E1752" s="0" t="inlineStr">
        <is>
          <t xml:space="preserve">Mazda</t>
        </is>
      </c>
      <c r="F1752" s="0" t="inlineStr">
        <is>
          <t xml:space="preserve">Mazda</t>
        </is>
      </c>
      <c r="G1752" s="0" t="s">
        <v>171</v>
      </c>
    </row>
    <row r="1753" spans="1:9">
      <c r="A1753" s="22" t="str">
        <f>HYPERLINK("https://app.vivvix.com/360/KMI/IntelliDrive/ApplUI/Pages/CreativePages/CustomReportCreativeDetail.aspx?App=23&amp;ReportView=4&amp;Qid=1711279&amp;Row=1745&amp;Col=1","No Title Assigned - #15266420074")</f>
        <v/>
      </c>
      <c r="B1753" s="0" t="s">
        <v>2663</v>
      </c>
      <c r="E1753" s="0" t="inlineStr">
        <is>
          <t xml:space="preserve">Mazda</t>
        </is>
      </c>
      <c r="F1753" s="0" t="inlineStr">
        <is>
          <t xml:space="preserve">Mazda</t>
        </is>
      </c>
      <c r="G1753" s="0" t="s">
        <v>171</v>
      </c>
    </row>
    <row r="1754" spans="1:9">
      <c r="A1754" s="22" t="str">
        <f>HYPERLINK("https://app.vivvix.com/360/KMI/IntelliDrive/ApplUI/Pages/CreativePages/CustomReportCreativeDetail.aspx?App=23&amp;ReportView=4&amp;Qid=1711279&amp;Row=1746&amp;Col=1","No Title Assigned - #15266420281")</f>
        <v/>
      </c>
      <c r="B1754" s="0" t="s">
        <v>2664</v>
      </c>
      <c r="E1754" s="0" t="inlineStr">
        <is>
          <t xml:space="preserve">Mazda</t>
        </is>
      </c>
      <c r="F1754" s="0" t="inlineStr">
        <is>
          <t xml:space="preserve">Mazda</t>
        </is>
      </c>
      <c r="G1754" s="0" t="s">
        <v>171</v>
      </c>
    </row>
    <row r="1755" spans="1:9">
      <c r="A1755" s="22" t="str">
        <f>HYPERLINK("https://app.vivvix.com/360/KMI/IntelliDrive/ApplUI/Pages/CreativePages/CustomReportCreativeDetail.aspx?App=23&amp;ReportView=4&amp;Qid=1711279&amp;Row=1747&amp;Col=1","No Title Assigned - #15266420791")</f>
        <v/>
      </c>
      <c r="B1755" s="0" t="s">
        <v>2665</v>
      </c>
      <c r="C1755" s="0" t="s">
        <v>2666</v>
      </c>
      <c r="D1755" s="0" t="s">
        <v>2666</v>
      </c>
      <c r="E1755" s="0" t="inlineStr">
        <is>
          <t xml:space="preserve">Mazda</t>
        </is>
      </c>
      <c r="F1755" s="0" t="inlineStr">
        <is>
          <t xml:space="preserve">Mazda</t>
        </is>
      </c>
      <c r="G1755" s="0" t="s">
        <v>171</v>
      </c>
    </row>
    <row r="1756" spans="1:9">
      <c r="A1756" s="22" t="str">
        <f>HYPERLINK("https://app.vivvix.com/360/KMI/IntelliDrive/ApplUI/Pages/CreativePages/CustomReportCreativeDetail.aspx?App=23&amp;ReportView=4&amp;Qid=1711279&amp;Row=1748&amp;Col=1","No Title Assigned - #15266421071")</f>
        <v/>
      </c>
      <c r="B1756" s="0" t="s">
        <v>2667</v>
      </c>
      <c r="C1756" s="0" t="s">
        <v>2668</v>
      </c>
      <c r="D1756" s="0" t="s">
        <v>2668</v>
      </c>
      <c r="E1756" s="0" t="inlineStr">
        <is>
          <t xml:space="preserve">Mazda</t>
        </is>
      </c>
      <c r="F1756" s="0" t="inlineStr">
        <is>
          <t xml:space="preserve">Mazda</t>
        </is>
      </c>
      <c r="G1756" s="0" t="s">
        <v>171</v>
      </c>
      <c r="H1756" s="5">
        <v>237.738000</v>
      </c>
    </row>
    <row r="1757" spans="1:9">
      <c r="A1757" s="22" t="str">
        <f>HYPERLINK("https://app.vivvix.com/360/KMI/IntelliDrive/ApplUI/Pages/CreativePages/CustomReportCreativeDetail.aspx?App=23&amp;ReportView=4&amp;Qid=1711279&amp;Row=1749&amp;Col=1","No Title Assigned - #15266422248")</f>
        <v/>
      </c>
      <c r="B1757" s="0" t="s">
        <v>2669</v>
      </c>
      <c r="E1757" s="0" t="inlineStr">
        <is>
          <t xml:space="preserve">Mazda</t>
        </is>
      </c>
      <c r="F1757" s="0" t="inlineStr">
        <is>
          <t xml:space="preserve">Mazda</t>
        </is>
      </c>
      <c r="G1757" s="0" t="s">
        <v>171</v>
      </c>
    </row>
    <row r="1758" spans="1:9">
      <c r="A1758" s="22" t="str">
        <f>HYPERLINK("https://app.vivvix.com/360/KMI/IntelliDrive/ApplUI/Pages/CreativePages/CustomReportCreativeDetail.aspx?App=23&amp;ReportView=4&amp;Qid=1711279&amp;Row=1750&amp;Col=1","No Title Assigned - #15266422456")</f>
        <v/>
      </c>
      <c r="B1758" s="0" t="s">
        <v>2670</v>
      </c>
      <c r="C1758" s="0" t="s">
        <v>2671</v>
      </c>
      <c r="D1758" s="0" t="s">
        <v>2671</v>
      </c>
      <c r="E1758" s="0" t="inlineStr">
        <is>
          <t xml:space="preserve">Mazda</t>
        </is>
      </c>
      <c r="F1758" s="0" t="inlineStr">
        <is>
          <t xml:space="preserve">Mazda</t>
        </is>
      </c>
      <c r="G1758" s="0" t="s">
        <v>171</v>
      </c>
    </row>
    <row r="1759" spans="1:9">
      <c r="A1759" s="22" t="str">
        <f>HYPERLINK("https://app.vivvix.com/360/KMI/IntelliDrive/ApplUI/Pages/CreativePages/CustomReportCreativeDetail.aspx?App=23&amp;ReportView=4&amp;Qid=1711279&amp;Row=1751&amp;Col=1","No Title Assigned - #15266422533")</f>
        <v/>
      </c>
      <c r="B1759" s="0" t="s">
        <v>2672</v>
      </c>
      <c r="C1759" s="0" t="s">
        <v>2673</v>
      </c>
      <c r="D1759" s="0" t="s">
        <v>2673</v>
      </c>
      <c r="E1759" s="0" t="inlineStr">
        <is>
          <t xml:space="preserve">Mazda</t>
        </is>
      </c>
      <c r="F1759" s="0" t="inlineStr">
        <is>
          <t xml:space="preserve">Mazda</t>
        </is>
      </c>
      <c r="G1759" s="0" t="s">
        <v>171</v>
      </c>
      <c r="H1759" s="5">
        <v>365.084700</v>
      </c>
    </row>
    <row r="1760" spans="1:9">
      <c r="A1760" s="22" t="str">
        <f>HYPERLINK("https://app.vivvix.com/360/KMI/IntelliDrive/ApplUI/Pages/CreativePages/CustomReportCreativeDetail.aspx?App=23&amp;ReportView=4&amp;Qid=1711279&amp;Row=1752&amp;Col=1","No Title Assigned - #15266424013")</f>
        <v/>
      </c>
      <c r="B1760" s="0" t="s">
        <v>2674</v>
      </c>
      <c r="C1760" s="0" t="s">
        <v>2675</v>
      </c>
      <c r="D1760" s="0" t="s">
        <v>2675</v>
      </c>
      <c r="E1760" s="0" t="inlineStr">
        <is>
          <t xml:space="preserve">Mazda</t>
        </is>
      </c>
      <c r="F1760" s="0" t="inlineStr">
        <is>
          <t xml:space="preserve">Mazda</t>
        </is>
      </c>
      <c r="G1760" s="0" t="s">
        <v>171</v>
      </c>
    </row>
    <row r="1761" spans="1:9">
      <c r="A1761" s="22" t="str">
        <f>HYPERLINK("https://app.vivvix.com/360/KMI/IntelliDrive/ApplUI/Pages/CreativePages/CustomReportCreativeDetail.aspx?App=23&amp;ReportView=4&amp;Qid=1711279&amp;Row=1753&amp;Col=1","No Title Assigned - #15266425036")</f>
        <v/>
      </c>
      <c r="B1761" s="0" t="s">
        <v>2676</v>
      </c>
      <c r="C1761" s="0" t="s">
        <v>2677</v>
      </c>
      <c r="D1761" s="0" t="s">
        <v>2677</v>
      </c>
      <c r="E1761" s="0" t="inlineStr">
        <is>
          <t xml:space="preserve">Mazda</t>
        </is>
      </c>
      <c r="F1761" s="0" t="s">
        <v>28</v>
      </c>
      <c r="G1761" s="0" t="s">
        <v>29</v>
      </c>
      <c r="H1761" s="5">
        <v>415.770200</v>
      </c>
    </row>
    <row r="1762" spans="1:9">
      <c r="A1762" s="22" t="str">
        <f>HYPERLINK("https://app.vivvix.com/360/KMI/IntelliDrive/ApplUI/Pages/CreativePages/CustomReportCreativeDetail.aspx?App=23&amp;ReportView=4&amp;Qid=1711279&amp;Row=1754&amp;Col=1","No Title Assigned - #15266425037")</f>
        <v/>
      </c>
      <c r="B1762" s="0" t="s">
        <v>2678</v>
      </c>
      <c r="C1762" s="0" t="s">
        <v>2679</v>
      </c>
      <c r="D1762" s="0" t="s">
        <v>2679</v>
      </c>
      <c r="E1762" s="0" t="inlineStr">
        <is>
          <t xml:space="preserve">Mazda</t>
        </is>
      </c>
      <c r="F1762" s="0" t="s">
        <v>28</v>
      </c>
      <c r="G1762" s="0" t="s">
        <v>29</v>
      </c>
      <c r="H1762" s="5">
        <v>23732.875200</v>
      </c>
    </row>
    <row r="1763" spans="1:9">
      <c r="A1763" s="22" t="str">
        <f>HYPERLINK("https://app.vivvix.com/360/KMI/IntelliDrive/ApplUI/Pages/CreativePages/CustomReportCreativeDetail.aspx?App=23&amp;ReportView=4&amp;Qid=1711279&amp;Row=1755&amp;Col=1","No Title Assigned - #15266425072")</f>
        <v/>
      </c>
      <c r="B1763" s="0" t="s">
        <v>2680</v>
      </c>
      <c r="E1763" s="0" t="inlineStr">
        <is>
          <t xml:space="preserve">Mazda</t>
        </is>
      </c>
      <c r="F1763" s="0" t="s">
        <v>28</v>
      </c>
      <c r="G1763" s="0" t="s">
        <v>29</v>
      </c>
      <c r="H1763" s="5">
        <v>1478.228700</v>
      </c>
    </row>
    <row r="1764" spans="1:9">
      <c r="A1764" s="22" t="str">
        <f>HYPERLINK("https://app.vivvix.com/360/KMI/IntelliDrive/ApplUI/Pages/CreativePages/CustomReportCreativeDetail.aspx?App=23&amp;ReportView=4&amp;Qid=1711279&amp;Row=1756&amp;Col=1","No Title Assigned - #15266426096")</f>
        <v/>
      </c>
      <c r="B1764" s="0" t="s">
        <v>2681</v>
      </c>
      <c r="C1764" s="0" t="s">
        <v>2682</v>
      </c>
      <c r="D1764" s="0" t="s">
        <v>2682</v>
      </c>
      <c r="E1764" s="0" t="inlineStr">
        <is>
          <t xml:space="preserve">Mazda</t>
        </is>
      </c>
      <c r="F1764" s="0" t="s">
        <v>28</v>
      </c>
      <c r="G1764" s="0" t="s">
        <v>29</v>
      </c>
      <c r="H1764" s="5">
        <v>15008.889400</v>
      </c>
    </row>
    <row r="1765" spans="1:9">
      <c r="A1765" s="22" t="str">
        <f>HYPERLINK("https://app.vivvix.com/360/KMI/IntelliDrive/ApplUI/Pages/CreativePages/CustomReportCreativeDetail.aspx?App=23&amp;ReportView=4&amp;Qid=1711279&amp;Row=1757&amp;Col=1","No Title Assigned - #15266426097")</f>
        <v/>
      </c>
      <c r="B1765" s="0" t="s">
        <v>2683</v>
      </c>
      <c r="C1765" s="0" t="s">
        <v>2684</v>
      </c>
      <c r="D1765" s="0" t="s">
        <v>2684</v>
      </c>
      <c r="E1765" s="0" t="inlineStr">
        <is>
          <t xml:space="preserve">Mazda</t>
        </is>
      </c>
      <c r="F1765" s="0" t="s">
        <v>28</v>
      </c>
      <c r="G1765" s="0" t="s">
        <v>29</v>
      </c>
      <c r="H1765" s="5">
        <v>2250.474100</v>
      </c>
    </row>
    <row r="1766" spans="1:9">
      <c r="A1766" s="22" t="str">
        <f>HYPERLINK("https://app.vivvix.com/360/KMI/IntelliDrive/ApplUI/Pages/CreativePages/CustomReportCreativeDetail.aspx?App=23&amp;ReportView=4&amp;Qid=1711279&amp;Row=1758&amp;Col=1","No Title Assigned - #15266426097")</f>
        <v/>
      </c>
      <c r="B1766" s="0" t="s">
        <v>2683</v>
      </c>
      <c r="E1766" s="0" t="inlineStr">
        <is>
          <t xml:space="preserve">Mazda</t>
        </is>
      </c>
      <c r="F1766" s="0" t="s">
        <v>28</v>
      </c>
      <c r="G1766" s="0" t="s">
        <v>29</v>
      </c>
      <c r="H1766" s="5">
        <v>41245.374100</v>
      </c>
    </row>
    <row r="1767" spans="1:9">
      <c r="A1767" s="22" t="str">
        <f>HYPERLINK("https://app.vivvix.com/360/KMI/IntelliDrive/ApplUI/Pages/CreativePages/CustomReportCreativeDetail.aspx?App=23&amp;ReportView=4&amp;Qid=1711279&amp;Row=1759&amp;Col=1","No Title Assigned - #15266426438")</f>
        <v/>
      </c>
      <c r="B1767" s="0" t="s">
        <v>2685</v>
      </c>
      <c r="C1767" s="0" t="s">
        <v>2686</v>
      </c>
      <c r="D1767" s="0" t="s">
        <v>2686</v>
      </c>
      <c r="E1767" s="0" t="inlineStr">
        <is>
          <t xml:space="preserve">Mazda</t>
        </is>
      </c>
      <c r="F1767" s="0" t="inlineStr">
        <is>
          <t xml:space="preserve">Mazda</t>
        </is>
      </c>
      <c r="G1767" s="0" t="s">
        <v>171</v>
      </c>
    </row>
    <row r="1768" spans="1:9">
      <c r="A1768" s="22" t="str">
        <f>HYPERLINK("https://app.vivvix.com/360/KMI/IntelliDrive/ApplUI/Pages/CreativePages/CustomReportCreativeDetail.aspx?App=23&amp;ReportView=4&amp;Qid=1711279&amp;Row=1760&amp;Col=1","No Title Assigned - #15266426486")</f>
        <v/>
      </c>
      <c r="B1768" s="0" t="s">
        <v>2687</v>
      </c>
      <c r="E1768" s="0" t="inlineStr">
        <is>
          <t xml:space="preserve">Mazda</t>
        </is>
      </c>
      <c r="F1768" s="0" t="inlineStr">
        <is>
          <t xml:space="preserve">Mazda</t>
        </is>
      </c>
      <c r="G1768" s="0" t="s">
        <v>171</v>
      </c>
    </row>
    <row r="1769" spans="1:9">
      <c r="A1769" s="22" t="str">
        <f>HYPERLINK("https://app.vivvix.com/360/KMI/IntelliDrive/ApplUI/Pages/CreativePages/CustomReportCreativeDetail.aspx?App=23&amp;ReportView=4&amp;Qid=1711279&amp;Row=1761&amp;Col=1","No Title Assigned - #15266426980")</f>
        <v/>
      </c>
      <c r="B1769" s="0" t="s">
        <v>2688</v>
      </c>
      <c r="E1769" s="0" t="inlineStr">
        <is>
          <t xml:space="preserve">Mazda</t>
        </is>
      </c>
      <c r="F1769" s="0" t="inlineStr">
        <is>
          <t xml:space="preserve">Mazda</t>
        </is>
      </c>
      <c r="G1769" s="0" t="s">
        <v>171</v>
      </c>
      <c r="H1769" s="5">
        <v>1490.048300</v>
      </c>
    </row>
    <row r="1770" spans="1:9">
      <c r="A1770" s="22" t="str">
        <f>HYPERLINK("https://app.vivvix.com/360/KMI/IntelliDrive/ApplUI/Pages/CreativePages/CustomReportCreativeDetail.aspx?App=23&amp;ReportView=4&amp;Qid=1711279&amp;Row=1762&amp;Col=1","No Title Assigned - #15266426980")</f>
        <v/>
      </c>
      <c r="B1770" s="0" t="s">
        <v>2688</v>
      </c>
      <c r="E1770" s="0" t="inlineStr">
        <is>
          <t xml:space="preserve">Mazda</t>
        </is>
      </c>
      <c r="F1770" s="0" t="inlineStr">
        <is>
          <t xml:space="preserve">Mazda</t>
        </is>
      </c>
      <c r="G1770" s="0" t="s">
        <v>171</v>
      </c>
      <c r="H1770" s="5">
        <v>205.230600</v>
      </c>
    </row>
    <row r="1771" spans="1:9">
      <c r="A1771" s="22" t="str">
        <f>HYPERLINK("https://app.vivvix.com/360/KMI/IntelliDrive/ApplUI/Pages/CreativePages/CustomReportCreativeDetail.aspx?App=23&amp;ReportView=4&amp;Qid=1711279&amp;Row=1763&amp;Col=1","No Title Assigned - #15266427606")</f>
        <v/>
      </c>
      <c r="B1771" s="0" t="s">
        <v>2689</v>
      </c>
      <c r="C1771" s="0" t="s">
        <v>2690</v>
      </c>
      <c r="D1771" s="0" t="s">
        <v>2690</v>
      </c>
      <c r="E1771" s="0" t="inlineStr">
        <is>
          <t xml:space="preserve">Mazda</t>
        </is>
      </c>
      <c r="F1771" s="0" t="s">
        <v>13</v>
      </c>
      <c r="G1771" s="0" t="s">
        <v>49</v>
      </c>
      <c r="H1771" s="5">
        <v>38.276000</v>
      </c>
    </row>
    <row r="1772" spans="1:9">
      <c r="A1772" s="22" t="str">
        <f>HYPERLINK("https://app.vivvix.com/360/KMI/IntelliDrive/ApplUI/Pages/CreativePages/CustomReportCreativeDetail.aspx?App=23&amp;ReportView=4&amp;Qid=1711279&amp;Row=1764&amp;Col=1","No Title Assigned - #15266428375")</f>
        <v/>
      </c>
      <c r="B1772" s="0" t="s">
        <v>2691</v>
      </c>
      <c r="E1772" s="0" t="inlineStr">
        <is>
          <t xml:space="preserve">Mazda</t>
        </is>
      </c>
      <c r="F1772" s="0" t="inlineStr">
        <is>
          <t xml:space="preserve">Mazda</t>
        </is>
      </c>
      <c r="G1772" s="0" t="s">
        <v>171</v>
      </c>
      <c r="H1772" s="5">
        <v>2257.966500</v>
      </c>
    </row>
    <row r="1773" spans="1:9">
      <c r="A1773" s="22" t="str">
        <f>HYPERLINK("https://app.vivvix.com/360/KMI/IntelliDrive/ApplUI/Pages/CreativePages/CustomReportCreativeDetail.aspx?App=23&amp;ReportView=4&amp;Qid=1711279&amp;Row=1765&amp;Col=1","No Title Assigned - #15266428375")</f>
        <v/>
      </c>
      <c r="B1773" s="0" t="s">
        <v>2691</v>
      </c>
      <c r="E1773" s="0" t="inlineStr">
        <is>
          <t xml:space="preserve">Mazda</t>
        </is>
      </c>
      <c r="F1773" s="0" t="inlineStr">
        <is>
          <t xml:space="preserve">Mazda</t>
        </is>
      </c>
      <c r="G1773" s="0" t="s">
        <v>171</v>
      </c>
      <c r="H1773" s="5">
        <v>140.933800</v>
      </c>
    </row>
    <row r="1774" spans="1:9">
      <c r="A1774" s="22" t="str">
        <f>HYPERLINK("https://app.vivvix.com/360/KMI/IntelliDrive/ApplUI/Pages/CreativePages/CustomReportCreativeDetail.aspx?App=23&amp;ReportView=4&amp;Qid=1711279&amp;Row=1766&amp;Col=1","No Title Assigned - #15266428649")</f>
        <v/>
      </c>
      <c r="B1774" s="0" t="s">
        <v>2692</v>
      </c>
      <c r="C1774" s="0" t="s">
        <v>2693</v>
      </c>
      <c r="D1774" s="0" t="s">
        <v>2693</v>
      </c>
      <c r="E1774" s="0" t="inlineStr">
        <is>
          <t xml:space="preserve">Mazda</t>
        </is>
      </c>
      <c r="F1774" s="0" t="inlineStr">
        <is>
          <t xml:space="preserve">Mazda</t>
        </is>
      </c>
      <c r="G1774" s="0" t="s">
        <v>171</v>
      </c>
      <c r="H1774" s="5">
        <v>2397.550100</v>
      </c>
    </row>
    <row r="1775" spans="1:9">
      <c r="A1775" s="22" t="str">
        <f>HYPERLINK("https://app.vivvix.com/360/KMI/IntelliDrive/ApplUI/Pages/CreativePages/CustomReportCreativeDetail.aspx?App=23&amp;ReportView=4&amp;Qid=1711279&amp;Row=1767&amp;Col=1","No Title Assigned - #15266428693")</f>
        <v/>
      </c>
      <c r="B1775" s="0" t="s">
        <v>2694</v>
      </c>
      <c r="E1775" s="0" t="inlineStr">
        <is>
          <t xml:space="preserve">Mazda</t>
        </is>
      </c>
      <c r="F1775" s="0" t="inlineStr">
        <is>
          <t xml:space="preserve">Mazda</t>
        </is>
      </c>
      <c r="G1775" s="0" t="s">
        <v>171</v>
      </c>
      <c r="H1775" s="5">
        <v>662.893000</v>
      </c>
    </row>
    <row r="1776" spans="1:9">
      <c r="A1776" s="22" t="str">
        <f>HYPERLINK("https://app.vivvix.com/360/KMI/IntelliDrive/ApplUI/Pages/CreativePages/CustomReportCreativeDetail.aspx?App=23&amp;ReportView=4&amp;Qid=1711279&amp;Row=1768&amp;Col=1","No Title Assigned - #15266428771")</f>
        <v/>
      </c>
      <c r="B1776" s="0" t="s">
        <v>2695</v>
      </c>
      <c r="C1776" s="0" t="s">
        <v>2696</v>
      </c>
      <c r="D1776" s="0" t="s">
        <v>2696</v>
      </c>
      <c r="E1776" s="0" t="inlineStr">
        <is>
          <t xml:space="preserve">Mazda</t>
        </is>
      </c>
      <c r="F1776" s="0" t="inlineStr">
        <is>
          <t xml:space="preserve">Mazda</t>
        </is>
      </c>
      <c r="G1776" s="0" t="s">
        <v>171</v>
      </c>
    </row>
    <row r="1777" spans="1:9">
      <c r="A1777" s="22" t="str">
        <f>HYPERLINK("https://app.vivvix.com/360/KMI/IntelliDrive/ApplUI/Pages/CreativePages/CustomReportCreativeDetail.aspx?App=23&amp;ReportView=4&amp;Qid=1711279&amp;Row=1769&amp;Col=1","No Title Assigned - #15266429160")</f>
        <v/>
      </c>
      <c r="B1777" s="0" t="s">
        <v>2697</v>
      </c>
      <c r="C1777" s="0" t="s">
        <v>2698</v>
      </c>
      <c r="D1777" s="0" t="s">
        <v>2698</v>
      </c>
      <c r="E1777" s="0" t="inlineStr">
        <is>
          <t xml:space="preserve">Mazda</t>
        </is>
      </c>
      <c r="F1777" s="0" t="inlineStr">
        <is>
          <t xml:space="preserve">Mazda</t>
        </is>
      </c>
      <c r="G1777" s="0" t="s">
        <v>171</v>
      </c>
      <c r="H1777" s="5">
        <v>1344.164300</v>
      </c>
    </row>
    <row r="1778" spans="1:9">
      <c r="A1778" s="22" t="str">
        <f>HYPERLINK("https://app.vivvix.com/360/KMI/IntelliDrive/ApplUI/Pages/CreativePages/CustomReportCreativeDetail.aspx?App=23&amp;ReportView=4&amp;Qid=1711279&amp;Row=1770&amp;Col=1","No Title Assigned - #15266429203")</f>
        <v/>
      </c>
      <c r="B1778" s="0" t="s">
        <v>2699</v>
      </c>
      <c r="E1778" s="0" t="inlineStr">
        <is>
          <t xml:space="preserve">Mazda</t>
        </is>
      </c>
      <c r="F1778" s="0" t="inlineStr">
        <is>
          <t xml:space="preserve">Mazda</t>
        </is>
      </c>
      <c r="G1778" s="0" t="s">
        <v>171</v>
      </c>
      <c r="H1778" s="5">
        <v>4086.170500</v>
      </c>
    </row>
    <row r="1779" spans="1:9">
      <c r="A1779" s="22" t="str">
        <f>HYPERLINK("https://app.vivvix.com/360/KMI/IntelliDrive/ApplUI/Pages/CreativePages/CustomReportCreativeDetail.aspx?App=23&amp;ReportView=4&amp;Qid=1711279&amp;Row=1771&amp;Col=1","No Title Assigned - #15266429203")</f>
        <v/>
      </c>
      <c r="B1779" s="0" t="s">
        <v>2699</v>
      </c>
      <c r="E1779" s="0" t="inlineStr">
        <is>
          <t xml:space="preserve">Mazda</t>
        </is>
      </c>
      <c r="F1779" s="0" t="inlineStr">
        <is>
          <t xml:space="preserve">Mazda</t>
        </is>
      </c>
      <c r="G1779" s="0" t="s">
        <v>171</v>
      </c>
      <c r="H1779" s="5">
        <v>1249.535200</v>
      </c>
    </row>
    <row r="1780" spans="1:9">
      <c r="A1780" s="22" t="str">
        <f>HYPERLINK("https://app.vivvix.com/360/KMI/IntelliDrive/ApplUI/Pages/CreativePages/CustomReportCreativeDetail.aspx?App=23&amp;ReportView=4&amp;Qid=1711279&amp;Row=1772&amp;Col=1","No Title Assigned - #15266429750")</f>
        <v/>
      </c>
      <c r="B1780" s="0" t="s">
        <v>2700</v>
      </c>
      <c r="C1780" s="0" t="s">
        <v>2701</v>
      </c>
      <c r="D1780" s="0" t="s">
        <v>2701</v>
      </c>
      <c r="E1780" s="0" t="inlineStr">
        <is>
          <t xml:space="preserve">Mazda</t>
        </is>
      </c>
      <c r="F1780" s="0" t="s">
        <v>28</v>
      </c>
      <c r="G1780" s="0" t="s">
        <v>29</v>
      </c>
      <c r="H1780" s="5">
        <v>668.699100</v>
      </c>
    </row>
    <row r="1781" spans="1:9">
      <c r="A1781" s="22" t="str">
        <f>HYPERLINK("https://app.vivvix.com/360/KMI/IntelliDrive/ApplUI/Pages/CreativePages/CustomReportCreativeDetail.aspx?App=23&amp;ReportView=4&amp;Qid=1711279&amp;Row=1773&amp;Col=1","No Title Assigned - #15266429905")</f>
        <v/>
      </c>
      <c r="B1781" s="0" t="s">
        <v>2702</v>
      </c>
      <c r="C1781" s="0" t="s">
        <v>2703</v>
      </c>
      <c r="D1781" s="0" t="s">
        <v>2703</v>
      </c>
      <c r="E1781" s="0" t="inlineStr">
        <is>
          <t xml:space="preserve">Mazda</t>
        </is>
      </c>
      <c r="F1781" s="0" t="s">
        <v>28</v>
      </c>
      <c r="G1781" s="0" t="s">
        <v>29</v>
      </c>
      <c r="H1781" s="5">
        <v>180.922900</v>
      </c>
    </row>
    <row r="1782" spans="1:9">
      <c r="A1782" s="22" t="str">
        <f>HYPERLINK("https://app.vivvix.com/360/KMI/IntelliDrive/ApplUI/Pages/CreativePages/CustomReportCreativeDetail.aspx?App=23&amp;ReportView=4&amp;Qid=1711279&amp;Row=1774&amp;Col=1","No Title Assigned - #15266430651")</f>
        <v/>
      </c>
      <c r="B1782" s="0" t="s">
        <v>2704</v>
      </c>
      <c r="C1782" s="0" t="s">
        <v>2705</v>
      </c>
      <c r="D1782" s="0" t="s">
        <v>2705</v>
      </c>
      <c r="E1782" s="0" t="inlineStr">
        <is>
          <t xml:space="preserve">Mazda</t>
        </is>
      </c>
      <c r="F1782" s="0" t="s">
        <v>28</v>
      </c>
      <c r="G1782" s="0" t="s">
        <v>29</v>
      </c>
      <c r="H1782" s="5">
        <v>2789.778100</v>
      </c>
    </row>
    <row r="1783" spans="1:9">
      <c r="A1783" s="22" t="str">
        <f>HYPERLINK("https://app.vivvix.com/360/KMI/IntelliDrive/ApplUI/Pages/CreativePages/CustomReportCreativeDetail.aspx?App=23&amp;ReportView=4&amp;Qid=1711279&amp;Row=1775&amp;Col=1","No Title Assigned - #15266430794")</f>
        <v/>
      </c>
      <c r="B1783" s="0" t="s">
        <v>2706</v>
      </c>
      <c r="C1783" s="0" t="s">
        <v>2707</v>
      </c>
      <c r="D1783" s="0" t="s">
        <v>2707</v>
      </c>
      <c r="E1783" s="0" t="inlineStr">
        <is>
          <t xml:space="preserve">Mazda</t>
        </is>
      </c>
      <c r="F1783" s="0" t="s">
        <v>28</v>
      </c>
      <c r="G1783" s="0" t="s">
        <v>29</v>
      </c>
      <c r="H1783" s="5">
        <v>988.615600</v>
      </c>
    </row>
    <row r="1784" spans="1:9">
      <c r="A1784" s="22" t="str">
        <f>HYPERLINK("https://app.vivvix.com/360/KMI/IntelliDrive/ApplUI/Pages/CreativePages/CustomReportCreativeDetail.aspx?App=23&amp;ReportView=4&amp;Qid=1711279&amp;Row=1776&amp;Col=1","No Title Assigned - #15266430917")</f>
        <v/>
      </c>
      <c r="B1784" s="0" t="s">
        <v>2708</v>
      </c>
      <c r="C1784" s="0" t="s">
        <v>2709</v>
      </c>
      <c r="D1784" s="0" t="s">
        <v>2709</v>
      </c>
      <c r="E1784" s="0" t="inlineStr">
        <is>
          <t xml:space="preserve">Mazda</t>
        </is>
      </c>
      <c r="F1784" s="0" t="s">
        <v>28</v>
      </c>
      <c r="G1784" s="0" t="s">
        <v>29</v>
      </c>
      <c r="H1784" s="5">
        <v>747.130700</v>
      </c>
    </row>
    <row r="1785" spans="1:9">
      <c r="A1785" s="22" t="str">
        <f>HYPERLINK("https://app.vivvix.com/360/KMI/IntelliDrive/ApplUI/Pages/CreativePages/CustomReportCreativeDetail.aspx?App=23&amp;ReportView=4&amp;Qid=1711279&amp;Row=1777&amp;Col=1","No Title Assigned - #15266431051")</f>
        <v/>
      </c>
      <c r="B1785" s="0" t="s">
        <v>2710</v>
      </c>
      <c r="C1785" s="0" t="s">
        <v>2711</v>
      </c>
      <c r="D1785" s="0" t="s">
        <v>2711</v>
      </c>
      <c r="E1785" s="0" t="inlineStr">
        <is>
          <t xml:space="preserve">Mazda</t>
        </is>
      </c>
      <c r="F1785" s="0" t="s">
        <v>28</v>
      </c>
      <c r="G1785" s="0" t="s">
        <v>29</v>
      </c>
      <c r="H1785" s="5">
        <v>209.401000</v>
      </c>
    </row>
    <row r="1786" spans="1:9">
      <c r="A1786" s="22" t="str">
        <f>HYPERLINK("https://app.vivvix.com/360/KMI/IntelliDrive/ApplUI/Pages/CreativePages/CustomReportCreativeDetail.aspx?App=23&amp;ReportView=4&amp;Qid=1711279&amp;Row=1778&amp;Col=1","No Title Assigned - #15266431441")</f>
        <v/>
      </c>
      <c r="B1786" s="0" t="s">
        <v>2712</v>
      </c>
      <c r="C1786" s="0" t="s">
        <v>2713</v>
      </c>
      <c r="D1786" s="0" t="s">
        <v>2713</v>
      </c>
      <c r="E1786" s="0" t="inlineStr">
        <is>
          <t xml:space="preserve">Mazda</t>
        </is>
      </c>
      <c r="F1786" s="0" t="s">
        <v>28</v>
      </c>
      <c r="G1786" s="0" t="s">
        <v>29</v>
      </c>
      <c r="H1786" s="5">
        <v>2690.568400</v>
      </c>
    </row>
    <row r="1787" spans="1:9">
      <c r="A1787" s="22" t="str">
        <f>HYPERLINK("https://app.vivvix.com/360/KMI/IntelliDrive/ApplUI/Pages/CreativePages/CustomReportCreativeDetail.aspx?App=23&amp;ReportView=4&amp;Qid=1711279&amp;Row=1779&amp;Col=1","No Title Assigned - #15266431441")</f>
        <v/>
      </c>
      <c r="B1787" s="0" t="s">
        <v>2712</v>
      </c>
      <c r="E1787" s="0" t="inlineStr">
        <is>
          <t xml:space="preserve">Mazda</t>
        </is>
      </c>
      <c r="F1787" s="0" t="s">
        <v>28</v>
      </c>
      <c r="G1787" s="0" t="s">
        <v>29</v>
      </c>
      <c r="H1787" s="5">
        <v>1688.056200</v>
      </c>
    </row>
    <row r="1788" spans="1:9">
      <c r="A1788" s="22" t="str">
        <f>HYPERLINK("https://app.vivvix.com/360/KMI/IntelliDrive/ApplUI/Pages/CreativePages/CustomReportCreativeDetail.aspx?App=23&amp;ReportView=4&amp;Qid=1711279&amp;Row=1780&amp;Col=1","No Title Assigned - #15266431693")</f>
        <v/>
      </c>
      <c r="B1788" s="0" t="s">
        <v>2714</v>
      </c>
      <c r="C1788" s="0" t="s">
        <v>2715</v>
      </c>
      <c r="D1788" s="0" t="s">
        <v>2715</v>
      </c>
      <c r="E1788" s="0" t="inlineStr">
        <is>
          <t xml:space="preserve">Mazda</t>
        </is>
      </c>
      <c r="F1788" s="0" t="s">
        <v>28</v>
      </c>
      <c r="G1788" s="0" t="s">
        <v>29</v>
      </c>
      <c r="H1788" s="5">
        <v>1666.118300</v>
      </c>
    </row>
    <row r="1789" spans="1:9">
      <c r="A1789" s="22" t="str">
        <f>HYPERLINK("https://app.vivvix.com/360/KMI/IntelliDrive/ApplUI/Pages/CreativePages/CustomReportCreativeDetail.aspx?App=23&amp;ReportView=4&amp;Qid=1711279&amp;Row=1781&amp;Col=1","No Title Assigned - #15266431893")</f>
        <v/>
      </c>
      <c r="B1789" s="0" t="s">
        <v>2716</v>
      </c>
      <c r="C1789" s="0" t="s">
        <v>2717</v>
      </c>
      <c r="D1789" s="0" t="s">
        <v>2717</v>
      </c>
      <c r="E1789" s="0" t="inlineStr">
        <is>
          <t xml:space="preserve">Mazda</t>
        </is>
      </c>
      <c r="F1789" s="0" t="s">
        <v>28</v>
      </c>
      <c r="G1789" s="0" t="s">
        <v>29</v>
      </c>
      <c r="H1789" s="5">
        <v>5119.227700</v>
      </c>
    </row>
    <row r="1790" spans="1:9">
      <c r="A1790" s="22" t="str">
        <f>HYPERLINK("https://app.vivvix.com/360/KMI/IntelliDrive/ApplUI/Pages/CreativePages/CustomReportCreativeDetail.aspx?App=23&amp;ReportView=4&amp;Qid=1711279&amp;Row=1782&amp;Col=1","No Title Assigned - #15266431893")</f>
        <v/>
      </c>
      <c r="B1790" s="0" t="s">
        <v>2716</v>
      </c>
      <c r="E1790" s="0" t="inlineStr">
        <is>
          <t xml:space="preserve">Mazda</t>
        </is>
      </c>
      <c r="F1790" s="0" t="s">
        <v>28</v>
      </c>
      <c r="G1790" s="0" t="s">
        <v>29</v>
      </c>
      <c r="H1790" s="5">
        <v>72073.624100</v>
      </c>
    </row>
    <row r="1791" spans="1:9">
      <c r="A1791" s="22" t="str">
        <f>HYPERLINK("https://app.vivvix.com/360/KMI/IntelliDrive/ApplUI/Pages/CreativePages/CustomReportCreativeDetail.aspx?App=23&amp;ReportView=4&amp;Qid=1711279&amp;Row=1783&amp;Col=1","No Title Assigned - #15266432866")</f>
        <v/>
      </c>
      <c r="B1791" s="0" t="s">
        <v>2718</v>
      </c>
      <c r="C1791" s="0" t="s">
        <v>2719</v>
      </c>
      <c r="D1791" s="0" t="s">
        <v>2719</v>
      </c>
      <c r="E1791" s="0" t="inlineStr">
        <is>
          <t xml:space="preserve">Mazda</t>
        </is>
      </c>
      <c r="F1791" s="0" t="s">
        <v>28</v>
      </c>
      <c r="G1791" s="0" t="s">
        <v>29</v>
      </c>
      <c r="H1791" s="5">
        <v>632.190600</v>
      </c>
    </row>
    <row r="1792" spans="1:9">
      <c r="A1792" s="22" t="str">
        <f>HYPERLINK("https://app.vivvix.com/360/KMI/IntelliDrive/ApplUI/Pages/CreativePages/CustomReportCreativeDetail.aspx?App=23&amp;ReportView=4&amp;Qid=1711279&amp;Row=1784&amp;Col=1","No Title Assigned - #15266432889")</f>
        <v/>
      </c>
      <c r="B1792" s="0" t="s">
        <v>2720</v>
      </c>
      <c r="C1792" s="0" t="s">
        <v>2721</v>
      </c>
      <c r="D1792" s="0" t="s">
        <v>2721</v>
      </c>
      <c r="E1792" s="0" t="inlineStr">
        <is>
          <t xml:space="preserve">Mazda</t>
        </is>
      </c>
      <c r="F1792" s="0" t="s">
        <v>28</v>
      </c>
      <c r="G1792" s="0" t="s">
        <v>29</v>
      </c>
      <c r="H1792" s="5">
        <v>1038.789400</v>
      </c>
    </row>
    <row r="1793" spans="1:9">
      <c r="A1793" s="22" t="str">
        <f>HYPERLINK("https://app.vivvix.com/360/KMI/IntelliDrive/ApplUI/Pages/CreativePages/CustomReportCreativeDetail.aspx?App=23&amp;ReportView=4&amp;Qid=1711279&amp;Row=1785&amp;Col=1","No Title Assigned - #15266433401")</f>
        <v/>
      </c>
      <c r="B1793" s="0" t="s">
        <v>2722</v>
      </c>
      <c r="C1793" s="0" t="s">
        <v>2723</v>
      </c>
      <c r="D1793" s="0" t="s">
        <v>2723</v>
      </c>
      <c r="E1793" s="0" t="inlineStr">
        <is>
          <t xml:space="preserve">Mazda</t>
        </is>
      </c>
      <c r="F1793" s="0" t="s">
        <v>28</v>
      </c>
      <c r="G1793" s="0" t="s">
        <v>29</v>
      </c>
      <c r="H1793" s="5">
        <v>35995.710900</v>
      </c>
    </row>
    <row r="1794" spans="1:9">
      <c r="A1794" s="22" t="str">
        <f>HYPERLINK("https://app.vivvix.com/360/KMI/IntelliDrive/ApplUI/Pages/CreativePages/CustomReportCreativeDetail.aspx?App=23&amp;ReportView=4&amp;Qid=1711279&amp;Row=1786&amp;Col=1","No Title Assigned - #15266433769")</f>
        <v/>
      </c>
      <c r="B1794" s="0" t="s">
        <v>2724</v>
      </c>
      <c r="C1794" s="0" t="s">
        <v>2725</v>
      </c>
      <c r="D1794" s="0" t="s">
        <v>2725</v>
      </c>
      <c r="E1794" s="0" t="inlineStr">
        <is>
          <t xml:space="preserve">Mazda</t>
        </is>
      </c>
      <c r="F1794" s="0" t="s">
        <v>13</v>
      </c>
      <c r="G1794" s="0" t="s">
        <v>49</v>
      </c>
      <c r="H1794" s="5">
        <v>570.418400</v>
      </c>
    </row>
    <row r="1795" spans="1:9">
      <c r="A1795" s="22" t="str">
        <f>HYPERLINK("https://app.vivvix.com/360/KMI/IntelliDrive/ApplUI/Pages/CreativePages/CustomReportCreativeDetail.aspx?App=23&amp;ReportView=4&amp;Qid=1711279&amp;Row=1787&amp;Col=1","No Title Assigned - #15266434012")</f>
        <v/>
      </c>
      <c r="B1795" s="0" t="s">
        <v>2726</v>
      </c>
      <c r="C1795" s="0" t="s">
        <v>2727</v>
      </c>
      <c r="D1795" s="0" t="s">
        <v>2727</v>
      </c>
      <c r="E1795" s="0" t="inlineStr">
        <is>
          <t xml:space="preserve">Mazda</t>
        </is>
      </c>
      <c r="F1795" s="0" t="s">
        <v>13</v>
      </c>
      <c r="G1795" s="0" t="s">
        <v>49</v>
      </c>
      <c r="H1795" s="5">
        <v>1520.511500</v>
      </c>
    </row>
    <row r="1796" spans="1:9">
      <c r="A1796" s="22" t="str">
        <f>HYPERLINK("https://app.vivvix.com/360/KMI/IntelliDrive/ApplUI/Pages/CreativePages/CustomReportCreativeDetail.aspx?App=23&amp;ReportView=4&amp;Qid=1711279&amp;Row=1788&amp;Col=1","No Title Assigned - #15266434371")</f>
        <v/>
      </c>
      <c r="B1796" s="0" t="s">
        <v>2728</v>
      </c>
      <c r="C1796" s="0" t="s">
        <v>2729</v>
      </c>
      <c r="D1796" s="0" t="s">
        <v>2729</v>
      </c>
      <c r="E1796" s="0" t="inlineStr">
        <is>
          <t xml:space="preserve">Mazda</t>
        </is>
      </c>
      <c r="F1796" s="0" t="s">
        <v>13</v>
      </c>
      <c r="G1796" s="0" t="s">
        <v>49</v>
      </c>
      <c r="H1796" s="5">
        <v>274.712400</v>
      </c>
    </row>
    <row r="1797" spans="1:9">
      <c r="A1797" s="22" t="str">
        <f>HYPERLINK("https://app.vivvix.com/360/KMI/IntelliDrive/ApplUI/Pages/CreativePages/CustomReportCreativeDetail.aspx?App=23&amp;ReportView=4&amp;Qid=1711279&amp;Row=1789&amp;Col=1","No Title Assigned - #15266435605")</f>
        <v/>
      </c>
      <c r="B1797" s="0" t="s">
        <v>2730</v>
      </c>
      <c r="C1797" s="0" t="s">
        <v>2731</v>
      </c>
      <c r="D1797" s="0" t="s">
        <v>2731</v>
      </c>
      <c r="E1797" s="0" t="inlineStr">
        <is>
          <t xml:space="preserve">Mazda</t>
        </is>
      </c>
      <c r="F1797" s="0" t="s">
        <v>28</v>
      </c>
      <c r="G1797" s="0" t="s">
        <v>29</v>
      </c>
      <c r="H1797" s="5">
        <v>555.653600</v>
      </c>
    </row>
    <row r="1798" spans="1:9">
      <c r="A1798" s="22" t="str">
        <f>HYPERLINK("https://app.vivvix.com/360/KMI/IntelliDrive/ApplUI/Pages/CreativePages/CustomReportCreativeDetail.aspx?App=23&amp;ReportView=4&amp;Qid=1711279&amp;Row=1790&amp;Col=1","No Title Assigned - #15266437001")</f>
        <v/>
      </c>
      <c r="B1798" s="0" t="s">
        <v>2732</v>
      </c>
      <c r="E1798" s="0" t="inlineStr">
        <is>
          <t xml:space="preserve">Mazda</t>
        </is>
      </c>
      <c r="F1798" s="0" t="inlineStr">
        <is>
          <t xml:space="preserve">Mazda</t>
        </is>
      </c>
      <c r="G1798" s="0" t="s">
        <v>171</v>
      </c>
      <c r="H1798" s="5">
        <v>22859.575600</v>
      </c>
    </row>
    <row r="1799" spans="1:9">
      <c r="A1799" s="22" t="str">
        <f>HYPERLINK("https://app.vivvix.com/360/KMI/IntelliDrive/ApplUI/Pages/CreativePages/CustomReportCreativeDetail.aspx?App=23&amp;ReportView=4&amp;Qid=1711279&amp;Row=1791&amp;Col=1","No Title Assigned - #15266441828")</f>
        <v/>
      </c>
      <c r="B1799" s="0" t="s">
        <v>2733</v>
      </c>
      <c r="C1799" s="0" t="s">
        <v>2734</v>
      </c>
      <c r="D1799" s="0" t="s">
        <v>2734</v>
      </c>
      <c r="E1799" s="0" t="inlineStr">
        <is>
          <t xml:space="preserve">Mazda</t>
        </is>
      </c>
      <c r="F1799" s="0" t="s">
        <v>17</v>
      </c>
      <c r="G1799" s="0" t="s">
        <v>33</v>
      </c>
      <c r="H1799" s="5">
        <v>13608.068800</v>
      </c>
    </row>
    <row r="1800" spans="1:9">
      <c r="A1800" s="22" t="str">
        <f>HYPERLINK("https://app.vivvix.com/360/KMI/IntelliDrive/ApplUI/Pages/CreativePages/CustomReportCreativeDetail.aspx?App=23&amp;ReportView=4&amp;Qid=1711279&amp;Row=1792&amp;Col=1","No Title Assigned - #15266468173")</f>
        <v/>
      </c>
      <c r="B1800" s="0" t="s">
        <v>2735</v>
      </c>
      <c r="C1800" s="0" t="s">
        <v>2736</v>
      </c>
      <c r="D1800" s="0" t="s">
        <v>2736</v>
      </c>
      <c r="E1800" s="0" t="inlineStr">
        <is>
          <t xml:space="preserve">Mazda</t>
        </is>
      </c>
      <c r="F1800" s="0" t="s">
        <v>28</v>
      </c>
      <c r="G1800" s="0" t="s">
        <v>29</v>
      </c>
      <c r="H1800" s="5">
        <v>503.856100</v>
      </c>
    </row>
    <row r="1801" spans="1:9">
      <c r="A1801" s="22" t="str">
        <f>HYPERLINK("https://app.vivvix.com/360/KMI/IntelliDrive/ApplUI/Pages/CreativePages/CustomReportCreativeDetail.aspx?App=23&amp;ReportView=4&amp;Qid=1711279&amp;Row=1793&amp;Col=1","No Title Assigned - #15266473098")</f>
        <v/>
      </c>
      <c r="B1801" s="0" t="s">
        <v>2737</v>
      </c>
      <c r="C1801" s="0" t="s">
        <v>2738</v>
      </c>
      <c r="D1801" s="0" t="s">
        <v>2738</v>
      </c>
      <c r="E1801" s="0" t="inlineStr">
        <is>
          <t xml:space="preserve">Mazda</t>
        </is>
      </c>
      <c r="F1801" s="0" t="s">
        <v>28</v>
      </c>
      <c r="G1801" s="0" t="s">
        <v>29</v>
      </c>
      <c r="H1801" s="5">
        <v>463.132000</v>
      </c>
    </row>
    <row r="1802" spans="1:9">
      <c r="A1802" s="22" t="str">
        <f>HYPERLINK("https://app.vivvix.com/360/KMI/IntelliDrive/ApplUI/Pages/CreativePages/CustomReportCreativeDetail.aspx?App=23&amp;ReportView=4&amp;Qid=1711279&amp;Row=1794&amp;Col=1","No Title Assigned - #15266473391")</f>
        <v/>
      </c>
      <c r="B1802" s="0" t="s">
        <v>2739</v>
      </c>
      <c r="C1802" s="0" t="s">
        <v>2740</v>
      </c>
      <c r="D1802" s="0" t="s">
        <v>2740</v>
      </c>
      <c r="E1802" s="0" t="inlineStr">
        <is>
          <t xml:space="preserve">Mazda</t>
        </is>
      </c>
      <c r="F1802" s="0" t="s">
        <v>13</v>
      </c>
      <c r="G1802" s="0" t="s">
        <v>49</v>
      </c>
      <c r="H1802" s="5">
        <v>480.314900</v>
      </c>
    </row>
    <row r="1803" spans="1:9">
      <c r="A1803" s="22" t="str">
        <f>HYPERLINK("https://app.vivvix.com/360/KMI/IntelliDrive/ApplUI/Pages/CreativePages/CustomReportCreativeDetail.aspx?App=23&amp;ReportView=4&amp;Qid=1711279&amp;Row=1795&amp;Col=1","No Title Assigned - #15266478635")</f>
        <v/>
      </c>
      <c r="B1803" s="0" t="s">
        <v>2741</v>
      </c>
      <c r="E1803" s="0" t="inlineStr">
        <is>
          <t xml:space="preserve">Mazda</t>
        </is>
      </c>
      <c r="F1803" s="0" t="s">
        <v>28</v>
      </c>
      <c r="G1803" s="0" t="s">
        <v>29</v>
      </c>
      <c r="H1803" s="5">
        <v>1776.812100</v>
      </c>
    </row>
    <row r="1804" spans="1:9">
      <c r="A1804" s="22" t="str">
        <f>HYPERLINK("https://app.vivvix.com/360/KMI/IntelliDrive/ApplUI/Pages/CreativePages/CustomReportCreativeDetail.aspx?App=23&amp;ReportView=4&amp;Qid=1711279&amp;Row=1796&amp;Col=1","No Title Assigned - #15266478635")</f>
        <v/>
      </c>
      <c r="B1804" s="0" t="s">
        <v>2741</v>
      </c>
      <c r="C1804" s="0" t="s">
        <v>2742</v>
      </c>
      <c r="D1804" s="0" t="s">
        <v>2742</v>
      </c>
      <c r="E1804" s="0" t="inlineStr">
        <is>
          <t xml:space="preserve">Mazda</t>
        </is>
      </c>
      <c r="F1804" s="0" t="s">
        <v>28</v>
      </c>
      <c r="G1804" s="0" t="s">
        <v>29</v>
      </c>
      <c r="H1804" s="5">
        <v>1770.583700</v>
      </c>
    </row>
    <row r="1805" spans="1:9">
      <c r="A1805" s="22" t="str">
        <f>HYPERLINK("https://app.vivvix.com/360/KMI/IntelliDrive/ApplUI/Pages/CreativePages/CustomReportCreativeDetail.aspx?App=23&amp;ReportView=4&amp;Qid=1711279&amp;Row=1797&amp;Col=1","No Title Assigned - #15266479237")</f>
        <v/>
      </c>
      <c r="B1805" s="0" t="s">
        <v>2743</v>
      </c>
      <c r="C1805" s="0" t="s">
        <v>2744</v>
      </c>
      <c r="D1805" s="0" t="s">
        <v>2744</v>
      </c>
      <c r="E1805" s="0" t="inlineStr">
        <is>
          <t xml:space="preserve">Mazda</t>
        </is>
      </c>
      <c r="F1805" s="0" t="inlineStr">
        <is>
          <t xml:space="preserve">Mazda</t>
        </is>
      </c>
      <c r="G1805" s="0" t="s">
        <v>210</v>
      </c>
      <c r="H1805" s="5">
        <v>1647.870200</v>
      </c>
    </row>
    <row r="1806" spans="1:9">
      <c r="A1806" s="22" t="str">
        <f>HYPERLINK("https://app.vivvix.com/360/KMI/IntelliDrive/ApplUI/Pages/CreativePages/CustomReportCreativeDetail.aspx?App=23&amp;ReportView=4&amp;Qid=1711279&amp;Row=1798&amp;Col=1","No Title Assigned - #15266481632")</f>
        <v/>
      </c>
      <c r="B1806" s="0" t="s">
        <v>2745</v>
      </c>
      <c r="C1806" s="0" t="s">
        <v>2746</v>
      </c>
      <c r="D1806" s="0" t="s">
        <v>2746</v>
      </c>
      <c r="E1806" s="0" t="inlineStr">
        <is>
          <t xml:space="preserve">Mazda</t>
        </is>
      </c>
      <c r="F1806" s="0" t="inlineStr">
        <is>
          <t xml:space="preserve">Mazda</t>
        </is>
      </c>
      <c r="G1806" s="0" t="s">
        <v>210</v>
      </c>
      <c r="H1806" s="5">
        <v>1470.487500</v>
      </c>
    </row>
    <row r="1807" spans="1:9">
      <c r="A1807" s="22" t="str">
        <f>HYPERLINK("https://app.vivvix.com/360/KMI/IntelliDrive/ApplUI/Pages/CreativePages/CustomReportCreativeDetail.aspx?App=23&amp;ReportView=4&amp;Qid=1711279&amp;Row=1799&amp;Col=1","No Title Assigned - #15266485028")</f>
        <v/>
      </c>
      <c r="B1807" s="0" t="s">
        <v>2747</v>
      </c>
      <c r="C1807" s="0" t="s">
        <v>2748</v>
      </c>
      <c r="D1807" s="0" t="s">
        <v>2748</v>
      </c>
      <c r="E1807" s="0" t="inlineStr">
        <is>
          <t xml:space="preserve">Mazda</t>
        </is>
      </c>
      <c r="F1807" s="0" t="s">
        <v>13</v>
      </c>
      <c r="G1807" s="0" t="s">
        <v>14</v>
      </c>
      <c r="H1807" s="5">
        <v>1487.293800</v>
      </c>
    </row>
    <row r="1808" spans="1:9">
      <c r="A1808" s="22" t="str">
        <f>HYPERLINK("https://app.vivvix.com/360/KMI/IntelliDrive/ApplUI/Pages/CreativePages/CustomReportCreativeDetail.aspx?App=23&amp;ReportView=4&amp;Qid=1711279&amp;Row=1800&amp;Col=1","No Title Assigned - #15266485170")</f>
        <v/>
      </c>
      <c r="B1808" s="0" t="s">
        <v>2749</v>
      </c>
      <c r="E1808" s="0" t="inlineStr">
        <is>
          <t xml:space="preserve">Mazda</t>
        </is>
      </c>
      <c r="F1808" s="0" t="inlineStr">
        <is>
          <t xml:space="preserve">Mazda</t>
        </is>
      </c>
      <c r="G1808" s="0" t="s">
        <v>171</v>
      </c>
      <c r="H1808" s="5">
        <v>9490.704100</v>
      </c>
    </row>
    <row r="1809" spans="1:9">
      <c r="A1809" s="22" t="str">
        <f>HYPERLINK("https://app.vivvix.com/360/KMI/IntelliDrive/ApplUI/Pages/CreativePages/CustomReportCreativeDetail.aspx?App=23&amp;ReportView=4&amp;Qid=1711279&amp;Row=1801&amp;Col=1","No Title Assigned - #15266485170")</f>
        <v/>
      </c>
      <c r="B1809" s="0" t="s">
        <v>2749</v>
      </c>
      <c r="E1809" s="0" t="inlineStr">
        <is>
          <t xml:space="preserve">Mazda</t>
        </is>
      </c>
      <c r="F1809" s="0" t="inlineStr">
        <is>
          <t xml:space="preserve">Mazda</t>
        </is>
      </c>
      <c r="G1809" s="0" t="s">
        <v>171</v>
      </c>
      <c r="H1809" s="5">
        <v>383.661000</v>
      </c>
    </row>
    <row r="1810" spans="1:9">
      <c r="A1810" s="22" t="str">
        <f>HYPERLINK("https://app.vivvix.com/360/KMI/IntelliDrive/ApplUI/Pages/CreativePages/CustomReportCreativeDetail.aspx?App=23&amp;ReportView=4&amp;Qid=1711279&amp;Row=1802&amp;Col=1","No Title Assigned - #15266485188")</f>
        <v/>
      </c>
      <c r="B1810" s="0" t="s">
        <v>2750</v>
      </c>
      <c r="E1810" s="0" t="inlineStr">
        <is>
          <t xml:space="preserve">Mazda</t>
        </is>
      </c>
      <c r="F1810" s="0" t="inlineStr">
        <is>
          <t xml:space="preserve">Mazda</t>
        </is>
      </c>
      <c r="G1810" s="0" t="s">
        <v>171</v>
      </c>
    </row>
    <row r="1811" spans="1:9">
      <c r="A1811" s="22" t="str">
        <f>HYPERLINK("https://app.vivvix.com/360/KMI/IntelliDrive/ApplUI/Pages/CreativePages/CustomReportCreativeDetail.aspx?App=23&amp;ReportView=4&amp;Qid=1711279&amp;Row=1803&amp;Col=1","No Title Assigned - #15266488692")</f>
        <v/>
      </c>
      <c r="B1811" s="0" t="s">
        <v>2751</v>
      </c>
      <c r="E1811" s="0" t="inlineStr">
        <is>
          <t xml:space="preserve">Mazda</t>
        </is>
      </c>
      <c r="F1811" s="0" t="inlineStr">
        <is>
          <t xml:space="preserve">Mazda</t>
        </is>
      </c>
      <c r="G1811" s="0" t="s">
        <v>171</v>
      </c>
      <c r="H1811" s="5">
        <v>828.472300</v>
      </c>
    </row>
    <row r="1812" spans="1:9">
      <c r="A1812" s="22" t="str">
        <f>HYPERLINK("https://app.vivvix.com/360/KMI/IntelliDrive/ApplUI/Pages/CreativePages/CustomReportCreativeDetail.aspx?App=23&amp;ReportView=4&amp;Qid=1711279&amp;Row=1804&amp;Col=1","No Title Assigned - #15266488805")</f>
        <v/>
      </c>
      <c r="B1812" s="0" t="s">
        <v>2752</v>
      </c>
      <c r="E1812" s="0" t="inlineStr">
        <is>
          <t xml:space="preserve">Mazda</t>
        </is>
      </c>
      <c r="F1812" s="0" t="inlineStr">
        <is>
          <t xml:space="preserve">Mazda</t>
        </is>
      </c>
      <c r="G1812" s="0" t="s">
        <v>171</v>
      </c>
    </row>
    <row r="1813" spans="1:9">
      <c r="A1813" s="22" t="str">
        <f>HYPERLINK("https://app.vivvix.com/360/KMI/IntelliDrive/ApplUI/Pages/CreativePages/CustomReportCreativeDetail.aspx?App=23&amp;ReportView=4&amp;Qid=1711279&amp;Row=1805&amp;Col=1","No Title Assigned - #15266490781")</f>
        <v/>
      </c>
      <c r="B1813" s="0" t="s">
        <v>2753</v>
      </c>
      <c r="E1813" s="0" t="inlineStr">
        <is>
          <t xml:space="preserve">Mazda</t>
        </is>
      </c>
      <c r="F1813" s="0" t="inlineStr">
        <is>
          <t xml:space="preserve">Mazda</t>
        </is>
      </c>
      <c r="G1813" s="0" t="s">
        <v>171</v>
      </c>
      <c r="H1813" s="5">
        <v>17.929400</v>
      </c>
    </row>
    <row r="1814" spans="1:9">
      <c r="A1814" s="22" t="str">
        <f>HYPERLINK("https://app.vivvix.com/360/KMI/IntelliDrive/ApplUI/Pages/CreativePages/CustomReportCreativeDetail.aspx?App=23&amp;ReportView=4&amp;Qid=1711279&amp;Row=1806&amp;Col=1","No Title Assigned - #15266493297")</f>
        <v/>
      </c>
      <c r="B1814" s="0" t="s">
        <v>2754</v>
      </c>
      <c r="E1814" s="0" t="inlineStr">
        <is>
          <t xml:space="preserve">Mazda</t>
        </is>
      </c>
      <c r="F1814" s="0" t="inlineStr">
        <is>
          <t xml:space="preserve">Mazda</t>
        </is>
      </c>
      <c r="G1814" s="0" t="s">
        <v>171</v>
      </c>
      <c r="H1814" s="5">
        <v>8.964700</v>
      </c>
    </row>
    <row r="1815" spans="1:9">
      <c r="A1815" s="22" t="str">
        <f>HYPERLINK("https://app.vivvix.com/360/KMI/IntelliDrive/ApplUI/Pages/CreativePages/CustomReportCreativeDetail.aspx?App=23&amp;ReportView=4&amp;Qid=1711279&amp;Row=1807&amp;Col=1","No Title Assigned - #15266493300")</f>
        <v/>
      </c>
      <c r="B1815" s="0" t="s">
        <v>2755</v>
      </c>
      <c r="C1815" s="0" t="s">
        <v>2756</v>
      </c>
      <c r="D1815" s="0" t="s">
        <v>2756</v>
      </c>
      <c r="E1815" s="0" t="inlineStr">
        <is>
          <t xml:space="preserve">Mazda</t>
        </is>
      </c>
      <c r="F1815" s="0" t="inlineStr">
        <is>
          <t xml:space="preserve">Mazda</t>
        </is>
      </c>
      <c r="G1815" s="0" t="s">
        <v>171</v>
      </c>
    </row>
    <row r="1816" spans="1:9">
      <c r="A1816" s="22" t="str">
        <f>HYPERLINK("https://app.vivvix.com/360/KMI/IntelliDrive/ApplUI/Pages/CreativePages/CustomReportCreativeDetail.aspx?App=23&amp;ReportView=4&amp;Qid=1711279&amp;Row=1808&amp;Col=1","No Title Assigned - #15266493301")</f>
        <v/>
      </c>
      <c r="B1816" s="0" t="s">
        <v>2757</v>
      </c>
      <c r="C1816" s="0" t="s">
        <v>2758</v>
      </c>
      <c r="D1816" s="0" t="s">
        <v>2758</v>
      </c>
      <c r="E1816" s="0" t="inlineStr">
        <is>
          <t xml:space="preserve">Mazda</t>
        </is>
      </c>
      <c r="F1816" s="0" t="inlineStr">
        <is>
          <t xml:space="preserve">Mazda</t>
        </is>
      </c>
      <c r="G1816" s="0" t="s">
        <v>171</v>
      </c>
      <c r="H1816" s="5">
        <v>294.005900</v>
      </c>
    </row>
    <row r="1817" spans="1:9">
      <c r="A1817" s="22" t="str">
        <f>HYPERLINK("https://app.vivvix.com/360/KMI/IntelliDrive/ApplUI/Pages/CreativePages/CustomReportCreativeDetail.aspx?App=23&amp;ReportView=4&amp;Qid=1711279&amp;Row=1809&amp;Col=1","No Title Assigned - #15266494286")</f>
        <v/>
      </c>
      <c r="B1817" s="0" t="s">
        <v>2759</v>
      </c>
      <c r="C1817" s="0" t="s">
        <v>2760</v>
      </c>
      <c r="D1817" s="0" t="s">
        <v>2760</v>
      </c>
      <c r="E1817" s="0" t="inlineStr">
        <is>
          <t xml:space="preserve">Mazda</t>
        </is>
      </c>
      <c r="F1817" s="0" t="inlineStr">
        <is>
          <t xml:space="preserve">Mazda</t>
        </is>
      </c>
      <c r="G1817" s="0" t="s">
        <v>210</v>
      </c>
      <c r="H1817" s="5">
        <v>1013.780500</v>
      </c>
    </row>
    <row r="1818" spans="1:9">
      <c r="A1818" s="22" t="str">
        <f>HYPERLINK("https://app.vivvix.com/360/KMI/IntelliDrive/ApplUI/Pages/CreativePages/CustomReportCreativeDetail.aspx?App=23&amp;ReportView=4&amp;Qid=1711279&amp;Row=1810&amp;Col=1","No Title Assigned - #15266494890")</f>
        <v/>
      </c>
      <c r="B1818" s="0" t="s">
        <v>2761</v>
      </c>
      <c r="C1818" s="0" t="s">
        <v>2762</v>
      </c>
      <c r="D1818" s="0" t="s">
        <v>2762</v>
      </c>
      <c r="E1818" s="0" t="inlineStr">
        <is>
          <t xml:space="preserve">Mazda</t>
        </is>
      </c>
      <c r="F1818" s="0" t="s">
        <v>28</v>
      </c>
      <c r="G1818" s="0" t="s">
        <v>29</v>
      </c>
      <c r="H1818" s="5">
        <v>566.259100</v>
      </c>
    </row>
    <row r="1819" spans="1:9">
      <c r="A1819" s="22" t="str">
        <f>HYPERLINK("https://app.vivvix.com/360/KMI/IntelliDrive/ApplUI/Pages/CreativePages/CustomReportCreativeDetail.aspx?App=23&amp;ReportView=4&amp;Qid=1711279&amp;Row=1811&amp;Col=1","No Title Assigned - #15266494914")</f>
        <v/>
      </c>
      <c r="B1819" s="0" t="s">
        <v>2763</v>
      </c>
      <c r="C1819" s="0" t="s">
        <v>2764</v>
      </c>
      <c r="D1819" s="0" t="s">
        <v>2764</v>
      </c>
      <c r="E1819" s="0" t="inlineStr">
        <is>
          <t xml:space="preserve">Mazda</t>
        </is>
      </c>
      <c r="F1819" s="0" t="s">
        <v>13</v>
      </c>
      <c r="G1819" s="0" t="s">
        <v>49</v>
      </c>
      <c r="H1819" s="5">
        <v>1078.072000</v>
      </c>
    </row>
    <row r="1820" spans="1:9">
      <c r="A1820" s="22" t="str">
        <f>HYPERLINK("https://app.vivvix.com/360/KMI/IntelliDrive/ApplUI/Pages/CreativePages/CustomReportCreativeDetail.aspx?App=23&amp;ReportView=4&amp;Qid=1711279&amp;Row=1812&amp;Col=1","No Title Assigned - #15266495784")</f>
        <v/>
      </c>
      <c r="B1820" s="0" t="s">
        <v>2765</v>
      </c>
      <c r="C1820" s="0" t="s">
        <v>2766</v>
      </c>
      <c r="D1820" s="0" t="s">
        <v>2766</v>
      </c>
      <c r="E1820" s="0" t="inlineStr">
        <is>
          <t xml:space="preserve">Mazda</t>
        </is>
      </c>
      <c r="F1820" s="0" t="inlineStr">
        <is>
          <t xml:space="preserve">Mazda</t>
        </is>
      </c>
      <c r="G1820" s="0" t="s">
        <v>171</v>
      </c>
      <c r="H1820" s="5">
        <v>629.176300</v>
      </c>
    </row>
    <row r="1821" spans="1:9">
      <c r="A1821" s="22" t="str">
        <f>HYPERLINK("https://app.vivvix.com/360/KMI/IntelliDrive/ApplUI/Pages/CreativePages/CustomReportCreativeDetail.aspx?App=23&amp;ReportView=4&amp;Qid=1711279&amp;Row=1813&amp;Col=1","No Title Assigned - #15266495817")</f>
        <v/>
      </c>
      <c r="B1821" s="0" t="s">
        <v>2767</v>
      </c>
      <c r="E1821" s="0" t="inlineStr">
        <is>
          <t xml:space="preserve">Mazda</t>
        </is>
      </c>
      <c r="F1821" s="0" t="inlineStr">
        <is>
          <t xml:space="preserve">Mazda</t>
        </is>
      </c>
      <c r="G1821" s="0" t="s">
        <v>171</v>
      </c>
    </row>
    <row r="1822" spans="1:9">
      <c r="A1822" s="22" t="str">
        <f>HYPERLINK("https://app.vivvix.com/360/KMI/IntelliDrive/ApplUI/Pages/CreativePages/CustomReportCreativeDetail.aspx?App=23&amp;ReportView=4&amp;Qid=1711279&amp;Row=1814&amp;Col=1","No Title Assigned - #15266496194")</f>
        <v/>
      </c>
      <c r="B1822" s="0" t="s">
        <v>2768</v>
      </c>
      <c r="E1822" s="0" t="inlineStr">
        <is>
          <t xml:space="preserve">Mazda</t>
        </is>
      </c>
      <c r="F1822" s="0" t="s">
        <v>21</v>
      </c>
      <c r="G1822" s="0" t="s">
        <v>22</v>
      </c>
    </row>
    <row r="1823" spans="1:9">
      <c r="A1823" s="22" t="str">
        <f>HYPERLINK("https://app.vivvix.com/360/KMI/IntelliDrive/ApplUI/Pages/CreativePages/CustomReportCreativeDetail.aspx?App=23&amp;ReportView=4&amp;Qid=1711279&amp;Row=1815&amp;Col=1","No Title Assigned - #15266497342")</f>
        <v/>
      </c>
      <c r="B1823" s="0" t="s">
        <v>2769</v>
      </c>
      <c r="C1823" s="0" t="s">
        <v>2770</v>
      </c>
      <c r="D1823" s="0" t="s">
        <v>2770</v>
      </c>
      <c r="E1823" s="0" t="inlineStr">
        <is>
          <t xml:space="preserve">Mazda</t>
        </is>
      </c>
      <c r="F1823" s="0" t="s">
        <v>28</v>
      </c>
      <c r="G1823" s="0" t="s">
        <v>29</v>
      </c>
      <c r="H1823" s="5">
        <v>541.152300</v>
      </c>
    </row>
    <row r="1824" spans="1:9">
      <c r="A1824" s="22" t="str">
        <f>HYPERLINK("https://app.vivvix.com/360/KMI/IntelliDrive/ApplUI/Pages/CreativePages/CustomReportCreativeDetail.aspx?App=23&amp;ReportView=4&amp;Qid=1711279&amp;Row=1816&amp;Col=1","No Title Assigned - #15266497343")</f>
        <v/>
      </c>
      <c r="B1824" s="0" t="s">
        <v>2771</v>
      </c>
      <c r="C1824" s="0" t="s">
        <v>2772</v>
      </c>
      <c r="D1824" s="0" t="s">
        <v>2772</v>
      </c>
      <c r="E1824" s="0" t="inlineStr">
        <is>
          <t xml:space="preserve">Mazda</t>
        </is>
      </c>
      <c r="F1824" s="0" t="s">
        <v>28</v>
      </c>
      <c r="G1824" s="0" t="s">
        <v>29</v>
      </c>
      <c r="H1824" s="5">
        <v>541.152300</v>
      </c>
    </row>
    <row r="1825" spans="1:9">
      <c r="A1825" s="22" t="str">
        <f>HYPERLINK("https://app.vivvix.com/360/KMI/IntelliDrive/ApplUI/Pages/CreativePages/CustomReportCreativeDetail.aspx?App=23&amp;ReportView=4&amp;Qid=1711279&amp;Row=1817&amp;Col=1","No Title Assigned - #15266497609")</f>
        <v/>
      </c>
      <c r="B1825" s="0" t="s">
        <v>2773</v>
      </c>
      <c r="C1825" s="0" t="s">
        <v>2774</v>
      </c>
      <c r="D1825" s="0" t="s">
        <v>2774</v>
      </c>
      <c r="E1825" s="0" t="inlineStr">
        <is>
          <t xml:space="preserve">Mazda</t>
        </is>
      </c>
      <c r="F1825" s="0" t="s">
        <v>28</v>
      </c>
      <c r="G1825" s="0" t="s">
        <v>29</v>
      </c>
      <c r="H1825" s="5">
        <v>582.009400</v>
      </c>
    </row>
    <row r="1826" spans="1:9">
      <c r="A1826" s="22" t="str">
        <f>HYPERLINK("https://app.vivvix.com/360/KMI/IntelliDrive/ApplUI/Pages/CreativePages/CustomReportCreativeDetail.aspx?App=23&amp;ReportView=4&amp;Qid=1711279&amp;Row=1818&amp;Col=1","No Title Assigned - #15266498008")</f>
        <v/>
      </c>
      <c r="B1826" s="0" t="s">
        <v>2775</v>
      </c>
      <c r="C1826" s="0" t="s">
        <v>2776</v>
      </c>
      <c r="D1826" s="0" t="s">
        <v>2776</v>
      </c>
      <c r="E1826" s="0" t="inlineStr">
        <is>
          <t xml:space="preserve">Mazda</t>
        </is>
      </c>
      <c r="F1826" s="0" t="s">
        <v>28</v>
      </c>
      <c r="G1826" s="0" t="s">
        <v>29</v>
      </c>
      <c r="H1826" s="5">
        <v>240.606400</v>
      </c>
    </row>
    <row r="1827" spans="1:9">
      <c r="A1827" s="22" t="str">
        <f>HYPERLINK("https://app.vivvix.com/360/KMI/IntelliDrive/ApplUI/Pages/CreativePages/CustomReportCreativeDetail.aspx?App=23&amp;ReportView=4&amp;Qid=1711279&amp;Row=1819&amp;Col=1","No Title Assigned - #15266498010")</f>
        <v/>
      </c>
      <c r="B1827" s="0" t="s">
        <v>2777</v>
      </c>
      <c r="C1827" s="0" t="s">
        <v>2778</v>
      </c>
      <c r="D1827" s="0" t="s">
        <v>2778</v>
      </c>
      <c r="E1827" s="0" t="inlineStr">
        <is>
          <t xml:space="preserve">Mazda</t>
        </is>
      </c>
      <c r="F1827" s="0" t="s">
        <v>28</v>
      </c>
      <c r="G1827" s="0" t="s">
        <v>29</v>
      </c>
      <c r="H1827" s="5">
        <v>120.303200</v>
      </c>
    </row>
    <row r="1828" spans="1:9">
      <c r="A1828" s="22" t="str">
        <f>HYPERLINK("https://app.vivvix.com/360/KMI/IntelliDrive/ApplUI/Pages/CreativePages/CustomReportCreativeDetail.aspx?App=23&amp;ReportView=4&amp;Qid=1711279&amp;Row=1820&amp;Col=1","No Title Assigned - #15266498561")</f>
        <v/>
      </c>
      <c r="B1828" s="0" t="s">
        <v>2779</v>
      </c>
      <c r="C1828" s="0" t="s">
        <v>2780</v>
      </c>
      <c r="D1828" s="0" t="s">
        <v>2780</v>
      </c>
      <c r="E1828" s="0" t="inlineStr">
        <is>
          <t xml:space="preserve">Mazda</t>
        </is>
      </c>
      <c r="F1828" s="0" t="s">
        <v>13</v>
      </c>
      <c r="G1828" s="0" t="s">
        <v>49</v>
      </c>
      <c r="H1828" s="5">
        <v>1013.780500</v>
      </c>
    </row>
    <row r="1829" spans="1:9">
      <c r="A1829" s="22" t="str">
        <f>HYPERLINK("https://app.vivvix.com/360/KMI/IntelliDrive/ApplUI/Pages/CreativePages/CustomReportCreativeDetail.aspx?App=23&amp;ReportView=4&amp;Qid=1711279&amp;Row=1821&amp;Col=1","No Title Assigned - #15266498731")</f>
        <v/>
      </c>
      <c r="B1829" s="0" t="s">
        <v>2781</v>
      </c>
      <c r="C1829" s="0" t="s">
        <v>2782</v>
      </c>
      <c r="D1829" s="0" t="s">
        <v>2782</v>
      </c>
      <c r="E1829" s="0" t="inlineStr">
        <is>
          <t xml:space="preserve">Mazda</t>
        </is>
      </c>
      <c r="F1829" s="0" t="s">
        <v>28</v>
      </c>
      <c r="G1829" s="0" t="s">
        <v>29</v>
      </c>
      <c r="H1829" s="5">
        <v>127.468000</v>
      </c>
    </row>
    <row r="1830" spans="1:9">
      <c r="A1830" s="22" t="str">
        <f>HYPERLINK("https://app.vivvix.com/360/KMI/IntelliDrive/ApplUI/Pages/CreativePages/CustomReportCreativeDetail.aspx?App=23&amp;ReportView=4&amp;Qid=1711279&amp;Row=1822&amp;Col=1","No Title Assigned - #15266500281")</f>
        <v/>
      </c>
      <c r="B1830" s="0" t="s">
        <v>2783</v>
      </c>
      <c r="C1830" s="0" t="s">
        <v>2784</v>
      </c>
      <c r="D1830" s="0" t="s">
        <v>2784</v>
      </c>
      <c r="E1830" s="0" t="inlineStr">
        <is>
          <t xml:space="preserve">Mazda</t>
        </is>
      </c>
      <c r="F1830" s="0" t="s">
        <v>28</v>
      </c>
      <c r="G1830" s="0" t="s">
        <v>29</v>
      </c>
      <c r="H1830" s="5">
        <v>31.049000</v>
      </c>
    </row>
    <row r="1831" spans="1:9">
      <c r="A1831" s="22" t="str">
        <f>HYPERLINK("https://app.vivvix.com/360/KMI/IntelliDrive/ApplUI/Pages/CreativePages/CustomReportCreativeDetail.aspx?App=23&amp;ReportView=4&amp;Qid=1711279&amp;Row=1823&amp;Col=1","No Title Assigned - #15266501112")</f>
        <v/>
      </c>
      <c r="B1831" s="0" t="s">
        <v>2785</v>
      </c>
      <c r="C1831" s="0" t="s">
        <v>2786</v>
      </c>
      <c r="D1831" s="0" t="s">
        <v>2786</v>
      </c>
      <c r="E1831" s="0" t="inlineStr">
        <is>
          <t xml:space="preserve">Mazda</t>
        </is>
      </c>
      <c r="F1831" s="0" t="s">
        <v>28</v>
      </c>
      <c r="G1831" s="0" t="s">
        <v>29</v>
      </c>
      <c r="H1831" s="5">
        <v>360.909600</v>
      </c>
    </row>
    <row r="1832" spans="1:9">
      <c r="A1832" s="22" t="str">
        <f>HYPERLINK("https://app.vivvix.com/360/KMI/IntelliDrive/ApplUI/Pages/CreativePages/CustomReportCreativeDetail.aspx?App=23&amp;ReportView=4&amp;Qid=1711279&amp;Row=1824&amp;Col=1","No Title Assigned - #15266502110")</f>
        <v/>
      </c>
      <c r="B1832" s="0" t="s">
        <v>2787</v>
      </c>
      <c r="C1832" s="0" t="s">
        <v>2788</v>
      </c>
      <c r="D1832" s="0" t="s">
        <v>2788</v>
      </c>
      <c r="E1832" s="0" t="inlineStr">
        <is>
          <t xml:space="preserve">Mazda</t>
        </is>
      </c>
      <c r="F1832" s="0" t="s">
        <v>28</v>
      </c>
      <c r="G1832" s="0" t="s">
        <v>29</v>
      </c>
      <c r="H1832" s="5">
        <v>514.391200</v>
      </c>
    </row>
    <row r="1833" spans="1:9">
      <c r="A1833" s="22" t="str">
        <f>HYPERLINK("https://app.vivvix.com/360/KMI/IntelliDrive/ApplUI/Pages/CreativePages/CustomReportCreativeDetail.aspx?App=23&amp;ReportView=4&amp;Qid=1711279&amp;Row=1825&amp;Col=1","No Title Assigned - #15266502110")</f>
        <v/>
      </c>
      <c r="B1833" s="0" t="s">
        <v>2787</v>
      </c>
      <c r="E1833" s="0" t="inlineStr">
        <is>
          <t xml:space="preserve">Mazda</t>
        </is>
      </c>
      <c r="F1833" s="0" t="s">
        <v>28</v>
      </c>
      <c r="G1833" s="0" t="s">
        <v>29</v>
      </c>
      <c r="H1833" s="5">
        <v>30.504200</v>
      </c>
    </row>
    <row r="1834" spans="1:9">
      <c r="A1834" s="22" t="str">
        <f>HYPERLINK("https://app.vivvix.com/360/KMI/IntelliDrive/ApplUI/Pages/CreativePages/CustomReportCreativeDetail.aspx?App=23&amp;ReportView=4&amp;Qid=1711279&amp;Row=1826&amp;Col=1","No Title Assigned - #15266503377")</f>
        <v/>
      </c>
      <c r="B1834" s="0" t="s">
        <v>2789</v>
      </c>
      <c r="E1834" s="0" t="inlineStr">
        <is>
          <t xml:space="preserve">Mazda</t>
        </is>
      </c>
      <c r="F1834" s="0" t="s">
        <v>28</v>
      </c>
      <c r="G1834" s="0" t="s">
        <v>29</v>
      </c>
      <c r="H1834" s="5">
        <v>317.485800</v>
      </c>
    </row>
    <row r="1835" spans="1:9">
      <c r="A1835" s="22" t="str">
        <f>HYPERLINK("https://app.vivvix.com/360/KMI/IntelliDrive/ApplUI/Pages/CreativePages/CustomReportCreativeDetail.aspx?App=23&amp;ReportView=4&amp;Qid=1711279&amp;Row=1827&amp;Col=1","No Title Assigned - #15266503377")</f>
        <v/>
      </c>
      <c r="B1835" s="0" t="s">
        <v>2789</v>
      </c>
      <c r="C1835" s="0" t="s">
        <v>2790</v>
      </c>
      <c r="D1835" s="0" t="s">
        <v>2790</v>
      </c>
      <c r="E1835" s="0" t="inlineStr">
        <is>
          <t xml:space="preserve">Mazda</t>
        </is>
      </c>
      <c r="F1835" s="0" t="s">
        <v>28</v>
      </c>
      <c r="G1835" s="0" t="s">
        <v>29</v>
      </c>
      <c r="H1835" s="5">
        <v>2559.720400</v>
      </c>
    </row>
    <row r="1836" spans="1:9">
      <c r="A1836" s="22" t="str">
        <f>HYPERLINK("https://app.vivvix.com/360/KMI/IntelliDrive/ApplUI/Pages/CreativePages/CustomReportCreativeDetail.aspx?App=23&amp;ReportView=4&amp;Qid=1711279&amp;Row=1828&amp;Col=1","No Title Assigned - #15266503991")</f>
        <v/>
      </c>
      <c r="B1836" s="0" t="s">
        <v>2791</v>
      </c>
      <c r="E1836" s="0" t="inlineStr">
        <is>
          <t xml:space="preserve">Mazda</t>
        </is>
      </c>
      <c r="F1836" s="0" t="inlineStr">
        <is>
          <t xml:space="preserve">Mazda</t>
        </is>
      </c>
      <c r="G1836" s="0" t="s">
        <v>171</v>
      </c>
      <c r="H1836" s="5">
        <v>12538.238700</v>
      </c>
    </row>
    <row r="1837" spans="1:9">
      <c r="A1837" s="22" t="str">
        <f>HYPERLINK("https://app.vivvix.com/360/KMI/IntelliDrive/ApplUI/Pages/CreativePages/CustomReportCreativeDetail.aspx?App=23&amp;ReportView=4&amp;Qid=1711279&amp;Row=1829&amp;Col=1","No Title Assigned - #15266503991")</f>
        <v/>
      </c>
      <c r="B1837" s="0" t="s">
        <v>2791</v>
      </c>
      <c r="E1837" s="0" t="inlineStr">
        <is>
          <t xml:space="preserve">Mazda</t>
        </is>
      </c>
      <c r="F1837" s="0" t="inlineStr">
        <is>
          <t xml:space="preserve">Mazda</t>
        </is>
      </c>
      <c r="G1837" s="0" t="s">
        <v>171</v>
      </c>
      <c r="H1837" s="5">
        <v>61299.009400</v>
      </c>
    </row>
    <row r="1838" spans="1:9">
      <c r="A1838" s="22" t="str">
        <f>HYPERLINK("https://app.vivvix.com/360/KMI/IntelliDrive/ApplUI/Pages/CreativePages/CustomReportCreativeDetail.aspx?App=23&amp;ReportView=4&amp;Qid=1711279&amp;Row=1830&amp;Col=1","No Title Assigned - #15266509342")</f>
        <v/>
      </c>
      <c r="B1838" s="0" t="s">
        <v>2792</v>
      </c>
      <c r="C1838" s="0" t="s">
        <v>2793</v>
      </c>
      <c r="D1838" s="0" t="s">
        <v>2793</v>
      </c>
      <c r="E1838" s="0" t="inlineStr">
        <is>
          <t xml:space="preserve">Mazda</t>
        </is>
      </c>
      <c r="F1838" s="0" t="s">
        <v>17</v>
      </c>
      <c r="G1838" s="0" t="s">
        <v>33</v>
      </c>
      <c r="H1838" s="5">
        <v>1493.515000</v>
      </c>
    </row>
    <row r="1839" spans="1:9">
      <c r="A1839" s="22" t="str">
        <f>HYPERLINK("https://app.vivvix.com/360/KMI/IntelliDrive/ApplUI/Pages/CreativePages/CustomReportCreativeDetail.aspx?App=23&amp;ReportView=4&amp;Qid=1711279&amp;Row=1831&amp;Col=1","No Title Assigned - #15266520521")</f>
        <v/>
      </c>
      <c r="B1839" s="0" t="s">
        <v>2794</v>
      </c>
      <c r="C1839" s="0" t="s">
        <v>2795</v>
      </c>
      <c r="D1839" s="0" t="s">
        <v>2795</v>
      </c>
      <c r="E1839" s="0" t="inlineStr">
        <is>
          <t xml:space="preserve">Mazda</t>
        </is>
      </c>
      <c r="F1839" s="0" t="s">
        <v>21</v>
      </c>
      <c r="G1839" s="0" t="s">
        <v>22</v>
      </c>
      <c r="H1839" s="5">
        <v>842.645400</v>
      </c>
    </row>
    <row r="1840" spans="1:9">
      <c r="A1840" s="22" t="str">
        <f>HYPERLINK("https://app.vivvix.com/360/KMI/IntelliDrive/ApplUI/Pages/CreativePages/CustomReportCreativeDetail.aspx?App=23&amp;ReportView=4&amp;Qid=1711279&amp;Row=1832&amp;Col=1","No Title Assigned - #15266525840")</f>
        <v/>
      </c>
      <c r="B1840" s="0" t="s">
        <v>2796</v>
      </c>
      <c r="E1840" s="0" t="inlineStr">
        <is>
          <t xml:space="preserve">Mazda</t>
        </is>
      </c>
      <c r="F1840" s="0" t="s">
        <v>28</v>
      </c>
      <c r="G1840" s="0" t="s">
        <v>29</v>
      </c>
      <c r="H1840" s="5">
        <v>204.790400</v>
      </c>
    </row>
    <row r="1841" spans="1:9">
      <c r="A1841" s="22" t="str">
        <f>HYPERLINK("https://app.vivvix.com/360/KMI/IntelliDrive/ApplUI/Pages/CreativePages/CustomReportCreativeDetail.aspx?App=23&amp;ReportView=4&amp;Qid=1711279&amp;Row=1833&amp;Col=1","No Title Assigned - #15266525840")</f>
        <v/>
      </c>
      <c r="B1841" s="0" t="s">
        <v>2796</v>
      </c>
      <c r="C1841" s="0" t="s">
        <v>2797</v>
      </c>
      <c r="D1841" s="0" t="s">
        <v>2797</v>
      </c>
      <c r="E1841" s="0" t="inlineStr">
        <is>
          <t xml:space="preserve">Mazda</t>
        </is>
      </c>
      <c r="F1841" s="0" t="s">
        <v>28</v>
      </c>
      <c r="G1841" s="0" t="s">
        <v>29</v>
      </c>
      <c r="H1841" s="5">
        <v>497.944500</v>
      </c>
    </row>
    <row r="1842" spans="1:9">
      <c r="A1842" s="22" t="str">
        <f>HYPERLINK("https://app.vivvix.com/360/KMI/IntelliDrive/ApplUI/Pages/CreativePages/CustomReportCreativeDetail.aspx?App=23&amp;ReportView=4&amp;Qid=1711279&amp;Row=1834&amp;Col=1","No Title Assigned - #15266526479")</f>
        <v/>
      </c>
      <c r="B1842" s="0" t="s">
        <v>2798</v>
      </c>
      <c r="C1842" s="0" t="s">
        <v>2799</v>
      </c>
      <c r="D1842" s="0" t="s">
        <v>2799</v>
      </c>
      <c r="E1842" s="0" t="inlineStr">
        <is>
          <t xml:space="preserve">Mazda</t>
        </is>
      </c>
      <c r="F1842" s="0" t="s">
        <v>28</v>
      </c>
      <c r="G1842" s="0" t="s">
        <v>29</v>
      </c>
      <c r="H1842" s="5">
        <v>756.777700</v>
      </c>
    </row>
    <row r="1843" spans="1:9">
      <c r="A1843" s="22" t="str">
        <f>HYPERLINK("https://app.vivvix.com/360/KMI/IntelliDrive/ApplUI/Pages/CreativePages/CustomReportCreativeDetail.aspx?App=23&amp;ReportView=4&amp;Qid=1711279&amp;Row=1835&amp;Col=1","No Title Assigned - #15266527525")</f>
        <v/>
      </c>
      <c r="B1843" s="0" t="s">
        <v>2800</v>
      </c>
      <c r="E1843" s="0" t="inlineStr">
        <is>
          <t xml:space="preserve">Mazda</t>
        </is>
      </c>
      <c r="F1843" s="0" t="inlineStr">
        <is>
          <t xml:space="preserve">Mazda</t>
        </is>
      </c>
      <c r="G1843" s="0" t="s">
        <v>171</v>
      </c>
      <c r="H1843" s="5">
        <v>204.475000</v>
      </c>
    </row>
    <row r="1844" spans="1:9">
      <c r="A1844" s="22" t="str">
        <f>HYPERLINK("https://app.vivvix.com/360/KMI/IntelliDrive/ApplUI/Pages/CreativePages/CustomReportCreativeDetail.aspx?App=23&amp;ReportView=4&amp;Qid=1711279&amp;Row=1836&amp;Col=1","No Title Assigned - #15266528458")</f>
        <v/>
      </c>
      <c r="B1844" s="0" t="s">
        <v>2801</v>
      </c>
      <c r="E1844" s="0" t="inlineStr">
        <is>
          <t xml:space="preserve">Mazda</t>
        </is>
      </c>
      <c r="F1844" s="0" t="inlineStr">
        <is>
          <t xml:space="preserve">Mazda</t>
        </is>
      </c>
      <c r="G1844" s="0" t="s">
        <v>171</v>
      </c>
      <c r="H1844" s="5">
        <v>5324.717600</v>
      </c>
    </row>
    <row r="1845" spans="1:9">
      <c r="A1845" s="22" t="str">
        <f>HYPERLINK("https://app.vivvix.com/360/KMI/IntelliDrive/ApplUI/Pages/CreativePages/CustomReportCreativeDetail.aspx?App=23&amp;ReportView=4&amp;Qid=1711279&amp;Row=1837&amp;Col=1","No Title Assigned - #15266528493")</f>
        <v/>
      </c>
      <c r="B1845" s="0" t="s">
        <v>2802</v>
      </c>
      <c r="C1845" s="0" t="s">
        <v>2803</v>
      </c>
      <c r="D1845" s="0" t="s">
        <v>2803</v>
      </c>
      <c r="E1845" s="0" t="inlineStr">
        <is>
          <t xml:space="preserve">Mazda</t>
        </is>
      </c>
      <c r="F1845" s="0" t="inlineStr">
        <is>
          <t xml:space="preserve">Mazda</t>
        </is>
      </c>
      <c r="G1845" s="0" t="s">
        <v>171</v>
      </c>
      <c r="H1845" s="5">
        <v>730.837400</v>
      </c>
    </row>
    <row r="1846" spans="1:9">
      <c r="A1846" s="22" t="str">
        <f>HYPERLINK("https://app.vivvix.com/360/KMI/IntelliDrive/ApplUI/Pages/CreativePages/CustomReportCreativeDetail.aspx?App=23&amp;ReportView=4&amp;Qid=1711279&amp;Row=1838&amp;Col=1","No Title Assigned - #15266544428")</f>
        <v/>
      </c>
      <c r="B1846" s="0" t="s">
        <v>2804</v>
      </c>
      <c r="C1846" s="0" t="s">
        <v>2805</v>
      </c>
      <c r="D1846" s="0" t="s">
        <v>2805</v>
      </c>
      <c r="E1846" s="0" t="inlineStr">
        <is>
          <t xml:space="preserve">Mazda</t>
        </is>
      </c>
      <c r="F1846" s="0" t="inlineStr">
        <is>
          <t xml:space="preserve">Mazda</t>
        </is>
      </c>
      <c r="G1846" s="0" t="s">
        <v>171</v>
      </c>
      <c r="H1846" s="5">
        <v>1124.555400</v>
      </c>
    </row>
    <row r="1847" spans="1:9">
      <c r="A1847" s="22" t="str">
        <f>HYPERLINK("https://app.vivvix.com/360/KMI/IntelliDrive/ApplUI/Pages/CreativePages/CustomReportCreativeDetail.aspx?App=23&amp;ReportView=4&amp;Qid=1711279&amp;Row=1839&amp;Col=1","No Title Assigned - #15266547098")</f>
        <v/>
      </c>
      <c r="B1847" s="0" t="s">
        <v>2806</v>
      </c>
      <c r="E1847" s="0" t="inlineStr">
        <is>
          <t xml:space="preserve">Mazda</t>
        </is>
      </c>
      <c r="F1847" s="0" t="inlineStr">
        <is>
          <t xml:space="preserve">Mazda</t>
        </is>
      </c>
      <c r="G1847" s="0" t="s">
        <v>171</v>
      </c>
      <c r="H1847" s="5">
        <v>54.332700</v>
      </c>
    </row>
    <row r="1848" spans="1:9">
      <c r="A1848" s="22" t="str">
        <f>HYPERLINK("https://app.vivvix.com/360/KMI/IntelliDrive/ApplUI/Pages/CreativePages/CustomReportCreativeDetail.aspx?App=23&amp;ReportView=4&amp;Qid=1711279&amp;Row=1840&amp;Col=1","No Title Assigned - #15266547801")</f>
        <v/>
      </c>
      <c r="B1848" s="0" t="s">
        <v>2807</v>
      </c>
      <c r="C1848" s="0" t="s">
        <v>2808</v>
      </c>
      <c r="D1848" s="0" t="s">
        <v>2808</v>
      </c>
      <c r="E1848" s="0" t="inlineStr">
        <is>
          <t xml:space="preserve">Mazda</t>
        </is>
      </c>
      <c r="F1848" s="0" t="inlineStr">
        <is>
          <t xml:space="preserve">Mazda</t>
        </is>
      </c>
      <c r="G1848" s="0" t="s">
        <v>171</v>
      </c>
      <c r="H1848" s="5">
        <v>219.434100</v>
      </c>
    </row>
    <row r="1849" spans="1:9">
      <c r="A1849" s="22" t="str">
        <f>HYPERLINK("https://app.vivvix.com/360/KMI/IntelliDrive/ApplUI/Pages/CreativePages/CustomReportCreativeDetail.aspx?App=23&amp;ReportView=4&amp;Qid=1711279&amp;Row=1841&amp;Col=1","No Title Assigned - #15266549478")</f>
        <v/>
      </c>
      <c r="B1849" s="0" t="s">
        <v>2809</v>
      </c>
      <c r="C1849" s="0" t="s">
        <v>2810</v>
      </c>
      <c r="D1849" s="0" t="s">
        <v>2810</v>
      </c>
      <c r="E1849" s="0" t="inlineStr">
        <is>
          <t xml:space="preserve">Mazda</t>
        </is>
      </c>
      <c r="F1849" s="0" t="inlineStr">
        <is>
          <t xml:space="preserve">Mazda</t>
        </is>
      </c>
      <c r="G1849" s="0" t="s">
        <v>171</v>
      </c>
      <c r="H1849" s="5">
        <v>257.644200</v>
      </c>
    </row>
    <row r="1850" spans="1:9">
      <c r="A1850" s="22" t="str">
        <f>HYPERLINK("https://app.vivvix.com/360/KMI/IntelliDrive/ApplUI/Pages/CreativePages/CustomReportCreativeDetail.aspx?App=23&amp;ReportView=4&amp;Qid=1711279&amp;Row=1842&amp;Col=1","No Title Assigned - #15266549749")</f>
        <v/>
      </c>
      <c r="B1850" s="0" t="s">
        <v>2811</v>
      </c>
      <c r="E1850" s="0" t="inlineStr">
        <is>
          <t xml:space="preserve">Mazda</t>
        </is>
      </c>
      <c r="F1850" s="0" t="inlineStr">
        <is>
          <t xml:space="preserve">Mazda</t>
        </is>
      </c>
      <c r="G1850" s="0" t="s">
        <v>171</v>
      </c>
      <c r="H1850" s="5">
        <v>6224.873200</v>
      </c>
    </row>
    <row r="1851" spans="1:9">
      <c r="A1851" s="22" t="str">
        <f>HYPERLINK("https://app.vivvix.com/360/KMI/IntelliDrive/ApplUI/Pages/CreativePages/CustomReportCreativeDetail.aspx?App=23&amp;ReportView=4&amp;Qid=1711279&amp;Row=1843&amp;Col=1","No Title Assigned - #15266550967")</f>
        <v/>
      </c>
      <c r="B1851" s="0" t="s">
        <v>2812</v>
      </c>
      <c r="C1851" s="0" t="s">
        <v>2813</v>
      </c>
      <c r="D1851" s="0" t="s">
        <v>2813</v>
      </c>
      <c r="E1851" s="0" t="inlineStr">
        <is>
          <t xml:space="preserve">Mazda</t>
        </is>
      </c>
      <c r="F1851" s="0" t="inlineStr">
        <is>
          <t xml:space="preserve">Mazda</t>
        </is>
      </c>
      <c r="G1851" s="0" t="s">
        <v>171</v>
      </c>
      <c r="H1851" s="5">
        <v>1265.050400</v>
      </c>
    </row>
    <row r="1852" spans="1:9">
      <c r="A1852" s="22" t="str">
        <f>HYPERLINK("https://app.vivvix.com/360/KMI/IntelliDrive/ApplUI/Pages/CreativePages/CustomReportCreativeDetail.aspx?App=23&amp;ReportView=4&amp;Qid=1711279&amp;Row=1844&amp;Col=1","No Title Assigned - #15266553632")</f>
        <v/>
      </c>
      <c r="B1852" s="0" t="s">
        <v>2814</v>
      </c>
      <c r="E1852" s="0" t="inlineStr">
        <is>
          <t xml:space="preserve">Mazda</t>
        </is>
      </c>
      <c r="F1852" s="0" t="inlineStr">
        <is>
          <t xml:space="preserve">Mazda</t>
        </is>
      </c>
      <c r="G1852" s="0" t="s">
        <v>171</v>
      </c>
      <c r="H1852" s="5">
        <v>785.660000</v>
      </c>
    </row>
    <row r="1853" spans="1:9">
      <c r="A1853" s="22" t="str">
        <f>HYPERLINK("https://app.vivvix.com/360/KMI/IntelliDrive/ApplUI/Pages/CreativePages/CustomReportCreativeDetail.aspx?App=23&amp;ReportView=4&amp;Qid=1711279&amp;Row=1845&amp;Col=1","No Title Assigned - #15266557240")</f>
        <v/>
      </c>
      <c r="B1853" s="0" t="s">
        <v>2815</v>
      </c>
      <c r="E1853" s="0" t="inlineStr">
        <is>
          <t xml:space="preserve">Mazda</t>
        </is>
      </c>
      <c r="F1853" s="0" t="inlineStr">
        <is>
          <t xml:space="preserve">Mazda</t>
        </is>
      </c>
      <c r="G1853" s="0" t="s">
        <v>171</v>
      </c>
      <c r="H1853" s="5">
        <v>88.422000</v>
      </c>
    </row>
    <row r="1854" spans="1:9">
      <c r="A1854" s="22" t="str">
        <f>HYPERLINK("https://app.vivvix.com/360/KMI/IntelliDrive/ApplUI/Pages/CreativePages/CustomReportCreativeDetail.aspx?App=23&amp;ReportView=4&amp;Qid=1711279&amp;Row=1846&amp;Col=1","No Title Assigned - #15266557480")</f>
        <v/>
      </c>
      <c r="B1854" s="0" t="s">
        <v>2816</v>
      </c>
      <c r="E1854" s="0" t="inlineStr">
        <is>
          <t xml:space="preserve">Mazda</t>
        </is>
      </c>
      <c r="F1854" s="0" t="inlineStr">
        <is>
          <t xml:space="preserve">Mazda</t>
        </is>
      </c>
      <c r="G1854" s="0" t="s">
        <v>171</v>
      </c>
      <c r="H1854" s="5">
        <v>4854.839000</v>
      </c>
    </row>
    <row r="1855" spans="1:9">
      <c r="A1855" s="22" t="str">
        <f>HYPERLINK("https://app.vivvix.com/360/KMI/IntelliDrive/ApplUI/Pages/CreativePages/CustomReportCreativeDetail.aspx?App=23&amp;ReportView=4&amp;Qid=1711279&amp;Row=1847&amp;Col=1","No Title Assigned - #15266559665")</f>
        <v/>
      </c>
      <c r="B1855" s="0" t="s">
        <v>2817</v>
      </c>
      <c r="E1855" s="0" t="inlineStr">
        <is>
          <t xml:space="preserve">Mazda</t>
        </is>
      </c>
      <c r="F1855" s="0" t="inlineStr">
        <is>
          <t xml:space="preserve">Mazda</t>
        </is>
      </c>
      <c r="G1855" s="0" t="s">
        <v>171</v>
      </c>
      <c r="H1855" s="5">
        <v>622.176200</v>
      </c>
    </row>
    <row r="1856" spans="1:9">
      <c r="A1856" s="22" t="str">
        <f>HYPERLINK("https://app.vivvix.com/360/KMI/IntelliDrive/ApplUI/Pages/CreativePages/CustomReportCreativeDetail.aspx?App=23&amp;ReportView=4&amp;Qid=1711279&amp;Row=1848&amp;Col=1","No Title Assigned - #15266561788")</f>
        <v/>
      </c>
      <c r="B1856" s="0" t="s">
        <v>2818</v>
      </c>
      <c r="E1856" s="0" t="inlineStr">
        <is>
          <t xml:space="preserve">Mazda</t>
        </is>
      </c>
      <c r="F1856" s="0" t="inlineStr">
        <is>
          <t xml:space="preserve">Mazda</t>
        </is>
      </c>
      <c r="G1856" s="0" t="s">
        <v>171</v>
      </c>
      <c r="H1856" s="5">
        <v>622.176200</v>
      </c>
    </row>
    <row r="1857" spans="1:9">
      <c r="A1857" s="22" t="str">
        <f>HYPERLINK("https://app.vivvix.com/360/KMI/IntelliDrive/ApplUI/Pages/CreativePages/CustomReportCreativeDetail.aspx?App=23&amp;ReportView=4&amp;Qid=1711279&amp;Row=1849&amp;Col=1","No Title Assigned - #15266562146")</f>
        <v/>
      </c>
      <c r="B1857" s="0" t="s">
        <v>2819</v>
      </c>
      <c r="E1857" s="0" t="inlineStr">
        <is>
          <t xml:space="preserve">Mazda</t>
        </is>
      </c>
      <c r="F1857" s="0" t="inlineStr">
        <is>
          <t xml:space="preserve">Mazda</t>
        </is>
      </c>
      <c r="G1857" s="0" t="s">
        <v>171</v>
      </c>
      <c r="H1857" s="5">
        <v>2553.278000</v>
      </c>
    </row>
    <row r="1858" spans="1:9">
      <c r="A1858" s="22" t="str">
        <f>HYPERLINK("https://app.vivvix.com/360/KMI/IntelliDrive/ApplUI/Pages/CreativePages/CustomReportCreativeDetail.aspx?App=23&amp;ReportView=4&amp;Qid=1711279&amp;Row=1850&amp;Col=1","No Title Assigned - #15266562146")</f>
        <v/>
      </c>
      <c r="B1858" s="0" t="s">
        <v>2819</v>
      </c>
      <c r="C1858" s="0" t="s">
        <v>2820</v>
      </c>
      <c r="D1858" s="0" t="s">
        <v>2820</v>
      </c>
      <c r="E1858" s="0" t="inlineStr">
        <is>
          <t xml:space="preserve">Mazda</t>
        </is>
      </c>
      <c r="F1858" s="0" t="inlineStr">
        <is>
          <t xml:space="preserve">Mazda</t>
        </is>
      </c>
      <c r="G1858" s="0" t="s">
        <v>171</v>
      </c>
      <c r="H1858" s="5">
        <v>60713.197500</v>
      </c>
    </row>
    <row r="1859" spans="1:9">
      <c r="A1859" s="22" t="str">
        <f>HYPERLINK("https://app.vivvix.com/360/KMI/IntelliDrive/ApplUI/Pages/CreativePages/CustomReportCreativeDetail.aspx?App=23&amp;ReportView=4&amp;Qid=1711279&amp;Row=1851&amp;Col=1","No Title Assigned - #15266576661")</f>
        <v/>
      </c>
      <c r="B1859" s="0" t="s">
        <v>2821</v>
      </c>
      <c r="C1859" s="0" t="s">
        <v>2822</v>
      </c>
      <c r="D1859" s="0" t="s">
        <v>2822</v>
      </c>
      <c r="E1859" s="0" t="inlineStr">
        <is>
          <t xml:space="preserve">Mazda</t>
        </is>
      </c>
      <c r="F1859" s="0" t="s">
        <v>28</v>
      </c>
      <c r="G1859" s="0" t="s">
        <v>29</v>
      </c>
      <c r="H1859" s="5">
        <v>42492.574200</v>
      </c>
    </row>
    <row r="1860" spans="1:9">
      <c r="A1860" s="22" t="str">
        <f>HYPERLINK("https://app.vivvix.com/360/KMI/IntelliDrive/ApplUI/Pages/CreativePages/CustomReportCreativeDetail.aspx?App=23&amp;ReportView=4&amp;Qid=1711279&amp;Row=1852&amp;Col=1","No Title Assigned - #15266576661")</f>
        <v/>
      </c>
      <c r="B1860" s="0" t="s">
        <v>2821</v>
      </c>
      <c r="E1860" s="0" t="inlineStr">
        <is>
          <t xml:space="preserve">Mazda</t>
        </is>
      </c>
      <c r="F1860" s="0" t="s">
        <v>28</v>
      </c>
      <c r="G1860" s="0" t="s">
        <v>29</v>
      </c>
      <c r="H1860" s="5">
        <v>39.289000</v>
      </c>
    </row>
    <row r="1861" spans="1:9">
      <c r="A1861" s="22" t="str">
        <f>HYPERLINK("https://app.vivvix.com/360/KMI/IntelliDrive/ApplUI/Pages/CreativePages/CustomReportCreativeDetail.aspx?App=23&amp;ReportView=4&amp;Qid=1711279&amp;Row=1853&amp;Col=1","No Title Assigned - #15266576772")</f>
        <v/>
      </c>
      <c r="B1861" s="0" t="s">
        <v>2823</v>
      </c>
      <c r="E1861" s="0" t="inlineStr">
        <is>
          <t xml:space="preserve">Mazda</t>
        </is>
      </c>
      <c r="F1861" s="0" t="inlineStr">
        <is>
          <t xml:space="preserve">Mazda</t>
        </is>
      </c>
      <c r="G1861" s="0" t="s">
        <v>171</v>
      </c>
      <c r="H1861" s="5">
        <v>204.475000</v>
      </c>
    </row>
    <row r="1862" spans="1:9">
      <c r="A1862" s="22" t="str">
        <f>HYPERLINK("https://app.vivvix.com/360/KMI/IntelliDrive/ApplUI/Pages/CreativePages/CustomReportCreativeDetail.aspx?App=23&amp;ReportView=4&amp;Qid=1711279&amp;Row=1854&amp;Col=1","No Title Assigned - #15266577046")</f>
        <v/>
      </c>
      <c r="B1862" s="0" t="s">
        <v>2824</v>
      </c>
      <c r="C1862" s="0" t="s">
        <v>2825</v>
      </c>
      <c r="D1862" s="0" t="s">
        <v>2825</v>
      </c>
      <c r="E1862" s="0" t="inlineStr">
        <is>
          <t xml:space="preserve">Mazda</t>
        </is>
      </c>
      <c r="F1862" s="0" t="s">
        <v>28</v>
      </c>
      <c r="G1862" s="0" t="s">
        <v>29</v>
      </c>
      <c r="H1862" s="5">
        <v>42492.574200</v>
      </c>
    </row>
    <row r="1863" spans="1:9">
      <c r="A1863" s="22" t="str">
        <f>HYPERLINK("https://app.vivvix.com/360/KMI/IntelliDrive/ApplUI/Pages/CreativePages/CustomReportCreativeDetail.aspx?App=23&amp;ReportView=4&amp;Qid=1711279&amp;Row=1855&amp;Col=1","No Title Assigned - #15266577816")</f>
        <v/>
      </c>
      <c r="B1863" s="0" t="s">
        <v>2826</v>
      </c>
      <c r="C1863" s="0" t="s">
        <v>2827</v>
      </c>
      <c r="D1863" s="0" t="s">
        <v>2827</v>
      </c>
      <c r="E1863" s="0" t="inlineStr">
        <is>
          <t xml:space="preserve">Mazda</t>
        </is>
      </c>
      <c r="F1863" s="0" t="s">
        <v>28</v>
      </c>
      <c r="G1863" s="0" t="s">
        <v>29</v>
      </c>
      <c r="H1863" s="5">
        <v>223.366700</v>
      </c>
    </row>
    <row r="1864" spans="1:9">
      <c r="A1864" s="22" t="str">
        <f>HYPERLINK("https://app.vivvix.com/360/KMI/IntelliDrive/ApplUI/Pages/CreativePages/CustomReportCreativeDetail.aspx?App=23&amp;ReportView=4&amp;Qid=1711279&amp;Row=1856&amp;Col=1","No Title Assigned - #15266577987")</f>
        <v/>
      </c>
      <c r="B1864" s="0" t="s">
        <v>2828</v>
      </c>
      <c r="C1864" s="0" t="s">
        <v>2829</v>
      </c>
      <c r="D1864" s="0" t="s">
        <v>2829</v>
      </c>
      <c r="E1864" s="0" t="inlineStr">
        <is>
          <t xml:space="preserve">Mazda</t>
        </is>
      </c>
      <c r="F1864" s="0" t="s">
        <v>28</v>
      </c>
      <c r="G1864" s="0" t="s">
        <v>29</v>
      </c>
      <c r="H1864" s="5">
        <v>1163.208000</v>
      </c>
    </row>
    <row r="1865" spans="1:9">
      <c r="A1865" s="22" t="str">
        <f>HYPERLINK("https://app.vivvix.com/360/KMI/IntelliDrive/ApplUI/Pages/CreativePages/CustomReportCreativeDetail.aspx?App=23&amp;ReportView=4&amp;Qid=1711279&amp;Row=1857&amp;Col=1","No Title Assigned - #15266581443")</f>
        <v/>
      </c>
      <c r="B1865" s="0" t="s">
        <v>2830</v>
      </c>
      <c r="C1865" s="0" t="s">
        <v>2831</v>
      </c>
      <c r="D1865" s="0" t="s">
        <v>2831</v>
      </c>
      <c r="E1865" s="0" t="inlineStr">
        <is>
          <t xml:space="preserve">Mazda</t>
        </is>
      </c>
      <c r="F1865" s="0" t="s">
        <v>56</v>
      </c>
      <c r="G1865" s="0" t="s">
        <v>57</v>
      </c>
      <c r="H1865" s="5">
        <v>4950.242000</v>
      </c>
    </row>
    <row r="1866" spans="1:9">
      <c r="A1866" s="22" t="str">
        <f>HYPERLINK("https://app.vivvix.com/360/KMI/IntelliDrive/ApplUI/Pages/CreativePages/CustomReportCreativeDetail.aspx?App=23&amp;ReportView=4&amp;Qid=1711279&amp;Row=1858&amp;Col=1","No Title Assigned - #15266585880")</f>
        <v/>
      </c>
      <c r="B1866" s="0" t="s">
        <v>2832</v>
      </c>
      <c r="C1866" s="0" t="s">
        <v>2833</v>
      </c>
      <c r="D1866" s="0" t="s">
        <v>2833</v>
      </c>
      <c r="E1866" s="0" t="inlineStr">
        <is>
          <t xml:space="preserve">Mazda</t>
        </is>
      </c>
      <c r="F1866" s="0" t="s">
        <v>28</v>
      </c>
      <c r="G1866" s="0" t="s">
        <v>29</v>
      </c>
      <c r="H1866" s="5">
        <v>117.379700</v>
      </c>
    </row>
    <row r="1867" spans="1:9">
      <c r="A1867" s="22" t="str">
        <f>HYPERLINK("https://app.vivvix.com/360/KMI/IntelliDrive/ApplUI/Pages/CreativePages/CustomReportCreativeDetail.aspx?App=23&amp;ReportView=4&amp;Qid=1711279&amp;Row=1859&amp;Col=1","No Title Assigned - #15266593954")</f>
        <v/>
      </c>
      <c r="B1867" s="0" t="s">
        <v>2834</v>
      </c>
      <c r="C1867" s="0" t="s">
        <v>2835</v>
      </c>
      <c r="D1867" s="0" t="s">
        <v>2835</v>
      </c>
      <c r="E1867" s="0" t="inlineStr">
        <is>
          <t xml:space="preserve">Mazda</t>
        </is>
      </c>
      <c r="F1867" s="0" t="s">
        <v>28</v>
      </c>
      <c r="G1867" s="0" t="s">
        <v>29</v>
      </c>
      <c r="H1867" s="5">
        <v>3042.837900</v>
      </c>
    </row>
    <row r="1868" spans="1:9">
      <c r="A1868" s="22" t="str">
        <f>HYPERLINK("https://app.vivvix.com/360/KMI/IntelliDrive/ApplUI/Pages/CreativePages/CustomReportCreativeDetail.aspx?App=23&amp;ReportView=4&amp;Qid=1711279&amp;Row=1860&amp;Col=1","No Title Assigned - #15266595447")</f>
        <v/>
      </c>
      <c r="B1868" s="0" t="s">
        <v>2836</v>
      </c>
      <c r="C1868" s="0" t="s">
        <v>2837</v>
      </c>
      <c r="D1868" s="0" t="s">
        <v>2837</v>
      </c>
      <c r="E1868" s="0" t="inlineStr">
        <is>
          <t xml:space="preserve">Mazda</t>
        </is>
      </c>
      <c r="F1868" s="0" t="inlineStr">
        <is>
          <t xml:space="preserve">Mazda</t>
        </is>
      </c>
      <c r="G1868" s="0" t="s">
        <v>1992</v>
      </c>
      <c r="H1868" s="5">
        <v>786.209600</v>
      </c>
    </row>
    <row r="1869" spans="1:9">
      <c r="A1869" s="22" t="str">
        <f>HYPERLINK("https://app.vivvix.com/360/KMI/IntelliDrive/ApplUI/Pages/CreativePages/CustomReportCreativeDetail.aspx?App=23&amp;ReportView=4&amp;Qid=1711279&amp;Row=1861&amp;Col=1","No Title Assigned - #15266602275")</f>
        <v/>
      </c>
      <c r="B1869" s="0" t="s">
        <v>2838</v>
      </c>
      <c r="C1869" s="0" t="s">
        <v>2839</v>
      </c>
      <c r="D1869" s="0" t="s">
        <v>2839</v>
      </c>
      <c r="E1869" s="0" t="inlineStr">
        <is>
          <t xml:space="preserve">Mazda</t>
        </is>
      </c>
      <c r="F1869" s="0" t="s">
        <v>28</v>
      </c>
      <c r="G1869" s="0" t="s">
        <v>29</v>
      </c>
      <c r="H1869" s="5">
        <v>824.074800</v>
      </c>
    </row>
    <row r="1870" spans="1:9">
      <c r="A1870" s="22" t="str">
        <f>HYPERLINK("https://app.vivvix.com/360/KMI/IntelliDrive/ApplUI/Pages/CreativePages/CustomReportCreativeDetail.aspx?App=23&amp;ReportView=4&amp;Qid=1711279&amp;Row=1862&amp;Col=1","No Title Assigned - #15266603099")</f>
        <v/>
      </c>
      <c r="B1870" s="0" t="s">
        <v>2840</v>
      </c>
      <c r="C1870" s="0" t="s">
        <v>2841</v>
      </c>
      <c r="D1870" s="0" t="s">
        <v>2841</v>
      </c>
      <c r="E1870" s="0" t="inlineStr">
        <is>
          <t xml:space="preserve">Mazda</t>
        </is>
      </c>
      <c r="F1870" s="0" t="s">
        <v>28</v>
      </c>
      <c r="G1870" s="0" t="s">
        <v>29</v>
      </c>
      <c r="H1870" s="5">
        <v>404.126500</v>
      </c>
    </row>
    <row r="1871" spans="1:9">
      <c r="A1871" s="22" t="str">
        <f>HYPERLINK("https://app.vivvix.com/360/KMI/IntelliDrive/ApplUI/Pages/CreativePages/CustomReportCreativeDetail.aspx?App=23&amp;ReportView=4&amp;Qid=1711279&amp;Row=1863&amp;Col=1","No Title Assigned - #15266612323")</f>
        <v/>
      </c>
      <c r="B1871" s="0" t="s">
        <v>2842</v>
      </c>
      <c r="E1871" s="0" t="inlineStr">
        <is>
          <t xml:space="preserve">Mazda</t>
        </is>
      </c>
      <c r="F1871" s="0" t="s">
        <v>28</v>
      </c>
      <c r="G1871" s="0" t="s">
        <v>29</v>
      </c>
      <c r="H1871" s="5">
        <v>5662.708300</v>
      </c>
    </row>
    <row r="1872" spans="1:9">
      <c r="A1872" s="22" t="str">
        <f>HYPERLINK("https://app.vivvix.com/360/KMI/IntelliDrive/ApplUI/Pages/CreativePages/CustomReportCreativeDetail.aspx?App=23&amp;ReportView=4&amp;Qid=1711279&amp;Row=1864&amp;Col=1","No Title Assigned - #15266612323")</f>
        <v/>
      </c>
      <c r="B1872" s="0" t="s">
        <v>2842</v>
      </c>
      <c r="C1872" s="0" t="s">
        <v>2843</v>
      </c>
      <c r="D1872" s="0" t="s">
        <v>2843</v>
      </c>
      <c r="E1872" s="0" t="inlineStr">
        <is>
          <t xml:space="preserve">Mazda</t>
        </is>
      </c>
      <c r="F1872" s="0" t="s">
        <v>28</v>
      </c>
      <c r="G1872" s="0" t="s">
        <v>29</v>
      </c>
      <c r="H1872" s="5">
        <v>12181.235100</v>
      </c>
    </row>
    <row r="1873" spans="1:9">
      <c r="A1873" s="22" t="str">
        <f>HYPERLINK("https://app.vivvix.com/360/KMI/IntelliDrive/ApplUI/Pages/CreativePages/CustomReportCreativeDetail.aspx?App=23&amp;ReportView=4&amp;Qid=1711279&amp;Row=1865&amp;Col=1","No Title Assigned - #15266616333")</f>
        <v/>
      </c>
      <c r="B1873" s="0" t="s">
        <v>2844</v>
      </c>
      <c r="E1873" s="0" t="inlineStr">
        <is>
          <t xml:space="preserve">Mazda</t>
        </is>
      </c>
      <c r="F1873" s="0" t="inlineStr">
        <is>
          <t xml:space="preserve">Mazda</t>
        </is>
      </c>
      <c r="G1873" s="0" t="s">
        <v>171</v>
      </c>
      <c r="H1873" s="5">
        <v>208724.285800</v>
      </c>
    </row>
    <row r="1874" spans="1:9">
      <c r="A1874" s="22" t="str">
        <f>HYPERLINK("https://app.vivvix.com/360/KMI/IntelliDrive/ApplUI/Pages/CreativePages/CustomReportCreativeDetail.aspx?App=23&amp;ReportView=4&amp;Qid=1711279&amp;Row=1866&amp;Col=1","No Title Assigned - #15266616333")</f>
        <v/>
      </c>
      <c r="B1874" s="0" t="s">
        <v>2844</v>
      </c>
      <c r="E1874" s="0" t="inlineStr">
        <is>
          <t xml:space="preserve">Mazda</t>
        </is>
      </c>
      <c r="F1874" s="0" t="inlineStr">
        <is>
          <t xml:space="preserve">Mazda</t>
        </is>
      </c>
      <c r="G1874" s="0" t="s">
        <v>171</v>
      </c>
      <c r="H1874" s="5">
        <v>367734.462100</v>
      </c>
    </row>
    <row r="1875" spans="1:9">
      <c r="A1875" s="22" t="str">
        <f>HYPERLINK("https://app.vivvix.com/360/KMI/IntelliDrive/ApplUI/Pages/CreativePages/CustomReportCreativeDetail.aspx?App=23&amp;ReportView=4&amp;Qid=1711279&amp;Row=1867&amp;Col=1","No Title Assigned - #15266619559")</f>
        <v/>
      </c>
      <c r="B1875" s="0" t="s">
        <v>2845</v>
      </c>
      <c r="E1875" s="0" t="inlineStr">
        <is>
          <t xml:space="preserve">Mazda</t>
        </is>
      </c>
      <c r="F1875" s="0" t="inlineStr">
        <is>
          <t xml:space="preserve">Mazda</t>
        </is>
      </c>
      <c r="G1875" s="0" t="s">
        <v>171</v>
      </c>
      <c r="H1875" s="5">
        <v>437.700400</v>
      </c>
    </row>
    <row r="1876" spans="1:9">
      <c r="A1876" s="22" t="str">
        <f>HYPERLINK("https://app.vivvix.com/360/KMI/IntelliDrive/ApplUI/Pages/CreativePages/CustomReportCreativeDetail.aspx?App=23&amp;ReportView=4&amp;Qid=1711279&amp;Row=1868&amp;Col=1","No Title Assigned - #15266624466")</f>
        <v/>
      </c>
      <c r="B1876" s="0" t="s">
        <v>2846</v>
      </c>
      <c r="E1876" s="0" t="inlineStr">
        <is>
          <t xml:space="preserve">Mazda</t>
        </is>
      </c>
      <c r="F1876" s="0" t="inlineStr">
        <is>
          <t xml:space="preserve">Mazda</t>
        </is>
      </c>
      <c r="G1876" s="0" t="s">
        <v>171</v>
      </c>
      <c r="H1876" s="5">
        <v>2576.288100</v>
      </c>
    </row>
    <row r="1877" spans="1:9">
      <c r="A1877" s="22" t="str">
        <f>HYPERLINK("https://app.vivvix.com/360/KMI/IntelliDrive/ApplUI/Pages/CreativePages/CustomReportCreativeDetail.aspx?App=23&amp;ReportView=4&amp;Qid=1711279&amp;Row=1869&amp;Col=1","No Title Assigned - #15266625199")</f>
        <v/>
      </c>
      <c r="B1877" s="0" t="s">
        <v>2847</v>
      </c>
      <c r="E1877" s="0" t="inlineStr">
        <is>
          <t xml:space="preserve">Mazda</t>
        </is>
      </c>
      <c r="F1877" s="0" t="inlineStr">
        <is>
          <t xml:space="preserve">Mazda</t>
        </is>
      </c>
      <c r="G1877" s="0" t="s">
        <v>171</v>
      </c>
      <c r="H1877" s="5">
        <v>1916.909600</v>
      </c>
    </row>
    <row r="1878" spans="1:9">
      <c r="A1878" s="22" t="str">
        <f>HYPERLINK("https://app.vivvix.com/360/KMI/IntelliDrive/ApplUI/Pages/CreativePages/CustomReportCreativeDetail.aspx?App=23&amp;ReportView=4&amp;Qid=1711279&amp;Row=1870&amp;Col=1","No Title Assigned - #15266625662")</f>
        <v/>
      </c>
      <c r="B1878" s="0" t="s">
        <v>2848</v>
      </c>
      <c r="E1878" s="0" t="inlineStr">
        <is>
          <t xml:space="preserve">Mazda</t>
        </is>
      </c>
      <c r="F1878" s="0" t="inlineStr">
        <is>
          <t xml:space="preserve">Mazda</t>
        </is>
      </c>
      <c r="G1878" s="0" t="s">
        <v>171</v>
      </c>
      <c r="H1878" s="5">
        <v>532.841000</v>
      </c>
    </row>
    <row r="1879" spans="1:9">
      <c r="A1879" s="22" t="str">
        <f>HYPERLINK("https://app.vivvix.com/360/KMI/IntelliDrive/ApplUI/Pages/CreativePages/CustomReportCreativeDetail.aspx?App=23&amp;ReportView=4&amp;Qid=1711279&amp;Row=1871&amp;Col=1","No Title Assigned - #15266626136")</f>
        <v/>
      </c>
      <c r="B1879" s="0" t="s">
        <v>2849</v>
      </c>
      <c r="E1879" s="0" t="inlineStr">
        <is>
          <t xml:space="preserve">Mazda</t>
        </is>
      </c>
      <c r="F1879" s="0" t="inlineStr">
        <is>
          <t xml:space="preserve">Mazda</t>
        </is>
      </c>
      <c r="G1879" s="0" t="s">
        <v>171</v>
      </c>
      <c r="H1879" s="5">
        <v>812.140600</v>
      </c>
    </row>
    <row r="1880" spans="1:9">
      <c r="A1880" s="22" t="str">
        <f>HYPERLINK("https://app.vivvix.com/360/KMI/IntelliDrive/ApplUI/Pages/CreativePages/CustomReportCreativeDetail.aspx?App=23&amp;ReportView=4&amp;Qid=1711279&amp;Row=1872&amp;Col=1","No Title Assigned - #15266626144")</f>
        <v/>
      </c>
      <c r="B1880" s="0" t="s">
        <v>2850</v>
      </c>
      <c r="C1880" s="0" t="s">
        <v>2851</v>
      </c>
      <c r="D1880" s="0" t="s">
        <v>2851</v>
      </c>
      <c r="E1880" s="0" t="inlineStr">
        <is>
          <t xml:space="preserve">Mazda</t>
        </is>
      </c>
      <c r="F1880" s="0" t="inlineStr">
        <is>
          <t xml:space="preserve">Mazda</t>
        </is>
      </c>
      <c r="G1880" s="0" t="s">
        <v>171</v>
      </c>
      <c r="H1880" s="5">
        <v>1483.345200</v>
      </c>
    </row>
    <row r="1881" spans="1:9">
      <c r="A1881" s="22" t="str">
        <f>HYPERLINK("https://app.vivvix.com/360/KMI/IntelliDrive/ApplUI/Pages/CreativePages/CustomReportCreativeDetail.aspx?App=23&amp;ReportView=4&amp;Qid=1711279&amp;Row=1873&amp;Col=1","No Title Assigned - #15266628564")</f>
        <v/>
      </c>
      <c r="B1881" s="0" t="s">
        <v>2852</v>
      </c>
      <c r="C1881" s="0" t="s">
        <v>2853</v>
      </c>
      <c r="D1881" s="0" t="s">
        <v>2853</v>
      </c>
      <c r="E1881" s="0" t="inlineStr">
        <is>
          <t xml:space="preserve">Mazda</t>
        </is>
      </c>
      <c r="F1881" s="0" t="inlineStr">
        <is>
          <t xml:space="preserve">Mazda</t>
        </is>
      </c>
      <c r="G1881" s="0" t="s">
        <v>171</v>
      </c>
      <c r="H1881" s="5">
        <v>168.471000</v>
      </c>
    </row>
    <row r="1882" spans="1:9">
      <c r="A1882" s="22" t="str">
        <f>HYPERLINK("https://app.vivvix.com/360/KMI/IntelliDrive/ApplUI/Pages/CreativePages/CustomReportCreativeDetail.aspx?App=23&amp;ReportView=4&amp;Qid=1711279&amp;Row=1874&amp;Col=1","No Title Assigned - #15266628564")</f>
        <v/>
      </c>
      <c r="B1882" s="0" t="s">
        <v>2852</v>
      </c>
      <c r="E1882" s="0" t="inlineStr">
        <is>
          <t xml:space="preserve">Mazda</t>
        </is>
      </c>
      <c r="F1882" s="0" t="inlineStr">
        <is>
          <t xml:space="preserve">Mazda</t>
        </is>
      </c>
      <c r="G1882" s="0" t="s">
        <v>171</v>
      </c>
      <c r="H1882" s="5">
        <v>79.445300</v>
      </c>
    </row>
    <row r="1883" spans="1:9">
      <c r="A1883" s="22" t="str">
        <f>HYPERLINK("https://app.vivvix.com/360/KMI/IntelliDrive/ApplUI/Pages/CreativePages/CustomReportCreativeDetail.aspx?App=23&amp;ReportView=4&amp;Qid=1711279&amp;Row=1875&amp;Col=1","No Title Assigned - #15266630297")</f>
        <v/>
      </c>
      <c r="B1883" s="0" t="s">
        <v>2854</v>
      </c>
      <c r="C1883" s="0" t="s">
        <v>2855</v>
      </c>
      <c r="D1883" s="0" t="s">
        <v>2855</v>
      </c>
      <c r="E1883" s="0" t="inlineStr">
        <is>
          <t xml:space="preserve">Mazda</t>
        </is>
      </c>
      <c r="F1883" s="0" t="inlineStr">
        <is>
          <t xml:space="preserve">Mazda</t>
        </is>
      </c>
      <c r="G1883" s="0" t="s">
        <v>171</v>
      </c>
      <c r="H1883" s="5">
        <v>1485.547200</v>
      </c>
    </row>
    <row r="1884" spans="1:9">
      <c r="A1884" s="22" t="str">
        <f>HYPERLINK("https://app.vivvix.com/360/KMI/IntelliDrive/ApplUI/Pages/CreativePages/CustomReportCreativeDetail.aspx?App=23&amp;ReportView=4&amp;Qid=1711279&amp;Row=1876&amp;Col=1","No Title Assigned - #15266635060")</f>
        <v/>
      </c>
      <c r="B1884" s="0" t="s">
        <v>2856</v>
      </c>
      <c r="C1884" s="0" t="s">
        <v>2857</v>
      </c>
      <c r="D1884" s="0" t="s">
        <v>2857</v>
      </c>
      <c r="E1884" s="0" t="inlineStr">
        <is>
          <t xml:space="preserve">Mazda</t>
        </is>
      </c>
      <c r="F1884" s="0" t="s">
        <v>28</v>
      </c>
      <c r="G1884" s="0" t="s">
        <v>29</v>
      </c>
      <c r="H1884" s="5">
        <v>3110.277300</v>
      </c>
    </row>
    <row r="1885" spans="1:9">
      <c r="A1885" s="22" t="str">
        <f>HYPERLINK("https://app.vivvix.com/360/KMI/IntelliDrive/ApplUI/Pages/CreativePages/CustomReportCreativeDetail.aspx?App=23&amp;ReportView=4&amp;Qid=1711279&amp;Row=1877&amp;Col=1","No Title Assigned - #15266635060")</f>
        <v/>
      </c>
      <c r="B1885" s="0" t="s">
        <v>2856</v>
      </c>
      <c r="E1885" s="0" t="inlineStr">
        <is>
          <t xml:space="preserve">Mazda</t>
        </is>
      </c>
      <c r="F1885" s="0" t="s">
        <v>28</v>
      </c>
      <c r="G1885" s="0" t="s">
        <v>29</v>
      </c>
      <c r="H1885" s="5">
        <v>65.045900</v>
      </c>
    </row>
    <row r="1886" spans="1:9">
      <c r="A1886" s="22" t="str">
        <f>HYPERLINK("https://app.vivvix.com/360/KMI/IntelliDrive/ApplUI/Pages/CreativePages/CustomReportCreativeDetail.aspx?App=23&amp;ReportView=4&amp;Qid=1711279&amp;Row=1878&amp;Col=1","No Title Assigned - #15266637061")</f>
        <v/>
      </c>
      <c r="B1886" s="0" t="s">
        <v>2858</v>
      </c>
      <c r="C1886" s="0" t="s">
        <v>2859</v>
      </c>
      <c r="D1886" s="0" t="s">
        <v>2859</v>
      </c>
      <c r="E1886" s="0" t="inlineStr">
        <is>
          <t xml:space="preserve">Mazda</t>
        </is>
      </c>
      <c r="F1886" s="0" t="s">
        <v>28</v>
      </c>
      <c r="G1886" s="0" t="s">
        <v>29</v>
      </c>
      <c r="H1886" s="5">
        <v>9330.336000</v>
      </c>
    </row>
    <row r="1887" spans="1:9">
      <c r="A1887" s="22" t="str">
        <f>HYPERLINK("https://app.vivvix.com/360/KMI/IntelliDrive/ApplUI/Pages/CreativePages/CustomReportCreativeDetail.aspx?App=23&amp;ReportView=4&amp;Qid=1711279&amp;Row=1879&amp;Col=1","No Title Assigned - #15266639434")</f>
        <v/>
      </c>
      <c r="B1887" s="0" t="s">
        <v>2860</v>
      </c>
      <c r="C1887" s="0" t="s">
        <v>2861</v>
      </c>
      <c r="D1887" s="0" t="s">
        <v>2861</v>
      </c>
      <c r="E1887" s="0" t="inlineStr">
        <is>
          <t xml:space="preserve">Mazda</t>
        </is>
      </c>
      <c r="F1887" s="0" t="s">
        <v>28</v>
      </c>
      <c r="G1887" s="0" t="s">
        <v>29</v>
      </c>
      <c r="H1887" s="5">
        <v>258.406800</v>
      </c>
    </row>
    <row r="1888" spans="1:9">
      <c r="A1888" s="22" t="str">
        <f>HYPERLINK("https://app.vivvix.com/360/KMI/IntelliDrive/ApplUI/Pages/CreativePages/CustomReportCreativeDetail.aspx?App=23&amp;ReportView=4&amp;Qid=1711279&amp;Row=1880&amp;Col=1","No Title Assigned - #15266640269")</f>
        <v/>
      </c>
      <c r="B1888" s="0" t="s">
        <v>2862</v>
      </c>
      <c r="C1888" s="0" t="s">
        <v>2863</v>
      </c>
      <c r="D1888" s="0" t="s">
        <v>2863</v>
      </c>
      <c r="E1888" s="0" t="inlineStr">
        <is>
          <t xml:space="preserve">Mazda</t>
        </is>
      </c>
      <c r="F1888" s="0" t="s">
        <v>13</v>
      </c>
      <c r="G1888" s="0" t="s">
        <v>49</v>
      </c>
      <c r="H1888" s="5">
        <v>8640.906000</v>
      </c>
    </row>
    <row r="1889" spans="1:9">
      <c r="A1889" s="22" t="str">
        <f>HYPERLINK("https://app.vivvix.com/360/KMI/IntelliDrive/ApplUI/Pages/CreativePages/CustomReportCreativeDetail.aspx?App=23&amp;ReportView=4&amp;Qid=1711279&amp;Row=1881&amp;Col=1","No Title Assigned - #15266640534")</f>
        <v/>
      </c>
      <c r="B1889" s="0" t="s">
        <v>2864</v>
      </c>
      <c r="C1889" s="0" t="s">
        <v>2865</v>
      </c>
      <c r="D1889" s="0" t="s">
        <v>2865</v>
      </c>
      <c r="E1889" s="0" t="inlineStr">
        <is>
          <t xml:space="preserve">Mazda</t>
        </is>
      </c>
      <c r="F1889" s="0" t="s">
        <v>28</v>
      </c>
      <c r="G1889" s="0" t="s">
        <v>29</v>
      </c>
      <c r="H1889" s="5">
        <v>193.474300</v>
      </c>
    </row>
    <row r="1890" spans="1:9">
      <c r="A1890" s="22" t="str">
        <f>HYPERLINK("https://app.vivvix.com/360/KMI/IntelliDrive/ApplUI/Pages/CreativePages/CustomReportCreativeDetail.aspx?App=23&amp;ReportView=4&amp;Qid=1711279&amp;Row=1882&amp;Col=1","No Title Assigned - #15266641093")</f>
        <v/>
      </c>
      <c r="B1890" s="0" t="s">
        <v>2866</v>
      </c>
      <c r="C1890" s="0" t="s">
        <v>2867</v>
      </c>
      <c r="D1890" s="0" t="s">
        <v>2867</v>
      </c>
      <c r="E1890" s="0" t="inlineStr">
        <is>
          <t xml:space="preserve">Mazda</t>
        </is>
      </c>
      <c r="F1890" s="0" t="s">
        <v>28</v>
      </c>
      <c r="G1890" s="0" t="s">
        <v>29</v>
      </c>
      <c r="H1890" s="5">
        <v>259.280800</v>
      </c>
    </row>
    <row r="1891" spans="1:9">
      <c r="A1891" s="22" t="str">
        <f>HYPERLINK("https://app.vivvix.com/360/KMI/IntelliDrive/ApplUI/Pages/CreativePages/CustomReportCreativeDetail.aspx?App=23&amp;ReportView=4&amp;Qid=1711279&amp;Row=1883&amp;Col=1","No Title Assigned - #15266643194")</f>
        <v/>
      </c>
      <c r="B1891" s="0" t="s">
        <v>2868</v>
      </c>
      <c r="C1891" s="0" t="s">
        <v>2869</v>
      </c>
      <c r="D1891" s="0" t="s">
        <v>2869</v>
      </c>
      <c r="E1891" s="0" t="inlineStr">
        <is>
          <t xml:space="preserve">Mazda</t>
        </is>
      </c>
      <c r="F1891" s="0" t="s">
        <v>28</v>
      </c>
      <c r="G1891" s="0" t="s">
        <v>29</v>
      </c>
      <c r="H1891" s="5">
        <v>943.034500</v>
      </c>
    </row>
    <row r="1892" spans="1:9">
      <c r="A1892" s="22" t="str">
        <f>HYPERLINK("https://app.vivvix.com/360/KMI/IntelliDrive/ApplUI/Pages/CreativePages/CustomReportCreativeDetail.aspx?App=23&amp;ReportView=4&amp;Qid=1711279&amp;Row=1884&amp;Col=1","No Title Assigned - #15266643495")</f>
        <v/>
      </c>
      <c r="B1892" s="0" t="s">
        <v>2870</v>
      </c>
      <c r="C1892" s="0" t="s">
        <v>2871</v>
      </c>
      <c r="D1892" s="0" t="s">
        <v>2871</v>
      </c>
      <c r="E1892" s="0" t="inlineStr">
        <is>
          <t xml:space="preserve">Mazda</t>
        </is>
      </c>
      <c r="F1892" s="0" t="s">
        <v>28</v>
      </c>
      <c r="G1892" s="0" t="s">
        <v>29</v>
      </c>
      <c r="H1892" s="5">
        <v>508.409600</v>
      </c>
    </row>
    <row r="1893" spans="1:9">
      <c r="A1893" s="22" t="str">
        <f>HYPERLINK("https://app.vivvix.com/360/KMI/IntelliDrive/ApplUI/Pages/CreativePages/CustomReportCreativeDetail.aspx?App=23&amp;ReportView=4&amp;Qid=1711279&amp;Row=1885&amp;Col=1","No Title Assigned - #15266643745")</f>
        <v/>
      </c>
      <c r="B1893" s="0" t="s">
        <v>2872</v>
      </c>
      <c r="C1893" s="0" t="s">
        <v>2873</v>
      </c>
      <c r="D1893" s="0" t="s">
        <v>2873</v>
      </c>
      <c r="E1893" s="0" t="inlineStr">
        <is>
          <t xml:space="preserve">Mazda</t>
        </is>
      </c>
      <c r="F1893" s="0" t="s">
        <v>28</v>
      </c>
      <c r="G1893" s="0" t="s">
        <v>29</v>
      </c>
      <c r="H1893" s="5">
        <v>1125.966600</v>
      </c>
    </row>
    <row r="1894" spans="1:9">
      <c r="A1894" s="22" t="str">
        <f>HYPERLINK("https://app.vivvix.com/360/KMI/IntelliDrive/ApplUI/Pages/CreativePages/CustomReportCreativeDetail.aspx?App=23&amp;ReportView=4&amp;Qid=1711279&amp;Row=1886&amp;Col=1","No Title Assigned - #15266643966")</f>
        <v/>
      </c>
      <c r="B1894" s="0" t="s">
        <v>2874</v>
      </c>
      <c r="C1894" s="0" t="s">
        <v>2875</v>
      </c>
      <c r="D1894" s="0" t="s">
        <v>2875</v>
      </c>
      <c r="E1894" s="0" t="inlineStr">
        <is>
          <t xml:space="preserve">Mazda</t>
        </is>
      </c>
      <c r="F1894" s="0" t="s">
        <v>28</v>
      </c>
      <c r="G1894" s="0" t="s">
        <v>29</v>
      </c>
      <c r="H1894" s="5">
        <v>1172.791500</v>
      </c>
    </row>
    <row r="1895" spans="1:9">
      <c r="A1895" s="22" t="str">
        <f>HYPERLINK("https://app.vivvix.com/360/KMI/IntelliDrive/ApplUI/Pages/CreativePages/CustomReportCreativeDetail.aspx?App=23&amp;ReportView=4&amp;Qid=1711279&amp;Row=1887&amp;Col=1","No Title Assigned - #15266644024")</f>
        <v/>
      </c>
      <c r="B1895" s="0" t="s">
        <v>2876</v>
      </c>
      <c r="C1895" s="0" t="s">
        <v>2877</v>
      </c>
      <c r="D1895" s="0" t="s">
        <v>2877</v>
      </c>
      <c r="E1895" s="0" t="inlineStr">
        <is>
          <t xml:space="preserve">Mazda</t>
        </is>
      </c>
      <c r="F1895" s="0" t="s">
        <v>28</v>
      </c>
      <c r="G1895" s="0" t="s">
        <v>29</v>
      </c>
      <c r="H1895" s="5">
        <v>508.245300</v>
      </c>
    </row>
    <row r="1896" spans="1:9">
      <c r="A1896" s="22" t="str">
        <f>HYPERLINK("https://app.vivvix.com/360/KMI/IntelliDrive/ApplUI/Pages/CreativePages/CustomReportCreativeDetail.aspx?App=23&amp;ReportView=4&amp;Qid=1711279&amp;Row=1888&amp;Col=1","No Title Assigned - #15266644182")</f>
        <v/>
      </c>
      <c r="B1896" s="0" t="s">
        <v>2878</v>
      </c>
      <c r="C1896" s="0" t="s">
        <v>2879</v>
      </c>
      <c r="D1896" s="0" t="s">
        <v>2879</v>
      </c>
      <c r="E1896" s="0" t="inlineStr">
        <is>
          <t xml:space="preserve">Mazda</t>
        </is>
      </c>
      <c r="F1896" s="0" t="s">
        <v>28</v>
      </c>
      <c r="G1896" s="0" t="s">
        <v>29</v>
      </c>
      <c r="H1896" s="5">
        <v>153499.140600</v>
      </c>
    </row>
    <row r="1897" spans="1:9">
      <c r="A1897" s="22" t="str">
        <f>HYPERLINK("https://app.vivvix.com/360/KMI/IntelliDrive/ApplUI/Pages/CreativePages/CustomReportCreativeDetail.aspx?App=23&amp;ReportView=4&amp;Qid=1711279&amp;Row=1889&amp;Col=1","No Title Assigned - #15266663524")</f>
        <v/>
      </c>
      <c r="B1897" s="0" t="s">
        <v>2880</v>
      </c>
      <c r="C1897" s="0" t="s">
        <v>2881</v>
      </c>
      <c r="D1897" s="0" t="s">
        <v>2881</v>
      </c>
      <c r="E1897" s="0" t="inlineStr">
        <is>
          <t xml:space="preserve">Mazda</t>
        </is>
      </c>
      <c r="F1897" s="0" t="s">
        <v>28</v>
      </c>
      <c r="G1897" s="0" t="s">
        <v>29</v>
      </c>
      <c r="H1897" s="5">
        <v>63587.686100</v>
      </c>
    </row>
    <row r="1898" spans="1:9">
      <c r="A1898" s="22" t="str">
        <f>HYPERLINK("https://app.vivvix.com/360/KMI/IntelliDrive/ApplUI/Pages/CreativePages/CustomReportCreativeDetail.aspx?App=23&amp;ReportView=4&amp;Qid=1711279&amp;Row=1890&amp;Col=1","No Title Assigned - #15266663524")</f>
        <v/>
      </c>
      <c r="B1898" s="0" t="s">
        <v>2880</v>
      </c>
      <c r="E1898" s="0" t="inlineStr">
        <is>
          <t xml:space="preserve">Mazda</t>
        </is>
      </c>
      <c r="F1898" s="0" t="s">
        <v>28</v>
      </c>
      <c r="G1898" s="0" t="s">
        <v>29</v>
      </c>
      <c r="H1898" s="5">
        <v>37428.378200</v>
      </c>
    </row>
    <row r="1899" spans="1:9">
      <c r="A1899" s="22" t="str">
        <f>HYPERLINK("https://app.vivvix.com/360/KMI/IntelliDrive/ApplUI/Pages/CreativePages/CustomReportCreativeDetail.aspx?App=23&amp;ReportView=4&amp;Qid=1711279&amp;Row=1891&amp;Col=1","No Title Assigned - #15266668265")</f>
        <v/>
      </c>
      <c r="B1899" s="0" t="s">
        <v>2882</v>
      </c>
      <c r="C1899" s="0" t="s">
        <v>2883</v>
      </c>
      <c r="D1899" s="0" t="s">
        <v>2883</v>
      </c>
      <c r="E1899" s="0" t="inlineStr">
        <is>
          <t xml:space="preserve">Mazda</t>
        </is>
      </c>
      <c r="F1899" s="0" t="s">
        <v>28</v>
      </c>
      <c r="G1899" s="0" t="s">
        <v>29</v>
      </c>
      <c r="H1899" s="5">
        <v>359.851100</v>
      </c>
    </row>
    <row r="1900" spans="1:9">
      <c r="A1900" s="22" t="str">
        <f>HYPERLINK("https://app.vivvix.com/360/KMI/IntelliDrive/ApplUI/Pages/CreativePages/CustomReportCreativeDetail.aspx?App=23&amp;ReportView=4&amp;Qid=1711279&amp;Row=1892&amp;Col=1","No Title Assigned - #15266668285")</f>
        <v/>
      </c>
      <c r="B1900" s="0" t="s">
        <v>2884</v>
      </c>
      <c r="E1900" s="0" t="inlineStr">
        <is>
          <t xml:space="preserve">Mazda</t>
        </is>
      </c>
      <c r="F1900" s="0" t="s">
        <v>28</v>
      </c>
      <c r="G1900" s="0" t="s">
        <v>29</v>
      </c>
      <c r="H1900" s="5">
        <v>12773.852600</v>
      </c>
    </row>
    <row r="1901" spans="1:9">
      <c r="A1901" s="22" t="str">
        <f>HYPERLINK("https://app.vivvix.com/360/KMI/IntelliDrive/ApplUI/Pages/CreativePages/CustomReportCreativeDetail.aspx?App=23&amp;ReportView=4&amp;Qid=1711279&amp;Row=1893&amp;Col=1","No Title Assigned - #15266668285")</f>
        <v/>
      </c>
      <c r="B1901" s="0" t="s">
        <v>2884</v>
      </c>
      <c r="C1901" s="0" t="s">
        <v>2885</v>
      </c>
      <c r="D1901" s="0" t="s">
        <v>2885</v>
      </c>
      <c r="E1901" s="0" t="inlineStr">
        <is>
          <t xml:space="preserve">Mazda</t>
        </is>
      </c>
      <c r="F1901" s="0" t="s">
        <v>28</v>
      </c>
      <c r="G1901" s="0" t="s">
        <v>29</v>
      </c>
      <c r="H1901" s="5">
        <v>3280.456700</v>
      </c>
    </row>
    <row r="1902" spans="1:9">
      <c r="A1902" s="22" t="str">
        <f>HYPERLINK("https://app.vivvix.com/360/KMI/IntelliDrive/ApplUI/Pages/CreativePages/CustomReportCreativeDetail.aspx?App=23&amp;ReportView=4&amp;Qid=1711279&amp;Row=1894&amp;Col=1","No Title Assigned - #15266668599")</f>
        <v/>
      </c>
      <c r="B1902" s="0" t="s">
        <v>2886</v>
      </c>
      <c r="C1902" s="0" t="s">
        <v>2887</v>
      </c>
      <c r="D1902" s="0" t="s">
        <v>2887</v>
      </c>
      <c r="E1902" s="0" t="inlineStr">
        <is>
          <t xml:space="preserve">Mazda</t>
        </is>
      </c>
      <c r="F1902" s="0" t="s">
        <v>13</v>
      </c>
      <c r="G1902" s="0" t="s">
        <v>49</v>
      </c>
      <c r="H1902" s="5">
        <v>1050.853800</v>
      </c>
    </row>
    <row r="1903" spans="1:9">
      <c r="A1903" s="22" t="str">
        <f>HYPERLINK("https://app.vivvix.com/360/KMI/IntelliDrive/ApplUI/Pages/CreativePages/CustomReportCreativeDetail.aspx?App=23&amp;ReportView=4&amp;Qid=1711279&amp;Row=1895&amp;Col=1","No Title Assigned - #15266669487")</f>
        <v/>
      </c>
      <c r="B1903" s="0" t="s">
        <v>2888</v>
      </c>
      <c r="C1903" s="0" t="s">
        <v>2889</v>
      </c>
      <c r="D1903" s="0" t="s">
        <v>2889</v>
      </c>
      <c r="E1903" s="0" t="inlineStr">
        <is>
          <t xml:space="preserve">Mazda</t>
        </is>
      </c>
      <c r="F1903" s="0" t="s">
        <v>28</v>
      </c>
      <c r="G1903" s="0" t="s">
        <v>29</v>
      </c>
      <c r="H1903" s="5">
        <v>248.861500</v>
      </c>
    </row>
    <row r="1904" spans="1:9">
      <c r="A1904" s="22" t="str">
        <f>HYPERLINK("https://app.vivvix.com/360/KMI/IntelliDrive/ApplUI/Pages/CreativePages/CustomReportCreativeDetail.aspx?App=23&amp;ReportView=4&amp;Qid=1711279&amp;Row=1896&amp;Col=1","No Title Assigned - #15266669691")</f>
        <v/>
      </c>
      <c r="B1904" s="0" t="s">
        <v>2890</v>
      </c>
      <c r="C1904" s="0" t="s">
        <v>2891</v>
      </c>
      <c r="D1904" s="0" t="s">
        <v>2891</v>
      </c>
      <c r="E1904" s="0" t="inlineStr">
        <is>
          <t xml:space="preserve">Mazda</t>
        </is>
      </c>
      <c r="F1904" s="0" t="s">
        <v>28</v>
      </c>
      <c r="G1904" s="0" t="s">
        <v>29</v>
      </c>
      <c r="H1904" s="5">
        <v>1035.352400</v>
      </c>
    </row>
    <row r="1905" spans="1:9">
      <c r="A1905" s="22" t="str">
        <f>HYPERLINK("https://app.vivvix.com/360/KMI/IntelliDrive/ApplUI/Pages/CreativePages/CustomReportCreativeDetail.aspx?App=23&amp;ReportView=4&amp;Qid=1711279&amp;Row=1897&amp;Col=1","No Title Assigned - #15266670485")</f>
        <v/>
      </c>
      <c r="B1905" s="0" t="s">
        <v>2892</v>
      </c>
      <c r="E1905" s="0" t="inlineStr">
        <is>
          <t xml:space="preserve">Mazda</t>
        </is>
      </c>
      <c r="F1905" s="0" t="inlineStr">
        <is>
          <t xml:space="preserve">Mazda</t>
        </is>
      </c>
      <c r="G1905" s="0" t="s">
        <v>171</v>
      </c>
      <c r="H1905" s="5">
        <v>32752.453800</v>
      </c>
    </row>
    <row r="1906" spans="1:9">
      <c r="A1906" s="22" t="str">
        <f>HYPERLINK("https://app.vivvix.com/360/KMI/IntelliDrive/ApplUI/Pages/CreativePages/CustomReportCreativeDetail.aspx?App=23&amp;ReportView=4&amp;Qid=1711279&amp;Row=1898&amp;Col=1","No Title Assigned - #15266670485")</f>
        <v/>
      </c>
      <c r="B1906" s="0" t="s">
        <v>2892</v>
      </c>
      <c r="C1906" s="0" t="s">
        <v>2893</v>
      </c>
      <c r="D1906" s="0" t="s">
        <v>2893</v>
      </c>
      <c r="E1906" s="0" t="inlineStr">
        <is>
          <t xml:space="preserve">Mazda</t>
        </is>
      </c>
      <c r="F1906" s="0" t="inlineStr">
        <is>
          <t xml:space="preserve">Mazda</t>
        </is>
      </c>
      <c r="G1906" s="0" t="s">
        <v>171</v>
      </c>
      <c r="H1906" s="5">
        <v>125418.223200</v>
      </c>
    </row>
    <row r="1907" spans="1:9">
      <c r="A1907" s="22" t="str">
        <f>HYPERLINK("https://app.vivvix.com/360/KMI/IntelliDrive/ApplUI/Pages/CreativePages/CustomReportCreativeDetail.aspx?App=23&amp;ReportView=4&amp;Qid=1711279&amp;Row=1899&amp;Col=1","No Title Assigned - #15266671332")</f>
        <v/>
      </c>
      <c r="B1907" s="0" t="s">
        <v>2894</v>
      </c>
      <c r="C1907" s="0" t="s">
        <v>2895</v>
      </c>
      <c r="D1907" s="0" t="s">
        <v>2895</v>
      </c>
      <c r="E1907" s="0" t="inlineStr">
        <is>
          <t xml:space="preserve">Mazda</t>
        </is>
      </c>
      <c r="F1907" s="0" t="s">
        <v>28</v>
      </c>
      <c r="G1907" s="0" t="s">
        <v>29</v>
      </c>
      <c r="H1907" s="5">
        <v>407.567400</v>
      </c>
    </row>
    <row r="1908" spans="1:9">
      <c r="A1908" s="22" t="str">
        <f>HYPERLINK("https://app.vivvix.com/360/KMI/IntelliDrive/ApplUI/Pages/CreativePages/CustomReportCreativeDetail.aspx?App=23&amp;ReportView=4&amp;Qid=1711279&amp;Row=1900&amp;Col=1","No Title Assigned - #15266673461")</f>
        <v/>
      </c>
      <c r="B1908" s="0" t="s">
        <v>2896</v>
      </c>
      <c r="C1908" s="0" t="s">
        <v>2897</v>
      </c>
      <c r="D1908" s="0" t="s">
        <v>2897</v>
      </c>
      <c r="E1908" s="0" t="inlineStr">
        <is>
          <t xml:space="preserve">Mazda</t>
        </is>
      </c>
      <c r="F1908" s="0" t="s">
        <v>28</v>
      </c>
      <c r="G1908" s="0" t="s">
        <v>29</v>
      </c>
      <c r="H1908" s="5">
        <v>3988.570500</v>
      </c>
    </row>
    <row r="1909" spans="1:9">
      <c r="A1909" s="22" t="str">
        <f>HYPERLINK("https://app.vivvix.com/360/KMI/IntelliDrive/ApplUI/Pages/CreativePages/CustomReportCreativeDetail.aspx?App=23&amp;ReportView=4&amp;Qid=1711279&amp;Row=1901&amp;Col=1","No Title Assigned - #15266673951")</f>
        <v/>
      </c>
      <c r="B1909" s="0" t="s">
        <v>2898</v>
      </c>
      <c r="C1909" s="0" t="s">
        <v>2899</v>
      </c>
      <c r="D1909" s="0" t="s">
        <v>2899</v>
      </c>
      <c r="E1909" s="0" t="inlineStr">
        <is>
          <t xml:space="preserve">Mazda</t>
        </is>
      </c>
      <c r="F1909" s="0" t="s">
        <v>28</v>
      </c>
      <c r="G1909" s="0" t="s">
        <v>29</v>
      </c>
      <c r="H1909" s="5">
        <v>291.448300</v>
      </c>
    </row>
    <row r="1910" spans="1:9">
      <c r="A1910" s="22" t="str">
        <f>HYPERLINK("https://app.vivvix.com/360/KMI/IntelliDrive/ApplUI/Pages/CreativePages/CustomReportCreativeDetail.aspx?App=23&amp;ReportView=4&amp;Qid=1711279&amp;Row=1902&amp;Col=1","No Title Assigned - #15266674500")</f>
        <v/>
      </c>
      <c r="B1910" s="0" t="s">
        <v>2900</v>
      </c>
      <c r="E1910" s="0" t="inlineStr">
        <is>
          <t xml:space="preserve">Mazda</t>
        </is>
      </c>
      <c r="F1910" s="0" t="s">
        <v>28</v>
      </c>
      <c r="G1910" s="0" t="s">
        <v>29</v>
      </c>
      <c r="H1910" s="5">
        <v>158820.153400</v>
      </c>
    </row>
    <row r="1911" spans="1:9">
      <c r="A1911" s="22" t="str">
        <f>HYPERLINK("https://app.vivvix.com/360/KMI/IntelliDrive/ApplUI/Pages/CreativePages/CustomReportCreativeDetail.aspx?App=23&amp;ReportView=4&amp;Qid=1711279&amp;Row=1903&amp;Col=1","No Title Assigned - #15266674500")</f>
        <v/>
      </c>
      <c r="B1911" s="0" t="s">
        <v>2900</v>
      </c>
      <c r="C1911" s="0" t="s">
        <v>2901</v>
      </c>
      <c r="D1911" s="0" t="s">
        <v>2901</v>
      </c>
      <c r="E1911" s="0" t="inlineStr">
        <is>
          <t xml:space="preserve">Mazda</t>
        </is>
      </c>
      <c r="F1911" s="0" t="s">
        <v>28</v>
      </c>
      <c r="G1911" s="0" t="s">
        <v>29</v>
      </c>
      <c r="H1911" s="5">
        <v>60211.522000</v>
      </c>
    </row>
    <row r="1912" spans="1:9">
      <c r="A1912" s="22" t="str">
        <f>HYPERLINK("https://app.vivvix.com/360/KMI/IntelliDrive/ApplUI/Pages/CreativePages/CustomReportCreativeDetail.aspx?App=23&amp;ReportView=4&amp;Qid=1711279&amp;Row=1904&amp;Col=1","No Title Assigned - #15266674794")</f>
        <v/>
      </c>
      <c r="B1912" s="0" t="s">
        <v>2902</v>
      </c>
      <c r="E1912" s="0" t="inlineStr">
        <is>
          <t xml:space="preserve">Mazda</t>
        </is>
      </c>
      <c r="F1912" s="0" t="s">
        <v>28</v>
      </c>
      <c r="G1912" s="0" t="s">
        <v>29</v>
      </c>
      <c r="H1912" s="5">
        <v>1291.483500</v>
      </c>
    </row>
    <row r="1913" spans="1:9">
      <c r="A1913" s="22" t="str">
        <f>HYPERLINK("https://app.vivvix.com/360/KMI/IntelliDrive/ApplUI/Pages/CreativePages/CustomReportCreativeDetail.aspx?App=23&amp;ReportView=4&amp;Qid=1711279&amp;Row=1905&amp;Col=1","No Title Assigned - #15266674794")</f>
        <v/>
      </c>
      <c r="B1913" s="0" t="s">
        <v>2902</v>
      </c>
      <c r="E1913" s="0" t="inlineStr">
        <is>
          <t xml:space="preserve">Mazda</t>
        </is>
      </c>
      <c r="F1913" s="0" t="s">
        <v>28</v>
      </c>
      <c r="G1913" s="0" t="s">
        <v>29</v>
      </c>
      <c r="H1913" s="5">
        <v>2332.586800</v>
      </c>
    </row>
    <row r="1914" spans="1:9">
      <c r="A1914" s="22" t="str">
        <f>HYPERLINK("https://app.vivvix.com/360/KMI/IntelliDrive/ApplUI/Pages/CreativePages/CustomReportCreativeDetail.aspx?App=23&amp;ReportView=4&amp;Qid=1711279&amp;Row=1906&amp;Col=1","No Title Assigned - #15266675442")</f>
        <v/>
      </c>
      <c r="B1914" s="0" t="s">
        <v>2903</v>
      </c>
      <c r="C1914" s="0" t="s">
        <v>2904</v>
      </c>
      <c r="D1914" s="0" t="s">
        <v>2904</v>
      </c>
      <c r="E1914" s="0" t="inlineStr">
        <is>
          <t xml:space="preserve">Mazda</t>
        </is>
      </c>
      <c r="F1914" s="0" t="s">
        <v>28</v>
      </c>
      <c r="G1914" s="0" t="s">
        <v>29</v>
      </c>
      <c r="H1914" s="5">
        <v>217.655600</v>
      </c>
    </row>
    <row r="1915" spans="1:9">
      <c r="A1915" s="22" t="str">
        <f>HYPERLINK("https://app.vivvix.com/360/KMI/IntelliDrive/ApplUI/Pages/CreativePages/CustomReportCreativeDetail.aspx?App=23&amp;ReportView=4&amp;Qid=1711279&amp;Row=1907&amp;Col=1","No Title Assigned - #15266675891")</f>
        <v/>
      </c>
      <c r="B1915" s="0" t="s">
        <v>2905</v>
      </c>
      <c r="C1915" s="0" t="s">
        <v>2906</v>
      </c>
      <c r="D1915" s="0" t="s">
        <v>2906</v>
      </c>
      <c r="E1915" s="0" t="inlineStr">
        <is>
          <t xml:space="preserve">Mazda</t>
        </is>
      </c>
      <c r="F1915" s="0" t="s">
        <v>28</v>
      </c>
      <c r="G1915" s="0" t="s">
        <v>29</v>
      </c>
      <c r="H1915" s="5">
        <v>425.152500</v>
      </c>
    </row>
    <row r="1916" spans="1:9">
      <c r="A1916" s="22" t="str">
        <f>HYPERLINK("https://app.vivvix.com/360/KMI/IntelliDrive/ApplUI/Pages/CreativePages/CustomReportCreativeDetail.aspx?App=23&amp;ReportView=4&amp;Qid=1711279&amp;Row=1908&amp;Col=1","No Title Assigned - #15266675968")</f>
        <v/>
      </c>
      <c r="B1916" s="0" t="s">
        <v>2907</v>
      </c>
      <c r="C1916" s="0" t="s">
        <v>2908</v>
      </c>
      <c r="D1916" s="0" t="s">
        <v>2908</v>
      </c>
      <c r="E1916" s="0" t="inlineStr">
        <is>
          <t xml:space="preserve">Mazda</t>
        </is>
      </c>
      <c r="F1916" s="0" t="s">
        <v>28</v>
      </c>
      <c r="G1916" s="0" t="s">
        <v>29</v>
      </c>
      <c r="H1916" s="5">
        <v>248.861500</v>
      </c>
    </row>
    <row r="1917" spans="1:9">
      <c r="A1917" s="22" t="str">
        <f>HYPERLINK("https://app.vivvix.com/360/KMI/IntelliDrive/ApplUI/Pages/CreativePages/CustomReportCreativeDetail.aspx?App=23&amp;ReportView=4&amp;Qid=1711279&amp;Row=1909&amp;Col=1","No Title Assigned - #15266676241")</f>
        <v/>
      </c>
      <c r="B1917" s="0" t="s">
        <v>2909</v>
      </c>
      <c r="E1917" s="0" t="inlineStr">
        <is>
          <t xml:space="preserve">Mazda</t>
        </is>
      </c>
      <c r="F1917" s="0" t="s">
        <v>28</v>
      </c>
      <c r="G1917" s="0" t="s">
        <v>29</v>
      </c>
      <c r="H1917" s="5">
        <v>449.370400</v>
      </c>
    </row>
    <row r="1918" spans="1:9">
      <c r="A1918" s="22" t="str">
        <f>HYPERLINK("https://app.vivvix.com/360/KMI/IntelliDrive/ApplUI/Pages/CreativePages/CustomReportCreativeDetail.aspx?App=23&amp;ReportView=4&amp;Qid=1711279&amp;Row=1910&amp;Col=1","No Title Assigned - #15266676241")</f>
        <v/>
      </c>
      <c r="B1918" s="0" t="s">
        <v>2909</v>
      </c>
      <c r="C1918" s="0" t="s">
        <v>2910</v>
      </c>
      <c r="D1918" s="0" t="s">
        <v>2910</v>
      </c>
      <c r="E1918" s="0" t="inlineStr">
        <is>
          <t xml:space="preserve">Mazda</t>
        </is>
      </c>
      <c r="F1918" s="0" t="s">
        <v>28</v>
      </c>
      <c r="G1918" s="0" t="s">
        <v>29</v>
      </c>
      <c r="H1918" s="5">
        <v>1064.062700</v>
      </c>
    </row>
    <row r="1919" spans="1:9">
      <c r="A1919" s="22" t="str">
        <f>HYPERLINK("https://app.vivvix.com/360/KMI/IntelliDrive/ApplUI/Pages/CreativePages/CustomReportCreativeDetail.aspx?App=23&amp;ReportView=4&amp;Qid=1711279&amp;Row=1911&amp;Col=1","No Title Assigned - #15266676668")</f>
        <v/>
      </c>
      <c r="B1919" s="0" t="s">
        <v>2911</v>
      </c>
      <c r="C1919" s="0" t="s">
        <v>2912</v>
      </c>
      <c r="D1919" s="0" t="s">
        <v>2912</v>
      </c>
      <c r="E1919" s="0" t="inlineStr">
        <is>
          <t xml:space="preserve">Mazda</t>
        </is>
      </c>
      <c r="F1919" s="0" t="s">
        <v>28</v>
      </c>
      <c r="G1919" s="0" t="s">
        <v>29</v>
      </c>
      <c r="H1919" s="5">
        <v>1597.698500</v>
      </c>
    </row>
    <row r="1920" spans="1:9">
      <c r="A1920" s="22" t="str">
        <f>HYPERLINK("https://app.vivvix.com/360/KMI/IntelliDrive/ApplUI/Pages/CreativePages/CustomReportCreativeDetail.aspx?App=23&amp;ReportView=4&amp;Qid=1711279&amp;Row=1912&amp;Col=1","No Title Assigned - #15266677346")</f>
        <v/>
      </c>
      <c r="B1920" s="0" t="s">
        <v>2913</v>
      </c>
      <c r="C1920" s="0" t="s">
        <v>2914</v>
      </c>
      <c r="D1920" s="0" t="s">
        <v>2914</v>
      </c>
      <c r="E1920" s="0" t="inlineStr">
        <is>
          <t xml:space="preserve">Mazda</t>
        </is>
      </c>
      <c r="F1920" s="0" t="s">
        <v>28</v>
      </c>
      <c r="G1920" s="0" t="s">
        <v>29</v>
      </c>
      <c r="H1920" s="5">
        <v>614.952400</v>
      </c>
    </row>
    <row r="1921" spans="1:9">
      <c r="A1921" s="22" t="str">
        <f>HYPERLINK("https://app.vivvix.com/360/KMI/IntelliDrive/ApplUI/Pages/CreativePages/CustomReportCreativeDetail.aspx?App=23&amp;ReportView=4&amp;Qid=1711279&amp;Row=1913&amp;Col=1","No Title Assigned - #15266677919")</f>
        <v/>
      </c>
      <c r="B1921" s="0" t="s">
        <v>2915</v>
      </c>
      <c r="E1921" s="0" t="inlineStr">
        <is>
          <t xml:space="preserve">Mazda</t>
        </is>
      </c>
      <c r="F1921" s="0" t="s">
        <v>28</v>
      </c>
      <c r="G1921" s="0" t="s">
        <v>29</v>
      </c>
      <c r="H1921" s="5">
        <v>22680.032300</v>
      </c>
    </row>
    <row r="1922" spans="1:9">
      <c r="A1922" s="22" t="str">
        <f>HYPERLINK("https://app.vivvix.com/360/KMI/IntelliDrive/ApplUI/Pages/CreativePages/CustomReportCreativeDetail.aspx?App=23&amp;ReportView=4&amp;Qid=1711279&amp;Row=1914&amp;Col=1","No Title Assigned - #15266677919")</f>
        <v/>
      </c>
      <c r="B1922" s="0" t="s">
        <v>2915</v>
      </c>
      <c r="C1922" s="0" t="s">
        <v>2916</v>
      </c>
      <c r="D1922" s="0" t="s">
        <v>2916</v>
      </c>
      <c r="E1922" s="0" t="inlineStr">
        <is>
          <t xml:space="preserve">Mazda</t>
        </is>
      </c>
      <c r="F1922" s="0" t="s">
        <v>28</v>
      </c>
      <c r="G1922" s="0" t="s">
        <v>29</v>
      </c>
      <c r="H1922" s="5">
        <v>149668.305600</v>
      </c>
    </row>
    <row r="1923" spans="1:9">
      <c r="A1923" s="22" t="str">
        <f>HYPERLINK("https://app.vivvix.com/360/KMI/IntelliDrive/ApplUI/Pages/CreativePages/CustomReportCreativeDetail.aspx?App=23&amp;ReportView=4&amp;Qid=1711279&amp;Row=1915&amp;Col=1","No Title Assigned - #15266678060")</f>
        <v/>
      </c>
      <c r="B1923" s="0" t="s">
        <v>2917</v>
      </c>
      <c r="C1923" s="0" t="s">
        <v>2918</v>
      </c>
      <c r="D1923" s="0" t="s">
        <v>2918</v>
      </c>
      <c r="E1923" s="0" t="inlineStr">
        <is>
          <t xml:space="preserve">Mazda</t>
        </is>
      </c>
      <c r="F1923" s="0" t="s">
        <v>28</v>
      </c>
      <c r="G1923" s="0" t="s">
        <v>29</v>
      </c>
      <c r="H1923" s="5">
        <v>1244.450000</v>
      </c>
    </row>
    <row r="1924" spans="1:9">
      <c r="A1924" s="22" t="str">
        <f>HYPERLINK("https://app.vivvix.com/360/KMI/IntelliDrive/ApplUI/Pages/CreativePages/CustomReportCreativeDetail.aspx?App=23&amp;ReportView=4&amp;Qid=1711279&amp;Row=1916&amp;Col=1","No Title Assigned - #15266679124")</f>
        <v/>
      </c>
      <c r="B1924" s="0" t="s">
        <v>2919</v>
      </c>
      <c r="C1924" s="0" t="s">
        <v>2920</v>
      </c>
      <c r="D1924" s="0" t="s">
        <v>2920</v>
      </c>
      <c r="E1924" s="0" t="inlineStr">
        <is>
          <t xml:space="preserve">Mazda</t>
        </is>
      </c>
      <c r="F1924" s="0" t="s">
        <v>28</v>
      </c>
      <c r="G1924" s="0" t="s">
        <v>29</v>
      </c>
      <c r="H1924" s="5">
        <v>38193.528600</v>
      </c>
    </row>
    <row r="1925" spans="1:9">
      <c r="A1925" s="22" t="str">
        <f>HYPERLINK("https://app.vivvix.com/360/KMI/IntelliDrive/ApplUI/Pages/CreativePages/CustomReportCreativeDetail.aspx?App=23&amp;ReportView=4&amp;Qid=1711279&amp;Row=1917&amp;Col=1","No Title Assigned - #15266679124")</f>
        <v/>
      </c>
      <c r="B1925" s="0" t="s">
        <v>2919</v>
      </c>
      <c r="E1925" s="0" t="inlineStr">
        <is>
          <t xml:space="preserve">Mazda</t>
        </is>
      </c>
      <c r="F1925" s="0" t="s">
        <v>28</v>
      </c>
      <c r="G1925" s="0" t="s">
        <v>29</v>
      </c>
      <c r="H1925" s="5">
        <v>6235.980700</v>
      </c>
    </row>
    <row r="1926" spans="1:9">
      <c r="A1926" s="22" t="str">
        <f>HYPERLINK("https://app.vivvix.com/360/KMI/IntelliDrive/ApplUI/Pages/CreativePages/CustomReportCreativeDetail.aspx?App=23&amp;ReportView=4&amp;Qid=1711279&amp;Row=1918&amp;Col=1","No Title Assigned - #15266680486")</f>
        <v/>
      </c>
      <c r="B1926" s="0" t="s">
        <v>2921</v>
      </c>
      <c r="C1926" s="0" t="s">
        <v>2922</v>
      </c>
      <c r="D1926" s="0" t="s">
        <v>2922</v>
      </c>
      <c r="E1926" s="0" t="inlineStr">
        <is>
          <t xml:space="preserve">Mazda</t>
        </is>
      </c>
      <c r="F1926" s="0" t="s">
        <v>28</v>
      </c>
      <c r="G1926" s="0" t="s">
        <v>29</v>
      </c>
      <c r="H1926" s="5">
        <v>3414.461600</v>
      </c>
    </row>
    <row r="1927" spans="1:9">
      <c r="A1927" s="22" t="str">
        <f>HYPERLINK("https://app.vivvix.com/360/KMI/IntelliDrive/ApplUI/Pages/CreativePages/CustomReportCreativeDetail.aspx?App=23&amp;ReportView=4&amp;Qid=1711279&amp;Row=1919&amp;Col=1","No Title Assigned - #15266680486")</f>
        <v/>
      </c>
      <c r="B1927" s="0" t="s">
        <v>2921</v>
      </c>
      <c r="E1927" s="0" t="inlineStr">
        <is>
          <t xml:space="preserve">Mazda</t>
        </is>
      </c>
      <c r="F1927" s="0" t="s">
        <v>28</v>
      </c>
      <c r="G1927" s="0" t="s">
        <v>29</v>
      </c>
      <c r="H1927" s="5">
        <v>90.669300</v>
      </c>
    </row>
    <row r="1928" spans="1:9">
      <c r="A1928" s="22" t="str">
        <f>HYPERLINK("https://app.vivvix.com/360/KMI/IntelliDrive/ApplUI/Pages/CreativePages/CustomReportCreativeDetail.aspx?App=23&amp;ReportView=4&amp;Qid=1711279&amp;Row=1920&amp;Col=1","No Title Assigned - #15266680916")</f>
        <v/>
      </c>
      <c r="B1928" s="0" t="s">
        <v>2923</v>
      </c>
      <c r="C1928" s="0" t="s">
        <v>2924</v>
      </c>
      <c r="D1928" s="0" t="s">
        <v>2924</v>
      </c>
      <c r="E1928" s="0" t="inlineStr">
        <is>
          <t xml:space="preserve">Mazda</t>
        </is>
      </c>
      <c r="F1928" s="0" t="s">
        <v>28</v>
      </c>
      <c r="G1928" s="0" t="s">
        <v>29</v>
      </c>
      <c r="H1928" s="5">
        <v>312.654000</v>
      </c>
    </row>
    <row r="1929" spans="1:9">
      <c r="A1929" s="22" t="str">
        <f>HYPERLINK("https://app.vivvix.com/360/KMI/IntelliDrive/ApplUI/Pages/CreativePages/CustomReportCreativeDetail.aspx?App=23&amp;ReportView=4&amp;Qid=1711279&amp;Row=1921&amp;Col=1","No Title Assigned - #15266682317")</f>
        <v/>
      </c>
      <c r="B1929" s="0" t="s">
        <v>2925</v>
      </c>
      <c r="C1929" s="0" t="s">
        <v>2926</v>
      </c>
      <c r="D1929" s="0" t="s">
        <v>2926</v>
      </c>
      <c r="E1929" s="0" t="inlineStr">
        <is>
          <t xml:space="preserve">Mazda</t>
        </is>
      </c>
      <c r="F1929" s="0" t="s">
        <v>28</v>
      </c>
      <c r="G1929" s="0" t="s">
        <v>29</v>
      </c>
      <c r="H1929" s="5">
        <v>423.182100</v>
      </c>
    </row>
    <row r="1930" spans="1:9">
      <c r="A1930" s="22" t="str">
        <f>HYPERLINK("https://app.vivvix.com/360/KMI/IntelliDrive/ApplUI/Pages/CreativePages/CustomReportCreativeDetail.aspx?App=23&amp;ReportView=4&amp;Qid=1711279&amp;Row=1922&amp;Col=1","No Title Assigned - #15266684612")</f>
        <v/>
      </c>
      <c r="B1930" s="0" t="s">
        <v>2927</v>
      </c>
      <c r="C1930" s="0" t="s">
        <v>2928</v>
      </c>
      <c r="D1930" s="0" t="s">
        <v>2928</v>
      </c>
      <c r="E1930" s="0" t="inlineStr">
        <is>
          <t xml:space="preserve">Mazda</t>
        </is>
      </c>
      <c r="F1930" s="0" t="s">
        <v>28</v>
      </c>
      <c r="G1930" s="0" t="s">
        <v>29</v>
      </c>
      <c r="H1930" s="5">
        <v>473.307000</v>
      </c>
    </row>
    <row r="1931" spans="1:9">
      <c r="A1931" s="22" t="str">
        <f>HYPERLINK("https://app.vivvix.com/360/KMI/IntelliDrive/ApplUI/Pages/CreativePages/CustomReportCreativeDetail.aspx?App=23&amp;ReportView=4&amp;Qid=1711279&amp;Row=1923&amp;Col=1","No Title Assigned - #15266685100")</f>
        <v/>
      </c>
      <c r="B1931" s="0" t="s">
        <v>2929</v>
      </c>
      <c r="C1931" s="0" t="s">
        <v>2930</v>
      </c>
      <c r="D1931" s="0" t="s">
        <v>2930</v>
      </c>
      <c r="E1931" s="0" t="inlineStr">
        <is>
          <t xml:space="preserve">Mazda</t>
        </is>
      </c>
      <c r="F1931" s="0" t="inlineStr">
        <is>
          <t xml:space="preserve">Mazda</t>
        </is>
      </c>
      <c r="G1931" s="0" t="s">
        <v>171</v>
      </c>
      <c r="H1931" s="5">
        <v>5791.180700</v>
      </c>
    </row>
    <row r="1932" spans="1:9">
      <c r="A1932" s="22" t="str">
        <f>HYPERLINK("https://app.vivvix.com/360/KMI/IntelliDrive/ApplUI/Pages/CreativePages/CustomReportCreativeDetail.aspx?App=23&amp;ReportView=4&amp;Qid=1711279&amp;Row=1924&amp;Col=1","No Title Assigned - #15266686278")</f>
        <v/>
      </c>
      <c r="B1932" s="0" t="s">
        <v>2931</v>
      </c>
      <c r="E1932" s="0" t="inlineStr">
        <is>
          <t xml:space="preserve">Mazda</t>
        </is>
      </c>
      <c r="F1932" s="0" t="inlineStr">
        <is>
          <t xml:space="preserve">Mazda</t>
        </is>
      </c>
      <c r="G1932" s="0" t="s">
        <v>171</v>
      </c>
      <c r="H1932" s="5">
        <v>511.641100</v>
      </c>
    </row>
    <row r="1933" spans="1:9">
      <c r="A1933" s="22" t="str">
        <f>HYPERLINK("https://app.vivvix.com/360/KMI/IntelliDrive/ApplUI/Pages/CreativePages/CustomReportCreativeDetail.aspx?App=23&amp;ReportView=4&amp;Qid=1711279&amp;Row=1925&amp;Col=1","No Title Assigned - #15266687298")</f>
        <v/>
      </c>
      <c r="B1933" s="0" t="s">
        <v>2932</v>
      </c>
      <c r="C1933" s="0" t="s">
        <v>2933</v>
      </c>
      <c r="D1933" s="0" t="s">
        <v>2933</v>
      </c>
      <c r="E1933" s="0" t="inlineStr">
        <is>
          <t xml:space="preserve">Mazda</t>
        </is>
      </c>
      <c r="F1933" s="0" t="s">
        <v>28</v>
      </c>
      <c r="G1933" s="0" t="s">
        <v>29</v>
      </c>
      <c r="H1933" s="5">
        <v>369.408200</v>
      </c>
    </row>
    <row r="1934" spans="1:9">
      <c r="A1934" s="22" t="str">
        <f>HYPERLINK("https://app.vivvix.com/360/KMI/IntelliDrive/ApplUI/Pages/CreativePages/CustomReportCreativeDetail.aspx?App=23&amp;ReportView=4&amp;Qid=1711279&amp;Row=1926&amp;Col=1","No Title Assigned - #15266687324")</f>
        <v/>
      </c>
      <c r="B1934" s="0" t="s">
        <v>2934</v>
      </c>
      <c r="C1934" s="0" t="s">
        <v>2935</v>
      </c>
      <c r="D1934" s="0" t="s">
        <v>2935</v>
      </c>
      <c r="E1934" s="0" t="inlineStr">
        <is>
          <t xml:space="preserve">Mazda</t>
        </is>
      </c>
      <c r="F1934" s="0" t="s">
        <v>13</v>
      </c>
      <c r="G1934" s="0" t="s">
        <v>49</v>
      </c>
      <c r="H1934" s="5">
        <v>355.335500</v>
      </c>
    </row>
    <row r="1935" spans="1:9">
      <c r="A1935" s="22" t="str">
        <f>HYPERLINK("https://app.vivvix.com/360/KMI/IntelliDrive/ApplUI/Pages/CreativePages/CustomReportCreativeDetail.aspx?App=23&amp;ReportView=4&amp;Qid=1711279&amp;Row=1927&amp;Col=1","No Title Assigned - #15266687325")</f>
        <v/>
      </c>
      <c r="B1935" s="0" t="s">
        <v>2936</v>
      </c>
      <c r="C1935" s="0" t="s">
        <v>2937</v>
      </c>
      <c r="D1935" s="0" t="s">
        <v>2937</v>
      </c>
      <c r="E1935" s="0" t="inlineStr">
        <is>
          <t xml:space="preserve">Mazda</t>
        </is>
      </c>
      <c r="F1935" s="0" t="inlineStr">
        <is>
          <t xml:space="preserve">Mazda</t>
        </is>
      </c>
      <c r="G1935" s="0" t="s">
        <v>1992</v>
      </c>
      <c r="H1935" s="5">
        <v>8747.175800</v>
      </c>
    </row>
    <row r="1936" spans="1:9">
      <c r="A1936" s="22" t="str">
        <f>HYPERLINK("https://app.vivvix.com/360/KMI/IntelliDrive/ApplUI/Pages/CreativePages/CustomReportCreativeDetail.aspx?App=23&amp;ReportView=4&amp;Qid=1711279&amp;Row=1928&amp;Col=1","No Title Assigned - #15266687368")</f>
        <v/>
      </c>
      <c r="B1936" s="0" t="s">
        <v>2938</v>
      </c>
      <c r="C1936" s="0" t="s">
        <v>2939</v>
      </c>
      <c r="D1936" s="0" t="s">
        <v>2939</v>
      </c>
      <c r="E1936" s="0" t="inlineStr">
        <is>
          <t xml:space="preserve">Mazda</t>
        </is>
      </c>
      <c r="F1936" s="0" t="inlineStr">
        <is>
          <t xml:space="preserve">Mazda</t>
        </is>
      </c>
      <c r="G1936" s="0" t="s">
        <v>2413</v>
      </c>
      <c r="H1936" s="5">
        <v>1525.373200</v>
      </c>
    </row>
    <row r="1937" spans="1:9">
      <c r="A1937" s="22" t="str">
        <f>HYPERLINK("https://app.vivvix.com/360/KMI/IntelliDrive/ApplUI/Pages/CreativePages/CustomReportCreativeDetail.aspx?App=23&amp;ReportView=4&amp;Qid=1711279&amp;Row=1929&amp;Col=1","No Title Assigned - #15266687415")</f>
        <v/>
      </c>
      <c r="B1937" s="0" t="s">
        <v>2940</v>
      </c>
      <c r="C1937" s="0" t="s">
        <v>2941</v>
      </c>
      <c r="D1937" s="0" t="s">
        <v>2941</v>
      </c>
      <c r="E1937" s="0" t="inlineStr">
        <is>
          <t xml:space="preserve">Mazda</t>
        </is>
      </c>
      <c r="F1937" s="0" t="s">
        <v>28</v>
      </c>
      <c r="G1937" s="0" t="s">
        <v>29</v>
      </c>
      <c r="H1937" s="5">
        <v>369.408200</v>
      </c>
    </row>
    <row r="1938" spans="1:9">
      <c r="A1938" s="22" t="str">
        <f>HYPERLINK("https://app.vivvix.com/360/KMI/IntelliDrive/ApplUI/Pages/CreativePages/CustomReportCreativeDetail.aspx?App=23&amp;ReportView=4&amp;Qid=1711279&amp;Row=1930&amp;Col=1","No Title Assigned - #15266688339")</f>
        <v/>
      </c>
      <c r="B1938" s="0" t="s">
        <v>2942</v>
      </c>
      <c r="C1938" s="0" t="s">
        <v>2943</v>
      </c>
      <c r="D1938" s="0" t="s">
        <v>2943</v>
      </c>
      <c r="E1938" s="0" t="inlineStr">
        <is>
          <t xml:space="preserve">Mazda</t>
        </is>
      </c>
      <c r="F1938" s="0" t="s">
        <v>28</v>
      </c>
      <c r="G1938" s="0" t="s">
        <v>29</v>
      </c>
      <c r="H1938" s="5">
        <v>1835.788100</v>
      </c>
    </row>
    <row r="1939" spans="1:9">
      <c r="A1939" s="22" t="str">
        <f>HYPERLINK("https://app.vivvix.com/360/KMI/IntelliDrive/ApplUI/Pages/CreativePages/CustomReportCreativeDetail.aspx?App=23&amp;ReportView=4&amp;Qid=1711279&amp;Row=1931&amp;Col=1","No Title Assigned - #15266688339")</f>
        <v/>
      </c>
      <c r="B1939" s="0" t="s">
        <v>2942</v>
      </c>
      <c r="E1939" s="0" t="inlineStr">
        <is>
          <t xml:space="preserve">Mazda</t>
        </is>
      </c>
      <c r="F1939" s="0" t="s">
        <v>28</v>
      </c>
      <c r="G1939" s="0" t="s">
        <v>29</v>
      </c>
      <c r="H1939" s="5">
        <v>22114.328200</v>
      </c>
    </row>
    <row r="1940" spans="1:9">
      <c r="A1940" s="22" t="str">
        <f>HYPERLINK("https://app.vivvix.com/360/KMI/IntelliDrive/ApplUI/Pages/CreativePages/CustomReportCreativeDetail.aspx?App=23&amp;ReportView=4&amp;Qid=1711279&amp;Row=1932&amp;Col=1","No Title Assigned - #15266689362")</f>
        <v/>
      </c>
      <c r="B1940" s="0" t="s">
        <v>2944</v>
      </c>
      <c r="C1940" s="0" t="s">
        <v>2945</v>
      </c>
      <c r="D1940" s="0" t="s">
        <v>2945</v>
      </c>
      <c r="E1940" s="0" t="inlineStr">
        <is>
          <t xml:space="preserve">Mazda</t>
        </is>
      </c>
      <c r="F1940" s="0" t="s">
        <v>28</v>
      </c>
      <c r="G1940" s="0" t="s">
        <v>29</v>
      </c>
      <c r="H1940" s="5">
        <v>5840.934600</v>
      </c>
    </row>
    <row r="1941" spans="1:9">
      <c r="A1941" s="22" t="str">
        <f>HYPERLINK("https://app.vivvix.com/360/KMI/IntelliDrive/ApplUI/Pages/CreativePages/CustomReportCreativeDetail.aspx?App=23&amp;ReportView=4&amp;Qid=1711279&amp;Row=1933&amp;Col=1","No Title Assigned - #15266690215")</f>
        <v/>
      </c>
      <c r="B1941" s="0" t="s">
        <v>2946</v>
      </c>
      <c r="C1941" s="0" t="s">
        <v>2947</v>
      </c>
      <c r="D1941" s="0" t="s">
        <v>2947</v>
      </c>
      <c r="E1941" s="0" t="inlineStr">
        <is>
          <t xml:space="preserve">Mazda</t>
        </is>
      </c>
      <c r="F1941" s="0" t="s">
        <v>28</v>
      </c>
      <c r="G1941" s="0" t="s">
        <v>29</v>
      </c>
      <c r="H1941" s="5">
        <v>5878.296600</v>
      </c>
    </row>
    <row r="1942" spans="1:9">
      <c r="A1942" s="22" t="str">
        <f>HYPERLINK("https://app.vivvix.com/360/KMI/IntelliDrive/ApplUI/Pages/CreativePages/CustomReportCreativeDetail.aspx?App=23&amp;ReportView=4&amp;Qid=1711279&amp;Row=1934&amp;Col=1","No Title Assigned - #15266690215")</f>
        <v/>
      </c>
      <c r="B1942" s="0" t="s">
        <v>2946</v>
      </c>
      <c r="E1942" s="0" t="inlineStr">
        <is>
          <t xml:space="preserve">Mazda</t>
        </is>
      </c>
      <c r="F1942" s="0" t="s">
        <v>28</v>
      </c>
      <c r="G1942" s="0" t="s">
        <v>29</v>
      </c>
      <c r="H1942" s="5">
        <v>2675.978300</v>
      </c>
    </row>
    <row r="1943" spans="1:9">
      <c r="A1943" s="22" t="str">
        <f>HYPERLINK("https://app.vivvix.com/360/KMI/IntelliDrive/ApplUI/Pages/CreativePages/CustomReportCreativeDetail.aspx?App=23&amp;ReportView=4&amp;Qid=1711279&amp;Row=1935&amp;Col=1","No Title Assigned - #15266690739")</f>
        <v/>
      </c>
      <c r="B1943" s="0" t="s">
        <v>2948</v>
      </c>
      <c r="E1943" s="0" t="inlineStr">
        <is>
          <t xml:space="preserve">Mazda</t>
        </is>
      </c>
      <c r="F1943" s="0" t="s">
        <v>28</v>
      </c>
      <c r="G1943" s="0" t="s">
        <v>29</v>
      </c>
      <c r="H1943" s="5">
        <v>626.094400</v>
      </c>
    </row>
    <row r="1944" spans="1:9">
      <c r="A1944" s="22" t="str">
        <f>HYPERLINK("https://app.vivvix.com/360/KMI/IntelliDrive/ApplUI/Pages/CreativePages/CustomReportCreativeDetail.aspx?App=23&amp;ReportView=4&amp;Qid=1711279&amp;Row=1936&amp;Col=1","No Title Assigned - #15266691315")</f>
        <v/>
      </c>
      <c r="B1944" s="0" t="s">
        <v>2949</v>
      </c>
      <c r="C1944" s="0" t="s">
        <v>2950</v>
      </c>
      <c r="D1944" s="0" t="s">
        <v>2950</v>
      </c>
      <c r="E1944" s="0" t="inlineStr">
        <is>
          <t xml:space="preserve">Mazda</t>
        </is>
      </c>
      <c r="F1944" s="0" t="s">
        <v>28</v>
      </c>
      <c r="G1944" s="0" t="s">
        <v>29</v>
      </c>
      <c r="H1944" s="5">
        <v>8283.049300</v>
      </c>
    </row>
    <row r="1945" spans="1:9">
      <c r="A1945" s="22" t="str">
        <f>HYPERLINK("https://app.vivvix.com/360/KMI/IntelliDrive/ApplUI/Pages/CreativePages/CustomReportCreativeDetail.aspx?App=23&amp;ReportView=4&amp;Qid=1711279&amp;Row=1937&amp;Col=1","No Title Assigned - #15266692604")</f>
        <v/>
      </c>
      <c r="B1945" s="0" t="s">
        <v>2951</v>
      </c>
      <c r="C1945" s="0" t="s">
        <v>2952</v>
      </c>
      <c r="D1945" s="0" t="s">
        <v>2952</v>
      </c>
      <c r="E1945" s="0" t="inlineStr">
        <is>
          <t xml:space="preserve">Mazda</t>
        </is>
      </c>
      <c r="F1945" s="0" t="s">
        <v>369</v>
      </c>
      <c r="G1945" s="0" t="s">
        <v>2644</v>
      </c>
      <c r="H1945" s="5">
        <v>2188.541900</v>
      </c>
    </row>
    <row r="1946" spans="1:9">
      <c r="A1946" s="22" t="str">
        <f>HYPERLINK("https://app.vivvix.com/360/KMI/IntelliDrive/ApplUI/Pages/CreativePages/CustomReportCreativeDetail.aspx?App=23&amp;ReportView=4&amp;Qid=1711279&amp;Row=1938&amp;Col=1","No Title Assigned - #15266693894")</f>
        <v/>
      </c>
      <c r="B1946" s="0" t="s">
        <v>2953</v>
      </c>
      <c r="C1946" s="0" t="s">
        <v>2954</v>
      </c>
      <c r="D1946" s="0" t="s">
        <v>2954</v>
      </c>
      <c r="E1946" s="0" t="inlineStr">
        <is>
          <t xml:space="preserve">Mazda</t>
        </is>
      </c>
      <c r="F1946" s="0" t="s">
        <v>17</v>
      </c>
      <c r="G1946" s="0" t="s">
        <v>33</v>
      </c>
      <c r="H1946" s="5">
        <v>10028.127600</v>
      </c>
    </row>
    <row r="1947" spans="1:9">
      <c r="A1947" s="22" t="str">
        <f>HYPERLINK("https://app.vivvix.com/360/KMI/IntelliDrive/ApplUI/Pages/CreativePages/CustomReportCreativeDetail.aspx?App=23&amp;ReportView=4&amp;Qid=1711279&amp;Row=1939&amp;Col=1","No Title Assigned - #15266694037")</f>
        <v/>
      </c>
      <c r="B1947" s="0" t="s">
        <v>2955</v>
      </c>
      <c r="C1947" s="0" t="s">
        <v>2956</v>
      </c>
      <c r="D1947" s="0" t="s">
        <v>2956</v>
      </c>
      <c r="E1947" s="0" t="inlineStr">
        <is>
          <t xml:space="preserve">Mazda</t>
        </is>
      </c>
      <c r="F1947" s="0" t="s">
        <v>369</v>
      </c>
      <c r="G1947" s="0" t="s">
        <v>370</v>
      </c>
      <c r="H1947" s="5">
        <v>352.874800</v>
      </c>
    </row>
    <row r="1948" spans="1:9">
      <c r="A1948" s="22" t="str">
        <f>HYPERLINK("https://app.vivvix.com/360/KMI/IntelliDrive/ApplUI/Pages/CreativePages/CustomReportCreativeDetail.aspx?App=23&amp;ReportView=4&amp;Qid=1711279&amp;Row=1940&amp;Col=1","No Title Assigned - #15266694920")</f>
        <v/>
      </c>
      <c r="B1948" s="0" t="s">
        <v>2957</v>
      </c>
      <c r="C1948" s="0" t="s">
        <v>2958</v>
      </c>
      <c r="D1948" s="0" t="s">
        <v>2958</v>
      </c>
      <c r="E1948" s="0" t="inlineStr">
        <is>
          <t xml:space="preserve">Mazda</t>
        </is>
      </c>
      <c r="F1948" s="0" t="s">
        <v>28</v>
      </c>
      <c r="G1948" s="0" t="s">
        <v>29</v>
      </c>
      <c r="H1948" s="5">
        <v>1244.450000</v>
      </c>
    </row>
    <row r="1949" spans="1:9">
      <c r="A1949" s="22" t="str">
        <f>HYPERLINK("https://app.vivvix.com/360/KMI/IntelliDrive/ApplUI/Pages/CreativePages/CustomReportCreativeDetail.aspx?App=23&amp;ReportView=4&amp;Qid=1711279&amp;Row=1941&amp;Col=1","No Title Assigned - #15266695959")</f>
        <v/>
      </c>
      <c r="B1949" s="0" t="s">
        <v>2959</v>
      </c>
      <c r="C1949" s="0" t="s">
        <v>2960</v>
      </c>
      <c r="D1949" s="0" t="s">
        <v>2960</v>
      </c>
      <c r="E1949" s="0" t="inlineStr">
        <is>
          <t xml:space="preserve">Mazda</t>
        </is>
      </c>
      <c r="F1949" s="0" t="s">
        <v>28</v>
      </c>
      <c r="G1949" s="0" t="s">
        <v>29</v>
      </c>
      <c r="H1949" s="5">
        <v>624.499200</v>
      </c>
    </row>
    <row r="1950" spans="1:9">
      <c r="A1950" s="22" t="str">
        <f>HYPERLINK("https://app.vivvix.com/360/KMI/IntelliDrive/ApplUI/Pages/CreativePages/CustomReportCreativeDetail.aspx?App=23&amp;ReportView=4&amp;Qid=1711279&amp;Row=1942&amp;Col=1","No Title Assigned - #15266697509")</f>
        <v/>
      </c>
      <c r="B1950" s="0" t="s">
        <v>2961</v>
      </c>
      <c r="C1950" s="0" t="s">
        <v>2962</v>
      </c>
      <c r="D1950" s="0" t="s">
        <v>2962</v>
      </c>
      <c r="E1950" s="0" t="inlineStr">
        <is>
          <t xml:space="preserve">Mazda</t>
        </is>
      </c>
      <c r="F1950" s="0" t="s">
        <v>28</v>
      </c>
      <c r="G1950" s="0" t="s">
        <v>29</v>
      </c>
      <c r="H1950" s="5">
        <v>60.540200</v>
      </c>
    </row>
    <row r="1951" spans="1:9">
      <c r="A1951" s="22" t="str">
        <f>HYPERLINK("https://app.vivvix.com/360/KMI/IntelliDrive/ApplUI/Pages/CreativePages/CustomReportCreativeDetail.aspx?App=23&amp;ReportView=4&amp;Qid=1711279&amp;Row=1943&amp;Col=1","No Title Assigned - #15266701549")</f>
        <v/>
      </c>
      <c r="B1951" s="0" t="s">
        <v>2963</v>
      </c>
      <c r="C1951" s="0" t="s">
        <v>2964</v>
      </c>
      <c r="D1951" s="0" t="s">
        <v>2415</v>
      </c>
      <c r="E1951" s="0" t="inlineStr">
        <is>
          <t xml:space="preserve">Mazda</t>
        </is>
      </c>
      <c r="F1951" s="0" t="s">
        <v>28</v>
      </c>
      <c r="G1951" s="0" t="s">
        <v>29</v>
      </c>
      <c r="H1951" s="5">
        <v>1259.598700</v>
      </c>
    </row>
    <row r="1952" spans="1:9">
      <c r="A1952" s="22" t="str">
        <f>HYPERLINK("https://app.vivvix.com/360/KMI/IntelliDrive/ApplUI/Pages/CreativePages/CustomReportCreativeDetail.aspx?App=23&amp;ReportView=4&amp;Qid=1711279&amp;Row=1944&amp;Col=1","No Title Assigned - #15266702371")</f>
        <v/>
      </c>
      <c r="B1952" s="0" t="s">
        <v>2965</v>
      </c>
      <c r="C1952" s="0" t="s">
        <v>2966</v>
      </c>
      <c r="D1952" s="0" t="s">
        <v>2966</v>
      </c>
      <c r="E1952" s="0" t="inlineStr">
        <is>
          <t xml:space="preserve">Mazda</t>
        </is>
      </c>
      <c r="F1952" s="0" t="s">
        <v>369</v>
      </c>
      <c r="G1952" s="0" t="s">
        <v>370</v>
      </c>
      <c r="H1952" s="5">
        <v>5359.320700</v>
      </c>
    </row>
    <row r="1953" spans="1:9">
      <c r="A1953" s="22" t="str">
        <f>HYPERLINK("https://app.vivvix.com/360/KMI/IntelliDrive/ApplUI/Pages/CreativePages/CustomReportCreativeDetail.aspx?App=23&amp;ReportView=4&amp;Qid=1711279&amp;Row=1945&amp;Col=1","No Title Assigned - #15266702869")</f>
        <v/>
      </c>
      <c r="B1953" s="0" t="s">
        <v>2967</v>
      </c>
      <c r="C1953" s="0" t="s">
        <v>2968</v>
      </c>
      <c r="D1953" s="0" t="s">
        <v>2968</v>
      </c>
      <c r="E1953" s="0" t="inlineStr">
        <is>
          <t xml:space="preserve">Mazda</t>
        </is>
      </c>
      <c r="F1953" s="0" t="s">
        <v>28</v>
      </c>
      <c r="G1953" s="0" t="s">
        <v>29</v>
      </c>
      <c r="H1953" s="5">
        <v>2315.026600</v>
      </c>
    </row>
    <row r="1954" spans="1:9">
      <c r="A1954" s="22" t="str">
        <f>HYPERLINK("https://app.vivvix.com/360/KMI/IntelliDrive/ApplUI/Pages/CreativePages/CustomReportCreativeDetail.aspx?App=23&amp;ReportView=4&amp;Qid=1711279&amp;Row=1946&amp;Col=1","No Title Assigned - #15266703579")</f>
        <v/>
      </c>
      <c r="B1954" s="0" t="s">
        <v>2969</v>
      </c>
      <c r="C1954" s="0" t="s">
        <v>2970</v>
      </c>
      <c r="D1954" s="0" t="s">
        <v>2970</v>
      </c>
      <c r="E1954" s="0" t="inlineStr">
        <is>
          <t xml:space="preserve">Mazda</t>
        </is>
      </c>
      <c r="F1954" s="0" t="s">
        <v>28</v>
      </c>
      <c r="G1954" s="0" t="s">
        <v>29</v>
      </c>
      <c r="H1954" s="5">
        <v>15213.682600</v>
      </c>
    </row>
    <row r="1955" spans="1:9">
      <c r="A1955" s="22" t="str">
        <f>HYPERLINK("https://app.vivvix.com/360/KMI/IntelliDrive/ApplUI/Pages/CreativePages/CustomReportCreativeDetail.aspx?App=23&amp;ReportView=4&amp;Qid=1711279&amp;Row=1947&amp;Col=1","No Title Assigned - #15266703579")</f>
        <v/>
      </c>
      <c r="B1955" s="0" t="s">
        <v>2969</v>
      </c>
      <c r="E1955" s="0" t="inlineStr">
        <is>
          <t xml:space="preserve">Mazda</t>
        </is>
      </c>
      <c r="F1955" s="0" t="s">
        <v>28</v>
      </c>
      <c r="G1955" s="0" t="s">
        <v>29</v>
      </c>
      <c r="H1955" s="5">
        <v>1436.737500</v>
      </c>
    </row>
    <row r="1956" spans="1:9">
      <c r="A1956" s="22" t="str">
        <f>HYPERLINK("https://app.vivvix.com/360/KMI/IntelliDrive/ApplUI/Pages/CreativePages/CustomReportCreativeDetail.aspx?App=23&amp;ReportView=4&amp;Qid=1711279&amp;Row=1948&amp;Col=1","No Title Assigned - #15266706008")</f>
        <v/>
      </c>
      <c r="B1956" s="0" t="s">
        <v>2971</v>
      </c>
      <c r="C1956" s="0" t="s">
        <v>2972</v>
      </c>
      <c r="D1956" s="0" t="s">
        <v>2972</v>
      </c>
      <c r="E1956" s="0" t="inlineStr">
        <is>
          <t xml:space="preserve">Mazda</t>
        </is>
      </c>
      <c r="F1956" s="0" t="s">
        <v>28</v>
      </c>
      <c r="G1956" s="0" t="s">
        <v>29</v>
      </c>
      <c r="H1956" s="5">
        <v>278.679300</v>
      </c>
    </row>
    <row r="1957" spans="1:9">
      <c r="A1957" s="22" t="str">
        <f>HYPERLINK("https://app.vivvix.com/360/KMI/IntelliDrive/ApplUI/Pages/CreativePages/CustomReportCreativeDetail.aspx?App=23&amp;ReportView=4&amp;Qid=1711279&amp;Row=1949&amp;Col=1","No Title Assigned - #15266706008")</f>
        <v/>
      </c>
      <c r="B1957" s="0" t="s">
        <v>2971</v>
      </c>
      <c r="E1957" s="0" t="inlineStr">
        <is>
          <t xml:space="preserve">Mazda</t>
        </is>
      </c>
      <c r="F1957" s="0" t="s">
        <v>28</v>
      </c>
      <c r="G1957" s="0" t="s">
        <v>29</v>
      </c>
      <c r="H1957" s="5">
        <v>61.126500</v>
      </c>
    </row>
    <row r="1958" spans="1:9">
      <c r="A1958" s="22" t="str">
        <f>HYPERLINK("https://app.vivvix.com/360/KMI/IntelliDrive/ApplUI/Pages/CreativePages/CustomReportCreativeDetail.aspx?App=23&amp;ReportView=4&amp;Qid=1711279&amp;Row=1950&amp;Col=1","No Title Assigned - #15266709014")</f>
        <v/>
      </c>
      <c r="B1958" s="0" t="s">
        <v>2973</v>
      </c>
      <c r="C1958" s="0" t="s">
        <v>2974</v>
      </c>
      <c r="D1958" s="0" t="s">
        <v>2956</v>
      </c>
      <c r="E1958" s="0" t="inlineStr">
        <is>
          <t xml:space="preserve">Mazda</t>
        </is>
      </c>
      <c r="F1958" s="0" t="s">
        <v>369</v>
      </c>
      <c r="G1958" s="0" t="s">
        <v>370</v>
      </c>
      <c r="H1958" s="5">
        <v>722.283000</v>
      </c>
    </row>
    <row r="1959" spans="1:9">
      <c r="A1959" s="22" t="str">
        <f>HYPERLINK("https://app.vivvix.com/360/KMI/IntelliDrive/ApplUI/Pages/CreativePages/CustomReportCreativeDetail.aspx?App=23&amp;ReportView=4&amp;Qid=1711279&amp;Row=1951&amp;Col=1","No Title Assigned - #15266719581")</f>
        <v/>
      </c>
      <c r="B1959" s="0" t="s">
        <v>2975</v>
      </c>
      <c r="C1959" s="0" t="s">
        <v>2976</v>
      </c>
      <c r="D1959" s="0" t="s">
        <v>2976</v>
      </c>
      <c r="E1959" s="0" t="inlineStr">
        <is>
          <t xml:space="preserve">Mazda</t>
        </is>
      </c>
      <c r="F1959" s="0" t="s">
        <v>28</v>
      </c>
      <c r="G1959" s="0" t="s">
        <v>29</v>
      </c>
      <c r="H1959" s="5">
        <v>756.777700</v>
      </c>
    </row>
    <row r="1960" spans="1:9">
      <c r="A1960" s="22" t="str">
        <f>HYPERLINK("https://app.vivvix.com/360/KMI/IntelliDrive/ApplUI/Pages/CreativePages/CustomReportCreativeDetail.aspx?App=23&amp;ReportView=4&amp;Qid=1711279&amp;Row=1952&amp;Col=1","No Title Assigned - #15266731898")</f>
        <v/>
      </c>
      <c r="B1960" s="0" t="s">
        <v>2977</v>
      </c>
      <c r="C1960" s="0" t="s">
        <v>2978</v>
      </c>
      <c r="D1960" s="0" t="s">
        <v>2978</v>
      </c>
      <c r="E1960" s="0" t="inlineStr">
        <is>
          <t xml:space="preserve">Mazda</t>
        </is>
      </c>
      <c r="F1960" s="0" t="s">
        <v>17</v>
      </c>
      <c r="G1960" s="0" t="s">
        <v>33</v>
      </c>
      <c r="H1960" s="5">
        <v>610.904300</v>
      </c>
    </row>
    <row r="1961" spans="1:9">
      <c r="A1961" s="22" t="str">
        <f>HYPERLINK("https://app.vivvix.com/360/KMI/IntelliDrive/ApplUI/Pages/CreativePages/CustomReportCreativeDetail.aspx?App=23&amp;ReportView=4&amp;Qid=1711279&amp;Row=1953&amp;Col=1","No Title Assigned - #15266735861")</f>
        <v/>
      </c>
      <c r="B1961" s="0" t="s">
        <v>2979</v>
      </c>
      <c r="C1961" s="0" t="s">
        <v>2980</v>
      </c>
      <c r="D1961" s="0" t="s">
        <v>2980</v>
      </c>
      <c r="E1961" s="0" t="inlineStr">
        <is>
          <t xml:space="preserve">Mazda</t>
        </is>
      </c>
      <c r="F1961" s="0" t="s">
        <v>28</v>
      </c>
      <c r="G1961" s="0" t="s">
        <v>29</v>
      </c>
      <c r="H1961" s="5">
        <v>359.851100</v>
      </c>
    </row>
    <row r="1962" spans="1:9">
      <c r="A1962" s="22" t="str">
        <f>HYPERLINK("https://app.vivvix.com/360/KMI/IntelliDrive/ApplUI/Pages/CreativePages/CustomReportCreativeDetail.aspx?App=23&amp;ReportView=4&amp;Qid=1711279&amp;Row=1954&amp;Col=1","No Title Assigned - #15266736555")</f>
        <v/>
      </c>
      <c r="B1962" s="0" t="s">
        <v>2981</v>
      </c>
      <c r="C1962" s="0" t="s">
        <v>2982</v>
      </c>
      <c r="D1962" s="0" t="s">
        <v>2982</v>
      </c>
      <c r="E1962" s="0" t="inlineStr">
        <is>
          <t xml:space="preserve">Mazda</t>
        </is>
      </c>
      <c r="F1962" s="0" t="s">
        <v>28</v>
      </c>
      <c r="G1962" s="0" t="s">
        <v>29</v>
      </c>
      <c r="H1962" s="5">
        <v>514.391200</v>
      </c>
    </row>
    <row r="1963" spans="1:9">
      <c r="A1963" s="22" t="str">
        <f>HYPERLINK("https://app.vivvix.com/360/KMI/IntelliDrive/ApplUI/Pages/CreativePages/CustomReportCreativeDetail.aspx?App=23&amp;ReportView=4&amp;Qid=1711279&amp;Row=1955&amp;Col=1","No Title Assigned - #15266741080")</f>
        <v/>
      </c>
      <c r="B1963" s="0" t="s">
        <v>2983</v>
      </c>
      <c r="C1963" s="0" t="s">
        <v>2984</v>
      </c>
      <c r="D1963" s="0" t="s">
        <v>2984</v>
      </c>
      <c r="E1963" s="0" t="inlineStr">
        <is>
          <t xml:space="preserve">Mazda</t>
        </is>
      </c>
      <c r="F1963" s="0" t="s">
        <v>28</v>
      </c>
      <c r="G1963" s="0" t="s">
        <v>29</v>
      </c>
      <c r="H1963" s="5">
        <v>52.343700</v>
      </c>
    </row>
    <row r="1964" spans="1:9">
      <c r="A1964" s="22" t="str">
        <f>HYPERLINK("https://app.vivvix.com/360/KMI/IntelliDrive/ApplUI/Pages/CreativePages/CustomReportCreativeDetail.aspx?App=23&amp;ReportView=4&amp;Qid=1711279&amp;Row=1956&amp;Col=1","No Title Assigned - #15266741204")</f>
        <v/>
      </c>
      <c r="B1964" s="0" t="s">
        <v>2985</v>
      </c>
      <c r="C1964" s="0" t="s">
        <v>2986</v>
      </c>
      <c r="D1964" s="0" t="s">
        <v>2986</v>
      </c>
      <c r="E1964" s="0" t="inlineStr">
        <is>
          <t xml:space="preserve">Mazda</t>
        </is>
      </c>
      <c r="F1964" s="0" t="s">
        <v>21</v>
      </c>
      <c r="G1964" s="0" t="s">
        <v>22</v>
      </c>
      <c r="H1964" s="5">
        <v>1742.368600</v>
      </c>
    </row>
    <row r="1965" spans="1:9">
      <c r="A1965" s="22" t="str">
        <f>HYPERLINK("https://app.vivvix.com/360/KMI/IntelliDrive/ApplUI/Pages/CreativePages/CustomReportCreativeDetail.aspx?App=23&amp;ReportView=4&amp;Qid=1711279&amp;Row=1957&amp;Col=1","No Title Assigned - #15266741510")</f>
        <v/>
      </c>
      <c r="B1965" s="0" t="s">
        <v>2987</v>
      </c>
      <c r="C1965" s="0" t="s">
        <v>2988</v>
      </c>
      <c r="D1965" s="0" t="s">
        <v>2988</v>
      </c>
      <c r="E1965" s="0" t="inlineStr">
        <is>
          <t xml:space="preserve">Mazda</t>
        </is>
      </c>
      <c r="F1965" s="0" t="s">
        <v>28</v>
      </c>
      <c r="G1965" s="0" t="s">
        <v>29</v>
      </c>
      <c r="H1965" s="5">
        <v>66.431700</v>
      </c>
    </row>
    <row r="1966" spans="1:9">
      <c r="A1966" s="22" t="str">
        <f>HYPERLINK("https://app.vivvix.com/360/KMI/IntelliDrive/ApplUI/Pages/CreativePages/CustomReportCreativeDetail.aspx?App=23&amp;ReportView=4&amp;Qid=1711279&amp;Row=1958&amp;Col=1","No Title Assigned - #15266742656")</f>
        <v/>
      </c>
      <c r="B1966" s="0" t="s">
        <v>2989</v>
      </c>
      <c r="C1966" s="0" t="s">
        <v>2990</v>
      </c>
      <c r="D1966" s="0" t="s">
        <v>2990</v>
      </c>
      <c r="E1966" s="0" t="inlineStr">
        <is>
          <t xml:space="preserve">Mazda</t>
        </is>
      </c>
      <c r="F1966" s="0" t="s">
        <v>28</v>
      </c>
      <c r="G1966" s="0" t="s">
        <v>29</v>
      </c>
      <c r="H1966" s="5">
        <v>3586.809400</v>
      </c>
    </row>
    <row r="1967" spans="1:9">
      <c r="A1967" s="22" t="str">
        <f>HYPERLINK("https://app.vivvix.com/360/KMI/IntelliDrive/ApplUI/Pages/CreativePages/CustomReportCreativeDetail.aspx?App=23&amp;ReportView=4&amp;Qid=1711279&amp;Row=1959&amp;Col=1","No Title Assigned - #15266742832")</f>
        <v/>
      </c>
      <c r="B1967" s="0" t="s">
        <v>2991</v>
      </c>
      <c r="C1967" s="0" t="s">
        <v>2992</v>
      </c>
      <c r="D1967" s="0" t="s">
        <v>2992</v>
      </c>
      <c r="E1967" s="0" t="inlineStr">
        <is>
          <t xml:space="preserve">Mazda</t>
        </is>
      </c>
      <c r="F1967" s="0" t="s">
        <v>28</v>
      </c>
      <c r="G1967" s="0" t="s">
        <v>29</v>
      </c>
      <c r="H1967" s="5">
        <v>223.366700</v>
      </c>
    </row>
    <row r="1968" spans="1:9">
      <c r="A1968" s="22" t="str">
        <f>HYPERLINK("https://app.vivvix.com/360/KMI/IntelliDrive/ApplUI/Pages/CreativePages/CustomReportCreativeDetail.aspx?App=23&amp;ReportView=4&amp;Qid=1711279&amp;Row=1960&amp;Col=1","No Title Assigned - #15266744863")</f>
        <v/>
      </c>
      <c r="B1968" s="0" t="s">
        <v>2993</v>
      </c>
      <c r="C1968" s="0" t="s">
        <v>2994</v>
      </c>
      <c r="D1968" s="0" t="s">
        <v>2994</v>
      </c>
      <c r="E1968" s="0" t="inlineStr">
        <is>
          <t xml:space="preserve">Mazda</t>
        </is>
      </c>
      <c r="F1968" s="0" t="s">
        <v>28</v>
      </c>
      <c r="G1968" s="0" t="s">
        <v>29</v>
      </c>
      <c r="H1968" s="5">
        <v>653.430700</v>
      </c>
    </row>
    <row r="1969" spans="1:9">
      <c r="A1969" s="22" t="str">
        <f>HYPERLINK("https://app.vivvix.com/360/KMI/IntelliDrive/ApplUI/Pages/CreativePages/CustomReportCreativeDetail.aspx?App=23&amp;ReportView=4&amp;Qid=1711279&amp;Row=1961&amp;Col=1","No Title Assigned - #15266745204")</f>
        <v/>
      </c>
      <c r="B1969" s="0" t="s">
        <v>2995</v>
      </c>
      <c r="C1969" s="0" t="s">
        <v>2996</v>
      </c>
      <c r="D1969" s="0" t="s">
        <v>2996</v>
      </c>
      <c r="E1969" s="0" t="inlineStr">
        <is>
          <t xml:space="preserve">Mazda</t>
        </is>
      </c>
      <c r="F1969" s="0" t="s">
        <v>28</v>
      </c>
      <c r="G1969" s="0" t="s">
        <v>29</v>
      </c>
      <c r="H1969" s="5">
        <v>473.835100</v>
      </c>
    </row>
    <row r="1970" spans="1:9">
      <c r="A1970" s="22" t="str">
        <f>HYPERLINK("https://app.vivvix.com/360/KMI/IntelliDrive/ApplUI/Pages/CreativePages/CustomReportCreativeDetail.aspx?App=23&amp;ReportView=4&amp;Qid=1711279&amp;Row=1962&amp;Col=1","No Title Assigned - #15266747029")</f>
        <v/>
      </c>
      <c r="B1970" s="0" t="s">
        <v>2997</v>
      </c>
      <c r="C1970" s="0" t="s">
        <v>2998</v>
      </c>
      <c r="D1970" s="0" t="s">
        <v>2998</v>
      </c>
      <c r="E1970" s="0" t="inlineStr">
        <is>
          <t xml:space="preserve">Mazda</t>
        </is>
      </c>
      <c r="F1970" s="0" t="s">
        <v>28</v>
      </c>
      <c r="G1970" s="0" t="s">
        <v>29</v>
      </c>
      <c r="H1970" s="5">
        <v>70.779700</v>
      </c>
    </row>
    <row r="1971" spans="1:9">
      <c r="A1971" s="22" t="str">
        <f>HYPERLINK("https://app.vivvix.com/360/KMI/IntelliDrive/ApplUI/Pages/CreativePages/CustomReportCreativeDetail.aspx?App=23&amp;ReportView=4&amp;Qid=1711279&amp;Row=1963&amp;Col=1","No Title Assigned - #15266749728")</f>
        <v/>
      </c>
      <c r="B1971" s="0" t="s">
        <v>2999</v>
      </c>
      <c r="C1971" s="0" t="s">
        <v>3000</v>
      </c>
      <c r="D1971" s="0" t="s">
        <v>3000</v>
      </c>
      <c r="E1971" s="0" t="inlineStr">
        <is>
          <t xml:space="preserve">Mazda</t>
        </is>
      </c>
      <c r="F1971" s="0" t="s">
        <v>28</v>
      </c>
      <c r="G1971" s="0" t="s">
        <v>29</v>
      </c>
      <c r="H1971" s="5">
        <v>66917.497300</v>
      </c>
    </row>
    <row r="1972" spans="1:9">
      <c r="A1972" s="22" t="str">
        <f>HYPERLINK("https://app.vivvix.com/360/KMI/IntelliDrive/ApplUI/Pages/CreativePages/CustomReportCreativeDetail.aspx?App=23&amp;ReportView=4&amp;Qid=1711279&amp;Row=1964&amp;Col=1","No Title Assigned - #15266749728")</f>
        <v/>
      </c>
      <c r="B1972" s="0" t="s">
        <v>2999</v>
      </c>
      <c r="E1972" s="0" t="inlineStr">
        <is>
          <t xml:space="preserve">Mazda</t>
        </is>
      </c>
      <c r="F1972" s="0" t="s">
        <v>28</v>
      </c>
      <c r="G1972" s="0" t="s">
        <v>29</v>
      </c>
      <c r="H1972" s="5">
        <v>6054.419200</v>
      </c>
    </row>
    <row r="1973" spans="1:9">
      <c r="A1973" s="22" t="str">
        <f>HYPERLINK("https://app.vivvix.com/360/KMI/IntelliDrive/ApplUI/Pages/CreativePages/CustomReportCreativeDetail.aspx?App=23&amp;ReportView=4&amp;Qid=1711279&amp;Row=1965&amp;Col=1","No Title Assigned - #15266749954")</f>
        <v/>
      </c>
      <c r="B1973" s="0" t="s">
        <v>3001</v>
      </c>
      <c r="E1973" s="0" t="inlineStr">
        <is>
          <t xml:space="preserve">Mazda</t>
        </is>
      </c>
      <c r="F1973" s="0" t="s">
        <v>28</v>
      </c>
      <c r="G1973" s="0" t="s">
        <v>29</v>
      </c>
      <c r="H1973" s="5">
        <v>10615.255500</v>
      </c>
    </row>
    <row r="1974" spans="1:9">
      <c r="A1974" s="22" t="str">
        <f>HYPERLINK("https://app.vivvix.com/360/KMI/IntelliDrive/ApplUI/Pages/CreativePages/CustomReportCreativeDetail.aspx?App=23&amp;ReportView=4&amp;Qid=1711279&amp;Row=1966&amp;Col=1","No Title Assigned - #15266749954")</f>
        <v/>
      </c>
      <c r="B1974" s="0" t="s">
        <v>3001</v>
      </c>
      <c r="C1974" s="0" t="s">
        <v>3002</v>
      </c>
      <c r="D1974" s="0" t="s">
        <v>3002</v>
      </c>
      <c r="E1974" s="0" t="inlineStr">
        <is>
          <t xml:space="preserve">Mazda</t>
        </is>
      </c>
      <c r="F1974" s="0" t="s">
        <v>28</v>
      </c>
      <c r="G1974" s="0" t="s">
        <v>29</v>
      </c>
      <c r="H1974" s="5">
        <v>1990.550900</v>
      </c>
    </row>
    <row r="1975" spans="1:9">
      <c r="A1975" s="22" t="str">
        <f>HYPERLINK("https://app.vivvix.com/360/KMI/IntelliDrive/ApplUI/Pages/CreativePages/CustomReportCreativeDetail.aspx?App=23&amp;ReportView=4&amp;Qid=1711279&amp;Row=1967&amp;Col=1","No Title Assigned - #15266749977")</f>
        <v/>
      </c>
      <c r="B1975" s="0" t="s">
        <v>3003</v>
      </c>
      <c r="C1975" s="0" t="s">
        <v>3004</v>
      </c>
      <c r="D1975" s="0" t="s">
        <v>3004</v>
      </c>
      <c r="E1975" s="0" t="inlineStr">
        <is>
          <t xml:space="preserve">Mazda</t>
        </is>
      </c>
      <c r="F1975" s="0" t="s">
        <v>28</v>
      </c>
      <c r="G1975" s="0" t="s">
        <v>29</v>
      </c>
      <c r="H1975" s="5">
        <v>626.282600</v>
      </c>
    </row>
    <row r="1976" spans="1:9">
      <c r="A1976" s="22" t="str">
        <f>HYPERLINK("https://app.vivvix.com/360/KMI/IntelliDrive/ApplUI/Pages/CreativePages/CustomReportCreativeDetail.aspx?App=23&amp;ReportView=4&amp;Qid=1711279&amp;Row=1968&amp;Col=1","No Title Assigned - #15266753394")</f>
        <v/>
      </c>
      <c r="B1976" s="0" t="s">
        <v>3005</v>
      </c>
      <c r="E1976" s="0" t="inlineStr">
        <is>
          <t xml:space="preserve">Mazda</t>
        </is>
      </c>
      <c r="F1976" s="0" t="s">
        <v>28</v>
      </c>
      <c r="G1976" s="0" t="s">
        <v>29</v>
      </c>
      <c r="H1976" s="5">
        <v>672.694200</v>
      </c>
    </row>
    <row r="1977" spans="1:9">
      <c r="A1977" s="22" t="str">
        <f>HYPERLINK("https://app.vivvix.com/360/KMI/IntelliDrive/ApplUI/Pages/CreativePages/CustomReportCreativeDetail.aspx?App=23&amp;ReportView=4&amp;Qid=1711279&amp;Row=1969&amp;Col=1","No Title Assigned - #15266753394")</f>
        <v/>
      </c>
      <c r="B1977" s="0" t="s">
        <v>3005</v>
      </c>
      <c r="C1977" s="0" t="s">
        <v>3006</v>
      </c>
      <c r="D1977" s="0" t="s">
        <v>3006</v>
      </c>
      <c r="E1977" s="0" t="inlineStr">
        <is>
          <t xml:space="preserve">Mazda</t>
        </is>
      </c>
      <c r="F1977" s="0" t="s">
        <v>28</v>
      </c>
      <c r="G1977" s="0" t="s">
        <v>29</v>
      </c>
      <c r="H1977" s="5">
        <v>5225.724800</v>
      </c>
    </row>
    <row r="1978" spans="1:9">
      <c r="A1978" s="22" t="str">
        <f>HYPERLINK("https://app.vivvix.com/360/KMI/IntelliDrive/ApplUI/Pages/CreativePages/CustomReportCreativeDetail.aspx?App=23&amp;ReportView=4&amp;Qid=1711279&amp;Row=1970&amp;Col=1","No Title Assigned - #15266753981")</f>
        <v/>
      </c>
      <c r="B1978" s="0" t="s">
        <v>3007</v>
      </c>
      <c r="C1978" s="0" t="s">
        <v>3008</v>
      </c>
      <c r="D1978" s="0" t="s">
        <v>3008</v>
      </c>
      <c r="E1978" s="0" t="inlineStr">
        <is>
          <t xml:space="preserve">Mazda</t>
        </is>
      </c>
      <c r="F1978" s="0" t="s">
        <v>28</v>
      </c>
      <c r="G1978" s="0" t="s">
        <v>29</v>
      </c>
      <c r="H1978" s="5">
        <v>319.680600</v>
      </c>
    </row>
    <row r="1979" spans="1:9">
      <c r="A1979" s="22" t="str">
        <f>HYPERLINK("https://app.vivvix.com/360/KMI/IntelliDrive/ApplUI/Pages/CreativePages/CustomReportCreativeDetail.aspx?App=23&amp;ReportView=4&amp;Qid=1711279&amp;Row=1971&amp;Col=1","No Title Assigned - #15266754299")</f>
        <v/>
      </c>
      <c r="B1979" s="0" t="s">
        <v>3009</v>
      </c>
      <c r="C1979" s="0" t="s">
        <v>3010</v>
      </c>
      <c r="D1979" s="0" t="s">
        <v>3010</v>
      </c>
      <c r="E1979" s="0" t="inlineStr">
        <is>
          <t xml:space="preserve">Mazda</t>
        </is>
      </c>
      <c r="F1979" s="0" t="s">
        <v>28</v>
      </c>
      <c r="G1979" s="0" t="s">
        <v>29</v>
      </c>
      <c r="H1979" s="5">
        <v>153.329800</v>
      </c>
    </row>
    <row r="1980" spans="1:9">
      <c r="A1980" s="22" t="str">
        <f>HYPERLINK("https://app.vivvix.com/360/KMI/IntelliDrive/ApplUI/Pages/CreativePages/CustomReportCreativeDetail.aspx?App=23&amp;ReportView=4&amp;Qid=1711279&amp;Row=1972&amp;Col=1","No Title Assigned - #15266756245")</f>
        <v/>
      </c>
      <c r="B1980" s="0" t="s">
        <v>3011</v>
      </c>
      <c r="E1980" s="0" t="inlineStr">
        <is>
          <t xml:space="preserve">Mazda</t>
        </is>
      </c>
      <c r="F1980" s="0" t="s">
        <v>28</v>
      </c>
      <c r="G1980" s="0" t="s">
        <v>29</v>
      </c>
      <c r="H1980" s="5">
        <v>255.283800</v>
      </c>
    </row>
    <row r="1981" spans="1:9">
      <c r="A1981" s="22" t="str">
        <f>HYPERLINK("https://app.vivvix.com/360/KMI/IntelliDrive/ApplUI/Pages/CreativePages/CustomReportCreativeDetail.aspx?App=23&amp;ReportView=4&amp;Qid=1711279&amp;Row=1973&amp;Col=1","No Title Assigned - #15266756245")</f>
        <v/>
      </c>
      <c r="B1981" s="0" t="s">
        <v>3011</v>
      </c>
      <c r="C1981" s="0" t="s">
        <v>3012</v>
      </c>
      <c r="D1981" s="0" t="s">
        <v>3012</v>
      </c>
      <c r="E1981" s="0" t="inlineStr">
        <is>
          <t xml:space="preserve">Mazda</t>
        </is>
      </c>
      <c r="F1981" s="0" t="s">
        <v>28</v>
      </c>
      <c r="G1981" s="0" t="s">
        <v>29</v>
      </c>
      <c r="H1981" s="5">
        <v>230.815300</v>
      </c>
    </row>
    <row r="1982" spans="1:9">
      <c r="A1982" s="22" t="str">
        <f>HYPERLINK("https://app.vivvix.com/360/KMI/IntelliDrive/ApplUI/Pages/CreativePages/CustomReportCreativeDetail.aspx?App=23&amp;ReportView=4&amp;Qid=1711279&amp;Row=1974&amp;Col=1","No Title Assigned - #15266757006")</f>
        <v/>
      </c>
      <c r="B1982" s="0" t="s">
        <v>3013</v>
      </c>
      <c r="C1982" s="0" t="s">
        <v>3014</v>
      </c>
      <c r="D1982" s="0" t="s">
        <v>3014</v>
      </c>
      <c r="E1982" s="0" t="inlineStr">
        <is>
          <t xml:space="preserve">Mazda</t>
        </is>
      </c>
      <c r="F1982" s="0" t="s">
        <v>28</v>
      </c>
      <c r="G1982" s="0" t="s">
        <v>29</v>
      </c>
      <c r="H1982" s="5">
        <v>1039.199900</v>
      </c>
    </row>
    <row r="1983" spans="1:9">
      <c r="A1983" s="22" t="str">
        <f>HYPERLINK("https://app.vivvix.com/360/KMI/IntelliDrive/ApplUI/Pages/CreativePages/CustomReportCreativeDetail.aspx?App=23&amp;ReportView=4&amp;Qid=1711279&amp;Row=1975&amp;Col=1","No Title Assigned - #15266757848")</f>
        <v/>
      </c>
      <c r="B1983" s="0" t="s">
        <v>3015</v>
      </c>
      <c r="C1983" s="0" t="s">
        <v>3016</v>
      </c>
      <c r="D1983" s="0" t="s">
        <v>3016</v>
      </c>
      <c r="E1983" s="0" t="inlineStr">
        <is>
          <t xml:space="preserve">Mazda</t>
        </is>
      </c>
      <c r="F1983" s="0" t="s">
        <v>28</v>
      </c>
      <c r="G1983" s="0" t="s">
        <v>29</v>
      </c>
      <c r="H1983" s="5">
        <v>633.582200</v>
      </c>
    </row>
    <row r="1984" spans="1:9">
      <c r="A1984" s="22" t="str">
        <f>HYPERLINK("https://app.vivvix.com/360/KMI/IntelliDrive/ApplUI/Pages/CreativePages/CustomReportCreativeDetail.aspx?App=23&amp;ReportView=4&amp;Qid=1711279&amp;Row=1976&amp;Col=1","No Title Assigned - #15266757848")</f>
        <v/>
      </c>
      <c r="B1984" s="0" t="s">
        <v>3015</v>
      </c>
      <c r="E1984" s="0" t="inlineStr">
        <is>
          <t xml:space="preserve">Mazda</t>
        </is>
      </c>
      <c r="F1984" s="0" t="s">
        <v>28</v>
      </c>
      <c r="G1984" s="0" t="s">
        <v>29</v>
      </c>
      <c r="H1984" s="5">
        <v>107.398400</v>
      </c>
    </row>
    <row r="1985" spans="1:9">
      <c r="A1985" s="22" t="str">
        <f>HYPERLINK("https://app.vivvix.com/360/KMI/IntelliDrive/ApplUI/Pages/CreativePages/CustomReportCreativeDetail.aspx?App=23&amp;ReportView=4&amp;Qid=1711279&amp;Row=1977&amp;Col=1","No Title Assigned - #15266758749")</f>
        <v/>
      </c>
      <c r="B1985" s="0" t="s">
        <v>3017</v>
      </c>
      <c r="E1985" s="0" t="inlineStr">
        <is>
          <t xml:space="preserve">Mazda</t>
        </is>
      </c>
      <c r="F1985" s="0" t="inlineStr">
        <is>
          <t xml:space="preserve">Mazda</t>
        </is>
      </c>
      <c r="G1985" s="0" t="s">
        <v>171</v>
      </c>
      <c r="H1985" s="5">
        <v>9106.206100</v>
      </c>
    </row>
    <row r="1986" spans="1:9">
      <c r="A1986" s="22" t="str">
        <f>HYPERLINK("https://app.vivvix.com/360/KMI/IntelliDrive/ApplUI/Pages/CreativePages/CustomReportCreativeDetail.aspx?App=23&amp;ReportView=4&amp;Qid=1711279&amp;Row=1978&amp;Col=1","No Title Assigned - #15266760146")</f>
        <v/>
      </c>
      <c r="B1986" s="0" t="s">
        <v>3018</v>
      </c>
      <c r="C1986" s="0" t="s">
        <v>3019</v>
      </c>
      <c r="D1986" s="0" t="s">
        <v>3019</v>
      </c>
      <c r="E1986" s="0" t="inlineStr">
        <is>
          <t xml:space="preserve">Mazda</t>
        </is>
      </c>
      <c r="F1986" s="0" t="s">
        <v>28</v>
      </c>
      <c r="G1986" s="0" t="s">
        <v>29</v>
      </c>
      <c r="H1986" s="5">
        <v>430.179400</v>
      </c>
    </row>
    <row r="1987" spans="1:9">
      <c r="A1987" s="22" t="str">
        <f>HYPERLINK("https://app.vivvix.com/360/KMI/IntelliDrive/ApplUI/Pages/CreativePages/CustomReportCreativeDetail.aspx?App=23&amp;ReportView=4&amp;Qid=1711279&amp;Row=1979&amp;Col=1","No Title Assigned - #15266761045")</f>
        <v/>
      </c>
      <c r="B1987" s="0" t="s">
        <v>3020</v>
      </c>
      <c r="C1987" s="0" t="s">
        <v>3021</v>
      </c>
      <c r="D1987" s="0" t="s">
        <v>3021</v>
      </c>
      <c r="E1987" s="0" t="inlineStr">
        <is>
          <t xml:space="preserve">Mazda</t>
        </is>
      </c>
      <c r="F1987" s="0" t="inlineStr">
        <is>
          <t xml:space="preserve">Mazda</t>
        </is>
      </c>
      <c r="G1987" s="0" t="s">
        <v>2413</v>
      </c>
      <c r="H1987" s="5">
        <v>4952.054100</v>
      </c>
    </row>
    <row r="1988" spans="1:9">
      <c r="A1988" s="22" t="str">
        <f>HYPERLINK("https://app.vivvix.com/360/KMI/IntelliDrive/ApplUI/Pages/CreativePages/CustomReportCreativeDetail.aspx?App=23&amp;ReportView=4&amp;Qid=1711279&amp;Row=1980&amp;Col=1","No Title Assigned - #15266761857")</f>
        <v/>
      </c>
      <c r="B1988" s="0" t="s">
        <v>3022</v>
      </c>
      <c r="C1988" s="0" t="s">
        <v>3023</v>
      </c>
      <c r="D1988" s="0" t="s">
        <v>3023</v>
      </c>
      <c r="E1988" s="0" t="inlineStr">
        <is>
          <t xml:space="preserve">Mazda</t>
        </is>
      </c>
      <c r="F1988" s="0" t="s">
        <v>28</v>
      </c>
      <c r="G1988" s="0" t="s">
        <v>29</v>
      </c>
      <c r="H1988" s="5">
        <v>16.581100</v>
      </c>
    </row>
    <row r="1989" spans="1:9">
      <c r="A1989" s="22" t="str">
        <f>HYPERLINK("https://app.vivvix.com/360/KMI/IntelliDrive/ApplUI/Pages/CreativePages/CustomReportCreativeDetail.aspx?App=23&amp;ReportView=4&amp;Qid=1711279&amp;Row=1981&amp;Col=1","No Title Assigned - #15266762334")</f>
        <v/>
      </c>
      <c r="B1989" s="0" t="s">
        <v>3024</v>
      </c>
      <c r="C1989" s="0" t="s">
        <v>3025</v>
      </c>
      <c r="D1989" s="0" t="s">
        <v>3025</v>
      </c>
      <c r="E1989" s="0" t="inlineStr">
        <is>
          <t xml:space="preserve">Mazda</t>
        </is>
      </c>
      <c r="F1989" s="0" t="s">
        <v>28</v>
      </c>
      <c r="G1989" s="0" t="s">
        <v>29</v>
      </c>
      <c r="H1989" s="5">
        <v>1907.463300</v>
      </c>
    </row>
    <row r="1990" spans="1:9">
      <c r="A1990" s="22" t="str">
        <f>HYPERLINK("https://app.vivvix.com/360/KMI/IntelliDrive/ApplUI/Pages/CreativePages/CustomReportCreativeDetail.aspx?App=23&amp;ReportView=4&amp;Qid=1711279&amp;Row=1982&amp;Col=1","No Title Assigned - #15266762334")</f>
        <v/>
      </c>
      <c r="B1990" s="0" t="s">
        <v>3024</v>
      </c>
      <c r="E1990" s="0" t="inlineStr">
        <is>
          <t xml:space="preserve">Mazda</t>
        </is>
      </c>
      <c r="F1990" s="0" t="s">
        <v>28</v>
      </c>
      <c r="G1990" s="0" t="s">
        <v>29</v>
      </c>
      <c r="H1990" s="5">
        <v>3787.611600</v>
      </c>
    </row>
    <row r="1991" spans="1:9">
      <c r="A1991" s="22" t="str">
        <f>HYPERLINK("https://app.vivvix.com/360/KMI/IntelliDrive/ApplUI/Pages/CreativePages/CustomReportCreativeDetail.aspx?App=23&amp;ReportView=4&amp;Qid=1711279&amp;Row=1983&amp;Col=1","No Title Assigned - #15266762569")</f>
        <v/>
      </c>
      <c r="B1991" s="0" t="s">
        <v>3026</v>
      </c>
      <c r="C1991" s="0" t="s">
        <v>3027</v>
      </c>
      <c r="D1991" s="0" t="s">
        <v>3027</v>
      </c>
      <c r="E1991" s="0" t="inlineStr">
        <is>
          <t xml:space="preserve">Mazda</t>
        </is>
      </c>
      <c r="F1991" s="0" t="s">
        <v>28</v>
      </c>
      <c r="G1991" s="0" t="s">
        <v>29</v>
      </c>
      <c r="H1991" s="5">
        <v>676.274000</v>
      </c>
    </row>
    <row r="1992" spans="1:9">
      <c r="A1992" s="22" t="str">
        <f>HYPERLINK("https://app.vivvix.com/360/KMI/IntelliDrive/ApplUI/Pages/CreativePages/CustomReportCreativeDetail.aspx?App=23&amp;ReportView=4&amp;Qid=1711279&amp;Row=1984&amp;Col=1","No Title Assigned - #15266763690")</f>
        <v/>
      </c>
      <c r="B1992" s="0" t="s">
        <v>3028</v>
      </c>
      <c r="C1992" s="0" t="s">
        <v>3029</v>
      </c>
      <c r="D1992" s="0" t="s">
        <v>3029</v>
      </c>
      <c r="E1992" s="0" t="inlineStr">
        <is>
          <t xml:space="preserve">Mazda</t>
        </is>
      </c>
      <c r="F1992" s="0" t="s">
        <v>28</v>
      </c>
      <c r="G1992" s="0" t="s">
        <v>29</v>
      </c>
      <c r="H1992" s="5">
        <v>4144.544500</v>
      </c>
    </row>
    <row r="1993" spans="1:9">
      <c r="A1993" s="22" t="str">
        <f>HYPERLINK("https://app.vivvix.com/360/KMI/IntelliDrive/ApplUI/Pages/CreativePages/CustomReportCreativeDetail.aspx?App=23&amp;ReportView=4&amp;Qid=1711279&amp;Row=1985&amp;Col=1","No Title Assigned - #15266764563")</f>
        <v/>
      </c>
      <c r="B1993" s="0" t="s">
        <v>3030</v>
      </c>
      <c r="C1993" s="0" t="s">
        <v>3031</v>
      </c>
      <c r="D1993" s="0" t="s">
        <v>3031</v>
      </c>
      <c r="E1993" s="0" t="inlineStr">
        <is>
          <t xml:space="preserve">Mazda</t>
        </is>
      </c>
      <c r="F1993" s="0" t="s">
        <v>28</v>
      </c>
      <c r="G1993" s="0" t="s">
        <v>29</v>
      </c>
      <c r="H1993" s="5">
        <v>501.541000</v>
      </c>
    </row>
    <row r="1994" spans="1:9">
      <c r="A1994" s="22" t="str">
        <f>HYPERLINK("https://app.vivvix.com/360/KMI/IntelliDrive/ApplUI/Pages/CreativePages/CustomReportCreativeDetail.aspx?App=23&amp;ReportView=4&amp;Qid=1711279&amp;Row=1986&amp;Col=1","No Title Assigned - #15266765884")</f>
        <v/>
      </c>
      <c r="B1994" s="0" t="s">
        <v>3032</v>
      </c>
      <c r="C1994" s="0" t="s">
        <v>3033</v>
      </c>
      <c r="D1994" s="0" t="s">
        <v>3033</v>
      </c>
      <c r="E1994" s="0" t="inlineStr">
        <is>
          <t xml:space="preserve">Mazda</t>
        </is>
      </c>
      <c r="F1994" s="0" t="s">
        <v>28</v>
      </c>
      <c r="G1994" s="0" t="s">
        <v>29</v>
      </c>
      <c r="H1994" s="5">
        <v>1574.133300</v>
      </c>
    </row>
    <row r="1995" spans="1:9">
      <c r="A1995" s="22" t="str">
        <f>HYPERLINK("https://app.vivvix.com/360/KMI/IntelliDrive/ApplUI/Pages/CreativePages/CustomReportCreativeDetail.aspx?App=23&amp;ReportView=4&amp;Qid=1711279&amp;Row=1987&amp;Col=1","No Title Assigned - #15266766741")</f>
        <v/>
      </c>
      <c r="B1995" s="0" t="s">
        <v>3034</v>
      </c>
      <c r="C1995" s="0" t="s">
        <v>3035</v>
      </c>
      <c r="D1995" s="0" t="s">
        <v>3035</v>
      </c>
      <c r="E1995" s="0" t="inlineStr">
        <is>
          <t xml:space="preserve">Mazda</t>
        </is>
      </c>
      <c r="F1995" s="0" t="inlineStr">
        <is>
          <t xml:space="preserve">Mazda</t>
        </is>
      </c>
      <c r="G1995" s="0" t="s">
        <v>210</v>
      </c>
      <c r="H1995" s="5">
        <v>127477.153600</v>
      </c>
    </row>
    <row r="1996" spans="1:9">
      <c r="A1996" s="22" t="str">
        <f>HYPERLINK("https://app.vivvix.com/360/KMI/IntelliDrive/ApplUI/Pages/CreativePages/CustomReportCreativeDetail.aspx?App=23&amp;ReportView=4&amp;Qid=1711279&amp;Row=1988&amp;Col=1","No Title Assigned - #15266768182")</f>
        <v/>
      </c>
      <c r="B1996" s="0" t="s">
        <v>3036</v>
      </c>
      <c r="C1996" s="0" t="s">
        <v>3037</v>
      </c>
      <c r="D1996" s="0" t="s">
        <v>3037</v>
      </c>
      <c r="E1996" s="0" t="inlineStr">
        <is>
          <t xml:space="preserve">Mazda</t>
        </is>
      </c>
      <c r="F1996" s="0" t="s">
        <v>28</v>
      </c>
      <c r="G1996" s="0" t="s">
        <v>29</v>
      </c>
      <c r="H1996" s="5">
        <v>1783.834500</v>
      </c>
    </row>
    <row r="1997" spans="1:9">
      <c r="A1997" s="22" t="str">
        <f>HYPERLINK("https://app.vivvix.com/360/KMI/IntelliDrive/ApplUI/Pages/CreativePages/CustomReportCreativeDetail.aspx?App=23&amp;ReportView=4&amp;Qid=1711279&amp;Row=1989&amp;Col=1","No Title Assigned - #15266769175")</f>
        <v/>
      </c>
      <c r="B1997" s="0" t="s">
        <v>3038</v>
      </c>
      <c r="C1997" s="0" t="s">
        <v>3039</v>
      </c>
      <c r="D1997" s="0" t="s">
        <v>3039</v>
      </c>
      <c r="E1997" s="0" t="inlineStr">
        <is>
          <t xml:space="preserve">Mazda</t>
        </is>
      </c>
      <c r="F1997" s="0" t="s">
        <v>28</v>
      </c>
      <c r="G1997" s="0" t="s">
        <v>29</v>
      </c>
      <c r="H1997" s="5">
        <v>306.585200</v>
      </c>
    </row>
    <row r="1998" spans="1:9">
      <c r="A1998" s="22" t="str">
        <f>HYPERLINK("https://app.vivvix.com/360/KMI/IntelliDrive/ApplUI/Pages/CreativePages/CustomReportCreativeDetail.aspx?App=23&amp;ReportView=4&amp;Qid=1711279&amp;Row=1990&amp;Col=1","No Title Assigned - #15266769307")</f>
        <v/>
      </c>
      <c r="B1998" s="0" t="s">
        <v>3040</v>
      </c>
      <c r="C1998" s="0" t="s">
        <v>3041</v>
      </c>
      <c r="D1998" s="0" t="s">
        <v>3041</v>
      </c>
      <c r="E1998" s="0" t="inlineStr">
        <is>
          <t xml:space="preserve">Mazda</t>
        </is>
      </c>
      <c r="F1998" s="0" t="s">
        <v>28</v>
      </c>
      <c r="G1998" s="0" t="s">
        <v>29</v>
      </c>
      <c r="H1998" s="5">
        <v>461.630600</v>
      </c>
    </row>
    <row r="1999" spans="1:9">
      <c r="A1999" s="22" t="str">
        <f>HYPERLINK("https://app.vivvix.com/360/KMI/IntelliDrive/ApplUI/Pages/CreativePages/CustomReportCreativeDetail.aspx?App=23&amp;ReportView=4&amp;Qid=1711279&amp;Row=1991&amp;Col=1","No Title Assigned - #15266769768")</f>
        <v/>
      </c>
      <c r="B1999" s="0" t="s">
        <v>3042</v>
      </c>
      <c r="C1999" s="0" t="s">
        <v>3043</v>
      </c>
      <c r="D1999" s="0" t="s">
        <v>3043</v>
      </c>
      <c r="E1999" s="0" t="inlineStr">
        <is>
          <t xml:space="preserve">Mazda</t>
        </is>
      </c>
      <c r="F1999" s="0" t="s">
        <v>28</v>
      </c>
      <c r="G1999" s="0" t="s">
        <v>29</v>
      </c>
      <c r="H1999" s="5">
        <v>69.066200</v>
      </c>
    </row>
    <row r="2000" spans="1:9">
      <c r="A2000" s="22" t="str">
        <f>HYPERLINK("https://app.vivvix.com/360/KMI/IntelliDrive/ApplUI/Pages/CreativePages/CustomReportCreativeDetail.aspx?App=23&amp;ReportView=4&amp;Qid=1711279&amp;Row=1992&amp;Col=1","No Title Assigned - #15266773027")</f>
        <v/>
      </c>
      <c r="B2000" s="0" t="s">
        <v>3044</v>
      </c>
      <c r="C2000" s="0" t="s">
        <v>3045</v>
      </c>
      <c r="D2000" s="0" t="s">
        <v>3045</v>
      </c>
      <c r="E2000" s="0" t="inlineStr">
        <is>
          <t xml:space="preserve">Mazda</t>
        </is>
      </c>
      <c r="F2000" s="0" t="s">
        <v>28</v>
      </c>
      <c r="G2000" s="0" t="s">
        <v>29</v>
      </c>
      <c r="H2000" s="5">
        <v>200.100600</v>
      </c>
    </row>
    <row r="2001" spans="1:9">
      <c r="A2001" s="22" t="str">
        <f>HYPERLINK("https://app.vivvix.com/360/KMI/IntelliDrive/ApplUI/Pages/CreativePages/CustomReportCreativeDetail.aspx?App=23&amp;ReportView=4&amp;Qid=1711279&amp;Row=1993&amp;Col=1","No Title Assigned - #15266778626")</f>
        <v/>
      </c>
      <c r="B2001" s="0" t="s">
        <v>3046</v>
      </c>
      <c r="C2001" s="0" t="s">
        <v>3047</v>
      </c>
      <c r="D2001" s="0" t="s">
        <v>3047</v>
      </c>
      <c r="E2001" s="0" t="inlineStr">
        <is>
          <t xml:space="preserve">Mazda</t>
        </is>
      </c>
      <c r="F2001" s="0" t="inlineStr">
        <is>
          <t xml:space="preserve">Mazda</t>
        </is>
      </c>
      <c r="G2001" s="0" t="s">
        <v>1992</v>
      </c>
      <c r="H2001" s="5">
        <v>22026.498200</v>
      </c>
    </row>
    <row r="2002" spans="1:9">
      <c r="A2002" s="22" t="str">
        <f>HYPERLINK("https://app.vivvix.com/360/KMI/IntelliDrive/ApplUI/Pages/CreativePages/CustomReportCreativeDetail.aspx?App=23&amp;ReportView=4&amp;Qid=1711279&amp;Row=1994&amp;Col=1","No Title Assigned - #15266780875")</f>
        <v/>
      </c>
      <c r="B2002" s="0" t="s">
        <v>3048</v>
      </c>
      <c r="C2002" s="0" t="s">
        <v>3049</v>
      </c>
      <c r="D2002" s="0" t="s">
        <v>3049</v>
      </c>
      <c r="E2002" s="0" t="inlineStr">
        <is>
          <t xml:space="preserve">Mazda</t>
        </is>
      </c>
      <c r="F2002" s="0" t="s">
        <v>28</v>
      </c>
      <c r="G2002" s="0" t="s">
        <v>29</v>
      </c>
      <c r="H2002" s="5">
        <v>1277.719700</v>
      </c>
    </row>
    <row r="2003" spans="1:9">
      <c r="A2003" s="22" t="str">
        <f>HYPERLINK("https://app.vivvix.com/360/KMI/IntelliDrive/ApplUI/Pages/CreativePages/CustomReportCreativeDetail.aspx?App=23&amp;ReportView=4&amp;Qid=1711279&amp;Row=1995&amp;Col=1","No Title Assigned - #15266783804")</f>
        <v/>
      </c>
      <c r="B2003" s="0" t="s">
        <v>3050</v>
      </c>
      <c r="C2003" s="0" t="s">
        <v>3051</v>
      </c>
      <c r="D2003" s="0" t="s">
        <v>3051</v>
      </c>
      <c r="E2003" s="0" t="inlineStr">
        <is>
          <t xml:space="preserve">Mazda</t>
        </is>
      </c>
      <c r="F2003" s="0" t="s">
        <v>28</v>
      </c>
      <c r="G2003" s="0" t="s">
        <v>29</v>
      </c>
      <c r="H2003" s="5">
        <v>1232.768600</v>
      </c>
    </row>
    <row r="2004" spans="1:9">
      <c r="A2004" s="22" t="str">
        <f>HYPERLINK("https://app.vivvix.com/360/KMI/IntelliDrive/ApplUI/Pages/CreativePages/CustomReportCreativeDetail.aspx?App=23&amp;ReportView=4&amp;Qid=1711279&amp;Row=1996&amp;Col=1","No Title Assigned - #15266799706")</f>
        <v/>
      </c>
      <c r="B2004" s="0" t="s">
        <v>3052</v>
      </c>
      <c r="C2004" s="0" t="s">
        <v>3053</v>
      </c>
      <c r="D2004" s="0" t="s">
        <v>3053</v>
      </c>
      <c r="E2004" s="0" t="inlineStr">
        <is>
          <t xml:space="preserve">Mazda</t>
        </is>
      </c>
      <c r="F2004" s="0" t="s">
        <v>28</v>
      </c>
      <c r="G2004" s="0" t="s">
        <v>29</v>
      </c>
      <c r="H2004" s="5">
        <v>576.899400</v>
      </c>
    </row>
    <row r="2005" spans="1:9">
      <c r="A2005" s="22" t="str">
        <f>HYPERLINK("https://app.vivvix.com/360/KMI/IntelliDrive/ApplUI/Pages/CreativePages/CustomReportCreativeDetail.aspx?App=23&amp;ReportView=4&amp;Qid=1711279&amp;Row=1997&amp;Col=1","No Title Assigned - #15266801829")</f>
        <v/>
      </c>
      <c r="B2005" s="0" t="s">
        <v>3054</v>
      </c>
      <c r="E2005" s="0" t="inlineStr">
        <is>
          <t xml:space="preserve">Mazda</t>
        </is>
      </c>
      <c r="F2005" s="0" t="inlineStr">
        <is>
          <t xml:space="preserve">Mazda</t>
        </is>
      </c>
      <c r="G2005" s="0" t="s">
        <v>171</v>
      </c>
      <c r="H2005" s="5">
        <v>4580.216800</v>
      </c>
    </row>
    <row r="2006" spans="1:9">
      <c r="A2006" s="22" t="str">
        <f>HYPERLINK("https://app.vivvix.com/360/KMI/IntelliDrive/ApplUI/Pages/CreativePages/CustomReportCreativeDetail.aspx?App=23&amp;ReportView=4&amp;Qid=1711279&amp;Row=1998&amp;Col=1","No Title Assigned - #15266804520")</f>
        <v/>
      </c>
      <c r="B2006" s="0" t="s">
        <v>3055</v>
      </c>
      <c r="C2006" s="0" t="s">
        <v>3056</v>
      </c>
      <c r="D2006" s="0" t="s">
        <v>3056</v>
      </c>
      <c r="E2006" s="0" t="inlineStr">
        <is>
          <t xml:space="preserve">Mazda</t>
        </is>
      </c>
      <c r="F2006" s="0" t="s">
        <v>28</v>
      </c>
      <c r="G2006" s="0" t="s">
        <v>29</v>
      </c>
      <c r="H2006" s="5">
        <v>307.194000</v>
      </c>
    </row>
    <row r="2007" spans="1:9">
      <c r="A2007" s="22" t="str">
        <f>HYPERLINK("https://app.vivvix.com/360/KMI/IntelliDrive/ApplUI/Pages/CreativePages/CustomReportCreativeDetail.aspx?App=23&amp;ReportView=4&amp;Qid=1711279&amp;Row=1999&amp;Col=1","No Title Assigned - #15266809251")</f>
        <v/>
      </c>
      <c r="B2007" s="0" t="s">
        <v>3057</v>
      </c>
      <c r="C2007" s="0" t="s">
        <v>3058</v>
      </c>
      <c r="D2007" s="0" t="s">
        <v>3058</v>
      </c>
      <c r="E2007" s="0" t="inlineStr">
        <is>
          <t xml:space="preserve">Mazda</t>
        </is>
      </c>
      <c r="F2007" s="0" t="s">
        <v>28</v>
      </c>
      <c r="G2007" s="0" t="s">
        <v>29</v>
      </c>
      <c r="H2007" s="5">
        <v>120.303200</v>
      </c>
    </row>
    <row r="2008" spans="1:9">
      <c r="A2008" s="22" t="str">
        <f>HYPERLINK("https://app.vivvix.com/360/KMI/IntelliDrive/ApplUI/Pages/CreativePages/CustomReportCreativeDetail.aspx?App=23&amp;ReportView=4&amp;Qid=1711279&amp;Row=2000&amp;Col=1","No Title Assigned - #15266810176")</f>
        <v/>
      </c>
      <c r="B2008" s="0" t="s">
        <v>3059</v>
      </c>
      <c r="C2008" s="0" t="s">
        <v>3060</v>
      </c>
      <c r="D2008" s="0" t="s">
        <v>3060</v>
      </c>
      <c r="E2008" s="0" t="inlineStr">
        <is>
          <t xml:space="preserve">Mazda</t>
        </is>
      </c>
      <c r="F2008" s="0" t="s">
        <v>28</v>
      </c>
      <c r="G2008" s="0" t="s">
        <v>29</v>
      </c>
      <c r="H2008" s="5">
        <v>135.519700</v>
      </c>
    </row>
    <row r="2009" spans="1:9">
      <c r="A2009" s="22" t="str">
        <f>HYPERLINK("https://app.vivvix.com/360/KMI/IntelliDrive/ApplUI/Pages/CreativePages/CustomReportCreativeDetail.aspx?App=23&amp;ReportView=4&amp;Qid=1711279&amp;Row=2001&amp;Col=1","No Title Assigned - #15266814854")</f>
        <v/>
      </c>
      <c r="B2009" s="0" t="s">
        <v>3061</v>
      </c>
      <c r="C2009" s="0" t="s">
        <v>3062</v>
      </c>
      <c r="D2009" s="0" t="s">
        <v>3062</v>
      </c>
      <c r="E2009" s="0" t="inlineStr">
        <is>
          <t xml:space="preserve">Mazda</t>
        </is>
      </c>
      <c r="F2009" s="0" t="s">
        <v>28</v>
      </c>
      <c r="G2009" s="0" t="s">
        <v>29</v>
      </c>
      <c r="H2009" s="5">
        <v>151.028400</v>
      </c>
    </row>
    <row r="2010" spans="1:9">
      <c r="A2010" s="22" t="str">
        <f>HYPERLINK("https://app.vivvix.com/360/KMI/IntelliDrive/ApplUI/Pages/CreativePages/CustomReportCreativeDetail.aspx?App=23&amp;ReportView=4&amp;Qid=1711279&amp;Row=2002&amp;Col=1","No Title Assigned - #15266815892")</f>
        <v/>
      </c>
      <c r="B2010" s="0" t="s">
        <v>3063</v>
      </c>
      <c r="C2010" s="0" t="s">
        <v>3064</v>
      </c>
      <c r="D2010" s="0" t="s">
        <v>3064</v>
      </c>
      <c r="E2010" s="0" t="inlineStr">
        <is>
          <t xml:space="preserve">Mazda</t>
        </is>
      </c>
      <c r="F2010" s="0" t="s">
        <v>28</v>
      </c>
      <c r="G2010" s="0" t="s">
        <v>29</v>
      </c>
      <c r="H2010" s="5">
        <v>1536.779100</v>
      </c>
    </row>
    <row r="2011" spans="1:9">
      <c r="A2011" s="22" t="str">
        <f>HYPERLINK("https://app.vivvix.com/360/KMI/IntelliDrive/ApplUI/Pages/CreativePages/CustomReportCreativeDetail.aspx?App=23&amp;ReportView=4&amp;Qid=1711279&amp;Row=2003&amp;Col=1","No Title Assigned - #15266820941")</f>
        <v/>
      </c>
      <c r="B2011" s="0" t="s">
        <v>3065</v>
      </c>
      <c r="C2011" s="0" t="s">
        <v>3066</v>
      </c>
      <c r="D2011" s="0" t="s">
        <v>3066</v>
      </c>
      <c r="E2011" s="0" t="inlineStr">
        <is>
          <t xml:space="preserve">Mazda</t>
        </is>
      </c>
      <c r="F2011" s="0" t="s">
        <v>28</v>
      </c>
      <c r="G2011" s="0" t="s">
        <v>29</v>
      </c>
      <c r="H2011" s="5">
        <v>615.010800</v>
      </c>
    </row>
    <row r="2012" spans="1:9">
      <c r="A2012" s="22" t="str">
        <f>HYPERLINK("https://app.vivvix.com/360/KMI/IntelliDrive/ApplUI/Pages/CreativePages/CustomReportCreativeDetail.aspx?App=23&amp;ReportView=4&amp;Qid=1711279&amp;Row=2004&amp;Col=1","No Title Assigned - #15266824058")</f>
        <v/>
      </c>
      <c r="B2012" s="0" t="s">
        <v>3067</v>
      </c>
      <c r="C2012" s="0" t="s">
        <v>3068</v>
      </c>
      <c r="D2012" s="0" t="s">
        <v>3068</v>
      </c>
      <c r="E2012" s="0" t="inlineStr">
        <is>
          <t xml:space="preserve">Mazda</t>
        </is>
      </c>
      <c r="F2012" s="0" t="s">
        <v>28</v>
      </c>
      <c r="G2012" s="0" t="s">
        <v>29</v>
      </c>
      <c r="H2012" s="5">
        <v>254.986400</v>
      </c>
    </row>
    <row r="2013" spans="1:9">
      <c r="A2013" s="22" t="str">
        <f>HYPERLINK("https://app.vivvix.com/360/KMI/IntelliDrive/ApplUI/Pages/CreativePages/CustomReportCreativeDetail.aspx?App=23&amp;ReportView=4&amp;Qid=1711279&amp;Row=2005&amp;Col=1","No Title Assigned - #15266824507")</f>
        <v/>
      </c>
      <c r="B2013" s="0" t="s">
        <v>3069</v>
      </c>
      <c r="C2013" s="0" t="s">
        <v>3070</v>
      </c>
      <c r="D2013" s="0" t="s">
        <v>3070</v>
      </c>
      <c r="E2013" s="0" t="inlineStr">
        <is>
          <t xml:space="preserve">Mazda</t>
        </is>
      </c>
      <c r="F2013" s="0" t="s">
        <v>13</v>
      </c>
      <c r="G2013" s="0" t="s">
        <v>49</v>
      </c>
      <c r="H2013" s="5">
        <v>238.520200</v>
      </c>
    </row>
    <row r="2014" spans="1:9">
      <c r="A2014" s="22" t="str">
        <f>HYPERLINK("https://app.vivvix.com/360/KMI/IntelliDrive/ApplUI/Pages/CreativePages/CustomReportCreativeDetail.aspx?App=23&amp;ReportView=4&amp;Qid=1711279&amp;Row=2006&amp;Col=1","No Title Assigned - #15266825823")</f>
        <v/>
      </c>
      <c r="B2014" s="0" t="s">
        <v>3071</v>
      </c>
      <c r="C2014" s="0" t="s">
        <v>3072</v>
      </c>
      <c r="D2014" s="0" t="s">
        <v>3072</v>
      </c>
      <c r="E2014" s="0" t="inlineStr">
        <is>
          <t xml:space="preserve">Mazda</t>
        </is>
      </c>
      <c r="F2014" s="0" t="s">
        <v>13</v>
      </c>
      <c r="G2014" s="0" t="s">
        <v>49</v>
      </c>
      <c r="H2014" s="5">
        <v>1385.755400</v>
      </c>
    </row>
    <row r="2015" spans="1:9">
      <c r="A2015" s="22" t="str">
        <f>HYPERLINK("https://app.vivvix.com/360/KMI/IntelliDrive/ApplUI/Pages/CreativePages/CustomReportCreativeDetail.aspx?App=23&amp;ReportView=4&amp;Qid=1711279&amp;Row=2007&amp;Col=1","No Title Assigned - #15266827561")</f>
        <v/>
      </c>
      <c r="B2015" s="0" t="s">
        <v>3073</v>
      </c>
      <c r="C2015" s="0" t="s">
        <v>3074</v>
      </c>
      <c r="D2015" s="0" t="s">
        <v>3074</v>
      </c>
      <c r="E2015" s="0" t="inlineStr">
        <is>
          <t xml:space="preserve">Mazda</t>
        </is>
      </c>
      <c r="F2015" s="0" t="s">
        <v>28</v>
      </c>
      <c r="G2015" s="0" t="s">
        <v>29</v>
      </c>
      <c r="H2015" s="5">
        <v>697.459500</v>
      </c>
    </row>
    <row r="2016" spans="1:9">
      <c r="A2016" s="22" t="str">
        <f>HYPERLINK("https://app.vivvix.com/360/KMI/IntelliDrive/ApplUI/Pages/CreativePages/CustomReportCreativeDetail.aspx?App=23&amp;ReportView=4&amp;Qid=1711279&amp;Row=2008&amp;Col=1","No Title Assigned - #15266827599")</f>
        <v/>
      </c>
      <c r="B2016" s="0" t="s">
        <v>3075</v>
      </c>
      <c r="C2016" s="0" t="s">
        <v>3076</v>
      </c>
      <c r="D2016" s="0" t="s">
        <v>3076</v>
      </c>
      <c r="E2016" s="0" t="inlineStr">
        <is>
          <t xml:space="preserve">Mazda</t>
        </is>
      </c>
      <c r="F2016" s="0" t="s">
        <v>13</v>
      </c>
      <c r="G2016" s="0" t="s">
        <v>49</v>
      </c>
      <c r="H2016" s="5">
        <v>2940.834700</v>
      </c>
    </row>
    <row r="2017" spans="1:9">
      <c r="A2017" s="22" t="str">
        <f>HYPERLINK("https://app.vivvix.com/360/KMI/IntelliDrive/ApplUI/Pages/CreativePages/CustomReportCreativeDetail.aspx?App=23&amp;ReportView=4&amp;Qid=1711279&amp;Row=2009&amp;Col=1","No Title Assigned - #15266827653")</f>
        <v/>
      </c>
      <c r="B2017" s="0" t="s">
        <v>3077</v>
      </c>
      <c r="C2017" s="0" t="s">
        <v>3078</v>
      </c>
      <c r="D2017" s="0" t="s">
        <v>3078</v>
      </c>
      <c r="E2017" s="0" t="inlineStr">
        <is>
          <t xml:space="preserve">Mazda</t>
        </is>
      </c>
      <c r="F2017" s="0" t="s">
        <v>28</v>
      </c>
      <c r="G2017" s="0" t="s">
        <v>29</v>
      </c>
      <c r="H2017" s="5">
        <v>27895.958500</v>
      </c>
    </row>
    <row r="2018" spans="1:9">
      <c r="A2018" s="22" t="str">
        <f>HYPERLINK("https://app.vivvix.com/360/KMI/IntelliDrive/ApplUI/Pages/CreativePages/CustomReportCreativeDetail.aspx?App=23&amp;ReportView=4&amp;Qid=1711279&amp;Row=2010&amp;Col=1","No Title Assigned - #15266827653")</f>
        <v/>
      </c>
      <c r="B2018" s="0" t="s">
        <v>3077</v>
      </c>
      <c r="E2018" s="0" t="inlineStr">
        <is>
          <t xml:space="preserve">Mazda</t>
        </is>
      </c>
      <c r="F2018" s="0" t="s">
        <v>28</v>
      </c>
      <c r="G2018" s="0" t="s">
        <v>29</v>
      </c>
      <c r="H2018" s="5">
        <v>29637.788500</v>
      </c>
    </row>
    <row r="2019" spans="1:9">
      <c r="A2019" s="22" t="str">
        <f>HYPERLINK("https://app.vivvix.com/360/KMI/IntelliDrive/ApplUI/Pages/CreativePages/CustomReportCreativeDetail.aspx?App=23&amp;ReportView=4&amp;Qid=1711279&amp;Row=2011&amp;Col=1","No Title Assigned - #15266827712")</f>
        <v/>
      </c>
      <c r="B2019" s="0" t="s">
        <v>3079</v>
      </c>
      <c r="C2019" s="0" t="s">
        <v>3080</v>
      </c>
      <c r="D2019" s="0" t="s">
        <v>3080</v>
      </c>
      <c r="E2019" s="0" t="inlineStr">
        <is>
          <t xml:space="preserve">Mazda</t>
        </is>
      </c>
      <c r="F2019" s="0" t="s">
        <v>13</v>
      </c>
      <c r="G2019" s="0" t="s">
        <v>49</v>
      </c>
      <c r="H2019" s="5">
        <v>2283.423200</v>
      </c>
    </row>
    <row r="2020" spans="1:9">
      <c r="A2020" s="22" t="str">
        <f>HYPERLINK("https://app.vivvix.com/360/KMI/IntelliDrive/ApplUI/Pages/CreativePages/CustomReportCreativeDetail.aspx?App=23&amp;ReportView=4&amp;Qid=1711279&amp;Row=2012&amp;Col=1","No Title Assigned - #15266827712")</f>
        <v/>
      </c>
      <c r="B2020" s="0" t="s">
        <v>3079</v>
      </c>
      <c r="E2020" s="0" t="inlineStr">
        <is>
          <t xml:space="preserve">Mazda</t>
        </is>
      </c>
      <c r="F2020" s="0" t="s">
        <v>13</v>
      </c>
      <c r="G2020" s="0" t="s">
        <v>49</v>
      </c>
      <c r="H2020" s="5">
        <v>13103.708400</v>
      </c>
    </row>
    <row r="2021" spans="1:9">
      <c r="A2021" s="22" t="str">
        <f>HYPERLINK("https://app.vivvix.com/360/KMI/IntelliDrive/ApplUI/Pages/CreativePages/CustomReportCreativeDetail.aspx?App=23&amp;ReportView=4&amp;Qid=1711279&amp;Row=2013&amp;Col=1","No Title Assigned - #15266829482")</f>
        <v/>
      </c>
      <c r="B2021" s="0" t="s">
        <v>3081</v>
      </c>
      <c r="C2021" s="0" t="s">
        <v>3082</v>
      </c>
      <c r="D2021" s="0" t="s">
        <v>3082</v>
      </c>
      <c r="E2021" s="0" t="inlineStr">
        <is>
          <t xml:space="preserve">Mazda</t>
        </is>
      </c>
      <c r="F2021" s="0" t="s">
        <v>28</v>
      </c>
      <c r="G2021" s="0" t="s">
        <v>29</v>
      </c>
      <c r="H2021" s="5">
        <v>9687.505800</v>
      </c>
    </row>
    <row r="2022" spans="1:9">
      <c r="A2022" s="22" t="str">
        <f>HYPERLINK("https://app.vivvix.com/360/KMI/IntelliDrive/ApplUI/Pages/CreativePages/CustomReportCreativeDetail.aspx?App=23&amp;ReportView=4&amp;Qid=1711279&amp;Row=2014&amp;Col=1","No Title Assigned - #15266831999")</f>
        <v/>
      </c>
      <c r="B2022" s="0" t="s">
        <v>3083</v>
      </c>
      <c r="C2022" s="0" t="s">
        <v>3084</v>
      </c>
      <c r="D2022" s="0" t="s">
        <v>3084</v>
      </c>
      <c r="E2022" s="0" t="inlineStr">
        <is>
          <t xml:space="preserve">Mazda</t>
        </is>
      </c>
      <c r="F2022" s="0" t="s">
        <v>28</v>
      </c>
      <c r="G2022" s="0" t="s">
        <v>29</v>
      </c>
      <c r="H2022" s="5">
        <v>2475.295200</v>
      </c>
    </row>
    <row r="2023" spans="1:9">
      <c r="A2023" s="22" t="str">
        <f>HYPERLINK("https://app.vivvix.com/360/KMI/IntelliDrive/ApplUI/Pages/CreativePages/CustomReportCreativeDetail.aspx?App=23&amp;ReportView=4&amp;Qid=1711279&amp;Row=2015&amp;Col=1","No Title Assigned - #15266832607")</f>
        <v/>
      </c>
      <c r="B2023" s="0" t="s">
        <v>3085</v>
      </c>
      <c r="C2023" s="0" t="s">
        <v>3086</v>
      </c>
      <c r="D2023" s="0" t="s">
        <v>3086</v>
      </c>
      <c r="E2023" s="0" t="inlineStr">
        <is>
          <t xml:space="preserve">Mazda</t>
        </is>
      </c>
      <c r="F2023" s="0" t="s">
        <v>13</v>
      </c>
      <c r="G2023" s="0" t="s">
        <v>49</v>
      </c>
      <c r="H2023" s="5">
        <v>358.828000</v>
      </c>
    </row>
    <row r="2024" spans="1:9">
      <c r="A2024" s="22" t="str">
        <f>HYPERLINK("https://app.vivvix.com/360/KMI/IntelliDrive/ApplUI/Pages/CreativePages/CustomReportCreativeDetail.aspx?App=23&amp;ReportView=4&amp;Qid=1711279&amp;Row=2016&amp;Col=1","No Title Assigned - #15266833886")</f>
        <v/>
      </c>
      <c r="B2024" s="0" t="s">
        <v>3087</v>
      </c>
      <c r="C2024" s="0" t="s">
        <v>3088</v>
      </c>
      <c r="D2024" s="0" t="s">
        <v>3088</v>
      </c>
      <c r="E2024" s="0" t="inlineStr">
        <is>
          <t xml:space="preserve">Mazda</t>
        </is>
      </c>
      <c r="F2024" s="0" t="s">
        <v>13</v>
      </c>
      <c r="G2024" s="0" t="s">
        <v>49</v>
      </c>
      <c r="H2024" s="5">
        <v>711.601700</v>
      </c>
    </row>
    <row r="2025" spans="1:9">
      <c r="A2025" s="22" t="str">
        <f>HYPERLINK("https://app.vivvix.com/360/KMI/IntelliDrive/ApplUI/Pages/CreativePages/CustomReportCreativeDetail.aspx?App=23&amp;ReportView=4&amp;Qid=1711279&amp;Row=2017&amp;Col=1","No Title Assigned - #15266834606")</f>
        <v/>
      </c>
      <c r="B2025" s="0" t="s">
        <v>3089</v>
      </c>
      <c r="C2025" s="0" t="s">
        <v>3090</v>
      </c>
      <c r="D2025" s="0" t="s">
        <v>3090</v>
      </c>
      <c r="E2025" s="0" t="inlineStr">
        <is>
          <t xml:space="preserve">Mazda</t>
        </is>
      </c>
      <c r="F2025" s="0" t="s">
        <v>28</v>
      </c>
      <c r="G2025" s="0" t="s">
        <v>29</v>
      </c>
      <c r="H2025" s="5">
        <v>5364.583300</v>
      </c>
    </row>
    <row r="2026" spans="1:9">
      <c r="A2026" s="22" t="str">
        <f>HYPERLINK("https://app.vivvix.com/360/KMI/IntelliDrive/ApplUI/Pages/CreativePages/CustomReportCreativeDetail.aspx?App=23&amp;ReportView=4&amp;Qid=1711279&amp;Row=2018&amp;Col=1","No Title Assigned - #15266834881")</f>
        <v/>
      </c>
      <c r="B2026" s="0" t="s">
        <v>3091</v>
      </c>
      <c r="C2026" s="0" t="s">
        <v>3092</v>
      </c>
      <c r="D2026" s="0" t="s">
        <v>3092</v>
      </c>
      <c r="E2026" s="0" t="inlineStr">
        <is>
          <t xml:space="preserve">Mazda</t>
        </is>
      </c>
      <c r="F2026" s="0" t="s">
        <v>28</v>
      </c>
      <c r="G2026" s="0" t="s">
        <v>29</v>
      </c>
      <c r="H2026" s="5">
        <v>1175.203600</v>
      </c>
    </row>
    <row r="2027" spans="1:9">
      <c r="A2027" s="22" t="str">
        <f>HYPERLINK("https://app.vivvix.com/360/KMI/IntelliDrive/ApplUI/Pages/CreativePages/CustomReportCreativeDetail.aspx?App=23&amp;ReportView=4&amp;Qid=1711279&amp;Row=2019&amp;Col=1","No Title Assigned - #15266834881")</f>
        <v/>
      </c>
      <c r="B2027" s="0" t="s">
        <v>3091</v>
      </c>
      <c r="E2027" s="0" t="inlineStr">
        <is>
          <t xml:space="preserve">Mazda</t>
        </is>
      </c>
      <c r="F2027" s="0" t="s">
        <v>28</v>
      </c>
      <c r="G2027" s="0" t="s">
        <v>29</v>
      </c>
      <c r="H2027" s="5">
        <v>196.614000</v>
      </c>
    </row>
    <row r="2028" spans="1:9">
      <c r="A2028" s="22" t="str">
        <f>HYPERLINK("https://app.vivvix.com/360/KMI/IntelliDrive/ApplUI/Pages/CreativePages/CustomReportCreativeDetail.aspx?App=23&amp;ReportView=4&amp;Qid=1711279&amp;Row=2020&amp;Col=1","No Title Assigned - #15266834884")</f>
        <v/>
      </c>
      <c r="B2028" s="0" t="s">
        <v>3093</v>
      </c>
      <c r="C2028" s="0" t="s">
        <v>3094</v>
      </c>
      <c r="D2028" s="0" t="s">
        <v>3094</v>
      </c>
      <c r="E2028" s="0" t="inlineStr">
        <is>
          <t xml:space="preserve">Mazda</t>
        </is>
      </c>
      <c r="F2028" s="0" t="s">
        <v>28</v>
      </c>
      <c r="G2028" s="0" t="s">
        <v>29</v>
      </c>
      <c r="H2028" s="5">
        <v>587.601800</v>
      </c>
    </row>
    <row r="2029" spans="1:9">
      <c r="A2029" s="22" t="str">
        <f>HYPERLINK("https://app.vivvix.com/360/KMI/IntelliDrive/ApplUI/Pages/CreativePages/CustomReportCreativeDetail.aspx?App=23&amp;ReportView=4&amp;Qid=1711279&amp;Row=2021&amp;Col=1","No Title Assigned - #15266834906")</f>
        <v/>
      </c>
      <c r="B2029" s="0" t="s">
        <v>3095</v>
      </c>
      <c r="C2029" s="0" t="s">
        <v>3096</v>
      </c>
      <c r="D2029" s="0" t="s">
        <v>3096</v>
      </c>
      <c r="E2029" s="0" t="inlineStr">
        <is>
          <t xml:space="preserve">Mazda</t>
        </is>
      </c>
      <c r="F2029" s="0" t="s">
        <v>28</v>
      </c>
      <c r="G2029" s="0" t="s">
        <v>29</v>
      </c>
      <c r="H2029" s="5">
        <v>587.601800</v>
      </c>
    </row>
    <row r="2030" spans="1:9">
      <c r="A2030" s="22" t="str">
        <f>HYPERLINK("https://app.vivvix.com/360/KMI/IntelliDrive/ApplUI/Pages/CreativePages/CustomReportCreativeDetail.aspx?App=23&amp;ReportView=4&amp;Qid=1711279&amp;Row=2022&amp;Col=1","No Title Assigned - #15266835273")</f>
        <v/>
      </c>
      <c r="B2030" s="0" t="s">
        <v>3097</v>
      </c>
      <c r="C2030" s="0" t="s">
        <v>3098</v>
      </c>
      <c r="D2030" s="0" t="s">
        <v>3098</v>
      </c>
      <c r="E2030" s="0" t="inlineStr">
        <is>
          <t xml:space="preserve">Mazda</t>
        </is>
      </c>
      <c r="F2030" s="0" t="s">
        <v>56</v>
      </c>
      <c r="G2030" s="0" t="s">
        <v>57</v>
      </c>
      <c r="H2030" s="5">
        <v>1061.617000</v>
      </c>
    </row>
    <row r="2031" spans="1:9">
      <c r="A2031" s="22" t="str">
        <f>HYPERLINK("https://app.vivvix.com/360/KMI/IntelliDrive/ApplUI/Pages/CreativePages/CustomReportCreativeDetail.aspx?App=23&amp;ReportView=4&amp;Qid=1711279&amp;Row=2023&amp;Col=1","No Title Assigned - #15266838960")</f>
        <v/>
      </c>
      <c r="B2031" s="0" t="s">
        <v>3099</v>
      </c>
      <c r="C2031" s="0" t="s">
        <v>3100</v>
      </c>
      <c r="D2031" s="0" t="s">
        <v>3100</v>
      </c>
      <c r="E2031" s="0" t="inlineStr">
        <is>
          <t xml:space="preserve">Mazda</t>
        </is>
      </c>
      <c r="F2031" s="0" t="s">
        <v>28</v>
      </c>
      <c r="G2031" s="0" t="s">
        <v>29</v>
      </c>
      <c r="H2031" s="5">
        <v>6480.943400</v>
      </c>
    </row>
    <row r="2032" spans="1:9">
      <c r="A2032" s="22" t="str">
        <f>HYPERLINK("https://app.vivvix.com/360/KMI/IntelliDrive/ApplUI/Pages/CreativePages/CustomReportCreativeDetail.aspx?App=23&amp;ReportView=4&amp;Qid=1711279&amp;Row=2024&amp;Col=1","No Title Assigned - #15266840455")</f>
        <v/>
      </c>
      <c r="B2032" s="0" t="s">
        <v>3101</v>
      </c>
      <c r="C2032" s="0" t="s">
        <v>3102</v>
      </c>
      <c r="D2032" s="0" t="s">
        <v>3102</v>
      </c>
      <c r="E2032" s="0" t="inlineStr">
        <is>
          <t xml:space="preserve">Mazda</t>
        </is>
      </c>
      <c r="F2032" s="0" t="s">
        <v>28</v>
      </c>
      <c r="G2032" s="0" t="s">
        <v>29</v>
      </c>
      <c r="H2032" s="5">
        <v>306.585200</v>
      </c>
    </row>
    <row r="2033" spans="1:9">
      <c r="A2033" s="22" t="str">
        <f>HYPERLINK("https://app.vivvix.com/360/KMI/IntelliDrive/ApplUI/Pages/CreativePages/CustomReportCreativeDetail.aspx?App=23&amp;ReportView=4&amp;Qid=1711279&amp;Row=2025&amp;Col=1","No Title Assigned - #15266876877")</f>
        <v/>
      </c>
      <c r="B2033" s="0" t="s">
        <v>3103</v>
      </c>
      <c r="C2033" s="0" t="s">
        <v>3104</v>
      </c>
      <c r="D2033" s="0" t="s">
        <v>3104</v>
      </c>
      <c r="E2033" s="0" t="inlineStr">
        <is>
          <t xml:space="preserve">Mazda</t>
        </is>
      </c>
      <c r="F2033" s="0" t="s">
        <v>13</v>
      </c>
      <c r="G2033" s="0" t="s">
        <v>49</v>
      </c>
      <c r="H2033" s="5">
        <v>1385.755400</v>
      </c>
    </row>
    <row r="2034" spans="1:9">
      <c r="A2034" s="22" t="str">
        <f>HYPERLINK("https://app.vivvix.com/360/KMI/IntelliDrive/ApplUI/Pages/CreativePages/CustomReportCreativeDetail.aspx?App=23&amp;ReportView=4&amp;Qid=1711279&amp;Row=2026&amp;Col=1","No Title Assigned - #15266877909")</f>
        <v/>
      </c>
      <c r="B2034" s="0" t="s">
        <v>3105</v>
      </c>
      <c r="C2034" s="0" t="s">
        <v>2412</v>
      </c>
      <c r="D2034" s="0" t="s">
        <v>2412</v>
      </c>
      <c r="E2034" s="0" t="inlineStr">
        <is>
          <t xml:space="preserve">Mazda</t>
        </is>
      </c>
      <c r="F2034" s="0" t="inlineStr">
        <is>
          <t xml:space="preserve">Mazda</t>
        </is>
      </c>
      <c r="G2034" s="0" t="s">
        <v>1992</v>
      </c>
      <c r="H2034" s="5">
        <v>594.043500</v>
      </c>
    </row>
    <row r="2035" spans="1:9">
      <c r="A2035" s="22" t="str">
        <f>HYPERLINK("https://app.vivvix.com/360/KMI/IntelliDrive/ApplUI/Pages/CreativePages/CustomReportCreativeDetail.aspx?App=23&amp;ReportView=4&amp;Qid=1711279&amp;Row=2027&amp;Col=1","No Title Assigned - #15266877911")</f>
        <v/>
      </c>
      <c r="B2035" s="0" t="s">
        <v>3106</v>
      </c>
      <c r="C2035" s="0" t="s">
        <v>3107</v>
      </c>
      <c r="D2035" s="0" t="s">
        <v>3107</v>
      </c>
      <c r="E2035" s="0" t="inlineStr">
        <is>
          <t xml:space="preserve">Mazda</t>
        </is>
      </c>
      <c r="F2035" s="0" t="s">
        <v>3108</v>
      </c>
      <c r="G2035" s="0" t="s">
        <v>3109</v>
      </c>
      <c r="H2035" s="5">
        <v>7041.224500</v>
      </c>
    </row>
    <row r="2036" spans="1:9">
      <c r="A2036" s="22" t="str">
        <f>HYPERLINK("https://app.vivvix.com/360/KMI/IntelliDrive/ApplUI/Pages/CreativePages/CustomReportCreativeDetail.aspx?App=23&amp;ReportView=4&amp;Qid=1711279&amp;Row=2028&amp;Col=1","No Title Assigned - #15266884462")</f>
        <v/>
      </c>
      <c r="B2036" s="0" t="s">
        <v>3110</v>
      </c>
      <c r="C2036" s="0" t="s">
        <v>3111</v>
      </c>
      <c r="D2036" s="0" t="s">
        <v>3111</v>
      </c>
      <c r="E2036" s="0" t="inlineStr">
        <is>
          <t xml:space="preserve">Mazda</t>
        </is>
      </c>
      <c r="F2036" s="0" t="s">
        <v>28</v>
      </c>
      <c r="G2036" s="0" t="s">
        <v>29</v>
      </c>
      <c r="H2036" s="5">
        <v>166.457400</v>
      </c>
    </row>
    <row r="2037" spans="1:9">
      <c r="A2037" s="22" t="str">
        <f>HYPERLINK("https://app.vivvix.com/360/KMI/IntelliDrive/ApplUI/Pages/CreativePages/CustomReportCreativeDetail.aspx?App=23&amp;ReportView=4&amp;Qid=1711279&amp;Row=2029&amp;Col=1","No Title Assigned - #15266884463")</f>
        <v/>
      </c>
      <c r="B2037" s="0" t="s">
        <v>3112</v>
      </c>
      <c r="E2037" s="0" t="inlineStr">
        <is>
          <t xml:space="preserve">Mazda</t>
        </is>
      </c>
      <c r="F2037" s="0" t="s">
        <v>28</v>
      </c>
      <c r="G2037" s="0" t="s">
        <v>29</v>
      </c>
      <c r="H2037" s="5">
        <v>12187.520100</v>
      </c>
    </row>
    <row r="2038" spans="1:9">
      <c r="A2038" s="22" t="str">
        <f>HYPERLINK("https://app.vivvix.com/360/KMI/IntelliDrive/ApplUI/Pages/CreativePages/CustomReportCreativeDetail.aspx?App=23&amp;ReportView=4&amp;Qid=1711279&amp;Row=2030&amp;Col=1","No Title Assigned - #15266884463")</f>
        <v/>
      </c>
      <c r="B2038" s="0" t="s">
        <v>3112</v>
      </c>
      <c r="C2038" s="0" t="s">
        <v>3113</v>
      </c>
      <c r="D2038" s="0" t="s">
        <v>3113</v>
      </c>
      <c r="E2038" s="0" t="inlineStr">
        <is>
          <t xml:space="preserve">Mazda</t>
        </is>
      </c>
      <c r="F2038" s="0" t="s">
        <v>28</v>
      </c>
      <c r="G2038" s="0" t="s">
        <v>29</v>
      </c>
      <c r="H2038" s="5">
        <v>2444.979600</v>
      </c>
    </row>
    <row r="2039" spans="1:9">
      <c r="A2039" s="22" t="str">
        <f>HYPERLINK("https://app.vivvix.com/360/KMI/IntelliDrive/ApplUI/Pages/CreativePages/CustomReportCreativeDetail.aspx?App=23&amp;ReportView=4&amp;Qid=1711279&amp;Row=2031&amp;Col=1","No Title Assigned - #15266900422")</f>
        <v/>
      </c>
      <c r="B2039" s="0" t="s">
        <v>3114</v>
      </c>
      <c r="E2039" s="0" t="inlineStr">
        <is>
          <t xml:space="preserve">Mazda</t>
        </is>
      </c>
      <c r="F2039" s="0" t="inlineStr">
        <is>
          <t xml:space="preserve">Mazda</t>
        </is>
      </c>
      <c r="G2039" s="0" t="s">
        <v>171</v>
      </c>
      <c r="H2039" s="5">
        <v>1469.518300</v>
      </c>
    </row>
    <row r="2040" spans="1:9">
      <c r="A2040" s="22" t="str">
        <f>HYPERLINK("https://app.vivvix.com/360/KMI/IntelliDrive/ApplUI/Pages/CreativePages/CustomReportCreativeDetail.aspx?App=23&amp;ReportView=4&amp;Qid=1711279&amp;Row=2032&amp;Col=1","No Title Assigned - #15266902755")</f>
        <v/>
      </c>
      <c r="B2040" s="0" t="s">
        <v>3115</v>
      </c>
      <c r="C2040" s="0" t="s">
        <v>3116</v>
      </c>
      <c r="D2040" s="0" t="s">
        <v>3116</v>
      </c>
      <c r="E2040" s="0" t="inlineStr">
        <is>
          <t xml:space="preserve">Mazda</t>
        </is>
      </c>
      <c r="F2040" s="0" t="s">
        <v>28</v>
      </c>
      <c r="G2040" s="0" t="s">
        <v>29</v>
      </c>
      <c r="H2040" s="5">
        <v>978.095800</v>
      </c>
    </row>
    <row r="2041" spans="1:9">
      <c r="A2041" s="22" t="str">
        <f>HYPERLINK("https://app.vivvix.com/360/KMI/IntelliDrive/ApplUI/Pages/CreativePages/CustomReportCreativeDetail.aspx?App=23&amp;ReportView=4&amp;Qid=1711279&amp;Row=2033&amp;Col=1","No Title Assigned - #15266902755")</f>
        <v/>
      </c>
      <c r="B2041" s="0" t="s">
        <v>3115</v>
      </c>
      <c r="E2041" s="0" t="inlineStr">
        <is>
          <t xml:space="preserve">Mazda</t>
        </is>
      </c>
      <c r="F2041" s="0" t="s">
        <v>28</v>
      </c>
      <c r="G2041" s="0" t="s">
        <v>29</v>
      </c>
      <c r="H2041" s="5">
        <v>2559.508100</v>
      </c>
    </row>
    <row r="2042" spans="1:9">
      <c r="A2042" s="22" t="str">
        <f>HYPERLINK("https://app.vivvix.com/360/KMI/IntelliDrive/ApplUI/Pages/CreativePages/CustomReportCreativeDetail.aspx?App=23&amp;ReportView=4&amp;Qid=1711279&amp;Row=2034&amp;Col=1","No Title Assigned - #15266903019")</f>
        <v/>
      </c>
      <c r="B2042" s="0" t="s">
        <v>3117</v>
      </c>
      <c r="E2042" s="0" t="inlineStr">
        <is>
          <t xml:space="preserve">Mazda</t>
        </is>
      </c>
      <c r="F2042" s="0" t="inlineStr">
        <is>
          <t xml:space="preserve">Mazda</t>
        </is>
      </c>
      <c r="G2042" s="0" t="s">
        <v>171</v>
      </c>
      <c r="H2042" s="5">
        <v>14294.784600</v>
      </c>
    </row>
    <row r="2043" spans="1:9">
      <c r="A2043" s="22" t="str">
        <f>HYPERLINK("https://app.vivvix.com/360/KMI/IntelliDrive/ApplUI/Pages/CreativePages/CustomReportCreativeDetail.aspx?App=23&amp;ReportView=4&amp;Qid=1711279&amp;Row=2035&amp;Col=1","No Title Assigned - #15266903019")</f>
        <v/>
      </c>
      <c r="B2043" s="0" t="s">
        <v>3117</v>
      </c>
      <c r="C2043" s="0" t="s">
        <v>3118</v>
      </c>
      <c r="D2043" s="0" t="s">
        <v>3118</v>
      </c>
      <c r="E2043" s="0" t="inlineStr">
        <is>
          <t xml:space="preserve">Mazda</t>
        </is>
      </c>
      <c r="F2043" s="0" t="inlineStr">
        <is>
          <t xml:space="preserve">Mazda</t>
        </is>
      </c>
      <c r="G2043" s="0" t="s">
        <v>171</v>
      </c>
      <c r="H2043" s="5">
        <v>23857.575200</v>
      </c>
    </row>
    <row r="2044" spans="1:9">
      <c r="A2044" s="22" t="str">
        <f>HYPERLINK("https://app.vivvix.com/360/KMI/IntelliDrive/ApplUI/Pages/CreativePages/CustomReportCreativeDetail.aspx?App=23&amp;ReportView=4&amp;Qid=1711279&amp;Row=2036&amp;Col=1","No Title Assigned - #15266905217")</f>
        <v/>
      </c>
      <c r="B2044" s="0" t="s">
        <v>3119</v>
      </c>
      <c r="C2044" s="0" t="s">
        <v>3120</v>
      </c>
      <c r="D2044" s="0" t="s">
        <v>3120</v>
      </c>
      <c r="E2044" s="0" t="inlineStr">
        <is>
          <t xml:space="preserve">Mazda</t>
        </is>
      </c>
      <c r="F2044" s="0" t="s">
        <v>28</v>
      </c>
      <c r="G2044" s="0" t="s">
        <v>29</v>
      </c>
      <c r="H2044" s="5">
        <v>491488.320500</v>
      </c>
    </row>
    <row r="2045" spans="1:9">
      <c r="A2045" s="22" t="str">
        <f>HYPERLINK("https://app.vivvix.com/360/KMI/IntelliDrive/ApplUI/Pages/CreativePages/CustomReportCreativeDetail.aspx?App=23&amp;ReportView=4&amp;Qid=1711279&amp;Row=2037&amp;Col=1","No Title Assigned - #15266905217")</f>
        <v/>
      </c>
      <c r="B2045" s="0" t="s">
        <v>3119</v>
      </c>
      <c r="E2045" s="0" t="inlineStr">
        <is>
          <t xml:space="preserve">Mazda</t>
        </is>
      </c>
      <c r="F2045" s="0" t="s">
        <v>28</v>
      </c>
      <c r="G2045" s="0" t="s">
        <v>29</v>
      </c>
      <c r="H2045" s="5">
        <v>10104.179700</v>
      </c>
    </row>
    <row r="2046" spans="1:9">
      <c r="A2046" s="22" t="str">
        <f>HYPERLINK("https://app.vivvix.com/360/KMI/IntelliDrive/ApplUI/Pages/CreativePages/CustomReportCreativeDetail.aspx?App=23&amp;ReportView=4&amp;Qid=1711279&amp;Row=2038&amp;Col=1","No Title Assigned - #15266908724")</f>
        <v/>
      </c>
      <c r="B2046" s="0" t="s">
        <v>3121</v>
      </c>
      <c r="E2046" s="0" t="inlineStr">
        <is>
          <t xml:space="preserve">Mazda</t>
        </is>
      </c>
      <c r="F2046" s="0" t="inlineStr">
        <is>
          <t xml:space="preserve">Mazda</t>
        </is>
      </c>
      <c r="G2046" s="0" t="s">
        <v>171</v>
      </c>
      <c r="H2046" s="5">
        <v>490.176900</v>
      </c>
    </row>
    <row r="2047" spans="1:9">
      <c r="A2047" s="22" t="str">
        <f>HYPERLINK("https://app.vivvix.com/360/KMI/IntelliDrive/ApplUI/Pages/CreativePages/CustomReportCreativeDetail.aspx?App=23&amp;ReportView=4&amp;Qid=1711279&amp;Row=2039&amp;Col=1","No Title Assigned - #15266910731")</f>
        <v/>
      </c>
      <c r="B2047" s="0" t="s">
        <v>3122</v>
      </c>
      <c r="C2047" s="0" t="s">
        <v>3123</v>
      </c>
      <c r="D2047" s="0" t="s">
        <v>3123</v>
      </c>
      <c r="E2047" s="0" t="inlineStr">
        <is>
          <t xml:space="preserve">Mazda</t>
        </is>
      </c>
      <c r="F2047" s="0" t="s">
        <v>28</v>
      </c>
      <c r="G2047" s="0" t="s">
        <v>29</v>
      </c>
      <c r="H2047" s="5">
        <v>104333.916300</v>
      </c>
    </row>
    <row r="2048" spans="1:9">
      <c r="A2048" s="22" t="str">
        <f>HYPERLINK("https://app.vivvix.com/360/KMI/IntelliDrive/ApplUI/Pages/CreativePages/CustomReportCreativeDetail.aspx?App=23&amp;ReportView=4&amp;Qid=1711279&amp;Row=2040&amp;Col=1","No Title Assigned - #15266910731")</f>
        <v/>
      </c>
      <c r="B2048" s="0" t="s">
        <v>3122</v>
      </c>
      <c r="E2048" s="0" t="inlineStr">
        <is>
          <t xml:space="preserve">Mazda</t>
        </is>
      </c>
      <c r="F2048" s="0" t="s">
        <v>28</v>
      </c>
      <c r="G2048" s="0" t="s">
        <v>29</v>
      </c>
      <c r="H2048" s="5">
        <v>230375.902600</v>
      </c>
    </row>
    <row r="2049" spans="1:9">
      <c r="A2049" s="22" t="str">
        <f>HYPERLINK("https://app.vivvix.com/360/KMI/IntelliDrive/ApplUI/Pages/CreativePages/CustomReportCreativeDetail.aspx?App=23&amp;ReportView=4&amp;Qid=1711279&amp;Row=2041&amp;Col=1","No Title Assigned - #15266912332")</f>
        <v/>
      </c>
      <c r="B2049" s="0" t="s">
        <v>3124</v>
      </c>
      <c r="C2049" s="0" t="s">
        <v>3125</v>
      </c>
      <c r="D2049" s="0" t="s">
        <v>3125</v>
      </c>
      <c r="E2049" s="0" t="inlineStr">
        <is>
          <t xml:space="preserve">Mazda</t>
        </is>
      </c>
      <c r="F2049" s="0" t="s">
        <v>28</v>
      </c>
      <c r="G2049" s="0" t="s">
        <v>29</v>
      </c>
      <c r="H2049" s="5">
        <v>63.400100</v>
      </c>
    </row>
    <row r="2050" spans="1:9">
      <c r="A2050" s="22" t="str">
        <f>HYPERLINK("https://app.vivvix.com/360/KMI/IntelliDrive/ApplUI/Pages/CreativePages/CustomReportCreativeDetail.aspx?App=23&amp;ReportView=4&amp;Qid=1711279&amp;Row=2042&amp;Col=1","No Title Assigned - #15266921403")</f>
        <v/>
      </c>
      <c r="B2050" s="0" t="s">
        <v>3126</v>
      </c>
      <c r="C2050" s="0" t="s">
        <v>3127</v>
      </c>
      <c r="D2050" s="0" t="s">
        <v>3127</v>
      </c>
      <c r="E2050" s="0" t="inlineStr">
        <is>
          <t xml:space="preserve">Mazda</t>
        </is>
      </c>
      <c r="F2050" s="0" t="s">
        <v>28</v>
      </c>
      <c r="G2050" s="0" t="s">
        <v>29</v>
      </c>
      <c r="H2050" s="5">
        <v>1721.715900</v>
      </c>
    </row>
    <row r="2051" spans="1:9">
      <c r="A2051" s="22" t="str">
        <f>HYPERLINK("https://app.vivvix.com/360/KMI/IntelliDrive/ApplUI/Pages/CreativePages/CustomReportCreativeDetail.aspx?App=23&amp;ReportView=4&amp;Qid=1711279&amp;Row=2043&amp;Col=1","No Title Assigned - #15266921403")</f>
        <v/>
      </c>
      <c r="B2051" s="0" t="s">
        <v>3126</v>
      </c>
      <c r="E2051" s="0" t="inlineStr">
        <is>
          <t xml:space="preserve">Mazda</t>
        </is>
      </c>
      <c r="F2051" s="0" t="s">
        <v>28</v>
      </c>
      <c r="G2051" s="0" t="s">
        <v>29</v>
      </c>
      <c r="H2051" s="5">
        <v>198.886500</v>
      </c>
    </row>
    <row r="2052" spans="1:9">
      <c r="A2052" s="22" t="str">
        <f>HYPERLINK("https://app.vivvix.com/360/KMI/IntelliDrive/ApplUI/Pages/CreativePages/CustomReportCreativeDetail.aspx?App=23&amp;ReportView=4&amp;Qid=1711279&amp;Row=2044&amp;Col=1","No Title Assigned - #15266928541")</f>
        <v/>
      </c>
      <c r="B2052" s="0" t="s">
        <v>3128</v>
      </c>
      <c r="E2052" s="0" t="inlineStr">
        <is>
          <t xml:space="preserve">Mazda</t>
        </is>
      </c>
      <c r="F2052" s="0" t="s">
        <v>28</v>
      </c>
      <c r="G2052" s="0" t="s">
        <v>29</v>
      </c>
      <c r="H2052" s="5">
        <v>998.126300</v>
      </c>
    </row>
    <row r="2053" spans="1:9">
      <c r="A2053" s="22" t="str">
        <f>HYPERLINK("https://app.vivvix.com/360/KMI/IntelliDrive/ApplUI/Pages/CreativePages/CustomReportCreativeDetail.aspx?App=23&amp;ReportView=4&amp;Qid=1711279&amp;Row=2045&amp;Col=1","No Title Assigned - #15266928541")</f>
        <v/>
      </c>
      <c r="B2053" s="0" t="s">
        <v>3128</v>
      </c>
      <c r="C2053" s="0" t="s">
        <v>3129</v>
      </c>
      <c r="D2053" s="0" t="s">
        <v>3129</v>
      </c>
      <c r="E2053" s="0" t="inlineStr">
        <is>
          <t xml:space="preserve">Mazda</t>
        </is>
      </c>
      <c r="F2053" s="0" t="s">
        <v>28</v>
      </c>
      <c r="G2053" s="0" t="s">
        <v>29</v>
      </c>
      <c r="H2053" s="5">
        <v>55065.296300</v>
      </c>
    </row>
    <row r="2054" spans="1:9">
      <c r="A2054" s="22" t="str">
        <f>HYPERLINK("https://app.vivvix.com/360/KMI/IntelliDrive/ApplUI/Pages/CreativePages/CustomReportCreativeDetail.aspx?App=23&amp;ReportView=4&amp;Qid=1711279&amp;Row=2046&amp;Col=1","No Title Assigned - #15266937924")</f>
        <v/>
      </c>
      <c r="B2054" s="0" t="s">
        <v>3130</v>
      </c>
      <c r="C2054" s="0" t="s">
        <v>3131</v>
      </c>
      <c r="D2054" s="0" t="s">
        <v>3131</v>
      </c>
      <c r="E2054" s="0" t="inlineStr">
        <is>
          <t xml:space="preserve">Mazda</t>
        </is>
      </c>
      <c r="F2054" s="0" t="s">
        <v>21</v>
      </c>
      <c r="G2054" s="0" t="s">
        <v>22</v>
      </c>
      <c r="H2054" s="5">
        <v>175.833200</v>
      </c>
    </row>
    <row r="2055" spans="1:9">
      <c r="A2055" s="22" t="str">
        <f>HYPERLINK("https://app.vivvix.com/360/KMI/IntelliDrive/ApplUI/Pages/CreativePages/CustomReportCreativeDetail.aspx?App=23&amp;ReportView=4&amp;Qid=1711279&amp;Row=2047&amp;Col=1","No Title Assigned - #15266938341")</f>
        <v/>
      </c>
      <c r="B2055" s="0" t="s">
        <v>3132</v>
      </c>
      <c r="E2055" s="0" t="inlineStr">
        <is>
          <t xml:space="preserve">Mazda</t>
        </is>
      </c>
      <c r="F2055" s="0" t="s">
        <v>28</v>
      </c>
      <c r="G2055" s="0" t="s">
        <v>29</v>
      </c>
      <c r="H2055" s="5">
        <v>1743.027700</v>
      </c>
    </row>
    <row r="2056" spans="1:9">
      <c r="A2056" s="22" t="str">
        <f>HYPERLINK("https://app.vivvix.com/360/KMI/IntelliDrive/ApplUI/Pages/CreativePages/CustomReportCreativeDetail.aspx?App=23&amp;ReportView=4&amp;Qid=1711279&amp;Row=2048&amp;Col=1","No Title Assigned - #15266938341")</f>
        <v/>
      </c>
      <c r="B2056" s="0" t="s">
        <v>3132</v>
      </c>
      <c r="C2056" s="0" t="s">
        <v>3133</v>
      </c>
      <c r="D2056" s="0" t="s">
        <v>3133</v>
      </c>
      <c r="E2056" s="0" t="inlineStr">
        <is>
          <t xml:space="preserve">Mazda</t>
        </is>
      </c>
      <c r="F2056" s="0" t="s">
        <v>28</v>
      </c>
      <c r="G2056" s="0" t="s">
        <v>29</v>
      </c>
      <c r="H2056" s="5">
        <v>3124.112500</v>
      </c>
    </row>
    <row r="2057" spans="1:9">
      <c r="A2057" s="22" t="str">
        <f>HYPERLINK("https://app.vivvix.com/360/KMI/IntelliDrive/ApplUI/Pages/CreativePages/CustomReportCreativeDetail.aspx?App=23&amp;ReportView=4&amp;Qid=1711279&amp;Row=2049&amp;Col=1","No Title Assigned - #15266941724")</f>
        <v/>
      </c>
      <c r="B2057" s="0" t="s">
        <v>3134</v>
      </c>
      <c r="C2057" s="0" t="s">
        <v>3135</v>
      </c>
      <c r="D2057" s="0" t="s">
        <v>3135</v>
      </c>
      <c r="E2057" s="0" t="inlineStr">
        <is>
          <t xml:space="preserve">Mazda</t>
        </is>
      </c>
      <c r="F2057" s="0" t="s">
        <v>28</v>
      </c>
      <c r="G2057" s="0" t="s">
        <v>29</v>
      </c>
      <c r="H2057" s="5">
        <v>1914.612200</v>
      </c>
    </row>
    <row r="2058" spans="1:9">
      <c r="A2058" s="22" t="str">
        <f>HYPERLINK("https://app.vivvix.com/360/KMI/IntelliDrive/ApplUI/Pages/CreativePages/CustomReportCreativeDetail.aspx?App=23&amp;ReportView=4&amp;Qid=1711279&amp;Row=2050&amp;Col=1","No Title Assigned - #15266941724")</f>
        <v/>
      </c>
      <c r="B2058" s="0" t="s">
        <v>3134</v>
      </c>
      <c r="E2058" s="0" t="inlineStr">
        <is>
          <t xml:space="preserve">Mazda</t>
        </is>
      </c>
      <c r="F2058" s="0" t="s">
        <v>28</v>
      </c>
      <c r="G2058" s="0" t="s">
        <v>29</v>
      </c>
      <c r="H2058" s="5">
        <v>313.484900</v>
      </c>
    </row>
    <row r="2059" spans="1:9">
      <c r="A2059" s="22" t="str">
        <f>HYPERLINK("https://app.vivvix.com/360/KMI/IntelliDrive/ApplUI/Pages/CreativePages/CustomReportCreativeDetail.aspx?App=23&amp;ReportView=4&amp;Qid=1711279&amp;Row=2051&amp;Col=1","No Title Assigned - #15266944724")</f>
        <v/>
      </c>
      <c r="B2059" s="0" t="s">
        <v>3136</v>
      </c>
      <c r="E2059" s="0" t="inlineStr">
        <is>
          <t xml:space="preserve">Mazda</t>
        </is>
      </c>
      <c r="F2059" s="0" t="s">
        <v>204</v>
      </c>
      <c r="G2059" s="0" t="s">
        <v>205</v>
      </c>
      <c r="H2059" s="5">
        <v>770.504000</v>
      </c>
    </row>
    <row r="2060" spans="1:9">
      <c r="A2060" s="22" t="str">
        <f>HYPERLINK("https://app.vivvix.com/360/KMI/IntelliDrive/ApplUI/Pages/CreativePages/CustomReportCreativeDetail.aspx?App=23&amp;ReportView=4&amp;Qid=1711279&amp;Row=2052&amp;Col=1","No Title Assigned - #15266946938")</f>
        <v/>
      </c>
      <c r="B2060" s="0" t="s">
        <v>3137</v>
      </c>
      <c r="C2060" s="0" t="s">
        <v>3138</v>
      </c>
      <c r="D2060" s="0" t="s">
        <v>3138</v>
      </c>
      <c r="E2060" s="0" t="inlineStr">
        <is>
          <t xml:space="preserve">Mazda</t>
        </is>
      </c>
      <c r="F2060" s="0" t="s">
        <v>28</v>
      </c>
      <c r="G2060" s="0" t="s">
        <v>29</v>
      </c>
      <c r="H2060" s="5">
        <v>50.811100</v>
      </c>
    </row>
    <row r="2061" spans="1:9">
      <c r="A2061" s="22" t="str">
        <f>HYPERLINK("https://app.vivvix.com/360/KMI/IntelliDrive/ApplUI/Pages/CreativePages/CustomReportCreativeDetail.aspx?App=23&amp;ReportView=4&amp;Qid=1711279&amp;Row=2053&amp;Col=1","No Title Assigned - #15266948608")</f>
        <v/>
      </c>
      <c r="B2061" s="0" t="s">
        <v>3139</v>
      </c>
      <c r="C2061" s="0" t="s">
        <v>3140</v>
      </c>
      <c r="D2061" s="0" t="s">
        <v>3140</v>
      </c>
      <c r="E2061" s="0" t="inlineStr">
        <is>
          <t xml:space="preserve">Mazda</t>
        </is>
      </c>
      <c r="F2061" s="0" t="s">
        <v>28</v>
      </c>
      <c r="G2061" s="0" t="s">
        <v>29</v>
      </c>
      <c r="H2061" s="5">
        <v>230.454600</v>
      </c>
    </row>
    <row r="2062" spans="1:9">
      <c r="A2062" s="22" t="str">
        <f>HYPERLINK("https://app.vivvix.com/360/KMI/IntelliDrive/ApplUI/Pages/CreativePages/CustomReportCreativeDetail.aspx?App=23&amp;ReportView=4&amp;Qid=1711279&amp;Row=2054&amp;Col=1","No Title Assigned - #15266948608")</f>
        <v/>
      </c>
      <c r="B2062" s="0" t="s">
        <v>3139</v>
      </c>
      <c r="E2062" s="0" t="inlineStr">
        <is>
          <t xml:space="preserve">Mazda</t>
        </is>
      </c>
      <c r="F2062" s="0" t="s">
        <v>28</v>
      </c>
      <c r="G2062" s="0" t="s">
        <v>29</v>
      </c>
      <c r="H2062" s="5">
        <v>1475.587600</v>
      </c>
    </row>
    <row r="2063" spans="1:9">
      <c r="A2063" s="22" t="str">
        <f>HYPERLINK("https://app.vivvix.com/360/KMI/IntelliDrive/ApplUI/Pages/CreativePages/CustomReportCreativeDetail.aspx?App=23&amp;ReportView=4&amp;Qid=1711279&amp;Row=2055&amp;Col=1","No Title Assigned - #15266956792")</f>
        <v/>
      </c>
      <c r="B2063" s="0" t="s">
        <v>3141</v>
      </c>
      <c r="E2063" s="0" t="inlineStr">
        <is>
          <t xml:space="preserve">Mazda</t>
        </is>
      </c>
      <c r="F2063" s="0" t="s">
        <v>28</v>
      </c>
      <c r="G2063" s="0" t="s">
        <v>29</v>
      </c>
      <c r="H2063" s="5">
        <v>119.942000</v>
      </c>
    </row>
    <row r="2064" spans="1:9">
      <c r="A2064" s="22" t="str">
        <f>HYPERLINK("https://app.vivvix.com/360/KMI/IntelliDrive/ApplUI/Pages/CreativePages/CustomReportCreativeDetail.aspx?App=23&amp;ReportView=4&amp;Qid=1711279&amp;Row=2056&amp;Col=1","No Title Assigned - #15266956792")</f>
        <v/>
      </c>
      <c r="B2064" s="0" t="s">
        <v>3141</v>
      </c>
      <c r="C2064" s="0" t="s">
        <v>3142</v>
      </c>
      <c r="D2064" s="0" t="s">
        <v>3142</v>
      </c>
      <c r="E2064" s="0" t="inlineStr">
        <is>
          <t xml:space="preserve">Mazda</t>
        </is>
      </c>
      <c r="F2064" s="0" t="s">
        <v>28</v>
      </c>
      <c r="G2064" s="0" t="s">
        <v>29</v>
      </c>
      <c r="H2064" s="5">
        <v>12247.792000</v>
      </c>
    </row>
    <row r="2065" spans="1:9">
      <c r="A2065" s="22" t="str">
        <f>HYPERLINK("https://app.vivvix.com/360/KMI/IntelliDrive/ApplUI/Pages/CreativePages/CustomReportCreativeDetail.aspx?App=23&amp;ReportView=4&amp;Qid=1711279&amp;Row=2057&amp;Col=1","No Title Assigned - #15266958173")</f>
        <v/>
      </c>
      <c r="B2065" s="0" t="s">
        <v>3143</v>
      </c>
      <c r="C2065" s="0" t="s">
        <v>3144</v>
      </c>
      <c r="D2065" s="0" t="s">
        <v>3144</v>
      </c>
      <c r="E2065" s="0" t="inlineStr">
        <is>
          <t xml:space="preserve">Mazda</t>
        </is>
      </c>
      <c r="F2065" s="0" t="s">
        <v>28</v>
      </c>
      <c r="G2065" s="0" t="s">
        <v>29</v>
      </c>
      <c r="H2065" s="5">
        <v>122.858700</v>
      </c>
    </row>
    <row r="2066" spans="1:9">
      <c r="A2066" s="22" t="str">
        <f>HYPERLINK("https://app.vivvix.com/360/KMI/IntelliDrive/ApplUI/Pages/CreativePages/CustomReportCreativeDetail.aspx?App=23&amp;ReportView=4&amp;Qid=1711279&amp;Row=2058&amp;Col=1","No Title Assigned - #15266958512")</f>
        <v/>
      </c>
      <c r="B2066" s="0" t="s">
        <v>3145</v>
      </c>
      <c r="C2066" s="0" t="s">
        <v>3146</v>
      </c>
      <c r="D2066" s="0" t="s">
        <v>3146</v>
      </c>
      <c r="E2066" s="0" t="inlineStr">
        <is>
          <t xml:space="preserve">Mazda</t>
        </is>
      </c>
      <c r="F2066" s="0" t="s">
        <v>369</v>
      </c>
      <c r="G2066" s="0" t="s">
        <v>370</v>
      </c>
      <c r="H2066" s="5">
        <v>3490.579200</v>
      </c>
    </row>
    <row r="2067" spans="1:9">
      <c r="A2067" s="22" t="str">
        <f>HYPERLINK("https://app.vivvix.com/360/KMI/IntelliDrive/ApplUI/Pages/CreativePages/CustomReportCreativeDetail.aspx?App=23&amp;ReportView=4&amp;Qid=1711279&amp;Row=2059&amp;Col=1","No Title Assigned - #15266958513")</f>
        <v/>
      </c>
      <c r="B2067" s="0" t="s">
        <v>3147</v>
      </c>
      <c r="C2067" s="0" t="s">
        <v>3148</v>
      </c>
      <c r="D2067" s="0" t="s">
        <v>3148</v>
      </c>
      <c r="E2067" s="0" t="inlineStr">
        <is>
          <t xml:space="preserve">Mazda</t>
        </is>
      </c>
      <c r="F2067" s="0" t="s">
        <v>369</v>
      </c>
      <c r="G2067" s="0" t="s">
        <v>370</v>
      </c>
      <c r="H2067" s="5">
        <v>352.874800</v>
      </c>
    </row>
    <row r="2068" spans="1:9">
      <c r="A2068" s="22" t="str">
        <f>HYPERLINK("https://app.vivvix.com/360/KMI/IntelliDrive/ApplUI/Pages/CreativePages/CustomReportCreativeDetail.aspx?App=23&amp;ReportView=4&amp;Qid=1711279&amp;Row=2060&amp;Col=1","No Title Assigned - #15266958540")</f>
        <v/>
      </c>
      <c r="B2068" s="0" t="s">
        <v>3149</v>
      </c>
      <c r="C2068" s="0" t="s">
        <v>3148</v>
      </c>
      <c r="D2068" s="0" t="s">
        <v>3148</v>
      </c>
      <c r="E2068" s="0" t="inlineStr">
        <is>
          <t xml:space="preserve">Mazda</t>
        </is>
      </c>
      <c r="F2068" s="0" t="s">
        <v>369</v>
      </c>
      <c r="G2068" s="0" t="s">
        <v>370</v>
      </c>
      <c r="H2068" s="5">
        <v>352.874800</v>
      </c>
    </row>
    <row r="2069" spans="1:9">
      <c r="A2069" s="22" t="str">
        <f>HYPERLINK("https://app.vivvix.com/360/KMI/IntelliDrive/ApplUI/Pages/CreativePages/CustomReportCreativeDetail.aspx?App=23&amp;ReportView=4&amp;Qid=1711279&amp;Row=2061&amp;Col=1","No Title Assigned - #15266958549")</f>
        <v/>
      </c>
      <c r="B2069" s="0" t="s">
        <v>3150</v>
      </c>
      <c r="C2069" s="0" t="s">
        <v>3151</v>
      </c>
      <c r="D2069" s="0" t="s">
        <v>3151</v>
      </c>
      <c r="E2069" s="0" t="inlineStr">
        <is>
          <t xml:space="preserve">Mazda</t>
        </is>
      </c>
      <c r="F2069" s="0" t="s">
        <v>17</v>
      </c>
      <c r="G2069" s="0" t="s">
        <v>33</v>
      </c>
      <c r="H2069" s="5">
        <v>437.700400</v>
      </c>
    </row>
    <row r="2070" spans="1:9">
      <c r="A2070" s="22" t="str">
        <f>HYPERLINK("https://app.vivvix.com/360/KMI/IntelliDrive/ApplUI/Pages/CreativePages/CustomReportCreativeDetail.aspx?App=23&amp;ReportView=4&amp;Qid=1711279&amp;Row=2062&amp;Col=1","No Title Assigned - #15266959208")</f>
        <v/>
      </c>
      <c r="B2070" s="0" t="s">
        <v>3152</v>
      </c>
      <c r="C2070" s="0" t="s">
        <v>3153</v>
      </c>
      <c r="D2070" s="0" t="s">
        <v>3153</v>
      </c>
      <c r="E2070" s="0" t="inlineStr">
        <is>
          <t xml:space="preserve">Mazda</t>
        </is>
      </c>
      <c r="F2070" s="0" t="s">
        <v>28</v>
      </c>
      <c r="G2070" s="0" t="s">
        <v>29</v>
      </c>
      <c r="H2070" s="5">
        <v>12061.612800</v>
      </c>
    </row>
    <row r="2071" spans="1:9">
      <c r="A2071" s="22" t="str">
        <f>HYPERLINK("https://app.vivvix.com/360/KMI/IntelliDrive/ApplUI/Pages/CreativePages/CustomReportCreativeDetail.aspx?App=23&amp;ReportView=4&amp;Qid=1711279&amp;Row=2063&amp;Col=1","No Title Assigned - #15266959793")</f>
        <v/>
      </c>
      <c r="B2071" s="0" t="s">
        <v>3154</v>
      </c>
      <c r="C2071" s="0" t="s">
        <v>3155</v>
      </c>
      <c r="D2071" s="0" t="s">
        <v>3155</v>
      </c>
      <c r="E2071" s="0" t="inlineStr">
        <is>
          <t xml:space="preserve">Mazda</t>
        </is>
      </c>
      <c r="F2071" s="0" t="s">
        <v>28</v>
      </c>
      <c r="G2071" s="0" t="s">
        <v>29</v>
      </c>
      <c r="H2071" s="5">
        <v>72286.865200</v>
      </c>
    </row>
    <row r="2072" spans="1:9">
      <c r="A2072" s="22" t="str">
        <f>HYPERLINK("https://app.vivvix.com/360/KMI/IntelliDrive/ApplUI/Pages/CreativePages/CustomReportCreativeDetail.aspx?App=23&amp;ReportView=4&amp;Qid=1711279&amp;Row=2064&amp;Col=1","No Title Assigned - #15266959875")</f>
        <v/>
      </c>
      <c r="B2072" s="0" t="s">
        <v>3156</v>
      </c>
      <c r="C2072" s="0" t="s">
        <v>3157</v>
      </c>
      <c r="D2072" s="0" t="s">
        <v>3157</v>
      </c>
      <c r="E2072" s="0" t="inlineStr">
        <is>
          <t xml:space="preserve">Mazda</t>
        </is>
      </c>
      <c r="F2072" s="0" t="s">
        <v>28</v>
      </c>
      <c r="G2072" s="0" t="s">
        <v>29</v>
      </c>
      <c r="H2072" s="5">
        <v>12669.028200</v>
      </c>
    </row>
    <row r="2073" spans="1:9">
      <c r="A2073" s="22" t="str">
        <f>HYPERLINK("https://app.vivvix.com/360/KMI/IntelliDrive/ApplUI/Pages/CreativePages/CustomReportCreativeDetail.aspx?App=23&amp;ReportView=4&amp;Qid=1711279&amp;Row=2065&amp;Col=1","No Title Assigned - #15266960315")</f>
        <v/>
      </c>
      <c r="B2073" s="0" t="s">
        <v>3158</v>
      </c>
      <c r="C2073" s="0" t="s">
        <v>3159</v>
      </c>
      <c r="D2073" s="0" t="s">
        <v>3159</v>
      </c>
      <c r="E2073" s="0" t="inlineStr">
        <is>
          <t xml:space="preserve">Mazda</t>
        </is>
      </c>
      <c r="F2073" s="0" t="s">
        <v>28</v>
      </c>
      <c r="G2073" s="0" t="s">
        <v>29</v>
      </c>
      <c r="H2073" s="5">
        <v>116.159900</v>
      </c>
    </row>
    <row r="2074" spans="1:9">
      <c r="A2074" s="22" t="str">
        <f>HYPERLINK("https://app.vivvix.com/360/KMI/IntelliDrive/ApplUI/Pages/CreativePages/CustomReportCreativeDetail.aspx?App=23&amp;ReportView=4&amp;Qid=1711279&amp;Row=2066&amp;Col=1","No Title Assigned - #15266960418")</f>
        <v/>
      </c>
      <c r="B2074" s="0" t="s">
        <v>3160</v>
      </c>
      <c r="C2074" s="0" t="s">
        <v>3161</v>
      </c>
      <c r="D2074" s="0" t="s">
        <v>3161</v>
      </c>
      <c r="E2074" s="0" t="inlineStr">
        <is>
          <t xml:space="preserve">Mazda</t>
        </is>
      </c>
      <c r="F2074" s="0" t="s">
        <v>28</v>
      </c>
      <c r="G2074" s="0" t="s">
        <v>29</v>
      </c>
      <c r="H2074" s="5">
        <v>13149.506000</v>
      </c>
    </row>
    <row r="2075" spans="1:9">
      <c r="A2075" s="22" t="str">
        <f>HYPERLINK("https://app.vivvix.com/360/KMI/IntelliDrive/ApplUI/Pages/CreativePages/CustomReportCreativeDetail.aspx?App=23&amp;ReportView=4&amp;Qid=1711279&amp;Row=2067&amp;Col=1","No Title Assigned - #15266960418")</f>
        <v/>
      </c>
      <c r="B2075" s="0" t="s">
        <v>3160</v>
      </c>
      <c r="E2075" s="0" t="inlineStr">
        <is>
          <t xml:space="preserve">Mazda</t>
        </is>
      </c>
      <c r="F2075" s="0" t="s">
        <v>28</v>
      </c>
      <c r="G2075" s="0" t="s">
        <v>29</v>
      </c>
      <c r="H2075" s="5">
        <v>34507.293600</v>
      </c>
    </row>
    <row r="2076" spans="1:9">
      <c r="A2076" s="22" t="str">
        <f>HYPERLINK("https://app.vivvix.com/360/KMI/IntelliDrive/ApplUI/Pages/CreativePages/CustomReportCreativeDetail.aspx?App=23&amp;ReportView=4&amp;Qid=1711279&amp;Row=2068&amp;Col=1","No Title Assigned - #15266960459")</f>
        <v/>
      </c>
      <c r="B2076" s="0" t="s">
        <v>3162</v>
      </c>
      <c r="C2076" s="0" t="s">
        <v>3163</v>
      </c>
      <c r="D2076" s="0" t="s">
        <v>3163</v>
      </c>
      <c r="E2076" s="0" t="inlineStr">
        <is>
          <t xml:space="preserve">Mazda</t>
        </is>
      </c>
      <c r="F2076" s="0" t="s">
        <v>28</v>
      </c>
      <c r="G2076" s="0" t="s">
        <v>29</v>
      </c>
      <c r="H2076" s="5">
        <v>2946.589600</v>
      </c>
    </row>
    <row r="2077" spans="1:9">
      <c r="A2077" s="22" t="str">
        <f>HYPERLINK("https://app.vivvix.com/360/KMI/IntelliDrive/ApplUI/Pages/CreativePages/CustomReportCreativeDetail.aspx?App=23&amp;ReportView=4&amp;Qid=1711279&amp;Row=2069&amp;Col=1","No Title Assigned - #15266960459")</f>
        <v/>
      </c>
      <c r="B2077" s="0" t="s">
        <v>3162</v>
      </c>
      <c r="E2077" s="0" t="inlineStr">
        <is>
          <t xml:space="preserve">Mazda</t>
        </is>
      </c>
      <c r="F2077" s="0" t="s">
        <v>28</v>
      </c>
      <c r="G2077" s="0" t="s">
        <v>29</v>
      </c>
      <c r="H2077" s="5">
        <v>24818.296900</v>
      </c>
    </row>
    <row r="2078" spans="1:9">
      <c r="A2078" s="22" t="str">
        <f>HYPERLINK("https://app.vivvix.com/360/KMI/IntelliDrive/ApplUI/Pages/CreativePages/CustomReportCreativeDetail.aspx?App=23&amp;ReportView=4&amp;Qid=1711279&amp;Row=2070&amp;Col=1","No Title Assigned - #15266961692")</f>
        <v/>
      </c>
      <c r="B2078" s="0" t="s">
        <v>3164</v>
      </c>
      <c r="C2078" s="0" t="s">
        <v>3165</v>
      </c>
      <c r="D2078" s="0" t="s">
        <v>3165</v>
      </c>
      <c r="E2078" s="0" t="inlineStr">
        <is>
          <t xml:space="preserve">Mazda</t>
        </is>
      </c>
      <c r="F2078" s="0" t="s">
        <v>28</v>
      </c>
      <c r="G2078" s="0" t="s">
        <v>29</v>
      </c>
      <c r="H2078" s="5">
        <v>4417.821900</v>
      </c>
    </row>
    <row r="2079" spans="1:9">
      <c r="A2079" s="22" t="str">
        <f>HYPERLINK("https://app.vivvix.com/360/KMI/IntelliDrive/ApplUI/Pages/CreativePages/CustomReportCreativeDetail.aspx?App=23&amp;ReportView=4&amp;Qid=1711279&amp;Row=2071&amp;Col=1","No Title Assigned - #15266962574")</f>
        <v/>
      </c>
      <c r="B2079" s="0" t="s">
        <v>3166</v>
      </c>
      <c r="C2079" s="0" t="s">
        <v>3167</v>
      </c>
      <c r="D2079" s="0" t="s">
        <v>3167</v>
      </c>
      <c r="E2079" s="0" t="inlineStr">
        <is>
          <t xml:space="preserve">Mazda</t>
        </is>
      </c>
      <c r="F2079" s="0" t="s">
        <v>28</v>
      </c>
      <c r="G2079" s="0" t="s">
        <v>29</v>
      </c>
      <c r="H2079" s="5">
        <v>48220.064100</v>
      </c>
    </row>
    <row r="2080" spans="1:9">
      <c r="A2080" s="22" t="str">
        <f>HYPERLINK("https://app.vivvix.com/360/KMI/IntelliDrive/ApplUI/Pages/CreativePages/CustomReportCreativeDetail.aspx?App=23&amp;ReportView=4&amp;Qid=1711279&amp;Row=2072&amp;Col=1","No Title Assigned - #15266962574")</f>
        <v/>
      </c>
      <c r="B2080" s="0" t="s">
        <v>3166</v>
      </c>
      <c r="E2080" s="0" t="inlineStr">
        <is>
          <t xml:space="preserve">Mazda</t>
        </is>
      </c>
      <c r="F2080" s="0" t="s">
        <v>28</v>
      </c>
      <c r="G2080" s="0" t="s">
        <v>29</v>
      </c>
      <c r="H2080" s="5">
        <v>154229.783900</v>
      </c>
    </row>
    <row r="2081" spans="1:9">
      <c r="A2081" s="22" t="str">
        <f>HYPERLINK("https://app.vivvix.com/360/KMI/IntelliDrive/ApplUI/Pages/CreativePages/CustomReportCreativeDetail.aspx?App=23&amp;ReportView=4&amp;Qid=1711279&amp;Row=2073&amp;Col=1","No Title Assigned - #15266962682")</f>
        <v/>
      </c>
      <c r="B2081" s="0" t="s">
        <v>3168</v>
      </c>
      <c r="C2081" s="0" t="s">
        <v>3169</v>
      </c>
      <c r="D2081" s="0" t="s">
        <v>3169</v>
      </c>
      <c r="E2081" s="0" t="inlineStr">
        <is>
          <t xml:space="preserve">Mazda</t>
        </is>
      </c>
      <c r="F2081" s="0" t="s">
        <v>28</v>
      </c>
      <c r="G2081" s="0" t="s">
        <v>29</v>
      </c>
      <c r="H2081" s="5">
        <v>140.912700</v>
      </c>
    </row>
    <row r="2082" spans="1:9">
      <c r="A2082" s="22" t="str">
        <f>HYPERLINK("https://app.vivvix.com/360/KMI/IntelliDrive/ApplUI/Pages/CreativePages/CustomReportCreativeDetail.aspx?App=23&amp;ReportView=4&amp;Qid=1711279&amp;Row=2074&amp;Col=1","No Title Assigned - #15266962806")</f>
        <v/>
      </c>
      <c r="B2082" s="0" t="s">
        <v>3170</v>
      </c>
      <c r="C2082" s="0" t="s">
        <v>3171</v>
      </c>
      <c r="D2082" s="0" t="s">
        <v>3171</v>
      </c>
      <c r="E2082" s="0" t="inlineStr">
        <is>
          <t xml:space="preserve">Mazda</t>
        </is>
      </c>
      <c r="F2082" s="0" t="s">
        <v>28</v>
      </c>
      <c r="G2082" s="0" t="s">
        <v>29</v>
      </c>
      <c r="H2082" s="5">
        <v>347.176800</v>
      </c>
    </row>
    <row r="2083" spans="1:9">
      <c r="A2083" s="22" t="str">
        <f>HYPERLINK("https://app.vivvix.com/360/KMI/IntelliDrive/ApplUI/Pages/CreativePages/CustomReportCreativeDetail.aspx?App=23&amp;ReportView=4&amp;Qid=1711279&amp;Row=2075&amp;Col=1","No Title Assigned - #15266964978")</f>
        <v/>
      </c>
      <c r="B2083" s="0" t="s">
        <v>3172</v>
      </c>
      <c r="C2083" s="0" t="s">
        <v>3173</v>
      </c>
      <c r="D2083" s="0" t="s">
        <v>3173</v>
      </c>
      <c r="E2083" s="0" t="inlineStr">
        <is>
          <t xml:space="preserve">Mazda</t>
        </is>
      </c>
      <c r="F2083" s="0" t="s">
        <v>28</v>
      </c>
      <c r="G2083" s="0" t="s">
        <v>29</v>
      </c>
      <c r="H2083" s="5">
        <v>149.866900</v>
      </c>
    </row>
    <row r="2084" spans="1:9">
      <c r="A2084" s="22" t="str">
        <f>HYPERLINK("https://app.vivvix.com/360/KMI/IntelliDrive/ApplUI/Pages/CreativePages/CustomReportCreativeDetail.aspx?App=23&amp;ReportView=4&amp;Qid=1711279&amp;Row=2076&amp;Col=1","No Title Assigned - #15266964978")</f>
        <v/>
      </c>
      <c r="B2084" s="0" t="s">
        <v>3172</v>
      </c>
      <c r="E2084" s="0" t="inlineStr">
        <is>
          <t xml:space="preserve">Mazda</t>
        </is>
      </c>
      <c r="F2084" s="0" t="s">
        <v>28</v>
      </c>
      <c r="G2084" s="0" t="s">
        <v>29</v>
      </c>
      <c r="H2084" s="5">
        <v>508.247100</v>
      </c>
    </row>
    <row r="2085" spans="1:9">
      <c r="A2085" s="22" t="str">
        <f>HYPERLINK("https://app.vivvix.com/360/KMI/IntelliDrive/ApplUI/Pages/CreativePages/CustomReportCreativeDetail.aspx?App=23&amp;ReportView=4&amp;Qid=1711279&amp;Row=2077&amp;Col=1","No Title Assigned - #15266965007")</f>
        <v/>
      </c>
      <c r="B2085" s="0" t="s">
        <v>3174</v>
      </c>
      <c r="C2085" s="0" t="s">
        <v>3175</v>
      </c>
      <c r="D2085" s="0" t="s">
        <v>3175</v>
      </c>
      <c r="E2085" s="0" t="inlineStr">
        <is>
          <t xml:space="preserve">Mazda</t>
        </is>
      </c>
      <c r="F2085" s="0" t="s">
        <v>28</v>
      </c>
      <c r="G2085" s="0" t="s">
        <v>29</v>
      </c>
      <c r="H2085" s="5">
        <v>205.867200</v>
      </c>
    </row>
    <row r="2086" spans="1:9">
      <c r="A2086" s="22" t="str">
        <f>HYPERLINK("https://app.vivvix.com/360/KMI/IntelliDrive/ApplUI/Pages/CreativePages/CustomReportCreativeDetail.aspx?App=23&amp;ReportView=4&amp;Qid=1711279&amp;Row=2078&amp;Col=1","No Title Assigned - #15266965007")</f>
        <v/>
      </c>
      <c r="B2086" s="0" t="s">
        <v>3174</v>
      </c>
      <c r="E2086" s="0" t="inlineStr">
        <is>
          <t xml:space="preserve">Mazda</t>
        </is>
      </c>
      <c r="F2086" s="0" t="s">
        <v>28</v>
      </c>
      <c r="G2086" s="0" t="s">
        <v>29</v>
      </c>
      <c r="H2086" s="5">
        <v>424.622900</v>
      </c>
    </row>
    <row r="2087" spans="1:9">
      <c r="A2087" s="22" t="str">
        <f>HYPERLINK("https://app.vivvix.com/360/KMI/IntelliDrive/ApplUI/Pages/CreativePages/CustomReportCreativeDetail.aspx?App=23&amp;ReportView=4&amp;Qid=1711279&amp;Row=2079&amp;Col=1","No Title Assigned - #15266965202")</f>
        <v/>
      </c>
      <c r="B2087" s="0" t="s">
        <v>3176</v>
      </c>
      <c r="C2087" s="0" t="s">
        <v>3177</v>
      </c>
      <c r="D2087" s="0" t="s">
        <v>3177</v>
      </c>
      <c r="E2087" s="0" t="inlineStr">
        <is>
          <t xml:space="preserve">Mazda</t>
        </is>
      </c>
      <c r="F2087" s="0" t="s">
        <v>28</v>
      </c>
      <c r="G2087" s="0" t="s">
        <v>29</v>
      </c>
      <c r="H2087" s="5">
        <v>642.863000</v>
      </c>
    </row>
    <row r="2088" spans="1:9">
      <c r="A2088" s="22" t="str">
        <f>HYPERLINK("https://app.vivvix.com/360/KMI/IntelliDrive/ApplUI/Pages/CreativePages/CustomReportCreativeDetail.aspx?App=23&amp;ReportView=4&amp;Qid=1711279&amp;Row=2080&amp;Col=1","No Title Assigned - #15266965212")</f>
        <v/>
      </c>
      <c r="B2088" s="0" t="s">
        <v>3178</v>
      </c>
      <c r="C2088" s="0" t="s">
        <v>3179</v>
      </c>
      <c r="D2088" s="0" t="s">
        <v>3179</v>
      </c>
      <c r="E2088" s="0" t="inlineStr">
        <is>
          <t xml:space="preserve">Mazda</t>
        </is>
      </c>
      <c r="F2088" s="0" t="s">
        <v>28</v>
      </c>
      <c r="G2088" s="0" t="s">
        <v>29</v>
      </c>
      <c r="H2088" s="5">
        <v>415.614700</v>
      </c>
    </row>
    <row r="2089" spans="1:9">
      <c r="A2089" s="22" t="str">
        <f>HYPERLINK("https://app.vivvix.com/360/KMI/IntelliDrive/ApplUI/Pages/CreativePages/CustomReportCreativeDetail.aspx?App=23&amp;ReportView=4&amp;Qid=1711279&amp;Row=2081&amp;Col=1","No Title Assigned - #15266965271")</f>
        <v/>
      </c>
      <c r="B2089" s="0" t="s">
        <v>3180</v>
      </c>
      <c r="C2089" s="0" t="s">
        <v>3181</v>
      </c>
      <c r="D2089" s="0" t="s">
        <v>3181</v>
      </c>
      <c r="E2089" s="0" t="inlineStr">
        <is>
          <t xml:space="preserve">Mazda</t>
        </is>
      </c>
      <c r="F2089" s="0" t="s">
        <v>28</v>
      </c>
      <c r="G2089" s="0" t="s">
        <v>29</v>
      </c>
      <c r="H2089" s="5">
        <v>1671.727000</v>
      </c>
    </row>
    <row r="2090" spans="1:9">
      <c r="A2090" s="22" t="str">
        <f>HYPERLINK("https://app.vivvix.com/360/KMI/IntelliDrive/ApplUI/Pages/CreativePages/CustomReportCreativeDetail.aspx?App=23&amp;ReportView=4&amp;Qid=1711279&amp;Row=2082&amp;Col=1","No Title Assigned - #15266965271")</f>
        <v/>
      </c>
      <c r="B2090" s="0" t="s">
        <v>3180</v>
      </c>
      <c r="E2090" s="0" t="inlineStr">
        <is>
          <t xml:space="preserve">Mazda</t>
        </is>
      </c>
      <c r="F2090" s="0" t="s">
        <v>28</v>
      </c>
      <c r="G2090" s="0" t="s">
        <v>29</v>
      </c>
      <c r="H2090" s="5">
        <v>967.157500</v>
      </c>
    </row>
    <row r="2091" spans="1:9">
      <c r="A2091" s="22" t="str">
        <f>HYPERLINK("https://app.vivvix.com/360/KMI/IntelliDrive/ApplUI/Pages/CreativePages/CustomReportCreativeDetail.aspx?App=23&amp;ReportView=4&amp;Qid=1711279&amp;Row=2083&amp;Col=1","No Title Assigned - #15266965371")</f>
        <v/>
      </c>
      <c r="B2091" s="0" t="s">
        <v>3182</v>
      </c>
      <c r="C2091" s="0" t="s">
        <v>3183</v>
      </c>
      <c r="D2091" s="0" t="s">
        <v>3183</v>
      </c>
      <c r="E2091" s="0" t="inlineStr">
        <is>
          <t xml:space="preserve">Mazda</t>
        </is>
      </c>
      <c r="F2091" s="0" t="s">
        <v>28</v>
      </c>
      <c r="G2091" s="0" t="s">
        <v>29</v>
      </c>
      <c r="H2091" s="5">
        <v>71741.173400</v>
      </c>
    </row>
    <row r="2092" spans="1:9">
      <c r="A2092" s="22" t="str">
        <f>HYPERLINK("https://app.vivvix.com/360/KMI/IntelliDrive/ApplUI/Pages/CreativePages/CustomReportCreativeDetail.aspx?App=23&amp;ReportView=4&amp;Qid=1711279&amp;Row=2084&amp;Col=1","No Title Assigned - #15266965371")</f>
        <v/>
      </c>
      <c r="B2092" s="0" t="s">
        <v>3182</v>
      </c>
      <c r="E2092" s="0" t="inlineStr">
        <is>
          <t xml:space="preserve">Mazda</t>
        </is>
      </c>
      <c r="F2092" s="0" t="s">
        <v>28</v>
      </c>
      <c r="G2092" s="0" t="s">
        <v>29</v>
      </c>
      <c r="H2092" s="5">
        <v>22182.724600</v>
      </c>
    </row>
    <row r="2093" spans="1:9">
      <c r="A2093" s="22" t="str">
        <f>HYPERLINK("https://app.vivvix.com/360/KMI/IntelliDrive/ApplUI/Pages/CreativePages/CustomReportCreativeDetail.aspx?App=23&amp;ReportView=4&amp;Qid=1711279&amp;Row=2085&amp;Col=1","No Title Assigned - #15266965378")</f>
        <v/>
      </c>
      <c r="B2093" s="0" t="s">
        <v>3184</v>
      </c>
      <c r="C2093" s="0" t="s">
        <v>3185</v>
      </c>
      <c r="D2093" s="0" t="s">
        <v>3185</v>
      </c>
      <c r="E2093" s="0" t="inlineStr">
        <is>
          <t xml:space="preserve">Mazda</t>
        </is>
      </c>
      <c r="F2093" s="0" t="s">
        <v>28</v>
      </c>
      <c r="G2093" s="0" t="s">
        <v>29</v>
      </c>
      <c r="H2093" s="5">
        <v>1070.047600</v>
      </c>
    </row>
    <row r="2094" spans="1:9">
      <c r="A2094" s="22" t="str">
        <f>HYPERLINK("https://app.vivvix.com/360/KMI/IntelliDrive/ApplUI/Pages/CreativePages/CustomReportCreativeDetail.aspx?App=23&amp;ReportView=4&amp;Qid=1711279&amp;Row=2086&amp;Col=1","No Title Assigned - #15266965388")</f>
        <v/>
      </c>
      <c r="B2094" s="0" t="s">
        <v>3186</v>
      </c>
      <c r="C2094" s="0" t="s">
        <v>3187</v>
      </c>
      <c r="D2094" s="0" t="s">
        <v>3187</v>
      </c>
      <c r="E2094" s="0" t="inlineStr">
        <is>
          <t xml:space="preserve">Mazda</t>
        </is>
      </c>
      <c r="F2094" s="0" t="s">
        <v>28</v>
      </c>
      <c r="G2094" s="0" t="s">
        <v>29</v>
      </c>
      <c r="H2094" s="5">
        <v>214.708100</v>
      </c>
    </row>
    <row r="2095" spans="1:9">
      <c r="A2095" s="22" t="str">
        <f>HYPERLINK("https://app.vivvix.com/360/KMI/IntelliDrive/ApplUI/Pages/CreativePages/CustomReportCreativeDetail.aspx?App=23&amp;ReportView=4&amp;Qid=1711279&amp;Row=2087&amp;Col=1","No Title Assigned - #15266966418")</f>
        <v/>
      </c>
      <c r="B2095" s="0" t="s">
        <v>3188</v>
      </c>
      <c r="C2095" s="0" t="s">
        <v>3189</v>
      </c>
      <c r="D2095" s="0" t="s">
        <v>3189</v>
      </c>
      <c r="E2095" s="0" t="inlineStr">
        <is>
          <t xml:space="preserve">Mazda</t>
        </is>
      </c>
      <c r="F2095" s="0" t="s">
        <v>28</v>
      </c>
      <c r="G2095" s="0" t="s">
        <v>29</v>
      </c>
      <c r="H2095" s="5">
        <v>101.359400</v>
      </c>
    </row>
    <row r="2096" spans="1:9">
      <c r="A2096" s="22" t="str">
        <f>HYPERLINK("https://app.vivvix.com/360/KMI/IntelliDrive/ApplUI/Pages/CreativePages/CustomReportCreativeDetail.aspx?App=23&amp;ReportView=4&amp;Qid=1711279&amp;Row=2088&amp;Col=1","No Title Assigned - #15266967871")</f>
        <v/>
      </c>
      <c r="B2096" s="0" t="s">
        <v>3190</v>
      </c>
      <c r="E2096" s="0" t="inlineStr">
        <is>
          <t xml:space="preserve">Mazda</t>
        </is>
      </c>
      <c r="F2096" s="0" t="s">
        <v>28</v>
      </c>
      <c r="G2096" s="0" t="s">
        <v>29</v>
      </c>
      <c r="H2096" s="5">
        <v>19.887400</v>
      </c>
    </row>
    <row r="2097" spans="1:9">
      <c r="A2097" s="22" t="str">
        <f>HYPERLINK("https://app.vivvix.com/360/KMI/IntelliDrive/ApplUI/Pages/CreativePages/CustomReportCreativeDetail.aspx?App=23&amp;ReportView=4&amp;Qid=1711279&amp;Row=2089&amp;Col=1","No Title Assigned - #15266967871")</f>
        <v/>
      </c>
      <c r="B2097" s="0" t="s">
        <v>3190</v>
      </c>
      <c r="C2097" s="0" t="s">
        <v>3191</v>
      </c>
      <c r="D2097" s="0" t="s">
        <v>3191</v>
      </c>
      <c r="E2097" s="0" t="inlineStr">
        <is>
          <t xml:space="preserve">Mazda</t>
        </is>
      </c>
      <c r="F2097" s="0" t="s">
        <v>28</v>
      </c>
      <c r="G2097" s="0" t="s">
        <v>29</v>
      </c>
      <c r="H2097" s="5">
        <v>473.307000</v>
      </c>
    </row>
    <row r="2098" spans="1:9">
      <c r="A2098" s="22" t="str">
        <f>HYPERLINK("https://app.vivvix.com/360/KMI/IntelliDrive/ApplUI/Pages/CreativePages/CustomReportCreativeDetail.aspx?App=23&amp;ReportView=4&amp;Qid=1711279&amp;Row=2090&amp;Col=1","No Title Assigned - #15266967872")</f>
        <v/>
      </c>
      <c r="B2098" s="0" t="s">
        <v>3192</v>
      </c>
      <c r="E2098" s="0" t="inlineStr">
        <is>
          <t xml:space="preserve">Mazda</t>
        </is>
      </c>
      <c r="F2098" s="0" t="s">
        <v>28</v>
      </c>
      <c r="G2098" s="0" t="s">
        <v>29</v>
      </c>
      <c r="H2098" s="5">
        <v>123.136300</v>
      </c>
    </row>
    <row r="2099" spans="1:9">
      <c r="A2099" s="22" t="str">
        <f>HYPERLINK("https://app.vivvix.com/360/KMI/IntelliDrive/ApplUI/Pages/CreativePages/CustomReportCreativeDetail.aspx?App=23&amp;ReportView=4&amp;Qid=1711279&amp;Row=2091&amp;Col=1","No Title Assigned - #15266967872")</f>
        <v/>
      </c>
      <c r="B2099" s="0" t="s">
        <v>3192</v>
      </c>
      <c r="C2099" s="0" t="s">
        <v>3193</v>
      </c>
      <c r="D2099" s="0" t="s">
        <v>3193</v>
      </c>
      <c r="E2099" s="0" t="inlineStr">
        <is>
          <t xml:space="preserve">Mazda</t>
        </is>
      </c>
      <c r="F2099" s="0" t="s">
        <v>28</v>
      </c>
      <c r="G2099" s="0" t="s">
        <v>29</v>
      </c>
      <c r="H2099" s="5">
        <v>6547.339700</v>
      </c>
    </row>
    <row r="2100" spans="1:9">
      <c r="A2100" s="22" t="str">
        <f>HYPERLINK("https://app.vivvix.com/360/KMI/IntelliDrive/ApplUI/Pages/CreativePages/CustomReportCreativeDetail.aspx?App=23&amp;ReportView=4&amp;Qid=1711279&amp;Row=2092&amp;Col=1","No Title Assigned - #15266968110")</f>
        <v/>
      </c>
      <c r="B2100" s="0" t="s">
        <v>3194</v>
      </c>
      <c r="C2100" s="0" t="s">
        <v>3195</v>
      </c>
      <c r="D2100" s="0" t="s">
        <v>3195</v>
      </c>
      <c r="E2100" s="0" t="inlineStr">
        <is>
          <t xml:space="preserve">Mazda</t>
        </is>
      </c>
      <c r="F2100" s="0" t="s">
        <v>28</v>
      </c>
      <c r="G2100" s="0" t="s">
        <v>29</v>
      </c>
      <c r="H2100" s="5">
        <v>4497.668100</v>
      </c>
    </row>
    <row r="2101" spans="1:9">
      <c r="A2101" s="22" t="str">
        <f>HYPERLINK("https://app.vivvix.com/360/KMI/IntelliDrive/ApplUI/Pages/CreativePages/CustomReportCreativeDetail.aspx?App=23&amp;ReportView=4&amp;Qid=1711279&amp;Row=2093&amp;Col=1","No Title Assigned - #15266968625")</f>
        <v/>
      </c>
      <c r="B2101" s="0" t="s">
        <v>3196</v>
      </c>
      <c r="C2101" s="0" t="s">
        <v>3197</v>
      </c>
      <c r="D2101" s="0" t="s">
        <v>3197</v>
      </c>
      <c r="E2101" s="0" t="inlineStr">
        <is>
          <t xml:space="preserve">Mazda</t>
        </is>
      </c>
      <c r="F2101" s="0" t="s">
        <v>28</v>
      </c>
      <c r="G2101" s="0" t="s">
        <v>29</v>
      </c>
      <c r="H2101" s="5">
        <v>217.007800</v>
      </c>
    </row>
    <row r="2102" spans="1:9">
      <c r="A2102" s="22" t="str">
        <f>HYPERLINK("https://app.vivvix.com/360/KMI/IntelliDrive/ApplUI/Pages/CreativePages/CustomReportCreativeDetail.aspx?App=23&amp;ReportView=4&amp;Qid=1711279&amp;Row=2094&amp;Col=1","No Title Assigned - #15266968742")</f>
        <v/>
      </c>
      <c r="B2102" s="0" t="s">
        <v>3198</v>
      </c>
      <c r="C2102" s="0" t="s">
        <v>3199</v>
      </c>
      <c r="D2102" s="0" t="s">
        <v>3199</v>
      </c>
      <c r="E2102" s="0" t="inlineStr">
        <is>
          <t xml:space="preserve">Mazda</t>
        </is>
      </c>
      <c r="F2102" s="0" t="s">
        <v>28</v>
      </c>
      <c r="G2102" s="0" t="s">
        <v>29</v>
      </c>
      <c r="H2102" s="5">
        <v>3287.779700</v>
      </c>
    </row>
    <row r="2103" spans="1:9">
      <c r="A2103" s="22" t="str">
        <f>HYPERLINK("https://app.vivvix.com/360/KMI/IntelliDrive/ApplUI/Pages/CreativePages/CustomReportCreativeDetail.aspx?App=23&amp;ReportView=4&amp;Qid=1711279&amp;Row=2095&amp;Col=1","No Title Assigned - #15266969407")</f>
        <v/>
      </c>
      <c r="B2103" s="0" t="s">
        <v>3200</v>
      </c>
      <c r="C2103" s="0" t="s">
        <v>3201</v>
      </c>
      <c r="D2103" s="0" t="s">
        <v>3201</v>
      </c>
      <c r="E2103" s="0" t="inlineStr">
        <is>
          <t xml:space="preserve">Mazda</t>
        </is>
      </c>
      <c r="F2103" s="0" t="s">
        <v>28</v>
      </c>
      <c r="G2103" s="0" t="s">
        <v>29</v>
      </c>
      <c r="H2103" s="5">
        <v>147211.482500</v>
      </c>
    </row>
    <row r="2104" spans="1:9">
      <c r="A2104" s="22" t="str">
        <f>HYPERLINK("https://app.vivvix.com/360/KMI/IntelliDrive/ApplUI/Pages/CreativePages/CustomReportCreativeDetail.aspx?App=23&amp;ReportView=4&amp;Qid=1711279&amp;Row=2096&amp;Col=1","No Title Assigned - #15266969407")</f>
        <v/>
      </c>
      <c r="B2104" s="0" t="s">
        <v>3200</v>
      </c>
      <c r="E2104" s="0" t="inlineStr">
        <is>
          <t xml:space="preserve">Mazda</t>
        </is>
      </c>
      <c r="F2104" s="0" t="s">
        <v>28</v>
      </c>
      <c r="G2104" s="0" t="s">
        <v>29</v>
      </c>
      <c r="H2104" s="5">
        <v>159721.835200</v>
      </c>
    </row>
    <row r="2105" spans="1:9">
      <c r="A2105" s="22" t="str">
        <f>HYPERLINK("https://app.vivvix.com/360/KMI/IntelliDrive/ApplUI/Pages/CreativePages/CustomReportCreativeDetail.aspx?App=23&amp;ReportView=4&amp;Qid=1711279&amp;Row=2097&amp;Col=1","No Title Assigned - #15266969572")</f>
        <v/>
      </c>
      <c r="B2105" s="0" t="s">
        <v>3202</v>
      </c>
      <c r="C2105" s="0" t="s">
        <v>3203</v>
      </c>
      <c r="D2105" s="0" t="s">
        <v>3203</v>
      </c>
      <c r="E2105" s="0" t="inlineStr">
        <is>
          <t xml:space="preserve">Mazda</t>
        </is>
      </c>
      <c r="F2105" s="0" t="s">
        <v>28</v>
      </c>
      <c r="G2105" s="0" t="s">
        <v>29</v>
      </c>
      <c r="H2105" s="5">
        <v>658.648900</v>
      </c>
    </row>
    <row r="2106" spans="1:9">
      <c r="A2106" s="22" t="str">
        <f>HYPERLINK("https://app.vivvix.com/360/KMI/IntelliDrive/ApplUI/Pages/CreativePages/CustomReportCreativeDetail.aspx?App=23&amp;ReportView=4&amp;Qid=1711279&amp;Row=2098&amp;Col=1","No Title Assigned - #15266969764")</f>
        <v/>
      </c>
      <c r="B2106" s="0" t="s">
        <v>3204</v>
      </c>
      <c r="C2106" s="0" t="s">
        <v>3205</v>
      </c>
      <c r="D2106" s="0" t="s">
        <v>3205</v>
      </c>
      <c r="E2106" s="0" t="inlineStr">
        <is>
          <t xml:space="preserve">Mazda</t>
        </is>
      </c>
      <c r="F2106" s="0" t="s">
        <v>28</v>
      </c>
      <c r="G2106" s="0" t="s">
        <v>29</v>
      </c>
      <c r="H2106" s="5">
        <v>97.408500</v>
      </c>
    </row>
    <row r="2107" spans="1:9">
      <c r="A2107" s="22" t="str">
        <f>HYPERLINK("https://app.vivvix.com/360/KMI/IntelliDrive/ApplUI/Pages/CreativePages/CustomReportCreativeDetail.aspx?App=23&amp;ReportView=4&amp;Qid=1711279&amp;Row=2099&amp;Col=1","No Title Assigned - #15266971019")</f>
        <v/>
      </c>
      <c r="B2107" s="0" t="s">
        <v>3206</v>
      </c>
      <c r="C2107" s="0" t="s">
        <v>3207</v>
      </c>
      <c r="D2107" s="0" t="s">
        <v>3207</v>
      </c>
      <c r="E2107" s="0" t="inlineStr">
        <is>
          <t xml:space="preserve">Mazda</t>
        </is>
      </c>
      <c r="F2107" s="0" t="s">
        <v>28</v>
      </c>
      <c r="G2107" s="0" t="s">
        <v>29</v>
      </c>
      <c r="H2107" s="5">
        <v>45.072000</v>
      </c>
    </row>
    <row r="2108" spans="1:9">
      <c r="A2108" s="22" t="str">
        <f>HYPERLINK("https://app.vivvix.com/360/KMI/IntelliDrive/ApplUI/Pages/CreativePages/CustomReportCreativeDetail.aspx?App=23&amp;ReportView=4&amp;Qid=1711279&amp;Row=2100&amp;Col=1","No Title Assigned - #15266971102")</f>
        <v/>
      </c>
      <c r="B2108" s="0" t="s">
        <v>3208</v>
      </c>
      <c r="C2108" s="0" t="s">
        <v>3209</v>
      </c>
      <c r="D2108" s="0" t="s">
        <v>3209</v>
      </c>
      <c r="E2108" s="0" t="inlineStr">
        <is>
          <t xml:space="preserve">Mazda</t>
        </is>
      </c>
      <c r="F2108" s="0" t="s">
        <v>28</v>
      </c>
      <c r="G2108" s="0" t="s">
        <v>29</v>
      </c>
      <c r="H2108" s="5">
        <v>1569.541800</v>
      </c>
    </row>
    <row r="2109" spans="1:9">
      <c r="A2109" s="22" t="str">
        <f>HYPERLINK("https://app.vivvix.com/360/KMI/IntelliDrive/ApplUI/Pages/CreativePages/CustomReportCreativeDetail.aspx?App=23&amp;ReportView=4&amp;Qid=1711279&amp;Row=2101&amp;Col=1","No Title Assigned - #15266971412")</f>
        <v/>
      </c>
      <c r="B2109" s="0" t="s">
        <v>3210</v>
      </c>
      <c r="E2109" s="0" t="inlineStr">
        <is>
          <t xml:space="preserve">Mazda</t>
        </is>
      </c>
      <c r="F2109" s="0" t="s">
        <v>28</v>
      </c>
      <c r="G2109" s="0" t="s">
        <v>29</v>
      </c>
      <c r="H2109" s="5">
        <v>4658.875200</v>
      </c>
    </row>
    <row r="2110" spans="1:9">
      <c r="A2110" s="22" t="str">
        <f>HYPERLINK("https://app.vivvix.com/360/KMI/IntelliDrive/ApplUI/Pages/CreativePages/CustomReportCreativeDetail.aspx?App=23&amp;ReportView=4&amp;Qid=1711279&amp;Row=2102&amp;Col=1","No Title Assigned - #15266971412")</f>
        <v/>
      </c>
      <c r="B2110" s="0" t="s">
        <v>3210</v>
      </c>
      <c r="C2110" s="0" t="s">
        <v>3211</v>
      </c>
      <c r="D2110" s="0" t="s">
        <v>3211</v>
      </c>
      <c r="E2110" s="0" t="inlineStr">
        <is>
          <t xml:space="preserve">Mazda</t>
        </is>
      </c>
      <c r="F2110" s="0" t="s">
        <v>28</v>
      </c>
      <c r="G2110" s="0" t="s">
        <v>29</v>
      </c>
      <c r="H2110" s="5">
        <v>30116.746100</v>
      </c>
    </row>
    <row r="2111" spans="1:9">
      <c r="A2111" s="22" t="str">
        <f>HYPERLINK("https://app.vivvix.com/360/KMI/IntelliDrive/ApplUI/Pages/CreativePages/CustomReportCreativeDetail.aspx?App=23&amp;ReportView=4&amp;Qid=1711279&amp;Row=2103&amp;Col=1","No Title Assigned - #15266972616")</f>
        <v/>
      </c>
      <c r="B2111" s="0" t="s">
        <v>3212</v>
      </c>
      <c r="E2111" s="0" t="inlineStr">
        <is>
          <t xml:space="preserve">Mazda</t>
        </is>
      </c>
      <c r="F2111" s="0" t="s">
        <v>28</v>
      </c>
      <c r="G2111" s="0" t="s">
        <v>29</v>
      </c>
      <c r="H2111" s="5">
        <v>15353.695400</v>
      </c>
    </row>
    <row r="2112" spans="1:9">
      <c r="A2112" s="22" t="str">
        <f>HYPERLINK("https://app.vivvix.com/360/KMI/IntelliDrive/ApplUI/Pages/CreativePages/CustomReportCreativeDetail.aspx?App=23&amp;ReportView=4&amp;Qid=1711279&amp;Row=2104&amp;Col=1","No Title Assigned - #15266972616")</f>
        <v/>
      </c>
      <c r="B2112" s="0" t="s">
        <v>3212</v>
      </c>
      <c r="C2112" s="0" t="s">
        <v>3213</v>
      </c>
      <c r="D2112" s="0" t="s">
        <v>3213</v>
      </c>
      <c r="E2112" s="0" t="inlineStr">
        <is>
          <t xml:space="preserve">Mazda</t>
        </is>
      </c>
      <c r="F2112" s="0" t="s">
        <v>28</v>
      </c>
      <c r="G2112" s="0" t="s">
        <v>29</v>
      </c>
      <c r="H2112" s="5">
        <v>11047.579400</v>
      </c>
    </row>
    <row r="2113" spans="1:9">
      <c r="A2113" s="22" t="str">
        <f>HYPERLINK("https://app.vivvix.com/360/KMI/IntelliDrive/ApplUI/Pages/CreativePages/CustomReportCreativeDetail.aspx?App=23&amp;ReportView=4&amp;Qid=1711279&amp;Row=2105&amp;Col=1","No Title Assigned - #15266973908")</f>
        <v/>
      </c>
      <c r="B2113" s="0" t="s">
        <v>3214</v>
      </c>
      <c r="C2113" s="0" t="s">
        <v>3215</v>
      </c>
      <c r="D2113" s="0" t="s">
        <v>3215</v>
      </c>
      <c r="E2113" s="0" t="inlineStr">
        <is>
          <t xml:space="preserve">Mazda</t>
        </is>
      </c>
      <c r="F2113" s="0" t="s">
        <v>28</v>
      </c>
      <c r="G2113" s="0" t="s">
        <v>29</v>
      </c>
      <c r="H2113" s="5">
        <v>10245.207100</v>
      </c>
    </row>
    <row r="2114" spans="1:9">
      <c r="A2114" s="22" t="str">
        <f>HYPERLINK("https://app.vivvix.com/360/KMI/IntelliDrive/ApplUI/Pages/CreativePages/CustomReportCreativeDetail.aspx?App=23&amp;ReportView=4&amp;Qid=1711279&amp;Row=2106&amp;Col=1","No Title Assigned - #15266974255")</f>
        <v/>
      </c>
      <c r="B2114" s="0" t="s">
        <v>3216</v>
      </c>
      <c r="C2114" s="0" t="s">
        <v>3217</v>
      </c>
      <c r="D2114" s="0" t="s">
        <v>3217</v>
      </c>
      <c r="E2114" s="0" t="inlineStr">
        <is>
          <t xml:space="preserve">Mazda</t>
        </is>
      </c>
      <c r="F2114" s="0" t="s">
        <v>28</v>
      </c>
      <c r="G2114" s="0" t="s">
        <v>29</v>
      </c>
      <c r="H2114" s="5">
        <v>171.394900</v>
      </c>
    </row>
    <row r="2115" spans="1:9">
      <c r="A2115" s="22" t="str">
        <f>HYPERLINK("https://app.vivvix.com/360/KMI/IntelliDrive/ApplUI/Pages/CreativePages/CustomReportCreativeDetail.aspx?App=23&amp;ReportView=4&amp;Qid=1711279&amp;Row=2107&amp;Col=1","No Title Assigned - #15266976414")</f>
        <v/>
      </c>
      <c r="B2115" s="0" t="s">
        <v>3218</v>
      </c>
      <c r="C2115" s="0" t="s">
        <v>3219</v>
      </c>
      <c r="D2115" s="0" t="s">
        <v>3219</v>
      </c>
      <c r="E2115" s="0" t="inlineStr">
        <is>
          <t xml:space="preserve">Mazda</t>
        </is>
      </c>
      <c r="F2115" s="0" t="s">
        <v>28</v>
      </c>
      <c r="G2115" s="0" t="s">
        <v>29</v>
      </c>
      <c r="H2115" s="5">
        <v>12626.626700</v>
      </c>
    </row>
    <row r="2116" spans="1:9">
      <c r="A2116" s="22" t="str">
        <f>HYPERLINK("https://app.vivvix.com/360/KMI/IntelliDrive/ApplUI/Pages/CreativePages/CustomReportCreativeDetail.aspx?App=23&amp;ReportView=4&amp;Qid=1711279&amp;Row=2108&amp;Col=1","No Title Assigned - #15266976414")</f>
        <v/>
      </c>
      <c r="B2116" s="0" t="s">
        <v>3218</v>
      </c>
      <c r="E2116" s="0" t="inlineStr">
        <is>
          <t xml:space="preserve">Mazda</t>
        </is>
      </c>
      <c r="F2116" s="0" t="s">
        <v>28</v>
      </c>
      <c r="G2116" s="0" t="s">
        <v>29</v>
      </c>
      <c r="H2116" s="5">
        <v>112395.902000</v>
      </c>
    </row>
    <row r="2117" spans="1:9">
      <c r="A2117" s="22" t="str">
        <f>HYPERLINK("https://app.vivvix.com/360/KMI/IntelliDrive/ApplUI/Pages/CreativePages/CustomReportCreativeDetail.aspx?App=23&amp;ReportView=4&amp;Qid=1711279&amp;Row=2109&amp;Col=1","No Title Assigned - #15266989879")</f>
        <v/>
      </c>
      <c r="B2117" s="0" t="s">
        <v>3220</v>
      </c>
      <c r="C2117" s="0" t="s">
        <v>3221</v>
      </c>
      <c r="D2117" s="0" t="s">
        <v>3221</v>
      </c>
      <c r="E2117" s="0" t="inlineStr">
        <is>
          <t xml:space="preserve">Mazda</t>
        </is>
      </c>
      <c r="F2117" s="0" t="s">
        <v>28</v>
      </c>
      <c r="G2117" s="0" t="s">
        <v>29</v>
      </c>
      <c r="H2117" s="5">
        <v>316.862700</v>
      </c>
    </row>
    <row r="2118" spans="1:9">
      <c r="A2118" s="22" t="str">
        <f>HYPERLINK("https://app.vivvix.com/360/KMI/IntelliDrive/ApplUI/Pages/CreativePages/CustomReportCreativeDetail.aspx?App=23&amp;ReportView=4&amp;Qid=1711279&amp;Row=2110&amp;Col=1","No Title Assigned - #15266990448")</f>
        <v/>
      </c>
      <c r="B2118" s="0" t="s">
        <v>3222</v>
      </c>
      <c r="C2118" s="0" t="s">
        <v>3223</v>
      </c>
      <c r="D2118" s="0" t="s">
        <v>3223</v>
      </c>
      <c r="E2118" s="0" t="inlineStr">
        <is>
          <t xml:space="preserve">Mazda</t>
        </is>
      </c>
      <c r="F2118" s="0" t="s">
        <v>28</v>
      </c>
      <c r="G2118" s="0" t="s">
        <v>29</v>
      </c>
      <c r="H2118" s="5">
        <v>352680.724700</v>
      </c>
    </row>
    <row r="2119" spans="1:9">
      <c r="A2119" s="22" t="str">
        <f>HYPERLINK("https://app.vivvix.com/360/KMI/IntelliDrive/ApplUI/Pages/CreativePages/CustomReportCreativeDetail.aspx?App=23&amp;ReportView=4&amp;Qid=1711279&amp;Row=2111&amp;Col=1","No Title Assigned - #15266990448")</f>
        <v/>
      </c>
      <c r="B2119" s="0" t="s">
        <v>3222</v>
      </c>
      <c r="E2119" s="0" t="inlineStr">
        <is>
          <t xml:space="preserve">Mazda</t>
        </is>
      </c>
      <c r="F2119" s="0" t="s">
        <v>28</v>
      </c>
      <c r="G2119" s="0" t="s">
        <v>29</v>
      </c>
      <c r="H2119" s="5">
        <v>1158416.004500</v>
      </c>
    </row>
    <row r="2120" spans="1:9">
      <c r="A2120" s="22" t="str">
        <f>HYPERLINK("https://app.vivvix.com/360/KMI/IntelliDrive/ApplUI/Pages/CreativePages/CustomReportCreativeDetail.aspx?App=23&amp;ReportView=4&amp;Qid=1711279&amp;Row=2112&amp;Col=1","No Title Assigned - #15266999540")</f>
        <v/>
      </c>
      <c r="B2120" s="0" t="s">
        <v>3224</v>
      </c>
      <c r="C2120" s="0" t="s">
        <v>3225</v>
      </c>
      <c r="D2120" s="0" t="s">
        <v>3225</v>
      </c>
      <c r="E2120" s="0" t="inlineStr">
        <is>
          <t xml:space="preserve">Mazda</t>
        </is>
      </c>
      <c r="F2120" s="0" t="s">
        <v>28</v>
      </c>
      <c r="G2120" s="0" t="s">
        <v>29</v>
      </c>
      <c r="H2120" s="5">
        <v>502.383500</v>
      </c>
    </row>
    <row r="2121" spans="1:9">
      <c r="A2121" s="22" t="str">
        <f>HYPERLINK("https://app.vivvix.com/360/KMI/IntelliDrive/ApplUI/Pages/CreativePages/CustomReportCreativeDetail.aspx?App=23&amp;ReportView=4&amp;Qid=1711279&amp;Row=2113&amp;Col=1","No Title Assigned - #15267001337")</f>
        <v/>
      </c>
      <c r="B2121" s="0" t="s">
        <v>3226</v>
      </c>
      <c r="C2121" s="0" t="s">
        <v>3227</v>
      </c>
      <c r="D2121" s="0" t="s">
        <v>3227</v>
      </c>
      <c r="E2121" s="0" t="inlineStr">
        <is>
          <t xml:space="preserve">Mazda</t>
        </is>
      </c>
      <c r="F2121" s="0" t="s">
        <v>28</v>
      </c>
      <c r="G2121" s="0" t="s">
        <v>29</v>
      </c>
      <c r="H2121" s="5">
        <v>1530.262000</v>
      </c>
    </row>
    <row r="2122" spans="1:9">
      <c r="A2122" s="22" t="str">
        <f>HYPERLINK("https://app.vivvix.com/360/KMI/IntelliDrive/ApplUI/Pages/CreativePages/CustomReportCreativeDetail.aspx?App=23&amp;ReportView=4&amp;Qid=1711279&amp;Row=2114&amp;Col=1","No Title Assigned - #15267003735")</f>
        <v/>
      </c>
      <c r="B2122" s="0" t="s">
        <v>3228</v>
      </c>
      <c r="E2122" s="0" t="inlineStr">
        <is>
          <t xml:space="preserve">Mazda</t>
        </is>
      </c>
      <c r="F2122" s="0" t="s">
        <v>204</v>
      </c>
      <c r="G2122" s="0" t="s">
        <v>205</v>
      </c>
      <c r="H2122" s="5">
        <v>577.878000</v>
      </c>
    </row>
    <row r="2123" spans="1:9">
      <c r="A2123" s="22" t="str">
        <f>HYPERLINK("https://app.vivvix.com/360/KMI/IntelliDrive/ApplUI/Pages/CreativePages/CustomReportCreativeDetail.aspx?App=23&amp;ReportView=4&amp;Qid=1711279&amp;Row=2115&amp;Col=1","No Title Assigned - #15267004350")</f>
        <v/>
      </c>
      <c r="B2123" s="0" t="s">
        <v>3229</v>
      </c>
      <c r="C2123" s="0" t="s">
        <v>3230</v>
      </c>
      <c r="D2123" s="0" t="s">
        <v>3230</v>
      </c>
      <c r="E2123" s="0" t="inlineStr">
        <is>
          <t xml:space="preserve">Mazda</t>
        </is>
      </c>
      <c r="F2123" s="0" t="s">
        <v>28</v>
      </c>
      <c r="G2123" s="0" t="s">
        <v>29</v>
      </c>
      <c r="H2123" s="5">
        <v>8364.180100</v>
      </c>
    </row>
    <row r="2124" spans="1:9">
      <c r="A2124" s="22" t="str">
        <f>HYPERLINK("https://app.vivvix.com/360/KMI/IntelliDrive/ApplUI/Pages/CreativePages/CustomReportCreativeDetail.aspx?App=23&amp;ReportView=4&amp;Qid=1711279&amp;Row=2116&amp;Col=1","No Title Assigned - #15267004350")</f>
        <v/>
      </c>
      <c r="B2124" s="0" t="s">
        <v>3229</v>
      </c>
      <c r="E2124" s="0" t="inlineStr">
        <is>
          <t xml:space="preserve">Mazda</t>
        </is>
      </c>
      <c r="F2124" s="0" t="s">
        <v>28</v>
      </c>
      <c r="G2124" s="0" t="s">
        <v>29</v>
      </c>
      <c r="H2124" s="5">
        <v>128209.304600</v>
      </c>
    </row>
    <row r="2125" spans="1:9">
      <c r="A2125" s="22" t="str">
        <f>HYPERLINK("https://app.vivvix.com/360/KMI/IntelliDrive/ApplUI/Pages/CreativePages/CustomReportCreativeDetail.aspx?App=23&amp;ReportView=4&amp;Qid=1711279&amp;Row=2117&amp;Col=1","No Title Assigned - #15267004504")</f>
        <v/>
      </c>
      <c r="B2125" s="0" t="s">
        <v>3231</v>
      </c>
      <c r="C2125" s="0" t="s">
        <v>3232</v>
      </c>
      <c r="D2125" s="0" t="s">
        <v>3232</v>
      </c>
      <c r="E2125" s="0" t="inlineStr">
        <is>
          <t xml:space="preserve">Mazda</t>
        </is>
      </c>
      <c r="F2125" s="0" t="s">
        <v>28</v>
      </c>
      <c r="G2125" s="0" t="s">
        <v>29</v>
      </c>
      <c r="H2125" s="5">
        <v>195.479100</v>
      </c>
    </row>
    <row r="2126" spans="1:9">
      <c r="A2126" s="22" t="str">
        <f>HYPERLINK("https://app.vivvix.com/360/KMI/IntelliDrive/ApplUI/Pages/CreativePages/CustomReportCreativeDetail.aspx?App=23&amp;ReportView=4&amp;Qid=1711279&amp;Row=2118&amp;Col=1","No Title Assigned - #15267006003")</f>
        <v/>
      </c>
      <c r="B2126" s="0" t="s">
        <v>3233</v>
      </c>
      <c r="E2126" s="0" t="inlineStr">
        <is>
          <t xml:space="preserve">Mazda</t>
        </is>
      </c>
      <c r="F2126" s="0" t="s">
        <v>204</v>
      </c>
      <c r="G2126" s="0" t="s">
        <v>205</v>
      </c>
      <c r="H2126" s="5">
        <v>300.740600</v>
      </c>
    </row>
    <row r="2127" spans="1:9">
      <c r="A2127" s="22" t="str">
        <f>HYPERLINK("https://app.vivvix.com/360/KMI/IntelliDrive/ApplUI/Pages/CreativePages/CustomReportCreativeDetail.aspx?App=23&amp;ReportView=4&amp;Qid=1711279&amp;Row=2119&amp;Col=1","No Title Assigned - #15267007682")</f>
        <v/>
      </c>
      <c r="B2127" s="0" t="s">
        <v>3234</v>
      </c>
      <c r="E2127" s="0" t="inlineStr">
        <is>
          <t xml:space="preserve">Mazda</t>
        </is>
      </c>
      <c r="F2127" s="0" t="inlineStr">
        <is>
          <t xml:space="preserve">Mazda</t>
        </is>
      </c>
      <c r="G2127" s="0" t="s">
        <v>171</v>
      </c>
      <c r="H2127" s="5">
        <v>2319.945200</v>
      </c>
    </row>
    <row r="2128" spans="1:9">
      <c r="A2128" s="22" t="str">
        <f>HYPERLINK("https://app.vivvix.com/360/KMI/IntelliDrive/ApplUI/Pages/CreativePages/CustomReportCreativeDetail.aspx?App=23&amp;ReportView=4&amp;Qid=1711279&amp;Row=2120&amp;Col=1","No Title Assigned - #15267007682")</f>
        <v/>
      </c>
      <c r="B2128" s="0" t="s">
        <v>3234</v>
      </c>
      <c r="E2128" s="0" t="inlineStr">
        <is>
          <t xml:space="preserve">Mazda</t>
        </is>
      </c>
      <c r="F2128" s="0" t="inlineStr">
        <is>
          <t xml:space="preserve">Mazda</t>
        </is>
      </c>
      <c r="G2128" s="0" t="s">
        <v>171</v>
      </c>
      <c r="H2128" s="5">
        <v>1715.861400</v>
      </c>
    </row>
    <row r="2129" spans="1:9">
      <c r="A2129" s="22" t="str">
        <f>HYPERLINK("https://app.vivvix.com/360/KMI/IntelliDrive/ApplUI/Pages/CreativePages/CustomReportCreativeDetail.aspx?App=23&amp;ReportView=4&amp;Qid=1711279&amp;Row=2121&amp;Col=1","No Title Assigned - #15267008498")</f>
        <v/>
      </c>
      <c r="B2129" s="0" t="s">
        <v>3235</v>
      </c>
      <c r="E2129" s="0" t="inlineStr">
        <is>
          <t xml:space="preserve">Mazda</t>
        </is>
      </c>
      <c r="F2129" s="0" t="inlineStr">
        <is>
          <t xml:space="preserve">Mazda</t>
        </is>
      </c>
      <c r="G2129" s="0" t="s">
        <v>171</v>
      </c>
      <c r="H2129" s="5">
        <v>1738.196400</v>
      </c>
    </row>
    <row r="2130" spans="1:9">
      <c r="A2130" s="22" t="str">
        <f>HYPERLINK("https://app.vivvix.com/360/KMI/IntelliDrive/ApplUI/Pages/CreativePages/CustomReportCreativeDetail.aspx?App=23&amp;ReportView=4&amp;Qid=1711279&amp;Row=2122&amp;Col=1","No Title Assigned - #15267008974")</f>
        <v/>
      </c>
      <c r="B2130" s="0" t="s">
        <v>3236</v>
      </c>
      <c r="E2130" s="0" t="inlineStr">
        <is>
          <t xml:space="preserve">Mazda</t>
        </is>
      </c>
      <c r="F2130" s="0" t="inlineStr">
        <is>
          <t xml:space="preserve">Mazda</t>
        </is>
      </c>
      <c r="G2130" s="0" t="s">
        <v>171</v>
      </c>
      <c r="H2130" s="5">
        <v>216.356600</v>
      </c>
    </row>
    <row r="2131" spans="1:9">
      <c r="A2131" s="22" t="str">
        <f>HYPERLINK("https://app.vivvix.com/360/KMI/IntelliDrive/ApplUI/Pages/CreativePages/CustomReportCreativeDetail.aspx?App=23&amp;ReportView=4&amp;Qid=1711279&amp;Row=2123&amp;Col=1","No Title Assigned - #15267017189")</f>
        <v/>
      </c>
      <c r="B2131" s="0" t="s">
        <v>3237</v>
      </c>
      <c r="E2131" s="0" t="inlineStr">
        <is>
          <t xml:space="preserve">Mazda</t>
        </is>
      </c>
      <c r="F2131" s="0" t="inlineStr">
        <is>
          <t xml:space="preserve">Mazda</t>
        </is>
      </c>
      <c r="G2131" s="0" t="s">
        <v>171</v>
      </c>
      <c r="H2131" s="5">
        <v>1361.810800</v>
      </c>
    </row>
    <row r="2132" spans="1:9">
      <c r="A2132" s="22" t="str">
        <f>HYPERLINK("https://app.vivvix.com/360/KMI/IntelliDrive/ApplUI/Pages/CreativePages/CustomReportCreativeDetail.aspx?App=23&amp;ReportView=4&amp;Qid=1711279&amp;Row=2124&amp;Col=1","No Title Assigned - #15267022962")</f>
        <v/>
      </c>
      <c r="B2132" s="0" t="s">
        <v>3238</v>
      </c>
      <c r="E2132" s="0" t="inlineStr">
        <is>
          <t xml:space="preserve">Mazda</t>
        </is>
      </c>
      <c r="F2132" s="0" t="inlineStr">
        <is>
          <t xml:space="preserve">Mazda</t>
        </is>
      </c>
      <c r="G2132" s="0" t="s">
        <v>171</v>
      </c>
      <c r="H2132" s="5">
        <v>1166.597600</v>
      </c>
    </row>
    <row r="2133" spans="1:9">
      <c r="A2133" s="22" t="str">
        <f>HYPERLINK("https://app.vivvix.com/360/KMI/IntelliDrive/ApplUI/Pages/CreativePages/CustomReportCreativeDetail.aspx?App=23&amp;ReportView=4&amp;Qid=1711279&amp;Row=2125&amp;Col=1","No Title Assigned - #15267022962")</f>
        <v/>
      </c>
      <c r="B2133" s="0" t="s">
        <v>3238</v>
      </c>
      <c r="C2133" s="0" t="s">
        <v>3239</v>
      </c>
      <c r="D2133" s="0" t="s">
        <v>3239</v>
      </c>
      <c r="E2133" s="0" t="inlineStr">
        <is>
          <t xml:space="preserve">Mazda</t>
        </is>
      </c>
      <c r="F2133" s="0" t="inlineStr">
        <is>
          <t xml:space="preserve">Mazda</t>
        </is>
      </c>
      <c r="G2133" s="0" t="s">
        <v>171</v>
      </c>
      <c r="H2133" s="5">
        <v>694.021200</v>
      </c>
    </row>
    <row r="2134" spans="1:9">
      <c r="A2134" s="22" t="str">
        <f>HYPERLINK("https://app.vivvix.com/360/KMI/IntelliDrive/ApplUI/Pages/CreativePages/CustomReportCreativeDetail.aspx?App=23&amp;ReportView=4&amp;Qid=1711279&amp;Row=2126&amp;Col=1","No Title Assigned - #15267024803")</f>
        <v/>
      </c>
      <c r="B2134" s="0" t="s">
        <v>3240</v>
      </c>
      <c r="E2134" s="0" t="inlineStr">
        <is>
          <t xml:space="preserve">Mazda</t>
        </is>
      </c>
      <c r="F2134" s="0" t="inlineStr">
        <is>
          <t xml:space="preserve">Mazda</t>
        </is>
      </c>
      <c r="G2134" s="0" t="s">
        <v>171</v>
      </c>
      <c r="H2134" s="5">
        <v>17.083300</v>
      </c>
    </row>
    <row r="2135" spans="1:9">
      <c r="A2135" s="22" t="str">
        <f>HYPERLINK("https://app.vivvix.com/360/KMI/IntelliDrive/ApplUI/Pages/CreativePages/CustomReportCreativeDetail.aspx?App=23&amp;ReportView=4&amp;Qid=1711279&amp;Row=2127&amp;Col=1","No Title Assigned - #15267024803")</f>
        <v/>
      </c>
      <c r="B2135" s="0" t="s">
        <v>3240</v>
      </c>
      <c r="C2135" s="0" t="s">
        <v>3241</v>
      </c>
      <c r="D2135" s="0" t="s">
        <v>3241</v>
      </c>
      <c r="E2135" s="0" t="inlineStr">
        <is>
          <t xml:space="preserve">Mazda</t>
        </is>
      </c>
      <c r="F2135" s="0" t="inlineStr">
        <is>
          <t xml:space="preserve">Mazda</t>
        </is>
      </c>
      <c r="G2135" s="0" t="s">
        <v>171</v>
      </c>
      <c r="H2135" s="5">
        <v>1580.202400</v>
      </c>
    </row>
    <row r="2136" spans="1:9">
      <c r="A2136" s="22" t="str">
        <f>HYPERLINK("https://app.vivvix.com/360/KMI/IntelliDrive/ApplUI/Pages/CreativePages/CustomReportCreativeDetail.aspx?App=23&amp;ReportView=4&amp;Qid=1711279&amp;Row=2128&amp;Col=1","No Title Assigned - #15267026692")</f>
        <v/>
      </c>
      <c r="B2136" s="0" t="s">
        <v>3242</v>
      </c>
      <c r="E2136" s="0" t="inlineStr">
        <is>
          <t xml:space="preserve">Mazda</t>
        </is>
      </c>
      <c r="F2136" s="0" t="inlineStr">
        <is>
          <t xml:space="preserve">Mazda</t>
        </is>
      </c>
      <c r="G2136" s="0" t="s">
        <v>171</v>
      </c>
      <c r="H2136" s="5">
        <v>1141.146800</v>
      </c>
    </row>
    <row r="2137" spans="1:9">
      <c r="A2137" s="22" t="str">
        <f>HYPERLINK("https://app.vivvix.com/360/KMI/IntelliDrive/ApplUI/Pages/CreativePages/CustomReportCreativeDetail.aspx?App=23&amp;ReportView=4&amp;Qid=1711279&amp;Row=2129&amp;Col=1","No Title Assigned - #15267026866")</f>
        <v/>
      </c>
      <c r="B2137" s="0" t="s">
        <v>3243</v>
      </c>
      <c r="C2137" s="0" t="s">
        <v>3244</v>
      </c>
      <c r="D2137" s="0" t="s">
        <v>3244</v>
      </c>
      <c r="E2137" s="0" t="inlineStr">
        <is>
          <t xml:space="preserve">Mazda</t>
        </is>
      </c>
      <c r="F2137" s="0" t="inlineStr">
        <is>
          <t xml:space="preserve">Mazda</t>
        </is>
      </c>
      <c r="G2137" s="0" t="s">
        <v>171</v>
      </c>
      <c r="H2137" s="5">
        <v>63.400100</v>
      </c>
    </row>
    <row r="2138" spans="1:9">
      <c r="A2138" s="22" t="str">
        <f>HYPERLINK("https://app.vivvix.com/360/KMI/IntelliDrive/ApplUI/Pages/CreativePages/CustomReportCreativeDetail.aspx?App=23&amp;ReportView=4&amp;Qid=1711279&amp;Row=2130&amp;Col=1","No Title Assigned - #15267027296")</f>
        <v/>
      </c>
      <c r="B2138" s="0" t="s">
        <v>3245</v>
      </c>
      <c r="E2138" s="0" t="inlineStr">
        <is>
          <t xml:space="preserve">Mazda</t>
        </is>
      </c>
      <c r="F2138" s="0" t="inlineStr">
        <is>
          <t xml:space="preserve">Mazda</t>
        </is>
      </c>
      <c r="G2138" s="0" t="s">
        <v>171</v>
      </c>
      <c r="H2138" s="5">
        <v>38.724300</v>
      </c>
    </row>
    <row r="2139" spans="1:9">
      <c r="A2139" s="22" t="str">
        <f>HYPERLINK("https://app.vivvix.com/360/KMI/IntelliDrive/ApplUI/Pages/CreativePages/CustomReportCreativeDetail.aspx?App=23&amp;ReportView=4&amp;Qid=1711279&amp;Row=2131&amp;Col=1","No Title Assigned - #15267027307")</f>
        <v/>
      </c>
      <c r="B2139" s="0" t="s">
        <v>3246</v>
      </c>
      <c r="E2139" s="0" t="inlineStr">
        <is>
          <t xml:space="preserve">Mazda</t>
        </is>
      </c>
      <c r="F2139" s="0" t="inlineStr">
        <is>
          <t xml:space="preserve">Mazda</t>
        </is>
      </c>
      <c r="G2139" s="0" t="s">
        <v>171</v>
      </c>
      <c r="H2139" s="5">
        <v>116.122200</v>
      </c>
    </row>
    <row r="2140" spans="1:9">
      <c r="A2140" s="22" t="str">
        <f>HYPERLINK("https://app.vivvix.com/360/KMI/IntelliDrive/ApplUI/Pages/CreativePages/CustomReportCreativeDetail.aspx?App=23&amp;ReportView=4&amp;Qid=1711279&amp;Row=2132&amp;Col=1","No Title Assigned - #15267027956")</f>
        <v/>
      </c>
      <c r="B2140" s="0" t="s">
        <v>3247</v>
      </c>
      <c r="C2140" s="0" t="s">
        <v>3248</v>
      </c>
      <c r="D2140" s="0" t="s">
        <v>3248</v>
      </c>
      <c r="E2140" s="0" t="inlineStr">
        <is>
          <t xml:space="preserve">Mazda</t>
        </is>
      </c>
      <c r="F2140" s="0" t="inlineStr">
        <is>
          <t xml:space="preserve">Mazda</t>
        </is>
      </c>
      <c r="G2140" s="0" t="s">
        <v>171</v>
      </c>
      <c r="H2140" s="5">
        <v>1177.320300</v>
      </c>
    </row>
    <row r="2141" spans="1:9">
      <c r="A2141" s="22" t="str">
        <f>HYPERLINK("https://app.vivvix.com/360/KMI/IntelliDrive/ApplUI/Pages/CreativePages/CustomReportCreativeDetail.aspx?App=23&amp;ReportView=4&amp;Qid=1711279&amp;Row=2133&amp;Col=1","No Title Assigned - #15267027993")</f>
        <v/>
      </c>
      <c r="B2141" s="0" t="s">
        <v>3249</v>
      </c>
      <c r="C2141" s="0" t="s">
        <v>3250</v>
      </c>
      <c r="D2141" s="0" t="s">
        <v>3250</v>
      </c>
      <c r="E2141" s="0" t="inlineStr">
        <is>
          <t xml:space="preserve">Mazda</t>
        </is>
      </c>
      <c r="F2141" s="0" t="inlineStr">
        <is>
          <t xml:space="preserve">Mazda</t>
        </is>
      </c>
      <c r="G2141" s="0" t="s">
        <v>171</v>
      </c>
      <c r="H2141" s="5">
        <v>828.849500</v>
      </c>
    </row>
    <row r="2142" spans="1:9">
      <c r="A2142" s="22" t="str">
        <f>HYPERLINK("https://app.vivvix.com/360/KMI/IntelliDrive/ApplUI/Pages/CreativePages/CustomReportCreativeDetail.aspx?App=23&amp;ReportView=4&amp;Qid=1711279&amp;Row=2134&amp;Col=1","No Title Assigned - #15267028158")</f>
        <v/>
      </c>
      <c r="B2142" s="0" t="s">
        <v>3251</v>
      </c>
      <c r="E2142" s="0" t="inlineStr">
        <is>
          <t xml:space="preserve">Mazda</t>
        </is>
      </c>
      <c r="F2142" s="0" t="inlineStr">
        <is>
          <t xml:space="preserve">Mazda</t>
        </is>
      </c>
      <c r="G2142" s="0" t="s">
        <v>171</v>
      </c>
      <c r="H2142" s="5">
        <v>304.517400</v>
      </c>
    </row>
    <row r="2143" spans="1:9">
      <c r="A2143" s="22" t="str">
        <f>HYPERLINK("https://app.vivvix.com/360/KMI/IntelliDrive/ApplUI/Pages/CreativePages/CustomReportCreativeDetail.aspx?App=23&amp;ReportView=4&amp;Qid=1711279&amp;Row=2135&amp;Col=1","No Title Assigned - #15267028920")</f>
        <v/>
      </c>
      <c r="B2143" s="0" t="s">
        <v>3252</v>
      </c>
      <c r="E2143" s="0" t="inlineStr">
        <is>
          <t xml:space="preserve">Mazda</t>
        </is>
      </c>
      <c r="F2143" s="0" t="s">
        <v>21</v>
      </c>
      <c r="G2143" s="0" t="s">
        <v>22</v>
      </c>
      <c r="H2143" s="5">
        <v>177.179800</v>
      </c>
    </row>
    <row r="2144" spans="1:9">
      <c r="A2144" s="22" t="str">
        <f>HYPERLINK("https://app.vivvix.com/360/KMI/IntelliDrive/ApplUI/Pages/CreativePages/CustomReportCreativeDetail.aspx?App=23&amp;ReportView=4&amp;Qid=1711279&amp;Row=2136&amp;Col=1","No Title Assigned - #15267028920")</f>
        <v/>
      </c>
      <c r="B2144" s="0" t="s">
        <v>3252</v>
      </c>
      <c r="C2144" s="0" t="s">
        <v>3253</v>
      </c>
      <c r="D2144" s="0" t="s">
        <v>3253</v>
      </c>
      <c r="E2144" s="0" t="inlineStr">
        <is>
          <t xml:space="preserve">Mazda</t>
        </is>
      </c>
      <c r="F2144" s="0" t="s">
        <v>21</v>
      </c>
      <c r="G2144" s="0" t="s">
        <v>22</v>
      </c>
      <c r="H2144" s="5">
        <v>18325.044900</v>
      </c>
    </row>
    <row r="2145" spans="1:9">
      <c r="A2145" s="22" t="str">
        <f>HYPERLINK("https://app.vivvix.com/360/KMI/IntelliDrive/ApplUI/Pages/CreativePages/CustomReportCreativeDetail.aspx?App=23&amp;ReportView=4&amp;Qid=1711279&amp;Row=2137&amp;Col=1","No Title Assigned - #15267034308")</f>
        <v/>
      </c>
      <c r="B2145" s="0" t="s">
        <v>3254</v>
      </c>
      <c r="C2145" s="0" t="s">
        <v>3255</v>
      </c>
      <c r="D2145" s="0" t="s">
        <v>3255</v>
      </c>
      <c r="E2145" s="0" t="inlineStr">
        <is>
          <t xml:space="preserve">Mazda</t>
        </is>
      </c>
      <c r="F2145" s="0" t="s">
        <v>28</v>
      </c>
      <c r="G2145" s="0" t="s">
        <v>29</v>
      </c>
      <c r="H2145" s="5">
        <v>159939.776700</v>
      </c>
    </row>
    <row r="2146" spans="1:9">
      <c r="A2146" s="22" t="str">
        <f>HYPERLINK("https://app.vivvix.com/360/KMI/IntelliDrive/ApplUI/Pages/CreativePages/CustomReportCreativeDetail.aspx?App=23&amp;ReportView=4&amp;Qid=1711279&amp;Row=2138&amp;Col=1","No Title Assigned - #15267034308")</f>
        <v/>
      </c>
      <c r="B2146" s="0" t="s">
        <v>3254</v>
      </c>
      <c r="E2146" s="0" t="inlineStr">
        <is>
          <t xml:space="preserve">Mazda</t>
        </is>
      </c>
      <c r="F2146" s="0" t="s">
        <v>28</v>
      </c>
      <c r="G2146" s="0" t="s">
        <v>29</v>
      </c>
      <c r="H2146" s="5">
        <v>8129.168000</v>
      </c>
    </row>
    <row r="2147" spans="1:9">
      <c r="A2147" s="22" t="str">
        <f>HYPERLINK("https://app.vivvix.com/360/KMI/IntelliDrive/ApplUI/Pages/CreativePages/CustomReportCreativeDetail.aspx?App=23&amp;ReportView=4&amp;Qid=1711279&amp;Row=2139&amp;Col=1","No Title Assigned - #15267034654")</f>
        <v/>
      </c>
      <c r="B2147" s="0" t="s">
        <v>3256</v>
      </c>
      <c r="C2147" s="0" t="s">
        <v>3257</v>
      </c>
      <c r="D2147" s="0" t="s">
        <v>3257</v>
      </c>
      <c r="E2147" s="0" t="inlineStr">
        <is>
          <t xml:space="preserve">Mazda</t>
        </is>
      </c>
      <c r="F2147" s="0" t="s">
        <v>28</v>
      </c>
      <c r="G2147" s="0" t="s">
        <v>29</v>
      </c>
      <c r="H2147" s="5">
        <v>69.289800</v>
      </c>
    </row>
    <row r="2148" spans="1:9">
      <c r="A2148" s="22" t="str">
        <f>HYPERLINK("https://app.vivvix.com/360/KMI/IntelliDrive/ApplUI/Pages/CreativePages/CustomReportCreativeDetail.aspx?App=23&amp;ReportView=4&amp;Qid=1711279&amp;Row=2140&amp;Col=1","No Title Assigned - #15267035144")</f>
        <v/>
      </c>
      <c r="B2148" s="0" t="s">
        <v>3258</v>
      </c>
      <c r="C2148" s="0" t="s">
        <v>3259</v>
      </c>
      <c r="D2148" s="0" t="s">
        <v>3259</v>
      </c>
      <c r="E2148" s="0" t="inlineStr">
        <is>
          <t xml:space="preserve">Mazda</t>
        </is>
      </c>
      <c r="F2148" s="0" t="inlineStr">
        <is>
          <t xml:space="preserve">Mazda</t>
        </is>
      </c>
      <c r="G2148" s="0" t="s">
        <v>171</v>
      </c>
      <c r="H2148" s="5">
        <v>19.353700</v>
      </c>
    </row>
    <row r="2149" spans="1:9">
      <c r="A2149" s="22" t="str">
        <f>HYPERLINK("https://app.vivvix.com/360/KMI/IntelliDrive/ApplUI/Pages/CreativePages/CustomReportCreativeDetail.aspx?App=23&amp;ReportView=4&amp;Qid=1711279&amp;Row=2141&amp;Col=1","No Title Assigned - #15267036771")</f>
        <v/>
      </c>
      <c r="B2149" s="0" t="s">
        <v>3260</v>
      </c>
      <c r="C2149" s="0" t="s">
        <v>3261</v>
      </c>
      <c r="D2149" s="0" t="s">
        <v>3261</v>
      </c>
      <c r="E2149" s="0" t="inlineStr">
        <is>
          <t xml:space="preserve">Mazda</t>
        </is>
      </c>
      <c r="F2149" s="0" t="s">
        <v>28</v>
      </c>
      <c r="G2149" s="0" t="s">
        <v>29</v>
      </c>
      <c r="H2149" s="5">
        <v>968.638800</v>
      </c>
    </row>
    <row r="2150" spans="1:9">
      <c r="A2150" s="22" t="str">
        <f>HYPERLINK("https://app.vivvix.com/360/KMI/IntelliDrive/ApplUI/Pages/CreativePages/CustomReportCreativeDetail.aspx?App=23&amp;ReportView=4&amp;Qid=1711279&amp;Row=2142&amp;Col=1","No Title Assigned - #15267036835")</f>
        <v/>
      </c>
      <c r="B2150" s="0" t="s">
        <v>3262</v>
      </c>
      <c r="C2150" s="0" t="s">
        <v>3263</v>
      </c>
      <c r="D2150" s="0" t="s">
        <v>3263</v>
      </c>
      <c r="E2150" s="0" t="inlineStr">
        <is>
          <t xml:space="preserve">Mazda</t>
        </is>
      </c>
      <c r="F2150" s="0" t="s">
        <v>28</v>
      </c>
      <c r="G2150" s="0" t="s">
        <v>29</v>
      </c>
      <c r="H2150" s="5">
        <v>618.183200</v>
      </c>
    </row>
    <row r="2151" spans="1:9">
      <c r="A2151" s="22" t="str">
        <f>HYPERLINK("https://app.vivvix.com/360/KMI/IntelliDrive/ApplUI/Pages/CreativePages/CustomReportCreativeDetail.aspx?App=23&amp;ReportView=4&amp;Qid=1711279&amp;Row=2143&amp;Col=1","No Title Assigned - #15267038445")</f>
        <v/>
      </c>
      <c r="B2151" s="0" t="s">
        <v>3264</v>
      </c>
      <c r="C2151" s="0" t="s">
        <v>3265</v>
      </c>
      <c r="D2151" s="0" t="s">
        <v>3265</v>
      </c>
      <c r="E2151" s="0" t="inlineStr">
        <is>
          <t xml:space="preserve">Mazda</t>
        </is>
      </c>
      <c r="F2151" s="0" t="s">
        <v>28</v>
      </c>
      <c r="G2151" s="0" t="s">
        <v>29</v>
      </c>
      <c r="H2151" s="5">
        <v>1058.342400</v>
      </c>
    </row>
    <row r="2152" spans="1:9">
      <c r="A2152" s="22" t="str">
        <f>HYPERLINK("https://app.vivvix.com/360/KMI/IntelliDrive/ApplUI/Pages/CreativePages/CustomReportCreativeDetail.aspx?App=23&amp;ReportView=4&amp;Qid=1711279&amp;Row=2144&amp;Col=1","No Title Assigned - #15267039442")</f>
        <v/>
      </c>
      <c r="B2152" s="0" t="s">
        <v>3266</v>
      </c>
      <c r="C2152" s="0" t="s">
        <v>3267</v>
      </c>
      <c r="D2152" s="0" t="s">
        <v>3267</v>
      </c>
      <c r="E2152" s="0" t="inlineStr">
        <is>
          <t xml:space="preserve">Mazda</t>
        </is>
      </c>
      <c r="F2152" s="0" t="s">
        <v>28</v>
      </c>
      <c r="G2152" s="0" t="s">
        <v>29</v>
      </c>
      <c r="H2152" s="5">
        <v>204.438600</v>
      </c>
    </row>
    <row r="2153" spans="1:9">
      <c r="A2153" s="22" t="str">
        <f>HYPERLINK("https://app.vivvix.com/360/KMI/IntelliDrive/ApplUI/Pages/CreativePages/CustomReportCreativeDetail.aspx?App=23&amp;ReportView=4&amp;Qid=1711279&amp;Row=2145&amp;Col=1","No Title Assigned - #15267039505")</f>
        <v/>
      </c>
      <c r="B2153" s="0" t="s">
        <v>3268</v>
      </c>
      <c r="C2153" s="0" t="s">
        <v>3269</v>
      </c>
      <c r="D2153" s="0" t="s">
        <v>3269</v>
      </c>
      <c r="E2153" s="0" t="inlineStr">
        <is>
          <t xml:space="preserve">Mazda</t>
        </is>
      </c>
      <c r="F2153" s="0" t="s">
        <v>28</v>
      </c>
      <c r="G2153" s="0" t="s">
        <v>29</v>
      </c>
      <c r="H2153" s="5">
        <v>10809.355900</v>
      </c>
    </row>
    <row r="2154" spans="1:9">
      <c r="A2154" s="22" t="str">
        <f>HYPERLINK("https://app.vivvix.com/360/KMI/IntelliDrive/ApplUI/Pages/CreativePages/CustomReportCreativeDetail.aspx?App=23&amp;ReportView=4&amp;Qid=1711279&amp;Row=2146&amp;Col=1","No Title Assigned - #15267039505")</f>
        <v/>
      </c>
      <c r="B2154" s="0" t="s">
        <v>3268</v>
      </c>
      <c r="E2154" s="0" t="inlineStr">
        <is>
          <t xml:space="preserve">Mazda</t>
        </is>
      </c>
      <c r="F2154" s="0" t="s">
        <v>28</v>
      </c>
      <c r="G2154" s="0" t="s">
        <v>29</v>
      </c>
      <c r="H2154" s="5">
        <v>64.318300</v>
      </c>
    </row>
    <row r="2155" spans="1:9">
      <c r="A2155" s="22" t="str">
        <f>HYPERLINK("https://app.vivvix.com/360/KMI/IntelliDrive/ApplUI/Pages/CreativePages/CustomReportCreativeDetail.aspx?App=23&amp;ReportView=4&amp;Qid=1711279&amp;Row=2147&amp;Col=1","No Title Assigned - #15267039670")</f>
        <v/>
      </c>
      <c r="B2155" s="0" t="s">
        <v>3270</v>
      </c>
      <c r="C2155" s="0" t="s">
        <v>3271</v>
      </c>
      <c r="D2155" s="0" t="s">
        <v>3271</v>
      </c>
      <c r="E2155" s="0" t="inlineStr">
        <is>
          <t xml:space="preserve">Mazda</t>
        </is>
      </c>
      <c r="F2155" s="0" t="s">
        <v>28</v>
      </c>
      <c r="G2155" s="0" t="s">
        <v>29</v>
      </c>
      <c r="H2155" s="5">
        <v>9944.486000</v>
      </c>
    </row>
    <row r="2156" spans="1:9">
      <c r="A2156" s="22" t="str">
        <f>HYPERLINK("https://app.vivvix.com/360/KMI/IntelliDrive/ApplUI/Pages/CreativePages/CustomReportCreativeDetail.aspx?App=23&amp;ReportView=4&amp;Qid=1711279&amp;Row=2148&amp;Col=1","No Title Assigned - #15267039670")</f>
        <v/>
      </c>
      <c r="B2156" s="0" t="s">
        <v>3270</v>
      </c>
      <c r="E2156" s="0" t="inlineStr">
        <is>
          <t xml:space="preserve">Mazda</t>
        </is>
      </c>
      <c r="F2156" s="0" t="s">
        <v>28</v>
      </c>
      <c r="G2156" s="0" t="s">
        <v>29</v>
      </c>
      <c r="H2156" s="5">
        <v>2443.163900</v>
      </c>
    </row>
    <row r="2157" spans="1:9">
      <c r="A2157" s="22" t="str">
        <f>HYPERLINK("https://app.vivvix.com/360/KMI/IntelliDrive/ApplUI/Pages/CreativePages/CustomReportCreativeDetail.aspx?App=23&amp;ReportView=4&amp;Qid=1711279&amp;Row=2149&amp;Col=1","No Title Assigned - #15267040705")</f>
        <v/>
      </c>
      <c r="B2157" s="0" t="s">
        <v>3272</v>
      </c>
      <c r="C2157" s="0" t="s">
        <v>3273</v>
      </c>
      <c r="D2157" s="0" t="s">
        <v>3273</v>
      </c>
      <c r="E2157" s="0" t="inlineStr">
        <is>
          <t xml:space="preserve">Mazda</t>
        </is>
      </c>
      <c r="F2157" s="0" t="s">
        <v>28</v>
      </c>
      <c r="G2157" s="0" t="s">
        <v>29</v>
      </c>
      <c r="H2157" s="5">
        <v>50821.364200</v>
      </c>
    </row>
    <row r="2158" spans="1:9">
      <c r="A2158" s="22" t="str">
        <f>HYPERLINK("https://app.vivvix.com/360/KMI/IntelliDrive/ApplUI/Pages/CreativePages/CustomReportCreativeDetail.aspx?App=23&amp;ReportView=4&amp;Qid=1711279&amp;Row=2150&amp;Col=1","No Title Assigned - #15267040705")</f>
        <v/>
      </c>
      <c r="B2158" s="0" t="s">
        <v>3272</v>
      </c>
      <c r="E2158" s="0" t="inlineStr">
        <is>
          <t xml:space="preserve">Mazda</t>
        </is>
      </c>
      <c r="F2158" s="0" t="s">
        <v>28</v>
      </c>
      <c r="G2158" s="0" t="s">
        <v>29</v>
      </c>
      <c r="H2158" s="5">
        <v>191284.880500</v>
      </c>
    </row>
    <row r="2159" spans="1:9">
      <c r="A2159" s="22" t="str">
        <f>HYPERLINK("https://app.vivvix.com/360/KMI/IntelliDrive/ApplUI/Pages/CreativePages/CustomReportCreativeDetail.aspx?App=23&amp;ReportView=4&amp;Qid=1711279&amp;Row=2151&amp;Col=1","No Title Assigned - #15267041064")</f>
        <v/>
      </c>
      <c r="B2159" s="0" t="s">
        <v>3274</v>
      </c>
      <c r="C2159" s="0" t="s">
        <v>3275</v>
      </c>
      <c r="D2159" s="0" t="s">
        <v>3275</v>
      </c>
      <c r="E2159" s="0" t="inlineStr">
        <is>
          <t xml:space="preserve">Mazda</t>
        </is>
      </c>
      <c r="F2159" s="0" t="s">
        <v>28</v>
      </c>
      <c r="G2159" s="0" t="s">
        <v>29</v>
      </c>
      <c r="H2159" s="5">
        <v>751.498000</v>
      </c>
    </row>
    <row r="2160" spans="1:9">
      <c r="A2160" s="22" t="str">
        <f>HYPERLINK("https://app.vivvix.com/360/KMI/IntelliDrive/ApplUI/Pages/CreativePages/CustomReportCreativeDetail.aspx?App=23&amp;ReportView=4&amp;Qid=1711279&amp;Row=2152&amp;Col=1","No Title Assigned - #15267041064")</f>
        <v/>
      </c>
      <c r="B2160" s="0" t="s">
        <v>3274</v>
      </c>
      <c r="E2160" s="0" t="inlineStr">
        <is>
          <t xml:space="preserve">Mazda</t>
        </is>
      </c>
      <c r="F2160" s="0" t="s">
        <v>28</v>
      </c>
      <c r="G2160" s="0" t="s">
        <v>29</v>
      </c>
      <c r="H2160" s="5">
        <v>1136.045500</v>
      </c>
    </row>
    <row r="2161" spans="1:9">
      <c r="A2161" s="22" t="str">
        <f>HYPERLINK("https://app.vivvix.com/360/KMI/IntelliDrive/ApplUI/Pages/CreativePages/CustomReportCreativeDetail.aspx?App=23&amp;ReportView=4&amp;Qid=1711279&amp;Row=2153&amp;Col=1","No Title Assigned - #15267041083")</f>
        <v/>
      </c>
      <c r="B2161" s="0" t="s">
        <v>3276</v>
      </c>
      <c r="C2161" s="0" t="s">
        <v>3277</v>
      </c>
      <c r="D2161" s="0" t="s">
        <v>3277</v>
      </c>
      <c r="E2161" s="0" t="inlineStr">
        <is>
          <t xml:space="preserve">Mazda</t>
        </is>
      </c>
      <c r="F2161" s="0" t="s">
        <v>28</v>
      </c>
      <c r="G2161" s="0" t="s">
        <v>29</v>
      </c>
      <c r="H2161" s="5">
        <v>153587.539200</v>
      </c>
    </row>
    <row r="2162" spans="1:9">
      <c r="A2162" s="22" t="str">
        <f>HYPERLINK("https://app.vivvix.com/360/KMI/IntelliDrive/ApplUI/Pages/CreativePages/CustomReportCreativeDetail.aspx?App=23&amp;ReportView=4&amp;Qid=1711279&amp;Row=2154&amp;Col=1","No Title Assigned - #15267041083")</f>
        <v/>
      </c>
      <c r="B2162" s="0" t="s">
        <v>3276</v>
      </c>
      <c r="E2162" s="0" t="inlineStr">
        <is>
          <t xml:space="preserve">Mazda</t>
        </is>
      </c>
      <c r="F2162" s="0" t="s">
        <v>28</v>
      </c>
      <c r="G2162" s="0" t="s">
        <v>29</v>
      </c>
      <c r="H2162" s="5">
        <v>22626.716500</v>
      </c>
    </row>
    <row r="2163" spans="1:9">
      <c r="A2163" s="22" t="str">
        <f>HYPERLINK("https://app.vivvix.com/360/KMI/IntelliDrive/ApplUI/Pages/CreativePages/CustomReportCreativeDetail.aspx?App=23&amp;ReportView=4&amp;Qid=1711279&amp;Row=2155&amp;Col=1","No Title Assigned - #15267041789")</f>
        <v/>
      </c>
      <c r="B2163" s="0" t="s">
        <v>3278</v>
      </c>
      <c r="C2163" s="0" t="s">
        <v>3279</v>
      </c>
      <c r="D2163" s="0" t="s">
        <v>3279</v>
      </c>
      <c r="E2163" s="0" t="inlineStr">
        <is>
          <t xml:space="preserve">Mazda</t>
        </is>
      </c>
      <c r="F2163" s="0" t="s">
        <v>28</v>
      </c>
      <c r="G2163" s="0" t="s">
        <v>29</v>
      </c>
      <c r="H2163" s="5">
        <v>24.781200</v>
      </c>
    </row>
    <row r="2164" spans="1:9">
      <c r="A2164" s="22" t="str">
        <f>HYPERLINK("https://app.vivvix.com/360/KMI/IntelliDrive/ApplUI/Pages/CreativePages/CustomReportCreativeDetail.aspx?App=23&amp;ReportView=4&amp;Qid=1711279&amp;Row=2156&amp;Col=1","No Title Assigned - #15267042238")</f>
        <v/>
      </c>
      <c r="B2164" s="0" t="s">
        <v>3280</v>
      </c>
      <c r="E2164" s="0" t="inlineStr">
        <is>
          <t xml:space="preserve">Mazda</t>
        </is>
      </c>
      <c r="F2164" s="0" t="s">
        <v>28</v>
      </c>
      <c r="G2164" s="0" t="s">
        <v>29</v>
      </c>
      <c r="H2164" s="5">
        <v>571.376500</v>
      </c>
    </row>
    <row r="2165" spans="1:9">
      <c r="A2165" s="22" t="str">
        <f>HYPERLINK("https://app.vivvix.com/360/KMI/IntelliDrive/ApplUI/Pages/CreativePages/CustomReportCreativeDetail.aspx?App=23&amp;ReportView=4&amp;Qid=1711279&amp;Row=2157&amp;Col=1","No Title Assigned - #15267042238")</f>
        <v/>
      </c>
      <c r="B2165" s="0" t="s">
        <v>3280</v>
      </c>
      <c r="C2165" s="0" t="s">
        <v>3281</v>
      </c>
      <c r="D2165" s="0" t="s">
        <v>3281</v>
      </c>
      <c r="E2165" s="0" t="inlineStr">
        <is>
          <t xml:space="preserve">Mazda</t>
        </is>
      </c>
      <c r="F2165" s="0" t="s">
        <v>28</v>
      </c>
      <c r="G2165" s="0" t="s">
        <v>29</v>
      </c>
      <c r="H2165" s="5">
        <v>10936.257800</v>
      </c>
    </row>
    <row r="2166" spans="1:9">
      <c r="A2166" s="22" t="str">
        <f>HYPERLINK("https://app.vivvix.com/360/KMI/IntelliDrive/ApplUI/Pages/CreativePages/CustomReportCreativeDetail.aspx?App=23&amp;ReportView=4&amp;Qid=1711279&amp;Row=2158&amp;Col=1","No Title Assigned - #15267042330")</f>
        <v/>
      </c>
      <c r="B2166" s="0" t="s">
        <v>3282</v>
      </c>
      <c r="C2166" s="0" t="s">
        <v>3283</v>
      </c>
      <c r="D2166" s="0" t="s">
        <v>3283</v>
      </c>
      <c r="E2166" s="0" t="inlineStr">
        <is>
          <t xml:space="preserve">Mazda</t>
        </is>
      </c>
      <c r="F2166" s="0" t="s">
        <v>28</v>
      </c>
      <c r="G2166" s="0" t="s">
        <v>29</v>
      </c>
      <c r="H2166" s="5">
        <v>190.458100</v>
      </c>
    </row>
    <row r="2167" spans="1:9">
      <c r="A2167" s="22" t="str">
        <f>HYPERLINK("https://app.vivvix.com/360/KMI/IntelliDrive/ApplUI/Pages/CreativePages/CustomReportCreativeDetail.aspx?App=23&amp;ReportView=4&amp;Qid=1711279&amp;Row=2159&amp;Col=1","No Title Assigned - #15267042599")</f>
        <v/>
      </c>
      <c r="B2167" s="0" t="s">
        <v>3284</v>
      </c>
      <c r="C2167" s="0" t="s">
        <v>3285</v>
      </c>
      <c r="D2167" s="0" t="s">
        <v>3285</v>
      </c>
      <c r="E2167" s="0" t="inlineStr">
        <is>
          <t xml:space="preserve">Mazda</t>
        </is>
      </c>
      <c r="F2167" s="0" t="s">
        <v>28</v>
      </c>
      <c r="G2167" s="0" t="s">
        <v>29</v>
      </c>
      <c r="H2167" s="5">
        <v>1092.756100</v>
      </c>
    </row>
    <row r="2168" spans="1:9">
      <c r="A2168" s="22" t="str">
        <f>HYPERLINK("https://app.vivvix.com/360/KMI/IntelliDrive/ApplUI/Pages/CreativePages/CustomReportCreativeDetail.aspx?App=23&amp;ReportView=4&amp;Qid=1711279&amp;Row=2160&amp;Col=1","No Title Assigned - #15267042730")</f>
        <v/>
      </c>
      <c r="B2168" s="0" t="s">
        <v>3286</v>
      </c>
      <c r="C2168" s="0" t="s">
        <v>3287</v>
      </c>
      <c r="D2168" s="0" t="s">
        <v>3287</v>
      </c>
      <c r="E2168" s="0" t="inlineStr">
        <is>
          <t xml:space="preserve">Mazda</t>
        </is>
      </c>
      <c r="F2168" s="0" t="s">
        <v>28</v>
      </c>
      <c r="G2168" s="0" t="s">
        <v>29</v>
      </c>
      <c r="H2168" s="5">
        <v>1018.742100</v>
      </c>
    </row>
    <row r="2169" spans="1:9">
      <c r="A2169" s="22" t="str">
        <f>HYPERLINK("https://app.vivvix.com/360/KMI/IntelliDrive/ApplUI/Pages/CreativePages/CustomReportCreativeDetail.aspx?App=23&amp;ReportView=4&amp;Qid=1711279&amp;Row=2161&amp;Col=1","No Title Assigned - #15267042730")</f>
        <v/>
      </c>
      <c r="B2169" s="0" t="s">
        <v>3286</v>
      </c>
      <c r="E2169" s="0" t="inlineStr">
        <is>
          <t xml:space="preserve">Mazda</t>
        </is>
      </c>
      <c r="F2169" s="0" t="s">
        <v>28</v>
      </c>
      <c r="G2169" s="0" t="s">
        <v>29</v>
      </c>
      <c r="H2169" s="5">
        <v>278.679300</v>
      </c>
    </row>
    <row r="2170" spans="1:9">
      <c r="A2170" s="22" t="str">
        <f>HYPERLINK("https://app.vivvix.com/360/KMI/IntelliDrive/ApplUI/Pages/CreativePages/CustomReportCreativeDetail.aspx?App=23&amp;ReportView=4&amp;Qid=1711279&amp;Row=2162&amp;Col=1","No Title Assigned - #15267042973")</f>
        <v/>
      </c>
      <c r="B2170" s="0" t="s">
        <v>3288</v>
      </c>
      <c r="C2170" s="0" t="s">
        <v>3289</v>
      </c>
      <c r="D2170" s="0" t="s">
        <v>3289</v>
      </c>
      <c r="E2170" s="0" t="inlineStr">
        <is>
          <t xml:space="preserve">Mazda</t>
        </is>
      </c>
      <c r="F2170" s="0" t="inlineStr">
        <is>
          <t xml:space="preserve">Mazda</t>
        </is>
      </c>
      <c r="G2170" s="0" t="s">
        <v>171</v>
      </c>
      <c r="H2170" s="5">
        <v>1016.898200</v>
      </c>
    </row>
    <row r="2171" spans="1:9">
      <c r="A2171" s="22" t="str">
        <f>HYPERLINK("https://app.vivvix.com/360/KMI/IntelliDrive/ApplUI/Pages/CreativePages/CustomReportCreativeDetail.aspx?App=23&amp;ReportView=4&amp;Qid=1711279&amp;Row=2163&amp;Col=1","No Title Assigned - #15267042973")</f>
        <v/>
      </c>
      <c r="B2171" s="0" t="s">
        <v>3288</v>
      </c>
      <c r="E2171" s="0" t="inlineStr">
        <is>
          <t xml:space="preserve">Mazda</t>
        </is>
      </c>
      <c r="F2171" s="0" t="inlineStr">
        <is>
          <t xml:space="preserve">Mazda</t>
        </is>
      </c>
      <c r="G2171" s="0" t="s">
        <v>171</v>
      </c>
      <c r="H2171" s="5">
        <v>2720.851000</v>
      </c>
    </row>
    <row r="2172" spans="1:9">
      <c r="A2172" s="22" t="str">
        <f>HYPERLINK("https://app.vivvix.com/360/KMI/IntelliDrive/ApplUI/Pages/CreativePages/CustomReportCreativeDetail.aspx?App=23&amp;ReportView=4&amp;Qid=1711279&amp;Row=2164&amp;Col=1","No Title Assigned - #15267043020")</f>
        <v/>
      </c>
      <c r="B2172" s="0" t="s">
        <v>3290</v>
      </c>
      <c r="C2172" s="0" t="s">
        <v>3291</v>
      </c>
      <c r="D2172" s="0" t="s">
        <v>3291</v>
      </c>
      <c r="E2172" s="0" t="inlineStr">
        <is>
          <t xml:space="preserve">Mazda</t>
        </is>
      </c>
      <c r="F2172" s="0" t="s">
        <v>28</v>
      </c>
      <c r="G2172" s="0" t="s">
        <v>29</v>
      </c>
      <c r="H2172" s="5">
        <v>758.748800</v>
      </c>
    </row>
    <row r="2173" spans="1:9">
      <c r="A2173" s="22" t="str">
        <f>HYPERLINK("https://app.vivvix.com/360/KMI/IntelliDrive/ApplUI/Pages/CreativePages/CustomReportCreativeDetail.aspx?App=23&amp;ReportView=4&amp;Qid=1711279&amp;Row=2165&amp;Col=1","No Title Assigned - #15267043020")</f>
        <v/>
      </c>
      <c r="B2173" s="0" t="s">
        <v>3290</v>
      </c>
      <c r="E2173" s="0" t="inlineStr">
        <is>
          <t xml:space="preserve">Mazda</t>
        </is>
      </c>
      <c r="F2173" s="0" t="s">
        <v>28</v>
      </c>
      <c r="G2173" s="0" t="s">
        <v>29</v>
      </c>
      <c r="H2173" s="5">
        <v>1032.113600</v>
      </c>
    </row>
    <row r="2174" spans="1:9">
      <c r="A2174" s="22" t="str">
        <f>HYPERLINK("https://app.vivvix.com/360/KMI/IntelliDrive/ApplUI/Pages/CreativePages/CustomReportCreativeDetail.aspx?App=23&amp;ReportView=4&amp;Qid=1711279&amp;Row=2166&amp;Col=1","No Title Assigned - #15267043057")</f>
        <v/>
      </c>
      <c r="B2174" s="0" t="s">
        <v>3292</v>
      </c>
      <c r="C2174" s="0" t="s">
        <v>3293</v>
      </c>
      <c r="D2174" s="0" t="s">
        <v>3293</v>
      </c>
      <c r="E2174" s="0" t="inlineStr">
        <is>
          <t xml:space="preserve">Mazda</t>
        </is>
      </c>
      <c r="F2174" s="0" t="s">
        <v>28</v>
      </c>
      <c r="G2174" s="0" t="s">
        <v>29</v>
      </c>
      <c r="H2174" s="5">
        <v>99.899200</v>
      </c>
    </row>
    <row r="2175" spans="1:9">
      <c r="A2175" s="22" t="str">
        <f>HYPERLINK("https://app.vivvix.com/360/KMI/IntelliDrive/ApplUI/Pages/CreativePages/CustomReportCreativeDetail.aspx?App=23&amp;ReportView=4&amp;Qid=1711279&amp;Row=2167&amp;Col=1","No Title Assigned - #15267043260")</f>
        <v/>
      </c>
      <c r="B2175" s="0" t="s">
        <v>3294</v>
      </c>
      <c r="C2175" s="0" t="s">
        <v>3295</v>
      </c>
      <c r="D2175" s="0" t="s">
        <v>3295</v>
      </c>
      <c r="E2175" s="0" t="inlineStr">
        <is>
          <t xml:space="preserve">Mazda</t>
        </is>
      </c>
      <c r="F2175" s="0" t="s">
        <v>28</v>
      </c>
      <c r="G2175" s="0" t="s">
        <v>29</v>
      </c>
      <c r="H2175" s="5">
        <v>7424.315900</v>
      </c>
    </row>
    <row r="2176" spans="1:9">
      <c r="A2176" s="22" t="str">
        <f>HYPERLINK("https://app.vivvix.com/360/KMI/IntelliDrive/ApplUI/Pages/CreativePages/CustomReportCreativeDetail.aspx?App=23&amp;ReportView=4&amp;Qid=1711279&amp;Row=2168&amp;Col=1","No Title Assigned - #15267043330")</f>
        <v/>
      </c>
      <c r="B2176" s="0" t="s">
        <v>3296</v>
      </c>
      <c r="C2176" s="0" t="s">
        <v>3297</v>
      </c>
      <c r="D2176" s="0" t="s">
        <v>3297</v>
      </c>
      <c r="E2176" s="0" t="inlineStr">
        <is>
          <t xml:space="preserve">Mazda</t>
        </is>
      </c>
      <c r="F2176" s="0" t="s">
        <v>28</v>
      </c>
      <c r="G2176" s="0" t="s">
        <v>29</v>
      </c>
      <c r="H2176" s="5">
        <v>3152.884000</v>
      </c>
    </row>
    <row r="2177" spans="1:9">
      <c r="A2177" s="22" t="str">
        <f>HYPERLINK("https://app.vivvix.com/360/KMI/IntelliDrive/ApplUI/Pages/CreativePages/CustomReportCreativeDetail.aspx?App=23&amp;ReportView=4&amp;Qid=1711279&amp;Row=2169&amp;Col=1","No Title Assigned - #15267043330")</f>
        <v/>
      </c>
      <c r="B2177" s="0" t="s">
        <v>3296</v>
      </c>
      <c r="E2177" s="0" t="inlineStr">
        <is>
          <t xml:space="preserve">Mazda</t>
        </is>
      </c>
      <c r="F2177" s="0" t="s">
        <v>28</v>
      </c>
      <c r="G2177" s="0" t="s">
        <v>29</v>
      </c>
      <c r="H2177" s="5">
        <v>89.112500</v>
      </c>
    </row>
    <row r="2178" spans="1:9">
      <c r="A2178" s="22" t="str">
        <f>HYPERLINK("https://app.vivvix.com/360/KMI/IntelliDrive/ApplUI/Pages/CreativePages/CustomReportCreativeDetail.aspx?App=23&amp;ReportView=4&amp;Qid=1711279&amp;Row=2170&amp;Col=1","No Title Assigned - #15267043503")</f>
        <v/>
      </c>
      <c r="B2178" s="0" t="s">
        <v>3298</v>
      </c>
      <c r="C2178" s="0" t="s">
        <v>3299</v>
      </c>
      <c r="D2178" s="0" t="s">
        <v>3299</v>
      </c>
      <c r="E2178" s="0" t="inlineStr">
        <is>
          <t xml:space="preserve">Mazda</t>
        </is>
      </c>
      <c r="F2178" s="0" t="s">
        <v>28</v>
      </c>
      <c r="G2178" s="0" t="s">
        <v>29</v>
      </c>
      <c r="H2178" s="5">
        <v>379.883900</v>
      </c>
    </row>
    <row r="2179" spans="1:9">
      <c r="A2179" s="22" t="str">
        <f>HYPERLINK("https://app.vivvix.com/360/KMI/IntelliDrive/ApplUI/Pages/CreativePages/CustomReportCreativeDetail.aspx?App=23&amp;ReportView=4&amp;Qid=1711279&amp;Row=2171&amp;Col=1","No Title Assigned - #15267043592")</f>
        <v/>
      </c>
      <c r="B2179" s="0" t="s">
        <v>3300</v>
      </c>
      <c r="C2179" s="0" t="s">
        <v>3301</v>
      </c>
      <c r="D2179" s="0" t="s">
        <v>3301</v>
      </c>
      <c r="E2179" s="0" t="inlineStr">
        <is>
          <t xml:space="preserve">Mazda</t>
        </is>
      </c>
      <c r="F2179" s="0" t="s">
        <v>28</v>
      </c>
      <c r="G2179" s="0" t="s">
        <v>29</v>
      </c>
      <c r="H2179" s="5">
        <v>636.088100</v>
      </c>
    </row>
    <row r="2180" spans="1:9">
      <c r="A2180" s="22" t="str">
        <f>HYPERLINK("https://app.vivvix.com/360/KMI/IntelliDrive/ApplUI/Pages/CreativePages/CustomReportCreativeDetail.aspx?App=23&amp;ReportView=4&amp;Qid=1711279&amp;Row=2172&amp;Col=1","No Title Assigned - #15267043780")</f>
        <v/>
      </c>
      <c r="B2180" s="0" t="s">
        <v>3302</v>
      </c>
      <c r="C2180" s="0" t="s">
        <v>3303</v>
      </c>
      <c r="D2180" s="0" t="s">
        <v>3303</v>
      </c>
      <c r="E2180" s="0" t="inlineStr">
        <is>
          <t xml:space="preserve">Mazda</t>
        </is>
      </c>
      <c r="F2180" s="0" t="s">
        <v>28</v>
      </c>
      <c r="G2180" s="0" t="s">
        <v>29</v>
      </c>
      <c r="H2180" s="5">
        <v>209.685500</v>
      </c>
    </row>
    <row r="2181" spans="1:9">
      <c r="A2181" s="22" t="str">
        <f>HYPERLINK("https://app.vivvix.com/360/KMI/IntelliDrive/ApplUI/Pages/CreativePages/CustomReportCreativeDetail.aspx?App=23&amp;ReportView=4&amp;Qid=1711279&amp;Row=2173&amp;Col=1","No Title Assigned - #15267043812")</f>
        <v/>
      </c>
      <c r="B2181" s="0" t="s">
        <v>3304</v>
      </c>
      <c r="E2181" s="0" t="inlineStr">
        <is>
          <t xml:space="preserve">Mazda</t>
        </is>
      </c>
      <c r="F2181" s="0" t="inlineStr">
        <is>
          <t xml:space="preserve">Mazda</t>
        </is>
      </c>
      <c r="G2181" s="0" t="s">
        <v>171</v>
      </c>
      <c r="H2181" s="5">
        <v>1866.382100</v>
      </c>
    </row>
    <row r="2182" spans="1:9">
      <c r="A2182" s="22" t="str">
        <f>HYPERLINK("https://app.vivvix.com/360/KMI/IntelliDrive/ApplUI/Pages/CreativePages/CustomReportCreativeDetail.aspx?App=23&amp;ReportView=4&amp;Qid=1711279&amp;Row=2174&amp;Col=1","No Title Assigned - #15267043938")</f>
        <v/>
      </c>
      <c r="B2182" s="0" t="s">
        <v>3305</v>
      </c>
      <c r="C2182" s="0" t="s">
        <v>3306</v>
      </c>
      <c r="D2182" s="0" t="s">
        <v>3306</v>
      </c>
      <c r="E2182" s="0" t="inlineStr">
        <is>
          <t xml:space="preserve">Mazda</t>
        </is>
      </c>
      <c r="F2182" s="0" t="s">
        <v>28</v>
      </c>
      <c r="G2182" s="0" t="s">
        <v>29</v>
      </c>
      <c r="H2182" s="5">
        <v>703.496100</v>
      </c>
    </row>
    <row r="2183" spans="1:9">
      <c r="A2183" s="22" t="str">
        <f>HYPERLINK("https://app.vivvix.com/360/KMI/IntelliDrive/ApplUI/Pages/CreativePages/CustomReportCreativeDetail.aspx?App=23&amp;ReportView=4&amp;Qid=1711279&amp;Row=2175&amp;Col=1","No Title Assigned - #15267043938")</f>
        <v/>
      </c>
      <c r="B2183" s="0" t="s">
        <v>3305</v>
      </c>
      <c r="E2183" s="0" t="inlineStr">
        <is>
          <t xml:space="preserve">Mazda</t>
        </is>
      </c>
      <c r="F2183" s="0" t="s">
        <v>28</v>
      </c>
      <c r="G2183" s="0" t="s">
        <v>29</v>
      </c>
      <c r="H2183" s="5">
        <v>32.724100</v>
      </c>
    </row>
    <row r="2184" spans="1:9">
      <c r="A2184" s="22" t="str">
        <f>HYPERLINK("https://app.vivvix.com/360/KMI/IntelliDrive/ApplUI/Pages/CreativePages/CustomReportCreativeDetail.aspx?App=23&amp;ReportView=4&amp;Qid=1711279&amp;Row=2176&amp;Col=1","No Title Assigned - #15267044120")</f>
        <v/>
      </c>
      <c r="B2184" s="0" t="s">
        <v>3307</v>
      </c>
      <c r="C2184" s="0" t="s">
        <v>3308</v>
      </c>
      <c r="D2184" s="0" t="s">
        <v>3308</v>
      </c>
      <c r="E2184" s="0" t="inlineStr">
        <is>
          <t xml:space="preserve">Mazda</t>
        </is>
      </c>
      <c r="F2184" s="0" t="s">
        <v>28</v>
      </c>
      <c r="G2184" s="0" t="s">
        <v>29</v>
      </c>
      <c r="H2184" s="5">
        <v>3910.562300</v>
      </c>
    </row>
    <row r="2185" spans="1:9">
      <c r="A2185" s="22" t="str">
        <f>HYPERLINK("https://app.vivvix.com/360/KMI/IntelliDrive/ApplUI/Pages/CreativePages/CustomReportCreativeDetail.aspx?App=23&amp;ReportView=4&amp;Qid=1711279&amp;Row=2177&amp;Col=1","No Title Assigned - #15267044120")</f>
        <v/>
      </c>
      <c r="B2185" s="0" t="s">
        <v>3307</v>
      </c>
      <c r="E2185" s="0" t="inlineStr">
        <is>
          <t xml:space="preserve">Mazda</t>
        </is>
      </c>
      <c r="F2185" s="0" t="s">
        <v>28</v>
      </c>
      <c r="G2185" s="0" t="s">
        <v>29</v>
      </c>
      <c r="H2185" s="5">
        <v>340.769400</v>
      </c>
    </row>
    <row r="2186" spans="1:9">
      <c r="A2186" s="22" t="str">
        <f>HYPERLINK("https://app.vivvix.com/360/KMI/IntelliDrive/ApplUI/Pages/CreativePages/CustomReportCreativeDetail.aspx?App=23&amp;ReportView=4&amp;Qid=1711279&amp;Row=2178&amp;Col=1","No Title Assigned - #15267044214")</f>
        <v/>
      </c>
      <c r="B2186" s="0" t="s">
        <v>3309</v>
      </c>
      <c r="E2186" s="0" t="inlineStr">
        <is>
          <t xml:space="preserve">Mazda</t>
        </is>
      </c>
      <c r="F2186" s="0" t="s">
        <v>28</v>
      </c>
      <c r="G2186" s="0" t="s">
        <v>29</v>
      </c>
      <c r="H2186" s="5">
        <v>60487.793400</v>
      </c>
    </row>
    <row r="2187" spans="1:9">
      <c r="A2187" s="22" t="str">
        <f>HYPERLINK("https://app.vivvix.com/360/KMI/IntelliDrive/ApplUI/Pages/CreativePages/CustomReportCreativeDetail.aspx?App=23&amp;ReportView=4&amp;Qid=1711279&amp;Row=2179&amp;Col=1","No Title Assigned - #15267044214")</f>
        <v/>
      </c>
      <c r="B2187" s="0" t="s">
        <v>3309</v>
      </c>
      <c r="C2187" s="0" t="s">
        <v>3310</v>
      </c>
      <c r="D2187" s="0" t="s">
        <v>3310</v>
      </c>
      <c r="E2187" s="0" t="inlineStr">
        <is>
          <t xml:space="preserve">Mazda</t>
        </is>
      </c>
      <c r="F2187" s="0" t="s">
        <v>28</v>
      </c>
      <c r="G2187" s="0" t="s">
        <v>29</v>
      </c>
      <c r="H2187" s="5">
        <v>30998.597800</v>
      </c>
    </row>
    <row r="2188" spans="1:9">
      <c r="A2188" s="22" t="str">
        <f>HYPERLINK("https://app.vivvix.com/360/KMI/IntelliDrive/ApplUI/Pages/CreativePages/CustomReportCreativeDetail.aspx?App=23&amp;ReportView=4&amp;Qid=1711279&amp;Row=2180&amp;Col=1","No Title Assigned - #15267045227")</f>
        <v/>
      </c>
      <c r="B2188" s="0" t="s">
        <v>3311</v>
      </c>
      <c r="C2188" s="0" t="s">
        <v>3312</v>
      </c>
      <c r="D2188" s="0" t="s">
        <v>3312</v>
      </c>
      <c r="E2188" s="0" t="inlineStr">
        <is>
          <t xml:space="preserve">Mazda</t>
        </is>
      </c>
      <c r="F2188" s="0" t="s">
        <v>28</v>
      </c>
      <c r="G2188" s="0" t="s">
        <v>29</v>
      </c>
      <c r="H2188" s="5">
        <v>242.363500</v>
      </c>
    </row>
    <row r="2189" spans="1:9">
      <c r="A2189" s="22" t="str">
        <f>HYPERLINK("https://app.vivvix.com/360/KMI/IntelliDrive/ApplUI/Pages/CreativePages/CustomReportCreativeDetail.aspx?App=23&amp;ReportView=4&amp;Qid=1711279&amp;Row=2181&amp;Col=1","No Title Assigned - #15267045229")</f>
        <v/>
      </c>
      <c r="B2189" s="0" t="s">
        <v>3313</v>
      </c>
      <c r="C2189" s="0" t="s">
        <v>3314</v>
      </c>
      <c r="D2189" s="0" t="s">
        <v>3314</v>
      </c>
      <c r="E2189" s="0" t="inlineStr">
        <is>
          <t xml:space="preserve">Mazda</t>
        </is>
      </c>
      <c r="F2189" s="0" t="s">
        <v>28</v>
      </c>
      <c r="G2189" s="0" t="s">
        <v>29</v>
      </c>
      <c r="H2189" s="5">
        <v>242.363500</v>
      </c>
    </row>
    <row r="2190" spans="1:9">
      <c r="A2190" s="22" t="str">
        <f>HYPERLINK("https://app.vivvix.com/360/KMI/IntelliDrive/ApplUI/Pages/CreativePages/CustomReportCreativeDetail.aspx?App=23&amp;ReportView=4&amp;Qid=1711279&amp;Row=2182&amp;Col=1","No Title Assigned - #15267045230")</f>
        <v/>
      </c>
      <c r="B2190" s="0" t="s">
        <v>3315</v>
      </c>
      <c r="C2190" s="0" t="s">
        <v>3316</v>
      </c>
      <c r="D2190" s="0" t="s">
        <v>3316</v>
      </c>
      <c r="E2190" s="0" t="inlineStr">
        <is>
          <t xml:space="preserve">Mazda</t>
        </is>
      </c>
      <c r="F2190" s="0" t="s">
        <v>28</v>
      </c>
      <c r="G2190" s="0" t="s">
        <v>29</v>
      </c>
      <c r="H2190" s="5">
        <v>242.363500</v>
      </c>
    </row>
    <row r="2191" spans="1:9">
      <c r="A2191" s="22" t="str">
        <f>HYPERLINK("https://app.vivvix.com/360/KMI/IntelliDrive/ApplUI/Pages/CreativePages/CustomReportCreativeDetail.aspx?App=23&amp;ReportView=4&amp;Qid=1711279&amp;Row=2183&amp;Col=1","No Title Assigned - #15267045363")</f>
        <v/>
      </c>
      <c r="B2191" s="0" t="s">
        <v>3317</v>
      </c>
      <c r="C2191" s="0" t="s">
        <v>3318</v>
      </c>
      <c r="D2191" s="0" t="s">
        <v>3318</v>
      </c>
      <c r="E2191" s="0" t="inlineStr">
        <is>
          <t xml:space="preserve">Mazda</t>
        </is>
      </c>
      <c r="F2191" s="0" t="s">
        <v>28</v>
      </c>
      <c r="G2191" s="0" t="s">
        <v>29</v>
      </c>
      <c r="H2191" s="5">
        <v>310.916300</v>
      </c>
    </row>
    <row r="2192" spans="1:9">
      <c r="A2192" s="22" t="str">
        <f>HYPERLINK("https://app.vivvix.com/360/KMI/IntelliDrive/ApplUI/Pages/CreativePages/CustomReportCreativeDetail.aspx?App=23&amp;ReportView=4&amp;Qid=1711279&amp;Row=2184&amp;Col=1","No Title Assigned - #15267045893")</f>
        <v/>
      </c>
      <c r="B2192" s="0" t="s">
        <v>3319</v>
      </c>
      <c r="C2192" s="0" t="s">
        <v>3320</v>
      </c>
      <c r="D2192" s="0" t="s">
        <v>3320</v>
      </c>
      <c r="E2192" s="0" t="inlineStr">
        <is>
          <t xml:space="preserve">Mazda</t>
        </is>
      </c>
      <c r="F2192" s="0" t="s">
        <v>28</v>
      </c>
      <c r="G2192" s="0" t="s">
        <v>29</v>
      </c>
      <c r="H2192" s="5">
        <v>271927.826900</v>
      </c>
    </row>
    <row r="2193" spans="1:9">
      <c r="A2193" s="22" t="str">
        <f>HYPERLINK("https://app.vivvix.com/360/KMI/IntelliDrive/ApplUI/Pages/CreativePages/CustomReportCreativeDetail.aspx?App=23&amp;ReportView=4&amp;Qid=1711279&amp;Row=2185&amp;Col=1","No Title Assigned - #15267050230")</f>
        <v/>
      </c>
      <c r="B2193" s="0" t="s">
        <v>3321</v>
      </c>
      <c r="C2193" s="0" t="s">
        <v>3322</v>
      </c>
      <c r="D2193" s="0" t="s">
        <v>3322</v>
      </c>
      <c r="E2193" s="0" t="inlineStr">
        <is>
          <t xml:space="preserve">Mazda</t>
        </is>
      </c>
      <c r="F2193" s="0" t="s">
        <v>28</v>
      </c>
      <c r="G2193" s="0" t="s">
        <v>29</v>
      </c>
      <c r="H2193" s="5">
        <v>383.132700</v>
      </c>
    </row>
    <row r="2194" spans="1:9">
      <c r="A2194" s="22" t="str">
        <f>HYPERLINK("https://app.vivvix.com/360/KMI/IntelliDrive/ApplUI/Pages/CreativePages/CustomReportCreativeDetail.aspx?App=23&amp;ReportView=4&amp;Qid=1711279&amp;Row=2186&amp;Col=1","No Title Assigned - #15267050983")</f>
        <v/>
      </c>
      <c r="B2194" s="0" t="s">
        <v>3323</v>
      </c>
      <c r="C2194" s="0" t="s">
        <v>3324</v>
      </c>
      <c r="D2194" s="0" t="s">
        <v>3324</v>
      </c>
      <c r="E2194" s="0" t="inlineStr">
        <is>
          <t xml:space="preserve">Mazda</t>
        </is>
      </c>
      <c r="F2194" s="0" t="s">
        <v>28</v>
      </c>
      <c r="G2194" s="0" t="s">
        <v>29</v>
      </c>
      <c r="H2194" s="5">
        <v>455.334400</v>
      </c>
    </row>
    <row r="2195" spans="1:9">
      <c r="A2195" s="22" t="str">
        <f>HYPERLINK("https://app.vivvix.com/360/KMI/IntelliDrive/ApplUI/Pages/CreativePages/CustomReportCreativeDetail.aspx?App=23&amp;ReportView=4&amp;Qid=1711279&amp;Row=2187&amp;Col=1","No Title Assigned - #15267052175")</f>
        <v/>
      </c>
      <c r="B2195" s="0" t="s">
        <v>3325</v>
      </c>
      <c r="C2195" s="0" t="s">
        <v>3326</v>
      </c>
      <c r="D2195" s="0" t="s">
        <v>3326</v>
      </c>
      <c r="E2195" s="0" t="inlineStr">
        <is>
          <t xml:space="preserve">Mazda</t>
        </is>
      </c>
      <c r="F2195" s="0" t="s">
        <v>28</v>
      </c>
      <c r="G2195" s="0" t="s">
        <v>29</v>
      </c>
      <c r="H2195" s="5">
        <v>1032.461500</v>
      </c>
    </row>
    <row r="2196" spans="1:9">
      <c r="A2196" s="22" t="str">
        <f>HYPERLINK("https://app.vivvix.com/360/KMI/IntelliDrive/ApplUI/Pages/CreativePages/CustomReportCreativeDetail.aspx?App=23&amp;ReportView=4&amp;Qid=1711279&amp;Row=2188&amp;Col=1","No Title Assigned - #15267053368")</f>
        <v/>
      </c>
      <c r="B2196" s="0" t="s">
        <v>3327</v>
      </c>
      <c r="C2196" s="0" t="s">
        <v>3328</v>
      </c>
      <c r="D2196" s="0" t="s">
        <v>3328</v>
      </c>
      <c r="E2196" s="0" t="inlineStr">
        <is>
          <t xml:space="preserve">Mazda</t>
        </is>
      </c>
      <c r="F2196" s="0" t="s">
        <v>28</v>
      </c>
      <c r="G2196" s="0" t="s">
        <v>29</v>
      </c>
      <c r="H2196" s="5">
        <v>21833.388400</v>
      </c>
    </row>
    <row r="2197" spans="1:9">
      <c r="A2197" s="22" t="str">
        <f>HYPERLINK("https://app.vivvix.com/360/KMI/IntelliDrive/ApplUI/Pages/CreativePages/CustomReportCreativeDetail.aspx?App=23&amp;ReportView=4&amp;Qid=1711279&amp;Row=2189&amp;Col=1","No Title Assigned - #15267053368")</f>
        <v/>
      </c>
      <c r="B2197" s="0" t="s">
        <v>3327</v>
      </c>
      <c r="E2197" s="0" t="inlineStr">
        <is>
          <t xml:space="preserve">Mazda</t>
        </is>
      </c>
      <c r="F2197" s="0" t="s">
        <v>28</v>
      </c>
      <c r="G2197" s="0" t="s">
        <v>29</v>
      </c>
      <c r="H2197" s="5">
        <v>2387.695300</v>
      </c>
    </row>
    <row r="2198" spans="1:9">
      <c r="A2198" s="22" t="str">
        <f>HYPERLINK("https://app.vivvix.com/360/KMI/IntelliDrive/ApplUI/Pages/CreativePages/CustomReportCreativeDetail.aspx?App=23&amp;ReportView=4&amp;Qid=1711279&amp;Row=2190&amp;Col=1","No Title Assigned - #15267053424")</f>
        <v/>
      </c>
      <c r="B2198" s="0" t="s">
        <v>3329</v>
      </c>
      <c r="C2198" s="0" t="s">
        <v>3330</v>
      </c>
      <c r="D2198" s="0" t="s">
        <v>3330</v>
      </c>
      <c r="E2198" s="0" t="inlineStr">
        <is>
          <t xml:space="preserve">Mazda</t>
        </is>
      </c>
      <c r="F2198" s="0" t="s">
        <v>28</v>
      </c>
      <c r="G2198" s="0" t="s">
        <v>29</v>
      </c>
      <c r="H2198" s="5">
        <v>480.722000</v>
      </c>
    </row>
    <row r="2199" spans="1:9">
      <c r="A2199" s="22" t="str">
        <f>HYPERLINK("https://app.vivvix.com/360/KMI/IntelliDrive/ApplUI/Pages/CreativePages/CustomReportCreativeDetail.aspx?App=23&amp;ReportView=4&amp;Qid=1711279&amp;Row=2191&amp;Col=1","No Title Assigned - #15267059256")</f>
        <v/>
      </c>
      <c r="B2199" s="0" t="s">
        <v>3331</v>
      </c>
      <c r="C2199" s="0" t="s">
        <v>3332</v>
      </c>
      <c r="D2199" s="0" t="s">
        <v>3332</v>
      </c>
      <c r="E2199" s="0" t="inlineStr">
        <is>
          <t xml:space="preserve">Mazda</t>
        </is>
      </c>
      <c r="F2199" s="0" t="s">
        <v>28</v>
      </c>
      <c r="G2199" s="0" t="s">
        <v>29</v>
      </c>
      <c r="H2199" s="5">
        <v>154.484800</v>
      </c>
    </row>
    <row r="2200" spans="1:9">
      <c r="A2200" s="22" t="str">
        <f>HYPERLINK("https://app.vivvix.com/360/KMI/IntelliDrive/ApplUI/Pages/CreativePages/CustomReportCreativeDetail.aspx?App=23&amp;ReportView=4&amp;Qid=1711279&amp;Row=2192&amp;Col=1","No Title Assigned - #15267059389")</f>
        <v/>
      </c>
      <c r="B2200" s="0" t="s">
        <v>3333</v>
      </c>
      <c r="C2200" s="0" t="s">
        <v>3334</v>
      </c>
      <c r="D2200" s="0" t="s">
        <v>3334</v>
      </c>
      <c r="E2200" s="0" t="inlineStr">
        <is>
          <t xml:space="preserve">Mazda</t>
        </is>
      </c>
      <c r="F2200" s="0" t="s">
        <v>28</v>
      </c>
      <c r="G2200" s="0" t="s">
        <v>29</v>
      </c>
      <c r="H2200" s="5">
        <v>2327.804600</v>
      </c>
    </row>
    <row r="2201" spans="1:9">
      <c r="A2201" s="22" t="str">
        <f>HYPERLINK("https://app.vivvix.com/360/KMI/IntelliDrive/ApplUI/Pages/CreativePages/CustomReportCreativeDetail.aspx?App=23&amp;ReportView=4&amp;Qid=1711279&amp;Row=2193&amp;Col=1","No Title Assigned - #15267059389")</f>
        <v/>
      </c>
      <c r="B2201" s="0" t="s">
        <v>3333</v>
      </c>
      <c r="E2201" s="0" t="inlineStr">
        <is>
          <t xml:space="preserve">Mazda</t>
        </is>
      </c>
      <c r="F2201" s="0" t="s">
        <v>28</v>
      </c>
      <c r="G2201" s="0" t="s">
        <v>29</v>
      </c>
      <c r="H2201" s="5">
        <v>1935.745900</v>
      </c>
    </row>
    <row r="2202" spans="1:9">
      <c r="A2202" s="22" t="str">
        <f>HYPERLINK("https://app.vivvix.com/360/KMI/IntelliDrive/ApplUI/Pages/CreativePages/CustomReportCreativeDetail.aspx?App=23&amp;ReportView=4&amp;Qid=1711279&amp;Row=2194&amp;Col=1","No Title Assigned - #15267059665")</f>
        <v/>
      </c>
      <c r="B2202" s="0" t="s">
        <v>3335</v>
      </c>
      <c r="C2202" s="0" t="s">
        <v>3336</v>
      </c>
      <c r="D2202" s="0" t="s">
        <v>3336</v>
      </c>
      <c r="E2202" s="0" t="inlineStr">
        <is>
          <t xml:space="preserve">Mazda</t>
        </is>
      </c>
      <c r="F2202" s="0" t="s">
        <v>28</v>
      </c>
      <c r="G2202" s="0" t="s">
        <v>29</v>
      </c>
      <c r="H2202" s="5">
        <v>4426.709500</v>
      </c>
    </row>
    <row r="2203" spans="1:9">
      <c r="A2203" s="22" t="str">
        <f>HYPERLINK("https://app.vivvix.com/360/KMI/IntelliDrive/ApplUI/Pages/CreativePages/CustomReportCreativeDetail.aspx?App=23&amp;ReportView=4&amp;Qid=1711279&amp;Row=2195&amp;Col=1","No Title Assigned - #15267059665")</f>
        <v/>
      </c>
      <c r="B2203" s="0" t="s">
        <v>3335</v>
      </c>
      <c r="E2203" s="0" t="inlineStr">
        <is>
          <t xml:space="preserve">Mazda</t>
        </is>
      </c>
      <c r="F2203" s="0" t="s">
        <v>28</v>
      </c>
      <c r="G2203" s="0" t="s">
        <v>29</v>
      </c>
      <c r="H2203" s="5">
        <v>6814.932800</v>
      </c>
    </row>
    <row r="2204" spans="1:9">
      <c r="A2204" s="22" t="str">
        <f>HYPERLINK("https://app.vivvix.com/360/KMI/IntelliDrive/ApplUI/Pages/CreativePages/CustomReportCreativeDetail.aspx?App=23&amp;ReportView=4&amp;Qid=1711279&amp;Row=2196&amp;Col=1","No Title Assigned - #15267064965")</f>
        <v/>
      </c>
      <c r="B2204" s="0" t="s">
        <v>3337</v>
      </c>
      <c r="C2204" s="0" t="s">
        <v>3338</v>
      </c>
      <c r="D2204" s="0" t="s">
        <v>3338</v>
      </c>
      <c r="E2204" s="0" t="inlineStr">
        <is>
          <t xml:space="preserve">Mazda</t>
        </is>
      </c>
      <c r="F2204" s="0" t="s">
        <v>28</v>
      </c>
      <c r="G2204" s="0" t="s">
        <v>29</v>
      </c>
      <c r="H2204" s="5">
        <v>5228.275200</v>
      </c>
    </row>
    <row r="2205" spans="1:9">
      <c r="A2205" s="22" t="str">
        <f>HYPERLINK("https://app.vivvix.com/360/KMI/IntelliDrive/ApplUI/Pages/CreativePages/CustomReportCreativeDetail.aspx?App=23&amp;ReportView=4&amp;Qid=1711279&amp;Row=2197&amp;Col=1","No Title Assigned - #15267065006")</f>
        <v/>
      </c>
      <c r="B2205" s="0" t="s">
        <v>3339</v>
      </c>
      <c r="C2205" s="0" t="s">
        <v>3340</v>
      </c>
      <c r="D2205" s="0" t="s">
        <v>3340</v>
      </c>
      <c r="E2205" s="0" t="inlineStr">
        <is>
          <t xml:space="preserve">Mazda</t>
        </is>
      </c>
      <c r="F2205" s="0" t="s">
        <v>28</v>
      </c>
      <c r="G2205" s="0" t="s">
        <v>29</v>
      </c>
      <c r="H2205" s="5">
        <v>164.066000</v>
      </c>
    </row>
    <row r="2206" spans="1:9">
      <c r="A2206" s="22" t="str">
        <f>HYPERLINK("https://app.vivvix.com/360/KMI/IntelliDrive/ApplUI/Pages/CreativePages/CustomReportCreativeDetail.aspx?App=23&amp;ReportView=4&amp;Qid=1711279&amp;Row=2198&amp;Col=1","No Title Assigned - #15267065586")</f>
        <v/>
      </c>
      <c r="B2206" s="0" t="s">
        <v>3341</v>
      </c>
      <c r="E2206" s="0" t="inlineStr">
        <is>
          <t xml:space="preserve">Mazda</t>
        </is>
      </c>
      <c r="F2206" s="0" t="s">
        <v>204</v>
      </c>
      <c r="G2206" s="0" t="s">
        <v>205</v>
      </c>
      <c r="H2206" s="5">
        <v>481.565000</v>
      </c>
    </row>
    <row r="2207" spans="1:9">
      <c r="A2207" s="22" t="str">
        <f>HYPERLINK("https://app.vivvix.com/360/KMI/IntelliDrive/ApplUI/Pages/CreativePages/CustomReportCreativeDetail.aspx?App=23&amp;ReportView=4&amp;Qid=1711279&amp;Row=2199&amp;Col=1","No Title Assigned - #15267066080")</f>
        <v/>
      </c>
      <c r="B2207" s="0" t="s">
        <v>3342</v>
      </c>
      <c r="C2207" s="0" t="s">
        <v>3343</v>
      </c>
      <c r="D2207" s="0" t="s">
        <v>3343</v>
      </c>
      <c r="E2207" s="0" t="inlineStr">
        <is>
          <t xml:space="preserve">Mazda</t>
        </is>
      </c>
      <c r="F2207" s="0" t="s">
        <v>28</v>
      </c>
      <c r="G2207" s="0" t="s">
        <v>29</v>
      </c>
      <c r="H2207" s="5">
        <v>8998.428300</v>
      </c>
    </row>
    <row r="2208" spans="1:9">
      <c r="A2208" s="22" t="str">
        <f>HYPERLINK("https://app.vivvix.com/360/KMI/IntelliDrive/ApplUI/Pages/CreativePages/CustomReportCreativeDetail.aspx?App=23&amp;ReportView=4&amp;Qid=1711279&amp;Row=2200&amp;Col=1","No Title Assigned - #15267066080")</f>
        <v/>
      </c>
      <c r="B2208" s="0" t="s">
        <v>3342</v>
      </c>
      <c r="E2208" s="0" t="inlineStr">
        <is>
          <t xml:space="preserve">Mazda</t>
        </is>
      </c>
      <c r="F2208" s="0" t="s">
        <v>28</v>
      </c>
      <c r="G2208" s="0" t="s">
        <v>29</v>
      </c>
      <c r="H2208" s="5">
        <v>234255.230400</v>
      </c>
    </row>
    <row r="2209" spans="1:9">
      <c r="A2209" s="22" t="str">
        <f>HYPERLINK("https://app.vivvix.com/360/KMI/IntelliDrive/ApplUI/Pages/CreativePages/CustomReportCreativeDetail.aspx?App=23&amp;ReportView=4&amp;Qid=1711279&amp;Row=2201&amp;Col=1","No Title Assigned - #15267067658")</f>
        <v/>
      </c>
      <c r="B2209" s="0" t="s">
        <v>3344</v>
      </c>
      <c r="C2209" s="0" t="s">
        <v>3345</v>
      </c>
      <c r="D2209" s="0" t="s">
        <v>3345</v>
      </c>
      <c r="E2209" s="0" t="inlineStr">
        <is>
          <t xml:space="preserve">Mazda</t>
        </is>
      </c>
      <c r="F2209" s="0" t="s">
        <v>28</v>
      </c>
      <c r="G2209" s="0" t="s">
        <v>29</v>
      </c>
      <c r="H2209" s="5">
        <v>71.527600</v>
      </c>
    </row>
    <row r="2210" spans="1:9">
      <c r="A2210" s="22" t="str">
        <f>HYPERLINK("https://app.vivvix.com/360/KMI/IntelliDrive/ApplUI/Pages/CreativePages/CustomReportCreativeDetail.aspx?App=23&amp;ReportView=4&amp;Qid=1711279&amp;Row=2202&amp;Col=1","No Title Assigned - #15267067949")</f>
        <v/>
      </c>
      <c r="B2210" s="0" t="s">
        <v>3346</v>
      </c>
      <c r="C2210" s="0" t="s">
        <v>3347</v>
      </c>
      <c r="D2210" s="0" t="s">
        <v>3347</v>
      </c>
      <c r="E2210" s="0" t="inlineStr">
        <is>
          <t xml:space="preserve">Mazda</t>
        </is>
      </c>
      <c r="F2210" s="0" t="s">
        <v>28</v>
      </c>
      <c r="G2210" s="0" t="s">
        <v>29</v>
      </c>
      <c r="H2210" s="5">
        <v>9686.894000</v>
      </c>
    </row>
    <row r="2211" spans="1:9">
      <c r="A2211" s="22" t="str">
        <f>HYPERLINK("https://app.vivvix.com/360/KMI/IntelliDrive/ApplUI/Pages/CreativePages/CustomReportCreativeDetail.aspx?App=23&amp;ReportView=4&amp;Qid=1711279&amp;Row=2203&amp;Col=1","No Title Assigned - #15267067949")</f>
        <v/>
      </c>
      <c r="B2211" s="0" t="s">
        <v>3346</v>
      </c>
      <c r="E2211" s="0" t="inlineStr">
        <is>
          <t xml:space="preserve">Mazda</t>
        </is>
      </c>
      <c r="F2211" s="0" t="s">
        <v>28</v>
      </c>
      <c r="G2211" s="0" t="s">
        <v>29</v>
      </c>
      <c r="H2211" s="5">
        <v>294.598900</v>
      </c>
    </row>
    <row r="2212" spans="1:9">
      <c r="A2212" s="22" t="str">
        <f>HYPERLINK("https://app.vivvix.com/360/KMI/IntelliDrive/ApplUI/Pages/CreativePages/CustomReportCreativeDetail.aspx?App=23&amp;ReportView=4&amp;Qid=1711279&amp;Row=2204&amp;Col=1","No Title Assigned - #15267067959")</f>
        <v/>
      </c>
      <c r="B2212" s="0" t="s">
        <v>3348</v>
      </c>
      <c r="C2212" s="0" t="s">
        <v>3349</v>
      </c>
      <c r="D2212" s="0" t="s">
        <v>3349</v>
      </c>
      <c r="E2212" s="0" t="inlineStr">
        <is>
          <t xml:space="preserve">Mazda</t>
        </is>
      </c>
      <c r="F2212" s="0" t="s">
        <v>28</v>
      </c>
      <c r="G2212" s="0" t="s">
        <v>29</v>
      </c>
      <c r="H2212" s="5">
        <v>129.820800</v>
      </c>
    </row>
    <row r="2213" spans="1:9">
      <c r="A2213" s="22" t="str">
        <f>HYPERLINK("https://app.vivvix.com/360/KMI/IntelliDrive/ApplUI/Pages/CreativePages/CustomReportCreativeDetail.aspx?App=23&amp;ReportView=4&amp;Qid=1711279&amp;Row=2205&amp;Col=1","No Title Assigned - #15267067986")</f>
        <v/>
      </c>
      <c r="B2213" s="0" t="s">
        <v>3350</v>
      </c>
      <c r="C2213" s="0" t="s">
        <v>3351</v>
      </c>
      <c r="D2213" s="0" t="s">
        <v>3351</v>
      </c>
      <c r="E2213" s="0" t="inlineStr">
        <is>
          <t xml:space="preserve">Mazda</t>
        </is>
      </c>
      <c r="F2213" s="0" t="s">
        <v>28</v>
      </c>
      <c r="G2213" s="0" t="s">
        <v>29</v>
      </c>
      <c r="H2213" s="5">
        <v>6446.159000</v>
      </c>
    </row>
    <row r="2214" spans="1:9">
      <c r="A2214" s="22" t="str">
        <f>HYPERLINK("https://app.vivvix.com/360/KMI/IntelliDrive/ApplUI/Pages/CreativePages/CustomReportCreativeDetail.aspx?App=23&amp;ReportView=4&amp;Qid=1711279&amp;Row=2206&amp;Col=1","No Title Assigned - #15267068220")</f>
        <v/>
      </c>
      <c r="B2214" s="0" t="s">
        <v>3352</v>
      </c>
      <c r="C2214" s="0" t="s">
        <v>3353</v>
      </c>
      <c r="D2214" s="0" t="s">
        <v>3353</v>
      </c>
      <c r="E2214" s="0" t="inlineStr">
        <is>
          <t xml:space="preserve">Mazda</t>
        </is>
      </c>
      <c r="F2214" s="0" t="s">
        <v>28</v>
      </c>
      <c r="G2214" s="0" t="s">
        <v>29</v>
      </c>
      <c r="H2214" s="5">
        <v>66.431700</v>
      </c>
    </row>
    <row r="2215" spans="1:9">
      <c r="A2215" s="22" t="str">
        <f>HYPERLINK("https://app.vivvix.com/360/KMI/IntelliDrive/ApplUI/Pages/CreativePages/CustomReportCreativeDetail.aspx?App=23&amp;ReportView=4&amp;Qid=1711279&amp;Row=2207&amp;Col=1","No Title Assigned - #15267068316")</f>
        <v/>
      </c>
      <c r="B2215" s="0" t="s">
        <v>3354</v>
      </c>
      <c r="C2215" s="0" t="s">
        <v>3355</v>
      </c>
      <c r="D2215" s="0" t="s">
        <v>3355</v>
      </c>
      <c r="E2215" s="0" t="inlineStr">
        <is>
          <t xml:space="preserve">Mazda</t>
        </is>
      </c>
      <c r="F2215" s="0" t="s">
        <v>28</v>
      </c>
      <c r="G2215" s="0" t="s">
        <v>29</v>
      </c>
      <c r="H2215" s="5">
        <v>612.822600</v>
      </c>
    </row>
    <row r="2216" spans="1:9">
      <c r="A2216" s="22" t="str">
        <f>HYPERLINK("https://app.vivvix.com/360/KMI/IntelliDrive/ApplUI/Pages/CreativePages/CustomReportCreativeDetail.aspx?App=23&amp;ReportView=4&amp;Qid=1711279&amp;Row=2208&amp;Col=1","No Title Assigned - #15267069057")</f>
        <v/>
      </c>
      <c r="B2216" s="0" t="s">
        <v>3356</v>
      </c>
      <c r="C2216" s="0" t="s">
        <v>3357</v>
      </c>
      <c r="D2216" s="0" t="s">
        <v>3357</v>
      </c>
      <c r="E2216" s="0" t="inlineStr">
        <is>
          <t xml:space="preserve">Mazda</t>
        </is>
      </c>
      <c r="F2216" s="0" t="s">
        <v>28</v>
      </c>
      <c r="G2216" s="0" t="s">
        <v>29</v>
      </c>
      <c r="H2216" s="5">
        <v>32217.675000</v>
      </c>
    </row>
    <row r="2217" spans="1:9">
      <c r="A2217" s="22" t="str">
        <f>HYPERLINK("https://app.vivvix.com/360/KMI/IntelliDrive/ApplUI/Pages/CreativePages/CustomReportCreativeDetail.aspx?App=23&amp;ReportView=4&amp;Qid=1711279&amp;Row=2209&amp;Col=1","No Title Assigned - #15267069057")</f>
        <v/>
      </c>
      <c r="B2217" s="0" t="s">
        <v>3356</v>
      </c>
      <c r="E2217" s="0" t="inlineStr">
        <is>
          <t xml:space="preserve">Mazda</t>
        </is>
      </c>
      <c r="F2217" s="0" t="s">
        <v>28</v>
      </c>
      <c r="G2217" s="0" t="s">
        <v>29</v>
      </c>
      <c r="H2217" s="5">
        <v>2101.757100</v>
      </c>
    </row>
    <row r="2218" spans="1:9">
      <c r="A2218" s="22" t="str">
        <f>HYPERLINK("https://app.vivvix.com/360/KMI/IntelliDrive/ApplUI/Pages/CreativePages/CustomReportCreativeDetail.aspx?App=23&amp;ReportView=4&amp;Qid=1711279&amp;Row=2210&amp;Col=1","No Title Assigned - #15267070313")</f>
        <v/>
      </c>
      <c r="B2218" s="0" t="s">
        <v>3358</v>
      </c>
      <c r="C2218" s="0" t="s">
        <v>3359</v>
      </c>
      <c r="D2218" s="0" t="s">
        <v>3359</v>
      </c>
      <c r="E2218" s="0" t="inlineStr">
        <is>
          <t xml:space="preserve">Mazda</t>
        </is>
      </c>
      <c r="F2218" s="0" t="s">
        <v>28</v>
      </c>
      <c r="G2218" s="0" t="s">
        <v>29</v>
      </c>
      <c r="H2218" s="5">
        <v>10178.389100</v>
      </c>
    </row>
    <row r="2219" spans="1:9">
      <c r="A2219" s="22" t="str">
        <f>HYPERLINK("https://app.vivvix.com/360/KMI/IntelliDrive/ApplUI/Pages/CreativePages/CustomReportCreativeDetail.aspx?App=23&amp;ReportView=4&amp;Qid=1711279&amp;Row=2211&amp;Col=1","No Title Assigned - #15267070313")</f>
        <v/>
      </c>
      <c r="B2219" s="0" t="s">
        <v>3358</v>
      </c>
      <c r="E2219" s="0" t="inlineStr">
        <is>
          <t xml:space="preserve">Mazda</t>
        </is>
      </c>
      <c r="F2219" s="0" t="s">
        <v>28</v>
      </c>
      <c r="G2219" s="0" t="s">
        <v>29</v>
      </c>
      <c r="H2219" s="5">
        <v>4778.571600</v>
      </c>
    </row>
    <row r="2220" spans="1:9">
      <c r="A2220" s="22" t="str">
        <f>HYPERLINK("https://app.vivvix.com/360/KMI/IntelliDrive/ApplUI/Pages/CreativePages/CustomReportCreativeDetail.aspx?App=23&amp;ReportView=4&amp;Qid=1711279&amp;Row=2212&amp;Col=1","No Title Assigned - #15267071049")</f>
        <v/>
      </c>
      <c r="B2220" s="0" t="s">
        <v>3360</v>
      </c>
      <c r="C2220" s="0" t="s">
        <v>3361</v>
      </c>
      <c r="D2220" s="0" t="s">
        <v>3361</v>
      </c>
      <c r="E2220" s="0" t="inlineStr">
        <is>
          <t xml:space="preserve">Mazda</t>
        </is>
      </c>
      <c r="F2220" s="0" t="s">
        <v>28</v>
      </c>
      <c r="G2220" s="0" t="s">
        <v>29</v>
      </c>
      <c r="H2220" s="5">
        <v>11917.710300</v>
      </c>
    </row>
    <row r="2221" spans="1:9">
      <c r="A2221" s="22" t="str">
        <f>HYPERLINK("https://app.vivvix.com/360/KMI/IntelliDrive/ApplUI/Pages/CreativePages/CustomReportCreativeDetail.aspx?App=23&amp;ReportView=4&amp;Qid=1711279&amp;Row=2213&amp;Col=1","No Title Assigned - #15267071049")</f>
        <v/>
      </c>
      <c r="B2221" s="0" t="s">
        <v>3360</v>
      </c>
      <c r="E2221" s="0" t="inlineStr">
        <is>
          <t xml:space="preserve">Mazda</t>
        </is>
      </c>
      <c r="F2221" s="0" t="s">
        <v>28</v>
      </c>
      <c r="G2221" s="0" t="s">
        <v>29</v>
      </c>
      <c r="H2221" s="5">
        <v>2515.543200</v>
      </c>
    </row>
    <row r="2222" spans="1:9">
      <c r="A2222" s="22" t="str">
        <f>HYPERLINK("https://app.vivvix.com/360/KMI/IntelliDrive/ApplUI/Pages/CreativePages/CustomReportCreativeDetail.aspx?App=23&amp;ReportView=4&amp;Qid=1711279&amp;Row=2214&amp;Col=1","No Title Assigned - #15267071067")</f>
        <v/>
      </c>
      <c r="B2222" s="0" t="s">
        <v>3362</v>
      </c>
      <c r="C2222" s="0" t="s">
        <v>3363</v>
      </c>
      <c r="D2222" s="0" t="s">
        <v>3363</v>
      </c>
      <c r="E2222" s="0" t="inlineStr">
        <is>
          <t xml:space="preserve">Mazda</t>
        </is>
      </c>
      <c r="F2222" s="0" t="s">
        <v>28</v>
      </c>
      <c r="G2222" s="0" t="s">
        <v>29</v>
      </c>
      <c r="H2222" s="5">
        <v>135.906600</v>
      </c>
    </row>
    <row r="2223" spans="1:9">
      <c r="A2223" s="22" t="str">
        <f>HYPERLINK("https://app.vivvix.com/360/KMI/IntelliDrive/ApplUI/Pages/CreativePages/CustomReportCreativeDetail.aspx?App=23&amp;ReportView=4&amp;Qid=1711279&amp;Row=2215&amp;Col=1","No Title Assigned - #15267071126")</f>
        <v/>
      </c>
      <c r="B2223" s="0" t="s">
        <v>3364</v>
      </c>
      <c r="C2223" s="0" t="s">
        <v>3365</v>
      </c>
      <c r="D2223" s="0" t="s">
        <v>3365</v>
      </c>
      <c r="E2223" s="0" t="inlineStr">
        <is>
          <t xml:space="preserve">Mazda</t>
        </is>
      </c>
      <c r="F2223" s="0" t="s">
        <v>28</v>
      </c>
      <c r="G2223" s="0" t="s">
        <v>29</v>
      </c>
      <c r="H2223" s="5">
        <v>616.999800</v>
      </c>
    </row>
    <row r="2224" spans="1:9">
      <c r="A2224" s="22" t="str">
        <f>HYPERLINK("https://app.vivvix.com/360/KMI/IntelliDrive/ApplUI/Pages/CreativePages/CustomReportCreativeDetail.aspx?App=23&amp;ReportView=4&amp;Qid=1711279&amp;Row=2216&amp;Col=1","No Title Assigned - #15267073221")</f>
        <v/>
      </c>
      <c r="B2224" s="0" t="s">
        <v>3366</v>
      </c>
      <c r="C2224" s="0" t="s">
        <v>3367</v>
      </c>
      <c r="D2224" s="0" t="s">
        <v>3367</v>
      </c>
      <c r="E2224" s="0" t="inlineStr">
        <is>
          <t xml:space="preserve">Mazda</t>
        </is>
      </c>
      <c r="F2224" s="0" t="s">
        <v>28</v>
      </c>
      <c r="G2224" s="0" t="s">
        <v>29</v>
      </c>
      <c r="H2224" s="5">
        <v>383.677300</v>
      </c>
    </row>
    <row r="2225" spans="1:9">
      <c r="A2225" s="22" t="str">
        <f>HYPERLINK("https://app.vivvix.com/360/KMI/IntelliDrive/ApplUI/Pages/CreativePages/CustomReportCreativeDetail.aspx?App=23&amp;ReportView=4&amp;Qid=1711279&amp;Row=2217&amp;Col=1","No Title Assigned - #15267073365")</f>
        <v/>
      </c>
      <c r="B2225" s="0" t="s">
        <v>3368</v>
      </c>
      <c r="C2225" s="0" t="s">
        <v>3369</v>
      </c>
      <c r="D2225" s="0" t="s">
        <v>3369</v>
      </c>
      <c r="E2225" s="0" t="inlineStr">
        <is>
          <t xml:space="preserve">Mazda</t>
        </is>
      </c>
      <c r="F2225" s="0" t="s">
        <v>28</v>
      </c>
      <c r="G2225" s="0" t="s">
        <v>29</v>
      </c>
      <c r="H2225" s="5">
        <v>144.071700</v>
      </c>
    </row>
    <row r="2226" spans="1:9">
      <c r="A2226" s="22" t="str">
        <f>HYPERLINK("https://app.vivvix.com/360/KMI/IntelliDrive/ApplUI/Pages/CreativePages/CustomReportCreativeDetail.aspx?App=23&amp;ReportView=4&amp;Qid=1711279&amp;Row=2218&amp;Col=1","No Title Assigned - #15267073791")</f>
        <v/>
      </c>
      <c r="B2226" s="0" t="s">
        <v>3370</v>
      </c>
      <c r="C2226" s="0" t="s">
        <v>3371</v>
      </c>
      <c r="D2226" s="0" t="s">
        <v>3371</v>
      </c>
      <c r="E2226" s="0" t="inlineStr">
        <is>
          <t xml:space="preserve">Mazda</t>
        </is>
      </c>
      <c r="F2226" s="0" t="s">
        <v>28</v>
      </c>
      <c r="G2226" s="0" t="s">
        <v>29</v>
      </c>
      <c r="H2226" s="5">
        <v>1597.416200</v>
      </c>
    </row>
    <row r="2227" spans="1:9">
      <c r="A2227" s="22" t="str">
        <f>HYPERLINK("https://app.vivvix.com/360/KMI/IntelliDrive/ApplUI/Pages/CreativePages/CustomReportCreativeDetail.aspx?App=23&amp;ReportView=4&amp;Qid=1711279&amp;Row=2219&amp;Col=1","No Title Assigned - #15267074137")</f>
        <v/>
      </c>
      <c r="B2227" s="0" t="s">
        <v>3372</v>
      </c>
      <c r="C2227" s="0" t="s">
        <v>3373</v>
      </c>
      <c r="D2227" s="0" t="s">
        <v>3373</v>
      </c>
      <c r="E2227" s="0" t="inlineStr">
        <is>
          <t xml:space="preserve">Mazda</t>
        </is>
      </c>
      <c r="F2227" s="0" t="inlineStr">
        <is>
          <t xml:space="preserve">Mazda</t>
        </is>
      </c>
      <c r="G2227" s="0" t="s">
        <v>171</v>
      </c>
      <c r="H2227" s="5">
        <v>2147.494500</v>
      </c>
    </row>
    <row r="2228" spans="1:9">
      <c r="A2228" s="22" t="str">
        <f>HYPERLINK("https://app.vivvix.com/360/KMI/IntelliDrive/ApplUI/Pages/CreativePages/CustomReportCreativeDetail.aspx?App=23&amp;ReportView=4&amp;Qid=1711279&amp;Row=2220&amp;Col=1","No Title Assigned - #15267074137")</f>
        <v/>
      </c>
      <c r="B2228" s="0" t="s">
        <v>3372</v>
      </c>
      <c r="E2228" s="0" t="inlineStr">
        <is>
          <t xml:space="preserve">Mazda</t>
        </is>
      </c>
      <c r="F2228" s="0" t="inlineStr">
        <is>
          <t xml:space="preserve">Mazda</t>
        </is>
      </c>
      <c r="G2228" s="0" t="s">
        <v>171</v>
      </c>
      <c r="H2228" s="5">
        <v>201.320500</v>
      </c>
    </row>
    <row r="2229" spans="1:9">
      <c r="A2229" s="22" t="str">
        <f>HYPERLINK("https://app.vivvix.com/360/KMI/IntelliDrive/ApplUI/Pages/CreativePages/CustomReportCreativeDetail.aspx?App=23&amp;ReportView=4&amp;Qid=1711279&amp;Row=2221&amp;Col=1","No Title Assigned - #15267074389")</f>
        <v/>
      </c>
      <c r="B2229" s="0" t="s">
        <v>3374</v>
      </c>
      <c r="E2229" s="0" t="inlineStr">
        <is>
          <t xml:space="preserve">Mazda</t>
        </is>
      </c>
      <c r="F2229" s="0" t="inlineStr">
        <is>
          <t xml:space="preserve">Mazda</t>
        </is>
      </c>
      <c r="G2229" s="0" t="s">
        <v>171</v>
      </c>
      <c r="H2229" s="5">
        <v>465.064600</v>
      </c>
    </row>
    <row r="2230" spans="1:9">
      <c r="A2230" s="22" t="str">
        <f>HYPERLINK("https://app.vivvix.com/360/KMI/IntelliDrive/ApplUI/Pages/CreativePages/CustomReportCreativeDetail.aspx?App=23&amp;ReportView=4&amp;Qid=1711279&amp;Row=2222&amp;Col=1","No Title Assigned - #15267074946")</f>
        <v/>
      </c>
      <c r="B2230" s="0" t="s">
        <v>3375</v>
      </c>
      <c r="C2230" s="0" t="s">
        <v>3376</v>
      </c>
      <c r="D2230" s="0" t="s">
        <v>3376</v>
      </c>
      <c r="E2230" s="0" t="inlineStr">
        <is>
          <t xml:space="preserve">Mazda</t>
        </is>
      </c>
      <c r="F2230" s="0" t="s">
        <v>28</v>
      </c>
      <c r="G2230" s="0" t="s">
        <v>29</v>
      </c>
      <c r="H2230" s="5">
        <v>360.587500</v>
      </c>
    </row>
    <row r="2231" spans="1:9">
      <c r="A2231" s="22" t="str">
        <f>HYPERLINK("https://app.vivvix.com/360/KMI/IntelliDrive/ApplUI/Pages/CreativePages/CustomReportCreativeDetail.aspx?App=23&amp;ReportView=4&amp;Qid=1711279&amp;Row=2223&amp;Col=1","No Title Assigned - #15267075313")</f>
        <v/>
      </c>
      <c r="B2231" s="0" t="s">
        <v>3377</v>
      </c>
      <c r="C2231" s="0" t="s">
        <v>3378</v>
      </c>
      <c r="D2231" s="0" t="s">
        <v>3378</v>
      </c>
      <c r="E2231" s="0" t="inlineStr">
        <is>
          <t xml:space="preserve">Mazda</t>
        </is>
      </c>
      <c r="F2231" s="0" t="s">
        <v>28</v>
      </c>
      <c r="G2231" s="0" t="s">
        <v>29</v>
      </c>
      <c r="H2231" s="5">
        <v>1811.536900</v>
      </c>
    </row>
    <row r="2232" spans="1:9">
      <c r="A2232" s="22" t="str">
        <f>HYPERLINK("https://app.vivvix.com/360/KMI/IntelliDrive/ApplUI/Pages/CreativePages/CustomReportCreativeDetail.aspx?App=23&amp;ReportView=4&amp;Qid=1711279&amp;Row=2224&amp;Col=1","No Title Assigned - #15267076198")</f>
        <v/>
      </c>
      <c r="B2232" s="0" t="s">
        <v>3379</v>
      </c>
      <c r="C2232" s="0" t="s">
        <v>3380</v>
      </c>
      <c r="D2232" s="0" t="s">
        <v>3380</v>
      </c>
      <c r="E2232" s="0" t="inlineStr">
        <is>
          <t xml:space="preserve">Mazda</t>
        </is>
      </c>
      <c r="F2232" s="0" t="s">
        <v>28</v>
      </c>
      <c r="G2232" s="0" t="s">
        <v>29</v>
      </c>
      <c r="H2232" s="5">
        <v>144.773500</v>
      </c>
    </row>
    <row r="2233" spans="1:9">
      <c r="A2233" s="22" t="str">
        <f>HYPERLINK("https://app.vivvix.com/360/KMI/IntelliDrive/ApplUI/Pages/CreativePages/CustomReportCreativeDetail.aspx?App=23&amp;ReportView=4&amp;Qid=1711279&amp;Row=2225&amp;Col=1","No Title Assigned - #15267076203")</f>
        <v/>
      </c>
      <c r="B2233" s="0" t="s">
        <v>3381</v>
      </c>
      <c r="C2233" s="0" t="s">
        <v>3382</v>
      </c>
      <c r="D2233" s="0" t="s">
        <v>3382</v>
      </c>
      <c r="E2233" s="0" t="inlineStr">
        <is>
          <t xml:space="preserve">Mazda</t>
        </is>
      </c>
      <c r="F2233" s="0" t="s">
        <v>28</v>
      </c>
      <c r="G2233" s="0" t="s">
        <v>29</v>
      </c>
      <c r="H2233" s="5">
        <v>1188.960500</v>
      </c>
    </row>
    <row r="2234" spans="1:9">
      <c r="A2234" s="22" t="str">
        <f>HYPERLINK("https://app.vivvix.com/360/KMI/IntelliDrive/ApplUI/Pages/CreativePages/CustomReportCreativeDetail.aspx?App=23&amp;ReportView=4&amp;Qid=1711279&amp;Row=2226&amp;Col=1","No Title Assigned - #15267076946")</f>
        <v/>
      </c>
      <c r="B2234" s="0" t="s">
        <v>3383</v>
      </c>
      <c r="C2234" s="0" t="s">
        <v>3384</v>
      </c>
      <c r="D2234" s="0" t="s">
        <v>3384</v>
      </c>
      <c r="E2234" s="0" t="inlineStr">
        <is>
          <t xml:space="preserve">Mazda</t>
        </is>
      </c>
      <c r="F2234" s="0" t="s">
        <v>28</v>
      </c>
      <c r="G2234" s="0" t="s">
        <v>29</v>
      </c>
      <c r="H2234" s="5">
        <v>203.783700</v>
      </c>
    </row>
    <row r="2235" spans="1:9">
      <c r="A2235" s="22" t="str">
        <f>HYPERLINK("https://app.vivvix.com/360/KMI/IntelliDrive/ApplUI/Pages/CreativePages/CustomReportCreativeDetail.aspx?App=23&amp;ReportView=4&amp;Qid=1711279&amp;Row=2227&amp;Col=1","No Title Assigned - #15267077296")</f>
        <v/>
      </c>
      <c r="B2235" s="0" t="s">
        <v>3385</v>
      </c>
      <c r="C2235" s="0" t="s">
        <v>3386</v>
      </c>
      <c r="D2235" s="0" t="s">
        <v>3386</v>
      </c>
      <c r="E2235" s="0" t="inlineStr">
        <is>
          <t xml:space="preserve">Mazda</t>
        </is>
      </c>
      <c r="F2235" s="0" t="s">
        <v>28</v>
      </c>
      <c r="G2235" s="0" t="s">
        <v>29</v>
      </c>
      <c r="H2235" s="5">
        <v>9145.248000</v>
      </c>
    </row>
    <row r="2236" spans="1:9">
      <c r="A2236" s="22" t="str">
        <f>HYPERLINK("https://app.vivvix.com/360/KMI/IntelliDrive/ApplUI/Pages/CreativePages/CustomReportCreativeDetail.aspx?App=23&amp;ReportView=4&amp;Qid=1711279&amp;Row=2228&amp;Col=1","No Title Assigned - #15267077296")</f>
        <v/>
      </c>
      <c r="B2236" s="0" t="s">
        <v>3385</v>
      </c>
      <c r="E2236" s="0" t="inlineStr">
        <is>
          <t xml:space="preserve">Mazda</t>
        </is>
      </c>
      <c r="F2236" s="0" t="s">
        <v>28</v>
      </c>
      <c r="G2236" s="0" t="s">
        <v>29</v>
      </c>
      <c r="H2236" s="5">
        <v>341.685200</v>
      </c>
    </row>
    <row r="2237" spans="1:9">
      <c r="A2237" s="22" t="str">
        <f>HYPERLINK("https://app.vivvix.com/360/KMI/IntelliDrive/ApplUI/Pages/CreativePages/CustomReportCreativeDetail.aspx?App=23&amp;ReportView=4&amp;Qid=1711279&amp;Row=2229&amp;Col=1","No Title Assigned - #15267077357")</f>
        <v/>
      </c>
      <c r="B2237" s="0" t="s">
        <v>3387</v>
      </c>
      <c r="C2237" s="0" t="s">
        <v>3388</v>
      </c>
      <c r="D2237" s="0" t="s">
        <v>3388</v>
      </c>
      <c r="E2237" s="0" t="inlineStr">
        <is>
          <t xml:space="preserve">Mazda</t>
        </is>
      </c>
      <c r="F2237" s="0" t="s">
        <v>28</v>
      </c>
      <c r="G2237" s="0" t="s">
        <v>29</v>
      </c>
      <c r="H2237" s="5">
        <v>941.449000</v>
      </c>
    </row>
    <row r="2238" spans="1:9">
      <c r="A2238" s="22" t="str">
        <f>HYPERLINK("https://app.vivvix.com/360/KMI/IntelliDrive/ApplUI/Pages/CreativePages/CustomReportCreativeDetail.aspx?App=23&amp;ReportView=4&amp;Qid=1711279&amp;Row=2230&amp;Col=1","No Title Assigned - #15267077546")</f>
        <v/>
      </c>
      <c r="B2238" s="0" t="s">
        <v>3389</v>
      </c>
      <c r="C2238" s="0" t="s">
        <v>3390</v>
      </c>
      <c r="D2238" s="0" t="s">
        <v>3390</v>
      </c>
      <c r="E2238" s="0" t="inlineStr">
        <is>
          <t xml:space="preserve">Mazda</t>
        </is>
      </c>
      <c r="F2238" s="0" t="s">
        <v>28</v>
      </c>
      <c r="G2238" s="0" t="s">
        <v>29</v>
      </c>
      <c r="H2238" s="5">
        <v>141.210400</v>
      </c>
    </row>
    <row r="2239" spans="1:9">
      <c r="A2239" s="22" t="str">
        <f>HYPERLINK("https://app.vivvix.com/360/KMI/IntelliDrive/ApplUI/Pages/CreativePages/CustomReportCreativeDetail.aspx?App=23&amp;ReportView=4&amp;Qid=1711279&amp;Row=2231&amp;Col=1","No Title Assigned - #15267078019")</f>
        <v/>
      </c>
      <c r="B2239" s="0" t="s">
        <v>3391</v>
      </c>
      <c r="C2239" s="0" t="s">
        <v>3392</v>
      </c>
      <c r="D2239" s="0" t="s">
        <v>3392</v>
      </c>
      <c r="E2239" s="0" t="inlineStr">
        <is>
          <t xml:space="preserve">Mazda</t>
        </is>
      </c>
      <c r="F2239" s="0" t="s">
        <v>28</v>
      </c>
      <c r="G2239" s="0" t="s">
        <v>29</v>
      </c>
      <c r="H2239" s="5">
        <v>341.912700</v>
      </c>
    </row>
    <row r="2240" spans="1:9">
      <c r="A2240" s="22" t="str">
        <f>HYPERLINK("https://app.vivvix.com/360/KMI/IntelliDrive/ApplUI/Pages/CreativePages/CustomReportCreativeDetail.aspx?App=23&amp;ReportView=4&amp;Qid=1711279&amp;Row=2232&amp;Col=1","No Title Assigned - #15267078059")</f>
        <v/>
      </c>
      <c r="B2240" s="0" t="s">
        <v>3393</v>
      </c>
      <c r="C2240" s="0" t="s">
        <v>3394</v>
      </c>
      <c r="D2240" s="0" t="s">
        <v>3394</v>
      </c>
      <c r="E2240" s="0" t="inlineStr">
        <is>
          <t xml:space="preserve">Mazda</t>
        </is>
      </c>
      <c r="F2240" s="0" t="s">
        <v>28</v>
      </c>
      <c r="G2240" s="0" t="s">
        <v>29</v>
      </c>
      <c r="H2240" s="5">
        <v>607.339700</v>
      </c>
    </row>
    <row r="2241" spans="1:9">
      <c r="A2241" s="22" t="str">
        <f>HYPERLINK("https://app.vivvix.com/360/KMI/IntelliDrive/ApplUI/Pages/CreativePages/CustomReportCreativeDetail.aspx?App=23&amp;ReportView=4&amp;Qid=1711279&amp;Row=2233&amp;Col=1","No Title Assigned - #15267078208")</f>
        <v/>
      </c>
      <c r="B2241" s="0" t="s">
        <v>3395</v>
      </c>
      <c r="E2241" s="0" t="inlineStr">
        <is>
          <t xml:space="preserve">Mazda</t>
        </is>
      </c>
      <c r="F2241" s="0" t="s">
        <v>28</v>
      </c>
      <c r="G2241" s="0" t="s">
        <v>29</v>
      </c>
      <c r="H2241" s="5">
        <v>1222.583500</v>
      </c>
    </row>
    <row r="2242" spans="1:9">
      <c r="A2242" s="22" t="str">
        <f>HYPERLINK("https://app.vivvix.com/360/KMI/IntelliDrive/ApplUI/Pages/CreativePages/CustomReportCreativeDetail.aspx?App=23&amp;ReportView=4&amp;Qid=1711279&amp;Row=2234&amp;Col=1","No Title Assigned - #15267078208")</f>
        <v/>
      </c>
      <c r="B2242" s="0" t="s">
        <v>3395</v>
      </c>
      <c r="C2242" s="0" t="s">
        <v>3396</v>
      </c>
      <c r="D2242" s="0" t="s">
        <v>3396</v>
      </c>
      <c r="E2242" s="0" t="inlineStr">
        <is>
          <t xml:space="preserve">Mazda</t>
        </is>
      </c>
      <c r="F2242" s="0" t="s">
        <v>28</v>
      </c>
      <c r="G2242" s="0" t="s">
        <v>29</v>
      </c>
      <c r="H2242" s="5">
        <v>684.391700</v>
      </c>
    </row>
    <row r="2243" spans="1:9">
      <c r="A2243" s="22" t="str">
        <f>HYPERLINK("https://app.vivvix.com/360/KMI/IntelliDrive/ApplUI/Pages/CreativePages/CustomReportCreativeDetail.aspx?App=23&amp;ReportView=4&amp;Qid=1711279&amp;Row=2235&amp;Col=1","No Title Assigned - #15267079091")</f>
        <v/>
      </c>
      <c r="B2243" s="0" t="s">
        <v>3397</v>
      </c>
      <c r="E2243" s="0" t="inlineStr">
        <is>
          <t xml:space="preserve">Mazda</t>
        </is>
      </c>
      <c r="F2243" s="0" t="inlineStr">
        <is>
          <t xml:space="preserve">Mazda</t>
        </is>
      </c>
      <c r="G2243" s="0" t="s">
        <v>171</v>
      </c>
      <c r="H2243" s="5">
        <v>927.083400</v>
      </c>
    </row>
    <row r="2244" spans="1:9">
      <c r="A2244" s="22" t="str">
        <f>HYPERLINK("https://app.vivvix.com/360/KMI/IntelliDrive/ApplUI/Pages/CreativePages/CustomReportCreativeDetail.aspx?App=23&amp;ReportView=4&amp;Qid=1711279&amp;Row=2236&amp;Col=1","No Title Assigned - #15267079436")</f>
        <v/>
      </c>
      <c r="B2244" s="0" t="s">
        <v>3398</v>
      </c>
      <c r="C2244" s="0" t="s">
        <v>3399</v>
      </c>
      <c r="D2244" s="0" t="s">
        <v>3399</v>
      </c>
      <c r="E2244" s="0" t="inlineStr">
        <is>
          <t xml:space="preserve">Mazda</t>
        </is>
      </c>
      <c r="F2244" s="0" t="inlineStr">
        <is>
          <t xml:space="preserve">Mazda</t>
        </is>
      </c>
      <c r="G2244" s="0" t="s">
        <v>171</v>
      </c>
      <c r="H2244" s="5">
        <v>1275.419400</v>
      </c>
    </row>
    <row r="2245" spans="1:9">
      <c r="A2245" s="22" t="str">
        <f>HYPERLINK("https://app.vivvix.com/360/KMI/IntelliDrive/ApplUI/Pages/CreativePages/CustomReportCreativeDetail.aspx?App=23&amp;ReportView=4&amp;Qid=1711279&amp;Row=2237&amp;Col=1","No Title Assigned - #15267079847")</f>
        <v/>
      </c>
      <c r="B2245" s="0" t="s">
        <v>3400</v>
      </c>
      <c r="E2245" s="0" t="inlineStr">
        <is>
          <t xml:space="preserve">Mazda</t>
        </is>
      </c>
      <c r="F2245" s="0" t="inlineStr">
        <is>
          <t xml:space="preserve">Mazda</t>
        </is>
      </c>
      <c r="G2245" s="0" t="s">
        <v>171</v>
      </c>
      <c r="H2245" s="5">
        <v>204.154800</v>
      </c>
    </row>
    <row r="2246" spans="1:9">
      <c r="A2246" s="22" t="str">
        <f>HYPERLINK("https://app.vivvix.com/360/KMI/IntelliDrive/ApplUI/Pages/CreativePages/CustomReportCreativeDetail.aspx?App=23&amp;ReportView=4&amp;Qid=1711279&amp;Row=2238&amp;Col=1","No Title Assigned - #15267079902")</f>
        <v/>
      </c>
      <c r="B2246" s="0" t="s">
        <v>3401</v>
      </c>
      <c r="C2246" s="0" t="s">
        <v>3402</v>
      </c>
      <c r="D2246" s="0" t="s">
        <v>3402</v>
      </c>
      <c r="E2246" s="0" t="inlineStr">
        <is>
          <t xml:space="preserve">Mazda</t>
        </is>
      </c>
      <c r="F2246" s="0" t="inlineStr">
        <is>
          <t xml:space="preserve">Mazda</t>
        </is>
      </c>
      <c r="G2246" s="0" t="s">
        <v>171</v>
      </c>
      <c r="H2246" s="5">
        <v>1959.521800</v>
      </c>
    </row>
    <row r="2247" spans="1:9">
      <c r="A2247" s="22" t="str">
        <f>HYPERLINK("https://app.vivvix.com/360/KMI/IntelliDrive/ApplUI/Pages/CreativePages/CustomReportCreativeDetail.aspx?App=23&amp;ReportView=4&amp;Qid=1711279&amp;Row=2239&amp;Col=1","No Title Assigned - #15267080266")</f>
        <v/>
      </c>
      <c r="B2247" s="0" t="s">
        <v>3403</v>
      </c>
      <c r="E2247" s="0" t="inlineStr">
        <is>
          <t xml:space="preserve">Mazda</t>
        </is>
      </c>
      <c r="F2247" s="0" t="inlineStr">
        <is>
          <t xml:space="preserve">Mazda</t>
        </is>
      </c>
      <c r="G2247" s="0" t="s">
        <v>171</v>
      </c>
      <c r="H2247" s="5">
        <v>878.408400</v>
      </c>
    </row>
    <row r="2248" spans="1:9">
      <c r="A2248" s="22" t="str">
        <f>HYPERLINK("https://app.vivvix.com/360/KMI/IntelliDrive/ApplUI/Pages/CreativePages/CustomReportCreativeDetail.aspx?App=23&amp;ReportView=4&amp;Qid=1711279&amp;Row=2240&amp;Col=1","No Title Assigned - #15267081600")</f>
        <v/>
      </c>
      <c r="B2248" s="0" t="s">
        <v>3404</v>
      </c>
      <c r="E2248" s="0" t="inlineStr">
        <is>
          <t xml:space="preserve">Mazda</t>
        </is>
      </c>
      <c r="F2248" s="0" t="inlineStr">
        <is>
          <t xml:space="preserve">Mazda</t>
        </is>
      </c>
      <c r="G2248" s="0" t="s">
        <v>171</v>
      </c>
      <c r="H2248" s="5">
        <v>3378.065100</v>
      </c>
    </row>
    <row r="2249" spans="1:9">
      <c r="A2249" s="22" t="str">
        <f>HYPERLINK("https://app.vivvix.com/360/KMI/IntelliDrive/ApplUI/Pages/CreativePages/CustomReportCreativeDetail.aspx?App=23&amp;ReportView=4&amp;Qid=1711279&amp;Row=2241&amp;Col=1","No Title Assigned - #15267082040")</f>
        <v/>
      </c>
      <c r="B2249" s="0" t="s">
        <v>3405</v>
      </c>
      <c r="C2249" s="0" t="s">
        <v>3406</v>
      </c>
      <c r="D2249" s="0" t="s">
        <v>3406</v>
      </c>
      <c r="E2249" s="0" t="inlineStr">
        <is>
          <t xml:space="preserve">Mazda</t>
        </is>
      </c>
      <c r="F2249" s="0" t="inlineStr">
        <is>
          <t xml:space="preserve">Mazda</t>
        </is>
      </c>
      <c r="G2249" s="0" t="s">
        <v>171</v>
      </c>
      <c r="H2249" s="5">
        <v>4190.557100</v>
      </c>
    </row>
    <row r="2250" spans="1:9">
      <c r="A2250" s="22" t="str">
        <f>HYPERLINK("https://app.vivvix.com/360/KMI/IntelliDrive/ApplUI/Pages/CreativePages/CustomReportCreativeDetail.aspx?App=23&amp;ReportView=4&amp;Qid=1711279&amp;Row=2242&amp;Col=1","No Title Assigned - #15267082040")</f>
        <v/>
      </c>
      <c r="B2250" s="0" t="s">
        <v>3405</v>
      </c>
      <c r="E2250" s="0" t="inlineStr">
        <is>
          <t xml:space="preserve">Mazda</t>
        </is>
      </c>
      <c r="F2250" s="0" t="inlineStr">
        <is>
          <t xml:space="preserve">Mazda</t>
        </is>
      </c>
      <c r="G2250" s="0" t="s">
        <v>171</v>
      </c>
      <c r="H2250" s="5">
        <v>24265.142500</v>
      </c>
    </row>
    <row r="2251" spans="1:9">
      <c r="A2251" s="22" t="str">
        <f>HYPERLINK("https://app.vivvix.com/360/KMI/IntelliDrive/ApplUI/Pages/CreativePages/CustomReportCreativeDetail.aspx?App=23&amp;ReportView=4&amp;Qid=1711279&amp;Row=2243&amp;Col=1","No Title Assigned - #15267082400")</f>
        <v/>
      </c>
      <c r="B2251" s="0" t="s">
        <v>3407</v>
      </c>
      <c r="E2251" s="0" t="inlineStr">
        <is>
          <t xml:space="preserve">Mazda</t>
        </is>
      </c>
      <c r="F2251" s="0" t="inlineStr">
        <is>
          <t xml:space="preserve">Mazda</t>
        </is>
      </c>
      <c r="G2251" s="0" t="s">
        <v>171</v>
      </c>
      <c r="H2251" s="5">
        <v>665.068400</v>
      </c>
    </row>
    <row r="2252" spans="1:9">
      <c r="A2252" s="22" t="str">
        <f>HYPERLINK("https://app.vivvix.com/360/KMI/IntelliDrive/ApplUI/Pages/CreativePages/CustomReportCreativeDetail.aspx?App=23&amp;ReportView=4&amp;Qid=1711279&amp;Row=2244&amp;Col=1","No Title Assigned - #15267082577")</f>
        <v/>
      </c>
      <c r="B2252" s="0" t="s">
        <v>3408</v>
      </c>
      <c r="E2252" s="0" t="inlineStr">
        <is>
          <t xml:space="preserve">Mazda</t>
        </is>
      </c>
      <c r="F2252" s="0" t="inlineStr">
        <is>
          <t xml:space="preserve">Mazda</t>
        </is>
      </c>
      <c r="G2252" s="0" t="s">
        <v>171</v>
      </c>
      <c r="H2252" s="5">
        <v>638.847300</v>
      </c>
    </row>
    <row r="2253" spans="1:9">
      <c r="A2253" s="22" t="str">
        <f>HYPERLINK("https://app.vivvix.com/360/KMI/IntelliDrive/ApplUI/Pages/CreativePages/CustomReportCreativeDetail.aspx?App=23&amp;ReportView=4&amp;Qid=1711279&amp;Row=2245&amp;Col=1","No Title Assigned - #15267082824")</f>
        <v/>
      </c>
      <c r="B2253" s="0" t="s">
        <v>3409</v>
      </c>
      <c r="E2253" s="0" t="inlineStr">
        <is>
          <t xml:space="preserve">Mazda</t>
        </is>
      </c>
      <c r="F2253" s="0" t="inlineStr">
        <is>
          <t xml:space="preserve">Mazda</t>
        </is>
      </c>
      <c r="G2253" s="0" t="s">
        <v>171</v>
      </c>
      <c r="H2253" s="5">
        <v>8136.647200</v>
      </c>
    </row>
    <row r="2254" spans="1:9">
      <c r="A2254" s="22" t="str">
        <f>HYPERLINK("https://app.vivvix.com/360/KMI/IntelliDrive/ApplUI/Pages/CreativePages/CustomReportCreativeDetail.aspx?App=23&amp;ReportView=4&amp;Qid=1711279&amp;Row=2246&amp;Col=1","No Title Assigned - #15267083199")</f>
        <v/>
      </c>
      <c r="B2254" s="0" t="s">
        <v>3410</v>
      </c>
      <c r="E2254" s="0" t="inlineStr">
        <is>
          <t xml:space="preserve">Mazda</t>
        </is>
      </c>
      <c r="F2254" s="0" t="inlineStr">
        <is>
          <t xml:space="preserve">Mazda</t>
        </is>
      </c>
      <c r="G2254" s="0" t="s">
        <v>171</v>
      </c>
      <c r="H2254" s="5">
        <v>430097.358300</v>
      </c>
    </row>
    <row r="2255" spans="1:9">
      <c r="A2255" s="22" t="str">
        <f>HYPERLINK("https://app.vivvix.com/360/KMI/IntelliDrive/ApplUI/Pages/CreativePages/CustomReportCreativeDetail.aspx?App=23&amp;ReportView=4&amp;Qid=1711279&amp;Row=2247&amp;Col=1","No Title Assigned - #15267083199")</f>
        <v/>
      </c>
      <c r="B2255" s="0" t="s">
        <v>3410</v>
      </c>
      <c r="E2255" s="0" t="inlineStr">
        <is>
          <t xml:space="preserve">Mazda</t>
        </is>
      </c>
      <c r="F2255" s="0" t="inlineStr">
        <is>
          <t xml:space="preserve">Mazda</t>
        </is>
      </c>
      <c r="G2255" s="0" t="s">
        <v>171</v>
      </c>
      <c r="H2255" s="5">
        <v>1249.535200</v>
      </c>
    </row>
    <row r="2256" spans="1:9">
      <c r="A2256" s="22" t="str">
        <f>HYPERLINK("https://app.vivvix.com/360/KMI/IntelliDrive/ApplUI/Pages/CreativePages/CustomReportCreativeDetail.aspx?App=23&amp;ReportView=4&amp;Qid=1711279&amp;Row=2248&amp;Col=1","No Title Assigned - #15267083713")</f>
        <v/>
      </c>
      <c r="B2256" s="0" t="s">
        <v>3411</v>
      </c>
      <c r="E2256" s="0" t="inlineStr">
        <is>
          <t xml:space="preserve">Mazda</t>
        </is>
      </c>
      <c r="F2256" s="0" t="inlineStr">
        <is>
          <t xml:space="preserve">Mazda</t>
        </is>
      </c>
      <c r="G2256" s="0" t="s">
        <v>171</v>
      </c>
      <c r="H2256" s="5">
        <v>44.207400</v>
      </c>
    </row>
    <row r="2257" spans="1:9">
      <c r="A2257" s="22" t="str">
        <f>HYPERLINK("https://app.vivvix.com/360/KMI/IntelliDrive/ApplUI/Pages/CreativePages/CustomReportCreativeDetail.aspx?App=23&amp;ReportView=4&amp;Qid=1711279&amp;Row=2249&amp;Col=1","No Title Assigned - #15267083720")</f>
        <v/>
      </c>
      <c r="B2257" s="0" t="s">
        <v>3412</v>
      </c>
      <c r="E2257" s="0" t="inlineStr">
        <is>
          <t xml:space="preserve">Mazda</t>
        </is>
      </c>
      <c r="F2257" s="0" t="inlineStr">
        <is>
          <t xml:space="preserve">Mazda</t>
        </is>
      </c>
      <c r="G2257" s="0" t="s">
        <v>171</v>
      </c>
      <c r="H2257" s="5">
        <v>906.377700</v>
      </c>
    </row>
    <row r="2258" spans="1:9">
      <c r="A2258" s="22" t="str">
        <f>HYPERLINK("https://app.vivvix.com/360/KMI/IntelliDrive/ApplUI/Pages/CreativePages/CustomReportCreativeDetail.aspx?App=23&amp;ReportView=4&amp;Qid=1711279&amp;Row=2250&amp;Col=1","No Title Assigned - #15267083720")</f>
        <v/>
      </c>
      <c r="B2258" s="0" t="s">
        <v>3412</v>
      </c>
      <c r="C2258" s="0" t="s">
        <v>3413</v>
      </c>
      <c r="D2258" s="0" t="s">
        <v>3413</v>
      </c>
      <c r="E2258" s="0" t="inlineStr">
        <is>
          <t xml:space="preserve">Mazda</t>
        </is>
      </c>
      <c r="F2258" s="0" t="inlineStr">
        <is>
          <t xml:space="preserve">Mazda</t>
        </is>
      </c>
      <c r="G2258" s="0" t="s">
        <v>171</v>
      </c>
      <c r="H2258" s="5">
        <v>75924.046900</v>
      </c>
    </row>
    <row r="2259" spans="1:9">
      <c r="A2259" s="22" t="str">
        <f>HYPERLINK("https://app.vivvix.com/360/KMI/IntelliDrive/ApplUI/Pages/CreativePages/CustomReportCreativeDetail.aspx?App=23&amp;ReportView=4&amp;Qid=1711279&amp;Row=2251&amp;Col=1","No Title Assigned - #15267084124")</f>
        <v/>
      </c>
      <c r="B2259" s="0" t="s">
        <v>3414</v>
      </c>
      <c r="E2259" s="0" t="inlineStr">
        <is>
          <t xml:space="preserve">Mazda</t>
        </is>
      </c>
      <c r="F2259" s="0" t="inlineStr">
        <is>
          <t xml:space="preserve">Mazda</t>
        </is>
      </c>
      <c r="G2259" s="0" t="s">
        <v>171</v>
      </c>
      <c r="H2259" s="5">
        <v>22275.398700</v>
      </c>
    </row>
    <row r="2260" spans="1:9">
      <c r="A2260" s="22" t="str">
        <f>HYPERLINK("https://app.vivvix.com/360/KMI/IntelliDrive/ApplUI/Pages/CreativePages/CustomReportCreativeDetail.aspx?App=23&amp;ReportView=4&amp;Qid=1711279&amp;Row=2252&amp;Col=1","No Title Assigned - #15267084124")</f>
        <v/>
      </c>
      <c r="B2260" s="0" t="s">
        <v>3414</v>
      </c>
      <c r="C2260" s="0" t="s">
        <v>3415</v>
      </c>
      <c r="D2260" s="0" t="s">
        <v>3415</v>
      </c>
      <c r="E2260" s="0" t="inlineStr">
        <is>
          <t xml:space="preserve">Mazda</t>
        </is>
      </c>
      <c r="F2260" s="0" t="inlineStr">
        <is>
          <t xml:space="preserve">Mazda</t>
        </is>
      </c>
      <c r="G2260" s="0" t="s">
        <v>171</v>
      </c>
      <c r="H2260" s="5">
        <v>50361.834900</v>
      </c>
    </row>
    <row r="2261" spans="1:9">
      <c r="A2261" s="22" t="str">
        <f>HYPERLINK("https://app.vivvix.com/360/KMI/IntelliDrive/ApplUI/Pages/CreativePages/CustomReportCreativeDetail.aspx?App=23&amp;ReportView=4&amp;Qid=1711279&amp;Row=2253&amp;Col=1","No Title Assigned - #15267084307")</f>
        <v/>
      </c>
      <c r="B2261" s="0" t="s">
        <v>3416</v>
      </c>
      <c r="E2261" s="0" t="inlineStr">
        <is>
          <t xml:space="preserve">Mazda</t>
        </is>
      </c>
      <c r="F2261" s="0" t="inlineStr">
        <is>
          <t xml:space="preserve">Mazda</t>
        </is>
      </c>
      <c r="G2261" s="0" t="s">
        <v>171</v>
      </c>
      <c r="H2261" s="5">
        <v>29016.024800</v>
      </c>
    </row>
    <row r="2262" spans="1:9">
      <c r="A2262" s="22" t="str">
        <f>HYPERLINK("https://app.vivvix.com/360/KMI/IntelliDrive/ApplUI/Pages/CreativePages/CustomReportCreativeDetail.aspx?App=23&amp;ReportView=4&amp;Qid=1711279&amp;Row=2254&amp;Col=1","No Title Assigned - #15267084307")</f>
        <v/>
      </c>
      <c r="B2262" s="0" t="s">
        <v>3416</v>
      </c>
      <c r="E2262" s="0" t="inlineStr">
        <is>
          <t xml:space="preserve">Mazda</t>
        </is>
      </c>
      <c r="F2262" s="0" t="inlineStr">
        <is>
          <t xml:space="preserve">Mazda</t>
        </is>
      </c>
      <c r="G2262" s="0" t="s">
        <v>171</v>
      </c>
      <c r="H2262" s="5">
        <v>153039.287100</v>
      </c>
    </row>
    <row r="2263" spans="1:9">
      <c r="A2263" s="22" t="str">
        <f>HYPERLINK("https://app.vivvix.com/360/KMI/IntelliDrive/ApplUI/Pages/CreativePages/CustomReportCreativeDetail.aspx?App=23&amp;ReportView=4&amp;Qid=1711279&amp;Row=2255&amp;Col=1","No Title Assigned - #15267084587")</f>
        <v/>
      </c>
      <c r="B2263" s="0" t="s">
        <v>3417</v>
      </c>
      <c r="E2263" s="0" t="inlineStr">
        <is>
          <t xml:space="preserve">Mazda</t>
        </is>
      </c>
      <c r="F2263" s="0" t="inlineStr">
        <is>
          <t xml:space="preserve">Mazda</t>
        </is>
      </c>
      <c r="G2263" s="0" t="s">
        <v>171</v>
      </c>
      <c r="H2263" s="5">
        <v>1820.465600</v>
      </c>
    </row>
    <row r="2264" spans="1:9">
      <c r="A2264" s="22" t="str">
        <f>HYPERLINK("https://app.vivvix.com/360/KMI/IntelliDrive/ApplUI/Pages/CreativePages/CustomReportCreativeDetail.aspx?App=23&amp;ReportView=4&amp;Qid=1711279&amp;Row=2256&amp;Col=1","No Title Assigned - #15267084980")</f>
        <v/>
      </c>
      <c r="B2264" s="0" t="s">
        <v>3418</v>
      </c>
      <c r="C2264" s="0" t="s">
        <v>3419</v>
      </c>
      <c r="D2264" s="0" t="s">
        <v>3419</v>
      </c>
      <c r="E2264" s="0" t="inlineStr">
        <is>
          <t xml:space="preserve">Mazda</t>
        </is>
      </c>
      <c r="F2264" s="0" t="inlineStr">
        <is>
          <t xml:space="preserve">Mazda</t>
        </is>
      </c>
      <c r="G2264" s="0" t="s">
        <v>171</v>
      </c>
      <c r="H2264" s="5">
        <v>1304.860200</v>
      </c>
    </row>
    <row r="2265" spans="1:9">
      <c r="A2265" s="22" t="str">
        <f>HYPERLINK("https://app.vivvix.com/360/KMI/IntelliDrive/ApplUI/Pages/CreativePages/CustomReportCreativeDetail.aspx?App=23&amp;ReportView=4&amp;Qid=1711279&amp;Row=2257&amp;Col=1","No Title Assigned - #15267084980")</f>
        <v/>
      </c>
      <c r="B2265" s="0" t="s">
        <v>3418</v>
      </c>
      <c r="E2265" s="0" t="inlineStr">
        <is>
          <t xml:space="preserve">Mazda</t>
        </is>
      </c>
      <c r="F2265" s="0" t="inlineStr">
        <is>
          <t xml:space="preserve">Mazda</t>
        </is>
      </c>
      <c r="G2265" s="0" t="s">
        <v>171</v>
      </c>
      <c r="H2265" s="5">
        <v>650.042500</v>
      </c>
    </row>
    <row r="2266" spans="1:9">
      <c r="A2266" s="22" t="str">
        <f>HYPERLINK("https://app.vivvix.com/360/KMI/IntelliDrive/ApplUI/Pages/CreativePages/CustomReportCreativeDetail.aspx?App=23&amp;ReportView=4&amp;Qid=1711279&amp;Row=2258&amp;Col=1","No Title Assigned - #15267084981")</f>
        <v/>
      </c>
      <c r="B2266" s="0" t="s">
        <v>3420</v>
      </c>
      <c r="C2266" s="0" t="s">
        <v>3421</v>
      </c>
      <c r="D2266" s="0" t="s">
        <v>3421</v>
      </c>
      <c r="E2266" s="0" t="inlineStr">
        <is>
          <t xml:space="preserve">Mazda</t>
        </is>
      </c>
      <c r="F2266" s="0" t="inlineStr">
        <is>
          <t xml:space="preserve">Mazda</t>
        </is>
      </c>
      <c r="G2266" s="0" t="s">
        <v>171</v>
      </c>
      <c r="H2266" s="5">
        <v>1304.860200</v>
      </c>
    </row>
    <row r="2267" spans="1:9">
      <c r="A2267" s="22" t="str">
        <f>HYPERLINK("https://app.vivvix.com/360/KMI/IntelliDrive/ApplUI/Pages/CreativePages/CustomReportCreativeDetail.aspx?App=23&amp;ReportView=4&amp;Qid=1711279&amp;Row=2259&amp;Col=1","No Title Assigned - #15267084981")</f>
        <v/>
      </c>
      <c r="B2267" s="0" t="s">
        <v>3420</v>
      </c>
      <c r="E2267" s="0" t="inlineStr">
        <is>
          <t xml:space="preserve">Mazda</t>
        </is>
      </c>
      <c r="F2267" s="0" t="inlineStr">
        <is>
          <t xml:space="preserve">Mazda</t>
        </is>
      </c>
      <c r="G2267" s="0" t="s">
        <v>171</v>
      </c>
      <c r="H2267" s="5">
        <v>688.458000</v>
      </c>
    </row>
    <row r="2268" spans="1:9">
      <c r="A2268" s="22" t="str">
        <f>HYPERLINK("https://app.vivvix.com/360/KMI/IntelliDrive/ApplUI/Pages/CreativePages/CustomReportCreativeDetail.aspx?App=23&amp;ReportView=4&amp;Qid=1711279&amp;Row=2260&amp;Col=1","No Title Assigned - #15267085369")</f>
        <v/>
      </c>
      <c r="B2268" s="0" t="s">
        <v>3422</v>
      </c>
      <c r="E2268" s="0" t="inlineStr">
        <is>
          <t xml:space="preserve">Mazda</t>
        </is>
      </c>
      <c r="F2268" s="0" t="inlineStr">
        <is>
          <t xml:space="preserve">Mazda</t>
        </is>
      </c>
      <c r="G2268" s="0" t="s">
        <v>171</v>
      </c>
      <c r="H2268" s="5">
        <v>232.677600</v>
      </c>
    </row>
    <row r="2269" spans="1:9">
      <c r="A2269" s="22" t="str">
        <f>HYPERLINK("https://app.vivvix.com/360/KMI/IntelliDrive/ApplUI/Pages/CreativePages/CustomReportCreativeDetail.aspx?App=23&amp;ReportView=4&amp;Qid=1711279&amp;Row=2261&amp;Col=1","No Title Assigned - #15267085484")</f>
        <v/>
      </c>
      <c r="B2269" s="0" t="s">
        <v>3423</v>
      </c>
      <c r="E2269" s="0" t="inlineStr">
        <is>
          <t xml:space="preserve">Mazda</t>
        </is>
      </c>
      <c r="F2269" s="0" t="inlineStr">
        <is>
          <t xml:space="preserve">Mazda</t>
        </is>
      </c>
      <c r="G2269" s="0" t="s">
        <v>171</v>
      </c>
      <c r="H2269" s="5">
        <v>229.594200</v>
      </c>
    </row>
    <row r="2270" spans="1:9">
      <c r="A2270" s="22" t="str">
        <f>HYPERLINK("https://app.vivvix.com/360/KMI/IntelliDrive/ApplUI/Pages/CreativePages/CustomReportCreativeDetail.aspx?App=23&amp;ReportView=4&amp;Qid=1711279&amp;Row=2262&amp;Col=1","No Title Assigned - #15267085588")</f>
        <v/>
      </c>
      <c r="B2270" s="0" t="s">
        <v>3424</v>
      </c>
      <c r="E2270" s="0" t="inlineStr">
        <is>
          <t xml:space="preserve">Mazda</t>
        </is>
      </c>
      <c r="F2270" s="0" t="inlineStr">
        <is>
          <t xml:space="preserve">Mazda</t>
        </is>
      </c>
      <c r="G2270" s="0" t="s">
        <v>171</v>
      </c>
      <c r="H2270" s="5">
        <v>54.922300</v>
      </c>
    </row>
    <row r="2271" spans="1:9">
      <c r="A2271" s="22" t="str">
        <f>HYPERLINK("https://app.vivvix.com/360/KMI/IntelliDrive/ApplUI/Pages/CreativePages/CustomReportCreativeDetail.aspx?App=23&amp;ReportView=4&amp;Qid=1711279&amp;Row=2263&amp;Col=1","No Title Assigned - #15267085589")</f>
        <v/>
      </c>
      <c r="B2271" s="0" t="s">
        <v>3425</v>
      </c>
      <c r="E2271" s="0" t="inlineStr">
        <is>
          <t xml:space="preserve">Mazda</t>
        </is>
      </c>
      <c r="F2271" s="0" t="inlineStr">
        <is>
          <t xml:space="preserve">Mazda</t>
        </is>
      </c>
      <c r="G2271" s="0" t="s">
        <v>171</v>
      </c>
      <c r="H2271" s="5">
        <v>54.922300</v>
      </c>
    </row>
    <row r="2272" spans="1:9">
      <c r="A2272" s="22" t="str">
        <f>HYPERLINK("https://app.vivvix.com/360/KMI/IntelliDrive/ApplUI/Pages/CreativePages/CustomReportCreativeDetail.aspx?App=23&amp;ReportView=4&amp;Qid=1711279&amp;Row=2264&amp;Col=1","No Title Assigned - #15267085607")</f>
        <v/>
      </c>
      <c r="B2272" s="0" t="s">
        <v>3426</v>
      </c>
      <c r="E2272" s="0" t="inlineStr">
        <is>
          <t xml:space="preserve">Mazda</t>
        </is>
      </c>
      <c r="F2272" s="0" t="inlineStr">
        <is>
          <t xml:space="preserve">Mazda</t>
        </is>
      </c>
      <c r="G2272" s="0" t="s">
        <v>171</v>
      </c>
      <c r="H2272" s="5">
        <v>87.825000</v>
      </c>
    </row>
    <row r="2273" spans="1:9">
      <c r="A2273" s="22" t="str">
        <f>HYPERLINK("https://app.vivvix.com/360/KMI/IntelliDrive/ApplUI/Pages/CreativePages/CustomReportCreativeDetail.aspx?App=23&amp;ReportView=4&amp;Qid=1711279&amp;Row=2265&amp;Col=1","No Title Assigned - #15267085688")</f>
        <v/>
      </c>
      <c r="B2273" s="0" t="s">
        <v>3427</v>
      </c>
      <c r="E2273" s="0" t="inlineStr">
        <is>
          <t xml:space="preserve">Mazda</t>
        </is>
      </c>
      <c r="F2273" s="0" t="inlineStr">
        <is>
          <t xml:space="preserve">Mazda</t>
        </is>
      </c>
      <c r="G2273" s="0" t="s">
        <v>171</v>
      </c>
      <c r="H2273" s="5">
        <v>856.413400</v>
      </c>
    </row>
    <row r="2274" spans="1:9">
      <c r="A2274" s="22" t="str">
        <f>HYPERLINK("https://app.vivvix.com/360/KMI/IntelliDrive/ApplUI/Pages/CreativePages/CustomReportCreativeDetail.aspx?App=23&amp;ReportView=4&amp;Qid=1711279&amp;Row=2266&amp;Col=1","No Title Assigned - #15267085784")</f>
        <v/>
      </c>
      <c r="B2274" s="0" t="s">
        <v>3428</v>
      </c>
      <c r="E2274" s="0" t="inlineStr">
        <is>
          <t xml:space="preserve">Mazda</t>
        </is>
      </c>
      <c r="F2274" s="0" t="inlineStr">
        <is>
          <t xml:space="preserve">Mazda</t>
        </is>
      </c>
      <c r="G2274" s="0" t="s">
        <v>171</v>
      </c>
      <c r="H2274" s="5">
        <v>309.230900</v>
      </c>
    </row>
    <row r="2275" spans="1:9">
      <c r="A2275" s="22" t="str">
        <f>HYPERLINK("https://app.vivvix.com/360/KMI/IntelliDrive/ApplUI/Pages/CreativePages/CustomReportCreativeDetail.aspx?App=23&amp;ReportView=4&amp;Qid=1711279&amp;Row=2267&amp;Col=1","No Title Assigned - #15267085987")</f>
        <v/>
      </c>
      <c r="B2275" s="0" t="s">
        <v>3429</v>
      </c>
      <c r="C2275" s="0" t="s">
        <v>3430</v>
      </c>
      <c r="D2275" s="0" t="s">
        <v>3430</v>
      </c>
      <c r="E2275" s="0" t="inlineStr">
        <is>
          <t xml:space="preserve">Mazda</t>
        </is>
      </c>
      <c r="F2275" s="0" t="s">
        <v>28</v>
      </c>
      <c r="G2275" s="0" t="s">
        <v>29</v>
      </c>
      <c r="H2275" s="5">
        <v>33040.579700</v>
      </c>
    </row>
    <row r="2276" spans="1:9">
      <c r="A2276" s="22" t="str">
        <f>HYPERLINK("https://app.vivvix.com/360/KMI/IntelliDrive/ApplUI/Pages/CreativePages/CustomReportCreativeDetail.aspx?App=23&amp;ReportView=4&amp;Qid=1711279&amp;Row=2268&amp;Col=1","No Title Assigned - #15267086085")</f>
        <v/>
      </c>
      <c r="B2276" s="0" t="s">
        <v>3431</v>
      </c>
      <c r="E2276" s="0" t="inlineStr">
        <is>
          <t xml:space="preserve">Mazda</t>
        </is>
      </c>
      <c r="F2276" s="0" t="inlineStr">
        <is>
          <t xml:space="preserve">Mazda</t>
        </is>
      </c>
      <c r="G2276" s="0" t="s">
        <v>171</v>
      </c>
      <c r="H2276" s="5">
        <v>192.909200</v>
      </c>
    </row>
    <row r="2277" spans="1:9">
      <c r="A2277" s="22" t="str">
        <f>HYPERLINK("https://app.vivvix.com/360/KMI/IntelliDrive/ApplUI/Pages/CreativePages/CustomReportCreativeDetail.aspx?App=23&amp;ReportView=4&amp;Qid=1711279&amp;Row=2269&amp;Col=1","No Title Assigned - #15267086085")</f>
        <v/>
      </c>
      <c r="B2277" s="0" t="s">
        <v>3431</v>
      </c>
      <c r="C2277" s="0" t="s">
        <v>3432</v>
      </c>
      <c r="D2277" s="0" t="s">
        <v>3432</v>
      </c>
      <c r="E2277" s="0" t="inlineStr">
        <is>
          <t xml:space="preserve">Mazda</t>
        </is>
      </c>
      <c r="F2277" s="0" t="inlineStr">
        <is>
          <t xml:space="preserve">Mazda</t>
        </is>
      </c>
      <c r="G2277" s="0" t="s">
        <v>171</v>
      </c>
      <c r="H2277" s="5">
        <v>4678.448100</v>
      </c>
    </row>
    <row r="2278" spans="1:9">
      <c r="A2278" s="22" t="str">
        <f>HYPERLINK("https://app.vivvix.com/360/KMI/IntelliDrive/ApplUI/Pages/CreativePages/CustomReportCreativeDetail.aspx?App=23&amp;ReportView=4&amp;Qid=1711279&amp;Row=2270&amp;Col=1","No Title Assigned - #15267086244")</f>
        <v/>
      </c>
      <c r="B2278" s="0" t="s">
        <v>3433</v>
      </c>
      <c r="E2278" s="0" t="inlineStr">
        <is>
          <t xml:space="preserve">Mazda</t>
        </is>
      </c>
      <c r="F2278" s="0" t="inlineStr">
        <is>
          <t xml:space="preserve">Mazda</t>
        </is>
      </c>
      <c r="G2278" s="0" t="s">
        <v>171</v>
      </c>
      <c r="H2278" s="5">
        <v>893.701700</v>
      </c>
    </row>
    <row r="2279" spans="1:9">
      <c r="A2279" s="22" t="str">
        <f>HYPERLINK("https://app.vivvix.com/360/KMI/IntelliDrive/ApplUI/Pages/CreativePages/CustomReportCreativeDetail.aspx?App=23&amp;ReportView=4&amp;Qid=1711279&amp;Row=2271&amp;Col=1","No Title Assigned - #15267086490")</f>
        <v/>
      </c>
      <c r="B2279" s="0" t="s">
        <v>3434</v>
      </c>
      <c r="E2279" s="0" t="inlineStr">
        <is>
          <t xml:space="preserve">Mazda</t>
        </is>
      </c>
      <c r="F2279" s="0" t="inlineStr">
        <is>
          <t xml:space="preserve">Mazda</t>
        </is>
      </c>
      <c r="G2279" s="0" t="s">
        <v>171</v>
      </c>
      <c r="H2279" s="5">
        <v>156.616800</v>
      </c>
    </row>
    <row r="2280" spans="1:9">
      <c r="A2280" s="22" t="str">
        <f>HYPERLINK("https://app.vivvix.com/360/KMI/IntelliDrive/ApplUI/Pages/CreativePages/CustomReportCreativeDetail.aspx?App=23&amp;ReportView=4&amp;Qid=1711279&amp;Row=2272&amp;Col=1","No Title Assigned - #15267087158")</f>
        <v/>
      </c>
      <c r="B2280" s="0" t="s">
        <v>3435</v>
      </c>
      <c r="E2280" s="0" t="inlineStr">
        <is>
          <t xml:space="preserve">Mazda</t>
        </is>
      </c>
      <c r="F2280" s="0" t="inlineStr">
        <is>
          <t xml:space="preserve">Mazda</t>
        </is>
      </c>
      <c r="G2280" s="0" t="s">
        <v>171</v>
      </c>
      <c r="H2280" s="5">
        <v>1334.395600</v>
      </c>
    </row>
    <row r="2281" spans="1:9">
      <c r="A2281" s="22" t="str">
        <f>HYPERLINK("https://app.vivvix.com/360/KMI/IntelliDrive/ApplUI/Pages/CreativePages/CustomReportCreativeDetail.aspx?App=23&amp;ReportView=4&amp;Qid=1711279&amp;Row=2273&amp;Col=1","No Title Assigned - #15267087548")</f>
        <v/>
      </c>
      <c r="B2281" s="0" t="s">
        <v>3436</v>
      </c>
      <c r="E2281" s="0" t="inlineStr">
        <is>
          <t xml:space="preserve">Mazda</t>
        </is>
      </c>
      <c r="F2281" s="0" t="inlineStr">
        <is>
          <t xml:space="preserve">Mazda</t>
        </is>
      </c>
      <c r="G2281" s="0" t="s">
        <v>171</v>
      </c>
      <c r="H2281" s="5">
        <v>108.178300</v>
      </c>
    </row>
    <row r="2282" spans="1:9">
      <c r="A2282" s="22" t="str">
        <f>HYPERLINK("https://app.vivvix.com/360/KMI/IntelliDrive/ApplUI/Pages/CreativePages/CustomReportCreativeDetail.aspx?App=23&amp;ReportView=4&amp;Qid=1711279&amp;Row=2274&amp;Col=1","No Title Assigned - #15267087791")</f>
        <v/>
      </c>
      <c r="B2282" s="0" t="s">
        <v>3437</v>
      </c>
      <c r="E2282" s="0" t="inlineStr">
        <is>
          <t xml:space="preserve">Mazda</t>
        </is>
      </c>
      <c r="F2282" s="0" t="inlineStr">
        <is>
          <t xml:space="preserve">Mazda</t>
        </is>
      </c>
      <c r="G2282" s="0" t="s">
        <v>171</v>
      </c>
      <c r="H2282" s="5">
        <v>6494.085000</v>
      </c>
    </row>
    <row r="2283" spans="1:9">
      <c r="A2283" s="22" t="str">
        <f>HYPERLINK("https://app.vivvix.com/360/KMI/IntelliDrive/ApplUI/Pages/CreativePages/CustomReportCreativeDetail.aspx?App=23&amp;ReportView=4&amp;Qid=1711279&amp;Row=2275&amp;Col=1","No Title Assigned - #15267087932")</f>
        <v/>
      </c>
      <c r="B2283" s="0" t="s">
        <v>3438</v>
      </c>
      <c r="E2283" s="0" t="inlineStr">
        <is>
          <t xml:space="preserve">Mazda</t>
        </is>
      </c>
      <c r="F2283" s="0" t="inlineStr">
        <is>
          <t xml:space="preserve">Mazda</t>
        </is>
      </c>
      <c r="G2283" s="0" t="s">
        <v>171</v>
      </c>
      <c r="H2283" s="5">
        <v>108.665400</v>
      </c>
    </row>
    <row r="2284" spans="1:9">
      <c r="A2284" s="22" t="str">
        <f>HYPERLINK("https://app.vivvix.com/360/KMI/IntelliDrive/ApplUI/Pages/CreativePages/CustomReportCreativeDetail.aspx?App=23&amp;ReportView=4&amp;Qid=1711279&amp;Row=2276&amp;Col=1","No Title Assigned - #15267087933")</f>
        <v/>
      </c>
      <c r="B2284" s="0" t="s">
        <v>3439</v>
      </c>
      <c r="E2284" s="0" t="inlineStr">
        <is>
          <t xml:space="preserve">Mazda</t>
        </is>
      </c>
      <c r="F2284" s="0" t="inlineStr">
        <is>
          <t xml:space="preserve">Mazda</t>
        </is>
      </c>
      <c r="G2284" s="0" t="s">
        <v>171</v>
      </c>
      <c r="H2284" s="5">
        <v>108.665400</v>
      </c>
    </row>
    <row r="2285" spans="1:9">
      <c r="A2285" s="22" t="str">
        <f>HYPERLINK("https://app.vivvix.com/360/KMI/IntelliDrive/ApplUI/Pages/CreativePages/CustomReportCreativeDetail.aspx?App=23&amp;ReportView=4&amp;Qid=1711279&amp;Row=2277&amp;Col=1","No Title Assigned - #15267088333")</f>
        <v/>
      </c>
      <c r="B2285" s="0" t="s">
        <v>3440</v>
      </c>
      <c r="E2285" s="0" t="inlineStr">
        <is>
          <t xml:space="preserve">Mazda</t>
        </is>
      </c>
      <c r="F2285" s="0" t="inlineStr">
        <is>
          <t xml:space="preserve">Mazda</t>
        </is>
      </c>
      <c r="G2285" s="0" t="s">
        <v>171</v>
      </c>
      <c r="H2285" s="5">
        <v>465.064600</v>
      </c>
    </row>
    <row r="2286" spans="1:9">
      <c r="A2286" s="22" t="str">
        <f>HYPERLINK("https://app.vivvix.com/360/KMI/IntelliDrive/ApplUI/Pages/CreativePages/CustomReportCreativeDetail.aspx?App=23&amp;ReportView=4&amp;Qid=1711279&amp;Row=2278&amp;Col=1","No Title Assigned - #15267089028")</f>
        <v/>
      </c>
      <c r="B2286" s="0" t="s">
        <v>3441</v>
      </c>
      <c r="E2286" s="0" t="inlineStr">
        <is>
          <t xml:space="preserve">Mazda</t>
        </is>
      </c>
      <c r="F2286" s="0" t="inlineStr">
        <is>
          <t xml:space="preserve">Mazda</t>
        </is>
      </c>
      <c r="G2286" s="0" t="s">
        <v>171</v>
      </c>
      <c r="H2286" s="5">
        <v>7800.725100</v>
      </c>
    </row>
    <row r="2287" spans="1:9">
      <c r="A2287" s="22" t="str">
        <f>HYPERLINK("https://app.vivvix.com/360/KMI/IntelliDrive/ApplUI/Pages/CreativePages/CustomReportCreativeDetail.aspx?App=23&amp;ReportView=4&amp;Qid=1711279&amp;Row=2279&amp;Col=1","No Title Assigned - #15267090992")</f>
        <v/>
      </c>
      <c r="B2287" s="0" t="s">
        <v>3442</v>
      </c>
      <c r="E2287" s="0" t="inlineStr">
        <is>
          <t xml:space="preserve">Mazda</t>
        </is>
      </c>
      <c r="F2287" s="0" t="inlineStr">
        <is>
          <t xml:space="preserve">Mazda</t>
        </is>
      </c>
      <c r="G2287" s="0" t="s">
        <v>171</v>
      </c>
      <c r="H2287" s="5">
        <v>786.879200</v>
      </c>
    </row>
    <row r="2288" spans="1:9">
      <c r="A2288" s="22" t="str">
        <f>HYPERLINK("https://app.vivvix.com/360/KMI/IntelliDrive/ApplUI/Pages/CreativePages/CustomReportCreativeDetail.aspx?App=23&amp;ReportView=4&amp;Qid=1711279&amp;Row=2280&amp;Col=1","No Title Assigned - #15267091151")</f>
        <v/>
      </c>
      <c r="B2288" s="0" t="s">
        <v>3443</v>
      </c>
      <c r="C2288" s="0" t="s">
        <v>3444</v>
      </c>
      <c r="D2288" s="0" t="s">
        <v>3444</v>
      </c>
      <c r="E2288" s="0" t="inlineStr">
        <is>
          <t xml:space="preserve">Mazda</t>
        </is>
      </c>
      <c r="F2288" s="0" t="s">
        <v>28</v>
      </c>
      <c r="G2288" s="0" t="s">
        <v>29</v>
      </c>
      <c r="H2288" s="5">
        <v>346.185200</v>
      </c>
    </row>
    <row r="2289" spans="1:9">
      <c r="A2289" s="22" t="str">
        <f>HYPERLINK("https://app.vivvix.com/360/KMI/IntelliDrive/ApplUI/Pages/CreativePages/CustomReportCreativeDetail.aspx?App=23&amp;ReportView=4&amp;Qid=1711279&amp;Row=2281&amp;Col=1","No Title Assigned - #15267093182")</f>
        <v/>
      </c>
      <c r="B2289" s="0" t="s">
        <v>3445</v>
      </c>
      <c r="E2289" s="0" t="inlineStr">
        <is>
          <t xml:space="preserve">Mazda</t>
        </is>
      </c>
      <c r="F2289" s="0" t="inlineStr">
        <is>
          <t xml:space="preserve">Mazda</t>
        </is>
      </c>
      <c r="G2289" s="0" t="s">
        <v>171</v>
      </c>
      <c r="H2289" s="5">
        <v>3187.122900</v>
      </c>
    </row>
    <row r="2290" spans="1:9">
      <c r="A2290" s="22" t="str">
        <f>HYPERLINK("https://app.vivvix.com/360/KMI/IntelliDrive/ApplUI/Pages/CreativePages/CustomReportCreativeDetail.aspx?App=23&amp;ReportView=4&amp;Qid=1711279&amp;Row=2282&amp;Col=1","No Title Assigned - #15267094007")</f>
        <v/>
      </c>
      <c r="B2290" s="0" t="s">
        <v>3446</v>
      </c>
      <c r="E2290" s="0" t="inlineStr">
        <is>
          <t xml:space="preserve">Mazda</t>
        </is>
      </c>
      <c r="F2290" s="0" t="inlineStr">
        <is>
          <t xml:space="preserve">Mazda</t>
        </is>
      </c>
      <c r="G2290" s="0" t="s">
        <v>171</v>
      </c>
      <c r="H2290" s="5">
        <v>310.367800</v>
      </c>
    </row>
    <row r="2291" spans="1:9">
      <c r="A2291" s="22" t="str">
        <f>HYPERLINK("https://app.vivvix.com/360/KMI/IntelliDrive/ApplUI/Pages/CreativePages/CustomReportCreativeDetail.aspx?App=23&amp;ReportView=4&amp;Qid=1711279&amp;Row=2283&amp;Col=1","No Title Assigned - #15267094263")</f>
        <v/>
      </c>
      <c r="B2291" s="0" t="s">
        <v>3447</v>
      </c>
      <c r="C2291" s="0" t="s">
        <v>3448</v>
      </c>
      <c r="D2291" s="0" t="s">
        <v>3448</v>
      </c>
      <c r="E2291" s="0" t="inlineStr">
        <is>
          <t xml:space="preserve">Mazda</t>
        </is>
      </c>
      <c r="F2291" s="0" t="inlineStr">
        <is>
          <t xml:space="preserve">Mazda</t>
        </is>
      </c>
      <c r="G2291" s="0" t="s">
        <v>171</v>
      </c>
      <c r="H2291" s="5">
        <v>6562.591800</v>
      </c>
    </row>
    <row r="2292" spans="1:9">
      <c r="A2292" s="22" t="str">
        <f>HYPERLINK("https://app.vivvix.com/360/KMI/IntelliDrive/ApplUI/Pages/CreativePages/CustomReportCreativeDetail.aspx?App=23&amp;ReportView=4&amp;Qid=1711279&amp;Row=2284&amp;Col=1","No Title Assigned - #15267094901")</f>
        <v/>
      </c>
      <c r="B2292" s="0" t="s">
        <v>3449</v>
      </c>
      <c r="E2292" s="0" t="inlineStr">
        <is>
          <t xml:space="preserve">Mazda</t>
        </is>
      </c>
      <c r="F2292" s="0" t="inlineStr">
        <is>
          <t xml:space="preserve">Mazda</t>
        </is>
      </c>
      <c r="G2292" s="0" t="s">
        <v>171</v>
      </c>
      <c r="H2292" s="5">
        <v>172.616300</v>
      </c>
    </row>
    <row r="2293" spans="1:9">
      <c r="A2293" s="22" t="str">
        <f>HYPERLINK("https://app.vivvix.com/360/KMI/IntelliDrive/ApplUI/Pages/CreativePages/CustomReportCreativeDetail.aspx?App=23&amp;ReportView=4&amp;Qid=1711279&amp;Row=2285&amp;Col=1","No Title Assigned - #15267094902")</f>
        <v/>
      </c>
      <c r="B2293" s="0" t="s">
        <v>3450</v>
      </c>
      <c r="E2293" s="0" t="inlineStr">
        <is>
          <t xml:space="preserve">Mazda</t>
        </is>
      </c>
      <c r="F2293" s="0" t="inlineStr">
        <is>
          <t xml:space="preserve">Mazda</t>
        </is>
      </c>
      <c r="G2293" s="0" t="s">
        <v>171</v>
      </c>
      <c r="H2293" s="5">
        <v>196.689900</v>
      </c>
    </row>
    <row r="2294" spans="1:9">
      <c r="A2294" s="22" t="str">
        <f>HYPERLINK("https://app.vivvix.com/360/KMI/IntelliDrive/ApplUI/Pages/CreativePages/CustomReportCreativeDetail.aspx?App=23&amp;ReportView=4&amp;Qid=1711279&amp;Row=2286&amp;Col=1","No Title Assigned - #15267095244")</f>
        <v/>
      </c>
      <c r="B2294" s="0" t="s">
        <v>3451</v>
      </c>
      <c r="C2294" s="0" t="s">
        <v>3452</v>
      </c>
      <c r="D2294" s="0" t="s">
        <v>3452</v>
      </c>
      <c r="E2294" s="0" t="inlineStr">
        <is>
          <t xml:space="preserve">Mazda</t>
        </is>
      </c>
      <c r="F2294" s="0" t="inlineStr">
        <is>
          <t xml:space="preserve">Mazda</t>
        </is>
      </c>
      <c r="G2294" s="0" t="s">
        <v>171</v>
      </c>
      <c r="H2294" s="5">
        <v>1018.274900</v>
      </c>
    </row>
    <row r="2295" spans="1:9">
      <c r="A2295" s="22" t="str">
        <f>HYPERLINK("https://app.vivvix.com/360/KMI/IntelliDrive/ApplUI/Pages/CreativePages/CustomReportCreativeDetail.aspx?App=23&amp;ReportView=4&amp;Qid=1711279&amp;Row=2287&amp;Col=1","No Title Assigned - #15267096722")</f>
        <v/>
      </c>
      <c r="B2295" s="0" t="s">
        <v>3453</v>
      </c>
      <c r="E2295" s="0" t="inlineStr">
        <is>
          <t xml:space="preserve">Mazda</t>
        </is>
      </c>
      <c r="F2295" s="0" t="inlineStr">
        <is>
          <t xml:space="preserve">Mazda</t>
        </is>
      </c>
      <c r="G2295" s="0" t="s">
        <v>171</v>
      </c>
      <c r="H2295" s="5">
        <v>54.332700</v>
      </c>
    </row>
    <row r="2296" spans="1:9">
      <c r="A2296" s="22" t="str">
        <f>HYPERLINK("https://app.vivvix.com/360/KMI/IntelliDrive/ApplUI/Pages/CreativePages/CustomReportCreativeDetail.aspx?App=23&amp;ReportView=4&amp;Qid=1711279&amp;Row=2288&amp;Col=1","No Title Assigned - #15267097248")</f>
        <v/>
      </c>
      <c r="B2296" s="0" t="s">
        <v>3454</v>
      </c>
      <c r="E2296" s="0" t="inlineStr">
        <is>
          <t xml:space="preserve">Mazda</t>
        </is>
      </c>
      <c r="F2296" s="0" t="s">
        <v>204</v>
      </c>
      <c r="G2296" s="0" t="s">
        <v>205</v>
      </c>
      <c r="H2296" s="5">
        <v>300.740600</v>
      </c>
    </row>
    <row r="2297" spans="1:9">
      <c r="A2297" s="22" t="str">
        <f>HYPERLINK("https://app.vivvix.com/360/KMI/IntelliDrive/ApplUI/Pages/CreativePages/CustomReportCreativeDetail.aspx?App=23&amp;ReportView=4&amp;Qid=1711279&amp;Row=2289&amp;Col=1","No Title Assigned - #15267097751")</f>
        <v/>
      </c>
      <c r="B2297" s="0" t="s">
        <v>3455</v>
      </c>
      <c r="C2297" s="0" t="s">
        <v>3456</v>
      </c>
      <c r="D2297" s="0" t="s">
        <v>3456</v>
      </c>
      <c r="E2297" s="0" t="inlineStr">
        <is>
          <t xml:space="preserve">Mazda</t>
        </is>
      </c>
      <c r="F2297" s="0" t="s">
        <v>28</v>
      </c>
      <c r="G2297" s="0" t="s">
        <v>29</v>
      </c>
      <c r="H2297" s="5">
        <v>122.858700</v>
      </c>
    </row>
    <row r="2298" spans="1:9">
      <c r="A2298" s="22" t="str">
        <f>HYPERLINK("https://app.vivvix.com/360/KMI/IntelliDrive/ApplUI/Pages/CreativePages/CustomReportCreativeDetail.aspx?App=23&amp;ReportView=4&amp;Qid=1711279&amp;Row=2290&amp;Col=1","No Title Assigned - #15267099360")</f>
        <v/>
      </c>
      <c r="B2298" s="0" t="s">
        <v>3457</v>
      </c>
      <c r="C2298" s="0" t="s">
        <v>3458</v>
      </c>
      <c r="D2298" s="0" t="s">
        <v>3458</v>
      </c>
      <c r="E2298" s="0" t="inlineStr">
        <is>
          <t xml:space="preserve">Mazda</t>
        </is>
      </c>
      <c r="F2298" s="0" t="s">
        <v>28</v>
      </c>
      <c r="G2298" s="0" t="s">
        <v>29</v>
      </c>
      <c r="H2298" s="5">
        <v>970.310500</v>
      </c>
    </row>
    <row r="2299" spans="1:9">
      <c r="A2299" s="22" t="str">
        <f>HYPERLINK("https://app.vivvix.com/360/KMI/IntelliDrive/ApplUI/Pages/CreativePages/CustomReportCreativeDetail.aspx?App=23&amp;ReportView=4&amp;Qid=1711279&amp;Row=2291&amp;Col=1","No Title Assigned - #15267099446")</f>
        <v/>
      </c>
      <c r="B2299" s="0" t="s">
        <v>3459</v>
      </c>
      <c r="C2299" s="0" t="s">
        <v>3460</v>
      </c>
      <c r="D2299" s="0" t="s">
        <v>3460</v>
      </c>
      <c r="E2299" s="0" t="inlineStr">
        <is>
          <t xml:space="preserve">Mazda</t>
        </is>
      </c>
      <c r="F2299" s="0" t="s">
        <v>28</v>
      </c>
      <c r="G2299" s="0" t="s">
        <v>29</v>
      </c>
      <c r="H2299" s="5">
        <v>99.899200</v>
      </c>
    </row>
    <row r="2300" spans="1:9">
      <c r="A2300" s="22" t="str">
        <f>HYPERLINK("https://app.vivvix.com/360/KMI/IntelliDrive/ApplUI/Pages/CreativePages/CustomReportCreativeDetail.aspx?App=23&amp;ReportView=4&amp;Qid=1711279&amp;Row=2292&amp;Col=1","No Title Assigned - #15267100236")</f>
        <v/>
      </c>
      <c r="B2300" s="0" t="s">
        <v>3461</v>
      </c>
      <c r="C2300" s="0" t="s">
        <v>3462</v>
      </c>
      <c r="D2300" s="0" t="s">
        <v>3462</v>
      </c>
      <c r="E2300" s="0" t="inlineStr">
        <is>
          <t xml:space="preserve">Mazda</t>
        </is>
      </c>
      <c r="F2300" s="0" t="s">
        <v>28</v>
      </c>
      <c r="G2300" s="0" t="s">
        <v>29</v>
      </c>
      <c r="H2300" s="5">
        <v>698.023800</v>
      </c>
    </row>
    <row r="2301" spans="1:9">
      <c r="A2301" s="22" t="str">
        <f>HYPERLINK("https://app.vivvix.com/360/KMI/IntelliDrive/ApplUI/Pages/CreativePages/CustomReportCreativeDetail.aspx?App=23&amp;ReportView=4&amp;Qid=1711279&amp;Row=2293&amp;Col=1","No Title Assigned - #15267100236")</f>
        <v/>
      </c>
      <c r="B2301" s="0" t="s">
        <v>3461</v>
      </c>
      <c r="E2301" s="0" t="inlineStr">
        <is>
          <t xml:space="preserve">Mazda</t>
        </is>
      </c>
      <c r="F2301" s="0" t="s">
        <v>28</v>
      </c>
      <c r="G2301" s="0" t="s">
        <v>29</v>
      </c>
      <c r="H2301" s="5">
        <v>80.121200</v>
      </c>
    </row>
    <row r="2302" spans="1:9">
      <c r="A2302" s="22" t="str">
        <f>HYPERLINK("https://app.vivvix.com/360/KMI/IntelliDrive/ApplUI/Pages/CreativePages/CustomReportCreativeDetail.aspx?App=23&amp;ReportView=4&amp;Qid=1711279&amp;Row=2294&amp;Col=1","No Title Assigned - #15267100380")</f>
        <v/>
      </c>
      <c r="B2302" s="0" t="s">
        <v>3463</v>
      </c>
      <c r="C2302" s="0" t="s">
        <v>3464</v>
      </c>
      <c r="D2302" s="0" t="s">
        <v>3464</v>
      </c>
      <c r="E2302" s="0" t="inlineStr">
        <is>
          <t xml:space="preserve">Mazda</t>
        </is>
      </c>
      <c r="F2302" s="0" t="s">
        <v>28</v>
      </c>
      <c r="G2302" s="0" t="s">
        <v>29</v>
      </c>
      <c r="H2302" s="5">
        <v>148.047200</v>
      </c>
    </row>
    <row r="2303" spans="1:9">
      <c r="A2303" s="22" t="str">
        <f>HYPERLINK("https://app.vivvix.com/360/KMI/IntelliDrive/ApplUI/Pages/CreativePages/CustomReportCreativeDetail.aspx?App=23&amp;ReportView=4&amp;Qid=1711279&amp;Row=2295&amp;Col=1","No Title Assigned - #15267101116")</f>
        <v/>
      </c>
      <c r="B2303" s="0" t="s">
        <v>3465</v>
      </c>
      <c r="C2303" s="0" t="s">
        <v>3466</v>
      </c>
      <c r="D2303" s="0" t="s">
        <v>3466</v>
      </c>
      <c r="E2303" s="0" t="inlineStr">
        <is>
          <t xml:space="preserve">Mazda</t>
        </is>
      </c>
      <c r="F2303" s="0" t="s">
        <v>28</v>
      </c>
      <c r="G2303" s="0" t="s">
        <v>29</v>
      </c>
      <c r="H2303" s="5">
        <v>90.144000</v>
      </c>
    </row>
    <row r="2304" spans="1:9">
      <c r="A2304" s="22" t="str">
        <f>HYPERLINK("https://app.vivvix.com/360/KMI/IntelliDrive/ApplUI/Pages/CreativePages/CustomReportCreativeDetail.aspx?App=23&amp;ReportView=4&amp;Qid=1711279&amp;Row=2296&amp;Col=1","No Title Assigned - #15267101118")</f>
        <v/>
      </c>
      <c r="B2304" s="0" t="s">
        <v>3467</v>
      </c>
      <c r="C2304" s="0" t="s">
        <v>3468</v>
      </c>
      <c r="D2304" s="0" t="s">
        <v>3468</v>
      </c>
      <c r="E2304" s="0" t="inlineStr">
        <is>
          <t xml:space="preserve">Mazda</t>
        </is>
      </c>
      <c r="F2304" s="0" t="s">
        <v>28</v>
      </c>
      <c r="G2304" s="0" t="s">
        <v>29</v>
      </c>
      <c r="H2304" s="5">
        <v>37.765700</v>
      </c>
    </row>
    <row r="2305" spans="1:9">
      <c r="A2305" s="22" t="str">
        <f>HYPERLINK("https://app.vivvix.com/360/KMI/IntelliDrive/ApplUI/Pages/CreativePages/CustomReportCreativeDetail.aspx?App=23&amp;ReportView=4&amp;Qid=1711279&amp;Row=2297&amp;Col=1","No Title Assigned - #15267101545")</f>
        <v/>
      </c>
      <c r="B2305" s="0" t="s">
        <v>3469</v>
      </c>
      <c r="C2305" s="0" t="s">
        <v>3470</v>
      </c>
      <c r="D2305" s="0" t="s">
        <v>3470</v>
      </c>
      <c r="E2305" s="0" t="inlineStr">
        <is>
          <t xml:space="preserve">Mazda</t>
        </is>
      </c>
      <c r="F2305" s="0" t="s">
        <v>28</v>
      </c>
      <c r="G2305" s="0" t="s">
        <v>29</v>
      </c>
      <c r="H2305" s="5">
        <v>159.627900</v>
      </c>
    </row>
    <row r="2306" spans="1:9">
      <c r="A2306" s="22" t="str">
        <f>HYPERLINK("https://app.vivvix.com/360/KMI/IntelliDrive/ApplUI/Pages/CreativePages/CustomReportCreativeDetail.aspx?App=23&amp;ReportView=4&amp;Qid=1711279&amp;Row=2298&amp;Col=1","No Title Assigned - #15267101744")</f>
        <v/>
      </c>
      <c r="B2306" s="0" t="s">
        <v>3471</v>
      </c>
      <c r="C2306" s="0" t="s">
        <v>3472</v>
      </c>
      <c r="D2306" s="0" t="s">
        <v>3472</v>
      </c>
      <c r="E2306" s="0" t="inlineStr">
        <is>
          <t xml:space="preserve">Mazda</t>
        </is>
      </c>
      <c r="F2306" s="0" t="s">
        <v>28</v>
      </c>
      <c r="G2306" s="0" t="s">
        <v>29</v>
      </c>
      <c r="H2306" s="5">
        <v>15167.233500</v>
      </c>
    </row>
    <row r="2307" spans="1:9">
      <c r="A2307" s="22" t="str">
        <f>HYPERLINK("https://app.vivvix.com/360/KMI/IntelliDrive/ApplUI/Pages/CreativePages/CustomReportCreativeDetail.aspx?App=23&amp;ReportView=4&amp;Qid=1711279&amp;Row=2299&amp;Col=1","No Title Assigned - #15267101744")</f>
        <v/>
      </c>
      <c r="B2307" s="0" t="s">
        <v>3471</v>
      </c>
      <c r="E2307" s="0" t="inlineStr">
        <is>
          <t xml:space="preserve">Mazda</t>
        </is>
      </c>
      <c r="F2307" s="0" t="s">
        <v>28</v>
      </c>
      <c r="G2307" s="0" t="s">
        <v>29</v>
      </c>
      <c r="H2307" s="5">
        <v>51405.033200</v>
      </c>
    </row>
    <row r="2308" spans="1:9">
      <c r="A2308" s="22" t="str">
        <f>HYPERLINK("https://app.vivvix.com/360/KMI/IntelliDrive/ApplUI/Pages/CreativePages/CustomReportCreativeDetail.aspx?App=23&amp;ReportView=4&amp;Qid=1711279&amp;Row=2300&amp;Col=1","No Title Assigned - #15267102891")</f>
        <v/>
      </c>
      <c r="B2308" s="0" t="s">
        <v>3473</v>
      </c>
      <c r="C2308" s="0" t="s">
        <v>3474</v>
      </c>
      <c r="D2308" s="0" t="s">
        <v>3474</v>
      </c>
      <c r="E2308" s="0" t="inlineStr">
        <is>
          <t xml:space="preserve">Mazda</t>
        </is>
      </c>
      <c r="F2308" s="0" t="s">
        <v>28</v>
      </c>
      <c r="G2308" s="0" t="s">
        <v>29</v>
      </c>
      <c r="H2308" s="5">
        <v>3141.712100</v>
      </c>
    </row>
    <row r="2309" spans="1:9">
      <c r="A2309" s="22" t="str">
        <f>HYPERLINK("https://app.vivvix.com/360/KMI/IntelliDrive/ApplUI/Pages/CreativePages/CustomReportCreativeDetail.aspx?App=23&amp;ReportView=4&amp;Qid=1711279&amp;Row=2301&amp;Col=1","No Title Assigned - #15267102891")</f>
        <v/>
      </c>
      <c r="B2309" s="0" t="s">
        <v>3473</v>
      </c>
      <c r="E2309" s="0" t="inlineStr">
        <is>
          <t xml:space="preserve">Mazda</t>
        </is>
      </c>
      <c r="F2309" s="0" t="s">
        <v>28</v>
      </c>
      <c r="G2309" s="0" t="s">
        <v>29</v>
      </c>
      <c r="H2309" s="5">
        <v>710.469200</v>
      </c>
    </row>
    <row r="2310" spans="1:9">
      <c r="A2310" s="22" t="str">
        <f>HYPERLINK("https://app.vivvix.com/360/KMI/IntelliDrive/ApplUI/Pages/CreativePages/CustomReportCreativeDetail.aspx?App=23&amp;ReportView=4&amp;Qid=1711279&amp;Row=2302&amp;Col=1","No Title Assigned - #15267103725")</f>
        <v/>
      </c>
      <c r="B2310" s="0" t="s">
        <v>3475</v>
      </c>
      <c r="C2310" s="0" t="s">
        <v>3476</v>
      </c>
      <c r="D2310" s="0" t="s">
        <v>3476</v>
      </c>
      <c r="E2310" s="0" t="inlineStr">
        <is>
          <t xml:space="preserve">Mazda</t>
        </is>
      </c>
      <c r="F2310" s="0" t="s">
        <v>28</v>
      </c>
      <c r="G2310" s="0" t="s">
        <v>29</v>
      </c>
      <c r="H2310" s="5">
        <v>1054.470000</v>
      </c>
    </row>
    <row r="2311" spans="1:9">
      <c r="A2311" s="22" t="str">
        <f>HYPERLINK("https://app.vivvix.com/360/KMI/IntelliDrive/ApplUI/Pages/CreativePages/CustomReportCreativeDetail.aspx?App=23&amp;ReportView=4&amp;Qid=1711279&amp;Row=2303&amp;Col=1","No Title Assigned - #15267103984")</f>
        <v/>
      </c>
      <c r="B2311" s="0" t="s">
        <v>3477</v>
      </c>
      <c r="C2311" s="0" t="s">
        <v>3478</v>
      </c>
      <c r="D2311" s="0" t="s">
        <v>3478</v>
      </c>
      <c r="E2311" s="0" t="inlineStr">
        <is>
          <t xml:space="preserve">Mazda</t>
        </is>
      </c>
      <c r="F2311" s="0" t="s">
        <v>28</v>
      </c>
      <c r="G2311" s="0" t="s">
        <v>29</v>
      </c>
      <c r="H2311" s="5">
        <v>309.339600</v>
      </c>
    </row>
    <row r="2312" spans="1:9">
      <c r="A2312" s="22" t="str">
        <f>HYPERLINK("https://app.vivvix.com/360/KMI/IntelliDrive/ApplUI/Pages/CreativePages/CustomReportCreativeDetail.aspx?App=23&amp;ReportView=4&amp;Qid=1711279&amp;Row=2304&amp;Col=1","No Title Assigned - #15267104942")</f>
        <v/>
      </c>
      <c r="B2312" s="0" t="s">
        <v>3479</v>
      </c>
      <c r="C2312" s="0" t="s">
        <v>3480</v>
      </c>
      <c r="D2312" s="0" t="s">
        <v>3480</v>
      </c>
      <c r="E2312" s="0" t="inlineStr">
        <is>
          <t xml:space="preserve">Mazda</t>
        </is>
      </c>
      <c r="F2312" s="0" t="s">
        <v>28</v>
      </c>
      <c r="G2312" s="0" t="s">
        <v>29</v>
      </c>
      <c r="H2312" s="5">
        <v>695.584300</v>
      </c>
    </row>
    <row r="2313" spans="1:9">
      <c r="A2313" s="22" t="str">
        <f>HYPERLINK("https://app.vivvix.com/360/KMI/IntelliDrive/ApplUI/Pages/CreativePages/CustomReportCreativeDetail.aspx?App=23&amp;ReportView=4&amp;Qid=1711279&amp;Row=2305&amp;Col=1","No Title Assigned - #15267105160")</f>
        <v/>
      </c>
      <c r="B2313" s="0" t="s">
        <v>3481</v>
      </c>
      <c r="C2313" s="0" t="s">
        <v>3482</v>
      </c>
      <c r="D2313" s="0" t="s">
        <v>3482</v>
      </c>
      <c r="E2313" s="0" t="inlineStr">
        <is>
          <t xml:space="preserve">Mazda</t>
        </is>
      </c>
      <c r="F2313" s="0" t="s">
        <v>28</v>
      </c>
      <c r="G2313" s="0" t="s">
        <v>29</v>
      </c>
      <c r="H2313" s="5">
        <v>3678.651500</v>
      </c>
    </row>
    <row r="2314" spans="1:9">
      <c r="A2314" s="22" t="str">
        <f>HYPERLINK("https://app.vivvix.com/360/KMI/IntelliDrive/ApplUI/Pages/CreativePages/CustomReportCreativeDetail.aspx?App=23&amp;ReportView=4&amp;Qid=1711279&amp;Row=2306&amp;Col=1","No Title Assigned - #15267105160")</f>
        <v/>
      </c>
      <c r="B2314" s="0" t="s">
        <v>3481</v>
      </c>
      <c r="E2314" s="0" t="inlineStr">
        <is>
          <t xml:space="preserve">Mazda</t>
        </is>
      </c>
      <c r="F2314" s="0" t="s">
        <v>28</v>
      </c>
      <c r="G2314" s="0" t="s">
        <v>29</v>
      </c>
      <c r="H2314" s="5">
        <v>2455.639700</v>
      </c>
    </row>
    <row r="2315" spans="1:9">
      <c r="A2315" s="22" t="str">
        <f>HYPERLINK("https://app.vivvix.com/360/KMI/IntelliDrive/ApplUI/Pages/CreativePages/CustomReportCreativeDetail.aspx?App=23&amp;ReportView=4&amp;Qid=1711279&amp;Row=2307&amp;Col=1","No Title Assigned - #15267105528")</f>
        <v/>
      </c>
      <c r="B2315" s="0" t="s">
        <v>3483</v>
      </c>
      <c r="C2315" s="0" t="s">
        <v>3484</v>
      </c>
      <c r="D2315" s="0" t="s">
        <v>3484</v>
      </c>
      <c r="E2315" s="0" t="inlineStr">
        <is>
          <t xml:space="preserve">Mazda</t>
        </is>
      </c>
      <c r="F2315" s="0" t="s">
        <v>28</v>
      </c>
      <c r="G2315" s="0" t="s">
        <v>29</v>
      </c>
      <c r="H2315" s="5">
        <v>338.542500</v>
      </c>
    </row>
    <row r="2316" spans="1:9">
      <c r="A2316" s="22" t="str">
        <f>HYPERLINK("https://app.vivvix.com/360/KMI/IntelliDrive/ApplUI/Pages/CreativePages/CustomReportCreativeDetail.aspx?App=23&amp;ReportView=4&amp;Qid=1711279&amp;Row=2308&amp;Col=1","No Title Assigned - #15267106991")</f>
        <v/>
      </c>
      <c r="B2316" s="0" t="s">
        <v>3485</v>
      </c>
      <c r="C2316" s="0" t="s">
        <v>3486</v>
      </c>
      <c r="D2316" s="0" t="s">
        <v>3486</v>
      </c>
      <c r="E2316" s="0" t="inlineStr">
        <is>
          <t xml:space="preserve">Mazda</t>
        </is>
      </c>
      <c r="F2316" s="0" t="s">
        <v>28</v>
      </c>
      <c r="G2316" s="0" t="s">
        <v>29</v>
      </c>
      <c r="H2316" s="5">
        <v>133.310100</v>
      </c>
    </row>
    <row r="2317" spans="1:9">
      <c r="A2317" s="22" t="str">
        <f>HYPERLINK("https://app.vivvix.com/360/KMI/IntelliDrive/ApplUI/Pages/CreativePages/CustomReportCreativeDetail.aspx?App=23&amp;ReportView=4&amp;Qid=1711279&amp;Row=2309&amp;Col=1","No Title Assigned - #15267108883")</f>
        <v/>
      </c>
      <c r="B2317" s="0" t="s">
        <v>3487</v>
      </c>
      <c r="C2317" s="0" t="s">
        <v>3488</v>
      </c>
      <c r="D2317" s="0" t="s">
        <v>3488</v>
      </c>
      <c r="E2317" s="0" t="inlineStr">
        <is>
          <t xml:space="preserve">Mazda</t>
        </is>
      </c>
      <c r="F2317" s="0" t="s">
        <v>28</v>
      </c>
      <c r="G2317" s="0" t="s">
        <v>29</v>
      </c>
      <c r="H2317" s="5">
        <v>10338.072100</v>
      </c>
    </row>
    <row r="2318" spans="1:9">
      <c r="A2318" s="22" t="str">
        <f>HYPERLINK("https://app.vivvix.com/360/KMI/IntelliDrive/ApplUI/Pages/CreativePages/CustomReportCreativeDetail.aspx?App=23&amp;ReportView=4&amp;Qid=1711279&amp;Row=2310&amp;Col=1","No Title Assigned - #15267116900")</f>
        <v/>
      </c>
      <c r="B2318" s="0" t="s">
        <v>3489</v>
      </c>
      <c r="C2318" s="0" t="s">
        <v>3490</v>
      </c>
      <c r="D2318" s="0" t="s">
        <v>3490</v>
      </c>
      <c r="E2318" s="0" t="inlineStr">
        <is>
          <t xml:space="preserve">Mazda</t>
        </is>
      </c>
      <c r="F2318" s="0" t="s">
        <v>28</v>
      </c>
      <c r="G2318" s="0" t="s">
        <v>29</v>
      </c>
      <c r="H2318" s="5">
        <v>142.836400</v>
      </c>
    </row>
    <row r="2319" spans="1:9">
      <c r="A2319" s="22" t="str">
        <f>HYPERLINK("https://app.vivvix.com/360/KMI/IntelliDrive/ApplUI/Pages/CreativePages/CustomReportCreativeDetail.aspx?App=23&amp;ReportView=4&amp;Qid=1711279&amp;Row=2311&amp;Col=1","No Title Assigned - #15267118098")</f>
        <v/>
      </c>
      <c r="B2319" s="0" t="s">
        <v>3491</v>
      </c>
      <c r="C2319" s="0" t="s">
        <v>3492</v>
      </c>
      <c r="D2319" s="0" t="s">
        <v>3492</v>
      </c>
      <c r="E2319" s="0" t="inlineStr">
        <is>
          <t xml:space="preserve">Mazda</t>
        </is>
      </c>
      <c r="F2319" s="0" t="s">
        <v>28</v>
      </c>
      <c r="G2319" s="0" t="s">
        <v>29</v>
      </c>
      <c r="H2319" s="5">
        <v>126.082200</v>
      </c>
    </row>
    <row r="2320" spans="1:9">
      <c r="A2320" s="22" t="str">
        <f>HYPERLINK("https://app.vivvix.com/360/KMI/IntelliDrive/ApplUI/Pages/CreativePages/CustomReportCreativeDetail.aspx?App=23&amp;ReportView=4&amp;Qid=1711279&amp;Row=2312&amp;Col=1","No Title Assigned - #15267119881")</f>
        <v/>
      </c>
      <c r="B2320" s="0" t="s">
        <v>3493</v>
      </c>
      <c r="C2320" s="0" t="s">
        <v>3494</v>
      </c>
      <c r="D2320" s="0" t="s">
        <v>3494</v>
      </c>
      <c r="E2320" s="0" t="inlineStr">
        <is>
          <t xml:space="preserve">Mazda</t>
        </is>
      </c>
      <c r="F2320" s="0" t="s">
        <v>17</v>
      </c>
      <c r="G2320" s="0" t="s">
        <v>2290</v>
      </c>
      <c r="H2320" s="5">
        <v>15931.042200</v>
      </c>
    </row>
    <row r="2321" spans="1:9">
      <c r="A2321" s="22" t="str">
        <f>HYPERLINK("https://app.vivvix.com/360/KMI/IntelliDrive/ApplUI/Pages/CreativePages/CustomReportCreativeDetail.aspx?App=23&amp;ReportView=4&amp;Qid=1711279&amp;Row=2313&amp;Col=1","No Title Assigned - #15267141870")</f>
        <v/>
      </c>
      <c r="B2321" s="0" t="s">
        <v>3495</v>
      </c>
      <c r="C2321" s="0" t="s">
        <v>3496</v>
      </c>
      <c r="D2321" s="0" t="s">
        <v>3496</v>
      </c>
      <c r="E2321" s="0" t="inlineStr">
        <is>
          <t xml:space="preserve">Mazda</t>
        </is>
      </c>
      <c r="F2321" s="0" t="s">
        <v>28</v>
      </c>
      <c r="G2321" s="0" t="s">
        <v>29</v>
      </c>
      <c r="H2321" s="5">
        <v>68.850500</v>
      </c>
    </row>
    <row r="2322" spans="1:9">
      <c r="A2322" s="22" t="str">
        <f>HYPERLINK("https://app.vivvix.com/360/KMI/IntelliDrive/ApplUI/Pages/CreativePages/CustomReportCreativeDetail.aspx?App=23&amp;ReportView=4&amp;Qid=1711279&amp;Row=2314&amp;Col=1","No Title Assigned - #15267143098")</f>
        <v/>
      </c>
      <c r="B2322" s="0" t="s">
        <v>3497</v>
      </c>
      <c r="C2322" s="0" t="s">
        <v>3498</v>
      </c>
      <c r="D2322" s="0" t="s">
        <v>3498</v>
      </c>
      <c r="E2322" s="0" t="inlineStr">
        <is>
          <t xml:space="preserve">Mazda</t>
        </is>
      </c>
      <c r="F2322" s="0" t="s">
        <v>13</v>
      </c>
      <c r="G2322" s="0" t="s">
        <v>49</v>
      </c>
      <c r="H2322" s="5">
        <v>95.539600</v>
      </c>
    </row>
    <row r="2323" spans="1:9">
      <c r="A2323" s="22" t="str">
        <f>HYPERLINK("https://app.vivvix.com/360/KMI/IntelliDrive/ApplUI/Pages/CreativePages/CustomReportCreativeDetail.aspx?App=23&amp;ReportView=4&amp;Qid=1711279&amp;Row=2315&amp;Col=1","No Title Assigned - #15267143135")</f>
        <v/>
      </c>
      <c r="B2323" s="0" t="s">
        <v>3499</v>
      </c>
      <c r="C2323" s="0" t="s">
        <v>3500</v>
      </c>
      <c r="D2323" s="0" t="s">
        <v>3500</v>
      </c>
      <c r="E2323" s="0" t="inlineStr">
        <is>
          <t xml:space="preserve">Mazda</t>
        </is>
      </c>
      <c r="F2323" s="0" t="s">
        <v>13</v>
      </c>
      <c r="G2323" s="0" t="s">
        <v>49</v>
      </c>
      <c r="H2323" s="5">
        <v>334.388600</v>
      </c>
    </row>
    <row r="2324" spans="1:9">
      <c r="A2324" s="22" t="str">
        <f>HYPERLINK("https://app.vivvix.com/360/KMI/IntelliDrive/ApplUI/Pages/CreativePages/CustomReportCreativeDetail.aspx?App=23&amp;ReportView=4&amp;Qid=1711279&amp;Row=2316&amp;Col=1","No Title Assigned - #15267143256")</f>
        <v/>
      </c>
      <c r="B2324" s="0" t="s">
        <v>3501</v>
      </c>
      <c r="C2324" s="0" t="s">
        <v>3502</v>
      </c>
      <c r="D2324" s="0" t="s">
        <v>3502</v>
      </c>
      <c r="E2324" s="0" t="inlineStr">
        <is>
          <t xml:space="preserve">Mazda</t>
        </is>
      </c>
      <c r="F2324" s="0" t="s">
        <v>13</v>
      </c>
      <c r="G2324" s="0" t="s">
        <v>49</v>
      </c>
      <c r="H2324" s="5">
        <v>6971.974400</v>
      </c>
    </row>
    <row r="2325" spans="1:9">
      <c r="A2325" s="22" t="str">
        <f>HYPERLINK("https://app.vivvix.com/360/KMI/IntelliDrive/ApplUI/Pages/CreativePages/CustomReportCreativeDetail.aspx?App=23&amp;ReportView=4&amp;Qid=1711279&amp;Row=2317&amp;Col=1","No Title Assigned - #15267143637")</f>
        <v/>
      </c>
      <c r="B2325" s="0" t="s">
        <v>3503</v>
      </c>
      <c r="C2325" s="0" t="s">
        <v>3504</v>
      </c>
      <c r="D2325" s="0" t="s">
        <v>3504</v>
      </c>
      <c r="E2325" s="0" t="inlineStr">
        <is>
          <t xml:space="preserve">Mazda</t>
        </is>
      </c>
      <c r="F2325" s="0" t="s">
        <v>28</v>
      </c>
      <c r="G2325" s="0" t="s">
        <v>29</v>
      </c>
      <c r="H2325" s="5">
        <v>23654.504600</v>
      </c>
    </row>
    <row r="2326" spans="1:9">
      <c r="A2326" s="22" t="str">
        <f>HYPERLINK("https://app.vivvix.com/360/KMI/IntelliDrive/ApplUI/Pages/CreativePages/CustomReportCreativeDetail.aspx?App=23&amp;ReportView=4&amp;Qid=1711279&amp;Row=2318&amp;Col=1","No Title Assigned - #15267143637")</f>
        <v/>
      </c>
      <c r="B2326" s="0" t="s">
        <v>3503</v>
      </c>
      <c r="E2326" s="0" t="inlineStr">
        <is>
          <t xml:space="preserve">Mazda</t>
        </is>
      </c>
      <c r="F2326" s="0" t="s">
        <v>28</v>
      </c>
      <c r="G2326" s="0" t="s">
        <v>29</v>
      </c>
      <c r="H2326" s="5">
        <v>39344.528400</v>
      </c>
    </row>
    <row r="2327" spans="1:9">
      <c r="A2327" s="22" t="str">
        <f>HYPERLINK("https://app.vivvix.com/360/KMI/IntelliDrive/ApplUI/Pages/CreativePages/CustomReportCreativeDetail.aspx?App=23&amp;ReportView=4&amp;Qid=1711279&amp;Row=2319&amp;Col=1","No Title Assigned - #15267148897")</f>
        <v/>
      </c>
      <c r="B2327" s="0" t="s">
        <v>3505</v>
      </c>
      <c r="C2327" s="0" t="s">
        <v>3506</v>
      </c>
      <c r="D2327" s="0" t="s">
        <v>3506</v>
      </c>
      <c r="E2327" s="0" t="inlineStr">
        <is>
          <t xml:space="preserve">Mazda</t>
        </is>
      </c>
      <c r="F2327" s="0" t="s">
        <v>28</v>
      </c>
      <c r="G2327" s="0" t="s">
        <v>29</v>
      </c>
      <c r="H2327" s="5">
        <v>391.492000</v>
      </c>
    </row>
    <row r="2328" spans="1:9">
      <c r="A2328" s="22" t="str">
        <f>HYPERLINK("https://app.vivvix.com/360/KMI/IntelliDrive/ApplUI/Pages/CreativePages/CustomReportCreativeDetail.aspx?App=23&amp;ReportView=4&amp;Qid=1711279&amp;Row=2320&amp;Col=1","No Title Assigned - #15267148897")</f>
        <v/>
      </c>
      <c r="B2328" s="0" t="s">
        <v>3505</v>
      </c>
      <c r="E2328" s="0" t="inlineStr">
        <is>
          <t xml:space="preserve">Mazda</t>
        </is>
      </c>
      <c r="F2328" s="0" t="s">
        <v>28</v>
      </c>
      <c r="G2328" s="0" t="s">
        <v>29</v>
      </c>
      <c r="H2328" s="5">
        <v>7706.175300</v>
      </c>
    </row>
    <row r="2329" spans="1:9">
      <c r="A2329" s="22" t="str">
        <f>HYPERLINK("https://app.vivvix.com/360/KMI/IntelliDrive/ApplUI/Pages/CreativePages/CustomReportCreativeDetail.aspx?App=23&amp;ReportView=4&amp;Qid=1711279&amp;Row=2321&amp;Col=1","No Title Assigned - #15267149214")</f>
        <v/>
      </c>
      <c r="B2329" s="0" t="s">
        <v>3507</v>
      </c>
      <c r="E2329" s="0" t="inlineStr">
        <is>
          <t xml:space="preserve">Mazda</t>
        </is>
      </c>
      <c r="F2329" s="0" t="inlineStr">
        <is>
          <t xml:space="preserve">Mazda</t>
        </is>
      </c>
      <c r="G2329" s="0" t="s">
        <v>171</v>
      </c>
      <c r="H2329" s="5">
        <v>204.475000</v>
      </c>
    </row>
    <row r="2330" spans="1:9">
      <c r="A2330" s="22" t="str">
        <f>HYPERLINK("https://app.vivvix.com/360/KMI/IntelliDrive/ApplUI/Pages/CreativePages/CustomReportCreativeDetail.aspx?App=23&amp;ReportView=4&amp;Qid=1711279&amp;Row=2322&amp;Col=1","No Title Assigned - #15267149635")</f>
        <v/>
      </c>
      <c r="B2330" s="0" t="s">
        <v>3508</v>
      </c>
      <c r="C2330" s="0" t="s">
        <v>3509</v>
      </c>
      <c r="D2330" s="0" t="s">
        <v>3509</v>
      </c>
      <c r="E2330" s="0" t="inlineStr">
        <is>
          <t xml:space="preserve">Mazda</t>
        </is>
      </c>
      <c r="F2330" s="0" t="s">
        <v>13</v>
      </c>
      <c r="G2330" s="0" t="s">
        <v>49</v>
      </c>
      <c r="H2330" s="5">
        <v>579.091800</v>
      </c>
    </row>
    <row r="2331" spans="1:9">
      <c r="A2331" s="22" t="str">
        <f>HYPERLINK("https://app.vivvix.com/360/KMI/IntelliDrive/ApplUI/Pages/CreativePages/CustomReportCreativeDetail.aspx?App=23&amp;ReportView=4&amp;Qid=1711279&amp;Row=2323&amp;Col=1","No Title Assigned - #15267152689")</f>
        <v/>
      </c>
      <c r="B2331" s="0" t="s">
        <v>3510</v>
      </c>
      <c r="C2331" s="0" t="s">
        <v>3511</v>
      </c>
      <c r="D2331" s="0" t="s">
        <v>3511</v>
      </c>
      <c r="E2331" s="0" t="inlineStr">
        <is>
          <t xml:space="preserve">Mazda</t>
        </is>
      </c>
      <c r="F2331" s="0" t="s">
        <v>28</v>
      </c>
      <c r="G2331" s="0" t="s">
        <v>29</v>
      </c>
      <c r="H2331" s="5">
        <v>1205.758700</v>
      </c>
    </row>
    <row r="2332" spans="1:9">
      <c r="A2332" s="22" t="str">
        <f>HYPERLINK("https://app.vivvix.com/360/KMI/IntelliDrive/ApplUI/Pages/CreativePages/CustomReportCreativeDetail.aspx?App=23&amp;ReportView=4&amp;Qid=1711279&amp;Row=2324&amp;Col=1","No Title Assigned - #15267152689")</f>
        <v/>
      </c>
      <c r="B2332" s="0" t="s">
        <v>3510</v>
      </c>
      <c r="E2332" s="0" t="inlineStr">
        <is>
          <t xml:space="preserve">Mazda</t>
        </is>
      </c>
      <c r="F2332" s="0" t="s">
        <v>28</v>
      </c>
      <c r="G2332" s="0" t="s">
        <v>29</v>
      </c>
      <c r="H2332" s="5">
        <v>248.861500</v>
      </c>
    </row>
    <row r="2333" spans="1:9">
      <c r="A2333" s="22" t="str">
        <f>HYPERLINK("https://app.vivvix.com/360/KMI/IntelliDrive/ApplUI/Pages/CreativePages/CustomReportCreativeDetail.aspx?App=23&amp;ReportView=4&amp;Qid=1711279&amp;Row=2325&amp;Col=1","No Title Assigned - #15267153029")</f>
        <v/>
      </c>
      <c r="B2333" s="0" t="s">
        <v>3512</v>
      </c>
      <c r="C2333" s="0" t="s">
        <v>3513</v>
      </c>
      <c r="D2333" s="0" t="s">
        <v>3513</v>
      </c>
      <c r="E2333" s="0" t="inlineStr">
        <is>
          <t xml:space="preserve">Mazda</t>
        </is>
      </c>
      <c r="F2333" s="0" t="s">
        <v>28</v>
      </c>
      <c r="G2333" s="0" t="s">
        <v>29</v>
      </c>
      <c r="H2333" s="5">
        <v>222705.875400</v>
      </c>
    </row>
    <row r="2334" spans="1:9">
      <c r="A2334" s="22" t="str">
        <f>HYPERLINK("https://app.vivvix.com/360/KMI/IntelliDrive/ApplUI/Pages/CreativePages/CustomReportCreativeDetail.aspx?App=23&amp;ReportView=4&amp;Qid=1711279&amp;Row=2326&amp;Col=1","No Title Assigned - #15267153029")</f>
        <v/>
      </c>
      <c r="B2334" s="0" t="s">
        <v>3512</v>
      </c>
      <c r="E2334" s="0" t="inlineStr">
        <is>
          <t xml:space="preserve">Mazda</t>
        </is>
      </c>
      <c r="F2334" s="0" t="s">
        <v>28</v>
      </c>
      <c r="G2334" s="0" t="s">
        <v>29</v>
      </c>
      <c r="H2334" s="5">
        <v>20976.546900</v>
      </c>
    </row>
    <row r="2335" spans="1:9">
      <c r="A2335" s="22" t="str">
        <f>HYPERLINK("https://app.vivvix.com/360/KMI/IntelliDrive/ApplUI/Pages/CreativePages/CustomReportCreativeDetail.aspx?App=23&amp;ReportView=4&amp;Qid=1711279&amp;Row=2327&amp;Col=1","No Title Assigned - #15267155081")</f>
        <v/>
      </c>
      <c r="B2335" s="0" t="s">
        <v>3514</v>
      </c>
      <c r="C2335" s="0" t="s">
        <v>3515</v>
      </c>
      <c r="D2335" s="0" t="s">
        <v>3515</v>
      </c>
      <c r="E2335" s="0" t="inlineStr">
        <is>
          <t xml:space="preserve">Mazda</t>
        </is>
      </c>
      <c r="F2335" s="0" t="s">
        <v>56</v>
      </c>
      <c r="G2335" s="0" t="s">
        <v>57</v>
      </c>
      <c r="H2335" s="5">
        <v>672.182100</v>
      </c>
    </row>
    <row r="2336" spans="1:9">
      <c r="A2336" s="22" t="str">
        <f>HYPERLINK("https://app.vivvix.com/360/KMI/IntelliDrive/ApplUI/Pages/CreativePages/CustomReportCreativeDetail.aspx?App=23&amp;ReportView=4&amp;Qid=1711279&amp;Row=2328&amp;Col=1","No Title Assigned - #15267155372")</f>
        <v/>
      </c>
      <c r="B2336" s="0" t="s">
        <v>3516</v>
      </c>
      <c r="C2336" s="0" t="s">
        <v>3517</v>
      </c>
      <c r="D2336" s="0" t="s">
        <v>3517</v>
      </c>
      <c r="E2336" s="0" t="inlineStr">
        <is>
          <t xml:space="preserve">Mazda</t>
        </is>
      </c>
      <c r="F2336" s="0" t="s">
        <v>28</v>
      </c>
      <c r="G2336" s="0" t="s">
        <v>29</v>
      </c>
      <c r="H2336" s="5">
        <v>166.457400</v>
      </c>
    </row>
    <row r="2337" spans="1:9">
      <c r="A2337" s="22" t="str">
        <f>HYPERLINK("https://app.vivvix.com/360/KMI/IntelliDrive/ApplUI/Pages/CreativePages/CustomReportCreativeDetail.aspx?App=23&amp;ReportView=4&amp;Qid=1711279&amp;Row=2329&amp;Col=1","No Title Assigned - #15267155712")</f>
        <v/>
      </c>
      <c r="B2337" s="0" t="s">
        <v>3518</v>
      </c>
      <c r="C2337" s="0" t="s">
        <v>3519</v>
      </c>
      <c r="D2337" s="0" t="s">
        <v>3519</v>
      </c>
      <c r="E2337" s="0" t="inlineStr">
        <is>
          <t xml:space="preserve">Mazda</t>
        </is>
      </c>
      <c r="F2337" s="0" t="s">
        <v>28</v>
      </c>
      <c r="G2337" s="0" t="s">
        <v>29</v>
      </c>
      <c r="H2337" s="5">
        <v>126.361500</v>
      </c>
    </row>
    <row r="2338" spans="1:9">
      <c r="A2338" s="22" t="str">
        <f>HYPERLINK("https://app.vivvix.com/360/KMI/IntelliDrive/ApplUI/Pages/CreativePages/CustomReportCreativeDetail.aspx?App=23&amp;ReportView=4&amp;Qid=1711279&amp;Row=2330&amp;Col=1","No Title Assigned - #15267159143")</f>
        <v/>
      </c>
      <c r="B2338" s="0" t="s">
        <v>3520</v>
      </c>
      <c r="C2338" s="0" t="s">
        <v>3521</v>
      </c>
      <c r="D2338" s="0" t="s">
        <v>3521</v>
      </c>
      <c r="E2338" s="0" t="inlineStr">
        <is>
          <t xml:space="preserve">Mazda</t>
        </is>
      </c>
      <c r="F2338" s="0" t="s">
        <v>28</v>
      </c>
      <c r="G2338" s="0" t="s">
        <v>29</v>
      </c>
      <c r="H2338" s="5">
        <v>370.141500</v>
      </c>
    </row>
    <row r="2339" spans="1:9">
      <c r="A2339" s="22" t="str">
        <f>HYPERLINK("https://app.vivvix.com/360/KMI/IntelliDrive/ApplUI/Pages/CreativePages/CustomReportCreativeDetail.aspx?App=23&amp;ReportView=4&amp;Qid=1711279&amp;Row=2331&amp;Col=1","No Title Assigned - #15267160973")</f>
        <v/>
      </c>
      <c r="B2339" s="0" t="s">
        <v>3522</v>
      </c>
      <c r="C2339" s="0" t="s">
        <v>3523</v>
      </c>
      <c r="D2339" s="0" t="s">
        <v>3523</v>
      </c>
      <c r="E2339" s="0" t="inlineStr">
        <is>
          <t xml:space="preserve">Mazda</t>
        </is>
      </c>
      <c r="F2339" s="0" t="s">
        <v>28</v>
      </c>
      <c r="G2339" s="0" t="s">
        <v>29</v>
      </c>
      <c r="H2339" s="5">
        <v>48.211500</v>
      </c>
    </row>
    <row r="2340" spans="1:9">
      <c r="A2340" s="22" t="str">
        <f>HYPERLINK("https://app.vivvix.com/360/KMI/IntelliDrive/ApplUI/Pages/CreativePages/CustomReportCreativeDetail.aspx?App=23&amp;ReportView=4&amp;Qid=1711279&amp;Row=2332&amp;Col=1","No Title Assigned - #15267161402")</f>
        <v/>
      </c>
      <c r="B2340" s="0" t="s">
        <v>3524</v>
      </c>
      <c r="C2340" s="0" t="s">
        <v>3525</v>
      </c>
      <c r="D2340" s="0" t="s">
        <v>3525</v>
      </c>
      <c r="E2340" s="0" t="inlineStr">
        <is>
          <t xml:space="preserve">Mazda</t>
        </is>
      </c>
      <c r="F2340" s="0" t="s">
        <v>28</v>
      </c>
      <c r="G2340" s="0" t="s">
        <v>29</v>
      </c>
      <c r="H2340" s="5">
        <v>7986.118500</v>
      </c>
    </row>
    <row r="2341" spans="1:9">
      <c r="A2341" s="22" t="str">
        <f>HYPERLINK("https://app.vivvix.com/360/KMI/IntelliDrive/ApplUI/Pages/CreativePages/CustomReportCreativeDetail.aspx?App=23&amp;ReportView=4&amp;Qid=1711279&amp;Row=2333&amp;Col=1","No Title Assigned - #15267163277")</f>
        <v/>
      </c>
      <c r="B2341" s="0" t="s">
        <v>3526</v>
      </c>
      <c r="C2341" s="0" t="s">
        <v>3527</v>
      </c>
      <c r="D2341" s="0" t="s">
        <v>3527</v>
      </c>
      <c r="E2341" s="0" t="inlineStr">
        <is>
          <t xml:space="preserve">Mazda</t>
        </is>
      </c>
      <c r="F2341" s="0" t="s">
        <v>28</v>
      </c>
      <c r="G2341" s="0" t="s">
        <v>29</v>
      </c>
      <c r="H2341" s="5">
        <v>248.861500</v>
      </c>
    </row>
    <row r="2342" spans="1:9">
      <c r="A2342" s="22" t="str">
        <f>HYPERLINK("https://app.vivvix.com/360/KMI/IntelliDrive/ApplUI/Pages/CreativePages/CustomReportCreativeDetail.aspx?App=23&amp;ReportView=4&amp;Qid=1711279&amp;Row=2334&amp;Col=1","No Title Assigned - #15267164962")</f>
        <v/>
      </c>
      <c r="B2342" s="0" t="s">
        <v>3528</v>
      </c>
      <c r="C2342" s="0" t="s">
        <v>3529</v>
      </c>
      <c r="D2342" s="0" t="s">
        <v>3529</v>
      </c>
      <c r="E2342" s="0" t="inlineStr">
        <is>
          <t xml:space="preserve">Mazda</t>
        </is>
      </c>
      <c r="F2342" s="0" t="s">
        <v>28</v>
      </c>
      <c r="G2342" s="0" t="s">
        <v>29</v>
      </c>
      <c r="H2342" s="5">
        <v>402.243000</v>
      </c>
    </row>
    <row r="2343" spans="1:9">
      <c r="A2343" s="22" t="str">
        <f>HYPERLINK("https://app.vivvix.com/360/KMI/IntelliDrive/ApplUI/Pages/CreativePages/CustomReportCreativeDetail.aspx?App=23&amp;ReportView=4&amp;Qid=1711279&amp;Row=2335&amp;Col=1","No Title Assigned - #15267191339")</f>
        <v/>
      </c>
      <c r="B2343" s="0" t="s">
        <v>3530</v>
      </c>
      <c r="C2343" s="0" t="s">
        <v>3531</v>
      </c>
      <c r="D2343" s="0" t="s">
        <v>3531</v>
      </c>
      <c r="E2343" s="0" t="inlineStr">
        <is>
          <t xml:space="preserve">Mazda</t>
        </is>
      </c>
      <c r="F2343" s="0" t="s">
        <v>28</v>
      </c>
      <c r="G2343" s="0" t="s">
        <v>29</v>
      </c>
      <c r="H2343" s="5">
        <v>1755.367000</v>
      </c>
    </row>
    <row r="2344" spans="1:9">
      <c r="A2344" s="22" t="str">
        <f>HYPERLINK("https://app.vivvix.com/360/KMI/IntelliDrive/ApplUI/Pages/CreativePages/CustomReportCreativeDetail.aspx?App=23&amp;ReportView=4&amp;Qid=1711279&amp;Row=2336&amp;Col=1","No Title Assigned - #15267191740")</f>
        <v/>
      </c>
      <c r="B2344" s="0" t="s">
        <v>3532</v>
      </c>
      <c r="C2344" s="0" t="s">
        <v>3533</v>
      </c>
      <c r="D2344" s="0" t="s">
        <v>3533</v>
      </c>
      <c r="E2344" s="0" t="inlineStr">
        <is>
          <t xml:space="preserve">Mazda</t>
        </is>
      </c>
      <c r="F2344" s="0" t="s">
        <v>28</v>
      </c>
      <c r="G2344" s="0" t="s">
        <v>29</v>
      </c>
      <c r="H2344" s="5">
        <v>218.603900</v>
      </c>
    </row>
    <row r="2345" spans="1:9">
      <c r="A2345" s="22" t="str">
        <f>HYPERLINK("https://app.vivvix.com/360/KMI/IntelliDrive/ApplUI/Pages/CreativePages/CustomReportCreativeDetail.aspx?App=23&amp;ReportView=4&amp;Qid=1711279&amp;Row=2337&amp;Col=1","No Title Assigned - #15267191741")</f>
        <v/>
      </c>
      <c r="B2345" s="0" t="s">
        <v>3534</v>
      </c>
      <c r="C2345" s="0" t="s">
        <v>3535</v>
      </c>
      <c r="D2345" s="0" t="s">
        <v>3535</v>
      </c>
      <c r="E2345" s="0" t="inlineStr">
        <is>
          <t xml:space="preserve">Mazda</t>
        </is>
      </c>
      <c r="F2345" s="0" t="s">
        <v>28</v>
      </c>
      <c r="G2345" s="0" t="s">
        <v>29</v>
      </c>
      <c r="H2345" s="5">
        <v>218.603900</v>
      </c>
    </row>
    <row r="2346" spans="1:9">
      <c r="A2346" s="22" t="str">
        <f>HYPERLINK("https://app.vivvix.com/360/KMI/IntelliDrive/ApplUI/Pages/CreativePages/CustomReportCreativeDetail.aspx?App=23&amp;ReportView=4&amp;Qid=1711279&amp;Row=2338&amp;Col=1","No Title Assigned - #15267192511")</f>
        <v/>
      </c>
      <c r="B2346" s="0" t="s">
        <v>3536</v>
      </c>
      <c r="C2346" s="0" t="s">
        <v>3537</v>
      </c>
      <c r="D2346" s="0" t="s">
        <v>3537</v>
      </c>
      <c r="E2346" s="0" t="inlineStr">
        <is>
          <t xml:space="preserve">Mazda</t>
        </is>
      </c>
      <c r="F2346" s="0" t="s">
        <v>28</v>
      </c>
      <c r="G2346" s="0" t="s">
        <v>29</v>
      </c>
      <c r="H2346" s="5">
        <v>74.983100</v>
      </c>
    </row>
    <row r="2347" spans="1:9">
      <c r="A2347" s="22" t="str">
        <f>HYPERLINK("https://app.vivvix.com/360/KMI/IntelliDrive/ApplUI/Pages/CreativePages/CustomReportCreativeDetail.aspx?App=23&amp;ReportView=4&amp;Qid=1711279&amp;Row=2339&amp;Col=1","No Title Assigned - #15267194286")</f>
        <v/>
      </c>
      <c r="B2347" s="0" t="s">
        <v>3538</v>
      </c>
      <c r="C2347" s="0" t="s">
        <v>3539</v>
      </c>
      <c r="D2347" s="0" t="s">
        <v>3539</v>
      </c>
      <c r="E2347" s="0" t="inlineStr">
        <is>
          <t xml:space="preserve">Mazda</t>
        </is>
      </c>
      <c r="F2347" s="0" t="s">
        <v>28</v>
      </c>
      <c r="G2347" s="0" t="s">
        <v>29</v>
      </c>
      <c r="H2347" s="5">
        <v>1241.083700</v>
      </c>
    </row>
    <row r="2348" spans="1:9">
      <c r="A2348" s="22" t="str">
        <f>HYPERLINK("https://app.vivvix.com/360/KMI/IntelliDrive/ApplUI/Pages/CreativePages/CustomReportCreativeDetail.aspx?App=23&amp;ReportView=4&amp;Qid=1711279&amp;Row=2340&amp;Col=1","No Title Assigned - #15267194300")</f>
        <v/>
      </c>
      <c r="B2348" s="0" t="s">
        <v>3540</v>
      </c>
      <c r="C2348" s="0" t="s">
        <v>3541</v>
      </c>
      <c r="D2348" s="0" t="s">
        <v>3541</v>
      </c>
      <c r="E2348" s="0" t="inlineStr">
        <is>
          <t xml:space="preserve">Mazda</t>
        </is>
      </c>
      <c r="F2348" s="0" t="s">
        <v>28</v>
      </c>
      <c r="G2348" s="0" t="s">
        <v>29</v>
      </c>
      <c r="H2348" s="5">
        <v>4809.387400</v>
      </c>
    </row>
    <row r="2349" spans="1:9">
      <c r="A2349" s="22" t="str">
        <f>HYPERLINK("https://app.vivvix.com/360/KMI/IntelliDrive/ApplUI/Pages/CreativePages/CustomReportCreativeDetail.aspx?App=23&amp;ReportView=4&amp;Qid=1711279&amp;Row=2341&amp;Col=1","No Title Assigned - #15267195888")</f>
        <v/>
      </c>
      <c r="B2349" s="0" t="s">
        <v>3542</v>
      </c>
      <c r="C2349" s="0" t="s">
        <v>3543</v>
      </c>
      <c r="D2349" s="0" t="s">
        <v>3543</v>
      </c>
      <c r="E2349" s="0" t="inlineStr">
        <is>
          <t xml:space="preserve">Mazda</t>
        </is>
      </c>
      <c r="F2349" s="0" t="s">
        <v>28</v>
      </c>
      <c r="G2349" s="0" t="s">
        <v>29</v>
      </c>
      <c r="H2349" s="5">
        <v>3198.409600</v>
      </c>
    </row>
    <row r="2350" spans="1:9">
      <c r="A2350" s="22" t="str">
        <f>HYPERLINK("https://app.vivvix.com/360/KMI/IntelliDrive/ApplUI/Pages/CreativePages/CustomReportCreativeDetail.aspx?App=23&amp;ReportView=4&amp;Qid=1711279&amp;Row=2342&amp;Col=1","No Title Assigned - #15267195888")</f>
        <v/>
      </c>
      <c r="B2350" s="0" t="s">
        <v>3542</v>
      </c>
      <c r="E2350" s="0" t="inlineStr">
        <is>
          <t xml:space="preserve">Mazda</t>
        </is>
      </c>
      <c r="F2350" s="0" t="s">
        <v>28</v>
      </c>
      <c r="G2350" s="0" t="s">
        <v>29</v>
      </c>
      <c r="H2350" s="5">
        <v>9471.957000</v>
      </c>
    </row>
    <row r="2351" spans="1:9">
      <c r="A2351" s="22" t="str">
        <f>HYPERLINK("https://app.vivvix.com/360/KMI/IntelliDrive/ApplUI/Pages/CreativePages/CustomReportCreativeDetail.aspx?App=23&amp;ReportView=4&amp;Qid=1711279&amp;Row=2343&amp;Col=1","No Title Assigned - #15267197360")</f>
        <v/>
      </c>
      <c r="B2351" s="0" t="s">
        <v>3544</v>
      </c>
      <c r="C2351" s="0" t="s">
        <v>3545</v>
      </c>
      <c r="D2351" s="0" t="s">
        <v>3545</v>
      </c>
      <c r="E2351" s="0" t="inlineStr">
        <is>
          <t xml:space="preserve">Mazda</t>
        </is>
      </c>
      <c r="F2351" s="0" t="s">
        <v>28</v>
      </c>
      <c r="G2351" s="0" t="s">
        <v>295</v>
      </c>
      <c r="H2351" s="5">
        <v>1249.691400</v>
      </c>
    </row>
    <row r="2352" spans="1:9">
      <c r="A2352" s="22" t="str">
        <f>HYPERLINK("https://app.vivvix.com/360/KMI/IntelliDrive/ApplUI/Pages/CreativePages/CustomReportCreativeDetail.aspx?App=23&amp;ReportView=4&amp;Qid=1711279&amp;Row=2344&amp;Col=1","No Title Assigned - #15267206320")</f>
        <v/>
      </c>
      <c r="B2352" s="0" t="s">
        <v>3546</v>
      </c>
      <c r="C2352" s="0" t="s">
        <v>3547</v>
      </c>
      <c r="D2352" s="0" t="s">
        <v>3547</v>
      </c>
      <c r="E2352" s="0" t="inlineStr">
        <is>
          <t xml:space="preserve">Mazda</t>
        </is>
      </c>
      <c r="F2352" s="0" t="s">
        <v>28</v>
      </c>
      <c r="G2352" s="0" t="s">
        <v>29</v>
      </c>
      <c r="H2352" s="5">
        <v>20412.356700</v>
      </c>
    </row>
    <row r="2353" spans="1:9">
      <c r="A2353" s="22" t="str">
        <f>HYPERLINK("https://app.vivvix.com/360/KMI/IntelliDrive/ApplUI/Pages/CreativePages/CustomReportCreativeDetail.aspx?App=23&amp;ReportView=4&amp;Qid=1711279&amp;Row=2345&amp;Col=1","No Title Assigned - #15267206321")</f>
        <v/>
      </c>
      <c r="B2353" s="0" t="s">
        <v>3548</v>
      </c>
      <c r="C2353" s="0" t="s">
        <v>3549</v>
      </c>
      <c r="D2353" s="0" t="s">
        <v>3549</v>
      </c>
      <c r="E2353" s="0" t="inlineStr">
        <is>
          <t xml:space="preserve">Mazda</t>
        </is>
      </c>
      <c r="F2353" s="0" t="s">
        <v>28</v>
      </c>
      <c r="G2353" s="0" t="s">
        <v>29</v>
      </c>
      <c r="H2353" s="5">
        <v>931.219900</v>
      </c>
    </row>
    <row r="2354" spans="1:9">
      <c r="A2354" s="22" t="str">
        <f>HYPERLINK("https://app.vivvix.com/360/KMI/IntelliDrive/ApplUI/Pages/CreativePages/CustomReportCreativeDetail.aspx?App=23&amp;ReportView=4&amp;Qid=1711279&amp;Row=2346&amp;Col=1","No Title Assigned - #15267206322")</f>
        <v/>
      </c>
      <c r="B2354" s="0" t="s">
        <v>3550</v>
      </c>
      <c r="C2354" s="0" t="s">
        <v>3551</v>
      </c>
      <c r="D2354" s="0" t="s">
        <v>3551</v>
      </c>
      <c r="E2354" s="0" t="inlineStr">
        <is>
          <t xml:space="preserve">Mazda</t>
        </is>
      </c>
      <c r="F2354" s="0" t="s">
        <v>28</v>
      </c>
      <c r="G2354" s="0" t="s">
        <v>29</v>
      </c>
      <c r="H2354" s="5">
        <v>931.219900</v>
      </c>
    </row>
    <row r="2355" spans="1:9">
      <c r="A2355" s="22" t="str">
        <f>HYPERLINK("https://app.vivvix.com/360/KMI/IntelliDrive/ApplUI/Pages/CreativePages/CustomReportCreativeDetail.aspx?App=23&amp;ReportView=4&amp;Qid=1711279&amp;Row=2347&amp;Col=1","No Title Assigned - #15267206959")</f>
        <v/>
      </c>
      <c r="B2355" s="0" t="s">
        <v>3552</v>
      </c>
      <c r="C2355" s="0" t="s">
        <v>3553</v>
      </c>
      <c r="D2355" s="0" t="s">
        <v>3553</v>
      </c>
      <c r="E2355" s="0" t="inlineStr">
        <is>
          <t xml:space="preserve">Mazda</t>
        </is>
      </c>
      <c r="F2355" s="0" t="s">
        <v>56</v>
      </c>
      <c r="G2355" s="0" t="s">
        <v>57</v>
      </c>
      <c r="H2355" s="5">
        <v>6210.722700</v>
      </c>
    </row>
    <row r="2356" spans="1:9">
      <c r="A2356" s="22" t="str">
        <f>HYPERLINK("https://app.vivvix.com/360/KMI/IntelliDrive/ApplUI/Pages/CreativePages/CustomReportCreativeDetail.aspx?App=23&amp;ReportView=4&amp;Qid=1711279&amp;Row=2348&amp;Col=1","No Title Assigned - #15267207022")</f>
        <v/>
      </c>
      <c r="B2356" s="0" t="s">
        <v>3554</v>
      </c>
      <c r="C2356" s="0" t="s">
        <v>3555</v>
      </c>
      <c r="D2356" s="0" t="s">
        <v>3555</v>
      </c>
      <c r="E2356" s="0" t="inlineStr">
        <is>
          <t xml:space="preserve">Mazda</t>
        </is>
      </c>
      <c r="F2356" s="0" t="s">
        <v>28</v>
      </c>
      <c r="G2356" s="0" t="s">
        <v>29</v>
      </c>
      <c r="H2356" s="5">
        <v>738.816400</v>
      </c>
    </row>
    <row r="2357" spans="1:9">
      <c r="A2357" s="22" t="str">
        <f>HYPERLINK("https://app.vivvix.com/360/KMI/IntelliDrive/ApplUI/Pages/CreativePages/CustomReportCreativeDetail.aspx?App=23&amp;ReportView=4&amp;Qid=1711279&amp;Row=2349&amp;Col=1","No Title Assigned - #15267207113")</f>
        <v/>
      </c>
      <c r="B2357" s="0" t="s">
        <v>3556</v>
      </c>
      <c r="C2357" s="0" t="s">
        <v>3557</v>
      </c>
      <c r="D2357" s="0" t="s">
        <v>3557</v>
      </c>
      <c r="E2357" s="0" t="inlineStr">
        <is>
          <t xml:space="preserve">Mazda</t>
        </is>
      </c>
      <c r="F2357" s="0" t="s">
        <v>13</v>
      </c>
      <c r="G2357" s="0" t="s">
        <v>49</v>
      </c>
      <c r="H2357" s="5">
        <v>355.335500</v>
      </c>
    </row>
    <row r="2358" spans="1:9">
      <c r="A2358" s="22" t="str">
        <f>HYPERLINK("https://app.vivvix.com/360/KMI/IntelliDrive/ApplUI/Pages/CreativePages/CustomReportCreativeDetail.aspx?App=23&amp;ReportView=4&amp;Qid=1711279&amp;Row=2350&amp;Col=1","No Title Assigned - #15267209392")</f>
        <v/>
      </c>
      <c r="B2358" s="0" t="s">
        <v>3558</v>
      </c>
      <c r="C2358" s="0" t="s">
        <v>3559</v>
      </c>
      <c r="D2358" s="0" t="s">
        <v>3559</v>
      </c>
      <c r="E2358" s="0" t="inlineStr">
        <is>
          <t xml:space="preserve">Mazda</t>
        </is>
      </c>
      <c r="F2358" s="0" t="s">
        <v>28</v>
      </c>
      <c r="G2358" s="0" t="s">
        <v>29</v>
      </c>
      <c r="H2358" s="5">
        <v>33.162200</v>
      </c>
    </row>
    <row r="2359" spans="1:9">
      <c r="A2359" s="22" t="str">
        <f>HYPERLINK("https://app.vivvix.com/360/KMI/IntelliDrive/ApplUI/Pages/CreativePages/CustomReportCreativeDetail.aspx?App=23&amp;ReportView=4&amp;Qid=1711279&amp;Row=2351&amp;Col=1","No Title Assigned - #15267209646")</f>
        <v/>
      </c>
      <c r="B2359" s="0" t="s">
        <v>3560</v>
      </c>
      <c r="E2359" s="0" t="inlineStr">
        <is>
          <t xml:space="preserve">Mazda</t>
        </is>
      </c>
      <c r="F2359" s="0" t="inlineStr">
        <is>
          <t xml:space="preserve">Mazda</t>
        </is>
      </c>
      <c r="G2359" s="0" t="s">
        <v>171</v>
      </c>
      <c r="H2359" s="5">
        <v>6789.560100</v>
      </c>
    </row>
    <row r="2360" spans="1:9">
      <c r="A2360" s="22" t="str">
        <f>HYPERLINK("https://app.vivvix.com/360/KMI/IntelliDrive/ApplUI/Pages/CreativePages/CustomReportCreativeDetail.aspx?App=23&amp;ReportView=4&amp;Qid=1711279&amp;Row=2352&amp;Col=1","No Title Assigned - #15267210788")</f>
        <v/>
      </c>
      <c r="B2360" s="0" t="s">
        <v>3561</v>
      </c>
      <c r="C2360" s="0" t="s">
        <v>3562</v>
      </c>
      <c r="D2360" s="0" t="s">
        <v>3562</v>
      </c>
      <c r="E2360" s="0" t="inlineStr">
        <is>
          <t xml:space="preserve">Mazda</t>
        </is>
      </c>
      <c r="F2360" s="0" t="s">
        <v>28</v>
      </c>
      <c r="G2360" s="0" t="s">
        <v>29</v>
      </c>
      <c r="H2360" s="5">
        <v>923.195700</v>
      </c>
    </row>
    <row r="2361" spans="1:9">
      <c r="A2361" s="22" t="str">
        <f>HYPERLINK("https://app.vivvix.com/360/KMI/IntelliDrive/ApplUI/Pages/CreativePages/CustomReportCreativeDetail.aspx?App=23&amp;ReportView=4&amp;Qid=1711279&amp;Row=2353&amp;Col=1","No Title Assigned - #15267211807")</f>
        <v/>
      </c>
      <c r="B2361" s="0" t="s">
        <v>3563</v>
      </c>
      <c r="C2361" s="0" t="s">
        <v>3564</v>
      </c>
      <c r="D2361" s="0" t="s">
        <v>3564</v>
      </c>
      <c r="E2361" s="0" t="inlineStr">
        <is>
          <t xml:space="preserve">Mazda</t>
        </is>
      </c>
      <c r="F2361" s="0" t="s">
        <v>28</v>
      </c>
      <c r="G2361" s="0" t="s">
        <v>29</v>
      </c>
      <c r="H2361" s="5">
        <v>1594.376000</v>
      </c>
    </row>
    <row r="2362" spans="1:9">
      <c r="A2362" s="22" t="str">
        <f>HYPERLINK("https://app.vivvix.com/360/KMI/IntelliDrive/ApplUI/Pages/CreativePages/CustomReportCreativeDetail.aspx?App=23&amp;ReportView=4&amp;Qid=1711279&amp;Row=2354&amp;Col=1","No Title Assigned - #15267211807")</f>
        <v/>
      </c>
      <c r="B2362" s="0" t="s">
        <v>3563</v>
      </c>
      <c r="E2362" s="0" t="inlineStr">
        <is>
          <t xml:space="preserve">Mazda</t>
        </is>
      </c>
      <c r="F2362" s="0" t="s">
        <v>28</v>
      </c>
      <c r="G2362" s="0" t="s">
        <v>29</v>
      </c>
      <c r="H2362" s="5">
        <v>8.496400</v>
      </c>
    </row>
    <row r="2363" spans="1:9">
      <c r="A2363" s="22" t="str">
        <f>HYPERLINK("https://app.vivvix.com/360/KMI/IntelliDrive/ApplUI/Pages/CreativePages/CustomReportCreativeDetail.aspx?App=23&amp;ReportView=4&amp;Qid=1711279&amp;Row=2355&amp;Col=1","No Title Assigned - #15267212465")</f>
        <v/>
      </c>
      <c r="B2363" s="0" t="s">
        <v>3565</v>
      </c>
      <c r="C2363" s="0" t="s">
        <v>3566</v>
      </c>
      <c r="D2363" s="0" t="s">
        <v>3566</v>
      </c>
      <c r="E2363" s="0" t="inlineStr">
        <is>
          <t xml:space="preserve">Mazda</t>
        </is>
      </c>
      <c r="F2363" s="0" t="s">
        <v>28</v>
      </c>
      <c r="G2363" s="0" t="s">
        <v>29</v>
      </c>
      <c r="H2363" s="5">
        <v>307.816800</v>
      </c>
    </row>
    <row r="2364" spans="1:9">
      <c r="A2364" s="22" t="str">
        <f>HYPERLINK("https://app.vivvix.com/360/KMI/IntelliDrive/ApplUI/Pages/CreativePages/CustomReportCreativeDetail.aspx?App=23&amp;ReportView=4&amp;Qid=1711279&amp;Row=2356&amp;Col=1","No Title Assigned - #15267212667")</f>
        <v/>
      </c>
      <c r="B2364" s="0" t="s">
        <v>3567</v>
      </c>
      <c r="C2364" s="0" t="s">
        <v>3568</v>
      </c>
      <c r="D2364" s="0" t="s">
        <v>3568</v>
      </c>
      <c r="E2364" s="0" t="inlineStr">
        <is>
          <t xml:space="preserve">Mazda</t>
        </is>
      </c>
      <c r="F2364" s="0" t="s">
        <v>56</v>
      </c>
      <c r="G2364" s="0" t="s">
        <v>57</v>
      </c>
      <c r="H2364" s="5">
        <v>22818.041200</v>
      </c>
    </row>
    <row r="2365" spans="1:9">
      <c r="A2365" s="22" t="str">
        <f>HYPERLINK("https://app.vivvix.com/360/KMI/IntelliDrive/ApplUI/Pages/CreativePages/CustomReportCreativeDetail.aspx?App=23&amp;ReportView=4&amp;Qid=1711279&amp;Row=2357&amp;Col=1","No Title Assigned - #15267212667")</f>
        <v/>
      </c>
      <c r="B2365" s="0" t="s">
        <v>3567</v>
      </c>
      <c r="E2365" s="0" t="inlineStr">
        <is>
          <t xml:space="preserve">Mazda</t>
        </is>
      </c>
      <c r="F2365" s="0" t="s">
        <v>56</v>
      </c>
      <c r="G2365" s="0" t="s">
        <v>57</v>
      </c>
      <c r="H2365" s="5">
        <v>5506.646400</v>
      </c>
    </row>
    <row r="2366" spans="1:9">
      <c r="A2366" s="22" t="str">
        <f>HYPERLINK("https://app.vivvix.com/360/KMI/IntelliDrive/ApplUI/Pages/CreativePages/CustomReportCreativeDetail.aspx?App=23&amp;ReportView=4&amp;Qid=1711279&amp;Row=2358&amp;Col=1","No Title Assigned - #15267213941")</f>
        <v/>
      </c>
      <c r="B2366" s="0" t="s">
        <v>3569</v>
      </c>
      <c r="C2366" s="0" t="s">
        <v>3570</v>
      </c>
      <c r="D2366" s="0" t="s">
        <v>3570</v>
      </c>
      <c r="E2366" s="0" t="inlineStr">
        <is>
          <t xml:space="preserve">Mazda</t>
        </is>
      </c>
      <c r="F2366" s="0" t="s">
        <v>369</v>
      </c>
      <c r="G2366" s="0" t="s">
        <v>370</v>
      </c>
      <c r="H2366" s="5">
        <v>169.340800</v>
      </c>
    </row>
    <row r="2367" spans="1:9">
      <c r="A2367" s="22" t="str">
        <f>HYPERLINK("https://app.vivvix.com/360/KMI/IntelliDrive/ApplUI/Pages/CreativePages/CustomReportCreativeDetail.aspx?App=23&amp;ReportView=4&amp;Qid=1711279&amp;Row=2359&amp;Col=1","No Title Assigned - #15267215664")</f>
        <v/>
      </c>
      <c r="B2367" s="0" t="s">
        <v>3571</v>
      </c>
      <c r="C2367" s="0" t="s">
        <v>3572</v>
      </c>
      <c r="D2367" s="0" t="s">
        <v>3572</v>
      </c>
      <c r="E2367" s="0" t="inlineStr">
        <is>
          <t xml:space="preserve">Mazda</t>
        </is>
      </c>
      <c r="F2367" s="0" t="inlineStr">
        <is>
          <t xml:space="preserve">Mazda</t>
        </is>
      </c>
      <c r="G2367" s="0" t="s">
        <v>2274</v>
      </c>
      <c r="H2367" s="5">
        <v>5226.655200</v>
      </c>
    </row>
    <row r="2368" spans="1:9">
      <c r="A2368" s="22" t="str">
        <f>HYPERLINK("https://app.vivvix.com/360/KMI/IntelliDrive/ApplUI/Pages/CreativePages/CustomReportCreativeDetail.aspx?App=23&amp;ReportView=4&amp;Qid=1711279&amp;Row=2360&amp;Col=1","No Title Assigned - #15267218600")</f>
        <v/>
      </c>
      <c r="B2368" s="0" t="s">
        <v>3573</v>
      </c>
      <c r="C2368" s="0" t="s">
        <v>3574</v>
      </c>
      <c r="D2368" s="0" t="s">
        <v>3574</v>
      </c>
      <c r="E2368" s="0" t="inlineStr">
        <is>
          <t xml:space="preserve">Mazda</t>
        </is>
      </c>
      <c r="F2368" s="0" t="s">
        <v>28</v>
      </c>
      <c r="G2368" s="0" t="s">
        <v>29</v>
      </c>
      <c r="H2368" s="5">
        <v>411.728000</v>
      </c>
    </row>
    <row r="2369" spans="1:9">
      <c r="A2369" s="22" t="str">
        <f>HYPERLINK("https://app.vivvix.com/360/KMI/IntelliDrive/ApplUI/Pages/CreativePages/CustomReportCreativeDetail.aspx?App=23&amp;ReportView=4&amp;Qid=1711279&amp;Row=2361&amp;Col=1","No Title Assigned - #15267218752")</f>
        <v/>
      </c>
      <c r="B2369" s="0" t="s">
        <v>3575</v>
      </c>
      <c r="C2369" s="0" t="s">
        <v>3576</v>
      </c>
      <c r="D2369" s="0" t="s">
        <v>3576</v>
      </c>
      <c r="E2369" s="0" t="inlineStr">
        <is>
          <t xml:space="preserve">Mazda</t>
        </is>
      </c>
      <c r="F2369" s="0" t="s">
        <v>28</v>
      </c>
      <c r="G2369" s="0" t="s">
        <v>29</v>
      </c>
      <c r="H2369" s="5">
        <v>353.280900</v>
      </c>
    </row>
    <row r="2370" spans="1:9">
      <c r="A2370" s="22" t="str">
        <f>HYPERLINK("https://app.vivvix.com/360/KMI/IntelliDrive/ApplUI/Pages/CreativePages/CustomReportCreativeDetail.aspx?App=23&amp;ReportView=4&amp;Qid=1711279&amp;Row=2362&amp;Col=1","No Title Assigned - #15267219629")</f>
        <v/>
      </c>
      <c r="B2370" s="0" t="s">
        <v>3577</v>
      </c>
      <c r="C2370" s="0" t="s">
        <v>3578</v>
      </c>
      <c r="D2370" s="0" t="s">
        <v>3578</v>
      </c>
      <c r="E2370" s="0" t="inlineStr">
        <is>
          <t xml:space="preserve">Mazda</t>
        </is>
      </c>
      <c r="F2370" s="0" t="s">
        <v>28</v>
      </c>
      <c r="G2370" s="0" t="s">
        <v>29</v>
      </c>
      <c r="H2370" s="5">
        <v>110.043000</v>
      </c>
    </row>
    <row r="2371" spans="1:9">
      <c r="A2371" s="22" t="str">
        <f>HYPERLINK("https://app.vivvix.com/360/KMI/IntelliDrive/ApplUI/Pages/CreativePages/CustomReportCreativeDetail.aspx?App=23&amp;ReportView=4&amp;Qid=1711279&amp;Row=2363&amp;Col=1","No Title Assigned - #15267221100")</f>
        <v/>
      </c>
      <c r="B2371" s="0" t="s">
        <v>3579</v>
      </c>
      <c r="C2371" s="0" t="s">
        <v>3580</v>
      </c>
      <c r="D2371" s="0" t="s">
        <v>3580</v>
      </c>
      <c r="E2371" s="0" t="inlineStr">
        <is>
          <t xml:space="preserve">Mazda</t>
        </is>
      </c>
      <c r="F2371" s="0" t="s">
        <v>28</v>
      </c>
      <c r="G2371" s="0" t="s">
        <v>29</v>
      </c>
      <c r="H2371" s="5">
        <v>348.575500</v>
      </c>
    </row>
    <row r="2372" spans="1:9">
      <c r="A2372" s="22" t="str">
        <f>HYPERLINK("https://app.vivvix.com/360/KMI/IntelliDrive/ApplUI/Pages/CreativePages/CustomReportCreativeDetail.aspx?App=23&amp;ReportView=4&amp;Qid=1711279&amp;Row=2364&amp;Col=1","No Title Assigned - #15267221560")</f>
        <v/>
      </c>
      <c r="B2372" s="0" t="s">
        <v>3581</v>
      </c>
      <c r="C2372" s="0" t="s">
        <v>3582</v>
      </c>
      <c r="D2372" s="0" t="s">
        <v>3582</v>
      </c>
      <c r="E2372" s="0" t="inlineStr">
        <is>
          <t xml:space="preserve">Mazda</t>
        </is>
      </c>
      <c r="F2372" s="0" t="s">
        <v>28</v>
      </c>
      <c r="G2372" s="0" t="s">
        <v>29</v>
      </c>
      <c r="H2372" s="5">
        <v>274.320700</v>
      </c>
    </row>
    <row r="2373" spans="1:9">
      <c r="A2373" s="22" t="str">
        <f>HYPERLINK("https://app.vivvix.com/360/KMI/IntelliDrive/ApplUI/Pages/CreativePages/CustomReportCreativeDetail.aspx?App=23&amp;ReportView=4&amp;Qid=1711279&amp;Row=2365&amp;Col=1","No Title Assigned - #15267221561")</f>
        <v/>
      </c>
      <c r="B2373" s="0" t="s">
        <v>3583</v>
      </c>
      <c r="C2373" s="0" t="s">
        <v>3584</v>
      </c>
      <c r="D2373" s="0" t="s">
        <v>3584</v>
      </c>
      <c r="E2373" s="0" t="inlineStr">
        <is>
          <t xml:space="preserve">Mazda</t>
        </is>
      </c>
      <c r="F2373" s="0" t="s">
        <v>28</v>
      </c>
      <c r="G2373" s="0" t="s">
        <v>29</v>
      </c>
      <c r="H2373" s="5">
        <v>274.320700</v>
      </c>
    </row>
    <row r="2374" spans="1:9">
      <c r="A2374" s="22" t="str">
        <f>HYPERLINK("https://app.vivvix.com/360/KMI/IntelliDrive/ApplUI/Pages/CreativePages/CustomReportCreativeDetail.aspx?App=23&amp;ReportView=4&amp;Qid=1711279&amp;Row=2366&amp;Col=1","No Title Assigned - #15267222078")</f>
        <v/>
      </c>
      <c r="B2374" s="0" t="s">
        <v>3585</v>
      </c>
      <c r="C2374" s="0" t="s">
        <v>3586</v>
      </c>
      <c r="D2374" s="0" t="s">
        <v>3586</v>
      </c>
      <c r="E2374" s="0" t="inlineStr">
        <is>
          <t xml:space="preserve">Mazda</t>
        </is>
      </c>
      <c r="F2374" s="0" t="s">
        <v>56</v>
      </c>
      <c r="G2374" s="0" t="s">
        <v>57</v>
      </c>
      <c r="H2374" s="5">
        <v>581.095100</v>
      </c>
    </row>
    <row r="2375" spans="1:9">
      <c r="A2375" s="22" t="str">
        <f>HYPERLINK("https://app.vivvix.com/360/KMI/IntelliDrive/ApplUI/Pages/CreativePages/CustomReportCreativeDetail.aspx?App=23&amp;ReportView=4&amp;Qid=1711279&amp;Row=2367&amp;Col=1","No Title Assigned - #15267222483")</f>
        <v/>
      </c>
      <c r="B2375" s="0" t="s">
        <v>3587</v>
      </c>
      <c r="C2375" s="0" t="s">
        <v>3588</v>
      </c>
      <c r="D2375" s="0" t="s">
        <v>3588</v>
      </c>
      <c r="E2375" s="0" t="inlineStr">
        <is>
          <t xml:space="preserve">Mazda</t>
        </is>
      </c>
      <c r="F2375" s="0" t="s">
        <v>17</v>
      </c>
      <c r="G2375" s="0" t="s">
        <v>33</v>
      </c>
      <c r="H2375" s="5">
        <v>403.371600</v>
      </c>
    </row>
    <row r="2376" spans="1:9">
      <c r="A2376" s="22" t="str">
        <f>HYPERLINK("https://app.vivvix.com/360/KMI/IntelliDrive/ApplUI/Pages/CreativePages/CustomReportCreativeDetail.aspx?App=23&amp;ReportView=4&amp;Qid=1711279&amp;Row=2368&amp;Col=1","No Title Assigned - #15267222846")</f>
        <v/>
      </c>
      <c r="B2376" s="0" t="s">
        <v>3589</v>
      </c>
      <c r="C2376" s="0" t="s">
        <v>3590</v>
      </c>
      <c r="D2376" s="0" t="s">
        <v>3590</v>
      </c>
      <c r="E2376" s="0" t="inlineStr">
        <is>
          <t xml:space="preserve">Mazda</t>
        </is>
      </c>
      <c r="F2376" s="0" t="s">
        <v>28</v>
      </c>
      <c r="G2376" s="0" t="s">
        <v>29</v>
      </c>
      <c r="H2376" s="5">
        <v>6571.389700</v>
      </c>
    </row>
    <row r="2377" spans="1:9">
      <c r="A2377" s="22" t="str">
        <f>HYPERLINK("https://app.vivvix.com/360/KMI/IntelliDrive/ApplUI/Pages/CreativePages/CustomReportCreativeDetail.aspx?App=23&amp;ReportView=4&amp;Qid=1711279&amp;Row=2369&amp;Col=1","No Title Assigned - #15267223204")</f>
        <v/>
      </c>
      <c r="B2377" s="0" t="s">
        <v>3591</v>
      </c>
      <c r="E2377" s="0" t="inlineStr">
        <is>
          <t xml:space="preserve">Mazda</t>
        </is>
      </c>
      <c r="F2377" s="0" t="s">
        <v>28</v>
      </c>
      <c r="G2377" s="0" t="s">
        <v>29</v>
      </c>
      <c r="H2377" s="5">
        <v>1580.913900</v>
      </c>
    </row>
    <row r="2378" spans="1:9">
      <c r="A2378" s="22" t="str">
        <f>HYPERLINK("https://app.vivvix.com/360/KMI/IntelliDrive/ApplUI/Pages/CreativePages/CustomReportCreativeDetail.aspx?App=23&amp;ReportView=4&amp;Qid=1711279&amp;Row=2370&amp;Col=1","No Title Assigned - #15267223204")</f>
        <v/>
      </c>
      <c r="B2378" s="0" t="s">
        <v>3591</v>
      </c>
      <c r="C2378" s="0" t="s">
        <v>3592</v>
      </c>
      <c r="D2378" s="0" t="s">
        <v>3592</v>
      </c>
      <c r="E2378" s="0" t="inlineStr">
        <is>
          <t xml:space="preserve">Mazda</t>
        </is>
      </c>
      <c r="F2378" s="0" t="s">
        <v>28</v>
      </c>
      <c r="G2378" s="0" t="s">
        <v>29</v>
      </c>
      <c r="H2378" s="5">
        <v>1553.038100</v>
      </c>
    </row>
    <row r="2379" spans="1:9">
      <c r="A2379" s="22" t="str">
        <f>HYPERLINK("https://app.vivvix.com/360/KMI/IntelliDrive/ApplUI/Pages/CreativePages/CustomReportCreativeDetail.aspx?App=23&amp;ReportView=4&amp;Qid=1711279&amp;Row=2371&amp;Col=1","No Title Assigned - #15267223682")</f>
        <v/>
      </c>
      <c r="B2379" s="0" t="s">
        <v>3593</v>
      </c>
      <c r="C2379" s="0" t="s">
        <v>3594</v>
      </c>
      <c r="D2379" s="0" t="s">
        <v>3594</v>
      </c>
      <c r="E2379" s="0" t="inlineStr">
        <is>
          <t xml:space="preserve">Mazda</t>
        </is>
      </c>
      <c r="F2379" s="0" t="s">
        <v>28</v>
      </c>
      <c r="G2379" s="0" t="s">
        <v>29</v>
      </c>
      <c r="H2379" s="5">
        <v>148.897000</v>
      </c>
    </row>
    <row r="2380" spans="1:9">
      <c r="A2380" s="22" t="str">
        <f>HYPERLINK("https://app.vivvix.com/360/KMI/IntelliDrive/ApplUI/Pages/CreativePages/CustomReportCreativeDetail.aspx?App=23&amp;ReportView=4&amp;Qid=1711279&amp;Row=2372&amp;Col=1","No Title Assigned - #15267224108")</f>
        <v/>
      </c>
      <c r="B2380" s="0" t="s">
        <v>3595</v>
      </c>
      <c r="C2380" s="0" t="s">
        <v>3596</v>
      </c>
      <c r="D2380" s="0" t="s">
        <v>3596</v>
      </c>
      <c r="E2380" s="0" t="inlineStr">
        <is>
          <t xml:space="preserve">Mazda</t>
        </is>
      </c>
      <c r="F2380" s="0" t="s">
        <v>28</v>
      </c>
      <c r="G2380" s="0" t="s">
        <v>29</v>
      </c>
      <c r="H2380" s="5">
        <v>827.810000</v>
      </c>
    </row>
    <row r="2381" spans="1:9">
      <c r="A2381" s="22" t="str">
        <f>HYPERLINK("https://app.vivvix.com/360/KMI/IntelliDrive/ApplUI/Pages/CreativePages/CustomReportCreativeDetail.aspx?App=23&amp;ReportView=4&amp;Qid=1711279&amp;Row=2373&amp;Col=1","No Title Assigned - #15267224160")</f>
        <v/>
      </c>
      <c r="B2381" s="0" t="s">
        <v>3597</v>
      </c>
      <c r="C2381" s="0" t="s">
        <v>3598</v>
      </c>
      <c r="D2381" s="0" t="s">
        <v>3598</v>
      </c>
      <c r="E2381" s="0" t="inlineStr">
        <is>
          <t xml:space="preserve">Mazda</t>
        </is>
      </c>
      <c r="F2381" s="0" t="s">
        <v>28</v>
      </c>
      <c r="G2381" s="0" t="s">
        <v>29</v>
      </c>
      <c r="H2381" s="5">
        <v>183.476200</v>
      </c>
    </row>
    <row r="2382" spans="1:9">
      <c r="A2382" s="22" t="str">
        <f>HYPERLINK("https://app.vivvix.com/360/KMI/IntelliDrive/ApplUI/Pages/CreativePages/CustomReportCreativeDetail.aspx?App=23&amp;ReportView=4&amp;Qid=1711279&amp;Row=2374&amp;Col=1","No Title Assigned - #15267224426")</f>
        <v/>
      </c>
      <c r="B2382" s="0" t="s">
        <v>3599</v>
      </c>
      <c r="C2382" s="0" t="s">
        <v>3600</v>
      </c>
      <c r="D2382" s="0" t="s">
        <v>3600</v>
      </c>
      <c r="E2382" s="0" t="inlineStr">
        <is>
          <t xml:space="preserve">Mazda</t>
        </is>
      </c>
      <c r="F2382" s="0" t="s">
        <v>21</v>
      </c>
      <c r="G2382" s="0" t="s">
        <v>22</v>
      </c>
      <c r="H2382" s="5">
        <v>6390.186400</v>
      </c>
    </row>
    <row r="2383" spans="1:9">
      <c r="A2383" s="22" t="str">
        <f>HYPERLINK("https://app.vivvix.com/360/KMI/IntelliDrive/ApplUI/Pages/CreativePages/CustomReportCreativeDetail.aspx?App=23&amp;ReportView=4&amp;Qid=1711279&amp;Row=2375&amp;Col=1","No Title Assigned - #15267224764")</f>
        <v/>
      </c>
      <c r="B2383" s="0" t="s">
        <v>3601</v>
      </c>
      <c r="E2383" s="0" t="inlineStr">
        <is>
          <t xml:space="preserve">Mazda</t>
        </is>
      </c>
      <c r="F2383" s="0" t="s">
        <v>28</v>
      </c>
      <c r="G2383" s="0" t="s">
        <v>29</v>
      </c>
      <c r="H2383" s="5">
        <v>133.297500</v>
      </c>
    </row>
    <row r="2384" spans="1:9">
      <c r="A2384" s="22" t="str">
        <f>HYPERLINK("https://app.vivvix.com/360/KMI/IntelliDrive/ApplUI/Pages/CreativePages/CustomReportCreativeDetail.aspx?App=23&amp;ReportView=4&amp;Qid=1711279&amp;Row=2376&amp;Col=1","No Title Assigned - #15267224764")</f>
        <v/>
      </c>
      <c r="B2384" s="0" t="s">
        <v>3601</v>
      </c>
      <c r="C2384" s="0" t="s">
        <v>3602</v>
      </c>
      <c r="D2384" s="0" t="s">
        <v>3602</v>
      </c>
      <c r="E2384" s="0" t="inlineStr">
        <is>
          <t xml:space="preserve">Mazda</t>
        </is>
      </c>
      <c r="F2384" s="0" t="s">
        <v>28</v>
      </c>
      <c r="G2384" s="0" t="s">
        <v>29</v>
      </c>
      <c r="H2384" s="5">
        <v>316.791100</v>
      </c>
    </row>
    <row r="2385" spans="1:9">
      <c r="A2385" s="22" t="str">
        <f>HYPERLINK("https://app.vivvix.com/360/KMI/IntelliDrive/ApplUI/Pages/CreativePages/CustomReportCreativeDetail.aspx?App=23&amp;ReportView=4&amp;Qid=1711279&amp;Row=2377&amp;Col=1","No Title Assigned - #15267224812")</f>
        <v/>
      </c>
      <c r="B2385" s="0" t="s">
        <v>3603</v>
      </c>
      <c r="C2385" s="0" t="s">
        <v>3604</v>
      </c>
      <c r="D2385" s="0" t="s">
        <v>3604</v>
      </c>
      <c r="E2385" s="0" t="inlineStr">
        <is>
          <t xml:space="preserve">Mazda</t>
        </is>
      </c>
      <c r="F2385" s="0" t="s">
        <v>28</v>
      </c>
      <c r="G2385" s="0" t="s">
        <v>29</v>
      </c>
      <c r="H2385" s="5">
        <v>499.092200</v>
      </c>
    </row>
    <row r="2386" spans="1:9">
      <c r="A2386" s="22" t="str">
        <f>HYPERLINK("https://app.vivvix.com/360/KMI/IntelliDrive/ApplUI/Pages/CreativePages/CustomReportCreativeDetail.aspx?App=23&amp;ReportView=4&amp;Qid=1711279&amp;Row=2378&amp;Col=1","No Title Assigned - #15267224812")</f>
        <v/>
      </c>
      <c r="B2386" s="0" t="s">
        <v>3603</v>
      </c>
      <c r="E2386" s="0" t="inlineStr">
        <is>
          <t xml:space="preserve">Mazda</t>
        </is>
      </c>
      <c r="F2386" s="0" t="s">
        <v>28</v>
      </c>
      <c r="G2386" s="0" t="s">
        <v>29</v>
      </c>
      <c r="H2386" s="5">
        <v>1587.650600</v>
      </c>
    </row>
    <row r="2387" spans="1:9">
      <c r="A2387" s="22" t="str">
        <f>HYPERLINK("https://app.vivvix.com/360/KMI/IntelliDrive/ApplUI/Pages/CreativePages/CustomReportCreativeDetail.aspx?App=23&amp;ReportView=4&amp;Qid=1711279&amp;Row=2379&amp;Col=1","No Title Assigned - #15267225207")</f>
        <v/>
      </c>
      <c r="B2387" s="0" t="s">
        <v>3605</v>
      </c>
      <c r="E2387" s="0" t="inlineStr">
        <is>
          <t xml:space="preserve">Mazda</t>
        </is>
      </c>
      <c r="F2387" s="0" t="s">
        <v>28</v>
      </c>
      <c r="G2387" s="0" t="s">
        <v>29</v>
      </c>
      <c r="H2387" s="5">
        <v>359.097000</v>
      </c>
    </row>
    <row r="2388" spans="1:9">
      <c r="A2388" s="22" t="str">
        <f>HYPERLINK("https://app.vivvix.com/360/KMI/IntelliDrive/ApplUI/Pages/CreativePages/CustomReportCreativeDetail.aspx?App=23&amp;ReportView=4&amp;Qid=1711279&amp;Row=2380&amp;Col=1","No Title Assigned - #15267225207")</f>
        <v/>
      </c>
      <c r="B2388" s="0" t="s">
        <v>3605</v>
      </c>
      <c r="C2388" s="0" t="s">
        <v>3606</v>
      </c>
      <c r="D2388" s="0" t="s">
        <v>3606</v>
      </c>
      <c r="E2388" s="0" t="inlineStr">
        <is>
          <t xml:space="preserve">Mazda</t>
        </is>
      </c>
      <c r="F2388" s="0" t="s">
        <v>28</v>
      </c>
      <c r="G2388" s="0" t="s">
        <v>29</v>
      </c>
      <c r="H2388" s="5">
        <v>4973.250300</v>
      </c>
    </row>
    <row r="2389" spans="1:9">
      <c r="A2389" s="22" t="str">
        <f>HYPERLINK("https://app.vivvix.com/360/KMI/IntelliDrive/ApplUI/Pages/CreativePages/CustomReportCreativeDetail.aspx?App=23&amp;ReportView=4&amp;Qid=1711279&amp;Row=2381&amp;Col=1","No Title Assigned - #15267225764")</f>
        <v/>
      </c>
      <c r="B2389" s="0" t="s">
        <v>3607</v>
      </c>
      <c r="C2389" s="0" t="s">
        <v>3608</v>
      </c>
      <c r="D2389" s="0" t="s">
        <v>3608</v>
      </c>
      <c r="E2389" s="0" t="inlineStr">
        <is>
          <t xml:space="preserve">Mazda</t>
        </is>
      </c>
      <c r="F2389" s="0" t="s">
        <v>28</v>
      </c>
      <c r="G2389" s="0" t="s">
        <v>29</v>
      </c>
      <c r="H2389" s="5">
        <v>2275.775200</v>
      </c>
    </row>
    <row r="2390" spans="1:9">
      <c r="A2390" s="22" t="str">
        <f>HYPERLINK("https://app.vivvix.com/360/KMI/IntelliDrive/ApplUI/Pages/CreativePages/CustomReportCreativeDetail.aspx?App=23&amp;ReportView=4&amp;Qid=1711279&amp;Row=2382&amp;Col=1","No Title Assigned - #15267225764")</f>
        <v/>
      </c>
      <c r="B2390" s="0" t="s">
        <v>3607</v>
      </c>
      <c r="E2390" s="0" t="inlineStr">
        <is>
          <t xml:space="preserve">Mazda</t>
        </is>
      </c>
      <c r="F2390" s="0" t="s">
        <v>28</v>
      </c>
      <c r="G2390" s="0" t="s">
        <v>29</v>
      </c>
      <c r="H2390" s="5">
        <v>168.529400</v>
      </c>
    </row>
    <row r="2391" spans="1:9">
      <c r="A2391" s="22" t="str">
        <f>HYPERLINK("https://app.vivvix.com/360/KMI/IntelliDrive/ApplUI/Pages/CreativePages/CustomReportCreativeDetail.aspx?App=23&amp;ReportView=4&amp;Qid=1711279&amp;Row=2383&amp;Col=1","No Title Assigned - #15267225869")</f>
        <v/>
      </c>
      <c r="B2391" s="0" t="s">
        <v>3609</v>
      </c>
      <c r="C2391" s="0" t="s">
        <v>3610</v>
      </c>
      <c r="D2391" s="0" t="s">
        <v>3610</v>
      </c>
      <c r="E2391" s="0" t="inlineStr">
        <is>
          <t xml:space="preserve">Mazda</t>
        </is>
      </c>
      <c r="F2391" s="0" t="s">
        <v>28</v>
      </c>
      <c r="G2391" s="0" t="s">
        <v>29</v>
      </c>
      <c r="H2391" s="5">
        <v>238.200800</v>
      </c>
    </row>
    <row r="2392" spans="1:9">
      <c r="A2392" s="22" t="str">
        <f>HYPERLINK("https://app.vivvix.com/360/KMI/IntelliDrive/ApplUI/Pages/CreativePages/CustomReportCreativeDetail.aspx?App=23&amp;ReportView=4&amp;Qid=1711279&amp;Row=2384&amp;Col=1","No Title Assigned - #15267226839")</f>
        <v/>
      </c>
      <c r="B2392" s="0" t="s">
        <v>3611</v>
      </c>
      <c r="C2392" s="0" t="s">
        <v>3612</v>
      </c>
      <c r="D2392" s="0" t="s">
        <v>3612</v>
      </c>
      <c r="E2392" s="0" t="inlineStr">
        <is>
          <t xml:space="preserve">Mazda</t>
        </is>
      </c>
      <c r="F2392" s="0" t="s">
        <v>28</v>
      </c>
      <c r="G2392" s="0" t="s">
        <v>29</v>
      </c>
      <c r="H2392" s="5">
        <v>392.032700</v>
      </c>
    </row>
    <row r="2393" spans="1:9">
      <c r="A2393" s="22" t="str">
        <f>HYPERLINK("https://app.vivvix.com/360/KMI/IntelliDrive/ApplUI/Pages/CreativePages/CustomReportCreativeDetail.aspx?App=23&amp;ReportView=4&amp;Qid=1711279&amp;Row=2385&amp;Col=1","No Title Assigned - #15267228178")</f>
        <v/>
      </c>
      <c r="B2393" s="0" t="s">
        <v>3613</v>
      </c>
      <c r="C2393" s="0" t="s">
        <v>3614</v>
      </c>
      <c r="D2393" s="0" t="s">
        <v>3614</v>
      </c>
      <c r="E2393" s="0" t="inlineStr">
        <is>
          <t xml:space="preserve">Mazda</t>
        </is>
      </c>
      <c r="F2393" s="0" t="s">
        <v>17</v>
      </c>
      <c r="G2393" s="0" t="s">
        <v>33</v>
      </c>
      <c r="H2393" s="5">
        <v>1881.069300</v>
      </c>
    </row>
    <row r="2394" spans="1:9">
      <c r="A2394" s="22" t="str">
        <f>HYPERLINK("https://app.vivvix.com/360/KMI/IntelliDrive/ApplUI/Pages/CreativePages/CustomReportCreativeDetail.aspx?App=23&amp;ReportView=4&amp;Qid=1711279&amp;Row=2386&amp;Col=1","No Title Assigned - #15267228411")</f>
        <v/>
      </c>
      <c r="B2394" s="0" t="s">
        <v>3615</v>
      </c>
      <c r="C2394" s="0" t="s">
        <v>3616</v>
      </c>
      <c r="D2394" s="0" t="s">
        <v>3616</v>
      </c>
      <c r="E2394" s="0" t="inlineStr">
        <is>
          <t xml:space="preserve">Mazda</t>
        </is>
      </c>
      <c r="F2394" s="0" t="inlineStr">
        <is>
          <t xml:space="preserve">Mazda</t>
        </is>
      </c>
      <c r="G2394" s="0" t="s">
        <v>3617</v>
      </c>
      <c r="H2394" s="5">
        <v>1123.908600</v>
      </c>
    </row>
    <row r="2395" spans="1:9">
      <c r="A2395" s="22" t="str">
        <f>HYPERLINK("https://app.vivvix.com/360/KMI/IntelliDrive/ApplUI/Pages/CreativePages/CustomReportCreativeDetail.aspx?App=23&amp;ReportView=4&amp;Qid=1711279&amp;Row=2387&amp;Col=1","No Title Assigned - #15267228617")</f>
        <v/>
      </c>
      <c r="B2395" s="0" t="s">
        <v>3618</v>
      </c>
      <c r="C2395" s="0" t="s">
        <v>3619</v>
      </c>
      <c r="D2395" s="0" t="s">
        <v>3619</v>
      </c>
      <c r="E2395" s="0" t="inlineStr">
        <is>
          <t xml:space="preserve">Mazda</t>
        </is>
      </c>
      <c r="F2395" s="0" t="s">
        <v>28</v>
      </c>
      <c r="G2395" s="0" t="s">
        <v>29</v>
      </c>
      <c r="H2395" s="5">
        <v>111.937400</v>
      </c>
    </row>
    <row r="2396" spans="1:9">
      <c r="A2396" s="22" t="str">
        <f>HYPERLINK("https://app.vivvix.com/360/KMI/IntelliDrive/ApplUI/Pages/CreativePages/CustomReportCreativeDetail.aspx?App=23&amp;ReportView=4&amp;Qid=1711279&amp;Row=2388&amp;Col=1","No Title Assigned - #15267229251")</f>
        <v/>
      </c>
      <c r="B2396" s="0" t="s">
        <v>3620</v>
      </c>
      <c r="E2396" s="0" t="inlineStr">
        <is>
          <t xml:space="preserve">Mazda</t>
        </is>
      </c>
      <c r="F2396" s="0" t="s">
        <v>28</v>
      </c>
      <c r="G2396" s="0" t="s">
        <v>29</v>
      </c>
      <c r="H2396" s="5">
        <v>1588.943500</v>
      </c>
    </row>
    <row r="2397" spans="1:9">
      <c r="A2397" s="22" t="str">
        <f>HYPERLINK("https://app.vivvix.com/360/KMI/IntelliDrive/ApplUI/Pages/CreativePages/CustomReportCreativeDetail.aspx?App=23&amp;ReportView=4&amp;Qid=1711279&amp;Row=2389&amp;Col=1","No Title Assigned - #15267229251")</f>
        <v/>
      </c>
      <c r="B2397" s="0" t="s">
        <v>3620</v>
      </c>
      <c r="C2397" s="0" t="s">
        <v>3621</v>
      </c>
      <c r="D2397" s="0" t="s">
        <v>3621</v>
      </c>
      <c r="E2397" s="0" t="inlineStr">
        <is>
          <t xml:space="preserve">Mazda</t>
        </is>
      </c>
      <c r="F2397" s="0" t="s">
        <v>28</v>
      </c>
      <c r="G2397" s="0" t="s">
        <v>29</v>
      </c>
      <c r="H2397" s="5">
        <v>15197.944100</v>
      </c>
    </row>
    <row r="2398" spans="1:9">
      <c r="A2398" s="22" t="str">
        <f>HYPERLINK("https://app.vivvix.com/360/KMI/IntelliDrive/ApplUI/Pages/CreativePages/CustomReportCreativeDetail.aspx?App=23&amp;ReportView=4&amp;Qid=1711279&amp;Row=2390&amp;Col=1","No Title Assigned - #15267229912")</f>
        <v/>
      </c>
      <c r="B2398" s="0" t="s">
        <v>3622</v>
      </c>
      <c r="C2398" s="0" t="s">
        <v>3623</v>
      </c>
      <c r="D2398" s="0" t="s">
        <v>3623</v>
      </c>
      <c r="E2398" s="0" t="inlineStr">
        <is>
          <t xml:space="preserve">Mazda</t>
        </is>
      </c>
      <c r="F2398" s="0" t="s">
        <v>28</v>
      </c>
      <c r="G2398" s="0" t="s">
        <v>29</v>
      </c>
      <c r="H2398" s="5">
        <v>73939.823600</v>
      </c>
    </row>
    <row r="2399" spans="1:9">
      <c r="A2399" s="22" t="str">
        <f>HYPERLINK("https://app.vivvix.com/360/KMI/IntelliDrive/ApplUI/Pages/CreativePages/CustomReportCreativeDetail.aspx?App=23&amp;ReportView=4&amp;Qid=1711279&amp;Row=2391&amp;Col=1","No Title Assigned - #15267237816")</f>
        <v/>
      </c>
      <c r="B2399" s="0" t="s">
        <v>3624</v>
      </c>
      <c r="C2399" s="0" t="s">
        <v>3625</v>
      </c>
      <c r="D2399" s="0" t="s">
        <v>3625</v>
      </c>
      <c r="E2399" s="0" t="inlineStr">
        <is>
          <t xml:space="preserve">Mazda</t>
        </is>
      </c>
      <c r="F2399" s="0" t="s">
        <v>28</v>
      </c>
      <c r="G2399" s="0" t="s">
        <v>29</v>
      </c>
      <c r="H2399" s="5">
        <v>1443.990000</v>
      </c>
    </row>
    <row r="2400" spans="1:9">
      <c r="A2400" s="22" t="str">
        <f>HYPERLINK("https://app.vivvix.com/360/KMI/IntelliDrive/ApplUI/Pages/CreativePages/CustomReportCreativeDetail.aspx?App=23&amp;ReportView=4&amp;Qid=1711279&amp;Row=2392&amp;Col=1","No Title Assigned - #15267241636")</f>
        <v/>
      </c>
      <c r="B2400" s="0" t="s">
        <v>3626</v>
      </c>
      <c r="C2400" s="0" t="s">
        <v>3627</v>
      </c>
      <c r="D2400" s="0" t="s">
        <v>3627</v>
      </c>
      <c r="E2400" s="0" t="inlineStr">
        <is>
          <t xml:space="preserve">Mazda</t>
        </is>
      </c>
      <c r="F2400" s="0" t="s">
        <v>17</v>
      </c>
      <c r="G2400" s="0" t="s">
        <v>33</v>
      </c>
      <c r="H2400" s="5">
        <v>622.569300</v>
      </c>
    </row>
    <row r="2401" spans="1:9">
      <c r="A2401" s="22" t="str">
        <f>HYPERLINK("https://app.vivvix.com/360/KMI/IntelliDrive/ApplUI/Pages/CreativePages/CustomReportCreativeDetail.aspx?App=23&amp;ReportView=4&amp;Qid=1711279&amp;Row=2393&amp;Col=1","No Title Assigned - #15267262332")</f>
        <v/>
      </c>
      <c r="B2401" s="0" t="s">
        <v>3628</v>
      </c>
      <c r="E2401" s="0" t="inlineStr">
        <is>
          <t xml:space="preserve">Mazda</t>
        </is>
      </c>
      <c r="F2401" s="0" t="s">
        <v>204</v>
      </c>
      <c r="G2401" s="0" t="s">
        <v>205</v>
      </c>
      <c r="H2401" s="5">
        <v>300.740600</v>
      </c>
    </row>
    <row r="2402" spans="1:9">
      <c r="A2402" s="22" t="str">
        <f>HYPERLINK("https://app.vivvix.com/360/KMI/IntelliDrive/ApplUI/Pages/CreativePages/CustomReportCreativeDetail.aspx?App=23&amp;ReportView=4&amp;Qid=1711279&amp;Row=2394&amp;Col=1","No Title Assigned - #15267265073")</f>
        <v/>
      </c>
      <c r="B2402" s="0" t="s">
        <v>3629</v>
      </c>
      <c r="C2402" s="0" t="s">
        <v>3630</v>
      </c>
      <c r="D2402" s="0" t="s">
        <v>3630</v>
      </c>
      <c r="E2402" s="0" t="inlineStr">
        <is>
          <t xml:space="preserve">Mazda</t>
        </is>
      </c>
      <c r="F2402" s="0" t="s">
        <v>28</v>
      </c>
      <c r="G2402" s="0" t="s">
        <v>29</v>
      </c>
      <c r="H2402" s="5">
        <v>347.711500</v>
      </c>
    </row>
    <row r="2403" spans="1:9">
      <c r="A2403" s="22" t="str">
        <f>HYPERLINK("https://app.vivvix.com/360/KMI/IntelliDrive/ApplUI/Pages/CreativePages/CustomReportCreativeDetail.aspx?App=23&amp;ReportView=4&amp;Qid=1711279&amp;Row=2395&amp;Col=1","No Title Assigned - #15267267679")</f>
        <v/>
      </c>
      <c r="B2403" s="0" t="s">
        <v>3631</v>
      </c>
      <c r="C2403" s="0" t="s">
        <v>3632</v>
      </c>
      <c r="D2403" s="0" t="s">
        <v>3632</v>
      </c>
      <c r="E2403" s="0" t="inlineStr">
        <is>
          <t xml:space="preserve">Mazda</t>
        </is>
      </c>
      <c r="F2403" s="0" t="s">
        <v>28</v>
      </c>
      <c r="G2403" s="0" t="s">
        <v>29</v>
      </c>
      <c r="H2403" s="5">
        <v>32802.687200</v>
      </c>
    </row>
    <row r="2404" spans="1:9">
      <c r="A2404" s="22" t="str">
        <f>HYPERLINK("https://app.vivvix.com/360/KMI/IntelliDrive/ApplUI/Pages/CreativePages/CustomReportCreativeDetail.aspx?App=23&amp;ReportView=4&amp;Qid=1711279&amp;Row=2396&amp;Col=1","No Title Assigned - #15267267679")</f>
        <v/>
      </c>
      <c r="B2404" s="0" t="s">
        <v>3631</v>
      </c>
      <c r="E2404" s="0" t="inlineStr">
        <is>
          <t xml:space="preserve">Mazda</t>
        </is>
      </c>
      <c r="F2404" s="0" t="s">
        <v>28</v>
      </c>
      <c r="G2404" s="0" t="s">
        <v>29</v>
      </c>
      <c r="H2404" s="5">
        <v>3775.655600</v>
      </c>
    </row>
    <row r="2405" spans="1:9">
      <c r="A2405" s="22" t="str">
        <f>HYPERLINK("https://app.vivvix.com/360/KMI/IntelliDrive/ApplUI/Pages/CreativePages/CustomReportCreativeDetail.aspx?App=23&amp;ReportView=4&amp;Qid=1711279&amp;Row=2397&amp;Col=1","No Title Assigned - #15267269915")</f>
        <v/>
      </c>
      <c r="B2405" s="0" t="s">
        <v>3633</v>
      </c>
      <c r="C2405" s="0" t="s">
        <v>3634</v>
      </c>
      <c r="D2405" s="0" t="s">
        <v>3634</v>
      </c>
      <c r="E2405" s="0" t="inlineStr">
        <is>
          <t xml:space="preserve">Mazda</t>
        </is>
      </c>
      <c r="F2405" s="0" t="s">
        <v>28</v>
      </c>
      <c r="G2405" s="0" t="s">
        <v>29</v>
      </c>
      <c r="H2405" s="5">
        <v>389.566300</v>
      </c>
    </row>
    <row r="2406" spans="1:9">
      <c r="A2406" s="22" t="str">
        <f>HYPERLINK("https://app.vivvix.com/360/KMI/IntelliDrive/ApplUI/Pages/CreativePages/CustomReportCreativeDetail.aspx?App=23&amp;ReportView=4&amp;Qid=1711279&amp;Row=2398&amp;Col=1","No Title Assigned - #15267270679")</f>
        <v/>
      </c>
      <c r="B2406" s="0" t="s">
        <v>3635</v>
      </c>
      <c r="C2406" s="0" t="s">
        <v>3636</v>
      </c>
      <c r="D2406" s="0" t="s">
        <v>3636</v>
      </c>
      <c r="E2406" s="0" t="inlineStr">
        <is>
          <t xml:space="preserve">Mazda</t>
        </is>
      </c>
      <c r="F2406" s="0" t="s">
        <v>28</v>
      </c>
      <c r="G2406" s="0" t="s">
        <v>29</v>
      </c>
      <c r="H2406" s="5">
        <v>89.826000</v>
      </c>
    </row>
    <row r="2407" spans="1:9">
      <c r="A2407" s="22" t="str">
        <f>HYPERLINK("https://app.vivvix.com/360/KMI/IntelliDrive/ApplUI/Pages/CreativePages/CustomReportCreativeDetail.aspx?App=23&amp;ReportView=4&amp;Qid=1711279&amp;Row=2399&amp;Col=1","No Title Assigned - #15267274855")</f>
        <v/>
      </c>
      <c r="B2407" s="0" t="s">
        <v>3637</v>
      </c>
      <c r="C2407" s="0" t="s">
        <v>3638</v>
      </c>
      <c r="D2407" s="0" t="s">
        <v>3638</v>
      </c>
      <c r="E2407" s="0" t="inlineStr">
        <is>
          <t xml:space="preserve">Mazda</t>
        </is>
      </c>
      <c r="F2407" s="0" t="s">
        <v>56</v>
      </c>
      <c r="G2407" s="0" t="s">
        <v>57</v>
      </c>
      <c r="H2407" s="5">
        <v>403.770200</v>
      </c>
    </row>
    <row r="2408" spans="1:9">
      <c r="A2408" s="22" t="str">
        <f>HYPERLINK("https://app.vivvix.com/360/KMI/IntelliDrive/ApplUI/Pages/CreativePages/CustomReportCreativeDetail.aspx?App=23&amp;ReportView=4&amp;Qid=1711279&amp;Row=2400&amp;Col=1","No Title Assigned - #15267274856")</f>
        <v/>
      </c>
      <c r="B2408" s="0" t="s">
        <v>3639</v>
      </c>
      <c r="C2408" s="0" t="s">
        <v>3640</v>
      </c>
      <c r="D2408" s="0" t="s">
        <v>1457</v>
      </c>
      <c r="E2408" s="0" t="inlineStr">
        <is>
          <t xml:space="preserve">Mazda</t>
        </is>
      </c>
      <c r="F2408" s="0" t="s">
        <v>17</v>
      </c>
      <c r="G2408" s="0" t="s">
        <v>33</v>
      </c>
      <c r="H2408" s="5">
        <v>437.700400</v>
      </c>
    </row>
    <row r="2409" spans="1:9">
      <c r="A2409" s="22" t="str">
        <f>HYPERLINK("https://app.vivvix.com/360/KMI/IntelliDrive/ApplUI/Pages/CreativePages/CustomReportCreativeDetail.aspx?App=23&amp;ReportView=4&amp;Qid=1711279&amp;Row=2401&amp;Col=1","No Title Assigned - #15267275748")</f>
        <v/>
      </c>
      <c r="B2409" s="0" t="s">
        <v>3641</v>
      </c>
      <c r="C2409" s="0" t="s">
        <v>3642</v>
      </c>
      <c r="D2409" s="0" t="s">
        <v>3642</v>
      </c>
      <c r="E2409" s="0" t="inlineStr">
        <is>
          <t xml:space="preserve">Mazda</t>
        </is>
      </c>
      <c r="F2409" s="0" t="s">
        <v>28</v>
      </c>
      <c r="G2409" s="0" t="s">
        <v>29</v>
      </c>
      <c r="H2409" s="5">
        <v>20934.986200</v>
      </c>
    </row>
    <row r="2410" spans="1:9">
      <c r="A2410" s="22" t="str">
        <f>HYPERLINK("https://app.vivvix.com/360/KMI/IntelliDrive/ApplUI/Pages/CreativePages/CustomReportCreativeDetail.aspx?App=23&amp;ReportView=4&amp;Qid=1711279&amp;Row=2402&amp;Col=1","No Title Assigned - #15267275748")</f>
        <v/>
      </c>
      <c r="B2410" s="0" t="s">
        <v>3641</v>
      </c>
      <c r="E2410" s="0" t="inlineStr">
        <is>
          <t xml:space="preserve">Mazda</t>
        </is>
      </c>
      <c r="F2410" s="0" t="s">
        <v>28</v>
      </c>
      <c r="G2410" s="0" t="s">
        <v>29</v>
      </c>
      <c r="H2410" s="5">
        <v>1768.723500</v>
      </c>
    </row>
    <row r="2411" spans="1:9">
      <c r="A2411" s="22" t="str">
        <f>HYPERLINK("https://app.vivvix.com/360/KMI/IntelliDrive/ApplUI/Pages/CreativePages/CustomReportCreativeDetail.aspx?App=23&amp;ReportView=4&amp;Qid=1711279&amp;Row=2403&amp;Col=1","No Title Assigned - #15267277570")</f>
        <v/>
      </c>
      <c r="B2411" s="0" t="s">
        <v>3643</v>
      </c>
      <c r="C2411" s="0" t="s">
        <v>3644</v>
      </c>
      <c r="D2411" s="0" t="s">
        <v>3644</v>
      </c>
      <c r="E2411" s="0" t="inlineStr">
        <is>
          <t xml:space="preserve">Mazda</t>
        </is>
      </c>
      <c r="F2411" s="0" t="s">
        <v>28</v>
      </c>
      <c r="G2411" s="0" t="s">
        <v>29</v>
      </c>
      <c r="H2411" s="5">
        <v>89.159100</v>
      </c>
    </row>
    <row r="2412" spans="1:9">
      <c r="A2412" s="22" t="str">
        <f>HYPERLINK("https://app.vivvix.com/360/KMI/IntelliDrive/ApplUI/Pages/CreativePages/CustomReportCreativeDetail.aspx?App=23&amp;ReportView=4&amp;Qid=1711279&amp;Row=2404&amp;Col=1","No Title Assigned - #15267277580")</f>
        <v/>
      </c>
      <c r="B2412" s="0" t="s">
        <v>3645</v>
      </c>
      <c r="E2412" s="0" t="inlineStr">
        <is>
          <t xml:space="preserve">Mazda</t>
        </is>
      </c>
      <c r="F2412" s="0" t="s">
        <v>28</v>
      </c>
      <c r="G2412" s="0" t="s">
        <v>29</v>
      </c>
      <c r="H2412" s="5">
        <v>3284.796400</v>
      </c>
    </row>
    <row r="2413" spans="1:9">
      <c r="A2413" s="22" t="str">
        <f>HYPERLINK("https://app.vivvix.com/360/KMI/IntelliDrive/ApplUI/Pages/CreativePages/CustomReportCreativeDetail.aspx?App=23&amp;ReportView=4&amp;Qid=1711279&amp;Row=2405&amp;Col=1","No Title Assigned - #15267277580")</f>
        <v/>
      </c>
      <c r="B2413" s="0" t="s">
        <v>3645</v>
      </c>
      <c r="C2413" s="0" t="s">
        <v>3646</v>
      </c>
      <c r="D2413" s="0" t="s">
        <v>3646</v>
      </c>
      <c r="E2413" s="0" t="inlineStr">
        <is>
          <t xml:space="preserve">Mazda</t>
        </is>
      </c>
      <c r="F2413" s="0" t="s">
        <v>28</v>
      </c>
      <c r="G2413" s="0" t="s">
        <v>29</v>
      </c>
      <c r="H2413" s="5">
        <v>12295.876900</v>
      </c>
    </row>
    <row r="2414" spans="1:9">
      <c r="A2414" s="22" t="str">
        <f>HYPERLINK("https://app.vivvix.com/360/KMI/IntelliDrive/ApplUI/Pages/CreativePages/CustomReportCreativeDetail.aspx?App=23&amp;ReportView=4&amp;Qid=1711279&amp;Row=2406&amp;Col=1","No Title Assigned - #15267278663")</f>
        <v/>
      </c>
      <c r="B2414" s="0" t="s">
        <v>3647</v>
      </c>
      <c r="C2414" s="0" t="s">
        <v>3648</v>
      </c>
      <c r="D2414" s="0" t="s">
        <v>3648</v>
      </c>
      <c r="E2414" s="0" t="inlineStr">
        <is>
          <t xml:space="preserve">Mazda</t>
        </is>
      </c>
      <c r="F2414" s="0" t="s">
        <v>28</v>
      </c>
      <c r="G2414" s="0" t="s">
        <v>29</v>
      </c>
      <c r="H2414" s="5">
        <v>229.504500</v>
      </c>
    </row>
    <row r="2415" spans="1:9">
      <c r="A2415" s="22" t="str">
        <f>HYPERLINK("https://app.vivvix.com/360/KMI/IntelliDrive/ApplUI/Pages/CreativePages/CustomReportCreativeDetail.aspx?App=23&amp;ReportView=4&amp;Qid=1711279&amp;Row=2407&amp;Col=1","No Title Assigned - #15267278885")</f>
        <v/>
      </c>
      <c r="B2415" s="0" t="s">
        <v>3649</v>
      </c>
      <c r="C2415" s="0" t="s">
        <v>3650</v>
      </c>
      <c r="D2415" s="0" t="s">
        <v>3650</v>
      </c>
      <c r="E2415" s="0" t="inlineStr">
        <is>
          <t xml:space="preserve">Mazda</t>
        </is>
      </c>
      <c r="F2415" s="0" t="s">
        <v>17</v>
      </c>
      <c r="G2415" s="0" t="s">
        <v>33</v>
      </c>
      <c r="H2415" s="5">
        <v>94.748600</v>
      </c>
    </row>
    <row r="2416" spans="1:9">
      <c r="A2416" s="22" t="str">
        <f>HYPERLINK("https://app.vivvix.com/360/KMI/IntelliDrive/ApplUI/Pages/CreativePages/CustomReportCreativeDetail.aspx?App=23&amp;ReportView=4&amp;Qid=1711279&amp;Row=2408&amp;Col=1","No Title Assigned - #15267280042")</f>
        <v/>
      </c>
      <c r="B2416" s="0" t="s">
        <v>3651</v>
      </c>
      <c r="C2416" s="0" t="s">
        <v>3652</v>
      </c>
      <c r="D2416" s="0" t="s">
        <v>3652</v>
      </c>
      <c r="E2416" s="0" t="inlineStr">
        <is>
          <t xml:space="preserve">Mazda</t>
        </is>
      </c>
      <c r="F2416" s="0" t="s">
        <v>28</v>
      </c>
      <c r="G2416" s="0" t="s">
        <v>29</v>
      </c>
      <c r="H2416" s="5">
        <v>5017.443800</v>
      </c>
    </row>
    <row r="2417" spans="1:9">
      <c r="A2417" s="22" t="str">
        <f>HYPERLINK("https://app.vivvix.com/360/KMI/IntelliDrive/ApplUI/Pages/CreativePages/CustomReportCreativeDetail.aspx?App=23&amp;ReportView=4&amp;Qid=1711279&amp;Row=2409&amp;Col=1","No Title Assigned - #15267280042")</f>
        <v/>
      </c>
      <c r="B2417" s="0" t="s">
        <v>3651</v>
      </c>
      <c r="E2417" s="0" t="inlineStr">
        <is>
          <t xml:space="preserve">Mazda</t>
        </is>
      </c>
      <c r="F2417" s="0" t="s">
        <v>28</v>
      </c>
      <c r="G2417" s="0" t="s">
        <v>29</v>
      </c>
      <c r="H2417" s="5">
        <v>446.376400</v>
      </c>
    </row>
    <row r="2418" spans="1:9">
      <c r="A2418" s="22" t="str">
        <f>HYPERLINK("https://app.vivvix.com/360/KMI/IntelliDrive/ApplUI/Pages/CreativePages/CustomReportCreativeDetail.aspx?App=23&amp;ReportView=4&amp;Qid=1711279&amp;Row=2410&amp;Col=1","No Title Assigned - #15267281157")</f>
        <v/>
      </c>
      <c r="B2418" s="0" t="s">
        <v>3653</v>
      </c>
      <c r="C2418" s="0" t="s">
        <v>3654</v>
      </c>
      <c r="D2418" s="0" t="s">
        <v>3654</v>
      </c>
      <c r="E2418" s="0" t="inlineStr">
        <is>
          <t xml:space="preserve">Mazda</t>
        </is>
      </c>
      <c r="F2418" s="0" t="s">
        <v>28</v>
      </c>
      <c r="G2418" s="0" t="s">
        <v>29</v>
      </c>
      <c r="H2418" s="5">
        <v>9271.609500</v>
      </c>
    </row>
    <row r="2419" spans="1:9">
      <c r="A2419" s="22" t="str">
        <f>HYPERLINK("https://app.vivvix.com/360/KMI/IntelliDrive/ApplUI/Pages/CreativePages/CustomReportCreativeDetail.aspx?App=23&amp;ReportView=4&amp;Qid=1711279&amp;Row=2411&amp;Col=1","No Title Assigned - #15267281165")</f>
        <v/>
      </c>
      <c r="B2419" s="0" t="s">
        <v>3655</v>
      </c>
      <c r="C2419" s="0" t="s">
        <v>3656</v>
      </c>
      <c r="D2419" s="0" t="s">
        <v>3656</v>
      </c>
      <c r="E2419" s="0" t="inlineStr">
        <is>
          <t xml:space="preserve">Mazda</t>
        </is>
      </c>
      <c r="F2419" s="0" t="s">
        <v>28</v>
      </c>
      <c r="G2419" s="0" t="s">
        <v>29</v>
      </c>
      <c r="H2419" s="5">
        <v>458.034400</v>
      </c>
    </row>
    <row r="2420" spans="1:9">
      <c r="A2420" s="22" t="str">
        <f>HYPERLINK("https://app.vivvix.com/360/KMI/IntelliDrive/ApplUI/Pages/CreativePages/CustomReportCreativeDetail.aspx?App=23&amp;ReportView=4&amp;Qid=1711279&amp;Row=2412&amp;Col=1","No Title Assigned - #15267281521")</f>
        <v/>
      </c>
      <c r="B2420" s="0" t="s">
        <v>3657</v>
      </c>
      <c r="C2420" s="0" t="s">
        <v>3658</v>
      </c>
      <c r="D2420" s="0" t="s">
        <v>3658</v>
      </c>
      <c r="E2420" s="0" t="inlineStr">
        <is>
          <t xml:space="preserve">Mazda</t>
        </is>
      </c>
      <c r="F2420" s="0" t="s">
        <v>28</v>
      </c>
      <c r="G2420" s="0" t="s">
        <v>29</v>
      </c>
      <c r="H2420" s="5">
        <v>388.838300</v>
      </c>
    </row>
    <row r="2421" spans="1:9">
      <c r="A2421" s="22" t="str">
        <f>HYPERLINK("https://app.vivvix.com/360/KMI/IntelliDrive/ApplUI/Pages/CreativePages/CustomReportCreativeDetail.aspx?App=23&amp;ReportView=4&amp;Qid=1711279&amp;Row=2413&amp;Col=1","No Title Assigned - #15267284543")</f>
        <v/>
      </c>
      <c r="B2421" s="0" t="s">
        <v>3659</v>
      </c>
      <c r="E2421" s="0" t="inlineStr">
        <is>
          <t xml:space="preserve">Mazda</t>
        </is>
      </c>
      <c r="F2421" s="0" t="s">
        <v>28</v>
      </c>
      <c r="G2421" s="0" t="s">
        <v>29</v>
      </c>
      <c r="H2421" s="5">
        <v>1831.210600</v>
      </c>
    </row>
    <row r="2422" spans="1:9">
      <c r="A2422" s="22" t="str">
        <f>HYPERLINK("https://app.vivvix.com/360/KMI/IntelliDrive/ApplUI/Pages/CreativePages/CustomReportCreativeDetail.aspx?App=23&amp;ReportView=4&amp;Qid=1711279&amp;Row=2414&amp;Col=1","No Title Assigned - #15267284543")</f>
        <v/>
      </c>
      <c r="B2422" s="0" t="s">
        <v>3659</v>
      </c>
      <c r="C2422" s="0" t="s">
        <v>3660</v>
      </c>
      <c r="D2422" s="0" t="s">
        <v>3660</v>
      </c>
      <c r="E2422" s="0" t="inlineStr">
        <is>
          <t xml:space="preserve">Mazda</t>
        </is>
      </c>
      <c r="F2422" s="0" t="s">
        <v>28</v>
      </c>
      <c r="G2422" s="0" t="s">
        <v>29</v>
      </c>
      <c r="H2422" s="5">
        <v>1136.713000</v>
      </c>
    </row>
    <row r="2423" spans="1:9">
      <c r="A2423" s="22" t="str">
        <f>HYPERLINK("https://app.vivvix.com/360/KMI/IntelliDrive/ApplUI/Pages/CreativePages/CustomReportCreativeDetail.aspx?App=23&amp;ReportView=4&amp;Qid=1711279&amp;Row=2415&amp;Col=1","No Title Assigned - #15267285569")</f>
        <v/>
      </c>
      <c r="B2423" s="0" t="s">
        <v>3661</v>
      </c>
      <c r="E2423" s="0" t="inlineStr">
        <is>
          <t xml:space="preserve">Mazda</t>
        </is>
      </c>
      <c r="F2423" s="0" t="s">
        <v>28</v>
      </c>
      <c r="G2423" s="0" t="s">
        <v>29</v>
      </c>
      <c r="H2423" s="5">
        <v>449.754700</v>
      </c>
    </row>
    <row r="2424" spans="1:9">
      <c r="A2424" s="22" t="str">
        <f>HYPERLINK("https://app.vivvix.com/360/KMI/IntelliDrive/ApplUI/Pages/CreativePages/CustomReportCreativeDetail.aspx?App=23&amp;ReportView=4&amp;Qid=1711279&amp;Row=2416&amp;Col=1","No Title Assigned - #15267285569")</f>
        <v/>
      </c>
      <c r="B2424" s="0" t="s">
        <v>3661</v>
      </c>
      <c r="C2424" s="0" t="s">
        <v>3662</v>
      </c>
      <c r="D2424" s="0" t="s">
        <v>3662</v>
      </c>
      <c r="E2424" s="0" t="inlineStr">
        <is>
          <t xml:space="preserve">Mazda</t>
        </is>
      </c>
      <c r="F2424" s="0" t="s">
        <v>28</v>
      </c>
      <c r="G2424" s="0" t="s">
        <v>29</v>
      </c>
      <c r="H2424" s="5">
        <v>18048.599200</v>
      </c>
    </row>
    <row r="2425" spans="1:9">
      <c r="A2425" s="22" t="str">
        <f>HYPERLINK("https://app.vivvix.com/360/KMI/IntelliDrive/ApplUI/Pages/CreativePages/CustomReportCreativeDetail.aspx?App=23&amp;ReportView=4&amp;Qid=1711279&amp;Row=2417&amp;Col=1","No Title Assigned - #15267286125")</f>
        <v/>
      </c>
      <c r="B2425" s="0" t="s">
        <v>3663</v>
      </c>
      <c r="C2425" s="0" t="s">
        <v>3664</v>
      </c>
      <c r="D2425" s="0" t="s">
        <v>3664</v>
      </c>
      <c r="E2425" s="0" t="inlineStr">
        <is>
          <t xml:space="preserve">Mazda</t>
        </is>
      </c>
      <c r="F2425" s="0" t="s">
        <v>28</v>
      </c>
      <c r="G2425" s="0" t="s">
        <v>29</v>
      </c>
      <c r="H2425" s="5">
        <v>126.800200</v>
      </c>
    </row>
    <row r="2426" spans="1:9">
      <c r="A2426" s="22" t="str">
        <f>HYPERLINK("https://app.vivvix.com/360/KMI/IntelliDrive/ApplUI/Pages/CreativePages/CustomReportCreativeDetail.aspx?App=23&amp;ReportView=4&amp;Qid=1711279&amp;Row=2418&amp;Col=1","No Title Assigned - #15267286356")</f>
        <v/>
      </c>
      <c r="B2426" s="0" t="s">
        <v>3665</v>
      </c>
      <c r="C2426" s="0" t="s">
        <v>3666</v>
      </c>
      <c r="D2426" s="0" t="s">
        <v>3666</v>
      </c>
      <c r="E2426" s="0" t="inlineStr">
        <is>
          <t xml:space="preserve">Mazda</t>
        </is>
      </c>
      <c r="F2426" s="0" t="s">
        <v>28</v>
      </c>
      <c r="G2426" s="0" t="s">
        <v>29</v>
      </c>
      <c r="H2426" s="5">
        <v>478.058600</v>
      </c>
    </row>
    <row r="2427" spans="1:9">
      <c r="A2427" s="22" t="str">
        <f>HYPERLINK("https://app.vivvix.com/360/KMI/IntelliDrive/ApplUI/Pages/CreativePages/CustomReportCreativeDetail.aspx?App=23&amp;ReportView=4&amp;Qid=1711279&amp;Row=2419&amp;Col=1","No Title Assigned - #15267286543")</f>
        <v/>
      </c>
      <c r="B2427" s="0" t="s">
        <v>3667</v>
      </c>
      <c r="C2427" s="0" t="s">
        <v>3668</v>
      </c>
      <c r="D2427" s="0" t="s">
        <v>3668</v>
      </c>
      <c r="E2427" s="0" t="inlineStr">
        <is>
          <t xml:space="preserve">Mazda</t>
        </is>
      </c>
      <c r="F2427" s="0" t="s">
        <v>28</v>
      </c>
      <c r="G2427" s="0" t="s">
        <v>29</v>
      </c>
      <c r="H2427" s="5">
        <v>2152.398700</v>
      </c>
    </row>
    <row r="2428" spans="1:9">
      <c r="A2428" s="22" t="str">
        <f>HYPERLINK("https://app.vivvix.com/360/KMI/IntelliDrive/ApplUI/Pages/CreativePages/CustomReportCreativeDetail.aspx?App=23&amp;ReportView=4&amp;Qid=1711279&amp;Row=2420&amp;Col=1","No Title Assigned - #15267286543")</f>
        <v/>
      </c>
      <c r="B2428" s="0" t="s">
        <v>3667</v>
      </c>
      <c r="E2428" s="0" t="inlineStr">
        <is>
          <t xml:space="preserve">Mazda</t>
        </is>
      </c>
      <c r="F2428" s="0" t="s">
        <v>28</v>
      </c>
      <c r="G2428" s="0" t="s">
        <v>29</v>
      </c>
      <c r="H2428" s="5">
        <v>6.291000</v>
      </c>
    </row>
    <row r="2429" spans="1:9">
      <c r="A2429" s="22" t="str">
        <f>HYPERLINK("https://app.vivvix.com/360/KMI/IntelliDrive/ApplUI/Pages/CreativePages/CustomReportCreativeDetail.aspx?App=23&amp;ReportView=4&amp;Qid=1711279&amp;Row=2421&amp;Col=1","No Title Assigned - #15267286781")</f>
        <v/>
      </c>
      <c r="B2429" s="0" t="s">
        <v>3669</v>
      </c>
      <c r="C2429" s="0" t="s">
        <v>3670</v>
      </c>
      <c r="D2429" s="0" t="s">
        <v>3670</v>
      </c>
      <c r="E2429" s="0" t="inlineStr">
        <is>
          <t xml:space="preserve">Mazda</t>
        </is>
      </c>
      <c r="F2429" s="0" t="s">
        <v>28</v>
      </c>
      <c r="G2429" s="0" t="s">
        <v>29</v>
      </c>
      <c r="H2429" s="5">
        <v>11188.222200</v>
      </c>
    </row>
    <row r="2430" spans="1:9">
      <c r="A2430" s="22" t="str">
        <f>HYPERLINK("https://app.vivvix.com/360/KMI/IntelliDrive/ApplUI/Pages/CreativePages/CustomReportCreativeDetail.aspx?App=23&amp;ReportView=4&amp;Qid=1711279&amp;Row=2422&amp;Col=1","No Title Assigned - #15267286781")</f>
        <v/>
      </c>
      <c r="B2430" s="0" t="s">
        <v>3669</v>
      </c>
      <c r="E2430" s="0" t="inlineStr">
        <is>
          <t xml:space="preserve">Mazda</t>
        </is>
      </c>
      <c r="F2430" s="0" t="s">
        <v>28</v>
      </c>
      <c r="G2430" s="0" t="s">
        <v>29</v>
      </c>
      <c r="H2430" s="5">
        <v>9012.359100</v>
      </c>
    </row>
    <row r="2431" spans="1:9">
      <c r="A2431" s="22" t="str">
        <f>HYPERLINK("https://app.vivvix.com/360/KMI/IntelliDrive/ApplUI/Pages/CreativePages/CustomReportCreativeDetail.aspx?App=23&amp;ReportView=4&amp;Qid=1711279&amp;Row=2423&amp;Col=1","No Title Assigned - #15267287780")</f>
        <v/>
      </c>
      <c r="B2431" s="0" t="s">
        <v>3671</v>
      </c>
      <c r="C2431" s="0" t="s">
        <v>3672</v>
      </c>
      <c r="D2431" s="0" t="s">
        <v>3672</v>
      </c>
      <c r="E2431" s="0" t="inlineStr">
        <is>
          <t xml:space="preserve">Mazda</t>
        </is>
      </c>
      <c r="F2431" s="0" t="s">
        <v>666</v>
      </c>
      <c r="G2431" s="0" t="s">
        <v>3673</v>
      </c>
      <c r="H2431" s="5">
        <v>4778.604700</v>
      </c>
    </row>
    <row r="2432" spans="1:9">
      <c r="A2432" s="22" t="str">
        <f>HYPERLINK("https://app.vivvix.com/360/KMI/IntelliDrive/ApplUI/Pages/CreativePages/CustomReportCreativeDetail.aspx?App=23&amp;ReportView=4&amp;Qid=1711279&amp;Row=2424&amp;Col=1","No Title Assigned - #15267288092")</f>
        <v/>
      </c>
      <c r="B2432" s="0" t="s">
        <v>3674</v>
      </c>
      <c r="C2432" s="0" t="s">
        <v>3675</v>
      </c>
      <c r="D2432" s="0" t="s">
        <v>3675</v>
      </c>
      <c r="E2432" s="0" t="inlineStr">
        <is>
          <t xml:space="preserve">Mazda</t>
        </is>
      </c>
      <c r="F2432" s="0" t="s">
        <v>28</v>
      </c>
      <c r="G2432" s="0" t="s">
        <v>29</v>
      </c>
      <c r="H2432" s="5">
        <v>58.974900</v>
      </c>
    </row>
    <row r="2433" spans="1:9">
      <c r="A2433" s="22" t="str">
        <f>HYPERLINK("https://app.vivvix.com/360/KMI/IntelliDrive/ApplUI/Pages/CreativePages/CustomReportCreativeDetail.aspx?App=23&amp;ReportView=4&amp;Qid=1711279&amp;Row=2425&amp;Col=1","No Title Assigned - #15267289353")</f>
        <v/>
      </c>
      <c r="B2433" s="0" t="s">
        <v>3676</v>
      </c>
      <c r="C2433" s="0" t="s">
        <v>3677</v>
      </c>
      <c r="D2433" s="0" t="s">
        <v>3677</v>
      </c>
      <c r="E2433" s="0" t="inlineStr">
        <is>
          <t xml:space="preserve">Mazda</t>
        </is>
      </c>
      <c r="F2433" s="0" t="s">
        <v>28</v>
      </c>
      <c r="G2433" s="0" t="s">
        <v>29</v>
      </c>
      <c r="H2433" s="5">
        <v>205.385600</v>
      </c>
    </row>
    <row r="2434" spans="1:9">
      <c r="A2434" s="22" t="str">
        <f>HYPERLINK("https://app.vivvix.com/360/KMI/IntelliDrive/ApplUI/Pages/CreativePages/CustomReportCreativeDetail.aspx?App=23&amp;ReportView=4&amp;Qid=1711279&amp;Row=2426&amp;Col=1","No Title Assigned - #15267289539")</f>
        <v/>
      </c>
      <c r="B2434" s="0" t="s">
        <v>3678</v>
      </c>
      <c r="C2434" s="0" t="s">
        <v>3679</v>
      </c>
      <c r="D2434" s="0" t="s">
        <v>3679</v>
      </c>
      <c r="E2434" s="0" t="inlineStr">
        <is>
          <t xml:space="preserve">Mazda</t>
        </is>
      </c>
      <c r="F2434" s="0" t="s">
        <v>28</v>
      </c>
      <c r="G2434" s="0" t="s">
        <v>29</v>
      </c>
      <c r="H2434" s="5">
        <v>63.400100</v>
      </c>
    </row>
    <row r="2435" spans="1:9">
      <c r="A2435" s="22" t="str">
        <f>HYPERLINK("https://app.vivvix.com/360/KMI/IntelliDrive/ApplUI/Pages/CreativePages/CustomReportCreativeDetail.aspx?App=23&amp;ReportView=4&amp;Qid=1711279&amp;Row=2427&amp;Col=1","No Title Assigned - #15267289787")</f>
        <v/>
      </c>
      <c r="B2435" s="0" t="s">
        <v>3680</v>
      </c>
      <c r="C2435" s="0" t="s">
        <v>3681</v>
      </c>
      <c r="D2435" s="0" t="s">
        <v>3681</v>
      </c>
      <c r="E2435" s="0" t="inlineStr">
        <is>
          <t xml:space="preserve">Mazda</t>
        </is>
      </c>
      <c r="F2435" s="0" t="s">
        <v>28</v>
      </c>
      <c r="G2435" s="0" t="s">
        <v>29</v>
      </c>
      <c r="H2435" s="5">
        <v>448.070200</v>
      </c>
    </row>
    <row r="2436" spans="1:9">
      <c r="A2436" s="22" t="str">
        <f>HYPERLINK("https://app.vivvix.com/360/KMI/IntelliDrive/ApplUI/Pages/CreativePages/CustomReportCreativeDetail.aspx?App=23&amp;ReportView=4&amp;Qid=1711279&amp;Row=2428&amp;Col=1","No Title Assigned - #15267294161")</f>
        <v/>
      </c>
      <c r="B2436" s="0" t="s">
        <v>3682</v>
      </c>
      <c r="C2436" s="0" t="s">
        <v>3683</v>
      </c>
      <c r="D2436" s="0" t="s">
        <v>3683</v>
      </c>
      <c r="E2436" s="0" t="inlineStr">
        <is>
          <t xml:space="preserve">Mazda</t>
        </is>
      </c>
      <c r="F2436" s="0" t="inlineStr">
        <is>
          <t xml:space="preserve">Mazda</t>
        </is>
      </c>
      <c r="G2436" s="0" t="s">
        <v>3617</v>
      </c>
      <c r="H2436" s="5">
        <v>2244.269300</v>
      </c>
    </row>
    <row r="2437" spans="1:9">
      <c r="A2437" s="22" t="str">
        <f>HYPERLINK("https://app.vivvix.com/360/KMI/IntelliDrive/ApplUI/Pages/CreativePages/CustomReportCreativeDetail.aspx?App=23&amp;ReportView=4&amp;Qid=1711279&amp;Row=2429&amp;Col=1","No Title Assigned - #15267295129")</f>
        <v/>
      </c>
      <c r="B2437" s="0" t="s">
        <v>3684</v>
      </c>
      <c r="C2437" s="0" t="s">
        <v>3685</v>
      </c>
      <c r="D2437" s="0" t="s">
        <v>3685</v>
      </c>
      <c r="E2437" s="0" t="inlineStr">
        <is>
          <t xml:space="preserve">Mazda</t>
        </is>
      </c>
      <c r="F2437" s="0" t="s">
        <v>28</v>
      </c>
      <c r="G2437" s="0" t="s">
        <v>29</v>
      </c>
      <c r="H2437" s="5">
        <v>1142.038400</v>
      </c>
    </row>
    <row r="2438" spans="1:9">
      <c r="A2438" s="22" t="str">
        <f>HYPERLINK("https://app.vivvix.com/360/KMI/IntelliDrive/ApplUI/Pages/CreativePages/CustomReportCreativeDetail.aspx?App=23&amp;ReportView=4&amp;Qid=1711279&amp;Row=2430&amp;Col=1","No Title Assigned - #15267299463")</f>
        <v/>
      </c>
      <c r="B2438" s="0" t="s">
        <v>3686</v>
      </c>
      <c r="C2438" s="0" t="s">
        <v>3687</v>
      </c>
      <c r="D2438" s="0" t="s">
        <v>3687</v>
      </c>
      <c r="E2438" s="0" t="inlineStr">
        <is>
          <t xml:space="preserve">Mazda</t>
        </is>
      </c>
      <c r="F2438" s="0" t="s">
        <v>369</v>
      </c>
      <c r="G2438" s="0" t="s">
        <v>2644</v>
      </c>
      <c r="H2438" s="5">
        <v>1771.889500</v>
      </c>
    </row>
    <row r="2439" spans="1:9">
      <c r="A2439" s="22" t="str">
        <f>HYPERLINK("https://app.vivvix.com/360/KMI/IntelliDrive/ApplUI/Pages/CreativePages/CustomReportCreativeDetail.aspx?App=23&amp;ReportView=4&amp;Qid=1711279&amp;Row=2431&amp;Col=1","No Title Assigned - #15267301945")</f>
        <v/>
      </c>
      <c r="B2439" s="0" t="s">
        <v>3688</v>
      </c>
      <c r="E2439" s="0" t="inlineStr">
        <is>
          <t xml:space="preserve">Mazda</t>
        </is>
      </c>
      <c r="F2439" s="0" t="inlineStr">
        <is>
          <t xml:space="preserve">Mazda</t>
        </is>
      </c>
      <c r="G2439" s="0" t="s">
        <v>171</v>
      </c>
      <c r="H2439" s="5">
        <v>6789.560100</v>
      </c>
    </row>
    <row r="2440" spans="1:9">
      <c r="A2440" s="22" t="str">
        <f>HYPERLINK("https://app.vivvix.com/360/KMI/IntelliDrive/ApplUI/Pages/CreativePages/CustomReportCreativeDetail.aspx?App=23&amp;ReportView=4&amp;Qid=1711279&amp;Row=2432&amp;Col=1","No Title Assigned - #15267305923")</f>
        <v/>
      </c>
      <c r="B2440" s="0" t="s">
        <v>3689</v>
      </c>
      <c r="C2440" s="0" t="s">
        <v>3690</v>
      </c>
      <c r="D2440" s="0" t="s">
        <v>3690</v>
      </c>
      <c r="E2440" s="0" t="inlineStr">
        <is>
          <t xml:space="preserve">Mazda</t>
        </is>
      </c>
      <c r="F2440" s="0" t="s">
        <v>28</v>
      </c>
      <c r="G2440" s="0" t="s">
        <v>29</v>
      </c>
      <c r="H2440" s="5">
        <v>938.014900</v>
      </c>
    </row>
    <row r="2441" spans="1:9">
      <c r="A2441" s="22" t="str">
        <f>HYPERLINK("https://app.vivvix.com/360/KMI/IntelliDrive/ApplUI/Pages/CreativePages/CustomReportCreativeDetail.aspx?App=23&amp;ReportView=4&amp;Qid=1711279&amp;Row=2433&amp;Col=1","No Title Assigned - #15267319693")</f>
        <v/>
      </c>
      <c r="B2441" s="0" t="s">
        <v>3691</v>
      </c>
      <c r="C2441" s="0" t="s">
        <v>3692</v>
      </c>
      <c r="D2441" s="0" t="s">
        <v>3692</v>
      </c>
      <c r="E2441" s="0" t="inlineStr">
        <is>
          <t xml:space="preserve">Mazda</t>
        </is>
      </c>
      <c r="F2441" s="0" t="s">
        <v>28</v>
      </c>
      <c r="G2441" s="0" t="s">
        <v>29</v>
      </c>
      <c r="H2441" s="5">
        <v>63.400100</v>
      </c>
    </row>
    <row r="2442" spans="1:9">
      <c r="A2442" s="22" t="str">
        <f>HYPERLINK("https://app.vivvix.com/360/KMI/IntelliDrive/ApplUI/Pages/CreativePages/CustomReportCreativeDetail.aspx?App=23&amp;ReportView=4&amp;Qid=1711279&amp;Row=2434&amp;Col=1","No Title Assigned - #15267323746")</f>
        <v/>
      </c>
      <c r="B2442" s="0" t="s">
        <v>3693</v>
      </c>
      <c r="C2442" s="0" t="s">
        <v>3694</v>
      </c>
      <c r="D2442" s="0" t="s">
        <v>3694</v>
      </c>
      <c r="E2442" s="0" t="inlineStr">
        <is>
          <t xml:space="preserve">Mazda</t>
        </is>
      </c>
      <c r="F2442" s="0" t="s">
        <v>28</v>
      </c>
      <c r="G2442" s="0" t="s">
        <v>29</v>
      </c>
      <c r="H2442" s="5">
        <v>348.674900</v>
      </c>
    </row>
    <row r="2443" spans="1:9">
      <c r="A2443" s="22" t="str">
        <f>HYPERLINK("https://app.vivvix.com/360/KMI/IntelliDrive/ApplUI/Pages/CreativePages/CustomReportCreativeDetail.aspx?App=23&amp;ReportView=4&amp;Qid=1711279&amp;Row=2435&amp;Col=1","No Title Assigned - #15267326924")</f>
        <v/>
      </c>
      <c r="B2443" s="0" t="s">
        <v>3695</v>
      </c>
      <c r="C2443" s="0" t="s">
        <v>3696</v>
      </c>
      <c r="D2443" s="0" t="s">
        <v>3696</v>
      </c>
      <c r="E2443" s="0" t="inlineStr">
        <is>
          <t xml:space="preserve">Mazda</t>
        </is>
      </c>
      <c r="F2443" s="0" t="s">
        <v>28</v>
      </c>
      <c r="G2443" s="0" t="s">
        <v>29</v>
      </c>
      <c r="H2443" s="5">
        <v>78.694700</v>
      </c>
    </row>
    <row r="2444" spans="1:9">
      <c r="A2444" s="22" t="str">
        <f>HYPERLINK("https://app.vivvix.com/360/KMI/IntelliDrive/ApplUI/Pages/CreativePages/CustomReportCreativeDetail.aspx?App=23&amp;ReportView=4&amp;Qid=1711279&amp;Row=2436&amp;Col=1","No Title Assigned - #15267329603")</f>
        <v/>
      </c>
      <c r="B2444" s="0" t="s">
        <v>3697</v>
      </c>
      <c r="C2444" s="0" t="s">
        <v>3698</v>
      </c>
      <c r="D2444" s="0" t="s">
        <v>3698</v>
      </c>
      <c r="E2444" s="0" t="inlineStr">
        <is>
          <t xml:space="preserve">Mazda</t>
        </is>
      </c>
      <c r="F2444" s="0" t="s">
        <v>28</v>
      </c>
      <c r="G2444" s="0" t="s">
        <v>29</v>
      </c>
      <c r="H2444" s="5">
        <v>318.424500</v>
      </c>
    </row>
    <row r="2445" spans="1:9">
      <c r="A2445" s="22" t="str">
        <f>HYPERLINK("https://app.vivvix.com/360/KMI/IntelliDrive/ApplUI/Pages/CreativePages/CustomReportCreativeDetail.aspx?App=23&amp;ReportView=4&amp;Qid=1711279&amp;Row=2437&amp;Col=1","No Title Assigned - #15267333968")</f>
        <v/>
      </c>
      <c r="B2445" s="0" t="s">
        <v>3699</v>
      </c>
      <c r="C2445" s="0" t="s">
        <v>3700</v>
      </c>
      <c r="D2445" s="0" t="s">
        <v>3700</v>
      </c>
      <c r="E2445" s="0" t="inlineStr">
        <is>
          <t xml:space="preserve">Mazda</t>
        </is>
      </c>
      <c r="F2445" s="0" t="s">
        <v>17</v>
      </c>
      <c r="G2445" s="0" t="s">
        <v>33</v>
      </c>
      <c r="H2445" s="5">
        <v>318.983700</v>
      </c>
    </row>
    <row r="2446" spans="1:9">
      <c r="A2446" s="22" t="str">
        <f>HYPERLINK("https://app.vivvix.com/360/KMI/IntelliDrive/ApplUI/Pages/CreativePages/CustomReportCreativeDetail.aspx?App=23&amp;ReportView=4&amp;Qid=1711279&amp;Row=2438&amp;Col=1","No Title Assigned - #15267339914")</f>
        <v/>
      </c>
      <c r="B2446" s="0" t="s">
        <v>3701</v>
      </c>
      <c r="C2446" s="0" t="s">
        <v>795</v>
      </c>
      <c r="D2446" s="0" t="s">
        <v>795</v>
      </c>
      <c r="E2446" s="0" t="inlineStr">
        <is>
          <t xml:space="preserve">Mazda</t>
        </is>
      </c>
      <c r="F2446" s="0" t="s">
        <v>17</v>
      </c>
      <c r="G2446" s="0" t="s">
        <v>33</v>
      </c>
      <c r="H2446" s="5">
        <v>331.837700</v>
      </c>
    </row>
    <row r="2447" spans="1:9">
      <c r="A2447" s="22" t="str">
        <f>HYPERLINK("https://app.vivvix.com/360/KMI/IntelliDrive/ApplUI/Pages/CreativePages/CustomReportCreativeDetail.aspx?App=23&amp;ReportView=4&amp;Qid=1711279&amp;Row=2439&amp;Col=1","No Title Assigned - #15267340093")</f>
        <v/>
      </c>
      <c r="B2447" s="0" t="s">
        <v>3702</v>
      </c>
      <c r="C2447" s="0" t="s">
        <v>3703</v>
      </c>
      <c r="D2447" s="0" t="s">
        <v>3703</v>
      </c>
      <c r="E2447" s="0" t="inlineStr">
        <is>
          <t xml:space="preserve">Mazda</t>
        </is>
      </c>
      <c r="F2447" s="0" t="s">
        <v>28</v>
      </c>
      <c r="G2447" s="0" t="s">
        <v>29</v>
      </c>
      <c r="H2447" s="5">
        <v>74.023600</v>
      </c>
    </row>
    <row r="2448" spans="1:9">
      <c r="A2448" s="22" t="str">
        <f>HYPERLINK("https://app.vivvix.com/360/KMI/IntelliDrive/ApplUI/Pages/CreativePages/CustomReportCreativeDetail.aspx?App=23&amp;ReportView=4&amp;Qid=1711279&amp;Row=2440&amp;Col=1","No Title Assigned - #15267342232")</f>
        <v/>
      </c>
      <c r="B2448" s="0" t="s">
        <v>3704</v>
      </c>
      <c r="C2448" s="0" t="s">
        <v>3705</v>
      </c>
      <c r="D2448" s="0" t="s">
        <v>3705</v>
      </c>
      <c r="E2448" s="0" t="inlineStr">
        <is>
          <t xml:space="preserve">Mazda</t>
        </is>
      </c>
      <c r="F2448" s="0" t="s">
        <v>13</v>
      </c>
      <c r="G2448" s="0" t="s">
        <v>49</v>
      </c>
      <c r="H2448" s="5">
        <v>6359.456200</v>
      </c>
    </row>
    <row r="2449" spans="1:9">
      <c r="A2449" s="22" t="str">
        <f>HYPERLINK("https://app.vivvix.com/360/KMI/IntelliDrive/ApplUI/Pages/CreativePages/CustomReportCreativeDetail.aspx?App=23&amp;ReportView=4&amp;Qid=1711279&amp;Row=2441&amp;Col=1","No Title Assigned - #15267342265")</f>
        <v/>
      </c>
      <c r="B2449" s="0" t="s">
        <v>3706</v>
      </c>
      <c r="C2449" s="0" t="s">
        <v>3707</v>
      </c>
      <c r="D2449" s="0" t="s">
        <v>3707</v>
      </c>
      <c r="E2449" s="0" t="inlineStr">
        <is>
          <t xml:space="preserve">Mazda</t>
        </is>
      </c>
      <c r="F2449" s="0" t="s">
        <v>13</v>
      </c>
      <c r="G2449" s="0" t="s">
        <v>49</v>
      </c>
      <c r="H2449" s="5">
        <v>45140.513700</v>
      </c>
    </row>
    <row r="2450" spans="1:9">
      <c r="A2450" s="22" t="str">
        <f>HYPERLINK("https://app.vivvix.com/360/KMI/IntelliDrive/ApplUI/Pages/CreativePages/CustomReportCreativeDetail.aspx?App=23&amp;ReportView=4&amp;Qid=1711279&amp;Row=2442&amp;Col=1","No Title Assigned - #15267343724")</f>
        <v/>
      </c>
      <c r="B2450" s="0" t="s">
        <v>3708</v>
      </c>
      <c r="C2450" s="0" t="s">
        <v>3709</v>
      </c>
      <c r="D2450" s="0" t="s">
        <v>3709</v>
      </c>
      <c r="E2450" s="0" t="inlineStr">
        <is>
          <t xml:space="preserve">Mazda</t>
        </is>
      </c>
      <c r="F2450" s="0" t="s">
        <v>13</v>
      </c>
      <c r="G2450" s="0" t="s">
        <v>49</v>
      </c>
      <c r="H2450" s="5">
        <v>19383.724600</v>
      </c>
    </row>
    <row r="2451" spans="1:9">
      <c r="A2451" s="22" t="str">
        <f>HYPERLINK("https://app.vivvix.com/360/KMI/IntelliDrive/ApplUI/Pages/CreativePages/CustomReportCreativeDetail.aspx?App=23&amp;ReportView=4&amp;Qid=1711279&amp;Row=2443&amp;Col=1","No Title Assigned - #15267344050")</f>
        <v/>
      </c>
      <c r="B2451" s="0" t="s">
        <v>3710</v>
      </c>
      <c r="E2451" s="0" t="inlineStr">
        <is>
          <t xml:space="preserve">Mazda</t>
        </is>
      </c>
      <c r="F2451" s="0" t="inlineStr">
        <is>
          <t xml:space="preserve">Mazda</t>
        </is>
      </c>
      <c r="G2451" s="0" t="s">
        <v>210</v>
      </c>
      <c r="H2451" s="5">
        <v>5934.756300</v>
      </c>
    </row>
    <row r="2452" spans="1:9">
      <c r="A2452" s="22" t="str">
        <f>HYPERLINK("https://app.vivvix.com/360/KMI/IntelliDrive/ApplUI/Pages/CreativePages/CustomReportCreativeDetail.aspx?App=23&amp;ReportView=4&amp;Qid=1711279&amp;Row=2444&amp;Col=1","No Title Assigned - #15267344050")</f>
        <v/>
      </c>
      <c r="B2452" s="0" t="s">
        <v>3710</v>
      </c>
      <c r="C2452" s="0" t="s">
        <v>3711</v>
      </c>
      <c r="D2452" s="0" t="s">
        <v>3711</v>
      </c>
      <c r="E2452" s="0" t="inlineStr">
        <is>
          <t xml:space="preserve">Mazda</t>
        </is>
      </c>
      <c r="F2452" s="0" t="inlineStr">
        <is>
          <t xml:space="preserve">Mazda</t>
        </is>
      </c>
      <c r="G2452" s="0" t="s">
        <v>210</v>
      </c>
      <c r="H2452" s="5">
        <v>80211.140500</v>
      </c>
    </row>
    <row r="2453" spans="1:9">
      <c r="A2453" s="22" t="str">
        <f>HYPERLINK("https://app.vivvix.com/360/KMI/IntelliDrive/ApplUI/Pages/CreativePages/CustomReportCreativeDetail.aspx?App=23&amp;ReportView=4&amp;Qid=1711279&amp;Row=2445&amp;Col=1","No Title Assigned - #15267344255")</f>
        <v/>
      </c>
      <c r="B2453" s="0" t="s">
        <v>3712</v>
      </c>
      <c r="C2453" s="0" t="s">
        <v>3713</v>
      </c>
      <c r="D2453" s="0" t="s">
        <v>3713</v>
      </c>
      <c r="E2453" s="0" t="inlineStr">
        <is>
          <t xml:space="preserve">Mazda</t>
        </is>
      </c>
      <c r="F2453" s="0" t="s">
        <v>17</v>
      </c>
      <c r="G2453" s="0" t="s">
        <v>33</v>
      </c>
      <c r="H2453" s="5">
        <v>1712.401300</v>
      </c>
    </row>
    <row r="2454" spans="1:9">
      <c r="A2454" s="22" t="str">
        <f>HYPERLINK("https://app.vivvix.com/360/KMI/IntelliDrive/ApplUI/Pages/CreativePages/CustomReportCreativeDetail.aspx?App=23&amp;ReportView=4&amp;Qid=1711279&amp;Row=2446&amp;Col=1","No Title Assigned - #15267346161")</f>
        <v/>
      </c>
      <c r="B2454" s="0" t="s">
        <v>3714</v>
      </c>
      <c r="C2454" s="0" t="s">
        <v>3715</v>
      </c>
      <c r="D2454" s="0" t="s">
        <v>3715</v>
      </c>
      <c r="E2454" s="0" t="inlineStr">
        <is>
          <t xml:space="preserve">Mazda</t>
        </is>
      </c>
      <c r="F2454" s="0" t="s">
        <v>28</v>
      </c>
      <c r="G2454" s="0" t="s">
        <v>29</v>
      </c>
      <c r="H2454" s="5">
        <v>3744.454700</v>
      </c>
    </row>
    <row r="2455" spans="1:9">
      <c r="A2455" s="22" t="str">
        <f>HYPERLINK("https://app.vivvix.com/360/KMI/IntelliDrive/ApplUI/Pages/CreativePages/CustomReportCreativeDetail.aspx?App=23&amp;ReportView=4&amp;Qid=1711279&amp;Row=2447&amp;Col=1","No Title Assigned - #15267348195")</f>
        <v/>
      </c>
      <c r="B2455" s="0" t="s">
        <v>3716</v>
      </c>
      <c r="E2455" s="0" t="inlineStr">
        <is>
          <t xml:space="preserve">Mazda</t>
        </is>
      </c>
      <c r="F2455" s="0" t="inlineStr">
        <is>
          <t xml:space="preserve">Mazda</t>
        </is>
      </c>
      <c r="G2455" s="0" t="s">
        <v>171</v>
      </c>
      <c r="H2455" s="5">
        <v>496.627200</v>
      </c>
    </row>
    <row r="2456" spans="1:9">
      <c r="A2456" s="22" t="str">
        <f>HYPERLINK("https://app.vivvix.com/360/KMI/IntelliDrive/ApplUI/Pages/CreativePages/CustomReportCreativeDetail.aspx?App=23&amp;ReportView=4&amp;Qid=1711279&amp;Row=2448&amp;Col=1","No Title Assigned - #15267350988")</f>
        <v/>
      </c>
      <c r="B2456" s="0" t="s">
        <v>3717</v>
      </c>
      <c r="C2456" s="0" t="s">
        <v>3718</v>
      </c>
      <c r="D2456" s="0" t="s">
        <v>3718</v>
      </c>
      <c r="E2456" s="0" t="inlineStr">
        <is>
          <t xml:space="preserve">Mazda</t>
        </is>
      </c>
      <c r="F2456" s="0" t="s">
        <v>28</v>
      </c>
      <c r="G2456" s="0" t="s">
        <v>29</v>
      </c>
      <c r="H2456" s="5">
        <v>243.018700</v>
      </c>
    </row>
    <row r="2457" spans="1:9">
      <c r="A2457" s="22" t="str">
        <f>HYPERLINK("https://app.vivvix.com/360/KMI/IntelliDrive/ApplUI/Pages/CreativePages/CustomReportCreativeDetail.aspx?App=23&amp;ReportView=4&amp;Qid=1711279&amp;Row=2449&amp;Col=1","No Title Assigned - #15267354114")</f>
        <v/>
      </c>
      <c r="B2457" s="0" t="s">
        <v>3719</v>
      </c>
      <c r="C2457" s="0" t="s">
        <v>3720</v>
      </c>
      <c r="D2457" s="0" t="s">
        <v>3720</v>
      </c>
      <c r="E2457" s="0" t="inlineStr">
        <is>
          <t xml:space="preserve">Mazda</t>
        </is>
      </c>
      <c r="F2457" s="0" t="s">
        <v>28</v>
      </c>
      <c r="G2457" s="0" t="s">
        <v>29</v>
      </c>
      <c r="H2457" s="5">
        <v>1157.513300</v>
      </c>
    </row>
    <row r="2458" spans="1:9">
      <c r="A2458" s="22" t="str">
        <f>HYPERLINK("https://app.vivvix.com/360/KMI/IntelliDrive/ApplUI/Pages/CreativePages/CustomReportCreativeDetail.aspx?App=23&amp;ReportView=4&amp;Qid=1711279&amp;Row=2450&amp;Col=1","No Title Assigned - #15267356216")</f>
        <v/>
      </c>
      <c r="B2458" s="0" t="s">
        <v>3721</v>
      </c>
      <c r="E2458" s="0" t="inlineStr">
        <is>
          <t xml:space="preserve">Mazda</t>
        </is>
      </c>
      <c r="F2458" s="0" t="inlineStr">
        <is>
          <t xml:space="preserve">Mazda</t>
        </is>
      </c>
      <c r="G2458" s="0" t="s">
        <v>171</v>
      </c>
      <c r="H2458" s="5">
        <v>150.773400</v>
      </c>
    </row>
    <row r="2459" spans="1:9">
      <c r="A2459" s="22" t="str">
        <f>HYPERLINK("https://app.vivvix.com/360/KMI/IntelliDrive/ApplUI/Pages/CreativePages/CustomReportCreativeDetail.aspx?App=23&amp;ReportView=4&amp;Qid=1711279&amp;Row=2451&amp;Col=1","No Title Assigned - #15267357557")</f>
        <v/>
      </c>
      <c r="B2459" s="0" t="s">
        <v>3722</v>
      </c>
      <c r="C2459" s="0" t="s">
        <v>3723</v>
      </c>
      <c r="D2459" s="0" t="s">
        <v>2415</v>
      </c>
      <c r="E2459" s="0" t="inlineStr">
        <is>
          <t xml:space="preserve">Mazda</t>
        </is>
      </c>
      <c r="F2459" s="0" t="s">
        <v>28</v>
      </c>
      <c r="G2459" s="0" t="s">
        <v>29</v>
      </c>
      <c r="H2459" s="5">
        <v>1020.267500</v>
      </c>
    </row>
    <row r="2460" spans="1:9">
      <c r="A2460" s="22" t="str">
        <f>HYPERLINK("https://app.vivvix.com/360/KMI/IntelliDrive/ApplUI/Pages/CreativePages/CustomReportCreativeDetail.aspx?App=23&amp;ReportView=4&amp;Qid=1711279&amp;Row=2452&amp;Col=1","No Title Assigned - #15267364814")</f>
        <v/>
      </c>
      <c r="B2460" s="0" t="s">
        <v>3724</v>
      </c>
      <c r="C2460" s="0" t="s">
        <v>3725</v>
      </c>
      <c r="D2460" s="0" t="s">
        <v>3725</v>
      </c>
      <c r="E2460" s="0" t="inlineStr">
        <is>
          <t xml:space="preserve">Mazda</t>
        </is>
      </c>
      <c r="F2460" s="0" t="s">
        <v>28</v>
      </c>
      <c r="G2460" s="0" t="s">
        <v>29</v>
      </c>
      <c r="H2460" s="5">
        <v>114.346900</v>
      </c>
    </row>
    <row r="2461" spans="1:9">
      <c r="A2461" s="22" t="str">
        <f>HYPERLINK("https://app.vivvix.com/360/KMI/IntelliDrive/ApplUI/Pages/CreativePages/CustomReportCreativeDetail.aspx?App=23&amp;ReportView=4&amp;Qid=1711279&amp;Row=2453&amp;Col=1","No Title Assigned - #15267364814")</f>
        <v/>
      </c>
      <c r="B2461" s="0" t="s">
        <v>3724</v>
      </c>
      <c r="E2461" s="0" t="inlineStr">
        <is>
          <t xml:space="preserve">Mazda</t>
        </is>
      </c>
      <c r="F2461" s="0" t="s">
        <v>28</v>
      </c>
      <c r="G2461" s="0" t="s">
        <v>29</v>
      </c>
      <c r="H2461" s="5">
        <v>16507.085900</v>
      </c>
    </row>
    <row r="2462" spans="1:9">
      <c r="A2462" s="22" t="str">
        <f>HYPERLINK("https://app.vivvix.com/360/KMI/IntelliDrive/ApplUI/Pages/CreativePages/CustomReportCreativeDetail.aspx?App=23&amp;ReportView=4&amp;Qid=1711279&amp;Row=2454&amp;Col=1","No Title Assigned - #15267385833")</f>
        <v/>
      </c>
      <c r="B2462" s="0" t="s">
        <v>3726</v>
      </c>
      <c r="E2462" s="0" t="inlineStr">
        <is>
          <t xml:space="preserve">Mazda</t>
        </is>
      </c>
      <c r="F2462" s="0" t="s">
        <v>28</v>
      </c>
      <c r="G2462" s="0" t="s">
        <v>29</v>
      </c>
      <c r="H2462" s="5">
        <v>116198.255800</v>
      </c>
    </row>
    <row r="2463" spans="1:9">
      <c r="A2463" s="22" t="str">
        <f>HYPERLINK("https://app.vivvix.com/360/KMI/IntelliDrive/ApplUI/Pages/CreativePages/CustomReportCreativeDetail.aspx?App=23&amp;ReportView=4&amp;Qid=1711279&amp;Row=2455&amp;Col=1","No Title Assigned - #15267385833")</f>
        <v/>
      </c>
      <c r="B2463" s="0" t="s">
        <v>3726</v>
      </c>
      <c r="C2463" s="0" t="s">
        <v>3727</v>
      </c>
      <c r="D2463" s="0" t="s">
        <v>3727</v>
      </c>
      <c r="E2463" s="0" t="inlineStr">
        <is>
          <t xml:space="preserve">Mazda</t>
        </is>
      </c>
      <c r="F2463" s="0" t="s">
        <v>28</v>
      </c>
      <c r="G2463" s="0" t="s">
        <v>29</v>
      </c>
      <c r="H2463" s="5">
        <v>108730.471500</v>
      </c>
    </row>
    <row r="2464" spans="1:9">
      <c r="A2464" s="22" t="str">
        <f>HYPERLINK("https://app.vivvix.com/360/KMI/IntelliDrive/ApplUI/Pages/CreativePages/CustomReportCreativeDetail.aspx?App=23&amp;ReportView=4&amp;Qid=1711279&amp;Row=2456&amp;Col=1","No Title Assigned - #15267386163")</f>
        <v/>
      </c>
      <c r="B2464" s="0" t="s">
        <v>3728</v>
      </c>
      <c r="C2464" s="0" t="s">
        <v>3729</v>
      </c>
      <c r="D2464" s="0" t="s">
        <v>3729</v>
      </c>
      <c r="E2464" s="0" t="inlineStr">
        <is>
          <t xml:space="preserve">Mazda</t>
        </is>
      </c>
      <c r="F2464" s="0" t="s">
        <v>28</v>
      </c>
      <c r="G2464" s="0" t="s">
        <v>29</v>
      </c>
      <c r="H2464" s="5">
        <v>54.239300</v>
      </c>
    </row>
    <row r="2465" spans="1:9">
      <c r="A2465" s="22" t="str">
        <f>HYPERLINK("https://app.vivvix.com/360/KMI/IntelliDrive/ApplUI/Pages/CreativePages/CustomReportCreativeDetail.aspx?App=23&amp;ReportView=4&amp;Qid=1711279&amp;Row=2457&amp;Col=1","No Title Assigned - #15267386165")</f>
        <v/>
      </c>
      <c r="B2465" s="0" t="s">
        <v>3730</v>
      </c>
      <c r="C2465" s="0" t="s">
        <v>3731</v>
      </c>
      <c r="D2465" s="0" t="s">
        <v>3731</v>
      </c>
      <c r="E2465" s="0" t="inlineStr">
        <is>
          <t xml:space="preserve">Mazda</t>
        </is>
      </c>
      <c r="F2465" s="0" t="s">
        <v>28</v>
      </c>
      <c r="G2465" s="0" t="s">
        <v>29</v>
      </c>
      <c r="H2465" s="5">
        <v>28.103800</v>
      </c>
    </row>
    <row r="2466" spans="1:9">
      <c r="A2466" s="22" t="str">
        <f>HYPERLINK("https://app.vivvix.com/360/KMI/IntelliDrive/ApplUI/Pages/CreativePages/CustomReportCreativeDetail.aspx?App=23&amp;ReportView=4&amp;Qid=1711279&amp;Row=2458&amp;Col=1","No Title Assigned - #15267386944")</f>
        <v/>
      </c>
      <c r="B2466" s="0" t="s">
        <v>3732</v>
      </c>
      <c r="C2466" s="0" t="s">
        <v>3733</v>
      </c>
      <c r="D2466" s="0" t="s">
        <v>3733</v>
      </c>
      <c r="E2466" s="0" t="inlineStr">
        <is>
          <t xml:space="preserve">Mazda</t>
        </is>
      </c>
      <c r="F2466" s="0" t="s">
        <v>28</v>
      </c>
      <c r="G2466" s="0" t="s">
        <v>29</v>
      </c>
      <c r="H2466" s="5">
        <v>208.867500</v>
      </c>
    </row>
    <row r="2467" spans="1:9">
      <c r="A2467" s="22" t="str">
        <f>HYPERLINK("https://app.vivvix.com/360/KMI/IntelliDrive/ApplUI/Pages/CreativePages/CustomReportCreativeDetail.aspx?App=23&amp;ReportView=4&amp;Qid=1711279&amp;Row=2459&amp;Col=1","No Title Assigned - #15267387145")</f>
        <v/>
      </c>
      <c r="B2467" s="0" t="s">
        <v>3734</v>
      </c>
      <c r="C2467" s="0" t="s">
        <v>3735</v>
      </c>
      <c r="D2467" s="0" t="s">
        <v>3735</v>
      </c>
      <c r="E2467" s="0" t="inlineStr">
        <is>
          <t xml:space="preserve">Mazda</t>
        </is>
      </c>
      <c r="F2467" s="0" t="s">
        <v>28</v>
      </c>
      <c r="G2467" s="0" t="s">
        <v>29</v>
      </c>
      <c r="H2467" s="5">
        <v>461.630600</v>
      </c>
    </row>
    <row r="2468" spans="1:9">
      <c r="A2468" s="22" t="str">
        <f>HYPERLINK("https://app.vivvix.com/360/KMI/IntelliDrive/ApplUI/Pages/CreativePages/CustomReportCreativeDetail.aspx?App=23&amp;ReportView=4&amp;Qid=1711279&amp;Row=2460&amp;Col=1","No Title Assigned - #15267393258")</f>
        <v/>
      </c>
      <c r="B2468" s="0" t="s">
        <v>3736</v>
      </c>
      <c r="C2468" s="0" t="s">
        <v>3737</v>
      </c>
      <c r="D2468" s="0" t="s">
        <v>3737</v>
      </c>
      <c r="E2468" s="0" t="inlineStr">
        <is>
          <t xml:space="preserve">Mazda</t>
        </is>
      </c>
      <c r="F2468" s="0" t="s">
        <v>28</v>
      </c>
      <c r="G2468" s="0" t="s">
        <v>29</v>
      </c>
      <c r="H2468" s="5">
        <v>5086.567100</v>
      </c>
    </row>
    <row r="2469" spans="1:9">
      <c r="A2469" s="22" t="str">
        <f>HYPERLINK("https://app.vivvix.com/360/KMI/IntelliDrive/ApplUI/Pages/CreativePages/CustomReportCreativeDetail.aspx?App=23&amp;ReportView=4&amp;Qid=1711279&amp;Row=2461&amp;Col=1","No Title Assigned - #15267393258")</f>
        <v/>
      </c>
      <c r="B2469" s="0" t="s">
        <v>3736</v>
      </c>
      <c r="E2469" s="0" t="inlineStr">
        <is>
          <t xml:space="preserve">Mazda</t>
        </is>
      </c>
      <c r="F2469" s="0" t="s">
        <v>28</v>
      </c>
      <c r="G2469" s="0" t="s">
        <v>29</v>
      </c>
      <c r="H2469" s="5">
        <v>2349.569300</v>
      </c>
    </row>
    <row r="2470" spans="1:9">
      <c r="A2470" s="22" t="str">
        <f>HYPERLINK("https://app.vivvix.com/360/KMI/IntelliDrive/ApplUI/Pages/CreativePages/CustomReportCreativeDetail.aspx?App=23&amp;ReportView=4&amp;Qid=1711279&amp;Row=2462&amp;Col=1","No Title Assigned - #15267394138")</f>
        <v/>
      </c>
      <c r="B2470" s="0" t="s">
        <v>3738</v>
      </c>
      <c r="C2470" s="0" t="s">
        <v>3739</v>
      </c>
      <c r="D2470" s="0" t="s">
        <v>3739</v>
      </c>
      <c r="E2470" s="0" t="inlineStr">
        <is>
          <t xml:space="preserve">Mazda</t>
        </is>
      </c>
      <c r="F2470" s="0" t="s">
        <v>13</v>
      </c>
      <c r="G2470" s="0" t="s">
        <v>49</v>
      </c>
      <c r="H2470" s="5">
        <v>974.208100</v>
      </c>
    </row>
    <row r="2471" spans="1:9">
      <c r="A2471" s="22" t="str">
        <f>HYPERLINK("https://app.vivvix.com/360/KMI/IntelliDrive/ApplUI/Pages/CreativePages/CustomReportCreativeDetail.aspx?App=23&amp;ReportView=4&amp;Qid=1711279&amp;Row=2463&amp;Col=1","No Title Assigned - #15267401662")</f>
        <v/>
      </c>
      <c r="B2471" s="0" t="s">
        <v>3740</v>
      </c>
      <c r="C2471" s="0" t="s">
        <v>3741</v>
      </c>
      <c r="D2471" s="0" t="s">
        <v>3741</v>
      </c>
      <c r="E2471" s="0" t="inlineStr">
        <is>
          <t xml:space="preserve">Mazda</t>
        </is>
      </c>
      <c r="F2471" s="0" t="s">
        <v>28</v>
      </c>
      <c r="G2471" s="0" t="s">
        <v>29</v>
      </c>
      <c r="H2471" s="5">
        <v>179.776500</v>
      </c>
    </row>
    <row r="2472" spans="1:9">
      <c r="A2472" s="22" t="str">
        <f>HYPERLINK("https://app.vivvix.com/360/KMI/IntelliDrive/ApplUI/Pages/CreativePages/CustomReportCreativeDetail.aspx?App=23&amp;ReportView=4&amp;Qid=1711279&amp;Row=2464&amp;Col=1","No Title Assigned - #15267401845")</f>
        <v/>
      </c>
      <c r="B2472" s="0" t="s">
        <v>3742</v>
      </c>
      <c r="C2472" s="0" t="s">
        <v>3743</v>
      </c>
      <c r="D2472" s="0" t="s">
        <v>3743</v>
      </c>
      <c r="E2472" s="0" t="inlineStr">
        <is>
          <t xml:space="preserve">Mazda</t>
        </is>
      </c>
      <c r="F2472" s="0" t="s">
        <v>28</v>
      </c>
      <c r="G2472" s="0" t="s">
        <v>29</v>
      </c>
      <c r="H2472" s="5">
        <v>142.836400</v>
      </c>
    </row>
    <row r="2473" spans="1:9">
      <c r="A2473" s="22" t="str">
        <f>HYPERLINK("https://app.vivvix.com/360/KMI/IntelliDrive/ApplUI/Pages/CreativePages/CustomReportCreativeDetail.aspx?App=23&amp;ReportView=4&amp;Qid=1711279&amp;Row=2465&amp;Col=1","No Title Assigned - #15267402416")</f>
        <v/>
      </c>
      <c r="B2473" s="0" t="s">
        <v>3744</v>
      </c>
      <c r="C2473" s="0" t="s">
        <v>3745</v>
      </c>
      <c r="D2473" s="0" t="s">
        <v>3745</v>
      </c>
      <c r="E2473" s="0" t="inlineStr">
        <is>
          <t xml:space="preserve">Mazda</t>
        </is>
      </c>
      <c r="F2473" s="0" t="s">
        <v>28</v>
      </c>
      <c r="G2473" s="0" t="s">
        <v>29</v>
      </c>
      <c r="H2473" s="5">
        <v>442.957600</v>
      </c>
    </row>
    <row r="2474" spans="1:9">
      <c r="A2474" s="22" t="str">
        <f>HYPERLINK("https://app.vivvix.com/360/KMI/IntelliDrive/ApplUI/Pages/CreativePages/CustomReportCreativeDetail.aspx?App=23&amp;ReportView=4&amp;Qid=1711279&amp;Row=2466&amp;Col=1","No Title Assigned - #15267402859")</f>
        <v/>
      </c>
      <c r="B2474" s="0" t="s">
        <v>3746</v>
      </c>
      <c r="C2474" s="0" t="s">
        <v>3747</v>
      </c>
      <c r="D2474" s="0" t="s">
        <v>3747</v>
      </c>
      <c r="E2474" s="0" t="inlineStr">
        <is>
          <t xml:space="preserve">Mazda</t>
        </is>
      </c>
      <c r="F2474" s="0" t="s">
        <v>28</v>
      </c>
      <c r="G2474" s="0" t="s">
        <v>29</v>
      </c>
      <c r="H2474" s="5">
        <v>148.004300</v>
      </c>
    </row>
    <row r="2475" spans="1:9">
      <c r="A2475" s="22" t="str">
        <f>HYPERLINK("https://app.vivvix.com/360/KMI/IntelliDrive/ApplUI/Pages/CreativePages/CustomReportCreativeDetail.aspx?App=23&amp;ReportView=4&amp;Qid=1711279&amp;Row=2467&amp;Col=1","No Title Assigned - #15267402927")</f>
        <v/>
      </c>
      <c r="B2475" s="0" t="s">
        <v>3748</v>
      </c>
      <c r="C2475" s="0" t="s">
        <v>3749</v>
      </c>
      <c r="D2475" s="0" t="s">
        <v>3749</v>
      </c>
      <c r="E2475" s="0" t="inlineStr">
        <is>
          <t xml:space="preserve">Mazda</t>
        </is>
      </c>
      <c r="F2475" s="0" t="s">
        <v>28</v>
      </c>
      <c r="G2475" s="0" t="s">
        <v>29</v>
      </c>
      <c r="H2475" s="5">
        <v>303.499600</v>
      </c>
    </row>
    <row r="2476" spans="1:9">
      <c r="A2476" s="22" t="str">
        <f>HYPERLINK("https://app.vivvix.com/360/KMI/IntelliDrive/ApplUI/Pages/CreativePages/CustomReportCreativeDetail.aspx?App=23&amp;ReportView=4&amp;Qid=1711279&amp;Row=2468&amp;Col=1","No Title Assigned - #15267403155")</f>
        <v/>
      </c>
      <c r="B2476" s="0" t="s">
        <v>3750</v>
      </c>
      <c r="C2476" s="0" t="s">
        <v>3751</v>
      </c>
      <c r="D2476" s="0" t="s">
        <v>3751</v>
      </c>
      <c r="E2476" s="0" t="inlineStr">
        <is>
          <t xml:space="preserve">Mazda</t>
        </is>
      </c>
      <c r="F2476" s="0" t="s">
        <v>28</v>
      </c>
      <c r="G2476" s="0" t="s">
        <v>29</v>
      </c>
      <c r="H2476" s="5">
        <v>330.635100</v>
      </c>
    </row>
    <row r="2477" spans="1:9">
      <c r="A2477" s="22" t="str">
        <f>HYPERLINK("https://app.vivvix.com/360/KMI/IntelliDrive/ApplUI/Pages/CreativePages/CustomReportCreativeDetail.aspx?App=23&amp;ReportView=4&amp;Qid=1711279&amp;Row=2469&amp;Col=1","No Title Assigned - #15267403369")</f>
        <v/>
      </c>
      <c r="B2477" s="0" t="s">
        <v>3752</v>
      </c>
      <c r="C2477" s="0" t="s">
        <v>3753</v>
      </c>
      <c r="D2477" s="0" t="s">
        <v>3753</v>
      </c>
      <c r="E2477" s="0" t="inlineStr">
        <is>
          <t xml:space="preserve">Mazda</t>
        </is>
      </c>
      <c r="F2477" s="0" t="s">
        <v>28</v>
      </c>
      <c r="G2477" s="0" t="s">
        <v>29</v>
      </c>
      <c r="H2477" s="5">
        <v>693.304500</v>
      </c>
    </row>
    <row r="2478" spans="1:9">
      <c r="A2478" s="22" t="str">
        <f>HYPERLINK("https://app.vivvix.com/360/KMI/IntelliDrive/ApplUI/Pages/CreativePages/CustomReportCreativeDetail.aspx?App=23&amp;ReportView=4&amp;Qid=1711279&amp;Row=2470&amp;Col=1","No Title Assigned - #15267403804")</f>
        <v/>
      </c>
      <c r="B2478" s="0" t="s">
        <v>3754</v>
      </c>
      <c r="C2478" s="0" t="s">
        <v>3755</v>
      </c>
      <c r="D2478" s="0" t="s">
        <v>3755</v>
      </c>
      <c r="E2478" s="0" t="inlineStr">
        <is>
          <t xml:space="preserve">Mazda</t>
        </is>
      </c>
      <c r="F2478" s="0" t="s">
        <v>28</v>
      </c>
      <c r="G2478" s="0" t="s">
        <v>29</v>
      </c>
      <c r="H2478" s="5">
        <v>3289.923700</v>
      </c>
    </row>
    <row r="2479" spans="1:9">
      <c r="A2479" s="22" t="str">
        <f>HYPERLINK("https://app.vivvix.com/360/KMI/IntelliDrive/ApplUI/Pages/CreativePages/CustomReportCreativeDetail.aspx?App=23&amp;ReportView=4&amp;Qid=1711279&amp;Row=2471&amp;Col=1","No Title Assigned - #15267404645")</f>
        <v/>
      </c>
      <c r="B2479" s="0" t="s">
        <v>3756</v>
      </c>
      <c r="C2479" s="0" t="s">
        <v>3757</v>
      </c>
      <c r="D2479" s="0" t="s">
        <v>3757</v>
      </c>
      <c r="E2479" s="0" t="inlineStr">
        <is>
          <t xml:space="preserve">Mazda</t>
        </is>
      </c>
      <c r="F2479" s="0" t="s">
        <v>28</v>
      </c>
      <c r="G2479" s="0" t="s">
        <v>29</v>
      </c>
      <c r="H2479" s="5">
        <v>597.097400</v>
      </c>
    </row>
    <row r="2480" spans="1:9">
      <c r="A2480" s="22" t="str">
        <f>HYPERLINK("https://app.vivvix.com/360/KMI/IntelliDrive/ApplUI/Pages/CreativePages/CustomReportCreativeDetail.aspx?App=23&amp;ReportView=4&amp;Qid=1711279&amp;Row=2472&amp;Col=1","No Title Assigned - #15267404645")</f>
        <v/>
      </c>
      <c r="B2480" s="0" t="s">
        <v>3756</v>
      </c>
      <c r="E2480" s="0" t="inlineStr">
        <is>
          <t xml:space="preserve">Mazda</t>
        </is>
      </c>
      <c r="F2480" s="0" t="s">
        <v>28</v>
      </c>
      <c r="G2480" s="0" t="s">
        <v>29</v>
      </c>
      <c r="H2480" s="5">
        <v>1305.919200</v>
      </c>
    </row>
    <row r="2481" spans="1:9">
      <c r="A2481" s="22" t="str">
        <f>HYPERLINK("https://app.vivvix.com/360/KMI/IntelliDrive/ApplUI/Pages/CreativePages/CustomReportCreativeDetail.aspx?App=23&amp;ReportView=4&amp;Qid=1711279&amp;Row=2473&amp;Col=1","No Title Assigned - #15267404807")</f>
        <v/>
      </c>
      <c r="B2481" s="0" t="s">
        <v>3758</v>
      </c>
      <c r="E2481" s="0" t="inlineStr">
        <is>
          <t xml:space="preserve">Mazda</t>
        </is>
      </c>
      <c r="F2481" s="0" t="s">
        <v>28</v>
      </c>
      <c r="G2481" s="0" t="s">
        <v>29</v>
      </c>
      <c r="H2481" s="5">
        <v>120.877800</v>
      </c>
    </row>
    <row r="2482" spans="1:9">
      <c r="A2482" s="22" t="str">
        <f>HYPERLINK("https://app.vivvix.com/360/KMI/IntelliDrive/ApplUI/Pages/CreativePages/CustomReportCreativeDetail.aspx?App=23&amp;ReportView=4&amp;Qid=1711279&amp;Row=2474&amp;Col=1","No Title Assigned - #15267404807")</f>
        <v/>
      </c>
      <c r="B2482" s="0" t="s">
        <v>3758</v>
      </c>
      <c r="C2482" s="0" t="s">
        <v>3759</v>
      </c>
      <c r="D2482" s="0" t="s">
        <v>3759</v>
      </c>
      <c r="E2482" s="0" t="inlineStr">
        <is>
          <t xml:space="preserve">Mazda</t>
        </is>
      </c>
      <c r="F2482" s="0" t="s">
        <v>28</v>
      </c>
      <c r="G2482" s="0" t="s">
        <v>29</v>
      </c>
      <c r="H2482" s="5">
        <v>1544.193700</v>
      </c>
    </row>
    <row r="2483" spans="1:9">
      <c r="A2483" s="22" t="str">
        <f>HYPERLINK("https://app.vivvix.com/360/KMI/IntelliDrive/ApplUI/Pages/CreativePages/CustomReportCreativeDetail.aspx?App=23&amp;ReportView=4&amp;Qid=1711279&amp;Row=2475&amp;Col=1","No Title Assigned - #15267404990")</f>
        <v/>
      </c>
      <c r="B2483" s="0" t="s">
        <v>3760</v>
      </c>
      <c r="C2483" s="0" t="s">
        <v>3761</v>
      </c>
      <c r="D2483" s="0" t="s">
        <v>3761</v>
      </c>
      <c r="E2483" s="0" t="inlineStr">
        <is>
          <t xml:space="preserve">Mazda</t>
        </is>
      </c>
      <c r="F2483" s="0" t="s">
        <v>13</v>
      </c>
      <c r="G2483" s="0" t="s">
        <v>49</v>
      </c>
      <c r="H2483" s="5">
        <v>1507.712100</v>
      </c>
    </row>
    <row r="2484" spans="1:9">
      <c r="A2484" s="22" t="str">
        <f>HYPERLINK("https://app.vivvix.com/360/KMI/IntelliDrive/ApplUI/Pages/CreativePages/CustomReportCreativeDetail.aspx?App=23&amp;ReportView=4&amp;Qid=1711279&amp;Row=2476&amp;Col=1","No Title Assigned - #15267405710")</f>
        <v/>
      </c>
      <c r="B2484" s="0" t="s">
        <v>3762</v>
      </c>
      <c r="C2484" s="0" t="s">
        <v>3763</v>
      </c>
      <c r="D2484" s="0" t="s">
        <v>3763</v>
      </c>
      <c r="E2484" s="0" t="inlineStr">
        <is>
          <t xml:space="preserve">Mazda</t>
        </is>
      </c>
      <c r="F2484" s="0" t="inlineStr">
        <is>
          <t xml:space="preserve">Mazda</t>
        </is>
      </c>
      <c r="G2484" s="0" t="s">
        <v>171</v>
      </c>
      <c r="H2484" s="5">
        <v>19.353700</v>
      </c>
    </row>
    <row r="2485" spans="1:9">
      <c r="A2485" s="22" t="str">
        <f>HYPERLINK("https://app.vivvix.com/360/KMI/IntelliDrive/ApplUI/Pages/CreativePages/CustomReportCreativeDetail.aspx?App=23&amp;ReportView=4&amp;Qid=1711279&amp;Row=2477&amp;Col=1","No Title Assigned - #15267407559")</f>
        <v/>
      </c>
      <c r="B2485" s="0" t="s">
        <v>3764</v>
      </c>
      <c r="C2485" s="0" t="s">
        <v>3765</v>
      </c>
      <c r="D2485" s="0" t="s">
        <v>3765</v>
      </c>
      <c r="E2485" s="0" t="inlineStr">
        <is>
          <t xml:space="preserve">Mazda</t>
        </is>
      </c>
      <c r="F2485" s="0" t="s">
        <v>28</v>
      </c>
      <c r="G2485" s="0" t="s">
        <v>29</v>
      </c>
      <c r="H2485" s="5">
        <v>288.737400</v>
      </c>
    </row>
    <row r="2486" spans="1:9">
      <c r="A2486" s="22" t="str">
        <f>HYPERLINK("https://app.vivvix.com/360/KMI/IntelliDrive/ApplUI/Pages/CreativePages/CustomReportCreativeDetail.aspx?App=23&amp;ReportView=4&amp;Qid=1711279&amp;Row=2478&amp;Col=1","No Title Assigned - #15267407690")</f>
        <v/>
      </c>
      <c r="B2486" s="0" t="s">
        <v>3766</v>
      </c>
      <c r="C2486" s="0" t="s">
        <v>3767</v>
      </c>
      <c r="D2486" s="0" t="s">
        <v>3767</v>
      </c>
      <c r="E2486" s="0" t="inlineStr">
        <is>
          <t xml:space="preserve">Mazda</t>
        </is>
      </c>
      <c r="F2486" s="0" t="s">
        <v>28</v>
      </c>
      <c r="G2486" s="0" t="s">
        <v>29</v>
      </c>
      <c r="H2486" s="5">
        <v>90.979600</v>
      </c>
    </row>
    <row r="2487" spans="1:9">
      <c r="A2487" s="22" t="str">
        <f>HYPERLINK("https://app.vivvix.com/360/KMI/IntelliDrive/ApplUI/Pages/CreativePages/CustomReportCreativeDetail.aspx?App=23&amp;ReportView=4&amp;Qid=1711279&amp;Row=2479&amp;Col=1","No Title Assigned - #15267407690")</f>
        <v/>
      </c>
      <c r="B2487" s="0" t="s">
        <v>3766</v>
      </c>
      <c r="E2487" s="0" t="inlineStr">
        <is>
          <t xml:space="preserve">Mazda</t>
        </is>
      </c>
      <c r="F2487" s="0" t="s">
        <v>28</v>
      </c>
      <c r="G2487" s="0" t="s">
        <v>29</v>
      </c>
      <c r="H2487" s="5">
        <v>154.846200</v>
      </c>
    </row>
    <row r="2488" spans="1:9">
      <c r="A2488" s="22" t="str">
        <f>HYPERLINK("https://app.vivvix.com/360/KMI/IntelliDrive/ApplUI/Pages/CreativePages/CustomReportCreativeDetail.aspx?App=23&amp;ReportView=4&amp;Qid=1711279&amp;Row=2480&amp;Col=1","No Title Assigned - #15267407916")</f>
        <v/>
      </c>
      <c r="B2488" s="0" t="s">
        <v>3768</v>
      </c>
      <c r="C2488" s="0" t="s">
        <v>3769</v>
      </c>
      <c r="D2488" s="0" t="s">
        <v>3769</v>
      </c>
      <c r="E2488" s="0" t="inlineStr">
        <is>
          <t xml:space="preserve">Mazda</t>
        </is>
      </c>
      <c r="F2488" s="0" t="s">
        <v>28</v>
      </c>
      <c r="G2488" s="0" t="s">
        <v>29</v>
      </c>
      <c r="H2488" s="5">
        <v>154.846200</v>
      </c>
    </row>
    <row r="2489" spans="1:9">
      <c r="A2489" s="22" t="str">
        <f>HYPERLINK("https://app.vivvix.com/360/KMI/IntelliDrive/ApplUI/Pages/CreativePages/CustomReportCreativeDetail.aspx?App=23&amp;ReportView=4&amp;Qid=1711279&amp;Row=2481&amp;Col=1","No Title Assigned - #15267407973")</f>
        <v/>
      </c>
      <c r="B2489" s="0" t="s">
        <v>3770</v>
      </c>
      <c r="C2489" s="0" t="s">
        <v>3771</v>
      </c>
      <c r="D2489" s="0" t="s">
        <v>3771</v>
      </c>
      <c r="E2489" s="0" t="inlineStr">
        <is>
          <t xml:space="preserve">Mazda</t>
        </is>
      </c>
      <c r="F2489" s="0" t="s">
        <v>28</v>
      </c>
      <c r="G2489" s="0" t="s">
        <v>29</v>
      </c>
      <c r="H2489" s="5">
        <v>276.732500</v>
      </c>
    </row>
    <row r="2490" spans="1:9">
      <c r="A2490" s="22" t="str">
        <f>HYPERLINK("https://app.vivvix.com/360/KMI/IntelliDrive/ApplUI/Pages/CreativePages/CustomReportCreativeDetail.aspx?App=23&amp;ReportView=4&amp;Qid=1711279&amp;Row=2482&amp;Col=1","No Title Assigned - #15267408086")</f>
        <v/>
      </c>
      <c r="B2490" s="0" t="s">
        <v>3772</v>
      </c>
      <c r="C2490" s="0" t="s">
        <v>3773</v>
      </c>
      <c r="D2490" s="0" t="s">
        <v>3773</v>
      </c>
      <c r="E2490" s="0" t="inlineStr">
        <is>
          <t xml:space="preserve">Mazda</t>
        </is>
      </c>
      <c r="F2490" s="0" t="s">
        <v>13</v>
      </c>
      <c r="G2490" s="0" t="s">
        <v>49</v>
      </c>
      <c r="H2490" s="5">
        <v>2592.777700</v>
      </c>
    </row>
    <row r="2491" spans="1:9">
      <c r="A2491" s="22" t="str">
        <f>HYPERLINK("https://app.vivvix.com/360/KMI/IntelliDrive/ApplUI/Pages/CreativePages/CustomReportCreativeDetail.aspx?App=23&amp;ReportView=4&amp;Qid=1711279&amp;Row=2483&amp;Col=1","No Title Assigned - #15267408296")</f>
        <v/>
      </c>
      <c r="B2491" s="0" t="s">
        <v>3774</v>
      </c>
      <c r="C2491" s="0" t="s">
        <v>3775</v>
      </c>
      <c r="D2491" s="0" t="s">
        <v>3775</v>
      </c>
      <c r="E2491" s="0" t="inlineStr">
        <is>
          <t xml:space="preserve">Mazda</t>
        </is>
      </c>
      <c r="F2491" s="0" t="inlineStr">
        <is>
          <t xml:space="preserve">Mazda</t>
        </is>
      </c>
      <c r="G2491" s="0" t="s">
        <v>210</v>
      </c>
      <c r="H2491" s="5">
        <v>5616.168100</v>
      </c>
    </row>
    <row r="2492" spans="1:9">
      <c r="A2492" s="22" t="str">
        <f>HYPERLINK("https://app.vivvix.com/360/KMI/IntelliDrive/ApplUI/Pages/CreativePages/CustomReportCreativeDetail.aspx?App=23&amp;ReportView=4&amp;Qid=1711279&amp;Row=2484&amp;Col=1","No Title Assigned - #15267408376")</f>
        <v/>
      </c>
      <c r="B2492" s="0" t="s">
        <v>3776</v>
      </c>
      <c r="C2492" s="0" t="s">
        <v>3777</v>
      </c>
      <c r="D2492" s="0" t="s">
        <v>3777</v>
      </c>
      <c r="E2492" s="0" t="inlineStr">
        <is>
          <t xml:space="preserve">Mazda</t>
        </is>
      </c>
      <c r="F2492" s="0" t="s">
        <v>28</v>
      </c>
      <c r="G2492" s="0" t="s">
        <v>29</v>
      </c>
      <c r="H2492" s="5">
        <v>1903.146900</v>
      </c>
    </row>
    <row r="2493" spans="1:9">
      <c r="A2493" s="22" t="str">
        <f>HYPERLINK("https://app.vivvix.com/360/KMI/IntelliDrive/ApplUI/Pages/CreativePages/CustomReportCreativeDetail.aspx?App=23&amp;ReportView=4&amp;Qid=1711279&amp;Row=2485&amp;Col=1","No Title Assigned - #15267408376")</f>
        <v/>
      </c>
      <c r="B2493" s="0" t="s">
        <v>3776</v>
      </c>
      <c r="E2493" s="0" t="inlineStr">
        <is>
          <t xml:space="preserve">Mazda</t>
        </is>
      </c>
      <c r="F2493" s="0" t="s">
        <v>28</v>
      </c>
      <c r="G2493" s="0" t="s">
        <v>29</v>
      </c>
      <c r="H2493" s="5">
        <v>1132.518200</v>
      </c>
    </row>
    <row r="2494" spans="1:9">
      <c r="A2494" s="22" t="str">
        <f>HYPERLINK("https://app.vivvix.com/360/KMI/IntelliDrive/ApplUI/Pages/CreativePages/CustomReportCreativeDetail.aspx?App=23&amp;ReportView=4&amp;Qid=1711279&amp;Row=2486&amp;Col=1","No Title Assigned - #15267408622")</f>
        <v/>
      </c>
      <c r="B2494" s="0" t="s">
        <v>3778</v>
      </c>
      <c r="C2494" s="0" t="s">
        <v>3779</v>
      </c>
      <c r="D2494" s="0" t="s">
        <v>3779</v>
      </c>
      <c r="E2494" s="0" t="inlineStr">
        <is>
          <t xml:space="preserve">Mazda</t>
        </is>
      </c>
      <c r="F2494" s="0" t="s">
        <v>28</v>
      </c>
      <c r="G2494" s="0" t="s">
        <v>29</v>
      </c>
      <c r="H2494" s="5">
        <v>223.366700</v>
      </c>
    </row>
    <row r="2495" spans="1:9">
      <c r="A2495" s="22" t="str">
        <f>HYPERLINK("https://app.vivvix.com/360/KMI/IntelliDrive/ApplUI/Pages/CreativePages/CustomReportCreativeDetail.aspx?App=23&amp;ReportView=4&amp;Qid=1711279&amp;Row=2487&amp;Col=1","No Title Assigned - #15267408750")</f>
        <v/>
      </c>
      <c r="B2495" s="0" t="s">
        <v>3780</v>
      </c>
      <c r="C2495" s="0" t="s">
        <v>3781</v>
      </c>
      <c r="D2495" s="0" t="s">
        <v>3781</v>
      </c>
      <c r="E2495" s="0" t="inlineStr">
        <is>
          <t xml:space="preserve">Mazda</t>
        </is>
      </c>
      <c r="F2495" s="0" t="s">
        <v>28</v>
      </c>
      <c r="G2495" s="0" t="s">
        <v>29</v>
      </c>
      <c r="H2495" s="5">
        <v>721.999800</v>
      </c>
    </row>
    <row r="2496" spans="1:9">
      <c r="A2496" s="22" t="str">
        <f>HYPERLINK("https://app.vivvix.com/360/KMI/IntelliDrive/ApplUI/Pages/CreativePages/CustomReportCreativeDetail.aspx?App=23&amp;ReportView=4&amp;Qid=1711279&amp;Row=2488&amp;Col=1","No Title Assigned - #15267408750")</f>
        <v/>
      </c>
      <c r="B2496" s="0" t="s">
        <v>3780</v>
      </c>
      <c r="E2496" s="0" t="inlineStr">
        <is>
          <t xml:space="preserve">Mazda</t>
        </is>
      </c>
      <c r="F2496" s="0" t="s">
        <v>28</v>
      </c>
      <c r="G2496" s="0" t="s">
        <v>29</v>
      </c>
      <c r="H2496" s="5">
        <v>1172.791500</v>
      </c>
    </row>
    <row r="2497" spans="1:9">
      <c r="A2497" s="22" t="str">
        <f>HYPERLINK("https://app.vivvix.com/360/KMI/IntelliDrive/ApplUI/Pages/CreativePages/CustomReportCreativeDetail.aspx?App=23&amp;ReportView=4&amp;Qid=1711279&amp;Row=2489&amp;Col=1","No Title Assigned - #15267408950")</f>
        <v/>
      </c>
      <c r="B2497" s="0" t="s">
        <v>3782</v>
      </c>
      <c r="C2497" s="0" t="s">
        <v>3783</v>
      </c>
      <c r="D2497" s="0" t="s">
        <v>3783</v>
      </c>
      <c r="E2497" s="0" t="inlineStr">
        <is>
          <t xml:space="preserve">Mazda</t>
        </is>
      </c>
      <c r="F2497" s="0" t="s">
        <v>28</v>
      </c>
      <c r="G2497" s="0" t="s">
        <v>29</v>
      </c>
      <c r="H2497" s="5">
        <v>223.366700</v>
      </c>
    </row>
    <row r="2498" spans="1:9">
      <c r="A2498" s="22" t="str">
        <f>HYPERLINK("https://app.vivvix.com/360/KMI/IntelliDrive/ApplUI/Pages/CreativePages/CustomReportCreativeDetail.aspx?App=23&amp;ReportView=4&amp;Qid=1711279&amp;Row=2490&amp;Col=1","No Title Assigned - #15267409220")</f>
        <v/>
      </c>
      <c r="B2498" s="0" t="s">
        <v>3784</v>
      </c>
      <c r="C2498" s="0" t="s">
        <v>3785</v>
      </c>
      <c r="D2498" s="0" t="s">
        <v>3785</v>
      </c>
      <c r="E2498" s="0" t="inlineStr">
        <is>
          <t xml:space="preserve">Mazda</t>
        </is>
      </c>
      <c r="F2498" s="0" t="s">
        <v>28</v>
      </c>
      <c r="G2498" s="0" t="s">
        <v>29</v>
      </c>
      <c r="H2498" s="5">
        <v>359.851100</v>
      </c>
    </row>
    <row r="2499" spans="1:9">
      <c r="A2499" s="22" t="str">
        <f>HYPERLINK("https://app.vivvix.com/360/KMI/IntelliDrive/ApplUI/Pages/CreativePages/CustomReportCreativeDetail.aspx?App=23&amp;ReportView=4&amp;Qid=1711279&amp;Row=2491&amp;Col=1","No Title Assigned - #15267409222")</f>
        <v/>
      </c>
      <c r="B2499" s="0" t="s">
        <v>3786</v>
      </c>
      <c r="C2499" s="0" t="s">
        <v>3787</v>
      </c>
      <c r="D2499" s="0" t="s">
        <v>3787</v>
      </c>
      <c r="E2499" s="0" t="inlineStr">
        <is>
          <t xml:space="preserve">Mazda</t>
        </is>
      </c>
      <c r="F2499" s="0" t="s">
        <v>28</v>
      </c>
      <c r="G2499" s="0" t="s">
        <v>29</v>
      </c>
      <c r="H2499" s="5">
        <v>587.764000</v>
      </c>
    </row>
    <row r="2500" spans="1:9">
      <c r="A2500" s="22" t="str">
        <f>HYPERLINK("https://app.vivvix.com/360/KMI/IntelliDrive/ApplUI/Pages/CreativePages/CustomReportCreativeDetail.aspx?App=23&amp;ReportView=4&amp;Qid=1711279&amp;Row=2492&amp;Col=1","No Title Assigned - #15267409273")</f>
        <v/>
      </c>
      <c r="B2500" s="0" t="s">
        <v>3788</v>
      </c>
      <c r="C2500" s="0" t="s">
        <v>3789</v>
      </c>
      <c r="D2500" s="0" t="s">
        <v>3789</v>
      </c>
      <c r="E2500" s="0" t="inlineStr">
        <is>
          <t xml:space="preserve">Mazda</t>
        </is>
      </c>
      <c r="F2500" s="0" t="s">
        <v>28</v>
      </c>
      <c r="G2500" s="0" t="s">
        <v>29</v>
      </c>
      <c r="H2500" s="5">
        <v>82.582600</v>
      </c>
    </row>
    <row r="2501" spans="1:9">
      <c r="A2501" s="22" t="str">
        <f>HYPERLINK("https://app.vivvix.com/360/KMI/IntelliDrive/ApplUI/Pages/CreativePages/CustomReportCreativeDetail.aspx?App=23&amp;ReportView=4&amp;Qid=1711279&amp;Row=2493&amp;Col=1","No Title Assigned - #15267409841")</f>
        <v/>
      </c>
      <c r="B2501" s="0" t="s">
        <v>3790</v>
      </c>
      <c r="C2501" s="0" t="s">
        <v>3791</v>
      </c>
      <c r="D2501" s="0" t="s">
        <v>3791</v>
      </c>
      <c r="E2501" s="0" t="inlineStr">
        <is>
          <t xml:space="preserve">Mazda</t>
        </is>
      </c>
      <c r="F2501" s="0" t="s">
        <v>28</v>
      </c>
      <c r="G2501" s="0" t="s">
        <v>29</v>
      </c>
      <c r="H2501" s="5">
        <v>1915.168900</v>
      </c>
    </row>
    <row r="2502" spans="1:9">
      <c r="A2502" s="22" t="str">
        <f>HYPERLINK("https://app.vivvix.com/360/KMI/IntelliDrive/ApplUI/Pages/CreativePages/CustomReportCreativeDetail.aspx?App=23&amp;ReportView=4&amp;Qid=1711279&amp;Row=2494&amp;Col=1","No Title Assigned - #15267409969")</f>
        <v/>
      </c>
      <c r="B2502" s="0" t="s">
        <v>3792</v>
      </c>
      <c r="C2502" s="0" t="s">
        <v>3793</v>
      </c>
      <c r="D2502" s="0" t="s">
        <v>3793</v>
      </c>
      <c r="E2502" s="0" t="inlineStr">
        <is>
          <t xml:space="preserve">Mazda</t>
        </is>
      </c>
      <c r="F2502" s="0" t="s">
        <v>28</v>
      </c>
      <c r="G2502" s="0" t="s">
        <v>29</v>
      </c>
      <c r="H2502" s="5">
        <v>9398.798700</v>
      </c>
    </row>
    <row r="2503" spans="1:9">
      <c r="A2503" s="22" t="str">
        <f>HYPERLINK("https://app.vivvix.com/360/KMI/IntelliDrive/ApplUI/Pages/CreativePages/CustomReportCreativeDetail.aspx?App=23&amp;ReportView=4&amp;Qid=1711279&amp;Row=2495&amp;Col=1","No Title Assigned - #15267410276")</f>
        <v/>
      </c>
      <c r="B2503" s="0" t="s">
        <v>3794</v>
      </c>
      <c r="C2503" s="0" t="s">
        <v>3795</v>
      </c>
      <c r="D2503" s="0" t="s">
        <v>3795</v>
      </c>
      <c r="E2503" s="0" t="inlineStr">
        <is>
          <t xml:space="preserve">Mazda</t>
        </is>
      </c>
      <c r="F2503" s="0" t="s">
        <v>28</v>
      </c>
      <c r="G2503" s="0" t="s">
        <v>29</v>
      </c>
      <c r="H2503" s="5">
        <v>144.049800</v>
      </c>
    </row>
    <row r="2504" spans="1:9">
      <c r="A2504" s="22" t="str">
        <f>HYPERLINK("https://app.vivvix.com/360/KMI/IntelliDrive/ApplUI/Pages/CreativePages/CustomReportCreativeDetail.aspx?App=23&amp;ReportView=4&amp;Qid=1711279&amp;Row=2496&amp;Col=1","No Title Assigned - #15267410772")</f>
        <v/>
      </c>
      <c r="B2504" s="0" t="s">
        <v>3796</v>
      </c>
      <c r="C2504" s="0" t="s">
        <v>3797</v>
      </c>
      <c r="D2504" s="0" t="s">
        <v>3797</v>
      </c>
      <c r="E2504" s="0" t="inlineStr">
        <is>
          <t xml:space="preserve">Mazda</t>
        </is>
      </c>
      <c r="F2504" s="0" t="s">
        <v>28</v>
      </c>
      <c r="G2504" s="0" t="s">
        <v>29</v>
      </c>
      <c r="H2504" s="5">
        <v>1383.989600</v>
      </c>
    </row>
    <row r="2505" spans="1:9">
      <c r="A2505" s="22" t="str">
        <f>HYPERLINK("https://app.vivvix.com/360/KMI/IntelliDrive/ApplUI/Pages/CreativePages/CustomReportCreativeDetail.aspx?App=23&amp;ReportView=4&amp;Qid=1711279&amp;Row=2497&amp;Col=1","No Title Assigned - #15267410772")</f>
        <v/>
      </c>
      <c r="B2505" s="0" t="s">
        <v>3796</v>
      </c>
      <c r="E2505" s="0" t="inlineStr">
        <is>
          <t xml:space="preserve">Mazda</t>
        </is>
      </c>
      <c r="F2505" s="0" t="s">
        <v>28</v>
      </c>
      <c r="G2505" s="0" t="s">
        <v>29</v>
      </c>
      <c r="H2505" s="5">
        <v>1097.631300</v>
      </c>
    </row>
    <row r="2506" spans="1:9">
      <c r="A2506" s="22" t="str">
        <f>HYPERLINK("https://app.vivvix.com/360/KMI/IntelliDrive/ApplUI/Pages/CreativePages/CustomReportCreativeDetail.aspx?App=23&amp;ReportView=4&amp;Qid=1711279&amp;Row=2498&amp;Col=1","No Title Assigned - #15267411349")</f>
        <v/>
      </c>
      <c r="B2506" s="0" t="s">
        <v>3798</v>
      </c>
      <c r="C2506" s="0" t="s">
        <v>3799</v>
      </c>
      <c r="D2506" s="0" t="s">
        <v>3799</v>
      </c>
      <c r="E2506" s="0" t="inlineStr">
        <is>
          <t xml:space="preserve">Mazda</t>
        </is>
      </c>
      <c r="F2506" s="0" t="s">
        <v>28</v>
      </c>
      <c r="G2506" s="0" t="s">
        <v>29</v>
      </c>
      <c r="H2506" s="5">
        <v>845.425300</v>
      </c>
    </row>
    <row r="2507" spans="1:9">
      <c r="A2507" s="22" t="str">
        <f>HYPERLINK("https://app.vivvix.com/360/KMI/IntelliDrive/ApplUI/Pages/CreativePages/CustomReportCreativeDetail.aspx?App=23&amp;ReportView=4&amp;Qid=1711279&amp;Row=2499&amp;Col=1","No Title Assigned - #15267411349")</f>
        <v/>
      </c>
      <c r="B2507" s="0" t="s">
        <v>3798</v>
      </c>
      <c r="E2507" s="0" t="inlineStr">
        <is>
          <t xml:space="preserve">Mazda</t>
        </is>
      </c>
      <c r="F2507" s="0" t="s">
        <v>28</v>
      </c>
      <c r="G2507" s="0" t="s">
        <v>29</v>
      </c>
      <c r="H2507" s="5">
        <v>115.883800</v>
      </c>
    </row>
    <row r="2508" spans="1:9">
      <c r="A2508" s="22" t="str">
        <f>HYPERLINK("https://app.vivvix.com/360/KMI/IntelliDrive/ApplUI/Pages/CreativePages/CustomReportCreativeDetail.aspx?App=23&amp;ReportView=4&amp;Qid=1711279&amp;Row=2500&amp;Col=1","No Title Assigned - #15267412609")</f>
        <v/>
      </c>
      <c r="B2508" s="0" t="s">
        <v>3800</v>
      </c>
      <c r="C2508" s="0" t="s">
        <v>3801</v>
      </c>
      <c r="D2508" s="0" t="s">
        <v>3801</v>
      </c>
      <c r="E2508" s="0" t="inlineStr">
        <is>
          <t xml:space="preserve">Mazda</t>
        </is>
      </c>
      <c r="F2508" s="0" t="s">
        <v>28</v>
      </c>
      <c r="G2508" s="0" t="s">
        <v>29</v>
      </c>
      <c r="H2508" s="5">
        <v>6818.266300</v>
      </c>
    </row>
    <row r="2509" spans="1:9">
      <c r="A2509" s="22" t="str">
        <f>HYPERLINK("https://app.vivvix.com/360/KMI/IntelliDrive/ApplUI/Pages/CreativePages/CustomReportCreativeDetail.aspx?App=23&amp;ReportView=4&amp;Qid=1711279&amp;Row=2501&amp;Col=1","No Title Assigned - #15267413639")</f>
        <v/>
      </c>
      <c r="B2509" s="0" t="s">
        <v>3802</v>
      </c>
      <c r="E2509" s="0" t="inlineStr">
        <is>
          <t xml:space="preserve">Mazda</t>
        </is>
      </c>
      <c r="F2509" s="0" t="inlineStr">
        <is>
          <t xml:space="preserve">Mazda</t>
        </is>
      </c>
      <c r="G2509" s="0" t="s">
        <v>171</v>
      </c>
      <c r="H2509" s="5">
        <v>174.357700</v>
      </c>
    </row>
    <row r="2510" spans="1:9">
      <c r="A2510" s="22" t="str">
        <f>HYPERLINK("https://app.vivvix.com/360/KMI/IntelliDrive/ApplUI/Pages/CreativePages/CustomReportCreativeDetail.aspx?App=23&amp;ReportView=4&amp;Qid=1711279&amp;Row=2502&amp;Col=1","No Title Assigned - #15267414001")</f>
        <v/>
      </c>
      <c r="B2510" s="0" t="s">
        <v>3803</v>
      </c>
      <c r="E2510" s="0" t="inlineStr">
        <is>
          <t xml:space="preserve">Mazda</t>
        </is>
      </c>
      <c r="F2510" s="0" t="inlineStr">
        <is>
          <t xml:space="preserve">Mazda</t>
        </is>
      </c>
      <c r="G2510" s="0" t="s">
        <v>171</v>
      </c>
      <c r="H2510" s="5">
        <v>618.351000</v>
      </c>
    </row>
    <row r="2511" spans="1:9">
      <c r="A2511" s="22" t="str">
        <f>HYPERLINK("https://app.vivvix.com/360/KMI/IntelliDrive/ApplUI/Pages/CreativePages/CustomReportCreativeDetail.aspx?App=23&amp;ReportView=4&amp;Qid=1711279&amp;Row=2503&amp;Col=1","No Title Assigned - #15267416127")</f>
        <v/>
      </c>
      <c r="B2511" s="0" t="s">
        <v>3804</v>
      </c>
      <c r="E2511" s="0" t="inlineStr">
        <is>
          <t xml:space="preserve">Mazda</t>
        </is>
      </c>
      <c r="F2511" s="0" t="s">
        <v>28</v>
      </c>
      <c r="G2511" s="0" t="s">
        <v>29</v>
      </c>
      <c r="H2511" s="5">
        <v>5894.637600</v>
      </c>
    </row>
    <row r="2512" spans="1:9">
      <c r="A2512" s="22" t="str">
        <f>HYPERLINK("https://app.vivvix.com/360/KMI/IntelliDrive/ApplUI/Pages/CreativePages/CustomReportCreativeDetail.aspx?App=23&amp;ReportView=4&amp;Qid=1711279&amp;Row=2504&amp;Col=1","No Title Assigned - #15267416127")</f>
        <v/>
      </c>
      <c r="B2512" s="0" t="s">
        <v>3804</v>
      </c>
      <c r="C2512" s="0" t="s">
        <v>3805</v>
      </c>
      <c r="D2512" s="0" t="s">
        <v>3805</v>
      </c>
      <c r="E2512" s="0" t="inlineStr">
        <is>
          <t xml:space="preserve">Mazda</t>
        </is>
      </c>
      <c r="F2512" s="0" t="s">
        <v>28</v>
      </c>
      <c r="G2512" s="0" t="s">
        <v>29</v>
      </c>
      <c r="H2512" s="5">
        <v>12379.761000</v>
      </c>
    </row>
    <row r="2513" spans="1:9">
      <c r="A2513" s="22" t="str">
        <f>HYPERLINK("https://app.vivvix.com/360/KMI/IntelliDrive/ApplUI/Pages/CreativePages/CustomReportCreativeDetail.aspx?App=23&amp;ReportView=4&amp;Qid=1711279&amp;Row=2505&amp;Col=1","No Title Assigned - #15267416927")</f>
        <v/>
      </c>
      <c r="B2513" s="0" t="s">
        <v>3806</v>
      </c>
      <c r="C2513" s="0" t="s">
        <v>3807</v>
      </c>
      <c r="D2513" s="0" t="s">
        <v>3807</v>
      </c>
      <c r="E2513" s="0" t="inlineStr">
        <is>
          <t xml:space="preserve">Mazda</t>
        </is>
      </c>
      <c r="F2513" s="0" t="s">
        <v>28</v>
      </c>
      <c r="G2513" s="0" t="s">
        <v>29</v>
      </c>
      <c r="H2513" s="5">
        <v>68.653100</v>
      </c>
    </row>
    <row r="2514" spans="1:9">
      <c r="A2514" s="22" t="str">
        <f>HYPERLINK("https://app.vivvix.com/360/KMI/IntelliDrive/ApplUI/Pages/CreativePages/CustomReportCreativeDetail.aspx?App=23&amp;ReportView=4&amp;Qid=1711279&amp;Row=2506&amp;Col=1","No Title Assigned - #15267418137")</f>
        <v/>
      </c>
      <c r="B2514" s="0" t="s">
        <v>3808</v>
      </c>
      <c r="C2514" s="0" t="s">
        <v>3809</v>
      </c>
      <c r="D2514" s="0" t="s">
        <v>3809</v>
      </c>
      <c r="E2514" s="0" t="inlineStr">
        <is>
          <t xml:space="preserve">Mazda</t>
        </is>
      </c>
      <c r="F2514" s="0" t="s">
        <v>21</v>
      </c>
      <c r="G2514" s="0" t="s">
        <v>22</v>
      </c>
      <c r="H2514" s="5">
        <v>1933.373700</v>
      </c>
    </row>
    <row r="2515" spans="1:9">
      <c r="A2515" s="22" t="str">
        <f>HYPERLINK("https://app.vivvix.com/360/KMI/IntelliDrive/ApplUI/Pages/CreativePages/CustomReportCreativeDetail.aspx?App=23&amp;ReportView=4&amp;Qid=1711279&amp;Row=2507&amp;Col=1","No Title Assigned - #15267418290")</f>
        <v/>
      </c>
      <c r="B2515" s="0" t="s">
        <v>3810</v>
      </c>
      <c r="C2515" s="0" t="s">
        <v>3811</v>
      </c>
      <c r="D2515" s="0" t="s">
        <v>3811</v>
      </c>
      <c r="E2515" s="0" t="inlineStr">
        <is>
          <t xml:space="preserve">Mazda</t>
        </is>
      </c>
      <c r="F2515" s="0" t="s">
        <v>56</v>
      </c>
      <c r="G2515" s="0" t="s">
        <v>57</v>
      </c>
      <c r="H2515" s="5">
        <v>626.014200</v>
      </c>
    </row>
    <row r="2516" spans="1:9">
      <c r="A2516" s="22" t="str">
        <f>HYPERLINK("https://app.vivvix.com/360/KMI/IntelliDrive/ApplUI/Pages/CreativePages/CustomReportCreativeDetail.aspx?App=23&amp;ReportView=4&amp;Qid=1711279&amp;Row=2508&amp;Col=1","No Title Assigned - #15267418989")</f>
        <v/>
      </c>
      <c r="B2516" s="0" t="s">
        <v>3812</v>
      </c>
      <c r="C2516" s="0" t="s">
        <v>3813</v>
      </c>
      <c r="D2516" s="0" t="s">
        <v>3813</v>
      </c>
      <c r="E2516" s="0" t="inlineStr">
        <is>
          <t xml:space="preserve">Mazda</t>
        </is>
      </c>
      <c r="F2516" s="0" t="s">
        <v>28</v>
      </c>
      <c r="G2516" s="0" t="s">
        <v>29</v>
      </c>
      <c r="H2516" s="5">
        <v>1955.934200</v>
      </c>
    </row>
    <row r="2517" spans="1:9">
      <c r="A2517" s="22" t="str">
        <f>HYPERLINK("https://app.vivvix.com/360/KMI/IntelliDrive/ApplUI/Pages/CreativePages/CustomReportCreativeDetail.aspx?App=23&amp;ReportView=4&amp;Qid=1711279&amp;Row=2509&amp;Col=1","No Title Assigned - #15267422224")</f>
        <v/>
      </c>
      <c r="B2517" s="0" t="s">
        <v>3814</v>
      </c>
      <c r="C2517" s="0" t="s">
        <v>3815</v>
      </c>
      <c r="D2517" s="0" t="s">
        <v>3815</v>
      </c>
      <c r="E2517" s="0" t="inlineStr">
        <is>
          <t xml:space="preserve">Mazda</t>
        </is>
      </c>
      <c r="F2517" s="0" t="s">
        <v>28</v>
      </c>
      <c r="G2517" s="0" t="s">
        <v>29</v>
      </c>
      <c r="H2517" s="5">
        <v>779.567500</v>
      </c>
    </row>
    <row r="2518" spans="1:9">
      <c r="A2518" s="22" t="str">
        <f>HYPERLINK("https://app.vivvix.com/360/KMI/IntelliDrive/ApplUI/Pages/CreativePages/CustomReportCreativeDetail.aspx?App=23&amp;ReportView=4&amp;Qid=1711279&amp;Row=2510&amp;Col=1","No Title Assigned - #15267422224")</f>
        <v/>
      </c>
      <c r="B2518" s="0" t="s">
        <v>3814</v>
      </c>
      <c r="E2518" s="0" t="inlineStr">
        <is>
          <t xml:space="preserve">Mazda</t>
        </is>
      </c>
      <c r="F2518" s="0" t="s">
        <v>28</v>
      </c>
      <c r="G2518" s="0" t="s">
        <v>29</v>
      </c>
      <c r="H2518" s="5">
        <v>32.397700</v>
      </c>
    </row>
    <row r="2519" spans="1:9">
      <c r="A2519" s="22" t="str">
        <f>HYPERLINK("https://app.vivvix.com/360/KMI/IntelliDrive/ApplUI/Pages/CreativePages/CustomReportCreativeDetail.aspx?App=23&amp;ReportView=4&amp;Qid=1711279&amp;Row=2511&amp;Col=1","No Title Assigned - #15267422434")</f>
        <v/>
      </c>
      <c r="B2519" s="0" t="s">
        <v>3816</v>
      </c>
      <c r="C2519" s="0" t="s">
        <v>3817</v>
      </c>
      <c r="D2519" s="0" t="s">
        <v>3817</v>
      </c>
      <c r="E2519" s="0" t="inlineStr">
        <is>
          <t xml:space="preserve">Mazda</t>
        </is>
      </c>
      <c r="F2519" s="0" t="s">
        <v>28</v>
      </c>
      <c r="G2519" s="0" t="s">
        <v>29</v>
      </c>
      <c r="H2519" s="5">
        <v>4632.581100</v>
      </c>
    </row>
    <row r="2520" spans="1:9">
      <c r="A2520" s="22" t="str">
        <f>HYPERLINK("https://app.vivvix.com/360/KMI/IntelliDrive/ApplUI/Pages/CreativePages/CustomReportCreativeDetail.aspx?App=23&amp;ReportView=4&amp;Qid=1711279&amp;Row=2512&amp;Col=1","No Title Assigned - #15267422434")</f>
        <v/>
      </c>
      <c r="B2520" s="0" t="s">
        <v>3816</v>
      </c>
      <c r="E2520" s="0" t="inlineStr">
        <is>
          <t xml:space="preserve">Mazda</t>
        </is>
      </c>
      <c r="F2520" s="0" t="s">
        <v>28</v>
      </c>
      <c r="G2520" s="0" t="s">
        <v>29</v>
      </c>
      <c r="H2520" s="5">
        <v>241.755600</v>
      </c>
    </row>
    <row r="2521" spans="1:9">
      <c r="A2521" s="22" t="str">
        <f>HYPERLINK("https://app.vivvix.com/360/KMI/IntelliDrive/ApplUI/Pages/CreativePages/CustomReportCreativeDetail.aspx?App=23&amp;ReportView=4&amp;Qid=1711279&amp;Row=2513&amp;Col=1","No Title Assigned - #15267422954")</f>
        <v/>
      </c>
      <c r="B2521" s="0" t="s">
        <v>3818</v>
      </c>
      <c r="C2521" s="0" t="s">
        <v>3819</v>
      </c>
      <c r="D2521" s="0" t="s">
        <v>3819</v>
      </c>
      <c r="E2521" s="0" t="inlineStr">
        <is>
          <t xml:space="preserve">Mazda</t>
        </is>
      </c>
      <c r="F2521" s="0" t="s">
        <v>28</v>
      </c>
      <c r="G2521" s="0" t="s">
        <v>29</v>
      </c>
      <c r="H2521" s="5">
        <v>448.431200</v>
      </c>
    </row>
    <row r="2522" spans="1:9">
      <c r="A2522" s="22" t="str">
        <f>HYPERLINK("https://app.vivvix.com/360/KMI/IntelliDrive/ApplUI/Pages/CreativePages/CustomReportCreativeDetail.aspx?App=23&amp;ReportView=4&amp;Qid=1711279&amp;Row=2514&amp;Col=1","No Title Assigned - #15267422954")</f>
        <v/>
      </c>
      <c r="B2522" s="0" t="s">
        <v>3818</v>
      </c>
      <c r="E2522" s="0" t="inlineStr">
        <is>
          <t xml:space="preserve">Mazda</t>
        </is>
      </c>
      <c r="F2522" s="0" t="s">
        <v>28</v>
      </c>
      <c r="G2522" s="0" t="s">
        <v>29</v>
      </c>
      <c r="H2522" s="5">
        <v>100.014300</v>
      </c>
    </row>
    <row r="2523" spans="1:9">
      <c r="A2523" s="22" t="str">
        <f>HYPERLINK("https://app.vivvix.com/360/KMI/IntelliDrive/ApplUI/Pages/CreativePages/CustomReportCreativeDetail.aspx?App=23&amp;ReportView=4&amp;Qid=1711279&amp;Row=2515&amp;Col=1","No Title Assigned - #15267425532")</f>
        <v/>
      </c>
      <c r="B2523" s="0" t="s">
        <v>3820</v>
      </c>
      <c r="C2523" s="0" t="s">
        <v>3821</v>
      </c>
      <c r="D2523" s="0" t="s">
        <v>3821</v>
      </c>
      <c r="E2523" s="0" t="inlineStr">
        <is>
          <t xml:space="preserve">Mazda</t>
        </is>
      </c>
      <c r="F2523" s="0" t="s">
        <v>28</v>
      </c>
      <c r="G2523" s="0" t="s">
        <v>29</v>
      </c>
      <c r="H2523" s="5">
        <v>166.457400</v>
      </c>
    </row>
    <row r="2524" spans="1:9">
      <c r="A2524" s="22" t="str">
        <f>HYPERLINK("https://app.vivvix.com/360/KMI/IntelliDrive/ApplUI/Pages/CreativePages/CustomReportCreativeDetail.aspx?App=23&amp;ReportView=4&amp;Qid=1711279&amp;Row=2516&amp;Col=1","No Title Assigned - #15267443246")</f>
        <v/>
      </c>
      <c r="B2524" s="0" t="s">
        <v>3822</v>
      </c>
      <c r="C2524" s="0" t="s">
        <v>3823</v>
      </c>
      <c r="D2524" s="0" t="s">
        <v>3823</v>
      </c>
      <c r="E2524" s="0" t="inlineStr">
        <is>
          <t xml:space="preserve">Mazda</t>
        </is>
      </c>
      <c r="F2524" s="0" t="s">
        <v>28</v>
      </c>
      <c r="G2524" s="0" t="s">
        <v>29</v>
      </c>
      <c r="H2524" s="5">
        <v>71.527600</v>
      </c>
    </row>
    <row r="2525" spans="1:9">
      <c r="A2525" s="22" t="str">
        <f>HYPERLINK("https://app.vivvix.com/360/KMI/IntelliDrive/ApplUI/Pages/CreativePages/CustomReportCreativeDetail.aspx?App=23&amp;ReportView=4&amp;Qid=1711279&amp;Row=2517&amp;Col=1","No Title Assigned - #15267444317")</f>
        <v/>
      </c>
      <c r="B2525" s="0" t="s">
        <v>3824</v>
      </c>
      <c r="E2525" s="0" t="inlineStr">
        <is>
          <t xml:space="preserve">Mazda</t>
        </is>
      </c>
      <c r="F2525" s="0" t="s">
        <v>28</v>
      </c>
      <c r="G2525" s="0" t="s">
        <v>29</v>
      </c>
      <c r="H2525" s="5">
        <v>60.807400</v>
      </c>
    </row>
    <row r="2526" spans="1:9">
      <c r="A2526" s="22" t="str">
        <f>HYPERLINK("https://app.vivvix.com/360/KMI/IntelliDrive/ApplUI/Pages/CreativePages/CustomReportCreativeDetail.aspx?App=23&amp;ReportView=4&amp;Qid=1711279&amp;Row=2518&amp;Col=1","No Title Assigned - #15267444317")</f>
        <v/>
      </c>
      <c r="B2526" s="0" t="s">
        <v>3824</v>
      </c>
      <c r="C2526" s="0" t="s">
        <v>3825</v>
      </c>
      <c r="D2526" s="0" t="s">
        <v>3825</v>
      </c>
      <c r="E2526" s="0" t="inlineStr">
        <is>
          <t xml:space="preserve">Mazda</t>
        </is>
      </c>
      <c r="F2526" s="0" t="s">
        <v>28</v>
      </c>
      <c r="G2526" s="0" t="s">
        <v>29</v>
      </c>
      <c r="H2526" s="5">
        <v>697.349800</v>
      </c>
    </row>
    <row r="2527" spans="1:9">
      <c r="A2527" s="22" t="str">
        <f>HYPERLINK("https://app.vivvix.com/360/KMI/IntelliDrive/ApplUI/Pages/CreativePages/CustomReportCreativeDetail.aspx?App=23&amp;ReportView=4&amp;Qid=1711279&amp;Row=2519&amp;Col=1","No Title Assigned - #15267444487")</f>
        <v/>
      </c>
      <c r="B2527" s="0" t="s">
        <v>3826</v>
      </c>
      <c r="C2527" s="0" t="s">
        <v>3827</v>
      </c>
      <c r="D2527" s="0" t="s">
        <v>3827</v>
      </c>
      <c r="E2527" s="0" t="inlineStr">
        <is>
          <t xml:space="preserve">Mazda</t>
        </is>
      </c>
      <c r="F2527" s="0" t="s">
        <v>28</v>
      </c>
      <c r="G2527" s="0" t="s">
        <v>29</v>
      </c>
      <c r="H2527" s="5">
        <v>301.966700</v>
      </c>
    </row>
    <row r="2528" spans="1:9">
      <c r="A2528" s="22" t="str">
        <f>HYPERLINK("https://app.vivvix.com/360/KMI/IntelliDrive/ApplUI/Pages/CreativePages/CustomReportCreativeDetail.aspx?App=23&amp;ReportView=4&amp;Qid=1711279&amp;Row=2520&amp;Col=1","No Title Assigned - #15267444487")</f>
        <v/>
      </c>
      <c r="B2528" s="0" t="s">
        <v>3826</v>
      </c>
      <c r="E2528" s="0" t="inlineStr">
        <is>
          <t xml:space="preserve">Mazda</t>
        </is>
      </c>
      <c r="F2528" s="0" t="s">
        <v>28</v>
      </c>
      <c r="G2528" s="0" t="s">
        <v>29</v>
      </c>
      <c r="H2528" s="5">
        <v>278.074200</v>
      </c>
    </row>
    <row r="2529" spans="1:9">
      <c r="A2529" s="22" t="str">
        <f>HYPERLINK("https://app.vivvix.com/360/KMI/IntelliDrive/ApplUI/Pages/CreativePages/CustomReportCreativeDetail.aspx?App=23&amp;ReportView=4&amp;Qid=1711279&amp;Row=2521&amp;Col=1","No Title Assigned - #15267444852")</f>
        <v/>
      </c>
      <c r="B2529" s="0" t="s">
        <v>3828</v>
      </c>
      <c r="C2529" s="0" t="s">
        <v>3829</v>
      </c>
      <c r="D2529" s="0" t="s">
        <v>3829</v>
      </c>
      <c r="E2529" s="0" t="inlineStr">
        <is>
          <t xml:space="preserve">Mazda</t>
        </is>
      </c>
      <c r="F2529" s="0" t="inlineStr">
        <is>
          <t xml:space="preserve">Mazda</t>
        </is>
      </c>
      <c r="G2529" s="0" t="s">
        <v>171</v>
      </c>
      <c r="H2529" s="5">
        <v>838.544400</v>
      </c>
    </row>
    <row r="2530" spans="1:9">
      <c r="A2530" s="22" t="str">
        <f>HYPERLINK("https://app.vivvix.com/360/KMI/IntelliDrive/ApplUI/Pages/CreativePages/CustomReportCreativeDetail.aspx?App=23&amp;ReportView=4&amp;Qid=1711279&amp;Row=2522&amp;Col=1","No Title Assigned - #15267447504")</f>
        <v/>
      </c>
      <c r="B2530" s="0" t="s">
        <v>3830</v>
      </c>
      <c r="E2530" s="0" t="inlineStr">
        <is>
          <t xml:space="preserve">Mazda</t>
        </is>
      </c>
      <c r="F2530" s="0" t="inlineStr">
        <is>
          <t xml:space="preserve">Mazda</t>
        </is>
      </c>
      <c r="G2530" s="0" t="s">
        <v>171</v>
      </c>
      <c r="H2530" s="5">
        <v>834.301100</v>
      </c>
    </row>
    <row r="2531" spans="1:9">
      <c r="A2531" s="22" t="str">
        <f>HYPERLINK("https://app.vivvix.com/360/KMI/IntelliDrive/ApplUI/Pages/CreativePages/CustomReportCreativeDetail.aspx?App=23&amp;ReportView=4&amp;Qid=1711279&amp;Row=2523&amp;Col=1","No Title Assigned - #15267448992")</f>
        <v/>
      </c>
      <c r="B2531" s="0" t="s">
        <v>3831</v>
      </c>
      <c r="E2531" s="0" t="inlineStr">
        <is>
          <t xml:space="preserve">Mazda</t>
        </is>
      </c>
      <c r="F2531" s="0" t="inlineStr">
        <is>
          <t xml:space="preserve">Mazda</t>
        </is>
      </c>
      <c r="G2531" s="0" t="s">
        <v>171</v>
      </c>
      <c r="H2531" s="5">
        <v>174.357700</v>
      </c>
    </row>
    <row r="2532" spans="1:9">
      <c r="A2532" s="22" t="str">
        <f>HYPERLINK("https://app.vivvix.com/360/KMI/IntelliDrive/ApplUI/Pages/CreativePages/CustomReportCreativeDetail.aspx?App=23&amp;ReportView=4&amp;Qid=1711279&amp;Row=2524&amp;Col=1","No Title Assigned - #15267449543")</f>
        <v/>
      </c>
      <c r="B2532" s="0" t="s">
        <v>3832</v>
      </c>
      <c r="C2532" s="0" t="s">
        <v>3833</v>
      </c>
      <c r="D2532" s="0" t="s">
        <v>3833</v>
      </c>
      <c r="E2532" s="0" t="inlineStr">
        <is>
          <t xml:space="preserve">Mazda</t>
        </is>
      </c>
      <c r="F2532" s="0" t="inlineStr">
        <is>
          <t xml:space="preserve">Mazda</t>
        </is>
      </c>
      <c r="G2532" s="0" t="s">
        <v>171</v>
      </c>
      <c r="H2532" s="5">
        <v>1485.547200</v>
      </c>
    </row>
    <row r="2533" spans="1:9">
      <c r="A2533" s="22" t="str">
        <f>HYPERLINK("https://app.vivvix.com/360/KMI/IntelliDrive/ApplUI/Pages/CreativePages/CustomReportCreativeDetail.aspx?App=23&amp;ReportView=4&amp;Qid=1711279&amp;Row=2525&amp;Col=1","No Title Assigned - #15267452332")</f>
        <v/>
      </c>
      <c r="B2533" s="0" t="s">
        <v>3834</v>
      </c>
      <c r="E2533" s="0" t="inlineStr">
        <is>
          <t xml:space="preserve">Mazda</t>
        </is>
      </c>
      <c r="F2533" s="0" t="inlineStr">
        <is>
          <t xml:space="preserve">Mazda</t>
        </is>
      </c>
      <c r="G2533" s="0" t="s">
        <v>171</v>
      </c>
      <c r="H2533" s="5">
        <v>56.333000</v>
      </c>
    </row>
    <row r="2534" spans="1:9">
      <c r="A2534" s="22" t="str">
        <f>HYPERLINK("https://app.vivvix.com/360/KMI/IntelliDrive/ApplUI/Pages/CreativePages/CustomReportCreativeDetail.aspx?App=23&amp;ReportView=4&amp;Qid=1711279&amp;Row=2526&amp;Col=1","No Title Assigned - #15267452726")</f>
        <v/>
      </c>
      <c r="B2534" s="0" t="s">
        <v>3835</v>
      </c>
      <c r="C2534" s="0" t="s">
        <v>3836</v>
      </c>
      <c r="D2534" s="0" t="s">
        <v>3836</v>
      </c>
      <c r="E2534" s="0" t="inlineStr">
        <is>
          <t xml:space="preserve">Mazda</t>
        </is>
      </c>
      <c r="F2534" s="0" t="inlineStr">
        <is>
          <t xml:space="preserve">Mazda</t>
        </is>
      </c>
      <c r="G2534" s="0" t="s">
        <v>171</v>
      </c>
      <c r="H2534" s="5">
        <v>333.209100</v>
      </c>
    </row>
    <row r="2535" spans="1:9">
      <c r="A2535" s="22" t="str">
        <f>HYPERLINK("https://app.vivvix.com/360/KMI/IntelliDrive/ApplUI/Pages/CreativePages/CustomReportCreativeDetail.aspx?App=23&amp;ReportView=4&amp;Qid=1711279&amp;Row=2527&amp;Col=1","No Title Assigned - #15267459471")</f>
        <v/>
      </c>
      <c r="B2535" s="0" t="s">
        <v>3837</v>
      </c>
      <c r="E2535" s="0" t="inlineStr">
        <is>
          <t xml:space="preserve">Mazda</t>
        </is>
      </c>
      <c r="F2535" s="0" t="inlineStr">
        <is>
          <t xml:space="preserve">Mazda</t>
        </is>
      </c>
      <c r="G2535" s="0" t="s">
        <v>171</v>
      </c>
      <c r="H2535" s="5">
        <v>1512.771900</v>
      </c>
    </row>
    <row r="2536" spans="1:9">
      <c r="A2536" s="22" t="str">
        <f>HYPERLINK("https://app.vivvix.com/360/KMI/IntelliDrive/ApplUI/Pages/CreativePages/CustomReportCreativeDetail.aspx?App=23&amp;ReportView=4&amp;Qid=1711279&amp;Row=2528&amp;Col=1","No Title Assigned - #15267459472")</f>
        <v/>
      </c>
      <c r="B2536" s="0" t="s">
        <v>3838</v>
      </c>
      <c r="E2536" s="0" t="inlineStr">
        <is>
          <t xml:space="preserve">Mazda</t>
        </is>
      </c>
      <c r="F2536" s="0" t="inlineStr">
        <is>
          <t xml:space="preserve">Mazda</t>
        </is>
      </c>
      <c r="G2536" s="0" t="s">
        <v>171</v>
      </c>
      <c r="H2536" s="5">
        <v>1512.771900</v>
      </c>
    </row>
    <row r="2537" spans="1:9">
      <c r="A2537" s="22" t="str">
        <f>HYPERLINK("https://app.vivvix.com/360/KMI/IntelliDrive/ApplUI/Pages/CreativePages/CustomReportCreativeDetail.aspx?App=23&amp;ReportView=4&amp;Qid=1711279&amp;Row=2529&amp;Col=1","No Title Assigned - #15267463165")</f>
        <v/>
      </c>
      <c r="B2537" s="0" t="s">
        <v>3839</v>
      </c>
      <c r="E2537" s="0" t="inlineStr">
        <is>
          <t xml:space="preserve">Mazda</t>
        </is>
      </c>
      <c r="F2537" s="0" t="inlineStr">
        <is>
          <t xml:space="preserve">Mazda</t>
        </is>
      </c>
      <c r="G2537" s="0" t="s">
        <v>171</v>
      </c>
      <c r="H2537" s="5">
        <v>106.159700</v>
      </c>
    </row>
    <row r="2538" spans="1:9">
      <c r="A2538" s="22" t="str">
        <f>HYPERLINK("https://app.vivvix.com/360/KMI/IntelliDrive/ApplUI/Pages/CreativePages/CustomReportCreativeDetail.aspx?App=23&amp;ReportView=4&amp;Qid=1711279&amp;Row=2530&amp;Col=1","No Title Assigned - #15267463165")</f>
        <v/>
      </c>
      <c r="B2538" s="0" t="s">
        <v>3839</v>
      </c>
      <c r="C2538" s="0" t="s">
        <v>3840</v>
      </c>
      <c r="D2538" s="0" t="s">
        <v>3840</v>
      </c>
      <c r="E2538" s="0" t="inlineStr">
        <is>
          <t xml:space="preserve">Mazda</t>
        </is>
      </c>
      <c r="F2538" s="0" t="inlineStr">
        <is>
          <t xml:space="preserve">Mazda</t>
        </is>
      </c>
      <c r="G2538" s="0" t="s">
        <v>171</v>
      </c>
      <c r="H2538" s="5">
        <v>6309.567200</v>
      </c>
    </row>
    <row r="2539" spans="1:9">
      <c r="A2539" s="22" t="str">
        <f>HYPERLINK("https://app.vivvix.com/360/KMI/IntelliDrive/ApplUI/Pages/CreativePages/CustomReportCreativeDetail.aspx?App=23&amp;ReportView=4&amp;Qid=1711279&amp;Row=2531&amp;Col=1","No Title Assigned - #15267463999")</f>
        <v/>
      </c>
      <c r="B2539" s="0" t="s">
        <v>3841</v>
      </c>
      <c r="C2539" s="0" t="s">
        <v>3842</v>
      </c>
      <c r="D2539" s="0" t="s">
        <v>3842</v>
      </c>
      <c r="E2539" s="0" t="inlineStr">
        <is>
          <t xml:space="preserve">Mazda</t>
        </is>
      </c>
      <c r="F2539" s="0" t="inlineStr">
        <is>
          <t xml:space="preserve">Mazda</t>
        </is>
      </c>
      <c r="G2539" s="0" t="s">
        <v>171</v>
      </c>
      <c r="H2539" s="5">
        <v>278.679300</v>
      </c>
    </row>
    <row r="2540" spans="1:9">
      <c r="A2540" s="22" t="str">
        <f>HYPERLINK("https://app.vivvix.com/360/KMI/IntelliDrive/ApplUI/Pages/CreativePages/CustomReportCreativeDetail.aspx?App=23&amp;ReportView=4&amp;Qid=1711279&amp;Row=2532&amp;Col=1","No Title Assigned - #15267464210")</f>
        <v/>
      </c>
      <c r="B2540" s="0" t="s">
        <v>3843</v>
      </c>
      <c r="E2540" s="0" t="inlineStr">
        <is>
          <t xml:space="preserve">Mazda</t>
        </is>
      </c>
      <c r="F2540" s="0" t="inlineStr">
        <is>
          <t xml:space="preserve">Mazda</t>
        </is>
      </c>
      <c r="G2540" s="0" t="s">
        <v>171</v>
      </c>
      <c r="H2540" s="5">
        <v>642.913200</v>
      </c>
    </row>
    <row r="2541" spans="1:9">
      <c r="A2541" s="22" t="str">
        <f>HYPERLINK("https://app.vivvix.com/360/KMI/IntelliDrive/ApplUI/Pages/CreativePages/CustomReportCreativeDetail.aspx?App=23&amp;ReportView=4&amp;Qid=1711279&amp;Row=2533&amp;Col=1","No Title Assigned - #15267467989")</f>
        <v/>
      </c>
      <c r="B2541" s="0" t="s">
        <v>3844</v>
      </c>
      <c r="E2541" s="0" t="inlineStr">
        <is>
          <t xml:space="preserve">Mazda</t>
        </is>
      </c>
      <c r="F2541" s="0" t="inlineStr">
        <is>
          <t xml:space="preserve">Mazda</t>
        </is>
      </c>
      <c r="G2541" s="0" t="s">
        <v>171</v>
      </c>
      <c r="H2541" s="5">
        <v>1613.566700</v>
      </c>
    </row>
    <row r="2542" spans="1:9">
      <c r="A2542" s="22" t="str">
        <f>HYPERLINK("https://app.vivvix.com/360/KMI/IntelliDrive/ApplUI/Pages/CreativePages/CustomReportCreativeDetail.aspx?App=23&amp;ReportView=4&amp;Qid=1711279&amp;Row=2534&amp;Col=1","No Title Assigned - #15267469196")</f>
        <v/>
      </c>
      <c r="B2542" s="0" t="s">
        <v>3845</v>
      </c>
      <c r="E2542" s="0" t="inlineStr">
        <is>
          <t xml:space="preserve">Mazda</t>
        </is>
      </c>
      <c r="F2542" s="0" t="inlineStr">
        <is>
          <t xml:space="preserve">Mazda</t>
        </is>
      </c>
      <c r="G2542" s="0" t="s">
        <v>171</v>
      </c>
      <c r="H2542" s="5">
        <v>320.193000</v>
      </c>
    </row>
    <row r="2543" spans="1:9">
      <c r="A2543" s="22" t="str">
        <f>HYPERLINK("https://app.vivvix.com/360/KMI/IntelliDrive/ApplUI/Pages/CreativePages/CustomReportCreativeDetail.aspx?App=23&amp;ReportView=4&amp;Qid=1711279&amp;Row=2535&amp;Col=1","No Title Assigned - #15267470980")</f>
        <v/>
      </c>
      <c r="B2543" s="0" t="s">
        <v>3846</v>
      </c>
      <c r="E2543" s="0" t="inlineStr">
        <is>
          <t xml:space="preserve">Mazda</t>
        </is>
      </c>
      <c r="F2543" s="0" t="s">
        <v>21</v>
      </c>
      <c r="G2543" s="0" t="s">
        <v>22</v>
      </c>
      <c r="H2543" s="5">
        <v>1607.874400</v>
      </c>
    </row>
    <row r="2544" spans="1:9">
      <c r="A2544" s="22" t="str">
        <f>HYPERLINK("https://app.vivvix.com/360/KMI/IntelliDrive/ApplUI/Pages/CreativePages/CustomReportCreativeDetail.aspx?App=23&amp;ReportView=4&amp;Qid=1711279&amp;Row=2536&amp;Col=1","No Title Assigned - #15267470980")</f>
        <v/>
      </c>
      <c r="B2544" s="0" t="s">
        <v>3846</v>
      </c>
      <c r="C2544" s="0" t="s">
        <v>3847</v>
      </c>
      <c r="D2544" s="0" t="s">
        <v>3847</v>
      </c>
      <c r="E2544" s="0" t="inlineStr">
        <is>
          <t xml:space="preserve">Mazda</t>
        </is>
      </c>
      <c r="F2544" s="0" t="s">
        <v>21</v>
      </c>
      <c r="G2544" s="0" t="s">
        <v>22</v>
      </c>
      <c r="H2544" s="5">
        <v>1136.812400</v>
      </c>
    </row>
    <row r="2545" spans="1:9">
      <c r="A2545" s="22" t="str">
        <f>HYPERLINK("https://app.vivvix.com/360/KMI/IntelliDrive/ApplUI/Pages/CreativePages/CustomReportCreativeDetail.aspx?App=23&amp;ReportView=4&amp;Qid=1711279&amp;Row=2537&amp;Col=1","No Title Assigned - #15267471316")</f>
        <v/>
      </c>
      <c r="B2545" s="0" t="s">
        <v>3848</v>
      </c>
      <c r="C2545" s="0" t="s">
        <v>3849</v>
      </c>
      <c r="D2545" s="0" t="s">
        <v>3849</v>
      </c>
      <c r="E2545" s="0" t="inlineStr">
        <is>
          <t xml:space="preserve">Mazda</t>
        </is>
      </c>
      <c r="F2545" s="0" t="s">
        <v>28</v>
      </c>
      <c r="G2545" s="0" t="s">
        <v>29</v>
      </c>
      <c r="H2545" s="5">
        <v>8457.484100</v>
      </c>
    </row>
    <row r="2546" spans="1:9">
      <c r="A2546" s="22" t="str">
        <f>HYPERLINK("https://app.vivvix.com/360/KMI/IntelliDrive/ApplUI/Pages/CreativePages/CustomReportCreativeDetail.aspx?App=23&amp;ReportView=4&amp;Qid=1711279&amp;Row=2538&amp;Col=1","No Title Assigned - #15267471316")</f>
        <v/>
      </c>
      <c r="B2546" s="0" t="s">
        <v>3848</v>
      </c>
      <c r="E2546" s="0" t="inlineStr">
        <is>
          <t xml:space="preserve">Mazda</t>
        </is>
      </c>
      <c r="F2546" s="0" t="s">
        <v>28</v>
      </c>
      <c r="G2546" s="0" t="s">
        <v>29</v>
      </c>
      <c r="H2546" s="5">
        <v>8046.201000</v>
      </c>
    </row>
    <row r="2547" spans="1:9">
      <c r="A2547" s="22" t="str">
        <f>HYPERLINK("https://app.vivvix.com/360/KMI/IntelliDrive/ApplUI/Pages/CreativePages/CustomReportCreativeDetail.aspx?App=23&amp;ReportView=4&amp;Qid=1711279&amp;Row=2539&amp;Col=1","No Title Assigned - #15267472741")</f>
        <v/>
      </c>
      <c r="B2547" s="0" t="s">
        <v>3850</v>
      </c>
      <c r="E2547" s="0" t="inlineStr">
        <is>
          <t xml:space="preserve">Mazda</t>
        </is>
      </c>
      <c r="F2547" s="0" t="inlineStr">
        <is>
          <t xml:space="preserve">Mazda</t>
        </is>
      </c>
      <c r="G2547" s="0" t="s">
        <v>171</v>
      </c>
      <c r="H2547" s="5">
        <v>7578.472700</v>
      </c>
    </row>
    <row r="2548" spans="1:9">
      <c r="A2548" s="22" t="str">
        <f>HYPERLINK("https://app.vivvix.com/360/KMI/IntelliDrive/ApplUI/Pages/CreativePages/CustomReportCreativeDetail.aspx?App=23&amp;ReportView=4&amp;Qid=1711279&amp;Row=2540&amp;Col=1","No Title Assigned - #15267472741")</f>
        <v/>
      </c>
      <c r="B2548" s="0" t="s">
        <v>3850</v>
      </c>
      <c r="E2548" s="0" t="inlineStr">
        <is>
          <t xml:space="preserve">Mazda</t>
        </is>
      </c>
      <c r="F2548" s="0" t="inlineStr">
        <is>
          <t xml:space="preserve">Mazda</t>
        </is>
      </c>
      <c r="G2548" s="0" t="s">
        <v>171</v>
      </c>
      <c r="H2548" s="5">
        <v>14243.335500</v>
      </c>
    </row>
    <row r="2549" spans="1:9">
      <c r="A2549" s="22" t="str">
        <f>HYPERLINK("https://app.vivvix.com/360/KMI/IntelliDrive/ApplUI/Pages/CreativePages/CustomReportCreativeDetail.aspx?App=23&amp;ReportView=4&amp;Qid=1711279&amp;Row=2541&amp;Col=1","No Title Assigned - #15267472800")</f>
        <v/>
      </c>
      <c r="B2549" s="0" t="s">
        <v>3851</v>
      </c>
      <c r="C2549" s="0" t="s">
        <v>3852</v>
      </c>
      <c r="D2549" s="0" t="s">
        <v>3852</v>
      </c>
      <c r="E2549" s="0" t="inlineStr">
        <is>
          <t xml:space="preserve">Mazda</t>
        </is>
      </c>
      <c r="F2549" s="0" t="inlineStr">
        <is>
          <t xml:space="preserve">Mazda</t>
        </is>
      </c>
      <c r="G2549" s="0" t="s">
        <v>171</v>
      </c>
      <c r="H2549" s="5">
        <v>227947.894500</v>
      </c>
    </row>
    <row r="2550" spans="1:9">
      <c r="A2550" s="22" t="str">
        <f>HYPERLINK("https://app.vivvix.com/360/KMI/IntelliDrive/ApplUI/Pages/CreativePages/CustomReportCreativeDetail.aspx?App=23&amp;ReportView=4&amp;Qid=1711279&amp;Row=2542&amp;Col=1","No Title Assigned - #15267474440")</f>
        <v/>
      </c>
      <c r="B2550" s="0" t="s">
        <v>3853</v>
      </c>
      <c r="E2550" s="0" t="inlineStr">
        <is>
          <t xml:space="preserve">Mazda</t>
        </is>
      </c>
      <c r="F2550" s="0" t="s">
        <v>13</v>
      </c>
      <c r="G2550" s="0" t="s">
        <v>49</v>
      </c>
      <c r="H2550" s="5">
        <v>101.213300</v>
      </c>
    </row>
    <row r="2551" spans="1:9">
      <c r="A2551" s="22" t="str">
        <f>HYPERLINK("https://app.vivvix.com/360/KMI/IntelliDrive/ApplUI/Pages/CreativePages/CustomReportCreativeDetail.aspx?App=23&amp;ReportView=4&amp;Qid=1711279&amp;Row=2543&amp;Col=1","No Title Assigned - #15267474440")</f>
        <v/>
      </c>
      <c r="B2551" s="0" t="s">
        <v>3853</v>
      </c>
      <c r="C2551" s="0" t="s">
        <v>3854</v>
      </c>
      <c r="D2551" s="0" t="s">
        <v>3854</v>
      </c>
      <c r="E2551" s="0" t="inlineStr">
        <is>
          <t xml:space="preserve">Mazda</t>
        </is>
      </c>
      <c r="F2551" s="0" t="s">
        <v>13</v>
      </c>
      <c r="G2551" s="0" t="s">
        <v>49</v>
      </c>
      <c r="H2551" s="5">
        <v>8608.319400</v>
      </c>
    </row>
    <row r="2552" spans="1:9">
      <c r="A2552" s="22" t="str">
        <f>HYPERLINK("https://app.vivvix.com/360/KMI/IntelliDrive/ApplUI/Pages/CreativePages/CustomReportCreativeDetail.aspx?App=23&amp;ReportView=4&amp;Qid=1711279&amp;Row=2544&amp;Col=1","No Title Assigned - #15267477204")</f>
        <v/>
      </c>
      <c r="B2552" s="0" t="s">
        <v>3855</v>
      </c>
      <c r="C2552" s="0" t="s">
        <v>3856</v>
      </c>
      <c r="D2552" s="0" t="s">
        <v>3856</v>
      </c>
      <c r="E2552" s="0" t="inlineStr">
        <is>
          <t xml:space="preserve">Mazda</t>
        </is>
      </c>
      <c r="F2552" s="0" t="s">
        <v>28</v>
      </c>
      <c r="G2552" s="0" t="s">
        <v>29</v>
      </c>
      <c r="H2552" s="5">
        <v>448.431200</v>
      </c>
    </row>
    <row r="2553" spans="1:9">
      <c r="A2553" s="22" t="str">
        <f>HYPERLINK("https://app.vivvix.com/360/KMI/IntelliDrive/ApplUI/Pages/CreativePages/CustomReportCreativeDetail.aspx?App=23&amp;ReportView=4&amp;Qid=1711279&amp;Row=2545&amp;Col=1","No Title Assigned - #15267477205")</f>
        <v/>
      </c>
      <c r="B2553" s="0" t="s">
        <v>3857</v>
      </c>
      <c r="E2553" s="0" t="inlineStr">
        <is>
          <t xml:space="preserve">Mazda</t>
        </is>
      </c>
      <c r="F2553" s="0" t="s">
        <v>28</v>
      </c>
      <c r="G2553" s="0" t="s">
        <v>29</v>
      </c>
      <c r="H2553" s="5">
        <v>59.657400</v>
      </c>
    </row>
    <row r="2554" spans="1:9">
      <c r="A2554" s="22" t="str">
        <f>HYPERLINK("https://app.vivvix.com/360/KMI/IntelliDrive/ApplUI/Pages/CreativePages/CustomReportCreativeDetail.aspx?App=23&amp;ReportView=4&amp;Qid=1711279&amp;Row=2546&amp;Col=1","No Title Assigned - #15267477205")</f>
        <v/>
      </c>
      <c r="B2554" s="0" t="s">
        <v>3857</v>
      </c>
      <c r="C2554" s="0" t="s">
        <v>3858</v>
      </c>
      <c r="D2554" s="0" t="s">
        <v>3858</v>
      </c>
      <c r="E2554" s="0" t="inlineStr">
        <is>
          <t xml:space="preserve">Mazda</t>
        </is>
      </c>
      <c r="F2554" s="0" t="s">
        <v>28</v>
      </c>
      <c r="G2554" s="0" t="s">
        <v>29</v>
      </c>
      <c r="H2554" s="5">
        <v>11163.489600</v>
      </c>
    </row>
    <row r="2555" spans="1:9">
      <c r="A2555" s="22" t="str">
        <f>HYPERLINK("https://app.vivvix.com/360/KMI/IntelliDrive/ApplUI/Pages/CreativePages/CustomReportCreativeDetail.aspx?App=23&amp;ReportView=4&amp;Qid=1711279&amp;Row=2547&amp;Col=1","No Title Assigned - #15267477749")</f>
        <v/>
      </c>
      <c r="B2555" s="0" t="s">
        <v>3859</v>
      </c>
      <c r="E2555" s="0" t="inlineStr">
        <is>
          <t xml:space="preserve">Mazda</t>
        </is>
      </c>
      <c r="F2555" s="0" t="s">
        <v>28</v>
      </c>
      <c r="G2555" s="0" t="s">
        <v>29</v>
      </c>
      <c r="H2555" s="5">
        <v>3316.161400</v>
      </c>
    </row>
    <row r="2556" spans="1:9">
      <c r="A2556" s="22" t="str">
        <f>HYPERLINK("https://app.vivvix.com/360/KMI/IntelliDrive/ApplUI/Pages/CreativePages/CustomReportCreativeDetail.aspx?App=23&amp;ReportView=4&amp;Qid=1711279&amp;Row=2548&amp;Col=1","No Title Assigned - #15267477749")</f>
        <v/>
      </c>
      <c r="B2556" s="0" t="s">
        <v>3859</v>
      </c>
      <c r="C2556" s="0" t="s">
        <v>3860</v>
      </c>
      <c r="D2556" s="0" t="s">
        <v>3860</v>
      </c>
      <c r="E2556" s="0" t="inlineStr">
        <is>
          <t xml:space="preserve">Mazda</t>
        </is>
      </c>
      <c r="F2556" s="0" t="s">
        <v>28</v>
      </c>
      <c r="G2556" s="0" t="s">
        <v>29</v>
      </c>
      <c r="H2556" s="5">
        <v>53362.893300</v>
      </c>
    </row>
    <row r="2557" spans="1:9">
      <c r="A2557" s="22" t="str">
        <f>HYPERLINK("https://app.vivvix.com/360/KMI/IntelliDrive/ApplUI/Pages/CreativePages/CustomReportCreativeDetail.aspx?App=23&amp;ReportView=4&amp;Qid=1711279&amp;Row=2549&amp;Col=1","No Title Assigned - #15267480318")</f>
        <v/>
      </c>
      <c r="B2557" s="0" t="s">
        <v>3861</v>
      </c>
      <c r="C2557" s="0" t="s">
        <v>3862</v>
      </c>
      <c r="D2557" s="0" t="s">
        <v>3862</v>
      </c>
      <c r="E2557" s="0" t="inlineStr">
        <is>
          <t xml:space="preserve">Mazda</t>
        </is>
      </c>
      <c r="F2557" s="0" t="s">
        <v>13</v>
      </c>
      <c r="G2557" s="0" t="s">
        <v>49</v>
      </c>
      <c r="H2557" s="5">
        <v>106160.460500</v>
      </c>
    </row>
    <row r="2558" spans="1:9">
      <c r="A2558" s="22" t="str">
        <f>HYPERLINK("https://app.vivvix.com/360/KMI/IntelliDrive/ApplUI/Pages/CreativePages/CustomReportCreativeDetail.aspx?App=23&amp;ReportView=4&amp;Qid=1711279&amp;Row=2550&amp;Col=1","No Title Assigned - #15267481525")</f>
        <v/>
      </c>
      <c r="B2558" s="0" t="s">
        <v>3863</v>
      </c>
      <c r="C2558" s="0" t="s">
        <v>3864</v>
      </c>
      <c r="D2558" s="0" t="s">
        <v>3864</v>
      </c>
      <c r="E2558" s="0" t="inlineStr">
        <is>
          <t xml:space="preserve">Mazda</t>
        </is>
      </c>
      <c r="F2558" s="0" t="s">
        <v>28</v>
      </c>
      <c r="G2558" s="0" t="s">
        <v>29</v>
      </c>
      <c r="H2558" s="5">
        <v>137.840400</v>
      </c>
    </row>
    <row r="2559" spans="1:9">
      <c r="A2559" s="22" t="str">
        <f>HYPERLINK("https://app.vivvix.com/360/KMI/IntelliDrive/ApplUI/Pages/CreativePages/CustomReportCreativeDetail.aspx?App=23&amp;ReportView=4&amp;Qid=1711279&amp;Row=2551&amp;Col=1","No Title Assigned - #15267482005")</f>
        <v/>
      </c>
      <c r="B2559" s="0" t="s">
        <v>3865</v>
      </c>
      <c r="C2559" s="0" t="s">
        <v>3866</v>
      </c>
      <c r="D2559" s="0" t="s">
        <v>3866</v>
      </c>
      <c r="E2559" s="0" t="inlineStr">
        <is>
          <t xml:space="preserve">Mazda</t>
        </is>
      </c>
      <c r="F2559" s="0" t="s">
        <v>28</v>
      </c>
      <c r="G2559" s="0" t="s">
        <v>29</v>
      </c>
      <c r="H2559" s="5">
        <v>566.259100</v>
      </c>
    </row>
    <row r="2560" spans="1:9">
      <c r="A2560" s="22" t="str">
        <f>HYPERLINK("https://app.vivvix.com/360/KMI/IntelliDrive/ApplUI/Pages/CreativePages/CustomReportCreativeDetail.aspx?App=23&amp;ReportView=4&amp;Qid=1711279&amp;Row=2552&amp;Col=1","No Title Assigned - #15267482872")</f>
        <v/>
      </c>
      <c r="B2560" s="0" t="s">
        <v>3867</v>
      </c>
      <c r="C2560" s="0" t="s">
        <v>3868</v>
      </c>
      <c r="D2560" s="0" t="s">
        <v>3868</v>
      </c>
      <c r="E2560" s="0" t="inlineStr">
        <is>
          <t xml:space="preserve">Mazda</t>
        </is>
      </c>
      <c r="F2560" s="0" t="s">
        <v>28</v>
      </c>
      <c r="G2560" s="0" t="s">
        <v>29</v>
      </c>
      <c r="H2560" s="5">
        <v>120.303200</v>
      </c>
    </row>
    <row r="2561" spans="1:9">
      <c r="A2561" s="22" t="str">
        <f>HYPERLINK("https://app.vivvix.com/360/KMI/IntelliDrive/ApplUI/Pages/CreativePages/CustomReportCreativeDetail.aspx?App=23&amp;ReportView=4&amp;Qid=1711279&amp;Row=2553&amp;Col=1","No Title Assigned - #15267484444")</f>
        <v/>
      </c>
      <c r="B2561" s="0" t="s">
        <v>3869</v>
      </c>
      <c r="C2561" s="0" t="s">
        <v>3870</v>
      </c>
      <c r="D2561" s="0" t="s">
        <v>3870</v>
      </c>
      <c r="E2561" s="0" t="inlineStr">
        <is>
          <t xml:space="preserve">Mazda</t>
        </is>
      </c>
      <c r="F2561" s="0" t="s">
        <v>17</v>
      </c>
      <c r="G2561" s="0" t="s">
        <v>33</v>
      </c>
      <c r="H2561" s="5">
        <v>8955.458300</v>
      </c>
    </row>
    <row r="2562" spans="1:9">
      <c r="A2562" s="22" t="str">
        <f>HYPERLINK("https://app.vivvix.com/360/KMI/IntelliDrive/ApplUI/Pages/CreativePages/CustomReportCreativeDetail.aspx?App=23&amp;ReportView=4&amp;Qid=1711279&amp;Row=2554&amp;Col=1","No Title Assigned - #15267484445")</f>
        <v/>
      </c>
      <c r="B2562" s="0" t="s">
        <v>3871</v>
      </c>
      <c r="C2562" s="0" t="s">
        <v>3872</v>
      </c>
      <c r="D2562" s="0" t="s">
        <v>3872</v>
      </c>
      <c r="E2562" s="0" t="inlineStr">
        <is>
          <t xml:space="preserve">Mazda</t>
        </is>
      </c>
      <c r="F2562" s="0" t="s">
        <v>17</v>
      </c>
      <c r="G2562" s="0" t="s">
        <v>33</v>
      </c>
      <c r="H2562" s="5">
        <v>1574.922500</v>
      </c>
    </row>
    <row r="2563" spans="1:9">
      <c r="A2563" s="22" t="str">
        <f>HYPERLINK("https://app.vivvix.com/360/KMI/IntelliDrive/ApplUI/Pages/CreativePages/CustomReportCreativeDetail.aspx?App=23&amp;ReportView=4&amp;Qid=1711279&amp;Row=2555&amp;Col=1","No Title Assigned - #15267484477")</f>
        <v/>
      </c>
      <c r="B2563" s="0" t="s">
        <v>3873</v>
      </c>
      <c r="C2563" s="0" t="s">
        <v>3874</v>
      </c>
      <c r="D2563" s="0" t="s">
        <v>3874</v>
      </c>
      <c r="E2563" s="0" t="inlineStr">
        <is>
          <t xml:space="preserve">Mazda</t>
        </is>
      </c>
      <c r="F2563" s="0" t="s">
        <v>28</v>
      </c>
      <c r="G2563" s="0" t="s">
        <v>29</v>
      </c>
      <c r="H2563" s="5">
        <v>369.408200</v>
      </c>
    </row>
    <row r="2564" spans="1:9">
      <c r="A2564" s="22" t="str">
        <f>HYPERLINK("https://app.vivvix.com/360/KMI/IntelliDrive/ApplUI/Pages/CreativePages/CustomReportCreativeDetail.aspx?App=23&amp;ReportView=4&amp;Qid=1711279&amp;Row=2556&amp;Col=1","No Title Assigned - #15267504367")</f>
        <v/>
      </c>
      <c r="B2564" s="0" t="s">
        <v>3875</v>
      </c>
      <c r="C2564" s="0" t="s">
        <v>3876</v>
      </c>
      <c r="D2564" s="0" t="s">
        <v>3876</v>
      </c>
      <c r="E2564" s="0" t="inlineStr">
        <is>
          <t xml:space="preserve">Mazda</t>
        </is>
      </c>
      <c r="F2564" s="0" t="s">
        <v>28</v>
      </c>
      <c r="G2564" s="0" t="s">
        <v>29</v>
      </c>
      <c r="H2564" s="5">
        <v>71.527600</v>
      </c>
    </row>
    <row r="2565" spans="1:9">
      <c r="A2565" s="22" t="str">
        <f>HYPERLINK("https://app.vivvix.com/360/KMI/IntelliDrive/ApplUI/Pages/CreativePages/CustomReportCreativeDetail.aspx?App=23&amp;ReportView=4&amp;Qid=1711279&amp;Row=2557&amp;Col=1","No Title Assigned - #15267513611")</f>
        <v/>
      </c>
      <c r="B2565" s="0" t="s">
        <v>3877</v>
      </c>
      <c r="E2565" s="0" t="inlineStr">
        <is>
          <t xml:space="preserve">Mazda</t>
        </is>
      </c>
      <c r="F2565" s="0" t="inlineStr">
        <is>
          <t xml:space="preserve">Mazda</t>
        </is>
      </c>
      <c r="G2565" s="0" t="s">
        <v>171</v>
      </c>
      <c r="H2565" s="5">
        <v>213.685300</v>
      </c>
    </row>
    <row r="2566" spans="1:9">
      <c r="A2566" s="22" t="str">
        <f>HYPERLINK("https://app.vivvix.com/360/KMI/IntelliDrive/ApplUI/Pages/CreativePages/CustomReportCreativeDetail.aspx?App=23&amp;ReportView=4&amp;Qid=1711279&amp;Row=2558&amp;Col=1","No Title Assigned - #15267513663")</f>
        <v/>
      </c>
      <c r="B2566" s="0" t="s">
        <v>3878</v>
      </c>
      <c r="E2566" s="0" t="inlineStr">
        <is>
          <t xml:space="preserve">Mazda</t>
        </is>
      </c>
      <c r="F2566" s="0" t="inlineStr">
        <is>
          <t xml:space="preserve">Mazda</t>
        </is>
      </c>
      <c r="G2566" s="0" t="s">
        <v>171</v>
      </c>
      <c r="H2566" s="5">
        <v>672.351500</v>
      </c>
    </row>
    <row r="2567" spans="1:9">
      <c r="A2567" s="22" t="str">
        <f>HYPERLINK("https://app.vivvix.com/360/KMI/IntelliDrive/ApplUI/Pages/CreativePages/CustomReportCreativeDetail.aspx?App=23&amp;ReportView=4&amp;Qid=1711279&amp;Row=2559&amp;Col=1","No Title Assigned - #15267514238")</f>
        <v/>
      </c>
      <c r="B2567" s="0" t="s">
        <v>3879</v>
      </c>
      <c r="C2567" s="0" t="s">
        <v>3880</v>
      </c>
      <c r="D2567" s="0" t="s">
        <v>3880</v>
      </c>
      <c r="E2567" s="0" t="inlineStr">
        <is>
          <t xml:space="preserve">Mazda</t>
        </is>
      </c>
      <c r="F2567" s="0" t="inlineStr">
        <is>
          <t xml:space="preserve">Mazda</t>
        </is>
      </c>
      <c r="G2567" s="0" t="s">
        <v>171</v>
      </c>
      <c r="H2567" s="5">
        <v>176.352600</v>
      </c>
    </row>
    <row r="2568" spans="1:9">
      <c r="A2568" s="22" t="str">
        <f>HYPERLINK("https://app.vivvix.com/360/KMI/IntelliDrive/ApplUI/Pages/CreativePages/CustomReportCreativeDetail.aspx?App=23&amp;ReportView=4&amp;Qid=1711279&amp;Row=2560&amp;Col=1","No Title Assigned - #15267516319")</f>
        <v/>
      </c>
      <c r="B2568" s="0" t="s">
        <v>3881</v>
      </c>
      <c r="E2568" s="0" t="inlineStr">
        <is>
          <t xml:space="preserve">Mazda</t>
        </is>
      </c>
      <c r="F2568" s="0" t="inlineStr">
        <is>
          <t xml:space="preserve">Mazda</t>
        </is>
      </c>
      <c r="G2568" s="0" t="s">
        <v>171</v>
      </c>
      <c r="H2568" s="5">
        <v>659.506900</v>
      </c>
    </row>
    <row r="2569" spans="1:9">
      <c r="A2569" s="22" t="str">
        <f>HYPERLINK("https://app.vivvix.com/360/KMI/IntelliDrive/ApplUI/Pages/CreativePages/CustomReportCreativeDetail.aspx?App=23&amp;ReportView=4&amp;Qid=1711279&amp;Row=2561&amp;Col=1","No Title Assigned - #15267517363")</f>
        <v/>
      </c>
      <c r="B2569" s="0" t="s">
        <v>3882</v>
      </c>
      <c r="C2569" s="0" t="s">
        <v>3883</v>
      </c>
      <c r="D2569" s="0" t="s">
        <v>3883</v>
      </c>
      <c r="E2569" s="0" t="inlineStr">
        <is>
          <t xml:space="preserve">Mazda</t>
        </is>
      </c>
      <c r="F2569" s="0" t="inlineStr">
        <is>
          <t xml:space="preserve">Mazda</t>
        </is>
      </c>
      <c r="G2569" s="0" t="s">
        <v>171</v>
      </c>
      <c r="H2569" s="5">
        <v>9130.069500</v>
      </c>
    </row>
    <row r="2570" spans="1:9">
      <c r="A2570" s="22" t="str">
        <f>HYPERLINK("https://app.vivvix.com/360/KMI/IntelliDrive/ApplUI/Pages/CreativePages/CustomReportCreativeDetail.aspx?App=23&amp;ReportView=4&amp;Qid=1711279&amp;Row=2562&amp;Col=1","No Title Assigned - #15267517363")</f>
        <v/>
      </c>
      <c r="B2570" s="0" t="s">
        <v>3882</v>
      </c>
      <c r="E2570" s="0" t="inlineStr">
        <is>
          <t xml:space="preserve">Mazda</t>
        </is>
      </c>
      <c r="F2570" s="0" t="inlineStr">
        <is>
          <t xml:space="preserve">Mazda</t>
        </is>
      </c>
      <c r="G2570" s="0" t="s">
        <v>171</v>
      </c>
      <c r="H2570" s="5">
        <v>4878.311200</v>
      </c>
    </row>
    <row r="2571" spans="1:9">
      <c r="A2571" s="22" t="str">
        <f>HYPERLINK("https://app.vivvix.com/360/KMI/IntelliDrive/ApplUI/Pages/CreativePages/CustomReportCreativeDetail.aspx?App=23&amp;ReportView=4&amp;Qid=1711279&amp;Row=2563&amp;Col=1","No Title Assigned - #15267517963")</f>
        <v/>
      </c>
      <c r="B2571" s="0" t="s">
        <v>3884</v>
      </c>
      <c r="E2571" s="0" t="inlineStr">
        <is>
          <t xml:space="preserve">Mazda</t>
        </is>
      </c>
      <c r="F2571" s="0" t="inlineStr">
        <is>
          <t xml:space="preserve">Mazda</t>
        </is>
      </c>
      <c r="G2571" s="0" t="s">
        <v>171</v>
      </c>
      <c r="H2571" s="5">
        <v>1175.203600</v>
      </c>
    </row>
    <row r="2572" spans="1:9">
      <c r="A2572" s="22" t="str">
        <f>HYPERLINK("https://app.vivvix.com/360/KMI/IntelliDrive/ApplUI/Pages/CreativePages/CustomReportCreativeDetail.aspx?App=23&amp;ReportView=4&amp;Qid=1711279&amp;Row=2564&amp;Col=1","No Title Assigned - #15267519636")</f>
        <v/>
      </c>
      <c r="B2572" s="0" t="s">
        <v>3885</v>
      </c>
      <c r="C2572" s="0" t="s">
        <v>3886</v>
      </c>
      <c r="D2572" s="0" t="s">
        <v>3886</v>
      </c>
      <c r="E2572" s="0" t="inlineStr">
        <is>
          <t xml:space="preserve">Mazda</t>
        </is>
      </c>
      <c r="F2572" s="0" t="inlineStr">
        <is>
          <t xml:space="preserve">Mazda</t>
        </is>
      </c>
      <c r="G2572" s="0" t="s">
        <v>171</v>
      </c>
      <c r="H2572" s="5">
        <v>13990.083600</v>
      </c>
    </row>
    <row r="2573" spans="1:9">
      <c r="A2573" s="22" t="str">
        <f>HYPERLINK("https://app.vivvix.com/360/KMI/IntelliDrive/ApplUI/Pages/CreativePages/CustomReportCreativeDetail.aspx?App=23&amp;ReportView=4&amp;Qid=1711279&amp;Row=2565&amp;Col=1","No Title Assigned - #15267519636")</f>
        <v/>
      </c>
      <c r="B2573" s="0" t="s">
        <v>3885</v>
      </c>
      <c r="E2573" s="0" t="inlineStr">
        <is>
          <t xml:space="preserve">Mazda</t>
        </is>
      </c>
      <c r="F2573" s="0" t="inlineStr">
        <is>
          <t xml:space="preserve">Mazda</t>
        </is>
      </c>
      <c r="G2573" s="0" t="s">
        <v>171</v>
      </c>
      <c r="H2573" s="5">
        <v>6697.688200</v>
      </c>
    </row>
    <row r="2574" spans="1:9">
      <c r="A2574" s="22" t="str">
        <f>HYPERLINK("https://app.vivvix.com/360/KMI/IntelliDrive/ApplUI/Pages/CreativePages/CustomReportCreativeDetail.aspx?App=23&amp;ReportView=4&amp;Qid=1711279&amp;Row=2566&amp;Col=1","No Title Assigned - #15267519895")</f>
        <v/>
      </c>
      <c r="B2574" s="0" t="s">
        <v>3887</v>
      </c>
      <c r="E2574" s="0" t="inlineStr">
        <is>
          <t xml:space="preserve">Mazda</t>
        </is>
      </c>
      <c r="F2574" s="0" t="inlineStr">
        <is>
          <t xml:space="preserve">Mazda</t>
        </is>
      </c>
      <c r="G2574" s="0" t="s">
        <v>171</v>
      </c>
      <c r="H2574" s="5">
        <v>1077.423100</v>
      </c>
    </row>
    <row r="2575" spans="1:9">
      <c r="A2575" s="22" t="str">
        <f>HYPERLINK("https://app.vivvix.com/360/KMI/IntelliDrive/ApplUI/Pages/CreativePages/CustomReportCreativeDetail.aspx?App=23&amp;ReportView=4&amp;Qid=1711279&amp;Row=2567&amp;Col=1","No Title Assigned - #15267519946")</f>
        <v/>
      </c>
      <c r="B2575" s="0" t="s">
        <v>3888</v>
      </c>
      <c r="E2575" s="0" t="inlineStr">
        <is>
          <t xml:space="preserve">Mazda</t>
        </is>
      </c>
      <c r="F2575" s="0" t="inlineStr">
        <is>
          <t xml:space="preserve">Mazda</t>
        </is>
      </c>
      <c r="G2575" s="0" t="s">
        <v>171</v>
      </c>
      <c r="H2575" s="5">
        <v>54.922300</v>
      </c>
    </row>
    <row r="2576" spans="1:9">
      <c r="A2576" s="22" t="str">
        <f>HYPERLINK("https://app.vivvix.com/360/KMI/IntelliDrive/ApplUI/Pages/CreativePages/CustomReportCreativeDetail.aspx?App=23&amp;ReportView=4&amp;Qid=1711279&amp;Row=2568&amp;Col=1","No Title Assigned - #15267520093")</f>
        <v/>
      </c>
      <c r="B2576" s="0" t="s">
        <v>3889</v>
      </c>
      <c r="E2576" s="0" t="inlineStr">
        <is>
          <t xml:space="preserve">Mazda</t>
        </is>
      </c>
      <c r="F2576" s="0" t="inlineStr">
        <is>
          <t xml:space="preserve">Mazda</t>
        </is>
      </c>
      <c r="G2576" s="0" t="s">
        <v>171</v>
      </c>
      <c r="H2576" s="5">
        <v>1368.314800</v>
      </c>
    </row>
    <row r="2577" spans="1:9">
      <c r="A2577" s="22" t="str">
        <f>HYPERLINK("https://app.vivvix.com/360/KMI/IntelliDrive/ApplUI/Pages/CreativePages/CustomReportCreativeDetail.aspx?App=23&amp;ReportView=4&amp;Qid=1711279&amp;Row=2569&amp;Col=1","No Title Assigned - #15267520093")</f>
        <v/>
      </c>
      <c r="B2577" s="0" t="s">
        <v>3889</v>
      </c>
      <c r="E2577" s="0" t="inlineStr">
        <is>
          <t xml:space="preserve">Mazda</t>
        </is>
      </c>
      <c r="F2577" s="0" t="inlineStr">
        <is>
          <t xml:space="preserve">Mazda</t>
        </is>
      </c>
      <c r="G2577" s="0" t="s">
        <v>171</v>
      </c>
      <c r="H2577" s="5">
        <v>1738.196400</v>
      </c>
    </row>
    <row r="2578" spans="1:9">
      <c r="A2578" s="22" t="str">
        <f>HYPERLINK("https://app.vivvix.com/360/KMI/IntelliDrive/ApplUI/Pages/CreativePages/CustomReportCreativeDetail.aspx?App=23&amp;ReportView=4&amp;Qid=1711279&amp;Row=2570&amp;Col=1","No Title Assigned - #15267524404")</f>
        <v/>
      </c>
      <c r="B2578" s="0" t="s">
        <v>3890</v>
      </c>
      <c r="C2578" s="0" t="s">
        <v>3891</v>
      </c>
      <c r="D2578" s="0" t="s">
        <v>3891</v>
      </c>
      <c r="E2578" s="0" t="inlineStr">
        <is>
          <t xml:space="preserve">Mazda</t>
        </is>
      </c>
      <c r="F2578" s="0" t="s">
        <v>28</v>
      </c>
      <c r="G2578" s="0" t="s">
        <v>29</v>
      </c>
      <c r="H2578" s="5">
        <v>1422.530900</v>
      </c>
    </row>
    <row r="2579" spans="1:9">
      <c r="A2579" s="22" t="str">
        <f>HYPERLINK("https://app.vivvix.com/360/KMI/IntelliDrive/ApplUI/Pages/CreativePages/CustomReportCreativeDetail.aspx?App=23&amp;ReportView=4&amp;Qid=1711279&amp;Row=2571&amp;Col=1","No Title Assigned - #15267524404")</f>
        <v/>
      </c>
      <c r="B2579" s="0" t="s">
        <v>3890</v>
      </c>
      <c r="E2579" s="0" t="inlineStr">
        <is>
          <t xml:space="preserve">Mazda</t>
        </is>
      </c>
      <c r="F2579" s="0" t="s">
        <v>28</v>
      </c>
      <c r="G2579" s="0" t="s">
        <v>29</v>
      </c>
      <c r="H2579" s="5">
        <v>3441.842800</v>
      </c>
    </row>
    <row r="2580" spans="1:9">
      <c r="A2580" s="22" t="str">
        <f>HYPERLINK("https://app.vivvix.com/360/KMI/IntelliDrive/ApplUI/Pages/CreativePages/CustomReportCreativeDetail.aspx?App=23&amp;ReportView=4&amp;Qid=1711279&amp;Row=2572&amp;Col=1","No Title Assigned - #15267525491")</f>
        <v/>
      </c>
      <c r="B2580" s="0" t="s">
        <v>3892</v>
      </c>
      <c r="E2580" s="0" t="inlineStr">
        <is>
          <t xml:space="preserve">Mazda</t>
        </is>
      </c>
      <c r="F2580" s="0" t="inlineStr">
        <is>
          <t xml:space="preserve">Mazda</t>
        </is>
      </c>
      <c r="G2580" s="0" t="s">
        <v>171</v>
      </c>
      <c r="H2580" s="5">
        <v>587.601800</v>
      </c>
    </row>
    <row r="2581" spans="1:9">
      <c r="A2581" s="22" t="str">
        <f>HYPERLINK("https://app.vivvix.com/360/KMI/IntelliDrive/ApplUI/Pages/CreativePages/CustomReportCreativeDetail.aspx?App=23&amp;ReportView=4&amp;Qid=1711279&amp;Row=2573&amp;Col=1","No Title Assigned - #15267525837")</f>
        <v/>
      </c>
      <c r="B2581" s="0" t="s">
        <v>3893</v>
      </c>
      <c r="E2581" s="0" t="inlineStr">
        <is>
          <t xml:space="preserve">Mazda</t>
        </is>
      </c>
      <c r="F2581" s="0" t="inlineStr">
        <is>
          <t xml:space="preserve">Mazda</t>
        </is>
      </c>
      <c r="G2581" s="0" t="s">
        <v>171</v>
      </c>
      <c r="H2581" s="5">
        <v>2377.661700</v>
      </c>
    </row>
    <row r="2582" spans="1:9">
      <c r="A2582" s="22" t="str">
        <f>HYPERLINK("https://app.vivvix.com/360/KMI/IntelliDrive/ApplUI/Pages/CreativePages/CustomReportCreativeDetail.aspx?App=23&amp;ReportView=4&amp;Qid=1711279&amp;Row=2574&amp;Col=1","No Title Assigned - #15267526085")</f>
        <v/>
      </c>
      <c r="B2582" s="0" t="s">
        <v>3894</v>
      </c>
      <c r="E2582" s="0" t="inlineStr">
        <is>
          <t xml:space="preserve">Mazda</t>
        </is>
      </c>
      <c r="F2582" s="0" t="inlineStr">
        <is>
          <t xml:space="preserve">Mazda</t>
        </is>
      </c>
      <c r="G2582" s="0" t="s">
        <v>171</v>
      </c>
      <c r="H2582" s="5">
        <v>333.318800</v>
      </c>
    </row>
    <row r="2583" spans="1:9">
      <c r="A2583" s="22" t="str">
        <f>HYPERLINK("https://app.vivvix.com/360/KMI/IntelliDrive/ApplUI/Pages/CreativePages/CustomReportCreativeDetail.aspx?App=23&amp;ReportView=4&amp;Qid=1711279&amp;Row=2575&amp;Col=1","No Title Assigned - #15267526085")</f>
        <v/>
      </c>
      <c r="B2583" s="0" t="s">
        <v>3894</v>
      </c>
      <c r="E2583" s="0" t="inlineStr">
        <is>
          <t xml:space="preserve">Mazda</t>
        </is>
      </c>
      <c r="F2583" s="0" t="inlineStr">
        <is>
          <t xml:space="preserve">Mazda</t>
        </is>
      </c>
      <c r="G2583" s="0" t="s">
        <v>171</v>
      </c>
      <c r="H2583" s="5">
        <v>127.499600</v>
      </c>
    </row>
    <row r="2584" spans="1:9">
      <c r="A2584" s="22" t="str">
        <f>HYPERLINK("https://app.vivvix.com/360/KMI/IntelliDrive/ApplUI/Pages/CreativePages/CustomReportCreativeDetail.aspx?App=23&amp;ReportView=4&amp;Qid=1711279&amp;Row=2576&amp;Col=1","No Title Assigned - #15267526093")</f>
        <v/>
      </c>
      <c r="B2584" s="0" t="s">
        <v>3895</v>
      </c>
      <c r="C2584" s="0" t="s">
        <v>3896</v>
      </c>
      <c r="D2584" s="0" t="s">
        <v>3896</v>
      </c>
      <c r="E2584" s="0" t="inlineStr">
        <is>
          <t xml:space="preserve">Mazda</t>
        </is>
      </c>
      <c r="F2584" s="0" t="inlineStr">
        <is>
          <t xml:space="preserve">Mazda</t>
        </is>
      </c>
      <c r="G2584" s="0" t="s">
        <v>171</v>
      </c>
      <c r="H2584" s="5">
        <v>3118.965400</v>
      </c>
    </row>
    <row r="2585" spans="1:9">
      <c r="A2585" s="22" t="str">
        <f>HYPERLINK("https://app.vivvix.com/360/KMI/IntelliDrive/ApplUI/Pages/CreativePages/CustomReportCreativeDetail.aspx?App=23&amp;ReportView=4&amp;Qid=1711279&amp;Row=2577&amp;Col=1","No Title Assigned - #15267526093")</f>
        <v/>
      </c>
      <c r="B2585" s="0" t="s">
        <v>3895</v>
      </c>
      <c r="E2585" s="0" t="inlineStr">
        <is>
          <t xml:space="preserve">Mazda</t>
        </is>
      </c>
      <c r="F2585" s="0" t="inlineStr">
        <is>
          <t xml:space="preserve">Mazda</t>
        </is>
      </c>
      <c r="G2585" s="0" t="s">
        <v>171</v>
      </c>
      <c r="H2585" s="5">
        <v>105.778300</v>
      </c>
    </row>
    <row r="2586" spans="1:9">
      <c r="A2586" s="22" t="str">
        <f>HYPERLINK("https://app.vivvix.com/360/KMI/IntelliDrive/ApplUI/Pages/CreativePages/CustomReportCreativeDetail.aspx?App=23&amp;ReportView=4&amp;Qid=1711279&amp;Row=2578&amp;Col=1","No Title Assigned - #15267526201")</f>
        <v/>
      </c>
      <c r="B2586" s="0" t="s">
        <v>3897</v>
      </c>
      <c r="C2586" s="0" t="s">
        <v>3898</v>
      </c>
      <c r="D2586" s="0" t="s">
        <v>3898</v>
      </c>
      <c r="E2586" s="0" t="inlineStr">
        <is>
          <t xml:space="preserve">Mazda</t>
        </is>
      </c>
      <c r="F2586" s="0" t="s">
        <v>28</v>
      </c>
      <c r="G2586" s="0" t="s">
        <v>29</v>
      </c>
      <c r="H2586" s="5">
        <v>500.055000</v>
      </c>
    </row>
    <row r="2587" spans="1:9">
      <c r="A2587" s="22" t="str">
        <f>HYPERLINK("https://app.vivvix.com/360/KMI/IntelliDrive/ApplUI/Pages/CreativePages/CustomReportCreativeDetail.aspx?App=23&amp;ReportView=4&amp;Qid=1711279&amp;Row=2579&amp;Col=1","No Title Assigned - #15267526648")</f>
        <v/>
      </c>
      <c r="B2587" s="0" t="s">
        <v>3899</v>
      </c>
      <c r="C2587" s="0" t="s">
        <v>3900</v>
      </c>
      <c r="D2587" s="0" t="s">
        <v>3900</v>
      </c>
      <c r="E2587" s="0" t="inlineStr">
        <is>
          <t xml:space="preserve">Mazda</t>
        </is>
      </c>
      <c r="F2587" s="0" t="s">
        <v>28</v>
      </c>
      <c r="G2587" s="0" t="s">
        <v>29</v>
      </c>
      <c r="H2587" s="5">
        <v>20724.024900</v>
      </c>
    </row>
    <row r="2588" spans="1:9">
      <c r="A2588" s="22" t="str">
        <f>HYPERLINK("https://app.vivvix.com/360/KMI/IntelliDrive/ApplUI/Pages/CreativePages/CustomReportCreativeDetail.aspx?App=23&amp;ReportView=4&amp;Qid=1711279&amp;Row=2580&amp;Col=1","No Title Assigned - #15267526648")</f>
        <v/>
      </c>
      <c r="B2588" s="0" t="s">
        <v>3899</v>
      </c>
      <c r="E2588" s="0" t="inlineStr">
        <is>
          <t xml:space="preserve">Mazda</t>
        </is>
      </c>
      <c r="F2588" s="0" t="s">
        <v>28</v>
      </c>
      <c r="G2588" s="0" t="s">
        <v>29</v>
      </c>
      <c r="H2588" s="5">
        <v>851.740600</v>
      </c>
    </row>
    <row r="2589" spans="1:9">
      <c r="A2589" s="22" t="str">
        <f>HYPERLINK("https://app.vivvix.com/360/KMI/IntelliDrive/ApplUI/Pages/CreativePages/CustomReportCreativeDetail.aspx?App=23&amp;ReportView=4&amp;Qid=1711279&amp;Row=2581&amp;Col=1","No Title Assigned - #15267526989")</f>
        <v/>
      </c>
      <c r="B2589" s="0" t="s">
        <v>3901</v>
      </c>
      <c r="C2589" s="0" t="s">
        <v>3902</v>
      </c>
      <c r="D2589" s="0" t="s">
        <v>3902</v>
      </c>
      <c r="E2589" s="0" t="inlineStr">
        <is>
          <t xml:space="preserve">Mazda</t>
        </is>
      </c>
      <c r="F2589" s="0" t="s">
        <v>28</v>
      </c>
      <c r="G2589" s="0" t="s">
        <v>29</v>
      </c>
      <c r="H2589" s="5">
        <v>103.785100</v>
      </c>
    </row>
    <row r="2590" spans="1:9">
      <c r="A2590" s="22" t="str">
        <f>HYPERLINK("https://app.vivvix.com/360/KMI/IntelliDrive/ApplUI/Pages/CreativePages/CustomReportCreativeDetail.aspx?App=23&amp;ReportView=4&amp;Qid=1711279&amp;Row=2582&amp;Col=1","No Title Assigned - #15267528901")</f>
        <v/>
      </c>
      <c r="B2590" s="0" t="s">
        <v>3903</v>
      </c>
      <c r="C2590" s="0" t="s">
        <v>3904</v>
      </c>
      <c r="D2590" s="0" t="s">
        <v>3904</v>
      </c>
      <c r="E2590" s="0" t="inlineStr">
        <is>
          <t xml:space="preserve">Mazda</t>
        </is>
      </c>
      <c r="F2590" s="0" t="s">
        <v>28</v>
      </c>
      <c r="G2590" s="0" t="s">
        <v>29</v>
      </c>
      <c r="H2590" s="5">
        <v>54.659400</v>
      </c>
    </row>
    <row r="2591" spans="1:9">
      <c r="A2591" s="22" t="str">
        <f>HYPERLINK("https://app.vivvix.com/360/KMI/IntelliDrive/ApplUI/Pages/CreativePages/CustomReportCreativeDetail.aspx?App=23&amp;ReportView=4&amp;Qid=1711279&amp;Row=2583&amp;Col=1","No Title Assigned - #15267529020")</f>
        <v/>
      </c>
      <c r="B2591" s="0" t="s">
        <v>3905</v>
      </c>
      <c r="C2591" s="0" t="s">
        <v>3906</v>
      </c>
      <c r="D2591" s="0" t="s">
        <v>3906</v>
      </c>
      <c r="E2591" s="0" t="inlineStr">
        <is>
          <t xml:space="preserve">Mazda</t>
        </is>
      </c>
      <c r="F2591" s="0" t="s">
        <v>28</v>
      </c>
      <c r="G2591" s="0" t="s">
        <v>29</v>
      </c>
      <c r="H2591" s="5">
        <v>2667.564100</v>
      </c>
    </row>
    <row r="2592" spans="1:9">
      <c r="A2592" s="22" t="str">
        <f>HYPERLINK("https://app.vivvix.com/360/KMI/IntelliDrive/ApplUI/Pages/CreativePages/CustomReportCreativeDetail.aspx?App=23&amp;ReportView=4&amp;Qid=1711279&amp;Row=2584&amp;Col=1","No Title Assigned - #15267529020")</f>
        <v/>
      </c>
      <c r="B2592" s="0" t="s">
        <v>3905</v>
      </c>
      <c r="E2592" s="0" t="inlineStr">
        <is>
          <t xml:space="preserve">Mazda</t>
        </is>
      </c>
      <c r="F2592" s="0" t="s">
        <v>28</v>
      </c>
      <c r="G2592" s="0" t="s">
        <v>29</v>
      </c>
      <c r="H2592" s="5">
        <v>12589.562300</v>
      </c>
    </row>
    <row r="2593" spans="1:9">
      <c r="A2593" s="22" t="str">
        <f>HYPERLINK("https://app.vivvix.com/360/KMI/IntelliDrive/ApplUI/Pages/CreativePages/CustomReportCreativeDetail.aspx?App=23&amp;ReportView=4&amp;Qid=1711279&amp;Row=2585&amp;Col=1","No Title Assigned - #15267529194")</f>
        <v/>
      </c>
      <c r="B2593" s="0" t="s">
        <v>3907</v>
      </c>
      <c r="C2593" s="0" t="s">
        <v>3908</v>
      </c>
      <c r="D2593" s="0" t="s">
        <v>3908</v>
      </c>
      <c r="E2593" s="0" t="inlineStr">
        <is>
          <t xml:space="preserve">Mazda</t>
        </is>
      </c>
      <c r="F2593" s="0" t="s">
        <v>28</v>
      </c>
      <c r="G2593" s="0" t="s">
        <v>29</v>
      </c>
      <c r="H2593" s="5">
        <v>44.885500</v>
      </c>
    </row>
    <row r="2594" spans="1:9">
      <c r="A2594" s="22" t="str">
        <f>HYPERLINK("https://app.vivvix.com/360/KMI/IntelliDrive/ApplUI/Pages/CreativePages/CustomReportCreativeDetail.aspx?App=23&amp;ReportView=4&amp;Qid=1711279&amp;Row=2586&amp;Col=1","No Title Assigned - #15267529197")</f>
        <v/>
      </c>
      <c r="B2594" s="0" t="s">
        <v>3909</v>
      </c>
      <c r="C2594" s="0" t="s">
        <v>3910</v>
      </c>
      <c r="D2594" s="0" t="s">
        <v>3910</v>
      </c>
      <c r="E2594" s="0" t="inlineStr">
        <is>
          <t xml:space="preserve">Mazda</t>
        </is>
      </c>
      <c r="F2594" s="0" t="s">
        <v>28</v>
      </c>
      <c r="G2594" s="0" t="s">
        <v>29</v>
      </c>
      <c r="H2594" s="5">
        <v>20.104300</v>
      </c>
    </row>
    <row r="2595" spans="1:9">
      <c r="A2595" s="22" t="str">
        <f>HYPERLINK("https://app.vivvix.com/360/KMI/IntelliDrive/ApplUI/Pages/CreativePages/CustomReportCreativeDetail.aspx?App=23&amp;ReportView=4&amp;Qid=1711279&amp;Row=2587&amp;Col=1","No Title Assigned - #15267530585")</f>
        <v/>
      </c>
      <c r="B2595" s="0" t="s">
        <v>3911</v>
      </c>
      <c r="C2595" s="0" t="s">
        <v>3912</v>
      </c>
      <c r="D2595" s="0" t="s">
        <v>3912</v>
      </c>
      <c r="E2595" s="0" t="inlineStr">
        <is>
          <t xml:space="preserve">Mazda</t>
        </is>
      </c>
      <c r="F2595" s="0" t="s">
        <v>28</v>
      </c>
      <c r="G2595" s="0" t="s">
        <v>29</v>
      </c>
      <c r="H2595" s="5">
        <v>2136.805400</v>
      </c>
    </row>
    <row r="2596" spans="1:9">
      <c r="A2596" s="22" t="str">
        <f>HYPERLINK("https://app.vivvix.com/360/KMI/IntelliDrive/ApplUI/Pages/CreativePages/CustomReportCreativeDetail.aspx?App=23&amp;ReportView=4&amp;Qid=1711279&amp;Row=2588&amp;Col=1","No Title Assigned - #15267532428")</f>
        <v/>
      </c>
      <c r="B2596" s="0" t="s">
        <v>3913</v>
      </c>
      <c r="C2596" s="0" t="s">
        <v>3914</v>
      </c>
      <c r="D2596" s="0" t="s">
        <v>3914</v>
      </c>
      <c r="E2596" s="0" t="inlineStr">
        <is>
          <t xml:space="preserve">Mazda</t>
        </is>
      </c>
      <c r="F2596" s="0" t="s">
        <v>28</v>
      </c>
      <c r="G2596" s="0" t="s">
        <v>29</v>
      </c>
      <c r="H2596" s="5">
        <v>51.451500</v>
      </c>
    </row>
    <row r="2597" spans="1:9">
      <c r="A2597" s="22" t="str">
        <f>HYPERLINK("https://app.vivvix.com/360/KMI/IntelliDrive/ApplUI/Pages/CreativePages/CustomReportCreativeDetail.aspx?App=23&amp;ReportView=4&amp;Qid=1711279&amp;Row=2589&amp;Col=1","No Title Assigned - #15267533062")</f>
        <v/>
      </c>
      <c r="B2597" s="0" t="s">
        <v>3915</v>
      </c>
      <c r="C2597" s="0" t="s">
        <v>3916</v>
      </c>
      <c r="D2597" s="0" t="s">
        <v>3916</v>
      </c>
      <c r="E2597" s="0" t="inlineStr">
        <is>
          <t xml:space="preserve">Mazda</t>
        </is>
      </c>
      <c r="F2597" s="0" t="s">
        <v>1328</v>
      </c>
      <c r="G2597" s="0" t="s">
        <v>1329</v>
      </c>
      <c r="H2597" s="5">
        <v>6570.476100</v>
      </c>
    </row>
    <row r="2598" spans="1:9">
      <c r="A2598" s="22" t="str">
        <f>HYPERLINK("https://app.vivvix.com/360/KMI/IntelliDrive/ApplUI/Pages/CreativePages/CustomReportCreativeDetail.aspx?App=23&amp;ReportView=4&amp;Qid=1711279&amp;Row=2590&amp;Col=1","No Title Assigned - #15267533149")</f>
        <v/>
      </c>
      <c r="B2598" s="0" t="s">
        <v>3917</v>
      </c>
      <c r="C2598" s="0" t="s">
        <v>3918</v>
      </c>
      <c r="D2598" s="0" t="s">
        <v>3918</v>
      </c>
      <c r="E2598" s="0" t="inlineStr">
        <is>
          <t xml:space="preserve">Mazda</t>
        </is>
      </c>
      <c r="F2598" s="0" t="s">
        <v>28</v>
      </c>
      <c r="G2598" s="0" t="s">
        <v>29</v>
      </c>
      <c r="H2598" s="5">
        <v>839.981200</v>
      </c>
    </row>
    <row r="2599" spans="1:9">
      <c r="A2599" s="22" t="str">
        <f>HYPERLINK("https://app.vivvix.com/360/KMI/IntelliDrive/ApplUI/Pages/CreativePages/CustomReportCreativeDetail.aspx?App=23&amp;ReportView=4&amp;Qid=1711279&amp;Row=2591&amp;Col=1","No Title Assigned - #15267533456")</f>
        <v/>
      </c>
      <c r="B2599" s="0" t="s">
        <v>3919</v>
      </c>
      <c r="C2599" s="0" t="s">
        <v>3920</v>
      </c>
      <c r="D2599" s="0" t="s">
        <v>3920</v>
      </c>
      <c r="E2599" s="0" t="inlineStr">
        <is>
          <t xml:space="preserve">Mazda</t>
        </is>
      </c>
      <c r="F2599" s="0" t="s">
        <v>28</v>
      </c>
      <c r="G2599" s="0" t="s">
        <v>29</v>
      </c>
      <c r="H2599" s="5">
        <v>100.955500</v>
      </c>
    </row>
    <row r="2600" spans="1:9">
      <c r="A2600" s="22" t="str">
        <f>HYPERLINK("https://app.vivvix.com/360/KMI/IntelliDrive/ApplUI/Pages/CreativePages/CustomReportCreativeDetail.aspx?App=23&amp;ReportView=4&amp;Qid=1711279&amp;Row=2592&amp;Col=1","No Title Assigned - #15267533992")</f>
        <v/>
      </c>
      <c r="B2600" s="0" t="s">
        <v>3921</v>
      </c>
      <c r="C2600" s="0" t="s">
        <v>3922</v>
      </c>
      <c r="D2600" s="0" t="s">
        <v>3922</v>
      </c>
      <c r="E2600" s="0" t="inlineStr">
        <is>
          <t xml:space="preserve">Mazda</t>
        </is>
      </c>
      <c r="F2600" s="0" t="s">
        <v>28</v>
      </c>
      <c r="G2600" s="0" t="s">
        <v>29</v>
      </c>
      <c r="H2600" s="5">
        <v>1624.811000</v>
      </c>
    </row>
    <row r="2601" spans="1:9">
      <c r="A2601" s="22" t="str">
        <f>HYPERLINK("https://app.vivvix.com/360/KMI/IntelliDrive/ApplUI/Pages/CreativePages/CustomReportCreativeDetail.aspx?App=23&amp;ReportView=4&amp;Qid=1711279&amp;Row=2593&amp;Col=1","No Title Assigned - #15267537581")</f>
        <v/>
      </c>
      <c r="B2601" s="0" t="s">
        <v>3923</v>
      </c>
      <c r="C2601" s="0" t="s">
        <v>3924</v>
      </c>
      <c r="D2601" s="0" t="s">
        <v>3924</v>
      </c>
      <c r="E2601" s="0" t="inlineStr">
        <is>
          <t xml:space="preserve">Mazda</t>
        </is>
      </c>
      <c r="F2601" s="0" t="s">
        <v>21</v>
      </c>
      <c r="G2601" s="0" t="s">
        <v>22</v>
      </c>
      <c r="H2601" s="5">
        <v>623.683600</v>
      </c>
    </row>
    <row r="2602" spans="1:9">
      <c r="A2602" s="22" t="str">
        <f>HYPERLINK("https://app.vivvix.com/360/KMI/IntelliDrive/ApplUI/Pages/CreativePages/CustomReportCreativeDetail.aspx?App=23&amp;ReportView=4&amp;Qid=1711279&amp;Row=2594&amp;Col=1","No Title Assigned - #15267538113")</f>
        <v/>
      </c>
      <c r="B2602" s="0" t="s">
        <v>3925</v>
      </c>
      <c r="C2602" s="0" t="s">
        <v>3926</v>
      </c>
      <c r="D2602" s="0" t="s">
        <v>3926</v>
      </c>
      <c r="E2602" s="0" t="inlineStr">
        <is>
          <t xml:space="preserve">Mazda</t>
        </is>
      </c>
      <c r="F2602" s="0" t="s">
        <v>28</v>
      </c>
      <c r="G2602" s="0" t="s">
        <v>29</v>
      </c>
      <c r="H2602" s="5">
        <v>4456.153600</v>
      </c>
    </row>
    <row r="2603" spans="1:9">
      <c r="A2603" s="22" t="str">
        <f>HYPERLINK("https://app.vivvix.com/360/KMI/IntelliDrive/ApplUI/Pages/CreativePages/CustomReportCreativeDetail.aspx?App=23&amp;ReportView=4&amp;Qid=1711279&amp;Row=2595&amp;Col=1","No Title Assigned - #15267538113")</f>
        <v/>
      </c>
      <c r="B2603" s="0" t="s">
        <v>3925</v>
      </c>
      <c r="E2603" s="0" t="inlineStr">
        <is>
          <t xml:space="preserve">Mazda</t>
        </is>
      </c>
      <c r="F2603" s="0" t="s">
        <v>28</v>
      </c>
      <c r="G2603" s="0" t="s">
        <v>29</v>
      </c>
      <c r="H2603" s="5">
        <v>84.998600</v>
      </c>
    </row>
    <row r="2604" spans="1:9">
      <c r="A2604" s="22" t="str">
        <f>HYPERLINK("https://app.vivvix.com/360/KMI/IntelliDrive/ApplUI/Pages/CreativePages/CustomReportCreativeDetail.aspx?App=23&amp;ReportView=4&amp;Qid=1711279&amp;Row=2596&amp;Col=1","No Title Assigned - #15267538498")</f>
        <v/>
      </c>
      <c r="B2604" s="0" t="s">
        <v>3927</v>
      </c>
      <c r="C2604" s="0" t="s">
        <v>3928</v>
      </c>
      <c r="D2604" s="0" t="s">
        <v>3928</v>
      </c>
      <c r="E2604" s="0" t="inlineStr">
        <is>
          <t xml:space="preserve">Mazda</t>
        </is>
      </c>
      <c r="F2604" s="0" t="s">
        <v>28</v>
      </c>
      <c r="G2604" s="0" t="s">
        <v>29</v>
      </c>
      <c r="H2604" s="5">
        <v>2955.852200</v>
      </c>
    </row>
    <row r="2605" spans="1:9">
      <c r="A2605" s="22" t="str">
        <f>HYPERLINK("https://app.vivvix.com/360/KMI/IntelliDrive/ApplUI/Pages/CreativePages/CustomReportCreativeDetail.aspx?App=23&amp;ReportView=4&amp;Qid=1711279&amp;Row=2597&amp;Col=1","No Title Assigned - #15267538498")</f>
        <v/>
      </c>
      <c r="B2605" s="0" t="s">
        <v>3927</v>
      </c>
      <c r="E2605" s="0" t="inlineStr">
        <is>
          <t xml:space="preserve">Mazda</t>
        </is>
      </c>
      <c r="F2605" s="0" t="s">
        <v>28</v>
      </c>
      <c r="G2605" s="0" t="s">
        <v>29</v>
      </c>
      <c r="H2605" s="5">
        <v>14.349200</v>
      </c>
    </row>
    <row r="2606" spans="1:9">
      <c r="A2606" s="22" t="str">
        <f>HYPERLINK("https://app.vivvix.com/360/KMI/IntelliDrive/ApplUI/Pages/CreativePages/CustomReportCreativeDetail.aspx?App=23&amp;ReportView=4&amp;Qid=1711279&amp;Row=2598&amp;Col=1","No Title Assigned - #15267539518")</f>
        <v/>
      </c>
      <c r="B2606" s="0" t="s">
        <v>3929</v>
      </c>
      <c r="C2606" s="0" t="s">
        <v>3930</v>
      </c>
      <c r="D2606" s="0" t="s">
        <v>3930</v>
      </c>
      <c r="E2606" s="0" t="inlineStr">
        <is>
          <t xml:space="preserve">Mazda</t>
        </is>
      </c>
      <c r="F2606" s="0" t="s">
        <v>28</v>
      </c>
      <c r="G2606" s="0" t="s">
        <v>29</v>
      </c>
      <c r="H2606" s="5">
        <v>2249.701600</v>
      </c>
    </row>
    <row r="2607" spans="1:9">
      <c r="A2607" s="22" t="str">
        <f>HYPERLINK("https://app.vivvix.com/360/KMI/IntelliDrive/ApplUI/Pages/CreativePages/CustomReportCreativeDetail.aspx?App=23&amp;ReportView=4&amp;Qid=1711279&amp;Row=2599&amp;Col=1","No Title Assigned - #15267540079")</f>
        <v/>
      </c>
      <c r="B2607" s="0" t="s">
        <v>3931</v>
      </c>
      <c r="E2607" s="0" t="inlineStr">
        <is>
          <t xml:space="preserve">Mazda</t>
        </is>
      </c>
      <c r="F2607" s="0" t="s">
        <v>28</v>
      </c>
      <c r="G2607" s="0" t="s">
        <v>29</v>
      </c>
      <c r="H2607" s="5">
        <v>2492.742100</v>
      </c>
    </row>
    <row r="2608" spans="1:9">
      <c r="A2608" s="22" t="str">
        <f>HYPERLINK("https://app.vivvix.com/360/KMI/IntelliDrive/ApplUI/Pages/CreativePages/CustomReportCreativeDetail.aspx?App=23&amp;ReportView=4&amp;Qid=1711279&amp;Row=2600&amp;Col=1","No Title Assigned - #15267540079")</f>
        <v/>
      </c>
      <c r="B2608" s="0" t="s">
        <v>3931</v>
      </c>
      <c r="C2608" s="0" t="s">
        <v>3932</v>
      </c>
      <c r="D2608" s="0" t="s">
        <v>3932</v>
      </c>
      <c r="E2608" s="0" t="inlineStr">
        <is>
          <t xml:space="preserve">Mazda</t>
        </is>
      </c>
      <c r="F2608" s="0" t="s">
        <v>28</v>
      </c>
      <c r="G2608" s="0" t="s">
        <v>29</v>
      </c>
      <c r="H2608" s="5">
        <v>59.124600</v>
      </c>
    </row>
    <row r="2609" spans="1:9">
      <c r="A2609" s="22" t="str">
        <f>HYPERLINK("https://app.vivvix.com/360/KMI/IntelliDrive/ApplUI/Pages/CreativePages/CustomReportCreativeDetail.aspx?App=23&amp;ReportView=4&amp;Qid=1711279&amp;Row=2601&amp;Col=1","No Title Assigned - #15267540759")</f>
        <v/>
      </c>
      <c r="B2609" s="0" t="s">
        <v>3933</v>
      </c>
      <c r="C2609" s="0" t="s">
        <v>3934</v>
      </c>
      <c r="D2609" s="0" t="s">
        <v>3934</v>
      </c>
      <c r="E2609" s="0" t="inlineStr">
        <is>
          <t xml:space="preserve">Mazda</t>
        </is>
      </c>
      <c r="F2609" s="0" t="s">
        <v>28</v>
      </c>
      <c r="G2609" s="0" t="s">
        <v>29</v>
      </c>
      <c r="H2609" s="5">
        <v>20.655900</v>
      </c>
    </row>
    <row r="2610" spans="1:9">
      <c r="A2610" s="22" t="str">
        <f>HYPERLINK("https://app.vivvix.com/360/KMI/IntelliDrive/ApplUI/Pages/CreativePages/CustomReportCreativeDetail.aspx?App=23&amp;ReportView=4&amp;Qid=1711279&amp;Row=2602&amp;Col=1","No Title Assigned - #15267540791")</f>
        <v/>
      </c>
      <c r="B2610" s="0" t="s">
        <v>3935</v>
      </c>
      <c r="C2610" s="0" t="s">
        <v>3936</v>
      </c>
      <c r="D2610" s="0" t="s">
        <v>3936</v>
      </c>
      <c r="E2610" s="0" t="inlineStr">
        <is>
          <t xml:space="preserve">Mazda</t>
        </is>
      </c>
      <c r="F2610" s="0" t="s">
        <v>28</v>
      </c>
      <c r="G2610" s="0" t="s">
        <v>29</v>
      </c>
      <c r="H2610" s="5">
        <v>5430.299400</v>
      </c>
    </row>
    <row r="2611" spans="1:9">
      <c r="A2611" s="22" t="str">
        <f>HYPERLINK("https://app.vivvix.com/360/KMI/IntelliDrive/ApplUI/Pages/CreativePages/CustomReportCreativeDetail.aspx?App=23&amp;ReportView=4&amp;Qid=1711279&amp;Row=2603&amp;Col=1","No Title Assigned - #15267540791")</f>
        <v/>
      </c>
      <c r="B2611" s="0" t="s">
        <v>3935</v>
      </c>
      <c r="E2611" s="0" t="inlineStr">
        <is>
          <t xml:space="preserve">Mazda</t>
        </is>
      </c>
      <c r="F2611" s="0" t="s">
        <v>28</v>
      </c>
      <c r="G2611" s="0" t="s">
        <v>29</v>
      </c>
      <c r="H2611" s="5">
        <v>4877.849900</v>
      </c>
    </row>
    <row r="2612" spans="1:9">
      <c r="A2612" s="22" t="str">
        <f>HYPERLINK("https://app.vivvix.com/360/KMI/IntelliDrive/ApplUI/Pages/CreativePages/CustomReportCreativeDetail.aspx?App=23&amp;ReportView=4&amp;Qid=1711279&amp;Row=2604&amp;Col=1","No Title Assigned - #15267541644")</f>
        <v/>
      </c>
      <c r="B2612" s="0" t="s">
        <v>3937</v>
      </c>
      <c r="C2612" s="0" t="s">
        <v>3938</v>
      </c>
      <c r="D2612" s="0" t="s">
        <v>3938</v>
      </c>
      <c r="E2612" s="0" t="inlineStr">
        <is>
          <t xml:space="preserve">Mazda</t>
        </is>
      </c>
      <c r="F2612" s="0" t="s">
        <v>13</v>
      </c>
      <c r="G2612" s="0" t="s">
        <v>49</v>
      </c>
      <c r="H2612" s="5">
        <v>951.614400</v>
      </c>
    </row>
    <row r="2613" spans="1:9">
      <c r="A2613" s="22" t="str">
        <f>HYPERLINK("https://app.vivvix.com/360/KMI/IntelliDrive/ApplUI/Pages/CreativePages/CustomReportCreativeDetail.aspx?App=23&amp;ReportView=4&amp;Qid=1711279&amp;Row=2605&amp;Col=1","No Title Assigned - #15267542135")</f>
        <v/>
      </c>
      <c r="B2613" s="0" t="s">
        <v>3939</v>
      </c>
      <c r="C2613" s="0" t="s">
        <v>3940</v>
      </c>
      <c r="D2613" s="0" t="s">
        <v>3940</v>
      </c>
      <c r="E2613" s="0" t="inlineStr">
        <is>
          <t xml:space="preserve">Mazda</t>
        </is>
      </c>
      <c r="F2613" s="0" t="s">
        <v>28</v>
      </c>
      <c r="G2613" s="0" t="s">
        <v>29</v>
      </c>
      <c r="H2613" s="5">
        <v>3819.146500</v>
      </c>
    </row>
    <row r="2614" spans="1:9">
      <c r="A2614" s="22" t="str">
        <f>HYPERLINK("https://app.vivvix.com/360/KMI/IntelliDrive/ApplUI/Pages/CreativePages/CustomReportCreativeDetail.aspx?App=23&amp;ReportView=4&amp;Qid=1711279&amp;Row=2606&amp;Col=1","No Title Assigned - #15267543680")</f>
        <v/>
      </c>
      <c r="B2614" s="0" t="s">
        <v>3941</v>
      </c>
      <c r="C2614" s="0" t="s">
        <v>3942</v>
      </c>
      <c r="D2614" s="0" t="s">
        <v>3942</v>
      </c>
      <c r="E2614" s="0" t="inlineStr">
        <is>
          <t xml:space="preserve">Mazda</t>
        </is>
      </c>
      <c r="F2614" s="0" t="s">
        <v>28</v>
      </c>
      <c r="G2614" s="0" t="s">
        <v>29</v>
      </c>
      <c r="H2614" s="5">
        <v>92.207800</v>
      </c>
    </row>
    <row r="2615" spans="1:9">
      <c r="A2615" s="22" t="str">
        <f>HYPERLINK("https://app.vivvix.com/360/KMI/IntelliDrive/ApplUI/Pages/CreativePages/CustomReportCreativeDetail.aspx?App=23&amp;ReportView=4&amp;Qid=1711279&amp;Row=2607&amp;Col=1","No Title Assigned - #15267546255")</f>
        <v/>
      </c>
      <c r="B2615" s="0" t="s">
        <v>3943</v>
      </c>
      <c r="C2615" s="0" t="s">
        <v>3944</v>
      </c>
      <c r="D2615" s="0" t="s">
        <v>3944</v>
      </c>
      <c r="E2615" s="0" t="inlineStr">
        <is>
          <t xml:space="preserve">Mazda</t>
        </is>
      </c>
      <c r="F2615" s="0" t="s">
        <v>28</v>
      </c>
      <c r="G2615" s="0" t="s">
        <v>29</v>
      </c>
      <c r="H2615" s="5">
        <v>320.434600</v>
      </c>
    </row>
    <row r="2616" spans="1:9">
      <c r="A2616" s="22" t="str">
        <f>HYPERLINK("https://app.vivvix.com/360/KMI/IntelliDrive/ApplUI/Pages/CreativePages/CustomReportCreativeDetail.aspx?App=23&amp;ReportView=4&amp;Qid=1711279&amp;Row=2608&amp;Col=1","No Title Assigned - #15267546306")</f>
        <v/>
      </c>
      <c r="B2616" s="0" t="s">
        <v>3945</v>
      </c>
      <c r="C2616" s="0" t="s">
        <v>3946</v>
      </c>
      <c r="D2616" s="0" t="s">
        <v>3946</v>
      </c>
      <c r="E2616" s="0" t="inlineStr">
        <is>
          <t xml:space="preserve">Mazda</t>
        </is>
      </c>
      <c r="F2616" s="0" t="s">
        <v>28</v>
      </c>
      <c r="G2616" s="0" t="s">
        <v>29</v>
      </c>
      <c r="H2616" s="5">
        <v>553.939300</v>
      </c>
    </row>
    <row r="2617" spans="1:9">
      <c r="A2617" s="22" t="str">
        <f>HYPERLINK("https://app.vivvix.com/360/KMI/IntelliDrive/ApplUI/Pages/CreativePages/CustomReportCreativeDetail.aspx?App=23&amp;ReportView=4&amp;Qid=1711279&amp;Row=2609&amp;Col=1","No Title Assigned - #15267546864")</f>
        <v/>
      </c>
      <c r="B2617" s="0" t="s">
        <v>3947</v>
      </c>
      <c r="C2617" s="0" t="s">
        <v>3948</v>
      </c>
      <c r="D2617" s="0" t="s">
        <v>3948</v>
      </c>
      <c r="E2617" s="0" t="inlineStr">
        <is>
          <t xml:space="preserve">Mazda</t>
        </is>
      </c>
      <c r="F2617" s="0" t="s">
        <v>28</v>
      </c>
      <c r="G2617" s="0" t="s">
        <v>29</v>
      </c>
      <c r="H2617" s="5">
        <v>3987.932500</v>
      </c>
    </row>
    <row r="2618" spans="1:9">
      <c r="A2618" s="22" t="str">
        <f>HYPERLINK("https://app.vivvix.com/360/KMI/IntelliDrive/ApplUI/Pages/CreativePages/CustomReportCreativeDetail.aspx?App=23&amp;ReportView=4&amp;Qid=1711279&amp;Row=2610&amp;Col=1","No Title Assigned - #15267547318")</f>
        <v/>
      </c>
      <c r="B2618" s="0" t="s">
        <v>3949</v>
      </c>
      <c r="C2618" s="0" t="s">
        <v>3950</v>
      </c>
      <c r="D2618" s="0" t="s">
        <v>3950</v>
      </c>
      <c r="E2618" s="0" t="inlineStr">
        <is>
          <t xml:space="preserve">Mazda</t>
        </is>
      </c>
      <c r="F2618" s="0" t="s">
        <v>28</v>
      </c>
      <c r="G2618" s="0" t="s">
        <v>29</v>
      </c>
      <c r="H2618" s="5">
        <v>685.428500</v>
      </c>
    </row>
    <row r="2619" spans="1:9">
      <c r="A2619" s="22" t="str">
        <f>HYPERLINK("https://app.vivvix.com/360/KMI/IntelliDrive/ApplUI/Pages/CreativePages/CustomReportCreativeDetail.aspx?App=23&amp;ReportView=4&amp;Qid=1711279&amp;Row=2611&amp;Col=1","No Title Assigned - #15267547318")</f>
        <v/>
      </c>
      <c r="B2619" s="0" t="s">
        <v>3949</v>
      </c>
      <c r="E2619" s="0" t="inlineStr">
        <is>
          <t xml:space="preserve">Mazda</t>
        </is>
      </c>
      <c r="F2619" s="0" t="s">
        <v>28</v>
      </c>
      <c r="G2619" s="0" t="s">
        <v>29</v>
      </c>
      <c r="H2619" s="5">
        <v>13.887800</v>
      </c>
    </row>
    <row r="2620" spans="1:9">
      <c r="A2620" s="22" t="str">
        <f>HYPERLINK("https://app.vivvix.com/360/KMI/IntelliDrive/ApplUI/Pages/CreativePages/CustomReportCreativeDetail.aspx?App=23&amp;ReportView=4&amp;Qid=1711279&amp;Row=2612&amp;Col=1","No Title Assigned - #15267547800")</f>
        <v/>
      </c>
      <c r="B2620" s="0" t="s">
        <v>3951</v>
      </c>
      <c r="C2620" s="0" t="s">
        <v>3952</v>
      </c>
      <c r="D2620" s="0" t="s">
        <v>3952</v>
      </c>
      <c r="E2620" s="0" t="inlineStr">
        <is>
          <t xml:space="preserve">Mazda</t>
        </is>
      </c>
      <c r="F2620" s="0" t="s">
        <v>28</v>
      </c>
      <c r="G2620" s="0" t="s">
        <v>29</v>
      </c>
      <c r="H2620" s="5">
        <v>305.694200</v>
      </c>
    </row>
    <row r="2621" spans="1:9">
      <c r="A2621" s="22" t="str">
        <f>HYPERLINK("https://app.vivvix.com/360/KMI/IntelliDrive/ApplUI/Pages/CreativePages/CustomReportCreativeDetail.aspx?App=23&amp;ReportView=4&amp;Qid=1711279&amp;Row=2613&amp;Col=1","No Title Assigned - #15267548382")</f>
        <v/>
      </c>
      <c r="B2621" s="0" t="s">
        <v>3953</v>
      </c>
      <c r="C2621" s="0" t="s">
        <v>3954</v>
      </c>
      <c r="D2621" s="0" t="s">
        <v>3954</v>
      </c>
      <c r="E2621" s="0" t="inlineStr">
        <is>
          <t xml:space="preserve">Mazda</t>
        </is>
      </c>
      <c r="F2621" s="0" t="s">
        <v>28</v>
      </c>
      <c r="G2621" s="0" t="s">
        <v>29</v>
      </c>
      <c r="H2621" s="5">
        <v>458.800300</v>
      </c>
    </row>
    <row r="2622" spans="1:9">
      <c r="A2622" s="22" t="str">
        <f>HYPERLINK("https://app.vivvix.com/360/KMI/IntelliDrive/ApplUI/Pages/CreativePages/CustomReportCreativeDetail.aspx?App=23&amp;ReportView=4&amp;Qid=1711279&amp;Row=2614&amp;Col=1","No Title Assigned - #15267548422")</f>
        <v/>
      </c>
      <c r="B2622" s="0" t="s">
        <v>3955</v>
      </c>
      <c r="C2622" s="0" t="s">
        <v>3956</v>
      </c>
      <c r="D2622" s="0" t="s">
        <v>3956</v>
      </c>
      <c r="E2622" s="0" t="inlineStr">
        <is>
          <t xml:space="preserve">Mazda</t>
        </is>
      </c>
      <c r="F2622" s="0" t="s">
        <v>28</v>
      </c>
      <c r="G2622" s="0" t="s">
        <v>29</v>
      </c>
      <c r="H2622" s="5">
        <v>646.057600</v>
      </c>
    </row>
    <row r="2623" spans="1:9">
      <c r="A2623" s="22" t="str">
        <f>HYPERLINK("https://app.vivvix.com/360/KMI/IntelliDrive/ApplUI/Pages/CreativePages/CustomReportCreativeDetail.aspx?App=23&amp;ReportView=4&amp;Qid=1711279&amp;Row=2615&amp;Col=1","No Title Assigned - #15267549067")</f>
        <v/>
      </c>
      <c r="B2623" s="0" t="s">
        <v>3957</v>
      </c>
      <c r="C2623" s="0" t="s">
        <v>3958</v>
      </c>
      <c r="D2623" s="0" t="s">
        <v>3958</v>
      </c>
      <c r="E2623" s="0" t="inlineStr">
        <is>
          <t xml:space="preserve">Mazda</t>
        </is>
      </c>
      <c r="F2623" s="0" t="s">
        <v>28</v>
      </c>
      <c r="G2623" s="0" t="s">
        <v>29</v>
      </c>
      <c r="H2623" s="5">
        <v>1163.828900</v>
      </c>
    </row>
    <row r="2624" spans="1:9">
      <c r="A2624" s="22" t="str">
        <f>HYPERLINK("https://app.vivvix.com/360/KMI/IntelliDrive/ApplUI/Pages/CreativePages/CustomReportCreativeDetail.aspx?App=23&amp;ReportView=4&amp;Qid=1711279&amp;Row=2616&amp;Col=1","No Title Assigned - #15267549067")</f>
        <v/>
      </c>
      <c r="B2624" s="0" t="s">
        <v>3957</v>
      </c>
      <c r="E2624" s="0" t="inlineStr">
        <is>
          <t xml:space="preserve">Mazda</t>
        </is>
      </c>
      <c r="F2624" s="0" t="s">
        <v>28</v>
      </c>
      <c r="G2624" s="0" t="s">
        <v>29</v>
      </c>
      <c r="H2624" s="5">
        <v>4217.383100</v>
      </c>
    </row>
    <row r="2625" spans="1:9">
      <c r="A2625" s="22" t="str">
        <f>HYPERLINK("https://app.vivvix.com/360/KMI/IntelliDrive/ApplUI/Pages/CreativePages/CustomReportCreativeDetail.aspx?App=23&amp;ReportView=4&amp;Qid=1711279&amp;Row=2617&amp;Col=1","No Title Assigned - #15267549079")</f>
        <v/>
      </c>
      <c r="B2625" s="0" t="s">
        <v>3959</v>
      </c>
      <c r="C2625" s="0" t="s">
        <v>3960</v>
      </c>
      <c r="D2625" s="0" t="s">
        <v>3960</v>
      </c>
      <c r="E2625" s="0" t="inlineStr">
        <is>
          <t xml:space="preserve">Mazda</t>
        </is>
      </c>
      <c r="F2625" s="0" t="s">
        <v>28</v>
      </c>
      <c r="G2625" s="0" t="s">
        <v>29</v>
      </c>
      <c r="H2625" s="5">
        <v>344.818800</v>
      </c>
    </row>
    <row r="2626" spans="1:9">
      <c r="A2626" s="22" t="str">
        <f>HYPERLINK("https://app.vivvix.com/360/KMI/IntelliDrive/ApplUI/Pages/CreativePages/CustomReportCreativeDetail.aspx?App=23&amp;ReportView=4&amp;Qid=1711279&amp;Row=2618&amp;Col=1","No Title Assigned - #15267549218")</f>
        <v/>
      </c>
      <c r="B2626" s="0" t="s">
        <v>3961</v>
      </c>
      <c r="C2626" s="0" t="s">
        <v>3962</v>
      </c>
      <c r="D2626" s="0" t="s">
        <v>3962</v>
      </c>
      <c r="E2626" s="0" t="inlineStr">
        <is>
          <t xml:space="preserve">Mazda</t>
        </is>
      </c>
      <c r="F2626" s="0" t="s">
        <v>28</v>
      </c>
      <c r="G2626" s="0" t="s">
        <v>29</v>
      </c>
      <c r="H2626" s="5">
        <v>1200.621500</v>
      </c>
    </row>
    <row r="2627" spans="1:9">
      <c r="A2627" s="22" t="str">
        <f>HYPERLINK("https://app.vivvix.com/360/KMI/IntelliDrive/ApplUI/Pages/CreativePages/CustomReportCreativeDetail.aspx?App=23&amp;ReportView=4&amp;Qid=1711279&amp;Row=2619&amp;Col=1","No Title Assigned - #15267549513")</f>
        <v/>
      </c>
      <c r="B2627" s="0" t="s">
        <v>3963</v>
      </c>
      <c r="E2627" s="0" t="inlineStr">
        <is>
          <t xml:space="preserve">Mazda</t>
        </is>
      </c>
      <c r="F2627" s="0" t="s">
        <v>28</v>
      </c>
      <c r="G2627" s="0" t="s">
        <v>29</v>
      </c>
      <c r="H2627" s="5">
        <v>11388.287900</v>
      </c>
    </row>
    <row r="2628" spans="1:9">
      <c r="A2628" s="22" t="str">
        <f>HYPERLINK("https://app.vivvix.com/360/KMI/IntelliDrive/ApplUI/Pages/CreativePages/CustomReportCreativeDetail.aspx?App=23&amp;ReportView=4&amp;Qid=1711279&amp;Row=2620&amp;Col=1","No Title Assigned - #15267549513")</f>
        <v/>
      </c>
      <c r="B2628" s="0" t="s">
        <v>3963</v>
      </c>
      <c r="C2628" s="0" t="s">
        <v>3964</v>
      </c>
      <c r="D2628" s="0" t="s">
        <v>3964</v>
      </c>
      <c r="E2628" s="0" t="inlineStr">
        <is>
          <t xml:space="preserve">Mazda</t>
        </is>
      </c>
      <c r="F2628" s="0" t="s">
        <v>28</v>
      </c>
      <c r="G2628" s="0" t="s">
        <v>29</v>
      </c>
      <c r="H2628" s="5">
        <v>14174.873600</v>
      </c>
    </row>
    <row r="2629" spans="1:9">
      <c r="A2629" s="22" t="str">
        <f>HYPERLINK("https://app.vivvix.com/360/KMI/IntelliDrive/ApplUI/Pages/CreativePages/CustomReportCreativeDetail.aspx?App=23&amp;ReportView=4&amp;Qid=1711279&amp;Row=2621&amp;Col=1","No Title Assigned - #15267549975")</f>
        <v/>
      </c>
      <c r="B2629" s="0" t="s">
        <v>3965</v>
      </c>
      <c r="C2629" s="0" t="s">
        <v>3966</v>
      </c>
      <c r="D2629" s="0" t="s">
        <v>3966</v>
      </c>
      <c r="E2629" s="0" t="inlineStr">
        <is>
          <t xml:space="preserve">Mazda</t>
        </is>
      </c>
      <c r="F2629" s="0" t="s">
        <v>28</v>
      </c>
      <c r="G2629" s="0" t="s">
        <v>29</v>
      </c>
      <c r="H2629" s="5">
        <v>63.400100</v>
      </c>
    </row>
    <row r="2630" spans="1:9">
      <c r="A2630" s="22" t="str">
        <f>HYPERLINK("https://app.vivvix.com/360/KMI/IntelliDrive/ApplUI/Pages/CreativePages/CustomReportCreativeDetail.aspx?App=23&amp;ReportView=4&amp;Qid=1711279&amp;Row=2622&amp;Col=1","No Title Assigned - #15267550145")</f>
        <v/>
      </c>
      <c r="B2630" s="0" t="s">
        <v>3967</v>
      </c>
      <c r="C2630" s="0" t="s">
        <v>3968</v>
      </c>
      <c r="D2630" s="0" t="s">
        <v>3968</v>
      </c>
      <c r="E2630" s="0" t="inlineStr">
        <is>
          <t xml:space="preserve">Mazda</t>
        </is>
      </c>
      <c r="F2630" s="0" t="s">
        <v>28</v>
      </c>
      <c r="G2630" s="0" t="s">
        <v>29</v>
      </c>
      <c r="H2630" s="5">
        <v>1927.763700</v>
      </c>
    </row>
    <row r="2631" spans="1:9">
      <c r="A2631" s="22" t="str">
        <f>HYPERLINK("https://app.vivvix.com/360/KMI/IntelliDrive/ApplUI/Pages/CreativePages/CustomReportCreativeDetail.aspx?App=23&amp;ReportView=4&amp;Qid=1711279&amp;Row=2623&amp;Col=1","No Title Assigned - #15267550443")</f>
        <v/>
      </c>
      <c r="B2631" s="0" t="s">
        <v>3969</v>
      </c>
      <c r="C2631" s="0" t="s">
        <v>3970</v>
      </c>
      <c r="D2631" s="0" t="s">
        <v>3970</v>
      </c>
      <c r="E2631" s="0" t="inlineStr">
        <is>
          <t xml:space="preserve">Mazda</t>
        </is>
      </c>
      <c r="F2631" s="0" t="s">
        <v>28</v>
      </c>
      <c r="G2631" s="0" t="s">
        <v>29</v>
      </c>
      <c r="H2631" s="5">
        <v>48.003600</v>
      </c>
    </row>
    <row r="2632" spans="1:9">
      <c r="A2632" s="22" t="str">
        <f>HYPERLINK("https://app.vivvix.com/360/KMI/IntelliDrive/ApplUI/Pages/CreativePages/CustomReportCreativeDetail.aspx?App=23&amp;ReportView=4&amp;Qid=1711279&amp;Row=2624&amp;Col=1","No Title Assigned - #15267550720")</f>
        <v/>
      </c>
      <c r="B2632" s="0" t="s">
        <v>3971</v>
      </c>
      <c r="C2632" s="0" t="s">
        <v>3972</v>
      </c>
      <c r="D2632" s="0" t="s">
        <v>3972</v>
      </c>
      <c r="E2632" s="0" t="inlineStr">
        <is>
          <t xml:space="preserve">Mazda</t>
        </is>
      </c>
      <c r="F2632" s="0" t="s">
        <v>28</v>
      </c>
      <c r="G2632" s="0" t="s">
        <v>29</v>
      </c>
      <c r="H2632" s="5">
        <v>1098.657000</v>
      </c>
    </row>
    <row r="2633" spans="1:9">
      <c r="A2633" s="22" t="str">
        <f>HYPERLINK("https://app.vivvix.com/360/KMI/IntelliDrive/ApplUI/Pages/CreativePages/CustomReportCreativeDetail.aspx?App=23&amp;ReportView=4&amp;Qid=1711279&amp;Row=2625&amp;Col=1","No Title Assigned - #15267550720")</f>
        <v/>
      </c>
      <c r="B2633" s="0" t="s">
        <v>3971</v>
      </c>
      <c r="E2633" s="0" t="inlineStr">
        <is>
          <t xml:space="preserve">Mazda</t>
        </is>
      </c>
      <c r="F2633" s="0" t="s">
        <v>28</v>
      </c>
      <c r="G2633" s="0" t="s">
        <v>29</v>
      </c>
      <c r="H2633" s="5">
        <v>1209.105900</v>
      </c>
    </row>
    <row r="2634" spans="1:9">
      <c r="A2634" s="22" t="str">
        <f>HYPERLINK("https://app.vivvix.com/360/KMI/IntelliDrive/ApplUI/Pages/CreativePages/CustomReportCreativeDetail.aspx?App=23&amp;ReportView=4&amp;Qid=1711279&amp;Row=2626&amp;Col=1","No Title Assigned - #15267550735")</f>
        <v/>
      </c>
      <c r="B2634" s="0" t="s">
        <v>3973</v>
      </c>
      <c r="C2634" s="0" t="s">
        <v>3974</v>
      </c>
      <c r="D2634" s="0" t="s">
        <v>3974</v>
      </c>
      <c r="E2634" s="0" t="inlineStr">
        <is>
          <t xml:space="preserve">Mazda</t>
        </is>
      </c>
      <c r="F2634" s="0" t="s">
        <v>3975</v>
      </c>
      <c r="G2634" s="0" t="s">
        <v>3976</v>
      </c>
      <c r="H2634" s="5">
        <v>662.490600</v>
      </c>
    </row>
    <row r="2635" spans="1:9">
      <c r="A2635" s="22" t="str">
        <f>HYPERLINK("https://app.vivvix.com/360/KMI/IntelliDrive/ApplUI/Pages/CreativePages/CustomReportCreativeDetail.aspx?App=23&amp;ReportView=4&amp;Qid=1711279&amp;Row=2627&amp;Col=1","No Title Assigned - #15267550932")</f>
        <v/>
      </c>
      <c r="B2635" s="0" t="s">
        <v>3977</v>
      </c>
      <c r="C2635" s="0" t="s">
        <v>3978</v>
      </c>
      <c r="D2635" s="0" t="s">
        <v>3978</v>
      </c>
      <c r="E2635" s="0" t="inlineStr">
        <is>
          <t xml:space="preserve">Mazda</t>
        </is>
      </c>
      <c r="F2635" s="0" t="s">
        <v>28</v>
      </c>
      <c r="G2635" s="0" t="s">
        <v>29</v>
      </c>
      <c r="H2635" s="5">
        <v>123.813200</v>
      </c>
    </row>
    <row r="2636" spans="1:9">
      <c r="A2636" s="22" t="str">
        <f>HYPERLINK("https://app.vivvix.com/360/KMI/IntelliDrive/ApplUI/Pages/CreativePages/CustomReportCreativeDetail.aspx?App=23&amp;ReportView=4&amp;Qid=1711279&amp;Row=2628&amp;Col=1","No Title Assigned - #15267553314")</f>
        <v/>
      </c>
      <c r="B2636" s="0" t="s">
        <v>3979</v>
      </c>
      <c r="C2636" s="0" t="s">
        <v>3980</v>
      </c>
      <c r="D2636" s="0" t="s">
        <v>3980</v>
      </c>
      <c r="E2636" s="0" t="inlineStr">
        <is>
          <t xml:space="preserve">Mazda</t>
        </is>
      </c>
      <c r="F2636" s="0" t="s">
        <v>28</v>
      </c>
      <c r="G2636" s="0" t="s">
        <v>29</v>
      </c>
      <c r="H2636" s="5">
        <v>291.004700</v>
      </c>
    </row>
    <row r="2637" spans="1:9">
      <c r="A2637" s="22" t="str">
        <f>HYPERLINK("https://app.vivvix.com/360/KMI/IntelliDrive/ApplUI/Pages/CreativePages/CustomReportCreativeDetail.aspx?App=23&amp;ReportView=4&amp;Qid=1711279&amp;Row=2629&amp;Col=1","No Title Assigned - #15267554101")</f>
        <v/>
      </c>
      <c r="B2637" s="0" t="s">
        <v>3981</v>
      </c>
      <c r="E2637" s="0" t="inlineStr">
        <is>
          <t xml:space="preserve">Mazda</t>
        </is>
      </c>
      <c r="F2637" s="0" t="s">
        <v>28</v>
      </c>
      <c r="G2637" s="0" t="s">
        <v>29</v>
      </c>
      <c r="H2637" s="5">
        <v>12096.640700</v>
      </c>
    </row>
    <row r="2638" spans="1:9">
      <c r="A2638" s="22" t="str">
        <f>HYPERLINK("https://app.vivvix.com/360/KMI/IntelliDrive/ApplUI/Pages/CreativePages/CustomReportCreativeDetail.aspx?App=23&amp;ReportView=4&amp;Qid=1711279&amp;Row=2630&amp;Col=1","No Title Assigned - #15267554101")</f>
        <v/>
      </c>
      <c r="B2638" s="0" t="s">
        <v>3981</v>
      </c>
      <c r="C2638" s="0" t="s">
        <v>3982</v>
      </c>
      <c r="D2638" s="0" t="s">
        <v>3982</v>
      </c>
      <c r="E2638" s="0" t="inlineStr">
        <is>
          <t xml:space="preserve">Mazda</t>
        </is>
      </c>
      <c r="F2638" s="0" t="s">
        <v>28</v>
      </c>
      <c r="G2638" s="0" t="s">
        <v>29</v>
      </c>
      <c r="H2638" s="5">
        <v>2237.100700</v>
      </c>
    </row>
    <row r="2639" spans="1:9">
      <c r="A2639" s="22" t="str">
        <f>HYPERLINK("https://app.vivvix.com/360/KMI/IntelliDrive/ApplUI/Pages/CreativePages/CustomReportCreativeDetail.aspx?App=23&amp;ReportView=4&amp;Qid=1711279&amp;Row=2631&amp;Col=1","No Title Assigned - #15267555033")</f>
        <v/>
      </c>
      <c r="B2639" s="0" t="s">
        <v>3983</v>
      </c>
      <c r="C2639" s="0" t="s">
        <v>3984</v>
      </c>
      <c r="D2639" s="0" t="s">
        <v>3984</v>
      </c>
      <c r="E2639" s="0" t="inlineStr">
        <is>
          <t xml:space="preserve">Mazda</t>
        </is>
      </c>
      <c r="F2639" s="0" t="s">
        <v>28</v>
      </c>
      <c r="G2639" s="0" t="s">
        <v>29</v>
      </c>
      <c r="H2639" s="5">
        <v>969.748900</v>
      </c>
    </row>
    <row r="2640" spans="1:9">
      <c r="A2640" s="22" t="str">
        <f>HYPERLINK("https://app.vivvix.com/360/KMI/IntelliDrive/ApplUI/Pages/CreativePages/CustomReportCreativeDetail.aspx?App=23&amp;ReportView=4&amp;Qid=1711279&amp;Row=2632&amp;Col=1","No Title Assigned - #15267555895")</f>
        <v/>
      </c>
      <c r="B2640" s="0" t="s">
        <v>3985</v>
      </c>
      <c r="C2640" s="0" t="s">
        <v>3986</v>
      </c>
      <c r="D2640" s="0" t="s">
        <v>3986</v>
      </c>
      <c r="E2640" s="0" t="inlineStr">
        <is>
          <t xml:space="preserve">Mazda</t>
        </is>
      </c>
      <c r="F2640" s="0" t="s">
        <v>17</v>
      </c>
      <c r="G2640" s="0" t="s">
        <v>33</v>
      </c>
      <c r="H2640" s="5">
        <v>2118.421400</v>
      </c>
    </row>
    <row r="2641" spans="1:9">
      <c r="A2641" s="22" t="str">
        <f>HYPERLINK("https://app.vivvix.com/360/KMI/IntelliDrive/ApplUI/Pages/CreativePages/CustomReportCreativeDetail.aspx?App=23&amp;ReportView=4&amp;Qid=1711279&amp;Row=2633&amp;Col=1","No Title Assigned - #15267556781")</f>
        <v/>
      </c>
      <c r="B2641" s="0" t="s">
        <v>3987</v>
      </c>
      <c r="E2641" s="0" t="inlineStr">
        <is>
          <t xml:space="preserve">Mazda</t>
        </is>
      </c>
      <c r="F2641" s="0" t="s">
        <v>28</v>
      </c>
      <c r="G2641" s="0" t="s">
        <v>29</v>
      </c>
      <c r="H2641" s="5">
        <v>881.924600</v>
      </c>
    </row>
    <row r="2642" spans="1:9">
      <c r="A2642" s="22" t="str">
        <f>HYPERLINK("https://app.vivvix.com/360/KMI/IntelliDrive/ApplUI/Pages/CreativePages/CustomReportCreativeDetail.aspx?App=23&amp;ReportView=4&amp;Qid=1711279&amp;Row=2634&amp;Col=1","No Title Assigned - #15267556781")</f>
        <v/>
      </c>
      <c r="B2642" s="0" t="s">
        <v>3987</v>
      </c>
      <c r="C2642" s="0" t="s">
        <v>3988</v>
      </c>
      <c r="D2642" s="0" t="s">
        <v>3988</v>
      </c>
      <c r="E2642" s="0" t="inlineStr">
        <is>
          <t xml:space="preserve">Mazda</t>
        </is>
      </c>
      <c r="F2642" s="0" t="s">
        <v>28</v>
      </c>
      <c r="G2642" s="0" t="s">
        <v>29</v>
      </c>
      <c r="H2642" s="5">
        <v>30669.150900</v>
      </c>
    </row>
    <row r="2643" spans="1:9">
      <c r="A2643" s="22" t="str">
        <f>HYPERLINK("https://app.vivvix.com/360/KMI/IntelliDrive/ApplUI/Pages/CreativePages/CustomReportCreativeDetail.aspx?App=23&amp;ReportView=4&amp;Qid=1711279&amp;Row=2635&amp;Col=1","No Title Assigned - #15267557237")</f>
        <v/>
      </c>
      <c r="B2643" s="0" t="s">
        <v>3989</v>
      </c>
      <c r="C2643" s="0" t="s">
        <v>3990</v>
      </c>
      <c r="D2643" s="0" t="s">
        <v>3990</v>
      </c>
      <c r="E2643" s="0" t="inlineStr">
        <is>
          <t xml:space="preserve">Mazda</t>
        </is>
      </c>
      <c r="F2643" s="0" t="s">
        <v>28</v>
      </c>
      <c r="G2643" s="0" t="s">
        <v>29</v>
      </c>
      <c r="H2643" s="5">
        <v>54.659400</v>
      </c>
    </row>
    <row r="2644" spans="1:9">
      <c r="A2644" s="22" t="str">
        <f>HYPERLINK("https://app.vivvix.com/360/KMI/IntelliDrive/ApplUI/Pages/CreativePages/CustomReportCreativeDetail.aspx?App=23&amp;ReportView=4&amp;Qid=1711279&amp;Row=2636&amp;Col=1","No Title Assigned - #15267557258")</f>
        <v/>
      </c>
      <c r="B2644" s="0" t="s">
        <v>3991</v>
      </c>
      <c r="C2644" s="0" t="s">
        <v>3992</v>
      </c>
      <c r="D2644" s="0" t="s">
        <v>3992</v>
      </c>
      <c r="E2644" s="0" t="inlineStr">
        <is>
          <t xml:space="preserve">Mazda</t>
        </is>
      </c>
      <c r="F2644" s="0" t="s">
        <v>28</v>
      </c>
      <c r="G2644" s="0" t="s">
        <v>29</v>
      </c>
      <c r="H2644" s="5">
        <v>249.116500</v>
      </c>
    </row>
    <row r="2645" spans="1:9">
      <c r="A2645" s="22" t="str">
        <f>HYPERLINK("https://app.vivvix.com/360/KMI/IntelliDrive/ApplUI/Pages/CreativePages/CustomReportCreativeDetail.aspx?App=23&amp;ReportView=4&amp;Qid=1711279&amp;Row=2637&amp;Col=1","No Title Assigned - #15267557329")</f>
        <v/>
      </c>
      <c r="B2645" s="0" t="s">
        <v>3993</v>
      </c>
      <c r="C2645" s="0" t="s">
        <v>3994</v>
      </c>
      <c r="D2645" s="0" t="s">
        <v>3994</v>
      </c>
      <c r="E2645" s="0" t="inlineStr">
        <is>
          <t xml:space="preserve">Mazda</t>
        </is>
      </c>
      <c r="F2645" s="0" t="s">
        <v>28</v>
      </c>
      <c r="G2645" s="0" t="s">
        <v>29</v>
      </c>
      <c r="H2645" s="5">
        <v>181.501400</v>
      </c>
    </row>
    <row r="2646" spans="1:9">
      <c r="A2646" s="22" t="str">
        <f>HYPERLINK("https://app.vivvix.com/360/KMI/IntelliDrive/ApplUI/Pages/CreativePages/CustomReportCreativeDetail.aspx?App=23&amp;ReportView=4&amp;Qid=1711279&amp;Row=2638&amp;Col=1","No Title Assigned - #15267557876")</f>
        <v/>
      </c>
      <c r="B2646" s="0" t="s">
        <v>3995</v>
      </c>
      <c r="E2646" s="0" t="inlineStr">
        <is>
          <t xml:space="preserve">Mazda</t>
        </is>
      </c>
      <c r="F2646" s="0" t="inlineStr">
        <is>
          <t xml:space="preserve">Mazda</t>
        </is>
      </c>
      <c r="G2646" s="0" t="s">
        <v>171</v>
      </c>
      <c r="H2646" s="5">
        <v>1366.959700</v>
      </c>
    </row>
    <row r="2647" spans="1:9">
      <c r="A2647" s="22" t="str">
        <f>HYPERLINK("https://app.vivvix.com/360/KMI/IntelliDrive/ApplUI/Pages/CreativePages/CustomReportCreativeDetail.aspx?App=23&amp;ReportView=4&amp;Qid=1711279&amp;Row=2639&amp;Col=1","No Title Assigned - #15267558609")</f>
        <v/>
      </c>
      <c r="B2647" s="0" t="s">
        <v>3996</v>
      </c>
      <c r="C2647" s="0" t="s">
        <v>3997</v>
      </c>
      <c r="D2647" s="0" t="s">
        <v>3997</v>
      </c>
      <c r="E2647" s="0" t="inlineStr">
        <is>
          <t xml:space="preserve">Mazda</t>
        </is>
      </c>
      <c r="F2647" s="0" t="s">
        <v>28</v>
      </c>
      <c r="G2647" s="0" t="s">
        <v>29</v>
      </c>
      <c r="H2647" s="5">
        <v>6074.032700</v>
      </c>
    </row>
    <row r="2648" spans="1:9">
      <c r="A2648" s="22" t="str">
        <f>HYPERLINK("https://app.vivvix.com/360/KMI/IntelliDrive/ApplUI/Pages/CreativePages/CustomReportCreativeDetail.aspx?App=23&amp;ReportView=4&amp;Qid=1711279&amp;Row=2640&amp;Col=1","No Title Assigned - #15267558785")</f>
        <v/>
      </c>
      <c r="B2648" s="0" t="s">
        <v>3998</v>
      </c>
      <c r="C2648" s="0" t="s">
        <v>3999</v>
      </c>
      <c r="D2648" s="0" t="s">
        <v>3999</v>
      </c>
      <c r="E2648" s="0" t="inlineStr">
        <is>
          <t xml:space="preserve">Mazda</t>
        </is>
      </c>
      <c r="F2648" s="0" t="s">
        <v>28</v>
      </c>
      <c r="G2648" s="0" t="s">
        <v>29</v>
      </c>
      <c r="H2648" s="5">
        <v>2185.759400</v>
      </c>
    </row>
    <row r="2649" spans="1:9">
      <c r="A2649" s="22" t="str">
        <f>HYPERLINK("https://app.vivvix.com/360/KMI/IntelliDrive/ApplUI/Pages/CreativePages/CustomReportCreativeDetail.aspx?App=23&amp;ReportView=4&amp;Qid=1711279&amp;Row=2641&amp;Col=1","No Title Assigned - #15267559109")</f>
        <v/>
      </c>
      <c r="B2649" s="0" t="s">
        <v>4000</v>
      </c>
      <c r="C2649" s="0" t="s">
        <v>4001</v>
      </c>
      <c r="D2649" s="0" t="s">
        <v>4001</v>
      </c>
      <c r="E2649" s="0" t="inlineStr">
        <is>
          <t xml:space="preserve">Mazda</t>
        </is>
      </c>
      <c r="F2649" s="0" t="s">
        <v>28</v>
      </c>
      <c r="G2649" s="0" t="s">
        <v>29</v>
      </c>
      <c r="H2649" s="5">
        <v>968.255800</v>
      </c>
    </row>
    <row r="2650" spans="1:9">
      <c r="A2650" s="22" t="str">
        <f>HYPERLINK("https://app.vivvix.com/360/KMI/IntelliDrive/ApplUI/Pages/CreativePages/CustomReportCreativeDetail.aspx?App=23&amp;ReportView=4&amp;Qid=1711279&amp;Row=2642&amp;Col=1","No Title Assigned - #15267560211")</f>
        <v/>
      </c>
      <c r="B2650" s="0" t="s">
        <v>4002</v>
      </c>
      <c r="C2650" s="0" t="s">
        <v>4003</v>
      </c>
      <c r="D2650" s="0" t="s">
        <v>4003</v>
      </c>
      <c r="E2650" s="0" t="inlineStr">
        <is>
          <t xml:space="preserve">Mazda</t>
        </is>
      </c>
      <c r="F2650" s="0" t="s">
        <v>28</v>
      </c>
      <c r="G2650" s="0" t="s">
        <v>29</v>
      </c>
      <c r="H2650" s="5">
        <v>224.827000</v>
      </c>
    </row>
    <row r="2651" spans="1:9">
      <c r="A2651" s="22" t="str">
        <f>HYPERLINK("https://app.vivvix.com/360/KMI/IntelliDrive/ApplUI/Pages/CreativePages/CustomReportCreativeDetail.aspx?App=23&amp;ReportView=4&amp;Qid=1711279&amp;Row=2643&amp;Col=1","No Title Assigned - #15267560446")</f>
        <v/>
      </c>
      <c r="B2651" s="0" t="s">
        <v>4004</v>
      </c>
      <c r="C2651" s="0" t="s">
        <v>4005</v>
      </c>
      <c r="D2651" s="0" t="s">
        <v>4005</v>
      </c>
      <c r="E2651" s="0" t="inlineStr">
        <is>
          <t xml:space="preserve">Mazda</t>
        </is>
      </c>
      <c r="F2651" s="0" t="inlineStr">
        <is>
          <t xml:space="preserve">Mazda</t>
        </is>
      </c>
      <c r="G2651" s="0" t="s">
        <v>171</v>
      </c>
      <c r="H2651" s="5">
        <v>63.400100</v>
      </c>
    </row>
    <row r="2652" spans="1:9">
      <c r="A2652" s="22" t="str">
        <f>HYPERLINK("https://app.vivvix.com/360/KMI/IntelliDrive/ApplUI/Pages/CreativePages/CustomReportCreativeDetail.aspx?App=23&amp;ReportView=4&amp;Qid=1711279&amp;Row=2644&amp;Col=1","No Title Assigned - #15267560796")</f>
        <v/>
      </c>
      <c r="B2652" s="0" t="s">
        <v>4006</v>
      </c>
      <c r="C2652" s="0" t="s">
        <v>4007</v>
      </c>
      <c r="D2652" s="0" t="s">
        <v>4007</v>
      </c>
      <c r="E2652" s="0" t="inlineStr">
        <is>
          <t xml:space="preserve">Mazda</t>
        </is>
      </c>
      <c r="F2652" s="0" t="s">
        <v>28</v>
      </c>
      <c r="G2652" s="0" t="s">
        <v>29</v>
      </c>
      <c r="H2652" s="5">
        <v>63.400100</v>
      </c>
    </row>
    <row r="2653" spans="1:9">
      <c r="A2653" s="22" t="str">
        <f>HYPERLINK("https://app.vivvix.com/360/KMI/IntelliDrive/ApplUI/Pages/CreativePages/CustomReportCreativeDetail.aspx?App=23&amp;ReportView=4&amp;Qid=1711279&amp;Row=2645&amp;Col=1","No Title Assigned - #15267560866")</f>
        <v/>
      </c>
      <c r="B2653" s="0" t="s">
        <v>4008</v>
      </c>
      <c r="E2653" s="0" t="inlineStr">
        <is>
          <t xml:space="preserve">Mazda</t>
        </is>
      </c>
      <c r="F2653" s="0" t="inlineStr">
        <is>
          <t xml:space="preserve">Mazda</t>
        </is>
      </c>
      <c r="G2653" s="0" t="s">
        <v>171</v>
      </c>
      <c r="H2653" s="5">
        <v>1430.380000</v>
      </c>
    </row>
    <row r="2654" spans="1:9">
      <c r="A2654" s="22" t="str">
        <f>HYPERLINK("https://app.vivvix.com/360/KMI/IntelliDrive/ApplUI/Pages/CreativePages/CustomReportCreativeDetail.aspx?App=23&amp;ReportView=4&amp;Qid=1711279&amp;Row=2646&amp;Col=1","No Title Assigned - #15267561098")</f>
        <v/>
      </c>
      <c r="B2654" s="0" t="s">
        <v>4009</v>
      </c>
      <c r="C2654" s="0" t="s">
        <v>4010</v>
      </c>
      <c r="D2654" s="0" t="s">
        <v>4010</v>
      </c>
      <c r="E2654" s="0" t="inlineStr">
        <is>
          <t xml:space="preserve">Mazda</t>
        </is>
      </c>
      <c r="F2654" s="0" t="s">
        <v>28</v>
      </c>
      <c r="G2654" s="0" t="s">
        <v>29</v>
      </c>
      <c r="H2654" s="5">
        <v>161.228400</v>
      </c>
    </row>
    <row r="2655" spans="1:9">
      <c r="A2655" s="22" t="str">
        <f>HYPERLINK("https://app.vivvix.com/360/KMI/IntelliDrive/ApplUI/Pages/CreativePages/CustomReportCreativeDetail.aspx?App=23&amp;ReportView=4&amp;Qid=1711279&amp;Row=2647&amp;Col=1","No Title Assigned - #15267561581")</f>
        <v/>
      </c>
      <c r="B2655" s="0" t="s">
        <v>4011</v>
      </c>
      <c r="C2655" s="0" t="s">
        <v>4012</v>
      </c>
      <c r="D2655" s="0" t="s">
        <v>4012</v>
      </c>
      <c r="E2655" s="0" t="inlineStr">
        <is>
          <t xml:space="preserve">Mazda</t>
        </is>
      </c>
      <c r="F2655" s="0" t="s">
        <v>28</v>
      </c>
      <c r="G2655" s="0" t="s">
        <v>29</v>
      </c>
      <c r="H2655" s="5">
        <v>71.527600</v>
      </c>
    </row>
    <row r="2656" spans="1:9">
      <c r="A2656" s="22" t="str">
        <f>HYPERLINK("https://app.vivvix.com/360/KMI/IntelliDrive/ApplUI/Pages/CreativePages/CustomReportCreativeDetail.aspx?App=23&amp;ReportView=4&amp;Qid=1711279&amp;Row=2648&amp;Col=1","No Title Assigned - #15267561834")</f>
        <v/>
      </c>
      <c r="B2656" s="0" t="s">
        <v>4013</v>
      </c>
      <c r="C2656" s="0" t="s">
        <v>4014</v>
      </c>
      <c r="D2656" s="0" t="s">
        <v>4014</v>
      </c>
      <c r="E2656" s="0" t="inlineStr">
        <is>
          <t xml:space="preserve">Mazda</t>
        </is>
      </c>
      <c r="F2656" s="0" t="s">
        <v>28</v>
      </c>
      <c r="G2656" s="0" t="s">
        <v>29</v>
      </c>
      <c r="H2656" s="5">
        <v>4853.957900</v>
      </c>
    </row>
    <row r="2657" spans="1:9">
      <c r="A2657" s="22" t="str">
        <f>HYPERLINK("https://app.vivvix.com/360/KMI/IntelliDrive/ApplUI/Pages/CreativePages/CustomReportCreativeDetail.aspx?App=23&amp;ReportView=4&amp;Qid=1711279&amp;Row=2649&amp;Col=1","No Title Assigned - #15267561834")</f>
        <v/>
      </c>
      <c r="B2657" s="0" t="s">
        <v>4013</v>
      </c>
      <c r="E2657" s="0" t="inlineStr">
        <is>
          <t xml:space="preserve">Mazda</t>
        </is>
      </c>
      <c r="F2657" s="0" t="s">
        <v>28</v>
      </c>
      <c r="G2657" s="0" t="s">
        <v>29</v>
      </c>
      <c r="H2657" s="5">
        <v>459.417600</v>
      </c>
    </row>
    <row r="2658" spans="1:9">
      <c r="A2658" s="22" t="str">
        <f>HYPERLINK("https://app.vivvix.com/360/KMI/IntelliDrive/ApplUI/Pages/CreativePages/CustomReportCreativeDetail.aspx?App=23&amp;ReportView=4&amp;Qid=1711279&amp;Row=2650&amp;Col=1","No Title Assigned - #15267562672")</f>
        <v/>
      </c>
      <c r="B2658" s="0" t="s">
        <v>4015</v>
      </c>
      <c r="C2658" s="0" t="s">
        <v>4016</v>
      </c>
      <c r="D2658" s="0" t="s">
        <v>4016</v>
      </c>
      <c r="E2658" s="0" t="inlineStr">
        <is>
          <t xml:space="preserve">Mazda</t>
        </is>
      </c>
      <c r="F2658" s="0" t="s">
        <v>28</v>
      </c>
      <c r="G2658" s="0" t="s">
        <v>29</v>
      </c>
      <c r="H2658" s="5">
        <v>10371.361900</v>
      </c>
    </row>
    <row r="2659" spans="1:9">
      <c r="A2659" s="22" t="str">
        <f>HYPERLINK("https://app.vivvix.com/360/KMI/IntelliDrive/ApplUI/Pages/CreativePages/CustomReportCreativeDetail.aspx?App=23&amp;ReportView=4&amp;Qid=1711279&amp;Row=2651&amp;Col=1","No Title Assigned - #15267562672")</f>
        <v/>
      </c>
      <c r="B2659" s="0" t="s">
        <v>4015</v>
      </c>
      <c r="E2659" s="0" t="inlineStr">
        <is>
          <t xml:space="preserve">Mazda</t>
        </is>
      </c>
      <c r="F2659" s="0" t="s">
        <v>28</v>
      </c>
      <c r="G2659" s="0" t="s">
        <v>29</v>
      </c>
      <c r="H2659" s="5">
        <v>10475.225700</v>
      </c>
    </row>
    <row r="2660" spans="1:9">
      <c r="A2660" s="22" t="str">
        <f>HYPERLINK("https://app.vivvix.com/360/KMI/IntelliDrive/ApplUI/Pages/CreativePages/CustomReportCreativeDetail.aspx?App=23&amp;ReportView=4&amp;Qid=1711279&amp;Row=2652&amp;Col=1","No Title Assigned - #15267575760")</f>
        <v/>
      </c>
      <c r="B2660" s="0" t="s">
        <v>4017</v>
      </c>
      <c r="C2660" s="0" t="s">
        <v>4018</v>
      </c>
      <c r="D2660" s="0" t="s">
        <v>4018</v>
      </c>
      <c r="E2660" s="0" t="inlineStr">
        <is>
          <t xml:space="preserve">Mazda</t>
        </is>
      </c>
      <c r="F2660" s="0" t="s">
        <v>28</v>
      </c>
      <c r="G2660" s="0" t="s">
        <v>29</v>
      </c>
      <c r="H2660" s="5">
        <v>2940.235200</v>
      </c>
    </row>
    <row r="2661" spans="1:9">
      <c r="A2661" s="22" t="str">
        <f>HYPERLINK("https://app.vivvix.com/360/KMI/IntelliDrive/ApplUI/Pages/CreativePages/CustomReportCreativeDetail.aspx?App=23&amp;ReportView=4&amp;Qid=1711279&amp;Row=2653&amp;Col=1","No Title Assigned - #15267575760")</f>
        <v/>
      </c>
      <c r="B2661" s="0" t="s">
        <v>4017</v>
      </c>
      <c r="E2661" s="0" t="inlineStr">
        <is>
          <t xml:space="preserve">Mazda</t>
        </is>
      </c>
      <c r="F2661" s="0" t="s">
        <v>28</v>
      </c>
      <c r="G2661" s="0" t="s">
        <v>29</v>
      </c>
      <c r="H2661" s="5">
        <v>2764.745000</v>
      </c>
    </row>
    <row r="2662" spans="1:9">
      <c r="A2662" s="22" t="str">
        <f>HYPERLINK("https://app.vivvix.com/360/KMI/IntelliDrive/ApplUI/Pages/CreativePages/CustomReportCreativeDetail.aspx?App=23&amp;ReportView=4&amp;Qid=1711279&amp;Row=2654&amp;Col=1","No Title Assigned - #15267576337")</f>
        <v/>
      </c>
      <c r="B2662" s="0" t="s">
        <v>4019</v>
      </c>
      <c r="C2662" s="0" t="s">
        <v>4020</v>
      </c>
      <c r="D2662" s="0" t="s">
        <v>4020</v>
      </c>
      <c r="E2662" s="0" t="inlineStr">
        <is>
          <t xml:space="preserve">Mazda</t>
        </is>
      </c>
      <c r="F2662" s="0" t="s">
        <v>28</v>
      </c>
      <c r="G2662" s="0" t="s">
        <v>29</v>
      </c>
      <c r="H2662" s="5">
        <v>1615.294600</v>
      </c>
    </row>
    <row r="2663" spans="1:9">
      <c r="A2663" s="22" t="str">
        <f>HYPERLINK("https://app.vivvix.com/360/KMI/IntelliDrive/ApplUI/Pages/CreativePages/CustomReportCreativeDetail.aspx?App=23&amp;ReportView=4&amp;Qid=1711279&amp;Row=2655&amp;Col=1","No Title Assigned - #15267576337")</f>
        <v/>
      </c>
      <c r="B2663" s="0" t="s">
        <v>4019</v>
      </c>
      <c r="E2663" s="0" t="inlineStr">
        <is>
          <t xml:space="preserve">Mazda</t>
        </is>
      </c>
      <c r="F2663" s="0" t="s">
        <v>28</v>
      </c>
      <c r="G2663" s="0" t="s">
        <v>29</v>
      </c>
      <c r="H2663" s="5">
        <v>18.226700</v>
      </c>
    </row>
    <row r="2664" spans="1:9">
      <c r="A2664" s="22" t="str">
        <f>HYPERLINK("https://app.vivvix.com/360/KMI/IntelliDrive/ApplUI/Pages/CreativePages/CustomReportCreativeDetail.aspx?App=23&amp;ReportView=4&amp;Qid=1711279&amp;Row=2656&amp;Col=1","No Title Assigned - #15267576557")</f>
        <v/>
      </c>
      <c r="B2664" s="0" t="s">
        <v>4021</v>
      </c>
      <c r="C2664" s="0" t="s">
        <v>4022</v>
      </c>
      <c r="D2664" s="0" t="s">
        <v>4022</v>
      </c>
      <c r="E2664" s="0" t="inlineStr">
        <is>
          <t xml:space="preserve">Mazda</t>
        </is>
      </c>
      <c r="F2664" s="0" t="s">
        <v>28</v>
      </c>
      <c r="G2664" s="0" t="s">
        <v>29</v>
      </c>
      <c r="H2664" s="5">
        <v>728.543400</v>
      </c>
    </row>
    <row r="2665" spans="1:9">
      <c r="A2665" s="22" t="str">
        <f>HYPERLINK("https://app.vivvix.com/360/KMI/IntelliDrive/ApplUI/Pages/CreativePages/CustomReportCreativeDetail.aspx?App=23&amp;ReportView=4&amp;Qid=1711279&amp;Row=2657&amp;Col=1","No Title Assigned - #15267576920")</f>
        <v/>
      </c>
      <c r="B2665" s="0" t="s">
        <v>4023</v>
      </c>
      <c r="C2665" s="0" t="s">
        <v>4024</v>
      </c>
      <c r="D2665" s="0" t="s">
        <v>4024</v>
      </c>
      <c r="E2665" s="0" t="inlineStr">
        <is>
          <t xml:space="preserve">Mazda</t>
        </is>
      </c>
      <c r="F2665" s="0" t="s">
        <v>28</v>
      </c>
      <c r="G2665" s="0" t="s">
        <v>29</v>
      </c>
      <c r="H2665" s="5">
        <v>17158.235400</v>
      </c>
    </row>
    <row r="2666" spans="1:9">
      <c r="A2666" s="22" t="str">
        <f>HYPERLINK("https://app.vivvix.com/360/KMI/IntelliDrive/ApplUI/Pages/CreativePages/CustomReportCreativeDetail.aspx?App=23&amp;ReportView=4&amp;Qid=1711279&amp;Row=2658&amp;Col=1","No Title Assigned - #15267576920")</f>
        <v/>
      </c>
      <c r="B2666" s="0" t="s">
        <v>4023</v>
      </c>
      <c r="E2666" s="0" t="inlineStr">
        <is>
          <t xml:space="preserve">Mazda</t>
        </is>
      </c>
      <c r="F2666" s="0" t="s">
        <v>28</v>
      </c>
      <c r="G2666" s="0" t="s">
        <v>29</v>
      </c>
      <c r="H2666" s="5">
        <v>285.140400</v>
      </c>
    </row>
    <row r="2667" spans="1:9">
      <c r="A2667" s="22" t="str">
        <f>HYPERLINK("https://app.vivvix.com/360/KMI/IntelliDrive/ApplUI/Pages/CreativePages/CustomReportCreativeDetail.aspx?App=23&amp;ReportView=4&amp;Qid=1711279&amp;Row=2659&amp;Col=1","No Title Assigned - #15267577431")</f>
        <v/>
      </c>
      <c r="B2667" s="0" t="s">
        <v>4025</v>
      </c>
      <c r="C2667" s="0" t="s">
        <v>4026</v>
      </c>
      <c r="D2667" s="0" t="s">
        <v>4026</v>
      </c>
      <c r="E2667" s="0" t="inlineStr">
        <is>
          <t xml:space="preserve">Mazda</t>
        </is>
      </c>
      <c r="F2667" s="0" t="s">
        <v>28</v>
      </c>
      <c r="G2667" s="0" t="s">
        <v>29</v>
      </c>
      <c r="H2667" s="5">
        <v>616.573800</v>
      </c>
    </row>
    <row r="2668" spans="1:9">
      <c r="A2668" s="22" t="str">
        <f>HYPERLINK("https://app.vivvix.com/360/KMI/IntelliDrive/ApplUI/Pages/CreativePages/CustomReportCreativeDetail.aspx?App=23&amp;ReportView=4&amp;Qid=1711279&amp;Row=2660&amp;Col=1","No Title Assigned - #15267577527")</f>
        <v/>
      </c>
      <c r="B2668" s="0" t="s">
        <v>4027</v>
      </c>
      <c r="C2668" s="0" t="s">
        <v>4028</v>
      </c>
      <c r="D2668" s="0" t="s">
        <v>4028</v>
      </c>
      <c r="E2668" s="0" t="inlineStr">
        <is>
          <t xml:space="preserve">Mazda</t>
        </is>
      </c>
      <c r="F2668" s="0" t="s">
        <v>28</v>
      </c>
      <c r="G2668" s="0" t="s">
        <v>29</v>
      </c>
      <c r="H2668" s="5">
        <v>1600.497800</v>
      </c>
    </row>
    <row r="2669" spans="1:9">
      <c r="A2669" s="22" t="str">
        <f>HYPERLINK("https://app.vivvix.com/360/KMI/IntelliDrive/ApplUI/Pages/CreativePages/CustomReportCreativeDetail.aspx?App=23&amp;ReportView=4&amp;Qid=1711279&amp;Row=2661&amp;Col=1","No Title Assigned - #15267577863")</f>
        <v/>
      </c>
      <c r="B2669" s="0" t="s">
        <v>4029</v>
      </c>
      <c r="C2669" s="0" t="s">
        <v>4030</v>
      </c>
      <c r="D2669" s="0" t="s">
        <v>4030</v>
      </c>
      <c r="E2669" s="0" t="inlineStr">
        <is>
          <t xml:space="preserve">Mazda</t>
        </is>
      </c>
      <c r="F2669" s="0" t="s">
        <v>28</v>
      </c>
      <c r="G2669" s="0" t="s">
        <v>29</v>
      </c>
      <c r="H2669" s="5">
        <v>51.451500</v>
      </c>
    </row>
    <row r="2670" spans="1:9">
      <c r="A2670" s="22" t="str">
        <f>HYPERLINK("https://app.vivvix.com/360/KMI/IntelliDrive/ApplUI/Pages/CreativePages/CustomReportCreativeDetail.aspx?App=23&amp;ReportView=4&amp;Qid=1711279&amp;Row=2662&amp;Col=1","No Title Assigned - #15267578314")</f>
        <v/>
      </c>
      <c r="B2670" s="0" t="s">
        <v>4031</v>
      </c>
      <c r="C2670" s="0" t="s">
        <v>4032</v>
      </c>
      <c r="D2670" s="0" t="s">
        <v>4032</v>
      </c>
      <c r="E2670" s="0" t="inlineStr">
        <is>
          <t xml:space="preserve">Mazda</t>
        </is>
      </c>
      <c r="F2670" s="0" t="s">
        <v>28</v>
      </c>
      <c r="G2670" s="0" t="s">
        <v>29</v>
      </c>
      <c r="H2670" s="5">
        <v>743.047900</v>
      </c>
    </row>
    <row r="2671" spans="1:9">
      <c r="A2671" s="22" t="str">
        <f>HYPERLINK("https://app.vivvix.com/360/KMI/IntelliDrive/ApplUI/Pages/CreativePages/CustomReportCreativeDetail.aspx?App=23&amp;ReportView=4&amp;Qid=1711279&amp;Row=2663&amp;Col=1","No Title Assigned - #15267579246")</f>
        <v/>
      </c>
      <c r="B2671" s="0" t="s">
        <v>4033</v>
      </c>
      <c r="C2671" s="0" t="s">
        <v>4034</v>
      </c>
      <c r="D2671" s="0" t="s">
        <v>4034</v>
      </c>
      <c r="E2671" s="0" t="inlineStr">
        <is>
          <t xml:space="preserve">Mazda</t>
        </is>
      </c>
      <c r="F2671" s="0" t="s">
        <v>28</v>
      </c>
      <c r="G2671" s="0" t="s">
        <v>29</v>
      </c>
      <c r="H2671" s="5">
        <v>510.219000</v>
      </c>
    </row>
    <row r="2672" spans="1:9">
      <c r="A2672" s="22" t="str">
        <f>HYPERLINK("https://app.vivvix.com/360/KMI/IntelliDrive/ApplUI/Pages/CreativePages/CustomReportCreativeDetail.aspx?App=23&amp;ReportView=4&amp;Qid=1711279&amp;Row=2664&amp;Col=1","No Title Assigned - #15267581153")</f>
        <v/>
      </c>
      <c r="B2672" s="0" t="s">
        <v>4035</v>
      </c>
      <c r="C2672" s="0" t="s">
        <v>4036</v>
      </c>
      <c r="D2672" s="0" t="s">
        <v>4036</v>
      </c>
      <c r="E2672" s="0" t="inlineStr">
        <is>
          <t xml:space="preserve">Mazda</t>
        </is>
      </c>
      <c r="F2672" s="0" t="s">
        <v>56</v>
      </c>
      <c r="G2672" s="0" t="s">
        <v>57</v>
      </c>
      <c r="H2672" s="5">
        <v>316.927300</v>
      </c>
    </row>
    <row r="2673" spans="1:9">
      <c r="A2673" s="22" t="str">
        <f>HYPERLINK("https://app.vivvix.com/360/KMI/IntelliDrive/ApplUI/Pages/CreativePages/CustomReportCreativeDetail.aspx?App=23&amp;ReportView=4&amp;Qid=1711279&amp;Row=2665&amp;Col=1","No Title Assigned - #15267581654")</f>
        <v/>
      </c>
      <c r="B2673" s="0" t="s">
        <v>4037</v>
      </c>
      <c r="E2673" s="0" t="inlineStr">
        <is>
          <t xml:space="preserve">Mazda</t>
        </is>
      </c>
      <c r="F2673" s="0" t="s">
        <v>28</v>
      </c>
      <c r="G2673" s="0" t="s">
        <v>29</v>
      </c>
      <c r="H2673" s="5">
        <v>129.893900</v>
      </c>
    </row>
    <row r="2674" spans="1:9">
      <c r="A2674" s="22" t="str">
        <f>HYPERLINK("https://app.vivvix.com/360/KMI/IntelliDrive/ApplUI/Pages/CreativePages/CustomReportCreativeDetail.aspx?App=23&amp;ReportView=4&amp;Qid=1711279&amp;Row=2666&amp;Col=1","No Title Assigned - #15267581654")</f>
        <v/>
      </c>
      <c r="B2674" s="0" t="s">
        <v>4037</v>
      </c>
      <c r="C2674" s="0" t="s">
        <v>4038</v>
      </c>
      <c r="D2674" s="0" t="s">
        <v>4038</v>
      </c>
      <c r="E2674" s="0" t="inlineStr">
        <is>
          <t xml:space="preserve">Mazda</t>
        </is>
      </c>
      <c r="F2674" s="0" t="s">
        <v>28</v>
      </c>
      <c r="G2674" s="0" t="s">
        <v>29</v>
      </c>
      <c r="H2674" s="5">
        <v>291.448300</v>
      </c>
    </row>
    <row r="2675" spans="1:9">
      <c r="A2675" s="22" t="str">
        <f>HYPERLINK("https://app.vivvix.com/360/KMI/IntelliDrive/ApplUI/Pages/CreativePages/CustomReportCreativeDetail.aspx?App=23&amp;ReportView=4&amp;Qid=1711279&amp;Row=2667&amp;Col=1","No Title Assigned - #15267581869")</f>
        <v/>
      </c>
      <c r="B2675" s="0" t="s">
        <v>4039</v>
      </c>
      <c r="C2675" s="0" t="s">
        <v>4040</v>
      </c>
      <c r="D2675" s="0" t="s">
        <v>4040</v>
      </c>
      <c r="E2675" s="0" t="inlineStr">
        <is>
          <t xml:space="preserve">Mazda</t>
        </is>
      </c>
      <c r="F2675" s="0" t="s">
        <v>28</v>
      </c>
      <c r="G2675" s="0" t="s">
        <v>29</v>
      </c>
      <c r="H2675" s="5">
        <v>315.636200</v>
      </c>
    </row>
    <row r="2676" spans="1:9">
      <c r="A2676" s="22" t="str">
        <f>HYPERLINK("https://app.vivvix.com/360/KMI/IntelliDrive/ApplUI/Pages/CreativePages/CustomReportCreativeDetail.aspx?App=23&amp;ReportView=4&amp;Qid=1711279&amp;Row=2668&amp;Col=1","No Title Assigned - #15267582606")</f>
        <v/>
      </c>
      <c r="B2676" s="0" t="s">
        <v>4041</v>
      </c>
      <c r="C2676" s="0" t="s">
        <v>4042</v>
      </c>
      <c r="D2676" s="0" t="s">
        <v>4042</v>
      </c>
      <c r="E2676" s="0" t="inlineStr">
        <is>
          <t xml:space="preserve">Mazda</t>
        </is>
      </c>
      <c r="F2676" s="0" t="s">
        <v>28</v>
      </c>
      <c r="G2676" s="0" t="s">
        <v>29</v>
      </c>
      <c r="H2676" s="5">
        <v>195.479100</v>
      </c>
    </row>
    <row r="2677" spans="1:9">
      <c r="A2677" s="22" t="str">
        <f>HYPERLINK("https://app.vivvix.com/360/KMI/IntelliDrive/ApplUI/Pages/CreativePages/CustomReportCreativeDetail.aspx?App=23&amp;ReportView=4&amp;Qid=1711279&amp;Row=2669&amp;Col=1","No Title Assigned - #15267582633")</f>
        <v/>
      </c>
      <c r="B2677" s="0" t="s">
        <v>4043</v>
      </c>
      <c r="C2677" s="0" t="s">
        <v>4044</v>
      </c>
      <c r="D2677" s="0" t="s">
        <v>4044</v>
      </c>
      <c r="E2677" s="0" t="inlineStr">
        <is>
          <t xml:space="preserve">Mazda</t>
        </is>
      </c>
      <c r="F2677" s="0" t="s">
        <v>13</v>
      </c>
      <c r="G2677" s="0" t="s">
        <v>49</v>
      </c>
      <c r="H2677" s="5">
        <v>1214.261400</v>
      </c>
    </row>
    <row r="2678" spans="1:9">
      <c r="A2678" s="22" t="str">
        <f>HYPERLINK("https://app.vivvix.com/360/KMI/IntelliDrive/ApplUI/Pages/CreativePages/CustomReportCreativeDetail.aspx?App=23&amp;ReportView=4&amp;Qid=1711279&amp;Row=2670&amp;Col=1","No Title Assigned - #15267582634")</f>
        <v/>
      </c>
      <c r="B2678" s="0" t="s">
        <v>4045</v>
      </c>
      <c r="C2678" s="0" t="s">
        <v>4046</v>
      </c>
      <c r="D2678" s="0" t="s">
        <v>4046</v>
      </c>
      <c r="E2678" s="0" t="inlineStr">
        <is>
          <t xml:space="preserve">Mazda</t>
        </is>
      </c>
      <c r="F2678" s="0" t="s">
        <v>28</v>
      </c>
      <c r="G2678" s="0" t="s">
        <v>29</v>
      </c>
      <c r="H2678" s="5">
        <v>66.431700</v>
      </c>
    </row>
    <row r="2679" spans="1:9">
      <c r="A2679" s="22" t="str">
        <f>HYPERLINK("https://app.vivvix.com/360/KMI/IntelliDrive/ApplUI/Pages/CreativePages/CustomReportCreativeDetail.aspx?App=23&amp;ReportView=4&amp;Qid=1711279&amp;Row=2671&amp;Col=1","No Title Assigned - #15267582743")</f>
        <v/>
      </c>
      <c r="B2679" s="0" t="s">
        <v>4047</v>
      </c>
      <c r="C2679" s="0" t="s">
        <v>4048</v>
      </c>
      <c r="D2679" s="0" t="s">
        <v>4048</v>
      </c>
      <c r="E2679" s="0" t="inlineStr">
        <is>
          <t xml:space="preserve">Mazda</t>
        </is>
      </c>
      <c r="F2679" s="0" t="s">
        <v>28</v>
      </c>
      <c r="G2679" s="0" t="s">
        <v>29</v>
      </c>
      <c r="H2679" s="5">
        <v>1550.020000</v>
      </c>
    </row>
    <row r="2680" spans="1:9">
      <c r="A2680" s="22" t="str">
        <f>HYPERLINK("https://app.vivvix.com/360/KMI/IntelliDrive/ApplUI/Pages/CreativePages/CustomReportCreativeDetail.aspx?App=23&amp;ReportView=4&amp;Qid=1711279&amp;Row=2672&amp;Col=1","No Title Assigned - #15267582743")</f>
        <v/>
      </c>
      <c r="B2680" s="0" t="s">
        <v>4047</v>
      </c>
      <c r="E2680" s="0" t="inlineStr">
        <is>
          <t xml:space="preserve">Mazda</t>
        </is>
      </c>
      <c r="F2680" s="0" t="s">
        <v>28</v>
      </c>
      <c r="G2680" s="0" t="s">
        <v>29</v>
      </c>
      <c r="H2680" s="5">
        <v>29157.266800</v>
      </c>
    </row>
    <row r="2681" spans="1:9">
      <c r="A2681" s="22" t="str">
        <f>HYPERLINK("https://app.vivvix.com/360/KMI/IntelliDrive/ApplUI/Pages/CreativePages/CustomReportCreativeDetail.aspx?App=23&amp;ReportView=4&amp;Qid=1711279&amp;Row=2673&amp;Col=1","No Title Assigned - #15267582926")</f>
        <v/>
      </c>
      <c r="B2681" s="0" t="s">
        <v>4049</v>
      </c>
      <c r="C2681" s="0" t="s">
        <v>4050</v>
      </c>
      <c r="D2681" s="0" t="s">
        <v>4050</v>
      </c>
      <c r="E2681" s="0" t="inlineStr">
        <is>
          <t xml:space="preserve">Mazda</t>
        </is>
      </c>
      <c r="F2681" s="0" t="s">
        <v>21</v>
      </c>
      <c r="G2681" s="0" t="s">
        <v>22</v>
      </c>
      <c r="H2681" s="5">
        <v>6288.422900</v>
      </c>
    </row>
    <row r="2682" spans="1:9">
      <c r="A2682" s="22" t="str">
        <f>HYPERLINK("https://app.vivvix.com/360/KMI/IntelliDrive/ApplUI/Pages/CreativePages/CustomReportCreativeDetail.aspx?App=23&amp;ReportView=4&amp;Qid=1711279&amp;Row=2674&amp;Col=1","No Title Assigned - #15267583327")</f>
        <v/>
      </c>
      <c r="B2682" s="0" t="s">
        <v>4051</v>
      </c>
      <c r="E2682" s="0" t="inlineStr">
        <is>
          <t xml:space="preserve">Mazda</t>
        </is>
      </c>
      <c r="F2682" s="0" t="s">
        <v>13</v>
      </c>
      <c r="G2682" s="0" t="s">
        <v>49</v>
      </c>
      <c r="H2682" s="5">
        <v>2148.203000</v>
      </c>
    </row>
    <row r="2683" spans="1:9">
      <c r="A2683" s="22" t="str">
        <f>HYPERLINK("https://app.vivvix.com/360/KMI/IntelliDrive/ApplUI/Pages/CreativePages/CustomReportCreativeDetail.aspx?App=23&amp;ReportView=4&amp;Qid=1711279&amp;Row=2675&amp;Col=1","No Title Assigned - #15267583327")</f>
        <v/>
      </c>
      <c r="B2683" s="0" t="s">
        <v>4051</v>
      </c>
      <c r="C2683" s="0" t="s">
        <v>4052</v>
      </c>
      <c r="D2683" s="0" t="s">
        <v>4052</v>
      </c>
      <c r="E2683" s="0" t="inlineStr">
        <is>
          <t xml:space="preserve">Mazda</t>
        </is>
      </c>
      <c r="F2683" s="0" t="s">
        <v>13</v>
      </c>
      <c r="G2683" s="0" t="s">
        <v>49</v>
      </c>
      <c r="H2683" s="5">
        <v>27422.759000</v>
      </c>
    </row>
    <row r="2684" spans="1:9">
      <c r="A2684" s="22" t="str">
        <f>HYPERLINK("https://app.vivvix.com/360/KMI/IntelliDrive/ApplUI/Pages/CreativePages/CustomReportCreativeDetail.aspx?App=23&amp;ReportView=4&amp;Qid=1711279&amp;Row=2676&amp;Col=1","No Title Assigned - #15267583495")</f>
        <v/>
      </c>
      <c r="B2684" s="0" t="s">
        <v>4053</v>
      </c>
      <c r="C2684" s="0" t="s">
        <v>4054</v>
      </c>
      <c r="D2684" s="0" t="s">
        <v>4054</v>
      </c>
      <c r="E2684" s="0" t="inlineStr">
        <is>
          <t xml:space="preserve">Mazda</t>
        </is>
      </c>
      <c r="F2684" s="0" t="s">
        <v>28</v>
      </c>
      <c r="G2684" s="0" t="s">
        <v>29</v>
      </c>
      <c r="H2684" s="5">
        <v>726.477000</v>
      </c>
    </row>
    <row r="2685" spans="1:9">
      <c r="A2685" s="22" t="str">
        <f>HYPERLINK("https://app.vivvix.com/360/KMI/IntelliDrive/ApplUI/Pages/CreativePages/CustomReportCreativeDetail.aspx?App=23&amp;ReportView=4&amp;Qid=1711279&amp;Row=2677&amp;Col=1","No Title Assigned - #15267584771")</f>
        <v/>
      </c>
      <c r="B2685" s="0" t="s">
        <v>4055</v>
      </c>
      <c r="C2685" s="0" t="s">
        <v>4056</v>
      </c>
      <c r="D2685" s="0" t="s">
        <v>4056</v>
      </c>
      <c r="E2685" s="0" t="inlineStr">
        <is>
          <t xml:space="preserve">Mazda</t>
        </is>
      </c>
      <c r="F2685" s="0" t="s">
        <v>666</v>
      </c>
      <c r="G2685" s="0" t="s">
        <v>667</v>
      </c>
      <c r="H2685" s="5">
        <v>77.080900</v>
      </c>
    </row>
    <row r="2686" spans="1:9">
      <c r="A2686" s="22" t="str">
        <f>HYPERLINK("https://app.vivvix.com/360/KMI/IntelliDrive/ApplUI/Pages/CreativePages/CustomReportCreativeDetail.aspx?App=23&amp;ReportView=4&amp;Qid=1711279&amp;Row=2678&amp;Col=1","No Title Assigned - #15267584816")</f>
        <v/>
      </c>
      <c r="B2686" s="0" t="s">
        <v>4057</v>
      </c>
      <c r="C2686" s="0" t="s">
        <v>4058</v>
      </c>
      <c r="D2686" s="0" t="s">
        <v>4058</v>
      </c>
      <c r="E2686" s="0" t="inlineStr">
        <is>
          <t xml:space="preserve">Mazda</t>
        </is>
      </c>
      <c r="F2686" s="0" t="s">
        <v>666</v>
      </c>
      <c r="G2686" s="0" t="s">
        <v>667</v>
      </c>
      <c r="H2686" s="5">
        <v>77.080900</v>
      </c>
    </row>
    <row r="2687" spans="1:9">
      <c r="A2687" s="22" t="str">
        <f>HYPERLINK("https://app.vivvix.com/360/KMI/IntelliDrive/ApplUI/Pages/CreativePages/CustomReportCreativeDetail.aspx?App=23&amp;ReportView=4&amp;Qid=1711279&amp;Row=2679&amp;Col=1","No Title Assigned - #15267584842")</f>
        <v/>
      </c>
      <c r="B2687" s="0" t="s">
        <v>4059</v>
      </c>
      <c r="C2687" s="0" t="s">
        <v>4060</v>
      </c>
      <c r="D2687" s="0" t="s">
        <v>4060</v>
      </c>
      <c r="E2687" s="0" t="inlineStr">
        <is>
          <t xml:space="preserve">Mazda</t>
        </is>
      </c>
      <c r="F2687" s="0" t="s">
        <v>17</v>
      </c>
      <c r="G2687" s="0" t="s">
        <v>33</v>
      </c>
      <c r="H2687" s="5">
        <v>6415.872000</v>
      </c>
    </row>
    <row r="2688" spans="1:9">
      <c r="A2688" s="22" t="str">
        <f>HYPERLINK("https://app.vivvix.com/360/KMI/IntelliDrive/ApplUI/Pages/CreativePages/CustomReportCreativeDetail.aspx?App=23&amp;ReportView=4&amp;Qid=1711279&amp;Row=2680&amp;Col=1","No Title Assigned - #15267584882")</f>
        <v/>
      </c>
      <c r="B2688" s="0" t="s">
        <v>4061</v>
      </c>
      <c r="E2688" s="0" t="inlineStr">
        <is>
          <t xml:space="preserve">Mazda</t>
        </is>
      </c>
      <c r="F2688" s="0" t="s">
        <v>28</v>
      </c>
      <c r="G2688" s="0" t="s">
        <v>29</v>
      </c>
      <c r="H2688" s="5">
        <v>3414.762600</v>
      </c>
    </row>
    <row r="2689" spans="1:9">
      <c r="A2689" s="22" t="str">
        <f>HYPERLINK("https://app.vivvix.com/360/KMI/IntelliDrive/ApplUI/Pages/CreativePages/CustomReportCreativeDetail.aspx?App=23&amp;ReportView=4&amp;Qid=1711279&amp;Row=2681&amp;Col=1","No Title Assigned - #15267584882")</f>
        <v/>
      </c>
      <c r="B2689" s="0" t="s">
        <v>4061</v>
      </c>
      <c r="C2689" s="0" t="s">
        <v>4062</v>
      </c>
      <c r="D2689" s="0" t="s">
        <v>4062</v>
      </c>
      <c r="E2689" s="0" t="inlineStr">
        <is>
          <t xml:space="preserve">Mazda</t>
        </is>
      </c>
      <c r="F2689" s="0" t="s">
        <v>28</v>
      </c>
      <c r="G2689" s="0" t="s">
        <v>29</v>
      </c>
      <c r="H2689" s="5">
        <v>87.730500</v>
      </c>
    </row>
    <row r="2690" spans="1:9">
      <c r="A2690" s="22" t="str">
        <f>HYPERLINK("https://app.vivvix.com/360/KMI/IntelliDrive/ApplUI/Pages/CreativePages/CustomReportCreativeDetail.aspx?App=23&amp;ReportView=4&amp;Qid=1711279&amp;Row=2682&amp;Col=1","No Title Assigned - #15267584897")</f>
        <v/>
      </c>
      <c r="B2690" s="0" t="s">
        <v>4063</v>
      </c>
      <c r="C2690" s="0" t="s">
        <v>4064</v>
      </c>
      <c r="D2690" s="0" t="s">
        <v>4064</v>
      </c>
      <c r="E2690" s="0" t="inlineStr">
        <is>
          <t xml:space="preserve">Mazda</t>
        </is>
      </c>
      <c r="F2690" s="0" t="s">
        <v>21</v>
      </c>
      <c r="G2690" s="0" t="s">
        <v>22</v>
      </c>
      <c r="H2690" s="5">
        <v>1789.938200</v>
      </c>
    </row>
    <row r="2691" spans="1:9">
      <c r="A2691" s="22" t="str">
        <f>HYPERLINK("https://app.vivvix.com/360/KMI/IntelliDrive/ApplUI/Pages/CreativePages/CustomReportCreativeDetail.aspx?App=23&amp;ReportView=4&amp;Qid=1711279&amp;Row=2683&amp;Col=1","No Title Assigned - #15267584898")</f>
        <v/>
      </c>
      <c r="B2691" s="0" t="s">
        <v>4065</v>
      </c>
      <c r="C2691" s="0" t="s">
        <v>4066</v>
      </c>
      <c r="D2691" s="0" t="s">
        <v>4064</v>
      </c>
      <c r="E2691" s="0" t="inlineStr">
        <is>
          <t xml:space="preserve">Mazda</t>
        </is>
      </c>
      <c r="F2691" s="0" t="s">
        <v>21</v>
      </c>
      <c r="G2691" s="0" t="s">
        <v>22</v>
      </c>
      <c r="H2691" s="5">
        <v>87.916600</v>
      </c>
    </row>
    <row r="2692" spans="1:9">
      <c r="A2692" s="22" t="str">
        <f>HYPERLINK("https://app.vivvix.com/360/KMI/IntelliDrive/ApplUI/Pages/CreativePages/CustomReportCreativeDetail.aspx?App=23&amp;ReportView=4&amp;Qid=1711279&amp;Row=2684&amp;Col=1","No Title Assigned - #15267584901")</f>
        <v/>
      </c>
      <c r="B2692" s="0" t="s">
        <v>4067</v>
      </c>
      <c r="C2692" s="0" t="s">
        <v>4068</v>
      </c>
      <c r="D2692" s="0" t="s">
        <v>4068</v>
      </c>
      <c r="E2692" s="0" t="inlineStr">
        <is>
          <t xml:space="preserve">Mazda</t>
        </is>
      </c>
      <c r="F2692" s="0" t="s">
        <v>21</v>
      </c>
      <c r="G2692" s="0" t="s">
        <v>22</v>
      </c>
      <c r="H2692" s="5">
        <v>2416.068800</v>
      </c>
    </row>
    <row r="2693" spans="1:9">
      <c r="A2693" s="22" t="str">
        <f>HYPERLINK("https://app.vivvix.com/360/KMI/IntelliDrive/ApplUI/Pages/CreativePages/CustomReportCreativeDetail.aspx?App=23&amp;ReportView=4&amp;Qid=1711279&amp;Row=2685&amp;Col=1","No Title Assigned - #15267584912")</f>
        <v/>
      </c>
      <c r="B2693" s="0" t="s">
        <v>4069</v>
      </c>
      <c r="C2693" s="0" t="s">
        <v>4064</v>
      </c>
      <c r="D2693" s="0" t="s">
        <v>4064</v>
      </c>
      <c r="E2693" s="0" t="inlineStr">
        <is>
          <t xml:space="preserve">Mazda</t>
        </is>
      </c>
      <c r="F2693" s="0" t="s">
        <v>21</v>
      </c>
      <c r="G2693" s="0" t="s">
        <v>22</v>
      </c>
      <c r="H2693" s="5">
        <v>87.916600</v>
      </c>
    </row>
    <row r="2694" spans="1:9">
      <c r="A2694" s="22" t="str">
        <f>HYPERLINK("https://app.vivvix.com/360/KMI/IntelliDrive/ApplUI/Pages/CreativePages/CustomReportCreativeDetail.aspx?App=23&amp;ReportView=4&amp;Qid=1711279&amp;Row=2686&amp;Col=1","No Title Assigned - #15267584920")</f>
        <v/>
      </c>
      <c r="B2694" s="0" t="s">
        <v>4070</v>
      </c>
      <c r="C2694" s="0" t="s">
        <v>4071</v>
      </c>
      <c r="D2694" s="0" t="s">
        <v>4071</v>
      </c>
      <c r="E2694" s="0" t="inlineStr">
        <is>
          <t xml:space="preserve">Mazda</t>
        </is>
      </c>
      <c r="F2694" s="0" t="s">
        <v>666</v>
      </c>
      <c r="G2694" s="0" t="s">
        <v>667</v>
      </c>
      <c r="H2694" s="5">
        <v>77.080900</v>
      </c>
    </row>
    <row r="2695" spans="1:9">
      <c r="A2695" s="22" t="str">
        <f>HYPERLINK("https://app.vivvix.com/360/KMI/IntelliDrive/ApplUI/Pages/CreativePages/CustomReportCreativeDetail.aspx?App=23&amp;ReportView=4&amp;Qid=1711279&amp;Row=2687&amp;Col=1","No Title Assigned - #15267584929")</f>
        <v/>
      </c>
      <c r="B2695" s="0" t="s">
        <v>4072</v>
      </c>
      <c r="C2695" s="0" t="s">
        <v>4073</v>
      </c>
      <c r="D2695" s="0" t="s">
        <v>4073</v>
      </c>
      <c r="E2695" s="0" t="inlineStr">
        <is>
          <t xml:space="preserve">Mazda</t>
        </is>
      </c>
      <c r="F2695" s="0" t="inlineStr">
        <is>
          <t xml:space="preserve">Mazda</t>
        </is>
      </c>
      <c r="G2695" s="0" t="s">
        <v>2413</v>
      </c>
      <c r="H2695" s="5">
        <v>814.266400</v>
      </c>
    </row>
    <row r="2696" spans="1:9">
      <c r="A2696" s="22" t="str">
        <f>HYPERLINK("https://app.vivvix.com/360/KMI/IntelliDrive/ApplUI/Pages/CreativePages/CustomReportCreativeDetail.aspx?App=23&amp;ReportView=4&amp;Qid=1711279&amp;Row=2688&amp;Col=1","No Title Assigned - #15267587858")</f>
        <v/>
      </c>
      <c r="B2696" s="0" t="s">
        <v>4074</v>
      </c>
      <c r="E2696" s="0" t="inlineStr">
        <is>
          <t xml:space="preserve">Mazda</t>
        </is>
      </c>
      <c r="F2696" s="0" t="inlineStr">
        <is>
          <t xml:space="preserve">Mazda</t>
        </is>
      </c>
      <c r="G2696" s="0" t="s">
        <v>171</v>
      </c>
      <c r="H2696" s="5">
        <v>313.761400</v>
      </c>
    </row>
    <row r="2697" spans="1:9">
      <c r="A2697" s="22" t="str">
        <f>HYPERLINK("https://app.vivvix.com/360/KMI/IntelliDrive/ApplUI/Pages/CreativePages/CustomReportCreativeDetail.aspx?App=23&amp;ReportView=4&amp;Qid=1711279&amp;Row=2689&amp;Col=1","No Title Assigned - #15267616796")</f>
        <v/>
      </c>
      <c r="B2697" s="0" t="s">
        <v>4075</v>
      </c>
      <c r="C2697" s="0" t="s">
        <v>4076</v>
      </c>
      <c r="D2697" s="0" t="s">
        <v>4076</v>
      </c>
      <c r="E2697" s="0" t="inlineStr">
        <is>
          <t xml:space="preserve">Mazda</t>
        </is>
      </c>
      <c r="F2697" s="0" t="s">
        <v>28</v>
      </c>
      <c r="G2697" s="0" t="s">
        <v>29</v>
      </c>
      <c r="H2697" s="5">
        <v>18.811700</v>
      </c>
    </row>
    <row r="2698" spans="1:9">
      <c r="A2698" s="22" t="str">
        <f>HYPERLINK("https://app.vivvix.com/360/KMI/IntelliDrive/ApplUI/Pages/CreativePages/CustomReportCreativeDetail.aspx?App=23&amp;ReportView=4&amp;Qid=1711279&amp;Row=2690&amp;Col=1","No Title Assigned - #15267617493")</f>
        <v/>
      </c>
      <c r="B2698" s="0" t="s">
        <v>4077</v>
      </c>
      <c r="C2698" s="0" t="s">
        <v>4078</v>
      </c>
      <c r="D2698" s="0" t="s">
        <v>4078</v>
      </c>
      <c r="E2698" s="0" t="inlineStr">
        <is>
          <t xml:space="preserve">Mazda</t>
        </is>
      </c>
      <c r="F2698" s="0" t="s">
        <v>28</v>
      </c>
      <c r="G2698" s="0" t="s">
        <v>29</v>
      </c>
      <c r="H2698" s="5">
        <v>142.836400</v>
      </c>
    </row>
    <row r="2699" spans="1:9">
      <c r="A2699" s="22" t="str">
        <f>HYPERLINK("https://app.vivvix.com/360/KMI/IntelliDrive/ApplUI/Pages/CreativePages/CustomReportCreativeDetail.aspx?App=23&amp;ReportView=4&amp;Qid=1711279&amp;Row=2691&amp;Col=1","No Title Assigned - #15267618415")</f>
        <v/>
      </c>
      <c r="B2699" s="0" t="s">
        <v>4079</v>
      </c>
      <c r="C2699" s="0" t="s">
        <v>4080</v>
      </c>
      <c r="D2699" s="0" t="s">
        <v>4080</v>
      </c>
      <c r="E2699" s="0" t="inlineStr">
        <is>
          <t xml:space="preserve">Mazda</t>
        </is>
      </c>
      <c r="F2699" s="0" t="s">
        <v>28</v>
      </c>
      <c r="G2699" s="0" t="s">
        <v>29</v>
      </c>
      <c r="H2699" s="5">
        <v>56243.875000</v>
      </c>
    </row>
    <row r="2700" spans="1:9">
      <c r="A2700" s="22" t="str">
        <f>HYPERLINK("https://app.vivvix.com/360/KMI/IntelliDrive/ApplUI/Pages/CreativePages/CustomReportCreativeDetail.aspx?App=23&amp;ReportView=4&amp;Qid=1711279&amp;Row=2692&amp;Col=1","No Title Assigned - #15267619272")</f>
        <v/>
      </c>
      <c r="B2700" s="0" t="s">
        <v>4081</v>
      </c>
      <c r="C2700" s="0" t="s">
        <v>4082</v>
      </c>
      <c r="D2700" s="0" t="s">
        <v>4082</v>
      </c>
      <c r="E2700" s="0" t="inlineStr">
        <is>
          <t xml:space="preserve">Mazda</t>
        </is>
      </c>
      <c r="F2700" s="0" t="s">
        <v>28</v>
      </c>
      <c r="G2700" s="0" t="s">
        <v>29</v>
      </c>
      <c r="H2700" s="5">
        <v>142.836400</v>
      </c>
    </row>
    <row r="2701" spans="1:9">
      <c r="A2701" s="22" t="str">
        <f>HYPERLINK("https://app.vivvix.com/360/KMI/IntelliDrive/ApplUI/Pages/CreativePages/CustomReportCreativeDetail.aspx?App=23&amp;ReportView=4&amp;Qid=1711279&amp;Row=2693&amp;Col=1","No Title Assigned - #15267620439")</f>
        <v/>
      </c>
      <c r="B2701" s="0" t="s">
        <v>4083</v>
      </c>
      <c r="C2701" s="0" t="s">
        <v>4084</v>
      </c>
      <c r="D2701" s="0" t="s">
        <v>4084</v>
      </c>
      <c r="E2701" s="0" t="inlineStr">
        <is>
          <t xml:space="preserve">Mazda</t>
        </is>
      </c>
      <c r="F2701" s="0" t="s">
        <v>13</v>
      </c>
      <c r="G2701" s="0" t="s">
        <v>49</v>
      </c>
      <c r="H2701" s="5">
        <v>13814.688800</v>
      </c>
    </row>
    <row r="2702" spans="1:9">
      <c r="A2702" s="22" t="str">
        <f>HYPERLINK("https://app.vivvix.com/360/KMI/IntelliDrive/ApplUI/Pages/CreativePages/CustomReportCreativeDetail.aspx?App=23&amp;ReportView=4&amp;Qid=1711279&amp;Row=2694&amp;Col=1","No Title Assigned - #15267622521")</f>
        <v/>
      </c>
      <c r="B2702" s="0" t="s">
        <v>4085</v>
      </c>
      <c r="C2702" s="0" t="s">
        <v>4086</v>
      </c>
      <c r="D2702" s="0" t="s">
        <v>4086</v>
      </c>
      <c r="E2702" s="0" t="inlineStr">
        <is>
          <t xml:space="preserve">Mazda</t>
        </is>
      </c>
      <c r="F2702" s="0" t="s">
        <v>13</v>
      </c>
      <c r="G2702" s="0" t="s">
        <v>49</v>
      </c>
      <c r="H2702" s="5">
        <v>117673.698100</v>
      </c>
    </row>
    <row r="2703" spans="1:9">
      <c r="A2703" s="22" t="str">
        <f>HYPERLINK("https://app.vivvix.com/360/KMI/IntelliDrive/ApplUI/Pages/CreativePages/CustomReportCreativeDetail.aspx?App=23&amp;ReportView=4&amp;Qid=1711279&amp;Row=2695&amp;Col=1","No Title Assigned - #15267625899")</f>
        <v/>
      </c>
      <c r="B2703" s="0" t="s">
        <v>4087</v>
      </c>
      <c r="C2703" s="0" t="s">
        <v>4088</v>
      </c>
      <c r="D2703" s="0" t="s">
        <v>4042</v>
      </c>
      <c r="E2703" s="0" t="inlineStr">
        <is>
          <t xml:space="preserve">Mazda</t>
        </is>
      </c>
      <c r="F2703" s="0" t="s">
        <v>28</v>
      </c>
      <c r="G2703" s="0" t="s">
        <v>29</v>
      </c>
      <c r="H2703" s="5">
        <v>339.484000</v>
      </c>
    </row>
    <row r="2704" spans="1:9">
      <c r="A2704" s="22" t="str">
        <f>HYPERLINK("https://app.vivvix.com/360/KMI/IntelliDrive/ApplUI/Pages/CreativePages/CustomReportCreativeDetail.aspx?App=23&amp;ReportView=4&amp;Qid=1711279&amp;Row=2696&amp;Col=1","No Title Assigned - #15267628104")</f>
        <v/>
      </c>
      <c r="B2704" s="0" t="s">
        <v>4089</v>
      </c>
      <c r="C2704" s="0" t="s">
        <v>4090</v>
      </c>
      <c r="D2704" s="0" t="s">
        <v>4090</v>
      </c>
      <c r="E2704" s="0" t="inlineStr">
        <is>
          <t xml:space="preserve">Mazda</t>
        </is>
      </c>
      <c r="F2704" s="0" t="s">
        <v>13</v>
      </c>
      <c r="G2704" s="0" t="s">
        <v>49</v>
      </c>
      <c r="H2704" s="5">
        <v>625.984700</v>
      </c>
    </row>
    <row r="2705" spans="1:9">
      <c r="A2705" s="22" t="str">
        <f>HYPERLINK("https://app.vivvix.com/360/KMI/IntelliDrive/ApplUI/Pages/CreativePages/CustomReportCreativeDetail.aspx?App=23&amp;ReportView=4&amp;Qid=1711279&amp;Row=2697&amp;Col=1","No Title Assigned - #15267630429")</f>
        <v/>
      </c>
      <c r="B2705" s="0" t="s">
        <v>4091</v>
      </c>
      <c r="C2705" s="0" t="s">
        <v>4092</v>
      </c>
      <c r="D2705" s="0" t="s">
        <v>4092</v>
      </c>
      <c r="E2705" s="0" t="inlineStr">
        <is>
          <t xml:space="preserve">Mazda</t>
        </is>
      </c>
      <c r="F2705" s="0" t="s">
        <v>21</v>
      </c>
      <c r="G2705" s="0" t="s">
        <v>22</v>
      </c>
      <c r="H2705" s="5">
        <v>10749.947000</v>
      </c>
    </row>
    <row r="2706" spans="1:9">
      <c r="A2706" s="22" t="str">
        <f>HYPERLINK("https://app.vivvix.com/360/KMI/IntelliDrive/ApplUI/Pages/CreativePages/CustomReportCreativeDetail.aspx?App=23&amp;ReportView=4&amp;Qid=1711279&amp;Row=2698&amp;Col=1","No Title Assigned - #15267632724")</f>
        <v/>
      </c>
      <c r="B2706" s="0" t="s">
        <v>4093</v>
      </c>
      <c r="C2706" s="0" t="s">
        <v>4094</v>
      </c>
      <c r="D2706" s="0" t="s">
        <v>4094</v>
      </c>
      <c r="E2706" s="0" t="inlineStr">
        <is>
          <t xml:space="preserve">Mazda</t>
        </is>
      </c>
      <c r="F2706" s="0" t="s">
        <v>56</v>
      </c>
      <c r="G2706" s="0" t="s">
        <v>57</v>
      </c>
      <c r="H2706" s="5">
        <v>707.413800</v>
      </c>
    </row>
    <row r="2707" spans="1:9">
      <c r="A2707" s="22" t="str">
        <f>HYPERLINK("https://app.vivvix.com/360/KMI/IntelliDrive/ApplUI/Pages/CreativePages/CustomReportCreativeDetail.aspx?App=23&amp;ReportView=4&amp;Qid=1711279&amp;Row=2699&amp;Col=1","No Title Assigned - #15267634300")</f>
        <v/>
      </c>
      <c r="B2707" s="0" t="s">
        <v>4095</v>
      </c>
      <c r="C2707" s="0" t="s">
        <v>4096</v>
      </c>
      <c r="D2707" s="0" t="s">
        <v>4096</v>
      </c>
      <c r="E2707" s="0" t="inlineStr">
        <is>
          <t xml:space="preserve">Mazda</t>
        </is>
      </c>
      <c r="F2707" s="0" t="s">
        <v>28</v>
      </c>
      <c r="G2707" s="0" t="s">
        <v>29</v>
      </c>
      <c r="H2707" s="5">
        <v>713.515200</v>
      </c>
    </row>
    <row r="2708" spans="1:9">
      <c r="A2708" s="22" t="str">
        <f>HYPERLINK("https://app.vivvix.com/360/KMI/IntelliDrive/ApplUI/Pages/CreativePages/CustomReportCreativeDetail.aspx?App=23&amp;ReportView=4&amp;Qid=1711279&amp;Row=2700&amp;Col=1","No Title Assigned - #15267634947")</f>
        <v/>
      </c>
      <c r="B2708" s="0" t="s">
        <v>4097</v>
      </c>
      <c r="C2708" s="0" t="s">
        <v>4098</v>
      </c>
      <c r="D2708" s="0" t="s">
        <v>4098</v>
      </c>
      <c r="E2708" s="0" t="inlineStr">
        <is>
          <t xml:space="preserve">Mazda</t>
        </is>
      </c>
      <c r="F2708" s="0" t="s">
        <v>28</v>
      </c>
      <c r="G2708" s="0" t="s">
        <v>29</v>
      </c>
      <c r="H2708" s="5">
        <v>420.460600</v>
      </c>
    </row>
    <row r="2709" spans="1:9">
      <c r="A2709" s="22" t="str">
        <f>HYPERLINK("https://app.vivvix.com/360/KMI/IntelliDrive/ApplUI/Pages/CreativePages/CustomReportCreativeDetail.aspx?App=23&amp;ReportView=4&amp;Qid=1711279&amp;Row=2701&amp;Col=1","No Title Assigned - #15267635992")</f>
        <v/>
      </c>
      <c r="B2709" s="0" t="s">
        <v>4099</v>
      </c>
      <c r="C2709" s="0" t="s">
        <v>4100</v>
      </c>
      <c r="D2709" s="0" t="s">
        <v>4100</v>
      </c>
      <c r="E2709" s="0" t="inlineStr">
        <is>
          <t xml:space="preserve">Mazda</t>
        </is>
      </c>
      <c r="F2709" s="0" t="s">
        <v>28</v>
      </c>
      <c r="G2709" s="0" t="s">
        <v>29</v>
      </c>
      <c r="H2709" s="5">
        <v>508.325000</v>
      </c>
    </row>
    <row r="2710" spans="1:9">
      <c r="A2710" s="22" t="str">
        <f>HYPERLINK("https://app.vivvix.com/360/KMI/IntelliDrive/ApplUI/Pages/CreativePages/CustomReportCreativeDetail.aspx?App=23&amp;ReportView=4&amp;Qid=1711279&amp;Row=2702&amp;Col=1","No Title Assigned - #15267636080")</f>
        <v/>
      </c>
      <c r="B2710" s="0" t="s">
        <v>4101</v>
      </c>
      <c r="C2710" s="0" t="s">
        <v>4102</v>
      </c>
      <c r="D2710" s="0" t="s">
        <v>4102</v>
      </c>
      <c r="E2710" s="0" t="inlineStr">
        <is>
          <t xml:space="preserve">Mazda</t>
        </is>
      </c>
      <c r="F2710" s="0" t="s">
        <v>28</v>
      </c>
      <c r="G2710" s="0" t="s">
        <v>29</v>
      </c>
      <c r="H2710" s="5">
        <v>32.208200</v>
      </c>
    </row>
    <row r="2711" spans="1:9">
      <c r="A2711" s="22" t="str">
        <f>HYPERLINK("https://app.vivvix.com/360/KMI/IntelliDrive/ApplUI/Pages/CreativePages/CustomReportCreativeDetail.aspx?App=23&amp;ReportView=4&amp;Qid=1711279&amp;Row=2703&amp;Col=1","No Title Assigned - #15267636158")</f>
        <v/>
      </c>
      <c r="B2711" s="0" t="s">
        <v>4103</v>
      </c>
      <c r="C2711" s="0" t="s">
        <v>4104</v>
      </c>
      <c r="D2711" s="0" t="s">
        <v>4104</v>
      </c>
      <c r="E2711" s="0" t="inlineStr">
        <is>
          <t xml:space="preserve">Mazda</t>
        </is>
      </c>
      <c r="F2711" s="0" t="s">
        <v>28</v>
      </c>
      <c r="G2711" s="0" t="s">
        <v>29</v>
      </c>
      <c r="H2711" s="5">
        <v>242.363500</v>
      </c>
    </row>
    <row r="2712" spans="1:9">
      <c r="A2712" s="22" t="str">
        <f>HYPERLINK("https://app.vivvix.com/360/KMI/IntelliDrive/ApplUI/Pages/CreativePages/CustomReportCreativeDetail.aspx?App=23&amp;ReportView=4&amp;Qid=1711279&amp;Row=2704&amp;Col=1","No Title Assigned - #15267636159")</f>
        <v/>
      </c>
      <c r="B2712" s="0" t="s">
        <v>4105</v>
      </c>
      <c r="C2712" s="0" t="s">
        <v>4106</v>
      </c>
      <c r="D2712" s="0" t="s">
        <v>4106</v>
      </c>
      <c r="E2712" s="0" t="inlineStr">
        <is>
          <t xml:space="preserve">Mazda</t>
        </is>
      </c>
      <c r="F2712" s="0" t="s">
        <v>28</v>
      </c>
      <c r="G2712" s="0" t="s">
        <v>29</v>
      </c>
      <c r="H2712" s="5">
        <v>242.363500</v>
      </c>
    </row>
    <row r="2713" spans="1:9">
      <c r="A2713" s="22" t="str">
        <f>HYPERLINK("https://app.vivvix.com/360/KMI/IntelliDrive/ApplUI/Pages/CreativePages/CustomReportCreativeDetail.aspx?App=23&amp;ReportView=4&amp;Qid=1711279&amp;Row=2705&amp;Col=1","No Title Assigned - #15267636238")</f>
        <v/>
      </c>
      <c r="B2713" s="0" t="s">
        <v>4107</v>
      </c>
      <c r="C2713" s="0" t="s">
        <v>4108</v>
      </c>
      <c r="D2713" s="0" t="s">
        <v>4108</v>
      </c>
      <c r="E2713" s="0" t="inlineStr">
        <is>
          <t xml:space="preserve">Mazda</t>
        </is>
      </c>
      <c r="F2713" s="0" t="s">
        <v>28</v>
      </c>
      <c r="G2713" s="0" t="s">
        <v>29</v>
      </c>
      <c r="H2713" s="5">
        <v>195.308300</v>
      </c>
    </row>
    <row r="2714" spans="1:9">
      <c r="A2714" s="22" t="str">
        <f>HYPERLINK("https://app.vivvix.com/360/KMI/IntelliDrive/ApplUI/Pages/CreativePages/CustomReportCreativeDetail.aspx?App=23&amp;ReportView=4&amp;Qid=1711279&amp;Row=2706&amp;Col=1","No Title Assigned - #15267636303")</f>
        <v/>
      </c>
      <c r="B2714" s="0" t="s">
        <v>4109</v>
      </c>
      <c r="C2714" s="0" t="s">
        <v>4110</v>
      </c>
      <c r="D2714" s="0" t="s">
        <v>4110</v>
      </c>
      <c r="E2714" s="0" t="inlineStr">
        <is>
          <t xml:space="preserve">Mazda</t>
        </is>
      </c>
      <c r="F2714" s="0" t="s">
        <v>28</v>
      </c>
      <c r="G2714" s="0" t="s">
        <v>29</v>
      </c>
      <c r="H2714" s="5">
        <v>392.531900</v>
      </c>
    </row>
    <row r="2715" spans="1:9">
      <c r="A2715" s="22" t="str">
        <f>HYPERLINK("https://app.vivvix.com/360/KMI/IntelliDrive/ApplUI/Pages/CreativePages/CustomReportCreativeDetail.aspx?App=23&amp;ReportView=4&amp;Qid=1711279&amp;Row=2707&amp;Col=1","No Title Assigned - #15267636304")</f>
        <v/>
      </c>
      <c r="B2715" s="0" t="s">
        <v>4111</v>
      </c>
      <c r="E2715" s="0" t="inlineStr">
        <is>
          <t xml:space="preserve">Mazda</t>
        </is>
      </c>
      <c r="F2715" s="0" t="s">
        <v>28</v>
      </c>
      <c r="G2715" s="0" t="s">
        <v>29</v>
      </c>
      <c r="H2715" s="5">
        <v>6.460000</v>
      </c>
    </row>
    <row r="2716" spans="1:9">
      <c r="A2716" s="22" t="str">
        <f>HYPERLINK("https://app.vivvix.com/360/KMI/IntelliDrive/ApplUI/Pages/CreativePages/CustomReportCreativeDetail.aspx?App=23&amp;ReportView=4&amp;Qid=1711279&amp;Row=2708&amp;Col=1","No Title Assigned - #15267636304")</f>
        <v/>
      </c>
      <c r="B2716" s="0" t="s">
        <v>4111</v>
      </c>
      <c r="C2716" s="0" t="s">
        <v>4112</v>
      </c>
      <c r="D2716" s="0" t="s">
        <v>4112</v>
      </c>
      <c r="E2716" s="0" t="inlineStr">
        <is>
          <t xml:space="preserve">Mazda</t>
        </is>
      </c>
      <c r="F2716" s="0" t="s">
        <v>28</v>
      </c>
      <c r="G2716" s="0" t="s">
        <v>29</v>
      </c>
      <c r="H2716" s="5">
        <v>518.561600</v>
      </c>
    </row>
    <row r="2717" spans="1:9">
      <c r="A2717" s="22" t="str">
        <f>HYPERLINK("https://app.vivvix.com/360/KMI/IntelliDrive/ApplUI/Pages/CreativePages/CustomReportCreativeDetail.aspx?App=23&amp;ReportView=4&amp;Qid=1711279&amp;Row=2709&amp;Col=1","No Title Assigned - #15267638562")</f>
        <v/>
      </c>
      <c r="B2717" s="0" t="s">
        <v>4113</v>
      </c>
      <c r="C2717" s="0" t="s">
        <v>4114</v>
      </c>
      <c r="D2717" s="0" t="s">
        <v>4064</v>
      </c>
      <c r="E2717" s="0" t="inlineStr">
        <is>
          <t xml:space="preserve">Mazda</t>
        </is>
      </c>
      <c r="F2717" s="0" t="s">
        <v>21</v>
      </c>
      <c r="G2717" s="0" t="s">
        <v>22</v>
      </c>
      <c r="H2717" s="5">
        <v>662.612700</v>
      </c>
    </row>
    <row r="2718" spans="1:9">
      <c r="A2718" s="22" t="str">
        <f>HYPERLINK("https://app.vivvix.com/360/KMI/IntelliDrive/ApplUI/Pages/CreativePages/CustomReportCreativeDetail.aspx?App=23&amp;ReportView=4&amp;Qid=1711279&amp;Row=2710&amp;Col=1","No Title Assigned - #15267638598")</f>
        <v/>
      </c>
      <c r="B2718" s="0" t="s">
        <v>4115</v>
      </c>
      <c r="C2718" s="0" t="s">
        <v>4116</v>
      </c>
      <c r="D2718" s="0" t="s">
        <v>4116</v>
      </c>
      <c r="E2718" s="0" t="inlineStr">
        <is>
          <t xml:space="preserve">Mazda</t>
        </is>
      </c>
      <c r="F2718" s="0" t="s">
        <v>28</v>
      </c>
      <c r="G2718" s="0" t="s">
        <v>29</v>
      </c>
      <c r="H2718" s="5">
        <v>254.067600</v>
      </c>
    </row>
    <row r="2719" spans="1:9">
      <c r="A2719" s="22" t="str">
        <f>HYPERLINK("https://app.vivvix.com/360/KMI/IntelliDrive/ApplUI/Pages/CreativePages/CustomReportCreativeDetail.aspx?App=23&amp;ReportView=4&amp;Qid=1711279&amp;Row=2711&amp;Col=1","No Title Assigned - #15267641711")</f>
        <v/>
      </c>
      <c r="B2719" s="0" t="s">
        <v>4117</v>
      </c>
      <c r="C2719" s="0" t="s">
        <v>4118</v>
      </c>
      <c r="D2719" s="0" t="s">
        <v>4118</v>
      </c>
      <c r="E2719" s="0" t="inlineStr">
        <is>
          <t xml:space="preserve">Mazda</t>
        </is>
      </c>
      <c r="F2719" s="0" t="s">
        <v>21</v>
      </c>
      <c r="G2719" s="0" t="s">
        <v>22</v>
      </c>
      <c r="H2719" s="5">
        <v>20985.290700</v>
      </c>
    </row>
    <row r="2720" spans="1:9">
      <c r="A2720" s="22" t="str">
        <f>HYPERLINK("https://app.vivvix.com/360/KMI/IntelliDrive/ApplUI/Pages/CreativePages/CustomReportCreativeDetail.aspx?App=23&amp;ReportView=4&amp;Qid=1711279&amp;Row=2712&amp;Col=1","No Title Assigned - #15267641790")</f>
        <v/>
      </c>
      <c r="B2720" s="0" t="s">
        <v>4119</v>
      </c>
      <c r="C2720" s="0" t="s">
        <v>4120</v>
      </c>
      <c r="D2720" s="0" t="s">
        <v>4120</v>
      </c>
      <c r="E2720" s="0" t="inlineStr">
        <is>
          <t xml:space="preserve">Mazda</t>
        </is>
      </c>
      <c r="F2720" s="0" t="inlineStr">
        <is>
          <t xml:space="preserve">Mazda</t>
        </is>
      </c>
      <c r="G2720" s="0" t="s">
        <v>1992</v>
      </c>
      <c r="H2720" s="5">
        <v>16536.937200</v>
      </c>
    </row>
    <row r="2721" spans="1:9">
      <c r="A2721" s="22" t="str">
        <f>HYPERLINK("https://app.vivvix.com/360/KMI/IntelliDrive/ApplUI/Pages/CreativePages/CustomReportCreativeDetail.aspx?App=23&amp;ReportView=4&amp;Qid=1711279&amp;Row=2713&amp;Col=1","No Title Assigned - #15267641795")</f>
        <v/>
      </c>
      <c r="B2721" s="0" t="s">
        <v>4121</v>
      </c>
      <c r="C2721" s="0" t="s">
        <v>4122</v>
      </c>
      <c r="D2721" s="0" t="s">
        <v>4122</v>
      </c>
      <c r="E2721" s="0" t="inlineStr">
        <is>
          <t xml:space="preserve">Mazda</t>
        </is>
      </c>
      <c r="F2721" s="0" t="s">
        <v>21</v>
      </c>
      <c r="G2721" s="0" t="s">
        <v>22</v>
      </c>
      <c r="H2721" s="5">
        <v>390.517200</v>
      </c>
    </row>
    <row r="2722" spans="1:9">
      <c r="A2722" s="22" t="str">
        <f>HYPERLINK("https://app.vivvix.com/360/KMI/IntelliDrive/ApplUI/Pages/CreativePages/CustomReportCreativeDetail.aspx?App=23&amp;ReportView=4&amp;Qid=1711279&amp;Row=2714&amp;Col=1","No Title Assigned - #15267642313")</f>
        <v/>
      </c>
      <c r="B2722" s="0" t="s">
        <v>4123</v>
      </c>
      <c r="C2722" s="0" t="s">
        <v>4124</v>
      </c>
      <c r="D2722" s="0" t="s">
        <v>4124</v>
      </c>
      <c r="E2722" s="0" t="inlineStr">
        <is>
          <t xml:space="preserve">Mazda</t>
        </is>
      </c>
      <c r="F2722" s="0" t="s">
        <v>13</v>
      </c>
      <c r="G2722" s="0" t="s">
        <v>49</v>
      </c>
      <c r="H2722" s="5">
        <v>375.525300</v>
      </c>
    </row>
    <row r="2723" spans="1:9">
      <c r="A2723" s="22" t="str">
        <f>HYPERLINK("https://app.vivvix.com/360/KMI/IntelliDrive/ApplUI/Pages/CreativePages/CustomReportCreativeDetail.aspx?App=23&amp;ReportView=4&amp;Qid=1711279&amp;Row=2715&amp;Col=1","No Title Assigned - #15267652512")</f>
        <v/>
      </c>
      <c r="B2723" s="0" t="s">
        <v>4125</v>
      </c>
      <c r="E2723" s="0" t="inlineStr">
        <is>
          <t xml:space="preserve">Mazda</t>
        </is>
      </c>
      <c r="F2723" s="0" t="inlineStr">
        <is>
          <t xml:space="preserve">Mazda</t>
        </is>
      </c>
      <c r="G2723" s="0" t="s">
        <v>171</v>
      </c>
      <c r="H2723" s="5">
        <v>6789.560100</v>
      </c>
    </row>
    <row r="2724" spans="1:9">
      <c r="A2724" s="22" t="str">
        <f>HYPERLINK("https://app.vivvix.com/360/KMI/IntelliDrive/ApplUI/Pages/CreativePages/CustomReportCreativeDetail.aspx?App=23&amp;ReportView=4&amp;Qid=1711279&amp;Row=2716&amp;Col=1","No Title Assigned - #15267662874")</f>
        <v/>
      </c>
      <c r="B2724" s="0" t="s">
        <v>4126</v>
      </c>
      <c r="C2724" s="0" t="s">
        <v>4127</v>
      </c>
      <c r="D2724" s="0" t="s">
        <v>4127</v>
      </c>
      <c r="E2724" s="0" t="inlineStr">
        <is>
          <t xml:space="preserve">Mazda</t>
        </is>
      </c>
      <c r="F2724" s="0" t="s">
        <v>17</v>
      </c>
      <c r="G2724" s="0" t="s">
        <v>33</v>
      </c>
      <c r="H2724" s="5">
        <v>384.535800</v>
      </c>
    </row>
    <row r="2725" spans="1:9">
      <c r="A2725" s="22" t="str">
        <f>HYPERLINK("https://app.vivvix.com/360/KMI/IntelliDrive/ApplUI/Pages/CreativePages/CustomReportCreativeDetail.aspx?App=23&amp;ReportView=4&amp;Qid=1711279&amp;Row=2717&amp;Col=1","No Title Assigned - #15267664705")</f>
        <v/>
      </c>
      <c r="B2725" s="0" t="s">
        <v>4128</v>
      </c>
      <c r="C2725" s="0" t="s">
        <v>4129</v>
      </c>
      <c r="D2725" s="0" t="s">
        <v>4129</v>
      </c>
      <c r="E2725" s="0" t="inlineStr">
        <is>
          <t xml:space="preserve">Mazda</t>
        </is>
      </c>
      <c r="F2725" s="0" t="s">
        <v>28</v>
      </c>
      <c r="G2725" s="0" t="s">
        <v>29</v>
      </c>
      <c r="H2725" s="5">
        <v>79.635100</v>
      </c>
    </row>
    <row r="2726" spans="1:9">
      <c r="A2726" s="22" t="str">
        <f>HYPERLINK("https://app.vivvix.com/360/KMI/IntelliDrive/ApplUI/Pages/CreativePages/CustomReportCreativeDetail.aspx?App=23&amp;ReportView=4&amp;Qid=1711279&amp;Row=2718&amp;Col=1","No Title Assigned - #15267671516")</f>
        <v/>
      </c>
      <c r="B2726" s="0" t="s">
        <v>4130</v>
      </c>
      <c r="C2726" s="0" t="s">
        <v>4131</v>
      </c>
      <c r="D2726" s="0" t="s">
        <v>4131</v>
      </c>
      <c r="E2726" s="0" t="inlineStr">
        <is>
          <t xml:space="preserve">Mazda</t>
        </is>
      </c>
      <c r="F2726" s="0" t="inlineStr">
        <is>
          <t xml:space="preserve">Mazda</t>
        </is>
      </c>
      <c r="G2726" s="0" t="s">
        <v>662</v>
      </c>
      <c r="H2726" s="5">
        <v>8603.754400</v>
      </c>
    </row>
    <row r="2727" spans="1:9">
      <c r="A2727" s="22" t="str">
        <f>HYPERLINK("https://app.vivvix.com/360/KMI/IntelliDrive/ApplUI/Pages/CreativePages/CustomReportCreativeDetail.aspx?App=23&amp;ReportView=4&amp;Qid=1711279&amp;Row=2719&amp;Col=1","No Title Assigned - #15267671698")</f>
        <v/>
      </c>
      <c r="B2727" s="0" t="s">
        <v>4132</v>
      </c>
      <c r="C2727" s="0" t="s">
        <v>4133</v>
      </c>
      <c r="D2727" s="0" t="s">
        <v>4133</v>
      </c>
      <c r="E2727" s="0" t="inlineStr">
        <is>
          <t xml:space="preserve">Mazda</t>
        </is>
      </c>
      <c r="F2727" s="0" t="s">
        <v>666</v>
      </c>
      <c r="G2727" s="0" t="s">
        <v>667</v>
      </c>
      <c r="H2727" s="5">
        <v>77.080900</v>
      </c>
    </row>
    <row r="2728" spans="1:9">
      <c r="A2728" s="22" t="str">
        <f>HYPERLINK("https://app.vivvix.com/360/KMI/IntelliDrive/ApplUI/Pages/CreativePages/CustomReportCreativeDetail.aspx?App=23&amp;ReportView=4&amp;Qid=1711279&amp;Row=2720&amp;Col=1","No Title Assigned - #15267671745")</f>
        <v/>
      </c>
      <c r="B2728" s="0" t="s">
        <v>4134</v>
      </c>
      <c r="E2728" s="0" t="inlineStr">
        <is>
          <t xml:space="preserve">Mazda</t>
        </is>
      </c>
      <c r="F2728" s="0" t="s">
        <v>28</v>
      </c>
      <c r="G2728" s="0" t="s">
        <v>29</v>
      </c>
      <c r="H2728" s="5">
        <v>11991.009800</v>
      </c>
    </row>
    <row r="2729" spans="1:9">
      <c r="A2729" s="22" t="str">
        <f>HYPERLINK("https://app.vivvix.com/360/KMI/IntelliDrive/ApplUI/Pages/CreativePages/CustomReportCreativeDetail.aspx?App=23&amp;ReportView=4&amp;Qid=1711279&amp;Row=2721&amp;Col=1","No Title Assigned - #15267677419")</f>
        <v/>
      </c>
      <c r="B2729" s="0" t="s">
        <v>4135</v>
      </c>
      <c r="C2729" s="0" t="s">
        <v>4136</v>
      </c>
      <c r="D2729" s="0" t="s">
        <v>4136</v>
      </c>
      <c r="E2729" s="0" t="inlineStr">
        <is>
          <t xml:space="preserve">Mazda</t>
        </is>
      </c>
      <c r="F2729" s="0" t="s">
        <v>13</v>
      </c>
      <c r="G2729" s="0" t="s">
        <v>49</v>
      </c>
      <c r="H2729" s="5">
        <v>184.348600</v>
      </c>
    </row>
    <row r="2730" spans="1:9">
      <c r="A2730" s="22" t="str">
        <f>HYPERLINK("https://app.vivvix.com/360/KMI/IntelliDrive/ApplUI/Pages/CreativePages/CustomReportCreativeDetail.aspx?App=23&amp;ReportView=4&amp;Qid=1711279&amp;Row=2722&amp;Col=1","No Title Assigned - #15267682379")</f>
        <v/>
      </c>
      <c r="B2730" s="0" t="s">
        <v>4137</v>
      </c>
      <c r="C2730" s="0" t="s">
        <v>4138</v>
      </c>
      <c r="D2730" s="0" t="s">
        <v>4138</v>
      </c>
      <c r="E2730" s="0" t="inlineStr">
        <is>
          <t xml:space="preserve">Mazda</t>
        </is>
      </c>
      <c r="F2730" s="0" t="s">
        <v>28</v>
      </c>
      <c r="G2730" s="0" t="s">
        <v>29</v>
      </c>
      <c r="H2730" s="5">
        <v>392.531900</v>
      </c>
    </row>
    <row r="2731" spans="1:9">
      <c r="A2731" s="22" t="str">
        <f>HYPERLINK("https://app.vivvix.com/360/KMI/IntelliDrive/ApplUI/Pages/CreativePages/CustomReportCreativeDetail.aspx?App=23&amp;ReportView=4&amp;Qid=1711279&amp;Row=2723&amp;Col=1","No Title Assigned - #15267685276")</f>
        <v/>
      </c>
      <c r="B2731" s="0" t="s">
        <v>4139</v>
      </c>
      <c r="C2731" s="0" t="s">
        <v>4140</v>
      </c>
      <c r="D2731" s="0" t="s">
        <v>4071</v>
      </c>
      <c r="E2731" s="0" t="inlineStr">
        <is>
          <t xml:space="preserve">Mazda</t>
        </is>
      </c>
      <c r="F2731" s="0" t="s">
        <v>666</v>
      </c>
      <c r="G2731" s="0" t="s">
        <v>667</v>
      </c>
      <c r="H2731" s="5">
        <v>77.080900</v>
      </c>
    </row>
    <row r="2732" spans="1:9">
      <c r="A2732" s="22" t="str">
        <f>HYPERLINK("https://app.vivvix.com/360/KMI/IntelliDrive/ApplUI/Pages/CreativePages/CustomReportCreativeDetail.aspx?App=23&amp;ReportView=4&amp;Qid=1711279&amp;Row=2724&amp;Col=1","No Title Assigned - #15267685298")</f>
        <v/>
      </c>
      <c r="B2732" s="0" t="s">
        <v>4141</v>
      </c>
      <c r="C2732" s="0" t="s">
        <v>4133</v>
      </c>
      <c r="D2732" s="0" t="s">
        <v>4133</v>
      </c>
      <c r="E2732" s="0" t="inlineStr">
        <is>
          <t xml:space="preserve">Mazda</t>
        </is>
      </c>
      <c r="F2732" s="0" t="s">
        <v>666</v>
      </c>
      <c r="G2732" s="0" t="s">
        <v>667</v>
      </c>
      <c r="H2732" s="5">
        <v>77.080900</v>
      </c>
    </row>
    <row r="2733" spans="1:9">
      <c r="A2733" s="22" t="str">
        <f>HYPERLINK("https://app.vivvix.com/360/KMI/IntelliDrive/ApplUI/Pages/CreativePages/CustomReportCreativeDetail.aspx?App=23&amp;ReportView=4&amp;Qid=1711279&amp;Row=2725&amp;Col=1","No Title Assigned - #15267688101")</f>
        <v/>
      </c>
      <c r="B2733" s="0" t="s">
        <v>4142</v>
      </c>
      <c r="C2733" s="0" t="s">
        <v>4143</v>
      </c>
      <c r="D2733" s="0" t="s">
        <v>4143</v>
      </c>
      <c r="E2733" s="0" t="inlineStr">
        <is>
          <t xml:space="preserve">Mazda</t>
        </is>
      </c>
      <c r="F2733" s="0" t="s">
        <v>28</v>
      </c>
      <c r="G2733" s="0" t="s">
        <v>29</v>
      </c>
      <c r="H2733" s="5">
        <v>1312.518400</v>
      </c>
    </row>
    <row r="2734" spans="1:9">
      <c r="A2734" s="22" t="str">
        <f>HYPERLINK("https://app.vivvix.com/360/KMI/IntelliDrive/ApplUI/Pages/CreativePages/CustomReportCreativeDetail.aspx?App=23&amp;ReportView=4&amp;Qid=1711279&amp;Row=2726&amp;Col=1","No Title Assigned - #15267688672")</f>
        <v/>
      </c>
      <c r="B2734" s="0" t="s">
        <v>4144</v>
      </c>
      <c r="C2734" s="0" t="s">
        <v>4145</v>
      </c>
      <c r="D2734" s="0" t="s">
        <v>4145</v>
      </c>
      <c r="E2734" s="0" t="inlineStr">
        <is>
          <t xml:space="preserve">Mazda</t>
        </is>
      </c>
      <c r="F2734" s="0" t="s">
        <v>28</v>
      </c>
      <c r="G2734" s="0" t="s">
        <v>29</v>
      </c>
      <c r="H2734" s="5">
        <v>100.740000</v>
      </c>
    </row>
    <row r="2735" spans="1:9">
      <c r="A2735" s="22" t="str">
        <f>HYPERLINK("https://app.vivvix.com/360/KMI/IntelliDrive/ApplUI/Pages/CreativePages/CustomReportCreativeDetail.aspx?App=23&amp;ReportView=4&amp;Qid=1711279&amp;Row=2727&amp;Col=1","No Title Assigned - #15267689747")</f>
        <v/>
      </c>
      <c r="B2735" s="0" t="s">
        <v>4146</v>
      </c>
      <c r="E2735" s="0" t="inlineStr">
        <is>
          <t xml:space="preserve">Mazda</t>
        </is>
      </c>
      <c r="F2735" s="0" t="s">
        <v>28</v>
      </c>
      <c r="G2735" s="0" t="s">
        <v>29</v>
      </c>
      <c r="H2735" s="5">
        <v>190.021100</v>
      </c>
    </row>
    <row r="2736" spans="1:9">
      <c r="A2736" s="22" t="str">
        <f>HYPERLINK("https://app.vivvix.com/360/KMI/IntelliDrive/ApplUI/Pages/CreativePages/CustomReportCreativeDetail.aspx?App=23&amp;ReportView=4&amp;Qid=1711279&amp;Row=2728&amp;Col=1","No Title Assigned - #15267689747")</f>
        <v/>
      </c>
      <c r="B2736" s="0" t="s">
        <v>4146</v>
      </c>
      <c r="C2736" s="0" t="s">
        <v>4147</v>
      </c>
      <c r="D2736" s="0" t="s">
        <v>4147</v>
      </c>
      <c r="E2736" s="0" t="inlineStr">
        <is>
          <t xml:space="preserve">Mazda</t>
        </is>
      </c>
      <c r="F2736" s="0" t="s">
        <v>28</v>
      </c>
      <c r="G2736" s="0" t="s">
        <v>29</v>
      </c>
      <c r="H2736" s="5">
        <v>4626.377200</v>
      </c>
    </row>
    <row r="2737" spans="1:9">
      <c r="A2737" s="22" t="str">
        <f>HYPERLINK("https://app.vivvix.com/360/KMI/IntelliDrive/ApplUI/Pages/CreativePages/CustomReportCreativeDetail.aspx?App=23&amp;ReportView=4&amp;Qid=1711279&amp;Row=2729&amp;Col=1","No Title Assigned - #15267690588")</f>
        <v/>
      </c>
      <c r="B2737" s="0" t="s">
        <v>4148</v>
      </c>
      <c r="C2737" s="0" t="s">
        <v>4149</v>
      </c>
      <c r="D2737" s="0" t="s">
        <v>4149</v>
      </c>
      <c r="E2737" s="0" t="inlineStr">
        <is>
          <t xml:space="preserve">Mazda</t>
        </is>
      </c>
      <c r="F2737" s="0" t="s">
        <v>28</v>
      </c>
      <c r="G2737" s="0" t="s">
        <v>29</v>
      </c>
      <c r="H2737" s="5">
        <v>177.549900</v>
      </c>
    </row>
    <row r="2738" spans="1:9">
      <c r="A2738" s="22" t="str">
        <f>HYPERLINK("https://app.vivvix.com/360/KMI/IntelliDrive/ApplUI/Pages/CreativePages/CustomReportCreativeDetail.aspx?App=23&amp;ReportView=4&amp;Qid=1711279&amp;Row=2730&amp;Col=1","No Title Assigned - #15267690622")</f>
        <v/>
      </c>
      <c r="B2738" s="0" t="s">
        <v>4150</v>
      </c>
      <c r="C2738" s="0" t="s">
        <v>4151</v>
      </c>
      <c r="D2738" s="0" t="s">
        <v>4151</v>
      </c>
      <c r="E2738" s="0" t="inlineStr">
        <is>
          <t xml:space="preserve">Mazda</t>
        </is>
      </c>
      <c r="F2738" s="0" t="s">
        <v>17</v>
      </c>
      <c r="G2738" s="0" t="s">
        <v>33</v>
      </c>
      <c r="H2738" s="5">
        <v>19439.993300</v>
      </c>
    </row>
    <row r="2739" spans="1:9">
      <c r="A2739" s="22" t="str">
        <f>HYPERLINK("https://app.vivvix.com/360/KMI/IntelliDrive/ApplUI/Pages/CreativePages/CustomReportCreativeDetail.aspx?App=23&amp;ReportView=4&amp;Qid=1711279&amp;Row=2731&amp;Col=1","No Title Assigned - #15267691324")</f>
        <v/>
      </c>
      <c r="B2739" s="0" t="s">
        <v>4152</v>
      </c>
      <c r="E2739" s="0" t="inlineStr">
        <is>
          <t xml:space="preserve">Mazda</t>
        </is>
      </c>
      <c r="F2739" s="0" t="inlineStr">
        <is>
          <t xml:space="preserve">Mazda</t>
        </is>
      </c>
      <c r="G2739" s="0" t="s">
        <v>171</v>
      </c>
      <c r="H2739" s="5">
        <v>4230.630800</v>
      </c>
    </row>
    <row r="2740" spans="1:9">
      <c r="A2740" s="22" t="str">
        <f>HYPERLINK("https://app.vivvix.com/360/KMI/IntelliDrive/ApplUI/Pages/CreativePages/CustomReportCreativeDetail.aspx?App=23&amp;ReportView=4&amp;Qid=1711279&amp;Row=2732&amp;Col=1","No Title Assigned - #15267691326")</f>
        <v/>
      </c>
      <c r="B2740" s="0" t="s">
        <v>4153</v>
      </c>
      <c r="C2740" s="0" t="s">
        <v>4154</v>
      </c>
      <c r="D2740" s="0" t="s">
        <v>4154</v>
      </c>
      <c r="E2740" s="0" t="inlineStr">
        <is>
          <t xml:space="preserve">Mazda</t>
        </is>
      </c>
      <c r="F2740" s="0" t="inlineStr">
        <is>
          <t xml:space="preserve">Mazda</t>
        </is>
      </c>
      <c r="G2740" s="0" t="s">
        <v>171</v>
      </c>
      <c r="H2740" s="5">
        <v>1029.993400</v>
      </c>
    </row>
    <row r="2741" spans="1:9">
      <c r="A2741" s="22" t="str">
        <f>HYPERLINK("https://app.vivvix.com/360/KMI/IntelliDrive/ApplUI/Pages/CreativePages/CustomReportCreativeDetail.aspx?App=23&amp;ReportView=4&amp;Qid=1711279&amp;Row=2733&amp;Col=1","No Title Assigned - #15267691691")</f>
        <v/>
      </c>
      <c r="B2741" s="0" t="s">
        <v>4155</v>
      </c>
      <c r="C2741" s="0" t="s">
        <v>4156</v>
      </c>
      <c r="D2741" s="0" t="s">
        <v>4156</v>
      </c>
      <c r="E2741" s="0" t="inlineStr">
        <is>
          <t xml:space="preserve">Mazda</t>
        </is>
      </c>
      <c r="F2741" s="0" t="s">
        <v>369</v>
      </c>
      <c r="G2741" s="0" t="s">
        <v>370</v>
      </c>
      <c r="H2741" s="5">
        <v>4943.099500</v>
      </c>
    </row>
    <row r="2742" spans="1:9">
      <c r="A2742" s="22" t="str">
        <f>HYPERLINK("https://app.vivvix.com/360/KMI/IntelliDrive/ApplUI/Pages/CreativePages/CustomReportCreativeDetail.aspx?App=23&amp;ReportView=4&amp;Qid=1711279&amp;Row=2734&amp;Col=1","No Title Assigned - #15267691695")</f>
        <v/>
      </c>
      <c r="B2742" s="0" t="s">
        <v>4157</v>
      </c>
      <c r="E2742" s="0" t="inlineStr">
        <is>
          <t xml:space="preserve">Mazda</t>
        </is>
      </c>
      <c r="F2742" s="0" t="inlineStr">
        <is>
          <t xml:space="preserve">Mazda</t>
        </is>
      </c>
      <c r="G2742" s="0" t="s">
        <v>171</v>
      </c>
      <c r="H2742" s="5">
        <v>19.353700</v>
      </c>
    </row>
    <row r="2743" spans="1:9">
      <c r="A2743" s="22" t="str">
        <f>HYPERLINK("https://app.vivvix.com/360/KMI/IntelliDrive/ApplUI/Pages/CreativePages/CustomReportCreativeDetail.aspx?App=23&amp;ReportView=4&amp;Qid=1711279&amp;Row=2735&amp;Col=1","No Title Assigned - #15267694109")</f>
        <v/>
      </c>
      <c r="B2743" s="0" t="s">
        <v>4158</v>
      </c>
      <c r="C2743" s="0" t="s">
        <v>4159</v>
      </c>
      <c r="D2743" s="0" t="s">
        <v>4159</v>
      </c>
      <c r="E2743" s="0" t="inlineStr">
        <is>
          <t xml:space="preserve">Mazda</t>
        </is>
      </c>
      <c r="F2743" s="0" t="s">
        <v>28</v>
      </c>
      <c r="G2743" s="0" t="s">
        <v>29</v>
      </c>
      <c r="H2743" s="5">
        <v>443.431800</v>
      </c>
    </row>
    <row r="2744" spans="1:9">
      <c r="A2744" s="22" t="str">
        <f>HYPERLINK("https://app.vivvix.com/360/KMI/IntelliDrive/ApplUI/Pages/CreativePages/CustomReportCreativeDetail.aspx?App=23&amp;ReportView=4&amp;Qid=1711279&amp;Row=2736&amp;Col=1","No Title Assigned - #15267694116")</f>
        <v/>
      </c>
      <c r="B2744" s="0" t="s">
        <v>4160</v>
      </c>
      <c r="C2744" s="0" t="s">
        <v>4161</v>
      </c>
      <c r="D2744" s="0" t="s">
        <v>4161</v>
      </c>
      <c r="E2744" s="0" t="inlineStr">
        <is>
          <t xml:space="preserve">Mazda</t>
        </is>
      </c>
      <c r="F2744" s="0" t="s">
        <v>28</v>
      </c>
      <c r="G2744" s="0" t="s">
        <v>29</v>
      </c>
      <c r="H2744" s="5">
        <v>369.408200</v>
      </c>
    </row>
    <row r="2745" spans="1:9">
      <c r="A2745" s="22" t="str">
        <f>HYPERLINK("https://app.vivvix.com/360/KMI/IntelliDrive/ApplUI/Pages/CreativePages/CustomReportCreativeDetail.aspx?App=23&amp;ReportView=4&amp;Qid=1711279&amp;Row=2737&amp;Col=1","No Title Assigned - #15267694117")</f>
        <v/>
      </c>
      <c r="B2745" s="0" t="s">
        <v>4162</v>
      </c>
      <c r="C2745" s="0" t="s">
        <v>4163</v>
      </c>
      <c r="D2745" s="0" t="s">
        <v>4163</v>
      </c>
      <c r="E2745" s="0" t="inlineStr">
        <is>
          <t xml:space="preserve">Mazda</t>
        </is>
      </c>
      <c r="F2745" s="0" t="s">
        <v>28</v>
      </c>
      <c r="G2745" s="0" t="s">
        <v>29</v>
      </c>
      <c r="H2745" s="5">
        <v>369.408200</v>
      </c>
    </row>
    <row r="2746" spans="1:9">
      <c r="A2746" s="22" t="str">
        <f>HYPERLINK("https://app.vivvix.com/360/KMI/IntelliDrive/ApplUI/Pages/CreativePages/CustomReportCreativeDetail.aspx?App=23&amp;ReportView=4&amp;Qid=1711279&amp;Row=2738&amp;Col=1","No Title Assigned - #15267695204")</f>
        <v/>
      </c>
      <c r="B2746" s="0" t="s">
        <v>4164</v>
      </c>
      <c r="C2746" s="0" t="s">
        <v>4165</v>
      </c>
      <c r="D2746" s="0" t="s">
        <v>4165</v>
      </c>
      <c r="E2746" s="0" t="inlineStr">
        <is>
          <t xml:space="preserve">Mazda</t>
        </is>
      </c>
      <c r="F2746" s="0" t="inlineStr">
        <is>
          <t xml:space="preserve">Mazda</t>
        </is>
      </c>
      <c r="G2746" s="0" t="s">
        <v>171</v>
      </c>
      <c r="H2746" s="5">
        <v>19.353700</v>
      </c>
    </row>
    <row r="2747" spans="1:9">
      <c r="A2747" s="22" t="str">
        <f>HYPERLINK("https://app.vivvix.com/360/KMI/IntelliDrive/ApplUI/Pages/CreativePages/CustomReportCreativeDetail.aspx?App=23&amp;ReportView=4&amp;Qid=1711279&amp;Row=2739&amp;Col=1","No Title Assigned - #15267695205")</f>
        <v/>
      </c>
      <c r="B2747" s="0" t="s">
        <v>4166</v>
      </c>
      <c r="E2747" s="0" t="inlineStr">
        <is>
          <t xml:space="preserve">Mazda</t>
        </is>
      </c>
      <c r="F2747" s="0" t="inlineStr">
        <is>
          <t xml:space="preserve">Mazda</t>
        </is>
      </c>
      <c r="G2747" s="0" t="s">
        <v>171</v>
      </c>
      <c r="H2747" s="5">
        <v>58.061100</v>
      </c>
    </row>
    <row r="2748" spans="1:9">
      <c r="A2748" s="22" t="str">
        <f>HYPERLINK("https://app.vivvix.com/360/KMI/IntelliDrive/ApplUI/Pages/CreativePages/CustomReportCreativeDetail.aspx?App=23&amp;ReportView=4&amp;Qid=1711279&amp;Row=2740&amp;Col=1","No Title Assigned - #15267695218")</f>
        <v/>
      </c>
      <c r="B2748" s="0" t="s">
        <v>4167</v>
      </c>
      <c r="C2748" s="0" t="s">
        <v>4168</v>
      </c>
      <c r="D2748" s="0" t="s">
        <v>4168</v>
      </c>
      <c r="E2748" s="0" t="inlineStr">
        <is>
          <t xml:space="preserve">Mazda</t>
        </is>
      </c>
      <c r="F2748" s="0" t="s">
        <v>369</v>
      </c>
      <c r="G2748" s="0" t="s">
        <v>4169</v>
      </c>
      <c r="H2748" s="5">
        <v>831.150100</v>
      </c>
    </row>
    <row r="2749" spans="1:9">
      <c r="A2749" s="22" t="str">
        <f>HYPERLINK("https://app.vivvix.com/360/KMI/IntelliDrive/ApplUI/Pages/CreativePages/CustomReportCreativeDetail.aspx?App=23&amp;ReportView=4&amp;Qid=1711279&amp;Row=2741&amp;Col=1","No Title Assigned - #15267695240")</f>
        <v/>
      </c>
      <c r="B2749" s="0" t="s">
        <v>4170</v>
      </c>
      <c r="E2749" s="0" t="inlineStr">
        <is>
          <t xml:space="preserve">Mazda</t>
        </is>
      </c>
      <c r="F2749" s="0" t="inlineStr">
        <is>
          <t xml:space="preserve">Mazda</t>
        </is>
      </c>
      <c r="G2749" s="0" t="s">
        <v>171</v>
      </c>
      <c r="H2749" s="5">
        <v>19.353700</v>
      </c>
    </row>
    <row r="2750" spans="1:9">
      <c r="A2750" s="22" t="str">
        <f>HYPERLINK("https://app.vivvix.com/360/KMI/IntelliDrive/ApplUI/Pages/CreativePages/CustomReportCreativeDetail.aspx?App=23&amp;ReportView=4&amp;Qid=1711279&amp;Row=2742&amp;Col=1","No Title Assigned - #15267717844")</f>
        <v/>
      </c>
      <c r="B2750" s="0" t="s">
        <v>4171</v>
      </c>
      <c r="E2750" s="0" t="inlineStr">
        <is>
          <t xml:space="preserve">Mazda</t>
        </is>
      </c>
      <c r="F2750" s="0" t="s">
        <v>204</v>
      </c>
      <c r="G2750" s="0" t="s">
        <v>205</v>
      </c>
      <c r="H2750" s="5">
        <v>770.504000</v>
      </c>
    </row>
    <row r="2751" spans="1:9">
      <c r="A2751" s="22" t="str">
        <f>HYPERLINK("https://app.vivvix.com/360/KMI/IntelliDrive/ApplUI/Pages/CreativePages/CustomReportCreativeDetail.aspx?App=23&amp;ReportView=4&amp;Qid=1711279&amp;Row=2743&amp;Col=1","No Title Assigned - #15267722205")</f>
        <v/>
      </c>
      <c r="B2751" s="0" t="s">
        <v>4172</v>
      </c>
      <c r="C2751" s="0" t="s">
        <v>4173</v>
      </c>
      <c r="D2751" s="0" t="s">
        <v>4173</v>
      </c>
      <c r="E2751" s="0" t="inlineStr">
        <is>
          <t xml:space="preserve">Mazda</t>
        </is>
      </c>
      <c r="F2751" s="0" t="s">
        <v>28</v>
      </c>
      <c r="G2751" s="0" t="s">
        <v>29</v>
      </c>
      <c r="H2751" s="5">
        <v>157.138100</v>
      </c>
    </row>
    <row r="2752" spans="1:9">
      <c r="A2752" s="22" t="str">
        <f>HYPERLINK("https://app.vivvix.com/360/KMI/IntelliDrive/ApplUI/Pages/CreativePages/CustomReportCreativeDetail.aspx?App=23&amp;ReportView=4&amp;Qid=1711279&amp;Row=2744&amp;Col=1","No Title Assigned - #15267730588")</f>
        <v/>
      </c>
      <c r="B2752" s="0" t="s">
        <v>4174</v>
      </c>
      <c r="E2752" s="0" t="inlineStr">
        <is>
          <t xml:space="preserve">Mazda</t>
        </is>
      </c>
      <c r="F2752" s="0" t="inlineStr">
        <is>
          <t xml:space="preserve">Mazda</t>
        </is>
      </c>
      <c r="G2752" s="0" t="s">
        <v>171</v>
      </c>
      <c r="H2752" s="5">
        <v>1703.011200</v>
      </c>
    </row>
    <row r="2753" spans="1:9">
      <c r="A2753" s="22" t="str">
        <f>HYPERLINK("https://app.vivvix.com/360/KMI/IntelliDrive/ApplUI/Pages/CreativePages/CustomReportCreativeDetail.aspx?App=23&amp;ReportView=4&amp;Qid=1711279&amp;Row=2745&amp;Col=1","No Title Assigned - #15267734866")</f>
        <v/>
      </c>
      <c r="B2753" s="0" t="s">
        <v>4175</v>
      </c>
      <c r="E2753" s="0" t="inlineStr">
        <is>
          <t xml:space="preserve">Mazda</t>
        </is>
      </c>
      <c r="F2753" s="0" t="inlineStr">
        <is>
          <t xml:space="preserve">Mazda</t>
        </is>
      </c>
      <c r="G2753" s="0" t="s">
        <v>171</v>
      </c>
      <c r="H2753" s="5">
        <v>6671.833900</v>
      </c>
    </row>
    <row r="2754" spans="1:9">
      <c r="A2754" s="22" t="str">
        <f>HYPERLINK("https://app.vivvix.com/360/KMI/IntelliDrive/ApplUI/Pages/CreativePages/CustomReportCreativeDetail.aspx?App=23&amp;ReportView=4&amp;Qid=1711279&amp;Row=2746&amp;Col=1","No Title Assigned - #15267739378")</f>
        <v/>
      </c>
      <c r="B2754" s="0" t="s">
        <v>4176</v>
      </c>
      <c r="C2754" s="0" t="s">
        <v>4177</v>
      </c>
      <c r="D2754" s="0" t="s">
        <v>4177</v>
      </c>
      <c r="E2754" s="0" t="inlineStr">
        <is>
          <t xml:space="preserve">Mazda</t>
        </is>
      </c>
      <c r="F2754" s="0" t="s">
        <v>28</v>
      </c>
      <c r="G2754" s="0" t="s">
        <v>29</v>
      </c>
      <c r="H2754" s="5">
        <v>257.503000</v>
      </c>
    </row>
    <row r="2755" spans="1:9">
      <c r="A2755" s="22" t="str">
        <f>HYPERLINK("https://app.vivvix.com/360/KMI/IntelliDrive/ApplUI/Pages/CreativePages/CustomReportCreativeDetail.aspx?App=23&amp;ReportView=4&amp;Qid=1711279&amp;Row=2747&amp;Col=1","No Title Assigned - #15267741161")</f>
        <v/>
      </c>
      <c r="B2755" s="0" t="s">
        <v>4178</v>
      </c>
      <c r="C2755" s="0" t="s">
        <v>4179</v>
      </c>
      <c r="D2755" s="0" t="s">
        <v>4179</v>
      </c>
      <c r="E2755" s="0" t="inlineStr">
        <is>
          <t xml:space="preserve">Mazda</t>
        </is>
      </c>
      <c r="F2755" s="0" t="s">
        <v>28</v>
      </c>
      <c r="G2755" s="0" t="s">
        <v>29</v>
      </c>
      <c r="H2755" s="5">
        <v>4231.699100</v>
      </c>
    </row>
    <row r="2756" spans="1:9">
      <c r="A2756" s="22" t="str">
        <f>HYPERLINK("https://app.vivvix.com/360/KMI/IntelliDrive/ApplUI/Pages/CreativePages/CustomReportCreativeDetail.aspx?App=23&amp;ReportView=4&amp;Qid=1711279&amp;Row=2748&amp;Col=1","No Title Assigned - #15267742146")</f>
        <v/>
      </c>
      <c r="B2756" s="0" t="s">
        <v>4180</v>
      </c>
      <c r="E2756" s="0" t="inlineStr">
        <is>
          <t xml:space="preserve">Mazda</t>
        </is>
      </c>
      <c r="F2756" s="0" t="s">
        <v>13</v>
      </c>
      <c r="G2756" s="0" t="s">
        <v>49</v>
      </c>
      <c r="H2756" s="5">
        <v>191.124600</v>
      </c>
    </row>
    <row r="2757" spans="1:9">
      <c r="A2757" s="22" t="str">
        <f>HYPERLINK("https://app.vivvix.com/360/KMI/IntelliDrive/ApplUI/Pages/CreativePages/CustomReportCreativeDetail.aspx?App=23&amp;ReportView=4&amp;Qid=1711279&amp;Row=2749&amp;Col=1","No Title Assigned - #15267742146")</f>
        <v/>
      </c>
      <c r="B2757" s="0" t="s">
        <v>4180</v>
      </c>
      <c r="C2757" s="0" t="s">
        <v>4181</v>
      </c>
      <c r="D2757" s="0" t="s">
        <v>4181</v>
      </c>
      <c r="E2757" s="0" t="inlineStr">
        <is>
          <t xml:space="preserve">Mazda</t>
        </is>
      </c>
      <c r="F2757" s="0" t="s">
        <v>13</v>
      </c>
      <c r="G2757" s="0" t="s">
        <v>49</v>
      </c>
      <c r="H2757" s="5">
        <v>6074.032700</v>
      </c>
    </row>
    <row r="2758" spans="1:9">
      <c r="A2758" s="22" t="str">
        <f>HYPERLINK("https://app.vivvix.com/360/KMI/IntelliDrive/ApplUI/Pages/CreativePages/CustomReportCreativeDetail.aspx?App=23&amp;ReportView=4&amp;Qid=1711279&amp;Row=2750&amp;Col=1","No Title Assigned - #15267744122")</f>
        <v/>
      </c>
      <c r="B2758" s="0" t="s">
        <v>4182</v>
      </c>
      <c r="E2758" s="0" t="inlineStr">
        <is>
          <t xml:space="preserve">Mazda</t>
        </is>
      </c>
      <c r="F2758" s="0" t="inlineStr">
        <is>
          <t xml:space="preserve">Mazda</t>
        </is>
      </c>
      <c r="G2758" s="0" t="s">
        <v>171</v>
      </c>
      <c r="H2758" s="5">
        <v>1205.372400</v>
      </c>
    </row>
    <row r="2759" spans="1:9">
      <c r="A2759" s="22" t="str">
        <f>HYPERLINK("https://app.vivvix.com/360/KMI/IntelliDrive/ApplUI/Pages/CreativePages/CustomReportCreativeDetail.aspx?App=23&amp;ReportView=4&amp;Qid=1711279&amp;Row=2751&amp;Col=1","No Title Assigned - #15267744684")</f>
        <v/>
      </c>
      <c r="B2759" s="0" t="s">
        <v>4183</v>
      </c>
      <c r="E2759" s="0" t="inlineStr">
        <is>
          <t xml:space="preserve">Mazda</t>
        </is>
      </c>
      <c r="F2759" s="0" t="inlineStr">
        <is>
          <t xml:space="preserve">Mazda</t>
        </is>
      </c>
      <c r="G2759" s="0" t="s">
        <v>171</v>
      </c>
      <c r="H2759" s="5">
        <v>229.781100</v>
      </c>
    </row>
    <row r="2760" spans="1:9">
      <c r="A2760" s="22" t="str">
        <f>HYPERLINK("https://app.vivvix.com/360/KMI/IntelliDrive/ApplUI/Pages/CreativePages/CustomReportCreativeDetail.aspx?App=23&amp;ReportView=4&amp;Qid=1711279&amp;Row=2752&amp;Col=1","No Title Assigned - #15267744684")</f>
        <v/>
      </c>
      <c r="B2760" s="0" t="s">
        <v>4183</v>
      </c>
      <c r="E2760" s="0" t="inlineStr">
        <is>
          <t xml:space="preserve">Mazda</t>
        </is>
      </c>
      <c r="F2760" s="0" t="inlineStr">
        <is>
          <t xml:space="preserve">Mazda</t>
        </is>
      </c>
      <c r="G2760" s="0" t="s">
        <v>171</v>
      </c>
      <c r="H2760" s="5">
        <v>579.667400</v>
      </c>
    </row>
    <row r="2761" spans="1:9">
      <c r="A2761" s="22" t="str">
        <f>HYPERLINK("https://app.vivvix.com/360/KMI/IntelliDrive/ApplUI/Pages/CreativePages/CustomReportCreativeDetail.aspx?App=23&amp;ReportView=4&amp;Qid=1711279&amp;Row=2753&amp;Col=1","No Title Assigned - #15267744708")</f>
        <v/>
      </c>
      <c r="B2761" s="0" t="s">
        <v>4184</v>
      </c>
      <c r="E2761" s="0" t="inlineStr">
        <is>
          <t xml:space="preserve">Mazda</t>
        </is>
      </c>
      <c r="F2761" s="0" t="inlineStr">
        <is>
          <t xml:space="preserve">Mazda</t>
        </is>
      </c>
      <c r="G2761" s="0" t="s">
        <v>171</v>
      </c>
      <c r="H2761" s="5">
        <v>28489.310000</v>
      </c>
    </row>
    <row r="2762" spans="1:9">
      <c r="A2762" s="22" t="str">
        <f>HYPERLINK("https://app.vivvix.com/360/KMI/IntelliDrive/ApplUI/Pages/CreativePages/CustomReportCreativeDetail.aspx?App=23&amp;ReportView=4&amp;Qid=1711279&amp;Row=2754&amp;Col=1","No Title Assigned - #15267750822")</f>
        <v/>
      </c>
      <c r="B2762" s="0" t="s">
        <v>4185</v>
      </c>
      <c r="C2762" s="0" t="s">
        <v>4186</v>
      </c>
      <c r="D2762" s="0" t="s">
        <v>4186</v>
      </c>
      <c r="E2762" s="0" t="inlineStr">
        <is>
          <t xml:space="preserve">Mazda</t>
        </is>
      </c>
      <c r="F2762" s="0" t="s">
        <v>28</v>
      </c>
      <c r="G2762" s="0" t="s">
        <v>29</v>
      </c>
      <c r="H2762" s="5">
        <v>254.067600</v>
      </c>
    </row>
    <row r="2763" spans="1:9">
      <c r="A2763" s="22" t="str">
        <f>HYPERLINK("https://app.vivvix.com/360/KMI/IntelliDrive/ApplUI/Pages/CreativePages/CustomReportCreativeDetail.aspx?App=23&amp;ReportView=4&amp;Qid=1711279&amp;Row=2755&amp;Col=1","No Title Assigned - #15267763802")</f>
        <v/>
      </c>
      <c r="B2763" s="0" t="s">
        <v>4187</v>
      </c>
      <c r="E2763" s="0" t="inlineStr">
        <is>
          <t xml:space="preserve">Mazda</t>
        </is>
      </c>
      <c r="F2763" s="0" t="s">
        <v>13</v>
      </c>
      <c r="G2763" s="0" t="s">
        <v>49</v>
      </c>
      <c r="H2763" s="5">
        <v>479.960600</v>
      </c>
    </row>
    <row r="2764" spans="1:9">
      <c r="A2764" s="22" t="str">
        <f>HYPERLINK("https://app.vivvix.com/360/KMI/IntelliDrive/ApplUI/Pages/CreativePages/CustomReportCreativeDetail.aspx?App=23&amp;ReportView=4&amp;Qid=1711279&amp;Row=2756&amp;Col=1","No Title Assigned - #15267778762")</f>
        <v/>
      </c>
      <c r="B2764" s="0" t="s">
        <v>4188</v>
      </c>
      <c r="C2764" s="0" t="s">
        <v>4189</v>
      </c>
      <c r="D2764" s="0" t="s">
        <v>4189</v>
      </c>
      <c r="E2764" s="0" t="inlineStr">
        <is>
          <t xml:space="preserve">Mazda</t>
        </is>
      </c>
      <c r="F2764" s="0" t="s">
        <v>28</v>
      </c>
      <c r="G2764" s="0" t="s">
        <v>29</v>
      </c>
      <c r="H2764" s="5">
        <v>213.530000</v>
      </c>
    </row>
    <row r="2765" spans="1:9">
      <c r="A2765" s="22" t="str">
        <f>HYPERLINK("https://app.vivvix.com/360/KMI/IntelliDrive/ApplUI/Pages/CreativePages/CustomReportCreativeDetail.aspx?App=23&amp;ReportView=4&amp;Qid=1711279&amp;Row=2757&amp;Col=1","No Title Assigned - #15267786984")</f>
        <v/>
      </c>
      <c r="B2765" s="0" t="s">
        <v>4190</v>
      </c>
      <c r="C2765" s="0" t="s">
        <v>4191</v>
      </c>
      <c r="D2765" s="0" t="s">
        <v>4191</v>
      </c>
      <c r="E2765" s="0" t="inlineStr">
        <is>
          <t xml:space="preserve">Mazda</t>
        </is>
      </c>
      <c r="F2765" s="0" t="s">
        <v>28</v>
      </c>
      <c r="G2765" s="0" t="s">
        <v>29</v>
      </c>
      <c r="H2765" s="5">
        <v>491.682100</v>
      </c>
    </row>
    <row r="2766" spans="1:9">
      <c r="A2766" s="22" t="str">
        <f>HYPERLINK("https://app.vivvix.com/360/KMI/IntelliDrive/ApplUI/Pages/CreativePages/CustomReportCreativeDetail.aspx?App=23&amp;ReportView=4&amp;Qid=1711279&amp;Row=2758&amp;Col=1","No Title Assigned - #15267788434")</f>
        <v/>
      </c>
      <c r="B2766" s="0" t="s">
        <v>4192</v>
      </c>
      <c r="E2766" s="0" t="inlineStr">
        <is>
          <t xml:space="preserve">Mazda</t>
        </is>
      </c>
      <c r="F2766" s="0" t="inlineStr">
        <is>
          <t xml:space="preserve">Mazda</t>
        </is>
      </c>
      <c r="G2766" s="0" t="s">
        <v>171</v>
      </c>
      <c r="H2766" s="5">
        <v>75.377200</v>
      </c>
    </row>
    <row r="2767" spans="1:9">
      <c r="A2767" s="22" t="str">
        <f>HYPERLINK("https://app.vivvix.com/360/KMI/IntelliDrive/ApplUI/Pages/CreativePages/CustomReportCreativeDetail.aspx?App=23&amp;ReportView=4&amp;Qid=1711279&amp;Row=2759&amp;Col=1","No Title Assigned - #15267788769")</f>
        <v/>
      </c>
      <c r="B2767" s="0" t="s">
        <v>4193</v>
      </c>
      <c r="C2767" s="0" t="s">
        <v>4194</v>
      </c>
      <c r="D2767" s="0" t="s">
        <v>4194</v>
      </c>
      <c r="E2767" s="0" t="inlineStr">
        <is>
          <t xml:space="preserve">Mazda</t>
        </is>
      </c>
      <c r="F2767" s="0" t="s">
        <v>28</v>
      </c>
      <c r="G2767" s="0" t="s">
        <v>29</v>
      </c>
      <c r="H2767" s="5">
        <v>14145.146300</v>
      </c>
    </row>
    <row r="2768" spans="1:9">
      <c r="A2768" s="22" t="str">
        <f>HYPERLINK("https://app.vivvix.com/360/KMI/IntelliDrive/ApplUI/Pages/CreativePages/CustomReportCreativeDetail.aspx?App=23&amp;ReportView=4&amp;Qid=1711279&amp;Row=2760&amp;Col=1","No Title Assigned - #15267789788")</f>
        <v/>
      </c>
      <c r="B2768" s="0" t="s">
        <v>4195</v>
      </c>
      <c r="E2768" s="0" t="inlineStr">
        <is>
          <t xml:space="preserve">Mazda</t>
        </is>
      </c>
      <c r="F2768" s="0" t="inlineStr">
        <is>
          <t xml:space="preserve">Mazda</t>
        </is>
      </c>
      <c r="G2768" s="0" t="s">
        <v>171</v>
      </c>
      <c r="H2768" s="5">
        <v>309.230900</v>
      </c>
    </row>
    <row r="2769" spans="1:9">
      <c r="A2769" s="22" t="str">
        <f>HYPERLINK("https://app.vivvix.com/360/KMI/IntelliDrive/ApplUI/Pages/CreativePages/CustomReportCreativeDetail.aspx?App=23&amp;ReportView=4&amp;Qid=1711279&amp;Row=2761&amp;Col=1","No Title Assigned - #15267796461")</f>
        <v/>
      </c>
      <c r="B2769" s="0" t="s">
        <v>109</v>
      </c>
      <c r="E2769" s="0" t="inlineStr">
        <is>
          <t xml:space="preserve">Mazda</t>
        </is>
      </c>
      <c r="F2769" s="0" t="s">
        <v>13</v>
      </c>
      <c r="G2769" s="0" t="s">
        <v>49</v>
      </c>
      <c r="H2769" s="5">
        <v>20115.511300</v>
      </c>
    </row>
    <row r="2770" spans="1:9">
      <c r="A2770" s="22" t="str">
        <f>HYPERLINK("https://app.vivvix.com/360/KMI/IntelliDrive/ApplUI/Pages/CreativePages/CustomReportCreativeDetail.aspx?App=23&amp;ReportView=4&amp;Qid=1711279&amp;Row=2762&amp;Col=1","No Title Assigned - #15267796461")</f>
        <v/>
      </c>
      <c r="B2770" s="0" t="s">
        <v>109</v>
      </c>
      <c r="E2770" s="0" t="inlineStr">
        <is>
          <t xml:space="preserve">Mazda</t>
        </is>
      </c>
      <c r="F2770" s="0" t="s">
        <v>13</v>
      </c>
      <c r="G2770" s="0" t="s">
        <v>49</v>
      </c>
      <c r="H2770" s="5">
        <v>52143.035600</v>
      </c>
    </row>
    <row r="2771" spans="1:9">
      <c r="A2771" s="22" t="str">
        <f>HYPERLINK("https://app.vivvix.com/360/KMI/IntelliDrive/ApplUI/Pages/CreativePages/CustomReportCreativeDetail.aspx?App=23&amp;ReportView=4&amp;Qid=1711279&amp;Row=2763&amp;Col=1","No Title Assigned - #15267837467")</f>
        <v/>
      </c>
      <c r="B2771" s="0" t="s">
        <v>4196</v>
      </c>
      <c r="E2771" s="0" t="inlineStr">
        <is>
          <t xml:space="preserve">Mazda</t>
        </is>
      </c>
      <c r="F2771" s="0" t="inlineStr">
        <is>
          <t xml:space="preserve">Mazda</t>
        </is>
      </c>
      <c r="G2771" s="0" t="s">
        <v>171</v>
      </c>
      <c r="H2771" s="5">
        <v>58.061100</v>
      </c>
    </row>
    <row r="2772" spans="1:9">
      <c r="A2772" s="22" t="str">
        <f>HYPERLINK("https://app.vivvix.com/360/KMI/IntelliDrive/ApplUI/Pages/CreativePages/CustomReportCreativeDetail.aspx?App=23&amp;ReportView=4&amp;Qid=1711279&amp;Row=2764&amp;Col=1","No Title Assigned - #15267847124")</f>
        <v/>
      </c>
      <c r="B2772" s="0" t="s">
        <v>4197</v>
      </c>
      <c r="E2772" s="0" t="inlineStr">
        <is>
          <t xml:space="preserve">Mazda</t>
        </is>
      </c>
      <c r="F2772" s="0" t="inlineStr">
        <is>
          <t xml:space="preserve">Mazda</t>
        </is>
      </c>
      <c r="G2772" s="0" t="s">
        <v>171</v>
      </c>
      <c r="H2772" s="5">
        <v>245.070200</v>
      </c>
    </row>
    <row r="2773" spans="1:9">
      <c r="A2773" s="22" t="str">
        <f>HYPERLINK("https://app.vivvix.com/360/KMI/IntelliDrive/ApplUI/Pages/CreativePages/CustomReportCreativeDetail.aspx?App=23&amp;ReportView=4&amp;Qid=1711279&amp;Row=2765&amp;Col=1","No Title Assigned - #15267850876")</f>
        <v/>
      </c>
      <c r="B2773" s="0" t="s">
        <v>4198</v>
      </c>
      <c r="C2773" s="0" t="s">
        <v>4199</v>
      </c>
      <c r="D2773" s="0" t="s">
        <v>4200</v>
      </c>
      <c r="E2773" s="0" t="inlineStr">
        <is>
          <t xml:space="preserve">Mazda</t>
        </is>
      </c>
      <c r="F2773" s="0" t="s">
        <v>28</v>
      </c>
      <c r="G2773" s="0" t="s">
        <v>29</v>
      </c>
      <c r="H2773" s="5">
        <v>18409.742200</v>
      </c>
    </row>
    <row r="2774" spans="1:9">
      <c r="A2774" s="22" t="str">
        <f>HYPERLINK("https://app.vivvix.com/360/KMI/IntelliDrive/ApplUI/Pages/CreativePages/CustomReportCreativeDetail.aspx?App=23&amp;ReportView=4&amp;Qid=1711279&amp;Row=2766&amp;Col=1","No Title Assigned - #15267851231")</f>
        <v/>
      </c>
      <c r="B2774" s="0" t="s">
        <v>4201</v>
      </c>
      <c r="C2774" s="0" t="s">
        <v>4202</v>
      </c>
      <c r="D2774" s="0" t="s">
        <v>4202</v>
      </c>
      <c r="E2774" s="0" t="inlineStr">
        <is>
          <t xml:space="preserve">Mazda</t>
        </is>
      </c>
      <c r="F2774" s="0" t="s">
        <v>28</v>
      </c>
      <c r="G2774" s="0" t="s">
        <v>29</v>
      </c>
      <c r="H2774" s="5">
        <v>5920.821600</v>
      </c>
    </row>
    <row r="2775" spans="1:9">
      <c r="A2775" s="22" t="str">
        <f>HYPERLINK("https://app.vivvix.com/360/KMI/IntelliDrive/ApplUI/Pages/CreativePages/CustomReportCreativeDetail.aspx?App=23&amp;ReportView=4&amp;Qid=1711279&amp;Row=2767&amp;Col=1","No Title Assigned - #15267852884")</f>
        <v/>
      </c>
      <c r="B2775" s="0" t="s">
        <v>4203</v>
      </c>
      <c r="C2775" s="0" t="s">
        <v>4204</v>
      </c>
      <c r="D2775" s="0" t="s">
        <v>4204</v>
      </c>
      <c r="E2775" s="0" t="inlineStr">
        <is>
          <t xml:space="preserve">Mazda</t>
        </is>
      </c>
      <c r="F2775" s="0" t="s">
        <v>28</v>
      </c>
      <c r="G2775" s="0" t="s">
        <v>29</v>
      </c>
      <c r="H2775" s="5">
        <v>253678.002000</v>
      </c>
    </row>
    <row r="2776" spans="1:9">
      <c r="A2776" s="22" t="str">
        <f>HYPERLINK("https://app.vivvix.com/360/KMI/IntelliDrive/ApplUI/Pages/CreativePages/CustomReportCreativeDetail.aspx?App=23&amp;ReportView=4&amp;Qid=1711279&amp;Row=2768&amp;Col=1","No Title Assigned - #15267852884")</f>
        <v/>
      </c>
      <c r="B2776" s="0" t="s">
        <v>4203</v>
      </c>
      <c r="E2776" s="0" t="inlineStr">
        <is>
          <t xml:space="preserve">Mazda</t>
        </is>
      </c>
      <c r="F2776" s="0" t="s">
        <v>28</v>
      </c>
      <c r="G2776" s="0" t="s">
        <v>29</v>
      </c>
      <c r="H2776" s="5">
        <v>407702.667600</v>
      </c>
    </row>
    <row r="2777" spans="1:9">
      <c r="A2777" s="22" t="str">
        <f>HYPERLINK("https://app.vivvix.com/360/KMI/IntelliDrive/ApplUI/Pages/CreativePages/CustomReportCreativeDetail.aspx?App=23&amp;ReportView=4&amp;Qid=1711279&amp;Row=2769&amp;Col=1","No Title Assigned - #15267853072")</f>
        <v/>
      </c>
      <c r="B2777" s="0" t="s">
        <v>4205</v>
      </c>
      <c r="E2777" s="0" t="inlineStr">
        <is>
          <t xml:space="preserve">Mazda</t>
        </is>
      </c>
      <c r="F2777" s="0" t="s">
        <v>28</v>
      </c>
      <c r="G2777" s="0" t="s">
        <v>29</v>
      </c>
      <c r="H2777" s="5">
        <v>1639.571300</v>
      </c>
    </row>
    <row r="2778" spans="1:9">
      <c r="A2778" s="22" t="str">
        <f>HYPERLINK("https://app.vivvix.com/360/KMI/IntelliDrive/ApplUI/Pages/CreativePages/CustomReportCreativeDetail.aspx?App=23&amp;ReportView=4&amp;Qid=1711279&amp;Row=2770&amp;Col=1","No Title Assigned - #15267853072")</f>
        <v/>
      </c>
      <c r="B2778" s="0" t="s">
        <v>4205</v>
      </c>
      <c r="C2778" s="0" t="s">
        <v>4206</v>
      </c>
      <c r="D2778" s="0" t="s">
        <v>4206</v>
      </c>
      <c r="E2778" s="0" t="inlineStr">
        <is>
          <t xml:space="preserve">Mazda</t>
        </is>
      </c>
      <c r="F2778" s="0" t="s">
        <v>28</v>
      </c>
      <c r="G2778" s="0" t="s">
        <v>29</v>
      </c>
      <c r="H2778" s="5">
        <v>11532.508800</v>
      </c>
    </row>
    <row r="2779" spans="1:9">
      <c r="A2779" s="22" t="str">
        <f>HYPERLINK("https://app.vivvix.com/360/KMI/IntelliDrive/ApplUI/Pages/CreativePages/CustomReportCreativeDetail.aspx?App=23&amp;ReportView=4&amp;Qid=1711279&amp;Row=2771&amp;Col=1","No Title Assigned - #15267853296")</f>
        <v/>
      </c>
      <c r="B2779" s="0" t="s">
        <v>4207</v>
      </c>
      <c r="C2779" s="0" t="s">
        <v>4208</v>
      </c>
      <c r="D2779" s="0" t="s">
        <v>4208</v>
      </c>
      <c r="E2779" s="0" t="inlineStr">
        <is>
          <t xml:space="preserve">Mazda</t>
        </is>
      </c>
      <c r="F2779" s="0" t="s">
        <v>28</v>
      </c>
      <c r="G2779" s="0" t="s">
        <v>29</v>
      </c>
      <c r="H2779" s="5">
        <v>5828.792700</v>
      </c>
    </row>
    <row r="2780" spans="1:9">
      <c r="A2780" s="22" t="str">
        <f>HYPERLINK("https://app.vivvix.com/360/KMI/IntelliDrive/ApplUI/Pages/CreativePages/CustomReportCreativeDetail.aspx?App=23&amp;ReportView=4&amp;Qid=1711279&amp;Row=2772&amp;Col=1","No Title Assigned - #15267855585")</f>
        <v/>
      </c>
      <c r="B2780" s="0" t="s">
        <v>4209</v>
      </c>
      <c r="E2780" s="0" t="inlineStr">
        <is>
          <t xml:space="preserve">Mazda</t>
        </is>
      </c>
      <c r="F2780" s="0" t="inlineStr">
        <is>
          <t xml:space="preserve">Mazda</t>
        </is>
      </c>
      <c r="G2780" s="0" t="s">
        <v>171</v>
      </c>
      <c r="H2780" s="5">
        <v>1007.422400</v>
      </c>
    </row>
    <row r="2781" spans="1:9">
      <c r="A2781" s="22" t="str">
        <f>HYPERLINK("https://app.vivvix.com/360/KMI/IntelliDrive/ApplUI/Pages/CreativePages/CustomReportCreativeDetail.aspx?App=23&amp;ReportView=4&amp;Qid=1711279&amp;Row=2773&amp;Col=1","No Title Assigned - #15267855585")</f>
        <v/>
      </c>
      <c r="B2781" s="0" t="s">
        <v>4209</v>
      </c>
      <c r="E2781" s="0" t="inlineStr">
        <is>
          <t xml:space="preserve">Mazda</t>
        </is>
      </c>
      <c r="F2781" s="0" t="inlineStr">
        <is>
          <t xml:space="preserve">Mazda</t>
        </is>
      </c>
      <c r="G2781" s="0" t="s">
        <v>171</v>
      </c>
      <c r="H2781" s="5">
        <v>585.408000</v>
      </c>
    </row>
    <row r="2782" spans="1:9">
      <c r="A2782" s="22" t="str">
        <f>HYPERLINK("https://app.vivvix.com/360/KMI/IntelliDrive/ApplUI/Pages/CreativePages/CustomReportCreativeDetail.aspx?App=23&amp;ReportView=4&amp;Qid=1711279&amp;Row=2774&amp;Col=1","No Title Assigned - #15267855631")</f>
        <v/>
      </c>
      <c r="B2782" s="0" t="s">
        <v>4210</v>
      </c>
      <c r="E2782" s="0" t="inlineStr">
        <is>
          <t xml:space="preserve">Mazda</t>
        </is>
      </c>
      <c r="F2782" s="0" t="inlineStr">
        <is>
          <t xml:space="preserve">Mazda</t>
        </is>
      </c>
      <c r="G2782" s="0" t="s">
        <v>171</v>
      </c>
      <c r="H2782" s="5">
        <v>516.454700</v>
      </c>
    </row>
    <row r="2783" spans="1:9">
      <c r="A2783" s="22" t="str">
        <f>HYPERLINK("https://app.vivvix.com/360/KMI/IntelliDrive/ApplUI/Pages/CreativePages/CustomReportCreativeDetail.aspx?App=23&amp;ReportView=4&amp;Qid=1711279&amp;Row=2775&amp;Col=1","No Title Assigned - #15267856391")</f>
        <v/>
      </c>
      <c r="B2783" s="0" t="s">
        <v>4211</v>
      </c>
      <c r="E2783" s="0" t="inlineStr">
        <is>
          <t xml:space="preserve">Mazda</t>
        </is>
      </c>
      <c r="F2783" s="0" t="inlineStr">
        <is>
          <t xml:space="preserve">Mazda</t>
        </is>
      </c>
      <c r="G2783" s="0" t="s">
        <v>171</v>
      </c>
      <c r="H2783" s="5">
        <v>2046.919400</v>
      </c>
    </row>
    <row r="2784" spans="1:9">
      <c r="A2784" s="22" t="str">
        <f>HYPERLINK("https://app.vivvix.com/360/KMI/IntelliDrive/ApplUI/Pages/CreativePages/CustomReportCreativeDetail.aspx?App=23&amp;ReportView=4&amp;Qid=1711279&amp;Row=2776&amp;Col=1","No Title Assigned - #15267859091")</f>
        <v/>
      </c>
      <c r="B2784" s="0" t="s">
        <v>4212</v>
      </c>
      <c r="E2784" s="0" t="inlineStr">
        <is>
          <t xml:space="preserve">Mazda</t>
        </is>
      </c>
      <c r="F2784" s="0" t="inlineStr">
        <is>
          <t xml:space="preserve">Mazda</t>
        </is>
      </c>
      <c r="G2784" s="0" t="s">
        <v>171</v>
      </c>
      <c r="H2784" s="5">
        <v>515.288400</v>
      </c>
    </row>
    <row r="2785" spans="1:9">
      <c r="A2785" s="22" t="str">
        <f>HYPERLINK("https://app.vivvix.com/360/KMI/IntelliDrive/ApplUI/Pages/CreativePages/CustomReportCreativeDetail.aspx?App=23&amp;ReportView=4&amp;Qid=1711279&amp;Row=2777&amp;Col=1","No Title Assigned - #15267859093")</f>
        <v/>
      </c>
      <c r="B2785" s="0" t="s">
        <v>4213</v>
      </c>
      <c r="E2785" s="0" t="inlineStr">
        <is>
          <t xml:space="preserve">Mazda</t>
        </is>
      </c>
      <c r="F2785" s="0" t="inlineStr">
        <is>
          <t xml:space="preserve">Mazda</t>
        </is>
      </c>
      <c r="G2785" s="0" t="s">
        <v>171</v>
      </c>
      <c r="H2785" s="5">
        <v>257.644200</v>
      </c>
    </row>
    <row r="2786" spans="1:9">
      <c r="A2786" s="22" t="str">
        <f>HYPERLINK("https://app.vivvix.com/360/KMI/IntelliDrive/ApplUI/Pages/CreativePages/CustomReportCreativeDetail.aspx?App=23&amp;ReportView=4&amp;Qid=1711279&amp;Row=2778&amp;Col=1","No Title Assigned - #15267859281")</f>
        <v/>
      </c>
      <c r="B2786" s="0" t="s">
        <v>4214</v>
      </c>
      <c r="E2786" s="0" t="inlineStr">
        <is>
          <t xml:space="preserve">Mazda</t>
        </is>
      </c>
      <c r="F2786" s="0" t="inlineStr">
        <is>
          <t xml:space="preserve">Mazda</t>
        </is>
      </c>
      <c r="G2786" s="0" t="s">
        <v>171</v>
      </c>
      <c r="H2786" s="5">
        <v>27158.240400</v>
      </c>
    </row>
    <row r="2787" spans="1:9">
      <c r="A2787" s="22" t="str">
        <f>HYPERLINK("https://app.vivvix.com/360/KMI/IntelliDrive/ApplUI/Pages/CreativePages/CustomReportCreativeDetail.aspx?App=23&amp;ReportView=4&amp;Qid=1711279&amp;Row=2779&amp;Col=1","No Title Assigned - #15267868440")</f>
        <v/>
      </c>
      <c r="B2787" s="0" t="s">
        <v>4215</v>
      </c>
      <c r="E2787" s="0" t="inlineStr">
        <is>
          <t xml:space="preserve">Mazda</t>
        </is>
      </c>
      <c r="F2787" s="0" t="inlineStr">
        <is>
          <t xml:space="preserve">Mazda</t>
        </is>
      </c>
      <c r="G2787" s="0" t="s">
        <v>171</v>
      </c>
      <c r="H2787" s="5">
        <v>841.562800</v>
      </c>
    </row>
    <row r="2788" spans="1:9">
      <c r="A2788" s="22" t="str">
        <f>HYPERLINK("https://app.vivvix.com/360/KMI/IntelliDrive/ApplUI/Pages/CreativePages/CustomReportCreativeDetail.aspx?App=23&amp;ReportView=4&amp;Qid=1711279&amp;Row=2780&amp;Col=1","No Title Assigned - #15267873413")</f>
        <v/>
      </c>
      <c r="B2788" s="0" t="s">
        <v>4216</v>
      </c>
      <c r="E2788" s="0" t="inlineStr">
        <is>
          <t xml:space="preserve">Mazda</t>
        </is>
      </c>
      <c r="F2788" s="0" t="inlineStr">
        <is>
          <t xml:space="preserve">Mazda</t>
        </is>
      </c>
      <c r="G2788" s="0" t="s">
        <v>171</v>
      </c>
      <c r="H2788" s="5">
        <v>6075.974100</v>
      </c>
    </row>
    <row r="2789" spans="1:9">
      <c r="A2789" s="22" t="str">
        <f>HYPERLINK("https://app.vivvix.com/360/KMI/IntelliDrive/ApplUI/Pages/CreativePages/CustomReportCreativeDetail.aspx?App=23&amp;ReportView=4&amp;Qid=1711279&amp;Row=2781&amp;Col=1","No Title Assigned - #15267880188")</f>
        <v/>
      </c>
      <c r="B2789" s="0" t="s">
        <v>4217</v>
      </c>
      <c r="E2789" s="0" t="inlineStr">
        <is>
          <t xml:space="preserve">Mazda</t>
        </is>
      </c>
      <c r="F2789" s="0" t="inlineStr">
        <is>
          <t xml:space="preserve">Mazda</t>
        </is>
      </c>
      <c r="G2789" s="0" t="s">
        <v>171</v>
      </c>
      <c r="H2789" s="5">
        <v>24828.623100</v>
      </c>
    </row>
    <row r="2790" spans="1:9">
      <c r="A2790" s="22" t="str">
        <f>HYPERLINK("https://app.vivvix.com/360/KMI/IntelliDrive/ApplUI/Pages/CreativePages/CustomReportCreativeDetail.aspx?App=23&amp;ReportView=4&amp;Qid=1711279&amp;Row=2782&amp;Col=1","No Title Assigned - #15267880188")</f>
        <v/>
      </c>
      <c r="B2790" s="0" t="s">
        <v>4217</v>
      </c>
      <c r="E2790" s="0" t="inlineStr">
        <is>
          <t xml:space="preserve">Mazda</t>
        </is>
      </c>
      <c r="F2790" s="0" t="inlineStr">
        <is>
          <t xml:space="preserve">Mazda</t>
        </is>
      </c>
      <c r="G2790" s="0" t="s">
        <v>171</v>
      </c>
      <c r="H2790" s="5">
        <v>87670.010600</v>
      </c>
    </row>
    <row r="2791" spans="1:9">
      <c r="A2791" s="22" t="str">
        <f>HYPERLINK("https://app.vivvix.com/360/KMI/IntelliDrive/ApplUI/Pages/CreativePages/CustomReportCreativeDetail.aspx?App=23&amp;ReportView=4&amp;Qid=1711279&amp;Row=2783&amp;Col=1","No Title Assigned - #15267881149")</f>
        <v/>
      </c>
      <c r="B2791" s="0" t="s">
        <v>4218</v>
      </c>
      <c r="E2791" s="0" t="inlineStr">
        <is>
          <t xml:space="preserve">Mazda</t>
        </is>
      </c>
      <c r="F2791" s="0" t="inlineStr">
        <is>
          <t xml:space="preserve">Mazda</t>
        </is>
      </c>
      <c r="G2791" s="0" t="s">
        <v>171</v>
      </c>
      <c r="H2791" s="5">
        <v>357.888300</v>
      </c>
    </row>
    <row r="2792" spans="1:9">
      <c r="A2792" s="22" t="str">
        <f>HYPERLINK("https://app.vivvix.com/360/KMI/IntelliDrive/ApplUI/Pages/CreativePages/CustomReportCreativeDetail.aspx?App=23&amp;ReportView=4&amp;Qid=1711279&amp;Row=2784&amp;Col=1","No Title Assigned - #15267903550")</f>
        <v/>
      </c>
      <c r="B2792" s="0" t="s">
        <v>4219</v>
      </c>
      <c r="E2792" s="0" t="inlineStr">
        <is>
          <t xml:space="preserve">Mazda</t>
        </is>
      </c>
      <c r="F2792" s="0" t="inlineStr">
        <is>
          <t xml:space="preserve">Mazda</t>
        </is>
      </c>
      <c r="G2792" s="0" t="s">
        <v>171</v>
      </c>
      <c r="H2792" s="5">
        <v>98.468800</v>
      </c>
    </row>
    <row r="2793" spans="1:9">
      <c r="A2793" s="22" t="str">
        <f>HYPERLINK("https://app.vivvix.com/360/KMI/IntelliDrive/ApplUI/Pages/CreativePages/CustomReportCreativeDetail.aspx?App=23&amp;ReportView=4&amp;Qid=1711279&amp;Row=2785&amp;Col=1","No Title Assigned - #15267906515")</f>
        <v/>
      </c>
      <c r="B2793" s="0" t="s">
        <v>4220</v>
      </c>
      <c r="E2793" s="0" t="inlineStr">
        <is>
          <t xml:space="preserve">Mazda</t>
        </is>
      </c>
      <c r="F2793" s="0" t="inlineStr">
        <is>
          <t xml:space="preserve">Mazda</t>
        </is>
      </c>
      <c r="G2793" s="0" t="s">
        <v>171</v>
      </c>
      <c r="H2793" s="5">
        <v>1291.563000</v>
      </c>
    </row>
    <row r="2794" spans="1:9">
      <c r="A2794" s="22" t="str">
        <f>HYPERLINK("https://app.vivvix.com/360/KMI/IntelliDrive/ApplUI/Pages/CreativePages/CustomReportCreativeDetail.aspx?App=23&amp;ReportView=4&amp;Qid=1711279&amp;Row=2786&amp;Col=1","No Title Assigned - #15267908177")</f>
        <v/>
      </c>
      <c r="B2794" s="0" t="s">
        <v>4221</v>
      </c>
      <c r="C2794" s="0" t="s">
        <v>4222</v>
      </c>
      <c r="D2794" s="0" t="s">
        <v>4204</v>
      </c>
      <c r="E2794" s="0" t="inlineStr">
        <is>
          <t xml:space="preserve">Mazda</t>
        </is>
      </c>
      <c r="F2794" s="0" t="s">
        <v>28</v>
      </c>
      <c r="G2794" s="0" t="s">
        <v>29</v>
      </c>
      <c r="H2794" s="5">
        <v>306.808000</v>
      </c>
    </row>
    <row r="2795" spans="1:9">
      <c r="A2795" s="22" t="str">
        <f>HYPERLINK("https://app.vivvix.com/360/KMI/IntelliDrive/ApplUI/Pages/CreativePages/CustomReportCreativeDetail.aspx?App=23&amp;ReportView=4&amp;Qid=1711279&amp;Row=2787&amp;Col=1","No Title Assigned - #15267909548")</f>
        <v/>
      </c>
      <c r="B2795" s="0" t="s">
        <v>4223</v>
      </c>
      <c r="E2795" s="0" t="inlineStr">
        <is>
          <t xml:space="preserve">Mazda</t>
        </is>
      </c>
      <c r="F2795" s="0" t="inlineStr">
        <is>
          <t xml:space="preserve">Mazda</t>
        </is>
      </c>
      <c r="G2795" s="0" t="s">
        <v>171</v>
      </c>
      <c r="H2795" s="5">
        <v>12716.288100</v>
      </c>
    </row>
    <row r="2796" spans="1:9">
      <c r="A2796" s="22" t="str">
        <f>HYPERLINK("https://app.vivvix.com/360/KMI/IntelliDrive/ApplUI/Pages/CreativePages/CustomReportCreativeDetail.aspx?App=23&amp;ReportView=4&amp;Qid=1711279&amp;Row=2788&amp;Col=1","No Title Assigned - #15267910057")</f>
        <v/>
      </c>
      <c r="B2796" s="0" t="s">
        <v>4224</v>
      </c>
      <c r="C2796" s="0" t="s">
        <v>4225</v>
      </c>
      <c r="D2796" s="0" t="s">
        <v>4225</v>
      </c>
      <c r="E2796" s="0" t="inlineStr">
        <is>
          <t xml:space="preserve">Mazda</t>
        </is>
      </c>
      <c r="F2796" s="0" t="s">
        <v>28</v>
      </c>
      <c r="G2796" s="0" t="s">
        <v>29</v>
      </c>
      <c r="H2796" s="5">
        <v>616180.040300</v>
      </c>
    </row>
    <row r="2797" spans="1:9">
      <c r="A2797" s="22" t="str">
        <f>HYPERLINK("https://app.vivvix.com/360/KMI/IntelliDrive/ApplUI/Pages/CreativePages/CustomReportCreativeDetail.aspx?App=23&amp;ReportView=4&amp;Qid=1711279&amp;Row=2789&amp;Col=1","No Title Assigned - #15267910057")</f>
        <v/>
      </c>
      <c r="B2797" s="0" t="s">
        <v>4224</v>
      </c>
      <c r="E2797" s="0" t="inlineStr">
        <is>
          <t xml:space="preserve">Mazda</t>
        </is>
      </c>
      <c r="F2797" s="0" t="s">
        <v>28</v>
      </c>
      <c r="G2797" s="0" t="s">
        <v>29</v>
      </c>
      <c r="H2797" s="5">
        <v>204931.046000</v>
      </c>
    </row>
    <row r="2798" spans="1:9">
      <c r="A2798" s="22" t="str">
        <f>HYPERLINK("https://app.vivvix.com/360/KMI/IntelliDrive/ApplUI/Pages/CreativePages/CustomReportCreativeDetail.aspx?App=23&amp;ReportView=4&amp;Qid=1711279&amp;Row=2790&amp;Col=1","No Title Assigned - #15267910210")</f>
        <v/>
      </c>
      <c r="B2798" s="0" t="s">
        <v>4226</v>
      </c>
      <c r="E2798" s="0" t="inlineStr">
        <is>
          <t xml:space="preserve">Mazda</t>
        </is>
      </c>
      <c r="F2798" s="0" t="s">
        <v>28</v>
      </c>
      <c r="G2798" s="0" t="s">
        <v>29</v>
      </c>
      <c r="H2798" s="5">
        <v>1818.857900</v>
      </c>
    </row>
    <row r="2799" spans="1:9">
      <c r="A2799" s="22" t="str">
        <f>HYPERLINK("https://app.vivvix.com/360/KMI/IntelliDrive/ApplUI/Pages/CreativePages/CustomReportCreativeDetail.aspx?App=23&amp;ReportView=4&amp;Qid=1711279&amp;Row=2791&amp;Col=1","No Title Assigned - #15267910210")</f>
        <v/>
      </c>
      <c r="B2799" s="0" t="s">
        <v>4226</v>
      </c>
      <c r="C2799" s="0" t="s">
        <v>4227</v>
      </c>
      <c r="D2799" s="0" t="s">
        <v>4227</v>
      </c>
      <c r="E2799" s="0" t="inlineStr">
        <is>
          <t xml:space="preserve">Mazda</t>
        </is>
      </c>
      <c r="F2799" s="0" t="s">
        <v>28</v>
      </c>
      <c r="G2799" s="0" t="s">
        <v>29</v>
      </c>
      <c r="H2799" s="5">
        <v>156.532700</v>
      </c>
    </row>
    <row r="2800" spans="1:9">
      <c r="A2800" s="22" t="str">
        <f>HYPERLINK("https://app.vivvix.com/360/KMI/IntelliDrive/ApplUI/Pages/CreativePages/CustomReportCreativeDetail.aspx?App=23&amp;ReportView=4&amp;Qid=1711279&amp;Row=2792&amp;Col=1","No Title Assigned - #15267910329")</f>
        <v/>
      </c>
      <c r="B2800" s="0" t="s">
        <v>4228</v>
      </c>
      <c r="C2800" s="0" t="s">
        <v>4229</v>
      </c>
      <c r="D2800" s="0" t="s">
        <v>4229</v>
      </c>
      <c r="E2800" s="0" t="inlineStr">
        <is>
          <t xml:space="preserve">Mazda</t>
        </is>
      </c>
      <c r="F2800" s="0" t="s">
        <v>28</v>
      </c>
      <c r="G2800" s="0" t="s">
        <v>29</v>
      </c>
      <c r="H2800" s="5">
        <v>1687.768600</v>
      </c>
    </row>
    <row r="2801" spans="1:9">
      <c r="A2801" s="22" t="str">
        <f>HYPERLINK("https://app.vivvix.com/360/KMI/IntelliDrive/ApplUI/Pages/CreativePages/CustomReportCreativeDetail.aspx?App=23&amp;ReportView=4&amp;Qid=1711279&amp;Row=2793&amp;Col=1","No Title Assigned - #15267910554")</f>
        <v/>
      </c>
      <c r="B2801" s="0" t="s">
        <v>4230</v>
      </c>
      <c r="E2801" s="0" t="inlineStr">
        <is>
          <t xml:space="preserve">Mazda</t>
        </is>
      </c>
      <c r="F2801" s="0" t="inlineStr">
        <is>
          <t xml:space="preserve">Mazda</t>
        </is>
      </c>
      <c r="G2801" s="0" t="s">
        <v>171</v>
      </c>
      <c r="H2801" s="5">
        <v>123.231900</v>
      </c>
    </row>
    <row r="2802" spans="1:9">
      <c r="A2802" s="22" t="str">
        <f>HYPERLINK("https://app.vivvix.com/360/KMI/IntelliDrive/ApplUI/Pages/CreativePages/CustomReportCreativeDetail.aspx?App=23&amp;ReportView=4&amp;Qid=1711279&amp;Row=2794&amp;Col=1","No Title Assigned - #15267911114")</f>
        <v/>
      </c>
      <c r="B2802" s="0" t="s">
        <v>4231</v>
      </c>
      <c r="C2802" s="0" t="s">
        <v>4232</v>
      </c>
      <c r="D2802" s="0" t="s">
        <v>4232</v>
      </c>
      <c r="E2802" s="0" t="inlineStr">
        <is>
          <t xml:space="preserve">Mazda</t>
        </is>
      </c>
      <c r="F2802" s="0" t="s">
        <v>28</v>
      </c>
      <c r="G2802" s="0" t="s">
        <v>29</v>
      </c>
      <c r="H2802" s="5">
        <v>157.234200</v>
      </c>
    </row>
    <row r="2803" spans="1:9">
      <c r="A2803" s="22" t="str">
        <f>HYPERLINK("https://app.vivvix.com/360/KMI/IntelliDrive/ApplUI/Pages/CreativePages/CustomReportCreativeDetail.aspx?App=23&amp;ReportView=4&amp;Qid=1711279&amp;Row=2795&amp;Col=1","No Title Assigned - #15267911229")</f>
        <v/>
      </c>
      <c r="B2803" s="0" t="s">
        <v>4233</v>
      </c>
      <c r="C2803" s="0" t="s">
        <v>4234</v>
      </c>
      <c r="D2803" s="0" t="s">
        <v>4204</v>
      </c>
      <c r="E2803" s="0" t="inlineStr">
        <is>
          <t xml:space="preserve">Mazda</t>
        </is>
      </c>
      <c r="F2803" s="0" t="s">
        <v>28</v>
      </c>
      <c r="G2803" s="0" t="s">
        <v>29</v>
      </c>
      <c r="H2803" s="5">
        <v>308.446000</v>
      </c>
    </row>
    <row r="2804" spans="1:9">
      <c r="A2804" s="22" t="str">
        <f>HYPERLINK("https://app.vivvix.com/360/KMI/IntelliDrive/ApplUI/Pages/CreativePages/CustomReportCreativeDetail.aspx?App=23&amp;ReportView=4&amp;Qid=1711279&amp;Row=2796&amp;Col=1","No Title Assigned - #15267911939")</f>
        <v/>
      </c>
      <c r="B2804" s="0" t="s">
        <v>4235</v>
      </c>
      <c r="E2804" s="0" t="inlineStr">
        <is>
          <t xml:space="preserve">Mazda</t>
        </is>
      </c>
      <c r="F2804" s="0" t="inlineStr">
        <is>
          <t xml:space="preserve">Mazda</t>
        </is>
      </c>
      <c r="G2804" s="0" t="s">
        <v>171</v>
      </c>
      <c r="H2804" s="5">
        <v>221.727800</v>
      </c>
    </row>
    <row r="2805" spans="1:9">
      <c r="A2805" s="22" t="str">
        <f>HYPERLINK("https://app.vivvix.com/360/KMI/IntelliDrive/ApplUI/Pages/CreativePages/CustomReportCreativeDetail.aspx?App=23&amp;ReportView=4&amp;Qid=1711279&amp;Row=2797&amp;Col=1","No Title Assigned - #15267912503")</f>
        <v/>
      </c>
      <c r="B2805" s="0" t="s">
        <v>4236</v>
      </c>
      <c r="E2805" s="0" t="inlineStr">
        <is>
          <t xml:space="preserve">Mazda</t>
        </is>
      </c>
      <c r="F2805" s="0" t="inlineStr">
        <is>
          <t xml:space="preserve">Mazda</t>
        </is>
      </c>
      <c r="G2805" s="0" t="s">
        <v>171</v>
      </c>
      <c r="H2805" s="5">
        <v>665.318700</v>
      </c>
    </row>
    <row r="2806" spans="1:9">
      <c r="A2806" s="22" t="str">
        <f>HYPERLINK("https://app.vivvix.com/360/KMI/IntelliDrive/ApplUI/Pages/CreativePages/CustomReportCreativeDetail.aspx?App=23&amp;ReportView=4&amp;Qid=1711279&amp;Row=2798&amp;Col=1","No Title Assigned - #15267915023")</f>
        <v/>
      </c>
      <c r="B2806" s="0" t="s">
        <v>4237</v>
      </c>
      <c r="E2806" s="0" t="inlineStr">
        <is>
          <t xml:space="preserve">Mazda</t>
        </is>
      </c>
      <c r="F2806" s="0" t="inlineStr">
        <is>
          <t xml:space="preserve">Mazda</t>
        </is>
      </c>
      <c r="G2806" s="0" t="s">
        <v>171</v>
      </c>
      <c r="H2806" s="5">
        <v>679.312900</v>
      </c>
    </row>
    <row r="2807" spans="1:9">
      <c r="A2807" s="22" t="str">
        <f>HYPERLINK("https://app.vivvix.com/360/KMI/IntelliDrive/ApplUI/Pages/CreativePages/CustomReportCreativeDetail.aspx?App=23&amp;ReportView=4&amp;Qid=1711279&amp;Row=2799&amp;Col=1","No Title Assigned - #15267915205")</f>
        <v/>
      </c>
      <c r="B2807" s="0" t="s">
        <v>4238</v>
      </c>
      <c r="C2807" s="0" t="s">
        <v>4239</v>
      </c>
      <c r="D2807" s="0" t="s">
        <v>4239</v>
      </c>
      <c r="E2807" s="0" t="inlineStr">
        <is>
          <t xml:space="preserve">Mazda</t>
        </is>
      </c>
      <c r="F2807" s="0" t="s">
        <v>28</v>
      </c>
      <c r="G2807" s="0" t="s">
        <v>29</v>
      </c>
      <c r="H2807" s="5">
        <v>6658.212300</v>
      </c>
    </row>
    <row r="2808" spans="1:9">
      <c r="A2808" s="22" t="str">
        <f>HYPERLINK("https://app.vivvix.com/360/KMI/IntelliDrive/ApplUI/Pages/CreativePages/CustomReportCreativeDetail.aspx?App=23&amp;ReportView=4&amp;Qid=1711279&amp;Row=2800&amp;Col=1","No Title Assigned - #15267917033")</f>
        <v/>
      </c>
      <c r="B2808" s="0" t="s">
        <v>4240</v>
      </c>
      <c r="C2808" s="0" t="s">
        <v>4241</v>
      </c>
      <c r="D2808" s="0" t="s">
        <v>4225</v>
      </c>
      <c r="E2808" s="0" t="inlineStr">
        <is>
          <t xml:space="preserve">Mazda</t>
        </is>
      </c>
      <c r="F2808" s="0" t="s">
        <v>28</v>
      </c>
      <c r="G2808" s="0" t="s">
        <v>29</v>
      </c>
      <c r="H2808" s="5">
        <v>664.400300</v>
      </c>
    </row>
    <row r="2809" spans="1:9">
      <c r="A2809" s="22" t="str">
        <f>HYPERLINK("https://app.vivvix.com/360/KMI/IntelliDrive/ApplUI/Pages/CreativePages/CustomReportCreativeDetail.aspx?App=23&amp;ReportView=4&amp;Qid=1711279&amp;Row=2801&amp;Col=1","No Title Assigned - #15267917480")</f>
        <v/>
      </c>
      <c r="B2809" s="0" t="s">
        <v>4242</v>
      </c>
      <c r="E2809" s="0" t="inlineStr">
        <is>
          <t xml:space="preserve">Mazda</t>
        </is>
      </c>
      <c r="F2809" s="0" t="s">
        <v>28</v>
      </c>
      <c r="G2809" s="0" t="s">
        <v>29</v>
      </c>
      <c r="H2809" s="5">
        <v>17224.449300</v>
      </c>
    </row>
    <row r="2810" spans="1:9">
      <c r="A2810" s="22" t="str">
        <f>HYPERLINK("https://app.vivvix.com/360/KMI/IntelliDrive/ApplUI/Pages/CreativePages/CustomReportCreativeDetail.aspx?App=23&amp;ReportView=4&amp;Qid=1711279&amp;Row=2802&amp;Col=1","No Title Assigned - #15267917480")</f>
        <v/>
      </c>
      <c r="B2810" s="0" t="s">
        <v>4242</v>
      </c>
      <c r="E2810" s="0" t="inlineStr">
        <is>
          <t xml:space="preserve">Mazda</t>
        </is>
      </c>
      <c r="F2810" s="0" t="s">
        <v>28</v>
      </c>
      <c r="G2810" s="0" t="s">
        <v>29</v>
      </c>
      <c r="H2810" s="5">
        <v>6700.974100</v>
      </c>
    </row>
    <row r="2811" spans="1:9">
      <c r="A2811" s="22" t="str">
        <f>HYPERLINK("https://app.vivvix.com/360/KMI/IntelliDrive/ApplUI/Pages/CreativePages/CustomReportCreativeDetail.aspx?App=23&amp;ReportView=4&amp;Qid=1711279&amp;Row=2803&amp;Col=1","No Title Assigned - #15267918574")</f>
        <v/>
      </c>
      <c r="B2811" s="0" t="s">
        <v>4243</v>
      </c>
      <c r="C2811" s="0" t="s">
        <v>4244</v>
      </c>
      <c r="D2811" s="0" t="s">
        <v>4244</v>
      </c>
      <c r="E2811" s="0" t="inlineStr">
        <is>
          <t xml:space="preserve">Mazda</t>
        </is>
      </c>
      <c r="F2811" s="0" t="s">
        <v>666</v>
      </c>
      <c r="G2811" s="0" t="s">
        <v>667</v>
      </c>
      <c r="H2811" s="5">
        <v>154.161800</v>
      </c>
    </row>
    <row r="2812" spans="1:9">
      <c r="A2812" s="22" t="str">
        <f>HYPERLINK("https://app.vivvix.com/360/KMI/IntelliDrive/ApplUI/Pages/CreativePages/CustomReportCreativeDetail.aspx?App=23&amp;ReportView=4&amp;Qid=1711279&amp;Row=2804&amp;Col=1","No Title Assigned - #15267918707")</f>
        <v/>
      </c>
      <c r="B2812" s="0" t="s">
        <v>4245</v>
      </c>
      <c r="C2812" s="0" t="s">
        <v>4246</v>
      </c>
      <c r="D2812" s="0" t="s">
        <v>4246</v>
      </c>
      <c r="E2812" s="0" t="inlineStr">
        <is>
          <t xml:space="preserve">Mazda</t>
        </is>
      </c>
      <c r="F2812" s="0" t="s">
        <v>17</v>
      </c>
      <c r="G2812" s="0" t="s">
        <v>33</v>
      </c>
      <c r="H2812" s="5">
        <v>403.371600</v>
      </c>
    </row>
    <row r="2813" spans="1:9">
      <c r="A2813" s="22" t="str">
        <f>HYPERLINK("https://app.vivvix.com/360/KMI/IntelliDrive/ApplUI/Pages/CreativePages/CustomReportCreativeDetail.aspx?App=23&amp;ReportView=4&amp;Qid=1711279&amp;Row=2805&amp;Col=1","No Title Assigned - #15267919830")</f>
        <v/>
      </c>
      <c r="B2813" s="0" t="s">
        <v>4247</v>
      </c>
      <c r="E2813" s="0" t="inlineStr">
        <is>
          <t xml:space="preserve">Mazda</t>
        </is>
      </c>
      <c r="F2813" s="0" t="inlineStr">
        <is>
          <t xml:space="preserve">Mazda</t>
        </is>
      </c>
      <c r="G2813" s="0" t="s">
        <v>171</v>
      </c>
      <c r="H2813" s="5">
        <v>769.071600</v>
      </c>
    </row>
    <row r="2814" spans="1:9">
      <c r="A2814" s="22" t="str">
        <f>HYPERLINK("https://app.vivvix.com/360/KMI/IntelliDrive/ApplUI/Pages/CreativePages/CustomReportCreativeDetail.aspx?App=23&amp;ReportView=4&amp;Qid=1711279&amp;Row=2806&amp;Col=1","No Title Assigned - #15267932085")</f>
        <v/>
      </c>
      <c r="B2814" s="0" t="s">
        <v>4248</v>
      </c>
      <c r="E2814" s="0" t="inlineStr">
        <is>
          <t xml:space="preserve">Mazda</t>
        </is>
      </c>
      <c r="F2814" s="0" t="inlineStr">
        <is>
          <t xml:space="preserve">Mazda</t>
        </is>
      </c>
      <c r="G2814" s="0" t="s">
        <v>171</v>
      </c>
      <c r="H2814" s="5">
        <v>75.377200</v>
      </c>
    </row>
    <row r="2815" spans="1:9">
      <c r="A2815" s="22" t="str">
        <f>HYPERLINK("https://app.vivvix.com/360/KMI/IntelliDrive/ApplUI/Pages/CreativePages/CustomReportCreativeDetail.aspx?App=23&amp;ReportView=4&amp;Qid=1711279&amp;Row=2807&amp;Col=1","No Title Assigned - #15267932085")</f>
        <v/>
      </c>
      <c r="B2815" s="0" t="s">
        <v>4248</v>
      </c>
      <c r="E2815" s="0" t="inlineStr">
        <is>
          <t xml:space="preserve">Mazda</t>
        </is>
      </c>
      <c r="F2815" s="0" t="inlineStr">
        <is>
          <t xml:space="preserve">Mazda</t>
        </is>
      </c>
      <c r="G2815" s="0" t="s">
        <v>171</v>
      </c>
      <c r="H2815" s="5">
        <v>17.724600</v>
      </c>
    </row>
    <row r="2816" spans="1:9">
      <c r="A2816" s="22" t="str">
        <f>HYPERLINK("https://app.vivvix.com/360/KMI/IntelliDrive/ApplUI/Pages/CreativePages/CustomReportCreativeDetail.aspx?App=23&amp;ReportView=4&amp;Qid=1711279&amp;Row=2808&amp;Col=1","No Title Assigned - #15267932086")</f>
        <v/>
      </c>
      <c r="B2816" s="0" t="s">
        <v>4249</v>
      </c>
      <c r="E2816" s="0" t="inlineStr">
        <is>
          <t xml:space="preserve">Mazda</t>
        </is>
      </c>
      <c r="F2816" s="0" t="inlineStr">
        <is>
          <t xml:space="preserve">Mazda</t>
        </is>
      </c>
      <c r="G2816" s="0" t="s">
        <v>171</v>
      </c>
      <c r="H2816" s="5">
        <v>102.298600</v>
      </c>
    </row>
    <row r="2817" spans="1:9">
      <c r="A2817" s="22" t="str">
        <f>HYPERLINK("https://app.vivvix.com/360/KMI/IntelliDrive/ApplUI/Pages/CreativePages/CustomReportCreativeDetail.aspx?App=23&amp;ReportView=4&amp;Qid=1711279&amp;Row=2809&amp;Col=1","No Title Assigned - #15267935043")</f>
        <v/>
      </c>
      <c r="B2817" s="0" t="s">
        <v>4250</v>
      </c>
      <c r="E2817" s="0" t="inlineStr">
        <is>
          <t xml:space="preserve">Mazda</t>
        </is>
      </c>
      <c r="F2817" s="0" t="inlineStr">
        <is>
          <t xml:space="preserve">Mazda</t>
        </is>
      </c>
      <c r="G2817" s="0" t="s">
        <v>171</v>
      </c>
      <c r="H2817" s="5">
        <v>362.371800</v>
      </c>
    </row>
    <row r="2818" spans="1:9">
      <c r="A2818" s="22" t="str">
        <f>HYPERLINK("https://app.vivvix.com/360/KMI/IntelliDrive/ApplUI/Pages/CreativePages/CustomReportCreativeDetail.aspx?App=23&amp;ReportView=4&amp;Qid=1711279&amp;Row=2810&amp;Col=1","No Title Assigned - #15267935044")</f>
        <v/>
      </c>
      <c r="B2818" s="0" t="s">
        <v>4251</v>
      </c>
      <c r="E2818" s="0" t="inlineStr">
        <is>
          <t xml:space="preserve">Mazda</t>
        </is>
      </c>
      <c r="F2818" s="0" t="inlineStr">
        <is>
          <t xml:space="preserve">Mazda</t>
        </is>
      </c>
      <c r="G2818" s="0" t="s">
        <v>171</v>
      </c>
      <c r="H2818" s="5">
        <v>362.371800</v>
      </c>
    </row>
    <row r="2819" spans="1:9">
      <c r="A2819" s="22" t="str">
        <f>HYPERLINK("https://app.vivvix.com/360/KMI/IntelliDrive/ApplUI/Pages/CreativePages/CustomReportCreativeDetail.aspx?App=23&amp;ReportView=4&amp;Qid=1711279&amp;Row=2811&amp;Col=1","No Title Assigned - #15267935050")</f>
        <v/>
      </c>
      <c r="B2819" s="0" t="s">
        <v>4252</v>
      </c>
      <c r="E2819" s="0" t="inlineStr">
        <is>
          <t xml:space="preserve">Mazda</t>
        </is>
      </c>
      <c r="F2819" s="0" t="inlineStr">
        <is>
          <t xml:space="preserve">Mazda</t>
        </is>
      </c>
      <c r="G2819" s="0" t="s">
        <v>171</v>
      </c>
      <c r="H2819" s="5">
        <v>362.371800</v>
      </c>
    </row>
    <row r="2820" spans="1:9">
      <c r="A2820" s="22" t="str">
        <f>HYPERLINK("https://app.vivvix.com/360/KMI/IntelliDrive/ApplUI/Pages/CreativePages/CustomReportCreativeDetail.aspx?App=23&amp;ReportView=4&amp;Qid=1711279&amp;Row=2812&amp;Col=1","No Title Assigned - #15267942476")</f>
        <v/>
      </c>
      <c r="B2820" s="0" t="s">
        <v>4253</v>
      </c>
      <c r="E2820" s="0" t="inlineStr">
        <is>
          <t xml:space="preserve">Mazda</t>
        </is>
      </c>
      <c r="F2820" s="0" t="inlineStr">
        <is>
          <t xml:space="preserve">Mazda</t>
        </is>
      </c>
      <c r="G2820" s="0" t="s">
        <v>171</v>
      </c>
      <c r="H2820" s="5">
        <v>4553.030000</v>
      </c>
    </row>
    <row r="2821" spans="1:9">
      <c r="A2821" s="22" t="str">
        <f>HYPERLINK("https://app.vivvix.com/360/KMI/IntelliDrive/ApplUI/Pages/CreativePages/CustomReportCreativeDetail.aspx?App=23&amp;ReportView=4&amp;Qid=1711279&amp;Row=2813&amp;Col=1","No Title Assigned - #15267947709")</f>
        <v/>
      </c>
      <c r="B2821" s="0" t="s">
        <v>4254</v>
      </c>
      <c r="C2821" s="0" t="s">
        <v>4255</v>
      </c>
      <c r="D2821" s="0" t="s">
        <v>4255</v>
      </c>
      <c r="E2821" s="0" t="inlineStr">
        <is>
          <t xml:space="preserve">Mazda</t>
        </is>
      </c>
      <c r="F2821" s="0" t="inlineStr">
        <is>
          <t xml:space="preserve">Mazda</t>
        </is>
      </c>
      <c r="G2821" s="0" t="s">
        <v>171</v>
      </c>
      <c r="H2821" s="5">
        <v>62690.745900</v>
      </c>
    </row>
    <row r="2822" spans="1:9">
      <c r="A2822" s="22" t="str">
        <f>HYPERLINK("https://app.vivvix.com/360/KMI/IntelliDrive/ApplUI/Pages/CreativePages/CustomReportCreativeDetail.aspx?App=23&amp;ReportView=4&amp;Qid=1711279&amp;Row=2814&amp;Col=1","No Title Assigned - #15267947709")</f>
        <v/>
      </c>
      <c r="B2822" s="0" t="s">
        <v>4254</v>
      </c>
      <c r="E2822" s="0" t="inlineStr">
        <is>
          <t xml:space="preserve">Mazda</t>
        </is>
      </c>
      <c r="F2822" s="0" t="inlineStr">
        <is>
          <t xml:space="preserve">Mazda</t>
        </is>
      </c>
      <c r="G2822" s="0" t="s">
        <v>171</v>
      </c>
      <c r="H2822" s="5">
        <v>5379.250100</v>
      </c>
    </row>
    <row r="2823" spans="1:9">
      <c r="A2823" s="22" t="str">
        <f>HYPERLINK("https://app.vivvix.com/360/KMI/IntelliDrive/ApplUI/Pages/CreativePages/CustomReportCreativeDetail.aspx?App=23&amp;ReportView=4&amp;Qid=1711279&amp;Row=2815&amp;Col=1","No Title Assigned - #15267947866")</f>
        <v/>
      </c>
      <c r="B2823" s="0" t="s">
        <v>4256</v>
      </c>
      <c r="E2823" s="0" t="inlineStr">
        <is>
          <t xml:space="preserve">Mazda</t>
        </is>
      </c>
      <c r="F2823" s="0" t="inlineStr">
        <is>
          <t xml:space="preserve">Mazda</t>
        </is>
      </c>
      <c r="G2823" s="0" t="s">
        <v>171</v>
      </c>
      <c r="H2823" s="5">
        <v>25.730500</v>
      </c>
    </row>
    <row r="2824" spans="1:9">
      <c r="A2824" s="22" t="str">
        <f>HYPERLINK("https://app.vivvix.com/360/KMI/IntelliDrive/ApplUI/Pages/CreativePages/CustomReportCreativeDetail.aspx?App=23&amp;ReportView=4&amp;Qid=1711279&amp;Row=2816&amp;Col=1","No Title Assigned - #15267948968")</f>
        <v/>
      </c>
      <c r="B2824" s="0" t="s">
        <v>4257</v>
      </c>
      <c r="C2824" s="0" t="s">
        <v>4258</v>
      </c>
      <c r="D2824" s="0" t="s">
        <v>4258</v>
      </c>
      <c r="E2824" s="0" t="inlineStr">
        <is>
          <t xml:space="preserve">Mazda</t>
        </is>
      </c>
      <c r="F2824" s="0" t="inlineStr">
        <is>
          <t xml:space="preserve">Mazda</t>
        </is>
      </c>
      <c r="G2824" s="0" t="s">
        <v>171</v>
      </c>
      <c r="H2824" s="5">
        <v>436.696400</v>
      </c>
    </row>
    <row r="2825" spans="1:9">
      <c r="A2825" s="22" t="str">
        <f>HYPERLINK("https://app.vivvix.com/360/KMI/IntelliDrive/ApplUI/Pages/CreativePages/CustomReportCreativeDetail.aspx?App=23&amp;ReportView=4&amp;Qid=1711279&amp;Row=2817&amp;Col=1","No Title Assigned - #15267953115")</f>
        <v/>
      </c>
      <c r="B2825" s="0" t="s">
        <v>4259</v>
      </c>
      <c r="E2825" s="0" t="inlineStr">
        <is>
          <t xml:space="preserve">Mazda</t>
        </is>
      </c>
      <c r="F2825" s="0" t="inlineStr">
        <is>
          <t xml:space="preserve">Mazda</t>
        </is>
      </c>
      <c r="G2825" s="0" t="s">
        <v>171</v>
      </c>
      <c r="H2825" s="5">
        <v>1058.975000</v>
      </c>
    </row>
    <row r="2826" spans="1:9">
      <c r="A2826" s="22" t="str">
        <f>HYPERLINK("https://app.vivvix.com/360/KMI/IntelliDrive/ApplUI/Pages/CreativePages/CustomReportCreativeDetail.aspx?App=23&amp;ReportView=4&amp;Qid=1711279&amp;Row=2818&amp;Col=1","No Title Assigned - #15267954838")</f>
        <v/>
      </c>
      <c r="B2826" s="0" t="s">
        <v>4260</v>
      </c>
      <c r="E2826" s="0" t="inlineStr">
        <is>
          <t xml:space="preserve">Mazda</t>
        </is>
      </c>
      <c r="F2826" s="0" t="inlineStr">
        <is>
          <t xml:space="preserve">Mazda</t>
        </is>
      </c>
      <c r="G2826" s="0" t="s">
        <v>171</v>
      </c>
      <c r="H2826" s="5">
        <v>245.070200</v>
      </c>
    </row>
    <row r="2827" spans="1:9">
      <c r="A2827" s="22" t="str">
        <f>HYPERLINK("https://app.vivvix.com/360/KMI/IntelliDrive/ApplUI/Pages/CreativePages/CustomReportCreativeDetail.aspx?App=23&amp;ReportView=4&amp;Qid=1711279&amp;Row=2819&amp;Col=1","No Title Assigned - #15267955892")</f>
        <v/>
      </c>
      <c r="B2827" s="0" t="s">
        <v>4261</v>
      </c>
      <c r="C2827" s="0" t="s">
        <v>4262</v>
      </c>
      <c r="D2827" s="0" t="s">
        <v>4262</v>
      </c>
      <c r="E2827" s="0" t="inlineStr">
        <is>
          <t xml:space="preserve">Mazda</t>
        </is>
      </c>
      <c r="F2827" s="0" t="inlineStr">
        <is>
          <t xml:space="preserve">Mazda</t>
        </is>
      </c>
      <c r="G2827" s="0" t="s">
        <v>171</v>
      </c>
      <c r="H2827" s="5">
        <v>304.517400</v>
      </c>
    </row>
    <row r="2828" spans="1:9">
      <c r="A2828" s="22" t="str">
        <f>HYPERLINK("https://app.vivvix.com/360/KMI/IntelliDrive/ApplUI/Pages/CreativePages/CustomReportCreativeDetail.aspx?App=23&amp;ReportView=4&amp;Qid=1711279&amp;Row=2820&amp;Col=1","No Title Assigned - #15267955912")</f>
        <v/>
      </c>
      <c r="B2828" s="0" t="s">
        <v>4263</v>
      </c>
      <c r="E2828" s="0" t="inlineStr">
        <is>
          <t xml:space="preserve">Mazda</t>
        </is>
      </c>
      <c r="F2828" s="0" t="inlineStr">
        <is>
          <t xml:space="preserve">Mazda</t>
        </is>
      </c>
      <c r="G2828" s="0" t="s">
        <v>171</v>
      </c>
      <c r="H2828" s="5">
        <v>756.585500</v>
      </c>
    </row>
    <row r="2829" spans="1:9">
      <c r="A2829" s="22" t="str">
        <f>HYPERLINK("https://app.vivvix.com/360/KMI/IntelliDrive/ApplUI/Pages/CreativePages/CustomReportCreativeDetail.aspx?App=23&amp;ReportView=4&amp;Qid=1711279&amp;Row=2821&amp;Col=1","No Title Assigned - #15267955913")</f>
        <v/>
      </c>
      <c r="B2829" s="0" t="s">
        <v>4264</v>
      </c>
      <c r="E2829" s="0" t="inlineStr">
        <is>
          <t xml:space="preserve">Mazda</t>
        </is>
      </c>
      <c r="F2829" s="0" t="inlineStr">
        <is>
          <t xml:space="preserve">Mazda</t>
        </is>
      </c>
      <c r="G2829" s="0" t="s">
        <v>171</v>
      </c>
      <c r="H2829" s="5">
        <v>331.246800</v>
      </c>
    </row>
    <row r="2830" spans="1:9">
      <c r="A2830" s="22" t="str">
        <f>HYPERLINK("https://app.vivvix.com/360/KMI/IntelliDrive/ApplUI/Pages/CreativePages/CustomReportCreativeDetail.aspx?App=23&amp;ReportView=4&amp;Qid=1711279&amp;Row=2822&amp;Col=1","No Title Assigned - #15267955913")</f>
        <v/>
      </c>
      <c r="B2830" s="0" t="s">
        <v>4264</v>
      </c>
      <c r="E2830" s="0" t="inlineStr">
        <is>
          <t xml:space="preserve">Mazda</t>
        </is>
      </c>
      <c r="F2830" s="0" t="inlineStr">
        <is>
          <t xml:space="preserve">Mazda</t>
        </is>
      </c>
      <c r="G2830" s="0" t="s">
        <v>171</v>
      </c>
      <c r="H2830" s="5">
        <v>78.311200</v>
      </c>
    </row>
    <row r="2831" spans="1:9">
      <c r="A2831" s="22" t="str">
        <f>HYPERLINK("https://app.vivvix.com/360/KMI/IntelliDrive/ApplUI/Pages/CreativePages/CustomReportCreativeDetail.aspx?App=23&amp;ReportView=4&amp;Qid=1711279&amp;Row=2823&amp;Col=1","No Title Assigned - #15267958174")</f>
        <v/>
      </c>
      <c r="B2831" s="0" t="s">
        <v>4265</v>
      </c>
      <c r="E2831" s="0" t="inlineStr">
        <is>
          <t xml:space="preserve">Mazda</t>
        </is>
      </c>
      <c r="F2831" s="0" t="inlineStr">
        <is>
          <t xml:space="preserve">Mazda</t>
        </is>
      </c>
      <c r="G2831" s="0" t="s">
        <v>171</v>
      </c>
      <c r="H2831" s="5">
        <v>707.511400</v>
      </c>
    </row>
    <row r="2832" spans="1:9">
      <c r="A2832" s="22" t="str">
        <f>HYPERLINK("https://app.vivvix.com/360/KMI/IntelliDrive/ApplUI/Pages/CreativePages/CustomReportCreativeDetail.aspx?App=23&amp;ReportView=4&amp;Qid=1711279&amp;Row=2824&amp;Col=1","No Title Assigned - #15267959371")</f>
        <v/>
      </c>
      <c r="B2832" s="0" t="s">
        <v>4266</v>
      </c>
      <c r="C2832" s="0" t="s">
        <v>4267</v>
      </c>
      <c r="D2832" s="0" t="s">
        <v>4267</v>
      </c>
      <c r="E2832" s="0" t="inlineStr">
        <is>
          <t xml:space="preserve">Mazda</t>
        </is>
      </c>
      <c r="F2832" s="0" t="inlineStr">
        <is>
          <t xml:space="preserve">Mazda</t>
        </is>
      </c>
      <c r="G2832" s="0" t="s">
        <v>171</v>
      </c>
      <c r="H2832" s="5">
        <v>162.447000</v>
      </c>
    </row>
    <row r="2833" spans="1:9">
      <c r="A2833" s="22" t="str">
        <f>HYPERLINK("https://app.vivvix.com/360/KMI/IntelliDrive/ApplUI/Pages/CreativePages/CustomReportCreativeDetail.aspx?App=23&amp;ReportView=4&amp;Qid=1711279&amp;Row=2825&amp;Col=1","No Title Assigned - #15267963353")</f>
        <v/>
      </c>
      <c r="B2833" s="0" t="s">
        <v>4268</v>
      </c>
      <c r="E2833" s="0" t="inlineStr">
        <is>
          <t xml:space="preserve">Mazda</t>
        </is>
      </c>
      <c r="F2833" s="0" t="inlineStr">
        <is>
          <t xml:space="preserve">Mazda</t>
        </is>
      </c>
      <c r="G2833" s="0" t="s">
        <v>171</v>
      </c>
      <c r="H2833" s="5">
        <v>1066.447400</v>
      </c>
    </row>
    <row r="2834" spans="1:9">
      <c r="A2834" s="22" t="str">
        <f>HYPERLINK("https://app.vivvix.com/360/KMI/IntelliDrive/ApplUI/Pages/CreativePages/CustomReportCreativeDetail.aspx?App=23&amp;ReportView=4&amp;Qid=1711279&amp;Row=2826&amp;Col=1","No Title Assigned - #15267965808")</f>
        <v/>
      </c>
      <c r="B2834" s="0" t="s">
        <v>4269</v>
      </c>
      <c r="E2834" s="0" t="inlineStr">
        <is>
          <t xml:space="preserve">Mazda</t>
        </is>
      </c>
      <c r="F2834" s="0" t="inlineStr">
        <is>
          <t xml:space="preserve">Mazda</t>
        </is>
      </c>
      <c r="G2834" s="0" t="s">
        <v>171</v>
      </c>
      <c r="H2834" s="5">
        <v>1064.999400</v>
      </c>
    </row>
    <row r="2835" spans="1:9">
      <c r="A2835" s="22" t="str">
        <f>HYPERLINK("https://app.vivvix.com/360/KMI/IntelliDrive/ApplUI/Pages/CreativePages/CustomReportCreativeDetail.aspx?App=23&amp;ReportView=4&amp;Qid=1711279&amp;Row=2827&amp;Col=1","No Title Assigned - #15267969752")</f>
        <v/>
      </c>
      <c r="B2835" s="0" t="s">
        <v>4270</v>
      </c>
      <c r="C2835" s="0" t="s">
        <v>4271</v>
      </c>
      <c r="D2835" s="0" t="s">
        <v>4271</v>
      </c>
      <c r="E2835" s="0" t="inlineStr">
        <is>
          <t xml:space="preserve">Mazda</t>
        </is>
      </c>
      <c r="F2835" s="0" t="inlineStr">
        <is>
          <t xml:space="preserve">Mazda</t>
        </is>
      </c>
      <c r="G2835" s="0" t="s">
        <v>171</v>
      </c>
      <c r="H2835" s="5">
        <v>624.337800</v>
      </c>
    </row>
    <row r="2836" spans="1:9">
      <c r="A2836" s="22" t="str">
        <f>HYPERLINK("https://app.vivvix.com/360/KMI/IntelliDrive/ApplUI/Pages/CreativePages/CustomReportCreativeDetail.aspx?App=23&amp;ReportView=4&amp;Qid=1711279&amp;Row=2828&amp;Col=1","No Title Assigned - #15267971908")</f>
        <v/>
      </c>
      <c r="B2836" s="0" t="s">
        <v>4272</v>
      </c>
      <c r="E2836" s="0" t="inlineStr">
        <is>
          <t xml:space="preserve">Mazda</t>
        </is>
      </c>
      <c r="F2836" s="0" t="inlineStr">
        <is>
          <t xml:space="preserve">Mazda</t>
        </is>
      </c>
      <c r="G2836" s="0" t="s">
        <v>171</v>
      </c>
      <c r="H2836" s="5">
        <v>1618.557700</v>
      </c>
    </row>
    <row r="2837" spans="1:9">
      <c r="A2837" s="22" t="str">
        <f>HYPERLINK("https://app.vivvix.com/360/KMI/IntelliDrive/ApplUI/Pages/CreativePages/CustomReportCreativeDetail.aspx?App=23&amp;ReportView=4&amp;Qid=1711279&amp;Row=2829&amp;Col=1","No Title Assigned - #15267975350")</f>
        <v/>
      </c>
      <c r="B2837" s="0" t="s">
        <v>4273</v>
      </c>
      <c r="C2837" s="0" t="s">
        <v>4274</v>
      </c>
      <c r="D2837" s="0" t="s">
        <v>4274</v>
      </c>
      <c r="E2837" s="0" t="inlineStr">
        <is>
          <t xml:space="preserve">Mazda</t>
        </is>
      </c>
      <c r="F2837" s="0" t="s">
        <v>28</v>
      </c>
      <c r="G2837" s="0" t="s">
        <v>29</v>
      </c>
      <c r="H2837" s="5">
        <v>15695.507600</v>
      </c>
    </row>
    <row r="2838" spans="1:9">
      <c r="A2838" s="22" t="str">
        <f>HYPERLINK("https://app.vivvix.com/360/KMI/IntelliDrive/ApplUI/Pages/CreativePages/CustomReportCreativeDetail.aspx?App=23&amp;ReportView=4&amp;Qid=1711279&amp;Row=2830&amp;Col=1","No Title Assigned - #15267975350")</f>
        <v/>
      </c>
      <c r="B2838" s="0" t="s">
        <v>4273</v>
      </c>
      <c r="E2838" s="0" t="inlineStr">
        <is>
          <t xml:space="preserve">Mazda</t>
        </is>
      </c>
      <c r="F2838" s="0" t="s">
        <v>28</v>
      </c>
      <c r="G2838" s="0" t="s">
        <v>29</v>
      </c>
      <c r="H2838" s="5">
        <v>6071.183600</v>
      </c>
    </row>
    <row r="2839" spans="1:9">
      <c r="A2839" s="22" t="str">
        <f>HYPERLINK("https://app.vivvix.com/360/KMI/IntelliDrive/ApplUI/Pages/CreativePages/CustomReportCreativeDetail.aspx?App=23&amp;ReportView=4&amp;Qid=1711279&amp;Row=2831&amp;Col=1","No Title Assigned - #15267976752")</f>
        <v/>
      </c>
      <c r="B2839" s="0" t="s">
        <v>4275</v>
      </c>
      <c r="E2839" s="0" t="inlineStr">
        <is>
          <t xml:space="preserve">Mazda</t>
        </is>
      </c>
      <c r="F2839" s="0" t="inlineStr">
        <is>
          <t xml:space="preserve">Mazda</t>
        </is>
      </c>
      <c r="G2839" s="0" t="s">
        <v>171</v>
      </c>
      <c r="H2839" s="5">
        <v>208.279600</v>
      </c>
    </row>
    <row r="2840" spans="1:9">
      <c r="A2840" s="22" t="str">
        <f>HYPERLINK("https://app.vivvix.com/360/KMI/IntelliDrive/ApplUI/Pages/CreativePages/CustomReportCreativeDetail.aspx?App=23&amp;ReportView=4&amp;Qid=1711279&amp;Row=2832&amp;Col=1","No Title Assigned - #15267979238")</f>
        <v/>
      </c>
      <c r="B2840" s="0" t="s">
        <v>4276</v>
      </c>
      <c r="E2840" s="0" t="inlineStr">
        <is>
          <t xml:space="preserve">Mazda</t>
        </is>
      </c>
      <c r="F2840" s="0" t="inlineStr">
        <is>
          <t xml:space="preserve">Mazda</t>
        </is>
      </c>
      <c r="G2840" s="0" t="s">
        <v>171</v>
      </c>
      <c r="H2840" s="5">
        <v>34014.648700</v>
      </c>
    </row>
    <row r="2841" spans="1:9">
      <c r="A2841" s="22" t="str">
        <f>HYPERLINK("https://app.vivvix.com/360/KMI/IntelliDrive/ApplUI/Pages/CreativePages/CustomReportCreativeDetail.aspx?App=23&amp;ReportView=4&amp;Qid=1711279&amp;Row=2833&amp;Col=1","No Title Assigned - #15267979238")</f>
        <v/>
      </c>
      <c r="B2841" s="0" t="s">
        <v>4276</v>
      </c>
      <c r="E2841" s="0" t="inlineStr">
        <is>
          <t xml:space="preserve">Mazda</t>
        </is>
      </c>
      <c r="F2841" s="0" t="inlineStr">
        <is>
          <t xml:space="preserve">Mazda</t>
        </is>
      </c>
      <c r="G2841" s="0" t="s">
        <v>171</v>
      </c>
      <c r="H2841" s="5">
        <v>2601.837000</v>
      </c>
    </row>
    <row r="2842" spans="1:9">
      <c r="A2842" s="22" t="str">
        <f>HYPERLINK("https://app.vivvix.com/360/KMI/IntelliDrive/ApplUI/Pages/CreativePages/CustomReportCreativeDetail.aspx?App=23&amp;ReportView=4&amp;Qid=1711279&amp;Row=2834&amp;Col=1","No Title Assigned - #15268005580")</f>
        <v/>
      </c>
      <c r="B2842" s="0" t="s">
        <v>4277</v>
      </c>
      <c r="C2842" s="0" t="s">
        <v>4278</v>
      </c>
      <c r="D2842" s="0" t="s">
        <v>4204</v>
      </c>
      <c r="E2842" s="0" t="inlineStr">
        <is>
          <t xml:space="preserve">Mazda</t>
        </is>
      </c>
      <c r="F2842" s="0" t="s">
        <v>28</v>
      </c>
      <c r="G2842" s="0" t="s">
        <v>29</v>
      </c>
      <c r="H2842" s="5">
        <v>926.017000</v>
      </c>
    </row>
    <row r="2843" spans="1:9">
      <c r="A2843" s="22" t="str">
        <f>HYPERLINK("https://app.vivvix.com/360/KMI/IntelliDrive/ApplUI/Pages/CreativePages/CustomReportCreativeDetail.aspx?App=23&amp;ReportView=4&amp;Qid=1711279&amp;Row=2835&amp;Col=1","No Title Assigned - #15268005580")</f>
        <v/>
      </c>
      <c r="B2843" s="0" t="s">
        <v>4277</v>
      </c>
      <c r="E2843" s="0" t="inlineStr">
        <is>
          <t xml:space="preserve">Mazda</t>
        </is>
      </c>
      <c r="F2843" s="0" t="s">
        <v>28</v>
      </c>
      <c r="G2843" s="0" t="s">
        <v>29</v>
      </c>
      <c r="H2843" s="5">
        <v>17502.478500</v>
      </c>
    </row>
    <row r="2844" spans="1:9">
      <c r="A2844" s="22" t="str">
        <f>HYPERLINK("https://app.vivvix.com/360/KMI/IntelliDrive/ApplUI/Pages/CreativePages/CustomReportCreativeDetail.aspx?App=23&amp;ReportView=4&amp;Qid=1711279&amp;Row=2836&amp;Col=1","No Title Assigned - #15268013878")</f>
        <v/>
      </c>
      <c r="B2844" s="0" t="s">
        <v>4279</v>
      </c>
      <c r="E2844" s="0" t="inlineStr">
        <is>
          <t xml:space="preserve">Mazda</t>
        </is>
      </c>
      <c r="F2844" s="0" t="inlineStr">
        <is>
          <t xml:space="preserve">Mazda</t>
        </is>
      </c>
      <c r="G2844" s="0" t="s">
        <v>171</v>
      </c>
      <c r="H2844" s="5">
        <v>103.806600</v>
      </c>
    </row>
    <row r="2845" spans="1:9">
      <c r="A2845" s="22" t="str">
        <f>HYPERLINK("https://app.vivvix.com/360/KMI/IntelliDrive/ApplUI/Pages/CreativePages/CustomReportCreativeDetail.aspx?App=23&amp;ReportView=4&amp;Qid=1711279&amp;Row=2837&amp;Col=1","No Title Assigned - #15268015480")</f>
        <v/>
      </c>
      <c r="B2845" s="0" t="s">
        <v>4280</v>
      </c>
      <c r="E2845" s="0" t="inlineStr">
        <is>
          <t xml:space="preserve">Mazda</t>
        </is>
      </c>
      <c r="F2845" s="0" t="inlineStr">
        <is>
          <t xml:space="preserve">Mazda</t>
        </is>
      </c>
      <c r="G2845" s="0" t="s">
        <v>171</v>
      </c>
      <c r="H2845" s="5">
        <v>622.176200</v>
      </c>
    </row>
    <row r="2846" spans="1:9">
      <c r="A2846" s="22" t="str">
        <f>HYPERLINK("https://app.vivvix.com/360/KMI/IntelliDrive/ApplUI/Pages/CreativePages/CustomReportCreativeDetail.aspx?App=23&amp;ReportView=4&amp;Qid=1711279&amp;Row=2838&amp;Col=1","No Title Assigned - #15268016752")</f>
        <v/>
      </c>
      <c r="B2846" s="0" t="s">
        <v>4281</v>
      </c>
      <c r="E2846" s="0" t="inlineStr">
        <is>
          <t xml:space="preserve">Mazda</t>
        </is>
      </c>
      <c r="F2846" s="0" t="inlineStr">
        <is>
          <t xml:space="preserve">Mazda</t>
        </is>
      </c>
      <c r="G2846" s="0" t="s">
        <v>171</v>
      </c>
      <c r="H2846" s="5">
        <v>888.027800</v>
      </c>
    </row>
    <row r="2847" spans="1:9">
      <c r="A2847" s="22" t="str">
        <f>HYPERLINK("https://app.vivvix.com/360/KMI/IntelliDrive/ApplUI/Pages/CreativePages/CustomReportCreativeDetail.aspx?App=23&amp;ReportView=4&amp;Qid=1711279&amp;Row=2839&amp;Col=1","No Title Assigned - #15268016754")</f>
        <v/>
      </c>
      <c r="B2847" s="0" t="s">
        <v>4282</v>
      </c>
      <c r="E2847" s="0" t="inlineStr">
        <is>
          <t xml:space="preserve">Mazda</t>
        </is>
      </c>
      <c r="F2847" s="0" t="inlineStr">
        <is>
          <t xml:space="preserve">Mazda</t>
        </is>
      </c>
      <c r="G2847" s="0" t="s">
        <v>171</v>
      </c>
      <c r="H2847" s="5">
        <v>874.416700</v>
      </c>
    </row>
    <row r="2848" spans="1:9">
      <c r="A2848" s="22" t="str">
        <f>HYPERLINK("https://app.vivvix.com/360/KMI/IntelliDrive/ApplUI/Pages/CreativePages/CustomReportCreativeDetail.aspx?App=23&amp;ReportView=4&amp;Qid=1711279&amp;Row=2840&amp;Col=1","No Title Assigned - #15268016755")</f>
        <v/>
      </c>
      <c r="B2848" s="0" t="s">
        <v>4283</v>
      </c>
      <c r="E2848" s="0" t="inlineStr">
        <is>
          <t xml:space="preserve">Mazda</t>
        </is>
      </c>
      <c r="F2848" s="0" t="inlineStr">
        <is>
          <t xml:space="preserve">Mazda</t>
        </is>
      </c>
      <c r="G2848" s="0" t="s">
        <v>171</v>
      </c>
      <c r="H2848" s="5">
        <v>1793.478400</v>
      </c>
    </row>
    <row r="2849" spans="1:9">
      <c r="A2849" s="22" t="str">
        <f>HYPERLINK("https://app.vivvix.com/360/KMI/IntelliDrive/ApplUI/Pages/CreativePages/CustomReportCreativeDetail.aspx?App=23&amp;ReportView=4&amp;Qid=1711279&amp;Row=2841&amp;Col=1","No Title Assigned - #15268017175")</f>
        <v/>
      </c>
      <c r="B2849" s="0" t="s">
        <v>4284</v>
      </c>
      <c r="E2849" s="0" t="inlineStr">
        <is>
          <t xml:space="preserve">Mazda</t>
        </is>
      </c>
      <c r="F2849" s="0" t="inlineStr">
        <is>
          <t xml:space="preserve">Mazda</t>
        </is>
      </c>
      <c r="G2849" s="0" t="s">
        <v>171</v>
      </c>
      <c r="H2849" s="5">
        <v>75.136500</v>
      </c>
    </row>
    <row r="2850" spans="1:9">
      <c r="A2850" s="22" t="str">
        <f>HYPERLINK("https://app.vivvix.com/360/KMI/IntelliDrive/ApplUI/Pages/CreativePages/CustomReportCreativeDetail.aspx?App=23&amp;ReportView=4&amp;Qid=1711279&amp;Row=2842&amp;Col=1","No Title Assigned - #15268017575")</f>
        <v/>
      </c>
      <c r="B2850" s="0" t="s">
        <v>4285</v>
      </c>
      <c r="E2850" s="0" t="inlineStr">
        <is>
          <t xml:space="preserve">Mazda</t>
        </is>
      </c>
      <c r="F2850" s="0" t="inlineStr">
        <is>
          <t xml:space="preserve">Mazda</t>
        </is>
      </c>
      <c r="G2850" s="0" t="s">
        <v>171</v>
      </c>
      <c r="H2850" s="5">
        <v>19.353700</v>
      </c>
    </row>
    <row r="2851" spans="1:9">
      <c r="A2851" s="22" t="str">
        <f>HYPERLINK("https://app.vivvix.com/360/KMI/IntelliDrive/ApplUI/Pages/CreativePages/CustomReportCreativeDetail.aspx?App=23&amp;ReportView=4&amp;Qid=1711279&amp;Row=2843&amp;Col=1","No Title Assigned - #15268018076")</f>
        <v/>
      </c>
      <c r="B2851" s="0" t="s">
        <v>4286</v>
      </c>
      <c r="E2851" s="0" t="inlineStr">
        <is>
          <t xml:space="preserve">Mazda</t>
        </is>
      </c>
      <c r="F2851" s="0" t="inlineStr">
        <is>
          <t xml:space="preserve">Mazda</t>
        </is>
      </c>
      <c r="G2851" s="0" t="s">
        <v>171</v>
      </c>
      <c r="H2851" s="5">
        <v>319.356700</v>
      </c>
    </row>
    <row r="2852" spans="1:9">
      <c r="A2852" s="22" t="str">
        <f>HYPERLINK("https://app.vivvix.com/360/KMI/IntelliDrive/ApplUI/Pages/CreativePages/CustomReportCreativeDetail.aspx?App=23&amp;ReportView=4&amp;Qid=1711279&amp;Row=2844&amp;Col=1","No Title Assigned - #15268018484")</f>
        <v/>
      </c>
      <c r="B2852" s="0" t="s">
        <v>4287</v>
      </c>
      <c r="E2852" s="0" t="inlineStr">
        <is>
          <t xml:space="preserve">Mazda</t>
        </is>
      </c>
      <c r="F2852" s="0" t="inlineStr">
        <is>
          <t xml:space="preserve">Mazda</t>
        </is>
      </c>
      <c r="G2852" s="0" t="s">
        <v>171</v>
      </c>
      <c r="H2852" s="5">
        <v>9341.658700</v>
      </c>
    </row>
    <row r="2853" spans="1:9">
      <c r="A2853" s="22" t="str">
        <f>HYPERLINK("https://app.vivvix.com/360/KMI/IntelliDrive/ApplUI/Pages/CreativePages/CustomReportCreativeDetail.aspx?App=23&amp;ReportView=4&amp;Qid=1711279&amp;Row=2845&amp;Col=1","No Title Assigned - #15268018598")</f>
        <v/>
      </c>
      <c r="B2853" s="0" t="s">
        <v>4288</v>
      </c>
      <c r="E2853" s="0" t="inlineStr">
        <is>
          <t xml:space="preserve">Mazda</t>
        </is>
      </c>
      <c r="F2853" s="0" t="inlineStr">
        <is>
          <t xml:space="preserve">Mazda</t>
        </is>
      </c>
      <c r="G2853" s="0" t="s">
        <v>171</v>
      </c>
      <c r="H2853" s="5">
        <v>435.801700</v>
      </c>
    </row>
    <row r="2854" spans="1:9">
      <c r="A2854" s="22" t="str">
        <f>HYPERLINK("https://app.vivvix.com/360/KMI/IntelliDrive/ApplUI/Pages/CreativePages/CustomReportCreativeDetail.aspx?App=23&amp;ReportView=4&amp;Qid=1711279&amp;Row=2846&amp;Col=1","No Title Assigned - #15268019227")</f>
        <v/>
      </c>
      <c r="B2854" s="0" t="s">
        <v>4289</v>
      </c>
      <c r="E2854" s="0" t="inlineStr">
        <is>
          <t xml:space="preserve">Mazda</t>
        </is>
      </c>
      <c r="F2854" s="0" t="inlineStr">
        <is>
          <t xml:space="preserve">Mazda</t>
        </is>
      </c>
      <c r="G2854" s="0" t="s">
        <v>171</v>
      </c>
      <c r="H2854" s="5">
        <v>5768.284600</v>
      </c>
    </row>
    <row r="2855" spans="1:9">
      <c r="A2855" s="22" t="str">
        <f>HYPERLINK("https://app.vivvix.com/360/KMI/IntelliDrive/ApplUI/Pages/CreativePages/CustomReportCreativeDetail.aspx?App=23&amp;ReportView=4&amp;Qid=1711279&amp;Row=2847&amp;Col=1","No Title Assigned - #15268021795")</f>
        <v/>
      </c>
      <c r="B2855" s="0" t="s">
        <v>4290</v>
      </c>
      <c r="E2855" s="0" t="inlineStr">
        <is>
          <t xml:space="preserve">Mazda</t>
        </is>
      </c>
      <c r="F2855" s="0" t="inlineStr">
        <is>
          <t xml:space="preserve">Mazda</t>
        </is>
      </c>
      <c r="G2855" s="0" t="s">
        <v>171</v>
      </c>
      <c r="H2855" s="5">
        <v>333.242000</v>
      </c>
    </row>
    <row r="2856" spans="1:9">
      <c r="A2856" s="22" t="str">
        <f>HYPERLINK("https://app.vivvix.com/360/KMI/IntelliDrive/ApplUI/Pages/CreativePages/CustomReportCreativeDetail.aspx?App=23&amp;ReportView=4&amp;Qid=1711279&amp;Row=2848&amp;Col=1","No Title Assigned - #15268022861")</f>
        <v/>
      </c>
      <c r="B2856" s="0" t="s">
        <v>4291</v>
      </c>
      <c r="E2856" s="0" t="inlineStr">
        <is>
          <t xml:space="preserve">Mazda</t>
        </is>
      </c>
      <c r="F2856" s="0" t="inlineStr">
        <is>
          <t xml:space="preserve">Mazda</t>
        </is>
      </c>
      <c r="G2856" s="0" t="s">
        <v>171</v>
      </c>
      <c r="H2856" s="5">
        <v>1115.652000</v>
      </c>
    </row>
    <row r="2857" spans="1:9">
      <c r="A2857" s="22" t="str">
        <f>HYPERLINK("https://app.vivvix.com/360/KMI/IntelliDrive/ApplUI/Pages/CreativePages/CustomReportCreativeDetail.aspx?App=23&amp;ReportView=4&amp;Qid=1711279&amp;Row=2849&amp;Col=1","No Title Assigned - #15268023889")</f>
        <v/>
      </c>
      <c r="B2857" s="0" t="s">
        <v>4292</v>
      </c>
      <c r="E2857" s="0" t="inlineStr">
        <is>
          <t xml:space="preserve">Mazda</t>
        </is>
      </c>
      <c r="F2857" s="0" t="inlineStr">
        <is>
          <t xml:space="preserve">Mazda</t>
        </is>
      </c>
      <c r="G2857" s="0" t="s">
        <v>171</v>
      </c>
      <c r="H2857" s="5">
        <v>215.747300</v>
      </c>
    </row>
    <row r="2858" spans="1:9">
      <c r="A2858" s="22" t="str">
        <f>HYPERLINK("https://app.vivvix.com/360/KMI/IntelliDrive/ApplUI/Pages/CreativePages/CustomReportCreativeDetail.aspx?App=23&amp;ReportView=4&amp;Qid=1711279&amp;Row=2850&amp;Col=1","No Title Assigned - #15268024640")</f>
        <v/>
      </c>
      <c r="B2858" s="0" t="s">
        <v>4293</v>
      </c>
      <c r="E2858" s="0" t="inlineStr">
        <is>
          <t xml:space="preserve">Mazda</t>
        </is>
      </c>
      <c r="F2858" s="0" t="inlineStr">
        <is>
          <t xml:space="preserve">Mazda</t>
        </is>
      </c>
      <c r="G2858" s="0" t="s">
        <v>171</v>
      </c>
      <c r="H2858" s="5">
        <v>4646.111300</v>
      </c>
    </row>
    <row r="2859" spans="1:9">
      <c r="A2859" s="22" t="str">
        <f>HYPERLINK("https://app.vivvix.com/360/KMI/IntelliDrive/ApplUI/Pages/CreativePages/CustomReportCreativeDetail.aspx?App=23&amp;ReportView=4&amp;Qid=1711279&amp;Row=2851&amp;Col=1","No Title Assigned - #15268024640")</f>
        <v/>
      </c>
      <c r="B2859" s="0" t="s">
        <v>4293</v>
      </c>
      <c r="E2859" s="0" t="inlineStr">
        <is>
          <t xml:space="preserve">Mazda</t>
        </is>
      </c>
      <c r="F2859" s="0" t="inlineStr">
        <is>
          <t xml:space="preserve">Mazda</t>
        </is>
      </c>
      <c r="G2859" s="0" t="s">
        <v>171</v>
      </c>
      <c r="H2859" s="5">
        <v>127.509100</v>
      </c>
    </row>
    <row r="2860" spans="1:9">
      <c r="A2860" s="22" t="str">
        <f>HYPERLINK("https://app.vivvix.com/360/KMI/IntelliDrive/ApplUI/Pages/CreativePages/CustomReportCreativeDetail.aspx?App=23&amp;ReportView=4&amp;Qid=1711279&amp;Row=2852&amp;Col=1","No Title Assigned - #15268025248")</f>
        <v/>
      </c>
      <c r="B2860" s="0" t="s">
        <v>4294</v>
      </c>
      <c r="E2860" s="0" t="inlineStr">
        <is>
          <t xml:space="preserve">Mazda</t>
        </is>
      </c>
      <c r="F2860" s="0" t="inlineStr">
        <is>
          <t xml:space="preserve">Mazda</t>
        </is>
      </c>
      <c r="G2860" s="0" t="s">
        <v>171</v>
      </c>
      <c r="H2860" s="5">
        <v>102.528700</v>
      </c>
    </row>
    <row r="2861" spans="1:9">
      <c r="A2861" s="22" t="str">
        <f>HYPERLINK("https://app.vivvix.com/360/KMI/IntelliDrive/ApplUI/Pages/CreativePages/CustomReportCreativeDetail.aspx?App=23&amp;ReportView=4&amp;Qid=1711279&amp;Row=2853&amp;Col=1","No Title Assigned - #15268025605")</f>
        <v/>
      </c>
      <c r="B2861" s="0" t="s">
        <v>4295</v>
      </c>
      <c r="E2861" s="0" t="inlineStr">
        <is>
          <t xml:space="preserve">Mazda</t>
        </is>
      </c>
      <c r="F2861" s="0" t="inlineStr">
        <is>
          <t xml:space="preserve">Mazda</t>
        </is>
      </c>
      <c r="G2861" s="0" t="s">
        <v>171</v>
      </c>
      <c r="H2861" s="5">
        <v>309.662700</v>
      </c>
    </row>
    <row r="2862" spans="1:9">
      <c r="A2862" s="22" t="str">
        <f>HYPERLINK("https://app.vivvix.com/360/KMI/IntelliDrive/ApplUI/Pages/CreativePages/CustomReportCreativeDetail.aspx?App=23&amp;ReportView=4&amp;Qid=1711279&amp;Row=2854&amp;Col=1","No Title Assigned - #15268025755")</f>
        <v/>
      </c>
      <c r="B2862" s="0" t="s">
        <v>4296</v>
      </c>
      <c r="E2862" s="0" t="inlineStr">
        <is>
          <t xml:space="preserve">Mazda</t>
        </is>
      </c>
      <c r="F2862" s="0" t="inlineStr">
        <is>
          <t xml:space="preserve">Mazda</t>
        </is>
      </c>
      <c r="G2862" s="0" t="s">
        <v>171</v>
      </c>
      <c r="H2862" s="5">
        <v>1219.329800</v>
      </c>
    </row>
    <row r="2863" spans="1:9">
      <c r="A2863" s="22" t="str">
        <f>HYPERLINK("https://app.vivvix.com/360/KMI/IntelliDrive/ApplUI/Pages/CreativePages/CustomReportCreativeDetail.aspx?App=23&amp;ReportView=4&amp;Qid=1711279&amp;Row=2855&amp;Col=1","No Title Assigned - #15268025755")</f>
        <v/>
      </c>
      <c r="B2863" s="0" t="s">
        <v>4296</v>
      </c>
      <c r="E2863" s="0" t="inlineStr">
        <is>
          <t xml:space="preserve">Mazda</t>
        </is>
      </c>
      <c r="F2863" s="0" t="inlineStr">
        <is>
          <t xml:space="preserve">Mazda</t>
        </is>
      </c>
      <c r="G2863" s="0" t="s">
        <v>171</v>
      </c>
      <c r="H2863" s="5">
        <v>47.360000</v>
      </c>
    </row>
    <row r="2864" spans="1:9">
      <c r="A2864" s="22" t="str">
        <f>HYPERLINK("https://app.vivvix.com/360/KMI/IntelliDrive/ApplUI/Pages/CreativePages/CustomReportCreativeDetail.aspx?App=23&amp;ReportView=4&amp;Qid=1711279&amp;Row=2856&amp;Col=1","No Title Assigned - #15268025812")</f>
        <v/>
      </c>
      <c r="B2864" s="0" t="s">
        <v>4297</v>
      </c>
      <c r="C2864" s="0" t="s">
        <v>4298</v>
      </c>
      <c r="D2864" s="0" t="s">
        <v>4298</v>
      </c>
      <c r="E2864" s="0" t="inlineStr">
        <is>
          <t xml:space="preserve">Mazda</t>
        </is>
      </c>
      <c r="F2864" s="0" t="inlineStr">
        <is>
          <t xml:space="preserve">Mazda</t>
        </is>
      </c>
      <c r="G2864" s="0" t="s">
        <v>171</v>
      </c>
      <c r="H2864" s="5">
        <v>13278.706400</v>
      </c>
    </row>
    <row r="2865" spans="1:9">
      <c r="A2865" s="22" t="str">
        <f>HYPERLINK("https://app.vivvix.com/360/KMI/IntelliDrive/ApplUI/Pages/CreativePages/CustomReportCreativeDetail.aspx?App=23&amp;ReportView=4&amp;Qid=1711279&amp;Row=2857&amp;Col=1","No Title Assigned - #15268025812")</f>
        <v/>
      </c>
      <c r="B2865" s="0" t="s">
        <v>4297</v>
      </c>
      <c r="E2865" s="0" t="inlineStr">
        <is>
          <t xml:space="preserve">Mazda</t>
        </is>
      </c>
      <c r="F2865" s="0" t="inlineStr">
        <is>
          <t xml:space="preserve">Mazda</t>
        </is>
      </c>
      <c r="G2865" s="0" t="s">
        <v>171</v>
      </c>
      <c r="H2865" s="5">
        <v>947.551000</v>
      </c>
    </row>
    <row r="2866" spans="1:9">
      <c r="A2866" s="22" t="str">
        <f>HYPERLINK("https://app.vivvix.com/360/KMI/IntelliDrive/ApplUI/Pages/CreativePages/CustomReportCreativeDetail.aspx?App=23&amp;ReportView=4&amp;Qid=1711279&amp;Row=2858&amp;Col=1","No Title Assigned - #15268026211")</f>
        <v/>
      </c>
      <c r="B2866" s="0" t="s">
        <v>4299</v>
      </c>
      <c r="E2866" s="0" t="inlineStr">
        <is>
          <t xml:space="preserve">Mazda</t>
        </is>
      </c>
      <c r="F2866" s="0" t="inlineStr">
        <is>
          <t xml:space="preserve">Mazda</t>
        </is>
      </c>
      <c r="G2866" s="0" t="s">
        <v>171</v>
      </c>
      <c r="H2866" s="5">
        <v>2980.169500</v>
      </c>
    </row>
    <row r="2867" spans="1:9">
      <c r="A2867" s="22" t="str">
        <f>HYPERLINK("https://app.vivvix.com/360/KMI/IntelliDrive/ApplUI/Pages/CreativePages/CustomReportCreativeDetail.aspx?App=23&amp;ReportView=4&amp;Qid=1711279&amp;Row=2859&amp;Col=1","No Title Assigned - #15268026978")</f>
        <v/>
      </c>
      <c r="B2867" s="0" t="s">
        <v>4300</v>
      </c>
      <c r="C2867" s="0" t="s">
        <v>4200</v>
      </c>
      <c r="D2867" s="0" t="s">
        <v>4200</v>
      </c>
      <c r="E2867" s="0" t="inlineStr">
        <is>
          <t xml:space="preserve">Mazda</t>
        </is>
      </c>
      <c r="F2867" s="0" t="s">
        <v>28</v>
      </c>
      <c r="G2867" s="0" t="s">
        <v>29</v>
      </c>
      <c r="H2867" s="5">
        <v>106500.456900</v>
      </c>
    </row>
    <row r="2868" spans="1:9">
      <c r="A2868" s="22" t="str">
        <f>HYPERLINK("https://app.vivvix.com/360/KMI/IntelliDrive/ApplUI/Pages/CreativePages/CustomReportCreativeDetail.aspx?App=23&amp;ReportView=4&amp;Qid=1711279&amp;Row=2860&amp;Col=1","No Title Assigned - #15268026978")</f>
        <v/>
      </c>
      <c r="B2868" s="0" t="s">
        <v>4300</v>
      </c>
      <c r="E2868" s="0" t="inlineStr">
        <is>
          <t xml:space="preserve">Mazda</t>
        </is>
      </c>
      <c r="F2868" s="0" t="s">
        <v>28</v>
      </c>
      <c r="G2868" s="0" t="s">
        <v>29</v>
      </c>
      <c r="H2868" s="5">
        <v>57160.612900</v>
      </c>
    </row>
    <row r="2869" spans="1:9">
      <c r="A2869" s="22" t="str">
        <f>HYPERLINK("https://app.vivvix.com/360/KMI/IntelliDrive/ApplUI/Pages/CreativePages/CustomReportCreativeDetail.aspx?App=23&amp;ReportView=4&amp;Qid=1711279&amp;Row=2861&amp;Col=1","No Title Assigned - #15268027689")</f>
        <v/>
      </c>
      <c r="B2869" s="0" t="s">
        <v>4301</v>
      </c>
      <c r="E2869" s="0" t="inlineStr">
        <is>
          <t xml:space="preserve">Mazda</t>
        </is>
      </c>
      <c r="F2869" s="0" t="inlineStr">
        <is>
          <t xml:space="preserve">Mazda</t>
        </is>
      </c>
      <c r="G2869" s="0" t="s">
        <v>171</v>
      </c>
      <c r="H2869" s="5">
        <v>1350.699400</v>
      </c>
    </row>
    <row r="2870" spans="1:9">
      <c r="A2870" s="22" t="str">
        <f>HYPERLINK("https://app.vivvix.com/360/KMI/IntelliDrive/ApplUI/Pages/CreativePages/CustomReportCreativeDetail.aspx?App=23&amp;ReportView=4&amp;Qid=1711279&amp;Row=2862&amp;Col=1","No Title Assigned - #15268027689")</f>
        <v/>
      </c>
      <c r="B2870" s="0" t="s">
        <v>4301</v>
      </c>
      <c r="E2870" s="0" t="inlineStr">
        <is>
          <t xml:space="preserve">Mazda</t>
        </is>
      </c>
      <c r="F2870" s="0" t="inlineStr">
        <is>
          <t xml:space="preserve">Mazda</t>
        </is>
      </c>
      <c r="G2870" s="0" t="s">
        <v>171</v>
      </c>
      <c r="H2870" s="5">
        <v>84.269000</v>
      </c>
    </row>
    <row r="2871" spans="1:9">
      <c r="A2871" s="22" t="str">
        <f>HYPERLINK("https://app.vivvix.com/360/KMI/IntelliDrive/ApplUI/Pages/CreativePages/CustomReportCreativeDetail.aspx?App=23&amp;ReportView=4&amp;Qid=1711279&amp;Row=2863&amp;Col=1","No Title Assigned - #15268027712")</f>
        <v/>
      </c>
      <c r="B2871" s="0" t="s">
        <v>4302</v>
      </c>
      <c r="E2871" s="0" t="inlineStr">
        <is>
          <t xml:space="preserve">Mazda</t>
        </is>
      </c>
      <c r="F2871" s="0" t="inlineStr">
        <is>
          <t xml:space="preserve">Mazda</t>
        </is>
      </c>
      <c r="G2871" s="0" t="s">
        <v>171</v>
      </c>
      <c r="H2871" s="5">
        <v>616.019500</v>
      </c>
    </row>
    <row r="2872" spans="1:9">
      <c r="A2872" s="22" t="str">
        <f>HYPERLINK("https://app.vivvix.com/360/KMI/IntelliDrive/ApplUI/Pages/CreativePages/CustomReportCreativeDetail.aspx?App=23&amp;ReportView=4&amp;Qid=1711279&amp;Row=2864&amp;Col=1","No Title Assigned - #15268028755")</f>
        <v/>
      </c>
      <c r="B2872" s="0" t="s">
        <v>4303</v>
      </c>
      <c r="E2872" s="0" t="inlineStr">
        <is>
          <t xml:space="preserve">Mazda</t>
        </is>
      </c>
      <c r="F2872" s="0" t="inlineStr">
        <is>
          <t xml:space="preserve">Mazda</t>
        </is>
      </c>
      <c r="G2872" s="0" t="s">
        <v>171</v>
      </c>
      <c r="H2872" s="5">
        <v>437.700400</v>
      </c>
    </row>
    <row r="2873" spans="1:9">
      <c r="A2873" s="22" t="str">
        <f>HYPERLINK("https://app.vivvix.com/360/KMI/IntelliDrive/ApplUI/Pages/CreativePages/CustomReportCreativeDetail.aspx?App=23&amp;ReportView=4&amp;Qid=1711279&amp;Row=2865&amp;Col=1","No Title Assigned - #15268028953")</f>
        <v/>
      </c>
      <c r="B2873" s="0" t="s">
        <v>4304</v>
      </c>
      <c r="C2873" s="0" t="s">
        <v>4305</v>
      </c>
      <c r="D2873" s="0" t="s">
        <v>4305</v>
      </c>
      <c r="E2873" s="0" t="inlineStr">
        <is>
          <t xml:space="preserve">Mazda</t>
        </is>
      </c>
      <c r="F2873" s="0" t="inlineStr">
        <is>
          <t xml:space="preserve">Mazda</t>
        </is>
      </c>
      <c r="G2873" s="0" t="s">
        <v>4306</v>
      </c>
      <c r="H2873" s="5">
        <v>1281.091600</v>
      </c>
    </row>
    <row r="2874" spans="1:9">
      <c r="A2874" s="22" t="str">
        <f>HYPERLINK("https://app.vivvix.com/360/KMI/IntelliDrive/ApplUI/Pages/CreativePages/CustomReportCreativeDetail.aspx?App=23&amp;ReportView=4&amp;Qid=1711279&amp;Row=2866&amp;Col=1","No Title Assigned - #15268030163")</f>
        <v/>
      </c>
      <c r="B2874" s="0" t="s">
        <v>4307</v>
      </c>
      <c r="E2874" s="0" t="inlineStr">
        <is>
          <t xml:space="preserve">Mazda</t>
        </is>
      </c>
      <c r="F2874" s="0" t="inlineStr">
        <is>
          <t xml:space="preserve">Mazda</t>
        </is>
      </c>
      <c r="G2874" s="0" t="s">
        <v>171</v>
      </c>
      <c r="H2874" s="5">
        <v>19.353700</v>
      </c>
    </row>
    <row r="2875" spans="1:9">
      <c r="A2875" s="22" t="str">
        <f>HYPERLINK("https://app.vivvix.com/360/KMI/IntelliDrive/ApplUI/Pages/CreativePages/CustomReportCreativeDetail.aspx?App=23&amp;ReportView=4&amp;Qid=1711279&amp;Row=2867&amp;Col=1","No Title Assigned - #15268030834")</f>
        <v/>
      </c>
      <c r="B2875" s="0" t="s">
        <v>4308</v>
      </c>
      <c r="E2875" s="0" t="inlineStr">
        <is>
          <t xml:space="preserve">Mazda</t>
        </is>
      </c>
      <c r="F2875" s="0" t="inlineStr">
        <is>
          <t xml:space="preserve">Mazda</t>
        </is>
      </c>
      <c r="G2875" s="0" t="s">
        <v>171</v>
      </c>
      <c r="H2875" s="5">
        <v>166.555500</v>
      </c>
    </row>
    <row r="2876" spans="1:9">
      <c r="A2876" s="22" t="str">
        <f>HYPERLINK("https://app.vivvix.com/360/KMI/IntelliDrive/ApplUI/Pages/CreativePages/CustomReportCreativeDetail.aspx?App=23&amp;ReportView=4&amp;Qid=1711279&amp;Row=2868&amp;Col=1","No Title Assigned - #15268030838")</f>
        <v/>
      </c>
      <c r="B2876" s="0" t="s">
        <v>4309</v>
      </c>
      <c r="E2876" s="0" t="inlineStr">
        <is>
          <t xml:space="preserve">Mazda</t>
        </is>
      </c>
      <c r="F2876" s="0" t="inlineStr">
        <is>
          <t xml:space="preserve">Mazda</t>
        </is>
      </c>
      <c r="G2876" s="0" t="s">
        <v>171</v>
      </c>
      <c r="H2876" s="5">
        <v>985.163900</v>
      </c>
    </row>
    <row r="2877" spans="1:9">
      <c r="A2877" s="22" t="str">
        <f>HYPERLINK("https://app.vivvix.com/360/KMI/IntelliDrive/ApplUI/Pages/CreativePages/CustomReportCreativeDetail.aspx?App=23&amp;ReportView=4&amp;Qid=1711279&amp;Row=2869&amp;Col=1","No Title Assigned - #15268030838")</f>
        <v/>
      </c>
      <c r="B2877" s="0" t="s">
        <v>4309</v>
      </c>
      <c r="E2877" s="0" t="inlineStr">
        <is>
          <t xml:space="preserve">Mazda</t>
        </is>
      </c>
      <c r="F2877" s="0" t="inlineStr">
        <is>
          <t xml:space="preserve">Mazda</t>
        </is>
      </c>
      <c r="G2877" s="0" t="s">
        <v>171</v>
      </c>
      <c r="H2877" s="5">
        <v>248.005400</v>
      </c>
    </row>
    <row r="2878" spans="1:9">
      <c r="A2878" s="22" t="str">
        <f>HYPERLINK("https://app.vivvix.com/360/KMI/IntelliDrive/ApplUI/Pages/CreativePages/CustomReportCreativeDetail.aspx?App=23&amp;ReportView=4&amp;Qid=1711279&amp;Row=2870&amp;Col=1","No Title Assigned - #15268031691")</f>
        <v/>
      </c>
      <c r="B2878" s="0" t="s">
        <v>4310</v>
      </c>
      <c r="E2878" s="0" t="inlineStr">
        <is>
          <t xml:space="preserve">Mazda</t>
        </is>
      </c>
      <c r="F2878" s="0" t="inlineStr">
        <is>
          <t xml:space="preserve">Mazda</t>
        </is>
      </c>
      <c r="G2878" s="0" t="s">
        <v>171</v>
      </c>
      <c r="H2878" s="5">
        <v>18130.280800</v>
      </c>
    </row>
    <row r="2879" spans="1:9">
      <c r="A2879" s="22" t="str">
        <f>HYPERLINK("https://app.vivvix.com/360/KMI/IntelliDrive/ApplUI/Pages/CreativePages/CustomReportCreativeDetail.aspx?App=23&amp;ReportView=4&amp;Qid=1711279&amp;Row=2871&amp;Col=1","No Title Assigned - #15268031691")</f>
        <v/>
      </c>
      <c r="B2879" s="0" t="s">
        <v>4310</v>
      </c>
      <c r="E2879" s="0" t="inlineStr">
        <is>
          <t xml:space="preserve">Mazda</t>
        </is>
      </c>
      <c r="F2879" s="0" t="inlineStr">
        <is>
          <t xml:space="preserve">Mazda</t>
        </is>
      </c>
      <c r="G2879" s="0" t="s">
        <v>171</v>
      </c>
      <c r="H2879" s="5">
        <v>16802.209100</v>
      </c>
    </row>
    <row r="2880" spans="1:9">
      <c r="A2880" s="22" t="str">
        <f>HYPERLINK("https://app.vivvix.com/360/KMI/IntelliDrive/ApplUI/Pages/CreativePages/CustomReportCreativeDetail.aspx?App=23&amp;ReportView=4&amp;Qid=1711279&amp;Row=2872&amp;Col=1","No Title Assigned - #15268032080")</f>
        <v/>
      </c>
      <c r="B2880" s="0" t="s">
        <v>4311</v>
      </c>
      <c r="E2880" s="0" t="inlineStr">
        <is>
          <t xml:space="preserve">Mazda</t>
        </is>
      </c>
      <c r="F2880" s="0" t="inlineStr">
        <is>
          <t xml:space="preserve">Mazda</t>
        </is>
      </c>
      <c r="G2880" s="0" t="s">
        <v>171</v>
      </c>
      <c r="H2880" s="5">
        <v>235.478500</v>
      </c>
    </row>
    <row r="2881" spans="1:9">
      <c r="A2881" s="22" t="str">
        <f>HYPERLINK("https://app.vivvix.com/360/KMI/IntelliDrive/ApplUI/Pages/CreativePages/CustomReportCreativeDetail.aspx?App=23&amp;ReportView=4&amp;Qid=1711279&amp;Row=2873&amp;Col=1","No Title Assigned - #15268032080")</f>
        <v/>
      </c>
      <c r="B2881" s="0" t="s">
        <v>4311</v>
      </c>
      <c r="E2881" s="0" t="inlineStr">
        <is>
          <t xml:space="preserve">Mazda</t>
        </is>
      </c>
      <c r="F2881" s="0" t="inlineStr">
        <is>
          <t xml:space="preserve">Mazda</t>
        </is>
      </c>
      <c r="G2881" s="0" t="s">
        <v>171</v>
      </c>
      <c r="H2881" s="5">
        <v>14848.006200</v>
      </c>
    </row>
    <row r="2882" spans="1:9">
      <c r="A2882" s="22" t="str">
        <f>HYPERLINK("https://app.vivvix.com/360/KMI/IntelliDrive/ApplUI/Pages/CreativePages/CustomReportCreativeDetail.aspx?App=23&amp;ReportView=4&amp;Qid=1711279&amp;Row=2874&amp;Col=1","No Title Assigned - #15268032410")</f>
        <v/>
      </c>
      <c r="B2882" s="0" t="s">
        <v>4312</v>
      </c>
      <c r="E2882" s="0" t="inlineStr">
        <is>
          <t xml:space="preserve">Mazda</t>
        </is>
      </c>
      <c r="F2882" s="0" t="inlineStr">
        <is>
          <t xml:space="preserve">Mazda</t>
        </is>
      </c>
      <c r="G2882" s="0" t="s">
        <v>171</v>
      </c>
      <c r="H2882" s="5">
        <v>2240.316100</v>
      </c>
    </row>
    <row r="2883" spans="1:9">
      <c r="A2883" s="22" t="str">
        <f>HYPERLINK("https://app.vivvix.com/360/KMI/IntelliDrive/ApplUI/Pages/CreativePages/CustomReportCreativeDetail.aspx?App=23&amp;ReportView=4&amp;Qid=1711279&amp;Row=2875&amp;Col=1","No Title Assigned - #15268042515")</f>
        <v/>
      </c>
      <c r="B2883" s="0" t="s">
        <v>4313</v>
      </c>
      <c r="E2883" s="0" t="inlineStr">
        <is>
          <t xml:space="preserve">Mazda</t>
        </is>
      </c>
      <c r="F2883" s="0" t="inlineStr">
        <is>
          <t xml:space="preserve">Mazda</t>
        </is>
      </c>
      <c r="G2883" s="0" t="s">
        <v>171</v>
      </c>
      <c r="H2883" s="5">
        <v>587.601800</v>
      </c>
    </row>
    <row r="2884" spans="1:9">
      <c r="A2884" s="22" t="str">
        <f>HYPERLINK("https://app.vivvix.com/360/KMI/IntelliDrive/ApplUI/Pages/CreativePages/CustomReportCreativeDetail.aspx?App=23&amp;ReportView=4&amp;Qid=1711279&amp;Row=2876&amp;Col=1","No Title Assigned - #15268042727")</f>
        <v/>
      </c>
      <c r="B2884" s="0" t="s">
        <v>4314</v>
      </c>
      <c r="C2884" s="0" t="s">
        <v>4315</v>
      </c>
      <c r="D2884" s="0" t="s">
        <v>4315</v>
      </c>
      <c r="E2884" s="0" t="inlineStr">
        <is>
          <t xml:space="preserve">Mazda</t>
        </is>
      </c>
      <c r="F2884" s="0" t="s">
        <v>28</v>
      </c>
      <c r="G2884" s="0" t="s">
        <v>29</v>
      </c>
      <c r="H2884" s="5">
        <v>67.751000</v>
      </c>
    </row>
    <row r="2885" spans="1:9">
      <c r="A2885" s="22" t="str">
        <f>HYPERLINK("https://app.vivvix.com/360/KMI/IntelliDrive/ApplUI/Pages/CreativePages/CustomReportCreativeDetail.aspx?App=23&amp;ReportView=4&amp;Qid=1711279&amp;Row=2877&amp;Col=1","No Title Assigned - #15268075675")</f>
        <v/>
      </c>
      <c r="B2885" s="0" t="s">
        <v>4316</v>
      </c>
      <c r="E2885" s="0" t="inlineStr">
        <is>
          <t xml:space="preserve">Mazda</t>
        </is>
      </c>
      <c r="F2885" s="0" t="inlineStr">
        <is>
          <t xml:space="preserve">Mazda</t>
        </is>
      </c>
      <c r="G2885" s="0" t="s">
        <v>171</v>
      </c>
      <c r="H2885" s="5">
        <v>2016.657200</v>
      </c>
    </row>
    <row r="2886" spans="1:9">
      <c r="A2886" s="22" t="str">
        <f>HYPERLINK("https://app.vivvix.com/360/KMI/IntelliDrive/ApplUI/Pages/CreativePages/CustomReportCreativeDetail.aspx?App=23&amp;ReportView=4&amp;Qid=1711279&amp;Row=2878&amp;Col=1","No Title Assigned - #15268079087")</f>
        <v/>
      </c>
      <c r="B2886" s="0" t="s">
        <v>4317</v>
      </c>
      <c r="E2886" s="0" t="inlineStr">
        <is>
          <t xml:space="preserve">Mazda</t>
        </is>
      </c>
      <c r="F2886" s="0" t="inlineStr">
        <is>
          <t xml:space="preserve">Mazda</t>
        </is>
      </c>
      <c r="G2886" s="0" t="s">
        <v>171</v>
      </c>
      <c r="H2886" s="5">
        <v>137.488100</v>
      </c>
    </row>
    <row r="2887" spans="1:9">
      <c r="A2887" s="22" t="str">
        <f>HYPERLINK("https://app.vivvix.com/360/KMI/IntelliDrive/ApplUI/Pages/CreativePages/CustomReportCreativeDetail.aspx?App=23&amp;ReportView=4&amp;Qid=1711279&amp;Row=2879&amp;Col=1","No Title Assigned - #15268079497")</f>
        <v/>
      </c>
      <c r="B2887" s="0" t="s">
        <v>4318</v>
      </c>
      <c r="C2887" s="0" t="s">
        <v>4319</v>
      </c>
      <c r="D2887" s="0" t="s">
        <v>4319</v>
      </c>
      <c r="E2887" s="0" t="inlineStr">
        <is>
          <t xml:space="preserve">Mazda</t>
        </is>
      </c>
      <c r="F2887" s="0" t="s">
        <v>369</v>
      </c>
      <c r="G2887" s="0" t="s">
        <v>370</v>
      </c>
    </row>
    <row r="2888" spans="1:9">
      <c r="A2888" s="22" t="str">
        <f>HYPERLINK("https://app.vivvix.com/360/KMI/IntelliDrive/ApplUI/Pages/CreativePages/CustomReportCreativeDetail.aspx?App=23&amp;ReportView=4&amp;Qid=1711279&amp;Row=2880&amp;Col=1","No Title Assigned - #15268084449")</f>
        <v/>
      </c>
      <c r="B2888" s="0" t="s">
        <v>4320</v>
      </c>
      <c r="E2888" s="0" t="inlineStr">
        <is>
          <t xml:space="preserve">Mazda</t>
        </is>
      </c>
      <c r="F2888" s="0" t="inlineStr">
        <is>
          <t xml:space="preserve">Mazda</t>
        </is>
      </c>
      <c r="G2888" s="0" t="s">
        <v>171</v>
      </c>
      <c r="H2888" s="5">
        <v>1799.768000</v>
      </c>
    </row>
    <row r="2889" spans="1:9">
      <c r="A2889" s="22" t="str">
        <f>HYPERLINK("https://app.vivvix.com/360/KMI/IntelliDrive/ApplUI/Pages/CreativePages/CustomReportCreativeDetail.aspx?App=23&amp;ReportView=4&amp;Qid=1711279&amp;Row=2881&amp;Col=1","No Title Assigned - #15268084453")</f>
        <v/>
      </c>
      <c r="B2889" s="0" t="s">
        <v>4321</v>
      </c>
      <c r="E2889" s="0" t="inlineStr">
        <is>
          <t xml:space="preserve">Mazda</t>
        </is>
      </c>
      <c r="F2889" s="0" t="inlineStr">
        <is>
          <t xml:space="preserve">Mazda</t>
        </is>
      </c>
      <c r="G2889" s="0" t="s">
        <v>171</v>
      </c>
      <c r="H2889" s="5">
        <v>19.353700</v>
      </c>
    </row>
    <row r="2890" spans="1:9">
      <c r="A2890" s="22" t="str">
        <f>HYPERLINK("https://app.vivvix.com/360/KMI/IntelliDrive/ApplUI/Pages/CreativePages/CustomReportCreativeDetail.aspx?App=23&amp;ReportView=4&amp;Qid=1711279&amp;Row=2882&amp;Col=1","No Title Assigned - #15268084486")</f>
        <v/>
      </c>
      <c r="B2890" s="0" t="s">
        <v>4322</v>
      </c>
      <c r="E2890" s="0" t="inlineStr">
        <is>
          <t xml:space="preserve">Mazda</t>
        </is>
      </c>
      <c r="F2890" s="0" t="inlineStr">
        <is>
          <t xml:space="preserve">Mazda</t>
        </is>
      </c>
      <c r="G2890" s="0" t="s">
        <v>171</v>
      </c>
      <c r="H2890" s="5">
        <v>19.353700</v>
      </c>
    </row>
    <row r="2891" spans="1:9">
      <c r="A2891" s="22" t="str">
        <f>HYPERLINK("https://app.vivvix.com/360/KMI/IntelliDrive/ApplUI/Pages/CreativePages/CustomReportCreativeDetail.aspx?App=23&amp;ReportView=4&amp;Qid=1711279&amp;Row=2883&amp;Col=1","No Title Assigned - #15268084839")</f>
        <v/>
      </c>
      <c r="B2891" s="0" t="s">
        <v>4323</v>
      </c>
      <c r="C2891" s="0" t="s">
        <v>4324</v>
      </c>
      <c r="D2891" s="0" t="s">
        <v>4324</v>
      </c>
      <c r="E2891" s="0" t="inlineStr">
        <is>
          <t xml:space="preserve">Mazda</t>
        </is>
      </c>
      <c r="F2891" s="0" t="s">
        <v>369</v>
      </c>
      <c r="G2891" s="0" t="s">
        <v>4169</v>
      </c>
      <c r="H2891" s="5">
        <v>2842.722900</v>
      </c>
    </row>
    <row r="2892" spans="1:9">
      <c r="A2892" s="22" t="str">
        <f>HYPERLINK("https://app.vivvix.com/360/KMI/IntelliDrive/ApplUI/Pages/CreativePages/CustomReportCreativeDetail.aspx?App=23&amp;ReportView=4&amp;Qid=1711279&amp;Row=2884&amp;Col=1","No Title Assigned - #15268084853")</f>
        <v/>
      </c>
      <c r="B2892" s="0" t="s">
        <v>4325</v>
      </c>
      <c r="C2892" s="0" t="s">
        <v>4326</v>
      </c>
      <c r="D2892" s="0" t="s">
        <v>4326</v>
      </c>
      <c r="E2892" s="0" t="inlineStr">
        <is>
          <t xml:space="preserve">Mazda</t>
        </is>
      </c>
      <c r="F2892" s="0" t="s">
        <v>369</v>
      </c>
      <c r="G2892" s="0" t="s">
        <v>370</v>
      </c>
      <c r="H2892" s="5">
        <v>705.749600</v>
      </c>
    </row>
    <row r="2893" spans="1:9">
      <c r="A2893" s="22" t="str">
        <f>HYPERLINK("https://app.vivvix.com/360/KMI/IntelliDrive/ApplUI/Pages/CreativePages/CustomReportCreativeDetail.aspx?App=23&amp;ReportView=4&amp;Qid=1711279&amp;Row=2885&amp;Col=1","No Title Assigned - #15268087000")</f>
        <v/>
      </c>
      <c r="B2893" s="0" t="s">
        <v>4327</v>
      </c>
      <c r="C2893" s="0" t="s">
        <v>4328</v>
      </c>
      <c r="D2893" s="0" t="s">
        <v>4200</v>
      </c>
      <c r="E2893" s="0" t="inlineStr">
        <is>
          <t xml:space="preserve">Mazda</t>
        </is>
      </c>
      <c r="F2893" s="0" t="s">
        <v>28</v>
      </c>
      <c r="G2893" s="0" t="s">
        <v>29</v>
      </c>
      <c r="H2893" s="5">
        <v>118.621500</v>
      </c>
    </row>
    <row r="2894" spans="1:9">
      <c r="A2894" s="22" t="str">
        <f>HYPERLINK("https://app.vivvix.com/360/KMI/IntelliDrive/ApplUI/Pages/CreativePages/CustomReportCreativeDetail.aspx?App=23&amp;ReportView=4&amp;Qid=1711279&amp;Row=2886&amp;Col=1","No Title Assigned - #15268087442")</f>
        <v/>
      </c>
      <c r="B2894" s="0" t="s">
        <v>4329</v>
      </c>
      <c r="C2894" s="0" t="s">
        <v>4330</v>
      </c>
      <c r="D2894" s="0" t="s">
        <v>4225</v>
      </c>
      <c r="E2894" s="0" t="inlineStr">
        <is>
          <t xml:space="preserve">Mazda</t>
        </is>
      </c>
      <c r="F2894" s="0" t="s">
        <v>28</v>
      </c>
      <c r="G2894" s="0" t="s">
        <v>29</v>
      </c>
      <c r="H2894" s="5">
        <v>2142.025000</v>
      </c>
    </row>
    <row r="2895" spans="1:9">
      <c r="A2895" s="22" t="str">
        <f>HYPERLINK("https://app.vivvix.com/360/KMI/IntelliDrive/ApplUI/Pages/CreativePages/CustomReportCreativeDetail.aspx?App=23&amp;ReportView=4&amp;Qid=1711279&amp;Row=2887&amp;Col=1","No Title Assigned - #15268087442")</f>
        <v/>
      </c>
      <c r="B2895" s="0" t="s">
        <v>4329</v>
      </c>
      <c r="E2895" s="0" t="inlineStr">
        <is>
          <t xml:space="preserve">Mazda</t>
        </is>
      </c>
      <c r="F2895" s="0" t="s">
        <v>28</v>
      </c>
      <c r="G2895" s="0" t="s">
        <v>29</v>
      </c>
      <c r="H2895" s="5">
        <v>2427.872200</v>
      </c>
    </row>
    <row r="2896" spans="1:9">
      <c r="A2896" s="22" t="str">
        <f>HYPERLINK("https://app.vivvix.com/360/KMI/IntelliDrive/ApplUI/Pages/CreativePages/CustomReportCreativeDetail.aspx?App=23&amp;ReportView=4&amp;Qid=1711279&amp;Row=2888&amp;Col=1","No Title Assigned - #15268087864")</f>
        <v/>
      </c>
      <c r="B2896" s="0" t="s">
        <v>4331</v>
      </c>
      <c r="C2896" s="0" t="s">
        <v>4332</v>
      </c>
      <c r="D2896" s="0" t="s">
        <v>4333</v>
      </c>
      <c r="E2896" s="0" t="inlineStr">
        <is>
          <t xml:space="preserve">Mazda</t>
        </is>
      </c>
      <c r="F2896" s="0" t="s">
        <v>28</v>
      </c>
      <c r="G2896" s="0" t="s">
        <v>29</v>
      </c>
      <c r="H2896" s="5">
        <v>2282.809200</v>
      </c>
    </row>
    <row r="2897" spans="1:9">
      <c r="A2897" s="22" t="str">
        <f>HYPERLINK("https://app.vivvix.com/360/KMI/IntelliDrive/ApplUI/Pages/CreativePages/CustomReportCreativeDetail.aspx?App=23&amp;ReportView=4&amp;Qid=1711279&amp;Row=2889&amp;Col=1","No Title Assigned - #15268087864")</f>
        <v/>
      </c>
      <c r="B2897" s="0" t="s">
        <v>4331</v>
      </c>
      <c r="E2897" s="0" t="inlineStr">
        <is>
          <t xml:space="preserve">Mazda</t>
        </is>
      </c>
      <c r="F2897" s="0" t="s">
        <v>28</v>
      </c>
      <c r="G2897" s="0" t="s">
        <v>29</v>
      </c>
      <c r="H2897" s="5">
        <v>41.378000</v>
      </c>
    </row>
    <row r="2898" spans="1:9">
      <c r="A2898" s="22" t="str">
        <f>HYPERLINK("https://app.vivvix.com/360/KMI/IntelliDrive/ApplUI/Pages/CreativePages/CustomReportCreativeDetail.aspx?App=23&amp;ReportView=4&amp;Qid=1711279&amp;Row=2890&amp;Col=1","No Title Assigned - #15268088297")</f>
        <v/>
      </c>
      <c r="B2898" s="0" t="s">
        <v>4334</v>
      </c>
      <c r="C2898" s="0" t="s">
        <v>4335</v>
      </c>
      <c r="D2898" s="0" t="s">
        <v>4335</v>
      </c>
      <c r="E2898" s="0" t="inlineStr">
        <is>
          <t xml:space="preserve">Mazda</t>
        </is>
      </c>
      <c r="F2898" s="0" t="s">
        <v>13</v>
      </c>
      <c r="G2898" s="0" t="s">
        <v>49</v>
      </c>
      <c r="H2898" s="5">
        <v>312159.069600</v>
      </c>
    </row>
    <row r="2899" spans="1:9">
      <c r="A2899" s="22" t="str">
        <f>HYPERLINK("https://app.vivvix.com/360/KMI/IntelliDrive/ApplUI/Pages/CreativePages/CustomReportCreativeDetail.aspx?App=23&amp;ReportView=4&amp;Qid=1711279&amp;Row=2891&amp;Col=1","No Title Assigned - #15268088297")</f>
        <v/>
      </c>
      <c r="B2899" s="0" t="s">
        <v>4334</v>
      </c>
      <c r="E2899" s="0" t="inlineStr">
        <is>
          <t xml:space="preserve">Mazda</t>
        </is>
      </c>
      <c r="F2899" s="0" t="s">
        <v>13</v>
      </c>
      <c r="G2899" s="0" t="s">
        <v>49</v>
      </c>
      <c r="H2899" s="5">
        <v>55549.602400</v>
      </c>
    </row>
    <row r="2900" spans="1:9">
      <c r="A2900" s="22" t="str">
        <f>HYPERLINK("https://app.vivvix.com/360/KMI/IntelliDrive/ApplUI/Pages/CreativePages/CustomReportCreativeDetail.aspx?App=23&amp;ReportView=4&amp;Qid=1711279&amp;Row=2892&amp;Col=1","No Title Assigned - #15268088394")</f>
        <v/>
      </c>
      <c r="B2900" s="0" t="s">
        <v>4336</v>
      </c>
      <c r="C2900" s="0" t="s">
        <v>4333</v>
      </c>
      <c r="D2900" s="0" t="s">
        <v>4333</v>
      </c>
      <c r="E2900" s="0" t="inlineStr">
        <is>
          <t xml:space="preserve">Mazda</t>
        </is>
      </c>
      <c r="F2900" s="0" t="s">
        <v>28</v>
      </c>
      <c r="G2900" s="0" t="s">
        <v>29</v>
      </c>
      <c r="H2900" s="5">
        <v>26275.131500</v>
      </c>
    </row>
    <row r="2901" spans="1:9">
      <c r="A2901" s="22" t="str">
        <f>HYPERLINK("https://app.vivvix.com/360/KMI/IntelliDrive/ApplUI/Pages/CreativePages/CustomReportCreativeDetail.aspx?App=23&amp;ReportView=4&amp;Qid=1711279&amp;Row=2893&amp;Col=1","No Title Assigned - #15268088394")</f>
        <v/>
      </c>
      <c r="B2901" s="0" t="s">
        <v>4336</v>
      </c>
      <c r="E2901" s="0" t="inlineStr">
        <is>
          <t xml:space="preserve">Mazda</t>
        </is>
      </c>
      <c r="F2901" s="0" t="s">
        <v>28</v>
      </c>
      <c r="G2901" s="0" t="s">
        <v>29</v>
      </c>
      <c r="H2901" s="5">
        <v>26321.244500</v>
      </c>
    </row>
    <row r="2902" spans="1:9">
      <c r="A2902" s="22" t="str">
        <f>HYPERLINK("https://app.vivvix.com/360/KMI/IntelliDrive/ApplUI/Pages/CreativePages/CustomReportCreativeDetail.aspx?App=23&amp;ReportView=4&amp;Qid=1711279&amp;Row=2894&amp;Col=1","No Title Assigned - #15268089127")</f>
        <v/>
      </c>
      <c r="B2902" s="0" t="s">
        <v>4337</v>
      </c>
      <c r="C2902" s="0" t="s">
        <v>4338</v>
      </c>
      <c r="D2902" s="0" t="s">
        <v>4338</v>
      </c>
      <c r="E2902" s="0" t="inlineStr">
        <is>
          <t xml:space="preserve">Mazda</t>
        </is>
      </c>
      <c r="F2902" s="0" t="s">
        <v>13</v>
      </c>
      <c r="G2902" s="0" t="s">
        <v>49</v>
      </c>
      <c r="H2902" s="5">
        <v>1916.561500</v>
      </c>
    </row>
    <row r="2903" spans="1:9">
      <c r="A2903" s="22" t="str">
        <f>HYPERLINK("https://app.vivvix.com/360/KMI/IntelliDrive/ApplUI/Pages/CreativePages/CustomReportCreativeDetail.aspx?App=23&amp;ReportView=4&amp;Qid=1711279&amp;Row=2895&amp;Col=1","No Title Assigned - #15268093550")</f>
        <v/>
      </c>
      <c r="B2903" s="0" t="s">
        <v>4339</v>
      </c>
      <c r="C2903" s="0" t="s">
        <v>4340</v>
      </c>
      <c r="D2903" s="0" t="s">
        <v>4340</v>
      </c>
      <c r="E2903" s="0" t="inlineStr">
        <is>
          <t xml:space="preserve">Mazda</t>
        </is>
      </c>
      <c r="F2903" s="0" t="s">
        <v>56</v>
      </c>
      <c r="G2903" s="0" t="s">
        <v>57</v>
      </c>
      <c r="H2903" s="5">
        <v>1657.881000</v>
      </c>
    </row>
    <row r="2904" spans="1:9">
      <c r="A2904" s="22" t="str">
        <f>HYPERLINK("https://app.vivvix.com/360/KMI/IntelliDrive/ApplUI/Pages/CreativePages/CustomReportCreativeDetail.aspx?App=23&amp;ReportView=4&amp;Qid=1711279&amp;Row=2896&amp;Col=1","No Title Assigned - #15268113361")</f>
        <v/>
      </c>
      <c r="B2904" s="0" t="s">
        <v>4341</v>
      </c>
      <c r="E2904" s="0" t="inlineStr">
        <is>
          <t xml:space="preserve">Mazda</t>
        </is>
      </c>
      <c r="F2904" s="0" t="s">
        <v>3975</v>
      </c>
      <c r="G2904" s="0" t="s">
        <v>3976</v>
      </c>
      <c r="H2904" s="5">
        <v>2736.588000</v>
      </c>
    </row>
    <row r="2905" spans="1:9">
      <c r="A2905" s="22" t="str">
        <f>HYPERLINK("https://app.vivvix.com/360/KMI/IntelliDrive/ApplUI/Pages/CreativePages/CustomReportCreativeDetail.aspx?App=23&amp;ReportView=4&amp;Qid=1711279&amp;Row=2897&amp;Col=1","No Title Assigned - #15268117046")</f>
        <v/>
      </c>
      <c r="B2905" s="0" t="s">
        <v>4342</v>
      </c>
      <c r="E2905" s="0" t="inlineStr">
        <is>
          <t xml:space="preserve">Mazda</t>
        </is>
      </c>
      <c r="F2905" s="0" t="inlineStr">
        <is>
          <t xml:space="preserve">Mazda</t>
        </is>
      </c>
      <c r="G2905" s="0" t="s">
        <v>171</v>
      </c>
      <c r="H2905" s="5">
        <v>1104.501700</v>
      </c>
    </row>
    <row r="2906" spans="1:9">
      <c r="A2906" s="22" t="str">
        <f>HYPERLINK("https://app.vivvix.com/360/KMI/IntelliDrive/ApplUI/Pages/CreativePages/CustomReportCreativeDetail.aspx?App=23&amp;ReportView=4&amp;Qid=1711279&amp;Row=2898&amp;Col=1","No Title Assigned - #15268117360")</f>
        <v/>
      </c>
      <c r="B2906" s="0" t="s">
        <v>4343</v>
      </c>
      <c r="E2906" s="0" t="inlineStr">
        <is>
          <t xml:space="preserve">Mazda</t>
        </is>
      </c>
      <c r="F2906" s="0" t="inlineStr">
        <is>
          <t xml:space="preserve">Mazda</t>
        </is>
      </c>
      <c r="G2906" s="0" t="s">
        <v>171</v>
      </c>
      <c r="H2906" s="5">
        <v>697.258000</v>
      </c>
    </row>
    <row r="2907" spans="1:9">
      <c r="A2907" s="22" t="str">
        <f>HYPERLINK("https://app.vivvix.com/360/KMI/IntelliDrive/ApplUI/Pages/CreativePages/CustomReportCreativeDetail.aspx?App=23&amp;ReportView=4&amp;Qid=1711279&amp;Row=2899&amp;Col=1","No Title Assigned - #15268117365")</f>
        <v/>
      </c>
      <c r="B2907" s="0" t="s">
        <v>4344</v>
      </c>
      <c r="E2907" s="0" t="inlineStr">
        <is>
          <t xml:space="preserve">Mazda</t>
        </is>
      </c>
      <c r="F2907" s="0" t="inlineStr">
        <is>
          <t xml:space="preserve">Mazda</t>
        </is>
      </c>
      <c r="G2907" s="0" t="s">
        <v>171</v>
      </c>
      <c r="H2907" s="5">
        <v>348.629000</v>
      </c>
    </row>
    <row r="2908" spans="1:9">
      <c r="A2908" s="22" t="str">
        <f>HYPERLINK("https://app.vivvix.com/360/KMI/IntelliDrive/ApplUI/Pages/CreativePages/CustomReportCreativeDetail.aspx?App=23&amp;ReportView=4&amp;Qid=1711279&amp;Row=2900&amp;Col=1","No Title Assigned - #15268118549")</f>
        <v/>
      </c>
      <c r="B2908" s="0" t="s">
        <v>4345</v>
      </c>
      <c r="C2908" s="0" t="s">
        <v>4346</v>
      </c>
      <c r="D2908" s="0" t="s">
        <v>4346</v>
      </c>
      <c r="E2908" s="0" t="inlineStr">
        <is>
          <t xml:space="preserve">Mazda</t>
        </is>
      </c>
      <c r="F2908" s="0" t="inlineStr">
        <is>
          <t xml:space="preserve">Mazda</t>
        </is>
      </c>
      <c r="G2908" s="0" t="s">
        <v>171</v>
      </c>
      <c r="H2908" s="5">
        <v>862.900600</v>
      </c>
    </row>
    <row r="2909" spans="1:9">
      <c r="A2909" s="22" t="str">
        <f>HYPERLINK("https://app.vivvix.com/360/KMI/IntelliDrive/ApplUI/Pages/CreativePages/CustomReportCreativeDetail.aspx?App=23&amp;ReportView=4&amp;Qid=1711279&amp;Row=2901&amp;Col=1","No Title Assigned - #15268119452")</f>
        <v/>
      </c>
      <c r="B2909" s="0" t="s">
        <v>4347</v>
      </c>
      <c r="E2909" s="0" t="inlineStr">
        <is>
          <t xml:space="preserve">Mazda</t>
        </is>
      </c>
      <c r="F2909" s="0" t="inlineStr">
        <is>
          <t xml:space="preserve">Mazda</t>
        </is>
      </c>
      <c r="G2909" s="0" t="s">
        <v>171</v>
      </c>
      <c r="H2909" s="5">
        <v>737.847200</v>
      </c>
    </row>
    <row r="2910" spans="1:9">
      <c r="A2910" s="22" t="str">
        <f>HYPERLINK("https://app.vivvix.com/360/KMI/IntelliDrive/ApplUI/Pages/CreativePages/CustomReportCreativeDetail.aspx?App=23&amp;ReportView=4&amp;Qid=1711279&amp;Row=2902&amp;Col=1","No Title Assigned - #15268130916")</f>
        <v/>
      </c>
      <c r="B2910" s="0" t="s">
        <v>4348</v>
      </c>
      <c r="E2910" s="0" t="inlineStr">
        <is>
          <t xml:space="preserve">Mazda</t>
        </is>
      </c>
      <c r="F2910" s="0" t="inlineStr">
        <is>
          <t xml:space="preserve">Mazda</t>
        </is>
      </c>
      <c r="G2910" s="0" t="s">
        <v>171</v>
      </c>
      <c r="H2910" s="5">
        <v>966.405700</v>
      </c>
    </row>
    <row r="2911" spans="1:9">
      <c r="A2911" s="22" t="str">
        <f>HYPERLINK("https://app.vivvix.com/360/KMI/IntelliDrive/ApplUI/Pages/CreativePages/CustomReportCreativeDetail.aspx?App=23&amp;ReportView=4&amp;Qid=1711279&amp;Row=2903&amp;Col=1","No Title Assigned - #15268137727")</f>
        <v/>
      </c>
      <c r="B2911" s="0" t="s">
        <v>4349</v>
      </c>
      <c r="E2911" s="0" t="inlineStr">
        <is>
          <t xml:space="preserve">Mazda</t>
        </is>
      </c>
      <c r="F2911" s="0" t="inlineStr">
        <is>
          <t xml:space="preserve">Mazda</t>
        </is>
      </c>
      <c r="G2911" s="0" t="s">
        <v>171</v>
      </c>
      <c r="H2911" s="5">
        <v>8542.859400</v>
      </c>
    </row>
    <row r="2912" spans="1:9">
      <c r="A2912" s="22" t="str">
        <f>HYPERLINK("https://app.vivvix.com/360/KMI/IntelliDrive/ApplUI/Pages/CreativePages/CustomReportCreativeDetail.aspx?App=23&amp;ReportView=4&amp;Qid=1711279&amp;Row=2904&amp;Col=1","No Title Assigned - #15268138348")</f>
        <v/>
      </c>
      <c r="B2912" s="0" t="s">
        <v>4350</v>
      </c>
      <c r="E2912" s="0" t="inlineStr">
        <is>
          <t xml:space="preserve">Mazda</t>
        </is>
      </c>
      <c r="F2912" s="0" t="inlineStr">
        <is>
          <t xml:space="preserve">Mazda</t>
        </is>
      </c>
      <c r="G2912" s="0" t="s">
        <v>171</v>
      </c>
      <c r="H2912" s="5">
        <v>395.458600</v>
      </c>
    </row>
    <row r="2913" spans="1:9">
      <c r="A2913" s="22" t="str">
        <f>HYPERLINK("https://app.vivvix.com/360/KMI/IntelliDrive/ApplUI/Pages/CreativePages/CustomReportCreativeDetail.aspx?App=23&amp;ReportView=4&amp;Qid=1711279&amp;Row=2905&amp;Col=1","No Title Assigned - #15268139385")</f>
        <v/>
      </c>
      <c r="B2913" s="0" t="s">
        <v>4351</v>
      </c>
      <c r="E2913" s="0" t="inlineStr">
        <is>
          <t xml:space="preserve">Mazda</t>
        </is>
      </c>
      <c r="F2913" s="0" t="inlineStr">
        <is>
          <t xml:space="preserve">Mazda</t>
        </is>
      </c>
      <c r="G2913" s="0" t="s">
        <v>171</v>
      </c>
      <c r="H2913" s="5">
        <v>275.892800</v>
      </c>
    </row>
    <row r="2914" spans="1:9">
      <c r="A2914" s="22" t="str">
        <f>HYPERLINK("https://app.vivvix.com/360/KMI/IntelliDrive/ApplUI/Pages/CreativePages/CustomReportCreativeDetail.aspx?App=23&amp;ReportView=4&amp;Qid=1711279&amp;Row=2906&amp;Col=1","No Title Assigned - #15268139930")</f>
        <v/>
      </c>
      <c r="B2914" s="0" t="s">
        <v>4352</v>
      </c>
      <c r="E2914" s="0" t="inlineStr">
        <is>
          <t xml:space="preserve">Mazda</t>
        </is>
      </c>
      <c r="F2914" s="0" t="inlineStr">
        <is>
          <t xml:space="preserve">Mazda</t>
        </is>
      </c>
      <c r="G2914" s="0" t="s">
        <v>171</v>
      </c>
      <c r="H2914" s="5">
        <v>841.562800</v>
      </c>
    </row>
    <row r="2915" spans="1:9">
      <c r="A2915" s="22" t="str">
        <f>HYPERLINK("https://app.vivvix.com/360/KMI/IntelliDrive/ApplUI/Pages/CreativePages/CustomReportCreativeDetail.aspx?App=23&amp;ReportView=4&amp;Qid=1711279&amp;Row=2907&amp;Col=1","No Title Assigned - #15268140223")</f>
        <v/>
      </c>
      <c r="B2915" s="0" t="s">
        <v>4353</v>
      </c>
      <c r="E2915" s="0" t="inlineStr">
        <is>
          <t xml:space="preserve">Mazda</t>
        </is>
      </c>
      <c r="F2915" s="0" t="inlineStr">
        <is>
          <t xml:space="preserve">Mazda</t>
        </is>
      </c>
      <c r="G2915" s="0" t="s">
        <v>171</v>
      </c>
      <c r="H2915" s="5">
        <v>1748.833400</v>
      </c>
    </row>
    <row r="2916" spans="1:9">
      <c r="A2916" s="22" t="str">
        <f>HYPERLINK("https://app.vivvix.com/360/KMI/IntelliDrive/ApplUI/Pages/CreativePages/CustomReportCreativeDetail.aspx?App=23&amp;ReportView=4&amp;Qid=1711279&amp;Row=2908&amp;Col=1","No Title Assigned - #15268141152")</f>
        <v/>
      </c>
      <c r="B2916" s="0" t="s">
        <v>4354</v>
      </c>
      <c r="E2916" s="0" t="inlineStr">
        <is>
          <t xml:space="preserve">Mazda</t>
        </is>
      </c>
      <c r="F2916" s="0" t="inlineStr">
        <is>
          <t xml:space="preserve">Mazda</t>
        </is>
      </c>
      <c r="G2916" s="0" t="s">
        <v>171</v>
      </c>
      <c r="H2916" s="5">
        <v>646.424200</v>
      </c>
    </row>
    <row r="2917" spans="1:9">
      <c r="A2917" s="22" t="str">
        <f>HYPERLINK("https://app.vivvix.com/360/KMI/IntelliDrive/ApplUI/Pages/CreativePages/CustomReportCreativeDetail.aspx?App=23&amp;ReportView=4&amp;Qid=1711279&amp;Row=2909&amp;Col=1","No Title Assigned - #15268142402")</f>
        <v/>
      </c>
      <c r="B2917" s="0" t="s">
        <v>4355</v>
      </c>
      <c r="E2917" s="0" t="inlineStr">
        <is>
          <t xml:space="preserve">Mazda</t>
        </is>
      </c>
      <c r="F2917" s="0" t="inlineStr">
        <is>
          <t xml:space="preserve">Mazda</t>
        </is>
      </c>
      <c r="G2917" s="0" t="s">
        <v>171</v>
      </c>
      <c r="H2917" s="5">
        <v>6789.560100</v>
      </c>
    </row>
    <row r="2918" spans="1:9">
      <c r="A2918" s="22" t="str">
        <f>HYPERLINK("https://app.vivvix.com/360/KMI/IntelliDrive/ApplUI/Pages/CreativePages/CustomReportCreativeDetail.aspx?App=23&amp;ReportView=4&amp;Qid=1711279&amp;Row=2910&amp;Col=1","No Title Assigned - #15268145866")</f>
        <v/>
      </c>
      <c r="B2918" s="0" t="s">
        <v>4356</v>
      </c>
      <c r="E2918" s="0" t="inlineStr">
        <is>
          <t xml:space="preserve">Mazda</t>
        </is>
      </c>
      <c r="F2918" s="0" t="inlineStr">
        <is>
          <t xml:space="preserve">Mazda</t>
        </is>
      </c>
      <c r="G2918" s="0" t="s">
        <v>171</v>
      </c>
      <c r="H2918" s="5">
        <v>738.160800</v>
      </c>
    </row>
    <row r="2919" spans="1:9">
      <c r="A2919" s="22" t="str">
        <f>HYPERLINK("https://app.vivvix.com/360/KMI/IntelliDrive/ApplUI/Pages/CreativePages/CustomReportCreativeDetail.aspx?App=23&amp;ReportView=4&amp;Qid=1711279&amp;Row=2911&amp;Col=1","No Title Assigned - #15268147261")</f>
        <v/>
      </c>
      <c r="B2919" s="0" t="s">
        <v>4357</v>
      </c>
      <c r="E2919" s="0" t="inlineStr">
        <is>
          <t xml:space="preserve">Mazda</t>
        </is>
      </c>
      <c r="F2919" s="0" t="inlineStr">
        <is>
          <t xml:space="preserve">Mazda</t>
        </is>
      </c>
      <c r="G2919" s="0" t="s">
        <v>171</v>
      </c>
      <c r="H2919" s="5">
        <v>28895.842300</v>
      </c>
    </row>
    <row r="2920" spans="1:9">
      <c r="A2920" s="22" t="str">
        <f>HYPERLINK("https://app.vivvix.com/360/KMI/IntelliDrive/ApplUI/Pages/CreativePages/CustomReportCreativeDetail.aspx?App=23&amp;ReportView=4&amp;Qid=1711279&amp;Row=2912&amp;Col=1","No Title Assigned - #15268147261")</f>
        <v/>
      </c>
      <c r="B2920" s="0" t="s">
        <v>4357</v>
      </c>
      <c r="E2920" s="0" t="inlineStr">
        <is>
          <t xml:space="preserve">Mazda</t>
        </is>
      </c>
      <c r="F2920" s="0" t="inlineStr">
        <is>
          <t xml:space="preserve">Mazda</t>
        </is>
      </c>
      <c r="G2920" s="0" t="s">
        <v>171</v>
      </c>
      <c r="H2920" s="5">
        <v>12925.720100</v>
      </c>
    </row>
    <row r="2921" spans="1:9">
      <c r="A2921" s="22" t="str">
        <f>HYPERLINK("https://app.vivvix.com/360/KMI/IntelliDrive/ApplUI/Pages/CreativePages/CustomReportCreativeDetail.aspx?App=23&amp;ReportView=4&amp;Qid=1711279&amp;Row=2913&amp;Col=1","No Title Assigned - #15268147379")</f>
        <v/>
      </c>
      <c r="B2921" s="0" t="s">
        <v>4358</v>
      </c>
      <c r="E2921" s="0" t="inlineStr">
        <is>
          <t xml:space="preserve">Mazda</t>
        </is>
      </c>
      <c r="F2921" s="0" t="inlineStr">
        <is>
          <t xml:space="preserve">Mazda</t>
        </is>
      </c>
      <c r="G2921" s="0" t="s">
        <v>171</v>
      </c>
      <c r="H2921" s="5">
        <v>1309.270100</v>
      </c>
    </row>
    <row r="2922" spans="1:9">
      <c r="A2922" s="22" t="str">
        <f>HYPERLINK("https://app.vivvix.com/360/KMI/IntelliDrive/ApplUI/Pages/CreativePages/CustomReportCreativeDetail.aspx?App=23&amp;ReportView=4&amp;Qid=1711279&amp;Row=2914&amp;Col=1","No Title Assigned - #15268151973")</f>
        <v/>
      </c>
      <c r="B2922" s="0" t="s">
        <v>4359</v>
      </c>
      <c r="C2922" s="0" t="s">
        <v>4360</v>
      </c>
      <c r="D2922" s="0" t="s">
        <v>4360</v>
      </c>
      <c r="E2922" s="0" t="inlineStr">
        <is>
          <t xml:space="preserve">Mazda</t>
        </is>
      </c>
      <c r="F2922" s="0" t="inlineStr">
        <is>
          <t xml:space="preserve">Mazda</t>
        </is>
      </c>
      <c r="G2922" s="0" t="s">
        <v>171</v>
      </c>
      <c r="H2922" s="5">
        <v>343.152900</v>
      </c>
    </row>
    <row r="2923" spans="1:9">
      <c r="A2923" s="22" t="str">
        <f>HYPERLINK("https://app.vivvix.com/360/KMI/IntelliDrive/ApplUI/Pages/CreativePages/CustomReportCreativeDetail.aspx?App=23&amp;ReportView=4&amp;Qid=1711279&amp;Row=2915&amp;Col=1","No Title Assigned - #15268153424")</f>
        <v/>
      </c>
      <c r="B2923" s="0" t="s">
        <v>4361</v>
      </c>
      <c r="E2923" s="0" t="inlineStr">
        <is>
          <t xml:space="preserve">Mazda</t>
        </is>
      </c>
      <c r="F2923" s="0" t="inlineStr">
        <is>
          <t xml:space="preserve">Mazda</t>
        </is>
      </c>
      <c r="G2923" s="0" t="s">
        <v>171</v>
      </c>
      <c r="H2923" s="5">
        <v>154.157400</v>
      </c>
    </row>
    <row r="2924" spans="1:9">
      <c r="A2924" s="22" t="str">
        <f>HYPERLINK("https://app.vivvix.com/360/KMI/IntelliDrive/ApplUI/Pages/CreativePages/CustomReportCreativeDetail.aspx?App=23&amp;ReportView=4&amp;Qid=1711279&amp;Row=2916&amp;Col=1","No Title Assigned - #15268153451")</f>
        <v/>
      </c>
      <c r="B2924" s="0" t="s">
        <v>4362</v>
      </c>
      <c r="E2924" s="0" t="inlineStr">
        <is>
          <t xml:space="preserve">Mazda</t>
        </is>
      </c>
      <c r="F2924" s="0" t="inlineStr">
        <is>
          <t xml:space="preserve">Mazda</t>
        </is>
      </c>
      <c r="G2924" s="0" t="s">
        <v>171</v>
      </c>
      <c r="H2924" s="5">
        <v>142.524500</v>
      </c>
    </row>
    <row r="2925" spans="1:9">
      <c r="A2925" s="22" t="str">
        <f>HYPERLINK("https://app.vivvix.com/360/KMI/IntelliDrive/ApplUI/Pages/CreativePages/CustomReportCreativeDetail.aspx?App=23&amp;ReportView=4&amp;Qid=1711279&amp;Row=2917&amp;Col=1","No Title Assigned - #15268154227")</f>
        <v/>
      </c>
      <c r="B2925" s="0" t="s">
        <v>4363</v>
      </c>
      <c r="E2925" s="0" t="inlineStr">
        <is>
          <t xml:space="preserve">Mazda</t>
        </is>
      </c>
      <c r="F2925" s="0" t="inlineStr">
        <is>
          <t xml:space="preserve">Mazda</t>
        </is>
      </c>
      <c r="G2925" s="0" t="s">
        <v>171</v>
      </c>
      <c r="H2925" s="5">
        <v>446.218500</v>
      </c>
    </row>
    <row r="2926" spans="1:9">
      <c r="A2926" s="22" t="str">
        <f>HYPERLINK("https://app.vivvix.com/360/KMI/IntelliDrive/ApplUI/Pages/CreativePages/CustomReportCreativeDetail.aspx?App=23&amp;ReportView=4&amp;Qid=1711279&amp;Row=2918&amp;Col=1","No Title Assigned - #15268154456")</f>
        <v/>
      </c>
      <c r="B2926" s="0" t="s">
        <v>4364</v>
      </c>
      <c r="E2926" s="0" t="inlineStr">
        <is>
          <t xml:space="preserve">Mazda</t>
        </is>
      </c>
      <c r="F2926" s="0" t="inlineStr">
        <is>
          <t xml:space="preserve">Mazda</t>
        </is>
      </c>
      <c r="G2926" s="0" t="s">
        <v>171</v>
      </c>
      <c r="H2926" s="5">
        <v>560.957800</v>
      </c>
    </row>
    <row r="2927" spans="1:9">
      <c r="A2927" s="22" t="str">
        <f>HYPERLINK("https://app.vivvix.com/360/KMI/IntelliDrive/ApplUI/Pages/CreativePages/CustomReportCreativeDetail.aspx?App=23&amp;ReportView=4&amp;Qid=1711279&amp;Row=2919&amp;Col=1","No Title Assigned - #15268155006")</f>
        <v/>
      </c>
      <c r="B2927" s="0" t="s">
        <v>4365</v>
      </c>
      <c r="E2927" s="0" t="inlineStr">
        <is>
          <t xml:space="preserve">Mazda</t>
        </is>
      </c>
      <c r="F2927" s="0" t="inlineStr">
        <is>
          <t xml:space="preserve">Mazda</t>
        </is>
      </c>
      <c r="G2927" s="0" t="s">
        <v>171</v>
      </c>
      <c r="H2927" s="5">
        <v>672.182100</v>
      </c>
    </row>
    <row r="2928" spans="1:9">
      <c r="A2928" s="22" t="str">
        <f>HYPERLINK("https://app.vivvix.com/360/KMI/IntelliDrive/ApplUI/Pages/CreativePages/CustomReportCreativeDetail.aspx?App=23&amp;ReportView=4&amp;Qid=1711279&amp;Row=2920&amp;Col=1","No Title Assigned - #15268155672")</f>
        <v/>
      </c>
      <c r="B2928" s="0" t="s">
        <v>4366</v>
      </c>
      <c r="E2928" s="0" t="inlineStr">
        <is>
          <t xml:space="preserve">Mazda</t>
        </is>
      </c>
      <c r="F2928" s="0" t="inlineStr">
        <is>
          <t xml:space="preserve">Mazda</t>
        </is>
      </c>
      <c r="G2928" s="0" t="s">
        <v>171</v>
      </c>
      <c r="H2928" s="5">
        <v>633.144000</v>
      </c>
    </row>
    <row r="2929" spans="1:9">
      <c r="A2929" s="22" t="str">
        <f>HYPERLINK("https://app.vivvix.com/360/KMI/IntelliDrive/ApplUI/Pages/CreativePages/CustomReportCreativeDetail.aspx?App=23&amp;ReportView=4&amp;Qid=1711279&amp;Row=2921&amp;Col=1","No Title Assigned - #15268155816")</f>
        <v/>
      </c>
      <c r="B2929" s="0" t="s">
        <v>4367</v>
      </c>
      <c r="E2929" s="0" t="inlineStr">
        <is>
          <t xml:space="preserve">Mazda</t>
        </is>
      </c>
      <c r="F2929" s="0" t="inlineStr">
        <is>
          <t xml:space="preserve">Mazda</t>
        </is>
      </c>
      <c r="G2929" s="0" t="s">
        <v>171</v>
      </c>
      <c r="H2929" s="5">
        <v>17016.325500</v>
      </c>
    </row>
    <row r="2930" spans="1:9">
      <c r="A2930" s="22" t="str">
        <f>HYPERLINK("https://app.vivvix.com/360/KMI/IntelliDrive/ApplUI/Pages/CreativePages/CustomReportCreativeDetail.aspx?App=23&amp;ReportView=4&amp;Qid=1711279&amp;Row=2922&amp;Col=1","No Title Assigned - #15268155816")</f>
        <v/>
      </c>
      <c r="B2930" s="0" t="s">
        <v>4367</v>
      </c>
      <c r="E2930" s="0" t="inlineStr">
        <is>
          <t xml:space="preserve">Mazda</t>
        </is>
      </c>
      <c r="F2930" s="0" t="inlineStr">
        <is>
          <t xml:space="preserve">Mazda</t>
        </is>
      </c>
      <c r="G2930" s="0" t="s">
        <v>171</v>
      </c>
      <c r="H2930" s="5">
        <v>4676.214200</v>
      </c>
    </row>
    <row r="2931" spans="1:9">
      <c r="A2931" s="22" t="str">
        <f>HYPERLINK("https://app.vivvix.com/360/KMI/IntelliDrive/ApplUI/Pages/CreativePages/CustomReportCreativeDetail.aspx?App=23&amp;ReportView=4&amp;Qid=1711279&amp;Row=2923&amp;Col=1","No Title Assigned - #15268161172")</f>
        <v/>
      </c>
      <c r="B2931" s="0" t="s">
        <v>4368</v>
      </c>
      <c r="E2931" s="0" t="inlineStr">
        <is>
          <t xml:space="preserve">Mazda</t>
        </is>
      </c>
      <c r="F2931" s="0" t="inlineStr">
        <is>
          <t xml:space="preserve">Mazda</t>
        </is>
      </c>
      <c r="G2931" s="0" t="s">
        <v>171</v>
      </c>
      <c r="H2931" s="5">
        <v>437.903400</v>
      </c>
    </row>
    <row r="2932" spans="1:9">
      <c r="A2932" s="22" t="str">
        <f>HYPERLINK("https://app.vivvix.com/360/KMI/IntelliDrive/ApplUI/Pages/CreativePages/CustomReportCreativeDetail.aspx?App=23&amp;ReportView=4&amp;Qid=1711279&amp;Row=2924&amp;Col=1","No Title Assigned - #15268162186")</f>
        <v/>
      </c>
      <c r="B2932" s="0" t="s">
        <v>4369</v>
      </c>
      <c r="E2932" s="0" t="inlineStr">
        <is>
          <t xml:space="preserve">Mazda</t>
        </is>
      </c>
      <c r="F2932" s="0" t="inlineStr">
        <is>
          <t xml:space="preserve">Mazda</t>
        </is>
      </c>
      <c r="G2932" s="0" t="s">
        <v>171</v>
      </c>
      <c r="H2932" s="5">
        <v>1217.194900</v>
      </c>
    </row>
    <row r="2933" spans="1:9">
      <c r="A2933" s="22" t="str">
        <f>HYPERLINK("https://app.vivvix.com/360/KMI/IntelliDrive/ApplUI/Pages/CreativePages/CustomReportCreativeDetail.aspx?App=23&amp;ReportView=4&amp;Qid=1711279&amp;Row=2925&amp;Col=1","No Title Assigned - #15268167084")</f>
        <v/>
      </c>
      <c r="B2933" s="0" t="s">
        <v>4370</v>
      </c>
      <c r="E2933" s="0" t="inlineStr">
        <is>
          <t xml:space="preserve">Mazda</t>
        </is>
      </c>
      <c r="F2933" s="0" t="inlineStr">
        <is>
          <t xml:space="preserve">Mazda</t>
        </is>
      </c>
      <c r="G2933" s="0" t="s">
        <v>171</v>
      </c>
      <c r="H2933" s="5">
        <v>88.422000</v>
      </c>
    </row>
    <row r="2934" spans="1:9">
      <c r="A2934" s="22" t="str">
        <f>HYPERLINK("https://app.vivvix.com/360/KMI/IntelliDrive/ApplUI/Pages/CreativePages/CustomReportCreativeDetail.aspx?App=23&amp;ReportView=4&amp;Qid=1711279&amp;Row=2926&amp;Col=1","No Title Assigned - #15268169619")</f>
        <v/>
      </c>
      <c r="B2934" s="0" t="s">
        <v>4371</v>
      </c>
      <c r="E2934" s="0" t="inlineStr">
        <is>
          <t xml:space="preserve">Mazda</t>
        </is>
      </c>
      <c r="F2934" s="0" t="inlineStr">
        <is>
          <t xml:space="preserve">Mazda</t>
        </is>
      </c>
      <c r="G2934" s="0" t="s">
        <v>171</v>
      </c>
      <c r="H2934" s="5">
        <v>3306.494800</v>
      </c>
    </row>
    <row r="2935" spans="1:9">
      <c r="A2935" s="22" t="str">
        <f>HYPERLINK("https://app.vivvix.com/360/KMI/IntelliDrive/ApplUI/Pages/CreativePages/CustomReportCreativeDetail.aspx?App=23&amp;ReportView=4&amp;Qid=1711279&amp;Row=2927&amp;Col=1","No Title Assigned - #15268169852")</f>
        <v/>
      </c>
      <c r="B2935" s="0" t="s">
        <v>4372</v>
      </c>
      <c r="E2935" s="0" t="inlineStr">
        <is>
          <t xml:space="preserve">Mazda</t>
        </is>
      </c>
      <c r="F2935" s="0" t="inlineStr">
        <is>
          <t xml:space="preserve">Mazda</t>
        </is>
      </c>
      <c r="G2935" s="0" t="s">
        <v>171</v>
      </c>
      <c r="H2935" s="5">
        <v>14840.310200</v>
      </c>
    </row>
    <row r="2936" spans="1:9">
      <c r="A2936" s="22" t="str">
        <f>HYPERLINK("https://app.vivvix.com/360/KMI/IntelliDrive/ApplUI/Pages/CreativePages/CustomReportCreativeDetail.aspx?App=23&amp;ReportView=4&amp;Qid=1711279&amp;Row=2928&amp;Col=1","No Title Assigned - #15268169852")</f>
        <v/>
      </c>
      <c r="B2936" s="0" t="s">
        <v>4372</v>
      </c>
      <c r="E2936" s="0" t="inlineStr">
        <is>
          <t xml:space="preserve">Mazda</t>
        </is>
      </c>
      <c r="F2936" s="0" t="inlineStr">
        <is>
          <t xml:space="preserve">Mazda</t>
        </is>
      </c>
      <c r="G2936" s="0" t="s">
        <v>171</v>
      </c>
      <c r="H2936" s="5">
        <v>4163.923400</v>
      </c>
    </row>
    <row r="2937" spans="1:9">
      <c r="A2937" s="22" t="str">
        <f>HYPERLINK("https://app.vivvix.com/360/KMI/IntelliDrive/ApplUI/Pages/CreativePages/CustomReportCreativeDetail.aspx?App=23&amp;ReportView=4&amp;Qid=1711279&amp;Row=2929&amp;Col=1","No Title Assigned - #15268171602")</f>
        <v/>
      </c>
      <c r="B2937" s="0" t="s">
        <v>4373</v>
      </c>
      <c r="E2937" s="0" t="inlineStr">
        <is>
          <t xml:space="preserve">Mazda</t>
        </is>
      </c>
      <c r="F2937" s="0" t="inlineStr">
        <is>
          <t xml:space="preserve">Mazda</t>
        </is>
      </c>
      <c r="G2937" s="0" t="s">
        <v>171</v>
      </c>
      <c r="H2937" s="5">
        <v>151.655800</v>
      </c>
    </row>
    <row r="2938" spans="1:9">
      <c r="A2938" s="22" t="str">
        <f>HYPERLINK("https://app.vivvix.com/360/KMI/IntelliDrive/ApplUI/Pages/CreativePages/CustomReportCreativeDetail.aspx?App=23&amp;ReportView=4&amp;Qid=1711279&amp;Row=2930&amp;Col=1","No Title Assigned - #15268171630")</f>
        <v/>
      </c>
      <c r="B2938" s="0" t="s">
        <v>4374</v>
      </c>
      <c r="E2938" s="0" t="inlineStr">
        <is>
          <t xml:space="preserve">Mazda</t>
        </is>
      </c>
      <c r="F2938" s="0" t="inlineStr">
        <is>
          <t xml:space="preserve">Mazda</t>
        </is>
      </c>
      <c r="G2938" s="0" t="s">
        <v>171</v>
      </c>
      <c r="H2938" s="5">
        <v>336.722700</v>
      </c>
    </row>
    <row r="2939" spans="1:9">
      <c r="A2939" s="22" t="str">
        <f>HYPERLINK("https://app.vivvix.com/360/KMI/IntelliDrive/ApplUI/Pages/CreativePages/CustomReportCreativeDetail.aspx?App=23&amp;ReportView=4&amp;Qid=1711279&amp;Row=2931&amp;Col=1","No Title Assigned - #15268174383")</f>
        <v/>
      </c>
      <c r="B2939" s="0" t="s">
        <v>4375</v>
      </c>
      <c r="E2939" s="0" t="inlineStr">
        <is>
          <t xml:space="preserve">Mazda</t>
        </is>
      </c>
      <c r="F2939" s="0" t="inlineStr">
        <is>
          <t xml:space="preserve">Mazda</t>
        </is>
      </c>
      <c r="G2939" s="0" t="s">
        <v>171</v>
      </c>
      <c r="H2939" s="5">
        <v>982.911400</v>
      </c>
    </row>
    <row r="2940" spans="1:9">
      <c r="A2940" s="22" t="str">
        <f>HYPERLINK("https://app.vivvix.com/360/KMI/IntelliDrive/ApplUI/Pages/CreativePages/CustomReportCreativeDetail.aspx?App=23&amp;ReportView=4&amp;Qid=1711279&amp;Row=2932&amp;Col=1","No Title Assigned - #15268174414")</f>
        <v/>
      </c>
      <c r="B2940" s="0" t="s">
        <v>4376</v>
      </c>
      <c r="E2940" s="0" t="inlineStr">
        <is>
          <t xml:space="preserve">Mazda</t>
        </is>
      </c>
      <c r="F2940" s="0" t="inlineStr">
        <is>
          <t xml:space="preserve">Mazda</t>
        </is>
      </c>
      <c r="G2940" s="0" t="s">
        <v>171</v>
      </c>
      <c r="H2940" s="5">
        <v>961.106300</v>
      </c>
    </row>
    <row r="2941" spans="1:9">
      <c r="A2941" s="22" t="str">
        <f>HYPERLINK("https://app.vivvix.com/360/KMI/IntelliDrive/ApplUI/Pages/CreativePages/CustomReportCreativeDetail.aspx?App=23&amp;ReportView=4&amp;Qid=1711279&amp;Row=2933&amp;Col=1","No Title Assigned - #15268174519")</f>
        <v/>
      </c>
      <c r="B2941" s="0" t="s">
        <v>4377</v>
      </c>
      <c r="E2941" s="0" t="inlineStr">
        <is>
          <t xml:space="preserve">Mazda</t>
        </is>
      </c>
      <c r="F2941" s="0" t="inlineStr">
        <is>
          <t xml:space="preserve">Mazda</t>
        </is>
      </c>
      <c r="G2941" s="0" t="s">
        <v>171</v>
      </c>
      <c r="H2941" s="5">
        <v>80.593700</v>
      </c>
    </row>
    <row r="2942" spans="1:9">
      <c r="A2942" s="22" t="str">
        <f>HYPERLINK("https://app.vivvix.com/360/KMI/IntelliDrive/ApplUI/Pages/CreativePages/CustomReportCreativeDetail.aspx?App=23&amp;ReportView=4&amp;Qid=1711279&amp;Row=2934&amp;Col=1","No Title Assigned - #15268175987")</f>
        <v/>
      </c>
      <c r="B2942" s="0" t="s">
        <v>4378</v>
      </c>
      <c r="E2942" s="0" t="inlineStr">
        <is>
          <t xml:space="preserve">Mazda</t>
        </is>
      </c>
      <c r="F2942" s="0" t="inlineStr">
        <is>
          <t xml:space="preserve">Mazda</t>
        </is>
      </c>
      <c r="G2942" s="0" t="s">
        <v>171</v>
      </c>
      <c r="H2942" s="5">
        <v>110.692800</v>
      </c>
    </row>
    <row r="2943" spans="1:9">
      <c r="A2943" s="22" t="str">
        <f>HYPERLINK("https://app.vivvix.com/360/KMI/IntelliDrive/ApplUI/Pages/CreativePages/CustomReportCreativeDetail.aspx?App=23&amp;ReportView=4&amp;Qid=1711279&amp;Row=2935&amp;Col=1","No Title Assigned - #15268176170")</f>
        <v/>
      </c>
      <c r="B2943" s="0" t="s">
        <v>4379</v>
      </c>
      <c r="E2943" s="0" t="inlineStr">
        <is>
          <t xml:space="preserve">Mazda</t>
        </is>
      </c>
      <c r="F2943" s="0" t="inlineStr">
        <is>
          <t xml:space="preserve">Mazda</t>
        </is>
      </c>
      <c r="G2943" s="0" t="s">
        <v>171</v>
      </c>
      <c r="H2943" s="5">
        <v>19.353700</v>
      </c>
    </row>
    <row r="2944" spans="1:9">
      <c r="A2944" s="22" t="str">
        <f>HYPERLINK("https://app.vivvix.com/360/KMI/IntelliDrive/ApplUI/Pages/CreativePages/CustomReportCreativeDetail.aspx?App=23&amp;ReportView=4&amp;Qid=1711279&amp;Row=2936&amp;Col=1","No Title Assigned - #15268177602")</f>
        <v/>
      </c>
      <c r="B2944" s="0" t="s">
        <v>4380</v>
      </c>
      <c r="E2944" s="0" t="inlineStr">
        <is>
          <t xml:space="preserve">Mazda</t>
        </is>
      </c>
      <c r="F2944" s="0" t="inlineStr">
        <is>
          <t xml:space="preserve">Mazda</t>
        </is>
      </c>
      <c r="G2944" s="0" t="s">
        <v>171</v>
      </c>
      <c r="H2944" s="5">
        <v>1657.881000</v>
      </c>
    </row>
    <row r="2945" spans="1:9">
      <c r="A2945" s="22" t="str">
        <f>HYPERLINK("https://app.vivvix.com/360/KMI/IntelliDrive/ApplUI/Pages/CreativePages/CustomReportCreativeDetail.aspx?App=23&amp;ReportView=4&amp;Qid=1711279&amp;Row=2937&amp;Col=1","No Title Assigned - #15268177824")</f>
        <v/>
      </c>
      <c r="B2945" s="0" t="s">
        <v>4381</v>
      </c>
      <c r="E2945" s="0" t="inlineStr">
        <is>
          <t xml:space="preserve">Mazda</t>
        </is>
      </c>
      <c r="F2945" s="0" t="inlineStr">
        <is>
          <t xml:space="preserve">Mazda</t>
        </is>
      </c>
      <c r="G2945" s="0" t="s">
        <v>171</v>
      </c>
      <c r="H2945" s="5">
        <v>912.723000</v>
      </c>
    </row>
    <row r="2946" spans="1:9">
      <c r="A2946" s="22" t="str">
        <f>HYPERLINK("https://app.vivvix.com/360/KMI/IntelliDrive/ApplUI/Pages/CreativePages/CustomReportCreativeDetail.aspx?App=23&amp;ReportView=4&amp;Qid=1711279&amp;Row=2938&amp;Col=1","No Title Assigned - #15268178195")</f>
        <v/>
      </c>
      <c r="B2946" s="0" t="s">
        <v>4382</v>
      </c>
      <c r="E2946" s="0" t="inlineStr">
        <is>
          <t xml:space="preserve">Mazda</t>
        </is>
      </c>
      <c r="F2946" s="0" t="inlineStr">
        <is>
          <t xml:space="preserve">Mazda</t>
        </is>
      </c>
      <c r="G2946" s="0" t="s">
        <v>171</v>
      </c>
      <c r="H2946" s="5">
        <v>102.528700</v>
      </c>
    </row>
    <row r="2947" spans="1:9">
      <c r="A2947" s="22" t="str">
        <f>HYPERLINK("https://app.vivvix.com/360/KMI/IntelliDrive/ApplUI/Pages/CreativePages/CustomReportCreativeDetail.aspx?App=23&amp;ReportView=4&amp;Qid=1711279&amp;Row=2939&amp;Col=1","No Title Assigned - #15268178777")</f>
        <v/>
      </c>
      <c r="B2947" s="0" t="s">
        <v>4383</v>
      </c>
      <c r="E2947" s="0" t="inlineStr">
        <is>
          <t xml:space="preserve">Mazda</t>
        </is>
      </c>
      <c r="F2947" s="0" t="inlineStr">
        <is>
          <t xml:space="preserve">Mazda</t>
        </is>
      </c>
      <c r="G2947" s="0" t="s">
        <v>171</v>
      </c>
      <c r="H2947" s="5">
        <v>1359.022900</v>
      </c>
    </row>
    <row r="2948" spans="1:9">
      <c r="A2948" s="22" t="str">
        <f>HYPERLINK("https://app.vivvix.com/360/KMI/IntelliDrive/ApplUI/Pages/CreativePages/CustomReportCreativeDetail.aspx?App=23&amp;ReportView=4&amp;Qid=1711279&amp;Row=2940&amp;Col=1","No Title Assigned - #15268179264")</f>
        <v/>
      </c>
      <c r="B2948" s="0" t="s">
        <v>4384</v>
      </c>
      <c r="E2948" s="0" t="inlineStr">
        <is>
          <t xml:space="preserve">Mazda</t>
        </is>
      </c>
      <c r="F2948" s="0" t="inlineStr">
        <is>
          <t xml:space="preserve">Mazda</t>
        </is>
      </c>
      <c r="G2948" s="0" t="s">
        <v>171</v>
      </c>
      <c r="H2948" s="5">
        <v>724.743600</v>
      </c>
    </row>
    <row r="2949" spans="1:9">
      <c r="A2949" s="22" t="str">
        <f>HYPERLINK("https://app.vivvix.com/360/KMI/IntelliDrive/ApplUI/Pages/CreativePages/CustomReportCreativeDetail.aspx?App=23&amp;ReportView=4&amp;Qid=1711279&amp;Row=2941&amp;Col=1","No Title Assigned - #15268179265")</f>
        <v/>
      </c>
      <c r="B2949" s="0" t="s">
        <v>4385</v>
      </c>
      <c r="E2949" s="0" t="inlineStr">
        <is>
          <t xml:space="preserve">Mazda</t>
        </is>
      </c>
      <c r="F2949" s="0" t="inlineStr">
        <is>
          <t xml:space="preserve">Mazda</t>
        </is>
      </c>
      <c r="G2949" s="0" t="s">
        <v>171</v>
      </c>
      <c r="H2949" s="5">
        <v>362.371800</v>
      </c>
    </row>
    <row r="2950" spans="1:9">
      <c r="A2950" s="22" t="str">
        <f>HYPERLINK("https://app.vivvix.com/360/KMI/IntelliDrive/ApplUI/Pages/CreativePages/CustomReportCreativeDetail.aspx?App=23&amp;ReportView=4&amp;Qid=1711279&amp;Row=2942&amp;Col=1","No Title Assigned - #15268185543")</f>
        <v/>
      </c>
      <c r="B2950" s="0" t="s">
        <v>4386</v>
      </c>
      <c r="E2950" s="0" t="inlineStr">
        <is>
          <t xml:space="preserve">Mazda</t>
        </is>
      </c>
      <c r="F2950" s="0" t="inlineStr">
        <is>
          <t xml:space="preserve">Mazda</t>
        </is>
      </c>
      <c r="G2950" s="0" t="s">
        <v>171</v>
      </c>
      <c r="H2950" s="5">
        <v>834.488600</v>
      </c>
    </row>
    <row r="2951" spans="1:9">
      <c r="A2951" s="22" t="str">
        <f>HYPERLINK("https://app.vivvix.com/360/KMI/IntelliDrive/ApplUI/Pages/CreativePages/CustomReportCreativeDetail.aspx?App=23&amp;ReportView=4&amp;Qid=1711279&amp;Row=2943&amp;Col=1","No Title Assigned - #15268185543")</f>
        <v/>
      </c>
      <c r="B2951" s="0" t="s">
        <v>4386</v>
      </c>
      <c r="E2951" s="0" t="inlineStr">
        <is>
          <t xml:space="preserve">Mazda</t>
        </is>
      </c>
      <c r="F2951" s="0" t="inlineStr">
        <is>
          <t xml:space="preserve">Mazda</t>
        </is>
      </c>
      <c r="G2951" s="0" t="s">
        <v>171</v>
      </c>
      <c r="H2951" s="5">
        <v>507.881100</v>
      </c>
    </row>
    <row r="2952" spans="1:9">
      <c r="A2952" s="22" t="str">
        <f>HYPERLINK("https://app.vivvix.com/360/KMI/IntelliDrive/ApplUI/Pages/CreativePages/CustomReportCreativeDetail.aspx?App=23&amp;ReportView=4&amp;Qid=1711279&amp;Row=2944&amp;Col=1","No Title Assigned - #15268185883")</f>
        <v/>
      </c>
      <c r="B2952" s="0" t="s">
        <v>4387</v>
      </c>
      <c r="E2952" s="0" t="inlineStr">
        <is>
          <t xml:space="preserve">Mazda</t>
        </is>
      </c>
      <c r="F2952" s="0" t="inlineStr">
        <is>
          <t xml:space="preserve">Mazda</t>
        </is>
      </c>
      <c r="G2952" s="0" t="s">
        <v>171</v>
      </c>
      <c r="H2952" s="5">
        <v>123.231900</v>
      </c>
    </row>
    <row r="2953" spans="1:9">
      <c r="A2953" s="22" t="str">
        <f>HYPERLINK("https://app.vivvix.com/360/KMI/IntelliDrive/ApplUI/Pages/CreativePages/CustomReportCreativeDetail.aspx?App=23&amp;ReportView=4&amp;Qid=1711279&amp;Row=2945&amp;Col=1","No Title Assigned - #15268185883")</f>
        <v/>
      </c>
      <c r="B2953" s="0" t="s">
        <v>4387</v>
      </c>
      <c r="E2953" s="0" t="inlineStr">
        <is>
          <t xml:space="preserve">Mazda</t>
        </is>
      </c>
      <c r="F2953" s="0" t="inlineStr">
        <is>
          <t xml:space="preserve">Mazda</t>
        </is>
      </c>
      <c r="G2953" s="0" t="s">
        <v>171</v>
      </c>
      <c r="H2953" s="5">
        <v>56.497000</v>
      </c>
    </row>
    <row r="2954" spans="1:9">
      <c r="A2954" s="22" t="str">
        <f>HYPERLINK("https://app.vivvix.com/360/KMI/IntelliDrive/ApplUI/Pages/CreativePages/CustomReportCreativeDetail.aspx?App=23&amp;ReportView=4&amp;Qid=1711279&amp;Row=2946&amp;Col=1","No Title Assigned - #15268186131")</f>
        <v/>
      </c>
      <c r="B2954" s="0" t="s">
        <v>4388</v>
      </c>
      <c r="E2954" s="0" t="inlineStr">
        <is>
          <t xml:space="preserve">Mazda</t>
        </is>
      </c>
      <c r="F2954" s="0" t="inlineStr">
        <is>
          <t xml:space="preserve">Mazda</t>
        </is>
      </c>
      <c r="G2954" s="0" t="s">
        <v>171</v>
      </c>
      <c r="H2954" s="5">
        <v>1506.766400</v>
      </c>
    </row>
    <row r="2955" spans="1:9">
      <c r="A2955" s="22" t="str">
        <f>HYPERLINK("https://app.vivvix.com/360/KMI/IntelliDrive/ApplUI/Pages/CreativePages/CustomReportCreativeDetail.aspx?App=23&amp;ReportView=4&amp;Qid=1711279&amp;Row=2947&amp;Col=1","No Title Assigned - #15268187878")</f>
        <v/>
      </c>
      <c r="B2955" s="0" t="s">
        <v>4389</v>
      </c>
      <c r="C2955" s="0" t="s">
        <v>4390</v>
      </c>
      <c r="D2955" s="0" t="s">
        <v>4390</v>
      </c>
      <c r="E2955" s="0" t="inlineStr">
        <is>
          <t xml:space="preserve">Mazda</t>
        </is>
      </c>
      <c r="F2955" s="0" t="s">
        <v>28</v>
      </c>
      <c r="G2955" s="0" t="s">
        <v>29</v>
      </c>
      <c r="H2955" s="5">
        <v>56.275700</v>
      </c>
    </row>
    <row r="2956" spans="1:9">
      <c r="A2956" s="22" t="str">
        <f>HYPERLINK("https://app.vivvix.com/360/KMI/IntelliDrive/ApplUI/Pages/CreativePages/CustomReportCreativeDetail.aspx?App=23&amp;ReportView=4&amp;Qid=1711279&amp;Row=2948&amp;Col=1","No Title Assigned - #15268188080")</f>
        <v/>
      </c>
      <c r="B2956" s="0" t="s">
        <v>4391</v>
      </c>
      <c r="C2956" s="0" t="s">
        <v>4392</v>
      </c>
      <c r="D2956" s="0" t="s">
        <v>4392</v>
      </c>
      <c r="E2956" s="0" t="inlineStr">
        <is>
          <t xml:space="preserve">Mazda</t>
        </is>
      </c>
      <c r="F2956" s="0" t="s">
        <v>13</v>
      </c>
      <c r="G2956" s="0" t="s">
        <v>49</v>
      </c>
      <c r="H2956" s="5">
        <v>5034.683600</v>
      </c>
    </row>
    <row r="2957" spans="1:9">
      <c r="A2957" s="22" t="str">
        <f>HYPERLINK("https://app.vivvix.com/360/KMI/IntelliDrive/ApplUI/Pages/CreativePages/CustomReportCreativeDetail.aspx?App=23&amp;ReportView=4&amp;Qid=1711279&amp;Row=2949&amp;Col=1","No Title Assigned - #15268189537")</f>
        <v/>
      </c>
      <c r="B2957" s="0" t="s">
        <v>4393</v>
      </c>
      <c r="E2957" s="0" t="inlineStr">
        <is>
          <t xml:space="preserve">Mazda</t>
        </is>
      </c>
      <c r="F2957" s="0" t="inlineStr">
        <is>
          <t xml:space="preserve">Mazda</t>
        </is>
      </c>
      <c r="G2957" s="0" t="s">
        <v>171</v>
      </c>
      <c r="H2957" s="5">
        <v>403.077300</v>
      </c>
    </row>
    <row r="2958" spans="1:9">
      <c r="A2958" s="22" t="str">
        <f>HYPERLINK("https://app.vivvix.com/360/KMI/IntelliDrive/ApplUI/Pages/CreativePages/CustomReportCreativeDetail.aspx?App=23&amp;ReportView=4&amp;Qid=1711279&amp;Row=2950&amp;Col=1","No Title Assigned - #15268189825")</f>
        <v/>
      </c>
      <c r="B2958" s="0" t="s">
        <v>4394</v>
      </c>
      <c r="E2958" s="0" t="inlineStr">
        <is>
          <t xml:space="preserve">Mazda</t>
        </is>
      </c>
      <c r="F2958" s="0" t="inlineStr">
        <is>
          <t xml:space="preserve">Mazda</t>
        </is>
      </c>
      <c r="G2958" s="0" t="s">
        <v>171</v>
      </c>
      <c r="H2958" s="5">
        <v>6351.886700</v>
      </c>
    </row>
    <row r="2959" spans="1:9">
      <c r="A2959" s="22" t="str">
        <f>HYPERLINK("https://app.vivvix.com/360/KMI/IntelliDrive/ApplUI/Pages/CreativePages/CustomReportCreativeDetail.aspx?App=23&amp;ReportView=4&amp;Qid=1711279&amp;Row=2951&amp;Col=1","No Title Assigned - #15268190032")</f>
        <v/>
      </c>
      <c r="B2959" s="0" t="s">
        <v>4395</v>
      </c>
      <c r="E2959" s="0" t="inlineStr">
        <is>
          <t xml:space="preserve">Mazda</t>
        </is>
      </c>
      <c r="F2959" s="0" t="inlineStr">
        <is>
          <t xml:space="preserve">Mazda</t>
        </is>
      </c>
      <c r="G2959" s="0" t="s">
        <v>171</v>
      </c>
      <c r="H2959" s="5">
        <v>482.892700</v>
      </c>
    </row>
    <row r="2960" spans="1:9">
      <c r="A2960" s="22" t="str">
        <f>HYPERLINK("https://app.vivvix.com/360/KMI/IntelliDrive/ApplUI/Pages/CreativePages/CustomReportCreativeDetail.aspx?App=23&amp;ReportView=4&amp;Qid=1711279&amp;Row=2952&amp;Col=1","No Title Assigned - #15268191374")</f>
        <v/>
      </c>
      <c r="B2960" s="0" t="s">
        <v>4396</v>
      </c>
      <c r="C2960" s="0" t="s">
        <v>4397</v>
      </c>
      <c r="D2960" s="0" t="s">
        <v>4200</v>
      </c>
      <c r="E2960" s="0" t="inlineStr">
        <is>
          <t xml:space="preserve">Mazda</t>
        </is>
      </c>
      <c r="F2960" s="0" t="s">
        <v>28</v>
      </c>
      <c r="G2960" s="0" t="s">
        <v>29</v>
      </c>
      <c r="H2960" s="5">
        <v>123.813200</v>
      </c>
    </row>
    <row r="2961" spans="1:9">
      <c r="A2961" s="22" t="str">
        <f>HYPERLINK("https://app.vivvix.com/360/KMI/IntelliDrive/ApplUI/Pages/CreativePages/CustomReportCreativeDetail.aspx?App=23&amp;ReportView=4&amp;Qid=1711279&amp;Row=2953&amp;Col=1","No Title Assigned - #15268191397")</f>
        <v/>
      </c>
      <c r="B2961" s="0" t="s">
        <v>4398</v>
      </c>
      <c r="C2961" s="0" t="s">
        <v>4399</v>
      </c>
      <c r="D2961" s="0" t="s">
        <v>4225</v>
      </c>
      <c r="E2961" s="0" t="inlineStr">
        <is>
          <t xml:space="preserve">Mazda</t>
        </is>
      </c>
      <c r="F2961" s="0" t="s">
        <v>28</v>
      </c>
      <c r="G2961" s="0" t="s">
        <v>29</v>
      </c>
      <c r="H2961" s="5">
        <v>3898.621300</v>
      </c>
    </row>
    <row r="2962" spans="1:9">
      <c r="A2962" s="22" t="str">
        <f>HYPERLINK("https://app.vivvix.com/360/KMI/IntelliDrive/ApplUI/Pages/CreativePages/CustomReportCreativeDetail.aspx?App=23&amp;ReportView=4&amp;Qid=1711279&amp;Row=2954&amp;Col=1","No Title Assigned - #15268191397")</f>
        <v/>
      </c>
      <c r="B2962" s="0" t="s">
        <v>4398</v>
      </c>
      <c r="E2962" s="0" t="inlineStr">
        <is>
          <t xml:space="preserve">Mazda</t>
        </is>
      </c>
      <c r="F2962" s="0" t="s">
        <v>28</v>
      </c>
      <c r="G2962" s="0" t="s">
        <v>29</v>
      </c>
      <c r="H2962" s="5">
        <v>27361.214300</v>
      </c>
    </row>
    <row r="2963" spans="1:9">
      <c r="A2963" s="22" t="str">
        <f>HYPERLINK("https://app.vivvix.com/360/KMI/IntelliDrive/ApplUI/Pages/CreativePages/CustomReportCreativeDetail.aspx?App=23&amp;ReportView=4&amp;Qid=1711279&amp;Row=2955&amp;Col=1","No Title Assigned - #15268192576")</f>
        <v/>
      </c>
      <c r="B2963" s="0" t="s">
        <v>4400</v>
      </c>
      <c r="C2963" s="0" t="s">
        <v>4401</v>
      </c>
      <c r="D2963" s="0" t="s">
        <v>4225</v>
      </c>
      <c r="E2963" s="0" t="inlineStr">
        <is>
          <t xml:space="preserve">Mazda</t>
        </is>
      </c>
      <c r="F2963" s="0" t="s">
        <v>28</v>
      </c>
      <c r="G2963" s="0" t="s">
        <v>29</v>
      </c>
      <c r="H2963" s="5">
        <v>4926.194800</v>
      </c>
    </row>
    <row r="2964" spans="1:9">
      <c r="A2964" s="22" t="str">
        <f>HYPERLINK("https://app.vivvix.com/360/KMI/IntelliDrive/ApplUI/Pages/CreativePages/CustomReportCreativeDetail.aspx?App=23&amp;ReportView=4&amp;Qid=1711279&amp;Row=2956&amp;Col=1","No Title Assigned - #15268192576")</f>
        <v/>
      </c>
      <c r="B2964" s="0" t="s">
        <v>4400</v>
      </c>
      <c r="E2964" s="0" t="inlineStr">
        <is>
          <t xml:space="preserve">Mazda</t>
        </is>
      </c>
      <c r="F2964" s="0" t="s">
        <v>28</v>
      </c>
      <c r="G2964" s="0" t="s">
        <v>29</v>
      </c>
      <c r="H2964" s="5">
        <v>1556.398900</v>
      </c>
    </row>
    <row r="2965" spans="1:9">
      <c r="A2965" s="22" t="str">
        <f>HYPERLINK("https://app.vivvix.com/360/KMI/IntelliDrive/ApplUI/Pages/CreativePages/CustomReportCreativeDetail.aspx?App=23&amp;ReportView=4&amp;Qid=1711279&amp;Row=2957&amp;Col=1","No Title Assigned - #15268192851")</f>
        <v/>
      </c>
      <c r="B2965" s="0" t="s">
        <v>4402</v>
      </c>
      <c r="C2965" s="0" t="s">
        <v>4403</v>
      </c>
      <c r="D2965" s="0" t="s">
        <v>4200</v>
      </c>
      <c r="E2965" s="0" t="inlineStr">
        <is>
          <t xml:space="preserve">Mazda</t>
        </is>
      </c>
      <c r="F2965" s="0" t="s">
        <v>28</v>
      </c>
      <c r="G2965" s="0" t="s">
        <v>29</v>
      </c>
      <c r="H2965" s="5">
        <v>5808.669500</v>
      </c>
    </row>
    <row r="2966" spans="1:9">
      <c r="A2966" s="22" t="str">
        <f>HYPERLINK("https://app.vivvix.com/360/KMI/IntelliDrive/ApplUI/Pages/CreativePages/CustomReportCreativeDetail.aspx?App=23&amp;ReportView=4&amp;Qid=1711279&amp;Row=2958&amp;Col=1","No Title Assigned - #15268192851")</f>
        <v/>
      </c>
      <c r="B2966" s="0" t="s">
        <v>4402</v>
      </c>
      <c r="E2966" s="0" t="inlineStr">
        <is>
          <t xml:space="preserve">Mazda</t>
        </is>
      </c>
      <c r="F2966" s="0" t="s">
        <v>28</v>
      </c>
      <c r="G2966" s="0" t="s">
        <v>29</v>
      </c>
      <c r="H2966" s="5">
        <v>2343.073000</v>
      </c>
    </row>
    <row r="2967" spans="1:9">
      <c r="A2967" s="22" t="str">
        <f>HYPERLINK("https://app.vivvix.com/360/KMI/IntelliDrive/ApplUI/Pages/CreativePages/CustomReportCreativeDetail.aspx?App=23&amp;ReportView=4&amp;Qid=1711279&amp;Row=2959&amp;Col=1","No Title Assigned - #15268193117")</f>
        <v/>
      </c>
      <c r="B2967" s="0" t="s">
        <v>4404</v>
      </c>
      <c r="C2967" s="0" t="s">
        <v>4405</v>
      </c>
      <c r="D2967" s="0" t="s">
        <v>4202</v>
      </c>
      <c r="E2967" s="0" t="inlineStr">
        <is>
          <t xml:space="preserve">Mazda</t>
        </is>
      </c>
      <c r="F2967" s="0" t="s">
        <v>28</v>
      </c>
      <c r="G2967" s="0" t="s">
        <v>29</v>
      </c>
      <c r="H2967" s="5">
        <v>8116.313700</v>
      </c>
    </row>
    <row r="2968" spans="1:9">
      <c r="A2968" s="22" t="str">
        <f>HYPERLINK("https://app.vivvix.com/360/KMI/IntelliDrive/ApplUI/Pages/CreativePages/CustomReportCreativeDetail.aspx?App=23&amp;ReportView=4&amp;Qid=1711279&amp;Row=2960&amp;Col=1","No Title Assigned - #15268193117")</f>
        <v/>
      </c>
      <c r="B2968" s="0" t="s">
        <v>4404</v>
      </c>
      <c r="E2968" s="0" t="inlineStr">
        <is>
          <t xml:space="preserve">Mazda</t>
        </is>
      </c>
      <c r="F2968" s="0" t="s">
        <v>28</v>
      </c>
      <c r="G2968" s="0" t="s">
        <v>29</v>
      </c>
      <c r="H2968" s="5">
        <v>4959.245500</v>
      </c>
    </row>
    <row r="2969" spans="1:9">
      <c r="A2969" s="22" t="str">
        <f>HYPERLINK("https://app.vivvix.com/360/KMI/IntelliDrive/ApplUI/Pages/CreativePages/CustomReportCreativeDetail.aspx?App=23&amp;ReportView=4&amp;Qid=1711279&amp;Row=2961&amp;Col=1","No Title Assigned - #15268193650")</f>
        <v/>
      </c>
      <c r="B2969" s="0" t="s">
        <v>4406</v>
      </c>
      <c r="C2969" s="0" t="s">
        <v>4407</v>
      </c>
      <c r="D2969" s="0" t="s">
        <v>4407</v>
      </c>
      <c r="E2969" s="0" t="inlineStr">
        <is>
          <t xml:space="preserve">Mazda</t>
        </is>
      </c>
      <c r="F2969" s="0" t="s">
        <v>28</v>
      </c>
      <c r="G2969" s="0" t="s">
        <v>29</v>
      </c>
      <c r="H2969" s="5">
        <v>576.513200</v>
      </c>
    </row>
    <row r="2970" spans="1:9">
      <c r="A2970" s="22" t="str">
        <f>HYPERLINK("https://app.vivvix.com/360/KMI/IntelliDrive/ApplUI/Pages/CreativePages/CustomReportCreativeDetail.aspx?App=23&amp;ReportView=4&amp;Qid=1711279&amp;Row=2962&amp;Col=1","No Title Assigned - #15268193803")</f>
        <v/>
      </c>
      <c r="B2970" s="0" t="s">
        <v>4408</v>
      </c>
      <c r="C2970" s="0" t="s">
        <v>4409</v>
      </c>
      <c r="D2970" s="0" t="s">
        <v>4204</v>
      </c>
      <c r="E2970" s="0" t="inlineStr">
        <is>
          <t xml:space="preserve">Mazda</t>
        </is>
      </c>
      <c r="F2970" s="0" t="s">
        <v>28</v>
      </c>
      <c r="G2970" s="0" t="s">
        <v>29</v>
      </c>
      <c r="H2970" s="5">
        <v>45.820300</v>
      </c>
    </row>
    <row r="2971" spans="1:9">
      <c r="A2971" s="22" t="str">
        <f>HYPERLINK("https://app.vivvix.com/360/KMI/IntelliDrive/ApplUI/Pages/CreativePages/CustomReportCreativeDetail.aspx?App=23&amp;ReportView=4&amp;Qid=1711279&amp;Row=2963&amp;Col=1","No Title Assigned - #15268193942")</f>
        <v/>
      </c>
      <c r="B2971" s="0" t="s">
        <v>4410</v>
      </c>
      <c r="C2971" s="0" t="s">
        <v>4411</v>
      </c>
      <c r="D2971" s="0" t="s">
        <v>4200</v>
      </c>
      <c r="E2971" s="0" t="inlineStr">
        <is>
          <t xml:space="preserve">Mazda</t>
        </is>
      </c>
      <c r="F2971" s="0" t="s">
        <v>28</v>
      </c>
      <c r="G2971" s="0" t="s">
        <v>29</v>
      </c>
      <c r="H2971" s="5">
        <v>780.176300</v>
      </c>
    </row>
    <row r="2972" spans="1:9">
      <c r="A2972" s="22" t="str">
        <f>HYPERLINK("https://app.vivvix.com/360/KMI/IntelliDrive/ApplUI/Pages/CreativePages/CustomReportCreativeDetail.aspx?App=23&amp;ReportView=4&amp;Qid=1711279&amp;Row=2964&amp;Col=1","No Title Assigned - #15268193985")</f>
        <v/>
      </c>
      <c r="B2972" s="0" t="s">
        <v>4412</v>
      </c>
      <c r="E2972" s="0" t="inlineStr">
        <is>
          <t xml:space="preserve">Mazda</t>
        </is>
      </c>
      <c r="F2972" s="0" t="inlineStr">
        <is>
          <t xml:space="preserve">Mazda</t>
        </is>
      </c>
      <c r="G2972" s="0" t="s">
        <v>171</v>
      </c>
      <c r="H2972" s="5">
        <v>655.244800</v>
      </c>
    </row>
    <row r="2973" spans="1:9">
      <c r="A2973" s="22" t="str">
        <f>HYPERLINK("https://app.vivvix.com/360/KMI/IntelliDrive/ApplUI/Pages/CreativePages/CustomReportCreativeDetail.aspx?App=23&amp;ReportView=4&amp;Qid=1711279&amp;Row=2965&amp;Col=1","No Title Assigned - #15268193986")</f>
        <v/>
      </c>
      <c r="B2973" s="0" t="s">
        <v>4413</v>
      </c>
      <c r="C2973" s="0" t="s">
        <v>4414</v>
      </c>
      <c r="D2973" s="0" t="s">
        <v>4333</v>
      </c>
      <c r="E2973" s="0" t="inlineStr">
        <is>
          <t xml:space="preserve">Mazda</t>
        </is>
      </c>
      <c r="F2973" s="0" t="s">
        <v>28</v>
      </c>
      <c r="G2973" s="0" t="s">
        <v>29</v>
      </c>
      <c r="H2973" s="5">
        <v>692.387800</v>
      </c>
    </row>
    <row r="2974" spans="1:9">
      <c r="A2974" s="22" t="str">
        <f>HYPERLINK("https://app.vivvix.com/360/KMI/IntelliDrive/ApplUI/Pages/CreativePages/CustomReportCreativeDetail.aspx?App=23&amp;ReportView=4&amp;Qid=1711279&amp;Row=2966&amp;Col=1","No Title Assigned - #15268194035")</f>
        <v/>
      </c>
      <c r="B2974" s="0" t="s">
        <v>4415</v>
      </c>
      <c r="C2974" s="0" t="s">
        <v>4416</v>
      </c>
      <c r="D2974" s="0" t="s">
        <v>4416</v>
      </c>
      <c r="E2974" s="0" t="inlineStr">
        <is>
          <t xml:space="preserve">Mazda</t>
        </is>
      </c>
      <c r="F2974" s="0" t="inlineStr">
        <is>
          <t xml:space="preserve">Mazda</t>
        </is>
      </c>
      <c r="G2974" s="0" t="s">
        <v>171</v>
      </c>
      <c r="H2974" s="5">
        <v>8939.479900</v>
      </c>
    </row>
    <row r="2975" spans="1:9">
      <c r="A2975" s="22" t="str">
        <f>HYPERLINK("https://app.vivvix.com/360/KMI/IntelliDrive/ApplUI/Pages/CreativePages/CustomReportCreativeDetail.aspx?App=23&amp;ReportView=4&amp;Qid=1711279&amp;Row=2967&amp;Col=1","No Title Assigned - #15268194035")</f>
        <v/>
      </c>
      <c r="B2975" s="0" t="s">
        <v>4415</v>
      </c>
      <c r="E2975" s="0" t="inlineStr">
        <is>
          <t xml:space="preserve">Mazda</t>
        </is>
      </c>
      <c r="F2975" s="0" t="inlineStr">
        <is>
          <t xml:space="preserve">Mazda</t>
        </is>
      </c>
      <c r="G2975" s="0" t="s">
        <v>171</v>
      </c>
      <c r="H2975" s="5">
        <v>76.242000</v>
      </c>
    </row>
    <row r="2976" spans="1:9">
      <c r="A2976" s="22" t="str">
        <f>HYPERLINK("https://app.vivvix.com/360/KMI/IntelliDrive/ApplUI/Pages/CreativePages/CustomReportCreativeDetail.aspx?App=23&amp;ReportView=4&amp;Qid=1711279&amp;Row=2968&amp;Col=1","No Title Assigned - #15268194264")</f>
        <v/>
      </c>
      <c r="B2976" s="0" t="s">
        <v>4417</v>
      </c>
      <c r="C2976" s="0" t="s">
        <v>4418</v>
      </c>
      <c r="D2976" s="0" t="s">
        <v>4418</v>
      </c>
      <c r="E2976" s="0" t="inlineStr">
        <is>
          <t xml:space="preserve">Mazda</t>
        </is>
      </c>
      <c r="F2976" s="0" t="s">
        <v>28</v>
      </c>
      <c r="G2976" s="0" t="s">
        <v>29</v>
      </c>
      <c r="H2976" s="5">
        <v>18684.594300</v>
      </c>
    </row>
    <row r="2977" spans="1:9">
      <c r="A2977" s="22" t="str">
        <f>HYPERLINK("https://app.vivvix.com/360/KMI/IntelliDrive/ApplUI/Pages/CreativePages/CustomReportCreativeDetail.aspx?App=23&amp;ReportView=4&amp;Qid=1711279&amp;Row=2969&amp;Col=1","No Title Assigned - #15268194264")</f>
        <v/>
      </c>
      <c r="B2977" s="0" t="s">
        <v>4417</v>
      </c>
      <c r="E2977" s="0" t="inlineStr">
        <is>
          <t xml:space="preserve">Mazda</t>
        </is>
      </c>
      <c r="F2977" s="0" t="s">
        <v>28</v>
      </c>
      <c r="G2977" s="0" t="s">
        <v>29</v>
      </c>
      <c r="H2977" s="5">
        <v>39300.071500</v>
      </c>
    </row>
    <row r="2978" spans="1:9">
      <c r="A2978" s="22" t="str">
        <f>HYPERLINK("https://app.vivvix.com/360/KMI/IntelliDrive/ApplUI/Pages/CreativePages/CustomReportCreativeDetail.aspx?App=23&amp;ReportView=4&amp;Qid=1711279&amp;Row=2970&amp;Col=1","No Title Assigned - #15268194404")</f>
        <v/>
      </c>
      <c r="B2978" s="0" t="s">
        <v>4419</v>
      </c>
      <c r="C2978" s="0" t="s">
        <v>4420</v>
      </c>
      <c r="D2978" s="0" t="s">
        <v>4200</v>
      </c>
      <c r="E2978" s="0" t="inlineStr">
        <is>
          <t xml:space="preserve">Mazda</t>
        </is>
      </c>
      <c r="F2978" s="0" t="s">
        <v>28</v>
      </c>
      <c r="G2978" s="0" t="s">
        <v>29</v>
      </c>
      <c r="H2978" s="5">
        <v>651.916300</v>
      </c>
    </row>
    <row r="2979" spans="1:9">
      <c r="A2979" s="22" t="str">
        <f>HYPERLINK("https://app.vivvix.com/360/KMI/IntelliDrive/ApplUI/Pages/CreativePages/CustomReportCreativeDetail.aspx?App=23&amp;ReportView=4&amp;Qid=1711279&amp;Row=2971&amp;Col=1","No Title Assigned - #15268194671")</f>
        <v/>
      </c>
      <c r="B2979" s="0" t="s">
        <v>4421</v>
      </c>
      <c r="C2979" s="0" t="s">
        <v>4422</v>
      </c>
      <c r="D2979" s="0" t="s">
        <v>4200</v>
      </c>
      <c r="E2979" s="0" t="inlineStr">
        <is>
          <t xml:space="preserve">Mazda</t>
        </is>
      </c>
      <c r="F2979" s="0" t="s">
        <v>28</v>
      </c>
      <c r="G2979" s="0" t="s">
        <v>29</v>
      </c>
      <c r="H2979" s="5">
        <v>612.584000</v>
      </c>
    </row>
    <row r="2980" spans="1:9">
      <c r="A2980" s="22" t="str">
        <f>HYPERLINK("https://app.vivvix.com/360/KMI/IntelliDrive/ApplUI/Pages/CreativePages/CustomReportCreativeDetail.aspx?App=23&amp;ReportView=4&amp;Qid=1711279&amp;Row=2972&amp;Col=1","No Title Assigned - #15268194979")</f>
        <v/>
      </c>
      <c r="B2980" s="0" t="s">
        <v>4423</v>
      </c>
      <c r="C2980" s="0" t="s">
        <v>4424</v>
      </c>
      <c r="D2980" s="0" t="s">
        <v>4424</v>
      </c>
      <c r="E2980" s="0" t="inlineStr">
        <is>
          <t xml:space="preserve">Mazda</t>
        </is>
      </c>
      <c r="F2980" s="0" t="s">
        <v>28</v>
      </c>
      <c r="G2980" s="0" t="s">
        <v>29</v>
      </c>
      <c r="H2980" s="5">
        <v>173.023000</v>
      </c>
    </row>
    <row r="2981" spans="1:9">
      <c r="A2981" s="22" t="str">
        <f>HYPERLINK("https://app.vivvix.com/360/KMI/IntelliDrive/ApplUI/Pages/CreativePages/CustomReportCreativeDetail.aspx?App=23&amp;ReportView=4&amp;Qid=1711279&amp;Row=2973&amp;Col=1","No Title Assigned - #15268194979")</f>
        <v/>
      </c>
      <c r="B2981" s="0" t="s">
        <v>4423</v>
      </c>
      <c r="E2981" s="0" t="inlineStr">
        <is>
          <t xml:space="preserve">Mazda</t>
        </is>
      </c>
      <c r="F2981" s="0" t="s">
        <v>28</v>
      </c>
      <c r="G2981" s="0" t="s">
        <v>29</v>
      </c>
      <c r="H2981" s="5">
        <v>9497.238300</v>
      </c>
    </row>
    <row r="2982" spans="1:9">
      <c r="A2982" s="22" t="str">
        <f>HYPERLINK("https://app.vivvix.com/360/KMI/IntelliDrive/ApplUI/Pages/CreativePages/CustomReportCreativeDetail.aspx?App=23&amp;ReportView=4&amp;Qid=1711279&amp;Row=2974&amp;Col=1","No Title Assigned - #15268195006")</f>
        <v/>
      </c>
      <c r="B2982" s="0" t="s">
        <v>4425</v>
      </c>
      <c r="C2982" s="0" t="s">
        <v>4426</v>
      </c>
      <c r="D2982" s="0" t="s">
        <v>4426</v>
      </c>
      <c r="E2982" s="0" t="inlineStr">
        <is>
          <t xml:space="preserve">Mazda</t>
        </is>
      </c>
      <c r="F2982" s="0" t="s">
        <v>56</v>
      </c>
      <c r="G2982" s="0" t="s">
        <v>57</v>
      </c>
      <c r="H2982" s="5">
        <v>756.354100</v>
      </c>
    </row>
    <row r="2983" spans="1:9">
      <c r="A2983" s="22" t="str">
        <f>HYPERLINK("https://app.vivvix.com/360/KMI/IntelliDrive/ApplUI/Pages/CreativePages/CustomReportCreativeDetail.aspx?App=23&amp;ReportView=4&amp;Qid=1711279&amp;Row=2975&amp;Col=1","No Title Assigned - #15268195069")</f>
        <v/>
      </c>
      <c r="B2983" s="0" t="s">
        <v>4427</v>
      </c>
      <c r="C2983" s="0" t="s">
        <v>4428</v>
      </c>
      <c r="D2983" s="0" t="s">
        <v>4335</v>
      </c>
      <c r="E2983" s="0" t="inlineStr">
        <is>
          <t xml:space="preserve">Mazda</t>
        </is>
      </c>
      <c r="F2983" s="0" t="s">
        <v>13</v>
      </c>
      <c r="G2983" s="0" t="s">
        <v>49</v>
      </c>
      <c r="H2983" s="5">
        <v>612.456800</v>
      </c>
    </row>
    <row r="2984" spans="1:9">
      <c r="A2984" s="22" t="str">
        <f>HYPERLINK("https://app.vivvix.com/360/KMI/IntelliDrive/ApplUI/Pages/CreativePages/CustomReportCreativeDetail.aspx?App=23&amp;ReportView=4&amp;Qid=1711279&amp;Row=2976&amp;Col=1","No Title Assigned - #15268195095")</f>
        <v/>
      </c>
      <c r="B2984" s="0" t="s">
        <v>4429</v>
      </c>
      <c r="C2984" s="0" t="s">
        <v>4430</v>
      </c>
      <c r="D2984" s="0" t="s">
        <v>4430</v>
      </c>
      <c r="E2984" s="0" t="inlineStr">
        <is>
          <t xml:space="preserve">Mazda</t>
        </is>
      </c>
      <c r="F2984" s="0" t="s">
        <v>28</v>
      </c>
      <c r="G2984" s="0" t="s">
        <v>29</v>
      </c>
      <c r="H2984" s="5">
        <v>1241.042600</v>
      </c>
    </row>
    <row r="2985" spans="1:9">
      <c r="A2985" s="22" t="str">
        <f>HYPERLINK("https://app.vivvix.com/360/KMI/IntelliDrive/ApplUI/Pages/CreativePages/CustomReportCreativeDetail.aspx?App=23&amp;ReportView=4&amp;Qid=1711279&amp;Row=2977&amp;Col=1","No Title Assigned - #15268195262")</f>
        <v/>
      </c>
      <c r="B2985" s="0" t="s">
        <v>4431</v>
      </c>
      <c r="C2985" s="0" t="s">
        <v>4432</v>
      </c>
      <c r="D2985" s="0" t="s">
        <v>4202</v>
      </c>
      <c r="E2985" s="0" t="inlineStr">
        <is>
          <t xml:space="preserve">Mazda</t>
        </is>
      </c>
      <c r="F2985" s="0" t="s">
        <v>28</v>
      </c>
      <c r="G2985" s="0" t="s">
        <v>29</v>
      </c>
      <c r="H2985" s="5">
        <v>367.734600</v>
      </c>
    </row>
    <row r="2986" spans="1:9">
      <c r="A2986" s="22" t="str">
        <f>HYPERLINK("https://app.vivvix.com/360/KMI/IntelliDrive/ApplUI/Pages/CreativePages/CustomReportCreativeDetail.aspx?App=23&amp;ReportView=4&amp;Qid=1711279&amp;Row=2978&amp;Col=1","No Title Assigned - #15268195525")</f>
        <v/>
      </c>
      <c r="B2986" s="0" t="s">
        <v>4433</v>
      </c>
      <c r="C2986" s="0" t="s">
        <v>4434</v>
      </c>
      <c r="D2986" s="0" t="s">
        <v>4434</v>
      </c>
      <c r="E2986" s="0" t="inlineStr">
        <is>
          <t xml:space="preserve">Mazda</t>
        </is>
      </c>
      <c r="F2986" s="0" t="s">
        <v>28</v>
      </c>
      <c r="G2986" s="0" t="s">
        <v>29</v>
      </c>
      <c r="H2986" s="5">
        <v>2820.395200</v>
      </c>
    </row>
    <row r="2987" spans="1:9">
      <c r="A2987" s="22" t="str">
        <f>HYPERLINK("https://app.vivvix.com/360/KMI/IntelliDrive/ApplUI/Pages/CreativePages/CustomReportCreativeDetail.aspx?App=23&amp;ReportView=4&amp;Qid=1711279&amp;Row=2979&amp;Col=1","No Title Assigned - #15268196429")</f>
        <v/>
      </c>
      <c r="B2987" s="0" t="s">
        <v>4435</v>
      </c>
      <c r="C2987" s="0" t="s">
        <v>4436</v>
      </c>
      <c r="D2987" s="0" t="s">
        <v>4436</v>
      </c>
      <c r="E2987" s="0" t="inlineStr">
        <is>
          <t xml:space="preserve">Mazda</t>
        </is>
      </c>
      <c r="F2987" s="0" t="s">
        <v>28</v>
      </c>
      <c r="G2987" s="0" t="s">
        <v>29</v>
      </c>
      <c r="H2987" s="5">
        <v>566.259100</v>
      </c>
    </row>
    <row r="2988" spans="1:9">
      <c r="A2988" s="22" t="str">
        <f>HYPERLINK("https://app.vivvix.com/360/KMI/IntelliDrive/ApplUI/Pages/CreativePages/CustomReportCreativeDetail.aspx?App=23&amp;ReportView=4&amp;Qid=1711279&amp;Row=2980&amp;Col=1","No Title Assigned - #15268196519")</f>
        <v/>
      </c>
      <c r="B2988" s="0" t="s">
        <v>4437</v>
      </c>
      <c r="C2988" s="0" t="s">
        <v>4438</v>
      </c>
      <c r="D2988" s="0" t="s">
        <v>4204</v>
      </c>
      <c r="E2988" s="0" t="inlineStr">
        <is>
          <t xml:space="preserve">Mazda</t>
        </is>
      </c>
      <c r="F2988" s="0" t="s">
        <v>28</v>
      </c>
      <c r="G2988" s="0" t="s">
        <v>29</v>
      </c>
      <c r="H2988" s="5">
        <v>1467.625500</v>
      </c>
    </row>
    <row r="2989" spans="1:9">
      <c r="A2989" s="22" t="str">
        <f>HYPERLINK("https://app.vivvix.com/360/KMI/IntelliDrive/ApplUI/Pages/CreativePages/CustomReportCreativeDetail.aspx?App=23&amp;ReportView=4&amp;Qid=1711279&amp;Row=2981&amp;Col=1","No Title Assigned - #15268196906")</f>
        <v/>
      </c>
      <c r="B2989" s="0" t="s">
        <v>4439</v>
      </c>
      <c r="C2989" s="0" t="s">
        <v>4440</v>
      </c>
      <c r="D2989" s="0" t="s">
        <v>4333</v>
      </c>
      <c r="E2989" s="0" t="inlineStr">
        <is>
          <t xml:space="preserve">Mazda</t>
        </is>
      </c>
      <c r="F2989" s="0" t="s">
        <v>28</v>
      </c>
      <c r="G2989" s="0" t="s">
        <v>29</v>
      </c>
      <c r="H2989" s="5">
        <v>657.137300</v>
      </c>
    </row>
    <row r="2990" spans="1:9">
      <c r="A2990" s="22" t="str">
        <f>HYPERLINK("https://app.vivvix.com/360/KMI/IntelliDrive/ApplUI/Pages/CreativePages/CustomReportCreativeDetail.aspx?App=23&amp;ReportView=4&amp;Qid=1711279&amp;Row=2982&amp;Col=1","No Title Assigned - #15268197020")</f>
        <v/>
      </c>
      <c r="B2990" s="0" t="s">
        <v>4441</v>
      </c>
      <c r="C2990" s="0" t="s">
        <v>4442</v>
      </c>
      <c r="D2990" s="0" t="s">
        <v>4442</v>
      </c>
      <c r="E2990" s="0" t="inlineStr">
        <is>
          <t xml:space="preserve">Mazda</t>
        </is>
      </c>
      <c r="F2990" s="0" t="s">
        <v>28</v>
      </c>
      <c r="G2990" s="0" t="s">
        <v>29</v>
      </c>
      <c r="H2990" s="5">
        <v>14166.361300</v>
      </c>
    </row>
    <row r="2991" spans="1:9">
      <c r="A2991" s="22" t="str">
        <f>HYPERLINK("https://app.vivvix.com/360/KMI/IntelliDrive/ApplUI/Pages/CreativePages/CustomReportCreativeDetail.aspx?App=23&amp;ReportView=4&amp;Qid=1711279&amp;Row=2983&amp;Col=1","No Title Assigned - #15268197603")</f>
        <v/>
      </c>
      <c r="B2991" s="0" t="s">
        <v>4443</v>
      </c>
      <c r="C2991" s="0" t="s">
        <v>4444</v>
      </c>
      <c r="D2991" s="0" t="s">
        <v>4202</v>
      </c>
      <c r="E2991" s="0" t="inlineStr">
        <is>
          <t xml:space="preserve">Mazda</t>
        </is>
      </c>
      <c r="F2991" s="0" t="s">
        <v>28</v>
      </c>
      <c r="G2991" s="0" t="s">
        <v>29</v>
      </c>
      <c r="H2991" s="5">
        <v>489.266700</v>
      </c>
    </row>
    <row r="2992" spans="1:9">
      <c r="A2992" s="22" t="str">
        <f>HYPERLINK("https://app.vivvix.com/360/KMI/IntelliDrive/ApplUI/Pages/CreativePages/CustomReportCreativeDetail.aspx?App=23&amp;ReportView=4&amp;Qid=1711279&amp;Row=2984&amp;Col=1","No Title Assigned - #15268197603")</f>
        <v/>
      </c>
      <c r="B2992" s="0" t="s">
        <v>4443</v>
      </c>
      <c r="E2992" s="0" t="inlineStr">
        <is>
          <t xml:space="preserve">Mazda</t>
        </is>
      </c>
      <c r="F2992" s="0" t="s">
        <v>28</v>
      </c>
      <c r="G2992" s="0" t="s">
        <v>29</v>
      </c>
      <c r="H2992" s="5">
        <v>21.141500</v>
      </c>
    </row>
    <row r="2993" spans="1:9">
      <c r="A2993" s="22" t="str">
        <f>HYPERLINK("https://app.vivvix.com/360/KMI/IntelliDrive/ApplUI/Pages/CreativePages/CustomReportCreativeDetail.aspx?App=23&amp;ReportView=4&amp;Qid=1711279&amp;Row=2985&amp;Col=1","No Title Assigned - #15268198182")</f>
        <v/>
      </c>
      <c r="B2993" s="0" t="s">
        <v>4445</v>
      </c>
      <c r="C2993" s="0" t="s">
        <v>4446</v>
      </c>
      <c r="D2993" s="0" t="s">
        <v>4200</v>
      </c>
      <c r="E2993" s="0" t="inlineStr">
        <is>
          <t xml:space="preserve">Mazda</t>
        </is>
      </c>
      <c r="F2993" s="0" t="s">
        <v>28</v>
      </c>
      <c r="G2993" s="0" t="s">
        <v>29</v>
      </c>
      <c r="H2993" s="5">
        <v>510.596800</v>
      </c>
    </row>
    <row r="2994" spans="1:9">
      <c r="A2994" s="22" t="str">
        <f>HYPERLINK("https://app.vivvix.com/360/KMI/IntelliDrive/ApplUI/Pages/CreativePages/CustomReportCreativeDetail.aspx?App=23&amp;ReportView=4&amp;Qid=1711279&amp;Row=2986&amp;Col=1","No Title Assigned - #15268198297")</f>
        <v/>
      </c>
      <c r="B2994" s="0" t="s">
        <v>4447</v>
      </c>
      <c r="C2994" s="0" t="s">
        <v>4448</v>
      </c>
      <c r="D2994" s="0" t="s">
        <v>4448</v>
      </c>
      <c r="E2994" s="0" t="inlineStr">
        <is>
          <t xml:space="preserve">Mazda</t>
        </is>
      </c>
      <c r="F2994" s="0" t="s">
        <v>17</v>
      </c>
      <c r="G2994" s="0" t="s">
        <v>33</v>
      </c>
      <c r="H2994" s="5">
        <v>5854.875800</v>
      </c>
    </row>
    <row r="2995" spans="1:9">
      <c r="A2995" s="22" t="str">
        <f>HYPERLINK("https://app.vivvix.com/360/KMI/IntelliDrive/ApplUI/Pages/CreativePages/CustomReportCreativeDetail.aspx?App=23&amp;ReportView=4&amp;Qid=1711279&amp;Row=2987&amp;Col=1","No Title Assigned - #15268198794")</f>
        <v/>
      </c>
      <c r="B2995" s="0" t="s">
        <v>4449</v>
      </c>
      <c r="C2995" s="0" t="s">
        <v>4450</v>
      </c>
      <c r="D2995" s="0" t="s">
        <v>4450</v>
      </c>
      <c r="E2995" s="0" t="inlineStr">
        <is>
          <t xml:space="preserve">Mazda</t>
        </is>
      </c>
      <c r="F2995" s="0" t="s">
        <v>28</v>
      </c>
      <c r="G2995" s="0" t="s">
        <v>29</v>
      </c>
      <c r="H2995" s="5">
        <v>165.938800</v>
      </c>
    </row>
    <row r="2996" spans="1:9">
      <c r="A2996" s="22" t="str">
        <f>HYPERLINK("https://app.vivvix.com/360/KMI/IntelliDrive/ApplUI/Pages/CreativePages/CustomReportCreativeDetail.aspx?App=23&amp;ReportView=4&amp;Qid=1711279&amp;Row=2988&amp;Col=1","No Title Assigned - #15268198794")</f>
        <v/>
      </c>
      <c r="B2996" s="0" t="s">
        <v>4449</v>
      </c>
      <c r="E2996" s="0" t="inlineStr">
        <is>
          <t xml:space="preserve">Mazda</t>
        </is>
      </c>
      <c r="F2996" s="0" t="s">
        <v>28</v>
      </c>
      <c r="G2996" s="0" t="s">
        <v>29</v>
      </c>
      <c r="H2996" s="5">
        <v>172.290800</v>
      </c>
    </row>
    <row r="2997" spans="1:9">
      <c r="A2997" s="22" t="str">
        <f>HYPERLINK("https://app.vivvix.com/360/KMI/IntelliDrive/ApplUI/Pages/CreativePages/CustomReportCreativeDetail.aspx?App=23&amp;ReportView=4&amp;Qid=1711279&amp;Row=2989&amp;Col=1","No Title Assigned - #15268199389")</f>
        <v/>
      </c>
      <c r="B2997" s="0" t="s">
        <v>4451</v>
      </c>
      <c r="C2997" s="0" t="s">
        <v>4452</v>
      </c>
      <c r="D2997" s="0" t="s">
        <v>4452</v>
      </c>
      <c r="E2997" s="0" t="inlineStr">
        <is>
          <t xml:space="preserve">Mazda</t>
        </is>
      </c>
      <c r="F2997" s="0" t="s">
        <v>369</v>
      </c>
      <c r="G2997" s="0" t="s">
        <v>370</v>
      </c>
      <c r="H2997" s="5">
        <v>631.704000</v>
      </c>
    </row>
    <row r="2998" spans="1:9">
      <c r="A2998" s="22" t="str">
        <f>HYPERLINK("https://app.vivvix.com/360/KMI/IntelliDrive/ApplUI/Pages/CreativePages/CustomReportCreativeDetail.aspx?App=23&amp;ReportView=4&amp;Qid=1711279&amp;Row=2990&amp;Col=1","No Title Assigned - #15268199392")</f>
        <v/>
      </c>
      <c r="B2998" s="0" t="s">
        <v>4453</v>
      </c>
      <c r="C2998" s="0" t="s">
        <v>4454</v>
      </c>
      <c r="D2998" s="0" t="s">
        <v>4454</v>
      </c>
      <c r="E2998" s="0" t="inlineStr">
        <is>
          <t xml:space="preserve">Mazda</t>
        </is>
      </c>
      <c r="F2998" s="0" t="s">
        <v>369</v>
      </c>
      <c r="G2998" s="0" t="s">
        <v>370</v>
      </c>
      <c r="H2998" s="5">
        <v>3272.477600</v>
      </c>
    </row>
    <row r="2999" spans="1:9">
      <c r="A2999" s="22" t="str">
        <f>HYPERLINK("https://app.vivvix.com/360/KMI/IntelliDrive/ApplUI/Pages/CreativePages/CustomReportCreativeDetail.aspx?App=23&amp;ReportView=4&amp;Qid=1711279&amp;Row=2991&amp;Col=1","No Title Assigned - #15268199393")</f>
        <v/>
      </c>
      <c r="B2999" s="0" t="s">
        <v>4455</v>
      </c>
      <c r="C2999" s="0" t="s">
        <v>4456</v>
      </c>
      <c r="D2999" s="0" t="s">
        <v>4456</v>
      </c>
      <c r="E2999" s="0" t="inlineStr">
        <is>
          <t xml:space="preserve">Mazda</t>
        </is>
      </c>
      <c r="F2999" s="0" t="s">
        <v>369</v>
      </c>
      <c r="G2999" s="0" t="s">
        <v>370</v>
      </c>
      <c r="H2999" s="5">
        <v>315.852000</v>
      </c>
    </row>
    <row r="3000" spans="1:9">
      <c r="A3000" s="22" t="str">
        <f>HYPERLINK("https://app.vivvix.com/360/KMI/IntelliDrive/ApplUI/Pages/CreativePages/CustomReportCreativeDetail.aspx?App=23&amp;ReportView=4&amp;Qid=1711279&amp;Row=2992&amp;Col=1","No Title Assigned - #15268200259")</f>
        <v/>
      </c>
      <c r="B3000" s="0" t="s">
        <v>4457</v>
      </c>
      <c r="E3000" s="0" t="inlineStr">
        <is>
          <t xml:space="preserve">Mazda</t>
        </is>
      </c>
      <c r="F3000" s="0" t="inlineStr">
        <is>
          <t xml:space="preserve">Mazda</t>
        </is>
      </c>
      <c r="G3000" s="0" t="s">
        <v>171</v>
      </c>
      <c r="H3000" s="5">
        <v>5498.702100</v>
      </c>
    </row>
    <row r="3001" spans="1:9">
      <c r="A3001" s="22" t="str">
        <f>HYPERLINK("https://app.vivvix.com/360/KMI/IntelliDrive/ApplUI/Pages/CreativePages/CustomReportCreativeDetail.aspx?App=23&amp;ReportView=4&amp;Qid=1711279&amp;Row=2993&amp;Col=1","No Title Assigned - #15268200259")</f>
        <v/>
      </c>
      <c r="B3001" s="0" t="s">
        <v>4457</v>
      </c>
      <c r="E3001" s="0" t="inlineStr">
        <is>
          <t xml:space="preserve">Mazda</t>
        </is>
      </c>
      <c r="F3001" s="0" t="inlineStr">
        <is>
          <t xml:space="preserve">Mazda</t>
        </is>
      </c>
      <c r="G3001" s="0" t="s">
        <v>171</v>
      </c>
      <c r="H3001" s="5">
        <v>10460.619400</v>
      </c>
    </row>
    <row r="3002" spans="1:9">
      <c r="A3002" s="22" t="str">
        <f>HYPERLINK("https://app.vivvix.com/360/KMI/IntelliDrive/ApplUI/Pages/CreativePages/CustomReportCreativeDetail.aspx?App=23&amp;ReportView=4&amp;Qid=1711279&amp;Row=2994&amp;Col=1","No Title Assigned - #15268200781")</f>
        <v/>
      </c>
      <c r="B3002" s="0" t="s">
        <v>4458</v>
      </c>
      <c r="C3002" s="0" t="s">
        <v>4459</v>
      </c>
      <c r="D3002" s="0" t="s">
        <v>4459</v>
      </c>
      <c r="E3002" s="0" t="inlineStr">
        <is>
          <t xml:space="preserve">Mazda</t>
        </is>
      </c>
      <c r="F3002" s="0" t="s">
        <v>28</v>
      </c>
      <c r="G3002" s="0" t="s">
        <v>29</v>
      </c>
      <c r="H3002" s="5">
        <v>303.499600</v>
      </c>
    </row>
    <row r="3003" spans="1:9">
      <c r="A3003" s="22" t="str">
        <f>HYPERLINK("https://app.vivvix.com/360/KMI/IntelliDrive/ApplUI/Pages/CreativePages/CustomReportCreativeDetail.aspx?App=23&amp;ReportView=4&amp;Qid=1711279&amp;Row=2995&amp;Col=1","No Title Assigned - #15268200937")</f>
        <v/>
      </c>
      <c r="B3003" s="0" t="s">
        <v>4460</v>
      </c>
      <c r="C3003" s="0" t="s">
        <v>4461</v>
      </c>
      <c r="D3003" s="0" t="s">
        <v>4202</v>
      </c>
      <c r="E3003" s="0" t="inlineStr">
        <is>
          <t xml:space="preserve">Mazda</t>
        </is>
      </c>
      <c r="F3003" s="0" t="s">
        <v>28</v>
      </c>
      <c r="G3003" s="0" t="s">
        <v>29</v>
      </c>
      <c r="H3003" s="5">
        <v>2372.947200</v>
      </c>
    </row>
    <row r="3004" spans="1:9">
      <c r="A3004" s="22" t="str">
        <f>HYPERLINK("https://app.vivvix.com/360/KMI/IntelliDrive/ApplUI/Pages/CreativePages/CustomReportCreativeDetail.aspx?App=23&amp;ReportView=4&amp;Qid=1711279&amp;Row=2996&amp;Col=1","No Title Assigned - #15268201156")</f>
        <v/>
      </c>
      <c r="B3004" s="0" t="s">
        <v>4462</v>
      </c>
      <c r="C3004" s="0" t="s">
        <v>4463</v>
      </c>
      <c r="D3004" s="0" t="s">
        <v>4200</v>
      </c>
      <c r="E3004" s="0" t="inlineStr">
        <is>
          <t xml:space="preserve">Mazda</t>
        </is>
      </c>
      <c r="F3004" s="0" t="s">
        <v>28</v>
      </c>
      <c r="G3004" s="0" t="s">
        <v>29</v>
      </c>
      <c r="H3004" s="5">
        <v>883.953800</v>
      </c>
    </row>
    <row r="3005" spans="1:9">
      <c r="A3005" s="22" t="str">
        <f>HYPERLINK("https://app.vivvix.com/360/KMI/IntelliDrive/ApplUI/Pages/CreativePages/CustomReportCreativeDetail.aspx?App=23&amp;ReportView=4&amp;Qid=1711279&amp;Row=2997&amp;Col=1","No Title Assigned - #15268201166")</f>
        <v/>
      </c>
      <c r="B3005" s="0" t="s">
        <v>4464</v>
      </c>
      <c r="C3005" s="0" t="s">
        <v>4465</v>
      </c>
      <c r="D3005" s="0" t="s">
        <v>4200</v>
      </c>
      <c r="E3005" s="0" t="inlineStr">
        <is>
          <t xml:space="preserve">Mazda</t>
        </is>
      </c>
      <c r="F3005" s="0" t="s">
        <v>28</v>
      </c>
      <c r="G3005" s="0" t="s">
        <v>29</v>
      </c>
      <c r="H3005" s="5">
        <v>1758.084500</v>
      </c>
    </row>
    <row r="3006" spans="1:9">
      <c r="A3006" s="22" t="str">
        <f>HYPERLINK("https://app.vivvix.com/360/KMI/IntelliDrive/ApplUI/Pages/CreativePages/CustomReportCreativeDetail.aspx?App=23&amp;ReportView=4&amp;Qid=1711279&amp;Row=2998&amp;Col=1","No Title Assigned - #15268201166")</f>
        <v/>
      </c>
      <c r="B3006" s="0" t="s">
        <v>4464</v>
      </c>
      <c r="E3006" s="0" t="inlineStr">
        <is>
          <t xml:space="preserve">Mazda</t>
        </is>
      </c>
      <c r="F3006" s="0" t="s">
        <v>28</v>
      </c>
      <c r="G3006" s="0" t="s">
        <v>29</v>
      </c>
      <c r="H3006" s="5">
        <v>1136.150000</v>
      </c>
    </row>
    <row r="3007" spans="1:9">
      <c r="A3007" s="22" t="str">
        <f>HYPERLINK("https://app.vivvix.com/360/KMI/IntelliDrive/ApplUI/Pages/CreativePages/CustomReportCreativeDetail.aspx?App=23&amp;ReportView=4&amp;Qid=1711279&amp;Row=2999&amp;Col=1","No Title Assigned - #15268202313")</f>
        <v/>
      </c>
      <c r="B3007" s="0" t="s">
        <v>4466</v>
      </c>
      <c r="E3007" s="0" t="inlineStr">
        <is>
          <t xml:space="preserve">Mazda</t>
        </is>
      </c>
      <c r="F3007" s="0" t="inlineStr">
        <is>
          <t xml:space="preserve">Mazda</t>
        </is>
      </c>
      <c r="G3007" s="0" t="s">
        <v>171</v>
      </c>
      <c r="H3007" s="5">
        <v>651.979500</v>
      </c>
    </row>
    <row r="3008" spans="1:9">
      <c r="A3008" s="22" t="str">
        <f>HYPERLINK("https://app.vivvix.com/360/KMI/IntelliDrive/ApplUI/Pages/CreativePages/CustomReportCreativeDetail.aspx?App=23&amp;ReportView=4&amp;Qid=1711279&amp;Row=3000&amp;Col=1","No Title Assigned - #15268202673")</f>
        <v/>
      </c>
      <c r="B3008" s="0" t="s">
        <v>4467</v>
      </c>
      <c r="C3008" s="0" t="s">
        <v>4468</v>
      </c>
      <c r="D3008" s="0" t="s">
        <v>4468</v>
      </c>
      <c r="E3008" s="0" t="inlineStr">
        <is>
          <t xml:space="preserve">Mazda</t>
        </is>
      </c>
      <c r="F3008" s="0" t="s">
        <v>28</v>
      </c>
      <c r="G3008" s="0" t="s">
        <v>29</v>
      </c>
      <c r="H3008" s="5">
        <v>723.015400</v>
      </c>
    </row>
    <row r="3009" spans="1:9">
      <c r="A3009" s="22" t="str">
        <f>HYPERLINK("https://app.vivvix.com/360/KMI/IntelliDrive/ApplUI/Pages/CreativePages/CustomReportCreativeDetail.aspx?App=23&amp;ReportView=4&amp;Qid=1711279&amp;Row=3001&amp;Col=1","No Title Assigned - #15268202673")</f>
        <v/>
      </c>
      <c r="B3009" s="0" t="s">
        <v>4467</v>
      </c>
      <c r="E3009" s="0" t="inlineStr">
        <is>
          <t xml:space="preserve">Mazda</t>
        </is>
      </c>
      <c r="F3009" s="0" t="s">
        <v>28</v>
      </c>
      <c r="G3009" s="0" t="s">
        <v>29</v>
      </c>
      <c r="H3009" s="5">
        <v>9503.529300</v>
      </c>
    </row>
    <row r="3010" spans="1:9">
      <c r="A3010" s="22" t="str">
        <f>HYPERLINK("https://app.vivvix.com/360/KMI/IntelliDrive/ApplUI/Pages/CreativePages/CustomReportCreativeDetail.aspx?App=23&amp;ReportView=4&amp;Qid=1711279&amp;Row=3002&amp;Col=1","No Title Assigned - #15268202855")</f>
        <v/>
      </c>
      <c r="B3010" s="0" t="s">
        <v>4469</v>
      </c>
      <c r="E3010" s="0" t="inlineStr">
        <is>
          <t xml:space="preserve">Mazda</t>
        </is>
      </c>
      <c r="F3010" s="0" t="inlineStr">
        <is>
          <t xml:space="preserve">Mazda</t>
        </is>
      </c>
      <c r="G3010" s="0" t="s">
        <v>171</v>
      </c>
      <c r="H3010" s="5">
        <v>150.273000</v>
      </c>
    </row>
    <row r="3011" spans="1:9">
      <c r="A3011" s="22" t="str">
        <f>HYPERLINK("https://app.vivvix.com/360/KMI/IntelliDrive/ApplUI/Pages/CreativePages/CustomReportCreativeDetail.aspx?App=23&amp;ReportView=4&amp;Qid=1711279&amp;Row=3003&amp;Col=1","No Title Assigned - #15268203030")</f>
        <v/>
      </c>
      <c r="B3011" s="0" t="s">
        <v>4470</v>
      </c>
      <c r="C3011" s="0" t="s">
        <v>4471</v>
      </c>
      <c r="D3011" s="0" t="s">
        <v>4471</v>
      </c>
      <c r="E3011" s="0" t="inlineStr">
        <is>
          <t xml:space="preserve">Mazda</t>
        </is>
      </c>
      <c r="F3011" s="0" t="inlineStr">
        <is>
          <t xml:space="preserve">Mazda</t>
        </is>
      </c>
      <c r="G3011" s="0" t="s">
        <v>171</v>
      </c>
      <c r="H3011" s="5">
        <v>346.769200</v>
      </c>
    </row>
    <row r="3012" spans="1:9">
      <c r="A3012" s="22" t="str">
        <f>HYPERLINK("https://app.vivvix.com/360/KMI/IntelliDrive/ApplUI/Pages/CreativePages/CustomReportCreativeDetail.aspx?App=23&amp;ReportView=4&amp;Qid=1711279&amp;Row=3004&amp;Col=1","No Title Assigned - #15268203560")</f>
        <v/>
      </c>
      <c r="B3012" s="0" t="s">
        <v>4472</v>
      </c>
      <c r="C3012" s="0" t="s">
        <v>4473</v>
      </c>
      <c r="D3012" s="0" t="s">
        <v>4473</v>
      </c>
      <c r="E3012" s="0" t="inlineStr">
        <is>
          <t xml:space="preserve">Mazda</t>
        </is>
      </c>
      <c r="F3012" s="0" t="inlineStr">
        <is>
          <t xml:space="preserve">Mazda</t>
        </is>
      </c>
      <c r="G3012" s="0" t="s">
        <v>171</v>
      </c>
      <c r="H3012" s="5">
        <v>12448.305500</v>
      </c>
    </row>
    <row r="3013" spans="1:9">
      <c r="A3013" s="22" t="str">
        <f>HYPERLINK("https://app.vivvix.com/360/KMI/IntelliDrive/ApplUI/Pages/CreativePages/CustomReportCreativeDetail.aspx?App=23&amp;ReportView=4&amp;Qid=1711279&amp;Row=3005&amp;Col=1","No Title Assigned - #15268203560")</f>
        <v/>
      </c>
      <c r="B3013" s="0" t="s">
        <v>4472</v>
      </c>
      <c r="E3013" s="0" t="inlineStr">
        <is>
          <t xml:space="preserve">Mazda</t>
        </is>
      </c>
      <c r="F3013" s="0" t="inlineStr">
        <is>
          <t xml:space="preserve">Mazda</t>
        </is>
      </c>
      <c r="G3013" s="0" t="s">
        <v>171</v>
      </c>
      <c r="H3013" s="5">
        <v>9009.931600</v>
      </c>
    </row>
    <row r="3014" spans="1:9">
      <c r="A3014" s="22" t="str">
        <f>HYPERLINK("https://app.vivvix.com/360/KMI/IntelliDrive/ApplUI/Pages/CreativePages/CustomReportCreativeDetail.aspx?App=23&amp;ReportView=4&amp;Qid=1711279&amp;Row=3006&amp;Col=1","No Title Assigned - #15268203909")</f>
        <v/>
      </c>
      <c r="B3014" s="0" t="s">
        <v>4474</v>
      </c>
      <c r="E3014" s="0" t="inlineStr">
        <is>
          <t xml:space="preserve">Mazda</t>
        </is>
      </c>
      <c r="F3014" s="0" t="inlineStr">
        <is>
          <t xml:space="preserve">Mazda</t>
        </is>
      </c>
      <c r="G3014" s="0" t="s">
        <v>171</v>
      </c>
      <c r="H3014" s="5">
        <v>156.616800</v>
      </c>
    </row>
    <row r="3015" spans="1:9">
      <c r="A3015" s="22" t="str">
        <f>HYPERLINK("https://app.vivvix.com/360/KMI/IntelliDrive/ApplUI/Pages/CreativePages/CustomReportCreativeDetail.aspx?App=23&amp;ReportView=4&amp;Qid=1711279&amp;Row=3007&amp;Col=1","No Title Assigned - #15268203910")</f>
        <v/>
      </c>
      <c r="B3015" s="0" t="s">
        <v>4475</v>
      </c>
      <c r="E3015" s="0" t="inlineStr">
        <is>
          <t xml:space="preserve">Mazda</t>
        </is>
      </c>
      <c r="F3015" s="0" t="inlineStr">
        <is>
          <t xml:space="preserve">Mazda</t>
        </is>
      </c>
      <c r="G3015" s="0" t="s">
        <v>171</v>
      </c>
      <c r="H3015" s="5">
        <v>156.616800</v>
      </c>
    </row>
    <row r="3016" spans="1:9">
      <c r="A3016" s="22" t="str">
        <f>HYPERLINK("https://app.vivvix.com/360/KMI/IntelliDrive/ApplUI/Pages/CreativePages/CustomReportCreativeDetail.aspx?App=23&amp;ReportView=4&amp;Qid=1711279&amp;Row=3008&amp;Col=1","No Title Assigned - #15268204018")</f>
        <v/>
      </c>
      <c r="B3016" s="0" t="s">
        <v>4476</v>
      </c>
      <c r="E3016" s="0" t="inlineStr">
        <is>
          <t xml:space="preserve">Mazda</t>
        </is>
      </c>
      <c r="F3016" s="0" t="inlineStr">
        <is>
          <t xml:space="preserve">Mazda</t>
        </is>
      </c>
      <c r="G3016" s="0" t="s">
        <v>171</v>
      </c>
      <c r="H3016" s="5">
        <v>6852.178600</v>
      </c>
    </row>
    <row r="3017" spans="1:9">
      <c r="A3017" s="22" t="str">
        <f>HYPERLINK("https://app.vivvix.com/360/KMI/IntelliDrive/ApplUI/Pages/CreativePages/CustomReportCreativeDetail.aspx?App=23&amp;ReportView=4&amp;Qid=1711279&amp;Row=3009&amp;Col=1","No Title Assigned - #15268204077")</f>
        <v/>
      </c>
      <c r="B3017" s="0" t="s">
        <v>4477</v>
      </c>
      <c r="E3017" s="0" t="inlineStr">
        <is>
          <t xml:space="preserve">Mazda</t>
        </is>
      </c>
      <c r="F3017" s="0" t="inlineStr">
        <is>
          <t xml:space="preserve">Mazda</t>
        </is>
      </c>
      <c r="G3017" s="0" t="s">
        <v>171</v>
      </c>
      <c r="H3017" s="5">
        <v>12207.026500</v>
      </c>
    </row>
    <row r="3018" spans="1:9">
      <c r="A3018" s="22" t="str">
        <f>HYPERLINK("https://app.vivvix.com/360/KMI/IntelliDrive/ApplUI/Pages/CreativePages/CustomReportCreativeDetail.aspx?App=23&amp;ReportView=4&amp;Qid=1711279&amp;Row=3010&amp;Col=1","No Title Assigned - #15268204140")</f>
        <v/>
      </c>
      <c r="B3018" s="0" t="s">
        <v>4478</v>
      </c>
      <c r="E3018" s="0" t="inlineStr">
        <is>
          <t xml:space="preserve">Mazda</t>
        </is>
      </c>
      <c r="F3018" s="0" t="inlineStr">
        <is>
          <t xml:space="preserve">Mazda</t>
        </is>
      </c>
      <c r="G3018" s="0" t="s">
        <v>171</v>
      </c>
      <c r="H3018" s="5">
        <v>780.988500</v>
      </c>
    </row>
    <row r="3019" spans="1:9">
      <c r="A3019" s="22" t="str">
        <f>HYPERLINK("https://app.vivvix.com/360/KMI/IntelliDrive/ApplUI/Pages/CreativePages/CustomReportCreativeDetail.aspx?App=23&amp;ReportView=4&amp;Qid=1711279&amp;Row=3011&amp;Col=1","No Title Assigned - #15268204387")</f>
        <v/>
      </c>
      <c r="B3019" s="0" t="s">
        <v>4479</v>
      </c>
      <c r="E3019" s="0" t="inlineStr">
        <is>
          <t xml:space="preserve">Mazda</t>
        </is>
      </c>
      <c r="F3019" s="0" t="inlineStr">
        <is>
          <t xml:space="preserve">Mazda</t>
        </is>
      </c>
      <c r="G3019" s="0" t="s">
        <v>171</v>
      </c>
      <c r="H3019" s="5">
        <v>1859.345100</v>
      </c>
    </row>
    <row r="3020" spans="1:9">
      <c r="A3020" s="22" t="str">
        <f>HYPERLINK("https://app.vivvix.com/360/KMI/IntelliDrive/ApplUI/Pages/CreativePages/CustomReportCreativeDetail.aspx?App=23&amp;ReportView=4&amp;Qid=1711279&amp;Row=3012&amp;Col=1","No Title Assigned - #15268204387")</f>
        <v/>
      </c>
      <c r="B3020" s="0" t="s">
        <v>4479</v>
      </c>
      <c r="E3020" s="0" t="inlineStr">
        <is>
          <t xml:space="preserve">Mazda</t>
        </is>
      </c>
      <c r="F3020" s="0" t="inlineStr">
        <is>
          <t xml:space="preserve">Mazda</t>
        </is>
      </c>
      <c r="G3020" s="0" t="s">
        <v>171</v>
      </c>
      <c r="H3020" s="5">
        <v>1249.535200</v>
      </c>
    </row>
    <row r="3021" spans="1:9">
      <c r="A3021" s="22" t="str">
        <f>HYPERLINK("https://app.vivvix.com/360/KMI/IntelliDrive/ApplUI/Pages/CreativePages/CustomReportCreativeDetail.aspx?App=23&amp;ReportView=4&amp;Qid=1711279&amp;Row=3013&amp;Col=1","No Title Assigned - #15268205001")</f>
        <v/>
      </c>
      <c r="B3021" s="0" t="s">
        <v>4480</v>
      </c>
      <c r="E3021" s="0" t="inlineStr">
        <is>
          <t xml:space="preserve">Mazda</t>
        </is>
      </c>
      <c r="F3021" s="0" t="inlineStr">
        <is>
          <t xml:space="preserve">Mazda</t>
        </is>
      </c>
      <c r="G3021" s="0" t="s">
        <v>171</v>
      </c>
      <c r="H3021" s="5">
        <v>25.730500</v>
      </c>
    </row>
    <row r="3022" spans="1:9">
      <c r="A3022" s="22" t="str">
        <f>HYPERLINK("https://app.vivvix.com/360/KMI/IntelliDrive/ApplUI/Pages/CreativePages/CustomReportCreativeDetail.aspx?App=23&amp;ReportView=4&amp;Qid=1711279&amp;Row=3014&amp;Col=1","No Title Assigned - #15268205207")</f>
        <v/>
      </c>
      <c r="B3022" s="0" t="s">
        <v>4481</v>
      </c>
      <c r="C3022" s="0" t="s">
        <v>4482</v>
      </c>
      <c r="D3022" s="0" t="s">
        <v>4482</v>
      </c>
      <c r="E3022" s="0" t="inlineStr">
        <is>
          <t xml:space="preserve">Mazda</t>
        </is>
      </c>
      <c r="F3022" s="0" t="inlineStr">
        <is>
          <t xml:space="preserve">Mazda</t>
        </is>
      </c>
      <c r="G3022" s="0" t="s">
        <v>171</v>
      </c>
      <c r="H3022" s="5">
        <v>741.265500</v>
      </c>
    </row>
    <row r="3023" spans="1:9">
      <c r="A3023" s="22" t="str">
        <f>HYPERLINK("https://app.vivvix.com/360/KMI/IntelliDrive/ApplUI/Pages/CreativePages/CustomReportCreativeDetail.aspx?App=23&amp;ReportView=4&amp;Qid=1711279&amp;Row=3015&amp;Col=1","No Title Assigned - #15268205207")</f>
        <v/>
      </c>
      <c r="B3023" s="0" t="s">
        <v>4481</v>
      </c>
      <c r="E3023" s="0" t="inlineStr">
        <is>
          <t xml:space="preserve">Mazda</t>
        </is>
      </c>
      <c r="F3023" s="0" t="inlineStr">
        <is>
          <t xml:space="preserve">Mazda</t>
        </is>
      </c>
      <c r="G3023" s="0" t="s">
        <v>171</v>
      </c>
      <c r="H3023" s="5">
        <v>6416.534800</v>
      </c>
    </row>
    <row r="3024" spans="1:9">
      <c r="A3024" s="22" t="str">
        <f>HYPERLINK("https://app.vivvix.com/360/KMI/IntelliDrive/ApplUI/Pages/CreativePages/CustomReportCreativeDetail.aspx?App=23&amp;ReportView=4&amp;Qid=1711279&amp;Row=3016&amp;Col=1","No Title Assigned - #15268206395")</f>
        <v/>
      </c>
      <c r="B3024" s="0" t="s">
        <v>4483</v>
      </c>
      <c r="E3024" s="0" t="inlineStr">
        <is>
          <t xml:space="preserve">Mazda</t>
        </is>
      </c>
      <c r="F3024" s="0" t="inlineStr">
        <is>
          <t xml:space="preserve">Mazda</t>
        </is>
      </c>
      <c r="G3024" s="0" t="s">
        <v>171</v>
      </c>
      <c r="H3024" s="5">
        <v>415.333100</v>
      </c>
    </row>
    <row r="3025" spans="1:9">
      <c r="A3025" s="22" t="str">
        <f>HYPERLINK("https://app.vivvix.com/360/KMI/IntelliDrive/ApplUI/Pages/CreativePages/CustomReportCreativeDetail.aspx?App=23&amp;ReportView=4&amp;Qid=1711279&amp;Row=3017&amp;Col=1","No Title Assigned - #15268207178")</f>
        <v/>
      </c>
      <c r="B3025" s="0" t="s">
        <v>4484</v>
      </c>
      <c r="E3025" s="0" t="inlineStr">
        <is>
          <t xml:space="preserve">Mazda</t>
        </is>
      </c>
      <c r="F3025" s="0" t="inlineStr">
        <is>
          <t xml:space="preserve">Mazda</t>
        </is>
      </c>
      <c r="G3025" s="0" t="s">
        <v>171</v>
      </c>
      <c r="H3025" s="5">
        <v>3356.068400</v>
      </c>
    </row>
    <row r="3026" spans="1:9">
      <c r="A3026" s="22" t="str">
        <f>HYPERLINK("https://app.vivvix.com/360/KMI/IntelliDrive/ApplUI/Pages/CreativePages/CustomReportCreativeDetail.aspx?App=23&amp;ReportView=4&amp;Qid=1711279&amp;Row=3018&amp;Col=1","No Title Assigned - #15268207240")</f>
        <v/>
      </c>
      <c r="B3026" s="0" t="s">
        <v>4485</v>
      </c>
      <c r="E3026" s="0" t="inlineStr">
        <is>
          <t xml:space="preserve">Mazda</t>
        </is>
      </c>
      <c r="F3026" s="0" t="inlineStr">
        <is>
          <t xml:space="preserve">Mazda</t>
        </is>
      </c>
      <c r="G3026" s="0" t="s">
        <v>171</v>
      </c>
      <c r="H3026" s="5">
        <v>3104.548500</v>
      </c>
    </row>
    <row r="3027" spans="1:9">
      <c r="A3027" s="22" t="str">
        <f>HYPERLINK("https://app.vivvix.com/360/KMI/IntelliDrive/ApplUI/Pages/CreativePages/CustomReportCreativeDetail.aspx?App=23&amp;ReportView=4&amp;Qid=1711279&amp;Row=3019&amp;Col=1","No Title Assigned - #15268207240")</f>
        <v/>
      </c>
      <c r="B3027" s="0" t="s">
        <v>4485</v>
      </c>
      <c r="E3027" s="0" t="inlineStr">
        <is>
          <t xml:space="preserve">Mazda</t>
        </is>
      </c>
      <c r="F3027" s="0" t="inlineStr">
        <is>
          <t xml:space="preserve">Mazda</t>
        </is>
      </c>
      <c r="G3027" s="0" t="s">
        <v>171</v>
      </c>
      <c r="H3027" s="5">
        <v>168.989500</v>
      </c>
    </row>
    <row r="3028" spans="1:9">
      <c r="A3028" s="22" t="str">
        <f>HYPERLINK("https://app.vivvix.com/360/KMI/IntelliDrive/ApplUI/Pages/CreativePages/CustomReportCreativeDetail.aspx?App=23&amp;ReportView=4&amp;Qid=1711279&amp;Row=3020&amp;Col=1","No Title Assigned - #15268207576")</f>
        <v/>
      </c>
      <c r="B3028" s="0" t="s">
        <v>4486</v>
      </c>
      <c r="C3028" s="0" t="s">
        <v>4487</v>
      </c>
      <c r="D3028" s="0" t="s">
        <v>4487</v>
      </c>
      <c r="E3028" s="0" t="inlineStr">
        <is>
          <t xml:space="preserve">Mazda</t>
        </is>
      </c>
      <c r="F3028" s="0" t="inlineStr">
        <is>
          <t xml:space="preserve">Mazda</t>
        </is>
      </c>
      <c r="G3028" s="0" t="s">
        <v>171</v>
      </c>
      <c r="H3028" s="5">
        <v>1822.819100</v>
      </c>
    </row>
    <row r="3029" spans="1:9">
      <c r="A3029" s="22" t="str">
        <f>HYPERLINK("https://app.vivvix.com/360/KMI/IntelliDrive/ApplUI/Pages/CreativePages/CustomReportCreativeDetail.aspx?App=23&amp;ReportView=4&amp;Qid=1711279&amp;Row=3021&amp;Col=1","No Title Assigned - #15268207576")</f>
        <v/>
      </c>
      <c r="B3029" s="0" t="s">
        <v>4486</v>
      </c>
      <c r="E3029" s="0" t="inlineStr">
        <is>
          <t xml:space="preserve">Mazda</t>
        </is>
      </c>
      <c r="F3029" s="0" t="inlineStr">
        <is>
          <t xml:space="preserve">Mazda</t>
        </is>
      </c>
      <c r="G3029" s="0" t="s">
        <v>171</v>
      </c>
      <c r="H3029" s="5">
        <v>3767.439900</v>
      </c>
    </row>
    <row r="3030" spans="1:9">
      <c r="A3030" s="22" t="str">
        <f>HYPERLINK("https://app.vivvix.com/360/KMI/IntelliDrive/ApplUI/Pages/CreativePages/CustomReportCreativeDetail.aspx?App=23&amp;ReportView=4&amp;Qid=1711279&amp;Row=3022&amp;Col=1","No Title Assigned - #15268207719")</f>
        <v/>
      </c>
      <c r="B3030" s="0" t="s">
        <v>4488</v>
      </c>
      <c r="E3030" s="0" t="inlineStr">
        <is>
          <t xml:space="preserve">Mazda</t>
        </is>
      </c>
      <c r="F3030" s="0" t="inlineStr">
        <is>
          <t xml:space="preserve">Mazda</t>
        </is>
      </c>
      <c r="G3030" s="0" t="s">
        <v>171</v>
      </c>
      <c r="H3030" s="5">
        <v>1107.935500</v>
      </c>
    </row>
    <row r="3031" spans="1:9">
      <c r="A3031" s="22" t="str">
        <f>HYPERLINK("https://app.vivvix.com/360/KMI/IntelliDrive/ApplUI/Pages/CreativePages/CustomReportCreativeDetail.aspx?App=23&amp;ReportView=4&amp;Qid=1711279&amp;Row=3023&amp;Col=1","No Title Assigned - #15268207771")</f>
        <v/>
      </c>
      <c r="B3031" s="0" t="s">
        <v>4489</v>
      </c>
      <c r="E3031" s="0" t="inlineStr">
        <is>
          <t xml:space="preserve">Mazda</t>
        </is>
      </c>
      <c r="F3031" s="0" t="inlineStr">
        <is>
          <t xml:space="preserve">Mazda</t>
        </is>
      </c>
      <c r="G3031" s="0" t="s">
        <v>171</v>
      </c>
      <c r="H3031" s="5">
        <v>649.618500</v>
      </c>
    </row>
    <row r="3032" spans="1:9">
      <c r="A3032" s="22" t="str">
        <f>HYPERLINK("https://app.vivvix.com/360/KMI/IntelliDrive/ApplUI/Pages/CreativePages/CustomReportCreativeDetail.aspx?App=23&amp;ReportView=4&amp;Qid=1711279&amp;Row=3024&amp;Col=1","No Title Assigned - #15268207774")</f>
        <v/>
      </c>
      <c r="B3032" s="0" t="s">
        <v>4490</v>
      </c>
      <c r="E3032" s="0" t="inlineStr">
        <is>
          <t xml:space="preserve">Mazda</t>
        </is>
      </c>
      <c r="F3032" s="0" t="inlineStr">
        <is>
          <t xml:space="preserve">Mazda</t>
        </is>
      </c>
      <c r="G3032" s="0" t="s">
        <v>171</v>
      </c>
      <c r="H3032" s="5">
        <v>617.069000</v>
      </c>
    </row>
    <row r="3033" spans="1:9">
      <c r="A3033" s="22" t="str">
        <f>HYPERLINK("https://app.vivvix.com/360/KMI/IntelliDrive/ApplUI/Pages/CreativePages/CustomReportCreativeDetail.aspx?App=23&amp;ReportView=4&amp;Qid=1711279&amp;Row=3025&amp;Col=1","No Title Assigned - #15268209111")</f>
        <v/>
      </c>
      <c r="B3033" s="0" t="s">
        <v>4491</v>
      </c>
      <c r="E3033" s="0" t="inlineStr">
        <is>
          <t xml:space="preserve">Mazda</t>
        </is>
      </c>
      <c r="F3033" s="0" t="inlineStr">
        <is>
          <t xml:space="preserve">Mazda</t>
        </is>
      </c>
      <c r="G3033" s="0" t="s">
        <v>171</v>
      </c>
      <c r="H3033" s="5">
        <v>435.791400</v>
      </c>
    </row>
    <row r="3034" spans="1:9">
      <c r="A3034" s="22" t="str">
        <f>HYPERLINK("https://app.vivvix.com/360/KMI/IntelliDrive/ApplUI/Pages/CreativePages/CustomReportCreativeDetail.aspx?App=23&amp;ReportView=4&amp;Qid=1711279&amp;Row=3026&amp;Col=1","No Title Assigned - #15268210012")</f>
        <v/>
      </c>
      <c r="B3034" s="0" t="s">
        <v>4492</v>
      </c>
      <c r="E3034" s="0" t="inlineStr">
        <is>
          <t xml:space="preserve">Mazda</t>
        </is>
      </c>
      <c r="F3034" s="0" t="inlineStr">
        <is>
          <t xml:space="preserve">Mazda</t>
        </is>
      </c>
      <c r="G3034" s="0" t="s">
        <v>171</v>
      </c>
      <c r="H3034" s="5">
        <v>145.255100</v>
      </c>
    </row>
    <row r="3035" spans="1:9">
      <c r="A3035" s="22" t="str">
        <f>HYPERLINK("https://app.vivvix.com/360/KMI/IntelliDrive/ApplUI/Pages/CreativePages/CustomReportCreativeDetail.aspx?App=23&amp;ReportView=4&amp;Qid=1711279&amp;Row=3027&amp;Col=1","No Title Assigned - #15268210321")</f>
        <v/>
      </c>
      <c r="B3035" s="0" t="s">
        <v>4493</v>
      </c>
      <c r="C3035" s="0" t="s">
        <v>4494</v>
      </c>
      <c r="D3035" s="0" t="s">
        <v>4494</v>
      </c>
      <c r="E3035" s="0" t="inlineStr">
        <is>
          <t xml:space="preserve">Mazda</t>
        </is>
      </c>
      <c r="F3035" s="0" t="inlineStr">
        <is>
          <t xml:space="preserve">Mazda</t>
        </is>
      </c>
      <c r="G3035" s="0" t="s">
        <v>210</v>
      </c>
      <c r="H3035" s="5">
        <v>24581.824800</v>
      </c>
    </row>
    <row r="3036" spans="1:9">
      <c r="A3036" s="22" t="str">
        <f>HYPERLINK("https://app.vivvix.com/360/KMI/IntelliDrive/ApplUI/Pages/CreativePages/CustomReportCreativeDetail.aspx?App=23&amp;ReportView=4&amp;Qid=1711279&amp;Row=3028&amp;Col=1","No Title Assigned - #15268210621")</f>
        <v/>
      </c>
      <c r="B3036" s="0" t="s">
        <v>4495</v>
      </c>
      <c r="E3036" s="0" t="inlineStr">
        <is>
          <t xml:space="preserve">Mazda</t>
        </is>
      </c>
      <c r="F3036" s="0" t="inlineStr">
        <is>
          <t xml:space="preserve">Mazda</t>
        </is>
      </c>
      <c r="G3036" s="0" t="s">
        <v>171</v>
      </c>
      <c r="H3036" s="5">
        <v>117.055100</v>
      </c>
    </row>
    <row r="3037" spans="1:9">
      <c r="A3037" s="22" t="str">
        <f>HYPERLINK("https://app.vivvix.com/360/KMI/IntelliDrive/ApplUI/Pages/CreativePages/CustomReportCreativeDetail.aspx?App=23&amp;ReportView=4&amp;Qid=1711279&amp;Row=3029&amp;Col=1","No Title Assigned - #15268210883")</f>
        <v/>
      </c>
      <c r="B3037" s="0" t="s">
        <v>4496</v>
      </c>
      <c r="E3037" s="0" t="inlineStr">
        <is>
          <t xml:space="preserve">Mazda</t>
        </is>
      </c>
      <c r="F3037" s="0" t="inlineStr">
        <is>
          <t xml:space="preserve">Mazda</t>
        </is>
      </c>
      <c r="G3037" s="0" t="s">
        <v>171</v>
      </c>
      <c r="H3037" s="5">
        <v>2346.662600</v>
      </c>
    </row>
    <row r="3038" spans="1:9">
      <c r="A3038" s="22" t="str">
        <f>HYPERLINK("https://app.vivvix.com/360/KMI/IntelliDrive/ApplUI/Pages/CreativePages/CustomReportCreativeDetail.aspx?App=23&amp;ReportView=4&amp;Qid=1711279&amp;Row=3030&amp;Col=1","No Title Assigned - #15268210883")</f>
        <v/>
      </c>
      <c r="B3038" s="0" t="s">
        <v>4496</v>
      </c>
      <c r="E3038" s="0" t="inlineStr">
        <is>
          <t xml:space="preserve">Mazda</t>
        </is>
      </c>
      <c r="F3038" s="0" t="inlineStr">
        <is>
          <t xml:space="preserve">Mazda</t>
        </is>
      </c>
      <c r="G3038" s="0" t="s">
        <v>171</v>
      </c>
      <c r="H3038" s="5">
        <v>140.457800</v>
      </c>
    </row>
    <row r="3039" spans="1:9">
      <c r="A3039" s="22" t="str">
        <f>HYPERLINK("https://app.vivvix.com/360/KMI/IntelliDrive/ApplUI/Pages/CreativePages/CustomReportCreativeDetail.aspx?App=23&amp;ReportView=4&amp;Qid=1711279&amp;Row=3031&amp;Col=1","No Title Assigned - #15268210949")</f>
        <v/>
      </c>
      <c r="B3039" s="0" t="s">
        <v>4497</v>
      </c>
      <c r="E3039" s="0" t="inlineStr">
        <is>
          <t xml:space="preserve">Mazda</t>
        </is>
      </c>
      <c r="F3039" s="0" t="inlineStr">
        <is>
          <t xml:space="preserve">Mazda</t>
        </is>
      </c>
      <c r="G3039" s="0" t="s">
        <v>171</v>
      </c>
      <c r="H3039" s="5">
        <v>327.565400</v>
      </c>
    </row>
    <row r="3040" spans="1:9">
      <c r="A3040" s="22" t="str">
        <f>HYPERLINK("https://app.vivvix.com/360/KMI/IntelliDrive/ApplUI/Pages/CreativePages/CustomReportCreativeDetail.aspx?App=23&amp;ReportView=4&amp;Qid=1711279&amp;Row=3032&amp;Col=1","No Title Assigned - #15268211300")</f>
        <v/>
      </c>
      <c r="B3040" s="0" t="s">
        <v>4498</v>
      </c>
      <c r="E3040" s="0" t="inlineStr">
        <is>
          <t xml:space="preserve">Mazda</t>
        </is>
      </c>
      <c r="F3040" s="0" t="inlineStr">
        <is>
          <t xml:space="preserve">Mazda</t>
        </is>
      </c>
      <c r="G3040" s="0" t="s">
        <v>171</v>
      </c>
      <c r="H3040" s="5">
        <v>888.324000</v>
      </c>
    </row>
    <row r="3041" spans="1:9">
      <c r="A3041" s="22" t="str">
        <f>HYPERLINK("https://app.vivvix.com/360/KMI/IntelliDrive/ApplUI/Pages/CreativePages/CustomReportCreativeDetail.aspx?App=23&amp;ReportView=4&amp;Qid=1711279&amp;Row=3033&amp;Col=1","No Title Assigned - #15268211864")</f>
        <v/>
      </c>
      <c r="B3041" s="0" t="s">
        <v>4499</v>
      </c>
      <c r="E3041" s="0" t="inlineStr">
        <is>
          <t xml:space="preserve">Mazda</t>
        </is>
      </c>
      <c r="F3041" s="0" t="inlineStr">
        <is>
          <t xml:space="preserve">Mazda</t>
        </is>
      </c>
      <c r="G3041" s="0" t="s">
        <v>171</v>
      </c>
      <c r="H3041" s="5">
        <v>327.565400</v>
      </c>
    </row>
    <row r="3042" spans="1:9">
      <c r="A3042" s="22" t="str">
        <f>HYPERLINK("https://app.vivvix.com/360/KMI/IntelliDrive/ApplUI/Pages/CreativePages/CustomReportCreativeDetail.aspx?App=23&amp;ReportView=4&amp;Qid=1711279&amp;Row=3034&amp;Col=1","No Title Assigned - #15268212350")</f>
        <v/>
      </c>
      <c r="B3042" s="0" t="s">
        <v>4500</v>
      </c>
      <c r="C3042" s="0" t="s">
        <v>4501</v>
      </c>
      <c r="D3042" s="0" t="s">
        <v>4501</v>
      </c>
      <c r="E3042" s="0" t="inlineStr">
        <is>
          <t xml:space="preserve">Mazda</t>
        </is>
      </c>
      <c r="F3042" s="0" t="inlineStr">
        <is>
          <t xml:space="preserve">Mazda</t>
        </is>
      </c>
      <c r="G3042" s="0" t="s">
        <v>171</v>
      </c>
      <c r="H3042" s="5">
        <v>390.213700</v>
      </c>
    </row>
    <row r="3043" spans="1:9">
      <c r="A3043" s="22" t="str">
        <f>HYPERLINK("https://app.vivvix.com/360/KMI/IntelliDrive/ApplUI/Pages/CreativePages/CustomReportCreativeDetail.aspx?App=23&amp;ReportView=4&amp;Qid=1711279&amp;Row=3035&amp;Col=1","No Title Assigned - #15268212403")</f>
        <v/>
      </c>
      <c r="B3043" s="0" t="s">
        <v>4502</v>
      </c>
      <c r="E3043" s="0" t="inlineStr">
        <is>
          <t xml:space="preserve">Mazda</t>
        </is>
      </c>
      <c r="F3043" s="0" t="inlineStr">
        <is>
          <t xml:space="preserve">Mazda</t>
        </is>
      </c>
      <c r="G3043" s="0" t="s">
        <v>171</v>
      </c>
      <c r="H3043" s="5">
        <v>692.727100</v>
      </c>
    </row>
    <row r="3044" spans="1:9">
      <c r="A3044" s="22" t="str">
        <f>HYPERLINK("https://app.vivvix.com/360/KMI/IntelliDrive/ApplUI/Pages/CreativePages/CustomReportCreativeDetail.aspx?App=23&amp;ReportView=4&amp;Qid=1711279&amp;Row=3036&amp;Col=1","No Title Assigned - #15268212602")</f>
        <v/>
      </c>
      <c r="B3044" s="0" t="s">
        <v>4503</v>
      </c>
      <c r="E3044" s="0" t="inlineStr">
        <is>
          <t xml:space="preserve">Mazda</t>
        </is>
      </c>
      <c r="F3044" s="0" t="inlineStr">
        <is>
          <t xml:space="preserve">Mazda</t>
        </is>
      </c>
      <c r="G3044" s="0" t="s">
        <v>171</v>
      </c>
      <c r="H3044" s="5">
        <v>396382.686400</v>
      </c>
    </row>
    <row r="3045" spans="1:9">
      <c r="A3045" s="22" t="str">
        <f>HYPERLINK("https://app.vivvix.com/360/KMI/IntelliDrive/ApplUI/Pages/CreativePages/CustomReportCreativeDetail.aspx?App=23&amp;ReportView=4&amp;Qid=1711279&amp;Row=3037&amp;Col=1","No Title Assigned - #15268212655")</f>
        <v/>
      </c>
      <c r="B3045" s="0" t="s">
        <v>4504</v>
      </c>
      <c r="C3045" s="0" t="s">
        <v>4505</v>
      </c>
      <c r="D3045" s="0" t="s">
        <v>4505</v>
      </c>
      <c r="E3045" s="0" t="inlineStr">
        <is>
          <t xml:space="preserve">Mazda</t>
        </is>
      </c>
      <c r="F3045" s="0" t="inlineStr">
        <is>
          <t xml:space="preserve">Mazda</t>
        </is>
      </c>
      <c r="G3045" s="0" t="s">
        <v>171</v>
      </c>
      <c r="H3045" s="5">
        <v>395.458600</v>
      </c>
    </row>
    <row r="3046" spans="1:9">
      <c r="A3046" s="22" t="str">
        <f>HYPERLINK("https://app.vivvix.com/360/KMI/IntelliDrive/ApplUI/Pages/CreativePages/CustomReportCreativeDetail.aspx?App=23&amp;ReportView=4&amp;Qid=1711279&amp;Row=3038&amp;Col=1","No Title Assigned - #15268212680")</f>
        <v/>
      </c>
      <c r="B3046" s="0" t="s">
        <v>4506</v>
      </c>
      <c r="E3046" s="0" t="inlineStr">
        <is>
          <t xml:space="preserve">Mazda</t>
        </is>
      </c>
      <c r="F3046" s="0" t="inlineStr">
        <is>
          <t xml:space="preserve">Mazda</t>
        </is>
      </c>
      <c r="G3046" s="0" t="s">
        <v>171</v>
      </c>
      <c r="H3046" s="5">
        <v>211.866600</v>
      </c>
    </row>
    <row r="3047" spans="1:9">
      <c r="A3047" s="22" t="str">
        <f>HYPERLINK("https://app.vivvix.com/360/KMI/IntelliDrive/ApplUI/Pages/CreativePages/CustomReportCreativeDetail.aspx?App=23&amp;ReportView=4&amp;Qid=1711279&amp;Row=3039&amp;Col=1","No Title Assigned - #15268212685")</f>
        <v/>
      </c>
      <c r="B3047" s="0" t="s">
        <v>4507</v>
      </c>
      <c r="E3047" s="0" t="inlineStr">
        <is>
          <t xml:space="preserve">Mazda</t>
        </is>
      </c>
      <c r="F3047" s="0" t="inlineStr">
        <is>
          <t xml:space="preserve">Mazda</t>
        </is>
      </c>
      <c r="G3047" s="0" t="s">
        <v>171</v>
      </c>
      <c r="H3047" s="5">
        <v>800.765600</v>
      </c>
    </row>
    <row r="3048" spans="1:9">
      <c r="A3048" s="22" t="str">
        <f>HYPERLINK("https://app.vivvix.com/360/KMI/IntelliDrive/ApplUI/Pages/CreativePages/CustomReportCreativeDetail.aspx?App=23&amp;ReportView=4&amp;Qid=1711279&amp;Row=3040&amp;Col=1","No Title Assigned - #15268212720")</f>
        <v/>
      </c>
      <c r="B3048" s="0" t="s">
        <v>4508</v>
      </c>
      <c r="C3048" s="0" t="s">
        <v>4509</v>
      </c>
      <c r="D3048" s="0" t="s">
        <v>4509</v>
      </c>
      <c r="E3048" s="0" t="inlineStr">
        <is>
          <t xml:space="preserve">Mazda</t>
        </is>
      </c>
      <c r="F3048" s="0" t="inlineStr">
        <is>
          <t xml:space="preserve">Mazda</t>
        </is>
      </c>
      <c r="G3048" s="0" t="s">
        <v>171</v>
      </c>
      <c r="H3048" s="5">
        <v>614.426400</v>
      </c>
    </row>
    <row r="3049" spans="1:9">
      <c r="A3049" s="22" t="str">
        <f>HYPERLINK("https://app.vivvix.com/360/KMI/IntelliDrive/ApplUI/Pages/CreativePages/CustomReportCreativeDetail.aspx?App=23&amp;ReportView=4&amp;Qid=1711279&amp;Row=3041&amp;Col=1","No Title Assigned - #15268212749")</f>
        <v/>
      </c>
      <c r="B3049" s="0" t="s">
        <v>4510</v>
      </c>
      <c r="E3049" s="0" t="inlineStr">
        <is>
          <t xml:space="preserve">Mazda</t>
        </is>
      </c>
      <c r="F3049" s="0" t="inlineStr">
        <is>
          <t xml:space="preserve">Mazda</t>
        </is>
      </c>
      <c r="G3049" s="0" t="s">
        <v>171</v>
      </c>
      <c r="H3049" s="5">
        <v>54.922300</v>
      </c>
    </row>
    <row r="3050" spans="1:9">
      <c r="A3050" s="22" t="str">
        <f>HYPERLINK("https://app.vivvix.com/360/KMI/IntelliDrive/ApplUI/Pages/CreativePages/CustomReportCreativeDetail.aspx?App=23&amp;ReportView=4&amp;Qid=1711279&amp;Row=3042&amp;Col=1","No Title Assigned - #15268212937")</f>
        <v/>
      </c>
      <c r="B3050" s="0" t="s">
        <v>4511</v>
      </c>
      <c r="E3050" s="0" t="inlineStr">
        <is>
          <t xml:space="preserve">Mazda</t>
        </is>
      </c>
      <c r="F3050" s="0" t="inlineStr">
        <is>
          <t xml:space="preserve">Mazda</t>
        </is>
      </c>
      <c r="G3050" s="0" t="s">
        <v>171</v>
      </c>
      <c r="H3050" s="5">
        <v>628.004300</v>
      </c>
    </row>
    <row r="3051" spans="1:9">
      <c r="A3051" s="22" t="str">
        <f>HYPERLINK("https://app.vivvix.com/360/KMI/IntelliDrive/ApplUI/Pages/CreativePages/CustomReportCreativeDetail.aspx?App=23&amp;ReportView=4&amp;Qid=1711279&amp;Row=3043&amp;Col=1","No Title Assigned - #15268213128")</f>
        <v/>
      </c>
      <c r="B3051" s="0" t="s">
        <v>4512</v>
      </c>
      <c r="E3051" s="0" t="inlineStr">
        <is>
          <t xml:space="preserve">Mazda</t>
        </is>
      </c>
      <c r="F3051" s="0" t="inlineStr">
        <is>
          <t xml:space="preserve">Mazda</t>
        </is>
      </c>
      <c r="G3051" s="0" t="s">
        <v>171</v>
      </c>
      <c r="H3051" s="5">
        <v>55341.812700</v>
      </c>
    </row>
    <row r="3052" spans="1:9">
      <c r="A3052" s="22" t="str">
        <f>HYPERLINK("https://app.vivvix.com/360/KMI/IntelliDrive/ApplUI/Pages/CreativePages/CustomReportCreativeDetail.aspx?App=23&amp;ReportView=4&amp;Qid=1711279&amp;Row=3044&amp;Col=1","No Title Assigned - #15268213128")</f>
        <v/>
      </c>
      <c r="B3052" s="0" t="s">
        <v>4512</v>
      </c>
      <c r="E3052" s="0" t="inlineStr">
        <is>
          <t xml:space="preserve">Mazda</t>
        </is>
      </c>
      <c r="F3052" s="0" t="inlineStr">
        <is>
          <t xml:space="preserve">Mazda</t>
        </is>
      </c>
      <c r="G3052" s="0" t="s">
        <v>171</v>
      </c>
      <c r="H3052" s="5">
        <v>2847.639700</v>
      </c>
    </row>
    <row r="3053" spans="1:9">
      <c r="A3053" s="22" t="str">
        <f>HYPERLINK("https://app.vivvix.com/360/KMI/IntelliDrive/ApplUI/Pages/CreativePages/CustomReportCreativeDetail.aspx?App=23&amp;ReportView=4&amp;Qid=1711279&amp;Row=3045&amp;Col=1","No Title Assigned - #15268215378")</f>
        <v/>
      </c>
      <c r="B3053" s="0" t="s">
        <v>4513</v>
      </c>
      <c r="E3053" s="0" t="inlineStr">
        <is>
          <t xml:space="preserve">Mazda</t>
        </is>
      </c>
      <c r="F3053" s="0" t="s">
        <v>21</v>
      </c>
      <c r="G3053" s="0" t="s">
        <v>22</v>
      </c>
      <c r="H3053" s="5">
        <v>471.476100</v>
      </c>
    </row>
    <row r="3054" spans="1:9">
      <c r="A3054" s="22" t="str">
        <f>HYPERLINK("https://app.vivvix.com/360/KMI/IntelliDrive/ApplUI/Pages/CreativePages/CustomReportCreativeDetail.aspx?App=23&amp;ReportView=4&amp;Qid=1711279&amp;Row=3046&amp;Col=1","No Title Assigned - #15268215379")</f>
        <v/>
      </c>
      <c r="B3054" s="0" t="s">
        <v>4514</v>
      </c>
      <c r="E3054" s="0" t="inlineStr">
        <is>
          <t xml:space="preserve">Mazda</t>
        </is>
      </c>
      <c r="F3054" s="0" t="s">
        <v>21</v>
      </c>
      <c r="G3054" s="0" t="s">
        <v>22</v>
      </c>
      <c r="H3054" s="5">
        <v>644.248600</v>
      </c>
    </row>
    <row r="3055" spans="1:9">
      <c r="A3055" s="22" t="str">
        <f>HYPERLINK("https://app.vivvix.com/360/KMI/IntelliDrive/ApplUI/Pages/CreativePages/CustomReportCreativeDetail.aspx?App=23&amp;ReportView=4&amp;Qid=1711279&amp;Row=3047&amp;Col=1","No Title Assigned - #15268215563")</f>
        <v/>
      </c>
      <c r="B3055" s="0" t="s">
        <v>4515</v>
      </c>
      <c r="E3055" s="0" t="inlineStr">
        <is>
          <t xml:space="preserve">Mazda</t>
        </is>
      </c>
      <c r="F3055" s="0" t="inlineStr">
        <is>
          <t xml:space="preserve">Mazda</t>
        </is>
      </c>
      <c r="G3055" s="0" t="s">
        <v>171</v>
      </c>
      <c r="H3055" s="5">
        <v>4671.931900</v>
      </c>
    </row>
    <row r="3056" spans="1:9">
      <c r="A3056" s="22" t="str">
        <f>HYPERLINK("https://app.vivvix.com/360/KMI/IntelliDrive/ApplUI/Pages/CreativePages/CustomReportCreativeDetail.aspx?App=23&amp;ReportView=4&amp;Qid=1711279&amp;Row=3048&amp;Col=1","No Title Assigned - #15268215654")</f>
        <v/>
      </c>
      <c r="B3056" s="0" t="s">
        <v>4516</v>
      </c>
      <c r="E3056" s="0" t="inlineStr">
        <is>
          <t xml:space="preserve">Mazda</t>
        </is>
      </c>
      <c r="F3056" s="0" t="inlineStr">
        <is>
          <t xml:space="preserve">Mazda</t>
        </is>
      </c>
      <c r="G3056" s="0" t="s">
        <v>171</v>
      </c>
      <c r="H3056" s="5">
        <v>2453.472700</v>
      </c>
    </row>
    <row r="3057" spans="1:9">
      <c r="A3057" s="22" t="str">
        <f>HYPERLINK("https://app.vivvix.com/360/KMI/IntelliDrive/ApplUI/Pages/CreativePages/CustomReportCreativeDetail.aspx?App=23&amp;ReportView=4&amp;Qid=1711279&amp;Row=3049&amp;Col=1","No Title Assigned - #15268216456")</f>
        <v/>
      </c>
      <c r="B3057" s="0" t="s">
        <v>4517</v>
      </c>
      <c r="C3057" s="0" t="s">
        <v>4518</v>
      </c>
      <c r="D3057" s="0" t="s">
        <v>4518</v>
      </c>
      <c r="E3057" s="0" t="inlineStr">
        <is>
          <t xml:space="preserve">Mazda</t>
        </is>
      </c>
      <c r="F3057" s="0" t="inlineStr">
        <is>
          <t xml:space="preserve">Mazda</t>
        </is>
      </c>
      <c r="G3057" s="0" t="s">
        <v>171</v>
      </c>
      <c r="H3057" s="5">
        <v>748.735600</v>
      </c>
    </row>
    <row r="3058" spans="1:9">
      <c r="A3058" s="22" t="str">
        <f>HYPERLINK("https://app.vivvix.com/360/KMI/IntelliDrive/ApplUI/Pages/CreativePages/CustomReportCreativeDetail.aspx?App=23&amp;ReportView=4&amp;Qid=1711279&amp;Row=3050&amp;Col=1","No Title Assigned - #15268216815")</f>
        <v/>
      </c>
      <c r="B3058" s="0" t="s">
        <v>4519</v>
      </c>
      <c r="C3058" s="0" t="s">
        <v>4520</v>
      </c>
      <c r="D3058" s="0" t="s">
        <v>4520</v>
      </c>
      <c r="E3058" s="0" t="inlineStr">
        <is>
          <t xml:space="preserve">Mazda</t>
        </is>
      </c>
      <c r="F3058" s="0" t="inlineStr">
        <is>
          <t xml:space="preserve">Mazda</t>
        </is>
      </c>
      <c r="G3058" s="0" t="s">
        <v>171</v>
      </c>
      <c r="H3058" s="5">
        <v>1087.115400</v>
      </c>
    </row>
    <row r="3059" spans="1:9">
      <c r="A3059" s="22" t="str">
        <f>HYPERLINK("https://app.vivvix.com/360/KMI/IntelliDrive/ApplUI/Pages/CreativePages/CustomReportCreativeDetail.aspx?App=23&amp;ReportView=4&amp;Qid=1711279&amp;Row=3051&amp;Col=1","No Title Assigned - #15268217016")</f>
        <v/>
      </c>
      <c r="B3059" s="0" t="s">
        <v>4521</v>
      </c>
      <c r="E3059" s="0" t="inlineStr">
        <is>
          <t xml:space="preserve">Mazda</t>
        </is>
      </c>
      <c r="F3059" s="0" t="inlineStr">
        <is>
          <t xml:space="preserve">Mazda</t>
        </is>
      </c>
      <c r="G3059" s="0" t="s">
        <v>171</v>
      </c>
      <c r="H3059" s="5">
        <v>1382.339900</v>
      </c>
    </row>
    <row r="3060" spans="1:9">
      <c r="A3060" s="22" t="str">
        <f>HYPERLINK("https://app.vivvix.com/360/KMI/IntelliDrive/ApplUI/Pages/CreativePages/CustomReportCreativeDetail.aspx?App=23&amp;ReportView=4&amp;Qid=1711279&amp;Row=3052&amp;Col=1","No Title Assigned - #15268217016")</f>
        <v/>
      </c>
      <c r="B3060" s="0" t="s">
        <v>4521</v>
      </c>
      <c r="E3060" s="0" t="inlineStr">
        <is>
          <t xml:space="preserve">Mazda</t>
        </is>
      </c>
      <c r="F3060" s="0" t="inlineStr">
        <is>
          <t xml:space="preserve">Mazda</t>
        </is>
      </c>
      <c r="G3060" s="0" t="s">
        <v>171</v>
      </c>
      <c r="H3060" s="5">
        <v>2500.420000</v>
      </c>
    </row>
    <row r="3061" spans="1:9">
      <c r="A3061" s="22" t="str">
        <f>HYPERLINK("https://app.vivvix.com/360/KMI/IntelliDrive/ApplUI/Pages/CreativePages/CustomReportCreativeDetail.aspx?App=23&amp;ReportView=4&amp;Qid=1711279&amp;Row=3053&amp;Col=1","No Title Assigned - #15268217017")</f>
        <v/>
      </c>
      <c r="B3061" s="0" t="s">
        <v>4522</v>
      </c>
      <c r="E3061" s="0" t="inlineStr">
        <is>
          <t xml:space="preserve">Mazda</t>
        </is>
      </c>
      <c r="F3061" s="0" t="inlineStr">
        <is>
          <t xml:space="preserve">Mazda</t>
        </is>
      </c>
      <c r="G3061" s="0" t="s">
        <v>171</v>
      </c>
      <c r="H3061" s="5">
        <v>617.255900</v>
      </c>
    </row>
    <row r="3062" spans="1:9">
      <c r="A3062" s="22" t="str">
        <f>HYPERLINK("https://app.vivvix.com/360/KMI/IntelliDrive/ApplUI/Pages/CreativePages/CustomReportCreativeDetail.aspx?App=23&amp;ReportView=4&amp;Qid=1711279&amp;Row=3054&amp;Col=1","No Title Assigned - #15268218433")</f>
        <v/>
      </c>
      <c r="B3062" s="0" t="s">
        <v>4523</v>
      </c>
      <c r="E3062" s="0" t="inlineStr">
        <is>
          <t xml:space="preserve">Mazda</t>
        </is>
      </c>
      <c r="F3062" s="0" t="inlineStr">
        <is>
          <t xml:space="preserve">Mazda</t>
        </is>
      </c>
      <c r="G3062" s="0" t="s">
        <v>171</v>
      </c>
      <c r="H3062" s="5">
        <v>1192.514100</v>
      </c>
    </row>
    <row r="3063" spans="1:9">
      <c r="A3063" s="22" t="str">
        <f>HYPERLINK("https://app.vivvix.com/360/KMI/IntelliDrive/ApplUI/Pages/CreativePages/CustomReportCreativeDetail.aspx?App=23&amp;ReportView=4&amp;Qid=1711279&amp;Row=3055&amp;Col=1","No Title Assigned - #15268218433")</f>
        <v/>
      </c>
      <c r="B3063" s="0" t="s">
        <v>4523</v>
      </c>
      <c r="E3063" s="0" t="inlineStr">
        <is>
          <t xml:space="preserve">Mazda</t>
        </is>
      </c>
      <c r="F3063" s="0" t="inlineStr">
        <is>
          <t xml:space="preserve">Mazda</t>
        </is>
      </c>
      <c r="G3063" s="0" t="s">
        <v>171</v>
      </c>
      <c r="H3063" s="5">
        <v>672.947000</v>
      </c>
    </row>
    <row r="3064" spans="1:9">
      <c r="A3064" s="22" t="str">
        <f>HYPERLINK("https://app.vivvix.com/360/KMI/IntelliDrive/ApplUI/Pages/CreativePages/CustomReportCreativeDetail.aspx?App=23&amp;ReportView=4&amp;Qid=1711279&amp;Row=3056&amp;Col=1","No Title Assigned - #15268219416")</f>
        <v/>
      </c>
      <c r="B3064" s="0" t="s">
        <v>4524</v>
      </c>
      <c r="E3064" s="0" t="inlineStr">
        <is>
          <t xml:space="preserve">Mazda</t>
        </is>
      </c>
      <c r="F3064" s="0" t="inlineStr">
        <is>
          <t xml:space="preserve">Mazda</t>
        </is>
      </c>
      <c r="G3064" s="0" t="s">
        <v>171</v>
      </c>
      <c r="H3064" s="5">
        <v>1187.281600</v>
      </c>
    </row>
    <row r="3065" spans="1:9">
      <c r="A3065" s="22" t="str">
        <f>HYPERLINK("https://app.vivvix.com/360/KMI/IntelliDrive/ApplUI/Pages/CreativePages/CustomReportCreativeDetail.aspx?App=23&amp;ReportView=4&amp;Qid=1711279&amp;Row=3057&amp;Col=1","No Title Assigned - #15268220252")</f>
        <v/>
      </c>
      <c r="B3065" s="0" t="s">
        <v>4525</v>
      </c>
      <c r="E3065" s="0" t="inlineStr">
        <is>
          <t xml:space="preserve">Mazda</t>
        </is>
      </c>
      <c r="F3065" s="0" t="inlineStr">
        <is>
          <t xml:space="preserve">Mazda</t>
        </is>
      </c>
      <c r="G3065" s="0" t="s">
        <v>171</v>
      </c>
      <c r="H3065" s="5">
        <v>5629.402500</v>
      </c>
    </row>
    <row r="3066" spans="1:9">
      <c r="A3066" s="22" t="str">
        <f>HYPERLINK("https://app.vivvix.com/360/KMI/IntelliDrive/ApplUI/Pages/CreativePages/CustomReportCreativeDetail.aspx?App=23&amp;ReportView=4&amp;Qid=1711279&amp;Row=3058&amp;Col=1","No Title Assigned - #15268220621")</f>
        <v/>
      </c>
      <c r="B3066" s="0" t="s">
        <v>4526</v>
      </c>
      <c r="E3066" s="0" t="inlineStr">
        <is>
          <t xml:space="preserve">Mazda</t>
        </is>
      </c>
      <c r="F3066" s="0" t="inlineStr">
        <is>
          <t xml:space="preserve">Mazda</t>
        </is>
      </c>
      <c r="G3066" s="0" t="s">
        <v>171</v>
      </c>
      <c r="H3066" s="5">
        <v>653.218000</v>
      </c>
    </row>
    <row r="3067" spans="1:9">
      <c r="A3067" s="22" t="str">
        <f>HYPERLINK("https://app.vivvix.com/360/KMI/IntelliDrive/ApplUI/Pages/CreativePages/CustomReportCreativeDetail.aspx?App=23&amp;ReportView=4&amp;Qid=1711279&amp;Row=3059&amp;Col=1","No Title Assigned - #15268221227")</f>
        <v/>
      </c>
      <c r="B3067" s="0" t="s">
        <v>4527</v>
      </c>
      <c r="E3067" s="0" t="inlineStr">
        <is>
          <t xml:space="preserve">Mazda</t>
        </is>
      </c>
      <c r="F3067" s="0" t="inlineStr">
        <is>
          <t xml:space="preserve">Mazda</t>
        </is>
      </c>
      <c r="G3067" s="0" t="s">
        <v>171</v>
      </c>
      <c r="H3067" s="5">
        <v>715.111700</v>
      </c>
    </row>
    <row r="3068" spans="1:9">
      <c r="A3068" s="22" t="str">
        <f>HYPERLINK("https://app.vivvix.com/360/KMI/IntelliDrive/ApplUI/Pages/CreativePages/CustomReportCreativeDetail.aspx?App=23&amp;ReportView=4&amp;Qid=1711279&amp;Row=3060&amp;Col=1","No Title Assigned - #15268221429")</f>
        <v/>
      </c>
      <c r="B3068" s="0" t="s">
        <v>4528</v>
      </c>
      <c r="E3068" s="0" t="inlineStr">
        <is>
          <t xml:space="preserve">Mazda</t>
        </is>
      </c>
      <c r="F3068" s="0" t="inlineStr">
        <is>
          <t xml:space="preserve">Mazda</t>
        </is>
      </c>
      <c r="G3068" s="0" t="s">
        <v>171</v>
      </c>
      <c r="H3068" s="5">
        <v>1485.547200</v>
      </c>
    </row>
    <row r="3069" spans="1:9">
      <c r="A3069" s="22" t="str">
        <f>HYPERLINK("https://app.vivvix.com/360/KMI/IntelliDrive/ApplUI/Pages/CreativePages/CustomReportCreativeDetail.aspx?App=23&amp;ReportView=4&amp;Qid=1711279&amp;Row=3061&amp;Col=1","No Title Assigned - #15268221976")</f>
        <v/>
      </c>
      <c r="B3069" s="0" t="s">
        <v>4529</v>
      </c>
      <c r="E3069" s="0" t="inlineStr">
        <is>
          <t xml:space="preserve">Mazda</t>
        </is>
      </c>
      <c r="F3069" s="0" t="inlineStr">
        <is>
          <t xml:space="preserve">Mazda</t>
        </is>
      </c>
      <c r="G3069" s="0" t="s">
        <v>171</v>
      </c>
      <c r="H3069" s="5">
        <v>113.065000</v>
      </c>
    </row>
    <row r="3070" spans="1:9">
      <c r="A3070" s="22" t="str">
        <f>HYPERLINK("https://app.vivvix.com/360/KMI/IntelliDrive/ApplUI/Pages/CreativePages/CustomReportCreativeDetail.aspx?App=23&amp;ReportView=4&amp;Qid=1711279&amp;Row=3062&amp;Col=1","No Title Assigned - #15268222216")</f>
        <v/>
      </c>
      <c r="B3070" s="0" t="s">
        <v>4530</v>
      </c>
      <c r="E3070" s="0" t="inlineStr">
        <is>
          <t xml:space="preserve">Mazda</t>
        </is>
      </c>
      <c r="F3070" s="0" t="inlineStr">
        <is>
          <t xml:space="preserve">Mazda</t>
        </is>
      </c>
      <c r="G3070" s="0" t="s">
        <v>171</v>
      </c>
      <c r="H3070" s="5">
        <v>32.935100</v>
      </c>
    </row>
    <row r="3071" spans="1:9">
      <c r="A3071" s="22" t="str">
        <f>HYPERLINK("https://app.vivvix.com/360/KMI/IntelliDrive/ApplUI/Pages/CreativePages/CustomReportCreativeDetail.aspx?App=23&amp;ReportView=4&amp;Qid=1711279&amp;Row=3063&amp;Col=1","No Title Assigned - #15268225108")</f>
        <v/>
      </c>
      <c r="B3071" s="0" t="s">
        <v>4531</v>
      </c>
      <c r="E3071" s="0" t="inlineStr">
        <is>
          <t xml:space="preserve">Mazda</t>
        </is>
      </c>
      <c r="F3071" s="0" t="inlineStr">
        <is>
          <t xml:space="preserve">Mazda</t>
        </is>
      </c>
      <c r="G3071" s="0" t="s">
        <v>171</v>
      </c>
      <c r="H3071" s="5">
        <v>686.412800</v>
      </c>
    </row>
    <row r="3072" spans="1:9">
      <c r="A3072" s="22" t="str">
        <f>HYPERLINK("https://app.vivvix.com/360/KMI/IntelliDrive/ApplUI/Pages/CreativePages/CustomReportCreativeDetail.aspx?App=23&amp;ReportView=4&amp;Qid=1711279&amp;Row=3064&amp;Col=1","No Title Assigned - #15268225485")</f>
        <v/>
      </c>
      <c r="B3072" s="0" t="s">
        <v>4532</v>
      </c>
      <c r="E3072" s="0" t="inlineStr">
        <is>
          <t xml:space="preserve">Mazda</t>
        </is>
      </c>
      <c r="F3072" s="0" t="inlineStr">
        <is>
          <t xml:space="preserve">Mazda</t>
        </is>
      </c>
      <c r="G3072" s="0" t="s">
        <v>171</v>
      </c>
      <c r="H3072" s="5">
        <v>518.341500</v>
      </c>
    </row>
    <row r="3073" spans="1:9">
      <c r="A3073" s="22" t="str">
        <f>HYPERLINK("https://app.vivvix.com/360/KMI/IntelliDrive/ApplUI/Pages/CreativePages/CustomReportCreativeDetail.aspx?App=23&amp;ReportView=4&amp;Qid=1711279&amp;Row=3065&amp;Col=1","No Title Assigned - #15268226432")</f>
        <v/>
      </c>
      <c r="B3073" s="0" t="s">
        <v>4533</v>
      </c>
      <c r="E3073" s="0" t="inlineStr">
        <is>
          <t xml:space="preserve">Mazda</t>
        </is>
      </c>
      <c r="F3073" s="0" t="inlineStr">
        <is>
          <t xml:space="preserve">Mazda</t>
        </is>
      </c>
      <c r="G3073" s="0" t="s">
        <v>171</v>
      </c>
      <c r="H3073" s="5">
        <v>1096.616700</v>
      </c>
    </row>
    <row r="3074" spans="1:9">
      <c r="A3074" s="22" t="str">
        <f>HYPERLINK("https://app.vivvix.com/360/KMI/IntelliDrive/ApplUI/Pages/CreativePages/CustomReportCreativeDetail.aspx?App=23&amp;ReportView=4&amp;Qid=1711279&amp;Row=3066&amp;Col=1","No Title Assigned - #15268227259")</f>
        <v/>
      </c>
      <c r="B3074" s="0" t="s">
        <v>4534</v>
      </c>
      <c r="C3074" s="0" t="s">
        <v>4535</v>
      </c>
      <c r="D3074" s="0" t="s">
        <v>4535</v>
      </c>
      <c r="E3074" s="0" t="inlineStr">
        <is>
          <t xml:space="preserve">Mazda</t>
        </is>
      </c>
      <c r="F3074" s="0" t="inlineStr">
        <is>
          <t xml:space="preserve">Mazda</t>
        </is>
      </c>
      <c r="G3074" s="0" t="s">
        <v>171</v>
      </c>
      <c r="H3074" s="5">
        <v>211.932500</v>
      </c>
    </row>
    <row r="3075" spans="1:9">
      <c r="A3075" s="22" t="str">
        <f>HYPERLINK("https://app.vivvix.com/360/KMI/IntelliDrive/ApplUI/Pages/CreativePages/CustomReportCreativeDetail.aspx?App=23&amp;ReportView=4&amp;Qid=1711279&amp;Row=3067&amp;Col=1","No Title Assigned - #15268227259")</f>
        <v/>
      </c>
      <c r="B3075" s="0" t="s">
        <v>4534</v>
      </c>
      <c r="E3075" s="0" t="inlineStr">
        <is>
          <t xml:space="preserve">Mazda</t>
        </is>
      </c>
      <c r="F3075" s="0" t="inlineStr">
        <is>
          <t xml:space="preserve">Mazda</t>
        </is>
      </c>
      <c r="G3075" s="0" t="s">
        <v>171</v>
      </c>
      <c r="H3075" s="5">
        <v>4738.081100</v>
      </c>
    </row>
    <row r="3076" spans="1:9">
      <c r="A3076" s="22" t="str">
        <f>HYPERLINK("https://app.vivvix.com/360/KMI/IntelliDrive/ApplUI/Pages/CreativePages/CustomReportCreativeDetail.aspx?App=23&amp;ReportView=4&amp;Qid=1711279&amp;Row=3068&amp;Col=1","No Title Assigned - #15268227503")</f>
        <v/>
      </c>
      <c r="B3076" s="0" t="s">
        <v>4536</v>
      </c>
      <c r="C3076" s="0" t="s">
        <v>4537</v>
      </c>
      <c r="D3076" s="0" t="s">
        <v>4537</v>
      </c>
      <c r="E3076" s="0" t="inlineStr">
        <is>
          <t xml:space="preserve">Mazda</t>
        </is>
      </c>
      <c r="F3076" s="0" t="inlineStr">
        <is>
          <t xml:space="preserve">Mazda</t>
        </is>
      </c>
      <c r="G3076" s="0" t="s">
        <v>171</v>
      </c>
      <c r="H3076" s="5">
        <v>2275.909300</v>
      </c>
    </row>
    <row r="3077" spans="1:9">
      <c r="A3077" s="22" t="str">
        <f>HYPERLINK("https://app.vivvix.com/360/KMI/IntelliDrive/ApplUI/Pages/CreativePages/CustomReportCreativeDetail.aspx?App=23&amp;ReportView=4&amp;Qid=1711279&amp;Row=3069&amp;Col=1","No Title Assigned - #15268227503")</f>
        <v/>
      </c>
      <c r="B3077" s="0" t="s">
        <v>4536</v>
      </c>
      <c r="E3077" s="0" t="inlineStr">
        <is>
          <t xml:space="preserve">Mazda</t>
        </is>
      </c>
      <c r="F3077" s="0" t="inlineStr">
        <is>
          <t xml:space="preserve">Mazda</t>
        </is>
      </c>
      <c r="G3077" s="0" t="s">
        <v>171</v>
      </c>
      <c r="H3077" s="5">
        <v>84.745000</v>
      </c>
    </row>
    <row r="3078" spans="1:9">
      <c r="A3078" s="22" t="str">
        <f>HYPERLINK("https://app.vivvix.com/360/KMI/IntelliDrive/ApplUI/Pages/CreativePages/CustomReportCreativeDetail.aspx?App=23&amp;ReportView=4&amp;Qid=1711279&amp;Row=3070&amp;Col=1","No Title Assigned - #15268227724")</f>
        <v/>
      </c>
      <c r="B3078" s="0" t="s">
        <v>4538</v>
      </c>
      <c r="E3078" s="0" t="inlineStr">
        <is>
          <t xml:space="preserve">Mazda</t>
        </is>
      </c>
      <c r="F3078" s="0" t="inlineStr">
        <is>
          <t xml:space="preserve">Mazda</t>
        </is>
      </c>
      <c r="G3078" s="0" t="s">
        <v>171</v>
      </c>
      <c r="H3078" s="5">
        <v>1739.412400</v>
      </c>
    </row>
    <row r="3079" spans="1:9">
      <c r="A3079" s="22" t="str">
        <f>HYPERLINK("https://app.vivvix.com/360/KMI/IntelliDrive/ApplUI/Pages/CreativePages/CustomReportCreativeDetail.aspx?App=23&amp;ReportView=4&amp;Qid=1711279&amp;Row=3071&amp;Col=1","No Title Assigned - #15268227945")</f>
        <v/>
      </c>
      <c r="B3079" s="0" t="s">
        <v>4539</v>
      </c>
      <c r="E3079" s="0" t="inlineStr">
        <is>
          <t xml:space="preserve">Mazda</t>
        </is>
      </c>
      <c r="F3079" s="0" t="inlineStr">
        <is>
          <t xml:space="preserve">Mazda</t>
        </is>
      </c>
      <c r="G3079" s="0" t="s">
        <v>171</v>
      </c>
      <c r="H3079" s="5">
        <v>165.793500</v>
      </c>
    </row>
    <row r="3080" spans="1:9">
      <c r="A3080" s="22" t="str">
        <f>HYPERLINK("https://app.vivvix.com/360/KMI/IntelliDrive/ApplUI/Pages/CreativePages/CustomReportCreativeDetail.aspx?App=23&amp;ReportView=4&amp;Qid=1711279&amp;Row=3072&amp;Col=1","No Title Assigned - #15268228008")</f>
        <v/>
      </c>
      <c r="B3080" s="0" t="s">
        <v>4540</v>
      </c>
      <c r="C3080" s="0" t="s">
        <v>4541</v>
      </c>
      <c r="D3080" s="0" t="s">
        <v>4541</v>
      </c>
      <c r="E3080" s="0" t="inlineStr">
        <is>
          <t xml:space="preserve">Mazda</t>
        </is>
      </c>
      <c r="F3080" s="0" t="inlineStr">
        <is>
          <t xml:space="preserve">Mazda</t>
        </is>
      </c>
      <c r="G3080" s="0" t="s">
        <v>171</v>
      </c>
      <c r="H3080" s="5">
        <v>8043.361200</v>
      </c>
    </row>
    <row r="3081" spans="1:9">
      <c r="A3081" s="22" t="str">
        <f>HYPERLINK("https://app.vivvix.com/360/KMI/IntelliDrive/ApplUI/Pages/CreativePages/CustomReportCreativeDetail.aspx?App=23&amp;ReportView=4&amp;Qid=1711279&amp;Row=3073&amp;Col=1","No Title Assigned - #15268228008")</f>
        <v/>
      </c>
      <c r="B3081" s="0" t="s">
        <v>4540</v>
      </c>
      <c r="E3081" s="0" t="inlineStr">
        <is>
          <t xml:space="preserve">Mazda</t>
        </is>
      </c>
      <c r="F3081" s="0" t="inlineStr">
        <is>
          <t xml:space="preserve">Mazda</t>
        </is>
      </c>
      <c r="G3081" s="0" t="s">
        <v>171</v>
      </c>
      <c r="H3081" s="5">
        <v>11443.789300</v>
      </c>
    </row>
    <row r="3082" spans="1:9">
      <c r="A3082" s="22" t="str">
        <f>HYPERLINK("https://app.vivvix.com/360/KMI/IntelliDrive/ApplUI/Pages/CreativePages/CustomReportCreativeDetail.aspx?App=23&amp;ReportView=4&amp;Qid=1711279&amp;Row=3074&amp;Col=1","No Title Assigned - #15268228174")</f>
        <v/>
      </c>
      <c r="B3082" s="0" t="s">
        <v>4542</v>
      </c>
      <c r="C3082" s="0" t="s">
        <v>4543</v>
      </c>
      <c r="D3082" s="0" t="s">
        <v>4543</v>
      </c>
      <c r="E3082" s="0" t="inlineStr">
        <is>
          <t xml:space="preserve">Mazda</t>
        </is>
      </c>
      <c r="F3082" s="0" t="inlineStr">
        <is>
          <t xml:space="preserve">Mazda</t>
        </is>
      </c>
      <c r="G3082" s="0" t="s">
        <v>171</v>
      </c>
      <c r="H3082" s="5">
        <v>521.045400</v>
      </c>
    </row>
    <row r="3083" spans="1:9">
      <c r="A3083" s="22" t="str">
        <f>HYPERLINK("https://app.vivvix.com/360/KMI/IntelliDrive/ApplUI/Pages/CreativePages/CustomReportCreativeDetail.aspx?App=23&amp;ReportView=4&amp;Qid=1711279&amp;Row=3075&amp;Col=1","No Title Assigned - #15268228174")</f>
        <v/>
      </c>
      <c r="B3083" s="0" t="s">
        <v>4542</v>
      </c>
      <c r="E3083" s="0" t="inlineStr">
        <is>
          <t xml:space="preserve">Mazda</t>
        </is>
      </c>
      <c r="F3083" s="0" t="inlineStr">
        <is>
          <t xml:space="preserve">Mazda</t>
        </is>
      </c>
      <c r="G3083" s="0" t="s">
        <v>171</v>
      </c>
      <c r="H3083" s="5">
        <v>75.262500</v>
      </c>
    </row>
    <row r="3084" spans="1:9">
      <c r="A3084" s="22" t="str">
        <f>HYPERLINK("https://app.vivvix.com/360/KMI/IntelliDrive/ApplUI/Pages/CreativePages/CustomReportCreativeDetail.aspx?App=23&amp;ReportView=4&amp;Qid=1711279&amp;Row=3076&amp;Col=1","No Title Assigned - #15268228574")</f>
        <v/>
      </c>
      <c r="B3084" s="0" t="s">
        <v>4544</v>
      </c>
      <c r="E3084" s="0" t="inlineStr">
        <is>
          <t xml:space="preserve">Mazda</t>
        </is>
      </c>
      <c r="F3084" s="0" t="inlineStr">
        <is>
          <t xml:space="preserve">Mazda</t>
        </is>
      </c>
      <c r="G3084" s="0" t="s">
        <v>171</v>
      </c>
      <c r="H3084" s="5">
        <v>1225.482100</v>
      </c>
    </row>
    <row r="3085" spans="1:9">
      <c r="A3085" s="22" t="str">
        <f>HYPERLINK("https://app.vivvix.com/360/KMI/IntelliDrive/ApplUI/Pages/CreativePages/CustomReportCreativeDetail.aspx?App=23&amp;ReportView=4&amp;Qid=1711279&amp;Row=3077&amp;Col=1","No Title Assigned - #15268228678")</f>
        <v/>
      </c>
      <c r="B3085" s="0" t="s">
        <v>4545</v>
      </c>
      <c r="E3085" s="0" t="inlineStr">
        <is>
          <t xml:space="preserve">Mazda</t>
        </is>
      </c>
      <c r="F3085" s="0" t="inlineStr">
        <is>
          <t xml:space="preserve">Mazda</t>
        </is>
      </c>
      <c r="G3085" s="0" t="s">
        <v>171</v>
      </c>
      <c r="H3085" s="5">
        <v>64.128500</v>
      </c>
    </row>
    <row r="3086" spans="1:9">
      <c r="A3086" s="22" t="str">
        <f>HYPERLINK("https://app.vivvix.com/360/KMI/IntelliDrive/ApplUI/Pages/CreativePages/CustomReportCreativeDetail.aspx?App=23&amp;ReportView=4&amp;Qid=1711279&amp;Row=3078&amp;Col=1","No Title Assigned - #15268228887")</f>
        <v/>
      </c>
      <c r="B3086" s="0" t="s">
        <v>4546</v>
      </c>
      <c r="E3086" s="0" t="inlineStr">
        <is>
          <t xml:space="preserve">Mazda</t>
        </is>
      </c>
      <c r="F3086" s="0" t="inlineStr">
        <is>
          <t xml:space="preserve">Mazda</t>
        </is>
      </c>
      <c r="G3086" s="0" t="s">
        <v>171</v>
      </c>
      <c r="H3086" s="5">
        <v>34.376900</v>
      </c>
    </row>
    <row r="3087" spans="1:9">
      <c r="A3087" s="22" t="str">
        <f>HYPERLINK("https://app.vivvix.com/360/KMI/IntelliDrive/ApplUI/Pages/CreativePages/CustomReportCreativeDetail.aspx?App=23&amp;ReportView=4&amp;Qid=1711279&amp;Row=3079&amp;Col=1","No Title Assigned - #15268228896")</f>
        <v/>
      </c>
      <c r="B3087" s="0" t="s">
        <v>4547</v>
      </c>
      <c r="E3087" s="0" t="inlineStr">
        <is>
          <t xml:space="preserve">Mazda</t>
        </is>
      </c>
      <c r="F3087" s="0" t="inlineStr">
        <is>
          <t xml:space="preserve">Mazda</t>
        </is>
      </c>
      <c r="G3087" s="0" t="s">
        <v>171</v>
      </c>
      <c r="H3087" s="5">
        <v>50932.749100</v>
      </c>
    </row>
    <row r="3088" spans="1:9">
      <c r="A3088" s="22" t="str">
        <f>HYPERLINK("https://app.vivvix.com/360/KMI/IntelliDrive/ApplUI/Pages/CreativePages/CustomReportCreativeDetail.aspx?App=23&amp;ReportView=4&amp;Qid=1711279&amp;Row=3080&amp;Col=1","No Title Assigned - #15268228896")</f>
        <v/>
      </c>
      <c r="B3088" s="0" t="s">
        <v>4547</v>
      </c>
      <c r="E3088" s="0" t="inlineStr">
        <is>
          <t xml:space="preserve">Mazda</t>
        </is>
      </c>
      <c r="F3088" s="0" t="inlineStr">
        <is>
          <t xml:space="preserve">Mazda</t>
        </is>
      </c>
      <c r="G3088" s="0" t="s">
        <v>171</v>
      </c>
      <c r="H3088" s="5">
        <v>1152.083600</v>
      </c>
    </row>
    <row r="3089" spans="1:9">
      <c r="A3089" s="22" t="str">
        <f>HYPERLINK("https://app.vivvix.com/360/KMI/IntelliDrive/ApplUI/Pages/CreativePages/CustomReportCreativeDetail.aspx?App=23&amp;ReportView=4&amp;Qid=1711279&amp;Row=3081&amp;Col=1","No Title Assigned - #15268229647")</f>
        <v/>
      </c>
      <c r="B3089" s="0" t="s">
        <v>4548</v>
      </c>
      <c r="E3089" s="0" t="inlineStr">
        <is>
          <t xml:space="preserve">Mazda</t>
        </is>
      </c>
      <c r="F3089" s="0" t="inlineStr">
        <is>
          <t xml:space="preserve">Mazda</t>
        </is>
      </c>
      <c r="G3089" s="0" t="s">
        <v>171</v>
      </c>
      <c r="H3089" s="5">
        <v>101.145600</v>
      </c>
    </row>
    <row r="3090" spans="1:9">
      <c r="A3090" s="22" t="str">
        <f>HYPERLINK("https://app.vivvix.com/360/KMI/IntelliDrive/ApplUI/Pages/CreativePages/CustomReportCreativeDetail.aspx?App=23&amp;ReportView=4&amp;Qid=1711279&amp;Row=3082&amp;Col=1","No Title Assigned - #15268229873")</f>
        <v/>
      </c>
      <c r="B3090" s="0" t="s">
        <v>4549</v>
      </c>
      <c r="E3090" s="0" t="inlineStr">
        <is>
          <t xml:space="preserve">Mazda</t>
        </is>
      </c>
      <c r="F3090" s="0" t="inlineStr">
        <is>
          <t xml:space="preserve">Mazda</t>
        </is>
      </c>
      <c r="G3090" s="0" t="s">
        <v>171</v>
      </c>
      <c r="H3090" s="5">
        <v>392.470300</v>
      </c>
    </row>
    <row r="3091" spans="1:9">
      <c r="A3091" s="22" t="str">
        <f>HYPERLINK("https://app.vivvix.com/360/KMI/IntelliDrive/ApplUI/Pages/CreativePages/CustomReportCreativeDetail.aspx?App=23&amp;ReportView=4&amp;Qid=1711279&amp;Row=3083&amp;Col=1","No Title Assigned - #15268230225")</f>
        <v/>
      </c>
      <c r="B3091" s="0" t="s">
        <v>4550</v>
      </c>
      <c r="E3091" s="0" t="inlineStr">
        <is>
          <t xml:space="preserve">Mazda</t>
        </is>
      </c>
      <c r="F3091" s="0" t="inlineStr">
        <is>
          <t xml:space="preserve">Mazda</t>
        </is>
      </c>
      <c r="G3091" s="0" t="s">
        <v>171</v>
      </c>
      <c r="H3091" s="5">
        <v>296.486300</v>
      </c>
    </row>
    <row r="3092" spans="1:9">
      <c r="A3092" s="22" t="str">
        <f>HYPERLINK("https://app.vivvix.com/360/KMI/IntelliDrive/ApplUI/Pages/CreativePages/CustomReportCreativeDetail.aspx?App=23&amp;ReportView=4&amp;Qid=1711279&amp;Row=3084&amp;Col=1","No Title Assigned - #15268230630")</f>
        <v/>
      </c>
      <c r="B3092" s="0" t="s">
        <v>4551</v>
      </c>
      <c r="E3092" s="0" t="inlineStr">
        <is>
          <t xml:space="preserve">Mazda</t>
        </is>
      </c>
      <c r="F3092" s="0" t="inlineStr">
        <is>
          <t xml:space="preserve">Mazda</t>
        </is>
      </c>
      <c r="G3092" s="0" t="s">
        <v>171</v>
      </c>
      <c r="H3092" s="5">
        <v>1919.250300</v>
      </c>
    </row>
    <row r="3093" spans="1:9">
      <c r="A3093" s="22" t="str">
        <f>HYPERLINK("https://app.vivvix.com/360/KMI/IntelliDrive/ApplUI/Pages/CreativePages/CustomReportCreativeDetail.aspx?App=23&amp;ReportView=4&amp;Qid=1711279&amp;Row=3085&amp;Col=1","No Title Assigned - #15268230630")</f>
        <v/>
      </c>
      <c r="B3093" s="0" t="s">
        <v>4551</v>
      </c>
      <c r="E3093" s="0" t="inlineStr">
        <is>
          <t xml:space="preserve">Mazda</t>
        </is>
      </c>
      <c r="F3093" s="0" t="inlineStr">
        <is>
          <t xml:space="preserve">Mazda</t>
        </is>
      </c>
      <c r="G3093" s="0" t="s">
        <v>171</v>
      </c>
      <c r="H3093" s="5">
        <v>42.657300</v>
      </c>
    </row>
    <row r="3094" spans="1:9">
      <c r="A3094" s="22" t="str">
        <f>HYPERLINK("https://app.vivvix.com/360/KMI/IntelliDrive/ApplUI/Pages/CreativePages/CustomReportCreativeDetail.aspx?App=23&amp;ReportView=4&amp;Qid=1711279&amp;Row=3086&amp;Col=1","No Title Assigned - #15268231112")</f>
        <v/>
      </c>
      <c r="B3094" s="0" t="s">
        <v>4552</v>
      </c>
      <c r="E3094" s="0" t="inlineStr">
        <is>
          <t xml:space="preserve">Mazda</t>
        </is>
      </c>
      <c r="F3094" s="0" t="inlineStr">
        <is>
          <t xml:space="preserve">Mazda</t>
        </is>
      </c>
      <c r="G3094" s="0" t="s">
        <v>171</v>
      </c>
      <c r="H3094" s="5">
        <v>8906.137800</v>
      </c>
    </row>
    <row r="3095" spans="1:9">
      <c r="A3095" s="22" t="str">
        <f>HYPERLINK("https://app.vivvix.com/360/KMI/IntelliDrive/ApplUI/Pages/CreativePages/CustomReportCreativeDetail.aspx?App=23&amp;ReportView=4&amp;Qid=1711279&amp;Row=3087&amp;Col=1","No Title Assigned - #15268231112")</f>
        <v/>
      </c>
      <c r="B3095" s="0" t="s">
        <v>4552</v>
      </c>
      <c r="E3095" s="0" t="inlineStr">
        <is>
          <t xml:space="preserve">Mazda</t>
        </is>
      </c>
      <c r="F3095" s="0" t="inlineStr">
        <is>
          <t xml:space="preserve">Mazda</t>
        </is>
      </c>
      <c r="G3095" s="0" t="s">
        <v>171</v>
      </c>
      <c r="H3095" s="5">
        <v>392.728900</v>
      </c>
    </row>
    <row r="3096" spans="1:9">
      <c r="A3096" s="22" t="str">
        <f>HYPERLINK("https://app.vivvix.com/360/KMI/IntelliDrive/ApplUI/Pages/CreativePages/CustomReportCreativeDetail.aspx?App=23&amp;ReportView=4&amp;Qid=1711279&amp;Row=3088&amp;Col=1","No Title Assigned - #15268232453")</f>
        <v/>
      </c>
      <c r="B3096" s="0" t="s">
        <v>4553</v>
      </c>
      <c r="E3096" s="0" t="inlineStr">
        <is>
          <t xml:space="preserve">Mazda</t>
        </is>
      </c>
      <c r="F3096" s="0" t="inlineStr">
        <is>
          <t xml:space="preserve">Mazda</t>
        </is>
      </c>
      <c r="G3096" s="0" t="s">
        <v>171</v>
      </c>
      <c r="H3096" s="5">
        <v>1669.871200</v>
      </c>
    </row>
    <row r="3097" spans="1:9">
      <c r="A3097" s="22" t="str">
        <f>HYPERLINK("https://app.vivvix.com/360/KMI/IntelliDrive/ApplUI/Pages/CreativePages/CustomReportCreativeDetail.aspx?App=23&amp;ReportView=4&amp;Qid=1711279&amp;Row=3089&amp;Col=1","No Title Assigned - #15268234702")</f>
        <v/>
      </c>
      <c r="B3097" s="0" t="s">
        <v>4554</v>
      </c>
      <c r="C3097" s="0" t="s">
        <v>4555</v>
      </c>
      <c r="D3097" s="0" t="s">
        <v>4555</v>
      </c>
      <c r="E3097" s="0" t="inlineStr">
        <is>
          <t xml:space="preserve">Mazda</t>
        </is>
      </c>
      <c r="F3097" s="0" t="inlineStr">
        <is>
          <t xml:space="preserve">Mazda</t>
        </is>
      </c>
      <c r="G3097" s="0" t="s">
        <v>171</v>
      </c>
      <c r="H3097" s="5">
        <v>259.367400</v>
      </c>
    </row>
    <row r="3098" spans="1:9">
      <c r="A3098" s="22" t="str">
        <f>HYPERLINK("https://app.vivvix.com/360/KMI/IntelliDrive/ApplUI/Pages/CreativePages/CustomReportCreativeDetail.aspx?App=23&amp;ReportView=4&amp;Qid=1711279&amp;Row=3090&amp;Col=1","No Title Assigned - #15268234702")</f>
        <v/>
      </c>
      <c r="B3098" s="0" t="s">
        <v>4554</v>
      </c>
      <c r="E3098" s="0" t="inlineStr">
        <is>
          <t xml:space="preserve">Mazda</t>
        </is>
      </c>
      <c r="F3098" s="0" t="inlineStr">
        <is>
          <t xml:space="preserve">Mazda</t>
        </is>
      </c>
      <c r="G3098" s="0" t="s">
        <v>171</v>
      </c>
      <c r="H3098" s="5">
        <v>1901.597500</v>
      </c>
    </row>
    <row r="3099" spans="1:9">
      <c r="A3099" s="22" t="str">
        <f>HYPERLINK("https://app.vivvix.com/360/KMI/IntelliDrive/ApplUI/Pages/CreativePages/CustomReportCreativeDetail.aspx?App=23&amp;ReportView=4&amp;Qid=1711279&amp;Row=3091&amp;Col=1","No Title Assigned - #15268235111")</f>
        <v/>
      </c>
      <c r="B3099" s="0" t="s">
        <v>4556</v>
      </c>
      <c r="E3099" s="0" t="inlineStr">
        <is>
          <t xml:space="preserve">Mazda</t>
        </is>
      </c>
      <c r="F3099" s="0" t="inlineStr">
        <is>
          <t xml:space="preserve">Mazda</t>
        </is>
      </c>
      <c r="G3099" s="0" t="s">
        <v>171</v>
      </c>
      <c r="H3099" s="5">
        <v>666.956000</v>
      </c>
    </row>
    <row r="3100" spans="1:9">
      <c r="A3100" s="22" t="str">
        <f>HYPERLINK("https://app.vivvix.com/360/KMI/IntelliDrive/ApplUI/Pages/CreativePages/CustomReportCreativeDetail.aspx?App=23&amp;ReportView=4&amp;Qid=1711279&amp;Row=3092&amp;Col=1","No Title Assigned - #15268235404")</f>
        <v/>
      </c>
      <c r="B3100" s="0" t="s">
        <v>4557</v>
      </c>
      <c r="E3100" s="0" t="inlineStr">
        <is>
          <t xml:space="preserve">Mazda</t>
        </is>
      </c>
      <c r="F3100" s="0" t="inlineStr">
        <is>
          <t xml:space="preserve">Mazda</t>
        </is>
      </c>
      <c r="G3100" s="0" t="s">
        <v>171</v>
      </c>
      <c r="H3100" s="5">
        <v>307.285600</v>
      </c>
    </row>
    <row r="3101" spans="1:9">
      <c r="A3101" s="22" t="str">
        <f>HYPERLINK("https://app.vivvix.com/360/KMI/IntelliDrive/ApplUI/Pages/CreativePages/CustomReportCreativeDetail.aspx?App=23&amp;ReportView=4&amp;Qid=1711279&amp;Row=3093&amp;Col=1","No Title Assigned - #15268237401")</f>
        <v/>
      </c>
      <c r="B3101" s="0" t="s">
        <v>4558</v>
      </c>
      <c r="E3101" s="0" t="inlineStr">
        <is>
          <t xml:space="preserve">Mazda</t>
        </is>
      </c>
      <c r="F3101" s="0" t="inlineStr">
        <is>
          <t xml:space="preserve">Mazda</t>
        </is>
      </c>
      <c r="G3101" s="0" t="s">
        <v>171</v>
      </c>
      <c r="H3101" s="5">
        <v>165.195900</v>
      </c>
    </row>
    <row r="3102" spans="1:9">
      <c r="A3102" s="22" t="str">
        <f>HYPERLINK("https://app.vivvix.com/360/KMI/IntelliDrive/ApplUI/Pages/CreativePages/CustomReportCreativeDetail.aspx?App=23&amp;ReportView=4&amp;Qid=1711279&amp;Row=3094&amp;Col=1","No Title Assigned - #15268237402")</f>
        <v/>
      </c>
      <c r="B3102" s="0" t="s">
        <v>4559</v>
      </c>
      <c r="E3102" s="0" t="inlineStr">
        <is>
          <t xml:space="preserve">Mazda</t>
        </is>
      </c>
      <c r="F3102" s="0" t="inlineStr">
        <is>
          <t xml:space="preserve">Mazda</t>
        </is>
      </c>
      <c r="G3102" s="0" t="s">
        <v>171</v>
      </c>
      <c r="H3102" s="5">
        <v>839.673000</v>
      </c>
    </row>
    <row r="3103" spans="1:9">
      <c r="A3103" s="22" t="str">
        <f>HYPERLINK("https://app.vivvix.com/360/KMI/IntelliDrive/ApplUI/Pages/CreativePages/CustomReportCreativeDetail.aspx?App=23&amp;ReportView=4&amp;Qid=1711279&amp;Row=3095&amp;Col=1","No Title Assigned - #15268239413")</f>
        <v/>
      </c>
      <c r="B3103" s="0" t="s">
        <v>4560</v>
      </c>
      <c r="E3103" s="0" t="inlineStr">
        <is>
          <t xml:space="preserve">Mazda</t>
        </is>
      </c>
      <c r="F3103" s="0" t="inlineStr">
        <is>
          <t xml:space="preserve">Mazda</t>
        </is>
      </c>
      <c r="G3103" s="0" t="s">
        <v>171</v>
      </c>
      <c r="H3103" s="5">
        <v>307.727200</v>
      </c>
    </row>
    <row r="3104" spans="1:9">
      <c r="A3104" s="22" t="str">
        <f>HYPERLINK("https://app.vivvix.com/360/KMI/IntelliDrive/ApplUI/Pages/CreativePages/CustomReportCreativeDetail.aspx?App=23&amp;ReportView=4&amp;Qid=1711279&amp;Row=3096&amp;Col=1","No Title Assigned - #15268240930")</f>
        <v/>
      </c>
      <c r="B3104" s="0" t="s">
        <v>4561</v>
      </c>
      <c r="E3104" s="0" t="inlineStr">
        <is>
          <t xml:space="preserve">Mazda</t>
        </is>
      </c>
      <c r="F3104" s="0" t="inlineStr">
        <is>
          <t xml:space="preserve">Mazda</t>
        </is>
      </c>
      <c r="G3104" s="0" t="s">
        <v>171</v>
      </c>
      <c r="H3104" s="5">
        <v>2006.239700</v>
      </c>
    </row>
    <row r="3105" spans="1:9">
      <c r="A3105" s="22" t="str">
        <f>HYPERLINK("https://app.vivvix.com/360/KMI/IntelliDrive/ApplUI/Pages/CreativePages/CustomReportCreativeDetail.aspx?App=23&amp;ReportView=4&amp;Qid=1711279&amp;Row=3097&amp;Col=1","No Title Assigned - #15268241086")</f>
        <v/>
      </c>
      <c r="B3105" s="0" t="s">
        <v>4562</v>
      </c>
      <c r="C3105" s="0" t="s">
        <v>4563</v>
      </c>
      <c r="D3105" s="0" t="s">
        <v>4563</v>
      </c>
      <c r="E3105" s="0" t="inlineStr">
        <is>
          <t xml:space="preserve">Mazda</t>
        </is>
      </c>
      <c r="F3105" s="0" t="inlineStr">
        <is>
          <t xml:space="preserve">Mazda</t>
        </is>
      </c>
      <c r="G3105" s="0" t="s">
        <v>171</v>
      </c>
      <c r="H3105" s="5">
        <v>340.837500</v>
      </c>
    </row>
    <row r="3106" spans="1:9">
      <c r="A3106" s="22" t="str">
        <f>HYPERLINK("https://app.vivvix.com/360/KMI/IntelliDrive/ApplUI/Pages/CreativePages/CustomReportCreativeDetail.aspx?App=23&amp;ReportView=4&amp;Qid=1711279&amp;Row=3098&amp;Col=1","No Title Assigned - #15268242019")</f>
        <v/>
      </c>
      <c r="B3106" s="0" t="s">
        <v>4564</v>
      </c>
      <c r="C3106" s="0" t="s">
        <v>4565</v>
      </c>
      <c r="D3106" s="0" t="s">
        <v>4565</v>
      </c>
      <c r="E3106" s="0" t="inlineStr">
        <is>
          <t xml:space="preserve">Mazda</t>
        </is>
      </c>
      <c r="F3106" s="0" t="inlineStr">
        <is>
          <t xml:space="preserve">Mazda</t>
        </is>
      </c>
      <c r="G3106" s="0" t="s">
        <v>171</v>
      </c>
      <c r="H3106" s="5">
        <v>427.973300</v>
      </c>
    </row>
    <row r="3107" spans="1:9">
      <c r="A3107" s="22" t="str">
        <f>HYPERLINK("https://app.vivvix.com/360/KMI/IntelliDrive/ApplUI/Pages/CreativePages/CustomReportCreativeDetail.aspx?App=23&amp;ReportView=4&amp;Qid=1711279&amp;Row=3099&amp;Col=1","No Title Assigned - #15268242574")</f>
        <v/>
      </c>
      <c r="B3107" s="0" t="s">
        <v>4566</v>
      </c>
      <c r="E3107" s="0" t="inlineStr">
        <is>
          <t xml:space="preserve">Mazda</t>
        </is>
      </c>
      <c r="F3107" s="0" t="inlineStr">
        <is>
          <t xml:space="preserve">Mazda</t>
        </is>
      </c>
      <c r="G3107" s="0" t="s">
        <v>171</v>
      </c>
      <c r="H3107" s="5">
        <v>113.919900</v>
      </c>
    </row>
    <row r="3108" spans="1:9">
      <c r="A3108" s="22" t="str">
        <f>HYPERLINK("https://app.vivvix.com/360/KMI/IntelliDrive/ApplUI/Pages/CreativePages/CustomReportCreativeDetail.aspx?App=23&amp;ReportView=4&amp;Qid=1711279&amp;Row=3100&amp;Col=1","No Title Assigned - #15268242575")</f>
        <v/>
      </c>
      <c r="B3108" s="0" t="s">
        <v>4567</v>
      </c>
      <c r="E3108" s="0" t="inlineStr">
        <is>
          <t xml:space="preserve">Mazda</t>
        </is>
      </c>
      <c r="F3108" s="0" t="inlineStr">
        <is>
          <t xml:space="preserve">Mazda</t>
        </is>
      </c>
      <c r="G3108" s="0" t="s">
        <v>171</v>
      </c>
      <c r="H3108" s="5">
        <v>53.477100</v>
      </c>
    </row>
    <row r="3109" spans="1:9">
      <c r="A3109" s="22" t="str">
        <f>HYPERLINK("https://app.vivvix.com/360/KMI/IntelliDrive/ApplUI/Pages/CreativePages/CustomReportCreativeDetail.aspx?App=23&amp;ReportView=4&amp;Qid=1711279&amp;Row=3101&amp;Col=1","No Title Assigned - #15268243794")</f>
        <v/>
      </c>
      <c r="B3109" s="0" t="s">
        <v>4568</v>
      </c>
      <c r="E3109" s="0" t="inlineStr">
        <is>
          <t xml:space="preserve">Mazda</t>
        </is>
      </c>
      <c r="F3109" s="0" t="inlineStr">
        <is>
          <t xml:space="preserve">Mazda</t>
        </is>
      </c>
      <c r="G3109" s="0" t="s">
        <v>171</v>
      </c>
      <c r="H3109" s="5">
        <v>3619.452400</v>
      </c>
    </row>
    <row r="3110" spans="1:9">
      <c r="A3110" s="22" t="str">
        <f>HYPERLINK("https://app.vivvix.com/360/KMI/IntelliDrive/ApplUI/Pages/CreativePages/CustomReportCreativeDetail.aspx?App=23&amp;ReportView=4&amp;Qid=1711279&amp;Row=3102&amp;Col=1","No Title Assigned - #15268246272")</f>
        <v/>
      </c>
      <c r="B3110" s="0" t="s">
        <v>4569</v>
      </c>
      <c r="C3110" s="0" t="s">
        <v>4570</v>
      </c>
      <c r="D3110" s="0" t="s">
        <v>4570</v>
      </c>
      <c r="E3110" s="0" t="inlineStr">
        <is>
          <t xml:space="preserve">Mazda</t>
        </is>
      </c>
      <c r="F3110" s="0" t="inlineStr">
        <is>
          <t xml:space="preserve">Mazda</t>
        </is>
      </c>
      <c r="G3110" s="0" t="s">
        <v>171</v>
      </c>
      <c r="H3110" s="5">
        <v>244.904200</v>
      </c>
    </row>
    <row r="3111" spans="1:9">
      <c r="A3111" s="22" t="str">
        <f>HYPERLINK("https://app.vivvix.com/360/KMI/IntelliDrive/ApplUI/Pages/CreativePages/CustomReportCreativeDetail.aspx?App=23&amp;ReportView=4&amp;Qid=1711279&amp;Row=3103&amp;Col=1","No Title Assigned - #15268246285")</f>
        <v/>
      </c>
      <c r="B3111" s="0" t="s">
        <v>4571</v>
      </c>
      <c r="E3111" s="0" t="inlineStr">
        <is>
          <t xml:space="preserve">Mazda</t>
        </is>
      </c>
      <c r="F3111" s="0" t="inlineStr">
        <is>
          <t xml:space="preserve">Mazda</t>
        </is>
      </c>
      <c r="G3111" s="0" t="s">
        <v>171</v>
      </c>
      <c r="H3111" s="5">
        <v>204.269100</v>
      </c>
    </row>
    <row r="3112" spans="1:9">
      <c r="A3112" s="22" t="str">
        <f>HYPERLINK("https://app.vivvix.com/360/KMI/IntelliDrive/ApplUI/Pages/CreativePages/CustomReportCreativeDetail.aspx?App=23&amp;ReportView=4&amp;Qid=1711279&amp;Row=3104&amp;Col=1","No Title Assigned - #15268246285")</f>
        <v/>
      </c>
      <c r="B3112" s="0" t="s">
        <v>4571</v>
      </c>
      <c r="E3112" s="0" t="inlineStr">
        <is>
          <t xml:space="preserve">Mazda</t>
        </is>
      </c>
      <c r="F3112" s="0" t="inlineStr">
        <is>
          <t xml:space="preserve">Mazda</t>
        </is>
      </c>
      <c r="G3112" s="0" t="s">
        <v>171</v>
      </c>
      <c r="H3112" s="5">
        <v>807.605500</v>
      </c>
    </row>
    <row r="3113" spans="1:9">
      <c r="A3113" s="22" t="str">
        <f>HYPERLINK("https://app.vivvix.com/360/KMI/IntelliDrive/ApplUI/Pages/CreativePages/CustomReportCreativeDetail.aspx?App=23&amp;ReportView=4&amp;Qid=1711279&amp;Row=3105&amp;Col=1","No Title Assigned - #15268247061")</f>
        <v/>
      </c>
      <c r="B3113" s="0" t="s">
        <v>4572</v>
      </c>
      <c r="C3113" s="0" t="s">
        <v>4573</v>
      </c>
      <c r="D3113" s="0" t="s">
        <v>4573</v>
      </c>
      <c r="E3113" s="0" t="inlineStr">
        <is>
          <t xml:space="preserve">Mazda</t>
        </is>
      </c>
      <c r="F3113" s="0" t="inlineStr">
        <is>
          <t xml:space="preserve">Mazda</t>
        </is>
      </c>
      <c r="G3113" s="0" t="s">
        <v>171</v>
      </c>
      <c r="H3113" s="5">
        <v>851.043500</v>
      </c>
    </row>
    <row r="3114" spans="1:9">
      <c r="A3114" s="22" t="str">
        <f>HYPERLINK("https://app.vivvix.com/360/KMI/IntelliDrive/ApplUI/Pages/CreativePages/CustomReportCreativeDetail.aspx?App=23&amp;ReportView=4&amp;Qid=1711279&amp;Row=3106&amp;Col=1","No Title Assigned - #15268247061")</f>
        <v/>
      </c>
      <c r="B3114" s="0" t="s">
        <v>4572</v>
      </c>
      <c r="E3114" s="0" t="inlineStr">
        <is>
          <t xml:space="preserve">Mazda</t>
        </is>
      </c>
      <c r="F3114" s="0" t="inlineStr">
        <is>
          <t xml:space="preserve">Mazda</t>
        </is>
      </c>
      <c r="G3114" s="0" t="s">
        <v>171</v>
      </c>
      <c r="H3114" s="5">
        <v>113426.125000</v>
      </c>
    </row>
    <row r="3115" spans="1:9">
      <c r="A3115" s="22" t="str">
        <f>HYPERLINK("https://app.vivvix.com/360/KMI/IntelliDrive/ApplUI/Pages/CreativePages/CustomReportCreativeDetail.aspx?App=23&amp;ReportView=4&amp;Qid=1711279&amp;Row=3107&amp;Col=1","No Title Assigned - #15268247802")</f>
        <v/>
      </c>
      <c r="B3115" s="0" t="s">
        <v>4574</v>
      </c>
      <c r="E3115" s="0" t="inlineStr">
        <is>
          <t xml:space="preserve">Mazda</t>
        </is>
      </c>
      <c r="F3115" s="0" t="inlineStr">
        <is>
          <t xml:space="preserve">Mazda</t>
        </is>
      </c>
      <c r="G3115" s="0" t="s">
        <v>171</v>
      </c>
      <c r="H3115" s="5">
        <v>362.371800</v>
      </c>
    </row>
    <row r="3116" spans="1:9">
      <c r="A3116" s="22" t="str">
        <f>HYPERLINK("https://app.vivvix.com/360/KMI/IntelliDrive/ApplUI/Pages/CreativePages/CustomReportCreativeDetail.aspx?App=23&amp;ReportView=4&amp;Qid=1711279&amp;Row=3108&amp;Col=1","No Title Assigned - #15268247823")</f>
        <v/>
      </c>
      <c r="B3116" s="0" t="s">
        <v>4575</v>
      </c>
      <c r="E3116" s="0" t="inlineStr">
        <is>
          <t xml:space="preserve">Mazda</t>
        </is>
      </c>
      <c r="F3116" s="0" t="inlineStr">
        <is>
          <t xml:space="preserve">Mazda</t>
        </is>
      </c>
      <c r="G3116" s="0" t="s">
        <v>171</v>
      </c>
      <c r="H3116" s="5">
        <v>362.371800</v>
      </c>
    </row>
    <row r="3117" spans="1:9">
      <c r="A3117" s="22" t="str">
        <f>HYPERLINK("https://app.vivvix.com/360/KMI/IntelliDrive/ApplUI/Pages/CreativePages/CustomReportCreativeDetail.aspx?App=23&amp;ReportView=4&amp;Qid=1711279&amp;Row=3109&amp;Col=1","No Title Assigned - #15268247861")</f>
        <v/>
      </c>
      <c r="B3117" s="0" t="s">
        <v>4576</v>
      </c>
      <c r="E3117" s="0" t="inlineStr">
        <is>
          <t xml:space="preserve">Mazda</t>
        </is>
      </c>
      <c r="F3117" s="0" t="inlineStr">
        <is>
          <t xml:space="preserve">Mazda</t>
        </is>
      </c>
      <c r="G3117" s="0" t="s">
        <v>171</v>
      </c>
      <c r="H3117" s="5">
        <v>362.371800</v>
      </c>
    </row>
    <row r="3118" spans="1:9">
      <c r="A3118" s="22" t="str">
        <f>HYPERLINK("https://app.vivvix.com/360/KMI/IntelliDrive/ApplUI/Pages/CreativePages/CustomReportCreativeDetail.aspx?App=23&amp;ReportView=4&amp;Qid=1711279&amp;Row=3110&amp;Col=1","No Title Assigned - #15268248907")</f>
        <v/>
      </c>
      <c r="B3118" s="0" t="s">
        <v>4577</v>
      </c>
      <c r="C3118" s="0" t="s">
        <v>4578</v>
      </c>
      <c r="D3118" s="0" t="s">
        <v>4578</v>
      </c>
      <c r="E3118" s="0" t="inlineStr">
        <is>
          <t xml:space="preserve">Mazda</t>
        </is>
      </c>
      <c r="F3118" s="0" t="inlineStr">
        <is>
          <t xml:space="preserve">Mazda</t>
        </is>
      </c>
      <c r="G3118" s="0" t="s">
        <v>171</v>
      </c>
      <c r="H3118" s="5">
        <v>358.783500</v>
      </c>
    </row>
    <row r="3119" spans="1:9">
      <c r="A3119" s="22" t="str">
        <f>HYPERLINK("https://app.vivvix.com/360/KMI/IntelliDrive/ApplUI/Pages/CreativePages/CustomReportCreativeDetail.aspx?App=23&amp;ReportView=4&amp;Qid=1711279&amp;Row=3111&amp;Col=1","No Title Assigned - #15268250573")</f>
        <v/>
      </c>
      <c r="B3119" s="0" t="s">
        <v>4579</v>
      </c>
      <c r="C3119" s="0" t="s">
        <v>4580</v>
      </c>
      <c r="D3119" s="0" t="s">
        <v>4580</v>
      </c>
      <c r="E3119" s="0" t="inlineStr">
        <is>
          <t xml:space="preserve">Mazda</t>
        </is>
      </c>
      <c r="F3119" s="0" t="inlineStr">
        <is>
          <t xml:space="preserve">Mazda</t>
        </is>
      </c>
      <c r="G3119" s="0" t="s">
        <v>171</v>
      </c>
      <c r="H3119" s="5">
        <v>235.617400</v>
      </c>
    </row>
    <row r="3120" spans="1:9">
      <c r="A3120" s="22" t="str">
        <f>HYPERLINK("https://app.vivvix.com/360/KMI/IntelliDrive/ApplUI/Pages/CreativePages/CustomReportCreativeDetail.aspx?App=23&amp;ReportView=4&amp;Qid=1711279&amp;Row=3112&amp;Col=1","No Title Assigned - #15268251303")</f>
        <v/>
      </c>
      <c r="B3120" s="0" t="s">
        <v>4581</v>
      </c>
      <c r="E3120" s="0" t="inlineStr">
        <is>
          <t xml:space="preserve">Mazda</t>
        </is>
      </c>
      <c r="F3120" s="0" t="inlineStr">
        <is>
          <t xml:space="preserve">Mazda</t>
        </is>
      </c>
      <c r="G3120" s="0" t="s">
        <v>171</v>
      </c>
      <c r="H3120" s="5">
        <v>1163.208000</v>
      </c>
    </row>
    <row r="3121" spans="1:9">
      <c r="A3121" s="22" t="str">
        <f>HYPERLINK("https://app.vivvix.com/360/KMI/IntelliDrive/ApplUI/Pages/CreativePages/CustomReportCreativeDetail.aspx?App=23&amp;ReportView=4&amp;Qid=1711279&amp;Row=3113&amp;Col=1","No Title Assigned - #15268251681")</f>
        <v/>
      </c>
      <c r="B3121" s="0" t="s">
        <v>4582</v>
      </c>
      <c r="C3121" s="0" t="s">
        <v>4583</v>
      </c>
      <c r="D3121" s="0" t="s">
        <v>4583</v>
      </c>
      <c r="E3121" s="0" t="inlineStr">
        <is>
          <t xml:space="preserve">Mazda</t>
        </is>
      </c>
      <c r="F3121" s="0" t="inlineStr">
        <is>
          <t xml:space="preserve">Mazda</t>
        </is>
      </c>
      <c r="G3121" s="0" t="s">
        <v>171</v>
      </c>
      <c r="H3121" s="5">
        <v>451.634500</v>
      </c>
    </row>
    <row r="3122" spans="1:9">
      <c r="A3122" s="22" t="str">
        <f>HYPERLINK("https://app.vivvix.com/360/KMI/IntelliDrive/ApplUI/Pages/CreativePages/CustomReportCreativeDetail.aspx?App=23&amp;ReportView=4&amp;Qid=1711279&amp;Row=3114&amp;Col=1","No Title Assigned - #15268252246")</f>
        <v/>
      </c>
      <c r="B3122" s="0" t="s">
        <v>4584</v>
      </c>
      <c r="E3122" s="0" t="inlineStr">
        <is>
          <t xml:space="preserve">Mazda</t>
        </is>
      </c>
      <c r="F3122" s="0" t="inlineStr">
        <is>
          <t xml:space="preserve">Mazda</t>
        </is>
      </c>
      <c r="G3122" s="0" t="s">
        <v>171</v>
      </c>
      <c r="H3122" s="5">
        <v>63.400100</v>
      </c>
    </row>
    <row r="3123" spans="1:9">
      <c r="A3123" s="22" t="str">
        <f>HYPERLINK("https://app.vivvix.com/360/KMI/IntelliDrive/ApplUI/Pages/CreativePages/CustomReportCreativeDetail.aspx?App=23&amp;ReportView=4&amp;Qid=1711279&amp;Row=3115&amp;Col=1","No Title Assigned - #15268253409")</f>
        <v/>
      </c>
      <c r="B3123" s="0" t="s">
        <v>4585</v>
      </c>
      <c r="C3123" s="0" t="s">
        <v>4586</v>
      </c>
      <c r="D3123" s="0" t="s">
        <v>4586</v>
      </c>
      <c r="E3123" s="0" t="inlineStr">
        <is>
          <t xml:space="preserve">Mazda</t>
        </is>
      </c>
      <c r="F3123" s="0" t="s">
        <v>28</v>
      </c>
      <c r="G3123" s="0" t="s">
        <v>29</v>
      </c>
      <c r="H3123" s="5">
        <v>254823.595300</v>
      </c>
    </row>
    <row r="3124" spans="1:9">
      <c r="A3124" s="22" t="str">
        <f>HYPERLINK("https://app.vivvix.com/360/KMI/IntelliDrive/ApplUI/Pages/CreativePages/CustomReportCreativeDetail.aspx?App=23&amp;ReportView=4&amp;Qid=1711279&amp;Row=3116&amp;Col=1","No Title Assigned - #15268254273")</f>
        <v/>
      </c>
      <c r="B3124" s="0" t="s">
        <v>4587</v>
      </c>
      <c r="C3124" s="0" t="s">
        <v>4588</v>
      </c>
      <c r="D3124" s="0" t="s">
        <v>4588</v>
      </c>
      <c r="E3124" s="0" t="inlineStr">
        <is>
          <t xml:space="preserve">Mazda</t>
        </is>
      </c>
      <c r="F3124" s="0" t="s">
        <v>28</v>
      </c>
      <c r="G3124" s="0" t="s">
        <v>29</v>
      </c>
      <c r="H3124" s="5">
        <v>204.979300</v>
      </c>
    </row>
    <row r="3125" spans="1:9">
      <c r="A3125" s="22" t="str">
        <f>HYPERLINK("https://app.vivvix.com/360/KMI/IntelliDrive/ApplUI/Pages/CreativePages/CustomReportCreativeDetail.aspx?App=23&amp;ReportView=4&amp;Qid=1711279&amp;Row=3117&amp;Col=1","No Title Assigned - #15268254276")</f>
        <v/>
      </c>
      <c r="B3125" s="0" t="s">
        <v>4589</v>
      </c>
      <c r="C3125" s="0" t="s">
        <v>4590</v>
      </c>
      <c r="D3125" s="0" t="s">
        <v>4590</v>
      </c>
      <c r="E3125" s="0" t="inlineStr">
        <is>
          <t xml:space="preserve">Mazda</t>
        </is>
      </c>
      <c r="F3125" s="0" t="inlineStr">
        <is>
          <t xml:space="preserve">Mazda</t>
        </is>
      </c>
      <c r="G3125" s="0" t="s">
        <v>171</v>
      </c>
      <c r="H3125" s="5">
        <v>2089.421100</v>
      </c>
    </row>
    <row r="3126" spans="1:9">
      <c r="A3126" s="22" t="str">
        <f>HYPERLINK("https://app.vivvix.com/360/KMI/IntelliDrive/ApplUI/Pages/CreativePages/CustomReportCreativeDetail.aspx?App=23&amp;ReportView=4&amp;Qid=1711279&amp;Row=3118&amp;Col=1","No Title Assigned - #15268254814")</f>
        <v/>
      </c>
      <c r="B3126" s="0" t="s">
        <v>4591</v>
      </c>
      <c r="E3126" s="0" t="inlineStr">
        <is>
          <t xml:space="preserve">Mazda</t>
        </is>
      </c>
      <c r="F3126" s="0" t="inlineStr">
        <is>
          <t xml:space="preserve">Mazda</t>
        </is>
      </c>
      <c r="G3126" s="0" t="s">
        <v>171</v>
      </c>
      <c r="H3126" s="5">
        <v>362.371800</v>
      </c>
    </row>
    <row r="3127" spans="1:9">
      <c r="A3127" s="22" t="str">
        <f>HYPERLINK("https://app.vivvix.com/360/KMI/IntelliDrive/ApplUI/Pages/CreativePages/CustomReportCreativeDetail.aspx?App=23&amp;ReportView=4&amp;Qid=1711279&amp;Row=3119&amp;Col=1","No Title Assigned - #15268254935")</f>
        <v/>
      </c>
      <c r="B3127" s="0" t="s">
        <v>4592</v>
      </c>
      <c r="C3127" s="0" t="s">
        <v>4593</v>
      </c>
      <c r="D3127" s="0" t="s">
        <v>4593</v>
      </c>
      <c r="E3127" s="0" t="inlineStr">
        <is>
          <t xml:space="preserve">Mazda</t>
        </is>
      </c>
      <c r="F3127" s="0" t="inlineStr">
        <is>
          <t xml:space="preserve">Mazda</t>
        </is>
      </c>
      <c r="G3127" s="0" t="s">
        <v>505</v>
      </c>
    </row>
    <row r="3128" spans="1:9">
      <c r="A3128" s="22" t="str">
        <f>HYPERLINK("https://app.vivvix.com/360/KMI/IntelliDrive/ApplUI/Pages/CreativePages/CustomReportCreativeDetail.aspx?App=23&amp;ReportView=4&amp;Qid=1711279&amp;Row=3120&amp;Col=1","No Title Assigned - #15268255902")</f>
        <v/>
      </c>
      <c r="B3128" s="0" t="s">
        <v>4594</v>
      </c>
      <c r="C3128" s="0" t="s">
        <v>4595</v>
      </c>
      <c r="D3128" s="0" t="s">
        <v>4200</v>
      </c>
      <c r="E3128" s="0" t="inlineStr">
        <is>
          <t xml:space="preserve">Mazda</t>
        </is>
      </c>
      <c r="F3128" s="0" t="s">
        <v>28</v>
      </c>
      <c r="G3128" s="0" t="s">
        <v>29</v>
      </c>
      <c r="H3128" s="5">
        <v>450.337000</v>
      </c>
    </row>
    <row r="3129" spans="1:9">
      <c r="A3129" s="22" t="str">
        <f>HYPERLINK("https://app.vivvix.com/360/KMI/IntelliDrive/ApplUI/Pages/CreativePages/CustomReportCreativeDetail.aspx?App=23&amp;ReportView=4&amp;Qid=1711279&amp;Row=3121&amp;Col=1","No Title Assigned - #15268256115")</f>
        <v/>
      </c>
      <c r="B3129" s="0" t="s">
        <v>4596</v>
      </c>
      <c r="C3129" s="0" t="s">
        <v>4597</v>
      </c>
      <c r="D3129" s="0" t="s">
        <v>4597</v>
      </c>
      <c r="E3129" s="0" t="inlineStr">
        <is>
          <t xml:space="preserve">Mazda</t>
        </is>
      </c>
      <c r="F3129" s="0" t="s">
        <v>17</v>
      </c>
      <c r="G3129" s="0" t="s">
        <v>33</v>
      </c>
      <c r="H3129" s="5">
        <v>9203.435800</v>
      </c>
    </row>
    <row r="3130" spans="1:9">
      <c r="A3130" s="22" t="str">
        <f>HYPERLINK("https://app.vivvix.com/360/KMI/IntelliDrive/ApplUI/Pages/CreativePages/CustomReportCreativeDetail.aspx?App=23&amp;ReportView=4&amp;Qid=1711279&amp;Row=3122&amp;Col=1","No Title Assigned - #15268256351")</f>
        <v/>
      </c>
      <c r="B3130" s="0" t="s">
        <v>4598</v>
      </c>
      <c r="C3130" s="0" t="s">
        <v>4599</v>
      </c>
      <c r="D3130" s="0" t="s">
        <v>4333</v>
      </c>
      <c r="E3130" s="0" t="inlineStr">
        <is>
          <t xml:space="preserve">Mazda</t>
        </is>
      </c>
      <c r="F3130" s="0" t="s">
        <v>28</v>
      </c>
      <c r="G3130" s="0" t="s">
        <v>29</v>
      </c>
      <c r="H3130" s="5">
        <v>2340.150800</v>
      </c>
    </row>
    <row r="3131" spans="1:9">
      <c r="A3131" s="22" t="str">
        <f>HYPERLINK("https://app.vivvix.com/360/KMI/IntelliDrive/ApplUI/Pages/CreativePages/CustomReportCreativeDetail.aspx?App=23&amp;ReportView=4&amp;Qid=1711279&amp;Row=3123&amp;Col=1","No Title Assigned - #15268256798")</f>
        <v/>
      </c>
      <c r="B3131" s="0" t="s">
        <v>4600</v>
      </c>
      <c r="E3131" s="0" t="inlineStr">
        <is>
          <t xml:space="preserve">Mazda</t>
        </is>
      </c>
      <c r="F3131" s="0" t="s">
        <v>28</v>
      </c>
      <c r="G3131" s="0" t="s">
        <v>29</v>
      </c>
      <c r="H3131" s="5">
        <v>15803.001200</v>
      </c>
    </row>
    <row r="3132" spans="1:9">
      <c r="A3132" s="22" t="str">
        <f>HYPERLINK("https://app.vivvix.com/360/KMI/IntelliDrive/ApplUI/Pages/CreativePages/CustomReportCreativeDetail.aspx?App=23&amp;ReportView=4&amp;Qid=1711279&amp;Row=3124&amp;Col=1","No Title Assigned - #15268256798")</f>
        <v/>
      </c>
      <c r="B3132" s="0" t="s">
        <v>4600</v>
      </c>
      <c r="C3132" s="0" t="s">
        <v>4601</v>
      </c>
      <c r="D3132" s="0" t="s">
        <v>4204</v>
      </c>
      <c r="E3132" s="0" t="inlineStr">
        <is>
          <t xml:space="preserve">Mazda</t>
        </is>
      </c>
      <c r="F3132" s="0" t="s">
        <v>28</v>
      </c>
      <c r="G3132" s="0" t="s">
        <v>29</v>
      </c>
      <c r="H3132" s="5">
        <v>2170.249700</v>
      </c>
    </row>
    <row r="3133" spans="1:9">
      <c r="A3133" s="22" t="str">
        <f>HYPERLINK("https://app.vivvix.com/360/KMI/IntelliDrive/ApplUI/Pages/CreativePages/CustomReportCreativeDetail.aspx?App=23&amp;ReportView=4&amp;Qid=1711279&amp;Row=3125&amp;Col=1","No Title Assigned - #15268257181")</f>
        <v/>
      </c>
      <c r="B3133" s="0" t="s">
        <v>4602</v>
      </c>
      <c r="E3133" s="0" t="inlineStr">
        <is>
          <t xml:space="preserve">Mazda</t>
        </is>
      </c>
      <c r="F3133" s="0" t="s">
        <v>28</v>
      </c>
      <c r="G3133" s="0" t="s">
        <v>29</v>
      </c>
      <c r="H3133" s="5">
        <v>374.604000</v>
      </c>
    </row>
    <row r="3134" spans="1:9">
      <c r="A3134" s="22" t="str">
        <f>HYPERLINK("https://app.vivvix.com/360/KMI/IntelliDrive/ApplUI/Pages/CreativePages/CustomReportCreativeDetail.aspx?App=23&amp;ReportView=4&amp;Qid=1711279&amp;Row=3126&amp;Col=1","No Title Assigned - #15268257181")</f>
        <v/>
      </c>
      <c r="B3134" s="0" t="s">
        <v>4602</v>
      </c>
      <c r="C3134" s="0" t="s">
        <v>4603</v>
      </c>
      <c r="D3134" s="0" t="s">
        <v>4603</v>
      </c>
      <c r="E3134" s="0" t="inlineStr">
        <is>
          <t xml:space="preserve">Mazda</t>
        </is>
      </c>
      <c r="F3134" s="0" t="s">
        <v>28</v>
      </c>
      <c r="G3134" s="0" t="s">
        <v>29</v>
      </c>
      <c r="H3134" s="5">
        <v>845.425300</v>
      </c>
    </row>
    <row r="3135" spans="1:9">
      <c r="A3135" s="22" t="str">
        <f>HYPERLINK("https://app.vivvix.com/360/KMI/IntelliDrive/ApplUI/Pages/CreativePages/CustomReportCreativeDetail.aspx?App=23&amp;ReportView=4&amp;Qid=1711279&amp;Row=3127&amp;Col=1","No Title Assigned - #15268257967")</f>
        <v/>
      </c>
      <c r="B3135" s="0" t="s">
        <v>4604</v>
      </c>
      <c r="C3135" s="0" t="s">
        <v>4605</v>
      </c>
      <c r="D3135" s="0" t="s">
        <v>4200</v>
      </c>
      <c r="E3135" s="0" t="inlineStr">
        <is>
          <t xml:space="preserve">Mazda</t>
        </is>
      </c>
      <c r="F3135" s="0" t="s">
        <v>28</v>
      </c>
      <c r="G3135" s="0" t="s">
        <v>29</v>
      </c>
      <c r="H3135" s="5">
        <v>646.600100</v>
      </c>
    </row>
    <row r="3136" spans="1:9">
      <c r="A3136" s="22" t="str">
        <f>HYPERLINK("https://app.vivvix.com/360/KMI/IntelliDrive/ApplUI/Pages/CreativePages/CustomReportCreativeDetail.aspx?App=23&amp;ReportView=4&amp;Qid=1711279&amp;Row=3128&amp;Col=1","No Title Assigned - #15268268739")</f>
        <v/>
      </c>
      <c r="B3136" s="0" t="s">
        <v>4606</v>
      </c>
      <c r="E3136" s="0" t="inlineStr">
        <is>
          <t xml:space="preserve">Mazda</t>
        </is>
      </c>
      <c r="F3136" s="0" t="s">
        <v>28</v>
      </c>
      <c r="G3136" s="0" t="s">
        <v>29</v>
      </c>
      <c r="H3136" s="5">
        <v>31.049000</v>
      </c>
    </row>
    <row r="3137" spans="1:9">
      <c r="A3137" s="22" t="str">
        <f>HYPERLINK("https://app.vivvix.com/360/KMI/IntelliDrive/ApplUI/Pages/CreativePages/CustomReportCreativeDetail.aspx?App=23&amp;ReportView=4&amp;Qid=1711279&amp;Row=3129&amp;Col=1","No Title Assigned - #15268269871")</f>
        <v/>
      </c>
      <c r="B3137" s="0" t="s">
        <v>4607</v>
      </c>
      <c r="C3137" s="0" t="s">
        <v>4608</v>
      </c>
      <c r="D3137" s="0" t="s">
        <v>4608</v>
      </c>
      <c r="E3137" s="0" t="inlineStr">
        <is>
          <t xml:space="preserve">Mazda</t>
        </is>
      </c>
      <c r="F3137" s="0" t="s">
        <v>28</v>
      </c>
      <c r="G3137" s="0" t="s">
        <v>29</v>
      </c>
      <c r="H3137" s="5">
        <v>65021.578200</v>
      </c>
    </row>
    <row r="3138" spans="1:9">
      <c r="A3138" s="22" t="str">
        <f>HYPERLINK("https://app.vivvix.com/360/KMI/IntelliDrive/ApplUI/Pages/CreativePages/CustomReportCreativeDetail.aspx?App=23&amp;ReportView=4&amp;Qid=1711279&amp;Row=3130&amp;Col=1","No Title Assigned - #15268270414")</f>
        <v/>
      </c>
      <c r="B3138" s="0" t="s">
        <v>4609</v>
      </c>
      <c r="E3138" s="0" t="inlineStr">
        <is>
          <t xml:space="preserve">Mazda</t>
        </is>
      </c>
      <c r="F3138" s="0" t="inlineStr">
        <is>
          <t xml:space="preserve">Mazda</t>
        </is>
      </c>
      <c r="G3138" s="0" t="s">
        <v>171</v>
      </c>
      <c r="H3138" s="5">
        <v>173.426900</v>
      </c>
    </row>
    <row r="3139" spans="1:9">
      <c r="A3139" s="22" t="str">
        <f>HYPERLINK("https://app.vivvix.com/360/KMI/IntelliDrive/ApplUI/Pages/CreativePages/CustomReportCreativeDetail.aspx?App=23&amp;ReportView=4&amp;Qid=1711279&amp;Row=3131&amp;Col=1","No Title Assigned - #15268270415")</f>
        <v/>
      </c>
      <c r="B3139" s="0" t="s">
        <v>4610</v>
      </c>
      <c r="E3139" s="0" t="inlineStr">
        <is>
          <t xml:space="preserve">Mazda</t>
        </is>
      </c>
      <c r="F3139" s="0" t="inlineStr">
        <is>
          <t xml:space="preserve">Mazda</t>
        </is>
      </c>
      <c r="G3139" s="0" t="s">
        <v>171</v>
      </c>
      <c r="H3139" s="5">
        <v>293.094900</v>
      </c>
    </row>
    <row r="3140" spans="1:9">
      <c r="A3140" s="22" t="str">
        <f>HYPERLINK("https://app.vivvix.com/360/KMI/IntelliDrive/ApplUI/Pages/CreativePages/CustomReportCreativeDetail.aspx?App=23&amp;ReportView=4&amp;Qid=1711279&amp;Row=3132&amp;Col=1","No Title Assigned - #15268270689")</f>
        <v/>
      </c>
      <c r="B3140" s="0" t="s">
        <v>4611</v>
      </c>
      <c r="E3140" s="0" t="inlineStr">
        <is>
          <t xml:space="preserve">Mazda</t>
        </is>
      </c>
      <c r="F3140" s="0" t="inlineStr">
        <is>
          <t xml:space="preserve">Mazda</t>
        </is>
      </c>
      <c r="G3140" s="0" t="s">
        <v>171</v>
      </c>
      <c r="H3140" s="5">
        <v>445.231000</v>
      </c>
    </row>
    <row r="3141" spans="1:9">
      <c r="A3141" s="22" t="str">
        <f>HYPERLINK("https://app.vivvix.com/360/KMI/IntelliDrive/ApplUI/Pages/CreativePages/CustomReportCreativeDetail.aspx?App=23&amp;ReportView=4&amp;Qid=1711279&amp;Row=3133&amp;Col=1","No Title Assigned - #15268271208")</f>
        <v/>
      </c>
      <c r="B3141" s="0" t="s">
        <v>4612</v>
      </c>
      <c r="E3141" s="0" t="inlineStr">
        <is>
          <t xml:space="preserve">Mazda</t>
        </is>
      </c>
      <c r="F3141" s="0" t="inlineStr">
        <is>
          <t xml:space="preserve">Mazda</t>
        </is>
      </c>
      <c r="G3141" s="0" t="s">
        <v>171</v>
      </c>
      <c r="H3141" s="5">
        <v>428.502800</v>
      </c>
    </row>
    <row r="3142" spans="1:9">
      <c r="A3142" s="22" t="str">
        <f>HYPERLINK("https://app.vivvix.com/360/KMI/IntelliDrive/ApplUI/Pages/CreativePages/CustomReportCreativeDetail.aspx?App=23&amp;ReportView=4&amp;Qid=1711279&amp;Row=3134&amp;Col=1","No Title Assigned - #15268271208")</f>
        <v/>
      </c>
      <c r="B3142" s="0" t="s">
        <v>4612</v>
      </c>
      <c r="E3142" s="0" t="inlineStr">
        <is>
          <t xml:space="preserve">Mazda</t>
        </is>
      </c>
      <c r="F3142" s="0" t="inlineStr">
        <is>
          <t xml:space="preserve">Mazda</t>
        </is>
      </c>
      <c r="G3142" s="0" t="s">
        <v>171</v>
      </c>
      <c r="H3142" s="5">
        <v>505.946100</v>
      </c>
    </row>
    <row r="3143" spans="1:9">
      <c r="A3143" s="22" t="str">
        <f>HYPERLINK("https://app.vivvix.com/360/KMI/IntelliDrive/ApplUI/Pages/CreativePages/CustomReportCreativeDetail.aspx?App=23&amp;ReportView=4&amp;Qid=1711279&amp;Row=3135&amp;Col=1","No Title Assigned - #15268271477")</f>
        <v/>
      </c>
      <c r="B3143" s="0" t="s">
        <v>4613</v>
      </c>
      <c r="E3143" s="0" t="inlineStr">
        <is>
          <t xml:space="preserve">Mazda</t>
        </is>
      </c>
      <c r="F3143" s="0" t="inlineStr">
        <is>
          <t xml:space="preserve">Mazda</t>
        </is>
      </c>
      <c r="G3143" s="0" t="s">
        <v>171</v>
      </c>
      <c r="H3143" s="5">
        <v>753.126100</v>
      </c>
    </row>
    <row r="3144" spans="1:9">
      <c r="A3144" s="22" t="str">
        <f>HYPERLINK("https://app.vivvix.com/360/KMI/IntelliDrive/ApplUI/Pages/CreativePages/CustomReportCreativeDetail.aspx?App=23&amp;ReportView=4&amp;Qid=1711279&amp;Row=3136&amp;Col=1","No Title Assigned - #15268272570")</f>
        <v/>
      </c>
      <c r="B3144" s="0" t="s">
        <v>4614</v>
      </c>
      <c r="E3144" s="0" t="inlineStr">
        <is>
          <t xml:space="preserve">Mazda</t>
        </is>
      </c>
      <c r="F3144" s="0" t="inlineStr">
        <is>
          <t xml:space="preserve">Mazda</t>
        </is>
      </c>
      <c r="G3144" s="0" t="s">
        <v>171</v>
      </c>
      <c r="H3144" s="5">
        <v>769.518500</v>
      </c>
    </row>
    <row r="3145" spans="1:9">
      <c r="A3145" s="22" t="str">
        <f>HYPERLINK("https://app.vivvix.com/360/KMI/IntelliDrive/ApplUI/Pages/CreativePages/CustomReportCreativeDetail.aspx?App=23&amp;ReportView=4&amp;Qid=1711279&amp;Row=3137&amp;Col=1","No Title Assigned - #15268272753")</f>
        <v/>
      </c>
      <c r="B3145" s="0" t="s">
        <v>4615</v>
      </c>
      <c r="E3145" s="0" t="inlineStr">
        <is>
          <t xml:space="preserve">Mazda</t>
        </is>
      </c>
      <c r="F3145" s="0" t="inlineStr">
        <is>
          <t xml:space="preserve">Mazda</t>
        </is>
      </c>
      <c r="G3145" s="0" t="s">
        <v>171</v>
      </c>
      <c r="H3145" s="5">
        <v>876.936100</v>
      </c>
    </row>
    <row r="3146" spans="1:9">
      <c r="A3146" s="22" t="str">
        <f>HYPERLINK("https://app.vivvix.com/360/KMI/IntelliDrive/ApplUI/Pages/CreativePages/CustomReportCreativeDetail.aspx?App=23&amp;ReportView=4&amp;Qid=1711279&amp;Row=3138&amp;Col=1","No Title Assigned - #15268272966")</f>
        <v/>
      </c>
      <c r="B3146" s="0" t="s">
        <v>4616</v>
      </c>
      <c r="C3146" s="0" t="s">
        <v>4617</v>
      </c>
      <c r="D3146" s="0" t="s">
        <v>4617</v>
      </c>
      <c r="E3146" s="0" t="inlineStr">
        <is>
          <t xml:space="preserve">Mazda</t>
        </is>
      </c>
      <c r="F3146" s="0" t="inlineStr">
        <is>
          <t xml:space="preserve">Mazda</t>
        </is>
      </c>
      <c r="G3146" s="0" t="s">
        <v>171</v>
      </c>
      <c r="H3146" s="5">
        <v>212.723400</v>
      </c>
    </row>
    <row r="3147" spans="1:9">
      <c r="A3147" s="22" t="str">
        <f>HYPERLINK("https://app.vivvix.com/360/KMI/IntelliDrive/ApplUI/Pages/CreativePages/CustomReportCreativeDetail.aspx?App=23&amp;ReportView=4&amp;Qid=1711279&amp;Row=3139&amp;Col=1","No Title Assigned - #15268273224")</f>
        <v/>
      </c>
      <c r="B3147" s="0" t="s">
        <v>4618</v>
      </c>
      <c r="E3147" s="0" t="inlineStr">
        <is>
          <t xml:space="preserve">Mazda</t>
        </is>
      </c>
      <c r="F3147" s="0" t="inlineStr">
        <is>
          <t xml:space="preserve">Mazda</t>
        </is>
      </c>
      <c r="G3147" s="0" t="s">
        <v>171</v>
      </c>
      <c r="H3147" s="5">
        <v>1099.258600</v>
      </c>
    </row>
    <row r="3148" spans="1:9">
      <c r="A3148" s="22" t="str">
        <f>HYPERLINK("https://app.vivvix.com/360/KMI/IntelliDrive/ApplUI/Pages/CreativePages/CustomReportCreativeDetail.aspx?App=23&amp;ReportView=4&amp;Qid=1711279&amp;Row=3140&amp;Col=1","No Title Assigned - #15268273302")</f>
        <v/>
      </c>
      <c r="B3148" s="0" t="s">
        <v>4619</v>
      </c>
      <c r="E3148" s="0" t="inlineStr">
        <is>
          <t xml:space="preserve">Mazda</t>
        </is>
      </c>
      <c r="F3148" s="0" t="inlineStr">
        <is>
          <t xml:space="preserve">Mazda</t>
        </is>
      </c>
      <c r="G3148" s="0" t="s">
        <v>171</v>
      </c>
      <c r="H3148" s="5">
        <v>17.305100</v>
      </c>
    </row>
    <row r="3149" spans="1:9">
      <c r="A3149" s="22" t="str">
        <f>HYPERLINK("https://app.vivvix.com/360/KMI/IntelliDrive/ApplUI/Pages/CreativePages/CustomReportCreativeDetail.aspx?App=23&amp;ReportView=4&amp;Qid=1711279&amp;Row=3141&amp;Col=1","No Title Assigned - #15268273302")</f>
        <v/>
      </c>
      <c r="B3149" s="0" t="s">
        <v>4619</v>
      </c>
      <c r="E3149" s="0" t="inlineStr">
        <is>
          <t xml:space="preserve">Mazda</t>
        </is>
      </c>
      <c r="F3149" s="0" t="inlineStr">
        <is>
          <t xml:space="preserve">Mazda</t>
        </is>
      </c>
      <c r="G3149" s="0" t="s">
        <v>171</v>
      </c>
      <c r="H3149" s="5">
        <v>2301.384800</v>
      </c>
    </row>
    <row r="3150" spans="1:9">
      <c r="A3150" s="22" t="str">
        <f>HYPERLINK("https://app.vivvix.com/360/KMI/IntelliDrive/ApplUI/Pages/CreativePages/CustomReportCreativeDetail.aspx?App=23&amp;ReportView=4&amp;Qid=1711279&amp;Row=3142&amp;Col=1","No Title Assigned - #15268273353")</f>
        <v/>
      </c>
      <c r="B3150" s="0" t="s">
        <v>4620</v>
      </c>
      <c r="E3150" s="0" t="inlineStr">
        <is>
          <t xml:space="preserve">Mazda</t>
        </is>
      </c>
      <c r="F3150" s="0" t="inlineStr">
        <is>
          <t xml:space="preserve">Mazda</t>
        </is>
      </c>
      <c r="G3150" s="0" t="s">
        <v>171</v>
      </c>
      <c r="H3150" s="5">
        <v>11123.741000</v>
      </c>
    </row>
    <row r="3151" spans="1:9">
      <c r="A3151" s="22" t="str">
        <f>HYPERLINK("https://app.vivvix.com/360/KMI/IntelliDrive/ApplUI/Pages/CreativePages/CustomReportCreativeDetail.aspx?App=23&amp;ReportView=4&amp;Qid=1711279&amp;Row=3143&amp;Col=1","No Title Assigned - #15268273360")</f>
        <v/>
      </c>
      <c r="B3151" s="0" t="s">
        <v>4621</v>
      </c>
      <c r="E3151" s="0" t="inlineStr">
        <is>
          <t xml:space="preserve">Mazda</t>
        </is>
      </c>
      <c r="F3151" s="0" t="inlineStr">
        <is>
          <t xml:space="preserve">Mazda</t>
        </is>
      </c>
      <c r="G3151" s="0" t="s">
        <v>171</v>
      </c>
      <c r="H3151" s="5">
        <v>506.435600</v>
      </c>
    </row>
    <row r="3152" spans="1:9">
      <c r="A3152" s="22" t="str">
        <f>HYPERLINK("https://app.vivvix.com/360/KMI/IntelliDrive/ApplUI/Pages/CreativePages/CustomReportCreativeDetail.aspx?App=23&amp;ReportView=4&amp;Qid=1711279&amp;Row=3144&amp;Col=1","No Title Assigned - #15268273409")</f>
        <v/>
      </c>
      <c r="B3152" s="0" t="s">
        <v>4622</v>
      </c>
      <c r="E3152" s="0" t="inlineStr">
        <is>
          <t xml:space="preserve">Mazda</t>
        </is>
      </c>
      <c r="F3152" s="0" t="inlineStr">
        <is>
          <t xml:space="preserve">Mazda</t>
        </is>
      </c>
      <c r="G3152" s="0" t="s">
        <v>171</v>
      </c>
      <c r="H3152" s="5">
        <v>1274.625900</v>
      </c>
    </row>
    <row r="3153" spans="1:9">
      <c r="A3153" s="22" t="str">
        <f>HYPERLINK("https://app.vivvix.com/360/KMI/IntelliDrive/ApplUI/Pages/CreativePages/CustomReportCreativeDetail.aspx?App=23&amp;ReportView=4&amp;Qid=1711279&amp;Row=3145&amp;Col=1","No Title Assigned - #15268273538")</f>
        <v/>
      </c>
      <c r="B3153" s="0" t="s">
        <v>4623</v>
      </c>
      <c r="E3153" s="0" t="inlineStr">
        <is>
          <t xml:space="preserve">Mazda</t>
        </is>
      </c>
      <c r="F3153" s="0" t="inlineStr">
        <is>
          <t xml:space="preserve">Mazda</t>
        </is>
      </c>
      <c r="G3153" s="0" t="s">
        <v>171</v>
      </c>
      <c r="H3153" s="5">
        <v>892.437000</v>
      </c>
    </row>
    <row r="3154" spans="1:9">
      <c r="A3154" s="22" t="str">
        <f>HYPERLINK("https://app.vivvix.com/360/KMI/IntelliDrive/ApplUI/Pages/CreativePages/CustomReportCreativeDetail.aspx?App=23&amp;ReportView=4&amp;Qid=1711279&amp;Row=3146&amp;Col=1","No Title Assigned - #15268274410")</f>
        <v/>
      </c>
      <c r="B3154" s="0" t="s">
        <v>4624</v>
      </c>
      <c r="C3154" s="0" t="s">
        <v>4625</v>
      </c>
      <c r="D3154" s="0" t="s">
        <v>4625</v>
      </c>
      <c r="E3154" s="0" t="inlineStr">
        <is>
          <t xml:space="preserve">Mazda</t>
        </is>
      </c>
      <c r="F3154" s="0" t="s">
        <v>28</v>
      </c>
      <c r="G3154" s="0" t="s">
        <v>29</v>
      </c>
      <c r="H3154" s="5">
        <v>883.645500</v>
      </c>
    </row>
    <row r="3155" spans="1:9">
      <c r="A3155" s="22" t="str">
        <f>HYPERLINK("https://app.vivvix.com/360/KMI/IntelliDrive/ApplUI/Pages/CreativePages/CustomReportCreativeDetail.aspx?App=23&amp;ReportView=4&amp;Qid=1711279&amp;Row=3147&amp;Col=1","No Title Assigned - #15268274924")</f>
        <v/>
      </c>
      <c r="B3155" s="0" t="s">
        <v>4626</v>
      </c>
      <c r="E3155" s="0" t="inlineStr">
        <is>
          <t xml:space="preserve">Mazda</t>
        </is>
      </c>
      <c r="F3155" s="0" t="inlineStr">
        <is>
          <t xml:space="preserve">Mazda</t>
        </is>
      </c>
      <c r="G3155" s="0" t="s">
        <v>171</v>
      </c>
      <c r="H3155" s="5">
        <v>34.595900</v>
      </c>
    </row>
    <row r="3156" spans="1:9">
      <c r="A3156" s="22" t="str">
        <f>HYPERLINK("https://app.vivvix.com/360/KMI/IntelliDrive/ApplUI/Pages/CreativePages/CustomReportCreativeDetail.aspx?App=23&amp;ReportView=4&amp;Qid=1711279&amp;Row=3148&amp;Col=1","No Title Assigned - #15268275157")</f>
        <v/>
      </c>
      <c r="B3156" s="0" t="s">
        <v>4627</v>
      </c>
      <c r="E3156" s="0" t="inlineStr">
        <is>
          <t xml:space="preserve">Mazda</t>
        </is>
      </c>
      <c r="F3156" s="0" t="inlineStr">
        <is>
          <t xml:space="preserve">Mazda</t>
        </is>
      </c>
      <c r="G3156" s="0" t="s">
        <v>171</v>
      </c>
      <c r="H3156" s="5">
        <v>2383.498900</v>
      </c>
    </row>
    <row r="3157" spans="1:9">
      <c r="A3157" s="22" t="str">
        <f>HYPERLINK("https://app.vivvix.com/360/KMI/IntelliDrive/ApplUI/Pages/CreativePages/CustomReportCreativeDetail.aspx?App=23&amp;ReportView=4&amp;Qid=1711279&amp;Row=3149&amp;Col=1","No Title Assigned - #15268275415")</f>
        <v/>
      </c>
      <c r="B3157" s="0" t="s">
        <v>4628</v>
      </c>
      <c r="C3157" s="0" t="s">
        <v>4629</v>
      </c>
      <c r="D3157" s="0" t="s">
        <v>4629</v>
      </c>
      <c r="E3157" s="0" t="inlineStr">
        <is>
          <t xml:space="preserve">Mazda</t>
        </is>
      </c>
      <c r="F3157" s="0" t="inlineStr">
        <is>
          <t xml:space="preserve">Mazda</t>
        </is>
      </c>
      <c r="G3157" s="0" t="s">
        <v>171</v>
      </c>
      <c r="H3157" s="5">
        <v>570.731900</v>
      </c>
    </row>
    <row r="3158" spans="1:9">
      <c r="A3158" s="22" t="str">
        <f>HYPERLINK("https://app.vivvix.com/360/KMI/IntelliDrive/ApplUI/Pages/CreativePages/CustomReportCreativeDetail.aspx?App=23&amp;ReportView=4&amp;Qid=1711279&amp;Row=3150&amp;Col=1","No Title Assigned - #15268275501")</f>
        <v/>
      </c>
      <c r="B3158" s="0" t="s">
        <v>4630</v>
      </c>
      <c r="E3158" s="0" t="inlineStr">
        <is>
          <t xml:space="preserve">Mazda</t>
        </is>
      </c>
      <c r="F3158" s="0" t="inlineStr">
        <is>
          <t xml:space="preserve">Mazda</t>
        </is>
      </c>
      <c r="G3158" s="0" t="s">
        <v>171</v>
      </c>
      <c r="H3158" s="5">
        <v>44991.496100</v>
      </c>
    </row>
    <row r="3159" spans="1:9">
      <c r="A3159" s="22" t="str">
        <f>HYPERLINK("https://app.vivvix.com/360/KMI/IntelliDrive/ApplUI/Pages/CreativePages/CustomReportCreativeDetail.aspx?App=23&amp;ReportView=4&amp;Qid=1711279&amp;Row=3151&amp;Col=1","No Title Assigned - #15268275503")</f>
        <v/>
      </c>
      <c r="B3159" s="0" t="s">
        <v>4631</v>
      </c>
      <c r="E3159" s="0" t="inlineStr">
        <is>
          <t xml:space="preserve">Mazda</t>
        </is>
      </c>
      <c r="F3159" s="0" t="inlineStr">
        <is>
          <t xml:space="preserve">Mazda</t>
        </is>
      </c>
      <c r="G3159" s="0" t="s">
        <v>171</v>
      </c>
      <c r="H3159" s="5">
        <v>47455.208100</v>
      </c>
    </row>
    <row r="3160" spans="1:9">
      <c r="A3160" s="22" t="str">
        <f>HYPERLINK("https://app.vivvix.com/360/KMI/IntelliDrive/ApplUI/Pages/CreativePages/CustomReportCreativeDetail.aspx?App=23&amp;ReportView=4&amp;Qid=1711279&amp;Row=3152&amp;Col=1","No Title Assigned - #15268275975")</f>
        <v/>
      </c>
      <c r="B3160" s="0" t="s">
        <v>4632</v>
      </c>
      <c r="C3160" s="0" t="s">
        <v>4633</v>
      </c>
      <c r="D3160" s="0" t="s">
        <v>4633</v>
      </c>
      <c r="E3160" s="0" t="inlineStr">
        <is>
          <t xml:space="preserve">Mazda</t>
        </is>
      </c>
      <c r="F3160" s="0" t="inlineStr">
        <is>
          <t xml:space="preserve">Mazda</t>
        </is>
      </c>
      <c r="G3160" s="0" t="s">
        <v>171</v>
      </c>
      <c r="H3160" s="5">
        <v>737.126800</v>
      </c>
    </row>
    <row r="3161" spans="1:9">
      <c r="A3161" s="22" t="str">
        <f>HYPERLINK("https://app.vivvix.com/360/KMI/IntelliDrive/ApplUI/Pages/CreativePages/CustomReportCreativeDetail.aspx?App=23&amp;ReportView=4&amp;Qid=1711279&amp;Row=3153&amp;Col=1","No Title Assigned - #15268275975")</f>
        <v/>
      </c>
      <c r="B3161" s="0" t="s">
        <v>4632</v>
      </c>
      <c r="E3161" s="0" t="inlineStr">
        <is>
          <t xml:space="preserve">Mazda</t>
        </is>
      </c>
      <c r="F3161" s="0" t="inlineStr">
        <is>
          <t xml:space="preserve">Mazda</t>
        </is>
      </c>
      <c r="G3161" s="0" t="s">
        <v>171</v>
      </c>
      <c r="H3161" s="5">
        <v>3494.333500</v>
      </c>
    </row>
    <row r="3162" spans="1:9">
      <c r="A3162" s="22" t="str">
        <f>HYPERLINK("https://app.vivvix.com/360/KMI/IntelliDrive/ApplUI/Pages/CreativePages/CustomReportCreativeDetail.aspx?App=23&amp;ReportView=4&amp;Qid=1711279&amp;Row=3154&amp;Col=1","No Title Assigned - #15268276242")</f>
        <v/>
      </c>
      <c r="B3162" s="0" t="s">
        <v>4634</v>
      </c>
      <c r="E3162" s="0" t="inlineStr">
        <is>
          <t xml:space="preserve">Mazda</t>
        </is>
      </c>
      <c r="F3162" s="0" t="inlineStr">
        <is>
          <t xml:space="preserve">Mazda</t>
        </is>
      </c>
      <c r="G3162" s="0" t="s">
        <v>171</v>
      </c>
      <c r="H3162" s="5">
        <v>676.369800</v>
      </c>
    </row>
    <row r="3163" spans="1:9">
      <c r="A3163" s="22" t="str">
        <f>HYPERLINK("https://app.vivvix.com/360/KMI/IntelliDrive/ApplUI/Pages/CreativePages/CustomReportCreativeDetail.aspx?App=23&amp;ReportView=4&amp;Qid=1711279&amp;Row=3155&amp;Col=1","No Title Assigned - #15268276659")</f>
        <v/>
      </c>
      <c r="B3163" s="0" t="s">
        <v>4635</v>
      </c>
      <c r="E3163" s="0" t="inlineStr">
        <is>
          <t xml:space="preserve">Mazda</t>
        </is>
      </c>
      <c r="F3163" s="0" t="inlineStr">
        <is>
          <t xml:space="preserve">Mazda</t>
        </is>
      </c>
      <c r="G3163" s="0" t="s">
        <v>171</v>
      </c>
      <c r="H3163" s="5">
        <v>38.707400</v>
      </c>
    </row>
    <row r="3164" spans="1:9">
      <c r="A3164" s="22" t="str">
        <f>HYPERLINK("https://app.vivvix.com/360/KMI/IntelliDrive/ApplUI/Pages/CreativePages/CustomReportCreativeDetail.aspx?App=23&amp;ReportView=4&amp;Qid=1711279&amp;Row=3156&amp;Col=1","No Title Assigned - #15268278468")</f>
        <v/>
      </c>
      <c r="B3164" s="0" t="s">
        <v>4636</v>
      </c>
      <c r="E3164" s="0" t="inlineStr">
        <is>
          <t xml:space="preserve">Mazda</t>
        </is>
      </c>
      <c r="F3164" s="0" t="inlineStr">
        <is>
          <t xml:space="preserve">Mazda</t>
        </is>
      </c>
      <c r="G3164" s="0" t="s">
        <v>171</v>
      </c>
      <c r="H3164" s="5">
        <v>89982.992200</v>
      </c>
    </row>
    <row r="3165" spans="1:9">
      <c r="A3165" s="22" t="str">
        <f>HYPERLINK("https://app.vivvix.com/360/KMI/IntelliDrive/ApplUI/Pages/CreativePages/CustomReportCreativeDetail.aspx?App=23&amp;ReportView=4&amp;Qid=1711279&amp;Row=3157&amp;Col=1","No Title Assigned - #15268279712")</f>
        <v/>
      </c>
      <c r="B3165" s="0" t="s">
        <v>4637</v>
      </c>
      <c r="C3165" s="0" t="s">
        <v>4638</v>
      </c>
      <c r="D3165" s="0" t="s">
        <v>4333</v>
      </c>
      <c r="E3165" s="0" t="inlineStr">
        <is>
          <t xml:space="preserve">Mazda</t>
        </is>
      </c>
      <c r="F3165" s="0" t="s">
        <v>28</v>
      </c>
      <c r="G3165" s="0" t="s">
        <v>29</v>
      </c>
      <c r="H3165" s="5">
        <v>1266.565000</v>
      </c>
    </row>
    <row r="3166" spans="1:9">
      <c r="A3166" s="22" t="str">
        <f>HYPERLINK("https://app.vivvix.com/360/KMI/IntelliDrive/ApplUI/Pages/CreativePages/CustomReportCreativeDetail.aspx?App=23&amp;ReportView=4&amp;Qid=1711279&amp;Row=3158&amp;Col=1","No Title Assigned - #15268279908")</f>
        <v/>
      </c>
      <c r="B3166" s="0" t="s">
        <v>4639</v>
      </c>
      <c r="C3166" s="0" t="s">
        <v>4640</v>
      </c>
      <c r="D3166" s="0" t="s">
        <v>4640</v>
      </c>
      <c r="E3166" s="0" t="inlineStr">
        <is>
          <t xml:space="preserve">Mazda</t>
        </is>
      </c>
      <c r="F3166" s="0" t="s">
        <v>28</v>
      </c>
      <c r="G3166" s="0" t="s">
        <v>29</v>
      </c>
      <c r="H3166" s="5">
        <v>1415.716100</v>
      </c>
    </row>
    <row r="3167" spans="1:9">
      <c r="A3167" s="22" t="str">
        <f>HYPERLINK("https://app.vivvix.com/360/KMI/IntelliDrive/ApplUI/Pages/CreativePages/CustomReportCreativeDetail.aspx?App=23&amp;ReportView=4&amp;Qid=1711279&amp;Row=3159&amp;Col=1","No Title Assigned - #15268279908")</f>
        <v/>
      </c>
      <c r="B3167" s="0" t="s">
        <v>4639</v>
      </c>
      <c r="E3167" s="0" t="inlineStr">
        <is>
          <t xml:space="preserve">Mazda</t>
        </is>
      </c>
      <c r="F3167" s="0" t="s">
        <v>28</v>
      </c>
      <c r="G3167" s="0" t="s">
        <v>29</v>
      </c>
      <c r="H3167" s="5">
        <v>6686.441200</v>
      </c>
    </row>
    <row r="3168" spans="1:9">
      <c r="A3168" s="22" t="str">
        <f>HYPERLINK("https://app.vivvix.com/360/KMI/IntelliDrive/ApplUI/Pages/CreativePages/CustomReportCreativeDetail.aspx?App=23&amp;ReportView=4&amp;Qid=1711279&amp;Row=3160&amp;Col=1","No Title Assigned - #15268280139")</f>
        <v/>
      </c>
      <c r="B3168" s="0" t="s">
        <v>4641</v>
      </c>
      <c r="C3168" s="0" t="s">
        <v>4642</v>
      </c>
      <c r="D3168" s="0" t="s">
        <v>4642</v>
      </c>
      <c r="E3168" s="0" t="inlineStr">
        <is>
          <t xml:space="preserve">Mazda</t>
        </is>
      </c>
      <c r="F3168" s="0" t="s">
        <v>13</v>
      </c>
      <c r="G3168" s="0" t="s">
        <v>49</v>
      </c>
      <c r="H3168" s="5">
        <v>35112.321600</v>
      </c>
    </row>
    <row r="3169" spans="1:9">
      <c r="A3169" s="22" t="str">
        <f>HYPERLINK("https://app.vivvix.com/360/KMI/IntelliDrive/ApplUI/Pages/CreativePages/CustomReportCreativeDetail.aspx?App=23&amp;ReportView=4&amp;Qid=1711279&amp;Row=3161&amp;Col=1","No Title Assigned - #15268280139")</f>
        <v/>
      </c>
      <c r="B3169" s="0" t="s">
        <v>4641</v>
      </c>
      <c r="E3169" s="0" t="inlineStr">
        <is>
          <t xml:space="preserve">Mazda</t>
        </is>
      </c>
      <c r="F3169" s="0" t="s">
        <v>13</v>
      </c>
      <c r="G3169" s="0" t="s">
        <v>49</v>
      </c>
      <c r="H3169" s="5">
        <v>14045.859100</v>
      </c>
    </row>
    <row r="3170" spans="1:9">
      <c r="A3170" s="22" t="str">
        <f>HYPERLINK("https://app.vivvix.com/360/KMI/IntelliDrive/ApplUI/Pages/CreativePages/CustomReportCreativeDetail.aspx?App=23&amp;ReportView=4&amp;Qid=1711279&amp;Row=3162&amp;Col=1","No Title Assigned - #15268280353")</f>
        <v/>
      </c>
      <c r="B3170" s="0" t="s">
        <v>4643</v>
      </c>
      <c r="C3170" s="0" t="s">
        <v>4644</v>
      </c>
      <c r="D3170" s="0" t="s">
        <v>4644</v>
      </c>
      <c r="E3170" s="0" t="inlineStr">
        <is>
          <t xml:space="preserve">Mazda</t>
        </is>
      </c>
      <c r="F3170" s="0" t="s">
        <v>28</v>
      </c>
      <c r="G3170" s="0" t="s">
        <v>29</v>
      </c>
      <c r="H3170" s="5">
        <v>522.089400</v>
      </c>
    </row>
    <row r="3171" spans="1:9">
      <c r="A3171" s="22" t="str">
        <f>HYPERLINK("https://app.vivvix.com/360/KMI/IntelliDrive/ApplUI/Pages/CreativePages/CustomReportCreativeDetail.aspx?App=23&amp;ReportView=4&amp;Qid=1711279&amp;Row=3163&amp;Col=1","No Title Assigned - #15268280431")</f>
        <v/>
      </c>
      <c r="B3171" s="0" t="s">
        <v>4645</v>
      </c>
      <c r="C3171" s="0" t="s">
        <v>4646</v>
      </c>
      <c r="D3171" s="0" t="s">
        <v>4225</v>
      </c>
      <c r="E3171" s="0" t="inlineStr">
        <is>
          <t xml:space="preserve">Mazda</t>
        </is>
      </c>
      <c r="F3171" s="0" t="s">
        <v>28</v>
      </c>
      <c r="G3171" s="0" t="s">
        <v>29</v>
      </c>
      <c r="H3171" s="5">
        <v>3006.791200</v>
      </c>
    </row>
    <row r="3172" spans="1:9">
      <c r="A3172" s="22" t="str">
        <f>HYPERLINK("https://app.vivvix.com/360/KMI/IntelliDrive/ApplUI/Pages/CreativePages/CustomReportCreativeDetail.aspx?App=23&amp;ReportView=4&amp;Qid=1711279&amp;Row=3164&amp;Col=1","No Title Assigned - #15268280431")</f>
        <v/>
      </c>
      <c r="B3172" s="0" t="s">
        <v>4645</v>
      </c>
      <c r="E3172" s="0" t="inlineStr">
        <is>
          <t xml:space="preserve">Mazda</t>
        </is>
      </c>
      <c r="F3172" s="0" t="s">
        <v>28</v>
      </c>
      <c r="G3172" s="0" t="s">
        <v>29</v>
      </c>
      <c r="H3172" s="5">
        <v>66.031200</v>
      </c>
    </row>
    <row r="3173" spans="1:9">
      <c r="A3173" s="22" t="str">
        <f>HYPERLINK("https://app.vivvix.com/360/KMI/IntelliDrive/ApplUI/Pages/CreativePages/CustomReportCreativeDetail.aspx?App=23&amp;ReportView=4&amp;Qid=1711279&amp;Row=3165&amp;Col=1","No Title Assigned - #15268280546")</f>
        <v/>
      </c>
      <c r="B3173" s="0" t="s">
        <v>4647</v>
      </c>
      <c r="C3173" s="0" t="s">
        <v>4648</v>
      </c>
      <c r="D3173" s="0" t="s">
        <v>4225</v>
      </c>
      <c r="E3173" s="0" t="inlineStr">
        <is>
          <t xml:space="preserve">Mazda</t>
        </is>
      </c>
      <c r="F3173" s="0" t="s">
        <v>28</v>
      </c>
      <c r="G3173" s="0" t="s">
        <v>29</v>
      </c>
      <c r="H3173" s="5">
        <v>6376.784500</v>
      </c>
    </row>
    <row r="3174" spans="1:9">
      <c r="A3174" s="22" t="str">
        <f>HYPERLINK("https://app.vivvix.com/360/KMI/IntelliDrive/ApplUI/Pages/CreativePages/CustomReportCreativeDetail.aspx?App=23&amp;ReportView=4&amp;Qid=1711279&amp;Row=3166&amp;Col=1","No Title Assigned - #15268280603")</f>
        <v/>
      </c>
      <c r="B3174" s="0" t="s">
        <v>4649</v>
      </c>
      <c r="C3174" s="0" t="s">
        <v>4650</v>
      </c>
      <c r="D3174" s="0" t="s">
        <v>4204</v>
      </c>
      <c r="E3174" s="0" t="inlineStr">
        <is>
          <t xml:space="preserve">Mazda</t>
        </is>
      </c>
      <c r="F3174" s="0" t="s">
        <v>28</v>
      </c>
      <c r="G3174" s="0" t="s">
        <v>29</v>
      </c>
      <c r="H3174" s="5">
        <v>329.200200</v>
      </c>
    </row>
    <row r="3175" spans="1:9">
      <c r="A3175" s="22" t="str">
        <f>HYPERLINK("https://app.vivvix.com/360/KMI/IntelliDrive/ApplUI/Pages/CreativePages/CustomReportCreativeDetail.aspx?App=23&amp;ReportView=4&amp;Qid=1711279&amp;Row=3167&amp;Col=1","No Title Assigned - #15268280708")</f>
        <v/>
      </c>
      <c r="B3175" s="0" t="s">
        <v>4651</v>
      </c>
      <c r="C3175" s="0" t="s">
        <v>4652</v>
      </c>
      <c r="D3175" s="0" t="s">
        <v>4652</v>
      </c>
      <c r="E3175" s="0" t="inlineStr">
        <is>
          <t xml:space="preserve">Mazda</t>
        </is>
      </c>
      <c r="F3175" s="0" t="s">
        <v>17</v>
      </c>
      <c r="G3175" s="0" t="s">
        <v>33</v>
      </c>
      <c r="H3175" s="5">
        <v>4328.521100</v>
      </c>
    </row>
    <row r="3176" spans="1:9">
      <c r="A3176" s="22" t="str">
        <f>HYPERLINK("https://app.vivvix.com/360/KMI/IntelliDrive/ApplUI/Pages/CreativePages/CustomReportCreativeDetail.aspx?App=23&amp;ReportView=4&amp;Qid=1711279&amp;Row=3168&amp;Col=1","No Title Assigned - #15268280956")</f>
        <v/>
      </c>
      <c r="B3176" s="0" t="s">
        <v>4653</v>
      </c>
      <c r="E3176" s="0" t="inlineStr">
        <is>
          <t xml:space="preserve">Mazda</t>
        </is>
      </c>
      <c r="F3176" s="0" t="inlineStr">
        <is>
          <t xml:space="preserve">Mazda</t>
        </is>
      </c>
      <c r="G3176" s="0" t="s">
        <v>171</v>
      </c>
      <c r="H3176" s="5">
        <v>1111.739300</v>
      </c>
    </row>
    <row r="3177" spans="1:9">
      <c r="A3177" s="22" t="str">
        <f>HYPERLINK("https://app.vivvix.com/360/KMI/IntelliDrive/ApplUI/Pages/CreativePages/CustomReportCreativeDetail.aspx?App=23&amp;ReportView=4&amp;Qid=1711279&amp;Row=3169&amp;Col=1","No Title Assigned - #15268281506")</f>
        <v/>
      </c>
      <c r="B3177" s="0" t="s">
        <v>4654</v>
      </c>
      <c r="E3177" s="0" t="inlineStr">
        <is>
          <t xml:space="preserve">Mazda</t>
        </is>
      </c>
      <c r="F3177" s="0" t="inlineStr">
        <is>
          <t xml:space="preserve">Mazda</t>
        </is>
      </c>
      <c r="G3177" s="0" t="s">
        <v>171</v>
      </c>
      <c r="H3177" s="5">
        <v>34.376900</v>
      </c>
    </row>
    <row r="3178" spans="1:9">
      <c r="A3178" s="22" t="str">
        <f>HYPERLINK("https://app.vivvix.com/360/KMI/IntelliDrive/ApplUI/Pages/CreativePages/CustomReportCreativeDetail.aspx?App=23&amp;ReportView=4&amp;Qid=1711279&amp;Row=3170&amp;Col=1","No Title Assigned - #15268281663")</f>
        <v/>
      </c>
      <c r="B3178" s="0" t="s">
        <v>4655</v>
      </c>
      <c r="E3178" s="0" t="inlineStr">
        <is>
          <t xml:space="preserve">Mazda</t>
        </is>
      </c>
      <c r="F3178" s="0" t="inlineStr">
        <is>
          <t xml:space="preserve">Mazda</t>
        </is>
      </c>
      <c r="G3178" s="0" t="s">
        <v>171</v>
      </c>
      <c r="H3178" s="5">
        <v>454.956400</v>
      </c>
    </row>
    <row r="3179" spans="1:9">
      <c r="A3179" s="22" t="str">
        <f>HYPERLINK("https://app.vivvix.com/360/KMI/IntelliDrive/ApplUI/Pages/CreativePages/CustomReportCreativeDetail.aspx?App=23&amp;ReportView=4&amp;Qid=1711279&amp;Row=3171&amp;Col=1","No Title Assigned - #15268281705")</f>
        <v/>
      </c>
      <c r="B3179" s="0" t="s">
        <v>4656</v>
      </c>
      <c r="C3179" s="0" t="s">
        <v>4657</v>
      </c>
      <c r="D3179" s="0" t="s">
        <v>4657</v>
      </c>
      <c r="E3179" s="0" t="inlineStr">
        <is>
          <t xml:space="preserve">Mazda</t>
        </is>
      </c>
      <c r="F3179" s="0" t="inlineStr">
        <is>
          <t xml:space="preserve">Mazda</t>
        </is>
      </c>
      <c r="G3179" s="0" t="s">
        <v>171</v>
      </c>
      <c r="H3179" s="5">
        <v>6402.489500</v>
      </c>
    </row>
    <row r="3180" spans="1:9">
      <c r="A3180" s="22" t="str">
        <f>HYPERLINK("https://app.vivvix.com/360/KMI/IntelliDrive/ApplUI/Pages/CreativePages/CustomReportCreativeDetail.aspx?App=23&amp;ReportView=4&amp;Qid=1711279&amp;Row=3172&amp;Col=1","No Title Assigned - #15268281705")</f>
        <v/>
      </c>
      <c r="B3180" s="0" t="s">
        <v>4656</v>
      </c>
      <c r="E3180" s="0" t="inlineStr">
        <is>
          <t xml:space="preserve">Mazda</t>
        </is>
      </c>
      <c r="F3180" s="0" t="inlineStr">
        <is>
          <t xml:space="preserve">Mazda</t>
        </is>
      </c>
      <c r="G3180" s="0" t="s">
        <v>171</v>
      </c>
      <c r="H3180" s="5">
        <v>11761.815000</v>
      </c>
    </row>
    <row r="3181" spans="1:9">
      <c r="A3181" s="22" t="str">
        <f>HYPERLINK("https://app.vivvix.com/360/KMI/IntelliDrive/ApplUI/Pages/CreativePages/CustomReportCreativeDetail.aspx?App=23&amp;ReportView=4&amp;Qid=1711279&amp;Row=3173&amp;Col=1","No Title Assigned - #15268282183")</f>
        <v/>
      </c>
      <c r="B3181" s="0" t="s">
        <v>4658</v>
      </c>
      <c r="C3181" s="0" t="s">
        <v>4659</v>
      </c>
      <c r="D3181" s="0" t="s">
        <v>4659</v>
      </c>
      <c r="E3181" s="0" t="inlineStr">
        <is>
          <t xml:space="preserve">Mazda</t>
        </is>
      </c>
      <c r="F3181" s="0" t="s">
        <v>28</v>
      </c>
      <c r="G3181" s="0" t="s">
        <v>29</v>
      </c>
      <c r="H3181" s="5">
        <v>316.061100</v>
      </c>
    </row>
    <row r="3182" spans="1:9">
      <c r="A3182" s="22" t="str">
        <f>HYPERLINK("https://app.vivvix.com/360/KMI/IntelliDrive/ApplUI/Pages/CreativePages/CustomReportCreativeDetail.aspx?App=23&amp;ReportView=4&amp;Qid=1711279&amp;Row=3174&amp;Col=1","No Title Assigned - #15268282507")</f>
        <v/>
      </c>
      <c r="B3182" s="0" t="s">
        <v>4660</v>
      </c>
      <c r="E3182" s="0" t="inlineStr">
        <is>
          <t xml:space="preserve">Mazda</t>
        </is>
      </c>
      <c r="F3182" s="0" t="inlineStr">
        <is>
          <t xml:space="preserve">Mazda</t>
        </is>
      </c>
      <c r="G3182" s="0" t="s">
        <v>171</v>
      </c>
      <c r="H3182" s="5">
        <v>1057.863100</v>
      </c>
    </row>
    <row r="3183" spans="1:9">
      <c r="A3183" s="22" t="str">
        <f>HYPERLINK("https://app.vivvix.com/360/KMI/IntelliDrive/ApplUI/Pages/CreativePages/CustomReportCreativeDetail.aspx?App=23&amp;ReportView=4&amp;Qid=1711279&amp;Row=3175&amp;Col=1","No Title Assigned - #15268282862")</f>
        <v/>
      </c>
      <c r="B3183" s="0" t="s">
        <v>4661</v>
      </c>
      <c r="E3183" s="0" t="inlineStr">
        <is>
          <t xml:space="preserve">Mazda</t>
        </is>
      </c>
      <c r="F3183" s="0" t="inlineStr">
        <is>
          <t xml:space="preserve">Mazda</t>
        </is>
      </c>
      <c r="G3183" s="0" t="s">
        <v>171</v>
      </c>
      <c r="H3183" s="5">
        <v>956.240400</v>
      </c>
    </row>
    <row r="3184" spans="1:9">
      <c r="A3184" s="22" t="str">
        <f>HYPERLINK("https://app.vivvix.com/360/KMI/IntelliDrive/ApplUI/Pages/CreativePages/CustomReportCreativeDetail.aspx?App=23&amp;ReportView=4&amp;Qid=1711279&amp;Row=3176&amp;Col=1","No Title Assigned - #15268283187")</f>
        <v/>
      </c>
      <c r="B3184" s="0" t="s">
        <v>4662</v>
      </c>
      <c r="E3184" s="0" t="inlineStr">
        <is>
          <t xml:space="preserve">Mazda</t>
        </is>
      </c>
      <c r="F3184" s="0" t="inlineStr">
        <is>
          <t xml:space="preserve">Mazda</t>
        </is>
      </c>
      <c r="G3184" s="0" t="s">
        <v>171</v>
      </c>
      <c r="H3184" s="5">
        <v>80.057900</v>
      </c>
    </row>
    <row r="3185" spans="1:9">
      <c r="A3185" s="22" t="str">
        <f>HYPERLINK("https://app.vivvix.com/360/KMI/IntelliDrive/ApplUI/Pages/CreativePages/CustomReportCreativeDetail.aspx?App=23&amp;ReportView=4&amp;Qid=1711279&amp;Row=3177&amp;Col=1","No Title Assigned - #15268283318")</f>
        <v/>
      </c>
      <c r="B3185" s="0" t="s">
        <v>4663</v>
      </c>
      <c r="C3185" s="0" t="s">
        <v>4664</v>
      </c>
      <c r="D3185" s="0" t="s">
        <v>4664</v>
      </c>
      <c r="E3185" s="0" t="inlineStr">
        <is>
          <t xml:space="preserve">Mazda</t>
        </is>
      </c>
      <c r="F3185" s="0" t="inlineStr">
        <is>
          <t xml:space="preserve">Mazda</t>
        </is>
      </c>
      <c r="G3185" s="0" t="s">
        <v>171</v>
      </c>
      <c r="H3185" s="5">
        <v>2402.433900</v>
      </c>
    </row>
    <row r="3186" spans="1:9">
      <c r="A3186" s="22" t="str">
        <f>HYPERLINK("https://app.vivvix.com/360/KMI/IntelliDrive/ApplUI/Pages/CreativePages/CustomReportCreativeDetail.aspx?App=23&amp;ReportView=4&amp;Qid=1711279&amp;Row=3178&amp;Col=1","No Title Assigned - #15268284966")</f>
        <v/>
      </c>
      <c r="B3186" s="0" t="s">
        <v>4665</v>
      </c>
      <c r="E3186" s="0" t="inlineStr">
        <is>
          <t xml:space="preserve">Mazda</t>
        </is>
      </c>
      <c r="F3186" s="0" t="inlineStr">
        <is>
          <t xml:space="preserve">Mazda</t>
        </is>
      </c>
      <c r="G3186" s="0" t="s">
        <v>171</v>
      </c>
      <c r="H3186" s="5">
        <v>1897.907100</v>
      </c>
    </row>
    <row r="3187" spans="1:9">
      <c r="A3187" s="22" t="str">
        <f>HYPERLINK("https://app.vivvix.com/360/KMI/IntelliDrive/ApplUI/Pages/CreativePages/CustomReportCreativeDetail.aspx?App=23&amp;ReportView=4&amp;Qid=1711279&amp;Row=3179&amp;Col=1","No Title Assigned - #15268285381")</f>
        <v/>
      </c>
      <c r="B3187" s="0" t="s">
        <v>4666</v>
      </c>
      <c r="E3187" s="0" t="inlineStr">
        <is>
          <t xml:space="preserve">Mazda</t>
        </is>
      </c>
      <c r="F3187" s="0" t="inlineStr">
        <is>
          <t xml:space="preserve">Mazda</t>
        </is>
      </c>
      <c r="G3187" s="0" t="s">
        <v>171</v>
      </c>
      <c r="H3187" s="5">
        <v>63.400100</v>
      </c>
    </row>
    <row r="3188" spans="1:9">
      <c r="A3188" s="22" t="str">
        <f>HYPERLINK("https://app.vivvix.com/360/KMI/IntelliDrive/ApplUI/Pages/CreativePages/CustomReportCreativeDetail.aspx?App=23&amp;ReportView=4&amp;Qid=1711279&amp;Row=3180&amp;Col=1","No Title Assigned - #15268286071")</f>
        <v/>
      </c>
      <c r="B3188" s="0" t="s">
        <v>4667</v>
      </c>
      <c r="C3188" s="0" t="s">
        <v>4668</v>
      </c>
      <c r="D3188" s="0" t="s">
        <v>4668</v>
      </c>
      <c r="E3188" s="0" t="inlineStr">
        <is>
          <t xml:space="preserve">Mazda</t>
        </is>
      </c>
      <c r="F3188" s="0" t="inlineStr">
        <is>
          <t xml:space="preserve">Mazda</t>
        </is>
      </c>
      <c r="G3188" s="0" t="s">
        <v>171</v>
      </c>
      <c r="H3188" s="5">
        <v>8039.545800</v>
      </c>
    </row>
    <row r="3189" spans="1:9">
      <c r="A3189" s="22" t="str">
        <f>HYPERLINK("https://app.vivvix.com/360/KMI/IntelliDrive/ApplUI/Pages/CreativePages/CustomReportCreativeDetail.aspx?App=23&amp;ReportView=4&amp;Qid=1711279&amp;Row=3181&amp;Col=1","No Title Assigned - #15268286071")</f>
        <v/>
      </c>
      <c r="B3189" s="0" t="s">
        <v>4667</v>
      </c>
      <c r="E3189" s="0" t="inlineStr">
        <is>
          <t xml:space="preserve">Mazda</t>
        </is>
      </c>
      <c r="F3189" s="0" t="inlineStr">
        <is>
          <t xml:space="preserve">Mazda</t>
        </is>
      </c>
      <c r="G3189" s="0" t="s">
        <v>171</v>
      </c>
      <c r="H3189" s="5">
        <v>9949.973600</v>
      </c>
    </row>
    <row r="3190" spans="1:9">
      <c r="A3190" s="22" t="str">
        <f>HYPERLINK("https://app.vivvix.com/360/KMI/IntelliDrive/ApplUI/Pages/CreativePages/CustomReportCreativeDetail.aspx?App=23&amp;ReportView=4&amp;Qid=1711279&amp;Row=3182&amp;Col=1","No Title Assigned - #15268287027")</f>
        <v/>
      </c>
      <c r="B3190" s="0" t="s">
        <v>4669</v>
      </c>
      <c r="C3190" s="0" t="s">
        <v>4670</v>
      </c>
      <c r="D3190" s="0" t="s">
        <v>4670</v>
      </c>
      <c r="E3190" s="0" t="inlineStr">
        <is>
          <t xml:space="preserve">Mazda</t>
        </is>
      </c>
      <c r="F3190" s="0" t="inlineStr">
        <is>
          <t xml:space="preserve">Mazda</t>
        </is>
      </c>
      <c r="G3190" s="0" t="s">
        <v>171</v>
      </c>
      <c r="H3190" s="5">
        <v>459.754000</v>
      </c>
    </row>
    <row r="3191" spans="1:9">
      <c r="A3191" s="22" t="str">
        <f>HYPERLINK("https://app.vivvix.com/360/KMI/IntelliDrive/ApplUI/Pages/CreativePages/CustomReportCreativeDetail.aspx?App=23&amp;ReportView=4&amp;Qid=1711279&amp;Row=3183&amp;Col=1","No Title Assigned - #15268287042")</f>
        <v/>
      </c>
      <c r="B3191" s="0" t="s">
        <v>4671</v>
      </c>
      <c r="C3191" s="0" t="s">
        <v>4672</v>
      </c>
      <c r="D3191" s="0" t="s">
        <v>4672</v>
      </c>
      <c r="E3191" s="0" t="inlineStr">
        <is>
          <t xml:space="preserve">Mazda</t>
        </is>
      </c>
      <c r="F3191" s="0" t="inlineStr">
        <is>
          <t xml:space="preserve">Mazda</t>
        </is>
      </c>
      <c r="G3191" s="0" t="s">
        <v>171</v>
      </c>
      <c r="H3191" s="5">
        <v>807.242300</v>
      </c>
    </row>
    <row r="3192" spans="1:9">
      <c r="A3192" s="22" t="str">
        <f>HYPERLINK("https://app.vivvix.com/360/KMI/IntelliDrive/ApplUI/Pages/CreativePages/CustomReportCreativeDetail.aspx?App=23&amp;ReportView=4&amp;Qid=1711279&amp;Row=3184&amp;Col=1","No Title Assigned - #15268287515")</f>
        <v/>
      </c>
      <c r="B3192" s="0" t="s">
        <v>4673</v>
      </c>
      <c r="E3192" s="0" t="inlineStr">
        <is>
          <t xml:space="preserve">Mazda</t>
        </is>
      </c>
      <c r="F3192" s="0" t="inlineStr">
        <is>
          <t xml:space="preserve">Mazda</t>
        </is>
      </c>
      <c r="G3192" s="0" t="s">
        <v>171</v>
      </c>
      <c r="H3192" s="5">
        <v>221.727800</v>
      </c>
    </row>
    <row r="3193" spans="1:9">
      <c r="A3193" s="22" t="str">
        <f>HYPERLINK("https://app.vivvix.com/360/KMI/IntelliDrive/ApplUI/Pages/CreativePages/CustomReportCreativeDetail.aspx?App=23&amp;ReportView=4&amp;Qid=1711279&amp;Row=3185&amp;Col=1","No Title Assigned - #15268288095")</f>
        <v/>
      </c>
      <c r="B3193" s="0" t="s">
        <v>4674</v>
      </c>
      <c r="E3193" s="0" t="inlineStr">
        <is>
          <t xml:space="preserve">Mazda</t>
        </is>
      </c>
      <c r="F3193" s="0" t="inlineStr">
        <is>
          <t xml:space="preserve">Mazda</t>
        </is>
      </c>
      <c r="G3193" s="0" t="s">
        <v>171</v>
      </c>
      <c r="H3193" s="5">
        <v>459.754000</v>
      </c>
    </row>
    <row r="3194" spans="1:9">
      <c r="A3194" s="22" t="str">
        <f>HYPERLINK("https://app.vivvix.com/360/KMI/IntelliDrive/ApplUI/Pages/CreativePages/CustomReportCreativeDetail.aspx?App=23&amp;ReportView=4&amp;Qid=1711279&amp;Row=3186&amp;Col=1","No Title Assigned - #15268288290")</f>
        <v/>
      </c>
      <c r="B3194" s="0" t="s">
        <v>4675</v>
      </c>
      <c r="E3194" s="0" t="inlineStr">
        <is>
          <t xml:space="preserve">Mazda</t>
        </is>
      </c>
      <c r="F3194" s="0" t="inlineStr">
        <is>
          <t xml:space="preserve">Mazda</t>
        </is>
      </c>
      <c r="G3194" s="0" t="s">
        <v>171</v>
      </c>
      <c r="H3194" s="5">
        <v>1189.378900</v>
      </c>
    </row>
    <row r="3195" spans="1:9">
      <c r="A3195" s="22" t="str">
        <f>HYPERLINK("https://app.vivvix.com/360/KMI/IntelliDrive/ApplUI/Pages/CreativePages/CustomReportCreativeDetail.aspx?App=23&amp;ReportView=4&amp;Qid=1711279&amp;Row=3187&amp;Col=1","No Title Assigned - #15268288534")</f>
        <v/>
      </c>
      <c r="B3195" s="0" t="s">
        <v>4676</v>
      </c>
      <c r="E3195" s="0" t="inlineStr">
        <is>
          <t xml:space="preserve">Mazda</t>
        </is>
      </c>
      <c r="F3195" s="0" t="inlineStr">
        <is>
          <t xml:space="preserve">Mazda</t>
        </is>
      </c>
      <c r="G3195" s="0" t="s">
        <v>171</v>
      </c>
      <c r="H3195" s="5">
        <v>16832.831700</v>
      </c>
    </row>
    <row r="3196" spans="1:9">
      <c r="A3196" s="22" t="str">
        <f>HYPERLINK("https://app.vivvix.com/360/KMI/IntelliDrive/ApplUI/Pages/CreativePages/CustomReportCreativeDetail.aspx?App=23&amp;ReportView=4&amp;Qid=1711279&amp;Row=3188&amp;Col=1","No Title Assigned - #15268288534")</f>
        <v/>
      </c>
      <c r="B3196" s="0" t="s">
        <v>4676</v>
      </c>
      <c r="E3196" s="0" t="inlineStr">
        <is>
          <t xml:space="preserve">Mazda</t>
        </is>
      </c>
      <c r="F3196" s="0" t="inlineStr">
        <is>
          <t xml:space="preserve">Mazda</t>
        </is>
      </c>
      <c r="G3196" s="0" t="s">
        <v>171</v>
      </c>
      <c r="H3196" s="5">
        <v>413.157300</v>
      </c>
    </row>
    <row r="3197" spans="1:9">
      <c r="A3197" s="22" t="str">
        <f>HYPERLINK("https://app.vivvix.com/360/KMI/IntelliDrive/ApplUI/Pages/CreativePages/CustomReportCreativeDetail.aspx?App=23&amp;ReportView=4&amp;Qid=1711279&amp;Row=3189&amp;Col=1","No Title Assigned - #15268288601")</f>
        <v/>
      </c>
      <c r="B3197" s="0" t="s">
        <v>4677</v>
      </c>
      <c r="E3197" s="0" t="inlineStr">
        <is>
          <t xml:space="preserve">Mazda</t>
        </is>
      </c>
      <c r="F3197" s="0" t="inlineStr">
        <is>
          <t xml:space="preserve">Mazda</t>
        </is>
      </c>
      <c r="G3197" s="0" t="s">
        <v>171</v>
      </c>
      <c r="H3197" s="5">
        <v>74080.187400</v>
      </c>
    </row>
    <row r="3198" spans="1:9">
      <c r="A3198" s="22" t="str">
        <f>HYPERLINK("https://app.vivvix.com/360/KMI/IntelliDrive/ApplUI/Pages/CreativePages/CustomReportCreativeDetail.aspx?App=23&amp;ReportView=4&amp;Qid=1711279&amp;Row=3190&amp;Col=1","No Title Assigned - #15268288601")</f>
        <v/>
      </c>
      <c r="B3198" s="0" t="s">
        <v>4677</v>
      </c>
      <c r="E3198" s="0" t="inlineStr">
        <is>
          <t xml:space="preserve">Mazda</t>
        </is>
      </c>
      <c r="F3198" s="0" t="inlineStr">
        <is>
          <t xml:space="preserve">Mazda</t>
        </is>
      </c>
      <c r="G3198" s="0" t="s">
        <v>171</v>
      </c>
      <c r="H3198" s="5">
        <v>8211.595400</v>
      </c>
    </row>
    <row r="3199" spans="1:9">
      <c r="A3199" s="22" t="str">
        <f>HYPERLINK("https://app.vivvix.com/360/KMI/IntelliDrive/ApplUI/Pages/CreativePages/CustomReportCreativeDetail.aspx?App=23&amp;ReportView=4&amp;Qid=1711279&amp;Row=3191&amp;Col=1","No Title Assigned - #15268289065")</f>
        <v/>
      </c>
      <c r="B3199" s="0" t="s">
        <v>4678</v>
      </c>
      <c r="E3199" s="0" t="inlineStr">
        <is>
          <t xml:space="preserve">Mazda</t>
        </is>
      </c>
      <c r="F3199" s="0" t="inlineStr">
        <is>
          <t xml:space="preserve">Mazda</t>
        </is>
      </c>
      <c r="G3199" s="0" t="s">
        <v>171</v>
      </c>
      <c r="H3199" s="5">
        <v>209.356100</v>
      </c>
    </row>
    <row r="3200" spans="1:9">
      <c r="A3200" s="22" t="str">
        <f>HYPERLINK("https://app.vivvix.com/360/KMI/IntelliDrive/ApplUI/Pages/CreativePages/CustomReportCreativeDetail.aspx?App=23&amp;ReportView=4&amp;Qid=1711279&amp;Row=3192&amp;Col=1","No Title Assigned - #15268289158")</f>
        <v/>
      </c>
      <c r="B3200" s="0" t="s">
        <v>4679</v>
      </c>
      <c r="C3200" s="0" t="s">
        <v>4680</v>
      </c>
      <c r="D3200" s="0" t="s">
        <v>4680</v>
      </c>
      <c r="E3200" s="0" t="inlineStr">
        <is>
          <t xml:space="preserve">Mazda</t>
        </is>
      </c>
      <c r="F3200" s="0" t="inlineStr">
        <is>
          <t xml:space="preserve">Mazda</t>
        </is>
      </c>
      <c r="G3200" s="0" t="s">
        <v>171</v>
      </c>
      <c r="H3200" s="5">
        <v>7793.965500</v>
      </c>
    </row>
    <row r="3201" spans="1:9">
      <c r="A3201" s="22" t="str">
        <f>HYPERLINK("https://app.vivvix.com/360/KMI/IntelliDrive/ApplUI/Pages/CreativePages/CustomReportCreativeDetail.aspx?App=23&amp;ReportView=4&amp;Qid=1711279&amp;Row=3193&amp;Col=1","No Title Assigned - #15268289158")</f>
        <v/>
      </c>
      <c r="B3201" s="0" t="s">
        <v>4679</v>
      </c>
      <c r="E3201" s="0" t="inlineStr">
        <is>
          <t xml:space="preserve">Mazda</t>
        </is>
      </c>
      <c r="F3201" s="0" t="inlineStr">
        <is>
          <t xml:space="preserve">Mazda</t>
        </is>
      </c>
      <c r="G3201" s="0" t="s">
        <v>171</v>
      </c>
      <c r="H3201" s="5">
        <v>13539.591600</v>
      </c>
    </row>
    <row r="3202" spans="1:9">
      <c r="A3202" s="22" t="str">
        <f>HYPERLINK("https://app.vivvix.com/360/KMI/IntelliDrive/ApplUI/Pages/CreativePages/CustomReportCreativeDetail.aspx?App=23&amp;ReportView=4&amp;Qid=1711279&amp;Row=3194&amp;Col=1","No Title Assigned - #15268289272")</f>
        <v/>
      </c>
      <c r="B3202" s="0" t="s">
        <v>4681</v>
      </c>
      <c r="E3202" s="0" t="inlineStr">
        <is>
          <t xml:space="preserve">Mazda</t>
        </is>
      </c>
      <c r="F3202" s="0" t="inlineStr">
        <is>
          <t xml:space="preserve">Mazda</t>
        </is>
      </c>
      <c r="G3202" s="0" t="s">
        <v>171</v>
      </c>
      <c r="H3202" s="5">
        <v>2846.674700</v>
      </c>
    </row>
    <row r="3203" spans="1:9">
      <c r="A3203" s="22" t="str">
        <f>HYPERLINK("https://app.vivvix.com/360/KMI/IntelliDrive/ApplUI/Pages/CreativePages/CustomReportCreativeDetail.aspx?App=23&amp;ReportView=4&amp;Qid=1711279&amp;Row=3195&amp;Col=1","No Title Assigned - #15268289272")</f>
        <v/>
      </c>
      <c r="B3203" s="0" t="s">
        <v>4681</v>
      </c>
      <c r="E3203" s="0" t="inlineStr">
        <is>
          <t xml:space="preserve">Mazda</t>
        </is>
      </c>
      <c r="F3203" s="0" t="inlineStr">
        <is>
          <t xml:space="preserve">Mazda</t>
        </is>
      </c>
      <c r="G3203" s="0" t="s">
        <v>171</v>
      </c>
      <c r="H3203" s="5">
        <v>103.044400</v>
      </c>
    </row>
    <row r="3204" spans="1:9">
      <c r="A3204" s="22" t="str">
        <f>HYPERLINK("https://app.vivvix.com/360/KMI/IntelliDrive/ApplUI/Pages/CreativePages/CustomReportCreativeDetail.aspx?App=23&amp;ReportView=4&amp;Qid=1711279&amp;Row=3196&amp;Col=1","No Title Assigned - #15268289289")</f>
        <v/>
      </c>
      <c r="B3204" s="0" t="s">
        <v>4682</v>
      </c>
      <c r="E3204" s="0" t="inlineStr">
        <is>
          <t xml:space="preserve">Mazda</t>
        </is>
      </c>
      <c r="F3204" s="0" t="inlineStr">
        <is>
          <t xml:space="preserve">Mazda</t>
        </is>
      </c>
      <c r="G3204" s="0" t="s">
        <v>171</v>
      </c>
      <c r="H3204" s="5">
        <v>3006.774200</v>
      </c>
    </row>
    <row r="3205" spans="1:9">
      <c r="A3205" s="22" t="str">
        <f>HYPERLINK("https://app.vivvix.com/360/KMI/IntelliDrive/ApplUI/Pages/CreativePages/CustomReportCreativeDetail.aspx?App=23&amp;ReportView=4&amp;Qid=1711279&amp;Row=3197&amp;Col=1","No Title Assigned - #15268289289")</f>
        <v/>
      </c>
      <c r="B3205" s="0" t="s">
        <v>4682</v>
      </c>
      <c r="E3205" s="0" t="inlineStr">
        <is>
          <t xml:space="preserve">Mazda</t>
        </is>
      </c>
      <c r="F3205" s="0" t="inlineStr">
        <is>
          <t xml:space="preserve">Mazda</t>
        </is>
      </c>
      <c r="G3205" s="0" t="s">
        <v>171</v>
      </c>
      <c r="H3205" s="5">
        <v>693.802000</v>
      </c>
    </row>
    <row r="3206" spans="1:9">
      <c r="A3206" s="22" t="str">
        <f>HYPERLINK("https://app.vivvix.com/360/KMI/IntelliDrive/ApplUI/Pages/CreativePages/CustomReportCreativeDetail.aspx?App=23&amp;ReportView=4&amp;Qid=1711279&amp;Row=3198&amp;Col=1","No Title Assigned - #15268289525")</f>
        <v/>
      </c>
      <c r="B3206" s="0" t="s">
        <v>4683</v>
      </c>
      <c r="E3206" s="0" t="inlineStr">
        <is>
          <t xml:space="preserve">Mazda</t>
        </is>
      </c>
      <c r="F3206" s="0" t="inlineStr">
        <is>
          <t xml:space="preserve">Mazda</t>
        </is>
      </c>
      <c r="G3206" s="0" t="s">
        <v>171</v>
      </c>
      <c r="H3206" s="5">
        <v>566.850900</v>
      </c>
    </row>
    <row r="3207" spans="1:9">
      <c r="A3207" s="22" t="str">
        <f>HYPERLINK("https://app.vivvix.com/360/KMI/IntelliDrive/ApplUI/Pages/CreativePages/CustomReportCreativeDetail.aspx?App=23&amp;ReportView=4&amp;Qid=1711279&amp;Row=3199&amp;Col=1","No Title Assigned - #15268289537")</f>
        <v/>
      </c>
      <c r="B3207" s="0" t="s">
        <v>4684</v>
      </c>
      <c r="E3207" s="0" t="inlineStr">
        <is>
          <t xml:space="preserve">Mazda</t>
        </is>
      </c>
      <c r="F3207" s="0" t="inlineStr">
        <is>
          <t xml:space="preserve">Mazda</t>
        </is>
      </c>
      <c r="G3207" s="0" t="s">
        <v>171</v>
      </c>
      <c r="H3207" s="5">
        <v>35837.342100</v>
      </c>
    </row>
    <row r="3208" spans="1:9">
      <c r="A3208" s="22" t="str">
        <f>HYPERLINK("https://app.vivvix.com/360/KMI/IntelliDrive/ApplUI/Pages/CreativePages/CustomReportCreativeDetail.aspx?App=23&amp;ReportView=4&amp;Qid=1711279&amp;Row=3200&amp;Col=1","No Title Assigned - #15268289537")</f>
        <v/>
      </c>
      <c r="B3208" s="0" t="s">
        <v>4684</v>
      </c>
      <c r="E3208" s="0" t="inlineStr">
        <is>
          <t xml:space="preserve">Mazda</t>
        </is>
      </c>
      <c r="F3208" s="0" t="inlineStr">
        <is>
          <t xml:space="preserve">Mazda</t>
        </is>
      </c>
      <c r="G3208" s="0" t="s">
        <v>171</v>
      </c>
      <c r="H3208" s="5">
        <v>11068.066400</v>
      </c>
    </row>
    <row r="3209" spans="1:9">
      <c r="A3209" s="22" t="str">
        <f>HYPERLINK("https://app.vivvix.com/360/KMI/IntelliDrive/ApplUI/Pages/CreativePages/CustomReportCreativeDetail.aspx?App=23&amp;ReportView=4&amp;Qid=1711279&amp;Row=3201&amp;Col=1","No Title Assigned - #15268289905")</f>
        <v/>
      </c>
      <c r="B3209" s="0" t="s">
        <v>4685</v>
      </c>
      <c r="E3209" s="0" t="inlineStr">
        <is>
          <t xml:space="preserve">Mazda</t>
        </is>
      </c>
      <c r="F3209" s="0" t="inlineStr">
        <is>
          <t xml:space="preserve">Mazda</t>
        </is>
      </c>
      <c r="G3209" s="0" t="s">
        <v>171</v>
      </c>
      <c r="H3209" s="5">
        <v>492.464000</v>
      </c>
    </row>
    <row r="3210" spans="1:9">
      <c r="A3210" s="22" t="str">
        <f>HYPERLINK("https://app.vivvix.com/360/KMI/IntelliDrive/ApplUI/Pages/CreativePages/CustomReportCreativeDetail.aspx?App=23&amp;ReportView=4&amp;Qid=1711279&amp;Row=3202&amp;Col=1","No Title Assigned - #15268290093")</f>
        <v/>
      </c>
      <c r="B3210" s="0" t="s">
        <v>4686</v>
      </c>
      <c r="E3210" s="0" t="inlineStr">
        <is>
          <t xml:space="preserve">Mazda</t>
        </is>
      </c>
      <c r="F3210" s="0" t="inlineStr">
        <is>
          <t xml:space="preserve">Mazda</t>
        </is>
      </c>
      <c r="G3210" s="0" t="s">
        <v>171</v>
      </c>
      <c r="H3210" s="5">
        <v>465.119800</v>
      </c>
    </row>
    <row r="3211" spans="1:9">
      <c r="A3211" s="22" t="str">
        <f>HYPERLINK("https://app.vivvix.com/360/KMI/IntelliDrive/ApplUI/Pages/CreativePages/CustomReportCreativeDetail.aspx?App=23&amp;ReportView=4&amp;Qid=1711279&amp;Row=3203&amp;Col=1","No Title Assigned - #15268290528")</f>
        <v/>
      </c>
      <c r="B3211" s="0" t="s">
        <v>4687</v>
      </c>
      <c r="E3211" s="0" t="inlineStr">
        <is>
          <t xml:space="preserve">Mazda</t>
        </is>
      </c>
      <c r="F3211" s="0" t="inlineStr">
        <is>
          <t xml:space="preserve">Mazda</t>
        </is>
      </c>
      <c r="G3211" s="0" t="s">
        <v>171</v>
      </c>
      <c r="H3211" s="5">
        <v>1236.342600</v>
      </c>
    </row>
    <row r="3212" spans="1:9">
      <c r="A3212" s="22" t="str">
        <f>HYPERLINK("https://app.vivvix.com/360/KMI/IntelliDrive/ApplUI/Pages/CreativePages/CustomReportCreativeDetail.aspx?App=23&amp;ReportView=4&amp;Qid=1711279&amp;Row=3204&amp;Col=1","No Title Assigned - #15268290844")</f>
        <v/>
      </c>
      <c r="B3212" s="0" t="s">
        <v>4688</v>
      </c>
      <c r="E3212" s="0" t="inlineStr">
        <is>
          <t xml:space="preserve">Mazda</t>
        </is>
      </c>
      <c r="F3212" s="0" t="inlineStr">
        <is>
          <t xml:space="preserve">Mazda</t>
        </is>
      </c>
      <c r="G3212" s="0" t="s">
        <v>171</v>
      </c>
      <c r="H3212" s="5">
        <v>213.755600</v>
      </c>
    </row>
    <row r="3213" spans="1:9">
      <c r="A3213" s="22" t="str">
        <f>HYPERLINK("https://app.vivvix.com/360/KMI/IntelliDrive/ApplUI/Pages/CreativePages/CustomReportCreativeDetail.aspx?App=23&amp;ReportView=4&amp;Qid=1711279&amp;Row=3205&amp;Col=1","No Title Assigned - #15268290885")</f>
        <v/>
      </c>
      <c r="B3213" s="0" t="s">
        <v>4689</v>
      </c>
      <c r="E3213" s="0" t="inlineStr">
        <is>
          <t xml:space="preserve">Mazda</t>
        </is>
      </c>
      <c r="F3213" s="0" t="inlineStr">
        <is>
          <t xml:space="preserve">Mazda</t>
        </is>
      </c>
      <c r="G3213" s="0" t="s">
        <v>171</v>
      </c>
      <c r="H3213" s="5">
        <v>229.787600</v>
      </c>
    </row>
    <row r="3214" spans="1:9">
      <c r="A3214" s="22" t="str">
        <f>HYPERLINK("https://app.vivvix.com/360/KMI/IntelliDrive/ApplUI/Pages/CreativePages/CustomReportCreativeDetail.aspx?App=23&amp;ReportView=4&amp;Qid=1711279&amp;Row=3206&amp;Col=1","No Title Assigned - #15268291488")</f>
        <v/>
      </c>
      <c r="B3214" s="0" t="s">
        <v>4690</v>
      </c>
      <c r="C3214" s="0" t="s">
        <v>4691</v>
      </c>
      <c r="D3214" s="0" t="s">
        <v>4691</v>
      </c>
      <c r="E3214" s="0" t="inlineStr">
        <is>
          <t xml:space="preserve">Mazda</t>
        </is>
      </c>
      <c r="F3214" s="0" t="inlineStr">
        <is>
          <t xml:space="preserve">Mazda</t>
        </is>
      </c>
      <c r="G3214" s="0" t="s">
        <v>171</v>
      </c>
      <c r="H3214" s="5">
        <v>1822.021800</v>
      </c>
    </row>
    <row r="3215" spans="1:9">
      <c r="A3215" s="22" t="str">
        <f>HYPERLINK("https://app.vivvix.com/360/KMI/IntelliDrive/ApplUI/Pages/CreativePages/CustomReportCreativeDetail.aspx?App=23&amp;ReportView=4&amp;Qid=1711279&amp;Row=3207&amp;Col=1","No Title Assigned - #15268291576")</f>
        <v/>
      </c>
      <c r="B3215" s="0" t="s">
        <v>4692</v>
      </c>
      <c r="C3215" s="0" t="s">
        <v>4693</v>
      </c>
      <c r="D3215" s="0" t="s">
        <v>4693</v>
      </c>
      <c r="E3215" s="0" t="inlineStr">
        <is>
          <t xml:space="preserve">Mazda</t>
        </is>
      </c>
      <c r="F3215" s="0" t="s">
        <v>28</v>
      </c>
      <c r="G3215" s="0" t="s">
        <v>29</v>
      </c>
      <c r="H3215" s="5">
        <v>1722.911200</v>
      </c>
    </row>
    <row r="3216" spans="1:9">
      <c r="A3216" s="22" t="str">
        <f>HYPERLINK("https://app.vivvix.com/360/KMI/IntelliDrive/ApplUI/Pages/CreativePages/CustomReportCreativeDetail.aspx?App=23&amp;ReportView=4&amp;Qid=1711279&amp;Row=3208&amp;Col=1","No Title Assigned - #15268292367")</f>
        <v/>
      </c>
      <c r="B3216" s="0" t="s">
        <v>4694</v>
      </c>
      <c r="E3216" s="0" t="inlineStr">
        <is>
          <t xml:space="preserve">Mazda</t>
        </is>
      </c>
      <c r="F3216" s="0" t="inlineStr">
        <is>
          <t xml:space="preserve">Mazda</t>
        </is>
      </c>
      <c r="G3216" s="0" t="s">
        <v>171</v>
      </c>
      <c r="H3216" s="5">
        <v>110.627800</v>
      </c>
    </row>
    <row r="3217" spans="1:9">
      <c r="A3217" s="22" t="str">
        <f>HYPERLINK("https://app.vivvix.com/360/KMI/IntelliDrive/ApplUI/Pages/CreativePages/CustomReportCreativeDetail.aspx?App=23&amp;ReportView=4&amp;Qid=1711279&amp;Row=3209&amp;Col=1","No Title Assigned - #15268292890")</f>
        <v/>
      </c>
      <c r="B3217" s="0" t="s">
        <v>4695</v>
      </c>
      <c r="E3217" s="0" t="inlineStr">
        <is>
          <t xml:space="preserve">Mazda</t>
        </is>
      </c>
      <c r="F3217" s="0" t="inlineStr">
        <is>
          <t xml:space="preserve">Mazda</t>
        </is>
      </c>
      <c r="G3217" s="0" t="s">
        <v>171</v>
      </c>
      <c r="H3217" s="5">
        <v>613.919800</v>
      </c>
    </row>
    <row r="3218" spans="1:9">
      <c r="A3218" s="22" t="str">
        <f>HYPERLINK("https://app.vivvix.com/360/KMI/IntelliDrive/ApplUI/Pages/CreativePages/CustomReportCreativeDetail.aspx?App=23&amp;ReportView=4&amp;Qid=1711279&amp;Row=3210&amp;Col=1","No Title Assigned - #15268293790")</f>
        <v/>
      </c>
      <c r="B3218" s="0" t="s">
        <v>4696</v>
      </c>
      <c r="E3218" s="0" t="inlineStr">
        <is>
          <t xml:space="preserve">Mazda</t>
        </is>
      </c>
      <c r="F3218" s="0" t="inlineStr">
        <is>
          <t xml:space="preserve">Mazda</t>
        </is>
      </c>
      <c r="G3218" s="0" t="s">
        <v>171</v>
      </c>
      <c r="H3218" s="5">
        <v>482.623700</v>
      </c>
    </row>
    <row r="3219" spans="1:9">
      <c r="A3219" s="22" t="str">
        <f>HYPERLINK("https://app.vivvix.com/360/KMI/IntelliDrive/ApplUI/Pages/CreativePages/CustomReportCreativeDetail.aspx?App=23&amp;ReportView=4&amp;Qid=1711279&amp;Row=3211&amp;Col=1","No Title Assigned - #15268293802")</f>
        <v/>
      </c>
      <c r="B3219" s="0" t="s">
        <v>4697</v>
      </c>
      <c r="C3219" s="0" t="s">
        <v>4698</v>
      </c>
      <c r="D3219" s="0" t="s">
        <v>4698</v>
      </c>
      <c r="E3219" s="0" t="inlineStr">
        <is>
          <t xml:space="preserve">Mazda</t>
        </is>
      </c>
      <c r="F3219" s="0" t="inlineStr">
        <is>
          <t xml:space="preserve">Mazda</t>
        </is>
      </c>
      <c r="G3219" s="0" t="s">
        <v>171</v>
      </c>
      <c r="H3219" s="5">
        <v>469.177500</v>
      </c>
    </row>
    <row r="3220" spans="1:9">
      <c r="A3220" s="22" t="str">
        <f>HYPERLINK("https://app.vivvix.com/360/KMI/IntelliDrive/ApplUI/Pages/CreativePages/CustomReportCreativeDetail.aspx?App=23&amp;ReportView=4&amp;Qid=1711279&amp;Row=3212&amp;Col=1","No Title Assigned - #15268294029")</f>
        <v/>
      </c>
      <c r="B3220" s="0" t="s">
        <v>4699</v>
      </c>
      <c r="E3220" s="0" t="inlineStr">
        <is>
          <t xml:space="preserve">Mazda</t>
        </is>
      </c>
      <c r="F3220" s="0" t="inlineStr">
        <is>
          <t xml:space="preserve">Mazda</t>
        </is>
      </c>
      <c r="G3220" s="0" t="s">
        <v>171</v>
      </c>
      <c r="H3220" s="5">
        <v>211.163100</v>
      </c>
    </row>
    <row r="3221" spans="1:9">
      <c r="A3221" s="22" t="str">
        <f>HYPERLINK("https://app.vivvix.com/360/KMI/IntelliDrive/ApplUI/Pages/CreativePages/CustomReportCreativeDetail.aspx?App=23&amp;ReportView=4&amp;Qid=1711279&amp;Row=3213&amp;Col=1","No Title Assigned - #15268294622")</f>
        <v/>
      </c>
      <c r="B3221" s="0" t="s">
        <v>4700</v>
      </c>
      <c r="E3221" s="0" t="inlineStr">
        <is>
          <t xml:space="preserve">Mazda</t>
        </is>
      </c>
      <c r="F3221" s="0" t="inlineStr">
        <is>
          <t xml:space="preserve">Mazda</t>
        </is>
      </c>
      <c r="G3221" s="0" t="s">
        <v>171</v>
      </c>
      <c r="H3221" s="5">
        <v>1249.759400</v>
      </c>
    </row>
    <row r="3222" spans="1:9">
      <c r="A3222" s="22" t="str">
        <f>HYPERLINK("https://app.vivvix.com/360/KMI/IntelliDrive/ApplUI/Pages/CreativePages/CustomReportCreativeDetail.aspx?App=23&amp;ReportView=4&amp;Qid=1711279&amp;Row=3214&amp;Col=1","No Title Assigned - #15268294678")</f>
        <v/>
      </c>
      <c r="B3222" s="0" t="s">
        <v>4701</v>
      </c>
      <c r="E3222" s="0" t="inlineStr">
        <is>
          <t xml:space="preserve">Mazda</t>
        </is>
      </c>
      <c r="F3222" s="0" t="inlineStr">
        <is>
          <t xml:space="preserve">Mazda</t>
        </is>
      </c>
      <c r="G3222" s="0" t="s">
        <v>171</v>
      </c>
      <c r="H3222" s="5">
        <v>935.133100</v>
      </c>
    </row>
    <row r="3223" spans="1:9">
      <c r="A3223" s="22" t="str">
        <f>HYPERLINK("https://app.vivvix.com/360/KMI/IntelliDrive/ApplUI/Pages/CreativePages/CustomReportCreativeDetail.aspx?App=23&amp;ReportView=4&amp;Qid=1711279&amp;Row=3215&amp;Col=1","No Title Assigned - #15268294950")</f>
        <v/>
      </c>
      <c r="B3223" s="0" t="s">
        <v>4702</v>
      </c>
      <c r="E3223" s="0" t="inlineStr">
        <is>
          <t xml:space="preserve">Mazda</t>
        </is>
      </c>
      <c r="F3223" s="0" t="inlineStr">
        <is>
          <t xml:space="preserve">Mazda</t>
        </is>
      </c>
      <c r="G3223" s="0" t="s">
        <v>171</v>
      </c>
      <c r="H3223" s="5">
        <v>1008.043000</v>
      </c>
    </row>
    <row r="3224" spans="1:9">
      <c r="A3224" s="22" t="str">
        <f>HYPERLINK("https://app.vivvix.com/360/KMI/IntelliDrive/ApplUI/Pages/CreativePages/CustomReportCreativeDetail.aspx?App=23&amp;ReportView=4&amp;Qid=1711279&amp;Row=3216&amp;Col=1","No Title Assigned - #15268295097")</f>
        <v/>
      </c>
      <c r="B3224" s="0" t="s">
        <v>4703</v>
      </c>
      <c r="E3224" s="0" t="inlineStr">
        <is>
          <t xml:space="preserve">Mazda</t>
        </is>
      </c>
      <c r="F3224" s="0" t="inlineStr">
        <is>
          <t xml:space="preserve">Mazda</t>
        </is>
      </c>
      <c r="G3224" s="0" t="s">
        <v>171</v>
      </c>
      <c r="H3224" s="5">
        <v>696.134600</v>
      </c>
    </row>
    <row r="3225" spans="1:9">
      <c r="A3225" s="22" t="str">
        <f>HYPERLINK("https://app.vivvix.com/360/KMI/IntelliDrive/ApplUI/Pages/CreativePages/CustomReportCreativeDetail.aspx?App=23&amp;ReportView=4&amp;Qid=1711279&amp;Row=3217&amp;Col=1","No Title Assigned - #15268295966")</f>
        <v/>
      </c>
      <c r="B3225" s="0" t="s">
        <v>4704</v>
      </c>
      <c r="E3225" s="0" t="inlineStr">
        <is>
          <t xml:space="preserve">Mazda</t>
        </is>
      </c>
      <c r="F3225" s="0" t="inlineStr">
        <is>
          <t xml:space="preserve">Mazda</t>
        </is>
      </c>
      <c r="G3225" s="0" t="s">
        <v>171</v>
      </c>
      <c r="H3225" s="5">
        <v>545.961500</v>
      </c>
    </row>
    <row r="3226" spans="1:9">
      <c r="A3226" s="22" t="str">
        <f>HYPERLINK("https://app.vivvix.com/360/KMI/IntelliDrive/ApplUI/Pages/CreativePages/CustomReportCreativeDetail.aspx?App=23&amp;ReportView=4&amp;Qid=1711279&amp;Row=3218&amp;Col=1","No Title Assigned - #15268295966")</f>
        <v/>
      </c>
      <c r="B3226" s="0" t="s">
        <v>4704</v>
      </c>
      <c r="E3226" s="0" t="inlineStr">
        <is>
          <t xml:space="preserve">Mazda</t>
        </is>
      </c>
      <c r="F3226" s="0" t="inlineStr">
        <is>
          <t xml:space="preserve">Mazda</t>
        </is>
      </c>
      <c r="G3226" s="0" t="s">
        <v>171</v>
      </c>
      <c r="H3226" s="5">
        <v>1898.758100</v>
      </c>
    </row>
    <row r="3227" spans="1:9">
      <c r="A3227" s="22" t="str">
        <f>HYPERLINK("https://app.vivvix.com/360/KMI/IntelliDrive/ApplUI/Pages/CreativePages/CustomReportCreativeDetail.aspx?App=23&amp;ReportView=4&amp;Qid=1711279&amp;Row=3219&amp;Col=1","No Title Assigned - #15268296501")</f>
        <v/>
      </c>
      <c r="B3227" s="0" t="s">
        <v>4705</v>
      </c>
      <c r="C3227" s="0" t="s">
        <v>4706</v>
      </c>
      <c r="D3227" s="0" t="s">
        <v>4706</v>
      </c>
      <c r="E3227" s="0" t="inlineStr">
        <is>
          <t xml:space="preserve">Mazda</t>
        </is>
      </c>
      <c r="F3227" s="0" t="s">
        <v>28</v>
      </c>
      <c r="G3227" s="0" t="s">
        <v>29</v>
      </c>
      <c r="H3227" s="5">
        <v>272.897100</v>
      </c>
    </row>
    <row r="3228" spans="1:9">
      <c r="A3228" s="22" t="str">
        <f>HYPERLINK("https://app.vivvix.com/360/KMI/IntelliDrive/ApplUI/Pages/CreativePages/CustomReportCreativeDetail.aspx?App=23&amp;ReportView=4&amp;Qid=1711279&amp;Row=3220&amp;Col=1","No Title Assigned - #15268296722")</f>
        <v/>
      </c>
      <c r="B3228" s="0" t="s">
        <v>4707</v>
      </c>
      <c r="E3228" s="0" t="inlineStr">
        <is>
          <t xml:space="preserve">Mazda</t>
        </is>
      </c>
      <c r="F3228" s="0" t="inlineStr">
        <is>
          <t xml:space="preserve">Mazda</t>
        </is>
      </c>
      <c r="G3228" s="0" t="s">
        <v>171</v>
      </c>
      <c r="H3228" s="5">
        <v>2292.992800</v>
      </c>
    </row>
    <row r="3229" spans="1:9">
      <c r="A3229" s="22" t="str">
        <f>HYPERLINK("https://app.vivvix.com/360/KMI/IntelliDrive/ApplUI/Pages/CreativePages/CustomReportCreativeDetail.aspx?App=23&amp;ReportView=4&amp;Qid=1711279&amp;Row=3221&amp;Col=1","No Title Assigned - #15268296722")</f>
        <v/>
      </c>
      <c r="B3229" s="0" t="s">
        <v>4707</v>
      </c>
      <c r="E3229" s="0" t="inlineStr">
        <is>
          <t xml:space="preserve">Mazda</t>
        </is>
      </c>
      <c r="F3229" s="0" t="inlineStr">
        <is>
          <t xml:space="preserve">Mazda</t>
        </is>
      </c>
      <c r="G3229" s="0" t="s">
        <v>171</v>
      </c>
      <c r="H3229" s="5">
        <v>372.424800</v>
      </c>
    </row>
    <row r="3230" spans="1:9">
      <c r="A3230" s="22" t="str">
        <f>HYPERLINK("https://app.vivvix.com/360/KMI/IntelliDrive/ApplUI/Pages/CreativePages/CustomReportCreativeDetail.aspx?App=23&amp;ReportView=4&amp;Qid=1711279&amp;Row=3222&amp;Col=1","No Title Assigned - #15268298128")</f>
        <v/>
      </c>
      <c r="B3230" s="0" t="s">
        <v>4708</v>
      </c>
      <c r="C3230" s="0" t="s">
        <v>4709</v>
      </c>
      <c r="D3230" s="0" t="s">
        <v>4709</v>
      </c>
      <c r="E3230" s="0" t="inlineStr">
        <is>
          <t xml:space="preserve">Mazda</t>
        </is>
      </c>
      <c r="F3230" s="0" t="inlineStr">
        <is>
          <t xml:space="preserve">Mazda</t>
        </is>
      </c>
      <c r="G3230" s="0" t="s">
        <v>171</v>
      </c>
      <c r="H3230" s="5">
        <v>2373.419800</v>
      </c>
    </row>
    <row r="3231" spans="1:9">
      <c r="A3231" s="22" t="str">
        <f>HYPERLINK("https://app.vivvix.com/360/KMI/IntelliDrive/ApplUI/Pages/CreativePages/CustomReportCreativeDetail.aspx?App=23&amp;ReportView=4&amp;Qid=1711279&amp;Row=3223&amp;Col=1","No Title Assigned - #15268298961")</f>
        <v/>
      </c>
      <c r="B3231" s="0" t="s">
        <v>4710</v>
      </c>
      <c r="E3231" s="0" t="inlineStr">
        <is>
          <t xml:space="preserve">Mazda</t>
        </is>
      </c>
      <c r="F3231" s="0" t="inlineStr">
        <is>
          <t xml:space="preserve">Mazda</t>
        </is>
      </c>
      <c r="G3231" s="0" t="s">
        <v>171</v>
      </c>
      <c r="H3231" s="5">
        <v>829.873300</v>
      </c>
    </row>
    <row r="3232" spans="1:9">
      <c r="A3232" s="22" t="str">
        <f>HYPERLINK("https://app.vivvix.com/360/KMI/IntelliDrive/ApplUI/Pages/CreativePages/CustomReportCreativeDetail.aspx?App=23&amp;ReportView=4&amp;Qid=1711279&amp;Row=3224&amp;Col=1","No Title Assigned - #15268298961")</f>
        <v/>
      </c>
      <c r="B3232" s="0" t="s">
        <v>4710</v>
      </c>
      <c r="E3232" s="0" t="inlineStr">
        <is>
          <t xml:space="preserve">Mazda</t>
        </is>
      </c>
      <c r="F3232" s="0" t="inlineStr">
        <is>
          <t xml:space="preserve">Mazda</t>
        </is>
      </c>
      <c r="G3232" s="0" t="s">
        <v>171</v>
      </c>
      <c r="H3232" s="5">
        <v>330.816800</v>
      </c>
    </row>
    <row r="3233" spans="1:9">
      <c r="A3233" s="22" t="str">
        <f>HYPERLINK("https://app.vivvix.com/360/KMI/IntelliDrive/ApplUI/Pages/CreativePages/CustomReportCreativeDetail.aspx?App=23&amp;ReportView=4&amp;Qid=1711279&amp;Row=3225&amp;Col=1","No Title Assigned - #15268301184")</f>
        <v/>
      </c>
      <c r="B3233" s="0" t="s">
        <v>4711</v>
      </c>
      <c r="E3233" s="0" t="inlineStr">
        <is>
          <t xml:space="preserve">Mazda</t>
        </is>
      </c>
      <c r="F3233" s="0" t="inlineStr">
        <is>
          <t xml:space="preserve">Mazda</t>
        </is>
      </c>
      <c r="G3233" s="0" t="s">
        <v>171</v>
      </c>
      <c r="H3233" s="5">
        <v>7432.562100</v>
      </c>
    </row>
    <row r="3234" spans="1:9">
      <c r="A3234" s="22" t="str">
        <f>HYPERLINK("https://app.vivvix.com/360/KMI/IntelliDrive/ApplUI/Pages/CreativePages/CustomReportCreativeDetail.aspx?App=23&amp;ReportView=4&amp;Qid=1711279&amp;Row=3226&amp;Col=1","No Title Assigned - #15268301184")</f>
        <v/>
      </c>
      <c r="B3234" s="0" t="s">
        <v>4711</v>
      </c>
      <c r="E3234" s="0" t="inlineStr">
        <is>
          <t xml:space="preserve">Mazda</t>
        </is>
      </c>
      <c r="F3234" s="0" t="inlineStr">
        <is>
          <t xml:space="preserve">Mazda</t>
        </is>
      </c>
      <c r="G3234" s="0" t="s">
        <v>171</v>
      </c>
      <c r="H3234" s="5">
        <v>780.831400</v>
      </c>
    </row>
    <row r="3235" spans="1:9">
      <c r="A3235" s="22" t="str">
        <f>HYPERLINK("https://app.vivvix.com/360/KMI/IntelliDrive/ApplUI/Pages/CreativePages/CustomReportCreativeDetail.aspx?App=23&amp;ReportView=4&amp;Qid=1711279&amp;Row=3227&amp;Col=1","No Title Assigned - #15268303884")</f>
        <v/>
      </c>
      <c r="B3235" s="0" t="s">
        <v>4712</v>
      </c>
      <c r="E3235" s="0" t="inlineStr">
        <is>
          <t xml:space="preserve">Mazda</t>
        </is>
      </c>
      <c r="F3235" s="0" t="inlineStr">
        <is>
          <t xml:space="preserve">Mazda</t>
        </is>
      </c>
      <c r="G3235" s="0" t="s">
        <v>171</v>
      </c>
      <c r="H3235" s="5">
        <v>820.194700</v>
      </c>
    </row>
    <row r="3236" spans="1:9">
      <c r="A3236" s="22" t="str">
        <f>HYPERLINK("https://app.vivvix.com/360/KMI/IntelliDrive/ApplUI/Pages/CreativePages/CustomReportCreativeDetail.aspx?App=23&amp;ReportView=4&amp;Qid=1711279&amp;Row=3228&amp;Col=1","No Title Assigned - #15268304387")</f>
        <v/>
      </c>
      <c r="B3236" s="0" t="s">
        <v>4713</v>
      </c>
      <c r="E3236" s="0" t="inlineStr">
        <is>
          <t xml:space="preserve">Mazda</t>
        </is>
      </c>
      <c r="F3236" s="0" t="inlineStr">
        <is>
          <t xml:space="preserve">Mazda</t>
        </is>
      </c>
      <c r="G3236" s="0" t="s">
        <v>171</v>
      </c>
      <c r="H3236" s="5">
        <v>17059.228800</v>
      </c>
    </row>
    <row r="3237" spans="1:9">
      <c r="A3237" s="22" t="str">
        <f>HYPERLINK("https://app.vivvix.com/360/KMI/IntelliDrive/ApplUI/Pages/CreativePages/CustomReportCreativeDetail.aspx?App=23&amp;ReportView=4&amp;Qid=1711279&amp;Row=3229&amp;Col=1","No Title Assigned - #15268305809")</f>
        <v/>
      </c>
      <c r="B3237" s="0" t="s">
        <v>4714</v>
      </c>
      <c r="E3237" s="0" t="inlineStr">
        <is>
          <t xml:space="preserve">Mazda</t>
        </is>
      </c>
      <c r="F3237" s="0" t="inlineStr">
        <is>
          <t xml:space="preserve">Mazda</t>
        </is>
      </c>
      <c r="G3237" s="0" t="s">
        <v>171</v>
      </c>
      <c r="H3237" s="5">
        <v>462.793200</v>
      </c>
    </row>
    <row r="3238" spans="1:9">
      <c r="A3238" s="22" t="str">
        <f>HYPERLINK("https://app.vivvix.com/360/KMI/IntelliDrive/ApplUI/Pages/CreativePages/CustomReportCreativeDetail.aspx?App=23&amp;ReportView=4&amp;Qid=1711279&amp;Row=3230&amp;Col=1","No Title Assigned - #15268306252")</f>
        <v/>
      </c>
      <c r="B3238" s="0" t="s">
        <v>4715</v>
      </c>
      <c r="E3238" s="0" t="inlineStr">
        <is>
          <t xml:space="preserve">Mazda</t>
        </is>
      </c>
      <c r="F3238" s="0" t="inlineStr">
        <is>
          <t xml:space="preserve">Mazda</t>
        </is>
      </c>
      <c r="G3238" s="0" t="s">
        <v>171</v>
      </c>
      <c r="H3238" s="5">
        <v>435.791400</v>
      </c>
    </row>
    <row r="3239" spans="1:9">
      <c r="A3239" s="22" t="str">
        <f>HYPERLINK("https://app.vivvix.com/360/KMI/IntelliDrive/ApplUI/Pages/CreativePages/CustomReportCreativeDetail.aspx?App=23&amp;ReportView=4&amp;Qid=1711279&amp;Row=3231&amp;Col=1","No Title Assigned - #15268306849")</f>
        <v/>
      </c>
      <c r="B3239" s="0" t="s">
        <v>4716</v>
      </c>
      <c r="C3239" s="0" t="s">
        <v>4717</v>
      </c>
      <c r="D3239" s="0" t="s">
        <v>4717</v>
      </c>
      <c r="E3239" s="0" t="inlineStr">
        <is>
          <t xml:space="preserve">Mazda</t>
        </is>
      </c>
      <c r="F3239" s="0" t="inlineStr">
        <is>
          <t xml:space="preserve">Mazda</t>
        </is>
      </c>
      <c r="G3239" s="0" t="s">
        <v>171</v>
      </c>
      <c r="H3239" s="5">
        <v>930.684400</v>
      </c>
    </row>
    <row r="3240" spans="1:9">
      <c r="A3240" s="22" t="str">
        <f>HYPERLINK("https://app.vivvix.com/360/KMI/IntelliDrive/ApplUI/Pages/CreativePages/CustomReportCreativeDetail.aspx?App=23&amp;ReportView=4&amp;Qid=1711279&amp;Row=3232&amp;Col=1","No Title Assigned - #15268306975")</f>
        <v/>
      </c>
      <c r="B3240" s="0" t="s">
        <v>4718</v>
      </c>
      <c r="C3240" s="0" t="s">
        <v>4719</v>
      </c>
      <c r="D3240" s="0" t="s">
        <v>4719</v>
      </c>
      <c r="E3240" s="0" t="inlineStr">
        <is>
          <t xml:space="preserve">Mazda</t>
        </is>
      </c>
      <c r="F3240" s="0" t="inlineStr">
        <is>
          <t xml:space="preserve">Mazda</t>
        </is>
      </c>
      <c r="G3240" s="0" t="s">
        <v>171</v>
      </c>
      <c r="H3240" s="5">
        <v>41551.446900</v>
      </c>
    </row>
    <row r="3241" spans="1:9">
      <c r="A3241" s="22" t="str">
        <f>HYPERLINK("https://app.vivvix.com/360/KMI/IntelliDrive/ApplUI/Pages/CreativePages/CustomReportCreativeDetail.aspx?App=23&amp;ReportView=4&amp;Qid=1711279&amp;Row=3233&amp;Col=1","No Title Assigned - #15268307475")</f>
        <v/>
      </c>
      <c r="B3241" s="0" t="s">
        <v>4720</v>
      </c>
      <c r="E3241" s="0" t="inlineStr">
        <is>
          <t xml:space="preserve">Mazda</t>
        </is>
      </c>
      <c r="F3241" s="0" t="inlineStr">
        <is>
          <t xml:space="preserve">Mazda</t>
        </is>
      </c>
      <c r="G3241" s="0" t="s">
        <v>171</v>
      </c>
      <c r="H3241" s="5">
        <v>79.309600</v>
      </c>
    </row>
    <row r="3242" spans="1:9">
      <c r="A3242" s="22" t="str">
        <f>HYPERLINK("https://app.vivvix.com/360/KMI/IntelliDrive/ApplUI/Pages/CreativePages/CustomReportCreativeDetail.aspx?App=23&amp;ReportView=4&amp;Qid=1711279&amp;Row=3234&amp;Col=1","No Title Assigned - #15268307609")</f>
        <v/>
      </c>
      <c r="B3242" s="0" t="s">
        <v>4721</v>
      </c>
      <c r="C3242" s="0" t="s">
        <v>4722</v>
      </c>
      <c r="D3242" s="0" t="s">
        <v>4722</v>
      </c>
      <c r="E3242" s="0" t="inlineStr">
        <is>
          <t xml:space="preserve">Mazda</t>
        </is>
      </c>
      <c r="F3242" s="0" t="inlineStr">
        <is>
          <t xml:space="preserve">Mazda</t>
        </is>
      </c>
      <c r="G3242" s="0" t="s">
        <v>171</v>
      </c>
      <c r="H3242" s="5">
        <v>1876.950800</v>
      </c>
    </row>
    <row r="3243" spans="1:9">
      <c r="A3243" s="22" t="str">
        <f>HYPERLINK("https://app.vivvix.com/360/KMI/IntelliDrive/ApplUI/Pages/CreativePages/CustomReportCreativeDetail.aspx?App=23&amp;ReportView=4&amp;Qid=1711279&amp;Row=3235&amp;Col=1","No Title Assigned - #15268307671")</f>
        <v/>
      </c>
      <c r="B3243" s="0" t="s">
        <v>4723</v>
      </c>
      <c r="E3243" s="0" t="inlineStr">
        <is>
          <t xml:space="preserve">Mazda</t>
        </is>
      </c>
      <c r="F3243" s="0" t="inlineStr">
        <is>
          <t xml:space="preserve">Mazda</t>
        </is>
      </c>
      <c r="G3243" s="0" t="s">
        <v>171</v>
      </c>
      <c r="H3243" s="5">
        <v>332.436900</v>
      </c>
    </row>
    <row r="3244" spans="1:9">
      <c r="A3244" s="22" t="str">
        <f>HYPERLINK("https://app.vivvix.com/360/KMI/IntelliDrive/ApplUI/Pages/CreativePages/CustomReportCreativeDetail.aspx?App=23&amp;ReportView=4&amp;Qid=1711279&amp;Row=3236&amp;Col=1","No Title Assigned - #15268309163")</f>
        <v/>
      </c>
      <c r="B3244" s="0" t="s">
        <v>4724</v>
      </c>
      <c r="E3244" s="0" t="inlineStr">
        <is>
          <t xml:space="preserve">Mazda</t>
        </is>
      </c>
      <c r="F3244" s="0" t="inlineStr">
        <is>
          <t xml:space="preserve">Mazda</t>
        </is>
      </c>
      <c r="G3244" s="0" t="s">
        <v>171</v>
      </c>
      <c r="H3244" s="5">
        <v>85.812800</v>
      </c>
    </row>
    <row r="3245" spans="1:9">
      <c r="A3245" s="22" t="str">
        <f>HYPERLINK("https://app.vivvix.com/360/KMI/IntelliDrive/ApplUI/Pages/CreativePages/CustomReportCreativeDetail.aspx?App=23&amp;ReportView=4&amp;Qid=1711279&amp;Row=3237&amp;Col=1","No Title Assigned - #15268309205")</f>
        <v/>
      </c>
      <c r="B3245" s="0" t="s">
        <v>4725</v>
      </c>
      <c r="C3245" s="0" t="s">
        <v>4726</v>
      </c>
      <c r="D3245" s="0" t="s">
        <v>4726</v>
      </c>
      <c r="E3245" s="0" t="inlineStr">
        <is>
          <t xml:space="preserve">Mazda</t>
        </is>
      </c>
      <c r="F3245" s="0" t="inlineStr">
        <is>
          <t xml:space="preserve">Mazda</t>
        </is>
      </c>
      <c r="G3245" s="0" t="s">
        <v>171</v>
      </c>
      <c r="H3245" s="5">
        <v>292.200400</v>
      </c>
    </row>
    <row r="3246" spans="1:9">
      <c r="A3246" s="22" t="str">
        <f>HYPERLINK("https://app.vivvix.com/360/KMI/IntelliDrive/ApplUI/Pages/CreativePages/CustomReportCreativeDetail.aspx?App=23&amp;ReportView=4&amp;Qid=1711279&amp;Row=3238&amp;Col=1","No Title Assigned - #15268309836")</f>
        <v/>
      </c>
      <c r="B3246" s="0" t="s">
        <v>4727</v>
      </c>
      <c r="E3246" s="0" t="inlineStr">
        <is>
          <t xml:space="preserve">Mazda</t>
        </is>
      </c>
      <c r="F3246" s="0" t="inlineStr">
        <is>
          <t xml:space="preserve">Mazda</t>
        </is>
      </c>
      <c r="G3246" s="0" t="s">
        <v>171</v>
      </c>
      <c r="H3246" s="5">
        <v>1417.241600</v>
      </c>
    </row>
    <row r="3247" spans="1:9">
      <c r="A3247" s="22" t="str">
        <f>HYPERLINK("https://app.vivvix.com/360/KMI/IntelliDrive/ApplUI/Pages/CreativePages/CustomReportCreativeDetail.aspx?App=23&amp;ReportView=4&amp;Qid=1711279&amp;Row=3239&amp;Col=1","No Title Assigned - #15268310690")</f>
        <v/>
      </c>
      <c r="B3247" s="0" t="s">
        <v>4728</v>
      </c>
      <c r="C3247" s="0" t="s">
        <v>4729</v>
      </c>
      <c r="D3247" s="0" t="s">
        <v>4729</v>
      </c>
      <c r="E3247" s="0" t="inlineStr">
        <is>
          <t xml:space="preserve">Mazda</t>
        </is>
      </c>
      <c r="F3247" s="0" t="inlineStr">
        <is>
          <t xml:space="preserve">Mazda</t>
        </is>
      </c>
      <c r="G3247" s="0" t="s">
        <v>171</v>
      </c>
      <c r="H3247" s="5">
        <v>1830.386800</v>
      </c>
    </row>
    <row r="3248" spans="1:9">
      <c r="A3248" s="22" t="str">
        <f>HYPERLINK("https://app.vivvix.com/360/KMI/IntelliDrive/ApplUI/Pages/CreativePages/CustomReportCreativeDetail.aspx?App=23&amp;ReportView=4&amp;Qid=1711279&amp;Row=3240&amp;Col=1","No Title Assigned - #15268310841")</f>
        <v/>
      </c>
      <c r="B3248" s="0" t="s">
        <v>4730</v>
      </c>
      <c r="E3248" s="0" t="inlineStr">
        <is>
          <t xml:space="preserve">Mazda</t>
        </is>
      </c>
      <c r="F3248" s="0" t="inlineStr">
        <is>
          <t xml:space="preserve">Mazda</t>
        </is>
      </c>
      <c r="G3248" s="0" t="s">
        <v>171</v>
      </c>
      <c r="H3248" s="5">
        <v>538.950500</v>
      </c>
    </row>
    <row r="3249" spans="1:9">
      <c r="A3249" s="22" t="str">
        <f>HYPERLINK("https://app.vivvix.com/360/KMI/IntelliDrive/ApplUI/Pages/CreativePages/CustomReportCreativeDetail.aspx?App=23&amp;ReportView=4&amp;Qid=1711279&amp;Row=3241&amp;Col=1","No Title Assigned - #15268313305")</f>
        <v/>
      </c>
      <c r="B3249" s="0" t="s">
        <v>4731</v>
      </c>
      <c r="E3249" s="0" t="inlineStr">
        <is>
          <t xml:space="preserve">Mazda</t>
        </is>
      </c>
      <c r="F3249" s="0" t="inlineStr">
        <is>
          <t xml:space="preserve">Mazda</t>
        </is>
      </c>
      <c r="G3249" s="0" t="s">
        <v>171</v>
      </c>
      <c r="H3249" s="5">
        <v>182.403800</v>
      </c>
    </row>
    <row r="3250" spans="1:9">
      <c r="A3250" s="22" t="str">
        <f>HYPERLINK("https://app.vivvix.com/360/KMI/IntelliDrive/ApplUI/Pages/CreativePages/CustomReportCreativeDetail.aspx?App=23&amp;ReportView=4&amp;Qid=1711279&amp;Row=3242&amp;Col=1","No Title Assigned - #15268313815")</f>
        <v/>
      </c>
      <c r="B3250" s="0" t="s">
        <v>4732</v>
      </c>
      <c r="E3250" s="0" t="inlineStr">
        <is>
          <t xml:space="preserve">Mazda</t>
        </is>
      </c>
      <c r="F3250" s="0" t="inlineStr">
        <is>
          <t xml:space="preserve">Mazda</t>
        </is>
      </c>
      <c r="G3250" s="0" t="s">
        <v>171</v>
      </c>
      <c r="H3250" s="5">
        <v>676.232800</v>
      </c>
    </row>
    <row r="3251" spans="1:9">
      <c r="A3251" s="22" t="str">
        <f>HYPERLINK("https://app.vivvix.com/360/KMI/IntelliDrive/ApplUI/Pages/CreativePages/CustomReportCreativeDetail.aspx?App=23&amp;ReportView=4&amp;Qid=1711279&amp;Row=3243&amp;Col=1","No Title Assigned - #15268314912")</f>
        <v/>
      </c>
      <c r="B3251" s="0" t="s">
        <v>4733</v>
      </c>
      <c r="E3251" s="0" t="inlineStr">
        <is>
          <t xml:space="preserve">Mazda</t>
        </is>
      </c>
      <c r="F3251" s="0" t="inlineStr">
        <is>
          <t xml:space="preserve">Mazda</t>
        </is>
      </c>
      <c r="G3251" s="0" t="s">
        <v>171</v>
      </c>
      <c r="H3251" s="5">
        <v>613.573900</v>
      </c>
    </row>
    <row r="3252" spans="1:9">
      <c r="A3252" s="22" t="str">
        <f>HYPERLINK("https://app.vivvix.com/360/KMI/IntelliDrive/ApplUI/Pages/CreativePages/CustomReportCreativeDetail.aspx?App=23&amp;ReportView=4&amp;Qid=1711279&amp;Row=3244&amp;Col=1","No Title Assigned - #15268317190")</f>
        <v/>
      </c>
      <c r="B3252" s="0" t="s">
        <v>4734</v>
      </c>
      <c r="E3252" s="0" t="inlineStr">
        <is>
          <t xml:space="preserve">Mazda</t>
        </is>
      </c>
      <c r="F3252" s="0" t="inlineStr">
        <is>
          <t xml:space="preserve">Mazda</t>
        </is>
      </c>
      <c r="G3252" s="0" t="s">
        <v>171</v>
      </c>
      <c r="H3252" s="5">
        <v>145.255100</v>
      </c>
    </row>
    <row r="3253" spans="1:9">
      <c r="A3253" s="22" t="str">
        <f>HYPERLINK("https://app.vivvix.com/360/KMI/IntelliDrive/ApplUI/Pages/CreativePages/CustomReportCreativeDetail.aspx?App=23&amp;ReportView=4&amp;Qid=1711279&amp;Row=3245&amp;Col=1","No Title Assigned - #15268317190")</f>
        <v/>
      </c>
      <c r="B3253" s="0" t="s">
        <v>4734</v>
      </c>
      <c r="E3253" s="0" t="inlineStr">
        <is>
          <t xml:space="preserve">Mazda</t>
        </is>
      </c>
      <c r="F3253" s="0" t="inlineStr">
        <is>
          <t xml:space="preserve">Mazda</t>
        </is>
      </c>
      <c r="G3253" s="0" t="s">
        <v>171</v>
      </c>
      <c r="H3253" s="5">
        <v>420.764500</v>
      </c>
    </row>
    <row r="3254" spans="1:9">
      <c r="A3254" s="22" t="str">
        <f>HYPERLINK("https://app.vivvix.com/360/KMI/IntelliDrive/ApplUI/Pages/CreativePages/CustomReportCreativeDetail.aspx?App=23&amp;ReportView=4&amp;Qid=1711279&amp;Row=3246&amp;Col=1","No Title Assigned - #15268317464")</f>
        <v/>
      </c>
      <c r="B3254" s="0" t="s">
        <v>4735</v>
      </c>
      <c r="C3254" s="0" t="s">
        <v>4736</v>
      </c>
      <c r="D3254" s="0" t="s">
        <v>4736</v>
      </c>
      <c r="E3254" s="0" t="inlineStr">
        <is>
          <t xml:space="preserve">Mazda</t>
        </is>
      </c>
      <c r="F3254" s="0" t="inlineStr">
        <is>
          <t xml:space="preserve">Mazda</t>
        </is>
      </c>
      <c r="G3254" s="0" t="s">
        <v>171</v>
      </c>
      <c r="H3254" s="5">
        <v>936.344300</v>
      </c>
    </row>
    <row r="3255" spans="1:9">
      <c r="A3255" s="22" t="str">
        <f>HYPERLINK("https://app.vivvix.com/360/KMI/IntelliDrive/ApplUI/Pages/CreativePages/CustomReportCreativeDetail.aspx?App=23&amp;ReportView=4&amp;Qid=1711279&amp;Row=3247&amp;Col=1","No Title Assigned - #15268317464")</f>
        <v/>
      </c>
      <c r="B3255" s="0" t="s">
        <v>4735</v>
      </c>
      <c r="E3255" s="0" t="inlineStr">
        <is>
          <t xml:space="preserve">Mazda</t>
        </is>
      </c>
      <c r="F3255" s="0" t="inlineStr">
        <is>
          <t xml:space="preserve">Mazda</t>
        </is>
      </c>
      <c r="G3255" s="0" t="s">
        <v>171</v>
      </c>
      <c r="H3255" s="5">
        <v>5531.589000</v>
      </c>
    </row>
    <row r="3256" spans="1:9">
      <c r="A3256" s="22" t="str">
        <f>HYPERLINK("https://app.vivvix.com/360/KMI/IntelliDrive/ApplUI/Pages/CreativePages/CustomReportCreativeDetail.aspx?App=23&amp;ReportView=4&amp;Qid=1711279&amp;Row=3248&amp;Col=1","No Title Assigned - #15268324951")</f>
        <v/>
      </c>
      <c r="B3256" s="0" t="s">
        <v>4737</v>
      </c>
      <c r="E3256" s="0" t="inlineStr">
        <is>
          <t xml:space="preserve">Mazda</t>
        </is>
      </c>
      <c r="F3256" s="0" t="inlineStr">
        <is>
          <t xml:space="preserve">Mazda</t>
        </is>
      </c>
      <c r="G3256" s="0" t="s">
        <v>171</v>
      </c>
      <c r="H3256" s="5">
        <v>176.325100</v>
      </c>
    </row>
    <row r="3257" spans="1:9">
      <c r="A3257" s="22" t="str">
        <f>HYPERLINK("https://app.vivvix.com/360/KMI/IntelliDrive/ApplUI/Pages/CreativePages/CustomReportCreativeDetail.aspx?App=23&amp;ReportView=4&amp;Qid=1711279&amp;Row=3249&amp;Col=1","No Title Assigned - #15268325349")</f>
        <v/>
      </c>
      <c r="B3257" s="0" t="s">
        <v>4738</v>
      </c>
      <c r="E3257" s="0" t="inlineStr">
        <is>
          <t xml:space="preserve">Mazda</t>
        </is>
      </c>
      <c r="F3257" s="0" t="inlineStr">
        <is>
          <t xml:space="preserve">Mazda</t>
        </is>
      </c>
      <c r="G3257" s="0" t="s">
        <v>171</v>
      </c>
      <c r="H3257" s="5">
        <v>48022.465700</v>
      </c>
    </row>
    <row r="3258" spans="1:9">
      <c r="A3258" s="22" t="str">
        <f>HYPERLINK("https://app.vivvix.com/360/KMI/IntelliDrive/ApplUI/Pages/CreativePages/CustomReportCreativeDetail.aspx?App=23&amp;ReportView=4&amp;Qid=1711279&amp;Row=3250&amp;Col=1","No Title Assigned - #15268325349")</f>
        <v/>
      </c>
      <c r="B3258" s="0" t="s">
        <v>4738</v>
      </c>
      <c r="E3258" s="0" t="inlineStr">
        <is>
          <t xml:space="preserve">Mazda</t>
        </is>
      </c>
      <c r="F3258" s="0" t="inlineStr">
        <is>
          <t xml:space="preserve">Mazda</t>
        </is>
      </c>
      <c r="G3258" s="0" t="s">
        <v>171</v>
      </c>
      <c r="H3258" s="5">
        <v>5600.613400</v>
      </c>
    </row>
    <row r="3259" spans="1:9">
      <c r="A3259" s="22" t="str">
        <f>HYPERLINK("https://app.vivvix.com/360/KMI/IntelliDrive/ApplUI/Pages/CreativePages/CustomReportCreativeDetail.aspx?App=23&amp;ReportView=4&amp;Qid=1711279&amp;Row=3251&amp;Col=1","No Title Assigned - #15268326878")</f>
        <v/>
      </c>
      <c r="B3259" s="0" t="s">
        <v>4739</v>
      </c>
      <c r="E3259" s="0" t="inlineStr">
        <is>
          <t xml:space="preserve">Mazda</t>
        </is>
      </c>
      <c r="F3259" s="0" t="inlineStr">
        <is>
          <t xml:space="preserve">Mazda</t>
        </is>
      </c>
      <c r="G3259" s="0" t="s">
        <v>171</v>
      </c>
      <c r="H3259" s="5">
        <v>3510.651800</v>
      </c>
    </row>
    <row r="3260" spans="1:9">
      <c r="A3260" s="22" t="str">
        <f>HYPERLINK("https://app.vivvix.com/360/KMI/IntelliDrive/ApplUI/Pages/CreativePages/CustomReportCreativeDetail.aspx?App=23&amp;ReportView=4&amp;Qid=1711279&amp;Row=3252&amp;Col=1","No Title Assigned - #15268326878")</f>
        <v/>
      </c>
      <c r="B3260" s="0" t="s">
        <v>4739</v>
      </c>
      <c r="E3260" s="0" t="inlineStr">
        <is>
          <t xml:space="preserve">Mazda</t>
        </is>
      </c>
      <c r="F3260" s="0" t="inlineStr">
        <is>
          <t xml:space="preserve">Mazda</t>
        </is>
      </c>
      <c r="G3260" s="0" t="s">
        <v>171</v>
      </c>
      <c r="H3260" s="5">
        <v>958.502300</v>
      </c>
    </row>
    <row r="3261" spans="1:9">
      <c r="A3261" s="22" t="str">
        <f>HYPERLINK("https://app.vivvix.com/360/KMI/IntelliDrive/ApplUI/Pages/CreativePages/CustomReportCreativeDetail.aspx?App=23&amp;ReportView=4&amp;Qid=1711279&amp;Row=3253&amp;Col=1","No Title Assigned - #15268327459")</f>
        <v/>
      </c>
      <c r="B3261" s="0" t="s">
        <v>4740</v>
      </c>
      <c r="E3261" s="0" t="inlineStr">
        <is>
          <t xml:space="preserve">Mazda</t>
        </is>
      </c>
      <c r="F3261" s="0" t="inlineStr">
        <is>
          <t xml:space="preserve">Mazda</t>
        </is>
      </c>
      <c r="G3261" s="0" t="s">
        <v>171</v>
      </c>
      <c r="H3261" s="5">
        <v>855.149400</v>
      </c>
    </row>
    <row r="3262" spans="1:9">
      <c r="A3262" s="22" t="str">
        <f>HYPERLINK("https://app.vivvix.com/360/KMI/IntelliDrive/ApplUI/Pages/CreativePages/CustomReportCreativeDetail.aspx?App=23&amp;ReportView=4&amp;Qid=1711279&amp;Row=3254&amp;Col=1","No Title Assigned - #15268327660")</f>
        <v/>
      </c>
      <c r="B3262" s="0" t="s">
        <v>4741</v>
      </c>
      <c r="C3262" s="0" t="s">
        <v>4742</v>
      </c>
      <c r="D3262" s="0" t="s">
        <v>4742</v>
      </c>
      <c r="E3262" s="0" t="inlineStr">
        <is>
          <t xml:space="preserve">Mazda</t>
        </is>
      </c>
      <c r="F3262" s="0" t="inlineStr">
        <is>
          <t xml:space="preserve">Mazda</t>
        </is>
      </c>
      <c r="G3262" s="0" t="s">
        <v>171</v>
      </c>
      <c r="H3262" s="5">
        <v>247.421800</v>
      </c>
    </row>
    <row r="3263" spans="1:9">
      <c r="A3263" s="22" t="str">
        <f>HYPERLINK("https://app.vivvix.com/360/KMI/IntelliDrive/ApplUI/Pages/CreativePages/CustomReportCreativeDetail.aspx?App=23&amp;ReportView=4&amp;Qid=1711279&amp;Row=3255&amp;Col=1","No Title Assigned - #15268327949")</f>
        <v/>
      </c>
      <c r="B3263" s="0" t="s">
        <v>4743</v>
      </c>
      <c r="C3263" s="0" t="s">
        <v>4744</v>
      </c>
      <c r="D3263" s="0" t="s">
        <v>4744</v>
      </c>
      <c r="E3263" s="0" t="inlineStr">
        <is>
          <t xml:space="preserve">Mazda</t>
        </is>
      </c>
      <c r="F3263" s="0" t="inlineStr">
        <is>
          <t xml:space="preserve">Mazda</t>
        </is>
      </c>
      <c r="G3263" s="0" t="s">
        <v>171</v>
      </c>
      <c r="H3263" s="5">
        <v>61.522100</v>
      </c>
    </row>
    <row r="3264" spans="1:9">
      <c r="A3264" s="22" t="str">
        <f>HYPERLINK("https://app.vivvix.com/360/KMI/IntelliDrive/ApplUI/Pages/CreativePages/CustomReportCreativeDetail.aspx?App=23&amp;ReportView=4&amp;Qid=1711279&amp;Row=3256&amp;Col=1","No Title Assigned - #15268336439")</f>
        <v/>
      </c>
      <c r="B3264" s="0" t="s">
        <v>4745</v>
      </c>
      <c r="C3264" s="0" t="s">
        <v>4746</v>
      </c>
      <c r="D3264" s="0" t="s">
        <v>4746</v>
      </c>
      <c r="E3264" s="0" t="inlineStr">
        <is>
          <t xml:space="preserve">Mazda</t>
        </is>
      </c>
      <c r="F3264" s="0" t="s">
        <v>13</v>
      </c>
      <c r="G3264" s="0" t="s">
        <v>49</v>
      </c>
      <c r="H3264" s="5">
        <v>3803.320800</v>
      </c>
    </row>
    <row r="3265" spans="1:9">
      <c r="A3265" s="22" t="str">
        <f>HYPERLINK("https://app.vivvix.com/360/KMI/IntelliDrive/ApplUI/Pages/CreativePages/CustomReportCreativeDetail.aspx?App=23&amp;ReportView=4&amp;Qid=1711279&amp;Row=3257&amp;Col=1","No Title Assigned - #15268336675")</f>
        <v/>
      </c>
      <c r="B3265" s="0" t="s">
        <v>4747</v>
      </c>
      <c r="E3265" s="0" t="inlineStr">
        <is>
          <t xml:space="preserve">Mazda</t>
        </is>
      </c>
      <c r="F3265" s="0" t="inlineStr">
        <is>
          <t xml:space="preserve">Mazda</t>
        </is>
      </c>
      <c r="G3265" s="0" t="s">
        <v>171</v>
      </c>
      <c r="H3265" s="5">
        <v>1011.380000</v>
      </c>
    </row>
    <row r="3266" spans="1:9">
      <c r="A3266" s="22" t="str">
        <f>HYPERLINK("https://app.vivvix.com/360/KMI/IntelliDrive/ApplUI/Pages/CreativePages/CustomReportCreativeDetail.aspx?App=23&amp;ReportView=4&amp;Qid=1711279&amp;Row=3258&amp;Col=1","No Title Assigned - #15268337570")</f>
        <v/>
      </c>
      <c r="B3266" s="0" t="s">
        <v>4748</v>
      </c>
      <c r="E3266" s="0" t="inlineStr">
        <is>
          <t xml:space="preserve">Mazda</t>
        </is>
      </c>
      <c r="F3266" s="0" t="inlineStr">
        <is>
          <t xml:space="preserve">Mazda</t>
        </is>
      </c>
      <c r="G3266" s="0" t="s">
        <v>171</v>
      </c>
      <c r="H3266" s="5">
        <v>9321.636800</v>
      </c>
    </row>
    <row r="3267" spans="1:9">
      <c r="A3267" s="22" t="str">
        <f>HYPERLINK("https://app.vivvix.com/360/KMI/IntelliDrive/ApplUI/Pages/CreativePages/CustomReportCreativeDetail.aspx?App=23&amp;ReportView=4&amp;Qid=1711279&amp;Row=3259&amp;Col=1","No Title Assigned - #15268337579")</f>
        <v/>
      </c>
      <c r="B3267" s="0" t="s">
        <v>4749</v>
      </c>
      <c r="C3267" s="0" t="s">
        <v>4750</v>
      </c>
      <c r="D3267" s="0" t="s">
        <v>4204</v>
      </c>
      <c r="E3267" s="0" t="inlineStr">
        <is>
          <t xml:space="preserve">Mazda</t>
        </is>
      </c>
      <c r="F3267" s="0" t="s">
        <v>28</v>
      </c>
      <c r="G3267" s="0" t="s">
        <v>29</v>
      </c>
      <c r="H3267" s="5">
        <v>184.582000</v>
      </c>
    </row>
    <row r="3268" spans="1:9">
      <c r="A3268" s="22" t="str">
        <f>HYPERLINK("https://app.vivvix.com/360/KMI/IntelliDrive/ApplUI/Pages/CreativePages/CustomReportCreativeDetail.aspx?App=23&amp;ReportView=4&amp;Qid=1711279&amp;Row=3260&amp;Col=1","No Title Assigned - #15268338323")</f>
        <v/>
      </c>
      <c r="B3268" s="0" t="s">
        <v>4751</v>
      </c>
      <c r="E3268" s="0" t="inlineStr">
        <is>
          <t xml:space="preserve">Mazda</t>
        </is>
      </c>
      <c r="F3268" s="0" t="inlineStr">
        <is>
          <t xml:space="preserve">Mazda</t>
        </is>
      </c>
      <c r="G3268" s="0" t="s">
        <v>171</v>
      </c>
      <c r="H3268" s="5">
        <v>34.595900</v>
      </c>
    </row>
    <row r="3269" spans="1:9">
      <c r="A3269" s="22" t="str">
        <f>HYPERLINK("https://app.vivvix.com/360/KMI/IntelliDrive/ApplUI/Pages/CreativePages/CustomReportCreativeDetail.aspx?App=23&amp;ReportView=4&amp;Qid=1711279&amp;Row=3261&amp;Col=1","No Title Assigned - #15268338701")</f>
        <v/>
      </c>
      <c r="B3269" s="0" t="s">
        <v>4752</v>
      </c>
      <c r="E3269" s="0" t="inlineStr">
        <is>
          <t xml:space="preserve">Mazda</t>
        </is>
      </c>
      <c r="F3269" s="0" t="inlineStr">
        <is>
          <t xml:space="preserve">Mazda</t>
        </is>
      </c>
      <c r="G3269" s="0" t="s">
        <v>171</v>
      </c>
      <c r="H3269" s="5">
        <v>656.248400</v>
      </c>
    </row>
    <row r="3270" spans="1:9">
      <c r="A3270" s="22" t="str">
        <f>HYPERLINK("https://app.vivvix.com/360/KMI/IntelliDrive/ApplUI/Pages/CreativePages/CustomReportCreativeDetail.aspx?App=23&amp;ReportView=4&amp;Qid=1711279&amp;Row=3262&amp;Col=1","No Title Assigned - #15268338702")</f>
        <v/>
      </c>
      <c r="B3270" s="0" t="s">
        <v>4753</v>
      </c>
      <c r="E3270" s="0" t="inlineStr">
        <is>
          <t xml:space="preserve">Mazda</t>
        </is>
      </c>
      <c r="F3270" s="0" t="inlineStr">
        <is>
          <t xml:space="preserve">Mazda</t>
        </is>
      </c>
      <c r="G3270" s="0" t="s">
        <v>171</v>
      </c>
      <c r="H3270" s="5">
        <v>677.296500</v>
      </c>
    </row>
    <row r="3271" spans="1:9">
      <c r="A3271" s="22" t="str">
        <f>HYPERLINK("https://app.vivvix.com/360/KMI/IntelliDrive/ApplUI/Pages/CreativePages/CustomReportCreativeDetail.aspx?App=23&amp;ReportView=4&amp;Qid=1711279&amp;Row=3263&amp;Col=1","No Title Assigned - #15268339362")</f>
        <v/>
      </c>
      <c r="B3271" s="0" t="s">
        <v>4754</v>
      </c>
      <c r="E3271" s="0" t="inlineStr">
        <is>
          <t xml:space="preserve">Mazda</t>
        </is>
      </c>
      <c r="F3271" s="0" t="inlineStr">
        <is>
          <t xml:space="preserve">Mazda</t>
        </is>
      </c>
      <c r="G3271" s="0" t="s">
        <v>171</v>
      </c>
      <c r="H3271" s="5">
        <v>184.404500</v>
      </c>
    </row>
    <row r="3272" spans="1:9">
      <c r="A3272" s="22" t="str">
        <f>HYPERLINK("https://app.vivvix.com/360/KMI/IntelliDrive/ApplUI/Pages/CreativePages/CustomReportCreativeDetail.aspx?App=23&amp;ReportView=4&amp;Qid=1711279&amp;Row=3264&amp;Col=1","No Title Assigned - #15268340431")</f>
        <v/>
      </c>
      <c r="B3272" s="0" t="s">
        <v>4755</v>
      </c>
      <c r="E3272" s="0" t="inlineStr">
        <is>
          <t xml:space="preserve">Mazda</t>
        </is>
      </c>
      <c r="F3272" s="0" t="inlineStr">
        <is>
          <t xml:space="preserve">Mazda</t>
        </is>
      </c>
      <c r="G3272" s="0" t="s">
        <v>171</v>
      </c>
      <c r="H3272" s="5">
        <v>645.737300</v>
      </c>
    </row>
    <row r="3273" spans="1:9">
      <c r="A3273" s="22" t="str">
        <f>HYPERLINK("https://app.vivvix.com/360/KMI/IntelliDrive/ApplUI/Pages/CreativePages/CustomReportCreativeDetail.aspx?App=23&amp;ReportView=4&amp;Qid=1711279&amp;Row=3265&amp;Col=1","No Title Assigned - #15268342090")</f>
        <v/>
      </c>
      <c r="B3273" s="0" t="s">
        <v>4756</v>
      </c>
      <c r="E3273" s="0" t="inlineStr">
        <is>
          <t xml:space="preserve">Mazda</t>
        </is>
      </c>
      <c r="F3273" s="0" t="inlineStr">
        <is>
          <t xml:space="preserve">Mazda</t>
        </is>
      </c>
      <c r="G3273" s="0" t="s">
        <v>171</v>
      </c>
      <c r="H3273" s="5">
        <v>2759.329700</v>
      </c>
    </row>
    <row r="3274" spans="1:9">
      <c r="A3274" s="22" t="str">
        <f>HYPERLINK("https://app.vivvix.com/360/KMI/IntelliDrive/ApplUI/Pages/CreativePages/CustomReportCreativeDetail.aspx?App=23&amp;ReportView=4&amp;Qid=1711279&amp;Row=3266&amp;Col=1","No Title Assigned - #15268342353")</f>
        <v/>
      </c>
      <c r="B3274" s="0" t="s">
        <v>4757</v>
      </c>
      <c r="E3274" s="0" t="inlineStr">
        <is>
          <t xml:space="preserve">Mazda</t>
        </is>
      </c>
      <c r="F3274" s="0" t="inlineStr">
        <is>
          <t xml:space="preserve">Mazda</t>
        </is>
      </c>
      <c r="G3274" s="0" t="s">
        <v>171</v>
      </c>
      <c r="H3274" s="5">
        <v>4699.724100</v>
      </c>
    </row>
    <row r="3275" spans="1:9">
      <c r="A3275" s="22" t="str">
        <f>HYPERLINK("https://app.vivvix.com/360/KMI/IntelliDrive/ApplUI/Pages/CreativePages/CustomReportCreativeDetail.aspx?App=23&amp;ReportView=4&amp;Qid=1711279&amp;Row=3267&amp;Col=1","No Title Assigned - #15268342702")</f>
        <v/>
      </c>
      <c r="B3275" s="0" t="s">
        <v>4758</v>
      </c>
      <c r="E3275" s="0" t="inlineStr">
        <is>
          <t xml:space="preserve">Mazda</t>
        </is>
      </c>
      <c r="F3275" s="0" t="inlineStr">
        <is>
          <t xml:space="preserve">Mazda</t>
        </is>
      </c>
      <c r="G3275" s="0" t="s">
        <v>171</v>
      </c>
      <c r="H3275" s="5">
        <v>371.836800</v>
      </c>
    </row>
    <row r="3276" spans="1:9">
      <c r="A3276" s="22" t="str">
        <f>HYPERLINK("https://app.vivvix.com/360/KMI/IntelliDrive/ApplUI/Pages/CreativePages/CustomReportCreativeDetail.aspx?App=23&amp;ReportView=4&amp;Qid=1711279&amp;Row=3268&amp;Col=1","No Title Assigned - #15268342703")</f>
        <v/>
      </c>
      <c r="B3276" s="0" t="s">
        <v>4759</v>
      </c>
      <c r="C3276" s="0" t="s">
        <v>4760</v>
      </c>
      <c r="D3276" s="0" t="s">
        <v>4760</v>
      </c>
      <c r="E3276" s="0" t="inlineStr">
        <is>
          <t xml:space="preserve">Mazda</t>
        </is>
      </c>
      <c r="F3276" s="0" t="inlineStr">
        <is>
          <t xml:space="preserve">Mazda</t>
        </is>
      </c>
      <c r="G3276" s="0" t="s">
        <v>171</v>
      </c>
      <c r="H3276" s="5">
        <v>5140.216200</v>
      </c>
    </row>
    <row r="3277" spans="1:9">
      <c r="A3277" s="22" t="str">
        <f>HYPERLINK("https://app.vivvix.com/360/KMI/IntelliDrive/ApplUI/Pages/CreativePages/CustomReportCreativeDetail.aspx?App=23&amp;ReportView=4&amp;Qid=1711279&amp;Row=3269&amp;Col=1","No Title Assigned - #15268342703")</f>
        <v/>
      </c>
      <c r="B3277" s="0" t="s">
        <v>4759</v>
      </c>
      <c r="E3277" s="0" t="inlineStr">
        <is>
          <t xml:space="preserve">Mazda</t>
        </is>
      </c>
      <c r="F3277" s="0" t="inlineStr">
        <is>
          <t xml:space="preserve">Mazda</t>
        </is>
      </c>
      <c r="G3277" s="0" t="s">
        <v>171</v>
      </c>
      <c r="H3277" s="5">
        <v>753.488400</v>
      </c>
    </row>
    <row r="3278" spans="1:9">
      <c r="A3278" s="22" t="str">
        <f>HYPERLINK("https://app.vivvix.com/360/KMI/IntelliDrive/ApplUI/Pages/CreativePages/CustomReportCreativeDetail.aspx?App=23&amp;ReportView=4&amp;Qid=1711279&amp;Row=3270&amp;Col=1","No Title Assigned - #15268343696")</f>
        <v/>
      </c>
      <c r="B3278" s="0" t="s">
        <v>4761</v>
      </c>
      <c r="C3278" s="0" t="s">
        <v>4762</v>
      </c>
      <c r="D3278" s="0" t="s">
        <v>4335</v>
      </c>
      <c r="E3278" s="0" t="inlineStr">
        <is>
          <t xml:space="preserve">Mazda</t>
        </is>
      </c>
      <c r="F3278" s="0" t="s">
        <v>13</v>
      </c>
      <c r="G3278" s="0" t="s">
        <v>49</v>
      </c>
      <c r="H3278" s="5">
        <v>975.725200</v>
      </c>
    </row>
    <row r="3279" spans="1:9">
      <c r="A3279" s="22" t="str">
        <f>HYPERLINK("https://app.vivvix.com/360/KMI/IntelliDrive/ApplUI/Pages/CreativePages/CustomReportCreativeDetail.aspx?App=23&amp;ReportView=4&amp;Qid=1711279&amp;Row=3271&amp;Col=1","No Title Assigned - #15268343714")</f>
        <v/>
      </c>
      <c r="B3279" s="0" t="s">
        <v>4763</v>
      </c>
      <c r="E3279" s="0" t="inlineStr">
        <is>
          <t xml:space="preserve">Mazda</t>
        </is>
      </c>
      <c r="F3279" s="0" t="inlineStr">
        <is>
          <t xml:space="preserve">Mazda</t>
        </is>
      </c>
      <c r="G3279" s="0" t="s">
        <v>171</v>
      </c>
      <c r="H3279" s="5">
        <v>2772.506000</v>
      </c>
    </row>
    <row r="3280" spans="1:9">
      <c r="A3280" s="22" t="str">
        <f>HYPERLINK("https://app.vivvix.com/360/KMI/IntelliDrive/ApplUI/Pages/CreativePages/CustomReportCreativeDetail.aspx?App=23&amp;ReportView=4&amp;Qid=1711279&amp;Row=3272&amp;Col=1","No Title Assigned - #15268345054")</f>
        <v/>
      </c>
      <c r="B3280" s="0" t="s">
        <v>4764</v>
      </c>
      <c r="E3280" s="0" t="inlineStr">
        <is>
          <t xml:space="preserve">Mazda</t>
        </is>
      </c>
      <c r="F3280" s="0" t="inlineStr">
        <is>
          <t xml:space="preserve">Mazda</t>
        </is>
      </c>
      <c r="G3280" s="0" t="s">
        <v>171</v>
      </c>
      <c r="H3280" s="5">
        <v>777.501400</v>
      </c>
    </row>
    <row r="3281" spans="1:9">
      <c r="A3281" s="22" t="str">
        <f>HYPERLINK("https://app.vivvix.com/360/KMI/IntelliDrive/ApplUI/Pages/CreativePages/CustomReportCreativeDetail.aspx?App=23&amp;ReportView=4&amp;Qid=1711279&amp;Row=3273&amp;Col=1","No Title Assigned - #15268346614")</f>
        <v/>
      </c>
      <c r="B3281" s="0" t="s">
        <v>4765</v>
      </c>
      <c r="C3281" s="0" t="s">
        <v>4766</v>
      </c>
      <c r="D3281" s="0" t="s">
        <v>4766</v>
      </c>
      <c r="E3281" s="0" t="inlineStr">
        <is>
          <t xml:space="preserve">Mazda</t>
        </is>
      </c>
      <c r="F3281" s="0" t="s">
        <v>28</v>
      </c>
      <c r="G3281" s="0" t="s">
        <v>29</v>
      </c>
      <c r="H3281" s="5">
        <v>9939.445600</v>
      </c>
    </row>
    <row r="3282" spans="1:9">
      <c r="A3282" s="22" t="str">
        <f>HYPERLINK("https://app.vivvix.com/360/KMI/IntelliDrive/ApplUI/Pages/CreativePages/CustomReportCreativeDetail.aspx?App=23&amp;ReportView=4&amp;Qid=1711279&amp;Row=3274&amp;Col=1","No Title Assigned - #15268348368")</f>
        <v/>
      </c>
      <c r="B3282" s="0" t="s">
        <v>4767</v>
      </c>
      <c r="C3282" s="0" t="s">
        <v>4768</v>
      </c>
      <c r="D3282" s="0" t="s">
        <v>4768</v>
      </c>
      <c r="E3282" s="0" t="inlineStr">
        <is>
          <t xml:space="preserve">Mazda</t>
        </is>
      </c>
      <c r="F3282" s="0" t="s">
        <v>13</v>
      </c>
      <c r="G3282" s="0" t="s">
        <v>49</v>
      </c>
      <c r="H3282" s="5">
        <v>4750.866000</v>
      </c>
    </row>
    <row r="3283" spans="1:9">
      <c r="A3283" s="22" t="str">
        <f>HYPERLINK("https://app.vivvix.com/360/KMI/IntelliDrive/ApplUI/Pages/CreativePages/CustomReportCreativeDetail.aspx?App=23&amp;ReportView=4&amp;Qid=1711279&amp;Row=3275&amp;Col=1","No Title Assigned - #15268349080")</f>
        <v/>
      </c>
      <c r="B3283" s="0" t="s">
        <v>4769</v>
      </c>
      <c r="C3283" s="0" t="s">
        <v>4770</v>
      </c>
      <c r="D3283" s="0" t="s">
        <v>4200</v>
      </c>
      <c r="E3283" s="0" t="inlineStr">
        <is>
          <t xml:space="preserve">Mazda</t>
        </is>
      </c>
      <c r="F3283" s="0" t="s">
        <v>28</v>
      </c>
      <c r="G3283" s="0" t="s">
        <v>29</v>
      </c>
      <c r="H3283" s="5">
        <v>144.071700</v>
      </c>
    </row>
    <row r="3284" spans="1:9">
      <c r="A3284" s="22" t="str">
        <f>HYPERLINK("https://app.vivvix.com/360/KMI/IntelliDrive/ApplUI/Pages/CreativePages/CustomReportCreativeDetail.aspx?App=23&amp;ReportView=4&amp;Qid=1711279&amp;Row=3276&amp;Col=1","No Title Assigned - #15268349318")</f>
        <v/>
      </c>
      <c r="B3284" s="0" t="s">
        <v>4771</v>
      </c>
      <c r="C3284" s="0" t="s">
        <v>4772</v>
      </c>
      <c r="D3284" s="0" t="s">
        <v>4202</v>
      </c>
      <c r="E3284" s="0" t="inlineStr">
        <is>
          <t xml:space="preserve">Mazda</t>
        </is>
      </c>
      <c r="F3284" s="0" t="s">
        <v>28</v>
      </c>
      <c r="G3284" s="0" t="s">
        <v>29</v>
      </c>
      <c r="H3284" s="5">
        <v>306.336200</v>
      </c>
    </row>
    <row r="3285" spans="1:9">
      <c r="A3285" s="22" t="str">
        <f>HYPERLINK("https://app.vivvix.com/360/KMI/IntelliDrive/ApplUI/Pages/CreativePages/CustomReportCreativeDetail.aspx?App=23&amp;ReportView=4&amp;Qid=1711279&amp;Row=3277&amp;Col=1","No Title Assigned - #15268350994")</f>
        <v/>
      </c>
      <c r="B3285" s="0" t="s">
        <v>4773</v>
      </c>
      <c r="C3285" s="0" t="s">
        <v>4774</v>
      </c>
      <c r="D3285" s="0" t="s">
        <v>4774</v>
      </c>
      <c r="E3285" s="0" t="inlineStr">
        <is>
          <t xml:space="preserve">Mazda</t>
        </is>
      </c>
      <c r="F3285" s="0" t="s">
        <v>13</v>
      </c>
      <c r="G3285" s="0" t="s">
        <v>49</v>
      </c>
      <c r="H3285" s="5">
        <v>9103.536700</v>
      </c>
    </row>
    <row r="3286" spans="1:9">
      <c r="A3286" s="22" t="str">
        <f>HYPERLINK("https://app.vivvix.com/360/KMI/IntelliDrive/ApplUI/Pages/CreativePages/CustomReportCreativeDetail.aspx?App=23&amp;ReportView=4&amp;Qid=1711279&amp;Row=3278&amp;Col=1","No Title Assigned - #15268351040")</f>
        <v/>
      </c>
      <c r="B3286" s="0" t="s">
        <v>4775</v>
      </c>
      <c r="C3286" s="0" t="s">
        <v>4776</v>
      </c>
      <c r="D3286" s="0" t="s">
        <v>4335</v>
      </c>
      <c r="E3286" s="0" t="inlineStr">
        <is>
          <t xml:space="preserve">Mazda</t>
        </is>
      </c>
      <c r="F3286" s="0" t="s">
        <v>13</v>
      </c>
      <c r="G3286" s="0" t="s">
        <v>49</v>
      </c>
      <c r="H3286" s="5">
        <v>323.748800</v>
      </c>
    </row>
    <row r="3287" spans="1:9">
      <c r="A3287" s="22" t="str">
        <f>HYPERLINK("https://app.vivvix.com/360/KMI/IntelliDrive/ApplUI/Pages/CreativePages/CustomReportCreativeDetail.aspx?App=23&amp;ReportView=4&amp;Qid=1711279&amp;Row=3279&amp;Col=1","No Title Assigned - #15268351226")</f>
        <v/>
      </c>
      <c r="B3287" s="0" t="s">
        <v>4777</v>
      </c>
      <c r="C3287" s="0" t="s">
        <v>4778</v>
      </c>
      <c r="D3287" s="0" t="s">
        <v>4778</v>
      </c>
      <c r="E3287" s="0" t="inlineStr">
        <is>
          <t xml:space="preserve">Mazda</t>
        </is>
      </c>
      <c r="F3287" s="0" t="s">
        <v>13</v>
      </c>
      <c r="G3287" s="0" t="s">
        <v>49</v>
      </c>
      <c r="H3287" s="5">
        <v>330.024700</v>
      </c>
    </row>
    <row r="3288" spans="1:9">
      <c r="A3288" s="22" t="str">
        <f>HYPERLINK("https://app.vivvix.com/360/KMI/IntelliDrive/ApplUI/Pages/CreativePages/CustomReportCreativeDetail.aspx?App=23&amp;ReportView=4&amp;Qid=1711279&amp;Row=3280&amp;Col=1","No Title Assigned - #15268351226")</f>
        <v/>
      </c>
      <c r="B3288" s="0" t="s">
        <v>4777</v>
      </c>
      <c r="C3288" s="0" t="s">
        <v>4779</v>
      </c>
      <c r="D3288" s="0" t="s">
        <v>4779</v>
      </c>
      <c r="E3288" s="0" t="inlineStr">
        <is>
          <t xml:space="preserve">Mazda</t>
        </is>
      </c>
      <c r="F3288" s="0" t="s">
        <v>13</v>
      </c>
      <c r="G3288" s="0" t="s">
        <v>49</v>
      </c>
      <c r="H3288" s="5">
        <v>841.400300</v>
      </c>
    </row>
    <row r="3289" spans="1:9">
      <c r="A3289" s="22" t="str">
        <f>HYPERLINK("https://app.vivvix.com/360/KMI/IntelliDrive/ApplUI/Pages/CreativePages/CustomReportCreativeDetail.aspx?App=23&amp;ReportView=4&amp;Qid=1711279&amp;Row=3281&amp;Col=1","No Title Assigned - #15268351833")</f>
        <v/>
      </c>
      <c r="B3289" s="0" t="s">
        <v>4780</v>
      </c>
      <c r="C3289" s="0" t="s">
        <v>4781</v>
      </c>
      <c r="D3289" s="0" t="s">
        <v>4781</v>
      </c>
      <c r="E3289" s="0" t="inlineStr">
        <is>
          <t xml:space="preserve">Mazda</t>
        </is>
      </c>
      <c r="F3289" s="0" t="s">
        <v>28</v>
      </c>
      <c r="G3289" s="0" t="s">
        <v>29</v>
      </c>
      <c r="H3289" s="5">
        <v>7442.997200</v>
      </c>
    </row>
    <row r="3290" spans="1:9">
      <c r="A3290" s="22" t="str">
        <f>HYPERLINK("https://app.vivvix.com/360/KMI/IntelliDrive/ApplUI/Pages/CreativePages/CustomReportCreativeDetail.aspx?App=23&amp;ReportView=4&amp;Qid=1711279&amp;Row=3282&amp;Col=1","No Title Assigned - #15268351833")</f>
        <v/>
      </c>
      <c r="B3290" s="0" t="s">
        <v>4780</v>
      </c>
      <c r="E3290" s="0" t="inlineStr">
        <is>
          <t xml:space="preserve">Mazda</t>
        </is>
      </c>
      <c r="F3290" s="0" t="s">
        <v>28</v>
      </c>
      <c r="G3290" s="0" t="s">
        <v>29</v>
      </c>
      <c r="H3290" s="5">
        <v>1893.808100</v>
      </c>
    </row>
    <row r="3291" spans="1:9">
      <c r="A3291" s="22" t="str">
        <f>HYPERLINK("https://app.vivvix.com/360/KMI/IntelliDrive/ApplUI/Pages/CreativePages/CustomReportCreativeDetail.aspx?App=23&amp;ReportView=4&amp;Qid=1711279&amp;Row=3283&amp;Col=1","No Title Assigned - #15268351835")</f>
        <v/>
      </c>
      <c r="B3291" s="0" t="s">
        <v>4782</v>
      </c>
      <c r="C3291" s="0" t="s">
        <v>4783</v>
      </c>
      <c r="D3291" s="0" t="s">
        <v>4783</v>
      </c>
      <c r="E3291" s="0" t="inlineStr">
        <is>
          <t xml:space="preserve">Mazda</t>
        </is>
      </c>
      <c r="F3291" s="0" t="s">
        <v>28</v>
      </c>
      <c r="G3291" s="0" t="s">
        <v>29</v>
      </c>
      <c r="H3291" s="5">
        <v>373.563100</v>
      </c>
    </row>
    <row r="3292" spans="1:9">
      <c r="A3292" s="22" t="str">
        <f>HYPERLINK("https://app.vivvix.com/360/KMI/IntelliDrive/ApplUI/Pages/CreativePages/CustomReportCreativeDetail.aspx?App=23&amp;ReportView=4&amp;Qid=1711279&amp;Row=3284&amp;Col=1","No Title Assigned - #15268352621")</f>
        <v/>
      </c>
      <c r="B3292" s="0" t="s">
        <v>4784</v>
      </c>
      <c r="E3292" s="0" t="inlineStr">
        <is>
          <t xml:space="preserve">Mazda</t>
        </is>
      </c>
      <c r="F3292" s="0" t="inlineStr">
        <is>
          <t xml:space="preserve">Mazda</t>
        </is>
      </c>
      <c r="G3292" s="0" t="s">
        <v>171</v>
      </c>
      <c r="H3292" s="5">
        <v>75.136500</v>
      </c>
    </row>
    <row r="3293" spans="1:9">
      <c r="A3293" s="22" t="str">
        <f>HYPERLINK("https://app.vivvix.com/360/KMI/IntelliDrive/ApplUI/Pages/CreativePages/CustomReportCreativeDetail.aspx?App=23&amp;ReportView=4&amp;Qid=1711279&amp;Row=3285&amp;Col=1","No Title Assigned - #15268352674")</f>
        <v/>
      </c>
      <c r="B3293" s="0" t="s">
        <v>4785</v>
      </c>
      <c r="C3293" s="0" t="s">
        <v>4786</v>
      </c>
      <c r="D3293" s="0" t="s">
        <v>4204</v>
      </c>
      <c r="E3293" s="0" t="inlineStr">
        <is>
          <t xml:space="preserve">Mazda</t>
        </is>
      </c>
      <c r="F3293" s="0" t="s">
        <v>28</v>
      </c>
      <c r="G3293" s="0" t="s">
        <v>29</v>
      </c>
      <c r="H3293" s="5">
        <v>36.815100</v>
      </c>
    </row>
    <row r="3294" spans="1:9">
      <c r="A3294" s="22" t="str">
        <f>HYPERLINK("https://app.vivvix.com/360/KMI/IntelliDrive/ApplUI/Pages/CreativePages/CustomReportCreativeDetail.aspx?App=23&amp;ReportView=4&amp;Qid=1711279&amp;Row=3286&amp;Col=1","No Title Assigned - #15268353358")</f>
        <v/>
      </c>
      <c r="B3294" s="0" t="s">
        <v>4787</v>
      </c>
      <c r="C3294" s="0" t="s">
        <v>4788</v>
      </c>
      <c r="D3294" s="0" t="s">
        <v>4200</v>
      </c>
      <c r="E3294" s="0" t="inlineStr">
        <is>
          <t xml:space="preserve">Mazda</t>
        </is>
      </c>
      <c r="F3294" s="0" t="s">
        <v>28</v>
      </c>
      <c r="G3294" s="0" t="s">
        <v>29</v>
      </c>
      <c r="H3294" s="5">
        <v>339.242600</v>
      </c>
    </row>
    <row r="3295" spans="1:9">
      <c r="A3295" s="22" t="str">
        <f>HYPERLINK("https://app.vivvix.com/360/KMI/IntelliDrive/ApplUI/Pages/CreativePages/CustomReportCreativeDetail.aspx?App=23&amp;ReportView=4&amp;Qid=1711279&amp;Row=3287&amp;Col=1","No Title Assigned - #15268353369")</f>
        <v/>
      </c>
      <c r="B3295" s="0" t="s">
        <v>4789</v>
      </c>
      <c r="C3295" s="0" t="s">
        <v>4790</v>
      </c>
      <c r="D3295" s="0" t="s">
        <v>4225</v>
      </c>
      <c r="E3295" s="0" t="inlineStr">
        <is>
          <t xml:space="preserve">Mazda</t>
        </is>
      </c>
      <c r="F3295" s="0" t="s">
        <v>28</v>
      </c>
      <c r="G3295" s="0" t="s">
        <v>29</v>
      </c>
      <c r="H3295" s="5">
        <v>1891.403600</v>
      </c>
    </row>
    <row r="3296" spans="1:9">
      <c r="A3296" s="22" t="str">
        <f>HYPERLINK("https://app.vivvix.com/360/KMI/IntelliDrive/ApplUI/Pages/CreativePages/CustomReportCreativeDetail.aspx?App=23&amp;ReportView=4&amp;Qid=1711279&amp;Row=3288&amp;Col=1","No Title Assigned - #15268353370")</f>
        <v/>
      </c>
      <c r="B3296" s="0" t="s">
        <v>4791</v>
      </c>
      <c r="C3296" s="0" t="s">
        <v>4792</v>
      </c>
      <c r="D3296" s="0" t="s">
        <v>4200</v>
      </c>
      <c r="E3296" s="0" t="inlineStr">
        <is>
          <t xml:space="preserve">Mazda</t>
        </is>
      </c>
      <c r="F3296" s="0" t="s">
        <v>28</v>
      </c>
      <c r="G3296" s="0" t="s">
        <v>29</v>
      </c>
      <c r="H3296" s="5">
        <v>771.571900</v>
      </c>
    </row>
    <row r="3297" spans="1:9">
      <c r="A3297" s="22" t="str">
        <f>HYPERLINK("https://app.vivvix.com/360/KMI/IntelliDrive/ApplUI/Pages/CreativePages/CustomReportCreativeDetail.aspx?App=23&amp;ReportView=4&amp;Qid=1711279&amp;Row=3289&amp;Col=1","No Title Assigned - #15268353555")</f>
        <v/>
      </c>
      <c r="B3297" s="0" t="s">
        <v>4793</v>
      </c>
      <c r="C3297" s="0" t="s">
        <v>4794</v>
      </c>
      <c r="D3297" s="0" t="s">
        <v>4794</v>
      </c>
      <c r="E3297" s="0" t="inlineStr">
        <is>
          <t xml:space="preserve">Mazda</t>
        </is>
      </c>
      <c r="F3297" s="0" t="s">
        <v>28</v>
      </c>
      <c r="G3297" s="0" t="s">
        <v>29</v>
      </c>
      <c r="H3297" s="5">
        <v>161.106600</v>
      </c>
    </row>
    <row r="3298" spans="1:9">
      <c r="A3298" s="22" t="str">
        <f>HYPERLINK("https://app.vivvix.com/360/KMI/IntelliDrive/ApplUI/Pages/CreativePages/CustomReportCreativeDetail.aspx?App=23&amp;ReportView=4&amp;Qid=1711279&amp;Row=3290&amp;Col=1","No Title Assigned - #15268353705")</f>
        <v/>
      </c>
      <c r="B3298" s="0" t="s">
        <v>4795</v>
      </c>
      <c r="C3298" s="0" t="s">
        <v>4796</v>
      </c>
      <c r="D3298" s="0" t="s">
        <v>4796</v>
      </c>
      <c r="E3298" s="0" t="inlineStr">
        <is>
          <t xml:space="preserve">Mazda</t>
        </is>
      </c>
      <c r="F3298" s="0" t="s">
        <v>28</v>
      </c>
      <c r="G3298" s="0" t="s">
        <v>29</v>
      </c>
      <c r="H3298" s="5">
        <v>630.852000</v>
      </c>
    </row>
    <row r="3299" spans="1:9">
      <c r="A3299" s="22" t="str">
        <f>HYPERLINK("https://app.vivvix.com/360/KMI/IntelliDrive/ApplUI/Pages/CreativePages/CustomReportCreativeDetail.aspx?App=23&amp;ReportView=4&amp;Qid=1711279&amp;Row=3291&amp;Col=1","No Title Assigned - #15268353705")</f>
        <v/>
      </c>
      <c r="B3299" s="0" t="s">
        <v>4795</v>
      </c>
      <c r="E3299" s="0" t="inlineStr">
        <is>
          <t xml:space="preserve">Mazda</t>
        </is>
      </c>
      <c r="F3299" s="0" t="s">
        <v>28</v>
      </c>
      <c r="G3299" s="0" t="s">
        <v>29</v>
      </c>
      <c r="H3299" s="5">
        <v>355.234600</v>
      </c>
    </row>
    <row r="3300" spans="1:9">
      <c r="A3300" s="22" t="str">
        <f>HYPERLINK("https://app.vivvix.com/360/KMI/IntelliDrive/ApplUI/Pages/CreativePages/CustomReportCreativeDetail.aspx?App=23&amp;ReportView=4&amp;Qid=1711279&amp;Row=3292&amp;Col=1","No Title Assigned - #15268353901")</f>
        <v/>
      </c>
      <c r="B3300" s="0" t="s">
        <v>4797</v>
      </c>
      <c r="E3300" s="0" t="inlineStr">
        <is>
          <t xml:space="preserve">Mazda</t>
        </is>
      </c>
      <c r="F3300" s="0" t="s">
        <v>28</v>
      </c>
      <c r="G3300" s="0" t="s">
        <v>29</v>
      </c>
      <c r="H3300" s="5">
        <v>2224.382800</v>
      </c>
    </row>
    <row r="3301" spans="1:9">
      <c r="A3301" s="22" t="str">
        <f>HYPERLINK("https://app.vivvix.com/360/KMI/IntelliDrive/ApplUI/Pages/CreativePages/CustomReportCreativeDetail.aspx?App=23&amp;ReportView=4&amp;Qid=1711279&amp;Row=3293&amp;Col=1","No Title Assigned - #15268353901")</f>
        <v/>
      </c>
      <c r="B3301" s="0" t="s">
        <v>4797</v>
      </c>
      <c r="C3301" s="0" t="s">
        <v>4798</v>
      </c>
      <c r="D3301" s="0" t="s">
        <v>4798</v>
      </c>
      <c r="E3301" s="0" t="inlineStr">
        <is>
          <t xml:space="preserve">Mazda</t>
        </is>
      </c>
      <c r="F3301" s="0" t="s">
        <v>28</v>
      </c>
      <c r="G3301" s="0" t="s">
        <v>29</v>
      </c>
      <c r="H3301" s="5">
        <v>441.210700</v>
      </c>
    </row>
    <row r="3302" spans="1:9">
      <c r="A3302" s="22" t="str">
        <f>HYPERLINK("https://app.vivvix.com/360/KMI/IntelliDrive/ApplUI/Pages/CreativePages/CustomReportCreativeDetail.aspx?App=23&amp;ReportView=4&amp;Qid=1711279&amp;Row=3294&amp;Col=1","No Title Assigned - #15268354094")</f>
        <v/>
      </c>
      <c r="B3302" s="0" t="s">
        <v>4799</v>
      </c>
      <c r="C3302" s="0" t="s">
        <v>4800</v>
      </c>
      <c r="D3302" s="0" t="s">
        <v>4800</v>
      </c>
      <c r="E3302" s="0" t="inlineStr">
        <is>
          <t xml:space="preserve">Mazda</t>
        </is>
      </c>
      <c r="F3302" s="0" t="s">
        <v>28</v>
      </c>
      <c r="G3302" s="0" t="s">
        <v>29</v>
      </c>
      <c r="H3302" s="5">
        <v>987.069900</v>
      </c>
    </row>
    <row r="3303" spans="1:9">
      <c r="A3303" s="22" t="str">
        <f>HYPERLINK("https://app.vivvix.com/360/KMI/IntelliDrive/ApplUI/Pages/CreativePages/CustomReportCreativeDetail.aspx?App=23&amp;ReportView=4&amp;Qid=1711279&amp;Row=3295&amp;Col=1","No Title Assigned - #15268354171")</f>
        <v/>
      </c>
      <c r="B3303" s="0" t="s">
        <v>4801</v>
      </c>
      <c r="C3303" s="0" t="s">
        <v>4802</v>
      </c>
      <c r="D3303" s="0" t="s">
        <v>4802</v>
      </c>
      <c r="E3303" s="0" t="inlineStr">
        <is>
          <t xml:space="preserve">Mazda</t>
        </is>
      </c>
      <c r="F3303" s="0" t="s">
        <v>28</v>
      </c>
      <c r="G3303" s="0" t="s">
        <v>29</v>
      </c>
      <c r="H3303" s="5">
        <v>806.558300</v>
      </c>
    </row>
    <row r="3304" spans="1:9">
      <c r="A3304" s="22" t="str">
        <f>HYPERLINK("https://app.vivvix.com/360/KMI/IntelliDrive/ApplUI/Pages/CreativePages/CustomReportCreativeDetail.aspx?App=23&amp;ReportView=4&amp;Qid=1711279&amp;Row=3296&amp;Col=1","No Title Assigned - #15268354279")</f>
        <v/>
      </c>
      <c r="B3304" s="0" t="s">
        <v>4803</v>
      </c>
      <c r="E3304" s="0" t="inlineStr">
        <is>
          <t xml:space="preserve">Mazda</t>
        </is>
      </c>
      <c r="F3304" s="0" t="inlineStr">
        <is>
          <t xml:space="preserve">Mazda</t>
        </is>
      </c>
      <c r="G3304" s="0" t="s">
        <v>171</v>
      </c>
      <c r="H3304" s="5">
        <v>3930.720600</v>
      </c>
    </row>
    <row r="3305" spans="1:9">
      <c r="A3305" s="22" t="str">
        <f>HYPERLINK("https://app.vivvix.com/360/KMI/IntelliDrive/ApplUI/Pages/CreativePages/CustomReportCreativeDetail.aspx?App=23&amp;ReportView=4&amp;Qid=1711279&amp;Row=3297&amp;Col=1","No Title Assigned - #15268354279")</f>
        <v/>
      </c>
      <c r="B3305" s="0" t="s">
        <v>4803</v>
      </c>
      <c r="E3305" s="0" t="inlineStr">
        <is>
          <t xml:space="preserve">Mazda</t>
        </is>
      </c>
      <c r="F3305" s="0" t="inlineStr">
        <is>
          <t xml:space="preserve">Mazda</t>
        </is>
      </c>
      <c r="G3305" s="0" t="s">
        <v>171</v>
      </c>
      <c r="H3305" s="5">
        <v>62518.589200</v>
      </c>
    </row>
    <row r="3306" spans="1:9">
      <c r="A3306" s="22" t="str">
        <f>HYPERLINK("https://app.vivvix.com/360/KMI/IntelliDrive/ApplUI/Pages/CreativePages/CustomReportCreativeDetail.aspx?App=23&amp;ReportView=4&amp;Qid=1711279&amp;Row=3298&amp;Col=1","No Title Assigned - #15268354280")</f>
        <v/>
      </c>
      <c r="B3306" s="0" t="s">
        <v>4804</v>
      </c>
      <c r="E3306" s="0" t="inlineStr">
        <is>
          <t xml:space="preserve">Mazda</t>
        </is>
      </c>
      <c r="F3306" s="0" t="s">
        <v>28</v>
      </c>
      <c r="G3306" s="0" t="s">
        <v>29</v>
      </c>
      <c r="H3306" s="5">
        <v>825.084800</v>
      </c>
    </row>
    <row r="3307" spans="1:9">
      <c r="A3307" s="22" t="str">
        <f>HYPERLINK("https://app.vivvix.com/360/KMI/IntelliDrive/ApplUI/Pages/CreativePages/CustomReportCreativeDetail.aspx?App=23&amp;ReportView=4&amp;Qid=1711279&amp;Row=3299&amp;Col=1","No Title Assigned - #15268354280")</f>
        <v/>
      </c>
      <c r="B3307" s="0" t="s">
        <v>4804</v>
      </c>
      <c r="C3307" s="0" t="s">
        <v>4805</v>
      </c>
      <c r="D3307" s="0" t="s">
        <v>4805</v>
      </c>
      <c r="E3307" s="0" t="inlineStr">
        <is>
          <t xml:space="preserve">Mazda</t>
        </is>
      </c>
      <c r="F3307" s="0" t="s">
        <v>28</v>
      </c>
      <c r="G3307" s="0" t="s">
        <v>29</v>
      </c>
      <c r="H3307" s="5">
        <v>639.650900</v>
      </c>
    </row>
    <row r="3308" spans="1:9">
      <c r="A3308" s="22" t="str">
        <f>HYPERLINK("https://app.vivvix.com/360/KMI/IntelliDrive/ApplUI/Pages/CreativePages/CustomReportCreativeDetail.aspx?App=23&amp;ReportView=4&amp;Qid=1711279&amp;Row=3300&amp;Col=1","No Title Assigned - #15268354586")</f>
        <v/>
      </c>
      <c r="B3308" s="0" t="s">
        <v>4806</v>
      </c>
      <c r="C3308" s="0" t="s">
        <v>4807</v>
      </c>
      <c r="D3308" s="0" t="s">
        <v>4807</v>
      </c>
      <c r="E3308" s="0" t="inlineStr">
        <is>
          <t xml:space="preserve">Mazda</t>
        </is>
      </c>
      <c r="F3308" s="0" t="s">
        <v>28</v>
      </c>
      <c r="G3308" s="0" t="s">
        <v>29</v>
      </c>
      <c r="H3308" s="5">
        <v>158.812700</v>
      </c>
    </row>
    <row r="3309" spans="1:9">
      <c r="A3309" s="22" t="str">
        <f>HYPERLINK("https://app.vivvix.com/360/KMI/IntelliDrive/ApplUI/Pages/CreativePages/CustomReportCreativeDetail.aspx?App=23&amp;ReportView=4&amp;Qid=1711279&amp;Row=3301&amp;Col=1","No Title Assigned - #15268354675")</f>
        <v/>
      </c>
      <c r="B3309" s="0" t="s">
        <v>4808</v>
      </c>
      <c r="C3309" s="0" t="s">
        <v>4809</v>
      </c>
      <c r="D3309" s="0" t="s">
        <v>4204</v>
      </c>
      <c r="E3309" s="0" t="inlineStr">
        <is>
          <t xml:space="preserve">Mazda</t>
        </is>
      </c>
      <c r="F3309" s="0" t="s">
        <v>28</v>
      </c>
      <c r="G3309" s="0" t="s">
        <v>29</v>
      </c>
      <c r="H3309" s="5">
        <v>1095.396000</v>
      </c>
    </row>
    <row r="3310" spans="1:9">
      <c r="A3310" s="22" t="str">
        <f>HYPERLINK("https://app.vivvix.com/360/KMI/IntelliDrive/ApplUI/Pages/CreativePages/CustomReportCreativeDetail.aspx?App=23&amp;ReportView=4&amp;Qid=1711279&amp;Row=3302&amp;Col=1","No Title Assigned - #15268355119")</f>
        <v/>
      </c>
      <c r="B3310" s="0" t="s">
        <v>4810</v>
      </c>
      <c r="C3310" s="0" t="s">
        <v>4811</v>
      </c>
      <c r="D3310" s="0" t="s">
        <v>4811</v>
      </c>
      <c r="E3310" s="0" t="inlineStr">
        <is>
          <t xml:space="preserve">Mazda</t>
        </is>
      </c>
      <c r="F3310" s="0" t="s">
        <v>28</v>
      </c>
      <c r="G3310" s="0" t="s">
        <v>29</v>
      </c>
      <c r="H3310" s="5">
        <v>410.223500</v>
      </c>
    </row>
    <row r="3311" spans="1:9">
      <c r="A3311" s="22" t="str">
        <f>HYPERLINK("https://app.vivvix.com/360/KMI/IntelliDrive/ApplUI/Pages/CreativePages/CustomReportCreativeDetail.aspx?App=23&amp;ReportView=4&amp;Qid=1711279&amp;Row=3303&amp;Col=1","No Title Assigned - #15268357102")</f>
        <v/>
      </c>
      <c r="B3311" s="0" t="s">
        <v>4812</v>
      </c>
      <c r="C3311" s="0" t="s">
        <v>4813</v>
      </c>
      <c r="D3311" s="0" t="s">
        <v>4813</v>
      </c>
      <c r="E3311" s="0" t="inlineStr">
        <is>
          <t xml:space="preserve">Mazda</t>
        </is>
      </c>
      <c r="F3311" s="0" t="inlineStr">
        <is>
          <t xml:space="preserve">Mazda</t>
        </is>
      </c>
      <c r="G3311" s="0" t="s">
        <v>171</v>
      </c>
      <c r="H3311" s="5">
        <v>174.357700</v>
      </c>
    </row>
    <row r="3312" spans="1:9">
      <c r="A3312" s="22" t="str">
        <f>HYPERLINK("https://app.vivvix.com/360/KMI/IntelliDrive/ApplUI/Pages/CreativePages/CustomReportCreativeDetail.aspx?App=23&amp;ReportView=4&amp;Qid=1711279&amp;Row=3304&amp;Col=1","No Title Assigned - #15268357739")</f>
        <v/>
      </c>
      <c r="B3312" s="0" t="s">
        <v>4814</v>
      </c>
      <c r="E3312" s="0" t="inlineStr">
        <is>
          <t xml:space="preserve">Mazda</t>
        </is>
      </c>
      <c r="F3312" s="0" t="inlineStr">
        <is>
          <t xml:space="preserve">Mazda</t>
        </is>
      </c>
      <c r="G3312" s="0" t="s">
        <v>171</v>
      </c>
      <c r="H3312" s="5">
        <v>336.571300</v>
      </c>
    </row>
    <row r="3313" spans="1:9">
      <c r="A3313" s="22" t="str">
        <f>HYPERLINK("https://app.vivvix.com/360/KMI/IntelliDrive/ApplUI/Pages/CreativePages/CustomReportCreativeDetail.aspx?App=23&amp;ReportView=4&amp;Qid=1711279&amp;Row=3305&amp;Col=1","No Title Assigned - #15268357788")</f>
        <v/>
      </c>
      <c r="B3313" s="0" t="s">
        <v>4815</v>
      </c>
      <c r="C3313" s="0" t="s">
        <v>4816</v>
      </c>
      <c r="D3313" s="0" t="s">
        <v>4816</v>
      </c>
      <c r="E3313" s="0" t="inlineStr">
        <is>
          <t xml:space="preserve">Mazda</t>
        </is>
      </c>
      <c r="F3313" s="0" t="inlineStr">
        <is>
          <t xml:space="preserve">Mazda</t>
        </is>
      </c>
      <c r="G3313" s="0" t="s">
        <v>171</v>
      </c>
      <c r="H3313" s="5">
        <v>266.501200</v>
      </c>
    </row>
    <row r="3314" spans="1:9">
      <c r="A3314" s="22" t="str">
        <f>HYPERLINK("https://app.vivvix.com/360/KMI/IntelliDrive/ApplUI/Pages/CreativePages/CustomReportCreativeDetail.aspx?App=23&amp;ReportView=4&amp;Qid=1711279&amp;Row=3306&amp;Col=1","No Title Assigned - #15268357959")</f>
        <v/>
      </c>
      <c r="B3314" s="0" t="s">
        <v>4817</v>
      </c>
      <c r="C3314" s="0" t="s">
        <v>4818</v>
      </c>
      <c r="D3314" s="0" t="s">
        <v>4818</v>
      </c>
      <c r="E3314" s="0" t="inlineStr">
        <is>
          <t xml:space="preserve">Mazda</t>
        </is>
      </c>
      <c r="F3314" s="0" t="inlineStr">
        <is>
          <t xml:space="preserve">Mazda</t>
        </is>
      </c>
      <c r="G3314" s="0" t="s">
        <v>171</v>
      </c>
      <c r="H3314" s="5">
        <v>615.814300</v>
      </c>
    </row>
    <row r="3315" spans="1:9">
      <c r="A3315" s="22" t="str">
        <f>HYPERLINK("https://app.vivvix.com/360/KMI/IntelliDrive/ApplUI/Pages/CreativePages/CustomReportCreativeDetail.aspx?App=23&amp;ReportView=4&amp;Qid=1711279&amp;Row=3307&amp;Col=1","No Title Assigned - #15268358531")</f>
        <v/>
      </c>
      <c r="B3315" s="0" t="s">
        <v>4819</v>
      </c>
      <c r="E3315" s="0" t="inlineStr">
        <is>
          <t xml:space="preserve">Mazda</t>
        </is>
      </c>
      <c r="F3315" s="0" t="inlineStr">
        <is>
          <t xml:space="preserve">Mazda</t>
        </is>
      </c>
      <c r="G3315" s="0" t="s">
        <v>171</v>
      </c>
      <c r="H3315" s="5">
        <v>184.404500</v>
      </c>
    </row>
    <row r="3316" spans="1:9">
      <c r="A3316" s="22" t="str">
        <f>HYPERLINK("https://app.vivvix.com/360/KMI/IntelliDrive/ApplUI/Pages/CreativePages/CustomReportCreativeDetail.aspx?App=23&amp;ReportView=4&amp;Qid=1711279&amp;Row=3308&amp;Col=1","No Title Assigned - #15268359134")</f>
        <v/>
      </c>
      <c r="B3316" s="0" t="s">
        <v>4820</v>
      </c>
      <c r="E3316" s="0" t="inlineStr">
        <is>
          <t xml:space="preserve">Mazda</t>
        </is>
      </c>
      <c r="F3316" s="0" t="inlineStr">
        <is>
          <t xml:space="preserve">Mazda</t>
        </is>
      </c>
      <c r="G3316" s="0" t="s">
        <v>171</v>
      </c>
      <c r="H3316" s="5">
        <v>390.175200</v>
      </c>
    </row>
    <row r="3317" spans="1:9">
      <c r="A3317" s="22" t="str">
        <f>HYPERLINK("https://app.vivvix.com/360/KMI/IntelliDrive/ApplUI/Pages/CreativePages/CustomReportCreativeDetail.aspx?App=23&amp;ReportView=4&amp;Qid=1711279&amp;Row=3309&amp;Col=1","No Title Assigned - #15268359317")</f>
        <v/>
      </c>
      <c r="B3317" s="0" t="s">
        <v>4821</v>
      </c>
      <c r="E3317" s="0" t="inlineStr">
        <is>
          <t xml:space="preserve">Mazda</t>
        </is>
      </c>
      <c r="F3317" s="0" t="inlineStr">
        <is>
          <t xml:space="preserve">Mazda</t>
        </is>
      </c>
      <c r="G3317" s="0" t="s">
        <v>171</v>
      </c>
      <c r="H3317" s="5">
        <v>1590.175700</v>
      </c>
    </row>
    <row r="3318" spans="1:9">
      <c r="A3318" s="22" t="str">
        <f>HYPERLINK("https://app.vivvix.com/360/KMI/IntelliDrive/ApplUI/Pages/CreativePages/CustomReportCreativeDetail.aspx?App=23&amp;ReportView=4&amp;Qid=1711279&amp;Row=3310&amp;Col=1","No Title Assigned - #15268359554")</f>
        <v/>
      </c>
      <c r="B3318" s="0" t="s">
        <v>4822</v>
      </c>
      <c r="E3318" s="0" t="inlineStr">
        <is>
          <t xml:space="preserve">Mazda</t>
        </is>
      </c>
      <c r="F3318" s="0" t="inlineStr">
        <is>
          <t xml:space="preserve">Mazda</t>
        </is>
      </c>
      <c r="G3318" s="0" t="s">
        <v>171</v>
      </c>
      <c r="H3318" s="5">
        <v>2091.772600</v>
      </c>
    </row>
    <row r="3319" spans="1:9">
      <c r="A3319" s="22" t="str">
        <f>HYPERLINK("https://app.vivvix.com/360/KMI/IntelliDrive/ApplUI/Pages/CreativePages/CustomReportCreativeDetail.aspx?App=23&amp;ReportView=4&amp;Qid=1711279&amp;Row=3311&amp;Col=1","No Title Assigned - #15268359573")</f>
        <v/>
      </c>
      <c r="B3319" s="0" t="s">
        <v>4823</v>
      </c>
      <c r="E3319" s="0" t="inlineStr">
        <is>
          <t xml:space="preserve">Mazda</t>
        </is>
      </c>
      <c r="F3319" s="0" t="inlineStr">
        <is>
          <t xml:space="preserve">Mazda</t>
        </is>
      </c>
      <c r="G3319" s="0" t="s">
        <v>171</v>
      </c>
      <c r="H3319" s="5">
        <v>2273.806700</v>
      </c>
    </row>
    <row r="3320" spans="1:9">
      <c r="A3320" s="22" t="str">
        <f>HYPERLINK("https://app.vivvix.com/360/KMI/IntelliDrive/ApplUI/Pages/CreativePages/CustomReportCreativeDetail.aspx?App=23&amp;ReportView=4&amp;Qid=1711279&amp;Row=3312&amp;Col=1","No Title Assigned - #15268359573")</f>
        <v/>
      </c>
      <c r="B3320" s="0" t="s">
        <v>4823</v>
      </c>
      <c r="E3320" s="0" t="inlineStr">
        <is>
          <t xml:space="preserve">Mazda</t>
        </is>
      </c>
      <c r="F3320" s="0" t="inlineStr">
        <is>
          <t xml:space="preserve">Mazda</t>
        </is>
      </c>
      <c r="G3320" s="0" t="s">
        <v>171</v>
      </c>
      <c r="H3320" s="5">
        <v>12305.667700</v>
      </c>
    </row>
    <row r="3321" spans="1:9">
      <c r="A3321" s="22" t="str">
        <f>HYPERLINK("https://app.vivvix.com/360/KMI/IntelliDrive/ApplUI/Pages/CreativePages/CustomReportCreativeDetail.aspx?App=23&amp;ReportView=4&amp;Qid=1711279&amp;Row=3313&amp;Col=1","No Title Assigned - #15268359706")</f>
        <v/>
      </c>
      <c r="B3321" s="0" t="s">
        <v>4824</v>
      </c>
      <c r="E3321" s="0" t="inlineStr">
        <is>
          <t xml:space="preserve">Mazda</t>
        </is>
      </c>
      <c r="F3321" s="0" t="inlineStr">
        <is>
          <t xml:space="preserve">Mazda</t>
        </is>
      </c>
      <c r="G3321" s="0" t="s">
        <v>171</v>
      </c>
      <c r="H3321" s="5">
        <v>846.248600</v>
      </c>
    </row>
    <row r="3322" spans="1:9">
      <c r="A3322" s="22" t="str">
        <f>HYPERLINK("https://app.vivvix.com/360/KMI/IntelliDrive/ApplUI/Pages/CreativePages/CustomReportCreativeDetail.aspx?App=23&amp;ReportView=4&amp;Qid=1711279&amp;Row=3314&amp;Col=1","No Title Assigned - #15268360238")</f>
        <v/>
      </c>
      <c r="B3322" s="0" t="s">
        <v>4825</v>
      </c>
      <c r="E3322" s="0" t="inlineStr">
        <is>
          <t xml:space="preserve">Mazda</t>
        </is>
      </c>
      <c r="F3322" s="0" t="inlineStr">
        <is>
          <t xml:space="preserve">Mazda</t>
        </is>
      </c>
      <c r="G3322" s="0" t="s">
        <v>171</v>
      </c>
      <c r="H3322" s="5">
        <v>213574.343300</v>
      </c>
    </row>
    <row r="3323" spans="1:9">
      <c r="A3323" s="22" t="str">
        <f>HYPERLINK("https://app.vivvix.com/360/KMI/IntelliDrive/ApplUI/Pages/CreativePages/CustomReportCreativeDetail.aspx?App=23&amp;ReportView=4&amp;Qid=1711279&amp;Row=3315&amp;Col=1","No Title Assigned - #15268360238")</f>
        <v/>
      </c>
      <c r="B3323" s="0" t="s">
        <v>4825</v>
      </c>
      <c r="C3323" s="0" t="s">
        <v>4826</v>
      </c>
      <c r="D3323" s="0" t="s">
        <v>4826</v>
      </c>
      <c r="E3323" s="0" t="inlineStr">
        <is>
          <t xml:space="preserve">Mazda</t>
        </is>
      </c>
      <c r="F3323" s="0" t="inlineStr">
        <is>
          <t xml:space="preserve">Mazda</t>
        </is>
      </c>
      <c r="G3323" s="0" t="s">
        <v>171</v>
      </c>
      <c r="H3323" s="5">
        <v>813.436300</v>
      </c>
    </row>
    <row r="3324" spans="1:9">
      <c r="A3324" s="22" t="str">
        <f>HYPERLINK("https://app.vivvix.com/360/KMI/IntelliDrive/ApplUI/Pages/CreativePages/CustomReportCreativeDetail.aspx?App=23&amp;ReportView=4&amp;Qid=1711279&amp;Row=3316&amp;Col=1","No Title Assigned - #15268360440")</f>
        <v/>
      </c>
      <c r="B3324" s="0" t="s">
        <v>4827</v>
      </c>
      <c r="E3324" s="0" t="inlineStr">
        <is>
          <t xml:space="preserve">Mazda</t>
        </is>
      </c>
      <c r="F3324" s="0" t="s">
        <v>28</v>
      </c>
      <c r="G3324" s="0" t="s">
        <v>29</v>
      </c>
      <c r="H3324" s="5">
        <v>52240.693500</v>
      </c>
    </row>
    <row r="3325" spans="1:9">
      <c r="A3325" s="22" t="str">
        <f>HYPERLINK("https://app.vivvix.com/360/KMI/IntelliDrive/ApplUI/Pages/CreativePages/CustomReportCreativeDetail.aspx?App=23&amp;ReportView=4&amp;Qid=1711279&amp;Row=3317&amp;Col=1","No Title Assigned - #15268360440")</f>
        <v/>
      </c>
      <c r="B3325" s="0" t="s">
        <v>4827</v>
      </c>
      <c r="C3325" s="0" t="s">
        <v>4828</v>
      </c>
      <c r="D3325" s="0" t="s">
        <v>4274</v>
      </c>
      <c r="E3325" s="0" t="inlineStr">
        <is>
          <t xml:space="preserve">Mazda</t>
        </is>
      </c>
      <c r="F3325" s="0" t="s">
        <v>28</v>
      </c>
      <c r="G3325" s="0" t="s">
        <v>29</v>
      </c>
      <c r="H3325" s="5">
        <v>145309.407200</v>
      </c>
    </row>
    <row r="3326" spans="1:9">
      <c r="A3326" s="22" t="str">
        <f>HYPERLINK("https://app.vivvix.com/360/KMI/IntelliDrive/ApplUI/Pages/CreativePages/CustomReportCreativeDetail.aspx?App=23&amp;ReportView=4&amp;Qid=1711279&amp;Row=3318&amp;Col=1","No Title Assigned - #15268360476")</f>
        <v/>
      </c>
      <c r="B3326" s="0" t="s">
        <v>4829</v>
      </c>
      <c r="C3326" s="0" t="s">
        <v>4830</v>
      </c>
      <c r="D3326" s="0" t="s">
        <v>4225</v>
      </c>
      <c r="E3326" s="0" t="inlineStr">
        <is>
          <t xml:space="preserve">Mazda</t>
        </is>
      </c>
      <c r="F3326" s="0" t="s">
        <v>28</v>
      </c>
      <c r="G3326" s="0" t="s">
        <v>29</v>
      </c>
      <c r="H3326" s="5">
        <v>2477.792700</v>
      </c>
    </row>
    <row r="3327" spans="1:9">
      <c r="A3327" s="22" t="str">
        <f>HYPERLINK("https://app.vivvix.com/360/KMI/IntelliDrive/ApplUI/Pages/CreativePages/CustomReportCreativeDetail.aspx?App=23&amp;ReportView=4&amp;Qid=1711279&amp;Row=3319&amp;Col=1","No Title Assigned - #15268360613")</f>
        <v/>
      </c>
      <c r="B3327" s="0" t="s">
        <v>4831</v>
      </c>
      <c r="C3327" s="0" t="s">
        <v>4832</v>
      </c>
      <c r="D3327" s="0" t="s">
        <v>4202</v>
      </c>
      <c r="E3327" s="0" t="inlineStr">
        <is>
          <t xml:space="preserve">Mazda</t>
        </is>
      </c>
      <c r="F3327" s="0" t="s">
        <v>28</v>
      </c>
      <c r="G3327" s="0" t="s">
        <v>29</v>
      </c>
      <c r="H3327" s="5">
        <v>78.694700</v>
      </c>
    </row>
    <row r="3328" spans="1:9">
      <c r="A3328" s="22" t="str">
        <f>HYPERLINK("https://app.vivvix.com/360/KMI/IntelliDrive/ApplUI/Pages/CreativePages/CustomReportCreativeDetail.aspx?App=23&amp;ReportView=4&amp;Qid=1711279&amp;Row=3320&amp;Col=1","No Title Assigned - #15268360648")</f>
        <v/>
      </c>
      <c r="B3328" s="0" t="s">
        <v>4833</v>
      </c>
      <c r="C3328" s="0" t="s">
        <v>4834</v>
      </c>
      <c r="D3328" s="0" t="s">
        <v>4834</v>
      </c>
      <c r="E3328" s="0" t="inlineStr">
        <is>
          <t xml:space="preserve">Mazda</t>
        </is>
      </c>
      <c r="F3328" s="0" t="s">
        <v>28</v>
      </c>
      <c r="G3328" s="0" t="s">
        <v>29</v>
      </c>
      <c r="H3328" s="5">
        <v>63.400100</v>
      </c>
    </row>
    <row r="3329" spans="1:9">
      <c r="A3329" s="22" t="str">
        <f>HYPERLINK("https://app.vivvix.com/360/KMI/IntelliDrive/ApplUI/Pages/CreativePages/CustomReportCreativeDetail.aspx?App=23&amp;ReportView=4&amp;Qid=1711279&amp;Row=3321&amp;Col=1","No Title Assigned - #15268360677")</f>
        <v/>
      </c>
      <c r="B3329" s="0" t="s">
        <v>4835</v>
      </c>
      <c r="E3329" s="0" t="inlineStr">
        <is>
          <t xml:space="preserve">Mazda</t>
        </is>
      </c>
      <c r="F3329" s="0" t="s">
        <v>28</v>
      </c>
      <c r="G3329" s="0" t="s">
        <v>29</v>
      </c>
      <c r="H3329" s="5">
        <v>196.614000</v>
      </c>
    </row>
    <row r="3330" spans="1:9">
      <c r="A3330" s="22" t="str">
        <f>HYPERLINK("https://app.vivvix.com/360/KMI/IntelliDrive/ApplUI/Pages/CreativePages/CustomReportCreativeDetail.aspx?App=23&amp;ReportView=4&amp;Qid=1711279&amp;Row=3322&amp;Col=1","No Title Assigned - #15268360677")</f>
        <v/>
      </c>
      <c r="B3330" s="0" t="s">
        <v>4835</v>
      </c>
      <c r="C3330" s="0" t="s">
        <v>4836</v>
      </c>
      <c r="D3330" s="0" t="s">
        <v>4836</v>
      </c>
      <c r="E3330" s="0" t="inlineStr">
        <is>
          <t xml:space="preserve">Mazda</t>
        </is>
      </c>
      <c r="F3330" s="0" t="s">
        <v>28</v>
      </c>
      <c r="G3330" s="0" t="s">
        <v>29</v>
      </c>
      <c r="H3330" s="5">
        <v>845.161900</v>
      </c>
    </row>
    <row r="3331" spans="1:9">
      <c r="A3331" s="22" t="str">
        <f>HYPERLINK("https://app.vivvix.com/360/KMI/IntelliDrive/ApplUI/Pages/CreativePages/CustomReportCreativeDetail.aspx?App=23&amp;ReportView=4&amp;Qid=1711279&amp;Row=3323&amp;Col=1","No Title Assigned - #15268360678")</f>
        <v/>
      </c>
      <c r="B3331" s="0" t="s">
        <v>4837</v>
      </c>
      <c r="C3331" s="0" t="s">
        <v>4838</v>
      </c>
      <c r="D3331" s="0" t="s">
        <v>4838</v>
      </c>
      <c r="E3331" s="0" t="inlineStr">
        <is>
          <t xml:space="preserve">Mazda</t>
        </is>
      </c>
      <c r="F3331" s="0" t="s">
        <v>28</v>
      </c>
      <c r="G3331" s="0" t="s">
        <v>29</v>
      </c>
      <c r="H3331" s="5">
        <v>258.686100</v>
      </c>
    </row>
    <row r="3332" spans="1:9">
      <c r="A3332" s="22" t="str">
        <f>HYPERLINK("https://app.vivvix.com/360/KMI/IntelliDrive/ApplUI/Pages/CreativePages/CustomReportCreativeDetail.aspx?App=23&amp;ReportView=4&amp;Qid=1711279&amp;Row=3324&amp;Col=1","No Title Assigned - #15268360679")</f>
        <v/>
      </c>
      <c r="B3332" s="0" t="s">
        <v>4839</v>
      </c>
      <c r="C3332" s="0" t="s">
        <v>4840</v>
      </c>
      <c r="D3332" s="0" t="s">
        <v>4204</v>
      </c>
      <c r="E3332" s="0" t="inlineStr">
        <is>
          <t xml:space="preserve">Mazda</t>
        </is>
      </c>
      <c r="F3332" s="0" t="s">
        <v>28</v>
      </c>
      <c r="G3332" s="0" t="s">
        <v>29</v>
      </c>
      <c r="H3332" s="5">
        <v>69.014600</v>
      </c>
    </row>
    <row r="3333" spans="1:9">
      <c r="A3333" s="22" t="str">
        <f>HYPERLINK("https://app.vivvix.com/360/KMI/IntelliDrive/ApplUI/Pages/CreativePages/CustomReportCreativeDetail.aspx?App=23&amp;ReportView=4&amp;Qid=1711279&amp;Row=3325&amp;Col=1","No Title Assigned - #15268360830")</f>
        <v/>
      </c>
      <c r="B3333" s="0" t="s">
        <v>4841</v>
      </c>
      <c r="C3333" s="0" t="s">
        <v>4842</v>
      </c>
      <c r="D3333" s="0" t="s">
        <v>4202</v>
      </c>
      <c r="E3333" s="0" t="inlineStr">
        <is>
          <t xml:space="preserve">Mazda</t>
        </is>
      </c>
      <c r="F3333" s="0" t="s">
        <v>28</v>
      </c>
      <c r="G3333" s="0" t="s">
        <v>29</v>
      </c>
      <c r="H3333" s="5">
        <v>669.245400</v>
      </c>
    </row>
    <row r="3334" spans="1:9">
      <c r="A3334" s="22" t="str">
        <f>HYPERLINK("https://app.vivvix.com/360/KMI/IntelliDrive/ApplUI/Pages/CreativePages/CustomReportCreativeDetail.aspx?App=23&amp;ReportView=4&amp;Qid=1711279&amp;Row=3326&amp;Col=1","No Title Assigned - #15268360879")</f>
        <v/>
      </c>
      <c r="B3334" s="0" t="s">
        <v>4843</v>
      </c>
      <c r="C3334" s="0" t="s">
        <v>4844</v>
      </c>
      <c r="D3334" s="0" t="s">
        <v>4774</v>
      </c>
      <c r="E3334" s="0" t="inlineStr">
        <is>
          <t xml:space="preserve">Mazda</t>
        </is>
      </c>
      <c r="F3334" s="0" t="s">
        <v>13</v>
      </c>
      <c r="G3334" s="0" t="s">
        <v>49</v>
      </c>
      <c r="H3334" s="5">
        <v>2289.821000</v>
      </c>
    </row>
    <row r="3335" spans="1:9">
      <c r="A3335" s="22" t="str">
        <f>HYPERLINK("https://app.vivvix.com/360/KMI/IntelliDrive/ApplUI/Pages/CreativePages/CustomReportCreativeDetail.aspx?App=23&amp;ReportView=4&amp;Qid=1711279&amp;Row=3327&amp;Col=1","No Title Assigned - #15268360879")</f>
        <v/>
      </c>
      <c r="B3335" s="0" t="s">
        <v>4843</v>
      </c>
      <c r="E3335" s="0" t="inlineStr">
        <is>
          <t xml:space="preserve">Mazda</t>
        </is>
      </c>
      <c r="F3335" s="0" t="s">
        <v>13</v>
      </c>
      <c r="G3335" s="0" t="s">
        <v>49</v>
      </c>
      <c r="H3335" s="5">
        <v>4636.608500</v>
      </c>
    </row>
    <row r="3336" spans="1:9">
      <c r="A3336" s="22" t="str">
        <f>HYPERLINK("https://app.vivvix.com/360/KMI/IntelliDrive/ApplUI/Pages/CreativePages/CustomReportCreativeDetail.aspx?App=23&amp;ReportView=4&amp;Qid=1711279&amp;Row=3328&amp;Col=1","No Title Assigned - #15268361007")</f>
        <v/>
      </c>
      <c r="B3336" s="0" t="s">
        <v>4845</v>
      </c>
      <c r="C3336" s="0" t="s">
        <v>4846</v>
      </c>
      <c r="D3336" s="0" t="s">
        <v>4811</v>
      </c>
      <c r="E3336" s="0" t="inlineStr">
        <is>
          <t xml:space="preserve">Mazda</t>
        </is>
      </c>
      <c r="F3336" s="0" t="s">
        <v>28</v>
      </c>
      <c r="G3336" s="0" t="s">
        <v>29</v>
      </c>
      <c r="H3336" s="5">
        <v>257.715800</v>
      </c>
    </row>
    <row r="3337" spans="1:9">
      <c r="A3337" s="22" t="str">
        <f>HYPERLINK("https://app.vivvix.com/360/KMI/IntelliDrive/ApplUI/Pages/CreativePages/CustomReportCreativeDetail.aspx?App=23&amp;ReportView=4&amp;Qid=1711279&amp;Row=3329&amp;Col=1","No Title Assigned - #15268361080")</f>
        <v/>
      </c>
      <c r="B3337" s="0" t="s">
        <v>4847</v>
      </c>
      <c r="C3337" s="0" t="s">
        <v>4848</v>
      </c>
      <c r="D3337" s="0" t="s">
        <v>4848</v>
      </c>
      <c r="E3337" s="0" t="inlineStr">
        <is>
          <t xml:space="preserve">Mazda</t>
        </is>
      </c>
      <c r="F3337" s="0" t="s">
        <v>28</v>
      </c>
      <c r="G3337" s="0" t="s">
        <v>29</v>
      </c>
      <c r="H3337" s="5">
        <v>85.462200</v>
      </c>
    </row>
    <row r="3338" spans="1:9">
      <c r="A3338" s="22" t="str">
        <f>HYPERLINK("https://app.vivvix.com/360/KMI/IntelliDrive/ApplUI/Pages/CreativePages/CustomReportCreativeDetail.aspx?App=23&amp;ReportView=4&amp;Qid=1711279&amp;Row=3330&amp;Col=1","No Title Assigned - #15268361732")</f>
        <v/>
      </c>
      <c r="B3338" s="0" t="s">
        <v>4849</v>
      </c>
      <c r="C3338" s="0" t="s">
        <v>4850</v>
      </c>
      <c r="D3338" s="0" t="s">
        <v>4850</v>
      </c>
      <c r="E3338" s="0" t="inlineStr">
        <is>
          <t xml:space="preserve">Mazda</t>
        </is>
      </c>
      <c r="F3338" s="0" t="s">
        <v>28</v>
      </c>
      <c r="G3338" s="0" t="s">
        <v>29</v>
      </c>
      <c r="H3338" s="5">
        <v>621.131300</v>
      </c>
    </row>
    <row r="3339" spans="1:9">
      <c r="A3339" s="22" t="str">
        <f>HYPERLINK("https://app.vivvix.com/360/KMI/IntelliDrive/ApplUI/Pages/CreativePages/CustomReportCreativeDetail.aspx?App=23&amp;ReportView=4&amp;Qid=1711279&amp;Row=3331&amp;Col=1","No Title Assigned - #15268361737")</f>
        <v/>
      </c>
      <c r="B3339" s="0" t="s">
        <v>4851</v>
      </c>
      <c r="C3339" s="0" t="s">
        <v>4852</v>
      </c>
      <c r="D3339" s="0" t="s">
        <v>4225</v>
      </c>
      <c r="E3339" s="0" t="inlineStr">
        <is>
          <t xml:space="preserve">Mazda</t>
        </is>
      </c>
      <c r="F3339" s="0" t="s">
        <v>28</v>
      </c>
      <c r="G3339" s="0" t="s">
        <v>29</v>
      </c>
      <c r="H3339" s="5">
        <v>225.897300</v>
      </c>
    </row>
    <row r="3340" spans="1:9">
      <c r="A3340" s="22" t="str">
        <f>HYPERLINK("https://app.vivvix.com/360/KMI/IntelliDrive/ApplUI/Pages/CreativePages/CustomReportCreativeDetail.aspx?App=23&amp;ReportView=4&amp;Qid=1711279&amp;Row=3332&amp;Col=1","No Title Assigned - #15268361924")</f>
        <v/>
      </c>
      <c r="B3340" s="0" t="s">
        <v>4853</v>
      </c>
      <c r="C3340" s="0" t="s">
        <v>4854</v>
      </c>
      <c r="D3340" s="0" t="s">
        <v>4200</v>
      </c>
      <c r="E3340" s="0" t="inlineStr">
        <is>
          <t xml:space="preserve">Mazda</t>
        </is>
      </c>
      <c r="F3340" s="0" t="s">
        <v>28</v>
      </c>
      <c r="G3340" s="0" t="s">
        <v>29</v>
      </c>
      <c r="H3340" s="5">
        <v>591.160900</v>
      </c>
    </row>
    <row r="3341" spans="1:9">
      <c r="A3341" s="22" t="str">
        <f>HYPERLINK("https://app.vivvix.com/360/KMI/IntelliDrive/ApplUI/Pages/CreativePages/CustomReportCreativeDetail.aspx?App=23&amp;ReportView=4&amp;Qid=1711279&amp;Row=3333&amp;Col=1","No Title Assigned - #15268362270")</f>
        <v/>
      </c>
      <c r="B3341" s="0" t="s">
        <v>4855</v>
      </c>
      <c r="E3341" s="0" t="inlineStr">
        <is>
          <t xml:space="preserve">Mazda</t>
        </is>
      </c>
      <c r="F3341" s="0" t="inlineStr">
        <is>
          <t xml:space="preserve">Mazda</t>
        </is>
      </c>
      <c r="G3341" s="0" t="s">
        <v>171</v>
      </c>
      <c r="H3341" s="5">
        <v>69075.960900</v>
      </c>
    </row>
    <row r="3342" spans="1:9">
      <c r="A3342" s="22" t="str">
        <f>HYPERLINK("https://app.vivvix.com/360/KMI/IntelliDrive/ApplUI/Pages/CreativePages/CustomReportCreativeDetail.aspx?App=23&amp;ReportView=4&amp;Qid=1711279&amp;Row=3334&amp;Col=1","No Title Assigned - #15268362427")</f>
        <v/>
      </c>
      <c r="B3342" s="0" t="s">
        <v>4856</v>
      </c>
      <c r="E3342" s="0" t="inlineStr">
        <is>
          <t xml:space="preserve">Mazda</t>
        </is>
      </c>
      <c r="F3342" s="0" t="inlineStr">
        <is>
          <t xml:space="preserve">Mazda</t>
        </is>
      </c>
      <c r="G3342" s="0" t="s">
        <v>171</v>
      </c>
      <c r="H3342" s="5">
        <v>280.393100</v>
      </c>
    </row>
    <row r="3343" spans="1:9">
      <c r="A3343" s="22" t="str">
        <f>HYPERLINK("https://app.vivvix.com/360/KMI/IntelliDrive/ApplUI/Pages/CreativePages/CustomReportCreativeDetail.aspx?App=23&amp;ReportView=4&amp;Qid=1711279&amp;Row=3335&amp;Col=1","No Title Assigned - #15268362879")</f>
        <v/>
      </c>
      <c r="B3343" s="0" t="s">
        <v>4857</v>
      </c>
      <c r="C3343" s="0" t="s">
        <v>4858</v>
      </c>
      <c r="D3343" s="0" t="s">
        <v>4858</v>
      </c>
      <c r="E3343" s="0" t="inlineStr">
        <is>
          <t xml:space="preserve">Mazda</t>
        </is>
      </c>
      <c r="F3343" s="0" t="inlineStr">
        <is>
          <t xml:space="preserve">Mazda</t>
        </is>
      </c>
      <c r="G3343" s="0" t="s">
        <v>210</v>
      </c>
      <c r="H3343" s="5">
        <v>1102.777000</v>
      </c>
    </row>
    <row r="3344" spans="1:9">
      <c r="A3344" s="22" t="str">
        <f>HYPERLINK("https://app.vivvix.com/360/KMI/IntelliDrive/ApplUI/Pages/CreativePages/CustomReportCreativeDetail.aspx?App=23&amp;ReportView=4&amp;Qid=1711279&amp;Row=3336&amp;Col=1","No Title Assigned - #15268362973")</f>
        <v/>
      </c>
      <c r="B3344" s="0" t="s">
        <v>4859</v>
      </c>
      <c r="C3344" s="0" t="s">
        <v>4860</v>
      </c>
      <c r="D3344" s="0" t="s">
        <v>4232</v>
      </c>
      <c r="E3344" s="0" t="inlineStr">
        <is>
          <t xml:space="preserve">Mazda</t>
        </is>
      </c>
      <c r="F3344" s="0" t="s">
        <v>28</v>
      </c>
      <c r="G3344" s="0" t="s">
        <v>29</v>
      </c>
      <c r="H3344" s="5">
        <v>565.441500</v>
      </c>
    </row>
    <row r="3345" spans="1:9">
      <c r="A3345" s="22" t="str">
        <f>HYPERLINK("https://app.vivvix.com/360/KMI/IntelliDrive/ApplUI/Pages/CreativePages/CustomReportCreativeDetail.aspx?App=23&amp;ReportView=4&amp;Qid=1711279&amp;Row=3337&amp;Col=1","No Title Assigned - #15268363158")</f>
        <v/>
      </c>
      <c r="B3345" s="0" t="s">
        <v>4861</v>
      </c>
      <c r="C3345" s="0" t="s">
        <v>4862</v>
      </c>
      <c r="D3345" s="0" t="s">
        <v>4862</v>
      </c>
      <c r="E3345" s="0" t="inlineStr">
        <is>
          <t xml:space="preserve">Mazda</t>
        </is>
      </c>
      <c r="F3345" s="0" t="s">
        <v>28</v>
      </c>
      <c r="G3345" s="0" t="s">
        <v>29</v>
      </c>
      <c r="H3345" s="5">
        <v>66.789200</v>
      </c>
    </row>
    <row r="3346" spans="1:9">
      <c r="A3346" s="22" t="str">
        <f>HYPERLINK("https://app.vivvix.com/360/KMI/IntelliDrive/ApplUI/Pages/CreativePages/CustomReportCreativeDetail.aspx?App=23&amp;ReportView=4&amp;Qid=1711279&amp;Row=3338&amp;Col=1","No Title Assigned - #15268363160")</f>
        <v/>
      </c>
      <c r="B3346" s="0" t="s">
        <v>4863</v>
      </c>
      <c r="C3346" s="0" t="s">
        <v>4864</v>
      </c>
      <c r="D3346" s="0" t="s">
        <v>4202</v>
      </c>
      <c r="E3346" s="0" t="inlineStr">
        <is>
          <t xml:space="preserve">Mazda</t>
        </is>
      </c>
      <c r="F3346" s="0" t="s">
        <v>28</v>
      </c>
      <c r="G3346" s="0" t="s">
        <v>29</v>
      </c>
      <c r="H3346" s="5">
        <v>26.137700</v>
      </c>
    </row>
    <row r="3347" spans="1:9">
      <c r="A3347" s="22" t="str">
        <f>HYPERLINK("https://app.vivvix.com/360/KMI/IntelliDrive/ApplUI/Pages/CreativePages/CustomReportCreativeDetail.aspx?App=23&amp;ReportView=4&amp;Qid=1711279&amp;Row=3339&amp;Col=1","No Title Assigned - #15268363212")</f>
        <v/>
      </c>
      <c r="B3347" s="0" t="s">
        <v>4865</v>
      </c>
      <c r="C3347" s="0" t="s">
        <v>4866</v>
      </c>
      <c r="D3347" s="0" t="s">
        <v>4204</v>
      </c>
      <c r="E3347" s="0" t="inlineStr">
        <is>
          <t xml:space="preserve">Mazda</t>
        </is>
      </c>
      <c r="F3347" s="0" t="s">
        <v>28</v>
      </c>
      <c r="G3347" s="0" t="s">
        <v>29</v>
      </c>
      <c r="H3347" s="5">
        <v>276.630800</v>
      </c>
    </row>
    <row r="3348" spans="1:9">
      <c r="A3348" s="22" t="str">
        <f>HYPERLINK("https://app.vivvix.com/360/KMI/IntelliDrive/ApplUI/Pages/CreativePages/CustomReportCreativeDetail.aspx?App=23&amp;ReportView=4&amp;Qid=1711279&amp;Row=3340&amp;Col=1","No Title Assigned - #15268363608")</f>
        <v/>
      </c>
      <c r="B3348" s="0" t="s">
        <v>4867</v>
      </c>
      <c r="C3348" s="0" t="s">
        <v>4868</v>
      </c>
      <c r="D3348" s="0" t="s">
        <v>4868</v>
      </c>
      <c r="E3348" s="0" t="inlineStr">
        <is>
          <t xml:space="preserve">Mazda</t>
        </is>
      </c>
      <c r="F3348" s="0" t="inlineStr">
        <is>
          <t xml:space="preserve">Mazda</t>
        </is>
      </c>
      <c r="G3348" s="0" t="s">
        <v>171</v>
      </c>
      <c r="H3348" s="5">
        <v>172.616300</v>
      </c>
    </row>
    <row r="3349" spans="1:9">
      <c r="A3349" s="22" t="str">
        <f>HYPERLINK("https://app.vivvix.com/360/KMI/IntelliDrive/ApplUI/Pages/CreativePages/CustomReportCreativeDetail.aspx?App=23&amp;ReportView=4&amp;Qid=1711279&amp;Row=3341&amp;Col=1","No Title Assigned - #15268363758")</f>
        <v/>
      </c>
      <c r="B3349" s="0" t="s">
        <v>4869</v>
      </c>
      <c r="E3349" s="0" t="inlineStr">
        <is>
          <t xml:space="preserve">Mazda</t>
        </is>
      </c>
      <c r="F3349" s="0" t="inlineStr">
        <is>
          <t xml:space="preserve">Mazda</t>
        </is>
      </c>
      <c r="G3349" s="0" t="s">
        <v>171</v>
      </c>
      <c r="H3349" s="5">
        <v>126.050300</v>
      </c>
    </row>
    <row r="3350" spans="1:9">
      <c r="A3350" s="22" t="str">
        <f>HYPERLINK("https://app.vivvix.com/360/KMI/IntelliDrive/ApplUI/Pages/CreativePages/CustomReportCreativeDetail.aspx?App=23&amp;ReportView=4&amp;Qid=1711279&amp;Row=3342&amp;Col=1","No Title Assigned - #15268363986")</f>
        <v/>
      </c>
      <c r="B3350" s="0" t="s">
        <v>4870</v>
      </c>
      <c r="C3350" s="0" t="s">
        <v>4871</v>
      </c>
      <c r="D3350" s="0" t="s">
        <v>4871</v>
      </c>
      <c r="E3350" s="0" t="inlineStr">
        <is>
          <t xml:space="preserve">Mazda</t>
        </is>
      </c>
      <c r="F3350" s="0" t="inlineStr">
        <is>
          <t xml:space="preserve">Mazda</t>
        </is>
      </c>
      <c r="G3350" s="0" t="s">
        <v>171</v>
      </c>
      <c r="H3350" s="5">
        <v>588.079800</v>
      </c>
    </row>
    <row r="3351" spans="1:9">
      <c r="A3351" s="22" t="str">
        <f>HYPERLINK("https://app.vivvix.com/360/KMI/IntelliDrive/ApplUI/Pages/CreativePages/CustomReportCreativeDetail.aspx?App=23&amp;ReportView=4&amp;Qid=1711279&amp;Row=3343&amp;Col=1","No Title Assigned - #15268363986")</f>
        <v/>
      </c>
      <c r="B3351" s="0" t="s">
        <v>4870</v>
      </c>
      <c r="E3351" s="0" t="inlineStr">
        <is>
          <t xml:space="preserve">Mazda</t>
        </is>
      </c>
      <c r="F3351" s="0" t="inlineStr">
        <is>
          <t xml:space="preserve">Mazda</t>
        </is>
      </c>
      <c r="G3351" s="0" t="s">
        <v>171</v>
      </c>
      <c r="H3351" s="5">
        <v>173.620400</v>
      </c>
    </row>
    <row r="3352" spans="1:9">
      <c r="A3352" s="22" t="str">
        <f>HYPERLINK("https://app.vivvix.com/360/KMI/IntelliDrive/ApplUI/Pages/CreativePages/CustomReportCreativeDetail.aspx?App=23&amp;ReportView=4&amp;Qid=1711279&amp;Row=3344&amp;Col=1","No Title Assigned - #15268364162")</f>
        <v/>
      </c>
      <c r="B3352" s="0" t="s">
        <v>4872</v>
      </c>
      <c r="E3352" s="0" t="inlineStr">
        <is>
          <t xml:space="preserve">Mazda</t>
        </is>
      </c>
      <c r="F3352" s="0" t="inlineStr">
        <is>
          <t xml:space="preserve">Mazda</t>
        </is>
      </c>
      <c r="G3352" s="0" t="s">
        <v>171</v>
      </c>
      <c r="H3352" s="5">
        <v>866.049600</v>
      </c>
    </row>
    <row r="3353" spans="1:9">
      <c r="A3353" s="22" t="str">
        <f>HYPERLINK("https://app.vivvix.com/360/KMI/IntelliDrive/ApplUI/Pages/CreativePages/CustomReportCreativeDetail.aspx?App=23&amp;ReportView=4&amp;Qid=1711279&amp;Row=3345&amp;Col=1","No Title Assigned - #15268364163")</f>
        <v/>
      </c>
      <c r="B3353" s="0" t="s">
        <v>4873</v>
      </c>
      <c r="E3353" s="0" t="inlineStr">
        <is>
          <t xml:space="preserve">Mazda</t>
        </is>
      </c>
      <c r="F3353" s="0" t="inlineStr">
        <is>
          <t xml:space="preserve">Mazda</t>
        </is>
      </c>
      <c r="G3353" s="0" t="s">
        <v>171</v>
      </c>
      <c r="H3353" s="5">
        <v>866.049600</v>
      </c>
    </row>
    <row r="3354" spans="1:9">
      <c r="A3354" s="22" t="str">
        <f>HYPERLINK("https://app.vivvix.com/360/KMI/IntelliDrive/ApplUI/Pages/CreativePages/CustomReportCreativeDetail.aspx?App=23&amp;ReportView=4&amp;Qid=1711279&amp;Row=3346&amp;Col=1","No Title Assigned - #15268364264")</f>
        <v/>
      </c>
      <c r="B3354" s="0" t="s">
        <v>4874</v>
      </c>
      <c r="C3354" s="0" t="s">
        <v>4875</v>
      </c>
      <c r="D3354" s="0" t="s">
        <v>4875</v>
      </c>
      <c r="E3354" s="0" t="inlineStr">
        <is>
          <t xml:space="preserve">Mazda</t>
        </is>
      </c>
      <c r="F3354" s="0" t="inlineStr">
        <is>
          <t xml:space="preserve">Mazda</t>
        </is>
      </c>
      <c r="G3354" s="0" t="s">
        <v>171</v>
      </c>
      <c r="H3354" s="5">
        <v>3138.974100</v>
      </c>
    </row>
    <row r="3355" spans="1:9">
      <c r="A3355" s="22" t="str">
        <f>HYPERLINK("https://app.vivvix.com/360/KMI/IntelliDrive/ApplUI/Pages/CreativePages/CustomReportCreativeDetail.aspx?App=23&amp;ReportView=4&amp;Qid=1711279&amp;Row=3347&amp;Col=1","No Title Assigned - #15268364264")</f>
        <v/>
      </c>
      <c r="B3355" s="0" t="s">
        <v>4874</v>
      </c>
      <c r="E3355" s="0" t="inlineStr">
        <is>
          <t xml:space="preserve">Mazda</t>
        </is>
      </c>
      <c r="F3355" s="0" t="inlineStr">
        <is>
          <t xml:space="preserve">Mazda</t>
        </is>
      </c>
      <c r="G3355" s="0" t="s">
        <v>171</v>
      </c>
      <c r="H3355" s="5">
        <v>1040.618300</v>
      </c>
    </row>
    <row r="3356" spans="1:9">
      <c r="A3356" s="22" t="str">
        <f>HYPERLINK("https://app.vivvix.com/360/KMI/IntelliDrive/ApplUI/Pages/CreativePages/CustomReportCreativeDetail.aspx?App=23&amp;ReportView=4&amp;Qid=1711279&amp;Row=3348&amp;Col=1","No Title Assigned - #15268364457")</f>
        <v/>
      </c>
      <c r="B3356" s="0" t="s">
        <v>4876</v>
      </c>
      <c r="E3356" s="0" t="inlineStr">
        <is>
          <t xml:space="preserve">Mazda</t>
        </is>
      </c>
      <c r="F3356" s="0" t="inlineStr">
        <is>
          <t xml:space="preserve">Mazda</t>
        </is>
      </c>
      <c r="G3356" s="0" t="s">
        <v>171</v>
      </c>
      <c r="H3356" s="5">
        <v>621.161900</v>
      </c>
    </row>
    <row r="3357" spans="1:9">
      <c r="A3357" s="22" t="str">
        <f>HYPERLINK("https://app.vivvix.com/360/KMI/IntelliDrive/ApplUI/Pages/CreativePages/CustomReportCreativeDetail.aspx?App=23&amp;ReportView=4&amp;Qid=1711279&amp;Row=3349&amp;Col=1","No Title Assigned - #15268364733")</f>
        <v/>
      </c>
      <c r="B3357" s="0" t="s">
        <v>4877</v>
      </c>
      <c r="E3357" s="0" t="inlineStr">
        <is>
          <t xml:space="preserve">Mazda</t>
        </is>
      </c>
      <c r="F3357" s="0" t="inlineStr">
        <is>
          <t xml:space="preserve">Mazda</t>
        </is>
      </c>
      <c r="G3357" s="0" t="s">
        <v>171</v>
      </c>
      <c r="H3357" s="5">
        <v>745.490400</v>
      </c>
    </row>
    <row r="3358" spans="1:9">
      <c r="A3358" s="22" t="str">
        <f>HYPERLINK("https://app.vivvix.com/360/KMI/IntelliDrive/ApplUI/Pages/CreativePages/CustomReportCreativeDetail.aspx?App=23&amp;ReportView=4&amp;Qid=1711279&amp;Row=3350&amp;Col=1","No Title Assigned - #15268364738")</f>
        <v/>
      </c>
      <c r="B3358" s="0" t="s">
        <v>4878</v>
      </c>
      <c r="E3358" s="0" t="inlineStr">
        <is>
          <t xml:space="preserve">Mazda</t>
        </is>
      </c>
      <c r="F3358" s="0" t="inlineStr">
        <is>
          <t xml:space="preserve">Mazda</t>
        </is>
      </c>
      <c r="G3358" s="0" t="s">
        <v>171</v>
      </c>
      <c r="H3358" s="5">
        <v>2449.233900</v>
      </c>
    </row>
    <row r="3359" spans="1:9">
      <c r="A3359" s="22" t="str">
        <f>HYPERLINK("https://app.vivvix.com/360/KMI/IntelliDrive/ApplUI/Pages/CreativePages/CustomReportCreativeDetail.aspx?App=23&amp;ReportView=4&amp;Qid=1711279&amp;Row=3351&amp;Col=1","No Title Assigned - #15268364806")</f>
        <v/>
      </c>
      <c r="B3359" s="0" t="s">
        <v>4879</v>
      </c>
      <c r="E3359" s="0" t="inlineStr">
        <is>
          <t xml:space="preserve">Mazda</t>
        </is>
      </c>
      <c r="F3359" s="0" t="inlineStr">
        <is>
          <t xml:space="preserve">Mazda</t>
        </is>
      </c>
      <c r="G3359" s="0" t="s">
        <v>171</v>
      </c>
      <c r="H3359" s="5">
        <v>10071.240200</v>
      </c>
    </row>
    <row r="3360" spans="1:9">
      <c r="A3360" s="22" t="str">
        <f>HYPERLINK("https://app.vivvix.com/360/KMI/IntelliDrive/ApplUI/Pages/CreativePages/CustomReportCreativeDetail.aspx?App=23&amp;ReportView=4&amp;Qid=1711279&amp;Row=3352&amp;Col=1","No Title Assigned - #15268364870")</f>
        <v/>
      </c>
      <c r="B3360" s="0" t="s">
        <v>4880</v>
      </c>
      <c r="C3360" s="0" t="s">
        <v>4881</v>
      </c>
      <c r="D3360" s="0" t="s">
        <v>4881</v>
      </c>
      <c r="E3360" s="0" t="inlineStr">
        <is>
          <t xml:space="preserve">Mazda</t>
        </is>
      </c>
      <c r="F3360" s="0" t="inlineStr">
        <is>
          <t xml:space="preserve">Mazda</t>
        </is>
      </c>
      <c r="G3360" s="0" t="s">
        <v>171</v>
      </c>
      <c r="H3360" s="5">
        <v>202.571400</v>
      </c>
    </row>
    <row r="3361" spans="1:9">
      <c r="A3361" s="22" t="str">
        <f>HYPERLINK("https://app.vivvix.com/360/KMI/IntelliDrive/ApplUI/Pages/CreativePages/CustomReportCreativeDetail.aspx?App=23&amp;ReportView=4&amp;Qid=1711279&amp;Row=3353&amp;Col=1","No Title Assigned - #15268364888")</f>
        <v/>
      </c>
      <c r="B3361" s="0" t="s">
        <v>4882</v>
      </c>
      <c r="E3361" s="0" t="inlineStr">
        <is>
          <t xml:space="preserve">Mazda</t>
        </is>
      </c>
      <c r="F3361" s="0" t="inlineStr">
        <is>
          <t xml:space="preserve">Mazda</t>
        </is>
      </c>
      <c r="G3361" s="0" t="s">
        <v>171</v>
      </c>
      <c r="H3361" s="5">
        <v>646.380100</v>
      </c>
    </row>
    <row r="3362" spans="1:9">
      <c r="A3362" s="22" t="str">
        <f>HYPERLINK("https://app.vivvix.com/360/KMI/IntelliDrive/ApplUI/Pages/CreativePages/CustomReportCreativeDetail.aspx?App=23&amp;ReportView=4&amp;Qid=1711279&amp;Row=3354&amp;Col=1","No Title Assigned - #15268364933")</f>
        <v/>
      </c>
      <c r="B3362" s="0" t="s">
        <v>4883</v>
      </c>
      <c r="C3362" s="0" t="s">
        <v>4884</v>
      </c>
      <c r="D3362" s="0" t="s">
        <v>4884</v>
      </c>
      <c r="E3362" s="0" t="inlineStr">
        <is>
          <t xml:space="preserve">Mazda</t>
        </is>
      </c>
      <c r="F3362" s="0" t="inlineStr">
        <is>
          <t xml:space="preserve">Mazda</t>
        </is>
      </c>
      <c r="G3362" s="0" t="s">
        <v>171</v>
      </c>
      <c r="H3362" s="5">
        <v>118.493700</v>
      </c>
    </row>
    <row r="3363" spans="1:9">
      <c r="A3363" s="22" t="str">
        <f>HYPERLINK("https://app.vivvix.com/360/KMI/IntelliDrive/ApplUI/Pages/CreativePages/CustomReportCreativeDetail.aspx?App=23&amp;ReportView=4&amp;Qid=1711279&amp;Row=3355&amp;Col=1","No Title Assigned - #15268364948")</f>
        <v/>
      </c>
      <c r="B3363" s="0" t="s">
        <v>4885</v>
      </c>
      <c r="E3363" s="0" t="inlineStr">
        <is>
          <t xml:space="preserve">Mazda</t>
        </is>
      </c>
      <c r="F3363" s="0" t="inlineStr">
        <is>
          <t xml:space="preserve">Mazda</t>
        </is>
      </c>
      <c r="G3363" s="0" t="s">
        <v>171</v>
      </c>
      <c r="H3363" s="5">
        <v>616.708600</v>
      </c>
    </row>
    <row r="3364" spans="1:9">
      <c r="A3364" s="22" t="str">
        <f>HYPERLINK("https://app.vivvix.com/360/KMI/IntelliDrive/ApplUI/Pages/CreativePages/CustomReportCreativeDetail.aspx?App=23&amp;ReportView=4&amp;Qid=1711279&amp;Row=3356&amp;Col=1","No Title Assigned - #15268365361")</f>
        <v/>
      </c>
      <c r="B3364" s="0" t="s">
        <v>4886</v>
      </c>
      <c r="C3364" s="0" t="s">
        <v>4887</v>
      </c>
      <c r="D3364" s="0" t="s">
        <v>4887</v>
      </c>
      <c r="E3364" s="0" t="inlineStr">
        <is>
          <t xml:space="preserve">Mazda</t>
        </is>
      </c>
      <c r="F3364" s="0" t="inlineStr">
        <is>
          <t xml:space="preserve">Mazda</t>
        </is>
      </c>
      <c r="G3364" s="0" t="s">
        <v>171</v>
      </c>
      <c r="H3364" s="5">
        <v>217.392200</v>
      </c>
    </row>
    <row r="3365" spans="1:9">
      <c r="A3365" s="22" t="str">
        <f>HYPERLINK("https://app.vivvix.com/360/KMI/IntelliDrive/ApplUI/Pages/CreativePages/CustomReportCreativeDetail.aspx?App=23&amp;ReportView=4&amp;Qid=1711279&amp;Row=3357&amp;Col=1","No Title Assigned - #15268365361")</f>
        <v/>
      </c>
      <c r="B3365" s="0" t="s">
        <v>4886</v>
      </c>
      <c r="E3365" s="0" t="inlineStr">
        <is>
          <t xml:space="preserve">Mazda</t>
        </is>
      </c>
      <c r="F3365" s="0" t="inlineStr">
        <is>
          <t xml:space="preserve">Mazda</t>
        </is>
      </c>
      <c r="G3365" s="0" t="s">
        <v>171</v>
      </c>
      <c r="H3365" s="5">
        <v>54.831400</v>
      </c>
    </row>
    <row r="3366" spans="1:9">
      <c r="A3366" s="22" t="str">
        <f>HYPERLINK("https://app.vivvix.com/360/KMI/IntelliDrive/ApplUI/Pages/CreativePages/CustomReportCreativeDetail.aspx?App=23&amp;ReportView=4&amp;Qid=1711279&amp;Row=3358&amp;Col=1","No Title Assigned - #15268365425")</f>
        <v/>
      </c>
      <c r="B3366" s="0" t="s">
        <v>4888</v>
      </c>
      <c r="E3366" s="0" t="inlineStr">
        <is>
          <t xml:space="preserve">Mazda</t>
        </is>
      </c>
      <c r="F3366" s="0" t="inlineStr">
        <is>
          <t xml:space="preserve">Mazda</t>
        </is>
      </c>
      <c r="G3366" s="0" t="s">
        <v>171</v>
      </c>
      <c r="H3366" s="5">
        <v>34120.494200</v>
      </c>
    </row>
    <row r="3367" spans="1:9">
      <c r="A3367" s="22" t="str">
        <f>HYPERLINK("https://app.vivvix.com/360/KMI/IntelliDrive/ApplUI/Pages/CreativePages/CustomReportCreativeDetail.aspx?App=23&amp;ReportView=4&amp;Qid=1711279&amp;Row=3359&amp;Col=1","No Title Assigned - #15268365441")</f>
        <v/>
      </c>
      <c r="B3367" s="0" t="s">
        <v>4889</v>
      </c>
      <c r="E3367" s="0" t="inlineStr">
        <is>
          <t xml:space="preserve">Mazda</t>
        </is>
      </c>
      <c r="F3367" s="0" t="inlineStr">
        <is>
          <t xml:space="preserve">Mazda</t>
        </is>
      </c>
      <c r="G3367" s="0" t="s">
        <v>171</v>
      </c>
      <c r="H3367" s="5">
        <v>1261.249600</v>
      </c>
    </row>
    <row r="3368" spans="1:9">
      <c r="A3368" s="22" t="str">
        <f>HYPERLINK("https://app.vivvix.com/360/KMI/IntelliDrive/ApplUI/Pages/CreativePages/CustomReportCreativeDetail.aspx?App=23&amp;ReportView=4&amp;Qid=1711279&amp;Row=3360&amp;Col=1","No Title Assigned - #15268365602")</f>
        <v/>
      </c>
      <c r="B3368" s="0" t="s">
        <v>4890</v>
      </c>
      <c r="E3368" s="0" t="inlineStr">
        <is>
          <t xml:space="preserve">Mazda</t>
        </is>
      </c>
      <c r="F3368" s="0" t="inlineStr">
        <is>
          <t xml:space="preserve">Mazda</t>
        </is>
      </c>
      <c r="G3368" s="0" t="s">
        <v>171</v>
      </c>
      <c r="H3368" s="5">
        <v>8729.785200</v>
      </c>
    </row>
    <row r="3369" spans="1:9">
      <c r="A3369" s="22" t="str">
        <f>HYPERLINK("https://app.vivvix.com/360/KMI/IntelliDrive/ApplUI/Pages/CreativePages/CustomReportCreativeDetail.aspx?App=23&amp;ReportView=4&amp;Qid=1711279&amp;Row=3361&amp;Col=1","No Title Assigned - #15268365602")</f>
        <v/>
      </c>
      <c r="B3369" s="0" t="s">
        <v>4890</v>
      </c>
      <c r="E3369" s="0" t="inlineStr">
        <is>
          <t xml:space="preserve">Mazda</t>
        </is>
      </c>
      <c r="F3369" s="0" t="inlineStr">
        <is>
          <t xml:space="preserve">Mazda</t>
        </is>
      </c>
      <c r="G3369" s="0" t="s">
        <v>171</v>
      </c>
      <c r="H3369" s="5">
        <v>488.879600</v>
      </c>
    </row>
    <row r="3370" spans="1:9">
      <c r="A3370" s="22" t="str">
        <f>HYPERLINK("https://app.vivvix.com/360/KMI/IntelliDrive/ApplUI/Pages/CreativePages/CustomReportCreativeDetail.aspx?App=23&amp;ReportView=4&amp;Qid=1711279&amp;Row=3362&amp;Col=1","No Title Assigned - #15268365838")</f>
        <v/>
      </c>
      <c r="B3370" s="0" t="s">
        <v>4891</v>
      </c>
      <c r="E3370" s="0" t="inlineStr">
        <is>
          <t xml:space="preserve">Mazda</t>
        </is>
      </c>
      <c r="F3370" s="0" t="inlineStr">
        <is>
          <t xml:space="preserve">Mazda</t>
        </is>
      </c>
      <c r="G3370" s="0" t="s">
        <v>171</v>
      </c>
      <c r="H3370" s="5">
        <v>31664.124800</v>
      </c>
    </row>
    <row r="3371" spans="1:9">
      <c r="A3371" s="22" t="str">
        <f>HYPERLINK("https://app.vivvix.com/360/KMI/IntelliDrive/ApplUI/Pages/CreativePages/CustomReportCreativeDetail.aspx?App=23&amp;ReportView=4&amp;Qid=1711279&amp;Row=3363&amp;Col=1","No Title Assigned - #15268366347")</f>
        <v/>
      </c>
      <c r="B3371" s="0" t="s">
        <v>4892</v>
      </c>
      <c r="E3371" s="0" t="inlineStr">
        <is>
          <t xml:space="preserve">Mazda</t>
        </is>
      </c>
      <c r="F3371" s="0" t="inlineStr">
        <is>
          <t xml:space="preserve">Mazda</t>
        </is>
      </c>
      <c r="G3371" s="0" t="s">
        <v>171</v>
      </c>
      <c r="H3371" s="5">
        <v>1534.604300</v>
      </c>
    </row>
    <row r="3372" spans="1:9">
      <c r="A3372" s="22" t="str">
        <f>HYPERLINK("https://app.vivvix.com/360/KMI/IntelliDrive/ApplUI/Pages/CreativePages/CustomReportCreativeDetail.aspx?App=23&amp;ReportView=4&amp;Qid=1711279&amp;Row=3364&amp;Col=1","No Title Assigned - #15268366670")</f>
        <v/>
      </c>
      <c r="B3372" s="0" t="s">
        <v>4893</v>
      </c>
      <c r="E3372" s="0" t="inlineStr">
        <is>
          <t xml:space="preserve">Mazda</t>
        </is>
      </c>
      <c r="F3372" s="0" t="inlineStr">
        <is>
          <t xml:space="preserve">Mazda</t>
        </is>
      </c>
      <c r="G3372" s="0" t="s">
        <v>171</v>
      </c>
      <c r="H3372" s="5">
        <v>424.517800</v>
      </c>
    </row>
    <row r="3373" spans="1:9">
      <c r="A3373" s="22" t="str">
        <f>HYPERLINK("https://app.vivvix.com/360/KMI/IntelliDrive/ApplUI/Pages/CreativePages/CustomReportCreativeDetail.aspx?App=23&amp;ReportView=4&amp;Qid=1711279&amp;Row=3365&amp;Col=1","No Title Assigned - #15268366689")</f>
        <v/>
      </c>
      <c r="B3373" s="0" t="s">
        <v>4894</v>
      </c>
      <c r="E3373" s="0" t="inlineStr">
        <is>
          <t xml:space="preserve">Mazda</t>
        </is>
      </c>
      <c r="F3373" s="0" t="inlineStr">
        <is>
          <t xml:space="preserve">Mazda</t>
        </is>
      </c>
      <c r="G3373" s="0" t="s">
        <v>171</v>
      </c>
      <c r="H3373" s="5">
        <v>35531.685200</v>
      </c>
    </row>
    <row r="3374" spans="1:9">
      <c r="A3374" s="22" t="str">
        <f>HYPERLINK("https://app.vivvix.com/360/KMI/IntelliDrive/ApplUI/Pages/CreativePages/CustomReportCreativeDetail.aspx?App=23&amp;ReportView=4&amp;Qid=1711279&amp;Row=3366&amp;Col=1","No Title Assigned - #15268366689")</f>
        <v/>
      </c>
      <c r="B3374" s="0" t="s">
        <v>4894</v>
      </c>
      <c r="E3374" s="0" t="inlineStr">
        <is>
          <t xml:space="preserve">Mazda</t>
        </is>
      </c>
      <c r="F3374" s="0" t="inlineStr">
        <is>
          <t xml:space="preserve">Mazda</t>
        </is>
      </c>
      <c r="G3374" s="0" t="s">
        <v>171</v>
      </c>
      <c r="H3374" s="5">
        <v>1249.535200</v>
      </c>
    </row>
    <row r="3375" spans="1:9">
      <c r="A3375" s="22" t="str">
        <f>HYPERLINK("https://app.vivvix.com/360/KMI/IntelliDrive/ApplUI/Pages/CreativePages/CustomReportCreativeDetail.aspx?App=23&amp;ReportView=4&amp;Qid=1711279&amp;Row=3367&amp;Col=1","No Title Assigned - #15268366720")</f>
        <v/>
      </c>
      <c r="B3375" s="0" t="s">
        <v>4895</v>
      </c>
      <c r="E3375" s="0" t="inlineStr">
        <is>
          <t xml:space="preserve">Mazda</t>
        </is>
      </c>
      <c r="F3375" s="0" t="inlineStr">
        <is>
          <t xml:space="preserve">Mazda</t>
        </is>
      </c>
      <c r="G3375" s="0" t="s">
        <v>171</v>
      </c>
      <c r="H3375" s="5">
        <v>674.118700</v>
      </c>
    </row>
    <row r="3376" spans="1:9">
      <c r="A3376" s="22" t="str">
        <f>HYPERLINK("https://app.vivvix.com/360/KMI/IntelliDrive/ApplUI/Pages/CreativePages/CustomReportCreativeDetail.aspx?App=23&amp;ReportView=4&amp;Qid=1711279&amp;Row=3368&amp;Col=1","No Title Assigned - #15268366739")</f>
        <v/>
      </c>
      <c r="B3376" s="0" t="s">
        <v>4896</v>
      </c>
      <c r="E3376" s="0" t="inlineStr">
        <is>
          <t xml:space="preserve">Mazda</t>
        </is>
      </c>
      <c r="F3376" s="0" t="inlineStr">
        <is>
          <t xml:space="preserve">Mazda</t>
        </is>
      </c>
      <c r="G3376" s="0" t="s">
        <v>171</v>
      </c>
      <c r="H3376" s="5">
        <v>405.906400</v>
      </c>
    </row>
    <row r="3377" spans="1:9">
      <c r="A3377" s="22" t="str">
        <f>HYPERLINK("https://app.vivvix.com/360/KMI/IntelliDrive/ApplUI/Pages/CreativePages/CustomReportCreativeDetail.aspx?App=23&amp;ReportView=4&amp;Qid=1711279&amp;Row=3369&amp;Col=1","No Title Assigned - #15268366765")</f>
        <v/>
      </c>
      <c r="B3377" s="0" t="s">
        <v>4897</v>
      </c>
      <c r="E3377" s="0" t="inlineStr">
        <is>
          <t xml:space="preserve">Mazda</t>
        </is>
      </c>
      <c r="F3377" s="0" t="inlineStr">
        <is>
          <t xml:space="preserve">Mazda</t>
        </is>
      </c>
      <c r="G3377" s="0" t="s">
        <v>171</v>
      </c>
      <c r="H3377" s="5">
        <v>241.249600</v>
      </c>
    </row>
    <row r="3378" spans="1:9">
      <c r="A3378" s="22" t="str">
        <f>HYPERLINK("https://app.vivvix.com/360/KMI/IntelliDrive/ApplUI/Pages/CreativePages/CustomReportCreativeDetail.aspx?App=23&amp;ReportView=4&amp;Qid=1711279&amp;Row=3370&amp;Col=1","No Title Assigned - #15268366926")</f>
        <v/>
      </c>
      <c r="B3378" s="0" t="s">
        <v>4898</v>
      </c>
      <c r="E3378" s="0" t="inlineStr">
        <is>
          <t xml:space="preserve">Mazda</t>
        </is>
      </c>
      <c r="F3378" s="0" t="inlineStr">
        <is>
          <t xml:space="preserve">Mazda</t>
        </is>
      </c>
      <c r="G3378" s="0" t="s">
        <v>171</v>
      </c>
      <c r="H3378" s="5">
        <v>312.184800</v>
      </c>
    </row>
    <row r="3379" spans="1:9">
      <c r="A3379" s="22" t="str">
        <f>HYPERLINK("https://app.vivvix.com/360/KMI/IntelliDrive/ApplUI/Pages/CreativePages/CustomReportCreativeDetail.aspx?App=23&amp;ReportView=4&amp;Qid=1711279&amp;Row=3371&amp;Col=1","No Title Assigned - #15268367696")</f>
        <v/>
      </c>
      <c r="B3379" s="0" t="s">
        <v>4899</v>
      </c>
      <c r="E3379" s="0" t="inlineStr">
        <is>
          <t xml:space="preserve">Mazda</t>
        </is>
      </c>
      <c r="F3379" s="0" t="inlineStr">
        <is>
          <t xml:space="preserve">Mazda</t>
        </is>
      </c>
      <c r="G3379" s="0" t="s">
        <v>171</v>
      </c>
      <c r="H3379" s="5">
        <v>17130.524000</v>
      </c>
    </row>
    <row r="3380" spans="1:9">
      <c r="A3380" s="22" t="str">
        <f>HYPERLINK("https://app.vivvix.com/360/KMI/IntelliDrive/ApplUI/Pages/CreativePages/CustomReportCreativeDetail.aspx?App=23&amp;ReportView=4&amp;Qid=1711279&amp;Row=3372&amp;Col=1","No Title Assigned - #15268367933")</f>
        <v/>
      </c>
      <c r="B3380" s="0" t="s">
        <v>4900</v>
      </c>
      <c r="E3380" s="0" t="inlineStr">
        <is>
          <t xml:space="preserve">Mazda</t>
        </is>
      </c>
      <c r="F3380" s="0" t="inlineStr">
        <is>
          <t xml:space="preserve">Mazda</t>
        </is>
      </c>
      <c r="G3380" s="0" t="s">
        <v>171</v>
      </c>
      <c r="H3380" s="5">
        <v>252.327200</v>
      </c>
    </row>
    <row r="3381" spans="1:9">
      <c r="A3381" s="22" t="str">
        <f>HYPERLINK("https://app.vivvix.com/360/KMI/IntelliDrive/ApplUI/Pages/CreativePages/CustomReportCreativeDetail.aspx?App=23&amp;ReportView=4&amp;Qid=1711279&amp;Row=3373&amp;Col=1","No Title Assigned - #15268368028")</f>
        <v/>
      </c>
      <c r="B3381" s="0" t="s">
        <v>4901</v>
      </c>
      <c r="E3381" s="0" t="inlineStr">
        <is>
          <t xml:space="preserve">Mazda</t>
        </is>
      </c>
      <c r="F3381" s="0" t="inlineStr">
        <is>
          <t xml:space="preserve">Mazda</t>
        </is>
      </c>
      <c r="G3381" s="0" t="s">
        <v>171</v>
      </c>
      <c r="H3381" s="5">
        <v>54.922300</v>
      </c>
    </row>
    <row r="3382" spans="1:9">
      <c r="A3382" s="22" t="str">
        <f>HYPERLINK("https://app.vivvix.com/360/KMI/IntelliDrive/ApplUI/Pages/CreativePages/CustomReportCreativeDetail.aspx?App=23&amp;ReportView=4&amp;Qid=1711279&amp;Row=3374&amp;Col=1","No Title Assigned - #15268368139")</f>
        <v/>
      </c>
      <c r="B3382" s="0" t="s">
        <v>4902</v>
      </c>
      <c r="E3382" s="0" t="inlineStr">
        <is>
          <t xml:space="preserve">Mazda</t>
        </is>
      </c>
      <c r="F3382" s="0" t="inlineStr">
        <is>
          <t xml:space="preserve">Mazda</t>
        </is>
      </c>
      <c r="G3382" s="0" t="s">
        <v>171</v>
      </c>
      <c r="H3382" s="5">
        <v>3081.519900</v>
      </c>
    </row>
    <row r="3383" spans="1:9">
      <c r="A3383" s="22" t="str">
        <f>HYPERLINK("https://app.vivvix.com/360/KMI/IntelliDrive/ApplUI/Pages/CreativePages/CustomReportCreativeDetail.aspx?App=23&amp;ReportView=4&amp;Qid=1711279&amp;Row=3375&amp;Col=1","No Title Assigned - #15268368659")</f>
        <v/>
      </c>
      <c r="B3383" s="0" t="s">
        <v>4903</v>
      </c>
      <c r="C3383" s="0" t="s">
        <v>4904</v>
      </c>
      <c r="D3383" s="0" t="s">
        <v>4904</v>
      </c>
      <c r="E3383" s="0" t="inlineStr">
        <is>
          <t xml:space="preserve">Mazda</t>
        </is>
      </c>
      <c r="F3383" s="0" t="inlineStr">
        <is>
          <t xml:space="preserve">Mazda</t>
        </is>
      </c>
      <c r="G3383" s="0" t="s">
        <v>171</v>
      </c>
      <c r="H3383" s="5">
        <v>1375.899200</v>
      </c>
    </row>
    <row r="3384" spans="1:9">
      <c r="A3384" s="22" t="str">
        <f>HYPERLINK("https://app.vivvix.com/360/KMI/IntelliDrive/ApplUI/Pages/CreativePages/CustomReportCreativeDetail.aspx?App=23&amp;ReportView=4&amp;Qid=1711279&amp;Row=3376&amp;Col=1","No Title Assigned - #15268369642")</f>
        <v/>
      </c>
      <c r="B3384" s="0" t="s">
        <v>4905</v>
      </c>
      <c r="C3384" s="0" t="s">
        <v>4906</v>
      </c>
      <c r="D3384" s="0" t="s">
        <v>4906</v>
      </c>
      <c r="E3384" s="0" t="inlineStr">
        <is>
          <t xml:space="preserve">Mazda</t>
        </is>
      </c>
      <c r="F3384" s="0" t="inlineStr">
        <is>
          <t xml:space="preserve">Mazda</t>
        </is>
      </c>
      <c r="G3384" s="0" t="s">
        <v>171</v>
      </c>
      <c r="H3384" s="5">
        <v>1452.184900</v>
      </c>
    </row>
    <row r="3385" spans="1:9">
      <c r="A3385" s="22" t="str">
        <f>HYPERLINK("https://app.vivvix.com/360/KMI/IntelliDrive/ApplUI/Pages/CreativePages/CustomReportCreativeDetail.aspx?App=23&amp;ReportView=4&amp;Qid=1711279&amp;Row=3377&amp;Col=1","No Title Assigned - #15268369664")</f>
        <v/>
      </c>
      <c r="B3385" s="0" t="s">
        <v>4907</v>
      </c>
      <c r="E3385" s="0" t="inlineStr">
        <is>
          <t xml:space="preserve">Mazda</t>
        </is>
      </c>
      <c r="F3385" s="0" t="inlineStr">
        <is>
          <t xml:space="preserve">Mazda</t>
        </is>
      </c>
      <c r="G3385" s="0" t="s">
        <v>171</v>
      </c>
      <c r="H3385" s="5">
        <v>58514.363300</v>
      </c>
    </row>
    <row r="3386" spans="1:9">
      <c r="A3386" s="22" t="str">
        <f>HYPERLINK("https://app.vivvix.com/360/KMI/IntelliDrive/ApplUI/Pages/CreativePages/CustomReportCreativeDetail.aspx?App=23&amp;ReportView=4&amp;Qid=1711279&amp;Row=3378&amp;Col=1","No Title Assigned - #15268369807")</f>
        <v/>
      </c>
      <c r="B3386" s="0" t="s">
        <v>4908</v>
      </c>
      <c r="E3386" s="0" t="inlineStr">
        <is>
          <t xml:space="preserve">Mazda</t>
        </is>
      </c>
      <c r="F3386" s="0" t="inlineStr">
        <is>
          <t xml:space="preserve">Mazda</t>
        </is>
      </c>
      <c r="G3386" s="0" t="s">
        <v>171</v>
      </c>
      <c r="H3386" s="5">
        <v>124.883300</v>
      </c>
    </row>
    <row r="3387" spans="1:9">
      <c r="A3387" s="22" t="str">
        <f>HYPERLINK("https://app.vivvix.com/360/KMI/IntelliDrive/ApplUI/Pages/CreativePages/CustomReportCreativeDetail.aspx?App=23&amp;ReportView=4&amp;Qid=1711279&amp;Row=3379&amp;Col=1","No Title Assigned - #15268370302")</f>
        <v/>
      </c>
      <c r="B3387" s="0" t="s">
        <v>4909</v>
      </c>
      <c r="E3387" s="0" t="inlineStr">
        <is>
          <t xml:space="preserve">Mazda</t>
        </is>
      </c>
      <c r="F3387" s="0" t="inlineStr">
        <is>
          <t xml:space="preserve">Mazda</t>
        </is>
      </c>
      <c r="G3387" s="0" t="s">
        <v>171</v>
      </c>
      <c r="H3387" s="5">
        <v>173.434100</v>
      </c>
    </row>
    <row r="3388" spans="1:9">
      <c r="A3388" s="22" t="str">
        <f>HYPERLINK("https://app.vivvix.com/360/KMI/IntelliDrive/ApplUI/Pages/CreativePages/CustomReportCreativeDetail.aspx?App=23&amp;ReportView=4&amp;Qid=1711279&amp;Row=3380&amp;Col=1","No Title Assigned - #15268370302")</f>
        <v/>
      </c>
      <c r="B3388" s="0" t="s">
        <v>4909</v>
      </c>
      <c r="C3388" s="0" t="s">
        <v>4910</v>
      </c>
      <c r="D3388" s="0" t="s">
        <v>4910</v>
      </c>
      <c r="E3388" s="0" t="inlineStr">
        <is>
          <t xml:space="preserve">Mazda</t>
        </is>
      </c>
      <c r="F3388" s="0" t="inlineStr">
        <is>
          <t xml:space="preserve">Mazda</t>
        </is>
      </c>
      <c r="G3388" s="0" t="s">
        <v>171</v>
      </c>
      <c r="H3388" s="5">
        <v>35.895200</v>
      </c>
    </row>
    <row r="3389" spans="1:9">
      <c r="A3389" s="22" t="str">
        <f>HYPERLINK("https://app.vivvix.com/360/KMI/IntelliDrive/ApplUI/Pages/CreativePages/CustomReportCreativeDetail.aspx?App=23&amp;ReportView=4&amp;Qid=1711279&amp;Row=3381&amp;Col=1","No Title Assigned - #15268370347")</f>
        <v/>
      </c>
      <c r="B3389" s="0" t="s">
        <v>4911</v>
      </c>
      <c r="E3389" s="0" t="inlineStr">
        <is>
          <t xml:space="preserve">Mazda</t>
        </is>
      </c>
      <c r="F3389" s="0" t="inlineStr">
        <is>
          <t xml:space="preserve">Mazda</t>
        </is>
      </c>
      <c r="G3389" s="0" t="s">
        <v>171</v>
      </c>
      <c r="H3389" s="5">
        <v>176.352600</v>
      </c>
    </row>
    <row r="3390" spans="1:9">
      <c r="A3390" s="22" t="str">
        <f>HYPERLINK("https://app.vivvix.com/360/KMI/IntelliDrive/ApplUI/Pages/CreativePages/CustomReportCreativeDetail.aspx?App=23&amp;ReportView=4&amp;Qid=1711279&amp;Row=3382&amp;Col=1","No Title Assigned - #15268370556")</f>
        <v/>
      </c>
      <c r="B3390" s="0" t="s">
        <v>4912</v>
      </c>
      <c r="E3390" s="0" t="inlineStr">
        <is>
          <t xml:space="preserve">Mazda</t>
        </is>
      </c>
      <c r="F3390" s="0" t="inlineStr">
        <is>
          <t xml:space="preserve">Mazda</t>
        </is>
      </c>
      <c r="G3390" s="0" t="s">
        <v>171</v>
      </c>
      <c r="H3390" s="5">
        <v>4230.389500</v>
      </c>
    </row>
    <row r="3391" spans="1:9">
      <c r="A3391" s="22" t="str">
        <f>HYPERLINK("https://app.vivvix.com/360/KMI/IntelliDrive/ApplUI/Pages/CreativePages/CustomReportCreativeDetail.aspx?App=23&amp;ReportView=4&amp;Qid=1711279&amp;Row=3383&amp;Col=1","No Title Assigned - #15268370559")</f>
        <v/>
      </c>
      <c r="B3391" s="0" t="s">
        <v>4913</v>
      </c>
      <c r="E3391" s="0" t="inlineStr">
        <is>
          <t xml:space="preserve">Mazda</t>
        </is>
      </c>
      <c r="F3391" s="0" t="inlineStr">
        <is>
          <t xml:space="preserve">Mazda</t>
        </is>
      </c>
      <c r="G3391" s="0" t="s">
        <v>171</v>
      </c>
      <c r="H3391" s="5">
        <v>902.408300</v>
      </c>
    </row>
    <row r="3392" spans="1:9">
      <c r="A3392" s="22" t="str">
        <f>HYPERLINK("https://app.vivvix.com/360/KMI/IntelliDrive/ApplUI/Pages/CreativePages/CustomReportCreativeDetail.aspx?App=23&amp;ReportView=4&amp;Qid=1711279&amp;Row=3384&amp;Col=1","No Title Assigned - #15268370644")</f>
        <v/>
      </c>
      <c r="B3392" s="0" t="s">
        <v>4914</v>
      </c>
      <c r="E3392" s="0" t="inlineStr">
        <is>
          <t xml:space="preserve">Mazda</t>
        </is>
      </c>
      <c r="F3392" s="0" t="inlineStr">
        <is>
          <t xml:space="preserve">Mazda</t>
        </is>
      </c>
      <c r="G3392" s="0" t="s">
        <v>171</v>
      </c>
      <c r="H3392" s="5">
        <v>238.574800</v>
      </c>
    </row>
    <row r="3393" spans="1:9">
      <c r="A3393" s="22" t="str">
        <f>HYPERLINK("https://app.vivvix.com/360/KMI/IntelliDrive/ApplUI/Pages/CreativePages/CustomReportCreativeDetail.aspx?App=23&amp;ReportView=4&amp;Qid=1711279&amp;Row=3385&amp;Col=1","No Title Assigned - #15268370810")</f>
        <v/>
      </c>
      <c r="B3393" s="0" t="s">
        <v>4915</v>
      </c>
      <c r="E3393" s="0" t="inlineStr">
        <is>
          <t xml:space="preserve">Mazda</t>
        </is>
      </c>
      <c r="F3393" s="0" t="inlineStr">
        <is>
          <t xml:space="preserve">Mazda</t>
        </is>
      </c>
      <c r="G3393" s="0" t="s">
        <v>171</v>
      </c>
      <c r="H3393" s="5">
        <v>6562.591800</v>
      </c>
    </row>
    <row r="3394" spans="1:9">
      <c r="A3394" s="22" t="str">
        <f>HYPERLINK("https://app.vivvix.com/360/KMI/IntelliDrive/ApplUI/Pages/CreativePages/CustomReportCreativeDetail.aspx?App=23&amp;ReportView=4&amp;Qid=1711279&amp;Row=3386&amp;Col=1","No Title Assigned - #15268371262")</f>
        <v/>
      </c>
      <c r="B3394" s="0" t="s">
        <v>4916</v>
      </c>
      <c r="E3394" s="0" t="inlineStr">
        <is>
          <t xml:space="preserve">Mazda</t>
        </is>
      </c>
      <c r="F3394" s="0" t="inlineStr">
        <is>
          <t xml:space="preserve">Mazda</t>
        </is>
      </c>
      <c r="G3394" s="0" t="s">
        <v>171</v>
      </c>
      <c r="H3394" s="5">
        <v>127.928500</v>
      </c>
    </row>
    <row r="3395" spans="1:9">
      <c r="A3395" s="22" t="str">
        <f>HYPERLINK("https://app.vivvix.com/360/KMI/IntelliDrive/ApplUI/Pages/CreativePages/CustomReportCreativeDetail.aspx?App=23&amp;ReportView=4&amp;Qid=1711279&amp;Row=3387&amp;Col=1","No Title Assigned - #15268371335")</f>
        <v/>
      </c>
      <c r="B3395" s="0" t="s">
        <v>4917</v>
      </c>
      <c r="E3395" s="0" t="inlineStr">
        <is>
          <t xml:space="preserve">Mazda</t>
        </is>
      </c>
      <c r="F3395" s="0" t="inlineStr">
        <is>
          <t xml:space="preserve">Mazda</t>
        </is>
      </c>
      <c r="G3395" s="0" t="s">
        <v>171</v>
      </c>
      <c r="H3395" s="5">
        <v>9639.236300</v>
      </c>
    </row>
    <row r="3396" spans="1:9">
      <c r="A3396" s="22" t="str">
        <f>HYPERLINK("https://app.vivvix.com/360/KMI/IntelliDrive/ApplUI/Pages/CreativePages/CustomReportCreativeDetail.aspx?App=23&amp;ReportView=4&amp;Qid=1711279&amp;Row=3388&amp;Col=1","No Title Assigned - #15268371444")</f>
        <v/>
      </c>
      <c r="B3396" s="0" t="s">
        <v>4918</v>
      </c>
      <c r="E3396" s="0" t="inlineStr">
        <is>
          <t xml:space="preserve">Mazda</t>
        </is>
      </c>
      <c r="F3396" s="0" t="inlineStr">
        <is>
          <t xml:space="preserve">Mazda</t>
        </is>
      </c>
      <c r="G3396" s="0" t="s">
        <v>171</v>
      </c>
      <c r="H3396" s="5">
        <v>506.560800</v>
      </c>
    </row>
    <row r="3397" spans="1:9">
      <c r="A3397" s="22" t="str">
        <f>HYPERLINK("https://app.vivvix.com/360/KMI/IntelliDrive/ApplUI/Pages/CreativePages/CustomReportCreativeDetail.aspx?App=23&amp;ReportView=4&amp;Qid=1711279&amp;Row=3389&amp;Col=1","No Title Assigned - #15268371782")</f>
        <v/>
      </c>
      <c r="B3397" s="0" t="s">
        <v>4919</v>
      </c>
      <c r="E3397" s="0" t="inlineStr">
        <is>
          <t xml:space="preserve">Mazda</t>
        </is>
      </c>
      <c r="F3397" s="0" t="inlineStr">
        <is>
          <t xml:space="preserve">Mazda</t>
        </is>
      </c>
      <c r="G3397" s="0" t="s">
        <v>171</v>
      </c>
      <c r="H3397" s="5">
        <v>1652.791400</v>
      </c>
    </row>
    <row r="3398" spans="1:9">
      <c r="A3398" s="22" t="str">
        <f>HYPERLINK("https://app.vivvix.com/360/KMI/IntelliDrive/ApplUI/Pages/CreativePages/CustomReportCreativeDetail.aspx?App=23&amp;ReportView=4&amp;Qid=1711279&amp;Row=3390&amp;Col=1","No Title Assigned - #15268371782")</f>
        <v/>
      </c>
      <c r="B3398" s="0" t="s">
        <v>4919</v>
      </c>
      <c r="E3398" s="0" t="inlineStr">
        <is>
          <t xml:space="preserve">Mazda</t>
        </is>
      </c>
      <c r="F3398" s="0" t="inlineStr">
        <is>
          <t xml:space="preserve">Mazda</t>
        </is>
      </c>
      <c r="G3398" s="0" t="s">
        <v>171</v>
      </c>
      <c r="H3398" s="5">
        <v>1831.503500</v>
      </c>
    </row>
    <row r="3399" spans="1:9">
      <c r="A3399" s="22" t="str">
        <f>HYPERLINK("https://app.vivvix.com/360/KMI/IntelliDrive/ApplUI/Pages/CreativePages/CustomReportCreativeDetail.aspx?App=23&amp;ReportView=4&amp;Qid=1711279&amp;Row=3391&amp;Col=1","No Title Assigned - #15268372248")</f>
        <v/>
      </c>
      <c r="B3399" s="0" t="s">
        <v>4920</v>
      </c>
      <c r="E3399" s="0" t="inlineStr">
        <is>
          <t xml:space="preserve">Mazda</t>
        </is>
      </c>
      <c r="F3399" s="0" t="inlineStr">
        <is>
          <t xml:space="preserve">Mazda</t>
        </is>
      </c>
      <c r="G3399" s="0" t="s">
        <v>171</v>
      </c>
      <c r="H3399" s="5">
        <v>18903.527300</v>
      </c>
    </row>
    <row r="3400" spans="1:9">
      <c r="A3400" s="22" t="str">
        <f>HYPERLINK("https://app.vivvix.com/360/KMI/IntelliDrive/ApplUI/Pages/CreativePages/CustomReportCreativeDetail.aspx?App=23&amp;ReportView=4&amp;Qid=1711279&amp;Row=3392&amp;Col=1","No Title Assigned - #15268372250")</f>
        <v/>
      </c>
      <c r="B3400" s="0" t="s">
        <v>4921</v>
      </c>
      <c r="E3400" s="0" t="inlineStr">
        <is>
          <t xml:space="preserve">Mazda</t>
        </is>
      </c>
      <c r="F3400" s="0" t="inlineStr">
        <is>
          <t xml:space="preserve">Mazda</t>
        </is>
      </c>
      <c r="G3400" s="0" t="s">
        <v>171</v>
      </c>
      <c r="H3400" s="5">
        <v>21094.768100</v>
      </c>
    </row>
    <row r="3401" spans="1:9">
      <c r="A3401" s="22" t="str">
        <f>HYPERLINK("https://app.vivvix.com/360/KMI/IntelliDrive/ApplUI/Pages/CreativePages/CustomReportCreativeDetail.aspx?App=23&amp;ReportView=4&amp;Qid=1711279&amp;Row=3393&amp;Col=1","No Title Assigned - #15268372250")</f>
        <v/>
      </c>
      <c r="B3401" s="0" t="s">
        <v>4921</v>
      </c>
      <c r="E3401" s="0" t="inlineStr">
        <is>
          <t xml:space="preserve">Mazda</t>
        </is>
      </c>
      <c r="F3401" s="0" t="inlineStr">
        <is>
          <t xml:space="preserve">Mazda</t>
        </is>
      </c>
      <c r="G3401" s="0" t="s">
        <v>171</v>
      </c>
      <c r="H3401" s="5">
        <v>4.122000</v>
      </c>
    </row>
    <row r="3402" spans="1:9">
      <c r="A3402" s="22" t="str">
        <f>HYPERLINK("https://app.vivvix.com/360/KMI/IntelliDrive/ApplUI/Pages/CreativePages/CustomReportCreativeDetail.aspx?App=23&amp;ReportView=4&amp;Qid=1711279&amp;Row=3394&amp;Col=1","No Title Assigned - #15268372958")</f>
        <v/>
      </c>
      <c r="B3402" s="0" t="s">
        <v>4922</v>
      </c>
      <c r="C3402" s="0" t="s">
        <v>4923</v>
      </c>
      <c r="D3402" s="0" t="s">
        <v>4923</v>
      </c>
      <c r="E3402" s="0" t="inlineStr">
        <is>
          <t xml:space="preserve">Mazda</t>
        </is>
      </c>
      <c r="F3402" s="0" t="inlineStr">
        <is>
          <t xml:space="preserve">Mazda</t>
        </is>
      </c>
      <c r="G3402" s="0" t="s">
        <v>171</v>
      </c>
      <c r="H3402" s="5">
        <v>103.806600</v>
      </c>
    </row>
    <row r="3403" spans="1:9">
      <c r="A3403" s="22" t="str">
        <f>HYPERLINK("https://app.vivvix.com/360/KMI/IntelliDrive/ApplUI/Pages/CreativePages/CustomReportCreativeDetail.aspx?App=23&amp;ReportView=4&amp;Qid=1711279&amp;Row=3395&amp;Col=1","No Title Assigned - #15268373075")</f>
        <v/>
      </c>
      <c r="B3403" s="0" t="s">
        <v>4924</v>
      </c>
      <c r="E3403" s="0" t="inlineStr">
        <is>
          <t xml:space="preserve">Mazda</t>
        </is>
      </c>
      <c r="F3403" s="0" t="inlineStr">
        <is>
          <t xml:space="preserve">Mazda</t>
        </is>
      </c>
      <c r="G3403" s="0" t="s">
        <v>171</v>
      </c>
      <c r="H3403" s="5">
        <v>1514.417100</v>
      </c>
    </row>
    <row r="3404" spans="1:9">
      <c r="A3404" s="22" t="str">
        <f>HYPERLINK("https://app.vivvix.com/360/KMI/IntelliDrive/ApplUI/Pages/CreativePages/CustomReportCreativeDetail.aspx?App=23&amp;ReportView=4&amp;Qid=1711279&amp;Row=3396&amp;Col=1","No Title Assigned - #15268373183")</f>
        <v/>
      </c>
      <c r="B3404" s="0" t="s">
        <v>4925</v>
      </c>
      <c r="C3404" s="0" t="s">
        <v>4926</v>
      </c>
      <c r="D3404" s="0" t="s">
        <v>4926</v>
      </c>
      <c r="E3404" s="0" t="inlineStr">
        <is>
          <t xml:space="preserve">Mazda</t>
        </is>
      </c>
      <c r="F3404" s="0" t="inlineStr">
        <is>
          <t xml:space="preserve">Mazda</t>
        </is>
      </c>
      <c r="G3404" s="0" t="s">
        <v>171</v>
      </c>
      <c r="H3404" s="5">
        <v>799.534500</v>
      </c>
    </row>
    <row r="3405" spans="1:9">
      <c r="A3405" s="22" t="str">
        <f>HYPERLINK("https://app.vivvix.com/360/KMI/IntelliDrive/ApplUI/Pages/CreativePages/CustomReportCreativeDetail.aspx?App=23&amp;ReportView=4&amp;Qid=1711279&amp;Row=3397&amp;Col=1","No Title Assigned - #15268373289")</f>
        <v/>
      </c>
      <c r="B3405" s="0" t="s">
        <v>4927</v>
      </c>
      <c r="E3405" s="0" t="inlineStr">
        <is>
          <t xml:space="preserve">Mazda</t>
        </is>
      </c>
      <c r="F3405" s="0" t="inlineStr">
        <is>
          <t xml:space="preserve">Mazda</t>
        </is>
      </c>
      <c r="G3405" s="0" t="s">
        <v>171</v>
      </c>
      <c r="H3405" s="5">
        <v>1050.632800</v>
      </c>
    </row>
    <row r="3406" spans="1:9">
      <c r="A3406" s="22" t="str">
        <f>HYPERLINK("https://app.vivvix.com/360/KMI/IntelliDrive/ApplUI/Pages/CreativePages/CustomReportCreativeDetail.aspx?App=23&amp;ReportView=4&amp;Qid=1711279&amp;Row=3398&amp;Col=1","No Title Assigned - #15268373305")</f>
        <v/>
      </c>
      <c r="B3406" s="0" t="s">
        <v>4928</v>
      </c>
      <c r="C3406" s="0" t="s">
        <v>4929</v>
      </c>
      <c r="D3406" s="0" t="s">
        <v>4929</v>
      </c>
      <c r="E3406" s="0" t="inlineStr">
        <is>
          <t xml:space="preserve">Mazda</t>
        </is>
      </c>
      <c r="F3406" s="0" t="inlineStr">
        <is>
          <t xml:space="preserve">Mazda</t>
        </is>
      </c>
      <c r="G3406" s="0" t="s">
        <v>171</v>
      </c>
      <c r="H3406" s="5">
        <v>255.143300</v>
      </c>
    </row>
    <row r="3407" spans="1:9">
      <c r="A3407" s="22" t="str">
        <f>HYPERLINK("https://app.vivvix.com/360/KMI/IntelliDrive/ApplUI/Pages/CreativePages/CustomReportCreativeDetail.aspx?App=23&amp;ReportView=4&amp;Qid=1711279&amp;Row=3399&amp;Col=1","No Title Assigned - #15268373486")</f>
        <v/>
      </c>
      <c r="B3407" s="0" t="s">
        <v>4930</v>
      </c>
      <c r="C3407" s="0" t="s">
        <v>4931</v>
      </c>
      <c r="D3407" s="0" t="s">
        <v>4931</v>
      </c>
      <c r="E3407" s="0" t="inlineStr">
        <is>
          <t xml:space="preserve">Mazda</t>
        </is>
      </c>
      <c r="F3407" s="0" t="inlineStr">
        <is>
          <t xml:space="preserve">Mazda</t>
        </is>
      </c>
      <c r="G3407" s="0" t="s">
        <v>171</v>
      </c>
      <c r="H3407" s="5">
        <v>27.081400</v>
      </c>
    </row>
    <row r="3408" spans="1:9">
      <c r="A3408" s="22" t="str">
        <f>HYPERLINK("https://app.vivvix.com/360/KMI/IntelliDrive/ApplUI/Pages/CreativePages/CustomReportCreativeDetail.aspx?App=23&amp;ReportView=4&amp;Qid=1711279&amp;Row=3400&amp;Col=1","No Title Assigned - #15268373505")</f>
        <v/>
      </c>
      <c r="B3408" s="0" t="s">
        <v>4932</v>
      </c>
      <c r="E3408" s="0" t="inlineStr">
        <is>
          <t xml:space="preserve">Mazda</t>
        </is>
      </c>
      <c r="F3408" s="0" t="inlineStr">
        <is>
          <t xml:space="preserve">Mazda</t>
        </is>
      </c>
      <c r="G3408" s="0" t="s">
        <v>171</v>
      </c>
      <c r="H3408" s="5">
        <v>69099.977400</v>
      </c>
    </row>
    <row r="3409" spans="1:9">
      <c r="A3409" s="22" t="str">
        <f>HYPERLINK("https://app.vivvix.com/360/KMI/IntelliDrive/ApplUI/Pages/CreativePages/CustomReportCreativeDetail.aspx?App=23&amp;ReportView=4&amp;Qid=1711279&amp;Row=3401&amp;Col=1","No Title Assigned - #15268374192")</f>
        <v/>
      </c>
      <c r="B3409" s="0" t="s">
        <v>4933</v>
      </c>
      <c r="C3409" s="0" t="s">
        <v>4934</v>
      </c>
      <c r="D3409" s="0" t="s">
        <v>4934</v>
      </c>
      <c r="E3409" s="0" t="inlineStr">
        <is>
          <t xml:space="preserve">Mazda</t>
        </is>
      </c>
      <c r="F3409" s="0" t="inlineStr">
        <is>
          <t xml:space="preserve">Mazda</t>
        </is>
      </c>
      <c r="G3409" s="0" t="s">
        <v>171</v>
      </c>
      <c r="H3409" s="5">
        <v>584.676300</v>
      </c>
    </row>
    <row r="3410" spans="1:9">
      <c r="A3410" s="22" t="str">
        <f>HYPERLINK("https://app.vivvix.com/360/KMI/IntelliDrive/ApplUI/Pages/CreativePages/CustomReportCreativeDetail.aspx?App=23&amp;ReportView=4&amp;Qid=1711279&amp;Row=3402&amp;Col=1","No Title Assigned - #15268374231")</f>
        <v/>
      </c>
      <c r="B3410" s="0" t="s">
        <v>4935</v>
      </c>
      <c r="E3410" s="0" t="inlineStr">
        <is>
          <t xml:space="preserve">Mazda</t>
        </is>
      </c>
      <c r="F3410" s="0" t="inlineStr">
        <is>
          <t xml:space="preserve">Mazda</t>
        </is>
      </c>
      <c r="G3410" s="0" t="s">
        <v>171</v>
      </c>
      <c r="H3410" s="5">
        <v>358.609800</v>
      </c>
    </row>
    <row r="3411" spans="1:9">
      <c r="A3411" s="22" t="str">
        <f>HYPERLINK("https://app.vivvix.com/360/KMI/IntelliDrive/ApplUI/Pages/CreativePages/CustomReportCreativeDetail.aspx?App=23&amp;ReportView=4&amp;Qid=1711279&amp;Row=3403&amp;Col=1","No Title Assigned - #15268374362")</f>
        <v/>
      </c>
      <c r="B3411" s="0" t="s">
        <v>4936</v>
      </c>
      <c r="E3411" s="0" t="inlineStr">
        <is>
          <t xml:space="preserve">Mazda</t>
        </is>
      </c>
      <c r="F3411" s="0" t="inlineStr">
        <is>
          <t xml:space="preserve">Mazda</t>
        </is>
      </c>
      <c r="G3411" s="0" t="s">
        <v>171</v>
      </c>
      <c r="H3411" s="5">
        <v>17.825700</v>
      </c>
    </row>
    <row r="3412" spans="1:9">
      <c r="A3412" s="22" t="str">
        <f>HYPERLINK("https://app.vivvix.com/360/KMI/IntelliDrive/ApplUI/Pages/CreativePages/CustomReportCreativeDetail.aspx?App=23&amp;ReportView=4&amp;Qid=1711279&amp;Row=3404&amp;Col=1","No Title Assigned - #15268374401")</f>
        <v/>
      </c>
      <c r="B3412" s="0" t="s">
        <v>4937</v>
      </c>
      <c r="C3412" s="0" t="s">
        <v>4938</v>
      </c>
      <c r="D3412" s="0" t="s">
        <v>4938</v>
      </c>
      <c r="E3412" s="0" t="inlineStr">
        <is>
          <t xml:space="preserve">Mazda</t>
        </is>
      </c>
      <c r="F3412" s="0" t="s">
        <v>13</v>
      </c>
      <c r="G3412" s="0" t="s">
        <v>49</v>
      </c>
      <c r="H3412" s="5">
        <v>80689.827800</v>
      </c>
    </row>
    <row r="3413" spans="1:9">
      <c r="A3413" s="22" t="str">
        <f>HYPERLINK("https://app.vivvix.com/360/KMI/IntelliDrive/ApplUI/Pages/CreativePages/CustomReportCreativeDetail.aspx?App=23&amp;ReportView=4&amp;Qid=1711279&amp;Row=3405&amp;Col=1","No Title Assigned - #15268374401")</f>
        <v/>
      </c>
      <c r="B3413" s="0" t="s">
        <v>4937</v>
      </c>
      <c r="E3413" s="0" t="inlineStr">
        <is>
          <t xml:space="preserve">Mazda</t>
        </is>
      </c>
      <c r="F3413" s="0" t="s">
        <v>13</v>
      </c>
      <c r="G3413" s="0" t="s">
        <v>49</v>
      </c>
      <c r="H3413" s="5">
        <v>271489.491800</v>
      </c>
    </row>
    <row r="3414" spans="1:9">
      <c r="A3414" s="22" t="str">
        <f>HYPERLINK("https://app.vivvix.com/360/KMI/IntelliDrive/ApplUI/Pages/CreativePages/CustomReportCreativeDetail.aspx?App=23&amp;ReportView=4&amp;Qid=1711279&amp;Row=3406&amp;Col=1","No Title Assigned - #15268374664")</f>
        <v/>
      </c>
      <c r="B3414" s="0" t="s">
        <v>4939</v>
      </c>
      <c r="C3414" s="0" t="s">
        <v>4940</v>
      </c>
      <c r="D3414" s="0" t="s">
        <v>4940</v>
      </c>
      <c r="E3414" s="0" t="inlineStr">
        <is>
          <t xml:space="preserve">Mazda</t>
        </is>
      </c>
      <c r="F3414" s="0" t="s">
        <v>28</v>
      </c>
      <c r="G3414" s="0" t="s">
        <v>29</v>
      </c>
      <c r="H3414" s="5">
        <v>211.707900</v>
      </c>
    </row>
    <row r="3415" spans="1:9">
      <c r="A3415" s="22" t="str">
        <f>HYPERLINK("https://app.vivvix.com/360/KMI/IntelliDrive/ApplUI/Pages/CreativePages/CustomReportCreativeDetail.aspx?App=23&amp;ReportView=4&amp;Qid=1711279&amp;Row=3407&amp;Col=1","No Title Assigned - #15268375133")</f>
        <v/>
      </c>
      <c r="B3415" s="0" t="s">
        <v>4941</v>
      </c>
      <c r="E3415" s="0" t="inlineStr">
        <is>
          <t xml:space="preserve">Mazda</t>
        </is>
      </c>
      <c r="F3415" s="0" t="inlineStr">
        <is>
          <t xml:space="preserve">Mazda</t>
        </is>
      </c>
      <c r="G3415" s="0" t="s">
        <v>171</v>
      </c>
      <c r="H3415" s="5">
        <v>72.859900</v>
      </c>
    </row>
    <row r="3416" spans="1:9">
      <c r="A3416" s="22" t="str">
        <f>HYPERLINK("https://app.vivvix.com/360/KMI/IntelliDrive/ApplUI/Pages/CreativePages/CustomReportCreativeDetail.aspx?App=23&amp;ReportView=4&amp;Qid=1711279&amp;Row=3408&amp;Col=1","No Title Assigned - #15268375318")</f>
        <v/>
      </c>
      <c r="B3416" s="0" t="s">
        <v>4942</v>
      </c>
      <c r="E3416" s="0" t="inlineStr">
        <is>
          <t xml:space="preserve">Mazda</t>
        </is>
      </c>
      <c r="F3416" s="0" t="inlineStr">
        <is>
          <t xml:space="preserve">Mazda</t>
        </is>
      </c>
      <c r="G3416" s="0" t="s">
        <v>171</v>
      </c>
      <c r="H3416" s="5">
        <v>207.709500</v>
      </c>
    </row>
    <row r="3417" spans="1:9">
      <c r="A3417" s="22" t="str">
        <f>HYPERLINK("https://app.vivvix.com/360/KMI/IntelliDrive/ApplUI/Pages/CreativePages/CustomReportCreativeDetail.aspx?App=23&amp;ReportView=4&amp;Qid=1711279&amp;Row=3409&amp;Col=1","No Title Assigned - #15268375319")</f>
        <v/>
      </c>
      <c r="B3417" s="0" t="s">
        <v>4943</v>
      </c>
      <c r="E3417" s="0" t="inlineStr">
        <is>
          <t xml:space="preserve">Mazda</t>
        </is>
      </c>
      <c r="F3417" s="0" t="inlineStr">
        <is>
          <t xml:space="preserve">Mazda</t>
        </is>
      </c>
      <c r="G3417" s="0" t="s">
        <v>171</v>
      </c>
      <c r="H3417" s="5">
        <v>270.587200</v>
      </c>
    </row>
    <row r="3418" spans="1:9">
      <c r="A3418" s="22" t="str">
        <f>HYPERLINK("https://app.vivvix.com/360/KMI/IntelliDrive/ApplUI/Pages/CreativePages/CustomReportCreativeDetail.aspx?App=23&amp;ReportView=4&amp;Qid=1711279&amp;Row=3410&amp;Col=1","No Title Assigned - #15268375790")</f>
        <v/>
      </c>
      <c r="B3418" s="0" t="s">
        <v>4944</v>
      </c>
      <c r="E3418" s="0" t="inlineStr">
        <is>
          <t xml:space="preserve">Mazda</t>
        </is>
      </c>
      <c r="F3418" s="0" t="inlineStr">
        <is>
          <t xml:space="preserve">Mazda</t>
        </is>
      </c>
      <c r="G3418" s="0" t="s">
        <v>171</v>
      </c>
      <c r="H3418" s="5">
        <v>1369.355300</v>
      </c>
    </row>
    <row r="3419" spans="1:9">
      <c r="A3419" s="22" t="str">
        <f>HYPERLINK("https://app.vivvix.com/360/KMI/IntelliDrive/ApplUI/Pages/CreativePages/CustomReportCreativeDetail.aspx?App=23&amp;ReportView=4&amp;Qid=1711279&amp;Row=3411&amp;Col=1","No Title Assigned - #15268375807")</f>
        <v/>
      </c>
      <c r="B3419" s="0" t="s">
        <v>4945</v>
      </c>
      <c r="E3419" s="0" t="inlineStr">
        <is>
          <t xml:space="preserve">Mazda</t>
        </is>
      </c>
      <c r="F3419" s="0" t="inlineStr">
        <is>
          <t xml:space="preserve">Mazda</t>
        </is>
      </c>
      <c r="G3419" s="0" t="s">
        <v>171</v>
      </c>
      <c r="H3419" s="5">
        <v>4438.335400</v>
      </c>
    </row>
    <row r="3420" spans="1:9">
      <c r="A3420" s="22" t="str">
        <f>HYPERLINK("https://app.vivvix.com/360/KMI/IntelliDrive/ApplUI/Pages/CreativePages/CustomReportCreativeDetail.aspx?App=23&amp;ReportView=4&amp;Qid=1711279&amp;Row=3412&amp;Col=1","No Title Assigned - #15268375917")</f>
        <v/>
      </c>
      <c r="B3420" s="0" t="s">
        <v>4946</v>
      </c>
      <c r="E3420" s="0" t="inlineStr">
        <is>
          <t xml:space="preserve">Mazda</t>
        </is>
      </c>
      <c r="F3420" s="0" t="inlineStr">
        <is>
          <t xml:space="preserve">Mazda</t>
        </is>
      </c>
      <c r="G3420" s="0" t="s">
        <v>171</v>
      </c>
      <c r="H3420" s="5">
        <v>19.353700</v>
      </c>
    </row>
    <row r="3421" spans="1:9">
      <c r="A3421" s="22" t="str">
        <f>HYPERLINK("https://app.vivvix.com/360/KMI/IntelliDrive/ApplUI/Pages/CreativePages/CustomReportCreativeDetail.aspx?App=23&amp;ReportView=4&amp;Qid=1711279&amp;Row=3413&amp;Col=1","No Title Assigned - #15268377259")</f>
        <v/>
      </c>
      <c r="B3421" s="0" t="s">
        <v>4947</v>
      </c>
      <c r="E3421" s="0" t="inlineStr">
        <is>
          <t xml:space="preserve">Mazda</t>
        </is>
      </c>
      <c r="F3421" s="0" t="inlineStr">
        <is>
          <t xml:space="preserve">Mazda</t>
        </is>
      </c>
      <c r="G3421" s="0" t="s">
        <v>171</v>
      </c>
      <c r="H3421" s="5">
        <v>340.552300</v>
      </c>
    </row>
    <row r="3422" spans="1:9">
      <c r="A3422" s="22" t="str">
        <f>HYPERLINK("https://app.vivvix.com/360/KMI/IntelliDrive/ApplUI/Pages/CreativePages/CustomReportCreativeDetail.aspx?App=23&amp;ReportView=4&amp;Qid=1711279&amp;Row=3414&amp;Col=1","No Title Assigned - #15268377433")</f>
        <v/>
      </c>
      <c r="B3422" s="0" t="s">
        <v>4948</v>
      </c>
      <c r="E3422" s="0" t="inlineStr">
        <is>
          <t xml:space="preserve">Mazda</t>
        </is>
      </c>
      <c r="F3422" s="0" t="inlineStr">
        <is>
          <t xml:space="preserve">Mazda</t>
        </is>
      </c>
      <c r="G3422" s="0" t="s">
        <v>171</v>
      </c>
      <c r="H3422" s="5">
        <v>2678.012700</v>
      </c>
    </row>
    <row r="3423" spans="1:9">
      <c r="A3423" s="22" t="str">
        <f>HYPERLINK("https://app.vivvix.com/360/KMI/IntelliDrive/ApplUI/Pages/CreativePages/CustomReportCreativeDetail.aspx?App=23&amp;ReportView=4&amp;Qid=1711279&amp;Row=3415&amp;Col=1","No Title Assigned - #15268377659")</f>
        <v/>
      </c>
      <c r="B3423" s="0" t="s">
        <v>4949</v>
      </c>
      <c r="C3423" s="0" t="s">
        <v>4950</v>
      </c>
      <c r="D3423" s="0" t="s">
        <v>4950</v>
      </c>
      <c r="E3423" s="0" t="inlineStr">
        <is>
          <t xml:space="preserve">Mazda</t>
        </is>
      </c>
      <c r="F3423" s="0" t="inlineStr">
        <is>
          <t xml:space="preserve">Mazda</t>
        </is>
      </c>
      <c r="G3423" s="0" t="s">
        <v>171</v>
      </c>
      <c r="H3423" s="5">
        <v>246.435400</v>
      </c>
    </row>
    <row r="3424" spans="1:9">
      <c r="A3424" s="22" t="str">
        <f>HYPERLINK("https://app.vivvix.com/360/KMI/IntelliDrive/ApplUI/Pages/CreativePages/CustomReportCreativeDetail.aspx?App=23&amp;ReportView=4&amp;Qid=1711279&amp;Row=3416&amp;Col=1","No Title Assigned - #15268377770")</f>
        <v/>
      </c>
      <c r="B3424" s="0" t="s">
        <v>4951</v>
      </c>
      <c r="E3424" s="0" t="inlineStr">
        <is>
          <t xml:space="preserve">Mazda</t>
        </is>
      </c>
      <c r="F3424" s="0" t="inlineStr">
        <is>
          <t xml:space="preserve">Mazda</t>
        </is>
      </c>
      <c r="G3424" s="0" t="s">
        <v>171</v>
      </c>
      <c r="H3424" s="5">
        <v>38.707400</v>
      </c>
    </row>
    <row r="3425" spans="1:9">
      <c r="A3425" s="22" t="str">
        <f>HYPERLINK("https://app.vivvix.com/360/KMI/IntelliDrive/ApplUI/Pages/CreativePages/CustomReportCreativeDetail.aspx?App=23&amp;ReportView=4&amp;Qid=1711279&amp;Row=3417&amp;Col=1","No Title Assigned - #15268378353")</f>
        <v/>
      </c>
      <c r="B3425" s="0" t="s">
        <v>4952</v>
      </c>
      <c r="C3425" s="0" t="s">
        <v>4953</v>
      </c>
      <c r="D3425" s="0" t="s">
        <v>4953</v>
      </c>
      <c r="E3425" s="0" t="inlineStr">
        <is>
          <t xml:space="preserve">Mazda</t>
        </is>
      </c>
      <c r="F3425" s="0" t="s">
        <v>28</v>
      </c>
      <c r="G3425" s="0" t="s">
        <v>29</v>
      </c>
      <c r="H3425" s="5">
        <v>144.071700</v>
      </c>
    </row>
    <row r="3426" spans="1:9">
      <c r="A3426" s="22" t="str">
        <f>HYPERLINK("https://app.vivvix.com/360/KMI/IntelliDrive/ApplUI/Pages/CreativePages/CustomReportCreativeDetail.aspx?App=23&amp;ReportView=4&amp;Qid=1711279&amp;Row=3418&amp;Col=1","No Title Assigned - #15268379236")</f>
        <v/>
      </c>
      <c r="B3426" s="0" t="s">
        <v>4954</v>
      </c>
      <c r="E3426" s="0" t="inlineStr">
        <is>
          <t xml:space="preserve">Mazda</t>
        </is>
      </c>
      <c r="F3426" s="0" t="inlineStr">
        <is>
          <t xml:space="preserve">Mazda</t>
        </is>
      </c>
      <c r="G3426" s="0" t="s">
        <v>171</v>
      </c>
      <c r="H3426" s="5">
        <v>1391.219200</v>
      </c>
    </row>
    <row r="3427" spans="1:9">
      <c r="A3427" s="22" t="str">
        <f>HYPERLINK("https://app.vivvix.com/360/KMI/IntelliDrive/ApplUI/Pages/CreativePages/CustomReportCreativeDetail.aspx?App=23&amp;ReportView=4&amp;Qid=1711279&amp;Row=3419&amp;Col=1","No Title Assigned - #15268380774")</f>
        <v/>
      </c>
      <c r="B3427" s="0" t="s">
        <v>4955</v>
      </c>
      <c r="E3427" s="0" t="inlineStr">
        <is>
          <t xml:space="preserve">Mazda</t>
        </is>
      </c>
      <c r="F3427" s="0" t="inlineStr">
        <is>
          <t xml:space="preserve">Mazda</t>
        </is>
      </c>
      <c r="G3427" s="0" t="s">
        <v>171</v>
      </c>
      <c r="H3427" s="5">
        <v>135.153400</v>
      </c>
    </row>
    <row r="3428" spans="1:9">
      <c r="A3428" s="22" t="str">
        <f>HYPERLINK("https://app.vivvix.com/360/KMI/IntelliDrive/ApplUI/Pages/CreativePages/CustomReportCreativeDetail.aspx?App=23&amp;ReportView=4&amp;Qid=1711279&amp;Row=3420&amp;Col=1","No Title Assigned - #15268381991")</f>
        <v/>
      </c>
      <c r="B3428" s="0" t="s">
        <v>4956</v>
      </c>
      <c r="E3428" s="0" t="inlineStr">
        <is>
          <t xml:space="preserve">Mazda</t>
        </is>
      </c>
      <c r="F3428" s="0" t="inlineStr">
        <is>
          <t xml:space="preserve">Mazda</t>
        </is>
      </c>
      <c r="G3428" s="0" t="s">
        <v>171</v>
      </c>
      <c r="H3428" s="5">
        <v>834.820800</v>
      </c>
    </row>
    <row r="3429" spans="1:9">
      <c r="A3429" s="22" t="str">
        <f>HYPERLINK("https://app.vivvix.com/360/KMI/IntelliDrive/ApplUI/Pages/CreativePages/CustomReportCreativeDetail.aspx?App=23&amp;ReportView=4&amp;Qid=1711279&amp;Row=3421&amp;Col=1","No Title Assigned - #15268382203")</f>
        <v/>
      </c>
      <c r="B3429" s="0" t="s">
        <v>4957</v>
      </c>
      <c r="E3429" s="0" t="inlineStr">
        <is>
          <t xml:space="preserve">Mazda</t>
        </is>
      </c>
      <c r="F3429" s="0" t="inlineStr">
        <is>
          <t xml:space="preserve">Mazda</t>
        </is>
      </c>
      <c r="G3429" s="0" t="s">
        <v>171</v>
      </c>
      <c r="H3429" s="5">
        <v>616.063800</v>
      </c>
    </row>
    <row r="3430" spans="1:9">
      <c r="A3430" s="22" t="str">
        <f>HYPERLINK("https://app.vivvix.com/360/KMI/IntelliDrive/ApplUI/Pages/CreativePages/CustomReportCreativeDetail.aspx?App=23&amp;ReportView=4&amp;Qid=1711279&amp;Row=3422&amp;Col=1","No Title Assigned - #15268382345")</f>
        <v/>
      </c>
      <c r="B3430" s="0" t="s">
        <v>4958</v>
      </c>
      <c r="E3430" s="0" t="inlineStr">
        <is>
          <t xml:space="preserve">Mazda</t>
        </is>
      </c>
      <c r="F3430" s="0" t="inlineStr">
        <is>
          <t xml:space="preserve">Mazda</t>
        </is>
      </c>
      <c r="G3430" s="0" t="s">
        <v>171</v>
      </c>
      <c r="H3430" s="5">
        <v>618.183200</v>
      </c>
    </row>
    <row r="3431" spans="1:9">
      <c r="A3431" s="22" t="str">
        <f>HYPERLINK("https://app.vivvix.com/360/KMI/IntelliDrive/ApplUI/Pages/CreativePages/CustomReportCreativeDetail.aspx?App=23&amp;ReportView=4&amp;Qid=1711279&amp;Row=3423&amp;Col=1","No Title Assigned - #15268382477")</f>
        <v/>
      </c>
      <c r="B3431" s="0" t="s">
        <v>4959</v>
      </c>
      <c r="E3431" s="0" t="inlineStr">
        <is>
          <t xml:space="preserve">Mazda</t>
        </is>
      </c>
      <c r="F3431" s="0" t="inlineStr">
        <is>
          <t xml:space="preserve">Mazda</t>
        </is>
      </c>
      <c r="G3431" s="0" t="s">
        <v>171</v>
      </c>
      <c r="H3431" s="5">
        <v>188.429500</v>
      </c>
    </row>
    <row r="3432" spans="1:9">
      <c r="A3432" s="22" t="str">
        <f>HYPERLINK("https://app.vivvix.com/360/KMI/IntelliDrive/ApplUI/Pages/CreativePages/CustomReportCreativeDetail.aspx?App=23&amp;ReportView=4&amp;Qid=1711279&amp;Row=3424&amp;Col=1","No Title Assigned - #15268383196")</f>
        <v/>
      </c>
      <c r="B3432" s="0" t="s">
        <v>4960</v>
      </c>
      <c r="E3432" s="0" t="inlineStr">
        <is>
          <t xml:space="preserve">Mazda</t>
        </is>
      </c>
      <c r="F3432" s="0" t="inlineStr">
        <is>
          <t xml:space="preserve">Mazda</t>
        </is>
      </c>
      <c r="G3432" s="0" t="s">
        <v>171</v>
      </c>
      <c r="H3432" s="5">
        <v>1226.403200</v>
      </c>
    </row>
    <row r="3433" spans="1:9">
      <c r="A3433" s="22" t="str">
        <f>HYPERLINK("https://app.vivvix.com/360/KMI/IntelliDrive/ApplUI/Pages/CreativePages/CustomReportCreativeDetail.aspx?App=23&amp;ReportView=4&amp;Qid=1711279&amp;Row=3425&amp;Col=1","No Title Assigned - #15268383719")</f>
        <v/>
      </c>
      <c r="B3433" s="0" t="s">
        <v>4961</v>
      </c>
      <c r="E3433" s="0" t="inlineStr">
        <is>
          <t xml:space="preserve">Mazda</t>
        </is>
      </c>
      <c r="F3433" s="0" t="inlineStr">
        <is>
          <t xml:space="preserve">Mazda</t>
        </is>
      </c>
      <c r="G3433" s="0" t="s">
        <v>171</v>
      </c>
      <c r="H3433" s="5">
        <v>53.196300</v>
      </c>
    </row>
    <row r="3434" spans="1:9">
      <c r="A3434" s="22" t="str">
        <f>HYPERLINK("https://app.vivvix.com/360/KMI/IntelliDrive/ApplUI/Pages/CreativePages/CustomReportCreativeDetail.aspx?App=23&amp;ReportView=4&amp;Qid=1711279&amp;Row=3426&amp;Col=1","No Title Assigned - #15268386782")</f>
        <v/>
      </c>
      <c r="B3434" s="0" t="s">
        <v>4962</v>
      </c>
      <c r="E3434" s="0" t="inlineStr">
        <is>
          <t xml:space="preserve">Mazda</t>
        </is>
      </c>
      <c r="F3434" s="0" t="inlineStr">
        <is>
          <t xml:space="preserve">Mazda</t>
        </is>
      </c>
      <c r="G3434" s="0" t="s">
        <v>171</v>
      </c>
      <c r="H3434" s="5">
        <v>4049.773000</v>
      </c>
    </row>
    <row r="3435" spans="1:9">
      <c r="A3435" s="22" t="str">
        <f>HYPERLINK("https://app.vivvix.com/360/KMI/IntelliDrive/ApplUI/Pages/CreativePages/CustomReportCreativeDetail.aspx?App=23&amp;ReportView=4&amp;Qid=1711279&amp;Row=3427&amp;Col=1","No Title Assigned - #15268386782")</f>
        <v/>
      </c>
      <c r="B3435" s="0" t="s">
        <v>4962</v>
      </c>
      <c r="E3435" s="0" t="inlineStr">
        <is>
          <t xml:space="preserve">Mazda</t>
        </is>
      </c>
      <c r="F3435" s="0" t="inlineStr">
        <is>
          <t xml:space="preserve">Mazda</t>
        </is>
      </c>
      <c r="G3435" s="0" t="s">
        <v>171</v>
      </c>
      <c r="H3435" s="5">
        <v>357.923600</v>
      </c>
    </row>
    <row r="3436" spans="1:9">
      <c r="A3436" s="22" t="str">
        <f>HYPERLINK("https://app.vivvix.com/360/KMI/IntelliDrive/ApplUI/Pages/CreativePages/CustomReportCreativeDetail.aspx?App=23&amp;ReportView=4&amp;Qid=1711279&amp;Row=3428&amp;Col=1","No Title Assigned - #15268386887")</f>
        <v/>
      </c>
      <c r="B3436" s="0" t="s">
        <v>4963</v>
      </c>
      <c r="E3436" s="0" t="inlineStr">
        <is>
          <t xml:space="preserve">Mazda</t>
        </is>
      </c>
      <c r="F3436" s="0" t="inlineStr">
        <is>
          <t xml:space="preserve">Mazda</t>
        </is>
      </c>
      <c r="G3436" s="0" t="s">
        <v>171</v>
      </c>
      <c r="H3436" s="5">
        <v>340.807300</v>
      </c>
    </row>
    <row r="3437" spans="1:9">
      <c r="A3437" s="22" t="str">
        <f>HYPERLINK("https://app.vivvix.com/360/KMI/IntelliDrive/ApplUI/Pages/CreativePages/CustomReportCreativeDetail.aspx?App=23&amp;ReportView=4&amp;Qid=1711279&amp;Row=3429&amp;Col=1","No Title Assigned - #15268387157")</f>
        <v/>
      </c>
      <c r="B3437" s="0" t="s">
        <v>4964</v>
      </c>
      <c r="E3437" s="0" t="inlineStr">
        <is>
          <t xml:space="preserve">Mazda</t>
        </is>
      </c>
      <c r="F3437" s="0" t="inlineStr">
        <is>
          <t xml:space="preserve">Mazda</t>
        </is>
      </c>
      <c r="G3437" s="0" t="s">
        <v>171</v>
      </c>
      <c r="H3437" s="5">
        <v>118.814800</v>
      </c>
    </row>
    <row r="3438" spans="1:9">
      <c r="A3438" s="22" t="str">
        <f>HYPERLINK("https://app.vivvix.com/360/KMI/IntelliDrive/ApplUI/Pages/CreativePages/CustomReportCreativeDetail.aspx?App=23&amp;ReportView=4&amp;Qid=1711279&amp;Row=3430&amp;Col=1","No Title Assigned - #15268390619")</f>
        <v/>
      </c>
      <c r="B3438" s="0" t="s">
        <v>4965</v>
      </c>
      <c r="E3438" s="0" t="inlineStr">
        <is>
          <t xml:space="preserve">Mazda</t>
        </is>
      </c>
      <c r="F3438" s="0" t="inlineStr">
        <is>
          <t xml:space="preserve">Mazda</t>
        </is>
      </c>
      <c r="G3438" s="0" t="s">
        <v>171</v>
      </c>
      <c r="H3438" s="5">
        <v>63.400100</v>
      </c>
    </row>
    <row r="3439" spans="1:9">
      <c r="A3439" s="22" t="str">
        <f>HYPERLINK("https://app.vivvix.com/360/KMI/IntelliDrive/ApplUI/Pages/CreativePages/CustomReportCreativeDetail.aspx?App=23&amp;ReportView=4&amp;Qid=1711279&amp;Row=3431&amp;Col=1","No Title Assigned - #15268392559")</f>
        <v/>
      </c>
      <c r="B3439" s="0" t="s">
        <v>4966</v>
      </c>
      <c r="E3439" s="0" t="inlineStr">
        <is>
          <t xml:space="preserve">Mazda</t>
        </is>
      </c>
      <c r="F3439" s="0" t="inlineStr">
        <is>
          <t xml:space="preserve">Mazda</t>
        </is>
      </c>
      <c r="G3439" s="0" t="s">
        <v>171</v>
      </c>
      <c r="H3439" s="5">
        <v>127.928500</v>
      </c>
    </row>
    <row r="3440" spans="1:9">
      <c r="A3440" s="22" t="str">
        <f>HYPERLINK("https://app.vivvix.com/360/KMI/IntelliDrive/ApplUI/Pages/CreativePages/CustomReportCreativeDetail.aspx?App=23&amp;ReportView=4&amp;Qid=1711279&amp;Row=3432&amp;Col=1","No Title Assigned - #15268394402")</f>
        <v/>
      </c>
      <c r="B3440" s="0" t="s">
        <v>4967</v>
      </c>
      <c r="E3440" s="0" t="inlineStr">
        <is>
          <t xml:space="preserve">Mazda</t>
        </is>
      </c>
      <c r="F3440" s="0" t="inlineStr">
        <is>
          <t xml:space="preserve">Mazda</t>
        </is>
      </c>
      <c r="G3440" s="0" t="s">
        <v>171</v>
      </c>
      <c r="H3440" s="5">
        <v>447.861100</v>
      </c>
    </row>
    <row r="3441" spans="1:9">
      <c r="A3441" s="22" t="str">
        <f>HYPERLINK("https://app.vivvix.com/360/KMI/IntelliDrive/ApplUI/Pages/CreativePages/CustomReportCreativeDetail.aspx?App=23&amp;ReportView=4&amp;Qid=1711279&amp;Row=3433&amp;Col=1","No Title Assigned - #15268395590")</f>
        <v/>
      </c>
      <c r="B3441" s="0" t="s">
        <v>4968</v>
      </c>
      <c r="E3441" s="0" t="inlineStr">
        <is>
          <t xml:space="preserve">Mazda</t>
        </is>
      </c>
      <c r="F3441" s="0" t="inlineStr">
        <is>
          <t xml:space="preserve">Mazda</t>
        </is>
      </c>
      <c r="G3441" s="0" t="s">
        <v>171</v>
      </c>
      <c r="H3441" s="5">
        <v>2322.870800</v>
      </c>
    </row>
    <row r="3442" spans="1:9">
      <c r="A3442" s="22" t="str">
        <f>HYPERLINK("https://app.vivvix.com/360/KMI/IntelliDrive/ApplUI/Pages/CreativePages/CustomReportCreativeDetail.aspx?App=23&amp;ReportView=4&amp;Qid=1711279&amp;Row=3434&amp;Col=1","No Title Assigned - #15268395590")</f>
        <v/>
      </c>
      <c r="B3442" s="0" t="s">
        <v>4968</v>
      </c>
      <c r="E3442" s="0" t="inlineStr">
        <is>
          <t xml:space="preserve">Mazda</t>
        </is>
      </c>
      <c r="F3442" s="0" t="inlineStr">
        <is>
          <t xml:space="preserve">Mazda</t>
        </is>
      </c>
      <c r="G3442" s="0" t="s">
        <v>171</v>
      </c>
      <c r="H3442" s="5">
        <v>1519.211200</v>
      </c>
    </row>
    <row r="3443" spans="1:9">
      <c r="A3443" s="22" t="str">
        <f>HYPERLINK("https://app.vivvix.com/360/KMI/IntelliDrive/ApplUI/Pages/CreativePages/CustomReportCreativeDetail.aspx?App=23&amp;ReportView=4&amp;Qid=1711279&amp;Row=3435&amp;Col=1","No Title Assigned - #15268395738")</f>
        <v/>
      </c>
      <c r="B3443" s="0" t="s">
        <v>4969</v>
      </c>
      <c r="E3443" s="0" t="inlineStr">
        <is>
          <t xml:space="preserve">Mazda</t>
        </is>
      </c>
      <c r="F3443" s="0" t="inlineStr">
        <is>
          <t xml:space="preserve">Mazda</t>
        </is>
      </c>
      <c r="G3443" s="0" t="s">
        <v>171</v>
      </c>
      <c r="H3443" s="5">
        <v>312.093700</v>
      </c>
    </row>
    <row r="3444" spans="1:9">
      <c r="A3444" s="22" t="str">
        <f>HYPERLINK("https://app.vivvix.com/360/KMI/IntelliDrive/ApplUI/Pages/CreativePages/CustomReportCreativeDetail.aspx?App=23&amp;ReportView=4&amp;Qid=1711279&amp;Row=3436&amp;Col=1","No Title Assigned - #15268397245")</f>
        <v/>
      </c>
      <c r="B3444" s="0" t="s">
        <v>4970</v>
      </c>
      <c r="E3444" s="0" t="inlineStr">
        <is>
          <t xml:space="preserve">Mazda</t>
        </is>
      </c>
      <c r="F3444" s="0" t="inlineStr">
        <is>
          <t xml:space="preserve">Mazda</t>
        </is>
      </c>
      <c r="G3444" s="0" t="s">
        <v>171</v>
      </c>
      <c r="H3444" s="5">
        <v>670.067000</v>
      </c>
    </row>
    <row r="3445" spans="1:9">
      <c r="A3445" s="22" t="str">
        <f>HYPERLINK("https://app.vivvix.com/360/KMI/IntelliDrive/ApplUI/Pages/CreativePages/CustomReportCreativeDetail.aspx?App=23&amp;ReportView=4&amp;Qid=1711279&amp;Row=3437&amp;Col=1","No Title Assigned - #15268398413")</f>
        <v/>
      </c>
      <c r="B3445" s="0" t="s">
        <v>4971</v>
      </c>
      <c r="E3445" s="0" t="inlineStr">
        <is>
          <t xml:space="preserve">Mazda</t>
        </is>
      </c>
      <c r="F3445" s="0" t="inlineStr">
        <is>
          <t xml:space="preserve">Mazda</t>
        </is>
      </c>
      <c r="G3445" s="0" t="s">
        <v>171</v>
      </c>
      <c r="H3445" s="5">
        <v>38.707400</v>
      </c>
    </row>
    <row r="3446" spans="1:9">
      <c r="A3446" s="22" t="str">
        <f>HYPERLINK("https://app.vivvix.com/360/KMI/IntelliDrive/ApplUI/Pages/CreativePages/CustomReportCreativeDetail.aspx?App=23&amp;ReportView=4&amp;Qid=1711279&amp;Row=3438&amp;Col=1","No Title Assigned - #15268398959")</f>
        <v/>
      </c>
      <c r="B3446" s="0" t="s">
        <v>4972</v>
      </c>
      <c r="E3446" s="0" t="inlineStr">
        <is>
          <t xml:space="preserve">Mazda</t>
        </is>
      </c>
      <c r="F3446" s="0" t="inlineStr">
        <is>
          <t xml:space="preserve">Mazda</t>
        </is>
      </c>
      <c r="G3446" s="0" t="s">
        <v>171</v>
      </c>
      <c r="H3446" s="5">
        <v>665.383500</v>
      </c>
    </row>
    <row r="3447" spans="1:9">
      <c r="A3447" s="22" t="str">
        <f>HYPERLINK("https://app.vivvix.com/360/KMI/IntelliDrive/ApplUI/Pages/CreativePages/CustomReportCreativeDetail.aspx?App=23&amp;ReportView=4&amp;Qid=1711279&amp;Row=3439&amp;Col=1","No Title Assigned - #15268399203")</f>
        <v/>
      </c>
      <c r="B3447" s="0" t="s">
        <v>4973</v>
      </c>
      <c r="C3447" s="0" t="s">
        <v>4974</v>
      </c>
      <c r="D3447" s="0" t="s">
        <v>4974</v>
      </c>
      <c r="E3447" s="0" t="inlineStr">
        <is>
          <t xml:space="preserve">Mazda</t>
        </is>
      </c>
      <c r="F3447" s="0" t="inlineStr">
        <is>
          <t xml:space="preserve">Mazda</t>
        </is>
      </c>
      <c r="G3447" s="0" t="s">
        <v>171</v>
      </c>
      <c r="H3447" s="5">
        <v>993.080000</v>
      </c>
    </row>
    <row r="3448" spans="1:9">
      <c r="A3448" s="22" t="str">
        <f>HYPERLINK("https://app.vivvix.com/360/KMI/IntelliDrive/ApplUI/Pages/CreativePages/CustomReportCreativeDetail.aspx?App=23&amp;ReportView=4&amp;Qid=1711279&amp;Row=3440&amp;Col=1","No Title Assigned - #15268406111")</f>
        <v/>
      </c>
      <c r="B3448" s="0" t="s">
        <v>4975</v>
      </c>
      <c r="E3448" s="0" t="inlineStr">
        <is>
          <t xml:space="preserve">Mazda</t>
        </is>
      </c>
      <c r="F3448" s="0" t="inlineStr">
        <is>
          <t xml:space="preserve">Mazda</t>
        </is>
      </c>
      <c r="G3448" s="0" t="s">
        <v>171</v>
      </c>
      <c r="H3448" s="5">
        <v>109.735800</v>
      </c>
    </row>
    <row r="3449" spans="1:9">
      <c r="A3449" s="22" t="str">
        <f>HYPERLINK("https://app.vivvix.com/360/KMI/IntelliDrive/ApplUI/Pages/CreativePages/CustomReportCreativeDetail.aspx?App=23&amp;ReportView=4&amp;Qid=1711279&amp;Row=3441&amp;Col=1","No Title Assigned - #15268408659")</f>
        <v/>
      </c>
      <c r="B3449" s="0" t="s">
        <v>4976</v>
      </c>
      <c r="E3449" s="0" t="inlineStr">
        <is>
          <t xml:space="preserve">Mazda</t>
        </is>
      </c>
      <c r="F3449" s="0" t="inlineStr">
        <is>
          <t xml:space="preserve">Mazda</t>
        </is>
      </c>
      <c r="G3449" s="0" t="s">
        <v>171</v>
      </c>
      <c r="H3449" s="5">
        <v>181.772300</v>
      </c>
    </row>
    <row r="3450" spans="1:9">
      <c r="A3450" s="22" t="str">
        <f>HYPERLINK("https://app.vivvix.com/360/KMI/IntelliDrive/ApplUI/Pages/CreativePages/CustomReportCreativeDetail.aspx?App=23&amp;ReportView=4&amp;Qid=1711279&amp;Row=3442&amp;Col=1","No Title Assigned - #15268408694")</f>
        <v/>
      </c>
      <c r="B3450" s="0" t="s">
        <v>4977</v>
      </c>
      <c r="E3450" s="0" t="inlineStr">
        <is>
          <t xml:space="preserve">Mazda</t>
        </is>
      </c>
      <c r="F3450" s="0" t="inlineStr">
        <is>
          <t xml:space="preserve">Mazda</t>
        </is>
      </c>
      <c r="G3450" s="0" t="s">
        <v>171</v>
      </c>
      <c r="H3450" s="5">
        <v>1314.531600</v>
      </c>
    </row>
    <row r="3451" spans="1:9">
      <c r="A3451" s="22" t="str">
        <f>HYPERLINK("https://app.vivvix.com/360/KMI/IntelliDrive/ApplUI/Pages/CreativePages/CustomReportCreativeDetail.aspx?App=23&amp;ReportView=4&amp;Qid=1711279&amp;Row=3443&amp;Col=1","No Title Assigned - #15268410388")</f>
        <v/>
      </c>
      <c r="B3451" s="0" t="s">
        <v>4978</v>
      </c>
      <c r="C3451" s="0" t="s">
        <v>4979</v>
      </c>
      <c r="D3451" s="0" t="s">
        <v>4979</v>
      </c>
      <c r="E3451" s="0" t="inlineStr">
        <is>
          <t xml:space="preserve">Mazda</t>
        </is>
      </c>
      <c r="F3451" s="0" t="inlineStr">
        <is>
          <t xml:space="preserve">Mazda</t>
        </is>
      </c>
      <c r="G3451" s="0" t="s">
        <v>171</v>
      </c>
      <c r="H3451" s="5">
        <v>534.183900</v>
      </c>
    </row>
    <row r="3452" spans="1:9">
      <c r="A3452" s="22" t="str">
        <f>HYPERLINK("https://app.vivvix.com/360/KMI/IntelliDrive/ApplUI/Pages/CreativePages/CustomReportCreativeDetail.aspx?App=23&amp;ReportView=4&amp;Qid=1711279&amp;Row=3444&amp;Col=1","No Title Assigned - #15268416474")</f>
        <v/>
      </c>
      <c r="B3452" s="0" t="s">
        <v>4980</v>
      </c>
      <c r="E3452" s="0" t="inlineStr">
        <is>
          <t xml:space="preserve">Mazda</t>
        </is>
      </c>
      <c r="F3452" s="0" t="inlineStr">
        <is>
          <t xml:space="preserve">Mazda</t>
        </is>
      </c>
      <c r="G3452" s="0" t="s">
        <v>171</v>
      </c>
      <c r="H3452" s="5">
        <v>869.638800</v>
      </c>
    </row>
    <row r="3453" spans="1:9">
      <c r="A3453" s="22" t="str">
        <f>HYPERLINK("https://app.vivvix.com/360/KMI/IntelliDrive/ApplUI/Pages/CreativePages/CustomReportCreativeDetail.aspx?App=23&amp;ReportView=4&amp;Qid=1711279&amp;Row=3445&amp;Col=1","No Title Assigned - #15268416474")</f>
        <v/>
      </c>
      <c r="B3453" s="0" t="s">
        <v>4980</v>
      </c>
      <c r="E3453" s="0" t="inlineStr">
        <is>
          <t xml:space="preserve">Mazda</t>
        </is>
      </c>
      <c r="F3453" s="0" t="inlineStr">
        <is>
          <t xml:space="preserve">Mazda</t>
        </is>
      </c>
      <c r="G3453" s="0" t="s">
        <v>171</v>
      </c>
      <c r="H3453" s="5">
        <v>46.730800</v>
      </c>
    </row>
    <row r="3454" spans="1:9">
      <c r="A3454" s="22" t="str">
        <f>HYPERLINK("https://app.vivvix.com/360/KMI/IntelliDrive/ApplUI/Pages/CreativePages/CustomReportCreativeDetail.aspx?App=23&amp;ReportView=4&amp;Qid=1711279&amp;Row=3446&amp;Col=1","No Title Assigned - #15268417186")</f>
        <v/>
      </c>
      <c r="B3454" s="0" t="s">
        <v>4981</v>
      </c>
      <c r="C3454" s="0" t="s">
        <v>4982</v>
      </c>
      <c r="D3454" s="0" t="s">
        <v>4982</v>
      </c>
      <c r="E3454" s="0" t="inlineStr">
        <is>
          <t xml:space="preserve">Mazda</t>
        </is>
      </c>
      <c r="F3454" s="0" t="inlineStr">
        <is>
          <t xml:space="preserve">Mazda</t>
        </is>
      </c>
      <c r="G3454" s="0" t="s">
        <v>171</v>
      </c>
      <c r="H3454" s="5">
        <v>149.050600</v>
      </c>
    </row>
    <row r="3455" spans="1:9">
      <c r="A3455" s="22" t="str">
        <f>HYPERLINK("https://app.vivvix.com/360/KMI/IntelliDrive/ApplUI/Pages/CreativePages/CustomReportCreativeDetail.aspx?App=23&amp;ReportView=4&amp;Qid=1711279&amp;Row=3447&amp;Col=1","No Title Assigned - #15268420485")</f>
        <v/>
      </c>
      <c r="B3455" s="0" t="s">
        <v>4983</v>
      </c>
      <c r="E3455" s="0" t="inlineStr">
        <is>
          <t xml:space="preserve">Mazda</t>
        </is>
      </c>
      <c r="F3455" s="0" t="inlineStr">
        <is>
          <t xml:space="preserve">Mazda</t>
        </is>
      </c>
      <c r="G3455" s="0" t="s">
        <v>171</v>
      </c>
      <c r="H3455" s="5">
        <v>493.267100</v>
      </c>
    </row>
    <row r="3456" spans="1:9">
      <c r="A3456" s="22" t="str">
        <f>HYPERLINK("https://app.vivvix.com/360/KMI/IntelliDrive/ApplUI/Pages/CreativePages/CustomReportCreativeDetail.aspx?App=23&amp;ReportView=4&amp;Qid=1711279&amp;Row=3448&amp;Col=1","No Title Assigned - #15268420890")</f>
        <v/>
      </c>
      <c r="B3456" s="0" t="s">
        <v>4984</v>
      </c>
      <c r="E3456" s="0" t="inlineStr">
        <is>
          <t xml:space="preserve">Mazda</t>
        </is>
      </c>
      <c r="F3456" s="0" t="inlineStr">
        <is>
          <t xml:space="preserve">Mazda</t>
        </is>
      </c>
      <c r="G3456" s="0" t="s">
        <v>171</v>
      </c>
      <c r="H3456" s="5">
        <v>2604.881100</v>
      </c>
    </row>
    <row r="3457" spans="1:9">
      <c r="A3457" s="22" t="str">
        <f>HYPERLINK("https://app.vivvix.com/360/KMI/IntelliDrive/ApplUI/Pages/CreativePages/CustomReportCreativeDetail.aspx?App=23&amp;ReportView=4&amp;Qid=1711279&amp;Row=3449&amp;Col=1","No Title Assigned - #15268420890")</f>
        <v/>
      </c>
      <c r="B3457" s="0" t="s">
        <v>4984</v>
      </c>
      <c r="E3457" s="0" t="inlineStr">
        <is>
          <t xml:space="preserve">Mazda</t>
        </is>
      </c>
      <c r="F3457" s="0" t="inlineStr">
        <is>
          <t xml:space="preserve">Mazda</t>
        </is>
      </c>
      <c r="G3457" s="0" t="s">
        <v>171</v>
      </c>
      <c r="H3457" s="5">
        <v>5.926900</v>
      </c>
    </row>
    <row r="3458" spans="1:9">
      <c r="A3458" s="22" t="str">
        <f>HYPERLINK("https://app.vivvix.com/360/KMI/IntelliDrive/ApplUI/Pages/CreativePages/CustomReportCreativeDetail.aspx?App=23&amp;ReportView=4&amp;Qid=1711279&amp;Row=3450&amp;Col=1","No Title Assigned - #15268421963")</f>
        <v/>
      </c>
      <c r="B3458" s="0" t="s">
        <v>4985</v>
      </c>
      <c r="E3458" s="0" t="inlineStr">
        <is>
          <t xml:space="preserve">Mazda</t>
        </is>
      </c>
      <c r="F3458" s="0" t="inlineStr">
        <is>
          <t xml:space="preserve">Mazda</t>
        </is>
      </c>
      <c r="G3458" s="0" t="s">
        <v>171</v>
      </c>
      <c r="H3458" s="5">
        <v>1132.584000</v>
      </c>
    </row>
    <row r="3459" spans="1:9">
      <c r="A3459" s="22" t="str">
        <f>HYPERLINK("https://app.vivvix.com/360/KMI/IntelliDrive/ApplUI/Pages/CreativePages/CustomReportCreativeDetail.aspx?App=23&amp;ReportView=4&amp;Qid=1711279&amp;Row=3451&amp;Col=1","No Title Assigned - #15268422673")</f>
        <v/>
      </c>
      <c r="B3459" s="0" t="s">
        <v>4986</v>
      </c>
      <c r="E3459" s="0" t="inlineStr">
        <is>
          <t xml:space="preserve">Mazda</t>
        </is>
      </c>
      <c r="F3459" s="0" t="s">
        <v>21</v>
      </c>
      <c r="G3459" s="0" t="s">
        <v>22</v>
      </c>
      <c r="H3459" s="5">
        <v>700.309300</v>
      </c>
    </row>
    <row r="3460" spans="1:9">
      <c r="A3460" s="22" t="str">
        <f>HYPERLINK("https://app.vivvix.com/360/KMI/IntelliDrive/ApplUI/Pages/CreativePages/CustomReportCreativeDetail.aspx?App=23&amp;ReportView=4&amp;Qid=1711279&amp;Row=3452&amp;Col=1","No Title Assigned - #15268422726")</f>
        <v/>
      </c>
      <c r="B3460" s="0" t="s">
        <v>4987</v>
      </c>
      <c r="E3460" s="0" t="inlineStr">
        <is>
          <t xml:space="preserve">Mazda</t>
        </is>
      </c>
      <c r="F3460" s="0" t="inlineStr">
        <is>
          <t xml:space="preserve">Mazda</t>
        </is>
      </c>
      <c r="G3460" s="0" t="s">
        <v>171</v>
      </c>
      <c r="H3460" s="5">
        <v>1739.374800</v>
      </c>
    </row>
    <row r="3461" spans="1:9">
      <c r="A3461" s="22" t="str">
        <f>HYPERLINK("https://app.vivvix.com/360/KMI/IntelliDrive/ApplUI/Pages/CreativePages/CustomReportCreativeDetail.aspx?App=23&amp;ReportView=4&amp;Qid=1711279&amp;Row=3453&amp;Col=1","No Title Assigned - #15268422742")</f>
        <v/>
      </c>
      <c r="B3461" s="0" t="s">
        <v>4988</v>
      </c>
      <c r="E3461" s="0" t="inlineStr">
        <is>
          <t xml:space="preserve">Mazda</t>
        </is>
      </c>
      <c r="F3461" s="0" t="inlineStr">
        <is>
          <t xml:space="preserve">Mazda</t>
        </is>
      </c>
      <c r="G3461" s="0" t="s">
        <v>171</v>
      </c>
      <c r="H3461" s="5">
        <v>207.514600</v>
      </c>
    </row>
    <row r="3462" spans="1:9">
      <c r="A3462" s="22" t="str">
        <f>HYPERLINK("https://app.vivvix.com/360/KMI/IntelliDrive/ApplUI/Pages/CreativePages/CustomReportCreativeDetail.aspx?App=23&amp;ReportView=4&amp;Qid=1711279&amp;Row=3454&amp;Col=1","No Title Assigned - #15268423084")</f>
        <v/>
      </c>
      <c r="B3462" s="0" t="s">
        <v>4989</v>
      </c>
      <c r="C3462" s="0" t="s">
        <v>4990</v>
      </c>
      <c r="D3462" s="0" t="s">
        <v>4990</v>
      </c>
      <c r="E3462" s="0" t="inlineStr">
        <is>
          <t xml:space="preserve">Mazda</t>
        </is>
      </c>
      <c r="F3462" s="0" t="inlineStr">
        <is>
          <t xml:space="preserve">Mazda</t>
        </is>
      </c>
      <c r="G3462" s="0" t="s">
        <v>171</v>
      </c>
      <c r="H3462" s="5">
        <v>4164.296600</v>
      </c>
    </row>
    <row r="3463" spans="1:9">
      <c r="A3463" s="22" t="str">
        <f>HYPERLINK("https://app.vivvix.com/360/KMI/IntelliDrive/ApplUI/Pages/CreativePages/CustomReportCreativeDetail.aspx?App=23&amp;ReportView=4&amp;Qid=1711279&amp;Row=3455&amp;Col=1","No Title Assigned - #15268423084")</f>
        <v/>
      </c>
      <c r="B3463" s="0" t="s">
        <v>4989</v>
      </c>
      <c r="E3463" s="0" t="inlineStr">
        <is>
          <t xml:space="preserve">Mazda</t>
        </is>
      </c>
      <c r="F3463" s="0" t="inlineStr">
        <is>
          <t xml:space="preserve">Mazda</t>
        </is>
      </c>
      <c r="G3463" s="0" t="s">
        <v>171</v>
      </c>
      <c r="H3463" s="5">
        <v>10953.937600</v>
      </c>
    </row>
    <row r="3464" spans="1:9">
      <c r="A3464" s="22" t="str">
        <f>HYPERLINK("https://app.vivvix.com/360/KMI/IntelliDrive/ApplUI/Pages/CreativePages/CustomReportCreativeDetail.aspx?App=23&amp;ReportView=4&amp;Qid=1711279&amp;Row=3456&amp;Col=1","No Title Assigned - #15268423947")</f>
        <v/>
      </c>
      <c r="B3464" s="0" t="s">
        <v>4991</v>
      </c>
      <c r="C3464" s="0" t="s">
        <v>4992</v>
      </c>
      <c r="D3464" s="0" t="s">
        <v>4992</v>
      </c>
      <c r="E3464" s="0" t="inlineStr">
        <is>
          <t xml:space="preserve">Mazda</t>
        </is>
      </c>
      <c r="F3464" s="0" t="inlineStr">
        <is>
          <t xml:space="preserve">Mazda</t>
        </is>
      </c>
      <c r="G3464" s="0" t="s">
        <v>171</v>
      </c>
      <c r="H3464" s="5">
        <v>1023.095700</v>
      </c>
    </row>
    <row r="3465" spans="1:9">
      <c r="A3465" s="22" t="str">
        <f>HYPERLINK("https://app.vivvix.com/360/KMI/IntelliDrive/ApplUI/Pages/CreativePages/CustomReportCreativeDetail.aspx?App=23&amp;ReportView=4&amp;Qid=1711279&amp;Row=3457&amp;Col=1","No Title Assigned - #15268424034")</f>
        <v/>
      </c>
      <c r="B3465" s="0" t="s">
        <v>4993</v>
      </c>
      <c r="E3465" s="0" t="inlineStr">
        <is>
          <t xml:space="preserve">Mazda</t>
        </is>
      </c>
      <c r="F3465" s="0" t="inlineStr">
        <is>
          <t xml:space="preserve">Mazda</t>
        </is>
      </c>
      <c r="G3465" s="0" t="s">
        <v>171</v>
      </c>
      <c r="H3465" s="5">
        <v>215.639000</v>
      </c>
    </row>
    <row r="3466" spans="1:9">
      <c r="A3466" s="22" t="str">
        <f>HYPERLINK("https://app.vivvix.com/360/KMI/IntelliDrive/ApplUI/Pages/CreativePages/CustomReportCreativeDetail.aspx?App=23&amp;ReportView=4&amp;Qid=1711279&amp;Row=3458&amp;Col=1","No Title Assigned - #15268425617")</f>
        <v/>
      </c>
      <c r="B3466" s="0" t="s">
        <v>4994</v>
      </c>
      <c r="E3466" s="0" t="inlineStr">
        <is>
          <t xml:space="preserve">Mazda</t>
        </is>
      </c>
      <c r="F3466" s="0" t="inlineStr">
        <is>
          <t xml:space="preserve">Mazda</t>
        </is>
      </c>
      <c r="G3466" s="0" t="s">
        <v>171</v>
      </c>
      <c r="H3466" s="5">
        <v>75.136500</v>
      </c>
    </row>
    <row r="3467" spans="1:9">
      <c r="A3467" s="22" t="str">
        <f>HYPERLINK("https://app.vivvix.com/360/KMI/IntelliDrive/ApplUI/Pages/CreativePages/CustomReportCreativeDetail.aspx?App=23&amp;ReportView=4&amp;Qid=1711279&amp;Row=3459&amp;Col=1","No Title Assigned - #15268426868")</f>
        <v/>
      </c>
      <c r="B3467" s="0" t="s">
        <v>4995</v>
      </c>
      <c r="E3467" s="0" t="inlineStr">
        <is>
          <t xml:space="preserve">Mazda</t>
        </is>
      </c>
      <c r="F3467" s="0" t="inlineStr">
        <is>
          <t xml:space="preserve">Mazda</t>
        </is>
      </c>
      <c r="G3467" s="0" t="s">
        <v>171</v>
      </c>
      <c r="H3467" s="5">
        <v>880.700800</v>
      </c>
    </row>
    <row r="3468" spans="1:9">
      <c r="A3468" s="22" t="str">
        <f>HYPERLINK("https://app.vivvix.com/360/KMI/IntelliDrive/ApplUI/Pages/CreativePages/CustomReportCreativeDetail.aspx?App=23&amp;ReportView=4&amp;Qid=1711279&amp;Row=3460&amp;Col=1","No Title Assigned - #15268427333")</f>
        <v/>
      </c>
      <c r="B3468" s="0" t="s">
        <v>4996</v>
      </c>
      <c r="C3468" s="0" t="s">
        <v>4997</v>
      </c>
      <c r="D3468" s="0" t="s">
        <v>4997</v>
      </c>
      <c r="E3468" s="0" t="inlineStr">
        <is>
          <t xml:space="preserve">Mazda</t>
        </is>
      </c>
      <c r="F3468" s="0" t="inlineStr">
        <is>
          <t xml:space="preserve">Mazda</t>
        </is>
      </c>
      <c r="G3468" s="0" t="s">
        <v>171</v>
      </c>
      <c r="H3468" s="5">
        <v>8488.514900</v>
      </c>
    </row>
    <row r="3469" spans="1:9">
      <c r="A3469" s="22" t="str">
        <f>HYPERLINK("https://app.vivvix.com/360/KMI/IntelliDrive/ApplUI/Pages/CreativePages/CustomReportCreativeDetail.aspx?App=23&amp;ReportView=4&amp;Qid=1711279&amp;Row=3461&amp;Col=1","No Title Assigned - #15268427333")</f>
        <v/>
      </c>
      <c r="B3469" s="0" t="s">
        <v>4996</v>
      </c>
      <c r="E3469" s="0" t="inlineStr">
        <is>
          <t xml:space="preserve">Mazda</t>
        </is>
      </c>
      <c r="F3469" s="0" t="inlineStr">
        <is>
          <t xml:space="preserve">Mazda</t>
        </is>
      </c>
      <c r="G3469" s="0" t="s">
        <v>171</v>
      </c>
      <c r="H3469" s="5">
        <v>9009.931600</v>
      </c>
    </row>
    <row r="3470" spans="1:9">
      <c r="A3470" s="22" t="str">
        <f>HYPERLINK("https://app.vivvix.com/360/KMI/IntelliDrive/ApplUI/Pages/CreativePages/CustomReportCreativeDetail.aspx?App=23&amp;ReportView=4&amp;Qid=1711279&amp;Row=3462&amp;Col=1","No Title Assigned - #15268431288")</f>
        <v/>
      </c>
      <c r="B3470" s="0" t="s">
        <v>4998</v>
      </c>
      <c r="E3470" s="0" t="inlineStr">
        <is>
          <t xml:space="preserve">Mazda</t>
        </is>
      </c>
      <c r="F3470" s="0" t="inlineStr">
        <is>
          <t xml:space="preserve">Mazda</t>
        </is>
      </c>
      <c r="G3470" s="0" t="s">
        <v>171</v>
      </c>
      <c r="H3470" s="5">
        <v>470.407300</v>
      </c>
    </row>
    <row r="3471" spans="1:9">
      <c r="A3471" s="22" t="str">
        <f>HYPERLINK("https://app.vivvix.com/360/KMI/IntelliDrive/ApplUI/Pages/CreativePages/CustomReportCreativeDetail.aspx?App=23&amp;ReportView=4&amp;Qid=1711279&amp;Row=3463&amp;Col=1","No Title Assigned - #15268431435")</f>
        <v/>
      </c>
      <c r="B3471" s="0" t="s">
        <v>4999</v>
      </c>
      <c r="E3471" s="0" t="inlineStr">
        <is>
          <t xml:space="preserve">Mazda</t>
        </is>
      </c>
      <c r="F3471" s="0" t="inlineStr">
        <is>
          <t xml:space="preserve">Mazda</t>
        </is>
      </c>
      <c r="G3471" s="0" t="s">
        <v>171</v>
      </c>
      <c r="H3471" s="5">
        <v>251.499900</v>
      </c>
    </row>
    <row r="3472" spans="1:9">
      <c r="A3472" s="22" t="str">
        <f>HYPERLINK("https://app.vivvix.com/360/KMI/IntelliDrive/ApplUI/Pages/CreativePages/CustomReportCreativeDetail.aspx?App=23&amp;ReportView=4&amp;Qid=1711279&amp;Row=3464&amp;Col=1","No Title Assigned - #15268431436")</f>
        <v/>
      </c>
      <c r="B3472" s="0" t="s">
        <v>5000</v>
      </c>
      <c r="E3472" s="0" t="inlineStr">
        <is>
          <t xml:space="preserve">Mazda</t>
        </is>
      </c>
      <c r="F3472" s="0" t="inlineStr">
        <is>
          <t xml:space="preserve">Mazda</t>
        </is>
      </c>
      <c r="G3472" s="0" t="s">
        <v>171</v>
      </c>
      <c r="H3472" s="5">
        <v>209.275500</v>
      </c>
    </row>
    <row r="3473" spans="1:9">
      <c r="A3473" s="22" t="str">
        <f>HYPERLINK("https://app.vivvix.com/360/KMI/IntelliDrive/ApplUI/Pages/CreativePages/CustomReportCreativeDetail.aspx?App=23&amp;ReportView=4&amp;Qid=1711279&amp;Row=3465&amp;Col=1","No Title Assigned - #15268431862")</f>
        <v/>
      </c>
      <c r="B3473" s="0" t="s">
        <v>5001</v>
      </c>
      <c r="E3473" s="0" t="inlineStr">
        <is>
          <t xml:space="preserve">Mazda</t>
        </is>
      </c>
      <c r="F3473" s="0" t="inlineStr">
        <is>
          <t xml:space="preserve">Mazda</t>
        </is>
      </c>
      <c r="G3473" s="0" t="s">
        <v>171</v>
      </c>
      <c r="H3473" s="5">
        <v>219.465100</v>
      </c>
    </row>
    <row r="3474" spans="1:9">
      <c r="A3474" s="22" t="str">
        <f>HYPERLINK("https://app.vivvix.com/360/KMI/IntelliDrive/ApplUI/Pages/CreativePages/CustomReportCreativeDetail.aspx?App=23&amp;ReportView=4&amp;Qid=1711279&amp;Row=3466&amp;Col=1","No Title Assigned - #15268432568")</f>
        <v/>
      </c>
      <c r="B3474" s="0" t="s">
        <v>5002</v>
      </c>
      <c r="E3474" s="0" t="inlineStr">
        <is>
          <t xml:space="preserve">Mazda</t>
        </is>
      </c>
      <c r="F3474" s="0" t="inlineStr">
        <is>
          <t xml:space="preserve">Mazda</t>
        </is>
      </c>
      <c r="G3474" s="0" t="s">
        <v>171</v>
      </c>
      <c r="H3474" s="5">
        <v>4978.077400</v>
      </c>
    </row>
    <row r="3475" spans="1:9">
      <c r="A3475" s="22" t="str">
        <f>HYPERLINK("https://app.vivvix.com/360/KMI/IntelliDrive/ApplUI/Pages/CreativePages/CustomReportCreativeDetail.aspx?App=23&amp;ReportView=4&amp;Qid=1711279&amp;Row=3467&amp;Col=1","No Title Assigned - #15268432568")</f>
        <v/>
      </c>
      <c r="B3475" s="0" t="s">
        <v>5002</v>
      </c>
      <c r="E3475" s="0" t="inlineStr">
        <is>
          <t xml:space="preserve">Mazda</t>
        </is>
      </c>
      <c r="F3475" s="0" t="inlineStr">
        <is>
          <t xml:space="preserve">Mazda</t>
        </is>
      </c>
      <c r="G3475" s="0" t="s">
        <v>171</v>
      </c>
      <c r="H3475" s="5">
        <v>93.267900</v>
      </c>
    </row>
    <row r="3476" spans="1:9">
      <c r="A3476" s="22" t="str">
        <f>HYPERLINK("https://app.vivvix.com/360/KMI/IntelliDrive/ApplUI/Pages/CreativePages/CustomReportCreativeDetail.aspx?App=23&amp;ReportView=4&amp;Qid=1711279&amp;Row=3468&amp;Col=1","No Title Assigned - #15268432922")</f>
        <v/>
      </c>
      <c r="B3476" s="0" t="s">
        <v>5003</v>
      </c>
      <c r="C3476" s="0" t="s">
        <v>5004</v>
      </c>
      <c r="D3476" s="0" t="s">
        <v>5004</v>
      </c>
      <c r="E3476" s="0" t="inlineStr">
        <is>
          <t xml:space="preserve">Mazda</t>
        </is>
      </c>
      <c r="F3476" s="0" t="inlineStr">
        <is>
          <t xml:space="preserve">Mazda</t>
        </is>
      </c>
      <c r="G3476" s="0" t="s">
        <v>171</v>
      </c>
      <c r="H3476" s="5">
        <v>9561.297100</v>
      </c>
    </row>
    <row r="3477" spans="1:9">
      <c r="A3477" s="22" t="str">
        <f>HYPERLINK("https://app.vivvix.com/360/KMI/IntelliDrive/ApplUI/Pages/CreativePages/CustomReportCreativeDetail.aspx?App=23&amp;ReportView=4&amp;Qid=1711279&amp;Row=3469&amp;Col=1","No Title Assigned - #15268432922")</f>
        <v/>
      </c>
      <c r="B3477" s="0" t="s">
        <v>5003</v>
      </c>
      <c r="E3477" s="0" t="inlineStr">
        <is>
          <t xml:space="preserve">Mazda</t>
        </is>
      </c>
      <c r="F3477" s="0" t="inlineStr">
        <is>
          <t xml:space="preserve">Mazda</t>
        </is>
      </c>
      <c r="G3477" s="0" t="s">
        <v>171</v>
      </c>
      <c r="H3477" s="5">
        <v>1873.360100</v>
      </c>
    </row>
    <row r="3478" spans="1:9">
      <c r="A3478" s="22" t="str">
        <f>HYPERLINK("https://app.vivvix.com/360/KMI/IntelliDrive/ApplUI/Pages/CreativePages/CustomReportCreativeDetail.aspx?App=23&amp;ReportView=4&amp;Qid=1711279&amp;Row=3470&amp;Col=1","No Title Assigned - #15268433368")</f>
        <v/>
      </c>
      <c r="B3478" s="0" t="s">
        <v>5005</v>
      </c>
      <c r="E3478" s="0" t="inlineStr">
        <is>
          <t xml:space="preserve">Mazda</t>
        </is>
      </c>
      <c r="F3478" s="0" t="inlineStr">
        <is>
          <t xml:space="preserve">Mazda</t>
        </is>
      </c>
      <c r="G3478" s="0" t="s">
        <v>171</v>
      </c>
      <c r="H3478" s="5">
        <v>78.873700</v>
      </c>
    </row>
    <row r="3479" spans="1:9">
      <c r="A3479" s="22" t="str">
        <f>HYPERLINK("https://app.vivvix.com/360/KMI/IntelliDrive/ApplUI/Pages/CreativePages/CustomReportCreativeDetail.aspx?App=23&amp;ReportView=4&amp;Qid=1711279&amp;Row=3471&amp;Col=1","No Title Assigned - #15268433945")</f>
        <v/>
      </c>
      <c r="B3479" s="0" t="s">
        <v>5006</v>
      </c>
      <c r="C3479" s="0" t="s">
        <v>5007</v>
      </c>
      <c r="D3479" s="0" t="s">
        <v>5007</v>
      </c>
      <c r="E3479" s="0" t="inlineStr">
        <is>
          <t xml:space="preserve">Mazda</t>
        </is>
      </c>
      <c r="F3479" s="0" t="s">
        <v>28</v>
      </c>
      <c r="G3479" s="0" t="s">
        <v>29</v>
      </c>
      <c r="H3479" s="5">
        <v>2200.660500</v>
      </c>
    </row>
    <row r="3480" spans="1:9">
      <c r="A3480" s="22" t="str">
        <f>HYPERLINK("https://app.vivvix.com/360/KMI/IntelliDrive/ApplUI/Pages/CreativePages/CustomReportCreativeDetail.aspx?App=23&amp;ReportView=4&amp;Qid=1711279&amp;Row=3472&amp;Col=1","No Title Assigned - #15268434925")</f>
        <v/>
      </c>
      <c r="B3480" s="0" t="s">
        <v>5008</v>
      </c>
      <c r="C3480" s="0" t="s">
        <v>5009</v>
      </c>
      <c r="D3480" s="0" t="s">
        <v>5009</v>
      </c>
      <c r="E3480" s="0" t="inlineStr">
        <is>
          <t xml:space="preserve">Mazda</t>
        </is>
      </c>
      <c r="F3480" s="0" t="s">
        <v>28</v>
      </c>
      <c r="G3480" s="0" t="s">
        <v>29</v>
      </c>
      <c r="H3480" s="5">
        <v>4310.038000</v>
      </c>
    </row>
    <row r="3481" spans="1:9">
      <c r="A3481" s="22" t="str">
        <f>HYPERLINK("https://app.vivvix.com/360/KMI/IntelliDrive/ApplUI/Pages/CreativePages/CustomReportCreativeDetail.aspx?App=23&amp;ReportView=4&amp;Qid=1711279&amp;Row=3473&amp;Col=1","No Title Assigned - #15268435210")</f>
        <v/>
      </c>
      <c r="B3481" s="0" t="s">
        <v>5010</v>
      </c>
      <c r="C3481" s="0" t="s">
        <v>5011</v>
      </c>
      <c r="D3481" s="0" t="s">
        <v>5011</v>
      </c>
      <c r="E3481" s="0" t="inlineStr">
        <is>
          <t xml:space="preserve">Mazda</t>
        </is>
      </c>
      <c r="F3481" s="0" t="s">
        <v>28</v>
      </c>
      <c r="G3481" s="0" t="s">
        <v>29</v>
      </c>
      <c r="H3481" s="5">
        <v>793.326200</v>
      </c>
    </row>
    <row r="3482" spans="1:9">
      <c r="A3482" s="22" t="str">
        <f>HYPERLINK("https://app.vivvix.com/360/KMI/IntelliDrive/ApplUI/Pages/CreativePages/CustomReportCreativeDetail.aspx?App=23&amp;ReportView=4&amp;Qid=1711279&amp;Row=3474&amp;Col=1","No Title Assigned - #15268436046")</f>
        <v/>
      </c>
      <c r="B3482" s="0" t="s">
        <v>5012</v>
      </c>
      <c r="C3482" s="0" t="s">
        <v>5013</v>
      </c>
      <c r="D3482" s="0" t="s">
        <v>5013</v>
      </c>
      <c r="E3482" s="0" t="inlineStr">
        <is>
          <t xml:space="preserve">Mazda</t>
        </is>
      </c>
      <c r="F3482" s="0" t="s">
        <v>13</v>
      </c>
      <c r="G3482" s="0" t="s">
        <v>49</v>
      </c>
      <c r="H3482" s="5">
        <v>442497.402800</v>
      </c>
    </row>
    <row r="3483" spans="1:9">
      <c r="A3483" s="22" t="str">
        <f>HYPERLINK("https://app.vivvix.com/360/KMI/IntelliDrive/ApplUI/Pages/CreativePages/CustomReportCreativeDetail.aspx?App=23&amp;ReportView=4&amp;Qid=1711279&amp;Row=3475&amp;Col=1","No Title Assigned - #15268436046")</f>
        <v/>
      </c>
      <c r="B3483" s="0" t="s">
        <v>5012</v>
      </c>
      <c r="E3483" s="0" t="inlineStr">
        <is>
          <t xml:space="preserve">Mazda</t>
        </is>
      </c>
      <c r="F3483" s="0" t="s">
        <v>13</v>
      </c>
      <c r="G3483" s="0" t="s">
        <v>49</v>
      </c>
      <c r="H3483" s="5">
        <v>156858.145800</v>
      </c>
    </row>
    <row r="3484" spans="1:9">
      <c r="A3484" s="22" t="str">
        <f>HYPERLINK("https://app.vivvix.com/360/KMI/IntelliDrive/ApplUI/Pages/CreativePages/CustomReportCreativeDetail.aspx?App=23&amp;ReportView=4&amp;Qid=1711279&amp;Row=3476&amp;Col=1","No Title Assigned - #15268436061")</f>
        <v/>
      </c>
      <c r="B3484" s="0" t="s">
        <v>5014</v>
      </c>
      <c r="C3484" s="0" t="s">
        <v>5015</v>
      </c>
      <c r="D3484" s="0" t="s">
        <v>5015</v>
      </c>
      <c r="E3484" s="0" t="inlineStr">
        <is>
          <t xml:space="preserve">Mazda</t>
        </is>
      </c>
      <c r="F3484" s="0" t="s">
        <v>28</v>
      </c>
      <c r="G3484" s="0" t="s">
        <v>29</v>
      </c>
      <c r="H3484" s="5">
        <v>955.560400</v>
      </c>
    </row>
    <row r="3485" spans="1:9">
      <c r="A3485" s="22" t="str">
        <f>HYPERLINK("https://app.vivvix.com/360/KMI/IntelliDrive/ApplUI/Pages/CreativePages/CustomReportCreativeDetail.aspx?App=23&amp;ReportView=4&amp;Qid=1711279&amp;Row=3477&amp;Col=1","No Title Assigned - #15268438541")</f>
        <v/>
      </c>
      <c r="B3485" s="0" t="s">
        <v>5016</v>
      </c>
      <c r="C3485" s="0" t="s">
        <v>5017</v>
      </c>
      <c r="D3485" s="0" t="s">
        <v>5017</v>
      </c>
      <c r="E3485" s="0" t="inlineStr">
        <is>
          <t xml:space="preserve">Mazda</t>
        </is>
      </c>
      <c r="F3485" s="0" t="s">
        <v>28</v>
      </c>
      <c r="G3485" s="0" t="s">
        <v>29</v>
      </c>
      <c r="H3485" s="5">
        <v>17.325900</v>
      </c>
    </row>
    <row r="3486" spans="1:9">
      <c r="A3486" s="22" t="str">
        <f>HYPERLINK("https://app.vivvix.com/360/KMI/IntelliDrive/ApplUI/Pages/CreativePages/CustomReportCreativeDetail.aspx?App=23&amp;ReportView=4&amp;Qid=1711279&amp;Row=3478&amp;Col=1","No Title Assigned - #15268438863")</f>
        <v/>
      </c>
      <c r="B3486" s="0" t="s">
        <v>5018</v>
      </c>
      <c r="C3486" s="0" t="s">
        <v>5019</v>
      </c>
      <c r="D3486" s="0" t="s">
        <v>5019</v>
      </c>
      <c r="E3486" s="0" t="inlineStr">
        <is>
          <t xml:space="preserve">Mazda</t>
        </is>
      </c>
      <c r="F3486" s="0" t="s">
        <v>28</v>
      </c>
      <c r="G3486" s="0" t="s">
        <v>29</v>
      </c>
      <c r="H3486" s="5">
        <v>39.575000</v>
      </c>
    </row>
    <row r="3487" spans="1:9">
      <c r="A3487" s="22" t="str">
        <f>HYPERLINK("https://app.vivvix.com/360/KMI/IntelliDrive/ApplUI/Pages/CreativePages/CustomReportCreativeDetail.aspx?App=23&amp;ReportView=4&amp;Qid=1711279&amp;Row=3479&amp;Col=1","No Title Assigned - #15268439402")</f>
        <v/>
      </c>
      <c r="B3487" s="0" t="s">
        <v>5020</v>
      </c>
      <c r="C3487" s="0" t="s">
        <v>5021</v>
      </c>
      <c r="D3487" s="0" t="s">
        <v>5021</v>
      </c>
      <c r="E3487" s="0" t="inlineStr">
        <is>
          <t xml:space="preserve">Mazda</t>
        </is>
      </c>
      <c r="F3487" s="0" t="s">
        <v>28</v>
      </c>
      <c r="G3487" s="0" t="s">
        <v>29</v>
      </c>
      <c r="H3487" s="5">
        <v>1664.905000</v>
      </c>
    </row>
    <row r="3488" spans="1:9">
      <c r="A3488" s="22" t="str">
        <f>HYPERLINK("https://app.vivvix.com/360/KMI/IntelliDrive/ApplUI/Pages/CreativePages/CustomReportCreativeDetail.aspx?App=23&amp;ReportView=4&amp;Qid=1711279&amp;Row=3480&amp;Col=1","No Title Assigned - #15268439930")</f>
        <v/>
      </c>
      <c r="B3488" s="0" t="s">
        <v>5022</v>
      </c>
      <c r="C3488" s="0" t="s">
        <v>5023</v>
      </c>
      <c r="D3488" s="0" t="s">
        <v>4200</v>
      </c>
      <c r="E3488" s="0" t="inlineStr">
        <is>
          <t xml:space="preserve">Mazda</t>
        </is>
      </c>
      <c r="F3488" s="0" t="s">
        <v>28</v>
      </c>
      <c r="G3488" s="0" t="s">
        <v>29</v>
      </c>
      <c r="H3488" s="5">
        <v>483.393700</v>
      </c>
    </row>
    <row r="3489" spans="1:9">
      <c r="A3489" s="22" t="str">
        <f>HYPERLINK("https://app.vivvix.com/360/KMI/IntelliDrive/ApplUI/Pages/CreativePages/CustomReportCreativeDetail.aspx?App=23&amp;ReportView=4&amp;Qid=1711279&amp;Row=3481&amp;Col=1","No Title Assigned - #15268439930")</f>
        <v/>
      </c>
      <c r="B3489" s="0" t="s">
        <v>5022</v>
      </c>
      <c r="E3489" s="0" t="inlineStr">
        <is>
          <t xml:space="preserve">Mazda</t>
        </is>
      </c>
      <c r="F3489" s="0" t="s">
        <v>28</v>
      </c>
      <c r="G3489" s="0" t="s">
        <v>29</v>
      </c>
      <c r="H3489" s="5">
        <v>23.268000</v>
      </c>
    </row>
    <row r="3490" spans="1:9">
      <c r="A3490" s="22" t="str">
        <f>HYPERLINK("https://app.vivvix.com/360/KMI/IntelliDrive/ApplUI/Pages/CreativePages/CustomReportCreativeDetail.aspx?App=23&amp;ReportView=4&amp;Qid=1711279&amp;Row=3482&amp;Col=1","No Title Assigned - #15268439979")</f>
        <v/>
      </c>
      <c r="B3490" s="0" t="s">
        <v>5024</v>
      </c>
      <c r="C3490" s="0" t="s">
        <v>5025</v>
      </c>
      <c r="D3490" s="0" t="s">
        <v>5025</v>
      </c>
      <c r="E3490" s="0" t="inlineStr">
        <is>
          <t xml:space="preserve">Mazda</t>
        </is>
      </c>
      <c r="F3490" s="0" t="s">
        <v>28</v>
      </c>
      <c r="G3490" s="0" t="s">
        <v>29</v>
      </c>
      <c r="H3490" s="5">
        <v>59.723800</v>
      </c>
    </row>
    <row r="3491" spans="1:9">
      <c r="A3491" s="22" t="str">
        <f>HYPERLINK("https://app.vivvix.com/360/KMI/IntelliDrive/ApplUI/Pages/CreativePages/CustomReportCreativeDetail.aspx?App=23&amp;ReportView=4&amp;Qid=1711279&amp;Row=3483&amp;Col=1","No Title Assigned - #15268440265")</f>
        <v/>
      </c>
      <c r="B3491" s="0" t="s">
        <v>5026</v>
      </c>
      <c r="C3491" s="0" t="s">
        <v>5027</v>
      </c>
      <c r="D3491" s="0" t="s">
        <v>5027</v>
      </c>
      <c r="E3491" s="0" t="inlineStr">
        <is>
          <t xml:space="preserve">Mazda</t>
        </is>
      </c>
      <c r="F3491" s="0" t="s">
        <v>28</v>
      </c>
      <c r="G3491" s="0" t="s">
        <v>29</v>
      </c>
      <c r="H3491" s="5">
        <v>2136.805400</v>
      </c>
    </row>
    <row r="3492" spans="1:9">
      <c r="A3492" s="22" t="str">
        <f>HYPERLINK("https://app.vivvix.com/360/KMI/IntelliDrive/ApplUI/Pages/CreativePages/CustomReportCreativeDetail.aspx?App=23&amp;ReportView=4&amp;Qid=1711279&amp;Row=3484&amp;Col=1","No Title Assigned - #15268440992")</f>
        <v/>
      </c>
      <c r="B3492" s="0" t="s">
        <v>5028</v>
      </c>
      <c r="C3492" s="0" t="s">
        <v>5029</v>
      </c>
      <c r="D3492" s="0" t="s">
        <v>5029</v>
      </c>
      <c r="E3492" s="0" t="inlineStr">
        <is>
          <t xml:space="preserve">Mazda</t>
        </is>
      </c>
      <c r="F3492" s="0" t="s">
        <v>28</v>
      </c>
      <c r="G3492" s="0" t="s">
        <v>29</v>
      </c>
      <c r="H3492" s="5">
        <v>2703.592100</v>
      </c>
    </row>
    <row r="3493" spans="1:9">
      <c r="A3493" s="22" t="str">
        <f>HYPERLINK("https://app.vivvix.com/360/KMI/IntelliDrive/ApplUI/Pages/CreativePages/CustomReportCreativeDetail.aspx?App=23&amp;ReportView=4&amp;Qid=1711279&amp;Row=3485&amp;Col=1","No Title Assigned - #15268440992")</f>
        <v/>
      </c>
      <c r="B3493" s="0" t="s">
        <v>5028</v>
      </c>
      <c r="E3493" s="0" t="inlineStr">
        <is>
          <t xml:space="preserve">Mazda</t>
        </is>
      </c>
      <c r="F3493" s="0" t="s">
        <v>28</v>
      </c>
      <c r="G3493" s="0" t="s">
        <v>29</v>
      </c>
      <c r="H3493" s="5">
        <v>1596.761300</v>
      </c>
    </row>
    <row r="3494" spans="1:9">
      <c r="A3494" s="22" t="str">
        <f>HYPERLINK("https://app.vivvix.com/360/KMI/IntelliDrive/ApplUI/Pages/CreativePages/CustomReportCreativeDetail.aspx?App=23&amp;ReportView=4&amp;Qid=1711279&amp;Row=3486&amp;Col=1","No Title Assigned - #15268442020")</f>
        <v/>
      </c>
      <c r="B3494" s="0" t="s">
        <v>5030</v>
      </c>
      <c r="C3494" s="0" t="s">
        <v>5031</v>
      </c>
      <c r="D3494" s="0" t="s">
        <v>4333</v>
      </c>
      <c r="E3494" s="0" t="inlineStr">
        <is>
          <t xml:space="preserve">Mazda</t>
        </is>
      </c>
      <c r="F3494" s="0" t="s">
        <v>28</v>
      </c>
      <c r="G3494" s="0" t="s">
        <v>29</v>
      </c>
      <c r="H3494" s="5">
        <v>688.897300</v>
      </c>
    </row>
    <row r="3495" spans="1:9">
      <c r="A3495" s="22" t="str">
        <f>HYPERLINK("https://app.vivvix.com/360/KMI/IntelliDrive/ApplUI/Pages/CreativePages/CustomReportCreativeDetail.aspx?App=23&amp;ReportView=4&amp;Qid=1711279&amp;Row=3487&amp;Col=1","No Title Assigned - #15268442214")</f>
        <v/>
      </c>
      <c r="B3495" s="0" t="s">
        <v>5032</v>
      </c>
      <c r="C3495" s="0" t="s">
        <v>5033</v>
      </c>
      <c r="D3495" s="0" t="s">
        <v>5033</v>
      </c>
      <c r="E3495" s="0" t="inlineStr">
        <is>
          <t xml:space="preserve">Mazda</t>
        </is>
      </c>
      <c r="F3495" s="0" t="s">
        <v>28</v>
      </c>
      <c r="G3495" s="0" t="s">
        <v>29</v>
      </c>
      <c r="H3495" s="5">
        <v>2356.976800</v>
      </c>
    </row>
    <row r="3496" spans="1:9">
      <c r="A3496" s="22" t="str">
        <f>HYPERLINK("https://app.vivvix.com/360/KMI/IntelliDrive/ApplUI/Pages/CreativePages/CustomReportCreativeDetail.aspx?App=23&amp;ReportView=4&amp;Qid=1711279&amp;Row=3488&amp;Col=1","No Title Assigned - #15268444447")</f>
        <v/>
      </c>
      <c r="B3496" s="0" t="s">
        <v>5034</v>
      </c>
      <c r="C3496" s="0" t="s">
        <v>5035</v>
      </c>
      <c r="D3496" s="0" t="s">
        <v>5035</v>
      </c>
      <c r="E3496" s="0" t="inlineStr">
        <is>
          <t xml:space="preserve">Mazda</t>
        </is>
      </c>
      <c r="F3496" s="0" t="s">
        <v>28</v>
      </c>
      <c r="G3496" s="0" t="s">
        <v>29</v>
      </c>
      <c r="H3496" s="5">
        <v>4152.717600</v>
      </c>
    </row>
    <row r="3497" spans="1:9">
      <c r="A3497" s="22" t="str">
        <f>HYPERLINK("https://app.vivvix.com/360/KMI/IntelliDrive/ApplUI/Pages/CreativePages/CustomReportCreativeDetail.aspx?App=23&amp;ReportView=4&amp;Qid=1711279&amp;Row=3489&amp;Col=1","No Title Assigned - #15268444559")</f>
        <v/>
      </c>
      <c r="B3497" s="0" t="s">
        <v>5036</v>
      </c>
      <c r="C3497" s="0" t="s">
        <v>5037</v>
      </c>
      <c r="D3497" s="0" t="s">
        <v>4274</v>
      </c>
      <c r="E3497" s="0" t="inlineStr">
        <is>
          <t xml:space="preserve">Mazda</t>
        </is>
      </c>
      <c r="F3497" s="0" t="s">
        <v>28</v>
      </c>
      <c r="G3497" s="0" t="s">
        <v>29</v>
      </c>
      <c r="H3497" s="5">
        <v>7063.656200</v>
      </c>
    </row>
    <row r="3498" spans="1:9">
      <c r="A3498" s="22" t="str">
        <f>HYPERLINK("https://app.vivvix.com/360/KMI/IntelliDrive/ApplUI/Pages/CreativePages/CustomReportCreativeDetail.aspx?App=23&amp;ReportView=4&amp;Qid=1711279&amp;Row=3490&amp;Col=1","No Title Assigned - #15268444559")</f>
        <v/>
      </c>
      <c r="B3498" s="0" t="s">
        <v>5036</v>
      </c>
      <c r="E3498" s="0" t="inlineStr">
        <is>
          <t xml:space="preserve">Mazda</t>
        </is>
      </c>
      <c r="F3498" s="0" t="s">
        <v>28</v>
      </c>
      <c r="G3498" s="0" t="s">
        <v>29</v>
      </c>
      <c r="H3498" s="5">
        <v>308.250700</v>
      </c>
    </row>
    <row r="3499" spans="1:9">
      <c r="A3499" s="22" t="str">
        <f>HYPERLINK("https://app.vivvix.com/360/KMI/IntelliDrive/ApplUI/Pages/CreativePages/CustomReportCreativeDetail.aspx?App=23&amp;ReportView=4&amp;Qid=1711279&amp;Row=3491&amp;Col=1","No Title Assigned - #15268444942")</f>
        <v/>
      </c>
      <c r="B3499" s="0" t="s">
        <v>5038</v>
      </c>
      <c r="C3499" s="0" t="s">
        <v>5039</v>
      </c>
      <c r="D3499" s="0" t="s">
        <v>5039</v>
      </c>
      <c r="E3499" s="0" t="inlineStr">
        <is>
          <t xml:space="preserve">Mazda</t>
        </is>
      </c>
      <c r="F3499" s="0" t="s">
        <v>28</v>
      </c>
      <c r="G3499" s="0" t="s">
        <v>29</v>
      </c>
      <c r="H3499" s="5">
        <v>67800.853500</v>
      </c>
    </row>
    <row r="3500" spans="1:9">
      <c r="A3500" s="22" t="str">
        <f>HYPERLINK("https://app.vivvix.com/360/KMI/IntelliDrive/ApplUI/Pages/CreativePages/CustomReportCreativeDetail.aspx?App=23&amp;ReportView=4&amp;Qid=1711279&amp;Row=3492&amp;Col=1","No Title Assigned - #15268445354")</f>
        <v/>
      </c>
      <c r="B3500" s="0" t="s">
        <v>5040</v>
      </c>
      <c r="C3500" s="0" t="s">
        <v>5041</v>
      </c>
      <c r="D3500" s="0" t="s">
        <v>4202</v>
      </c>
      <c r="E3500" s="0" t="inlineStr">
        <is>
          <t xml:space="preserve">Mazda</t>
        </is>
      </c>
      <c r="F3500" s="0" t="s">
        <v>28</v>
      </c>
      <c r="G3500" s="0" t="s">
        <v>29</v>
      </c>
      <c r="H3500" s="5">
        <v>595.991000</v>
      </c>
    </row>
    <row r="3501" spans="1:9">
      <c r="A3501" s="22" t="str">
        <f>HYPERLINK("https://app.vivvix.com/360/KMI/IntelliDrive/ApplUI/Pages/CreativePages/CustomReportCreativeDetail.aspx?App=23&amp;ReportView=4&amp;Qid=1711279&amp;Row=3493&amp;Col=1","No Title Assigned - #15268445806")</f>
        <v/>
      </c>
      <c r="B3501" s="0" t="s">
        <v>5042</v>
      </c>
      <c r="C3501" s="0" t="s">
        <v>5043</v>
      </c>
      <c r="D3501" s="0" t="s">
        <v>5043</v>
      </c>
      <c r="E3501" s="0" t="inlineStr">
        <is>
          <t xml:space="preserve">Mazda</t>
        </is>
      </c>
      <c r="F3501" s="0" t="s">
        <v>13</v>
      </c>
      <c r="G3501" s="0" t="s">
        <v>49</v>
      </c>
      <c r="H3501" s="5">
        <v>9210.598700</v>
      </c>
    </row>
    <row r="3502" spans="1:9">
      <c r="A3502" s="22" t="str">
        <f>HYPERLINK("https://app.vivvix.com/360/KMI/IntelliDrive/ApplUI/Pages/CreativePages/CustomReportCreativeDetail.aspx?App=23&amp;ReportView=4&amp;Qid=1711279&amp;Row=3494&amp;Col=1","No Title Assigned - #15268445806")</f>
        <v/>
      </c>
      <c r="B3502" s="0" t="s">
        <v>5042</v>
      </c>
      <c r="E3502" s="0" t="inlineStr">
        <is>
          <t xml:space="preserve">Mazda</t>
        </is>
      </c>
      <c r="F3502" s="0" t="s">
        <v>13</v>
      </c>
      <c r="G3502" s="0" t="s">
        <v>49</v>
      </c>
      <c r="H3502" s="5">
        <v>462.224200</v>
      </c>
    </row>
    <row r="3503" spans="1:9">
      <c r="A3503" s="22" t="str">
        <f>HYPERLINK("https://app.vivvix.com/360/KMI/IntelliDrive/ApplUI/Pages/CreativePages/CustomReportCreativeDetail.aspx?App=23&amp;ReportView=4&amp;Qid=1711279&amp;Row=3495&amp;Col=1","No Title Assigned - #15268446580")</f>
        <v/>
      </c>
      <c r="B3503" s="0" t="s">
        <v>5044</v>
      </c>
      <c r="E3503" s="0" t="inlineStr">
        <is>
          <t xml:space="preserve">Mazda</t>
        </is>
      </c>
      <c r="F3503" s="0" t="inlineStr">
        <is>
          <t xml:space="preserve">Mazda</t>
        </is>
      </c>
      <c r="G3503" s="0" t="s">
        <v>171</v>
      </c>
      <c r="H3503" s="5">
        <v>2363.306600</v>
      </c>
    </row>
    <row r="3504" spans="1:9">
      <c r="A3504" s="22" t="str">
        <f>HYPERLINK("https://app.vivvix.com/360/KMI/IntelliDrive/ApplUI/Pages/CreativePages/CustomReportCreativeDetail.aspx?App=23&amp;ReportView=4&amp;Qid=1711279&amp;Row=3496&amp;Col=1","No Title Assigned - #15268446580")</f>
        <v/>
      </c>
      <c r="B3504" s="0" t="s">
        <v>5044</v>
      </c>
      <c r="E3504" s="0" t="inlineStr">
        <is>
          <t xml:space="preserve">Mazda</t>
        </is>
      </c>
      <c r="F3504" s="0" t="inlineStr">
        <is>
          <t xml:space="preserve">Mazda</t>
        </is>
      </c>
      <c r="G3504" s="0" t="s">
        <v>171</v>
      </c>
      <c r="H3504" s="5">
        <v>1.797900</v>
      </c>
    </row>
    <row r="3505" spans="1:9">
      <c r="A3505" s="22" t="str">
        <f>HYPERLINK("https://app.vivvix.com/360/KMI/IntelliDrive/ApplUI/Pages/CreativePages/CustomReportCreativeDetail.aspx?App=23&amp;ReportView=4&amp;Qid=1711279&amp;Row=3497&amp;Col=1","No Title Assigned - #15268447149")</f>
        <v/>
      </c>
      <c r="B3505" s="0" t="s">
        <v>5045</v>
      </c>
      <c r="E3505" s="0" t="inlineStr">
        <is>
          <t xml:space="preserve">Mazda</t>
        </is>
      </c>
      <c r="F3505" s="0" t="inlineStr">
        <is>
          <t xml:space="preserve">Mazda</t>
        </is>
      </c>
      <c r="G3505" s="0" t="s">
        <v>171</v>
      </c>
      <c r="H3505" s="5">
        <v>430.851600</v>
      </c>
    </row>
    <row r="3506" spans="1:9">
      <c r="A3506" s="22" t="str">
        <f>HYPERLINK("https://app.vivvix.com/360/KMI/IntelliDrive/ApplUI/Pages/CreativePages/CustomReportCreativeDetail.aspx?App=23&amp;ReportView=4&amp;Qid=1711279&amp;Row=3498&amp;Col=1","No Title Assigned - #15268447695")</f>
        <v/>
      </c>
      <c r="B3506" s="0" t="s">
        <v>5046</v>
      </c>
      <c r="E3506" s="0" t="inlineStr">
        <is>
          <t xml:space="preserve">Mazda</t>
        </is>
      </c>
      <c r="F3506" s="0" t="inlineStr">
        <is>
          <t xml:space="preserve">Mazda</t>
        </is>
      </c>
      <c r="G3506" s="0" t="s">
        <v>171</v>
      </c>
      <c r="H3506" s="5">
        <v>2398.484900</v>
      </c>
    </row>
    <row r="3507" spans="1:9">
      <c r="A3507" s="22" t="str">
        <f>HYPERLINK("https://app.vivvix.com/360/KMI/IntelliDrive/ApplUI/Pages/CreativePages/CustomReportCreativeDetail.aspx?App=23&amp;ReportView=4&amp;Qid=1711279&amp;Row=3499&amp;Col=1","No Title Assigned - #15268448329")</f>
        <v/>
      </c>
      <c r="B3507" s="0" t="s">
        <v>5047</v>
      </c>
      <c r="E3507" s="0" t="inlineStr">
        <is>
          <t xml:space="preserve">Mazda</t>
        </is>
      </c>
      <c r="F3507" s="0" t="inlineStr">
        <is>
          <t xml:space="preserve">Mazda</t>
        </is>
      </c>
      <c r="G3507" s="0" t="s">
        <v>171</v>
      </c>
      <c r="H3507" s="5">
        <v>108.665400</v>
      </c>
    </row>
    <row r="3508" spans="1:9">
      <c r="A3508" s="22" t="str">
        <f>HYPERLINK("https://app.vivvix.com/360/KMI/IntelliDrive/ApplUI/Pages/CreativePages/CustomReportCreativeDetail.aspx?App=23&amp;ReportView=4&amp;Qid=1711279&amp;Row=3500&amp;Col=1","No Title Assigned - #15268449363")</f>
        <v/>
      </c>
      <c r="B3508" s="0" t="s">
        <v>5048</v>
      </c>
      <c r="E3508" s="0" t="inlineStr">
        <is>
          <t xml:space="preserve">Mazda</t>
        </is>
      </c>
      <c r="F3508" s="0" t="inlineStr">
        <is>
          <t xml:space="preserve">Mazda</t>
        </is>
      </c>
      <c r="G3508" s="0" t="s">
        <v>171</v>
      </c>
      <c r="H3508" s="5">
        <v>666.480100</v>
      </c>
    </row>
    <row r="3509" spans="1:9">
      <c r="A3509" s="22" t="str">
        <f>HYPERLINK("https://app.vivvix.com/360/KMI/IntelliDrive/ApplUI/Pages/CreativePages/CustomReportCreativeDetail.aspx?App=23&amp;ReportView=4&amp;Qid=1711279&amp;Row=3501&amp;Col=1","No Title Assigned - #15268449395")</f>
        <v/>
      </c>
      <c r="B3509" s="0" t="s">
        <v>5049</v>
      </c>
      <c r="E3509" s="0" t="inlineStr">
        <is>
          <t xml:space="preserve">Mazda</t>
        </is>
      </c>
      <c r="F3509" s="0" t="inlineStr">
        <is>
          <t xml:space="preserve">Mazda</t>
        </is>
      </c>
      <c r="G3509" s="0" t="s">
        <v>171</v>
      </c>
      <c r="H3509" s="5">
        <v>147.149100</v>
      </c>
    </row>
    <row r="3510" spans="1:9">
      <c r="A3510" s="22" t="str">
        <f>HYPERLINK("https://app.vivvix.com/360/KMI/IntelliDrive/ApplUI/Pages/CreativePages/CustomReportCreativeDetail.aspx?App=23&amp;ReportView=4&amp;Qid=1711279&amp;Row=3502&amp;Col=1","No Title Assigned - #15268449750")</f>
        <v/>
      </c>
      <c r="B3510" s="0" t="s">
        <v>5050</v>
      </c>
      <c r="C3510" s="0" t="s">
        <v>5051</v>
      </c>
      <c r="D3510" s="0" t="s">
        <v>5051</v>
      </c>
      <c r="E3510" s="0" t="inlineStr">
        <is>
          <t xml:space="preserve">Mazda</t>
        </is>
      </c>
      <c r="F3510" s="0" t="inlineStr">
        <is>
          <t xml:space="preserve">Mazda</t>
        </is>
      </c>
      <c r="G3510" s="0" t="s">
        <v>171</v>
      </c>
      <c r="H3510" s="5">
        <v>54.922300</v>
      </c>
    </row>
    <row r="3511" spans="1:9">
      <c r="A3511" s="22" t="str">
        <f>HYPERLINK("https://app.vivvix.com/360/KMI/IntelliDrive/ApplUI/Pages/CreativePages/CustomReportCreativeDetail.aspx?App=23&amp;ReportView=4&amp;Qid=1711279&amp;Row=3503&amp;Col=1","No Title Assigned - #15268449914")</f>
        <v/>
      </c>
      <c r="B3511" s="0" t="s">
        <v>5052</v>
      </c>
      <c r="E3511" s="0" t="inlineStr">
        <is>
          <t xml:space="preserve">Mazda</t>
        </is>
      </c>
      <c r="F3511" s="0" t="inlineStr">
        <is>
          <t xml:space="preserve">Mazda</t>
        </is>
      </c>
      <c r="G3511" s="0" t="s">
        <v>171</v>
      </c>
      <c r="H3511" s="5">
        <v>422.069100</v>
      </c>
    </row>
    <row r="3512" spans="1:9">
      <c r="A3512" s="22" t="str">
        <f>HYPERLINK("https://app.vivvix.com/360/KMI/IntelliDrive/ApplUI/Pages/CreativePages/CustomReportCreativeDetail.aspx?App=23&amp;ReportView=4&amp;Qid=1711279&amp;Row=3504&amp;Col=1","No Title Assigned - #15268449998")</f>
        <v/>
      </c>
      <c r="B3512" s="0" t="s">
        <v>5053</v>
      </c>
      <c r="C3512" s="0" t="s">
        <v>5054</v>
      </c>
      <c r="D3512" s="0" t="s">
        <v>5054</v>
      </c>
      <c r="E3512" s="0" t="inlineStr">
        <is>
          <t xml:space="preserve">Mazda</t>
        </is>
      </c>
      <c r="F3512" s="0" t="inlineStr">
        <is>
          <t xml:space="preserve">Mazda</t>
        </is>
      </c>
      <c r="G3512" s="0" t="s">
        <v>171</v>
      </c>
      <c r="H3512" s="5">
        <v>67.576700</v>
      </c>
    </row>
    <row r="3513" spans="1:9">
      <c r="A3513" s="22" t="str">
        <f>HYPERLINK("https://app.vivvix.com/360/KMI/IntelliDrive/ApplUI/Pages/CreativePages/CustomReportCreativeDetail.aspx?App=23&amp;ReportView=4&amp;Qid=1711279&amp;Row=3505&amp;Col=1","No Title Assigned - #15268450027")</f>
        <v/>
      </c>
      <c r="B3513" s="0" t="s">
        <v>5055</v>
      </c>
      <c r="E3513" s="0" t="inlineStr">
        <is>
          <t xml:space="preserve">Mazda</t>
        </is>
      </c>
      <c r="F3513" s="0" t="inlineStr">
        <is>
          <t xml:space="preserve">Mazda</t>
        </is>
      </c>
      <c r="G3513" s="0" t="s">
        <v>171</v>
      </c>
      <c r="H3513" s="5">
        <v>156.616800</v>
      </c>
    </row>
    <row r="3514" spans="1:9">
      <c r="A3514" s="22" t="str">
        <f>HYPERLINK("https://app.vivvix.com/360/KMI/IntelliDrive/ApplUI/Pages/CreativePages/CustomReportCreativeDetail.aspx?App=23&amp;ReportView=4&amp;Qid=1711279&amp;Row=3506&amp;Col=1","No Title Assigned - #15268450066")</f>
        <v/>
      </c>
      <c r="B3514" s="0" t="s">
        <v>5056</v>
      </c>
      <c r="E3514" s="0" t="inlineStr">
        <is>
          <t xml:space="preserve">Mazda</t>
        </is>
      </c>
      <c r="F3514" s="0" t="inlineStr">
        <is>
          <t xml:space="preserve">Mazda</t>
        </is>
      </c>
      <c r="G3514" s="0" t="s">
        <v>171</v>
      </c>
      <c r="H3514" s="5">
        <v>93.948200</v>
      </c>
    </row>
    <row r="3515" spans="1:9">
      <c r="A3515" s="22" t="str">
        <f>HYPERLINK("https://app.vivvix.com/360/KMI/IntelliDrive/ApplUI/Pages/CreativePages/CustomReportCreativeDetail.aspx?App=23&amp;ReportView=4&amp;Qid=1711279&amp;Row=3507&amp;Col=1","No Title Assigned - #15268450941")</f>
        <v/>
      </c>
      <c r="B3515" s="0" t="s">
        <v>5057</v>
      </c>
      <c r="C3515" s="0" t="s">
        <v>5058</v>
      </c>
      <c r="D3515" s="0" t="s">
        <v>5058</v>
      </c>
      <c r="E3515" s="0" t="inlineStr">
        <is>
          <t xml:space="preserve">Mazda</t>
        </is>
      </c>
      <c r="F3515" s="0" t="inlineStr">
        <is>
          <t xml:space="preserve">Mazda</t>
        </is>
      </c>
      <c r="G3515" s="0" t="s">
        <v>171</v>
      </c>
      <c r="H3515" s="5">
        <v>743.551200</v>
      </c>
    </row>
    <row r="3516" spans="1:9">
      <c r="A3516" s="22" t="str">
        <f>HYPERLINK("https://app.vivvix.com/360/KMI/IntelliDrive/ApplUI/Pages/CreativePages/CustomReportCreativeDetail.aspx?App=23&amp;ReportView=4&amp;Qid=1711279&amp;Row=3508&amp;Col=1","No Title Assigned - #15268451873")</f>
        <v/>
      </c>
      <c r="B3516" s="0" t="s">
        <v>5059</v>
      </c>
      <c r="E3516" s="0" t="inlineStr">
        <is>
          <t xml:space="preserve">Mazda</t>
        </is>
      </c>
      <c r="F3516" s="0" t="inlineStr">
        <is>
          <t xml:space="preserve">Mazda</t>
        </is>
      </c>
      <c r="G3516" s="0" t="s">
        <v>171</v>
      </c>
      <c r="H3516" s="5">
        <v>403.371600</v>
      </c>
    </row>
    <row r="3517" spans="1:9">
      <c r="A3517" s="22" t="str">
        <f>HYPERLINK("https://app.vivvix.com/360/KMI/IntelliDrive/ApplUI/Pages/CreativePages/CustomReportCreativeDetail.aspx?App=23&amp;ReportView=4&amp;Qid=1711279&amp;Row=3509&amp;Col=1","No Title Assigned - #15268452009")</f>
        <v/>
      </c>
      <c r="B3517" s="0" t="s">
        <v>5060</v>
      </c>
      <c r="E3517" s="0" t="inlineStr">
        <is>
          <t xml:space="preserve">Mazda</t>
        </is>
      </c>
      <c r="F3517" s="0" t="inlineStr">
        <is>
          <t xml:space="preserve">Mazda</t>
        </is>
      </c>
      <c r="G3517" s="0" t="s">
        <v>171</v>
      </c>
      <c r="H3517" s="5">
        <v>2062.305600</v>
      </c>
    </row>
    <row r="3518" spans="1:9">
      <c r="A3518" s="22" t="str">
        <f>HYPERLINK("https://app.vivvix.com/360/KMI/IntelliDrive/ApplUI/Pages/CreativePages/CustomReportCreativeDetail.aspx?App=23&amp;ReportView=4&amp;Qid=1711279&amp;Row=3510&amp;Col=1","No Title Assigned - #15268452804")</f>
        <v/>
      </c>
      <c r="B3518" s="0" t="s">
        <v>5061</v>
      </c>
      <c r="E3518" s="0" t="inlineStr">
        <is>
          <t xml:space="preserve">Mazda</t>
        </is>
      </c>
      <c r="F3518" s="0" t="inlineStr">
        <is>
          <t xml:space="preserve">Mazda</t>
        </is>
      </c>
      <c r="G3518" s="0" t="s">
        <v>171</v>
      </c>
      <c r="H3518" s="5">
        <v>1418.719600</v>
      </c>
    </row>
    <row r="3519" spans="1:9">
      <c r="A3519" s="22" t="str">
        <f>HYPERLINK("https://app.vivvix.com/360/KMI/IntelliDrive/ApplUI/Pages/CreativePages/CustomReportCreativeDetail.aspx?App=23&amp;ReportView=4&amp;Qid=1711279&amp;Row=3511&amp;Col=1","No Title Assigned - #15268453254")</f>
        <v/>
      </c>
      <c r="B3519" s="0" t="s">
        <v>5062</v>
      </c>
      <c r="C3519" s="0" t="s">
        <v>5063</v>
      </c>
      <c r="D3519" s="0" t="s">
        <v>4204</v>
      </c>
      <c r="E3519" s="0" t="inlineStr">
        <is>
          <t xml:space="preserve">Mazda</t>
        </is>
      </c>
      <c r="F3519" s="0" t="s">
        <v>28</v>
      </c>
      <c r="G3519" s="0" t="s">
        <v>29</v>
      </c>
      <c r="H3519" s="5">
        <v>3846.637000</v>
      </c>
    </row>
    <row r="3520" spans="1:9">
      <c r="A3520" s="22" t="str">
        <f>HYPERLINK("https://app.vivvix.com/360/KMI/IntelliDrive/ApplUI/Pages/CreativePages/CustomReportCreativeDetail.aspx?App=23&amp;ReportView=4&amp;Qid=1711279&amp;Row=3512&amp;Col=1","No Title Assigned - #15268453292")</f>
        <v/>
      </c>
      <c r="B3520" s="0" t="s">
        <v>5064</v>
      </c>
      <c r="E3520" s="0" t="inlineStr">
        <is>
          <t xml:space="preserve">Mazda</t>
        </is>
      </c>
      <c r="F3520" s="0" t="inlineStr">
        <is>
          <t xml:space="preserve">Mazda</t>
        </is>
      </c>
      <c r="G3520" s="0" t="s">
        <v>171</v>
      </c>
      <c r="H3520" s="5">
        <v>93.324800</v>
      </c>
    </row>
    <row r="3521" spans="1:9">
      <c r="A3521" s="22" t="str">
        <f>HYPERLINK("https://app.vivvix.com/360/KMI/IntelliDrive/ApplUI/Pages/CreativePages/CustomReportCreativeDetail.aspx?App=23&amp;ReportView=4&amp;Qid=1711279&amp;Row=3513&amp;Col=1","No Title Assigned - #15268455034")</f>
        <v/>
      </c>
      <c r="B3521" s="0" t="s">
        <v>5065</v>
      </c>
      <c r="C3521" s="0" t="s">
        <v>5066</v>
      </c>
      <c r="D3521" s="0" t="s">
        <v>5066</v>
      </c>
      <c r="E3521" s="0" t="inlineStr">
        <is>
          <t xml:space="preserve">Mazda</t>
        </is>
      </c>
      <c r="F3521" s="0" t="s">
        <v>28</v>
      </c>
      <c r="G3521" s="0" t="s">
        <v>29</v>
      </c>
      <c r="H3521" s="5">
        <v>8292.208000</v>
      </c>
    </row>
    <row r="3522" spans="1:9">
      <c r="A3522" s="22" t="str">
        <f>HYPERLINK("https://app.vivvix.com/360/KMI/IntelliDrive/ApplUI/Pages/CreativePages/CustomReportCreativeDetail.aspx?App=23&amp;ReportView=4&amp;Qid=1711279&amp;Row=3514&amp;Col=1","No Title Assigned - #15268455034")</f>
        <v/>
      </c>
      <c r="B3522" s="0" t="s">
        <v>5065</v>
      </c>
      <c r="E3522" s="0" t="inlineStr">
        <is>
          <t xml:space="preserve">Mazda</t>
        </is>
      </c>
      <c r="F3522" s="0" t="s">
        <v>28</v>
      </c>
      <c r="G3522" s="0" t="s">
        <v>29</v>
      </c>
      <c r="H3522" s="5">
        <v>10488.197500</v>
      </c>
    </row>
    <row r="3523" spans="1:9">
      <c r="A3523" s="22" t="str">
        <f>HYPERLINK("https://app.vivvix.com/360/KMI/IntelliDrive/ApplUI/Pages/CreativePages/CustomReportCreativeDetail.aspx?App=23&amp;ReportView=4&amp;Qid=1711279&amp;Row=3515&amp;Col=1","No Title Assigned - #15268455189")</f>
        <v/>
      </c>
      <c r="B3523" s="0" t="s">
        <v>5067</v>
      </c>
      <c r="C3523" s="0" t="s">
        <v>5068</v>
      </c>
      <c r="D3523" s="0" t="s">
        <v>5068</v>
      </c>
      <c r="E3523" s="0" t="inlineStr">
        <is>
          <t xml:space="preserve">Mazda</t>
        </is>
      </c>
      <c r="F3523" s="0" t="s">
        <v>28</v>
      </c>
      <c r="G3523" s="0" t="s">
        <v>29</v>
      </c>
      <c r="H3523" s="5">
        <v>126.613500</v>
      </c>
    </row>
    <row r="3524" spans="1:9">
      <c r="A3524" s="22" t="str">
        <f>HYPERLINK("https://app.vivvix.com/360/KMI/IntelliDrive/ApplUI/Pages/CreativePages/CustomReportCreativeDetail.aspx?App=23&amp;ReportView=4&amp;Qid=1711279&amp;Row=3516&amp;Col=1","No Title Assigned - #15268455390")</f>
        <v/>
      </c>
      <c r="B3524" s="0" t="s">
        <v>5069</v>
      </c>
      <c r="C3524" s="0" t="s">
        <v>5070</v>
      </c>
      <c r="D3524" s="0" t="s">
        <v>5070</v>
      </c>
      <c r="E3524" s="0" t="inlineStr">
        <is>
          <t xml:space="preserve">Mazda</t>
        </is>
      </c>
      <c r="F3524" s="0" t="s">
        <v>13</v>
      </c>
      <c r="G3524" s="0" t="s">
        <v>49</v>
      </c>
      <c r="H3524" s="5">
        <v>1238.329600</v>
      </c>
    </row>
    <row r="3525" spans="1:9">
      <c r="A3525" s="22" t="str">
        <f>HYPERLINK("https://app.vivvix.com/360/KMI/IntelliDrive/ApplUI/Pages/CreativePages/CustomReportCreativeDetail.aspx?App=23&amp;ReportView=4&amp;Qid=1711279&amp;Row=3517&amp;Col=1","No Title Assigned - #15268455390")</f>
        <v/>
      </c>
      <c r="B3525" s="0" t="s">
        <v>5069</v>
      </c>
      <c r="C3525" s="0" t="s">
        <v>5071</v>
      </c>
      <c r="D3525" s="0" t="s">
        <v>5071</v>
      </c>
      <c r="E3525" s="0" t="inlineStr">
        <is>
          <t xml:space="preserve">Mazda</t>
        </is>
      </c>
      <c r="F3525" s="0" t="s">
        <v>13</v>
      </c>
      <c r="G3525" s="0" t="s">
        <v>49</v>
      </c>
      <c r="H3525" s="5">
        <v>108.171100</v>
      </c>
    </row>
    <row r="3526" spans="1:9">
      <c r="A3526" s="22" t="str">
        <f>HYPERLINK("https://app.vivvix.com/360/KMI/IntelliDrive/ApplUI/Pages/CreativePages/CustomReportCreativeDetail.aspx?App=23&amp;ReportView=4&amp;Qid=1711279&amp;Row=3518&amp;Col=1","No Title Assigned - #15268456360")</f>
        <v/>
      </c>
      <c r="B3526" s="0" t="s">
        <v>5072</v>
      </c>
      <c r="E3526" s="0" t="inlineStr">
        <is>
          <t xml:space="preserve">Mazda</t>
        </is>
      </c>
      <c r="F3526" s="0" t="s">
        <v>28</v>
      </c>
      <c r="G3526" s="0" t="s">
        <v>29</v>
      </c>
      <c r="H3526" s="5">
        <v>561.904500</v>
      </c>
    </row>
    <row r="3527" spans="1:9">
      <c r="A3527" s="22" t="str">
        <f>HYPERLINK("https://app.vivvix.com/360/KMI/IntelliDrive/ApplUI/Pages/CreativePages/CustomReportCreativeDetail.aspx?App=23&amp;ReportView=4&amp;Qid=1711279&amp;Row=3519&amp;Col=1","No Title Assigned - #15268456360")</f>
        <v/>
      </c>
      <c r="B3527" s="0" t="s">
        <v>5072</v>
      </c>
      <c r="C3527" s="0" t="s">
        <v>5073</v>
      </c>
      <c r="D3527" s="0" t="s">
        <v>4200</v>
      </c>
      <c r="E3527" s="0" t="inlineStr">
        <is>
          <t xml:space="preserve">Mazda</t>
        </is>
      </c>
      <c r="F3527" s="0" t="s">
        <v>28</v>
      </c>
      <c r="G3527" s="0" t="s">
        <v>29</v>
      </c>
      <c r="H3527" s="5">
        <v>295.820600</v>
      </c>
    </row>
    <row r="3528" spans="1:9">
      <c r="A3528" s="22" t="str">
        <f>HYPERLINK("https://app.vivvix.com/360/KMI/IntelliDrive/ApplUI/Pages/CreativePages/CustomReportCreativeDetail.aspx?App=23&amp;ReportView=4&amp;Qid=1711279&amp;Row=3520&amp;Col=1","No Title Assigned - #15268456677")</f>
        <v/>
      </c>
      <c r="B3528" s="0" t="s">
        <v>5074</v>
      </c>
      <c r="C3528" s="0" t="s">
        <v>5075</v>
      </c>
      <c r="D3528" s="0" t="s">
        <v>5075</v>
      </c>
      <c r="E3528" s="0" t="inlineStr">
        <is>
          <t xml:space="preserve">Mazda</t>
        </is>
      </c>
      <c r="F3528" s="0" t="s">
        <v>17</v>
      </c>
      <c r="G3528" s="0" t="s">
        <v>33</v>
      </c>
      <c r="H3528" s="5">
        <v>943.739400</v>
      </c>
    </row>
    <row r="3529" spans="1:9">
      <c r="A3529" s="22" t="str">
        <f>HYPERLINK("https://app.vivvix.com/360/KMI/IntelliDrive/ApplUI/Pages/CreativePages/CustomReportCreativeDetail.aspx?App=23&amp;ReportView=4&amp;Qid=1711279&amp;Row=3521&amp;Col=1","No Title Assigned - #15268457837")</f>
        <v/>
      </c>
      <c r="B3529" s="0" t="s">
        <v>5076</v>
      </c>
      <c r="E3529" s="0" t="inlineStr">
        <is>
          <t xml:space="preserve">Mazda</t>
        </is>
      </c>
      <c r="F3529" s="0" t="inlineStr">
        <is>
          <t xml:space="preserve">Mazda</t>
        </is>
      </c>
      <c r="G3529" s="0" t="s">
        <v>171</v>
      </c>
      <c r="H3529" s="5">
        <v>12.163300</v>
      </c>
    </row>
    <row r="3530" spans="1:9">
      <c r="A3530" s="22" t="str">
        <f>HYPERLINK("https://app.vivvix.com/360/KMI/IntelliDrive/ApplUI/Pages/CreativePages/CustomReportCreativeDetail.aspx?App=23&amp;ReportView=4&amp;Qid=1711279&amp;Row=3522&amp;Col=1","No Title Assigned - #15268457956")</f>
        <v/>
      </c>
      <c r="B3530" s="0" t="s">
        <v>5077</v>
      </c>
      <c r="E3530" s="0" t="inlineStr">
        <is>
          <t xml:space="preserve">Mazda</t>
        </is>
      </c>
      <c r="F3530" s="0" t="inlineStr">
        <is>
          <t xml:space="preserve">Mazda</t>
        </is>
      </c>
      <c r="G3530" s="0" t="s">
        <v>171</v>
      </c>
      <c r="H3530" s="5">
        <v>207.882400</v>
      </c>
    </row>
    <row r="3531" spans="1:9">
      <c r="A3531" s="22" t="str">
        <f>HYPERLINK("https://app.vivvix.com/360/KMI/IntelliDrive/ApplUI/Pages/CreativePages/CustomReportCreativeDetail.aspx?App=23&amp;ReportView=4&amp;Qid=1711279&amp;Row=3523&amp;Col=1","No Title Assigned - #15268458023")</f>
        <v/>
      </c>
      <c r="B3531" s="0" t="s">
        <v>5078</v>
      </c>
      <c r="C3531" s="0" t="s">
        <v>5079</v>
      </c>
      <c r="D3531" s="0" t="s">
        <v>5079</v>
      </c>
      <c r="E3531" s="0" t="inlineStr">
        <is>
          <t xml:space="preserve">Mazda</t>
        </is>
      </c>
      <c r="F3531" s="0" t="inlineStr">
        <is>
          <t xml:space="preserve">Mazda</t>
        </is>
      </c>
      <c r="G3531" s="0" t="s">
        <v>171</v>
      </c>
      <c r="H3531" s="5">
        <v>409.290800</v>
      </c>
    </row>
    <row r="3532" spans="1:9">
      <c r="A3532" s="22" t="str">
        <f>HYPERLINK("https://app.vivvix.com/360/KMI/IntelliDrive/ApplUI/Pages/CreativePages/CustomReportCreativeDetail.aspx?App=23&amp;ReportView=4&amp;Qid=1711279&amp;Row=3524&amp;Col=1","No Title Assigned - #15268458023")</f>
        <v/>
      </c>
      <c r="B3532" s="0" t="s">
        <v>5078</v>
      </c>
      <c r="E3532" s="0" t="inlineStr">
        <is>
          <t xml:space="preserve">Mazda</t>
        </is>
      </c>
      <c r="F3532" s="0" t="inlineStr">
        <is>
          <t xml:space="preserve">Mazda</t>
        </is>
      </c>
      <c r="G3532" s="0" t="s">
        <v>171</v>
      </c>
      <c r="H3532" s="5">
        <v>460.377500</v>
      </c>
    </row>
    <row r="3533" spans="1:9">
      <c r="A3533" s="22" t="str">
        <f>HYPERLINK("https://app.vivvix.com/360/KMI/IntelliDrive/ApplUI/Pages/CreativePages/CustomReportCreativeDetail.aspx?App=23&amp;ReportView=4&amp;Qid=1711279&amp;Row=3525&amp;Col=1","No Title Assigned - #15268458416")</f>
        <v/>
      </c>
      <c r="B3533" s="0" t="s">
        <v>5080</v>
      </c>
      <c r="E3533" s="0" t="inlineStr">
        <is>
          <t xml:space="preserve">Mazda</t>
        </is>
      </c>
      <c r="F3533" s="0" t="inlineStr">
        <is>
          <t xml:space="preserve">Mazda</t>
        </is>
      </c>
      <c r="G3533" s="0" t="s">
        <v>171</v>
      </c>
      <c r="H3533" s="5">
        <v>8791.185900</v>
      </c>
    </row>
    <row r="3534" spans="1:9">
      <c r="A3534" s="22" t="str">
        <f>HYPERLINK("https://app.vivvix.com/360/KMI/IntelliDrive/ApplUI/Pages/CreativePages/CustomReportCreativeDetail.aspx?App=23&amp;ReportView=4&amp;Qid=1711279&amp;Row=3526&amp;Col=1","No Title Assigned - #15268458416")</f>
        <v/>
      </c>
      <c r="B3534" s="0" t="s">
        <v>5080</v>
      </c>
      <c r="E3534" s="0" t="inlineStr">
        <is>
          <t xml:space="preserve">Mazda</t>
        </is>
      </c>
      <c r="F3534" s="0" t="inlineStr">
        <is>
          <t xml:space="preserve">Mazda</t>
        </is>
      </c>
      <c r="G3534" s="0" t="s">
        <v>171</v>
      </c>
      <c r="H3534" s="5">
        <v>22662.257900</v>
      </c>
    </row>
    <row r="3535" spans="1:9">
      <c r="A3535" s="22" t="str">
        <f>HYPERLINK("https://app.vivvix.com/360/KMI/IntelliDrive/ApplUI/Pages/CreativePages/CustomReportCreativeDetail.aspx?App=23&amp;ReportView=4&amp;Qid=1711279&amp;Row=3527&amp;Col=1","No Title Assigned - #15268458989")</f>
        <v/>
      </c>
      <c r="B3535" s="0" t="s">
        <v>5081</v>
      </c>
      <c r="E3535" s="0" t="inlineStr">
        <is>
          <t xml:space="preserve">Mazda</t>
        </is>
      </c>
      <c r="F3535" s="0" t="inlineStr">
        <is>
          <t xml:space="preserve">Mazda</t>
        </is>
      </c>
      <c r="G3535" s="0" t="s">
        <v>171</v>
      </c>
      <c r="H3535" s="5">
        <v>1788.338200</v>
      </c>
    </row>
    <row r="3536" spans="1:9">
      <c r="A3536" s="22" t="str">
        <f>HYPERLINK("https://app.vivvix.com/360/KMI/IntelliDrive/ApplUI/Pages/CreativePages/CustomReportCreativeDetail.aspx?App=23&amp;ReportView=4&amp;Qid=1711279&amp;Row=3528&amp;Col=1","No Title Assigned - #15268459133")</f>
        <v/>
      </c>
      <c r="B3536" s="0" t="s">
        <v>5082</v>
      </c>
      <c r="C3536" s="0" t="s">
        <v>5083</v>
      </c>
      <c r="D3536" s="0" t="s">
        <v>5083</v>
      </c>
      <c r="E3536" s="0" t="inlineStr">
        <is>
          <t xml:space="preserve">Mazda</t>
        </is>
      </c>
      <c r="F3536" s="0" t="inlineStr">
        <is>
          <t xml:space="preserve">Mazda</t>
        </is>
      </c>
      <c r="G3536" s="0" t="s">
        <v>171</v>
      </c>
      <c r="H3536" s="5">
        <v>4276.202700</v>
      </c>
    </row>
    <row r="3537" spans="1:9">
      <c r="A3537" s="22" t="str">
        <f>HYPERLINK("https://app.vivvix.com/360/KMI/IntelliDrive/ApplUI/Pages/CreativePages/CustomReportCreativeDetail.aspx?App=23&amp;ReportView=4&amp;Qid=1711279&amp;Row=3529&amp;Col=1","No Title Assigned - #15268459133")</f>
        <v/>
      </c>
      <c r="B3537" s="0" t="s">
        <v>5082</v>
      </c>
      <c r="E3537" s="0" t="inlineStr">
        <is>
          <t xml:space="preserve">Mazda</t>
        </is>
      </c>
      <c r="F3537" s="0" t="inlineStr">
        <is>
          <t xml:space="preserve">Mazda</t>
        </is>
      </c>
      <c r="G3537" s="0" t="s">
        <v>171</v>
      </c>
      <c r="H3537" s="5">
        <v>3116.662400</v>
      </c>
    </row>
    <row r="3538" spans="1:9">
      <c r="A3538" s="22" t="str">
        <f>HYPERLINK("https://app.vivvix.com/360/KMI/IntelliDrive/ApplUI/Pages/CreativePages/CustomReportCreativeDetail.aspx?App=23&amp;ReportView=4&amp;Qid=1711279&amp;Row=3530&amp;Col=1","No Title Assigned - #15268459814")</f>
        <v/>
      </c>
      <c r="B3538" s="0" t="s">
        <v>5084</v>
      </c>
      <c r="E3538" s="0" t="inlineStr">
        <is>
          <t xml:space="preserve">Mazda</t>
        </is>
      </c>
      <c r="F3538" s="0" t="inlineStr">
        <is>
          <t xml:space="preserve">Mazda</t>
        </is>
      </c>
      <c r="G3538" s="0" t="s">
        <v>171</v>
      </c>
      <c r="H3538" s="5">
        <v>12603.771500</v>
      </c>
    </row>
    <row r="3539" spans="1:9">
      <c r="A3539" s="22" t="str">
        <f>HYPERLINK("https://app.vivvix.com/360/KMI/IntelliDrive/ApplUI/Pages/CreativePages/CustomReportCreativeDetail.aspx?App=23&amp;ReportView=4&amp;Qid=1711279&amp;Row=3531&amp;Col=1","No Title Assigned - #15268459855")</f>
        <v/>
      </c>
      <c r="B3539" s="0" t="s">
        <v>5085</v>
      </c>
      <c r="C3539" s="0" t="s">
        <v>5086</v>
      </c>
      <c r="D3539" s="0" t="s">
        <v>5086</v>
      </c>
      <c r="E3539" s="0" t="inlineStr">
        <is>
          <t xml:space="preserve">Mazda</t>
        </is>
      </c>
      <c r="F3539" s="0" t="inlineStr">
        <is>
          <t xml:space="preserve">Mazda</t>
        </is>
      </c>
      <c r="G3539" s="0" t="s">
        <v>171</v>
      </c>
      <c r="H3539" s="5">
        <v>95.541600</v>
      </c>
    </row>
    <row r="3540" spans="1:9">
      <c r="A3540" s="22" t="str">
        <f>HYPERLINK("https://app.vivvix.com/360/KMI/IntelliDrive/ApplUI/Pages/CreativePages/CustomReportCreativeDetail.aspx?App=23&amp;ReportView=4&amp;Qid=1711279&amp;Row=3532&amp;Col=1","No Title Assigned - #15268459939")</f>
        <v/>
      </c>
      <c r="B3540" s="0" t="s">
        <v>5087</v>
      </c>
      <c r="E3540" s="0" t="inlineStr">
        <is>
          <t xml:space="preserve">Mazda</t>
        </is>
      </c>
      <c r="F3540" s="0" t="inlineStr">
        <is>
          <t xml:space="preserve">Mazda</t>
        </is>
      </c>
      <c r="G3540" s="0" t="s">
        <v>171</v>
      </c>
      <c r="H3540" s="5">
        <v>361.831200</v>
      </c>
    </row>
    <row r="3541" spans="1:9">
      <c r="A3541" s="22" t="str">
        <f>HYPERLINK("https://app.vivvix.com/360/KMI/IntelliDrive/ApplUI/Pages/CreativePages/CustomReportCreativeDetail.aspx?App=23&amp;ReportView=4&amp;Qid=1711279&amp;Row=3533&amp;Col=1","No Title Assigned - #15268460215")</f>
        <v/>
      </c>
      <c r="B3541" s="0" t="s">
        <v>5088</v>
      </c>
      <c r="E3541" s="0" t="inlineStr">
        <is>
          <t xml:space="preserve">Mazda</t>
        </is>
      </c>
      <c r="F3541" s="0" t="inlineStr">
        <is>
          <t xml:space="preserve">Mazda</t>
        </is>
      </c>
      <c r="G3541" s="0" t="s">
        <v>171</v>
      </c>
      <c r="H3541" s="5">
        <v>38.902600</v>
      </c>
    </row>
    <row r="3542" spans="1:9">
      <c r="A3542" s="22" t="str">
        <f>HYPERLINK("https://app.vivvix.com/360/KMI/IntelliDrive/ApplUI/Pages/CreativePages/CustomReportCreativeDetail.aspx?App=23&amp;ReportView=4&amp;Qid=1711279&amp;Row=3534&amp;Col=1","No Title Assigned - #15268460247")</f>
        <v/>
      </c>
      <c r="B3542" s="0" t="s">
        <v>5089</v>
      </c>
      <c r="C3542" s="0" t="s">
        <v>5090</v>
      </c>
      <c r="D3542" s="0" t="s">
        <v>5090</v>
      </c>
      <c r="E3542" s="0" t="inlineStr">
        <is>
          <t xml:space="preserve">Mazda</t>
        </is>
      </c>
      <c r="F3542" s="0" t="inlineStr">
        <is>
          <t xml:space="preserve">Mazda</t>
        </is>
      </c>
      <c r="G3542" s="0" t="s">
        <v>171</v>
      </c>
      <c r="H3542" s="5">
        <v>1267.071100</v>
      </c>
    </row>
    <row r="3543" spans="1:9">
      <c r="A3543" s="22" t="str">
        <f>HYPERLINK("https://app.vivvix.com/360/KMI/IntelliDrive/ApplUI/Pages/CreativePages/CustomReportCreativeDetail.aspx?App=23&amp;ReportView=4&amp;Qid=1711279&amp;Row=3535&amp;Col=1","No Title Assigned - #15268460333")</f>
        <v/>
      </c>
      <c r="B3543" s="0" t="s">
        <v>5091</v>
      </c>
      <c r="E3543" s="0" t="inlineStr">
        <is>
          <t xml:space="preserve">Mazda</t>
        </is>
      </c>
      <c r="F3543" s="0" t="inlineStr">
        <is>
          <t xml:space="preserve">Mazda</t>
        </is>
      </c>
      <c r="G3543" s="0" t="s">
        <v>171</v>
      </c>
      <c r="H3543" s="5">
        <v>15.534200</v>
      </c>
    </row>
    <row r="3544" spans="1:9">
      <c r="A3544" s="22" t="str">
        <f>HYPERLINK("https://app.vivvix.com/360/KMI/IntelliDrive/ApplUI/Pages/CreativePages/CustomReportCreativeDetail.aspx?App=23&amp;ReportView=4&amp;Qid=1711279&amp;Row=3536&amp;Col=1","No Title Assigned - #15268460502")</f>
        <v/>
      </c>
      <c r="B3544" s="0" t="s">
        <v>5092</v>
      </c>
      <c r="C3544" s="0" t="s">
        <v>5093</v>
      </c>
      <c r="D3544" s="0" t="s">
        <v>5093</v>
      </c>
      <c r="E3544" s="0" t="inlineStr">
        <is>
          <t xml:space="preserve">Mazda</t>
        </is>
      </c>
      <c r="F3544" s="0" t="inlineStr">
        <is>
          <t xml:space="preserve">Mazda</t>
        </is>
      </c>
      <c r="G3544" s="0" t="s">
        <v>171</v>
      </c>
      <c r="H3544" s="5">
        <v>106.228000</v>
      </c>
    </row>
    <row r="3545" spans="1:9">
      <c r="A3545" s="22" t="str">
        <f>HYPERLINK("https://app.vivvix.com/360/KMI/IntelliDrive/ApplUI/Pages/CreativePages/CustomReportCreativeDetail.aspx?App=23&amp;ReportView=4&amp;Qid=1711279&amp;Row=3537&amp;Col=1","No Title Assigned - #15268462977")</f>
        <v/>
      </c>
      <c r="B3545" s="0" t="s">
        <v>5094</v>
      </c>
      <c r="E3545" s="0" t="inlineStr">
        <is>
          <t xml:space="preserve">Mazda</t>
        </is>
      </c>
      <c r="F3545" s="0" t="inlineStr">
        <is>
          <t xml:space="preserve">Mazda</t>
        </is>
      </c>
      <c r="G3545" s="0" t="s">
        <v>171</v>
      </c>
      <c r="H3545" s="5">
        <v>29.635100</v>
      </c>
    </row>
    <row r="3546" spans="1:9">
      <c r="A3546" s="22" t="str">
        <f>HYPERLINK("https://app.vivvix.com/360/KMI/IntelliDrive/ApplUI/Pages/CreativePages/CustomReportCreativeDetail.aspx?App=23&amp;ReportView=4&amp;Qid=1711279&amp;Row=3538&amp;Col=1","No Title Assigned - #15268463668")</f>
        <v/>
      </c>
      <c r="B3546" s="0" t="s">
        <v>5095</v>
      </c>
      <c r="E3546" s="0" t="inlineStr">
        <is>
          <t xml:space="preserve">Mazda</t>
        </is>
      </c>
      <c r="F3546" s="0" t="inlineStr">
        <is>
          <t xml:space="preserve">Mazda</t>
        </is>
      </c>
      <c r="G3546" s="0" t="s">
        <v>171</v>
      </c>
      <c r="H3546" s="5">
        <v>1412.542000</v>
      </c>
    </row>
    <row r="3547" spans="1:9">
      <c r="A3547" s="22" t="str">
        <f>HYPERLINK("https://app.vivvix.com/360/KMI/IntelliDrive/ApplUI/Pages/CreativePages/CustomReportCreativeDetail.aspx?App=23&amp;ReportView=4&amp;Qid=1711279&amp;Row=3539&amp;Col=1","No Title Assigned - #15268465168")</f>
        <v/>
      </c>
      <c r="B3547" s="0" t="s">
        <v>5096</v>
      </c>
      <c r="C3547" s="0" t="s">
        <v>5097</v>
      </c>
      <c r="D3547" s="0" t="s">
        <v>5097</v>
      </c>
      <c r="E3547" s="0" t="inlineStr">
        <is>
          <t xml:space="preserve">Mazda</t>
        </is>
      </c>
      <c r="F3547" s="0" t="inlineStr">
        <is>
          <t xml:space="preserve">Mazda</t>
        </is>
      </c>
      <c r="G3547" s="0" t="s">
        <v>171</v>
      </c>
      <c r="H3547" s="5">
        <v>10.356500</v>
      </c>
    </row>
    <row r="3548" spans="1:9">
      <c r="A3548" s="22" t="str">
        <f>HYPERLINK("https://app.vivvix.com/360/KMI/IntelliDrive/ApplUI/Pages/CreativePages/CustomReportCreativeDetail.aspx?App=23&amp;ReportView=4&amp;Qid=1711279&amp;Row=3540&amp;Col=1","No Title Assigned - #15268465324")</f>
        <v/>
      </c>
      <c r="B3548" s="0" t="s">
        <v>5098</v>
      </c>
      <c r="E3548" s="0" t="inlineStr">
        <is>
          <t xml:space="preserve">Mazda</t>
        </is>
      </c>
      <c r="F3548" s="0" t="inlineStr">
        <is>
          <t xml:space="preserve">Mazda</t>
        </is>
      </c>
      <c r="G3548" s="0" t="s">
        <v>171</v>
      </c>
      <c r="H3548" s="5">
        <v>3.423400</v>
      </c>
    </row>
    <row r="3549" spans="1:9">
      <c r="A3549" s="22" t="str">
        <f>HYPERLINK("https://app.vivvix.com/360/KMI/IntelliDrive/ApplUI/Pages/CreativePages/CustomReportCreativeDetail.aspx?App=23&amp;ReportView=4&amp;Qid=1711279&amp;Row=3541&amp;Col=1","No Title Assigned - #15268465402")</f>
        <v/>
      </c>
      <c r="B3549" s="0" t="s">
        <v>5099</v>
      </c>
      <c r="E3549" s="0" t="inlineStr">
        <is>
          <t xml:space="preserve">Mazda</t>
        </is>
      </c>
      <c r="F3549" s="0" t="inlineStr">
        <is>
          <t xml:space="preserve">Mazda</t>
        </is>
      </c>
      <c r="G3549" s="0" t="s">
        <v>171</v>
      </c>
      <c r="H3549" s="5">
        <v>230.860900</v>
      </c>
    </row>
    <row r="3550" spans="1:9">
      <c r="A3550" s="22" t="str">
        <f>HYPERLINK("https://app.vivvix.com/360/KMI/IntelliDrive/ApplUI/Pages/CreativePages/CustomReportCreativeDetail.aspx?App=23&amp;ReportView=4&amp;Qid=1711279&amp;Row=3542&amp;Col=1","No Title Assigned - #15268466108")</f>
        <v/>
      </c>
      <c r="B3550" s="0" t="s">
        <v>5100</v>
      </c>
      <c r="E3550" s="0" t="inlineStr">
        <is>
          <t xml:space="preserve">Mazda</t>
        </is>
      </c>
      <c r="F3550" s="0" t="inlineStr">
        <is>
          <t xml:space="preserve">Mazda</t>
        </is>
      </c>
      <c r="G3550" s="0" t="s">
        <v>171</v>
      </c>
      <c r="H3550" s="5">
        <v>20602.257800</v>
      </c>
    </row>
    <row r="3551" spans="1:9">
      <c r="A3551" s="22" t="str">
        <f>HYPERLINK("https://app.vivvix.com/360/KMI/IntelliDrive/ApplUI/Pages/CreativePages/CustomReportCreativeDetail.aspx?App=23&amp;ReportView=4&amp;Qid=1711279&amp;Row=3543&amp;Col=1","No Title Assigned - #15268468243")</f>
        <v/>
      </c>
      <c r="B3551" s="0" t="s">
        <v>5101</v>
      </c>
      <c r="E3551" s="0" t="inlineStr">
        <is>
          <t xml:space="preserve">Mazda</t>
        </is>
      </c>
      <c r="F3551" s="0" t="inlineStr">
        <is>
          <t xml:space="preserve">Mazda</t>
        </is>
      </c>
      <c r="G3551" s="0" t="s">
        <v>171</v>
      </c>
      <c r="H3551" s="5">
        <v>73.975500</v>
      </c>
    </row>
    <row r="3552" spans="1:9">
      <c r="A3552" s="22" t="str">
        <f>HYPERLINK("https://app.vivvix.com/360/KMI/IntelliDrive/ApplUI/Pages/CreativePages/CustomReportCreativeDetail.aspx?App=23&amp;ReportView=4&amp;Qid=1711279&amp;Row=3544&amp;Col=1","No Title Assigned - #15268468245")</f>
        <v/>
      </c>
      <c r="B3552" s="0" t="s">
        <v>5102</v>
      </c>
      <c r="E3552" s="0" t="inlineStr">
        <is>
          <t xml:space="preserve">Mazda</t>
        </is>
      </c>
      <c r="F3552" s="0" t="inlineStr">
        <is>
          <t xml:space="preserve">Mazda</t>
        </is>
      </c>
      <c r="G3552" s="0" t="s">
        <v>171</v>
      </c>
      <c r="H3552" s="5">
        <v>904.968000</v>
      </c>
    </row>
    <row r="3553" spans="1:9">
      <c r="A3553" s="22" t="str">
        <f>HYPERLINK("https://app.vivvix.com/360/KMI/IntelliDrive/ApplUI/Pages/CreativePages/CustomReportCreativeDetail.aspx?App=23&amp;ReportView=4&amp;Qid=1711279&amp;Row=3545&amp;Col=1","No Title Assigned - #15268469223")</f>
        <v/>
      </c>
      <c r="B3553" s="0" t="s">
        <v>5103</v>
      </c>
      <c r="E3553" s="0" t="inlineStr">
        <is>
          <t xml:space="preserve">Mazda</t>
        </is>
      </c>
      <c r="F3553" s="0" t="inlineStr">
        <is>
          <t xml:space="preserve">Mazda</t>
        </is>
      </c>
      <c r="G3553" s="0" t="s">
        <v>171</v>
      </c>
      <c r="H3553" s="5">
        <v>23.239600</v>
      </c>
    </row>
    <row r="3554" spans="1:9">
      <c r="A3554" s="22" t="str">
        <f>HYPERLINK("https://app.vivvix.com/360/KMI/IntelliDrive/ApplUI/Pages/CreativePages/CustomReportCreativeDetail.aspx?App=23&amp;ReportView=4&amp;Qid=1711279&amp;Row=3546&amp;Col=1","No Title Assigned - #15268469223")</f>
        <v/>
      </c>
      <c r="B3554" s="0" t="s">
        <v>5103</v>
      </c>
      <c r="E3554" s="0" t="inlineStr">
        <is>
          <t xml:space="preserve">Mazda</t>
        </is>
      </c>
      <c r="F3554" s="0" t="inlineStr">
        <is>
          <t xml:space="preserve">Mazda</t>
        </is>
      </c>
      <c r="G3554" s="0" t="s">
        <v>171</v>
      </c>
      <c r="H3554" s="5">
        <v>1400.705400</v>
      </c>
    </row>
    <row r="3555" spans="1:9">
      <c r="A3555" s="22" t="str">
        <f>HYPERLINK("https://app.vivvix.com/360/KMI/IntelliDrive/ApplUI/Pages/CreativePages/CustomReportCreativeDetail.aspx?App=23&amp;ReportView=4&amp;Qid=1711279&amp;Row=3547&amp;Col=1","No Title Assigned - #15268469294")</f>
        <v/>
      </c>
      <c r="B3555" s="0" t="s">
        <v>5104</v>
      </c>
      <c r="E3555" s="0" t="inlineStr">
        <is>
          <t xml:space="preserve">Mazda</t>
        </is>
      </c>
      <c r="F3555" s="0" t="inlineStr">
        <is>
          <t xml:space="preserve">Mazda</t>
        </is>
      </c>
      <c r="G3555" s="0" t="s">
        <v>171</v>
      </c>
      <c r="H3555" s="5">
        <v>403.850400</v>
      </c>
    </row>
    <row r="3556" spans="1:9">
      <c r="A3556" s="22" t="str">
        <f>HYPERLINK("https://app.vivvix.com/360/KMI/IntelliDrive/ApplUI/Pages/CreativePages/CustomReportCreativeDetail.aspx?App=23&amp;ReportView=4&amp;Qid=1711279&amp;Row=3548&amp;Col=1","No Title Assigned - #15268470701")</f>
        <v/>
      </c>
      <c r="B3556" s="0" t="s">
        <v>5105</v>
      </c>
      <c r="E3556" s="0" t="inlineStr">
        <is>
          <t xml:space="preserve">Mazda</t>
        </is>
      </c>
      <c r="F3556" s="0" t="inlineStr">
        <is>
          <t xml:space="preserve">Mazda</t>
        </is>
      </c>
      <c r="G3556" s="0" t="s">
        <v>171</v>
      </c>
      <c r="H3556" s="5">
        <v>409.225800</v>
      </c>
    </row>
    <row r="3557" spans="1:9">
      <c r="A3557" s="22" t="str">
        <f>HYPERLINK("https://app.vivvix.com/360/KMI/IntelliDrive/ApplUI/Pages/CreativePages/CustomReportCreativeDetail.aspx?App=23&amp;ReportView=4&amp;Qid=1711279&amp;Row=3549&amp;Col=1","No Title Assigned - #15268476342")</f>
        <v/>
      </c>
      <c r="B3557" s="0" t="s">
        <v>5106</v>
      </c>
      <c r="C3557" s="0" t="s">
        <v>5107</v>
      </c>
      <c r="D3557" s="0" t="s">
        <v>5107</v>
      </c>
      <c r="E3557" s="0" t="inlineStr">
        <is>
          <t xml:space="preserve">Mazda</t>
        </is>
      </c>
      <c r="F3557" s="0" t="inlineStr">
        <is>
          <t xml:space="preserve">Mazda</t>
        </is>
      </c>
      <c r="G3557" s="0" t="s">
        <v>171</v>
      </c>
      <c r="H3557" s="5">
        <v>216.215500</v>
      </c>
    </row>
    <row r="3558" spans="1:9">
      <c r="A3558" s="22" t="str">
        <f>HYPERLINK("https://app.vivvix.com/360/KMI/IntelliDrive/ApplUI/Pages/CreativePages/CustomReportCreativeDetail.aspx?App=23&amp;ReportView=4&amp;Qid=1711279&amp;Row=3550&amp;Col=1","No Title Assigned - #15268477396")</f>
        <v/>
      </c>
      <c r="B3558" s="0" t="s">
        <v>5108</v>
      </c>
      <c r="E3558" s="0" t="inlineStr">
        <is>
          <t xml:space="preserve">Mazda</t>
        </is>
      </c>
      <c r="F3558" s="0" t="inlineStr">
        <is>
          <t xml:space="preserve">Mazda</t>
        </is>
      </c>
      <c r="G3558" s="0" t="s">
        <v>171</v>
      </c>
      <c r="H3558" s="5">
        <v>140.314500</v>
      </c>
    </row>
    <row r="3559" spans="1:9">
      <c r="A3559" s="22" t="str">
        <f>HYPERLINK("https://app.vivvix.com/360/KMI/IntelliDrive/ApplUI/Pages/CreativePages/CustomReportCreativeDetail.aspx?App=23&amp;ReportView=4&amp;Qid=1711279&amp;Row=3551&amp;Col=1","No Title Assigned - #15268479867")</f>
        <v/>
      </c>
      <c r="B3559" s="0" t="s">
        <v>5109</v>
      </c>
      <c r="E3559" s="0" t="inlineStr">
        <is>
          <t xml:space="preserve">Mazda</t>
        </is>
      </c>
      <c r="F3559" s="0" t="inlineStr">
        <is>
          <t xml:space="preserve">Mazda</t>
        </is>
      </c>
      <c r="G3559" s="0" t="s">
        <v>171</v>
      </c>
      <c r="H3559" s="5">
        <v>47.360000</v>
      </c>
    </row>
    <row r="3560" spans="1:9">
      <c r="A3560" s="22" t="str">
        <f>HYPERLINK("https://app.vivvix.com/360/KMI/IntelliDrive/ApplUI/Pages/CreativePages/CustomReportCreativeDetail.aspx?App=23&amp;ReportView=4&amp;Qid=1711279&amp;Row=3552&amp;Col=1","No Title Assigned - #15268480411")</f>
        <v/>
      </c>
      <c r="B3560" s="0" t="s">
        <v>5110</v>
      </c>
      <c r="E3560" s="0" t="inlineStr">
        <is>
          <t xml:space="preserve">Mazda</t>
        </is>
      </c>
      <c r="F3560" s="0" t="inlineStr">
        <is>
          <t xml:space="preserve">Mazda</t>
        </is>
      </c>
      <c r="G3560" s="0" t="s">
        <v>171</v>
      </c>
      <c r="H3560" s="5">
        <v>654.430100</v>
      </c>
    </row>
    <row r="3561" spans="1:9">
      <c r="A3561" s="22" t="str">
        <f>HYPERLINK("https://app.vivvix.com/360/KMI/IntelliDrive/ApplUI/Pages/CreativePages/CustomReportCreativeDetail.aspx?App=23&amp;ReportView=4&amp;Qid=1711279&amp;Row=3553&amp;Col=1","No Title Assigned - #15268480439")</f>
        <v/>
      </c>
      <c r="B3561" s="0" t="s">
        <v>5111</v>
      </c>
      <c r="C3561" s="0" t="s">
        <v>5112</v>
      </c>
      <c r="D3561" s="0" t="s">
        <v>5112</v>
      </c>
      <c r="E3561" s="0" t="inlineStr">
        <is>
          <t xml:space="preserve">Mazda</t>
        </is>
      </c>
      <c r="F3561" s="0" t="inlineStr">
        <is>
          <t xml:space="preserve">Mazda</t>
        </is>
      </c>
      <c r="G3561" s="0" t="s">
        <v>171</v>
      </c>
      <c r="H3561" s="5">
        <v>986.456100</v>
      </c>
    </row>
    <row r="3562" spans="1:9">
      <c r="A3562" s="22" t="str">
        <f>HYPERLINK("https://app.vivvix.com/360/KMI/IntelliDrive/ApplUI/Pages/CreativePages/CustomReportCreativeDetail.aspx?App=23&amp;ReportView=4&amp;Qid=1711279&amp;Row=3554&amp;Col=1","No Title Assigned - #15268482384")</f>
        <v/>
      </c>
      <c r="B3562" s="0" t="s">
        <v>5113</v>
      </c>
      <c r="E3562" s="0" t="inlineStr">
        <is>
          <t xml:space="preserve">Mazda</t>
        </is>
      </c>
      <c r="F3562" s="0" t="inlineStr">
        <is>
          <t xml:space="preserve">Mazda</t>
        </is>
      </c>
      <c r="G3562" s="0" t="s">
        <v>171</v>
      </c>
      <c r="H3562" s="5">
        <v>353.082100</v>
      </c>
    </row>
    <row r="3563" spans="1:9">
      <c r="A3563" s="22" t="str">
        <f>HYPERLINK("https://app.vivvix.com/360/KMI/IntelliDrive/ApplUI/Pages/CreativePages/CustomReportCreativeDetail.aspx?App=23&amp;ReportView=4&amp;Qid=1711279&amp;Row=3555&amp;Col=1","No Title Assigned - #15268483454")</f>
        <v/>
      </c>
      <c r="B3563" s="0" t="s">
        <v>5114</v>
      </c>
      <c r="E3563" s="0" t="inlineStr">
        <is>
          <t xml:space="preserve">Mazda</t>
        </is>
      </c>
      <c r="F3563" s="0" t="inlineStr">
        <is>
          <t xml:space="preserve">Mazda</t>
        </is>
      </c>
      <c r="G3563" s="0" t="s">
        <v>171</v>
      </c>
      <c r="H3563" s="5">
        <v>78531.257800</v>
      </c>
    </row>
    <row r="3564" spans="1:9">
      <c r="A3564" s="22" t="str">
        <f>HYPERLINK("https://app.vivvix.com/360/KMI/IntelliDrive/ApplUI/Pages/CreativePages/CustomReportCreativeDetail.aspx?App=23&amp;ReportView=4&amp;Qid=1711279&amp;Row=3556&amp;Col=1","No Title Assigned - #15268486420")</f>
        <v/>
      </c>
      <c r="B3564" s="0" t="s">
        <v>5115</v>
      </c>
      <c r="E3564" s="0" t="inlineStr">
        <is>
          <t xml:space="preserve">Mazda</t>
        </is>
      </c>
      <c r="F3564" s="0" t="inlineStr">
        <is>
          <t xml:space="preserve">Mazda</t>
        </is>
      </c>
      <c r="G3564" s="0" t="s">
        <v>171</v>
      </c>
      <c r="H3564" s="5">
        <v>1204.708100</v>
      </c>
    </row>
    <row r="3565" spans="1:9">
      <c r="A3565" s="22" t="str">
        <f>HYPERLINK("https://app.vivvix.com/360/KMI/IntelliDrive/ApplUI/Pages/CreativePages/CustomReportCreativeDetail.aspx?App=23&amp;ReportView=4&amp;Qid=1711279&amp;Row=3557&amp;Col=1","No Title Assigned - #15268486528")</f>
        <v/>
      </c>
      <c r="B3565" s="0" t="s">
        <v>5116</v>
      </c>
      <c r="E3565" s="0" t="inlineStr">
        <is>
          <t xml:space="preserve">Mazda</t>
        </is>
      </c>
      <c r="F3565" s="0" t="inlineStr">
        <is>
          <t xml:space="preserve">Mazda</t>
        </is>
      </c>
      <c r="G3565" s="0" t="s">
        <v>171</v>
      </c>
      <c r="H3565" s="5">
        <v>19.405200</v>
      </c>
    </row>
    <row r="3566" spans="1:9">
      <c r="A3566" s="22" t="str">
        <f>HYPERLINK("https://app.vivvix.com/360/KMI/IntelliDrive/ApplUI/Pages/CreativePages/CustomReportCreativeDetail.aspx?App=23&amp;ReportView=4&amp;Qid=1711279&amp;Row=3558&amp;Col=1","No Title Assigned - #15268486608")</f>
        <v/>
      </c>
      <c r="B3566" s="0" t="s">
        <v>5117</v>
      </c>
      <c r="E3566" s="0" t="inlineStr">
        <is>
          <t xml:space="preserve">Mazda</t>
        </is>
      </c>
      <c r="F3566" s="0" t="inlineStr">
        <is>
          <t xml:space="preserve">Mazda</t>
        </is>
      </c>
      <c r="G3566" s="0" t="s">
        <v>171</v>
      </c>
      <c r="H3566" s="5">
        <v>5.615000</v>
      </c>
    </row>
    <row r="3567" spans="1:9">
      <c r="A3567" s="22" t="str">
        <f>HYPERLINK("https://app.vivvix.com/360/KMI/IntelliDrive/ApplUI/Pages/CreativePages/CustomReportCreativeDetail.aspx?App=23&amp;ReportView=4&amp;Qid=1711279&amp;Row=3559&amp;Col=1","No Title Assigned - #15268486677")</f>
        <v/>
      </c>
      <c r="B3567" s="0" t="s">
        <v>5118</v>
      </c>
      <c r="E3567" s="0" t="inlineStr">
        <is>
          <t xml:space="preserve">Mazda</t>
        </is>
      </c>
      <c r="F3567" s="0" t="inlineStr">
        <is>
          <t xml:space="preserve">Mazda</t>
        </is>
      </c>
      <c r="G3567" s="0" t="s">
        <v>171</v>
      </c>
      <c r="H3567" s="5">
        <v>394.697100</v>
      </c>
    </row>
    <row r="3568" spans="1:9">
      <c r="A3568" s="22" t="str">
        <f>HYPERLINK("https://app.vivvix.com/360/KMI/IntelliDrive/ApplUI/Pages/CreativePages/CustomReportCreativeDetail.aspx?App=23&amp;ReportView=4&amp;Qid=1711279&amp;Row=3560&amp;Col=1","No Title Assigned - #15268487830")</f>
        <v/>
      </c>
      <c r="B3568" s="0" t="s">
        <v>5119</v>
      </c>
      <c r="E3568" s="0" t="inlineStr">
        <is>
          <t xml:space="preserve">Mazda</t>
        </is>
      </c>
      <c r="F3568" s="0" t="inlineStr">
        <is>
          <t xml:space="preserve">Mazda</t>
        </is>
      </c>
      <c r="G3568" s="0" t="s">
        <v>171</v>
      </c>
      <c r="H3568" s="5">
        <v>30.316000</v>
      </c>
    </row>
    <row r="3569" spans="1:9">
      <c r="A3569" s="22" t="str">
        <f>HYPERLINK("https://app.vivvix.com/360/KMI/IntelliDrive/ApplUI/Pages/CreativePages/CustomReportCreativeDetail.aspx?App=23&amp;ReportView=4&amp;Qid=1711279&amp;Row=3561&amp;Col=1","No Title Assigned - #15268488329")</f>
        <v/>
      </c>
      <c r="B3569" s="0" t="s">
        <v>5120</v>
      </c>
      <c r="E3569" s="0" t="inlineStr">
        <is>
          <t xml:space="preserve">Mazda</t>
        </is>
      </c>
      <c r="F3569" s="0" t="inlineStr">
        <is>
          <t xml:space="preserve">Mazda</t>
        </is>
      </c>
      <c r="G3569" s="0" t="s">
        <v>171</v>
      </c>
      <c r="H3569" s="5">
        <v>11.704200</v>
      </c>
    </row>
    <row r="3570" spans="1:9">
      <c r="A3570" s="22" t="str">
        <f>HYPERLINK("https://app.vivvix.com/360/KMI/IntelliDrive/ApplUI/Pages/CreativePages/CustomReportCreativeDetail.aspx?App=23&amp;ReportView=4&amp;Qid=1711279&amp;Row=3562&amp;Col=1","No Title Assigned - #15268488639")</f>
        <v/>
      </c>
      <c r="B3570" s="0" t="s">
        <v>5121</v>
      </c>
      <c r="E3570" s="0" t="inlineStr">
        <is>
          <t xml:space="preserve">Mazda</t>
        </is>
      </c>
      <c r="F3570" s="0" t="inlineStr">
        <is>
          <t xml:space="preserve">Mazda</t>
        </is>
      </c>
      <c r="G3570" s="0" t="s">
        <v>171</v>
      </c>
      <c r="H3570" s="5">
        <v>599.038700</v>
      </c>
    </row>
    <row r="3571" spans="1:9">
      <c r="A3571" s="22" t="str">
        <f>HYPERLINK("https://app.vivvix.com/360/KMI/IntelliDrive/ApplUI/Pages/CreativePages/CustomReportCreativeDetail.aspx?App=23&amp;ReportView=4&amp;Qid=1711279&amp;Row=3563&amp;Col=1","No Title Assigned - #15268489291")</f>
        <v/>
      </c>
      <c r="B3571" s="0" t="s">
        <v>5122</v>
      </c>
      <c r="E3571" s="0" t="inlineStr">
        <is>
          <t xml:space="preserve">Mazda</t>
        </is>
      </c>
      <c r="F3571" s="0" t="inlineStr">
        <is>
          <t xml:space="preserve">Mazda</t>
        </is>
      </c>
      <c r="G3571" s="0" t="s">
        <v>171</v>
      </c>
      <c r="H3571" s="5">
        <v>11.240900</v>
      </c>
    </row>
    <row r="3572" spans="1:9">
      <c r="A3572" s="22" t="str">
        <f>HYPERLINK("https://app.vivvix.com/360/KMI/IntelliDrive/ApplUI/Pages/CreativePages/CustomReportCreativeDetail.aspx?App=23&amp;ReportView=4&amp;Qid=1711279&amp;Row=3564&amp;Col=1","No Title Assigned - #15268489449")</f>
        <v/>
      </c>
      <c r="B3572" s="0" t="s">
        <v>5123</v>
      </c>
      <c r="C3572" s="0" t="s">
        <v>5124</v>
      </c>
      <c r="D3572" s="0" t="s">
        <v>5124</v>
      </c>
      <c r="E3572" s="0" t="inlineStr">
        <is>
          <t xml:space="preserve">Mazda</t>
        </is>
      </c>
      <c r="F3572" s="0" t="inlineStr">
        <is>
          <t xml:space="preserve">Mazda</t>
        </is>
      </c>
      <c r="G3572" s="0" t="s">
        <v>171</v>
      </c>
      <c r="H3572" s="5">
        <v>75.661800</v>
      </c>
    </row>
    <row r="3573" spans="1:9">
      <c r="A3573" s="22" t="str">
        <f>HYPERLINK("https://app.vivvix.com/360/KMI/IntelliDrive/ApplUI/Pages/CreativePages/CustomReportCreativeDetail.aspx?App=23&amp;ReportView=4&amp;Qid=1711279&amp;Row=3565&amp;Col=1","No Title Assigned - #15268489556")</f>
        <v/>
      </c>
      <c r="B3573" s="0" t="s">
        <v>5125</v>
      </c>
      <c r="E3573" s="0" t="inlineStr">
        <is>
          <t xml:space="preserve">Mazda</t>
        </is>
      </c>
      <c r="F3573" s="0" t="inlineStr">
        <is>
          <t xml:space="preserve">Mazda</t>
        </is>
      </c>
      <c r="G3573" s="0" t="s">
        <v>171</v>
      </c>
      <c r="H3573" s="5">
        <v>10.918000</v>
      </c>
    </row>
    <row r="3574" spans="1:9">
      <c r="A3574" s="22" t="str">
        <f>HYPERLINK("https://app.vivvix.com/360/KMI/IntelliDrive/ApplUI/Pages/CreativePages/CustomReportCreativeDetail.aspx?App=23&amp;ReportView=4&amp;Qid=1711279&amp;Row=3566&amp;Col=1","No Title Assigned - #15268491941")</f>
        <v/>
      </c>
      <c r="B3574" s="0" t="s">
        <v>5126</v>
      </c>
      <c r="C3574" s="0" t="s">
        <v>5127</v>
      </c>
      <c r="D3574" s="0" t="s">
        <v>5127</v>
      </c>
      <c r="E3574" s="0" t="inlineStr">
        <is>
          <t xml:space="preserve">Mazda</t>
        </is>
      </c>
      <c r="F3574" s="0" t="inlineStr">
        <is>
          <t xml:space="preserve">Mazda</t>
        </is>
      </c>
      <c r="G3574" s="0" t="s">
        <v>171</v>
      </c>
      <c r="H3574" s="5">
        <v>125.959300</v>
      </c>
    </row>
    <row r="3575" spans="1:9">
      <c r="A3575" s="22" t="str">
        <f>HYPERLINK("https://app.vivvix.com/360/KMI/IntelliDrive/ApplUI/Pages/CreativePages/CustomReportCreativeDetail.aspx?App=23&amp;ReportView=4&amp;Qid=1711279&amp;Row=3567&amp;Col=1","No Title Assigned - #15268491941")</f>
        <v/>
      </c>
      <c r="B3575" s="0" t="s">
        <v>5126</v>
      </c>
      <c r="E3575" s="0" t="inlineStr">
        <is>
          <t xml:space="preserve">Mazda</t>
        </is>
      </c>
      <c r="F3575" s="0" t="inlineStr">
        <is>
          <t xml:space="preserve">Mazda</t>
        </is>
      </c>
      <c r="G3575" s="0" t="s">
        <v>171</v>
      </c>
      <c r="H3575" s="5">
        <v>262.162800</v>
      </c>
    </row>
    <row r="3576" spans="1:9">
      <c r="A3576" s="22" t="str">
        <f>HYPERLINK("https://app.vivvix.com/360/KMI/IntelliDrive/ApplUI/Pages/CreativePages/CustomReportCreativeDetail.aspx?App=23&amp;ReportView=4&amp;Qid=1711279&amp;Row=3568&amp;Col=1","No Title Assigned - #15268492892")</f>
        <v/>
      </c>
      <c r="B3576" s="0" t="s">
        <v>5128</v>
      </c>
      <c r="E3576" s="0" t="inlineStr">
        <is>
          <t xml:space="preserve">Mazda</t>
        </is>
      </c>
      <c r="F3576" s="0" t="inlineStr">
        <is>
          <t xml:space="preserve">Mazda</t>
        </is>
      </c>
      <c r="G3576" s="0" t="s">
        <v>171</v>
      </c>
      <c r="H3576" s="5">
        <v>28.771800</v>
      </c>
    </row>
    <row r="3577" spans="1:9">
      <c r="A3577" s="22" t="str">
        <f>HYPERLINK("https://app.vivvix.com/360/KMI/IntelliDrive/ApplUI/Pages/CreativePages/CustomReportCreativeDetail.aspx?App=23&amp;ReportView=4&amp;Qid=1711279&amp;Row=3569&amp;Col=1","No Title Assigned - #15268492952")</f>
        <v/>
      </c>
      <c r="B3577" s="0" t="s">
        <v>5129</v>
      </c>
      <c r="E3577" s="0" t="inlineStr">
        <is>
          <t xml:space="preserve">Mazda</t>
        </is>
      </c>
      <c r="F3577" s="0" t="s">
        <v>21</v>
      </c>
      <c r="G3577" s="0" t="s">
        <v>22</v>
      </c>
      <c r="H3577" s="5">
        <v>1976.279200</v>
      </c>
    </row>
    <row r="3578" spans="1:9">
      <c r="A3578" s="22" t="str">
        <f>HYPERLINK("https://app.vivvix.com/360/KMI/IntelliDrive/ApplUI/Pages/CreativePages/CustomReportCreativeDetail.aspx?App=23&amp;ReportView=4&amp;Qid=1711279&amp;Row=3570&amp;Col=1","No Title Assigned - #15268493047")</f>
        <v/>
      </c>
      <c r="B3578" s="0" t="s">
        <v>5130</v>
      </c>
      <c r="E3578" s="0" t="inlineStr">
        <is>
          <t xml:space="preserve">Mazda</t>
        </is>
      </c>
      <c r="F3578" s="0" t="inlineStr">
        <is>
          <t xml:space="preserve">Mazda</t>
        </is>
      </c>
      <c r="G3578" s="0" t="s">
        <v>171</v>
      </c>
      <c r="H3578" s="5">
        <v>13761.275400</v>
      </c>
    </row>
    <row r="3579" spans="1:9">
      <c r="A3579" s="22" t="str">
        <f>HYPERLINK("https://app.vivvix.com/360/KMI/IntelliDrive/ApplUI/Pages/CreativePages/CustomReportCreativeDetail.aspx?App=23&amp;ReportView=4&amp;Qid=1711279&amp;Row=3571&amp;Col=1","No Title Assigned - #15268493051")</f>
        <v/>
      </c>
      <c r="B3579" s="0" t="s">
        <v>5131</v>
      </c>
      <c r="E3579" s="0" t="inlineStr">
        <is>
          <t xml:space="preserve">Mazda</t>
        </is>
      </c>
      <c r="F3579" s="0" t="s">
        <v>21</v>
      </c>
      <c r="G3579" s="0" t="s">
        <v>22</v>
      </c>
      <c r="H3579" s="5">
        <v>292.780900</v>
      </c>
    </row>
    <row r="3580" spans="1:9">
      <c r="A3580" s="22" t="str">
        <f>HYPERLINK("https://app.vivvix.com/360/KMI/IntelliDrive/ApplUI/Pages/CreativePages/CustomReportCreativeDetail.aspx?App=23&amp;ReportView=4&amp;Qid=1711279&amp;Row=3572&amp;Col=1","No Title Assigned - #15268493074")</f>
        <v/>
      </c>
      <c r="B3580" s="0" t="s">
        <v>5132</v>
      </c>
      <c r="C3580" s="0" t="s">
        <v>5133</v>
      </c>
      <c r="D3580" s="0" t="s">
        <v>5133</v>
      </c>
      <c r="E3580" s="0" t="inlineStr">
        <is>
          <t xml:space="preserve">Mazda</t>
        </is>
      </c>
      <c r="F3580" s="0" t="inlineStr">
        <is>
          <t xml:space="preserve">Mazda</t>
        </is>
      </c>
      <c r="G3580" s="0" t="s">
        <v>171</v>
      </c>
      <c r="H3580" s="5">
        <v>2646.979200</v>
      </c>
    </row>
    <row r="3581" spans="1:9">
      <c r="A3581" s="22" t="str">
        <f>HYPERLINK("https://app.vivvix.com/360/KMI/IntelliDrive/ApplUI/Pages/CreativePages/CustomReportCreativeDetail.aspx?App=23&amp;ReportView=4&amp;Qid=1711279&amp;Row=3573&amp;Col=1","No Title Assigned - #15268493128")</f>
        <v/>
      </c>
      <c r="B3581" s="0" t="s">
        <v>5134</v>
      </c>
      <c r="E3581" s="0" t="inlineStr">
        <is>
          <t xml:space="preserve">Mazda</t>
        </is>
      </c>
      <c r="F3581" s="0" t="inlineStr">
        <is>
          <t xml:space="preserve">Mazda</t>
        </is>
      </c>
      <c r="G3581" s="0" t="s">
        <v>171</v>
      </c>
      <c r="H3581" s="5">
        <v>1460.662600</v>
      </c>
    </row>
    <row r="3582" spans="1:9">
      <c r="A3582" s="22" t="str">
        <f>HYPERLINK("https://app.vivvix.com/360/KMI/IntelliDrive/ApplUI/Pages/CreativePages/CustomReportCreativeDetail.aspx?App=23&amp;ReportView=4&amp;Qid=1711279&amp;Row=3574&amp;Col=1","No Title Assigned - #15268493760")</f>
        <v/>
      </c>
      <c r="B3582" s="0" t="s">
        <v>5135</v>
      </c>
      <c r="E3582" s="0" t="inlineStr">
        <is>
          <t xml:space="preserve">Mazda</t>
        </is>
      </c>
      <c r="F3582" s="0" t="inlineStr">
        <is>
          <t xml:space="preserve">Mazda</t>
        </is>
      </c>
      <c r="G3582" s="0" t="s">
        <v>171</v>
      </c>
      <c r="H3582" s="5">
        <v>69.246500</v>
      </c>
    </row>
    <row r="3583" spans="1:9">
      <c r="A3583" s="22" t="str">
        <f>HYPERLINK("https://app.vivvix.com/360/KMI/IntelliDrive/ApplUI/Pages/CreativePages/CustomReportCreativeDetail.aspx?App=23&amp;ReportView=4&amp;Qid=1711279&amp;Row=3575&amp;Col=1","No Title Assigned - #15268493801")</f>
        <v/>
      </c>
      <c r="B3583" s="0" t="s">
        <v>5136</v>
      </c>
      <c r="E3583" s="0" t="inlineStr">
        <is>
          <t xml:space="preserve">Mazda</t>
        </is>
      </c>
      <c r="F3583" s="0" t="s">
        <v>21</v>
      </c>
      <c r="G3583" s="0" t="s">
        <v>22</v>
      </c>
      <c r="H3583" s="5">
        <v>238.316600</v>
      </c>
    </row>
    <row r="3584" spans="1:9">
      <c r="A3584" s="22" t="str">
        <f>HYPERLINK("https://app.vivvix.com/360/KMI/IntelliDrive/ApplUI/Pages/CreativePages/CustomReportCreativeDetail.aspx?App=23&amp;ReportView=4&amp;Qid=1711279&amp;Row=3576&amp;Col=1","No Title Assigned - #15268494046")</f>
        <v/>
      </c>
      <c r="B3584" s="0" t="s">
        <v>5137</v>
      </c>
      <c r="E3584" s="0" t="inlineStr">
        <is>
          <t xml:space="preserve">Mazda</t>
        </is>
      </c>
      <c r="F3584" s="0" t="inlineStr">
        <is>
          <t xml:space="preserve">Mazda</t>
        </is>
      </c>
      <c r="G3584" s="0" t="s">
        <v>171</v>
      </c>
      <c r="H3584" s="5">
        <v>17.828600</v>
      </c>
    </row>
    <row r="3585" spans="1:9">
      <c r="A3585" s="22" t="str">
        <f>HYPERLINK("https://app.vivvix.com/360/KMI/IntelliDrive/ApplUI/Pages/CreativePages/CustomReportCreativeDetail.aspx?App=23&amp;ReportView=4&amp;Qid=1711279&amp;Row=3577&amp;Col=1","No Title Assigned - #15268494113")</f>
        <v/>
      </c>
      <c r="B3585" s="0" t="s">
        <v>5138</v>
      </c>
      <c r="C3585" s="0" t="s">
        <v>5139</v>
      </c>
      <c r="D3585" s="0" t="s">
        <v>5139</v>
      </c>
      <c r="E3585" s="0" t="inlineStr">
        <is>
          <t xml:space="preserve">Mazda</t>
        </is>
      </c>
      <c r="F3585" s="0" t="inlineStr">
        <is>
          <t xml:space="preserve">Mazda</t>
        </is>
      </c>
      <c r="G3585" s="0" t="s">
        <v>171</v>
      </c>
      <c r="H3585" s="5">
        <v>10.344300</v>
      </c>
    </row>
    <row r="3586" spans="1:9">
      <c r="A3586" s="22" t="str">
        <f>HYPERLINK("https://app.vivvix.com/360/KMI/IntelliDrive/ApplUI/Pages/CreativePages/CustomReportCreativeDetail.aspx?App=23&amp;ReportView=4&amp;Qid=1711279&amp;Row=3578&amp;Col=1","No Title Assigned - #15268494259")</f>
        <v/>
      </c>
      <c r="B3586" s="0" t="s">
        <v>5140</v>
      </c>
      <c r="C3586" s="0" t="s">
        <v>5141</v>
      </c>
      <c r="D3586" s="0" t="s">
        <v>5141</v>
      </c>
      <c r="E3586" s="0" t="inlineStr">
        <is>
          <t xml:space="preserve">Mazda</t>
        </is>
      </c>
      <c r="F3586" s="0" t="inlineStr">
        <is>
          <t xml:space="preserve">Mazda</t>
        </is>
      </c>
      <c r="G3586" s="0" t="s">
        <v>171</v>
      </c>
      <c r="H3586" s="5">
        <v>79.261100</v>
      </c>
    </row>
    <row r="3587" spans="1:9">
      <c r="A3587" s="22" t="str">
        <f>HYPERLINK("https://app.vivvix.com/360/KMI/IntelliDrive/ApplUI/Pages/CreativePages/CustomReportCreativeDetail.aspx?App=23&amp;ReportView=4&amp;Qid=1711279&amp;Row=3579&amp;Col=1","No Title Assigned - #15268494550")</f>
        <v/>
      </c>
      <c r="B3587" s="0" t="s">
        <v>5142</v>
      </c>
      <c r="E3587" s="0" t="inlineStr">
        <is>
          <t xml:space="preserve">Mazda</t>
        </is>
      </c>
      <c r="F3587" s="0" t="inlineStr">
        <is>
          <t xml:space="preserve">Mazda</t>
        </is>
      </c>
      <c r="G3587" s="0" t="s">
        <v>171</v>
      </c>
      <c r="H3587" s="5">
        <v>83.423500</v>
      </c>
    </row>
    <row r="3588" spans="1:9">
      <c r="A3588" s="22" t="str">
        <f>HYPERLINK("https://app.vivvix.com/360/KMI/IntelliDrive/ApplUI/Pages/CreativePages/CustomReportCreativeDetail.aspx?App=23&amp;ReportView=4&amp;Qid=1711279&amp;Row=3580&amp;Col=1","No Title Assigned - #15268494550")</f>
        <v/>
      </c>
      <c r="B3588" s="0" t="s">
        <v>5142</v>
      </c>
      <c r="E3588" s="0" t="inlineStr">
        <is>
          <t xml:space="preserve">Mazda</t>
        </is>
      </c>
      <c r="F3588" s="0" t="inlineStr">
        <is>
          <t xml:space="preserve">Mazda</t>
        </is>
      </c>
      <c r="G3588" s="0" t="s">
        <v>171</v>
      </c>
      <c r="H3588" s="5">
        <v>35.813500</v>
      </c>
    </row>
    <row r="3589" spans="1:9">
      <c r="A3589" s="22" t="str">
        <f>HYPERLINK("https://app.vivvix.com/360/KMI/IntelliDrive/ApplUI/Pages/CreativePages/CustomReportCreativeDetail.aspx?App=23&amp;ReportView=4&amp;Qid=1711279&amp;Row=3581&amp;Col=1","No Title Assigned - #15268494552")</f>
        <v/>
      </c>
      <c r="B3589" s="0" t="s">
        <v>5143</v>
      </c>
      <c r="E3589" s="0" t="inlineStr">
        <is>
          <t xml:space="preserve">Mazda</t>
        </is>
      </c>
      <c r="F3589" s="0" t="inlineStr">
        <is>
          <t xml:space="preserve">Mazda</t>
        </is>
      </c>
      <c r="G3589" s="0" t="s">
        <v>171</v>
      </c>
      <c r="H3589" s="5">
        <v>83.423500</v>
      </c>
    </row>
    <row r="3590" spans="1:9">
      <c r="A3590" s="22" t="str">
        <f>HYPERLINK("https://app.vivvix.com/360/KMI/IntelliDrive/ApplUI/Pages/CreativePages/CustomReportCreativeDetail.aspx?App=23&amp;ReportView=4&amp;Qid=1711279&amp;Row=3582&amp;Col=1","No Title Assigned - #15268495076")</f>
        <v/>
      </c>
      <c r="B3590" s="0" t="s">
        <v>5144</v>
      </c>
      <c r="C3590" s="0" t="s">
        <v>5145</v>
      </c>
      <c r="D3590" s="0" t="s">
        <v>5145</v>
      </c>
      <c r="E3590" s="0" t="inlineStr">
        <is>
          <t xml:space="preserve">Mazda</t>
        </is>
      </c>
      <c r="F3590" s="0" t="inlineStr">
        <is>
          <t xml:space="preserve">Mazda</t>
        </is>
      </c>
      <c r="G3590" s="0" t="s">
        <v>171</v>
      </c>
      <c r="H3590" s="5">
        <v>18.783000</v>
      </c>
    </row>
    <row r="3591" spans="1:9">
      <c r="A3591" s="22" t="str">
        <f>HYPERLINK("https://app.vivvix.com/360/KMI/IntelliDrive/ApplUI/Pages/CreativePages/CustomReportCreativeDetail.aspx?App=23&amp;ReportView=4&amp;Qid=1711279&amp;Row=3583&amp;Col=1","No Title Assigned - #15268495527")</f>
        <v/>
      </c>
      <c r="B3591" s="0" t="s">
        <v>5146</v>
      </c>
      <c r="C3591" s="0" t="s">
        <v>5147</v>
      </c>
      <c r="D3591" s="0" t="s">
        <v>5147</v>
      </c>
      <c r="E3591" s="0" t="inlineStr">
        <is>
          <t xml:space="preserve">Mazda</t>
        </is>
      </c>
      <c r="F3591" s="0" t="inlineStr">
        <is>
          <t xml:space="preserve">Mazda</t>
        </is>
      </c>
      <c r="G3591" s="0" t="s">
        <v>171</v>
      </c>
      <c r="H3591" s="5">
        <v>199.515000</v>
      </c>
    </row>
    <row r="3592" spans="1:9">
      <c r="A3592" s="22" t="str">
        <f>HYPERLINK("https://app.vivvix.com/360/KMI/IntelliDrive/ApplUI/Pages/CreativePages/CustomReportCreativeDetail.aspx?App=23&amp;ReportView=4&amp;Qid=1711279&amp;Row=3584&amp;Col=1","No Title Assigned - #15268495550")</f>
        <v/>
      </c>
      <c r="B3592" s="0" t="s">
        <v>5148</v>
      </c>
      <c r="E3592" s="0" t="inlineStr">
        <is>
          <t xml:space="preserve">Mazda</t>
        </is>
      </c>
      <c r="F3592" s="0" t="s">
        <v>21</v>
      </c>
      <c r="G3592" s="0" t="s">
        <v>22</v>
      </c>
      <c r="H3592" s="5">
        <v>259.406900</v>
      </c>
    </row>
    <row r="3593" spans="1:9">
      <c r="A3593" s="22" t="str">
        <f>HYPERLINK("https://app.vivvix.com/360/KMI/IntelliDrive/ApplUI/Pages/CreativePages/CustomReportCreativeDetail.aspx?App=23&amp;ReportView=4&amp;Qid=1711279&amp;Row=3585&amp;Col=1","No Title Assigned - #15268496062")</f>
        <v/>
      </c>
      <c r="B3593" s="0" t="s">
        <v>5149</v>
      </c>
      <c r="E3593" s="0" t="inlineStr">
        <is>
          <t xml:space="preserve">Mazda</t>
        </is>
      </c>
      <c r="F3593" s="0" t="inlineStr">
        <is>
          <t xml:space="preserve">Mazda</t>
        </is>
      </c>
      <c r="G3593" s="0" t="s">
        <v>171</v>
      </c>
      <c r="H3593" s="5">
        <v>453.207000</v>
      </c>
    </row>
    <row r="3594" spans="1:9">
      <c r="A3594" s="22" t="str">
        <f>HYPERLINK("https://app.vivvix.com/360/KMI/IntelliDrive/ApplUI/Pages/CreativePages/CustomReportCreativeDetail.aspx?App=23&amp;ReportView=4&amp;Qid=1711279&amp;Row=3586&amp;Col=1","No Title Assigned - #15268496267")</f>
        <v/>
      </c>
      <c r="B3594" s="0" t="s">
        <v>5150</v>
      </c>
      <c r="E3594" s="0" t="inlineStr">
        <is>
          <t xml:space="preserve">Mazda</t>
        </is>
      </c>
      <c r="F3594" s="0" t="inlineStr">
        <is>
          <t xml:space="preserve">Mazda</t>
        </is>
      </c>
      <c r="G3594" s="0" t="s">
        <v>171</v>
      </c>
      <c r="H3594" s="5">
        <v>53.871700</v>
      </c>
    </row>
    <row r="3595" spans="1:9">
      <c r="A3595" s="22" t="str">
        <f>HYPERLINK("https://app.vivvix.com/360/KMI/IntelliDrive/ApplUI/Pages/CreativePages/CustomReportCreativeDetail.aspx?App=23&amp;ReportView=4&amp;Qid=1711279&amp;Row=3587&amp;Col=1","No Title Assigned - #15268496307")</f>
        <v/>
      </c>
      <c r="B3595" s="0" t="s">
        <v>5151</v>
      </c>
      <c r="C3595" s="0" t="s">
        <v>5152</v>
      </c>
      <c r="D3595" s="0" t="s">
        <v>5152</v>
      </c>
      <c r="E3595" s="0" t="inlineStr">
        <is>
          <t xml:space="preserve">Mazda</t>
        </is>
      </c>
      <c r="F3595" s="0" t="inlineStr">
        <is>
          <t xml:space="preserve">Mazda</t>
        </is>
      </c>
      <c r="G3595" s="0" t="s">
        <v>171</v>
      </c>
      <c r="H3595" s="5">
        <v>111.884400</v>
      </c>
    </row>
    <row r="3596" spans="1:9">
      <c r="A3596" s="22" t="str">
        <f>HYPERLINK("https://app.vivvix.com/360/KMI/IntelliDrive/ApplUI/Pages/CreativePages/CustomReportCreativeDetail.aspx?App=23&amp;ReportView=4&amp;Qid=1711279&amp;Row=3588&amp;Col=1","No Title Assigned - #15268496393")</f>
        <v/>
      </c>
      <c r="B3596" s="0" t="s">
        <v>5153</v>
      </c>
      <c r="E3596" s="0" t="inlineStr">
        <is>
          <t xml:space="preserve">Mazda</t>
        </is>
      </c>
      <c r="F3596" s="0" t="inlineStr">
        <is>
          <t xml:space="preserve">Mazda</t>
        </is>
      </c>
      <c r="G3596" s="0" t="s">
        <v>171</v>
      </c>
      <c r="H3596" s="5">
        <v>666.552900</v>
      </c>
    </row>
    <row r="3597" spans="1:9">
      <c r="A3597" s="22" t="str">
        <f>HYPERLINK("https://app.vivvix.com/360/KMI/IntelliDrive/ApplUI/Pages/CreativePages/CustomReportCreativeDetail.aspx?App=23&amp;ReportView=4&amp;Qid=1711279&amp;Row=3589&amp;Col=1","No Title Assigned - #15268496470")</f>
        <v/>
      </c>
      <c r="B3597" s="0" t="s">
        <v>5154</v>
      </c>
      <c r="E3597" s="0" t="inlineStr">
        <is>
          <t xml:space="preserve">Mazda</t>
        </is>
      </c>
      <c r="F3597" s="0" t="inlineStr">
        <is>
          <t xml:space="preserve">Mazda</t>
        </is>
      </c>
      <c r="G3597" s="0" t="s">
        <v>171</v>
      </c>
      <c r="H3597" s="5">
        <v>234.928400</v>
      </c>
    </row>
    <row r="3598" spans="1:9">
      <c r="A3598" s="22" t="str">
        <f>HYPERLINK("https://app.vivvix.com/360/KMI/IntelliDrive/ApplUI/Pages/CreativePages/CustomReportCreativeDetail.aspx?App=23&amp;ReportView=4&amp;Qid=1711279&amp;Row=3590&amp;Col=1","No Title Assigned - #15268496644")</f>
        <v/>
      </c>
      <c r="B3598" s="0" t="s">
        <v>5155</v>
      </c>
      <c r="E3598" s="0" t="inlineStr">
        <is>
          <t xml:space="preserve">Mazda</t>
        </is>
      </c>
      <c r="F3598" s="0" t="inlineStr">
        <is>
          <t xml:space="preserve">Mazda</t>
        </is>
      </c>
      <c r="G3598" s="0" t="s">
        <v>171</v>
      </c>
      <c r="H3598" s="5">
        <v>154.734300</v>
      </c>
    </row>
    <row r="3599" spans="1:9">
      <c r="A3599" s="22" t="str">
        <f>HYPERLINK("https://app.vivvix.com/360/KMI/IntelliDrive/ApplUI/Pages/CreativePages/CustomReportCreativeDetail.aspx?App=23&amp;ReportView=4&amp;Qid=1711279&amp;Row=3591&amp;Col=1","No Title Assigned - #15268496703")</f>
        <v/>
      </c>
      <c r="B3599" s="0" t="s">
        <v>5156</v>
      </c>
      <c r="E3599" s="0" t="inlineStr">
        <is>
          <t xml:space="preserve">Mazda</t>
        </is>
      </c>
      <c r="F3599" s="0" t="inlineStr">
        <is>
          <t xml:space="preserve">Mazda</t>
        </is>
      </c>
      <c r="G3599" s="0" t="s">
        <v>171</v>
      </c>
      <c r="H3599" s="5">
        <v>33.519400</v>
      </c>
    </row>
    <row r="3600" spans="1:9">
      <c r="A3600" s="22" t="str">
        <f>HYPERLINK("https://app.vivvix.com/360/KMI/IntelliDrive/ApplUI/Pages/CreativePages/CustomReportCreativeDetail.aspx?App=23&amp;ReportView=4&amp;Qid=1711279&amp;Row=3592&amp;Col=1","No Title Assigned - #15268496999")</f>
        <v/>
      </c>
      <c r="B3600" s="0" t="s">
        <v>5157</v>
      </c>
      <c r="E3600" s="0" t="inlineStr">
        <is>
          <t xml:space="preserve">Mazda</t>
        </is>
      </c>
      <c r="F3600" s="0" t="s">
        <v>21</v>
      </c>
      <c r="G3600" s="0" t="s">
        <v>22</v>
      </c>
      <c r="H3600" s="5">
        <v>3119.061700</v>
      </c>
    </row>
    <row r="3601" spans="1:9">
      <c r="A3601" s="22" t="str">
        <f>HYPERLINK("https://app.vivvix.com/360/KMI/IntelliDrive/ApplUI/Pages/CreativePages/CustomReportCreativeDetail.aspx?App=23&amp;ReportView=4&amp;Qid=1711279&amp;Row=3593&amp;Col=1","No Title Assigned - #15268497059")</f>
        <v/>
      </c>
      <c r="B3601" s="0" t="s">
        <v>5158</v>
      </c>
      <c r="E3601" s="0" t="inlineStr">
        <is>
          <t xml:space="preserve">Mazda</t>
        </is>
      </c>
      <c r="F3601" s="0" t="inlineStr">
        <is>
          <t xml:space="preserve">Mazda</t>
        </is>
      </c>
      <c r="G3601" s="0" t="s">
        <v>171</v>
      </c>
      <c r="H3601" s="5">
        <v>2720.011000</v>
      </c>
    </row>
    <row r="3602" spans="1:9">
      <c r="A3602" s="22" t="str">
        <f>HYPERLINK("https://app.vivvix.com/360/KMI/IntelliDrive/ApplUI/Pages/CreativePages/CustomReportCreativeDetail.aspx?App=23&amp;ReportView=4&amp;Qid=1711279&amp;Row=3594&amp;Col=1","No Title Assigned - #15268497514")</f>
        <v/>
      </c>
      <c r="B3602" s="0" t="s">
        <v>5159</v>
      </c>
      <c r="C3602" s="0" t="s">
        <v>5160</v>
      </c>
      <c r="D3602" s="0" t="s">
        <v>5160</v>
      </c>
      <c r="E3602" s="0" t="inlineStr">
        <is>
          <t xml:space="preserve">Mazda</t>
        </is>
      </c>
      <c r="F3602" s="0" t="inlineStr">
        <is>
          <t xml:space="preserve">Mazda</t>
        </is>
      </c>
      <c r="G3602" s="0" t="s">
        <v>171</v>
      </c>
      <c r="H3602" s="5">
        <v>986.424400</v>
      </c>
    </row>
    <row r="3603" spans="1:9">
      <c r="A3603" s="22" t="str">
        <f>HYPERLINK("https://app.vivvix.com/360/KMI/IntelliDrive/ApplUI/Pages/CreativePages/CustomReportCreativeDetail.aspx?App=23&amp;ReportView=4&amp;Qid=1711279&amp;Row=3595&amp;Col=1","No Title Assigned - #15268498064")</f>
        <v/>
      </c>
      <c r="B3603" s="0" t="s">
        <v>5161</v>
      </c>
      <c r="E3603" s="0" t="inlineStr">
        <is>
          <t xml:space="preserve">Mazda</t>
        </is>
      </c>
      <c r="F3603" s="0" t="s">
        <v>21</v>
      </c>
      <c r="G3603" s="0" t="s">
        <v>22</v>
      </c>
      <c r="H3603" s="5">
        <v>292.780900</v>
      </c>
    </row>
    <row r="3604" spans="1:9">
      <c r="A3604" s="22" t="str">
        <f>HYPERLINK("https://app.vivvix.com/360/KMI/IntelliDrive/ApplUI/Pages/CreativePages/CustomReportCreativeDetail.aspx?App=23&amp;ReportView=4&amp;Qid=1711279&amp;Row=3596&amp;Col=1","No Title Assigned - #15268504227")</f>
        <v/>
      </c>
      <c r="B3604" s="0" t="s">
        <v>5162</v>
      </c>
      <c r="E3604" s="0" t="inlineStr">
        <is>
          <t xml:space="preserve">Mazda</t>
        </is>
      </c>
      <c r="F3604" s="0" t="inlineStr">
        <is>
          <t xml:space="preserve">Mazda</t>
        </is>
      </c>
      <c r="G3604" s="0" t="s">
        <v>171</v>
      </c>
      <c r="H3604" s="5">
        <v>14.241300</v>
      </c>
    </row>
    <row r="3605" spans="1:9">
      <c r="A3605" s="22" t="str">
        <f>HYPERLINK("https://app.vivvix.com/360/KMI/IntelliDrive/ApplUI/Pages/CreativePages/CustomReportCreativeDetail.aspx?App=23&amp;ReportView=4&amp;Qid=1711279&amp;Row=3597&amp;Col=1","No Title Assigned - #15268504732")</f>
        <v/>
      </c>
      <c r="B3605" s="0" t="s">
        <v>5163</v>
      </c>
      <c r="E3605" s="0" t="inlineStr">
        <is>
          <t xml:space="preserve">Mazda</t>
        </is>
      </c>
      <c r="F3605" s="0" t="inlineStr">
        <is>
          <t xml:space="preserve">Mazda</t>
        </is>
      </c>
      <c r="G3605" s="0" t="s">
        <v>171</v>
      </c>
      <c r="H3605" s="5">
        <v>2.450400</v>
      </c>
    </row>
    <row r="3606" spans="1:9">
      <c r="A3606" s="22" t="str">
        <f>HYPERLINK("https://app.vivvix.com/360/KMI/IntelliDrive/ApplUI/Pages/CreativePages/CustomReportCreativeDetail.aspx?App=23&amp;ReportView=4&amp;Qid=1711279&amp;Row=3598&amp;Col=1","No Title Assigned - #15268504806")</f>
        <v/>
      </c>
      <c r="B3606" s="0" t="s">
        <v>5164</v>
      </c>
      <c r="E3606" s="0" t="inlineStr">
        <is>
          <t xml:space="preserve">Mazda</t>
        </is>
      </c>
      <c r="F3606" s="0" t="inlineStr">
        <is>
          <t xml:space="preserve">Mazda</t>
        </is>
      </c>
      <c r="G3606" s="0" t="s">
        <v>171</v>
      </c>
      <c r="H3606" s="5">
        <v>541.595800</v>
      </c>
    </row>
    <row r="3607" spans="1:9">
      <c r="A3607" s="22" t="str">
        <f>HYPERLINK("https://app.vivvix.com/360/KMI/IntelliDrive/ApplUI/Pages/CreativePages/CustomReportCreativeDetail.aspx?App=23&amp;ReportView=4&amp;Qid=1711279&amp;Row=3599&amp;Col=1","No Title Assigned - #15268504889")</f>
        <v/>
      </c>
      <c r="B3607" s="0" t="s">
        <v>5165</v>
      </c>
      <c r="E3607" s="0" t="inlineStr">
        <is>
          <t xml:space="preserve">Mazda</t>
        </is>
      </c>
      <c r="F3607" s="0" t="inlineStr">
        <is>
          <t xml:space="preserve">Mazda</t>
        </is>
      </c>
      <c r="G3607" s="0" t="s">
        <v>171</v>
      </c>
      <c r="H3607" s="5">
        <v>314.113700</v>
      </c>
    </row>
    <row r="3608" spans="1:9">
      <c r="A3608" s="22" t="str">
        <f>HYPERLINK("https://app.vivvix.com/360/KMI/IntelliDrive/ApplUI/Pages/CreativePages/CustomReportCreativeDetail.aspx?App=23&amp;ReportView=4&amp;Qid=1711279&amp;Row=3600&amp;Col=1","No Title Assigned - #15268505181")</f>
        <v/>
      </c>
      <c r="B3608" s="0" t="s">
        <v>5166</v>
      </c>
      <c r="E3608" s="0" t="inlineStr">
        <is>
          <t xml:space="preserve">Mazda</t>
        </is>
      </c>
      <c r="F3608" s="0" t="inlineStr">
        <is>
          <t xml:space="preserve">Mazda</t>
        </is>
      </c>
      <c r="G3608" s="0" t="s">
        <v>171</v>
      </c>
      <c r="H3608" s="5">
        <v>28.757500</v>
      </c>
    </row>
    <row r="3609" spans="1:9">
      <c r="A3609" s="22" t="str">
        <f>HYPERLINK("https://app.vivvix.com/360/KMI/IntelliDrive/ApplUI/Pages/CreativePages/CustomReportCreativeDetail.aspx?App=23&amp;ReportView=4&amp;Qid=1711279&amp;Row=3601&amp;Col=1","No Title Assigned - #15268506523")</f>
        <v/>
      </c>
      <c r="B3609" s="0" t="s">
        <v>5167</v>
      </c>
      <c r="E3609" s="0" t="inlineStr">
        <is>
          <t xml:space="preserve">Mazda</t>
        </is>
      </c>
      <c r="F3609" s="0" t="inlineStr">
        <is>
          <t xml:space="preserve">Mazda</t>
        </is>
      </c>
      <c r="G3609" s="0" t="s">
        <v>171</v>
      </c>
      <c r="H3609" s="5">
        <v>40652.418000</v>
      </c>
    </row>
    <row r="3610" spans="1:9">
      <c r="A3610" s="22" t="str">
        <f>HYPERLINK("https://app.vivvix.com/360/KMI/IntelliDrive/ApplUI/Pages/CreativePages/CustomReportCreativeDetail.aspx?App=23&amp;ReportView=4&amp;Qid=1711279&amp;Row=3602&amp;Col=1","No Title Assigned - #15268507871")</f>
        <v/>
      </c>
      <c r="B3610" s="0" t="s">
        <v>5168</v>
      </c>
      <c r="E3610" s="0" t="inlineStr">
        <is>
          <t xml:space="preserve">Mazda</t>
        </is>
      </c>
      <c r="F3610" s="0" t="inlineStr">
        <is>
          <t xml:space="preserve">Mazda</t>
        </is>
      </c>
      <c r="G3610" s="0" t="s">
        <v>171</v>
      </c>
      <c r="H3610" s="5">
        <v>13761.275400</v>
      </c>
    </row>
    <row r="3611" spans="1:9">
      <c r="A3611" s="22" t="str">
        <f>HYPERLINK("https://app.vivvix.com/360/KMI/IntelliDrive/ApplUI/Pages/CreativePages/CustomReportCreativeDetail.aspx?App=23&amp;ReportView=4&amp;Qid=1711279&amp;Row=3603&amp;Col=1","No Title Assigned - #15268511134")</f>
        <v/>
      </c>
      <c r="B3611" s="0" t="s">
        <v>5169</v>
      </c>
      <c r="E3611" s="0" t="inlineStr">
        <is>
          <t xml:space="preserve">Mazda</t>
        </is>
      </c>
      <c r="F3611" s="0" t="inlineStr">
        <is>
          <t xml:space="preserve">Mazda</t>
        </is>
      </c>
      <c r="G3611" s="0" t="s">
        <v>171</v>
      </c>
      <c r="H3611" s="5">
        <v>16.943700</v>
      </c>
    </row>
    <row r="3612" spans="1:9">
      <c r="A3612" s="22" t="str">
        <f>HYPERLINK("https://app.vivvix.com/360/KMI/IntelliDrive/ApplUI/Pages/CreativePages/CustomReportCreativeDetail.aspx?App=23&amp;ReportView=4&amp;Qid=1711279&amp;Row=3604&amp;Col=1","No Title Assigned - #15268512909")</f>
        <v/>
      </c>
      <c r="B3612" s="0" t="s">
        <v>5170</v>
      </c>
      <c r="E3612" s="0" t="inlineStr">
        <is>
          <t xml:space="preserve">Mazda</t>
        </is>
      </c>
      <c r="F3612" s="0" t="inlineStr">
        <is>
          <t xml:space="preserve">Mazda</t>
        </is>
      </c>
      <c r="G3612" s="0" t="s">
        <v>171</v>
      </c>
      <c r="H3612" s="5">
        <v>2605.760200</v>
      </c>
    </row>
    <row r="3613" spans="1:9">
      <c r="A3613" s="22" t="str">
        <f>HYPERLINK("https://app.vivvix.com/360/KMI/IntelliDrive/ApplUI/Pages/CreativePages/CustomReportCreativeDetail.aspx?App=23&amp;ReportView=4&amp;Qid=1711279&amp;Row=3605&amp;Col=1","No Title Assigned - #15268512911")</f>
        <v/>
      </c>
      <c r="B3613" s="0" t="s">
        <v>5171</v>
      </c>
      <c r="E3613" s="0" t="inlineStr">
        <is>
          <t xml:space="preserve">Mazda</t>
        </is>
      </c>
      <c r="F3613" s="0" t="inlineStr">
        <is>
          <t xml:space="preserve">Mazda</t>
        </is>
      </c>
      <c r="G3613" s="0" t="s">
        <v>171</v>
      </c>
      <c r="H3613" s="5">
        <v>66.501400</v>
      </c>
    </row>
    <row r="3614" spans="1:9">
      <c r="A3614" s="22" t="str">
        <f>HYPERLINK("https://app.vivvix.com/360/KMI/IntelliDrive/ApplUI/Pages/CreativePages/CustomReportCreativeDetail.aspx?App=23&amp;ReportView=4&amp;Qid=1711279&amp;Row=3606&amp;Col=1","No Title Assigned - #15268514477")</f>
        <v/>
      </c>
      <c r="B3614" s="0" t="s">
        <v>5172</v>
      </c>
      <c r="C3614" s="0" t="s">
        <v>5173</v>
      </c>
      <c r="D3614" s="0" t="s">
        <v>5173</v>
      </c>
      <c r="E3614" s="0" t="inlineStr">
        <is>
          <t xml:space="preserve">Mazda</t>
        </is>
      </c>
      <c r="F3614" s="0" t="inlineStr">
        <is>
          <t xml:space="preserve">Mazda</t>
        </is>
      </c>
      <c r="G3614" s="0" t="s">
        <v>171</v>
      </c>
      <c r="H3614" s="5">
        <v>256.982500</v>
      </c>
    </row>
    <row r="3615" spans="1:9">
      <c r="A3615" s="22" t="str">
        <f>HYPERLINK("https://app.vivvix.com/360/KMI/IntelliDrive/ApplUI/Pages/CreativePages/CustomReportCreativeDetail.aspx?App=23&amp;ReportView=4&amp;Qid=1711279&amp;Row=3607&amp;Col=1","No Title Assigned - #15268514991")</f>
        <v/>
      </c>
      <c r="B3615" s="0" t="s">
        <v>5174</v>
      </c>
      <c r="E3615" s="0" t="inlineStr">
        <is>
          <t xml:space="preserve">Mazda</t>
        </is>
      </c>
      <c r="F3615" s="0" t="inlineStr">
        <is>
          <t xml:space="preserve">Mazda</t>
        </is>
      </c>
      <c r="G3615" s="0" t="s">
        <v>171</v>
      </c>
      <c r="H3615" s="5">
        <v>24864.169300</v>
      </c>
    </row>
    <row r="3616" spans="1:9">
      <c r="A3616" s="22" t="str">
        <f>HYPERLINK("https://app.vivvix.com/360/KMI/IntelliDrive/ApplUI/Pages/CreativePages/CustomReportCreativeDetail.aspx?App=23&amp;ReportView=4&amp;Qid=1711279&amp;Row=3608&amp;Col=1","No Title Assigned - #15268516062")</f>
        <v/>
      </c>
      <c r="B3616" s="0" t="s">
        <v>5175</v>
      </c>
      <c r="E3616" s="0" t="inlineStr">
        <is>
          <t xml:space="preserve">Mazda</t>
        </is>
      </c>
      <c r="F3616" s="0" t="inlineStr">
        <is>
          <t xml:space="preserve">Mazda</t>
        </is>
      </c>
      <c r="G3616" s="0" t="s">
        <v>171</v>
      </c>
      <c r="H3616" s="5">
        <v>3775.013900</v>
      </c>
    </row>
    <row r="3617" spans="1:9">
      <c r="A3617" s="22" t="str">
        <f>HYPERLINK("https://app.vivvix.com/360/KMI/IntelliDrive/ApplUI/Pages/CreativePages/CustomReportCreativeDetail.aspx?App=23&amp;ReportView=4&amp;Qid=1711279&amp;Row=3609&amp;Col=1","No Title Assigned - #15268516612")</f>
        <v/>
      </c>
      <c r="B3617" s="0" t="s">
        <v>5176</v>
      </c>
      <c r="E3617" s="0" t="inlineStr">
        <is>
          <t xml:space="preserve">Mazda</t>
        </is>
      </c>
      <c r="F3617" s="0" t="inlineStr">
        <is>
          <t xml:space="preserve">Mazda</t>
        </is>
      </c>
      <c r="G3617" s="0" t="s">
        <v>171</v>
      </c>
      <c r="H3617" s="5">
        <v>46.807900</v>
      </c>
    </row>
    <row r="3618" spans="1:9">
      <c r="A3618" s="22" t="str">
        <f>HYPERLINK("https://app.vivvix.com/360/KMI/IntelliDrive/ApplUI/Pages/CreativePages/CustomReportCreativeDetail.aspx?App=23&amp;ReportView=4&amp;Qid=1711279&amp;Row=3610&amp;Col=1","No Title Assigned - #15268516774")</f>
        <v/>
      </c>
      <c r="B3618" s="0" t="s">
        <v>5177</v>
      </c>
      <c r="C3618" s="0" t="s">
        <v>5178</v>
      </c>
      <c r="D3618" s="0" t="s">
        <v>5178</v>
      </c>
      <c r="E3618" s="0" t="inlineStr">
        <is>
          <t xml:space="preserve">Mazda</t>
        </is>
      </c>
      <c r="F3618" s="0" t="inlineStr">
        <is>
          <t xml:space="preserve">Mazda</t>
        </is>
      </c>
      <c r="G3618" s="0" t="s">
        <v>171</v>
      </c>
      <c r="H3618" s="5">
        <v>347.448000</v>
      </c>
    </row>
    <row r="3619" spans="1:9">
      <c r="A3619" s="22" t="str">
        <f>HYPERLINK("https://app.vivvix.com/360/KMI/IntelliDrive/ApplUI/Pages/CreativePages/CustomReportCreativeDetail.aspx?App=23&amp;ReportView=4&amp;Qid=1711279&amp;Row=3611&amp;Col=1","No Title Assigned - #15268517107")</f>
        <v/>
      </c>
      <c r="B3619" s="0" t="s">
        <v>5179</v>
      </c>
      <c r="E3619" s="0" t="inlineStr">
        <is>
          <t xml:space="preserve">Mazda</t>
        </is>
      </c>
      <c r="F3619" s="0" t="inlineStr">
        <is>
          <t xml:space="preserve">Mazda</t>
        </is>
      </c>
      <c r="G3619" s="0" t="s">
        <v>171</v>
      </c>
      <c r="H3619" s="5">
        <v>1073.363500</v>
      </c>
    </row>
    <row r="3620" spans="1:9">
      <c r="A3620" s="22" t="str">
        <f>HYPERLINK("https://app.vivvix.com/360/KMI/IntelliDrive/ApplUI/Pages/CreativePages/CustomReportCreativeDetail.aspx?App=23&amp;ReportView=4&amp;Qid=1711279&amp;Row=3612&amp;Col=1","No Title Assigned - #15268517154")</f>
        <v/>
      </c>
      <c r="B3620" s="0" t="s">
        <v>5180</v>
      </c>
      <c r="E3620" s="0" t="inlineStr">
        <is>
          <t xml:space="preserve">Mazda</t>
        </is>
      </c>
      <c r="F3620" s="0" t="inlineStr">
        <is>
          <t xml:space="preserve">Mazda</t>
        </is>
      </c>
      <c r="G3620" s="0" t="s">
        <v>171</v>
      </c>
      <c r="H3620" s="5">
        <v>12.721800</v>
      </c>
    </row>
    <row r="3621" spans="1:9">
      <c r="A3621" s="22" t="str">
        <f>HYPERLINK("https://app.vivvix.com/360/KMI/IntelliDrive/ApplUI/Pages/CreativePages/CustomReportCreativeDetail.aspx?App=23&amp;ReportView=4&amp;Qid=1711279&amp;Row=3613&amp;Col=1","No Title Assigned - #15268517155")</f>
        <v/>
      </c>
      <c r="B3621" s="0" t="s">
        <v>5181</v>
      </c>
      <c r="E3621" s="0" t="inlineStr">
        <is>
          <t xml:space="preserve">Mazda</t>
        </is>
      </c>
      <c r="F3621" s="0" t="inlineStr">
        <is>
          <t xml:space="preserve">Mazda</t>
        </is>
      </c>
      <c r="G3621" s="0" t="s">
        <v>171</v>
      </c>
      <c r="H3621" s="5">
        <v>4.584000</v>
      </c>
    </row>
    <row r="3622" spans="1:9">
      <c r="A3622" s="22" t="str">
        <f>HYPERLINK("https://app.vivvix.com/360/KMI/IntelliDrive/ApplUI/Pages/CreativePages/CustomReportCreativeDetail.aspx?App=23&amp;ReportView=4&amp;Qid=1711279&amp;Row=3614&amp;Col=1","No Title Assigned - #15268517439")</f>
        <v/>
      </c>
      <c r="B3622" s="0" t="s">
        <v>5182</v>
      </c>
      <c r="C3622" s="0" t="s">
        <v>5183</v>
      </c>
      <c r="D3622" s="0" t="s">
        <v>5183</v>
      </c>
      <c r="E3622" s="0" t="inlineStr">
        <is>
          <t xml:space="preserve">Mazda</t>
        </is>
      </c>
      <c r="F3622" s="0" t="inlineStr">
        <is>
          <t xml:space="preserve">Mazda</t>
        </is>
      </c>
      <c r="G3622" s="0" t="s">
        <v>171</v>
      </c>
      <c r="H3622" s="5">
        <v>96.726600</v>
      </c>
    </row>
    <row r="3623" spans="1:9">
      <c r="A3623" s="22" t="str">
        <f>HYPERLINK("https://app.vivvix.com/360/KMI/IntelliDrive/ApplUI/Pages/CreativePages/CustomReportCreativeDetail.aspx?App=23&amp;ReportView=4&amp;Qid=1711279&amp;Row=3615&amp;Col=1","No Title Assigned - #15268517439")</f>
        <v/>
      </c>
      <c r="B3623" s="0" t="s">
        <v>5182</v>
      </c>
      <c r="E3623" s="0" t="inlineStr">
        <is>
          <t xml:space="preserve">Mazda</t>
        </is>
      </c>
      <c r="F3623" s="0" t="inlineStr">
        <is>
          <t xml:space="preserve">Mazda</t>
        </is>
      </c>
      <c r="G3623" s="0" t="s">
        <v>171</v>
      </c>
      <c r="H3623" s="5">
        <v>89.955000</v>
      </c>
    </row>
    <row r="3624" spans="1:9">
      <c r="A3624" s="22" t="str">
        <f>HYPERLINK("https://app.vivvix.com/360/KMI/IntelliDrive/ApplUI/Pages/CreativePages/CustomReportCreativeDetail.aspx?App=23&amp;ReportView=4&amp;Qid=1711279&amp;Row=3616&amp;Col=1","No Title Assigned - #15268517496")</f>
        <v/>
      </c>
      <c r="B3624" s="0" t="s">
        <v>5184</v>
      </c>
      <c r="E3624" s="0" t="inlineStr">
        <is>
          <t xml:space="preserve">Mazda</t>
        </is>
      </c>
      <c r="F3624" s="0" t="inlineStr">
        <is>
          <t xml:space="preserve">Mazda</t>
        </is>
      </c>
      <c r="G3624" s="0" t="s">
        <v>171</v>
      </c>
      <c r="H3624" s="5">
        <v>96.279700</v>
      </c>
    </row>
    <row r="3625" spans="1:9">
      <c r="A3625" s="22" t="str">
        <f>HYPERLINK("https://app.vivvix.com/360/KMI/IntelliDrive/ApplUI/Pages/CreativePages/CustomReportCreativeDetail.aspx?App=23&amp;ReportView=4&amp;Qid=1711279&amp;Row=3617&amp;Col=1","No Title Assigned - #15268517498")</f>
        <v/>
      </c>
      <c r="B3625" s="0" t="s">
        <v>5185</v>
      </c>
      <c r="E3625" s="0" t="inlineStr">
        <is>
          <t xml:space="preserve">Mazda</t>
        </is>
      </c>
      <c r="F3625" s="0" t="inlineStr">
        <is>
          <t xml:space="preserve">Mazda</t>
        </is>
      </c>
      <c r="G3625" s="0" t="s">
        <v>171</v>
      </c>
      <c r="H3625" s="5">
        <v>830.127600</v>
      </c>
    </row>
    <row r="3626" spans="1:9">
      <c r="A3626" s="22" t="str">
        <f>HYPERLINK("https://app.vivvix.com/360/KMI/IntelliDrive/ApplUI/Pages/CreativePages/CustomReportCreativeDetail.aspx?App=23&amp;ReportView=4&amp;Qid=1711279&amp;Row=3618&amp;Col=1","No Title Assigned - #15268517688")</f>
        <v/>
      </c>
      <c r="B3626" s="0" t="s">
        <v>5186</v>
      </c>
      <c r="E3626" s="0" t="inlineStr">
        <is>
          <t xml:space="preserve">Mazda</t>
        </is>
      </c>
      <c r="F3626" s="0" t="inlineStr">
        <is>
          <t xml:space="preserve">Mazda</t>
        </is>
      </c>
      <c r="G3626" s="0" t="s">
        <v>171</v>
      </c>
      <c r="H3626" s="5">
        <v>52.389900</v>
      </c>
    </row>
    <row r="3627" spans="1:9">
      <c r="A3627" s="22" t="str">
        <f>HYPERLINK("https://app.vivvix.com/360/KMI/IntelliDrive/ApplUI/Pages/CreativePages/CustomReportCreativeDetail.aspx?App=23&amp;ReportView=4&amp;Qid=1711279&amp;Row=3619&amp;Col=1","No Title Assigned - #15268517884")</f>
        <v/>
      </c>
      <c r="B3627" s="0" t="s">
        <v>5187</v>
      </c>
      <c r="E3627" s="0" t="inlineStr">
        <is>
          <t xml:space="preserve">Mazda</t>
        </is>
      </c>
      <c r="F3627" s="0" t="inlineStr">
        <is>
          <t xml:space="preserve">Mazda</t>
        </is>
      </c>
      <c r="G3627" s="0" t="s">
        <v>171</v>
      </c>
      <c r="H3627" s="5">
        <v>78204.468800</v>
      </c>
    </row>
    <row r="3628" spans="1:9">
      <c r="A3628" s="22" t="str">
        <f>HYPERLINK("https://app.vivvix.com/360/KMI/IntelliDrive/ApplUI/Pages/CreativePages/CustomReportCreativeDetail.aspx?App=23&amp;ReportView=4&amp;Qid=1711279&amp;Row=3620&amp;Col=1","No Title Assigned - #15268517889")</f>
        <v/>
      </c>
      <c r="B3628" s="0" t="s">
        <v>5188</v>
      </c>
      <c r="C3628" s="0" t="s">
        <v>5189</v>
      </c>
      <c r="D3628" s="0" t="s">
        <v>5189</v>
      </c>
      <c r="E3628" s="0" t="inlineStr">
        <is>
          <t xml:space="preserve">Mazda</t>
        </is>
      </c>
      <c r="F3628" s="0" t="inlineStr">
        <is>
          <t xml:space="preserve">Mazda</t>
        </is>
      </c>
      <c r="G3628" s="0" t="s">
        <v>171</v>
      </c>
      <c r="H3628" s="5">
        <v>131.994300</v>
      </c>
    </row>
    <row r="3629" spans="1:9">
      <c r="A3629" s="22" t="str">
        <f>HYPERLINK("https://app.vivvix.com/360/KMI/IntelliDrive/ApplUI/Pages/CreativePages/CustomReportCreativeDetail.aspx?App=23&amp;ReportView=4&amp;Qid=1711279&amp;Row=3621&amp;Col=1","No Title Assigned - #15268517889")</f>
        <v/>
      </c>
      <c r="B3629" s="0" t="s">
        <v>5188</v>
      </c>
      <c r="E3629" s="0" t="inlineStr">
        <is>
          <t xml:space="preserve">Mazda</t>
        </is>
      </c>
      <c r="F3629" s="0" t="inlineStr">
        <is>
          <t xml:space="preserve">Mazda</t>
        </is>
      </c>
      <c r="G3629" s="0" t="s">
        <v>171</v>
      </c>
      <c r="H3629" s="5">
        <v>68.843500</v>
      </c>
    </row>
    <row r="3630" spans="1:9">
      <c r="A3630" s="22" t="str">
        <f>HYPERLINK("https://app.vivvix.com/360/KMI/IntelliDrive/ApplUI/Pages/CreativePages/CustomReportCreativeDetail.aspx?App=23&amp;ReportView=4&amp;Qid=1711279&amp;Row=3622&amp;Col=1","No Title Assigned - #15268517890")</f>
        <v/>
      </c>
      <c r="B3630" s="0" t="s">
        <v>5190</v>
      </c>
      <c r="E3630" s="0" t="inlineStr">
        <is>
          <t xml:space="preserve">Mazda</t>
        </is>
      </c>
      <c r="F3630" s="0" t="inlineStr">
        <is>
          <t xml:space="preserve">Mazda</t>
        </is>
      </c>
      <c r="G3630" s="0" t="s">
        <v>171</v>
      </c>
      <c r="H3630" s="5">
        <v>13.983800</v>
      </c>
    </row>
    <row r="3631" spans="1:9">
      <c r="A3631" s="22" t="str">
        <f>HYPERLINK("https://app.vivvix.com/360/KMI/IntelliDrive/ApplUI/Pages/CreativePages/CustomReportCreativeDetail.aspx?App=23&amp;ReportView=4&amp;Qid=1711279&amp;Row=3623&amp;Col=1","No Title Assigned - #15268518019")</f>
        <v/>
      </c>
      <c r="B3631" s="0" t="s">
        <v>5191</v>
      </c>
      <c r="E3631" s="0" t="inlineStr">
        <is>
          <t xml:space="preserve">Mazda</t>
        </is>
      </c>
      <c r="F3631" s="0" t="inlineStr">
        <is>
          <t xml:space="preserve">Mazda</t>
        </is>
      </c>
      <c r="G3631" s="0" t="s">
        <v>171</v>
      </c>
      <c r="H3631" s="5">
        <v>181.618600</v>
      </c>
    </row>
    <row r="3632" spans="1:9">
      <c r="A3632" s="22" t="str">
        <f>HYPERLINK("https://app.vivvix.com/360/KMI/IntelliDrive/ApplUI/Pages/CreativePages/CustomReportCreativeDetail.aspx?App=23&amp;ReportView=4&amp;Qid=1711279&amp;Row=3624&amp;Col=1","No Title Assigned - #15268518306")</f>
        <v/>
      </c>
      <c r="B3632" s="0" t="s">
        <v>5192</v>
      </c>
      <c r="E3632" s="0" t="inlineStr">
        <is>
          <t xml:space="preserve">Mazda</t>
        </is>
      </c>
      <c r="F3632" s="0" t="inlineStr">
        <is>
          <t xml:space="preserve">Mazda</t>
        </is>
      </c>
      <c r="G3632" s="0" t="s">
        <v>171</v>
      </c>
      <c r="H3632" s="5">
        <v>982.471700</v>
      </c>
    </row>
    <row r="3633" spans="1:9">
      <c r="A3633" s="22" t="str">
        <f>HYPERLINK("https://app.vivvix.com/360/KMI/IntelliDrive/ApplUI/Pages/CreativePages/CustomReportCreativeDetail.aspx?App=23&amp;ReportView=4&amp;Qid=1711279&amp;Row=3625&amp;Col=1","No Title Assigned - #15268518588")</f>
        <v/>
      </c>
      <c r="B3633" s="0" t="s">
        <v>5193</v>
      </c>
      <c r="E3633" s="0" t="inlineStr">
        <is>
          <t xml:space="preserve">Mazda</t>
        </is>
      </c>
      <c r="F3633" s="0" t="inlineStr">
        <is>
          <t xml:space="preserve">Mazda</t>
        </is>
      </c>
      <c r="G3633" s="0" t="s">
        <v>171</v>
      </c>
      <c r="H3633" s="5">
        <v>19.451300</v>
      </c>
    </row>
    <row r="3634" spans="1:9">
      <c r="A3634" s="22" t="str">
        <f>HYPERLINK("https://app.vivvix.com/360/KMI/IntelliDrive/ApplUI/Pages/CreativePages/CustomReportCreativeDetail.aspx?App=23&amp;ReportView=4&amp;Qid=1711279&amp;Row=3626&amp;Col=1","No Title Assigned - #15268518784")</f>
        <v/>
      </c>
      <c r="B3634" s="0" t="s">
        <v>5194</v>
      </c>
      <c r="E3634" s="0" t="inlineStr">
        <is>
          <t xml:space="preserve">Mazda</t>
        </is>
      </c>
      <c r="F3634" s="0" t="inlineStr">
        <is>
          <t xml:space="preserve">Mazda</t>
        </is>
      </c>
      <c r="G3634" s="0" t="s">
        <v>171</v>
      </c>
      <c r="H3634" s="5">
        <v>8139.676800</v>
      </c>
    </row>
    <row r="3635" spans="1:9">
      <c r="A3635" s="22" t="str">
        <f>HYPERLINK("https://app.vivvix.com/360/KMI/IntelliDrive/ApplUI/Pages/CreativePages/CustomReportCreativeDetail.aspx?App=23&amp;ReportView=4&amp;Qid=1711279&amp;Row=3627&amp;Col=1","No Title Assigned - #15268518855")</f>
        <v/>
      </c>
      <c r="B3635" s="0" t="s">
        <v>5195</v>
      </c>
      <c r="E3635" s="0" t="inlineStr">
        <is>
          <t xml:space="preserve">Mazda</t>
        </is>
      </c>
      <c r="F3635" s="0" t="inlineStr">
        <is>
          <t xml:space="preserve">Mazda</t>
        </is>
      </c>
      <c r="G3635" s="0" t="s">
        <v>171</v>
      </c>
      <c r="H3635" s="5">
        <v>2.684100</v>
      </c>
    </row>
    <row r="3636" spans="1:9">
      <c r="A3636" s="22" t="str">
        <f>HYPERLINK("https://app.vivvix.com/360/KMI/IntelliDrive/ApplUI/Pages/CreativePages/CustomReportCreativeDetail.aspx?App=23&amp;ReportView=4&amp;Qid=1711279&amp;Row=3628&amp;Col=1","No Title Assigned - #15268521476")</f>
        <v/>
      </c>
      <c r="B3636" s="0" t="s">
        <v>5196</v>
      </c>
      <c r="E3636" s="0" t="inlineStr">
        <is>
          <t xml:space="preserve">Mazda</t>
        </is>
      </c>
      <c r="F3636" s="0" t="inlineStr">
        <is>
          <t xml:space="preserve">Mazda</t>
        </is>
      </c>
      <c r="G3636" s="0" t="s">
        <v>171</v>
      </c>
      <c r="H3636" s="5">
        <v>886.587300</v>
      </c>
    </row>
    <row r="3637" spans="1:9">
      <c r="A3637" s="22" t="str">
        <f>HYPERLINK("https://app.vivvix.com/360/KMI/IntelliDrive/ApplUI/Pages/CreativePages/CustomReportCreativeDetail.aspx?App=23&amp;ReportView=4&amp;Qid=1711279&amp;Row=3629&amp;Col=1","No Title Assigned - #15268521785")</f>
        <v/>
      </c>
      <c r="B3637" s="0" t="s">
        <v>5197</v>
      </c>
      <c r="E3637" s="0" t="inlineStr">
        <is>
          <t xml:space="preserve">Mazda</t>
        </is>
      </c>
      <c r="F3637" s="0" t="inlineStr">
        <is>
          <t xml:space="preserve">Mazda</t>
        </is>
      </c>
      <c r="G3637" s="0" t="s">
        <v>171</v>
      </c>
      <c r="H3637" s="5">
        <v>70.456400</v>
      </c>
    </row>
    <row r="3638" spans="1:9">
      <c r="A3638" s="22" t="str">
        <f>HYPERLINK("https://app.vivvix.com/360/KMI/IntelliDrive/ApplUI/Pages/CreativePages/CustomReportCreativeDetail.aspx?App=23&amp;ReportView=4&amp;Qid=1711279&amp;Row=3630&amp;Col=1","No Title Assigned - #15268521921")</f>
        <v/>
      </c>
      <c r="B3638" s="0" t="s">
        <v>5198</v>
      </c>
      <c r="E3638" s="0" t="inlineStr">
        <is>
          <t xml:space="preserve">Mazda</t>
        </is>
      </c>
      <c r="F3638" s="0" t="inlineStr">
        <is>
          <t xml:space="preserve">Mazda</t>
        </is>
      </c>
      <c r="G3638" s="0" t="s">
        <v>171</v>
      </c>
      <c r="H3638" s="5">
        <v>18.345900</v>
      </c>
    </row>
    <row r="3639" spans="1:9">
      <c r="A3639" s="22" t="str">
        <f>HYPERLINK("https://app.vivvix.com/360/KMI/IntelliDrive/ApplUI/Pages/CreativePages/CustomReportCreativeDetail.aspx?App=23&amp;ReportView=4&amp;Qid=1711279&amp;Row=3631&amp;Col=1","No Title Assigned - #15268522984")</f>
        <v/>
      </c>
      <c r="B3639" s="0" t="s">
        <v>5199</v>
      </c>
      <c r="E3639" s="0" t="inlineStr">
        <is>
          <t xml:space="preserve">Mazda</t>
        </is>
      </c>
      <c r="F3639" s="0" t="inlineStr">
        <is>
          <t xml:space="preserve">Mazda</t>
        </is>
      </c>
      <c r="G3639" s="0" t="s">
        <v>171</v>
      </c>
      <c r="H3639" s="5">
        <v>966.313700</v>
      </c>
    </row>
    <row r="3640" spans="1:9">
      <c r="A3640" s="22" t="str">
        <f>HYPERLINK("https://app.vivvix.com/360/KMI/IntelliDrive/ApplUI/Pages/CreativePages/CustomReportCreativeDetail.aspx?App=23&amp;ReportView=4&amp;Qid=1711279&amp;Row=3632&amp;Col=1","No Title Assigned - #15268523020")</f>
        <v/>
      </c>
      <c r="B3640" s="0" t="s">
        <v>5200</v>
      </c>
      <c r="E3640" s="0" t="inlineStr">
        <is>
          <t xml:space="preserve">Mazda</t>
        </is>
      </c>
      <c r="F3640" s="0" t="inlineStr">
        <is>
          <t xml:space="preserve">Mazda</t>
        </is>
      </c>
      <c r="G3640" s="0" t="s">
        <v>171</v>
      </c>
      <c r="H3640" s="5">
        <v>10.918000</v>
      </c>
    </row>
    <row r="3641" spans="1:9">
      <c r="A3641" s="22" t="str">
        <f>HYPERLINK("https://app.vivvix.com/360/KMI/IntelliDrive/ApplUI/Pages/CreativePages/CustomReportCreativeDetail.aspx?App=23&amp;ReportView=4&amp;Qid=1711279&amp;Row=3633&amp;Col=1","No Title Assigned - #15268523020")</f>
        <v/>
      </c>
      <c r="B3641" s="0" t="s">
        <v>5200</v>
      </c>
      <c r="C3641" s="0" t="s">
        <v>5201</v>
      </c>
      <c r="D3641" s="0" t="s">
        <v>5201</v>
      </c>
      <c r="E3641" s="0" t="inlineStr">
        <is>
          <t xml:space="preserve">Mazda</t>
        </is>
      </c>
      <c r="F3641" s="0" t="inlineStr">
        <is>
          <t xml:space="preserve">Mazda</t>
        </is>
      </c>
      <c r="G3641" s="0" t="s">
        <v>171</v>
      </c>
      <c r="H3641" s="5">
        <v>24.499700</v>
      </c>
    </row>
    <row r="3642" spans="1:9">
      <c r="A3642" s="22" t="str">
        <f>HYPERLINK("https://app.vivvix.com/360/KMI/IntelliDrive/ApplUI/Pages/CreativePages/CustomReportCreativeDetail.aspx?App=23&amp;ReportView=4&amp;Qid=1711279&amp;Row=3634&amp;Col=1","No Title Assigned - #15268523057")</f>
        <v/>
      </c>
      <c r="B3642" s="0" t="s">
        <v>5202</v>
      </c>
      <c r="E3642" s="0" t="inlineStr">
        <is>
          <t xml:space="preserve">Mazda</t>
        </is>
      </c>
      <c r="F3642" s="0" t="inlineStr">
        <is>
          <t xml:space="preserve">Mazda</t>
        </is>
      </c>
      <c r="G3642" s="0" t="s">
        <v>171</v>
      </c>
      <c r="H3642" s="5">
        <v>100.083900</v>
      </c>
    </row>
    <row r="3643" spans="1:9">
      <c r="A3643" s="22" t="str">
        <f>HYPERLINK("https://app.vivvix.com/360/KMI/IntelliDrive/ApplUI/Pages/CreativePages/CustomReportCreativeDetail.aspx?App=23&amp;ReportView=4&amp;Qid=1711279&amp;Row=3635&amp;Col=1","No Title Assigned - #15268523057")</f>
        <v/>
      </c>
      <c r="B3643" s="0" t="s">
        <v>5202</v>
      </c>
      <c r="E3643" s="0" t="inlineStr">
        <is>
          <t xml:space="preserve">Mazda</t>
        </is>
      </c>
      <c r="F3643" s="0" t="inlineStr">
        <is>
          <t xml:space="preserve">Mazda</t>
        </is>
      </c>
      <c r="G3643" s="0" t="s">
        <v>171</v>
      </c>
      <c r="H3643" s="5">
        <v>61.233200</v>
      </c>
    </row>
    <row r="3644" spans="1:9">
      <c r="A3644" s="22" t="str">
        <f>HYPERLINK("https://app.vivvix.com/360/KMI/IntelliDrive/ApplUI/Pages/CreativePages/CustomReportCreativeDetail.aspx?App=23&amp;ReportView=4&amp;Qid=1711279&amp;Row=3636&amp;Col=1","No Title Assigned - #15268523330")</f>
        <v/>
      </c>
      <c r="B3644" s="0" t="s">
        <v>5203</v>
      </c>
      <c r="E3644" s="0" t="inlineStr">
        <is>
          <t xml:space="preserve">Mazda</t>
        </is>
      </c>
      <c r="F3644" s="0" t="inlineStr">
        <is>
          <t xml:space="preserve">Mazda</t>
        </is>
      </c>
      <c r="G3644" s="0" t="s">
        <v>171</v>
      </c>
      <c r="H3644" s="5">
        <v>131.904000</v>
      </c>
    </row>
    <row r="3645" spans="1:9">
      <c r="A3645" s="22" t="str">
        <f>HYPERLINK("https://app.vivvix.com/360/KMI/IntelliDrive/ApplUI/Pages/CreativePages/CustomReportCreativeDetail.aspx?App=23&amp;ReportView=4&amp;Qid=1711279&amp;Row=3637&amp;Col=1","No Title Assigned - #15268523753")</f>
        <v/>
      </c>
      <c r="B3645" s="0" t="s">
        <v>5204</v>
      </c>
      <c r="E3645" s="0" t="inlineStr">
        <is>
          <t xml:space="preserve">Mazda</t>
        </is>
      </c>
      <c r="F3645" s="0" t="inlineStr">
        <is>
          <t xml:space="preserve">Mazda</t>
        </is>
      </c>
      <c r="G3645" s="0" t="s">
        <v>171</v>
      </c>
      <c r="H3645" s="5">
        <v>26.218300</v>
      </c>
    </row>
    <row r="3646" spans="1:9">
      <c r="A3646" s="22" t="str">
        <f>HYPERLINK("https://app.vivvix.com/360/KMI/IntelliDrive/ApplUI/Pages/CreativePages/CustomReportCreativeDetail.aspx?App=23&amp;ReportView=4&amp;Qid=1711279&amp;Row=3638&amp;Col=1","No Title Assigned - #15268525794")</f>
        <v/>
      </c>
      <c r="B3646" s="0" t="s">
        <v>5205</v>
      </c>
      <c r="E3646" s="0" t="inlineStr">
        <is>
          <t xml:space="preserve">Mazda</t>
        </is>
      </c>
      <c r="F3646" s="0" t="inlineStr">
        <is>
          <t xml:space="preserve">Mazda</t>
        </is>
      </c>
      <c r="G3646" s="0" t="s">
        <v>171</v>
      </c>
      <c r="H3646" s="5">
        <v>11.383100</v>
      </c>
    </row>
    <row r="3647" spans="1:9">
      <c r="A3647" s="22" t="str">
        <f>HYPERLINK("https://app.vivvix.com/360/KMI/IntelliDrive/ApplUI/Pages/CreativePages/CustomReportCreativeDetail.aspx?App=23&amp;ReportView=4&amp;Qid=1711279&amp;Row=3639&amp;Col=1","No Title Assigned - #15268526658")</f>
        <v/>
      </c>
      <c r="B3647" s="0" t="s">
        <v>5206</v>
      </c>
      <c r="E3647" s="0" t="inlineStr">
        <is>
          <t xml:space="preserve">Mazda</t>
        </is>
      </c>
      <c r="F3647" s="0" t="inlineStr">
        <is>
          <t xml:space="preserve">Mazda</t>
        </is>
      </c>
      <c r="G3647" s="0" t="s">
        <v>171</v>
      </c>
      <c r="H3647" s="5">
        <v>50.420300</v>
      </c>
    </row>
    <row r="3648" spans="1:9">
      <c r="A3648" s="22" t="str">
        <f>HYPERLINK("https://app.vivvix.com/360/KMI/IntelliDrive/ApplUI/Pages/CreativePages/CustomReportCreativeDetail.aspx?App=23&amp;ReportView=4&amp;Qid=1711279&amp;Row=3640&amp;Col=1","No Title Assigned - #15268526928")</f>
        <v/>
      </c>
      <c r="B3648" s="0" t="s">
        <v>5207</v>
      </c>
      <c r="E3648" s="0" t="inlineStr">
        <is>
          <t xml:space="preserve">Mazda</t>
        </is>
      </c>
      <c r="F3648" s="0" t="inlineStr">
        <is>
          <t xml:space="preserve">Mazda</t>
        </is>
      </c>
      <c r="G3648" s="0" t="s">
        <v>171</v>
      </c>
      <c r="H3648" s="5">
        <v>532.673200</v>
      </c>
    </row>
    <row r="3649" spans="1:9">
      <c r="A3649" s="22" t="str">
        <f>HYPERLINK("https://app.vivvix.com/360/KMI/IntelliDrive/ApplUI/Pages/CreativePages/CustomReportCreativeDetail.aspx?App=23&amp;ReportView=4&amp;Qid=1711279&amp;Row=3641&amp;Col=1","No Title Assigned - #15268526995")</f>
        <v/>
      </c>
      <c r="B3649" s="0" t="s">
        <v>5208</v>
      </c>
      <c r="E3649" s="0" t="inlineStr">
        <is>
          <t xml:space="preserve">Mazda</t>
        </is>
      </c>
      <c r="F3649" s="0" t="inlineStr">
        <is>
          <t xml:space="preserve">Mazda</t>
        </is>
      </c>
      <c r="G3649" s="0" t="s">
        <v>171</v>
      </c>
      <c r="H3649" s="5">
        <v>50.006300</v>
      </c>
    </row>
    <row r="3650" spans="1:9">
      <c r="A3650" s="22" t="str">
        <f>HYPERLINK("https://app.vivvix.com/360/KMI/IntelliDrive/ApplUI/Pages/CreativePages/CustomReportCreativeDetail.aspx?App=23&amp;ReportView=4&amp;Qid=1711279&amp;Row=3642&amp;Col=1","No Title Assigned - #15268527298")</f>
        <v/>
      </c>
      <c r="B3650" s="0" t="s">
        <v>5209</v>
      </c>
      <c r="E3650" s="0" t="inlineStr">
        <is>
          <t xml:space="preserve">Mazda</t>
        </is>
      </c>
      <c r="F3650" s="0" t="inlineStr">
        <is>
          <t xml:space="preserve">Mazda</t>
        </is>
      </c>
      <c r="G3650" s="0" t="s">
        <v>171</v>
      </c>
      <c r="H3650" s="5">
        <v>8.391200</v>
      </c>
    </row>
    <row r="3651" spans="1:9">
      <c r="A3651" s="22" t="str">
        <f>HYPERLINK("https://app.vivvix.com/360/KMI/IntelliDrive/ApplUI/Pages/CreativePages/CustomReportCreativeDetail.aspx?App=23&amp;ReportView=4&amp;Qid=1711279&amp;Row=3643&amp;Col=1","No Title Assigned - #15268527844")</f>
        <v/>
      </c>
      <c r="B3651" s="0" t="s">
        <v>5210</v>
      </c>
      <c r="C3651" s="0" t="s">
        <v>5211</v>
      </c>
      <c r="D3651" s="0" t="s">
        <v>5211</v>
      </c>
      <c r="E3651" s="0" t="inlineStr">
        <is>
          <t xml:space="preserve">Mazda</t>
        </is>
      </c>
      <c r="F3651" s="0" t="inlineStr">
        <is>
          <t xml:space="preserve">Mazda</t>
        </is>
      </c>
      <c r="G3651" s="0" t="s">
        <v>171</v>
      </c>
      <c r="H3651" s="5">
        <v>1929.650700</v>
      </c>
    </row>
    <row r="3652" spans="1:9">
      <c r="A3652" s="22" t="str">
        <f>HYPERLINK("https://app.vivvix.com/360/KMI/IntelliDrive/ApplUI/Pages/CreativePages/CustomReportCreativeDetail.aspx?App=23&amp;ReportView=4&amp;Qid=1711279&amp;Row=3644&amp;Col=1","No Title Assigned - #15268527844")</f>
        <v/>
      </c>
      <c r="B3652" s="0" t="s">
        <v>5210</v>
      </c>
      <c r="E3652" s="0" t="inlineStr">
        <is>
          <t xml:space="preserve">Mazda</t>
        </is>
      </c>
      <c r="F3652" s="0" t="inlineStr">
        <is>
          <t xml:space="preserve">Mazda</t>
        </is>
      </c>
      <c r="G3652" s="0" t="s">
        <v>171</v>
      </c>
      <c r="H3652" s="5">
        <v>71.111400</v>
      </c>
    </row>
    <row r="3653" spans="1:9">
      <c r="A3653" s="22" t="str">
        <f>HYPERLINK("https://app.vivvix.com/360/KMI/IntelliDrive/ApplUI/Pages/CreativePages/CustomReportCreativeDetail.aspx?App=23&amp;ReportView=4&amp;Qid=1711279&amp;Row=3645&amp;Col=1","No Title Assigned - #15268527978")</f>
        <v/>
      </c>
      <c r="B3653" s="0" t="s">
        <v>5212</v>
      </c>
      <c r="E3653" s="0" t="inlineStr">
        <is>
          <t xml:space="preserve">Mazda</t>
        </is>
      </c>
      <c r="F3653" s="0" t="inlineStr">
        <is>
          <t xml:space="preserve">Mazda</t>
        </is>
      </c>
      <c r="G3653" s="0" t="s">
        <v>171</v>
      </c>
      <c r="H3653" s="5">
        <v>51006.386700</v>
      </c>
    </row>
    <row r="3654" spans="1:9">
      <c r="A3654" s="22" t="str">
        <f>HYPERLINK("https://app.vivvix.com/360/KMI/IntelliDrive/ApplUI/Pages/CreativePages/CustomReportCreativeDetail.aspx?App=23&amp;ReportView=4&amp;Qid=1711279&amp;Row=3646&amp;Col=1","No Title Assigned - #15268529443")</f>
        <v/>
      </c>
      <c r="B3654" s="0" t="s">
        <v>5213</v>
      </c>
      <c r="C3654" s="0" t="s">
        <v>5214</v>
      </c>
      <c r="D3654" s="0" t="s">
        <v>4200</v>
      </c>
      <c r="E3654" s="0" t="inlineStr">
        <is>
          <t xml:space="preserve">Mazda</t>
        </is>
      </c>
      <c r="F3654" s="0" t="s">
        <v>28</v>
      </c>
      <c r="G3654" s="0" t="s">
        <v>29</v>
      </c>
      <c r="H3654" s="5">
        <v>31.384000</v>
      </c>
    </row>
    <row r="3655" spans="1:9">
      <c r="A3655" s="22" t="str">
        <f>HYPERLINK("https://app.vivvix.com/360/KMI/IntelliDrive/ApplUI/Pages/CreativePages/CustomReportCreativeDetail.aspx?App=23&amp;ReportView=4&amp;Qid=1711279&amp;Row=3647&amp;Col=1","No Title Assigned - #15268530437")</f>
        <v/>
      </c>
      <c r="B3655" s="0" t="s">
        <v>5215</v>
      </c>
      <c r="C3655" s="0" t="s">
        <v>5216</v>
      </c>
      <c r="D3655" s="0" t="s">
        <v>4204</v>
      </c>
      <c r="E3655" s="0" t="inlineStr">
        <is>
          <t xml:space="preserve">Mazda</t>
        </is>
      </c>
      <c r="F3655" s="0" t="s">
        <v>28</v>
      </c>
      <c r="G3655" s="0" t="s">
        <v>29</v>
      </c>
      <c r="H3655" s="5">
        <v>74.103200</v>
      </c>
    </row>
    <row r="3656" spans="1:9">
      <c r="A3656" s="22" t="str">
        <f>HYPERLINK("https://app.vivvix.com/360/KMI/IntelliDrive/ApplUI/Pages/CreativePages/CustomReportCreativeDetail.aspx?App=23&amp;ReportView=4&amp;Qid=1711279&amp;Row=3648&amp;Col=1","No Title Assigned - #15268530585")</f>
        <v/>
      </c>
      <c r="B3656" s="0" t="s">
        <v>5217</v>
      </c>
      <c r="C3656" s="0" t="s">
        <v>5218</v>
      </c>
      <c r="D3656" s="0" t="s">
        <v>4200</v>
      </c>
      <c r="E3656" s="0" t="inlineStr">
        <is>
          <t xml:space="preserve">Mazda</t>
        </is>
      </c>
      <c r="F3656" s="0" t="s">
        <v>28</v>
      </c>
      <c r="G3656" s="0" t="s">
        <v>29</v>
      </c>
      <c r="H3656" s="5">
        <v>32.948300</v>
      </c>
    </row>
    <row r="3657" spans="1:9">
      <c r="A3657" s="22" t="str">
        <f>HYPERLINK("https://app.vivvix.com/360/KMI/IntelliDrive/ApplUI/Pages/CreativePages/CustomReportCreativeDetail.aspx?App=23&amp;ReportView=4&amp;Qid=1711279&amp;Row=3649&amp;Col=1","No Title Assigned - #15268530587")</f>
        <v/>
      </c>
      <c r="B3657" s="0" t="s">
        <v>5219</v>
      </c>
      <c r="C3657" s="0" t="s">
        <v>5220</v>
      </c>
      <c r="D3657" s="0" t="s">
        <v>5220</v>
      </c>
      <c r="E3657" s="0" t="inlineStr">
        <is>
          <t xml:space="preserve">Mazda</t>
        </is>
      </c>
      <c r="F3657" s="0" t="s">
        <v>28</v>
      </c>
      <c r="G3657" s="0" t="s">
        <v>29</v>
      </c>
      <c r="H3657" s="5">
        <v>32.948300</v>
      </c>
    </row>
    <row r="3658" spans="1:9">
      <c r="A3658" s="22" t="str">
        <f>HYPERLINK("https://app.vivvix.com/360/KMI/IntelliDrive/ApplUI/Pages/CreativePages/CustomReportCreativeDetail.aspx?App=23&amp;ReportView=4&amp;Qid=1711279&amp;Row=3650&amp;Col=1","No Title Assigned - #15268530877")</f>
        <v/>
      </c>
      <c r="B3658" s="0" t="s">
        <v>5221</v>
      </c>
      <c r="E3658" s="0" t="inlineStr">
        <is>
          <t xml:space="preserve">Mazda</t>
        </is>
      </c>
      <c r="F3658" s="0" t="inlineStr">
        <is>
          <t xml:space="preserve">Mazda</t>
        </is>
      </c>
      <c r="G3658" s="0" t="s">
        <v>171</v>
      </c>
      <c r="H3658" s="5">
        <v>440.062600</v>
      </c>
    </row>
    <row r="3659" spans="1:9">
      <c r="A3659" s="22" t="str">
        <f>HYPERLINK("https://app.vivvix.com/360/KMI/IntelliDrive/ApplUI/Pages/CreativePages/CustomReportCreativeDetail.aspx?App=23&amp;ReportView=4&amp;Qid=1711279&amp;Row=3651&amp;Col=1","No Title Assigned - #15268530878")</f>
        <v/>
      </c>
      <c r="B3659" s="0" t="s">
        <v>5222</v>
      </c>
      <c r="C3659" s="0" t="s">
        <v>5223</v>
      </c>
      <c r="D3659" s="0" t="s">
        <v>4424</v>
      </c>
      <c r="E3659" s="0" t="inlineStr">
        <is>
          <t xml:space="preserve">Mazda</t>
        </is>
      </c>
      <c r="F3659" s="0" t="s">
        <v>28</v>
      </c>
      <c r="G3659" s="0" t="s">
        <v>29</v>
      </c>
      <c r="H3659" s="5">
        <v>68.137500</v>
      </c>
    </row>
    <row r="3660" spans="1:9">
      <c r="A3660" s="22" t="str">
        <f>HYPERLINK("https://app.vivvix.com/360/KMI/IntelliDrive/ApplUI/Pages/CreativePages/CustomReportCreativeDetail.aspx?App=23&amp;ReportView=4&amp;Qid=1711279&amp;Row=3652&amp;Col=1","No Title Assigned - #15268530878")</f>
        <v/>
      </c>
      <c r="B3660" s="0" t="s">
        <v>5222</v>
      </c>
      <c r="E3660" s="0" t="inlineStr">
        <is>
          <t xml:space="preserve">Mazda</t>
        </is>
      </c>
      <c r="F3660" s="0" t="s">
        <v>28</v>
      </c>
      <c r="G3660" s="0" t="s">
        <v>29</v>
      </c>
      <c r="H3660" s="5">
        <v>825.084800</v>
      </c>
    </row>
    <row r="3661" spans="1:9">
      <c r="A3661" s="22" t="str">
        <f>HYPERLINK("https://app.vivvix.com/360/KMI/IntelliDrive/ApplUI/Pages/CreativePages/CustomReportCreativeDetail.aspx?App=23&amp;ReportView=4&amp;Qid=1711279&amp;Row=3653&amp;Col=1","No Title Assigned - #15268531467")</f>
        <v/>
      </c>
      <c r="B3661" s="0" t="s">
        <v>5224</v>
      </c>
      <c r="C3661" s="0" t="s">
        <v>5225</v>
      </c>
      <c r="D3661" s="0" t="s">
        <v>5225</v>
      </c>
      <c r="E3661" s="0" t="inlineStr">
        <is>
          <t xml:space="preserve">Mazda</t>
        </is>
      </c>
      <c r="F3661" s="0" t="inlineStr">
        <is>
          <t xml:space="preserve">Mazda</t>
        </is>
      </c>
      <c r="G3661" s="0" t="s">
        <v>210</v>
      </c>
      <c r="H3661" s="5">
        <v>891.779600</v>
      </c>
    </row>
    <row r="3662" spans="1:9">
      <c r="A3662" s="22" t="str">
        <f>HYPERLINK("https://app.vivvix.com/360/KMI/IntelliDrive/ApplUI/Pages/CreativePages/CustomReportCreativeDetail.aspx?App=23&amp;ReportView=4&amp;Qid=1711279&amp;Row=3654&amp;Col=1","No Title Assigned - #15268531781")</f>
        <v/>
      </c>
      <c r="B3662" s="0" t="s">
        <v>5226</v>
      </c>
      <c r="E3662" s="0" t="inlineStr">
        <is>
          <t xml:space="preserve">Mazda</t>
        </is>
      </c>
      <c r="F3662" s="0" t="s">
        <v>28</v>
      </c>
      <c r="G3662" s="0" t="s">
        <v>29</v>
      </c>
      <c r="H3662" s="5">
        <v>67.636200</v>
      </c>
    </row>
    <row r="3663" spans="1:9">
      <c r="A3663" s="22" t="str">
        <f>HYPERLINK("https://app.vivvix.com/360/KMI/IntelliDrive/ApplUI/Pages/CreativePages/CustomReportCreativeDetail.aspx?App=23&amp;ReportView=4&amp;Qid=1711279&amp;Row=3655&amp;Col=1","No Title Assigned - #15268532366")</f>
        <v/>
      </c>
      <c r="B3663" s="0" t="s">
        <v>5227</v>
      </c>
      <c r="E3663" s="0" t="inlineStr">
        <is>
          <t xml:space="preserve">Mazda</t>
        </is>
      </c>
      <c r="F3663" s="0" t="inlineStr">
        <is>
          <t xml:space="preserve">Mazda</t>
        </is>
      </c>
      <c r="G3663" s="0" t="s">
        <v>171</v>
      </c>
      <c r="H3663" s="5">
        <v>146.646200</v>
      </c>
    </row>
    <row r="3664" spans="1:9">
      <c r="A3664" s="22" t="str">
        <f>HYPERLINK("https://app.vivvix.com/360/KMI/IntelliDrive/ApplUI/Pages/CreativePages/CustomReportCreativeDetail.aspx?App=23&amp;ReportView=4&amp;Qid=1711279&amp;Row=3656&amp;Col=1","No Title Assigned - #15268532548")</f>
        <v/>
      </c>
      <c r="B3664" s="0" t="s">
        <v>5228</v>
      </c>
      <c r="C3664" s="0" t="s">
        <v>5229</v>
      </c>
      <c r="D3664" s="0" t="s">
        <v>5229</v>
      </c>
      <c r="E3664" s="0" t="inlineStr">
        <is>
          <t xml:space="preserve">Mazda</t>
        </is>
      </c>
      <c r="F3664" s="0" t="s">
        <v>28</v>
      </c>
      <c r="G3664" s="0" t="s">
        <v>29</v>
      </c>
      <c r="H3664" s="5">
        <v>117.061900</v>
      </c>
    </row>
    <row r="3665" spans="1:9">
      <c r="A3665" s="22" t="str">
        <f>HYPERLINK("https://app.vivvix.com/360/KMI/IntelliDrive/ApplUI/Pages/CreativePages/CustomReportCreativeDetail.aspx?App=23&amp;ReportView=4&amp;Qid=1711279&amp;Row=3657&amp;Col=1","No Title Assigned - #15268532563")</f>
        <v/>
      </c>
      <c r="B3665" s="0" t="s">
        <v>5230</v>
      </c>
      <c r="C3665" s="0" t="s">
        <v>5231</v>
      </c>
      <c r="D3665" s="0" t="s">
        <v>4200</v>
      </c>
      <c r="E3665" s="0" t="inlineStr">
        <is>
          <t xml:space="preserve">Mazda</t>
        </is>
      </c>
      <c r="F3665" s="0" t="s">
        <v>28</v>
      </c>
      <c r="G3665" s="0" t="s">
        <v>29</v>
      </c>
      <c r="H3665" s="5">
        <v>176.656300</v>
      </c>
    </row>
    <row r="3666" spans="1:9">
      <c r="A3666" s="22" t="str">
        <f>HYPERLINK("https://app.vivvix.com/360/KMI/IntelliDrive/ApplUI/Pages/CreativePages/CustomReportCreativeDetail.aspx?App=23&amp;ReportView=4&amp;Qid=1711279&amp;Row=3658&amp;Col=1","No Title Assigned - #15268533499")</f>
        <v/>
      </c>
      <c r="B3666" s="0" t="s">
        <v>5232</v>
      </c>
      <c r="C3666" s="0" t="s">
        <v>5233</v>
      </c>
      <c r="D3666" s="0" t="s">
        <v>5233</v>
      </c>
      <c r="E3666" s="0" t="inlineStr">
        <is>
          <t xml:space="preserve">Mazda</t>
        </is>
      </c>
      <c r="F3666" s="0" t="s">
        <v>28</v>
      </c>
      <c r="G3666" s="0" t="s">
        <v>29</v>
      </c>
      <c r="H3666" s="5">
        <v>2073.113800</v>
      </c>
    </row>
    <row r="3667" spans="1:9">
      <c r="A3667" s="22" t="str">
        <f>HYPERLINK("https://app.vivvix.com/360/KMI/IntelliDrive/ApplUI/Pages/CreativePages/CustomReportCreativeDetail.aspx?App=23&amp;ReportView=4&amp;Qid=1711279&amp;Row=3659&amp;Col=1","No Title Assigned - #15268533521")</f>
        <v/>
      </c>
      <c r="B3667" s="0" t="s">
        <v>5234</v>
      </c>
      <c r="C3667" s="0" t="s">
        <v>5235</v>
      </c>
      <c r="D3667" s="0" t="s">
        <v>5235</v>
      </c>
      <c r="E3667" s="0" t="inlineStr">
        <is>
          <t xml:space="preserve">Mazda</t>
        </is>
      </c>
      <c r="F3667" s="0" t="s">
        <v>28</v>
      </c>
      <c r="G3667" s="0" t="s">
        <v>29</v>
      </c>
      <c r="H3667" s="5">
        <v>55.558100</v>
      </c>
    </row>
    <row r="3668" spans="1:9">
      <c r="A3668" s="22" t="str">
        <f>HYPERLINK("https://app.vivvix.com/360/KMI/IntelliDrive/ApplUI/Pages/CreativePages/CustomReportCreativeDetail.aspx?App=23&amp;ReportView=4&amp;Qid=1711279&amp;Row=3660&amp;Col=1","No Title Assigned - #15268533570")</f>
        <v/>
      </c>
      <c r="B3668" s="0" t="s">
        <v>5236</v>
      </c>
      <c r="C3668" s="0" t="s">
        <v>5237</v>
      </c>
      <c r="D3668" s="0" t="s">
        <v>5237</v>
      </c>
      <c r="E3668" s="0" t="inlineStr">
        <is>
          <t xml:space="preserve">Mazda</t>
        </is>
      </c>
      <c r="F3668" s="0" t="inlineStr">
        <is>
          <t xml:space="preserve">Mazda</t>
        </is>
      </c>
      <c r="G3668" s="0" t="s">
        <v>171</v>
      </c>
      <c r="H3668" s="5">
        <v>206.908800</v>
      </c>
    </row>
    <row r="3669" spans="1:9">
      <c r="A3669" s="22" t="str">
        <f>HYPERLINK("https://app.vivvix.com/360/KMI/IntelliDrive/ApplUI/Pages/CreativePages/CustomReportCreativeDetail.aspx?App=23&amp;ReportView=4&amp;Qid=1711279&amp;Row=3661&amp;Col=1","No Title Assigned - #15268534219")</f>
        <v/>
      </c>
      <c r="B3669" s="0" t="s">
        <v>5238</v>
      </c>
      <c r="C3669" s="0" t="s">
        <v>5239</v>
      </c>
      <c r="D3669" s="0" t="s">
        <v>5239</v>
      </c>
      <c r="E3669" s="0" t="inlineStr">
        <is>
          <t xml:space="preserve">Mazda</t>
        </is>
      </c>
      <c r="F3669" s="0" t="s">
        <v>13</v>
      </c>
      <c r="G3669" s="0" t="s">
        <v>49</v>
      </c>
      <c r="H3669" s="5">
        <v>1218.157300</v>
      </c>
    </row>
    <row r="3670" spans="1:9">
      <c r="A3670" s="22" t="str">
        <f>HYPERLINK("https://app.vivvix.com/360/KMI/IntelliDrive/ApplUI/Pages/CreativePages/CustomReportCreativeDetail.aspx?App=23&amp;ReportView=4&amp;Qid=1711279&amp;Row=3662&amp;Col=1","No Title Assigned - #15268534219")</f>
        <v/>
      </c>
      <c r="B3670" s="0" t="s">
        <v>5238</v>
      </c>
      <c r="E3670" s="0" t="inlineStr">
        <is>
          <t xml:space="preserve">Mazda</t>
        </is>
      </c>
      <c r="F3670" s="0" t="s">
        <v>13</v>
      </c>
      <c r="G3670" s="0" t="s">
        <v>49</v>
      </c>
      <c r="H3670" s="5">
        <v>674.259700</v>
      </c>
    </row>
    <row r="3671" spans="1:9">
      <c r="A3671" s="22" t="str">
        <f>HYPERLINK("https://app.vivvix.com/360/KMI/IntelliDrive/ApplUI/Pages/CreativePages/CustomReportCreativeDetail.aspx?App=23&amp;ReportView=4&amp;Qid=1711279&amp;Row=3663&amp;Col=1","No Title Assigned - #15268537462")</f>
        <v/>
      </c>
      <c r="B3671" s="0" t="s">
        <v>5240</v>
      </c>
      <c r="C3671" s="0" t="s">
        <v>5241</v>
      </c>
      <c r="D3671" s="0" t="s">
        <v>5241</v>
      </c>
      <c r="E3671" s="0" t="inlineStr">
        <is>
          <t xml:space="preserve">Mazda</t>
        </is>
      </c>
      <c r="F3671" s="0" t="s">
        <v>28</v>
      </c>
      <c r="G3671" s="0" t="s">
        <v>29</v>
      </c>
      <c r="H3671" s="5">
        <v>477.755400</v>
      </c>
    </row>
    <row r="3672" spans="1:9">
      <c r="A3672" s="22" t="str">
        <f>HYPERLINK("https://app.vivvix.com/360/KMI/IntelliDrive/ApplUI/Pages/CreativePages/CustomReportCreativeDetail.aspx?App=23&amp;ReportView=4&amp;Qid=1711279&amp;Row=3664&amp;Col=1","No Title Assigned - #15268537844")</f>
        <v/>
      </c>
      <c r="B3672" s="0" t="s">
        <v>5242</v>
      </c>
      <c r="E3672" s="0" t="inlineStr">
        <is>
          <t xml:space="preserve">Mazda</t>
        </is>
      </c>
      <c r="F3672" s="0" t="inlineStr">
        <is>
          <t xml:space="preserve">Mazda</t>
        </is>
      </c>
      <c r="G3672" s="0" t="s">
        <v>171</v>
      </c>
      <c r="H3672" s="5">
        <v>30903.386700</v>
      </c>
    </row>
    <row r="3673" spans="1:9">
      <c r="A3673" s="22" t="str">
        <f>HYPERLINK("https://app.vivvix.com/360/KMI/IntelliDrive/ApplUI/Pages/CreativePages/CustomReportCreativeDetail.aspx?App=23&amp;ReportView=4&amp;Qid=1711279&amp;Row=3665&amp;Col=1","No Title Assigned - #15268538263")</f>
        <v/>
      </c>
      <c r="B3673" s="0" t="s">
        <v>5243</v>
      </c>
      <c r="E3673" s="0" t="inlineStr">
        <is>
          <t xml:space="preserve">Mazda</t>
        </is>
      </c>
      <c r="F3673" s="0" t="s">
        <v>28</v>
      </c>
      <c r="G3673" s="0" t="s">
        <v>29</v>
      </c>
      <c r="H3673" s="5">
        <v>412.499300</v>
      </c>
    </row>
    <row r="3674" spans="1:9">
      <c r="A3674" s="22" t="str">
        <f>HYPERLINK("https://app.vivvix.com/360/KMI/IntelliDrive/ApplUI/Pages/CreativePages/CustomReportCreativeDetail.aspx?App=23&amp;ReportView=4&amp;Qid=1711279&amp;Row=3666&amp;Col=1","No Title Assigned - #15268538339")</f>
        <v/>
      </c>
      <c r="B3674" s="0" t="s">
        <v>5244</v>
      </c>
      <c r="C3674" s="0" t="s">
        <v>5245</v>
      </c>
      <c r="D3674" s="0" t="s">
        <v>5245</v>
      </c>
      <c r="E3674" s="0" t="inlineStr">
        <is>
          <t xml:space="preserve">Mazda</t>
        </is>
      </c>
      <c r="F3674" s="0" t="s">
        <v>28</v>
      </c>
      <c r="G3674" s="0" t="s">
        <v>29</v>
      </c>
      <c r="H3674" s="5">
        <v>706.513700</v>
      </c>
    </row>
    <row r="3675" spans="1:9">
      <c r="A3675" s="22" t="str">
        <f>HYPERLINK("https://app.vivvix.com/360/KMI/IntelliDrive/ApplUI/Pages/CreativePages/CustomReportCreativeDetail.aspx?App=23&amp;ReportView=4&amp;Qid=1711279&amp;Row=3667&amp;Col=1","No Title Assigned - #15268538913")</f>
        <v/>
      </c>
      <c r="B3675" s="0" t="s">
        <v>5246</v>
      </c>
      <c r="C3675" s="0" t="s">
        <v>5247</v>
      </c>
      <c r="D3675" s="0" t="s">
        <v>5229</v>
      </c>
      <c r="E3675" s="0" t="inlineStr">
        <is>
          <t xml:space="preserve">Mazda</t>
        </is>
      </c>
      <c r="F3675" s="0" t="s">
        <v>28</v>
      </c>
      <c r="G3675" s="0" t="s">
        <v>29</v>
      </c>
      <c r="H3675" s="5">
        <v>37.051600</v>
      </c>
    </row>
    <row r="3676" spans="1:9">
      <c r="A3676" s="22" t="str">
        <f>HYPERLINK("https://app.vivvix.com/360/KMI/IntelliDrive/ApplUI/Pages/CreativePages/CustomReportCreativeDetail.aspx?App=23&amp;ReportView=4&amp;Qid=1711279&amp;Row=3668&amp;Col=1","No Title Assigned - #15268539336")</f>
        <v/>
      </c>
      <c r="B3676" s="0" t="s">
        <v>5248</v>
      </c>
      <c r="E3676" s="0" t="inlineStr">
        <is>
          <t xml:space="preserve">Mazda</t>
        </is>
      </c>
      <c r="F3676" s="0" t="inlineStr">
        <is>
          <t xml:space="preserve">Mazda</t>
        </is>
      </c>
      <c r="G3676" s="0" t="s">
        <v>171</v>
      </c>
      <c r="H3676" s="5">
        <v>42.287100</v>
      </c>
    </row>
    <row r="3677" spans="1:9">
      <c r="A3677" s="22" t="str">
        <f>HYPERLINK("https://app.vivvix.com/360/KMI/IntelliDrive/ApplUI/Pages/CreativePages/CustomReportCreativeDetail.aspx?App=23&amp;ReportView=4&amp;Qid=1711279&amp;Row=3669&amp;Col=1","No Title Assigned - #15268539338")</f>
        <v/>
      </c>
      <c r="B3677" s="0" t="s">
        <v>5249</v>
      </c>
      <c r="C3677" s="0" t="s">
        <v>5250</v>
      </c>
      <c r="D3677" s="0" t="s">
        <v>5250</v>
      </c>
      <c r="E3677" s="0" t="inlineStr">
        <is>
          <t xml:space="preserve">Mazda</t>
        </is>
      </c>
      <c r="F3677" s="0" t="s">
        <v>28</v>
      </c>
      <c r="G3677" s="0" t="s">
        <v>29</v>
      </c>
      <c r="H3677" s="5">
        <v>38.191900</v>
      </c>
    </row>
    <row r="3678" spans="1:9">
      <c r="A3678" s="22" t="str">
        <f>HYPERLINK("https://app.vivvix.com/360/KMI/IntelliDrive/ApplUI/Pages/CreativePages/CustomReportCreativeDetail.aspx?App=23&amp;ReportView=4&amp;Qid=1711279&amp;Row=3670&amp;Col=1","No Title Assigned - #15268541143")</f>
        <v/>
      </c>
      <c r="B3678" s="0" t="s">
        <v>5251</v>
      </c>
      <c r="C3678" s="0" t="s">
        <v>5252</v>
      </c>
      <c r="D3678" s="0" t="s">
        <v>5252</v>
      </c>
      <c r="E3678" s="0" t="inlineStr">
        <is>
          <t xml:space="preserve">Mazda</t>
        </is>
      </c>
      <c r="F3678" s="0" t="inlineStr">
        <is>
          <t xml:space="preserve">Mazda</t>
        </is>
      </c>
      <c r="G3678" s="0" t="s">
        <v>171</v>
      </c>
      <c r="H3678" s="5">
        <v>155.039000</v>
      </c>
    </row>
    <row r="3679" spans="1:9">
      <c r="A3679" s="22" t="str">
        <f>HYPERLINK("https://app.vivvix.com/360/KMI/IntelliDrive/ApplUI/Pages/CreativePages/CustomReportCreativeDetail.aspx?App=23&amp;ReportView=4&amp;Qid=1711279&amp;Row=3671&amp;Col=1","No Title Assigned - #15268541256")</f>
        <v/>
      </c>
      <c r="B3679" s="0" t="s">
        <v>5253</v>
      </c>
      <c r="E3679" s="0" t="inlineStr">
        <is>
          <t xml:space="preserve">Mazda</t>
        </is>
      </c>
      <c r="F3679" s="0" t="inlineStr">
        <is>
          <t xml:space="preserve">Mazda</t>
        </is>
      </c>
      <c r="G3679" s="0" t="s">
        <v>171</v>
      </c>
      <c r="H3679" s="5">
        <v>48.804800</v>
      </c>
    </row>
    <row r="3680" spans="1:9">
      <c r="A3680" s="22" t="str">
        <f>HYPERLINK("https://app.vivvix.com/360/KMI/IntelliDrive/ApplUI/Pages/CreativePages/CustomReportCreativeDetail.aspx?App=23&amp;ReportView=4&amp;Qid=1711279&amp;Row=3672&amp;Col=1","No Title Assigned - #15268541530")</f>
        <v/>
      </c>
      <c r="B3680" s="0" t="s">
        <v>5254</v>
      </c>
      <c r="E3680" s="0" t="inlineStr">
        <is>
          <t xml:space="preserve">Mazda</t>
        </is>
      </c>
      <c r="F3680" s="0" t="inlineStr">
        <is>
          <t xml:space="preserve">Mazda</t>
        </is>
      </c>
      <c r="G3680" s="0" t="s">
        <v>171</v>
      </c>
      <c r="H3680" s="5">
        <v>139.797200</v>
      </c>
    </row>
    <row r="3681" spans="1:9">
      <c r="A3681" s="22" t="str">
        <f>HYPERLINK("https://app.vivvix.com/360/KMI/IntelliDrive/ApplUI/Pages/CreativePages/CustomReportCreativeDetail.aspx?App=23&amp;ReportView=4&amp;Qid=1711279&amp;Row=3673&amp;Col=1","No Title Assigned - #15268542137")</f>
        <v/>
      </c>
      <c r="B3681" s="0" t="s">
        <v>5255</v>
      </c>
      <c r="E3681" s="0" t="inlineStr">
        <is>
          <t xml:space="preserve">Mazda</t>
        </is>
      </c>
      <c r="F3681" s="0" t="s">
        <v>28</v>
      </c>
      <c r="G3681" s="0" t="s">
        <v>29</v>
      </c>
      <c r="H3681" s="5">
        <v>3491.252200</v>
      </c>
    </row>
    <row r="3682" spans="1:9">
      <c r="A3682" s="22" t="str">
        <f>HYPERLINK("https://app.vivvix.com/360/KMI/IntelliDrive/ApplUI/Pages/CreativePages/CustomReportCreativeDetail.aspx?App=23&amp;ReportView=4&amp;Qid=1711279&amp;Row=3674&amp;Col=1","No Title Assigned - #15268542137")</f>
        <v/>
      </c>
      <c r="B3682" s="0" t="s">
        <v>5255</v>
      </c>
      <c r="C3682" s="0" t="s">
        <v>5256</v>
      </c>
      <c r="D3682" s="0" t="s">
        <v>5256</v>
      </c>
      <c r="E3682" s="0" t="inlineStr">
        <is>
          <t xml:space="preserve">Mazda</t>
        </is>
      </c>
      <c r="F3682" s="0" t="s">
        <v>28</v>
      </c>
      <c r="G3682" s="0" t="s">
        <v>29</v>
      </c>
      <c r="H3682" s="5">
        <v>1666.743100</v>
      </c>
    </row>
    <row r="3683" spans="1:9">
      <c r="A3683" s="22" t="str">
        <f>HYPERLINK("https://app.vivvix.com/360/KMI/IntelliDrive/ApplUI/Pages/CreativePages/CustomReportCreativeDetail.aspx?App=23&amp;ReportView=4&amp;Qid=1711279&amp;Row=3675&amp;Col=1","No Title Assigned - #15268543153")</f>
        <v/>
      </c>
      <c r="B3683" s="0" t="s">
        <v>5257</v>
      </c>
      <c r="C3683" s="0" t="s">
        <v>5258</v>
      </c>
      <c r="D3683" s="0" t="s">
        <v>5258</v>
      </c>
      <c r="E3683" s="0" t="inlineStr">
        <is>
          <t xml:space="preserve">Mazda</t>
        </is>
      </c>
      <c r="F3683" s="0" t="inlineStr">
        <is>
          <t xml:space="preserve">Mazda</t>
        </is>
      </c>
      <c r="G3683" s="0" t="s">
        <v>171</v>
      </c>
      <c r="H3683" s="5">
        <v>26.508100</v>
      </c>
    </row>
    <row r="3684" spans="1:9">
      <c r="A3684" s="22" t="str">
        <f>HYPERLINK("https://app.vivvix.com/360/KMI/IntelliDrive/ApplUI/Pages/CreativePages/CustomReportCreativeDetail.aspx?App=23&amp;ReportView=4&amp;Qid=1711279&amp;Row=3676&amp;Col=1","No Title Assigned - #15268543245")</f>
        <v/>
      </c>
      <c r="B3684" s="0" t="s">
        <v>5259</v>
      </c>
      <c r="E3684" s="0" t="inlineStr">
        <is>
          <t xml:space="preserve">Mazda</t>
        </is>
      </c>
      <c r="F3684" s="0" t="inlineStr">
        <is>
          <t xml:space="preserve">Mazda</t>
        </is>
      </c>
      <c r="G3684" s="0" t="s">
        <v>171</v>
      </c>
      <c r="H3684" s="5">
        <v>42.433400</v>
      </c>
    </row>
    <row r="3685" spans="1:9">
      <c r="A3685" s="22" t="str">
        <f>HYPERLINK("https://app.vivvix.com/360/KMI/IntelliDrive/ApplUI/Pages/CreativePages/CustomReportCreativeDetail.aspx?App=23&amp;ReportView=4&amp;Qid=1711279&amp;Row=3677&amp;Col=1","No Title Assigned - #15268543301")</f>
        <v/>
      </c>
      <c r="B3685" s="0" t="s">
        <v>5260</v>
      </c>
      <c r="C3685" s="0" t="s">
        <v>5261</v>
      </c>
      <c r="D3685" s="0" t="s">
        <v>5261</v>
      </c>
      <c r="E3685" s="0" t="inlineStr">
        <is>
          <t xml:space="preserve">Mazda</t>
        </is>
      </c>
      <c r="F3685" s="0" t="inlineStr">
        <is>
          <t xml:space="preserve">Mazda</t>
        </is>
      </c>
      <c r="G3685" s="0" t="s">
        <v>171</v>
      </c>
      <c r="H3685" s="5">
        <v>841.829600</v>
      </c>
    </row>
    <row r="3686" spans="1:9">
      <c r="A3686" s="22" t="str">
        <f>HYPERLINK("https://app.vivvix.com/360/KMI/IntelliDrive/ApplUI/Pages/CreativePages/CustomReportCreativeDetail.aspx?App=23&amp;ReportView=4&amp;Qid=1711279&amp;Row=3678&amp;Col=1","No Title Assigned - #15268543301")</f>
        <v/>
      </c>
      <c r="B3686" s="0" t="s">
        <v>5260</v>
      </c>
      <c r="E3686" s="0" t="inlineStr">
        <is>
          <t xml:space="preserve">Mazda</t>
        </is>
      </c>
      <c r="F3686" s="0" t="inlineStr">
        <is>
          <t xml:space="preserve">Mazda</t>
        </is>
      </c>
      <c r="G3686" s="0" t="s">
        <v>171</v>
      </c>
      <c r="H3686" s="5">
        <v>793.271600</v>
      </c>
    </row>
    <row r="3687" spans="1:9">
      <c r="A3687" s="22" t="str">
        <f>HYPERLINK("https://app.vivvix.com/360/KMI/IntelliDrive/ApplUI/Pages/CreativePages/CustomReportCreativeDetail.aspx?App=23&amp;ReportView=4&amp;Qid=1711279&amp;Row=3679&amp;Col=1","No Title Assigned - #15268544067")</f>
        <v/>
      </c>
      <c r="B3687" s="0" t="s">
        <v>5262</v>
      </c>
      <c r="E3687" s="0" t="inlineStr">
        <is>
          <t xml:space="preserve">Mazda</t>
        </is>
      </c>
      <c r="F3687" s="0" t="inlineStr">
        <is>
          <t xml:space="preserve">Mazda</t>
        </is>
      </c>
      <c r="G3687" s="0" t="s">
        <v>171</v>
      </c>
      <c r="H3687" s="5">
        <v>3537.028500</v>
      </c>
    </row>
    <row r="3688" spans="1:9">
      <c r="A3688" s="22" t="str">
        <f>HYPERLINK("https://app.vivvix.com/360/KMI/IntelliDrive/ApplUI/Pages/CreativePages/CustomReportCreativeDetail.aspx?App=23&amp;ReportView=4&amp;Qid=1711279&amp;Row=3680&amp;Col=1","No Title Assigned - #15268544161")</f>
        <v/>
      </c>
      <c r="B3688" s="0" t="s">
        <v>5263</v>
      </c>
      <c r="E3688" s="0" t="inlineStr">
        <is>
          <t xml:space="preserve">Mazda</t>
        </is>
      </c>
      <c r="F3688" s="0" t="inlineStr">
        <is>
          <t xml:space="preserve">Mazda</t>
        </is>
      </c>
      <c r="G3688" s="0" t="s">
        <v>171</v>
      </c>
      <c r="H3688" s="5">
        <v>662.593900</v>
      </c>
    </row>
    <row r="3689" spans="1:9">
      <c r="A3689" s="22" t="str">
        <f>HYPERLINK("https://app.vivvix.com/360/KMI/IntelliDrive/ApplUI/Pages/CreativePages/CustomReportCreativeDetail.aspx?App=23&amp;ReportView=4&amp;Qid=1711279&amp;Row=3681&amp;Col=1","No Title Assigned - #15268544676")</f>
        <v/>
      </c>
      <c r="B3689" s="0" t="s">
        <v>5264</v>
      </c>
      <c r="E3689" s="0" t="inlineStr">
        <is>
          <t xml:space="preserve">Mazda</t>
        </is>
      </c>
      <c r="F3689" s="0" t="inlineStr">
        <is>
          <t xml:space="preserve">Mazda</t>
        </is>
      </c>
      <c r="G3689" s="0" t="s">
        <v>171</v>
      </c>
      <c r="H3689" s="5">
        <v>80.022200</v>
      </c>
    </row>
    <row r="3690" spans="1:9">
      <c r="A3690" s="22" t="str">
        <f>HYPERLINK("https://app.vivvix.com/360/KMI/IntelliDrive/ApplUI/Pages/CreativePages/CustomReportCreativeDetail.aspx?App=23&amp;ReportView=4&amp;Qid=1711279&amp;Row=3682&amp;Col=1","No Title Assigned - #15268544735")</f>
        <v/>
      </c>
      <c r="B3690" s="0" t="s">
        <v>5265</v>
      </c>
      <c r="E3690" s="0" t="inlineStr">
        <is>
          <t xml:space="preserve">Mazda</t>
        </is>
      </c>
      <c r="F3690" s="0" t="inlineStr">
        <is>
          <t xml:space="preserve">Mazda</t>
        </is>
      </c>
      <c r="G3690" s="0" t="s">
        <v>171</v>
      </c>
      <c r="H3690" s="5">
        <v>23745.890600</v>
      </c>
    </row>
    <row r="3691" spans="1:9">
      <c r="A3691" s="22" t="str">
        <f>HYPERLINK("https://app.vivvix.com/360/KMI/IntelliDrive/ApplUI/Pages/CreativePages/CustomReportCreativeDetail.aspx?App=23&amp;ReportView=4&amp;Qid=1711279&amp;Row=3683&amp;Col=1","No Title Assigned - #15268544737")</f>
        <v/>
      </c>
      <c r="B3691" s="0" t="s">
        <v>5266</v>
      </c>
      <c r="E3691" s="0" t="inlineStr">
        <is>
          <t xml:space="preserve">Mazda</t>
        </is>
      </c>
      <c r="F3691" s="0" t="inlineStr">
        <is>
          <t xml:space="preserve">Mazda</t>
        </is>
      </c>
      <c r="G3691" s="0" t="s">
        <v>171</v>
      </c>
      <c r="H3691" s="5">
        <v>11872.945300</v>
      </c>
    </row>
    <row r="3692" spans="1:9">
      <c r="A3692" s="22" t="str">
        <f>HYPERLINK("https://app.vivvix.com/360/KMI/IntelliDrive/ApplUI/Pages/CreativePages/CustomReportCreativeDetail.aspx?App=23&amp;ReportView=4&amp;Qid=1711279&amp;Row=3684&amp;Col=1","No Title Assigned - #15268544959")</f>
        <v/>
      </c>
      <c r="B3692" s="0" t="s">
        <v>5267</v>
      </c>
      <c r="E3692" s="0" t="inlineStr">
        <is>
          <t xml:space="preserve">Mazda</t>
        </is>
      </c>
      <c r="F3692" s="0" t="inlineStr">
        <is>
          <t xml:space="preserve">Mazda</t>
        </is>
      </c>
      <c r="G3692" s="0" t="s">
        <v>171</v>
      </c>
      <c r="H3692" s="5">
        <v>135.209500</v>
      </c>
    </row>
    <row r="3693" spans="1:9">
      <c r="A3693" s="22" t="str">
        <f>HYPERLINK("https://app.vivvix.com/360/KMI/IntelliDrive/ApplUI/Pages/CreativePages/CustomReportCreativeDetail.aspx?App=23&amp;ReportView=4&amp;Qid=1711279&amp;Row=3685&amp;Col=1","No Title Assigned - #15268545407")</f>
        <v/>
      </c>
      <c r="B3693" s="0" t="s">
        <v>5268</v>
      </c>
      <c r="E3693" s="0" t="inlineStr">
        <is>
          <t xml:space="preserve">Mazda</t>
        </is>
      </c>
      <c r="F3693" s="0" t="inlineStr">
        <is>
          <t xml:space="preserve">Mazda</t>
        </is>
      </c>
      <c r="G3693" s="0" t="s">
        <v>171</v>
      </c>
      <c r="H3693" s="5">
        <v>51.702000</v>
      </c>
    </row>
    <row r="3694" spans="1:9">
      <c r="A3694" s="22" t="str">
        <f>HYPERLINK("https://app.vivvix.com/360/KMI/IntelliDrive/ApplUI/Pages/CreativePages/CustomReportCreativeDetail.aspx?App=23&amp;ReportView=4&amp;Qid=1711279&amp;Row=3686&amp;Col=1","No Title Assigned - #15268545427")</f>
        <v/>
      </c>
      <c r="B3694" s="0" t="s">
        <v>5269</v>
      </c>
      <c r="E3694" s="0" t="inlineStr">
        <is>
          <t xml:space="preserve">Mazda</t>
        </is>
      </c>
      <c r="F3694" s="0" t="inlineStr">
        <is>
          <t xml:space="preserve">Mazda</t>
        </is>
      </c>
      <c r="G3694" s="0" t="s">
        <v>171</v>
      </c>
      <c r="H3694" s="5">
        <v>509.486200</v>
      </c>
    </row>
    <row r="3695" spans="1:9">
      <c r="A3695" s="22" t="str">
        <f>HYPERLINK("https://app.vivvix.com/360/KMI/IntelliDrive/ApplUI/Pages/CreativePages/CustomReportCreativeDetail.aspx?App=23&amp;ReportView=4&amp;Qid=1711279&amp;Row=3687&amp;Col=1","No Title Assigned - #15268545837")</f>
        <v/>
      </c>
      <c r="B3695" s="0" t="s">
        <v>5270</v>
      </c>
      <c r="C3695" s="0" t="s">
        <v>5271</v>
      </c>
      <c r="D3695" s="0" t="s">
        <v>5271</v>
      </c>
      <c r="E3695" s="0" t="inlineStr">
        <is>
          <t xml:space="preserve">Mazda</t>
        </is>
      </c>
      <c r="F3695" s="0" t="inlineStr">
        <is>
          <t xml:space="preserve">Mazda</t>
        </is>
      </c>
      <c r="G3695" s="0" t="s">
        <v>171</v>
      </c>
      <c r="H3695" s="5">
        <v>60.186500</v>
      </c>
    </row>
    <row r="3696" spans="1:9">
      <c r="A3696" s="22" t="str">
        <f>HYPERLINK("https://app.vivvix.com/360/KMI/IntelliDrive/ApplUI/Pages/CreativePages/CustomReportCreativeDetail.aspx?App=23&amp;ReportView=4&amp;Qid=1711279&amp;Row=3688&amp;Col=1","No Title Assigned - #15268546029")</f>
        <v/>
      </c>
      <c r="B3696" s="0" t="s">
        <v>5272</v>
      </c>
      <c r="E3696" s="0" t="inlineStr">
        <is>
          <t xml:space="preserve">Mazda</t>
        </is>
      </c>
      <c r="F3696" s="0" t="inlineStr">
        <is>
          <t xml:space="preserve">Mazda</t>
        </is>
      </c>
      <c r="G3696" s="0" t="s">
        <v>171</v>
      </c>
      <c r="H3696" s="5">
        <v>1958.701800</v>
      </c>
    </row>
    <row r="3697" spans="1:9">
      <c r="A3697" s="22" t="str">
        <f>HYPERLINK("https://app.vivvix.com/360/KMI/IntelliDrive/ApplUI/Pages/CreativePages/CustomReportCreativeDetail.aspx?App=23&amp;ReportView=4&amp;Qid=1711279&amp;Row=3689&amp;Col=1","No Title Assigned - #15268546029")</f>
        <v/>
      </c>
      <c r="B3697" s="0" t="s">
        <v>5272</v>
      </c>
      <c r="E3697" s="0" t="inlineStr">
        <is>
          <t xml:space="preserve">Mazda</t>
        </is>
      </c>
      <c r="F3697" s="0" t="inlineStr">
        <is>
          <t xml:space="preserve">Mazda</t>
        </is>
      </c>
      <c r="G3697" s="0" t="s">
        <v>171</v>
      </c>
      <c r="H3697" s="5">
        <v>93.267900</v>
      </c>
    </row>
    <row r="3698" spans="1:9">
      <c r="A3698" s="22" t="str">
        <f>HYPERLINK("https://app.vivvix.com/360/KMI/IntelliDrive/ApplUI/Pages/CreativePages/CustomReportCreativeDetail.aspx?App=23&amp;ReportView=4&amp;Qid=1711279&amp;Row=3690&amp;Col=1","No Title Assigned - #15268547044")</f>
        <v/>
      </c>
      <c r="B3698" s="0" t="s">
        <v>5273</v>
      </c>
      <c r="E3698" s="0" t="inlineStr">
        <is>
          <t xml:space="preserve">Mazda</t>
        </is>
      </c>
      <c r="F3698" s="0" t="inlineStr">
        <is>
          <t xml:space="preserve">Mazda</t>
        </is>
      </c>
      <c r="G3698" s="0" t="s">
        <v>171</v>
      </c>
      <c r="H3698" s="5">
        <v>2740.717700</v>
      </c>
    </row>
    <row r="3699" spans="1:9">
      <c r="A3699" s="22" t="str">
        <f>HYPERLINK("https://app.vivvix.com/360/KMI/IntelliDrive/ApplUI/Pages/CreativePages/CustomReportCreativeDetail.aspx?App=23&amp;ReportView=4&amp;Qid=1711279&amp;Row=3691&amp;Col=1","No Title Assigned - #15268547307")</f>
        <v/>
      </c>
      <c r="B3699" s="0" t="s">
        <v>5274</v>
      </c>
      <c r="C3699" s="0" t="s">
        <v>5275</v>
      </c>
      <c r="D3699" s="0" t="s">
        <v>5275</v>
      </c>
      <c r="E3699" s="0" t="inlineStr">
        <is>
          <t xml:space="preserve">Mazda</t>
        </is>
      </c>
      <c r="F3699" s="0" t="inlineStr">
        <is>
          <t xml:space="preserve">Mazda</t>
        </is>
      </c>
      <c r="G3699" s="0" t="s">
        <v>171</v>
      </c>
      <c r="H3699" s="5">
        <v>12.925500</v>
      </c>
    </row>
    <row r="3700" spans="1:9">
      <c r="A3700" s="22" t="str">
        <f>HYPERLINK("https://app.vivvix.com/360/KMI/IntelliDrive/ApplUI/Pages/CreativePages/CustomReportCreativeDetail.aspx?App=23&amp;ReportView=4&amp;Qid=1711279&amp;Row=3692&amp;Col=1","No Title Assigned - #15268547533")</f>
        <v/>
      </c>
      <c r="B3700" s="0" t="s">
        <v>5276</v>
      </c>
      <c r="C3700" s="0" t="s">
        <v>5277</v>
      </c>
      <c r="D3700" s="0" t="s">
        <v>5277</v>
      </c>
      <c r="E3700" s="0" t="inlineStr">
        <is>
          <t xml:space="preserve">Mazda</t>
        </is>
      </c>
      <c r="F3700" s="0" t="inlineStr">
        <is>
          <t xml:space="preserve">Mazda</t>
        </is>
      </c>
      <c r="G3700" s="0" t="s">
        <v>171</v>
      </c>
      <c r="H3700" s="5">
        <v>200.289200</v>
      </c>
    </row>
    <row r="3701" spans="1:9">
      <c r="A3701" s="22" t="str">
        <f>HYPERLINK("https://app.vivvix.com/360/KMI/IntelliDrive/ApplUI/Pages/CreativePages/CustomReportCreativeDetail.aspx?App=23&amp;ReportView=4&amp;Qid=1711279&amp;Row=3693&amp;Col=1","No Title Assigned - #15268548631")</f>
        <v/>
      </c>
      <c r="B3701" s="0" t="s">
        <v>5278</v>
      </c>
      <c r="E3701" s="0" t="inlineStr">
        <is>
          <t xml:space="preserve">Mazda</t>
        </is>
      </c>
      <c r="F3701" s="0" t="inlineStr">
        <is>
          <t xml:space="preserve">Mazda</t>
        </is>
      </c>
      <c r="G3701" s="0" t="s">
        <v>171</v>
      </c>
      <c r="H3701" s="5">
        <v>40.503600</v>
      </c>
    </row>
    <row r="3702" spans="1:9">
      <c r="A3702" s="22" t="str">
        <f>HYPERLINK("https://app.vivvix.com/360/KMI/IntelliDrive/ApplUI/Pages/CreativePages/CustomReportCreativeDetail.aspx?App=23&amp;ReportView=4&amp;Qid=1711279&amp;Row=3694&amp;Col=1","No Title Assigned - #15268548631")</f>
        <v/>
      </c>
      <c r="B3702" s="0" t="s">
        <v>5278</v>
      </c>
      <c r="E3702" s="0" t="inlineStr">
        <is>
          <t xml:space="preserve">Mazda</t>
        </is>
      </c>
      <c r="F3702" s="0" t="inlineStr">
        <is>
          <t xml:space="preserve">Mazda</t>
        </is>
      </c>
      <c r="G3702" s="0" t="s">
        <v>171</v>
      </c>
      <c r="H3702" s="5">
        <v>91.648200</v>
      </c>
    </row>
    <row r="3703" spans="1:9">
      <c r="A3703" s="22" t="str">
        <f>HYPERLINK("https://app.vivvix.com/360/KMI/IntelliDrive/ApplUI/Pages/CreativePages/CustomReportCreativeDetail.aspx?App=23&amp;ReportView=4&amp;Qid=1711279&amp;Row=3695&amp;Col=1","No Title Assigned - #15268549010")</f>
        <v/>
      </c>
      <c r="B3703" s="0" t="s">
        <v>5279</v>
      </c>
      <c r="E3703" s="0" t="inlineStr">
        <is>
          <t xml:space="preserve">Mazda</t>
        </is>
      </c>
      <c r="F3703" s="0" t="inlineStr">
        <is>
          <t xml:space="preserve">Mazda</t>
        </is>
      </c>
      <c r="G3703" s="0" t="s">
        <v>171</v>
      </c>
      <c r="H3703" s="5">
        <v>23.260800</v>
      </c>
    </row>
    <row r="3704" spans="1:9">
      <c r="A3704" s="22" t="str">
        <f>HYPERLINK("https://app.vivvix.com/360/KMI/IntelliDrive/ApplUI/Pages/CreativePages/CustomReportCreativeDetail.aspx?App=23&amp;ReportView=4&amp;Qid=1711279&amp;Row=3696&amp;Col=1","No Title Assigned - #15268549203")</f>
        <v/>
      </c>
      <c r="B3704" s="0" t="s">
        <v>5280</v>
      </c>
      <c r="C3704" s="0" t="s">
        <v>5281</v>
      </c>
      <c r="D3704" s="0" t="s">
        <v>5281</v>
      </c>
      <c r="E3704" s="0" t="inlineStr">
        <is>
          <t xml:space="preserve">Mazda</t>
        </is>
      </c>
      <c r="F3704" s="0" t="inlineStr">
        <is>
          <t xml:space="preserve">Mazda</t>
        </is>
      </c>
      <c r="G3704" s="0" t="s">
        <v>171</v>
      </c>
      <c r="H3704" s="5">
        <v>91.943600</v>
      </c>
    </row>
    <row r="3705" spans="1:9">
      <c r="A3705" s="22" t="str">
        <f>HYPERLINK("https://app.vivvix.com/360/KMI/IntelliDrive/ApplUI/Pages/CreativePages/CustomReportCreativeDetail.aspx?App=23&amp;ReportView=4&amp;Qid=1711279&amp;Row=3697&amp;Col=1","No Title Assigned - #15268549525")</f>
        <v/>
      </c>
      <c r="B3705" s="0" t="s">
        <v>5282</v>
      </c>
      <c r="C3705" s="0" t="s">
        <v>5283</v>
      </c>
      <c r="D3705" s="0" t="s">
        <v>5283</v>
      </c>
      <c r="E3705" s="0" t="inlineStr">
        <is>
          <t xml:space="preserve">Mazda</t>
        </is>
      </c>
      <c r="F3705" s="0" t="inlineStr">
        <is>
          <t xml:space="preserve">Mazda</t>
        </is>
      </c>
      <c r="G3705" s="0" t="s">
        <v>171</v>
      </c>
      <c r="H3705" s="5">
        <v>1739.198200</v>
      </c>
    </row>
    <row r="3706" spans="1:9">
      <c r="A3706" s="22" t="str">
        <f>HYPERLINK("https://app.vivvix.com/360/KMI/IntelliDrive/ApplUI/Pages/CreativePages/CustomReportCreativeDetail.aspx?App=23&amp;ReportView=4&amp;Qid=1711279&amp;Row=3698&amp;Col=1","No Title Assigned - #15268549525")</f>
        <v/>
      </c>
      <c r="B3706" s="0" t="s">
        <v>5282</v>
      </c>
      <c r="E3706" s="0" t="inlineStr">
        <is>
          <t xml:space="preserve">Mazda</t>
        </is>
      </c>
      <c r="F3706" s="0" t="inlineStr">
        <is>
          <t xml:space="preserve">Mazda</t>
        </is>
      </c>
      <c r="G3706" s="0" t="s">
        <v>171</v>
      </c>
      <c r="H3706" s="5">
        <v>3440.964100</v>
      </c>
    </row>
    <row r="3707" spans="1:9">
      <c r="A3707" s="22" t="str">
        <f>HYPERLINK("https://app.vivvix.com/360/KMI/IntelliDrive/ApplUI/Pages/CreativePages/CustomReportCreativeDetail.aspx?App=23&amp;ReportView=4&amp;Qid=1711279&amp;Row=3699&amp;Col=1","No Title Assigned - #15268551477")</f>
        <v/>
      </c>
      <c r="B3707" s="0" t="s">
        <v>5284</v>
      </c>
      <c r="E3707" s="0" t="inlineStr">
        <is>
          <t xml:space="preserve">Mazda</t>
        </is>
      </c>
      <c r="F3707" s="0" t="inlineStr">
        <is>
          <t xml:space="preserve">Mazda</t>
        </is>
      </c>
      <c r="G3707" s="0" t="s">
        <v>171</v>
      </c>
      <c r="H3707" s="5">
        <v>31.975200</v>
      </c>
    </row>
    <row r="3708" spans="1:9">
      <c r="A3708" s="22" t="str">
        <f>HYPERLINK("https://app.vivvix.com/360/KMI/IntelliDrive/ApplUI/Pages/CreativePages/CustomReportCreativeDetail.aspx?App=23&amp;ReportView=4&amp;Qid=1711279&amp;Row=3700&amp;Col=1","No Title Assigned - #15268552294")</f>
        <v/>
      </c>
      <c r="B3708" s="0" t="s">
        <v>5285</v>
      </c>
      <c r="E3708" s="0" t="inlineStr">
        <is>
          <t xml:space="preserve">Mazda</t>
        </is>
      </c>
      <c r="F3708" s="0" t="inlineStr">
        <is>
          <t xml:space="preserve">Mazda</t>
        </is>
      </c>
      <c r="G3708" s="0" t="s">
        <v>171</v>
      </c>
      <c r="H3708" s="5">
        <v>641.894400</v>
      </c>
    </row>
    <row r="3709" spans="1:9">
      <c r="A3709" s="22" t="str">
        <f>HYPERLINK("https://app.vivvix.com/360/KMI/IntelliDrive/ApplUI/Pages/CreativePages/CustomReportCreativeDetail.aspx?App=23&amp;ReportView=4&amp;Qid=1711279&amp;Row=3701&amp;Col=1","No Title Assigned - #15268552651")</f>
        <v/>
      </c>
      <c r="B3709" s="0" t="s">
        <v>5286</v>
      </c>
      <c r="E3709" s="0" t="inlineStr">
        <is>
          <t xml:space="preserve">Mazda</t>
        </is>
      </c>
      <c r="F3709" s="0" t="inlineStr">
        <is>
          <t xml:space="preserve">Mazda</t>
        </is>
      </c>
      <c r="G3709" s="0" t="s">
        <v>171</v>
      </c>
      <c r="H3709" s="5">
        <v>424.861500</v>
      </c>
    </row>
    <row r="3710" spans="1:9">
      <c r="A3710" s="22" t="str">
        <f>HYPERLINK("https://app.vivvix.com/360/KMI/IntelliDrive/ApplUI/Pages/CreativePages/CustomReportCreativeDetail.aspx?App=23&amp;ReportView=4&amp;Qid=1711279&amp;Row=3702&amp;Col=1","No Title Assigned - #15268552788")</f>
        <v/>
      </c>
      <c r="B3710" s="0" t="s">
        <v>5287</v>
      </c>
      <c r="C3710" s="0" t="s">
        <v>5288</v>
      </c>
      <c r="D3710" s="0" t="s">
        <v>4225</v>
      </c>
      <c r="E3710" s="0" t="inlineStr">
        <is>
          <t xml:space="preserve">Mazda</t>
        </is>
      </c>
      <c r="F3710" s="0" t="s">
        <v>28</v>
      </c>
      <c r="G3710" s="0" t="s">
        <v>29</v>
      </c>
      <c r="H3710" s="5">
        <v>175.021700</v>
      </c>
    </row>
    <row r="3711" spans="1:9">
      <c r="A3711" s="22" t="str">
        <f>HYPERLINK("https://app.vivvix.com/360/KMI/IntelliDrive/ApplUI/Pages/CreativePages/CustomReportCreativeDetail.aspx?App=23&amp;ReportView=4&amp;Qid=1711279&amp;Row=3703&amp;Col=1","No Title Assigned - #15268552979")</f>
        <v/>
      </c>
      <c r="B3711" s="0" t="s">
        <v>5289</v>
      </c>
      <c r="C3711" s="0" t="s">
        <v>5290</v>
      </c>
      <c r="D3711" s="0" t="s">
        <v>4202</v>
      </c>
      <c r="E3711" s="0" t="inlineStr">
        <is>
          <t xml:space="preserve">Mazda</t>
        </is>
      </c>
      <c r="F3711" s="0" t="s">
        <v>28</v>
      </c>
      <c r="G3711" s="0" t="s">
        <v>29</v>
      </c>
      <c r="H3711" s="5">
        <v>34.296500</v>
      </c>
    </row>
    <row r="3712" spans="1:9">
      <c r="A3712" s="22" t="str">
        <f>HYPERLINK("https://app.vivvix.com/360/KMI/IntelliDrive/ApplUI/Pages/CreativePages/CustomReportCreativeDetail.aspx?App=23&amp;ReportView=4&amp;Qid=1711279&amp;Row=3704&amp;Col=1","No Title Assigned - #15268553412")</f>
        <v/>
      </c>
      <c r="B3712" s="0" t="s">
        <v>5291</v>
      </c>
      <c r="C3712" s="0" t="s">
        <v>5292</v>
      </c>
      <c r="D3712" s="0" t="s">
        <v>4202</v>
      </c>
      <c r="E3712" s="0" t="inlineStr">
        <is>
          <t xml:space="preserve">Mazda</t>
        </is>
      </c>
      <c r="F3712" s="0" t="s">
        <v>28</v>
      </c>
      <c r="G3712" s="0" t="s">
        <v>29</v>
      </c>
      <c r="H3712" s="5">
        <v>376.231000</v>
      </c>
    </row>
    <row r="3713" spans="1:9">
      <c r="A3713" s="22" t="str">
        <f>HYPERLINK("https://app.vivvix.com/360/KMI/IntelliDrive/ApplUI/Pages/CreativePages/CustomReportCreativeDetail.aspx?App=23&amp;ReportView=4&amp;Qid=1711279&amp;Row=3705&amp;Col=1","No Title Assigned - #15268553562")</f>
        <v/>
      </c>
      <c r="B3713" s="0" t="s">
        <v>5293</v>
      </c>
      <c r="C3713" s="0" t="s">
        <v>5294</v>
      </c>
      <c r="D3713" s="0" t="s">
        <v>4335</v>
      </c>
      <c r="E3713" s="0" t="inlineStr">
        <is>
          <t xml:space="preserve">Mazda</t>
        </is>
      </c>
      <c r="F3713" s="0" t="s">
        <v>13</v>
      </c>
      <c r="G3713" s="0" t="s">
        <v>49</v>
      </c>
      <c r="H3713" s="5">
        <v>3274.414700</v>
      </c>
    </row>
    <row r="3714" spans="1:9">
      <c r="A3714" s="22" t="str">
        <f>HYPERLINK("https://app.vivvix.com/360/KMI/IntelliDrive/ApplUI/Pages/CreativePages/CustomReportCreativeDetail.aspx?App=23&amp;ReportView=4&amp;Qid=1711279&amp;Row=3706&amp;Col=1","No Title Assigned - #15268554202")</f>
        <v/>
      </c>
      <c r="B3714" s="0" t="s">
        <v>5295</v>
      </c>
      <c r="E3714" s="0" t="inlineStr">
        <is>
          <t xml:space="preserve">Mazda</t>
        </is>
      </c>
      <c r="F3714" s="0" t="s">
        <v>13</v>
      </c>
      <c r="G3714" s="0" t="s">
        <v>49</v>
      </c>
      <c r="H3714" s="5">
        <v>12.986100</v>
      </c>
    </row>
    <row r="3715" spans="1:9">
      <c r="A3715" s="22" t="str">
        <f>HYPERLINK("https://app.vivvix.com/360/KMI/IntelliDrive/ApplUI/Pages/CreativePages/CustomReportCreativeDetail.aspx?App=23&amp;ReportView=4&amp;Qid=1711279&amp;Row=3707&amp;Col=1","No Title Assigned - #15268554202")</f>
        <v/>
      </c>
      <c r="B3715" s="0" t="s">
        <v>5295</v>
      </c>
      <c r="C3715" s="0" t="s">
        <v>5296</v>
      </c>
      <c r="D3715" s="0" t="s">
        <v>5296</v>
      </c>
      <c r="E3715" s="0" t="inlineStr">
        <is>
          <t xml:space="preserve">Mazda</t>
        </is>
      </c>
      <c r="F3715" s="0" t="s">
        <v>13</v>
      </c>
      <c r="G3715" s="0" t="s">
        <v>49</v>
      </c>
      <c r="H3715" s="5">
        <v>36.115500</v>
      </c>
    </row>
    <row r="3716" spans="1:9">
      <c r="A3716" s="22" t="str">
        <f>HYPERLINK("https://app.vivvix.com/360/KMI/IntelliDrive/ApplUI/Pages/CreativePages/CustomReportCreativeDetail.aspx?App=23&amp;ReportView=4&amp;Qid=1711279&amp;Row=3708&amp;Col=1","No Title Assigned - #15268554423")</f>
        <v/>
      </c>
      <c r="B3716" s="0" t="s">
        <v>5297</v>
      </c>
      <c r="C3716" s="0" t="s">
        <v>5298</v>
      </c>
      <c r="D3716" s="0" t="s">
        <v>4208</v>
      </c>
      <c r="E3716" s="0" t="inlineStr">
        <is>
          <t xml:space="preserve">Mazda</t>
        </is>
      </c>
      <c r="F3716" s="0" t="s">
        <v>28</v>
      </c>
      <c r="G3716" s="0" t="s">
        <v>29</v>
      </c>
      <c r="H3716" s="5">
        <v>1501.722500</v>
      </c>
    </row>
    <row r="3717" spans="1:9">
      <c r="A3717" s="22" t="str">
        <f>HYPERLINK("https://app.vivvix.com/360/KMI/IntelliDrive/ApplUI/Pages/CreativePages/CustomReportCreativeDetail.aspx?App=23&amp;ReportView=4&amp;Qid=1711279&amp;Row=3709&amp;Col=1","No Title Assigned - #15268555009")</f>
        <v/>
      </c>
      <c r="B3717" s="0" t="s">
        <v>5299</v>
      </c>
      <c r="C3717" s="0" t="s">
        <v>5300</v>
      </c>
      <c r="D3717" s="0" t="s">
        <v>5300</v>
      </c>
      <c r="E3717" s="0" t="inlineStr">
        <is>
          <t xml:space="preserve">Mazda</t>
        </is>
      </c>
      <c r="F3717" s="0" t="s">
        <v>13</v>
      </c>
      <c r="G3717" s="0" t="s">
        <v>49</v>
      </c>
      <c r="H3717" s="5">
        <v>1305.500100</v>
      </c>
    </row>
    <row r="3718" spans="1:9">
      <c r="A3718" s="22" t="str">
        <f>HYPERLINK("https://app.vivvix.com/360/KMI/IntelliDrive/ApplUI/Pages/CreativePages/CustomReportCreativeDetail.aspx?App=23&amp;ReportView=4&amp;Qid=1711279&amp;Row=3710&amp;Col=1","No Title Assigned - #15268556489")</f>
        <v/>
      </c>
      <c r="B3718" s="0" t="s">
        <v>5301</v>
      </c>
      <c r="E3718" s="0" t="inlineStr">
        <is>
          <t xml:space="preserve">Mazda</t>
        </is>
      </c>
      <c r="F3718" s="0" t="inlineStr">
        <is>
          <t xml:space="preserve">Mazda</t>
        </is>
      </c>
      <c r="G3718" s="0" t="s">
        <v>171</v>
      </c>
      <c r="H3718" s="5">
        <v>8318.968700</v>
      </c>
    </row>
    <row r="3719" spans="1:9">
      <c r="A3719" s="22" t="str">
        <f>HYPERLINK("https://app.vivvix.com/360/KMI/IntelliDrive/ApplUI/Pages/CreativePages/CustomReportCreativeDetail.aspx?App=23&amp;ReportView=4&amp;Qid=1711279&amp;Row=3711&amp;Col=1","No Title Assigned - #15268556489")</f>
        <v/>
      </c>
      <c r="B3719" s="0" t="s">
        <v>5301</v>
      </c>
      <c r="E3719" s="0" t="inlineStr">
        <is>
          <t xml:space="preserve">Mazda</t>
        </is>
      </c>
      <c r="F3719" s="0" t="inlineStr">
        <is>
          <t xml:space="preserve">Mazda</t>
        </is>
      </c>
      <c r="G3719" s="0" t="s">
        <v>171</v>
      </c>
      <c r="H3719" s="5">
        <v>18631.395700</v>
      </c>
    </row>
    <row r="3720" spans="1:9">
      <c r="A3720" s="22" t="str">
        <f>HYPERLINK("https://app.vivvix.com/360/KMI/IntelliDrive/ApplUI/Pages/CreativePages/CustomReportCreativeDetail.aspx?App=23&amp;ReportView=4&amp;Qid=1711279&amp;Row=3712&amp;Col=1","No Title Assigned - #15268556553")</f>
        <v/>
      </c>
      <c r="B3720" s="0" t="s">
        <v>5302</v>
      </c>
      <c r="E3720" s="0" t="inlineStr">
        <is>
          <t xml:space="preserve">Mazda</t>
        </is>
      </c>
      <c r="F3720" s="0" t="inlineStr">
        <is>
          <t xml:space="preserve">Mazda</t>
        </is>
      </c>
      <c r="G3720" s="0" t="s">
        <v>171</v>
      </c>
      <c r="H3720" s="5">
        <v>538.711000</v>
      </c>
    </row>
    <row r="3721" spans="1:9">
      <c r="A3721" s="22" t="str">
        <f>HYPERLINK("https://app.vivvix.com/360/KMI/IntelliDrive/ApplUI/Pages/CreativePages/CustomReportCreativeDetail.aspx?App=23&amp;ReportView=4&amp;Qid=1711279&amp;Row=3713&amp;Col=1","No Title Assigned - #15268556600")</f>
        <v/>
      </c>
      <c r="B3721" s="0" t="s">
        <v>5303</v>
      </c>
      <c r="E3721" s="0" t="inlineStr">
        <is>
          <t xml:space="preserve">Mazda</t>
        </is>
      </c>
      <c r="F3721" s="0" t="inlineStr">
        <is>
          <t xml:space="preserve">Mazda</t>
        </is>
      </c>
      <c r="G3721" s="0" t="s">
        <v>171</v>
      </c>
      <c r="H3721" s="5">
        <v>663.768900</v>
      </c>
    </row>
    <row r="3722" spans="1:9">
      <c r="A3722" s="22" t="str">
        <f>HYPERLINK("https://app.vivvix.com/360/KMI/IntelliDrive/ApplUI/Pages/CreativePages/CustomReportCreativeDetail.aspx?App=23&amp;ReportView=4&amp;Qid=1711279&amp;Row=3714&amp;Col=1","No Title Assigned - #15268556693")</f>
        <v/>
      </c>
      <c r="B3722" s="0" t="s">
        <v>5304</v>
      </c>
      <c r="E3722" s="0" t="inlineStr">
        <is>
          <t xml:space="preserve">Mazda</t>
        </is>
      </c>
      <c r="F3722" s="0" t="inlineStr">
        <is>
          <t xml:space="preserve">Mazda</t>
        </is>
      </c>
      <c r="G3722" s="0" t="s">
        <v>171</v>
      </c>
      <c r="H3722" s="5">
        <v>412.399700</v>
      </c>
    </row>
    <row r="3723" spans="1:9">
      <c r="A3723" s="22" t="str">
        <f>HYPERLINK("https://app.vivvix.com/360/KMI/IntelliDrive/ApplUI/Pages/CreativePages/CustomReportCreativeDetail.aspx?App=23&amp;ReportView=4&amp;Qid=1711279&amp;Row=3715&amp;Col=1","No Title Assigned - #15268556980")</f>
        <v/>
      </c>
      <c r="B3723" s="0" t="s">
        <v>5305</v>
      </c>
      <c r="E3723" s="0" t="inlineStr">
        <is>
          <t xml:space="preserve">Mazda</t>
        </is>
      </c>
      <c r="F3723" s="0" t="inlineStr">
        <is>
          <t xml:space="preserve">Mazda</t>
        </is>
      </c>
      <c r="G3723" s="0" t="s">
        <v>171</v>
      </c>
      <c r="H3723" s="5">
        <v>332.512300</v>
      </c>
    </row>
    <row r="3724" spans="1:9">
      <c r="A3724" s="22" t="str">
        <f>HYPERLINK("https://app.vivvix.com/360/KMI/IntelliDrive/ApplUI/Pages/CreativePages/CustomReportCreativeDetail.aspx?App=23&amp;ReportView=4&amp;Qid=1711279&amp;Row=3716&amp;Col=1","No Title Assigned - #15268557067")</f>
        <v/>
      </c>
      <c r="B3724" s="0" t="s">
        <v>5306</v>
      </c>
      <c r="E3724" s="0" t="inlineStr">
        <is>
          <t xml:space="preserve">Mazda</t>
        </is>
      </c>
      <c r="F3724" s="0" t="inlineStr">
        <is>
          <t xml:space="preserve">Mazda</t>
        </is>
      </c>
      <c r="G3724" s="0" t="s">
        <v>171</v>
      </c>
      <c r="H3724" s="5">
        <v>343.062700</v>
      </c>
    </row>
    <row r="3725" spans="1:9">
      <c r="A3725" s="22" t="str">
        <f>HYPERLINK("https://app.vivvix.com/360/KMI/IntelliDrive/ApplUI/Pages/CreativePages/CustomReportCreativeDetail.aspx?App=23&amp;ReportView=4&amp;Qid=1711279&amp;Row=3717&amp;Col=1","No Title Assigned - #15268557067")</f>
        <v/>
      </c>
      <c r="B3725" s="0" t="s">
        <v>5306</v>
      </c>
      <c r="E3725" s="0" t="inlineStr">
        <is>
          <t xml:space="preserve">Mazda</t>
        </is>
      </c>
      <c r="F3725" s="0" t="inlineStr">
        <is>
          <t xml:space="preserve">Mazda</t>
        </is>
      </c>
      <c r="G3725" s="0" t="s">
        <v>171</v>
      </c>
      <c r="H3725" s="5">
        <v>1833.565600</v>
      </c>
    </row>
    <row r="3726" spans="1:9">
      <c r="A3726" s="22" t="str">
        <f>HYPERLINK("https://app.vivvix.com/360/KMI/IntelliDrive/ApplUI/Pages/CreativePages/CustomReportCreativeDetail.aspx?App=23&amp;ReportView=4&amp;Qid=1711279&amp;Row=3718&amp;Col=1","No Title Assigned - #15268558664")</f>
        <v/>
      </c>
      <c r="B3726" s="0" t="s">
        <v>5307</v>
      </c>
      <c r="E3726" s="0" t="inlineStr">
        <is>
          <t xml:space="preserve">Mazda</t>
        </is>
      </c>
      <c r="F3726" s="0" t="inlineStr">
        <is>
          <t xml:space="preserve">Mazda</t>
        </is>
      </c>
      <c r="G3726" s="0" t="s">
        <v>171</v>
      </c>
      <c r="H3726" s="5">
        <v>11567.827100</v>
      </c>
    </row>
    <row r="3727" spans="1:9">
      <c r="A3727" s="22" t="str">
        <f>HYPERLINK("https://app.vivvix.com/360/KMI/IntelliDrive/ApplUI/Pages/CreativePages/CustomReportCreativeDetail.aspx?App=23&amp;ReportView=4&amp;Qid=1711279&amp;Row=3719&amp;Col=1","No Title Assigned - #15268558664")</f>
        <v/>
      </c>
      <c r="B3727" s="0" t="s">
        <v>5307</v>
      </c>
      <c r="C3727" s="0" t="s">
        <v>5308</v>
      </c>
      <c r="D3727" s="0" t="s">
        <v>5308</v>
      </c>
      <c r="E3727" s="0" t="inlineStr">
        <is>
          <t xml:space="preserve">Mazda</t>
        </is>
      </c>
      <c r="F3727" s="0" t="inlineStr">
        <is>
          <t xml:space="preserve">Mazda</t>
        </is>
      </c>
      <c r="G3727" s="0" t="s">
        <v>171</v>
      </c>
      <c r="H3727" s="5">
        <v>72.694500</v>
      </c>
    </row>
    <row r="3728" spans="1:9">
      <c r="A3728" s="22" t="str">
        <f>HYPERLINK("https://app.vivvix.com/360/KMI/IntelliDrive/ApplUI/Pages/CreativePages/CustomReportCreativeDetail.aspx?App=23&amp;ReportView=4&amp;Qid=1711279&amp;Row=3720&amp;Col=1","No Title Assigned - #15268558801")</f>
        <v/>
      </c>
      <c r="B3728" s="0" t="s">
        <v>5309</v>
      </c>
      <c r="E3728" s="0" t="inlineStr">
        <is>
          <t xml:space="preserve">Mazda</t>
        </is>
      </c>
      <c r="F3728" s="0" t="inlineStr">
        <is>
          <t xml:space="preserve">Mazda</t>
        </is>
      </c>
      <c r="G3728" s="0" t="s">
        <v>171</v>
      </c>
      <c r="H3728" s="5">
        <v>0.000000</v>
      </c>
    </row>
    <row r="3729" spans="1:9">
      <c r="A3729" s="22" t="str">
        <f>HYPERLINK("https://app.vivvix.com/360/KMI/IntelliDrive/ApplUI/Pages/CreativePages/CustomReportCreativeDetail.aspx?App=23&amp;ReportView=4&amp;Qid=1711279&amp;Row=3721&amp;Col=1","No Title Assigned - #15268558801")</f>
        <v/>
      </c>
      <c r="B3729" s="0" t="s">
        <v>5309</v>
      </c>
      <c r="E3729" s="0" t="inlineStr">
        <is>
          <t xml:space="preserve">Mazda</t>
        </is>
      </c>
      <c r="F3729" s="0" t="inlineStr">
        <is>
          <t xml:space="preserve">Mazda</t>
        </is>
      </c>
      <c r="G3729" s="0" t="s">
        <v>171</v>
      </c>
      <c r="H3729" s="5">
        <v>65.916000</v>
      </c>
    </row>
    <row r="3730" spans="1:9">
      <c r="A3730" s="22" t="str">
        <f>HYPERLINK("https://app.vivvix.com/360/KMI/IntelliDrive/ApplUI/Pages/CreativePages/CustomReportCreativeDetail.aspx?App=23&amp;ReportView=4&amp;Qid=1711279&amp;Row=3722&amp;Col=1","No Title Assigned - #15268559291")</f>
        <v/>
      </c>
      <c r="B3730" s="0" t="s">
        <v>5310</v>
      </c>
      <c r="E3730" s="0" t="inlineStr">
        <is>
          <t xml:space="preserve">Mazda</t>
        </is>
      </c>
      <c r="F3730" s="0" t="inlineStr">
        <is>
          <t xml:space="preserve">Mazda</t>
        </is>
      </c>
      <c r="G3730" s="0" t="s">
        <v>171</v>
      </c>
      <c r="H3730" s="5">
        <v>24.499700</v>
      </c>
    </row>
    <row r="3731" spans="1:9">
      <c r="A3731" s="22" t="str">
        <f>HYPERLINK("https://app.vivvix.com/360/KMI/IntelliDrive/ApplUI/Pages/CreativePages/CustomReportCreativeDetail.aspx?App=23&amp;ReportView=4&amp;Qid=1711279&amp;Row=3723&amp;Col=1","No Title Assigned - #15268560132")</f>
        <v/>
      </c>
      <c r="B3731" s="0" t="s">
        <v>5311</v>
      </c>
      <c r="E3731" s="0" t="inlineStr">
        <is>
          <t xml:space="preserve">Mazda</t>
        </is>
      </c>
      <c r="F3731" s="0" t="inlineStr">
        <is>
          <t xml:space="preserve">Mazda</t>
        </is>
      </c>
      <c r="G3731" s="0" t="s">
        <v>171</v>
      </c>
      <c r="H3731" s="5">
        <v>11221.691500</v>
      </c>
    </row>
    <row r="3732" spans="1:9">
      <c r="A3732" s="22" t="str">
        <f>HYPERLINK("https://app.vivvix.com/360/KMI/IntelliDrive/ApplUI/Pages/CreativePages/CustomReportCreativeDetail.aspx?App=23&amp;ReportView=4&amp;Qid=1711279&amp;Row=3724&amp;Col=1","No Title Assigned - #15268560132")</f>
        <v/>
      </c>
      <c r="B3732" s="0" t="s">
        <v>5311</v>
      </c>
      <c r="E3732" s="0" t="inlineStr">
        <is>
          <t xml:space="preserve">Mazda</t>
        </is>
      </c>
      <c r="F3732" s="0" t="inlineStr">
        <is>
          <t xml:space="preserve">Mazda</t>
        </is>
      </c>
      <c r="G3732" s="0" t="s">
        <v>171</v>
      </c>
      <c r="H3732" s="5">
        <v>20399.043500</v>
      </c>
    </row>
    <row r="3733" spans="1:9">
      <c r="A3733" s="22" t="str">
        <f>HYPERLINK("https://app.vivvix.com/360/KMI/IntelliDrive/ApplUI/Pages/CreativePages/CustomReportCreativeDetail.aspx?App=23&amp;ReportView=4&amp;Qid=1711279&amp;Row=3725&amp;Col=1","No Title Assigned - #15268560524")</f>
        <v/>
      </c>
      <c r="B3733" s="0" t="s">
        <v>5312</v>
      </c>
      <c r="E3733" s="0" t="inlineStr">
        <is>
          <t xml:space="preserve">Mazda</t>
        </is>
      </c>
      <c r="F3733" s="0" t="inlineStr">
        <is>
          <t xml:space="preserve">Mazda</t>
        </is>
      </c>
      <c r="G3733" s="0" t="s">
        <v>171</v>
      </c>
      <c r="H3733" s="5">
        <v>114.493200</v>
      </c>
    </row>
    <row r="3734" spans="1:9">
      <c r="A3734" s="22" t="str">
        <f>HYPERLINK("https://app.vivvix.com/360/KMI/IntelliDrive/ApplUI/Pages/CreativePages/CustomReportCreativeDetail.aspx?App=23&amp;ReportView=4&amp;Qid=1711279&amp;Row=3726&amp;Col=1","No Title Assigned - #15268560524")</f>
        <v/>
      </c>
      <c r="B3734" s="0" t="s">
        <v>5312</v>
      </c>
      <c r="E3734" s="0" t="inlineStr">
        <is>
          <t xml:space="preserve">Mazda</t>
        </is>
      </c>
      <c r="F3734" s="0" t="inlineStr">
        <is>
          <t xml:space="preserve">Mazda</t>
        </is>
      </c>
      <c r="G3734" s="0" t="s">
        <v>171</v>
      </c>
      <c r="H3734" s="5">
        <v>24.064000</v>
      </c>
    </row>
    <row r="3735" spans="1:9">
      <c r="A3735" s="22" t="str">
        <f>HYPERLINK("https://app.vivvix.com/360/KMI/IntelliDrive/ApplUI/Pages/CreativePages/CustomReportCreativeDetail.aspx?App=23&amp;ReportView=4&amp;Qid=1711279&amp;Row=3727&amp;Col=1","No Title Assigned - #15268560644")</f>
        <v/>
      </c>
      <c r="B3735" s="0" t="s">
        <v>5313</v>
      </c>
      <c r="E3735" s="0" t="inlineStr">
        <is>
          <t xml:space="preserve">Mazda</t>
        </is>
      </c>
      <c r="F3735" s="0" t="inlineStr">
        <is>
          <t xml:space="preserve">Mazda</t>
        </is>
      </c>
      <c r="G3735" s="0" t="s">
        <v>171</v>
      </c>
      <c r="H3735" s="5">
        <v>255.577200</v>
      </c>
    </row>
    <row r="3736" spans="1:9">
      <c r="A3736" s="22" t="str">
        <f>HYPERLINK("https://app.vivvix.com/360/KMI/IntelliDrive/ApplUI/Pages/CreativePages/CustomReportCreativeDetail.aspx?App=23&amp;ReportView=4&amp;Qid=1711279&amp;Row=3728&amp;Col=1","No Title Assigned - #15268561081")</f>
        <v/>
      </c>
      <c r="B3736" s="0" t="s">
        <v>5314</v>
      </c>
      <c r="E3736" s="0" t="inlineStr">
        <is>
          <t xml:space="preserve">Mazda</t>
        </is>
      </c>
      <c r="F3736" s="0" t="inlineStr">
        <is>
          <t xml:space="preserve">Mazda</t>
        </is>
      </c>
      <c r="G3736" s="0" t="s">
        <v>171</v>
      </c>
      <c r="H3736" s="5">
        <v>174.965500</v>
      </c>
    </row>
    <row r="3737" spans="1:9">
      <c r="A3737" s="22" t="str">
        <f>HYPERLINK("https://app.vivvix.com/360/KMI/IntelliDrive/ApplUI/Pages/CreativePages/CustomReportCreativeDetail.aspx?App=23&amp;ReportView=4&amp;Qid=1711279&amp;Row=3729&amp;Col=1","No Title Assigned - #15268561284")</f>
        <v/>
      </c>
      <c r="B3737" s="0" t="s">
        <v>5315</v>
      </c>
      <c r="E3737" s="0" t="inlineStr">
        <is>
          <t xml:space="preserve">Mazda</t>
        </is>
      </c>
      <c r="F3737" s="0" t="inlineStr">
        <is>
          <t xml:space="preserve">Mazda</t>
        </is>
      </c>
      <c r="G3737" s="0" t="s">
        <v>171</v>
      </c>
      <c r="H3737" s="5">
        <v>1382.259400</v>
      </c>
    </row>
    <row r="3738" spans="1:9">
      <c r="A3738" s="22" t="str">
        <f>HYPERLINK("https://app.vivvix.com/360/KMI/IntelliDrive/ApplUI/Pages/CreativePages/CustomReportCreativeDetail.aspx?App=23&amp;ReportView=4&amp;Qid=1711279&amp;Row=3730&amp;Col=1","No Title Assigned - #15268561284")</f>
        <v/>
      </c>
      <c r="B3738" s="0" t="s">
        <v>5315</v>
      </c>
      <c r="E3738" s="0" t="inlineStr">
        <is>
          <t xml:space="preserve">Mazda</t>
        </is>
      </c>
      <c r="F3738" s="0" t="inlineStr">
        <is>
          <t xml:space="preserve">Mazda</t>
        </is>
      </c>
      <c r="G3738" s="0" t="s">
        <v>171</v>
      </c>
      <c r="H3738" s="5">
        <v>202.014200</v>
      </c>
    </row>
    <row r="3739" spans="1:9">
      <c r="A3739" s="22" t="str">
        <f>HYPERLINK("https://app.vivvix.com/360/KMI/IntelliDrive/ApplUI/Pages/CreativePages/CustomReportCreativeDetail.aspx?App=23&amp;ReportView=4&amp;Qid=1711279&amp;Row=3731&amp;Col=1","No Title Assigned - #15268561450")</f>
        <v/>
      </c>
      <c r="B3739" s="0" t="s">
        <v>5316</v>
      </c>
      <c r="E3739" s="0" t="inlineStr">
        <is>
          <t xml:space="preserve">Mazda</t>
        </is>
      </c>
      <c r="F3739" s="0" t="inlineStr">
        <is>
          <t xml:space="preserve">Mazda</t>
        </is>
      </c>
      <c r="G3739" s="0" t="s">
        <v>171</v>
      </c>
      <c r="H3739" s="5">
        <v>186.023700</v>
      </c>
    </row>
    <row r="3740" spans="1:9">
      <c r="A3740" s="22" t="str">
        <f>HYPERLINK("https://app.vivvix.com/360/KMI/IntelliDrive/ApplUI/Pages/CreativePages/CustomReportCreativeDetail.aspx?App=23&amp;ReportView=4&amp;Qid=1711279&amp;Row=3732&amp;Col=1","No Title Assigned - #15268562243")</f>
        <v/>
      </c>
      <c r="B3740" s="0" t="s">
        <v>5317</v>
      </c>
      <c r="C3740" s="0" t="s">
        <v>5318</v>
      </c>
      <c r="D3740" s="0" t="s">
        <v>5318</v>
      </c>
      <c r="E3740" s="0" t="inlineStr">
        <is>
          <t xml:space="preserve">Mazda</t>
        </is>
      </c>
      <c r="F3740" s="0" t="inlineStr">
        <is>
          <t xml:space="preserve">Mazda</t>
        </is>
      </c>
      <c r="G3740" s="0" t="s">
        <v>171</v>
      </c>
      <c r="H3740" s="5">
        <v>155.599800</v>
      </c>
    </row>
    <row r="3741" spans="1:9">
      <c r="A3741" s="22" t="str">
        <f>HYPERLINK("https://app.vivvix.com/360/KMI/IntelliDrive/ApplUI/Pages/CreativePages/CustomReportCreativeDetail.aspx?App=23&amp;ReportView=4&amp;Qid=1711279&amp;Row=3733&amp;Col=1","No Title Assigned - #15268562243")</f>
        <v/>
      </c>
      <c r="B3741" s="0" t="s">
        <v>5317</v>
      </c>
      <c r="E3741" s="0" t="inlineStr">
        <is>
          <t xml:space="preserve">Mazda</t>
        </is>
      </c>
      <c r="F3741" s="0" t="inlineStr">
        <is>
          <t xml:space="preserve">Mazda</t>
        </is>
      </c>
      <c r="G3741" s="0" t="s">
        <v>171</v>
      </c>
      <c r="H3741" s="5">
        <v>439.083000</v>
      </c>
    </row>
    <row r="3742" spans="1:9">
      <c r="A3742" s="22" t="str">
        <f>HYPERLINK("https://app.vivvix.com/360/KMI/IntelliDrive/ApplUI/Pages/CreativePages/CustomReportCreativeDetail.aspx?App=23&amp;ReportView=4&amp;Qid=1711279&amp;Row=3734&amp;Col=1","No Title Assigned - #15268562447")</f>
        <v/>
      </c>
      <c r="B3742" s="0" t="s">
        <v>5319</v>
      </c>
      <c r="E3742" s="0" t="inlineStr">
        <is>
          <t xml:space="preserve">Mazda</t>
        </is>
      </c>
      <c r="F3742" s="0" t="inlineStr">
        <is>
          <t xml:space="preserve">Mazda</t>
        </is>
      </c>
      <c r="G3742" s="0" t="s">
        <v>171</v>
      </c>
      <c r="H3742" s="5">
        <v>10.918000</v>
      </c>
    </row>
    <row r="3743" spans="1:9">
      <c r="A3743" s="22" t="str">
        <f>HYPERLINK("https://app.vivvix.com/360/KMI/IntelliDrive/ApplUI/Pages/CreativePages/CustomReportCreativeDetail.aspx?App=23&amp;ReportView=4&amp;Qid=1711279&amp;Row=3735&amp;Col=1","No Title Assigned - #15268563688")</f>
        <v/>
      </c>
      <c r="B3743" s="0" t="s">
        <v>5320</v>
      </c>
      <c r="E3743" s="0" t="inlineStr">
        <is>
          <t xml:space="preserve">Mazda</t>
        </is>
      </c>
      <c r="F3743" s="0" t="inlineStr">
        <is>
          <t xml:space="preserve">Mazda</t>
        </is>
      </c>
      <c r="G3743" s="0" t="s">
        <v>171</v>
      </c>
      <c r="H3743" s="5">
        <v>254.258400</v>
      </c>
    </row>
    <row r="3744" spans="1:9">
      <c r="A3744" s="22" t="str">
        <f>HYPERLINK("https://app.vivvix.com/360/KMI/IntelliDrive/ApplUI/Pages/CreativePages/CustomReportCreativeDetail.aspx?App=23&amp;ReportView=4&amp;Qid=1711279&amp;Row=3736&amp;Col=1","No Title Assigned - #15268584970")</f>
        <v/>
      </c>
      <c r="B3744" s="0" t="s">
        <v>5321</v>
      </c>
      <c r="E3744" s="0" t="inlineStr">
        <is>
          <t xml:space="preserve">Mazda</t>
        </is>
      </c>
      <c r="F3744" s="0" t="inlineStr">
        <is>
          <t xml:space="preserve">Mazda</t>
        </is>
      </c>
      <c r="G3744" s="0" t="s">
        <v>171</v>
      </c>
      <c r="H3744" s="5">
        <v>39.649700</v>
      </c>
    </row>
    <row r="3745" spans="1:9">
      <c r="A3745" s="22" t="str">
        <f>HYPERLINK("https://app.vivvix.com/360/KMI/IntelliDrive/ApplUI/Pages/CreativePages/CustomReportCreativeDetail.aspx?App=23&amp;ReportView=4&amp;Qid=1711279&amp;Row=3737&amp;Col=1","No Title Assigned - #15268585042")</f>
        <v/>
      </c>
      <c r="B3745" s="0" t="s">
        <v>5322</v>
      </c>
      <c r="C3745" s="0" t="s">
        <v>5323</v>
      </c>
      <c r="D3745" s="0" t="s">
        <v>5323</v>
      </c>
      <c r="E3745" s="0" t="inlineStr">
        <is>
          <t xml:space="preserve">Mazda</t>
        </is>
      </c>
      <c r="F3745" s="0" t="inlineStr">
        <is>
          <t xml:space="preserve">Mazda</t>
        </is>
      </c>
      <c r="G3745" s="0" t="s">
        <v>171</v>
      </c>
      <c r="H3745" s="5">
        <v>19.830300</v>
      </c>
    </row>
    <row r="3746" spans="1:9">
      <c r="A3746" s="22" t="str">
        <f>HYPERLINK("https://app.vivvix.com/360/KMI/IntelliDrive/ApplUI/Pages/CreativePages/CustomReportCreativeDetail.aspx?App=23&amp;ReportView=4&amp;Qid=1711279&amp;Row=3738&amp;Col=1","No Title Assigned - #15268585456")</f>
        <v/>
      </c>
      <c r="B3746" s="0" t="s">
        <v>5324</v>
      </c>
      <c r="C3746" s="0" t="s">
        <v>5325</v>
      </c>
      <c r="D3746" s="0" t="s">
        <v>4333</v>
      </c>
      <c r="E3746" s="0" t="inlineStr">
        <is>
          <t xml:space="preserve">Mazda</t>
        </is>
      </c>
      <c r="F3746" s="0" t="s">
        <v>28</v>
      </c>
      <c r="G3746" s="0" t="s">
        <v>29</v>
      </c>
      <c r="H3746" s="5">
        <v>24.391500</v>
      </c>
    </row>
    <row r="3747" spans="1:9">
      <c r="A3747" s="22" t="str">
        <f>HYPERLINK("https://app.vivvix.com/360/KMI/IntelliDrive/ApplUI/Pages/CreativePages/CustomReportCreativeDetail.aspx?App=23&amp;ReportView=4&amp;Qid=1711279&amp;Row=3739&amp;Col=1","No Title Assigned - #15268593964")</f>
        <v/>
      </c>
      <c r="B3747" s="0" t="s">
        <v>5326</v>
      </c>
      <c r="E3747" s="0" t="inlineStr">
        <is>
          <t xml:space="preserve">Mazda</t>
        </is>
      </c>
      <c r="F3747" s="0" t="inlineStr">
        <is>
          <t xml:space="preserve">Mazda</t>
        </is>
      </c>
      <c r="G3747" s="0" t="s">
        <v>171</v>
      </c>
      <c r="H3747" s="5">
        <v>101.381600</v>
      </c>
    </row>
    <row r="3748" spans="1:9">
      <c r="A3748" s="22" t="str">
        <f>HYPERLINK("https://app.vivvix.com/360/KMI/IntelliDrive/ApplUI/Pages/CreativePages/CustomReportCreativeDetail.aspx?App=23&amp;ReportView=4&amp;Qid=1711279&amp;Row=3740&amp;Col=1","No Title Assigned - #15268594677")</f>
        <v/>
      </c>
      <c r="B3748" s="0" t="s">
        <v>5327</v>
      </c>
      <c r="E3748" s="0" t="inlineStr">
        <is>
          <t xml:space="preserve">Mazda</t>
        </is>
      </c>
      <c r="F3748" s="0" t="inlineStr">
        <is>
          <t xml:space="preserve">Mazda</t>
        </is>
      </c>
      <c r="G3748" s="0" t="s">
        <v>171</v>
      </c>
      <c r="H3748" s="5">
        <v>277.586600</v>
      </c>
    </row>
    <row r="3749" spans="1:9">
      <c r="A3749" s="22" t="str">
        <f>HYPERLINK("https://app.vivvix.com/360/KMI/IntelliDrive/ApplUI/Pages/CreativePages/CustomReportCreativeDetail.aspx?App=23&amp;ReportView=4&amp;Qid=1711279&amp;Row=3741&amp;Col=1","No Title Assigned - #15268598586")</f>
        <v/>
      </c>
      <c r="B3749" s="0" t="s">
        <v>5328</v>
      </c>
      <c r="E3749" s="0" t="inlineStr">
        <is>
          <t xml:space="preserve">Mazda</t>
        </is>
      </c>
      <c r="F3749" s="0" t="inlineStr">
        <is>
          <t xml:space="preserve">Mazda</t>
        </is>
      </c>
      <c r="G3749" s="0" t="s">
        <v>171</v>
      </c>
      <c r="H3749" s="5">
        <v>668.733000</v>
      </c>
    </row>
    <row r="3750" spans="1:9">
      <c r="A3750" s="22" t="str">
        <f>HYPERLINK("https://app.vivvix.com/360/KMI/IntelliDrive/ApplUI/Pages/CreativePages/CustomReportCreativeDetail.aspx?App=23&amp;ReportView=4&amp;Qid=1711279&amp;Row=3742&amp;Col=1","No Title Assigned - #15268598613")</f>
        <v/>
      </c>
      <c r="B3750" s="0" t="s">
        <v>5329</v>
      </c>
      <c r="E3750" s="0" t="inlineStr">
        <is>
          <t xml:space="preserve">Mazda</t>
        </is>
      </c>
      <c r="F3750" s="0" t="inlineStr">
        <is>
          <t xml:space="preserve">Mazda</t>
        </is>
      </c>
      <c r="G3750" s="0" t="s">
        <v>171</v>
      </c>
      <c r="H3750" s="5">
        <v>34.687600</v>
      </c>
    </row>
    <row r="3751" spans="1:9">
      <c r="A3751" s="22" t="str">
        <f>HYPERLINK("https://app.vivvix.com/360/KMI/IntelliDrive/ApplUI/Pages/CreativePages/CustomReportCreativeDetail.aspx?App=23&amp;ReportView=4&amp;Qid=1711279&amp;Row=3743&amp;Col=1","No Title Assigned - #15268600202")</f>
        <v/>
      </c>
      <c r="B3751" s="0" t="s">
        <v>5330</v>
      </c>
      <c r="E3751" s="0" t="inlineStr">
        <is>
          <t xml:space="preserve">Mazda</t>
        </is>
      </c>
      <c r="F3751" s="0" t="inlineStr">
        <is>
          <t xml:space="preserve">Mazda</t>
        </is>
      </c>
      <c r="G3751" s="0" t="s">
        <v>171</v>
      </c>
      <c r="H3751" s="5">
        <v>121.409800</v>
      </c>
    </row>
    <row r="3752" spans="1:9">
      <c r="A3752" s="22" t="str">
        <f>HYPERLINK("https://app.vivvix.com/360/KMI/IntelliDrive/ApplUI/Pages/CreativePages/CustomReportCreativeDetail.aspx?App=23&amp;ReportView=4&amp;Qid=1711279&amp;Row=3744&amp;Col=1","No Title Assigned - #15268601222")</f>
        <v/>
      </c>
      <c r="B3752" s="0" t="s">
        <v>5331</v>
      </c>
      <c r="E3752" s="0" t="inlineStr">
        <is>
          <t xml:space="preserve">Mazda</t>
        </is>
      </c>
      <c r="F3752" s="0" t="inlineStr">
        <is>
          <t xml:space="preserve">Mazda</t>
        </is>
      </c>
      <c r="G3752" s="0" t="s">
        <v>171</v>
      </c>
      <c r="H3752" s="5">
        <v>33.422700</v>
      </c>
    </row>
    <row r="3753" spans="1:9">
      <c r="A3753" s="22" t="str">
        <f>HYPERLINK("https://app.vivvix.com/360/KMI/IntelliDrive/ApplUI/Pages/CreativePages/CustomReportCreativeDetail.aspx?App=23&amp;ReportView=4&amp;Qid=1711279&amp;Row=3745&amp;Col=1","No Title Assigned - #15268601588")</f>
        <v/>
      </c>
      <c r="B3753" s="0" t="s">
        <v>5332</v>
      </c>
      <c r="E3753" s="0" t="inlineStr">
        <is>
          <t xml:space="preserve">Mazda</t>
        </is>
      </c>
      <c r="F3753" s="0" t="inlineStr">
        <is>
          <t xml:space="preserve">Mazda</t>
        </is>
      </c>
      <c r="G3753" s="0" t="s">
        <v>171</v>
      </c>
      <c r="H3753" s="5">
        <v>17.273800</v>
      </c>
    </row>
    <row r="3754" spans="1:9">
      <c r="A3754" s="22" t="str">
        <f>HYPERLINK("https://app.vivvix.com/360/KMI/IntelliDrive/ApplUI/Pages/CreativePages/CustomReportCreativeDetail.aspx?App=23&amp;ReportView=4&amp;Qid=1711279&amp;Row=3746&amp;Col=1","No Title Assigned - #15268602879")</f>
        <v/>
      </c>
      <c r="B3754" s="0" t="s">
        <v>5333</v>
      </c>
      <c r="C3754" s="0" t="s">
        <v>5334</v>
      </c>
      <c r="D3754" s="0" t="s">
        <v>4239</v>
      </c>
      <c r="E3754" s="0" t="inlineStr">
        <is>
          <t xml:space="preserve">Mazda</t>
        </is>
      </c>
      <c r="F3754" s="0" t="s">
        <v>28</v>
      </c>
      <c r="G3754" s="0" t="s">
        <v>29</v>
      </c>
      <c r="H3754" s="5">
        <v>86.043000</v>
      </c>
    </row>
    <row r="3755" spans="1:9">
      <c r="A3755" s="22" t="str">
        <f>HYPERLINK("https://app.vivvix.com/360/KMI/IntelliDrive/ApplUI/Pages/CreativePages/CustomReportCreativeDetail.aspx?App=23&amp;ReportView=4&amp;Qid=1711279&amp;Row=3747&amp;Col=1","No Title Assigned - #15268603460")</f>
        <v/>
      </c>
      <c r="B3755" s="0" t="s">
        <v>5335</v>
      </c>
      <c r="C3755" s="0" t="s">
        <v>5336</v>
      </c>
      <c r="D3755" s="0" t="s">
        <v>5336</v>
      </c>
      <c r="E3755" s="0" t="inlineStr">
        <is>
          <t xml:space="preserve">Mazda</t>
        </is>
      </c>
      <c r="F3755" s="0" t="s">
        <v>17</v>
      </c>
      <c r="G3755" s="0" t="s">
        <v>33</v>
      </c>
      <c r="H3755" s="5">
        <v>2705.656500</v>
      </c>
    </row>
    <row r="3756" spans="1:9">
      <c r="A3756" s="22" t="str">
        <f>HYPERLINK("https://app.vivvix.com/360/KMI/IntelliDrive/ApplUI/Pages/CreativePages/CustomReportCreativeDetail.aspx?App=23&amp;ReportView=4&amp;Qid=1711279&amp;Row=3748&amp;Col=1","No Title Assigned - #15268603835")</f>
        <v/>
      </c>
      <c r="B3756" s="0" t="s">
        <v>5337</v>
      </c>
      <c r="C3756" s="0" t="s">
        <v>5338</v>
      </c>
      <c r="D3756" s="0" t="s">
        <v>5338</v>
      </c>
      <c r="E3756" s="0" t="inlineStr">
        <is>
          <t xml:space="preserve">Mazda</t>
        </is>
      </c>
      <c r="F3756" s="0" t="s">
        <v>28</v>
      </c>
      <c r="G3756" s="0" t="s">
        <v>29</v>
      </c>
      <c r="H3756" s="5">
        <v>2240.020000</v>
      </c>
    </row>
    <row r="3757" spans="1:9">
      <c r="A3757" s="22" t="str">
        <f>HYPERLINK("https://app.vivvix.com/360/KMI/IntelliDrive/ApplUI/Pages/CreativePages/CustomReportCreativeDetail.aspx?App=23&amp;ReportView=4&amp;Qid=1711279&amp;Row=3749&amp;Col=1","No Title Assigned - #15268606704")</f>
        <v/>
      </c>
      <c r="B3757" s="0" t="s">
        <v>5339</v>
      </c>
      <c r="C3757" s="0" t="s">
        <v>5340</v>
      </c>
      <c r="D3757" s="0" t="s">
        <v>4333</v>
      </c>
      <c r="E3757" s="0" t="inlineStr">
        <is>
          <t xml:space="preserve">Mazda</t>
        </is>
      </c>
      <c r="F3757" s="0" t="s">
        <v>28</v>
      </c>
      <c r="G3757" s="0" t="s">
        <v>29</v>
      </c>
      <c r="H3757" s="5">
        <v>35.103700</v>
      </c>
    </row>
    <row r="3758" spans="1:9">
      <c r="A3758" s="22" t="str">
        <f>HYPERLINK("https://app.vivvix.com/360/KMI/IntelliDrive/ApplUI/Pages/CreativePages/CustomReportCreativeDetail.aspx?App=23&amp;ReportView=4&amp;Qid=1711279&amp;Row=3750&amp;Col=1","No Title Assigned - #15268606769")</f>
        <v/>
      </c>
      <c r="B3758" s="0" t="s">
        <v>5341</v>
      </c>
      <c r="C3758" s="0" t="s">
        <v>5342</v>
      </c>
      <c r="D3758" s="0" t="s">
        <v>4333</v>
      </c>
      <c r="E3758" s="0" t="inlineStr">
        <is>
          <t xml:space="preserve">Mazda</t>
        </is>
      </c>
      <c r="F3758" s="0" t="s">
        <v>28</v>
      </c>
      <c r="G3758" s="0" t="s">
        <v>29</v>
      </c>
      <c r="H3758" s="5">
        <v>109.291300</v>
      </c>
    </row>
    <row r="3759" spans="1:9">
      <c r="A3759" s="22" t="str">
        <f>HYPERLINK("https://app.vivvix.com/360/KMI/IntelliDrive/ApplUI/Pages/CreativePages/CustomReportCreativeDetail.aspx?App=23&amp;ReportView=4&amp;Qid=1711279&amp;Row=3751&amp;Col=1","No Title Assigned - #15268606769")</f>
        <v/>
      </c>
      <c r="B3759" s="0" t="s">
        <v>5341</v>
      </c>
      <c r="E3759" s="0" t="inlineStr">
        <is>
          <t xml:space="preserve">Mazda</t>
        </is>
      </c>
      <c r="F3759" s="0" t="s">
        <v>28</v>
      </c>
      <c r="G3759" s="0" t="s">
        <v>29</v>
      </c>
      <c r="H3759" s="5">
        <v>838.320800</v>
      </c>
    </row>
    <row r="3760" spans="1:9">
      <c r="A3760" s="22" t="str">
        <f>HYPERLINK("https://app.vivvix.com/360/KMI/IntelliDrive/ApplUI/Pages/CreativePages/CustomReportCreativeDetail.aspx?App=23&amp;ReportView=4&amp;Qid=1711279&amp;Row=3752&amp;Col=1","No Title Assigned - #15268607063")</f>
        <v/>
      </c>
      <c r="B3760" s="0" t="s">
        <v>5343</v>
      </c>
      <c r="C3760" s="0" t="s">
        <v>5344</v>
      </c>
      <c r="D3760" s="0" t="s">
        <v>4225</v>
      </c>
      <c r="E3760" s="0" t="inlineStr">
        <is>
          <t xml:space="preserve">Mazda</t>
        </is>
      </c>
      <c r="F3760" s="0" t="s">
        <v>28</v>
      </c>
      <c r="G3760" s="0" t="s">
        <v>29</v>
      </c>
      <c r="H3760" s="5">
        <v>9.646800</v>
      </c>
    </row>
    <row r="3761" spans="1:9">
      <c r="A3761" s="22" t="str">
        <f>HYPERLINK("https://app.vivvix.com/360/KMI/IntelliDrive/ApplUI/Pages/CreativePages/CustomReportCreativeDetail.aspx?App=23&amp;ReportView=4&amp;Qid=1711279&amp;Row=3753&amp;Col=1","No Title Assigned - #15268607552")</f>
        <v/>
      </c>
      <c r="B3761" s="0" t="s">
        <v>5345</v>
      </c>
      <c r="C3761" s="0" t="s">
        <v>5346</v>
      </c>
      <c r="D3761" s="0" t="s">
        <v>5346</v>
      </c>
      <c r="E3761" s="0" t="inlineStr">
        <is>
          <t xml:space="preserve">Mazda</t>
        </is>
      </c>
      <c r="F3761" s="0" t="inlineStr">
        <is>
          <t xml:space="preserve">Mazda</t>
        </is>
      </c>
      <c r="G3761" s="0" t="s">
        <v>210</v>
      </c>
      <c r="H3761" s="5">
        <v>1037.346600</v>
      </c>
    </row>
    <row r="3762" spans="1:9">
      <c r="A3762" s="22" t="str">
        <f>HYPERLINK("https://app.vivvix.com/360/KMI/IntelliDrive/ApplUI/Pages/CreativePages/CustomReportCreativeDetail.aspx?App=23&amp;ReportView=4&amp;Qid=1711279&amp;Row=3754&amp;Col=1","No Title Assigned - #15268608297")</f>
        <v/>
      </c>
      <c r="B3762" s="0" t="s">
        <v>5347</v>
      </c>
      <c r="E3762" s="0" t="inlineStr">
        <is>
          <t xml:space="preserve">Mazda</t>
        </is>
      </c>
      <c r="F3762" s="0" t="inlineStr">
        <is>
          <t xml:space="preserve">Mazda</t>
        </is>
      </c>
      <c r="G3762" s="0" t="s">
        <v>171</v>
      </c>
      <c r="H3762" s="5">
        <v>40.583700</v>
      </c>
    </row>
    <row r="3763" spans="1:9">
      <c r="A3763" s="22" t="str">
        <f>HYPERLINK("https://app.vivvix.com/360/KMI/IntelliDrive/ApplUI/Pages/CreativePages/CustomReportCreativeDetail.aspx?App=23&amp;ReportView=4&amp;Qid=1711279&amp;Row=3755&amp;Col=1","No Title Assigned - #15268608303")</f>
        <v/>
      </c>
      <c r="B3763" s="0" t="s">
        <v>5348</v>
      </c>
      <c r="E3763" s="0" t="inlineStr">
        <is>
          <t xml:space="preserve">Mazda</t>
        </is>
      </c>
      <c r="F3763" s="0" t="inlineStr">
        <is>
          <t xml:space="preserve">Mazda</t>
        </is>
      </c>
      <c r="G3763" s="0" t="s">
        <v>171</v>
      </c>
      <c r="H3763" s="5">
        <v>89.615900</v>
      </c>
    </row>
    <row r="3764" spans="1:9">
      <c r="A3764" s="22" t="str">
        <f>HYPERLINK("https://app.vivvix.com/360/KMI/IntelliDrive/ApplUI/Pages/CreativePages/CustomReportCreativeDetail.aspx?App=23&amp;ReportView=4&amp;Qid=1711279&amp;Row=3756&amp;Col=1","No Title Assigned - #15268608997")</f>
        <v/>
      </c>
      <c r="B3764" s="0" t="s">
        <v>5349</v>
      </c>
      <c r="E3764" s="0" t="inlineStr">
        <is>
          <t xml:space="preserve">Mazda</t>
        </is>
      </c>
      <c r="F3764" s="0" t="inlineStr">
        <is>
          <t xml:space="preserve">Mazda</t>
        </is>
      </c>
      <c r="G3764" s="0" t="s">
        <v>171</v>
      </c>
      <c r="H3764" s="5">
        <v>34.547600</v>
      </c>
    </row>
    <row r="3765" spans="1:9">
      <c r="A3765" s="22" t="str">
        <f>HYPERLINK("https://app.vivvix.com/360/KMI/IntelliDrive/ApplUI/Pages/CreativePages/CustomReportCreativeDetail.aspx?App=23&amp;ReportView=4&amp;Qid=1711279&amp;Row=3757&amp;Col=1","No Title Assigned - #15268612200")</f>
        <v/>
      </c>
      <c r="B3765" s="0" t="s">
        <v>5350</v>
      </c>
      <c r="C3765" s="0" t="s">
        <v>5351</v>
      </c>
      <c r="D3765" s="0" t="s">
        <v>5351</v>
      </c>
      <c r="E3765" s="0" t="inlineStr">
        <is>
          <t xml:space="preserve">Mazda</t>
        </is>
      </c>
      <c r="F3765" s="0" t="inlineStr">
        <is>
          <t xml:space="preserve">Mazda</t>
        </is>
      </c>
      <c r="G3765" s="0" t="s">
        <v>171</v>
      </c>
      <c r="H3765" s="5">
        <v>311.798300</v>
      </c>
    </row>
    <row r="3766" spans="1:9">
      <c r="A3766" s="22" t="str">
        <f>HYPERLINK("https://app.vivvix.com/360/KMI/IntelliDrive/ApplUI/Pages/CreativePages/CustomReportCreativeDetail.aspx?App=23&amp;ReportView=4&amp;Qid=1711279&amp;Row=3758&amp;Col=1","No Title Assigned - #15268612200")</f>
        <v/>
      </c>
      <c r="B3766" s="0" t="s">
        <v>5350</v>
      </c>
      <c r="E3766" s="0" t="inlineStr">
        <is>
          <t xml:space="preserve">Mazda</t>
        </is>
      </c>
      <c r="F3766" s="0" t="inlineStr">
        <is>
          <t xml:space="preserve">Mazda</t>
        </is>
      </c>
      <c r="G3766" s="0" t="s">
        <v>171</v>
      </c>
      <c r="H3766" s="5">
        <v>302.578700</v>
      </c>
    </row>
    <row r="3767" spans="1:9">
      <c r="A3767" s="22" t="str">
        <f>HYPERLINK("https://app.vivvix.com/360/KMI/IntelliDrive/ApplUI/Pages/CreativePages/CustomReportCreativeDetail.aspx?App=23&amp;ReportView=4&amp;Qid=1711279&amp;Row=3759&amp;Col=1","No Title Assigned - #15268612568")</f>
        <v/>
      </c>
      <c r="B3767" s="0" t="s">
        <v>5352</v>
      </c>
      <c r="E3767" s="0" t="inlineStr">
        <is>
          <t xml:space="preserve">Mazda</t>
        </is>
      </c>
      <c r="F3767" s="0" t="inlineStr">
        <is>
          <t xml:space="preserve">Mazda</t>
        </is>
      </c>
      <c r="G3767" s="0" t="s">
        <v>171</v>
      </c>
      <c r="H3767" s="5">
        <v>2347.382000</v>
      </c>
    </row>
    <row r="3768" spans="1:9">
      <c r="A3768" s="22" t="str">
        <f>HYPERLINK("https://app.vivvix.com/360/KMI/IntelliDrive/ApplUI/Pages/CreativePages/CustomReportCreativeDetail.aspx?App=23&amp;ReportView=4&amp;Qid=1711279&amp;Row=3760&amp;Col=1","No Title Assigned - #15268613094")</f>
        <v/>
      </c>
      <c r="B3768" s="0" t="s">
        <v>5353</v>
      </c>
      <c r="E3768" s="0" t="inlineStr">
        <is>
          <t xml:space="preserve">Mazda</t>
        </is>
      </c>
      <c r="F3768" s="0" t="inlineStr">
        <is>
          <t xml:space="preserve">Mazda</t>
        </is>
      </c>
      <c r="G3768" s="0" t="s">
        <v>171</v>
      </c>
      <c r="H3768" s="5">
        <v>55.765600</v>
      </c>
    </row>
    <row r="3769" spans="1:9">
      <c r="A3769" s="22" t="str">
        <f>HYPERLINK("https://app.vivvix.com/360/KMI/IntelliDrive/ApplUI/Pages/CreativePages/CustomReportCreativeDetail.aspx?App=23&amp;ReportView=4&amp;Qid=1711279&amp;Row=3761&amp;Col=1","No Title Assigned - #15268613212")</f>
        <v/>
      </c>
      <c r="B3769" s="0" t="s">
        <v>5354</v>
      </c>
      <c r="E3769" s="0" t="inlineStr">
        <is>
          <t xml:space="preserve">Mazda</t>
        </is>
      </c>
      <c r="F3769" s="0" t="inlineStr">
        <is>
          <t xml:space="preserve">Mazda</t>
        </is>
      </c>
      <c r="G3769" s="0" t="s">
        <v>171</v>
      </c>
      <c r="H3769" s="5">
        <v>951.868900</v>
      </c>
    </row>
    <row r="3770" spans="1:9">
      <c r="A3770" s="22" t="str">
        <f>HYPERLINK("https://app.vivvix.com/360/KMI/IntelliDrive/ApplUI/Pages/CreativePages/CustomReportCreativeDetail.aspx?App=23&amp;ReportView=4&amp;Qid=1711279&amp;Row=3762&amp;Col=1","No Title Assigned - #15268614503")</f>
        <v/>
      </c>
      <c r="B3770" s="0" t="s">
        <v>5355</v>
      </c>
      <c r="E3770" s="0" t="inlineStr">
        <is>
          <t xml:space="preserve">Mazda</t>
        </is>
      </c>
      <c r="F3770" s="0" t="inlineStr">
        <is>
          <t xml:space="preserve">Mazda</t>
        </is>
      </c>
      <c r="G3770" s="0" t="s">
        <v>171</v>
      </c>
      <c r="H3770" s="5">
        <v>28138.564500</v>
      </c>
    </row>
    <row r="3771" spans="1:9">
      <c r="A3771" s="22" t="str">
        <f>HYPERLINK("https://app.vivvix.com/360/KMI/IntelliDrive/ApplUI/Pages/CreativePages/CustomReportCreativeDetail.aspx?App=23&amp;ReportView=4&amp;Qid=1711279&amp;Row=3763&amp;Col=1","No Title Assigned - #15268617559")</f>
        <v/>
      </c>
      <c r="B3771" s="0" t="s">
        <v>5356</v>
      </c>
      <c r="E3771" s="0" t="inlineStr">
        <is>
          <t xml:space="preserve">Mazda</t>
        </is>
      </c>
      <c r="F3771" s="0" t="inlineStr">
        <is>
          <t xml:space="preserve">Mazda</t>
        </is>
      </c>
      <c r="G3771" s="0" t="s">
        <v>171</v>
      </c>
      <c r="H3771" s="5">
        <v>782.371700</v>
      </c>
    </row>
    <row r="3772" spans="1:9">
      <c r="A3772" s="22" t="str">
        <f>HYPERLINK("https://app.vivvix.com/360/KMI/IntelliDrive/ApplUI/Pages/CreativePages/CustomReportCreativeDetail.aspx?App=23&amp;ReportView=4&amp;Qid=1711279&amp;Row=3764&amp;Col=1","No Title Assigned - #15268622024")</f>
        <v/>
      </c>
      <c r="B3772" s="0" t="s">
        <v>5357</v>
      </c>
      <c r="E3772" s="0" t="inlineStr">
        <is>
          <t xml:space="preserve">Mazda</t>
        </is>
      </c>
      <c r="F3772" s="0" t="inlineStr">
        <is>
          <t xml:space="preserve">Mazda</t>
        </is>
      </c>
      <c r="G3772" s="0" t="s">
        <v>171</v>
      </c>
      <c r="H3772" s="5">
        <v>84.866800</v>
      </c>
    </row>
    <row r="3773" spans="1:9">
      <c r="A3773" s="22" t="str">
        <f>HYPERLINK("https://app.vivvix.com/360/KMI/IntelliDrive/ApplUI/Pages/CreativePages/CustomReportCreativeDetail.aspx?App=23&amp;ReportView=4&amp;Qid=1711279&amp;Row=3765&amp;Col=1","No Title Assigned - #15268622501")</f>
        <v/>
      </c>
      <c r="B3773" s="0" t="s">
        <v>5358</v>
      </c>
      <c r="E3773" s="0" t="inlineStr">
        <is>
          <t xml:space="preserve">Mazda</t>
        </is>
      </c>
      <c r="F3773" s="0" t="inlineStr">
        <is>
          <t xml:space="preserve">Mazda</t>
        </is>
      </c>
      <c r="G3773" s="0" t="s">
        <v>171</v>
      </c>
      <c r="H3773" s="5">
        <v>531.400800</v>
      </c>
    </row>
    <row r="3774" spans="1:9">
      <c r="A3774" s="22" t="str">
        <f>HYPERLINK("https://app.vivvix.com/360/KMI/IntelliDrive/ApplUI/Pages/CreativePages/CustomReportCreativeDetail.aspx?App=23&amp;ReportView=4&amp;Qid=1711279&amp;Row=3766&amp;Col=1","No Title Assigned - #15268622501")</f>
        <v/>
      </c>
      <c r="B3774" s="0" t="s">
        <v>5358</v>
      </c>
      <c r="E3774" s="0" t="inlineStr">
        <is>
          <t xml:space="preserve">Mazda</t>
        </is>
      </c>
      <c r="F3774" s="0" t="inlineStr">
        <is>
          <t xml:space="preserve">Mazda</t>
        </is>
      </c>
      <c r="G3774" s="0" t="s">
        <v>171</v>
      </c>
      <c r="H3774" s="5">
        <v>7466.224700</v>
      </c>
    </row>
    <row r="3775" spans="1:9">
      <c r="A3775" s="22" t="str">
        <f>HYPERLINK("https://app.vivvix.com/360/KMI/IntelliDrive/ApplUI/Pages/CreativePages/CustomReportCreativeDetail.aspx?App=23&amp;ReportView=4&amp;Qid=1711279&amp;Row=3767&amp;Col=1","No Title Assigned - #15268622672")</f>
        <v/>
      </c>
      <c r="B3775" s="0" t="s">
        <v>5359</v>
      </c>
      <c r="E3775" s="0" t="inlineStr">
        <is>
          <t xml:space="preserve">Mazda</t>
        </is>
      </c>
      <c r="F3775" s="0" t="inlineStr">
        <is>
          <t xml:space="preserve">Mazda</t>
        </is>
      </c>
      <c r="G3775" s="0" t="s">
        <v>171</v>
      </c>
      <c r="H3775" s="5">
        <v>19.917600</v>
      </c>
    </row>
    <row r="3776" spans="1:9">
      <c r="A3776" s="22" t="str">
        <f>HYPERLINK("https://app.vivvix.com/360/KMI/IntelliDrive/ApplUI/Pages/CreativePages/CustomReportCreativeDetail.aspx?App=23&amp;ReportView=4&amp;Qid=1711279&amp;Row=3768&amp;Col=1","No Title Assigned - #15268622732")</f>
        <v/>
      </c>
      <c r="B3776" s="0" t="s">
        <v>5360</v>
      </c>
      <c r="E3776" s="0" t="inlineStr">
        <is>
          <t xml:space="preserve">Mazda</t>
        </is>
      </c>
      <c r="F3776" s="0" t="inlineStr">
        <is>
          <t xml:space="preserve">Mazda</t>
        </is>
      </c>
      <c r="G3776" s="0" t="s">
        <v>171</v>
      </c>
      <c r="H3776" s="5">
        <v>9797.422500</v>
      </c>
    </row>
    <row r="3777" spans="1:9">
      <c r="A3777" s="22" t="str">
        <f>HYPERLINK("https://app.vivvix.com/360/KMI/IntelliDrive/ApplUI/Pages/CreativePages/CustomReportCreativeDetail.aspx?App=23&amp;ReportView=4&amp;Qid=1711279&amp;Row=3769&amp;Col=1","No Title Assigned - #15268622732")</f>
        <v/>
      </c>
      <c r="B3777" s="0" t="s">
        <v>5360</v>
      </c>
      <c r="E3777" s="0" t="inlineStr">
        <is>
          <t xml:space="preserve">Mazda</t>
        </is>
      </c>
      <c r="F3777" s="0" t="inlineStr">
        <is>
          <t xml:space="preserve">Mazda</t>
        </is>
      </c>
      <c r="G3777" s="0" t="s">
        <v>171</v>
      </c>
      <c r="H3777" s="5">
        <v>45086.163900</v>
      </c>
    </row>
    <row r="3778" spans="1:9">
      <c r="A3778" s="22" t="str">
        <f>HYPERLINK("https://app.vivvix.com/360/KMI/IntelliDrive/ApplUI/Pages/CreativePages/CustomReportCreativeDetail.aspx?App=23&amp;ReportView=4&amp;Qid=1711279&amp;Row=3770&amp;Col=1","No Title Assigned - #15268622849")</f>
        <v/>
      </c>
      <c r="B3778" s="0" t="s">
        <v>5361</v>
      </c>
      <c r="C3778" s="0" t="s">
        <v>5362</v>
      </c>
      <c r="D3778" s="0" t="s">
        <v>5362</v>
      </c>
      <c r="E3778" s="0" t="inlineStr">
        <is>
          <t xml:space="preserve">Mazda</t>
        </is>
      </c>
      <c r="F3778" s="0" t="inlineStr">
        <is>
          <t xml:space="preserve">Mazda</t>
        </is>
      </c>
      <c r="G3778" s="0" t="s">
        <v>171</v>
      </c>
      <c r="H3778" s="5">
        <v>48.623100</v>
      </c>
    </row>
    <row r="3779" spans="1:9">
      <c r="A3779" s="22" t="str">
        <f>HYPERLINK("https://app.vivvix.com/360/KMI/IntelliDrive/ApplUI/Pages/CreativePages/CustomReportCreativeDetail.aspx?App=23&amp;ReportView=4&amp;Qid=1711279&amp;Row=3771&amp;Col=1","No Title Assigned - #15268622870")</f>
        <v/>
      </c>
      <c r="B3779" s="0" t="s">
        <v>5363</v>
      </c>
      <c r="E3779" s="0" t="inlineStr">
        <is>
          <t xml:space="preserve">Mazda</t>
        </is>
      </c>
      <c r="F3779" s="0" t="inlineStr">
        <is>
          <t xml:space="preserve">Mazda</t>
        </is>
      </c>
      <c r="G3779" s="0" t="s">
        <v>171</v>
      </c>
      <c r="H3779" s="5">
        <v>106.482800</v>
      </c>
    </row>
    <row r="3780" spans="1:9">
      <c r="A3780" s="22" t="str">
        <f>HYPERLINK("https://app.vivvix.com/360/KMI/IntelliDrive/ApplUI/Pages/CreativePages/CustomReportCreativeDetail.aspx?App=23&amp;ReportView=4&amp;Qid=1711279&amp;Row=3772&amp;Col=1","No Title Assigned - #15268626332")</f>
        <v/>
      </c>
      <c r="B3780" s="0" t="s">
        <v>5364</v>
      </c>
      <c r="E3780" s="0" t="inlineStr">
        <is>
          <t xml:space="preserve">Mazda</t>
        </is>
      </c>
      <c r="F3780" s="0" t="inlineStr">
        <is>
          <t xml:space="preserve">Mazda</t>
        </is>
      </c>
      <c r="G3780" s="0" t="s">
        <v>171</v>
      </c>
      <c r="H3780" s="5">
        <v>249.099400</v>
      </c>
    </row>
    <row r="3781" spans="1:9">
      <c r="A3781" s="22" t="str">
        <f>HYPERLINK("https://app.vivvix.com/360/KMI/IntelliDrive/ApplUI/Pages/CreativePages/CustomReportCreativeDetail.aspx?App=23&amp;ReportView=4&amp;Qid=1711279&amp;Row=3773&amp;Col=1","No Title Assigned - #15268626332")</f>
        <v/>
      </c>
      <c r="B3781" s="0" t="s">
        <v>5364</v>
      </c>
      <c r="E3781" s="0" t="inlineStr">
        <is>
          <t xml:space="preserve">Mazda</t>
        </is>
      </c>
      <c r="F3781" s="0" t="inlineStr">
        <is>
          <t xml:space="preserve">Mazda</t>
        </is>
      </c>
      <c r="G3781" s="0" t="s">
        <v>171</v>
      </c>
      <c r="H3781" s="5">
        <v>37.855500</v>
      </c>
    </row>
    <row r="3782" spans="1:9">
      <c r="A3782" s="22" t="str">
        <f>HYPERLINK("https://app.vivvix.com/360/KMI/IntelliDrive/ApplUI/Pages/CreativePages/CustomReportCreativeDetail.aspx?App=23&amp;ReportView=4&amp;Qid=1711279&amp;Row=3774&amp;Col=1","No Title Assigned - #15268626450")</f>
        <v/>
      </c>
      <c r="B3782" s="0" t="s">
        <v>5365</v>
      </c>
      <c r="E3782" s="0" t="inlineStr">
        <is>
          <t xml:space="preserve">Mazda</t>
        </is>
      </c>
      <c r="F3782" s="0" t="inlineStr">
        <is>
          <t xml:space="preserve">Mazda</t>
        </is>
      </c>
      <c r="G3782" s="0" t="s">
        <v>171</v>
      </c>
      <c r="H3782" s="5">
        <v>9587.149400</v>
      </c>
    </row>
    <row r="3783" spans="1:9">
      <c r="A3783" s="22" t="str">
        <f>HYPERLINK("https://app.vivvix.com/360/KMI/IntelliDrive/ApplUI/Pages/CreativePages/CustomReportCreativeDetail.aspx?App=23&amp;ReportView=4&amp;Qid=1711279&amp;Row=3775&amp;Col=1","No Title Assigned - #15268628268")</f>
        <v/>
      </c>
      <c r="B3783" s="0" t="s">
        <v>5366</v>
      </c>
      <c r="C3783" s="0" t="s">
        <v>5367</v>
      </c>
      <c r="D3783" s="0" t="s">
        <v>5367</v>
      </c>
      <c r="E3783" s="0" t="inlineStr">
        <is>
          <t xml:space="preserve">Mazda</t>
        </is>
      </c>
      <c r="F3783" s="0" t="s">
        <v>13</v>
      </c>
      <c r="G3783" s="0" t="s">
        <v>49</v>
      </c>
      <c r="H3783" s="5">
        <v>12448.006900</v>
      </c>
    </row>
    <row r="3784" spans="1:9">
      <c r="A3784" s="22" t="str">
        <f>HYPERLINK("https://app.vivvix.com/360/KMI/IntelliDrive/ApplUI/Pages/CreativePages/CustomReportCreativeDetail.aspx?App=23&amp;ReportView=4&amp;Qid=1711279&amp;Row=3776&amp;Col=1","No Title Assigned - #15268628268")</f>
        <v/>
      </c>
      <c r="B3784" s="0" t="s">
        <v>5366</v>
      </c>
      <c r="C3784" s="0" t="s">
        <v>5368</v>
      </c>
      <c r="D3784" s="0" t="s">
        <v>5368</v>
      </c>
      <c r="E3784" s="0" t="inlineStr">
        <is>
          <t xml:space="preserve">Mazda</t>
        </is>
      </c>
      <c r="F3784" s="0" t="s">
        <v>13</v>
      </c>
      <c r="G3784" s="0" t="s">
        <v>49</v>
      </c>
      <c r="H3784" s="5">
        <v>38515.450900</v>
      </c>
    </row>
    <row r="3785" spans="1:9">
      <c r="A3785" s="22" t="str">
        <f>HYPERLINK("https://app.vivvix.com/360/KMI/IntelliDrive/ApplUI/Pages/CreativePages/CustomReportCreativeDetail.aspx?App=23&amp;ReportView=4&amp;Qid=1711279&amp;Row=3777&amp;Col=1","No Title Assigned - #15268628914")</f>
        <v/>
      </c>
      <c r="B3785" s="0" t="s">
        <v>5369</v>
      </c>
      <c r="C3785" s="0" t="s">
        <v>5370</v>
      </c>
      <c r="D3785" s="0" t="s">
        <v>5370</v>
      </c>
      <c r="E3785" s="0" t="inlineStr">
        <is>
          <t xml:space="preserve">Mazda</t>
        </is>
      </c>
      <c r="F3785" s="0" t="s">
        <v>28</v>
      </c>
      <c r="G3785" s="0" t="s">
        <v>29</v>
      </c>
      <c r="H3785" s="5">
        <v>16.646200</v>
      </c>
    </row>
    <row r="3786" spans="1:9">
      <c r="A3786" s="22" t="str">
        <f>HYPERLINK("https://app.vivvix.com/360/KMI/IntelliDrive/ApplUI/Pages/CreativePages/CustomReportCreativeDetail.aspx?App=23&amp;ReportView=4&amp;Qid=1711279&amp;Row=3778&amp;Col=1","No Title Assigned - #15268628970")</f>
        <v/>
      </c>
      <c r="B3786" s="0" t="s">
        <v>5371</v>
      </c>
      <c r="C3786" s="0" t="s">
        <v>5372</v>
      </c>
      <c r="D3786" s="0" t="s">
        <v>4225</v>
      </c>
      <c r="E3786" s="0" t="inlineStr">
        <is>
          <t xml:space="preserve">Mazda</t>
        </is>
      </c>
      <c r="F3786" s="0" t="s">
        <v>28</v>
      </c>
      <c r="G3786" s="0" t="s">
        <v>29</v>
      </c>
      <c r="H3786" s="5">
        <v>1226.134400</v>
      </c>
    </row>
    <row r="3787" spans="1:9">
      <c r="A3787" s="22" t="str">
        <f>HYPERLINK("https://app.vivvix.com/360/KMI/IntelliDrive/ApplUI/Pages/CreativePages/CustomReportCreativeDetail.aspx?App=23&amp;ReportView=4&amp;Qid=1711279&amp;Row=3779&amp;Col=1","No Title Assigned - #15268629367")</f>
        <v/>
      </c>
      <c r="B3787" s="0" t="s">
        <v>5373</v>
      </c>
      <c r="E3787" s="0" t="inlineStr">
        <is>
          <t xml:space="preserve">Mazda</t>
        </is>
      </c>
      <c r="F3787" s="0" t="inlineStr">
        <is>
          <t xml:space="preserve">Mazda</t>
        </is>
      </c>
      <c r="G3787" s="0" t="s">
        <v>171</v>
      </c>
      <c r="H3787" s="5">
        <v>16.207700</v>
      </c>
    </row>
    <row r="3788" spans="1:9">
      <c r="A3788" s="22" t="str">
        <f>HYPERLINK("https://app.vivvix.com/360/KMI/IntelliDrive/ApplUI/Pages/CreativePages/CustomReportCreativeDetail.aspx?App=23&amp;ReportView=4&amp;Qid=1711279&amp;Row=3780&amp;Col=1","No Title Assigned - #15268629514")</f>
        <v/>
      </c>
      <c r="B3788" s="0" t="s">
        <v>5374</v>
      </c>
      <c r="C3788" s="0" t="s">
        <v>5375</v>
      </c>
      <c r="D3788" s="0" t="s">
        <v>5375</v>
      </c>
      <c r="E3788" s="0" t="inlineStr">
        <is>
          <t xml:space="preserve">Mazda</t>
        </is>
      </c>
      <c r="F3788" s="0" t="inlineStr">
        <is>
          <t xml:space="preserve">Mazda</t>
        </is>
      </c>
      <c r="G3788" s="0" t="s">
        <v>171</v>
      </c>
      <c r="H3788" s="5">
        <v>7057.615200</v>
      </c>
    </row>
    <row r="3789" spans="1:9">
      <c r="A3789" s="22" t="str">
        <f>HYPERLINK("https://app.vivvix.com/360/KMI/IntelliDrive/ApplUI/Pages/CreativePages/CustomReportCreativeDetail.aspx?App=23&amp;ReportView=4&amp;Qid=1711279&amp;Row=3781&amp;Col=1","No Title Assigned - #15268629514")</f>
        <v/>
      </c>
      <c r="B3789" s="0" t="s">
        <v>5374</v>
      </c>
      <c r="E3789" s="0" t="inlineStr">
        <is>
          <t xml:space="preserve">Mazda</t>
        </is>
      </c>
      <c r="F3789" s="0" t="inlineStr">
        <is>
          <t xml:space="preserve">Mazda</t>
        </is>
      </c>
      <c r="G3789" s="0" t="s">
        <v>171</v>
      </c>
      <c r="H3789" s="5">
        <v>3833.035000</v>
      </c>
    </row>
    <row r="3790" spans="1:9">
      <c r="A3790" s="22" t="str">
        <f>HYPERLINK("https://app.vivvix.com/360/KMI/IntelliDrive/ApplUI/Pages/CreativePages/CustomReportCreativeDetail.aspx?App=23&amp;ReportView=4&amp;Qid=1711279&amp;Row=3782&amp;Col=1","No Title Assigned - #15268629788")</f>
        <v/>
      </c>
      <c r="B3790" s="0" t="s">
        <v>5376</v>
      </c>
      <c r="C3790" s="0" t="s">
        <v>5377</v>
      </c>
      <c r="D3790" s="0" t="s">
        <v>5377</v>
      </c>
      <c r="E3790" s="0" t="inlineStr">
        <is>
          <t xml:space="preserve">Mazda</t>
        </is>
      </c>
      <c r="F3790" s="0" t="s">
        <v>13</v>
      </c>
      <c r="G3790" s="0" t="s">
        <v>49</v>
      </c>
      <c r="H3790" s="5">
        <v>3209.537200</v>
      </c>
    </row>
    <row r="3791" spans="1:9">
      <c r="A3791" s="22" t="str">
        <f>HYPERLINK("https://app.vivvix.com/360/KMI/IntelliDrive/ApplUI/Pages/CreativePages/CustomReportCreativeDetail.aspx?App=23&amp;ReportView=4&amp;Qid=1711279&amp;Row=3783&amp;Col=1","No Title Assigned - #15268629788")</f>
        <v/>
      </c>
      <c r="B3791" s="0" t="s">
        <v>5376</v>
      </c>
      <c r="C3791" s="0" t="s">
        <v>5378</v>
      </c>
      <c r="D3791" s="0" t="s">
        <v>5378</v>
      </c>
      <c r="E3791" s="0" t="inlineStr">
        <is>
          <t xml:space="preserve">Mazda</t>
        </is>
      </c>
      <c r="F3791" s="0" t="s">
        <v>13</v>
      </c>
      <c r="G3791" s="0" t="s">
        <v>49</v>
      </c>
      <c r="H3791" s="5">
        <v>14805.144300</v>
      </c>
    </row>
    <row r="3792" spans="1:9">
      <c r="A3792" s="22" t="str">
        <f>HYPERLINK("https://app.vivvix.com/360/KMI/IntelliDrive/ApplUI/Pages/CreativePages/CustomReportCreativeDetail.aspx?App=23&amp;ReportView=4&amp;Qid=1711279&amp;Row=3784&amp;Col=1","No Title Assigned - #15268630198")</f>
        <v/>
      </c>
      <c r="B3792" s="0" t="s">
        <v>5379</v>
      </c>
      <c r="E3792" s="0" t="inlineStr">
        <is>
          <t xml:space="preserve">Mazda</t>
        </is>
      </c>
      <c r="F3792" s="0" t="inlineStr">
        <is>
          <t xml:space="preserve">Mazda</t>
        </is>
      </c>
      <c r="G3792" s="0" t="s">
        <v>171</v>
      </c>
      <c r="H3792" s="5">
        <v>30284.564400</v>
      </c>
    </row>
    <row r="3793" spans="1:9">
      <c r="A3793" s="22" t="str">
        <f>HYPERLINK("https://app.vivvix.com/360/KMI/IntelliDrive/ApplUI/Pages/CreativePages/CustomReportCreativeDetail.aspx?App=23&amp;ReportView=4&amp;Qid=1711279&amp;Row=3785&amp;Col=1","No Title Assigned - #15268630198")</f>
        <v/>
      </c>
      <c r="B3793" s="0" t="s">
        <v>5379</v>
      </c>
      <c r="E3793" s="0" t="inlineStr">
        <is>
          <t xml:space="preserve">Mazda</t>
        </is>
      </c>
      <c r="F3793" s="0" t="inlineStr">
        <is>
          <t xml:space="preserve">Mazda</t>
        </is>
      </c>
      <c r="G3793" s="0" t="s">
        <v>171</v>
      </c>
      <c r="H3793" s="5">
        <v>118189.426600</v>
      </c>
    </row>
    <row r="3794" spans="1:9">
      <c r="A3794" s="22" t="str">
        <f>HYPERLINK("https://app.vivvix.com/360/KMI/IntelliDrive/ApplUI/Pages/CreativePages/CustomReportCreativeDetail.aspx?App=23&amp;ReportView=4&amp;Qid=1711279&amp;Row=3786&amp;Col=1","No Title Assigned - #15268632070")</f>
        <v/>
      </c>
      <c r="B3794" s="0" t="s">
        <v>5380</v>
      </c>
      <c r="C3794" s="0" t="s">
        <v>5381</v>
      </c>
      <c r="D3794" s="0" t="s">
        <v>5381</v>
      </c>
      <c r="E3794" s="0" t="inlineStr">
        <is>
          <t xml:space="preserve">Mazda</t>
        </is>
      </c>
      <c r="F3794" s="0" t="inlineStr">
        <is>
          <t xml:space="preserve">Mazda</t>
        </is>
      </c>
      <c r="G3794" s="0" t="s">
        <v>171</v>
      </c>
      <c r="H3794" s="5">
        <v>312.340400</v>
      </c>
    </row>
    <row r="3795" spans="1:9">
      <c r="A3795" s="22" t="str">
        <f>HYPERLINK("https://app.vivvix.com/360/KMI/IntelliDrive/ApplUI/Pages/CreativePages/CustomReportCreativeDetail.aspx?App=23&amp;ReportView=4&amp;Qid=1711279&amp;Row=3787&amp;Col=1","No Title Assigned - #15268633288")</f>
        <v/>
      </c>
      <c r="B3795" s="0" t="s">
        <v>5382</v>
      </c>
      <c r="C3795" s="0" t="s">
        <v>5383</v>
      </c>
      <c r="D3795" s="0" t="s">
        <v>5383</v>
      </c>
      <c r="E3795" s="0" t="inlineStr">
        <is>
          <t xml:space="preserve">Mazda</t>
        </is>
      </c>
      <c r="F3795" s="0" t="inlineStr">
        <is>
          <t xml:space="preserve">Mazda</t>
        </is>
      </c>
      <c r="G3795" s="0" t="s">
        <v>210</v>
      </c>
    </row>
    <row r="3796" spans="1:9">
      <c r="A3796" s="22" t="str">
        <f>HYPERLINK("https://app.vivvix.com/360/KMI/IntelliDrive/ApplUI/Pages/CreativePages/CustomReportCreativeDetail.aspx?App=23&amp;ReportView=4&amp;Qid=1711279&amp;Row=3788&amp;Col=1","No Title Assigned - #15268633304")</f>
        <v/>
      </c>
      <c r="B3796" s="0" t="s">
        <v>5384</v>
      </c>
      <c r="C3796" s="0" t="s">
        <v>5385</v>
      </c>
      <c r="D3796" s="0" t="s">
        <v>5385</v>
      </c>
      <c r="E3796" s="0" t="inlineStr">
        <is>
          <t xml:space="preserve">Mazda</t>
        </is>
      </c>
      <c r="F3796" s="0" t="inlineStr">
        <is>
          <t xml:space="preserve">Mazda</t>
        </is>
      </c>
      <c r="G3796" s="0" t="s">
        <v>210</v>
      </c>
      <c r="H3796" s="5">
        <v>2347.231900</v>
      </c>
    </row>
    <row r="3797" spans="1:9">
      <c r="A3797" s="22" t="str">
        <f>HYPERLINK("https://app.vivvix.com/360/KMI/IntelliDrive/ApplUI/Pages/CreativePages/CustomReportCreativeDetail.aspx?App=23&amp;ReportView=4&amp;Qid=1711279&amp;Row=3789&amp;Col=1","No Title Assigned - #15268635128")</f>
        <v/>
      </c>
      <c r="B3797" s="0" t="s">
        <v>5386</v>
      </c>
      <c r="E3797" s="0" t="inlineStr">
        <is>
          <t xml:space="preserve">Mazda</t>
        </is>
      </c>
      <c r="F3797" s="0" t="inlineStr">
        <is>
          <t xml:space="preserve">Mazda</t>
        </is>
      </c>
      <c r="G3797" s="0" t="s">
        <v>171</v>
      </c>
      <c r="H3797" s="5">
        <v>22.700100</v>
      </c>
    </row>
    <row r="3798" spans="1:9">
      <c r="A3798" s="22" t="str">
        <f>HYPERLINK("https://app.vivvix.com/360/KMI/IntelliDrive/ApplUI/Pages/CreativePages/CustomReportCreativeDetail.aspx?App=23&amp;ReportView=4&amp;Qid=1711279&amp;Row=3790&amp;Col=1","No Title Assigned - #15268635518")</f>
        <v/>
      </c>
      <c r="B3798" s="0" t="s">
        <v>5387</v>
      </c>
      <c r="E3798" s="0" t="inlineStr">
        <is>
          <t xml:space="preserve">Mazda</t>
        </is>
      </c>
      <c r="F3798" s="0" t="inlineStr">
        <is>
          <t xml:space="preserve">Mazda</t>
        </is>
      </c>
      <c r="G3798" s="0" t="s">
        <v>171</v>
      </c>
      <c r="H3798" s="5">
        <v>224.899800</v>
      </c>
    </row>
    <row r="3799" spans="1:9">
      <c r="A3799" s="22" t="str">
        <f>HYPERLINK("https://app.vivvix.com/360/KMI/IntelliDrive/ApplUI/Pages/CreativePages/CustomReportCreativeDetail.aspx?App=23&amp;ReportView=4&amp;Qid=1711279&amp;Row=3791&amp;Col=1","No Title Assigned - #15268635885")</f>
        <v/>
      </c>
      <c r="B3799" s="0" t="s">
        <v>5388</v>
      </c>
      <c r="C3799" s="0" t="s">
        <v>5389</v>
      </c>
      <c r="D3799" s="0" t="s">
        <v>5389</v>
      </c>
      <c r="E3799" s="0" t="inlineStr">
        <is>
          <t xml:space="preserve">Mazda</t>
        </is>
      </c>
      <c r="F3799" s="0" t="s">
        <v>13</v>
      </c>
      <c r="G3799" s="0" t="s">
        <v>49</v>
      </c>
      <c r="H3799" s="5">
        <v>2035.176200</v>
      </c>
    </row>
    <row r="3800" spans="1:9">
      <c r="A3800" s="22" t="str">
        <f>HYPERLINK("https://app.vivvix.com/360/KMI/IntelliDrive/ApplUI/Pages/CreativePages/CustomReportCreativeDetail.aspx?App=23&amp;ReportView=4&amp;Qid=1711279&amp;Row=3792&amp;Col=1","No Title Assigned - #15268635885")</f>
        <v/>
      </c>
      <c r="B3800" s="0" t="s">
        <v>5388</v>
      </c>
      <c r="C3800" s="0" t="s">
        <v>5390</v>
      </c>
      <c r="D3800" s="0" t="s">
        <v>5390</v>
      </c>
      <c r="E3800" s="0" t="inlineStr">
        <is>
          <t xml:space="preserve">Mazda</t>
        </is>
      </c>
      <c r="F3800" s="0" t="s">
        <v>13</v>
      </c>
      <c r="G3800" s="0" t="s">
        <v>49</v>
      </c>
      <c r="H3800" s="5">
        <v>4265.146000</v>
      </c>
    </row>
    <row r="3801" spans="1:9">
      <c r="A3801" s="22" t="str">
        <f>HYPERLINK("https://app.vivvix.com/360/KMI/IntelliDrive/ApplUI/Pages/CreativePages/CustomReportCreativeDetail.aspx?App=23&amp;ReportView=4&amp;Qid=1711279&amp;Row=3793&amp;Col=1","No Title Assigned - #15268636205")</f>
        <v/>
      </c>
      <c r="B3801" s="0" t="s">
        <v>5391</v>
      </c>
      <c r="E3801" s="0" t="inlineStr">
        <is>
          <t xml:space="preserve">Mazda</t>
        </is>
      </c>
      <c r="F3801" s="0" t="inlineStr">
        <is>
          <t xml:space="preserve">Mazda</t>
        </is>
      </c>
      <c r="G3801" s="0" t="s">
        <v>171</v>
      </c>
      <c r="H3801" s="5">
        <v>126.532700</v>
      </c>
    </row>
    <row r="3802" spans="1:9">
      <c r="A3802" s="22" t="str">
        <f>HYPERLINK("https://app.vivvix.com/360/KMI/IntelliDrive/ApplUI/Pages/CreativePages/CustomReportCreativeDetail.aspx?App=23&amp;ReportView=4&amp;Qid=1711279&amp;Row=3794&amp;Col=1","No Title Assigned - #15268636218")</f>
        <v/>
      </c>
      <c r="B3802" s="0" t="s">
        <v>5392</v>
      </c>
      <c r="C3802" s="0" t="s">
        <v>5393</v>
      </c>
      <c r="D3802" s="0" t="s">
        <v>5393</v>
      </c>
      <c r="E3802" s="0" t="inlineStr">
        <is>
          <t xml:space="preserve">Mazda</t>
        </is>
      </c>
      <c r="F3802" s="0" t="inlineStr">
        <is>
          <t xml:space="preserve">Mazda</t>
        </is>
      </c>
      <c r="G3802" s="0" t="s">
        <v>171</v>
      </c>
      <c r="H3802" s="5">
        <v>200.289200</v>
      </c>
    </row>
    <row r="3803" spans="1:9">
      <c r="A3803" s="22" t="str">
        <f>HYPERLINK("https://app.vivvix.com/360/KMI/IntelliDrive/ApplUI/Pages/CreativePages/CustomReportCreativeDetail.aspx?App=23&amp;ReportView=4&amp;Qid=1711279&amp;Row=3795&amp;Col=1","No Title Assigned - #15268636531")</f>
        <v/>
      </c>
      <c r="B3803" s="0" t="s">
        <v>5394</v>
      </c>
      <c r="E3803" s="0" t="inlineStr">
        <is>
          <t xml:space="preserve">Mazda</t>
        </is>
      </c>
      <c r="F3803" s="0" t="inlineStr">
        <is>
          <t xml:space="preserve">Mazda</t>
        </is>
      </c>
      <c r="G3803" s="0" t="s">
        <v>171</v>
      </c>
      <c r="H3803" s="5">
        <v>10515.385700</v>
      </c>
    </row>
    <row r="3804" spans="1:9">
      <c r="A3804" s="22" t="str">
        <f>HYPERLINK("https://app.vivvix.com/360/KMI/IntelliDrive/ApplUI/Pages/CreativePages/CustomReportCreativeDetail.aspx?App=23&amp;ReportView=4&amp;Qid=1711279&amp;Row=3796&amp;Col=1","No Title Assigned - #15268636594")</f>
        <v/>
      </c>
      <c r="B3804" s="0" t="s">
        <v>5395</v>
      </c>
      <c r="E3804" s="0" t="inlineStr">
        <is>
          <t xml:space="preserve">Mazda</t>
        </is>
      </c>
      <c r="F3804" s="0" t="inlineStr">
        <is>
          <t xml:space="preserve">Mazda</t>
        </is>
      </c>
      <c r="G3804" s="0" t="s">
        <v>171</v>
      </c>
      <c r="H3804" s="5">
        <v>53.619200</v>
      </c>
    </row>
    <row r="3805" spans="1:9">
      <c r="A3805" s="22" t="str">
        <f>HYPERLINK("https://app.vivvix.com/360/KMI/IntelliDrive/ApplUI/Pages/CreativePages/CustomReportCreativeDetail.aspx?App=23&amp;ReportView=4&amp;Qid=1711279&amp;Row=3797&amp;Col=1","No Title Assigned - #15268636634")</f>
        <v/>
      </c>
      <c r="B3805" s="0" t="s">
        <v>5396</v>
      </c>
      <c r="E3805" s="0" t="inlineStr">
        <is>
          <t xml:space="preserve">Mazda</t>
        </is>
      </c>
      <c r="F3805" s="0" t="inlineStr">
        <is>
          <t xml:space="preserve">Mazda</t>
        </is>
      </c>
      <c r="G3805" s="0" t="s">
        <v>171</v>
      </c>
      <c r="H3805" s="5">
        <v>25.086400</v>
      </c>
    </row>
    <row r="3806" spans="1:9">
      <c r="A3806" s="22" t="str">
        <f>HYPERLINK("https://app.vivvix.com/360/KMI/IntelliDrive/ApplUI/Pages/CreativePages/CustomReportCreativeDetail.aspx?App=23&amp;ReportView=4&amp;Qid=1711279&amp;Row=3798&amp;Col=1","No Title Assigned - #15268637014")</f>
        <v/>
      </c>
      <c r="B3806" s="0" t="s">
        <v>5397</v>
      </c>
      <c r="C3806" s="0" t="s">
        <v>5398</v>
      </c>
      <c r="D3806" s="0" t="s">
        <v>5398</v>
      </c>
      <c r="E3806" s="0" t="inlineStr">
        <is>
          <t xml:space="preserve">Mazda</t>
        </is>
      </c>
      <c r="F3806" s="0" t="inlineStr">
        <is>
          <t xml:space="preserve">Mazda</t>
        </is>
      </c>
      <c r="G3806" s="0" t="s">
        <v>171</v>
      </c>
      <c r="H3806" s="5">
        <v>22.303400</v>
      </c>
    </row>
    <row r="3807" spans="1:9">
      <c r="A3807" s="22" t="str">
        <f>HYPERLINK("https://app.vivvix.com/360/KMI/IntelliDrive/ApplUI/Pages/CreativePages/CustomReportCreativeDetail.aspx?App=23&amp;ReportView=4&amp;Qid=1711279&amp;Row=3799&amp;Col=1","No Title Assigned - #15268637220")</f>
        <v/>
      </c>
      <c r="B3807" s="0" t="s">
        <v>5399</v>
      </c>
      <c r="E3807" s="0" t="inlineStr">
        <is>
          <t xml:space="preserve">Mazda</t>
        </is>
      </c>
      <c r="F3807" s="0" t="inlineStr">
        <is>
          <t xml:space="preserve">Mazda</t>
        </is>
      </c>
      <c r="G3807" s="0" t="s">
        <v>171</v>
      </c>
      <c r="H3807" s="5">
        <v>54.831400</v>
      </c>
    </row>
    <row r="3808" spans="1:9">
      <c r="A3808" s="22" t="str">
        <f>HYPERLINK("https://app.vivvix.com/360/KMI/IntelliDrive/ApplUI/Pages/CreativePages/CustomReportCreativeDetail.aspx?App=23&amp;ReportView=4&amp;Qid=1711279&amp;Row=3800&amp;Col=1","No Title Assigned - #15268637250")</f>
        <v/>
      </c>
      <c r="B3808" s="0" t="s">
        <v>5400</v>
      </c>
      <c r="E3808" s="0" t="inlineStr">
        <is>
          <t xml:space="preserve">Mazda</t>
        </is>
      </c>
      <c r="F3808" s="0" t="inlineStr">
        <is>
          <t xml:space="preserve">Mazda</t>
        </is>
      </c>
      <c r="G3808" s="0" t="s">
        <v>171</v>
      </c>
      <c r="H3808" s="5">
        <v>7100.768800</v>
      </c>
    </row>
    <row r="3809" spans="1:9">
      <c r="A3809" s="22" t="str">
        <f>HYPERLINK("https://app.vivvix.com/360/KMI/IntelliDrive/ApplUI/Pages/CreativePages/CustomReportCreativeDetail.aspx?App=23&amp;ReportView=4&amp;Qid=1711279&amp;Row=3801&amp;Col=1","No Title Assigned - #15268637419")</f>
        <v/>
      </c>
      <c r="B3809" s="0" t="s">
        <v>5401</v>
      </c>
      <c r="E3809" s="0" t="inlineStr">
        <is>
          <t xml:space="preserve">Mazda</t>
        </is>
      </c>
      <c r="F3809" s="0" t="inlineStr">
        <is>
          <t xml:space="preserve">Mazda</t>
        </is>
      </c>
      <c r="G3809" s="0" t="s">
        <v>171</v>
      </c>
      <c r="H3809" s="5">
        <v>124.141600</v>
      </c>
    </row>
    <row r="3810" spans="1:9">
      <c r="A3810" s="22" t="str">
        <f>HYPERLINK("https://app.vivvix.com/360/KMI/IntelliDrive/ApplUI/Pages/CreativePages/CustomReportCreativeDetail.aspx?App=23&amp;ReportView=4&amp;Qid=1711279&amp;Row=3802&amp;Col=1","No Title Assigned - #15268637978")</f>
        <v/>
      </c>
      <c r="B3810" s="0" t="s">
        <v>5402</v>
      </c>
      <c r="E3810" s="0" t="inlineStr">
        <is>
          <t xml:space="preserve">Mazda</t>
        </is>
      </c>
      <c r="F3810" s="0" t="inlineStr">
        <is>
          <t xml:space="preserve">Mazda</t>
        </is>
      </c>
      <c r="G3810" s="0" t="s">
        <v>171</v>
      </c>
      <c r="H3810" s="5">
        <v>450.365000</v>
      </c>
    </row>
    <row r="3811" spans="1:9">
      <c r="A3811" s="22" t="str">
        <f>HYPERLINK("https://app.vivvix.com/360/KMI/IntelliDrive/ApplUI/Pages/CreativePages/CustomReportCreativeDetail.aspx?App=23&amp;ReportView=4&amp;Qid=1711279&amp;Row=3803&amp;Col=1","No Title Assigned - #15268637978")</f>
        <v/>
      </c>
      <c r="B3811" s="0" t="s">
        <v>5402</v>
      </c>
      <c r="E3811" s="0" t="inlineStr">
        <is>
          <t xml:space="preserve">Mazda</t>
        </is>
      </c>
      <c r="F3811" s="0" t="inlineStr">
        <is>
          <t xml:space="preserve">Mazda</t>
        </is>
      </c>
      <c r="G3811" s="0" t="s">
        <v>171</v>
      </c>
      <c r="H3811" s="5">
        <v>2216.998400</v>
      </c>
    </row>
    <row r="3812" spans="1:9">
      <c r="A3812" s="22" t="str">
        <f>HYPERLINK("https://app.vivvix.com/360/KMI/IntelliDrive/ApplUI/Pages/CreativePages/CustomReportCreativeDetail.aspx?App=23&amp;ReportView=4&amp;Qid=1711279&amp;Row=3804&amp;Col=1","No Title Assigned - #15268638171")</f>
        <v/>
      </c>
      <c r="B3812" s="0" t="s">
        <v>5403</v>
      </c>
      <c r="E3812" s="0" t="inlineStr">
        <is>
          <t xml:space="preserve">Mazda</t>
        </is>
      </c>
      <c r="F3812" s="0" t="inlineStr">
        <is>
          <t xml:space="preserve">Mazda</t>
        </is>
      </c>
      <c r="G3812" s="0" t="s">
        <v>171</v>
      </c>
      <c r="H3812" s="5">
        <v>27619.269500</v>
      </c>
    </row>
    <row r="3813" spans="1:9">
      <c r="A3813" s="22" t="str">
        <f>HYPERLINK("https://app.vivvix.com/360/KMI/IntelliDrive/ApplUI/Pages/CreativePages/CustomReportCreativeDetail.aspx?App=23&amp;ReportView=4&amp;Qid=1711279&amp;Row=3805&amp;Col=1","No Title Assigned - #15268638438")</f>
        <v/>
      </c>
      <c r="B3813" s="0" t="s">
        <v>5404</v>
      </c>
      <c r="E3813" s="0" t="inlineStr">
        <is>
          <t xml:space="preserve">Mazda</t>
        </is>
      </c>
      <c r="F3813" s="0" t="inlineStr">
        <is>
          <t xml:space="preserve">Mazda</t>
        </is>
      </c>
      <c r="G3813" s="0" t="s">
        <v>171</v>
      </c>
      <c r="H3813" s="5">
        <v>3.241700</v>
      </c>
    </row>
    <row r="3814" spans="1:9">
      <c r="A3814" s="22" t="str">
        <f>HYPERLINK("https://app.vivvix.com/360/KMI/IntelliDrive/ApplUI/Pages/CreativePages/CustomReportCreativeDetail.aspx?App=23&amp;ReportView=4&amp;Qid=1711279&amp;Row=3806&amp;Col=1","No Title Assigned - #15268638607")</f>
        <v/>
      </c>
      <c r="B3814" s="0" t="s">
        <v>5405</v>
      </c>
      <c r="C3814" s="0" t="s">
        <v>5406</v>
      </c>
      <c r="D3814" s="0" t="s">
        <v>5406</v>
      </c>
      <c r="E3814" s="0" t="inlineStr">
        <is>
          <t xml:space="preserve">Mazda</t>
        </is>
      </c>
      <c r="F3814" s="0" t="inlineStr">
        <is>
          <t xml:space="preserve">Mazda</t>
        </is>
      </c>
      <c r="G3814" s="0" t="s">
        <v>171</v>
      </c>
      <c r="H3814" s="5">
        <v>302.935500</v>
      </c>
    </row>
    <row r="3815" spans="1:9">
      <c r="A3815" s="22" t="str">
        <f>HYPERLINK("https://app.vivvix.com/360/KMI/IntelliDrive/ApplUI/Pages/CreativePages/CustomReportCreativeDetail.aspx?App=23&amp;ReportView=4&amp;Qid=1711279&amp;Row=3807&amp;Col=1","No Title Assigned - #15268638994")</f>
        <v/>
      </c>
      <c r="B3815" s="0" t="s">
        <v>5407</v>
      </c>
      <c r="E3815" s="0" t="inlineStr">
        <is>
          <t xml:space="preserve">Mazda</t>
        </is>
      </c>
      <c r="F3815" s="0" t="inlineStr">
        <is>
          <t xml:space="preserve">Mazda</t>
        </is>
      </c>
      <c r="G3815" s="0" t="s">
        <v>171</v>
      </c>
      <c r="H3815" s="5">
        <v>9.793900</v>
      </c>
    </row>
    <row r="3816" spans="1:9">
      <c r="A3816" s="22" t="str">
        <f>HYPERLINK("https://app.vivvix.com/360/KMI/IntelliDrive/ApplUI/Pages/CreativePages/CustomReportCreativeDetail.aspx?App=23&amp;ReportView=4&amp;Qid=1711279&amp;Row=3808&amp;Col=1","No Title Assigned - #15268639471")</f>
        <v/>
      </c>
      <c r="B3816" s="0" t="s">
        <v>5408</v>
      </c>
      <c r="E3816" s="0" t="inlineStr">
        <is>
          <t xml:space="preserve">Mazda</t>
        </is>
      </c>
      <c r="F3816" s="0" t="inlineStr">
        <is>
          <t xml:space="preserve">Mazda</t>
        </is>
      </c>
      <c r="G3816" s="0" t="s">
        <v>171</v>
      </c>
      <c r="H3816" s="5">
        <v>121.746200</v>
      </c>
    </row>
    <row r="3817" spans="1:9">
      <c r="A3817" s="22" t="str">
        <f>HYPERLINK("https://app.vivvix.com/360/KMI/IntelliDrive/ApplUI/Pages/CreativePages/CustomReportCreativeDetail.aspx?App=23&amp;ReportView=4&amp;Qid=1711279&amp;Row=3809&amp;Col=1","No Title Assigned - #15268639478")</f>
        <v/>
      </c>
      <c r="B3817" s="0" t="s">
        <v>5409</v>
      </c>
      <c r="E3817" s="0" t="inlineStr">
        <is>
          <t xml:space="preserve">Mazda</t>
        </is>
      </c>
      <c r="F3817" s="0" t="inlineStr">
        <is>
          <t xml:space="preserve">Mazda</t>
        </is>
      </c>
      <c r="G3817" s="0" t="s">
        <v>171</v>
      </c>
      <c r="H3817" s="5">
        <v>444.360300</v>
      </c>
    </row>
    <row r="3818" spans="1:9">
      <c r="A3818" s="22" t="str">
        <f>HYPERLINK("https://app.vivvix.com/360/KMI/IntelliDrive/ApplUI/Pages/CreativePages/CustomReportCreativeDetail.aspx?App=23&amp;ReportView=4&amp;Qid=1711279&amp;Row=3810&amp;Col=1","No Title Assigned - #15268640104")</f>
        <v/>
      </c>
      <c r="B3818" s="0" t="s">
        <v>5410</v>
      </c>
      <c r="E3818" s="0" t="inlineStr">
        <is>
          <t xml:space="preserve">Mazda</t>
        </is>
      </c>
      <c r="F3818" s="0" t="inlineStr">
        <is>
          <t xml:space="preserve">Mazda</t>
        </is>
      </c>
      <c r="G3818" s="0" t="s">
        <v>171</v>
      </c>
      <c r="H3818" s="5">
        <v>47.620900</v>
      </c>
    </row>
    <row r="3819" spans="1:9">
      <c r="A3819" s="22" t="str">
        <f>HYPERLINK("https://app.vivvix.com/360/KMI/IntelliDrive/ApplUI/Pages/CreativePages/CustomReportCreativeDetail.aspx?App=23&amp;ReportView=4&amp;Qid=1711279&amp;Row=3811&amp;Col=1","No Title Assigned - #15268640728")</f>
        <v/>
      </c>
      <c r="B3819" s="0" t="s">
        <v>5411</v>
      </c>
      <c r="E3819" s="0" t="inlineStr">
        <is>
          <t xml:space="preserve">Mazda</t>
        </is>
      </c>
      <c r="F3819" s="0" t="inlineStr">
        <is>
          <t xml:space="preserve">Mazda</t>
        </is>
      </c>
      <c r="G3819" s="0" t="s">
        <v>171</v>
      </c>
      <c r="H3819" s="5">
        <v>28.075300</v>
      </c>
    </row>
    <row r="3820" spans="1:9">
      <c r="A3820" s="22" t="str">
        <f>HYPERLINK("https://app.vivvix.com/360/KMI/IntelliDrive/ApplUI/Pages/CreativePages/CustomReportCreativeDetail.aspx?App=23&amp;ReportView=4&amp;Qid=1711279&amp;Row=3812&amp;Col=1","No Title Assigned - #15268641185")</f>
        <v/>
      </c>
      <c r="B3820" s="0" t="s">
        <v>5412</v>
      </c>
      <c r="E3820" s="0" t="inlineStr">
        <is>
          <t xml:space="preserve">Mazda</t>
        </is>
      </c>
      <c r="F3820" s="0" t="inlineStr">
        <is>
          <t xml:space="preserve">Mazda</t>
        </is>
      </c>
      <c r="G3820" s="0" t="s">
        <v>171</v>
      </c>
      <c r="H3820" s="5">
        <v>76.273000</v>
      </c>
    </row>
    <row r="3821" spans="1:9">
      <c r="A3821" s="22" t="str">
        <f>HYPERLINK("https://app.vivvix.com/360/KMI/IntelliDrive/ApplUI/Pages/CreativePages/CustomReportCreativeDetail.aspx?App=23&amp;ReportView=4&amp;Qid=1711279&amp;Row=3813&amp;Col=1","No Title Assigned - #15268641260")</f>
        <v/>
      </c>
      <c r="B3821" s="0" t="s">
        <v>5413</v>
      </c>
      <c r="C3821" s="0" t="s">
        <v>5414</v>
      </c>
      <c r="D3821" s="0" t="s">
        <v>5414</v>
      </c>
      <c r="E3821" s="0" t="inlineStr">
        <is>
          <t xml:space="preserve">Mazda</t>
        </is>
      </c>
      <c r="F3821" s="0" t="inlineStr">
        <is>
          <t xml:space="preserve">Mazda</t>
        </is>
      </c>
      <c r="G3821" s="0" t="s">
        <v>171</v>
      </c>
      <c r="H3821" s="5">
        <v>666.616400</v>
      </c>
    </row>
    <row r="3822" spans="1:9">
      <c r="A3822" s="22" t="str">
        <f>HYPERLINK("https://app.vivvix.com/360/KMI/IntelliDrive/ApplUI/Pages/CreativePages/CustomReportCreativeDetail.aspx?App=23&amp;ReportView=4&amp;Qid=1711279&amp;Row=3814&amp;Col=1","No Title Assigned - #15268641260")</f>
        <v/>
      </c>
      <c r="B3822" s="0" t="s">
        <v>5413</v>
      </c>
      <c r="E3822" s="0" t="inlineStr">
        <is>
          <t xml:space="preserve">Mazda</t>
        </is>
      </c>
      <c r="F3822" s="0" t="inlineStr">
        <is>
          <t xml:space="preserve">Mazda</t>
        </is>
      </c>
      <c r="G3822" s="0" t="s">
        <v>171</v>
      </c>
      <c r="H3822" s="5">
        <v>2652.667000</v>
      </c>
    </row>
    <row r="3823" spans="1:9">
      <c r="A3823" s="22" t="str">
        <f>HYPERLINK("https://app.vivvix.com/360/KMI/IntelliDrive/ApplUI/Pages/CreativePages/CustomReportCreativeDetail.aspx?App=23&amp;ReportView=4&amp;Qid=1711279&amp;Row=3815&amp;Col=1","No Title Assigned - #15268641365")</f>
        <v/>
      </c>
      <c r="B3823" s="0" t="s">
        <v>5415</v>
      </c>
      <c r="E3823" s="0" t="inlineStr">
        <is>
          <t xml:space="preserve">Mazda</t>
        </is>
      </c>
      <c r="F3823" s="0" t="inlineStr">
        <is>
          <t xml:space="preserve">Mazda</t>
        </is>
      </c>
      <c r="G3823" s="0" t="s">
        <v>171</v>
      </c>
      <c r="H3823" s="5">
        <v>20.274200</v>
      </c>
    </row>
    <row r="3824" spans="1:9">
      <c r="A3824" s="22" t="str">
        <f>HYPERLINK("https://app.vivvix.com/360/KMI/IntelliDrive/ApplUI/Pages/CreativePages/CustomReportCreativeDetail.aspx?App=23&amp;ReportView=4&amp;Qid=1711279&amp;Row=3816&amp;Col=1","No Title Assigned - #15268641367")</f>
        <v/>
      </c>
      <c r="B3824" s="0" t="s">
        <v>5416</v>
      </c>
      <c r="E3824" s="0" t="inlineStr">
        <is>
          <t xml:space="preserve">Mazda</t>
        </is>
      </c>
      <c r="F3824" s="0" t="inlineStr">
        <is>
          <t xml:space="preserve">Mazda</t>
        </is>
      </c>
      <c r="G3824" s="0" t="s">
        <v>171</v>
      </c>
      <c r="H3824" s="5">
        <v>20.274200</v>
      </c>
    </row>
    <row r="3825" spans="1:9">
      <c r="A3825" s="22" t="str">
        <f>HYPERLINK("https://app.vivvix.com/360/KMI/IntelliDrive/ApplUI/Pages/CreativePages/CustomReportCreativeDetail.aspx?App=23&amp;ReportView=4&amp;Qid=1711279&amp;Row=3817&amp;Col=1","No Title Assigned - #15268641544")</f>
        <v/>
      </c>
      <c r="B3825" s="0" t="s">
        <v>5417</v>
      </c>
      <c r="E3825" s="0" t="inlineStr">
        <is>
          <t xml:space="preserve">Mazda</t>
        </is>
      </c>
      <c r="F3825" s="0" t="inlineStr">
        <is>
          <t xml:space="preserve">Mazda</t>
        </is>
      </c>
      <c r="G3825" s="0" t="s">
        <v>171</v>
      </c>
      <c r="H3825" s="5">
        <v>144.453900</v>
      </c>
    </row>
    <row r="3826" spans="1:9">
      <c r="A3826" s="22" t="str">
        <f>HYPERLINK("https://app.vivvix.com/360/KMI/IntelliDrive/ApplUI/Pages/CreativePages/CustomReportCreativeDetail.aspx?App=23&amp;ReportView=4&amp;Qid=1711279&amp;Row=3818&amp;Col=1","No Title Assigned - #15268641618")</f>
        <v/>
      </c>
      <c r="B3826" s="0" t="s">
        <v>5418</v>
      </c>
      <c r="E3826" s="0" t="inlineStr">
        <is>
          <t xml:space="preserve">Mazda</t>
        </is>
      </c>
      <c r="F3826" s="0" t="inlineStr">
        <is>
          <t xml:space="preserve">Mazda</t>
        </is>
      </c>
      <c r="G3826" s="0" t="s">
        <v>171</v>
      </c>
      <c r="H3826" s="5">
        <v>135.794400</v>
      </c>
    </row>
    <row r="3827" spans="1:9">
      <c r="A3827" s="22" t="str">
        <f>HYPERLINK("https://app.vivvix.com/360/KMI/IntelliDrive/ApplUI/Pages/CreativePages/CustomReportCreativeDetail.aspx?App=23&amp;ReportView=4&amp;Qid=1711279&amp;Row=3819&amp;Col=1","No Title Assigned - #15268641774")</f>
        <v/>
      </c>
      <c r="B3827" s="0" t="s">
        <v>5419</v>
      </c>
      <c r="C3827" s="0" t="s">
        <v>5420</v>
      </c>
      <c r="D3827" s="0" t="s">
        <v>5420</v>
      </c>
      <c r="E3827" s="0" t="inlineStr">
        <is>
          <t xml:space="preserve">Mazda</t>
        </is>
      </c>
      <c r="F3827" s="0" t="s">
        <v>13</v>
      </c>
      <c r="G3827" s="0" t="s">
        <v>49</v>
      </c>
      <c r="H3827" s="5">
        <v>134.242000</v>
      </c>
    </row>
    <row r="3828" spans="1:9">
      <c r="A3828" s="22" t="str">
        <f>HYPERLINK("https://app.vivvix.com/360/KMI/IntelliDrive/ApplUI/Pages/CreativePages/CustomReportCreativeDetail.aspx?App=23&amp;ReportView=4&amp;Qid=1711279&amp;Row=3820&amp;Col=1","No Title Assigned - #15268641839")</f>
        <v/>
      </c>
      <c r="B3828" s="0" t="s">
        <v>5421</v>
      </c>
      <c r="E3828" s="0" t="inlineStr">
        <is>
          <t xml:space="preserve">Mazda</t>
        </is>
      </c>
      <c r="F3828" s="0" t="inlineStr">
        <is>
          <t xml:space="preserve">Mazda</t>
        </is>
      </c>
      <c r="G3828" s="0" t="s">
        <v>171</v>
      </c>
      <c r="H3828" s="5">
        <v>78.102800</v>
      </c>
    </row>
    <row r="3829" spans="1:9">
      <c r="A3829" s="22" t="str">
        <f>HYPERLINK("https://app.vivvix.com/360/KMI/IntelliDrive/ApplUI/Pages/CreativePages/CustomReportCreativeDetail.aspx?App=23&amp;ReportView=4&amp;Qid=1711279&amp;Row=3821&amp;Col=1","No Title Assigned - #15268641859")</f>
        <v/>
      </c>
      <c r="B3829" s="0" t="s">
        <v>5422</v>
      </c>
      <c r="E3829" s="0" t="inlineStr">
        <is>
          <t xml:space="preserve">Mazda</t>
        </is>
      </c>
      <c r="F3829" s="0" t="inlineStr">
        <is>
          <t xml:space="preserve">Mazda</t>
        </is>
      </c>
      <c r="G3829" s="0" t="s">
        <v>171</v>
      </c>
      <c r="H3829" s="5">
        <v>236.348300</v>
      </c>
    </row>
    <row r="3830" spans="1:9">
      <c r="A3830" s="22" t="str">
        <f>HYPERLINK("https://app.vivvix.com/360/KMI/IntelliDrive/ApplUI/Pages/CreativePages/CustomReportCreativeDetail.aspx?App=23&amp;ReportView=4&amp;Qid=1711279&amp;Row=3822&amp;Col=1","No Title Assigned - #15268641982")</f>
        <v/>
      </c>
      <c r="B3830" s="0" t="s">
        <v>5423</v>
      </c>
      <c r="E3830" s="0" t="inlineStr">
        <is>
          <t xml:space="preserve">Mazda</t>
        </is>
      </c>
      <c r="F3830" s="0" t="inlineStr">
        <is>
          <t xml:space="preserve">Mazda</t>
        </is>
      </c>
      <c r="G3830" s="0" t="s">
        <v>171</v>
      </c>
      <c r="H3830" s="5">
        <v>269.954500</v>
      </c>
    </row>
    <row r="3831" spans="1:9">
      <c r="A3831" s="22" t="str">
        <f>HYPERLINK("https://app.vivvix.com/360/KMI/IntelliDrive/ApplUI/Pages/CreativePages/CustomReportCreativeDetail.aspx?App=23&amp;ReportView=4&amp;Qid=1711279&amp;Row=3823&amp;Col=1","No Title Assigned - #15268642388")</f>
        <v/>
      </c>
      <c r="B3831" s="0" t="s">
        <v>5424</v>
      </c>
      <c r="C3831" s="0" t="s">
        <v>5425</v>
      </c>
      <c r="D3831" s="0" t="s">
        <v>5425</v>
      </c>
      <c r="E3831" s="0" t="inlineStr">
        <is>
          <t xml:space="preserve">Mazda</t>
        </is>
      </c>
      <c r="F3831" s="0" t="inlineStr">
        <is>
          <t xml:space="preserve">Mazda</t>
        </is>
      </c>
      <c r="G3831" s="0" t="s">
        <v>171</v>
      </c>
      <c r="H3831" s="5">
        <v>42.609400</v>
      </c>
    </row>
    <row r="3832" spans="1:9">
      <c r="A3832" s="22" t="str">
        <f>HYPERLINK("https://app.vivvix.com/360/KMI/IntelliDrive/ApplUI/Pages/CreativePages/CustomReportCreativeDetail.aspx?App=23&amp;ReportView=4&amp;Qid=1711279&amp;Row=3824&amp;Col=1","No Title Assigned - #15268642388")</f>
        <v/>
      </c>
      <c r="B3832" s="0" t="s">
        <v>5424</v>
      </c>
      <c r="E3832" s="0" t="inlineStr">
        <is>
          <t xml:space="preserve">Mazda</t>
        </is>
      </c>
      <c r="F3832" s="0" t="inlineStr">
        <is>
          <t xml:space="preserve">Mazda</t>
        </is>
      </c>
      <c r="G3832" s="0" t="s">
        <v>171</v>
      </c>
      <c r="H3832" s="5">
        <v>554.249600</v>
      </c>
    </row>
    <row r="3833" spans="1:9">
      <c r="A3833" s="22" t="str">
        <f>HYPERLINK("https://app.vivvix.com/360/KMI/IntelliDrive/ApplUI/Pages/CreativePages/CustomReportCreativeDetail.aspx?App=23&amp;ReportView=4&amp;Qid=1711279&amp;Row=3825&amp;Col=1","No Title Assigned - #15268642426")</f>
        <v/>
      </c>
      <c r="B3833" s="0" t="s">
        <v>5426</v>
      </c>
      <c r="E3833" s="0" t="inlineStr">
        <is>
          <t xml:space="preserve">Mazda</t>
        </is>
      </c>
      <c r="F3833" s="0" t="inlineStr">
        <is>
          <t xml:space="preserve">Mazda</t>
        </is>
      </c>
      <c r="G3833" s="0" t="s">
        <v>171</v>
      </c>
      <c r="H3833" s="5">
        <v>728.738400</v>
      </c>
    </row>
    <row r="3834" spans="1:9">
      <c r="A3834" s="22" t="str">
        <f>HYPERLINK("https://app.vivvix.com/360/KMI/IntelliDrive/ApplUI/Pages/CreativePages/CustomReportCreativeDetail.aspx?App=23&amp;ReportView=4&amp;Qid=1711279&amp;Row=3826&amp;Col=1","No Title Assigned - #15268642447")</f>
        <v/>
      </c>
      <c r="B3834" s="0" t="s">
        <v>5427</v>
      </c>
      <c r="E3834" s="0" t="inlineStr">
        <is>
          <t xml:space="preserve">Mazda</t>
        </is>
      </c>
      <c r="F3834" s="0" t="inlineStr">
        <is>
          <t xml:space="preserve">Mazda</t>
        </is>
      </c>
      <c r="G3834" s="0" t="s">
        <v>171</v>
      </c>
      <c r="H3834" s="5">
        <v>91.260400</v>
      </c>
    </row>
    <row r="3835" spans="1:9">
      <c r="A3835" s="22" t="str">
        <f>HYPERLINK("https://app.vivvix.com/360/KMI/IntelliDrive/ApplUI/Pages/CreativePages/CustomReportCreativeDetail.aspx?App=23&amp;ReportView=4&amp;Qid=1711279&amp;Row=3827&amp;Col=1","No Title Assigned - #15268642755")</f>
        <v/>
      </c>
      <c r="B3835" s="0" t="s">
        <v>5428</v>
      </c>
      <c r="E3835" s="0" t="inlineStr">
        <is>
          <t xml:space="preserve">Mazda</t>
        </is>
      </c>
      <c r="F3835" s="0" t="inlineStr">
        <is>
          <t xml:space="preserve">Mazda</t>
        </is>
      </c>
      <c r="G3835" s="0" t="s">
        <v>171</v>
      </c>
      <c r="H3835" s="5">
        <v>186.891300</v>
      </c>
    </row>
    <row r="3836" spans="1:9">
      <c r="A3836" s="22" t="str">
        <f>HYPERLINK("https://app.vivvix.com/360/KMI/IntelliDrive/ApplUI/Pages/CreativePages/CustomReportCreativeDetail.aspx?App=23&amp;ReportView=4&amp;Qid=1711279&amp;Row=3828&amp;Col=1","No Title Assigned - #15268643193")</f>
        <v/>
      </c>
      <c r="B3836" s="0" t="s">
        <v>5429</v>
      </c>
      <c r="E3836" s="0" t="inlineStr">
        <is>
          <t xml:space="preserve">Mazda</t>
        </is>
      </c>
      <c r="F3836" s="0" t="inlineStr">
        <is>
          <t xml:space="preserve">Mazda</t>
        </is>
      </c>
      <c r="G3836" s="0" t="s">
        <v>171</v>
      </c>
      <c r="H3836" s="5">
        <v>18.993800</v>
      </c>
    </row>
    <row r="3837" spans="1:9">
      <c r="A3837" s="22" t="str">
        <f>HYPERLINK("https://app.vivvix.com/360/KMI/IntelliDrive/ApplUI/Pages/CreativePages/CustomReportCreativeDetail.aspx?App=23&amp;ReportView=4&amp;Qid=1711279&amp;Row=3829&amp;Col=1","No Title Assigned - #15268643588")</f>
        <v/>
      </c>
      <c r="B3837" s="0" t="s">
        <v>5430</v>
      </c>
      <c r="E3837" s="0" t="inlineStr">
        <is>
          <t xml:space="preserve">Mazda</t>
        </is>
      </c>
      <c r="F3837" s="0" t="inlineStr">
        <is>
          <t xml:space="preserve">Mazda</t>
        </is>
      </c>
      <c r="G3837" s="0" t="s">
        <v>171</v>
      </c>
      <c r="H3837" s="5">
        <v>575.505300</v>
      </c>
    </row>
    <row r="3838" spans="1:9">
      <c r="A3838" s="22" t="str">
        <f>HYPERLINK("https://app.vivvix.com/360/KMI/IntelliDrive/ApplUI/Pages/CreativePages/CustomReportCreativeDetail.aspx?App=23&amp;ReportView=4&amp;Qid=1711279&amp;Row=3830&amp;Col=1","No Title Assigned - #15268643762")</f>
        <v/>
      </c>
      <c r="B3838" s="0" t="s">
        <v>5431</v>
      </c>
      <c r="E3838" s="0" t="inlineStr">
        <is>
          <t xml:space="preserve">Mazda</t>
        </is>
      </c>
      <c r="F3838" s="0" t="inlineStr">
        <is>
          <t xml:space="preserve">Mazda</t>
        </is>
      </c>
      <c r="G3838" s="0" t="s">
        <v>171</v>
      </c>
      <c r="H3838" s="5">
        <v>12.390600</v>
      </c>
    </row>
    <row r="3839" spans="1:9">
      <c r="A3839" s="22" t="str">
        <f>HYPERLINK("https://app.vivvix.com/360/KMI/IntelliDrive/ApplUI/Pages/CreativePages/CustomReportCreativeDetail.aspx?App=23&amp;ReportView=4&amp;Qid=1711279&amp;Row=3831&amp;Col=1","No Title Assigned - #15268645509")</f>
        <v/>
      </c>
      <c r="B3839" s="0" t="s">
        <v>5432</v>
      </c>
      <c r="C3839" s="0" t="s">
        <v>5433</v>
      </c>
      <c r="D3839" s="0" t="s">
        <v>5434</v>
      </c>
      <c r="E3839" s="0" t="inlineStr">
        <is>
          <t xml:space="preserve">Mazda</t>
        </is>
      </c>
      <c r="F3839" s="0" t="s">
        <v>28</v>
      </c>
      <c r="G3839" s="0" t="s">
        <v>29</v>
      </c>
      <c r="H3839" s="5">
        <v>7865.419100</v>
      </c>
    </row>
    <row r="3840" spans="1:9">
      <c r="A3840" s="22" t="str">
        <f>HYPERLINK("https://app.vivvix.com/360/KMI/IntelliDrive/ApplUI/Pages/CreativePages/CustomReportCreativeDetail.aspx?App=23&amp;ReportView=4&amp;Qid=1711279&amp;Row=3832&amp;Col=1","No Title Assigned - #15268645706")</f>
        <v/>
      </c>
      <c r="B3840" s="0" t="s">
        <v>5435</v>
      </c>
      <c r="C3840" s="0" t="s">
        <v>5436</v>
      </c>
      <c r="D3840" s="0" t="s">
        <v>4225</v>
      </c>
      <c r="E3840" s="0" t="inlineStr">
        <is>
          <t xml:space="preserve">Mazda</t>
        </is>
      </c>
      <c r="F3840" s="0" t="s">
        <v>28</v>
      </c>
      <c r="G3840" s="0" t="s">
        <v>29</v>
      </c>
      <c r="H3840" s="5">
        <v>82.168400</v>
      </c>
    </row>
    <row r="3841" spans="1:9">
      <c r="A3841" s="22" t="str">
        <f>HYPERLINK("https://app.vivvix.com/360/KMI/IntelliDrive/ApplUI/Pages/CreativePages/CustomReportCreativeDetail.aspx?App=23&amp;ReportView=4&amp;Qid=1711279&amp;Row=3833&amp;Col=1","No Title Assigned - #15268645942")</f>
        <v/>
      </c>
      <c r="B3841" s="0" t="s">
        <v>5437</v>
      </c>
      <c r="C3841" s="0" t="s">
        <v>5438</v>
      </c>
      <c r="D3841" s="0" t="s">
        <v>5438</v>
      </c>
      <c r="E3841" s="0" t="inlineStr">
        <is>
          <t xml:space="preserve">Mazda</t>
        </is>
      </c>
      <c r="F3841" s="0" t="s">
        <v>13</v>
      </c>
      <c r="G3841" s="0" t="s">
        <v>49</v>
      </c>
      <c r="H3841" s="5">
        <v>212.065100</v>
      </c>
    </row>
    <row r="3842" spans="1:9">
      <c r="A3842" s="22" t="str">
        <f>HYPERLINK("https://app.vivvix.com/360/KMI/IntelliDrive/ApplUI/Pages/CreativePages/CustomReportCreativeDetail.aspx?App=23&amp;ReportView=4&amp;Qid=1711279&amp;Row=3834&amp;Col=1","No Title Assigned - #15268645942")</f>
        <v/>
      </c>
      <c r="B3842" s="0" t="s">
        <v>5437</v>
      </c>
      <c r="E3842" s="0" t="inlineStr">
        <is>
          <t xml:space="preserve">Mazda</t>
        </is>
      </c>
      <c r="F3842" s="0" t="s">
        <v>13</v>
      </c>
      <c r="G3842" s="0" t="s">
        <v>49</v>
      </c>
      <c r="H3842" s="5">
        <v>113.215600</v>
      </c>
    </row>
    <row r="3843" spans="1:9">
      <c r="A3843" s="22" t="str">
        <f>HYPERLINK("https://app.vivvix.com/360/KMI/IntelliDrive/ApplUI/Pages/CreativePages/CustomReportCreativeDetail.aspx?App=23&amp;ReportView=4&amp;Qid=1711279&amp;Row=3835&amp;Col=1","No Title Assigned - #15268645966")</f>
        <v/>
      </c>
      <c r="B3843" s="0" t="s">
        <v>5439</v>
      </c>
      <c r="C3843" s="0" t="s">
        <v>5440</v>
      </c>
      <c r="D3843" s="0" t="s">
        <v>5229</v>
      </c>
      <c r="E3843" s="0" t="inlineStr">
        <is>
          <t xml:space="preserve">Mazda</t>
        </is>
      </c>
      <c r="F3843" s="0" t="s">
        <v>28</v>
      </c>
      <c r="G3843" s="0" t="s">
        <v>29</v>
      </c>
      <c r="H3843" s="5">
        <v>57.440500</v>
      </c>
    </row>
    <row r="3844" spans="1:9">
      <c r="A3844" s="22" t="str">
        <f>HYPERLINK("https://app.vivvix.com/360/KMI/IntelliDrive/ApplUI/Pages/CreativePages/CustomReportCreativeDetail.aspx?App=23&amp;ReportView=4&amp;Qid=1711279&amp;Row=3836&amp;Col=1","No Title Assigned - #15268646163")</f>
        <v/>
      </c>
      <c r="B3844" s="0" t="s">
        <v>5441</v>
      </c>
      <c r="E3844" s="0" t="inlineStr">
        <is>
          <t xml:space="preserve">Mazda</t>
        </is>
      </c>
      <c r="F3844" s="0" t="s">
        <v>13</v>
      </c>
      <c r="G3844" s="0" t="s">
        <v>49</v>
      </c>
      <c r="H3844" s="5">
        <v>791.131300</v>
      </c>
    </row>
    <row r="3845" spans="1:9">
      <c r="A3845" s="22" t="str">
        <f>HYPERLINK("https://app.vivvix.com/360/KMI/IntelliDrive/ApplUI/Pages/CreativePages/CustomReportCreativeDetail.aspx?App=23&amp;ReportView=4&amp;Qid=1711279&amp;Row=3837&amp;Col=1","No Title Assigned - #15268646163")</f>
        <v/>
      </c>
      <c r="B3845" s="0" t="s">
        <v>5441</v>
      </c>
      <c r="C3845" s="0" t="s">
        <v>5442</v>
      </c>
      <c r="D3845" s="0" t="s">
        <v>5442</v>
      </c>
      <c r="E3845" s="0" t="inlineStr">
        <is>
          <t xml:space="preserve">Mazda</t>
        </is>
      </c>
      <c r="F3845" s="0" t="s">
        <v>13</v>
      </c>
      <c r="G3845" s="0" t="s">
        <v>49</v>
      </c>
      <c r="H3845" s="5">
        <v>757.859000</v>
      </c>
    </row>
    <row r="3846" spans="1:9">
      <c r="A3846" s="22" t="str">
        <f>HYPERLINK("https://app.vivvix.com/360/KMI/IntelliDrive/ApplUI/Pages/CreativePages/CustomReportCreativeDetail.aspx?App=23&amp;ReportView=4&amp;Qid=1711279&amp;Row=3838&amp;Col=1","No Title Assigned - #15268646332")</f>
        <v/>
      </c>
      <c r="B3846" s="0" t="s">
        <v>5443</v>
      </c>
      <c r="C3846" s="0" t="s">
        <v>5444</v>
      </c>
      <c r="D3846" s="0" t="s">
        <v>5444</v>
      </c>
      <c r="E3846" s="0" t="inlineStr">
        <is>
          <t xml:space="preserve">Mazda</t>
        </is>
      </c>
      <c r="F3846" s="0" t="s">
        <v>28</v>
      </c>
      <c r="G3846" s="0" t="s">
        <v>29</v>
      </c>
      <c r="H3846" s="5">
        <v>41.298200</v>
      </c>
    </row>
    <row r="3847" spans="1:9">
      <c r="A3847" s="22" t="str">
        <f>HYPERLINK("https://app.vivvix.com/360/KMI/IntelliDrive/ApplUI/Pages/CreativePages/CustomReportCreativeDetail.aspx?App=23&amp;ReportView=4&amp;Qid=1711279&amp;Row=3839&amp;Col=1","No Title Assigned - #15268646368")</f>
        <v/>
      </c>
      <c r="B3847" s="0" t="s">
        <v>5445</v>
      </c>
      <c r="E3847" s="0" t="inlineStr">
        <is>
          <t xml:space="preserve">Mazda</t>
        </is>
      </c>
      <c r="F3847" s="0" t="inlineStr">
        <is>
          <t xml:space="preserve">Mazda</t>
        </is>
      </c>
      <c r="G3847" s="0" t="s">
        <v>171</v>
      </c>
      <c r="H3847" s="5">
        <v>933.177200</v>
      </c>
    </row>
    <row r="3848" spans="1:9">
      <c r="A3848" s="22" t="str">
        <f>HYPERLINK("https://app.vivvix.com/360/KMI/IntelliDrive/ApplUI/Pages/CreativePages/CustomReportCreativeDetail.aspx?App=23&amp;ReportView=4&amp;Qid=1711279&amp;Row=3840&amp;Col=1","No Title Assigned - #15268646536")</f>
        <v/>
      </c>
      <c r="B3848" s="0" t="s">
        <v>5446</v>
      </c>
      <c r="E3848" s="0" t="inlineStr">
        <is>
          <t xml:space="preserve">Mazda</t>
        </is>
      </c>
      <c r="F3848" s="0" t="inlineStr">
        <is>
          <t xml:space="preserve">Mazda</t>
        </is>
      </c>
      <c r="G3848" s="0" t="s">
        <v>171</v>
      </c>
      <c r="H3848" s="5">
        <v>103.373100</v>
      </c>
    </row>
    <row r="3849" spans="1:9">
      <c r="A3849" s="22" t="str">
        <f>HYPERLINK("https://app.vivvix.com/360/KMI/IntelliDrive/ApplUI/Pages/CreativePages/CustomReportCreativeDetail.aspx?App=23&amp;ReportView=4&amp;Qid=1711279&amp;Row=3841&amp;Col=1","No Title Assigned - #15268646536")</f>
        <v/>
      </c>
      <c r="B3849" s="0" t="s">
        <v>5446</v>
      </c>
      <c r="E3849" s="0" t="inlineStr">
        <is>
          <t xml:space="preserve">Mazda</t>
        </is>
      </c>
      <c r="F3849" s="0" t="inlineStr">
        <is>
          <t xml:space="preserve">Mazda</t>
        </is>
      </c>
      <c r="G3849" s="0" t="s">
        <v>171</v>
      </c>
      <c r="H3849" s="5">
        <v>10515.385700</v>
      </c>
    </row>
    <row r="3850" spans="1:9">
      <c r="A3850" s="22" t="str">
        <f>HYPERLINK("https://app.vivvix.com/360/KMI/IntelliDrive/ApplUI/Pages/CreativePages/CustomReportCreativeDetail.aspx?App=23&amp;ReportView=4&amp;Qid=1711279&amp;Row=3842&amp;Col=1","No Title Assigned - #15268646537")</f>
        <v/>
      </c>
      <c r="B3850" s="0" t="s">
        <v>5447</v>
      </c>
      <c r="E3850" s="0" t="inlineStr">
        <is>
          <t xml:space="preserve">Mazda</t>
        </is>
      </c>
      <c r="F3850" s="0" t="inlineStr">
        <is>
          <t xml:space="preserve">Mazda</t>
        </is>
      </c>
      <c r="G3850" s="0" t="s">
        <v>171</v>
      </c>
      <c r="H3850" s="5">
        <v>13.501200</v>
      </c>
    </row>
    <row r="3851" spans="1:9">
      <c r="A3851" s="22" t="str">
        <f>HYPERLINK("https://app.vivvix.com/360/KMI/IntelliDrive/ApplUI/Pages/CreativePages/CustomReportCreativeDetail.aspx?App=23&amp;ReportView=4&amp;Qid=1711279&amp;Row=3843&amp;Col=1","No Title Assigned - #15268646567")</f>
        <v/>
      </c>
      <c r="B3851" s="0" t="s">
        <v>5448</v>
      </c>
      <c r="C3851" s="0" t="s">
        <v>5449</v>
      </c>
      <c r="D3851" s="0" t="s">
        <v>5449</v>
      </c>
      <c r="E3851" s="0" t="inlineStr">
        <is>
          <t xml:space="preserve">Mazda</t>
        </is>
      </c>
      <c r="F3851" s="0" t="s">
        <v>28</v>
      </c>
      <c r="G3851" s="0" t="s">
        <v>29</v>
      </c>
      <c r="H3851" s="5">
        <v>9.131900</v>
      </c>
    </row>
    <row r="3852" spans="1:9">
      <c r="A3852" s="22" t="str">
        <f>HYPERLINK("https://app.vivvix.com/360/KMI/IntelliDrive/ApplUI/Pages/CreativePages/CustomReportCreativeDetail.aspx?App=23&amp;ReportView=4&amp;Qid=1711279&amp;Row=3844&amp;Col=1","No Title Assigned - #15268646601")</f>
        <v/>
      </c>
      <c r="B3852" s="0" t="s">
        <v>5450</v>
      </c>
      <c r="E3852" s="0" t="inlineStr">
        <is>
          <t xml:space="preserve">Mazda</t>
        </is>
      </c>
      <c r="F3852" s="0" t="inlineStr">
        <is>
          <t xml:space="preserve">Mazda</t>
        </is>
      </c>
      <c r="G3852" s="0" t="s">
        <v>171</v>
      </c>
      <c r="H3852" s="5">
        <v>14518.613900</v>
      </c>
    </row>
    <row r="3853" spans="1:9">
      <c r="A3853" s="22" t="str">
        <f>HYPERLINK("https://app.vivvix.com/360/KMI/IntelliDrive/ApplUI/Pages/CreativePages/CustomReportCreativeDetail.aspx?App=23&amp;ReportView=4&amp;Qid=1711279&amp;Row=3845&amp;Col=1","No Title Assigned - #15268646601")</f>
        <v/>
      </c>
      <c r="B3853" s="0" t="s">
        <v>5450</v>
      </c>
      <c r="C3853" s="0" t="s">
        <v>5451</v>
      </c>
      <c r="D3853" s="0" t="s">
        <v>5451</v>
      </c>
      <c r="E3853" s="0" t="inlineStr">
        <is>
          <t xml:space="preserve">Mazda</t>
        </is>
      </c>
      <c r="F3853" s="0" t="inlineStr">
        <is>
          <t xml:space="preserve">Mazda</t>
        </is>
      </c>
      <c r="G3853" s="0" t="s">
        <v>171</v>
      </c>
      <c r="H3853" s="5">
        <v>1967.386000</v>
      </c>
    </row>
    <row r="3854" spans="1:9">
      <c r="A3854" s="22" t="str">
        <f>HYPERLINK("https://app.vivvix.com/360/KMI/IntelliDrive/ApplUI/Pages/CreativePages/CustomReportCreativeDetail.aspx?App=23&amp;ReportView=4&amp;Qid=1711279&amp;Row=3846&amp;Col=1","No Title Assigned - #15268646690")</f>
        <v/>
      </c>
      <c r="B3854" s="0" t="s">
        <v>5452</v>
      </c>
      <c r="E3854" s="0" t="inlineStr">
        <is>
          <t xml:space="preserve">Mazda</t>
        </is>
      </c>
      <c r="F3854" s="0" t="inlineStr">
        <is>
          <t xml:space="preserve">Mazda</t>
        </is>
      </c>
      <c r="G3854" s="0" t="s">
        <v>171</v>
      </c>
      <c r="H3854" s="5">
        <v>126.933400</v>
      </c>
    </row>
    <row r="3855" spans="1:9">
      <c r="A3855" s="22" t="str">
        <f>HYPERLINK("https://app.vivvix.com/360/KMI/IntelliDrive/ApplUI/Pages/CreativePages/CustomReportCreativeDetail.aspx?App=23&amp;ReportView=4&amp;Qid=1711279&amp;Row=3847&amp;Col=1","No Title Assigned - #15268646776")</f>
        <v/>
      </c>
      <c r="B3855" s="0" t="s">
        <v>5453</v>
      </c>
      <c r="E3855" s="0" t="inlineStr">
        <is>
          <t xml:space="preserve">Mazda</t>
        </is>
      </c>
      <c r="F3855" s="0" t="inlineStr">
        <is>
          <t xml:space="preserve">Mazda</t>
        </is>
      </c>
      <c r="G3855" s="0" t="s">
        <v>171</v>
      </c>
      <c r="H3855" s="5">
        <v>526.552600</v>
      </c>
    </row>
    <row r="3856" spans="1:9">
      <c r="A3856" s="22" t="str">
        <f>HYPERLINK("https://app.vivvix.com/360/KMI/IntelliDrive/ApplUI/Pages/CreativePages/CustomReportCreativeDetail.aspx?App=23&amp;ReportView=4&amp;Qid=1711279&amp;Row=3848&amp;Col=1","No Title Assigned - #15268649606")</f>
        <v/>
      </c>
      <c r="B3856" s="0" t="s">
        <v>5454</v>
      </c>
      <c r="E3856" s="0" t="inlineStr">
        <is>
          <t xml:space="preserve">Mazda</t>
        </is>
      </c>
      <c r="F3856" s="0" t="inlineStr">
        <is>
          <t xml:space="preserve">Mazda</t>
        </is>
      </c>
      <c r="G3856" s="0" t="s">
        <v>171</v>
      </c>
      <c r="H3856" s="5">
        <v>4764.319100</v>
      </c>
    </row>
    <row r="3857" spans="1:9">
      <c r="A3857" s="22" t="str">
        <f>HYPERLINK("https://app.vivvix.com/360/KMI/IntelliDrive/ApplUI/Pages/CreativePages/CustomReportCreativeDetail.aspx?App=23&amp;ReportView=4&amp;Qid=1711279&amp;Row=3849&amp;Col=1","No Title Assigned - #15268649606")</f>
        <v/>
      </c>
      <c r="B3857" s="0" t="s">
        <v>5454</v>
      </c>
      <c r="E3857" s="0" t="inlineStr">
        <is>
          <t xml:space="preserve">Mazda</t>
        </is>
      </c>
      <c r="F3857" s="0" t="inlineStr">
        <is>
          <t xml:space="preserve">Mazda</t>
        </is>
      </c>
      <c r="G3857" s="0" t="s">
        <v>171</v>
      </c>
      <c r="H3857" s="5">
        <v>343.131000</v>
      </c>
    </row>
    <row r="3858" spans="1:9">
      <c r="A3858" s="22" t="str">
        <f>HYPERLINK("https://app.vivvix.com/360/KMI/IntelliDrive/ApplUI/Pages/CreativePages/CustomReportCreativeDetail.aspx?App=23&amp;ReportView=4&amp;Qid=1711279&amp;Row=3850&amp;Col=1","No Title Assigned - #15268650200")</f>
        <v/>
      </c>
      <c r="B3858" s="0" t="s">
        <v>5455</v>
      </c>
      <c r="E3858" s="0" t="inlineStr">
        <is>
          <t xml:space="preserve">Mazda</t>
        </is>
      </c>
      <c r="F3858" s="0" t="inlineStr">
        <is>
          <t xml:space="preserve">Mazda</t>
        </is>
      </c>
      <c r="G3858" s="0" t="s">
        <v>171</v>
      </c>
      <c r="H3858" s="5">
        <v>19977.470700</v>
      </c>
    </row>
    <row r="3859" spans="1:9">
      <c r="A3859" s="22" t="str">
        <f>HYPERLINK("https://app.vivvix.com/360/KMI/IntelliDrive/ApplUI/Pages/CreativePages/CustomReportCreativeDetail.aspx?App=23&amp;ReportView=4&amp;Qid=1711279&amp;Row=3851&amp;Col=1","No Title Assigned - #15268650939")</f>
        <v/>
      </c>
      <c r="B3859" s="0" t="s">
        <v>5456</v>
      </c>
      <c r="E3859" s="0" t="inlineStr">
        <is>
          <t xml:space="preserve">Mazda</t>
        </is>
      </c>
      <c r="F3859" s="0" t="inlineStr">
        <is>
          <t xml:space="preserve">Mazda</t>
        </is>
      </c>
      <c r="G3859" s="0" t="s">
        <v>171</v>
      </c>
      <c r="H3859" s="5">
        <v>2503.420200</v>
      </c>
    </row>
    <row r="3860" spans="1:9">
      <c r="A3860" s="22" t="str">
        <f>HYPERLINK("https://app.vivvix.com/360/KMI/IntelliDrive/ApplUI/Pages/CreativePages/CustomReportCreativeDetail.aspx?App=23&amp;ReportView=4&amp;Qid=1711279&amp;Row=3852&amp;Col=1","No Title Assigned - #15268650940")</f>
        <v/>
      </c>
      <c r="B3860" s="0" t="s">
        <v>5457</v>
      </c>
      <c r="E3860" s="0" t="inlineStr">
        <is>
          <t xml:space="preserve">Mazda</t>
        </is>
      </c>
      <c r="F3860" s="0" t="inlineStr">
        <is>
          <t xml:space="preserve">Mazda</t>
        </is>
      </c>
      <c r="G3860" s="0" t="s">
        <v>171</v>
      </c>
      <c r="H3860" s="5">
        <v>985.681700</v>
      </c>
    </row>
    <row r="3861" spans="1:9">
      <c r="A3861" s="22" t="str">
        <f>HYPERLINK("https://app.vivvix.com/360/KMI/IntelliDrive/ApplUI/Pages/CreativePages/CustomReportCreativeDetail.aspx?App=23&amp;ReportView=4&amp;Qid=1711279&amp;Row=3853&amp;Col=1","No Title Assigned - #15268651098")</f>
        <v/>
      </c>
      <c r="B3861" s="0" t="s">
        <v>5458</v>
      </c>
      <c r="E3861" s="0" t="inlineStr">
        <is>
          <t xml:space="preserve">Mazda</t>
        </is>
      </c>
      <c r="F3861" s="0" t="inlineStr">
        <is>
          <t xml:space="preserve">Mazda</t>
        </is>
      </c>
      <c r="G3861" s="0" t="s">
        <v>171</v>
      </c>
      <c r="H3861" s="5">
        <v>3328.642500</v>
      </c>
    </row>
    <row r="3862" spans="1:9">
      <c r="A3862" s="22" t="str">
        <f>HYPERLINK("https://app.vivvix.com/360/KMI/IntelliDrive/ApplUI/Pages/CreativePages/CustomReportCreativeDetail.aspx?App=23&amp;ReportView=4&amp;Qid=1711279&amp;Row=3854&amp;Col=1","No Title Assigned - #15268651893")</f>
        <v/>
      </c>
      <c r="B3862" s="0" t="s">
        <v>5459</v>
      </c>
      <c r="E3862" s="0" t="inlineStr">
        <is>
          <t xml:space="preserve">Mazda</t>
        </is>
      </c>
      <c r="F3862" s="0" t="inlineStr">
        <is>
          <t xml:space="preserve">Mazda</t>
        </is>
      </c>
      <c r="G3862" s="0" t="s">
        <v>171</v>
      </c>
      <c r="H3862" s="5">
        <v>18.891500</v>
      </c>
    </row>
    <row r="3863" spans="1:9">
      <c r="A3863" s="22" t="str">
        <f>HYPERLINK("https://app.vivvix.com/360/KMI/IntelliDrive/ApplUI/Pages/CreativePages/CustomReportCreativeDetail.aspx?App=23&amp;ReportView=4&amp;Qid=1711279&amp;Row=3855&amp;Col=1","No Title Assigned - #15268651969")</f>
        <v/>
      </c>
      <c r="B3863" s="0" t="s">
        <v>5460</v>
      </c>
      <c r="E3863" s="0" t="inlineStr">
        <is>
          <t xml:space="preserve">Mazda</t>
        </is>
      </c>
      <c r="F3863" s="0" t="inlineStr">
        <is>
          <t xml:space="preserve">Mazda</t>
        </is>
      </c>
      <c r="G3863" s="0" t="s">
        <v>171</v>
      </c>
      <c r="H3863" s="5">
        <v>89.955000</v>
      </c>
    </row>
    <row r="3864" spans="1:9">
      <c r="A3864" s="22" t="str">
        <f>HYPERLINK("https://app.vivvix.com/360/KMI/IntelliDrive/ApplUI/Pages/CreativePages/CustomReportCreativeDetail.aspx?App=23&amp;ReportView=4&amp;Qid=1711279&amp;Row=3856&amp;Col=1","No Title Assigned - #15268651970")</f>
        <v/>
      </c>
      <c r="B3864" s="0" t="s">
        <v>5461</v>
      </c>
      <c r="C3864" s="0" t="s">
        <v>5462</v>
      </c>
      <c r="D3864" s="0" t="s">
        <v>5462</v>
      </c>
      <c r="E3864" s="0" t="inlineStr">
        <is>
          <t xml:space="preserve">Mazda</t>
        </is>
      </c>
      <c r="F3864" s="0" t="inlineStr">
        <is>
          <t xml:space="preserve">Mazda</t>
        </is>
      </c>
      <c r="G3864" s="0" t="s">
        <v>171</v>
      </c>
      <c r="H3864" s="5">
        <v>703.149100</v>
      </c>
    </row>
    <row r="3865" spans="1:9">
      <c r="A3865" s="22" t="str">
        <f>HYPERLINK("https://app.vivvix.com/360/KMI/IntelliDrive/ApplUI/Pages/CreativePages/CustomReportCreativeDetail.aspx?App=23&amp;ReportView=4&amp;Qid=1711279&amp;Row=3857&amp;Col=1","No Title Assigned - #15268651970")</f>
        <v/>
      </c>
      <c r="B3865" s="0" t="s">
        <v>5461</v>
      </c>
      <c r="E3865" s="0" t="inlineStr">
        <is>
          <t xml:space="preserve">Mazda</t>
        </is>
      </c>
      <c r="F3865" s="0" t="inlineStr">
        <is>
          <t xml:space="preserve">Mazda</t>
        </is>
      </c>
      <c r="G3865" s="0" t="s">
        <v>171</v>
      </c>
      <c r="H3865" s="5">
        <v>89.955000</v>
      </c>
    </row>
    <row r="3866" spans="1:9">
      <c r="A3866" s="22" t="str">
        <f>HYPERLINK("https://app.vivvix.com/360/KMI/IntelliDrive/ApplUI/Pages/CreativePages/CustomReportCreativeDetail.aspx?App=23&amp;ReportView=4&amp;Qid=1711279&amp;Row=3858&amp;Col=1","No Title Assigned - #15268652462")</f>
        <v/>
      </c>
      <c r="B3866" s="0" t="s">
        <v>5463</v>
      </c>
      <c r="E3866" s="0" t="inlineStr">
        <is>
          <t xml:space="preserve">Mazda</t>
        </is>
      </c>
      <c r="F3866" s="0" t="inlineStr">
        <is>
          <t xml:space="preserve">Mazda</t>
        </is>
      </c>
      <c r="G3866" s="0" t="s">
        <v>171</v>
      </c>
      <c r="H3866" s="5">
        <v>17.273800</v>
      </c>
    </row>
    <row r="3867" spans="1:9">
      <c r="A3867" s="22" t="str">
        <f>HYPERLINK("https://app.vivvix.com/360/KMI/IntelliDrive/ApplUI/Pages/CreativePages/CustomReportCreativeDetail.aspx?App=23&amp;ReportView=4&amp;Qid=1711279&amp;Row=3859&amp;Col=1","No Title Assigned - #15268652993")</f>
        <v/>
      </c>
      <c r="B3867" s="0" t="s">
        <v>5464</v>
      </c>
      <c r="E3867" s="0" t="inlineStr">
        <is>
          <t xml:space="preserve">Mazda</t>
        </is>
      </c>
      <c r="F3867" s="0" t="inlineStr">
        <is>
          <t xml:space="preserve">Mazda</t>
        </is>
      </c>
      <c r="G3867" s="0" t="s">
        <v>171</v>
      </c>
      <c r="H3867" s="5">
        <v>9.639400</v>
      </c>
    </row>
    <row r="3868" spans="1:9">
      <c r="A3868" s="22" t="str">
        <f>HYPERLINK("https://app.vivvix.com/360/KMI/IntelliDrive/ApplUI/Pages/CreativePages/CustomReportCreativeDetail.aspx?App=23&amp;ReportView=4&amp;Qid=1711279&amp;Row=3860&amp;Col=1","No Title Assigned - #15268654595")</f>
        <v/>
      </c>
      <c r="B3868" s="0" t="s">
        <v>5465</v>
      </c>
      <c r="E3868" s="0" t="inlineStr">
        <is>
          <t xml:space="preserve">Mazda</t>
        </is>
      </c>
      <c r="F3868" s="0" t="inlineStr">
        <is>
          <t xml:space="preserve">Mazda</t>
        </is>
      </c>
      <c r="G3868" s="0" t="s">
        <v>171</v>
      </c>
      <c r="H3868" s="5">
        <v>163.847800</v>
      </c>
    </row>
    <row r="3869" spans="1:9">
      <c r="A3869" s="22" t="str">
        <f>HYPERLINK("https://app.vivvix.com/360/KMI/IntelliDrive/ApplUI/Pages/CreativePages/CustomReportCreativeDetail.aspx?App=23&amp;ReportView=4&amp;Qid=1711279&amp;Row=3861&amp;Col=1","No Title Assigned - #15268654952")</f>
        <v/>
      </c>
      <c r="B3869" s="0" t="s">
        <v>5466</v>
      </c>
      <c r="E3869" s="0" t="inlineStr">
        <is>
          <t xml:space="preserve">Mazda</t>
        </is>
      </c>
      <c r="F3869" s="0" t="inlineStr">
        <is>
          <t xml:space="preserve">Mazda</t>
        </is>
      </c>
      <c r="G3869" s="0" t="s">
        <v>171</v>
      </c>
      <c r="H3869" s="5">
        <v>13.501200</v>
      </c>
    </row>
    <row r="3870" spans="1:9">
      <c r="A3870" s="22" t="str">
        <f>HYPERLINK("https://app.vivvix.com/360/KMI/IntelliDrive/ApplUI/Pages/CreativePages/CustomReportCreativeDetail.aspx?App=23&amp;ReportView=4&amp;Qid=1711279&amp;Row=3862&amp;Col=1","No Title Assigned - #15268654953")</f>
        <v/>
      </c>
      <c r="B3870" s="0" t="s">
        <v>5467</v>
      </c>
      <c r="E3870" s="0" t="inlineStr">
        <is>
          <t xml:space="preserve">Mazda</t>
        </is>
      </c>
      <c r="F3870" s="0" t="inlineStr">
        <is>
          <t xml:space="preserve">Mazda</t>
        </is>
      </c>
      <c r="G3870" s="0" t="s">
        <v>171</v>
      </c>
      <c r="H3870" s="5">
        <v>2750.627000</v>
      </c>
    </row>
    <row r="3871" spans="1:9">
      <c r="A3871" s="22" t="str">
        <f>HYPERLINK("https://app.vivvix.com/360/KMI/IntelliDrive/ApplUI/Pages/CreativePages/CustomReportCreativeDetail.aspx?App=23&amp;ReportView=4&amp;Qid=1711279&amp;Row=3863&amp;Col=1","No Title Assigned - #15268654953")</f>
        <v/>
      </c>
      <c r="B3871" s="0" t="s">
        <v>5467</v>
      </c>
      <c r="E3871" s="0" t="inlineStr">
        <is>
          <t xml:space="preserve">Mazda</t>
        </is>
      </c>
      <c r="F3871" s="0" t="inlineStr">
        <is>
          <t xml:space="preserve">Mazda</t>
        </is>
      </c>
      <c r="G3871" s="0" t="s">
        <v>171</v>
      </c>
      <c r="H3871" s="5">
        <v>6640.420300</v>
      </c>
    </row>
    <row r="3872" spans="1:9">
      <c r="A3872" s="22" t="str">
        <f>HYPERLINK("https://app.vivvix.com/360/KMI/IntelliDrive/ApplUI/Pages/CreativePages/CustomReportCreativeDetail.aspx?App=23&amp;ReportView=4&amp;Qid=1711279&amp;Row=3864&amp;Col=1","No Title Assigned - #15268654954")</f>
        <v/>
      </c>
      <c r="B3872" s="0" t="s">
        <v>5468</v>
      </c>
      <c r="E3872" s="0" t="inlineStr">
        <is>
          <t xml:space="preserve">Mazda</t>
        </is>
      </c>
      <c r="F3872" s="0" t="inlineStr">
        <is>
          <t xml:space="preserve">Mazda</t>
        </is>
      </c>
      <c r="G3872" s="0" t="s">
        <v>171</v>
      </c>
      <c r="H3872" s="5">
        <v>275.664000</v>
      </c>
    </row>
    <row r="3873" spans="1:9">
      <c r="A3873" s="22" t="str">
        <f>HYPERLINK("https://app.vivvix.com/360/KMI/IntelliDrive/ApplUI/Pages/CreativePages/CustomReportCreativeDetail.aspx?App=23&amp;ReportView=4&amp;Qid=1711279&amp;Row=3865&amp;Col=1","No Title Assigned - #15268655061")</f>
        <v/>
      </c>
      <c r="B3873" s="0" t="s">
        <v>5469</v>
      </c>
      <c r="E3873" s="0" t="inlineStr">
        <is>
          <t xml:space="preserve">Mazda</t>
        </is>
      </c>
      <c r="F3873" s="0" t="inlineStr">
        <is>
          <t xml:space="preserve">Mazda</t>
        </is>
      </c>
      <c r="G3873" s="0" t="s">
        <v>171</v>
      </c>
      <c r="H3873" s="5">
        <v>162.008500</v>
      </c>
    </row>
    <row r="3874" spans="1:9">
      <c r="A3874" s="22" t="str">
        <f>HYPERLINK("https://app.vivvix.com/360/KMI/IntelliDrive/ApplUI/Pages/CreativePages/CustomReportCreativeDetail.aspx?App=23&amp;ReportView=4&amp;Qid=1711279&amp;Row=3866&amp;Col=1","No Title Assigned - #15268655061")</f>
        <v/>
      </c>
      <c r="B3874" s="0" t="s">
        <v>5469</v>
      </c>
      <c r="E3874" s="0" t="inlineStr">
        <is>
          <t xml:space="preserve">Mazda</t>
        </is>
      </c>
      <c r="F3874" s="0" t="inlineStr">
        <is>
          <t xml:space="preserve">Mazda</t>
        </is>
      </c>
      <c r="G3874" s="0" t="s">
        <v>171</v>
      </c>
      <c r="H3874" s="5">
        <v>62.910200</v>
      </c>
    </row>
    <row r="3875" spans="1:9">
      <c r="A3875" s="22" t="str">
        <f>HYPERLINK("https://app.vivvix.com/360/KMI/IntelliDrive/ApplUI/Pages/CreativePages/CustomReportCreativeDetail.aspx?App=23&amp;ReportView=4&amp;Qid=1711279&amp;Row=3867&amp;Col=1","No Title Assigned - #15268656742")</f>
        <v/>
      </c>
      <c r="B3875" s="0" t="s">
        <v>5470</v>
      </c>
      <c r="E3875" s="0" t="inlineStr">
        <is>
          <t xml:space="preserve">Mazda</t>
        </is>
      </c>
      <c r="F3875" s="0" t="inlineStr">
        <is>
          <t xml:space="preserve">Mazda</t>
        </is>
      </c>
      <c r="G3875" s="0" t="s">
        <v>171</v>
      </c>
      <c r="H3875" s="5">
        <v>19.830300</v>
      </c>
    </row>
    <row r="3876" spans="1:9">
      <c r="A3876" s="22" t="str">
        <f>HYPERLINK("https://app.vivvix.com/360/KMI/IntelliDrive/ApplUI/Pages/CreativePages/CustomReportCreativeDetail.aspx?App=23&amp;ReportView=4&amp;Qid=1711279&amp;Row=3868&amp;Col=1","No Title Assigned - #15268657563")</f>
        <v/>
      </c>
      <c r="B3876" s="0" t="s">
        <v>5471</v>
      </c>
      <c r="E3876" s="0" t="inlineStr">
        <is>
          <t xml:space="preserve">Mazda</t>
        </is>
      </c>
      <c r="F3876" s="0" t="inlineStr">
        <is>
          <t xml:space="preserve">Mazda</t>
        </is>
      </c>
      <c r="G3876" s="0" t="s">
        <v>171</v>
      </c>
      <c r="H3876" s="5">
        <v>6516.238700</v>
      </c>
    </row>
    <row r="3877" spans="1:9">
      <c r="A3877" s="22" t="str">
        <f>HYPERLINK("https://app.vivvix.com/360/KMI/IntelliDrive/ApplUI/Pages/CreativePages/CustomReportCreativeDetail.aspx?App=23&amp;ReportView=4&amp;Qid=1711279&amp;Row=3869&amp;Col=1","No Title Assigned - #15268657563")</f>
        <v/>
      </c>
      <c r="B3877" s="0" t="s">
        <v>5471</v>
      </c>
      <c r="E3877" s="0" t="inlineStr">
        <is>
          <t xml:space="preserve">Mazda</t>
        </is>
      </c>
      <c r="F3877" s="0" t="inlineStr">
        <is>
          <t xml:space="preserve">Mazda</t>
        </is>
      </c>
      <c r="G3877" s="0" t="s">
        <v>171</v>
      </c>
      <c r="H3877" s="5">
        <v>146593.921600</v>
      </c>
    </row>
    <row r="3878" spans="1:9">
      <c r="A3878" s="22" t="str">
        <f>HYPERLINK("https://app.vivvix.com/360/KMI/IntelliDrive/ApplUI/Pages/CreativePages/CustomReportCreativeDetail.aspx?App=23&amp;ReportView=4&amp;Qid=1711279&amp;Row=3870&amp;Col=1","No Title Assigned - #15268658484")</f>
        <v/>
      </c>
      <c r="B3878" s="0" t="s">
        <v>5472</v>
      </c>
      <c r="E3878" s="0" t="inlineStr">
        <is>
          <t xml:space="preserve">Mazda</t>
        </is>
      </c>
      <c r="F3878" s="0" t="inlineStr">
        <is>
          <t xml:space="preserve">Mazda</t>
        </is>
      </c>
      <c r="G3878" s="0" t="s">
        <v>171</v>
      </c>
      <c r="H3878" s="5">
        <v>3074.707600</v>
      </c>
    </row>
    <row r="3879" spans="1:9">
      <c r="A3879" s="22" t="str">
        <f>HYPERLINK("https://app.vivvix.com/360/KMI/IntelliDrive/ApplUI/Pages/CreativePages/CustomReportCreativeDetail.aspx?App=23&amp;ReportView=4&amp;Qid=1711279&amp;Row=3871&amp;Col=1","No Title Assigned - #15268658484")</f>
        <v/>
      </c>
      <c r="B3879" s="0" t="s">
        <v>5472</v>
      </c>
      <c r="E3879" s="0" t="inlineStr">
        <is>
          <t xml:space="preserve">Mazda</t>
        </is>
      </c>
      <c r="F3879" s="0" t="inlineStr">
        <is>
          <t xml:space="preserve">Mazda</t>
        </is>
      </c>
      <c r="G3879" s="0" t="s">
        <v>171</v>
      </c>
      <c r="H3879" s="5">
        <v>546.646000</v>
      </c>
    </row>
    <row r="3880" spans="1:9">
      <c r="A3880" s="22" t="str">
        <f>HYPERLINK("https://app.vivvix.com/360/KMI/IntelliDrive/ApplUI/Pages/CreativePages/CustomReportCreativeDetail.aspx?App=23&amp;ReportView=4&amp;Qid=1711279&amp;Row=3872&amp;Col=1","No Title Assigned - #15268661059")</f>
        <v/>
      </c>
      <c r="B3880" s="0" t="s">
        <v>5473</v>
      </c>
      <c r="E3880" s="0" t="inlineStr">
        <is>
          <t xml:space="preserve">Mazda</t>
        </is>
      </c>
      <c r="F3880" s="0" t="inlineStr">
        <is>
          <t xml:space="preserve">Mazda</t>
        </is>
      </c>
      <c r="G3880" s="0" t="s">
        <v>171</v>
      </c>
      <c r="H3880" s="5">
        <v>227.141900</v>
      </c>
    </row>
    <row r="3881" spans="1:9">
      <c r="A3881" s="22" t="str">
        <f>HYPERLINK("https://app.vivvix.com/360/KMI/IntelliDrive/ApplUI/Pages/CreativePages/CustomReportCreativeDetail.aspx?App=23&amp;ReportView=4&amp;Qid=1711279&amp;Row=3873&amp;Col=1","No Title Assigned - #15268661645")</f>
        <v/>
      </c>
      <c r="B3881" s="0" t="s">
        <v>5474</v>
      </c>
      <c r="E3881" s="0" t="inlineStr">
        <is>
          <t xml:space="preserve">Mazda</t>
        </is>
      </c>
      <c r="F3881" s="0" t="inlineStr">
        <is>
          <t xml:space="preserve">Mazda</t>
        </is>
      </c>
      <c r="G3881" s="0" t="s">
        <v>171</v>
      </c>
      <c r="H3881" s="5">
        <v>14.775500</v>
      </c>
    </row>
    <row r="3882" spans="1:9">
      <c r="A3882" s="22" t="str">
        <f>HYPERLINK("https://app.vivvix.com/360/KMI/IntelliDrive/ApplUI/Pages/CreativePages/CustomReportCreativeDetail.aspx?App=23&amp;ReportView=4&amp;Qid=1711279&amp;Row=3874&amp;Col=1","No Title Assigned - #15268661648")</f>
        <v/>
      </c>
      <c r="B3882" s="0" t="s">
        <v>5475</v>
      </c>
      <c r="E3882" s="0" t="inlineStr">
        <is>
          <t xml:space="preserve">Mazda</t>
        </is>
      </c>
      <c r="F3882" s="0" t="inlineStr">
        <is>
          <t xml:space="preserve">Mazda</t>
        </is>
      </c>
      <c r="G3882" s="0" t="s">
        <v>171</v>
      </c>
      <c r="H3882" s="5">
        <v>456.227700</v>
      </c>
    </row>
    <row r="3883" spans="1:9">
      <c r="A3883" s="22" t="str">
        <f>HYPERLINK("https://app.vivvix.com/360/KMI/IntelliDrive/ApplUI/Pages/CreativePages/CustomReportCreativeDetail.aspx?App=23&amp;ReportView=4&amp;Qid=1711279&amp;Row=3875&amp;Col=1","No Title Assigned - #15268661800")</f>
        <v/>
      </c>
      <c r="B3883" s="0" t="s">
        <v>5476</v>
      </c>
      <c r="E3883" s="0" t="inlineStr">
        <is>
          <t xml:space="preserve">Mazda</t>
        </is>
      </c>
      <c r="F3883" s="0" t="inlineStr">
        <is>
          <t xml:space="preserve">Mazda</t>
        </is>
      </c>
      <c r="G3883" s="0" t="s">
        <v>171</v>
      </c>
      <c r="H3883" s="5">
        <v>244.956500</v>
      </c>
    </row>
    <row r="3884" spans="1:9">
      <c r="A3884" s="22" t="str">
        <f>HYPERLINK("https://app.vivvix.com/360/KMI/IntelliDrive/ApplUI/Pages/CreativePages/CustomReportCreativeDetail.aspx?App=23&amp;ReportView=4&amp;Qid=1711279&amp;Row=3876&amp;Col=1","No Title Assigned - #15268670215")</f>
        <v/>
      </c>
      <c r="B3884" s="0" t="s">
        <v>5477</v>
      </c>
      <c r="E3884" s="0" t="inlineStr">
        <is>
          <t xml:space="preserve">Mazda</t>
        </is>
      </c>
      <c r="F3884" s="0" t="inlineStr">
        <is>
          <t xml:space="preserve">Mazda</t>
        </is>
      </c>
      <c r="G3884" s="0" t="s">
        <v>171</v>
      </c>
      <c r="H3884" s="5">
        <v>52.659500</v>
      </c>
    </row>
    <row r="3885" spans="1:9">
      <c r="A3885" s="22" t="str">
        <f>HYPERLINK("https://app.vivvix.com/360/KMI/IntelliDrive/ApplUI/Pages/CreativePages/CustomReportCreativeDetail.aspx?App=23&amp;ReportView=4&amp;Qid=1711279&amp;Row=3877&amp;Col=1","No Title Assigned - #15268672948")</f>
        <v/>
      </c>
      <c r="B3885" s="0" t="s">
        <v>5478</v>
      </c>
      <c r="E3885" s="0" t="inlineStr">
        <is>
          <t xml:space="preserve">Mazda</t>
        </is>
      </c>
      <c r="F3885" s="0" t="inlineStr">
        <is>
          <t xml:space="preserve">Mazda</t>
        </is>
      </c>
      <c r="G3885" s="0" t="s">
        <v>171</v>
      </c>
      <c r="H3885" s="5">
        <v>7.290100</v>
      </c>
    </row>
    <row r="3886" spans="1:9">
      <c r="A3886" s="22" t="str">
        <f>HYPERLINK("https://app.vivvix.com/360/KMI/IntelliDrive/ApplUI/Pages/CreativePages/CustomReportCreativeDetail.aspx?App=23&amp;ReportView=4&amp;Qid=1711279&amp;Row=3878&amp;Col=1","No Title Assigned - #15268673182")</f>
        <v/>
      </c>
      <c r="B3886" s="0" t="s">
        <v>5479</v>
      </c>
      <c r="E3886" s="0" t="inlineStr">
        <is>
          <t xml:space="preserve">Mazda</t>
        </is>
      </c>
      <c r="F3886" s="0" t="inlineStr">
        <is>
          <t xml:space="preserve">Mazda</t>
        </is>
      </c>
      <c r="G3886" s="0" t="s">
        <v>171</v>
      </c>
      <c r="H3886" s="5">
        <v>15.534200</v>
      </c>
    </row>
    <row r="3887" spans="1:9">
      <c r="A3887" s="22" t="str">
        <f>HYPERLINK("https://app.vivvix.com/360/KMI/IntelliDrive/ApplUI/Pages/CreativePages/CustomReportCreativeDetail.aspx?App=23&amp;ReportView=4&amp;Qid=1711279&amp;Row=3879&amp;Col=1","No Title Assigned - #15268673700")</f>
        <v/>
      </c>
      <c r="B3887" s="0" t="s">
        <v>5480</v>
      </c>
      <c r="E3887" s="0" t="inlineStr">
        <is>
          <t xml:space="preserve">Mazda</t>
        </is>
      </c>
      <c r="F3887" s="0" t="inlineStr">
        <is>
          <t xml:space="preserve">Mazda</t>
        </is>
      </c>
      <c r="G3887" s="0" t="s">
        <v>171</v>
      </c>
      <c r="H3887" s="5">
        <v>27863.119300</v>
      </c>
    </row>
    <row r="3888" spans="1:9">
      <c r="A3888" s="22" t="str">
        <f>HYPERLINK("https://app.vivvix.com/360/KMI/IntelliDrive/ApplUI/Pages/CreativePages/CustomReportCreativeDetail.aspx?App=23&amp;ReportView=4&amp;Qid=1711279&amp;Row=3880&amp;Col=1","No Title Assigned - #15268673845")</f>
        <v/>
      </c>
      <c r="B3888" s="0" t="s">
        <v>5481</v>
      </c>
      <c r="C3888" s="0" t="s">
        <v>5482</v>
      </c>
      <c r="D3888" s="0" t="s">
        <v>5482</v>
      </c>
      <c r="E3888" s="0" t="inlineStr">
        <is>
          <t xml:space="preserve">Mazda</t>
        </is>
      </c>
      <c r="F3888" s="0" t="inlineStr">
        <is>
          <t xml:space="preserve">Mazda</t>
        </is>
      </c>
      <c r="G3888" s="0" t="s">
        <v>171</v>
      </c>
      <c r="H3888" s="5">
        <v>2095.422000</v>
      </c>
    </row>
    <row r="3889" spans="1:9">
      <c r="A3889" s="22" t="str">
        <f>HYPERLINK("https://app.vivvix.com/360/KMI/IntelliDrive/ApplUI/Pages/CreativePages/CustomReportCreativeDetail.aspx?App=23&amp;ReportView=4&amp;Qid=1711279&amp;Row=3881&amp;Col=1","No Title Assigned - #15268673845")</f>
        <v/>
      </c>
      <c r="B3889" s="0" t="s">
        <v>5481</v>
      </c>
      <c r="E3889" s="0" t="inlineStr">
        <is>
          <t xml:space="preserve">Mazda</t>
        </is>
      </c>
      <c r="F3889" s="0" t="inlineStr">
        <is>
          <t xml:space="preserve">Mazda</t>
        </is>
      </c>
      <c r="G3889" s="0" t="s">
        <v>171</v>
      </c>
      <c r="H3889" s="5">
        <v>9673.124000</v>
      </c>
    </row>
    <row r="3890" spans="1:9">
      <c r="A3890" s="22" t="str">
        <f>HYPERLINK("https://app.vivvix.com/360/KMI/IntelliDrive/ApplUI/Pages/CreativePages/CustomReportCreativeDetail.aspx?App=23&amp;ReportView=4&amp;Qid=1711279&amp;Row=3882&amp;Col=1","No Title Assigned - #15268674255")</f>
        <v/>
      </c>
      <c r="B3890" s="0" t="s">
        <v>5483</v>
      </c>
      <c r="E3890" s="0" t="inlineStr">
        <is>
          <t xml:space="preserve">Mazda</t>
        </is>
      </c>
      <c r="F3890" s="0" t="inlineStr">
        <is>
          <t xml:space="preserve">Mazda</t>
        </is>
      </c>
      <c r="G3890" s="0" t="s">
        <v>171</v>
      </c>
      <c r="H3890" s="5">
        <v>61806.773400</v>
      </c>
    </row>
    <row r="3891" spans="1:9">
      <c r="A3891" s="22" t="str">
        <f>HYPERLINK("https://app.vivvix.com/360/KMI/IntelliDrive/ApplUI/Pages/CreativePages/CustomReportCreativeDetail.aspx?App=23&amp;ReportView=4&amp;Qid=1711279&amp;Row=3883&amp;Col=1","No Title Assigned - #15268675257")</f>
        <v/>
      </c>
      <c r="B3891" s="0" t="s">
        <v>5484</v>
      </c>
      <c r="C3891" s="0" t="s">
        <v>5485</v>
      </c>
      <c r="D3891" s="0" t="s">
        <v>5485</v>
      </c>
      <c r="E3891" s="0" t="inlineStr">
        <is>
          <t xml:space="preserve">Mazda</t>
        </is>
      </c>
      <c r="F3891" s="0" t="inlineStr">
        <is>
          <t xml:space="preserve">Mazda</t>
        </is>
      </c>
      <c r="G3891" s="0" t="s">
        <v>171</v>
      </c>
      <c r="H3891" s="5">
        <v>847.753500</v>
      </c>
    </row>
    <row r="3892" spans="1:9">
      <c r="A3892" s="22" t="str">
        <f>HYPERLINK("https://app.vivvix.com/360/KMI/IntelliDrive/ApplUI/Pages/CreativePages/CustomReportCreativeDetail.aspx?App=23&amp;ReportView=4&amp;Qid=1711279&amp;Row=3884&amp;Col=1","No Title Assigned - #15268675387")</f>
        <v/>
      </c>
      <c r="B3892" s="0" t="s">
        <v>5486</v>
      </c>
      <c r="E3892" s="0" t="inlineStr">
        <is>
          <t xml:space="preserve">Mazda</t>
        </is>
      </c>
      <c r="F3892" s="0" t="inlineStr">
        <is>
          <t xml:space="preserve">Mazda</t>
        </is>
      </c>
      <c r="G3892" s="0" t="s">
        <v>171</v>
      </c>
      <c r="H3892" s="5">
        <v>39.835200</v>
      </c>
    </row>
    <row r="3893" spans="1:9">
      <c r="A3893" s="22" t="str">
        <f>HYPERLINK("https://app.vivvix.com/360/KMI/IntelliDrive/ApplUI/Pages/CreativePages/CustomReportCreativeDetail.aspx?App=23&amp;ReportView=4&amp;Qid=1711279&amp;Row=3885&amp;Col=1","No Title Assigned - #15268676039")</f>
        <v/>
      </c>
      <c r="B3893" s="0" t="s">
        <v>5487</v>
      </c>
      <c r="E3893" s="0" t="inlineStr">
        <is>
          <t xml:space="preserve">Mazda</t>
        </is>
      </c>
      <c r="F3893" s="0" t="inlineStr">
        <is>
          <t xml:space="preserve">Mazda</t>
        </is>
      </c>
      <c r="G3893" s="0" t="s">
        <v>171</v>
      </c>
      <c r="H3893" s="5">
        <v>3499.812500</v>
      </c>
    </row>
    <row r="3894" spans="1:9">
      <c r="A3894" s="22" t="str">
        <f>HYPERLINK("https://app.vivvix.com/360/KMI/IntelliDrive/ApplUI/Pages/CreativePages/CustomReportCreativeDetail.aspx?App=23&amp;ReportView=4&amp;Qid=1711279&amp;Row=3886&amp;Col=1","No Title Assigned - #15268676241")</f>
        <v/>
      </c>
      <c r="B3894" s="0" t="s">
        <v>5488</v>
      </c>
      <c r="E3894" s="0" t="inlineStr">
        <is>
          <t xml:space="preserve">Mazda</t>
        </is>
      </c>
      <c r="F3894" s="0" t="inlineStr">
        <is>
          <t xml:space="preserve">Mazda</t>
        </is>
      </c>
      <c r="G3894" s="0" t="s">
        <v>171</v>
      </c>
      <c r="H3894" s="5">
        <v>350.748400</v>
      </c>
    </row>
    <row r="3895" spans="1:9">
      <c r="A3895" s="22" t="str">
        <f>HYPERLINK("https://app.vivvix.com/360/KMI/IntelliDrive/ApplUI/Pages/CreativePages/CustomReportCreativeDetail.aspx?App=23&amp;ReportView=4&amp;Qid=1711279&amp;Row=3887&amp;Col=1","No Title Assigned - #15268692352")</f>
        <v/>
      </c>
      <c r="B3895" s="0" t="s">
        <v>5489</v>
      </c>
      <c r="E3895" s="0" t="inlineStr">
        <is>
          <t xml:space="preserve">Mazda</t>
        </is>
      </c>
      <c r="F3895" s="0" t="inlineStr">
        <is>
          <t xml:space="preserve">Mazda</t>
        </is>
      </c>
      <c r="G3895" s="0" t="s">
        <v>171</v>
      </c>
      <c r="H3895" s="5">
        <v>12645.068000</v>
      </c>
    </row>
    <row r="3896" spans="1:9">
      <c r="A3896" s="22" t="str">
        <f>HYPERLINK("https://app.vivvix.com/360/KMI/IntelliDrive/ApplUI/Pages/CreativePages/CustomReportCreativeDetail.aspx?App=23&amp;ReportView=4&amp;Qid=1711279&amp;Row=3888&amp;Col=1","No Title Assigned - #15268692352")</f>
        <v/>
      </c>
      <c r="B3896" s="0" t="s">
        <v>5489</v>
      </c>
      <c r="E3896" s="0" t="inlineStr">
        <is>
          <t xml:space="preserve">Mazda</t>
        </is>
      </c>
      <c r="F3896" s="0" t="inlineStr">
        <is>
          <t xml:space="preserve">Mazda</t>
        </is>
      </c>
      <c r="G3896" s="0" t="s">
        <v>171</v>
      </c>
      <c r="H3896" s="5">
        <v>4196.267000</v>
      </c>
    </row>
    <row r="3897" spans="1:9">
      <c r="A3897" s="22" t="str">
        <f>HYPERLINK("https://app.vivvix.com/360/KMI/IntelliDrive/ApplUI/Pages/CreativePages/CustomReportCreativeDetail.aspx?App=23&amp;ReportView=4&amp;Qid=1711279&amp;Row=3889&amp;Col=1","No Title Assigned - #15268692369")</f>
        <v/>
      </c>
      <c r="B3897" s="0" t="s">
        <v>5490</v>
      </c>
      <c r="E3897" s="0" t="inlineStr">
        <is>
          <t xml:space="preserve">Mazda</t>
        </is>
      </c>
      <c r="F3897" s="0" t="inlineStr">
        <is>
          <t xml:space="preserve">Mazda</t>
        </is>
      </c>
      <c r="G3897" s="0" t="s">
        <v>171</v>
      </c>
      <c r="H3897" s="5">
        <v>2976.486900</v>
      </c>
    </row>
    <row r="3898" spans="1:9">
      <c r="A3898" s="22" t="str">
        <f>HYPERLINK("https://app.vivvix.com/360/KMI/IntelliDrive/ApplUI/Pages/CreativePages/CustomReportCreativeDetail.aspx?App=23&amp;ReportView=4&amp;Qid=1711279&amp;Row=3890&amp;Col=1","No Title Assigned - #15268692475")</f>
        <v/>
      </c>
      <c r="B3898" s="0" t="s">
        <v>5491</v>
      </c>
      <c r="C3898" s="0" t="s">
        <v>5492</v>
      </c>
      <c r="D3898" s="0" t="s">
        <v>5492</v>
      </c>
      <c r="E3898" s="0" t="inlineStr">
        <is>
          <t xml:space="preserve">Mazda</t>
        </is>
      </c>
      <c r="F3898" s="0" t="inlineStr">
        <is>
          <t xml:space="preserve">Mazda</t>
        </is>
      </c>
      <c r="G3898" s="0" t="s">
        <v>171</v>
      </c>
      <c r="H3898" s="5">
        <v>51.702000</v>
      </c>
    </row>
    <row r="3899" spans="1:9">
      <c r="A3899" s="22" t="str">
        <f>HYPERLINK("https://app.vivvix.com/360/KMI/IntelliDrive/ApplUI/Pages/CreativePages/CustomReportCreativeDetail.aspx?App=23&amp;ReportView=4&amp;Qid=1711279&amp;Row=3891&amp;Col=1","No Title Assigned - #15268694539")</f>
        <v/>
      </c>
      <c r="B3899" s="0" t="s">
        <v>5493</v>
      </c>
      <c r="E3899" s="0" t="inlineStr">
        <is>
          <t xml:space="preserve">Mazda</t>
        </is>
      </c>
      <c r="F3899" s="0" t="inlineStr">
        <is>
          <t xml:space="preserve">Mazda</t>
        </is>
      </c>
      <c r="G3899" s="0" t="s">
        <v>171</v>
      </c>
      <c r="H3899" s="5">
        <v>2366.484800</v>
      </c>
    </row>
    <row r="3900" spans="1:9">
      <c r="A3900" s="22" t="str">
        <f>HYPERLINK("https://app.vivvix.com/360/KMI/IntelliDrive/ApplUI/Pages/CreativePages/CustomReportCreativeDetail.aspx?App=23&amp;ReportView=4&amp;Qid=1711279&amp;Row=3892&amp;Col=1","No Title Assigned - #15268694755")</f>
        <v/>
      </c>
      <c r="B3900" s="0" t="s">
        <v>5494</v>
      </c>
      <c r="E3900" s="0" t="inlineStr">
        <is>
          <t xml:space="preserve">Mazda</t>
        </is>
      </c>
      <c r="F3900" s="0" t="inlineStr">
        <is>
          <t xml:space="preserve">Mazda</t>
        </is>
      </c>
      <c r="G3900" s="0" t="s">
        <v>171</v>
      </c>
      <c r="H3900" s="5">
        <v>174.219800</v>
      </c>
    </row>
    <row r="3901" spans="1:9">
      <c r="A3901" s="22" t="str">
        <f>HYPERLINK("https://app.vivvix.com/360/KMI/IntelliDrive/ApplUI/Pages/CreativePages/CustomReportCreativeDetail.aspx?App=23&amp;ReportView=4&amp;Qid=1711279&amp;Row=3893&amp;Col=1","No Title Assigned - #15268700018")</f>
        <v/>
      </c>
      <c r="B3901" s="0" t="s">
        <v>5495</v>
      </c>
      <c r="E3901" s="0" t="inlineStr">
        <is>
          <t xml:space="preserve">Mazda</t>
        </is>
      </c>
      <c r="F3901" s="0" t="inlineStr">
        <is>
          <t xml:space="preserve">Mazda</t>
        </is>
      </c>
      <c r="G3901" s="0" t="s">
        <v>171</v>
      </c>
      <c r="H3901" s="5">
        <v>128.290700</v>
      </c>
    </row>
    <row r="3902" spans="1:9">
      <c r="A3902" s="22" t="str">
        <f>HYPERLINK("https://app.vivvix.com/360/KMI/IntelliDrive/ApplUI/Pages/CreativePages/CustomReportCreativeDetail.aspx?App=23&amp;ReportView=4&amp;Qid=1711279&amp;Row=3894&amp;Col=1","No Title Assigned - #15268700435")</f>
        <v/>
      </c>
      <c r="B3902" s="0" t="s">
        <v>5496</v>
      </c>
      <c r="E3902" s="0" t="inlineStr">
        <is>
          <t xml:space="preserve">Mazda</t>
        </is>
      </c>
      <c r="F3902" s="0" t="inlineStr">
        <is>
          <t xml:space="preserve">Mazda</t>
        </is>
      </c>
      <c r="G3902" s="0" t="s">
        <v>171</v>
      </c>
      <c r="H3902" s="5">
        <v>45.752900</v>
      </c>
    </row>
    <row r="3903" spans="1:9">
      <c r="A3903" s="22" t="str">
        <f>HYPERLINK("https://app.vivvix.com/360/KMI/IntelliDrive/ApplUI/Pages/CreativePages/CustomReportCreativeDetail.aspx?App=23&amp;ReportView=4&amp;Qid=1711279&amp;Row=3895&amp;Col=1","No Title Assigned - #15268700523")</f>
        <v/>
      </c>
      <c r="B3903" s="0" t="s">
        <v>5497</v>
      </c>
      <c r="C3903" s="0" t="s">
        <v>5498</v>
      </c>
      <c r="D3903" s="0" t="s">
        <v>5498</v>
      </c>
      <c r="E3903" s="0" t="inlineStr">
        <is>
          <t xml:space="preserve">Mazda</t>
        </is>
      </c>
      <c r="F3903" s="0" t="inlineStr">
        <is>
          <t xml:space="preserve">Mazda</t>
        </is>
      </c>
      <c r="G3903" s="0" t="s">
        <v>171</v>
      </c>
      <c r="H3903" s="5">
        <v>36.586000</v>
      </c>
    </row>
    <row r="3904" spans="1:9">
      <c r="A3904" s="22" t="str">
        <f>HYPERLINK("https://app.vivvix.com/360/KMI/IntelliDrive/ApplUI/Pages/CreativePages/CustomReportCreativeDetail.aspx?App=23&amp;ReportView=4&amp;Qid=1711279&amp;Row=3896&amp;Col=1","No Title Assigned - #15268701195")</f>
        <v/>
      </c>
      <c r="B3904" s="0" t="s">
        <v>5499</v>
      </c>
      <c r="E3904" s="0" t="inlineStr">
        <is>
          <t xml:space="preserve">Mazda</t>
        </is>
      </c>
      <c r="F3904" s="0" t="inlineStr">
        <is>
          <t xml:space="preserve">Mazda</t>
        </is>
      </c>
      <c r="G3904" s="0" t="s">
        <v>171</v>
      </c>
      <c r="H3904" s="5">
        <v>397.234100</v>
      </c>
    </row>
    <row r="3905" spans="1:9">
      <c r="A3905" s="22" t="str">
        <f>HYPERLINK("https://app.vivvix.com/360/KMI/IntelliDrive/ApplUI/Pages/CreativePages/CustomReportCreativeDetail.aspx?App=23&amp;ReportView=4&amp;Qid=1711279&amp;Row=3897&amp;Col=1","No Title Assigned - #15268703161")</f>
        <v/>
      </c>
      <c r="B3905" s="0" t="s">
        <v>5500</v>
      </c>
      <c r="E3905" s="0" t="inlineStr">
        <is>
          <t xml:space="preserve">Mazda</t>
        </is>
      </c>
      <c r="F3905" s="0" t="inlineStr">
        <is>
          <t xml:space="preserve">Mazda</t>
        </is>
      </c>
      <c r="G3905" s="0" t="s">
        <v>171</v>
      </c>
      <c r="H3905" s="5">
        <v>34.412900</v>
      </c>
    </row>
    <row r="3906" spans="1:9">
      <c r="A3906" s="22" t="str">
        <f>HYPERLINK("https://app.vivvix.com/360/KMI/IntelliDrive/ApplUI/Pages/CreativePages/CustomReportCreativeDetail.aspx?App=23&amp;ReportView=4&amp;Qid=1711279&amp;Row=3898&amp;Col=1","No Title Assigned - #15268703940")</f>
        <v/>
      </c>
      <c r="B3906" s="0" t="s">
        <v>5501</v>
      </c>
      <c r="E3906" s="0" t="inlineStr">
        <is>
          <t xml:space="preserve">Mazda</t>
        </is>
      </c>
      <c r="F3906" s="0" t="inlineStr">
        <is>
          <t xml:space="preserve">Mazda</t>
        </is>
      </c>
      <c r="G3906" s="0" t="s">
        <v>171</v>
      </c>
      <c r="H3906" s="5">
        <v>2.292000</v>
      </c>
    </row>
    <row r="3907" spans="1:9">
      <c r="A3907" s="22" t="str">
        <f>HYPERLINK("https://app.vivvix.com/360/KMI/IntelliDrive/ApplUI/Pages/CreativePages/CustomReportCreativeDetail.aspx?App=23&amp;ReportView=4&amp;Qid=1711279&amp;Row=3899&amp;Col=1","No Title Assigned - #15268704270")</f>
        <v/>
      </c>
      <c r="B3907" s="0" t="s">
        <v>5502</v>
      </c>
      <c r="E3907" s="0" t="inlineStr">
        <is>
          <t xml:space="preserve">Mazda</t>
        </is>
      </c>
      <c r="F3907" s="0" t="inlineStr">
        <is>
          <t xml:space="preserve">Mazda</t>
        </is>
      </c>
      <c r="G3907" s="0" t="s">
        <v>171</v>
      </c>
      <c r="H3907" s="5">
        <v>24.955200</v>
      </c>
    </row>
    <row r="3908" spans="1:9">
      <c r="A3908" s="22" t="str">
        <f>HYPERLINK("https://app.vivvix.com/360/KMI/IntelliDrive/ApplUI/Pages/CreativePages/CustomReportCreativeDetail.aspx?App=23&amp;ReportView=4&amp;Qid=1711279&amp;Row=3900&amp;Col=1","No Title Assigned - #15268705588")</f>
        <v/>
      </c>
      <c r="B3908" s="0" t="s">
        <v>5503</v>
      </c>
      <c r="C3908" s="0" t="s">
        <v>5504</v>
      </c>
      <c r="D3908" s="0" t="s">
        <v>5504</v>
      </c>
      <c r="E3908" s="0" t="inlineStr">
        <is>
          <t xml:space="preserve">Mazda</t>
        </is>
      </c>
      <c r="F3908" s="0" t="inlineStr">
        <is>
          <t xml:space="preserve">Mazda</t>
        </is>
      </c>
      <c r="G3908" s="0" t="s">
        <v>171</v>
      </c>
      <c r="H3908" s="5">
        <v>83.372900</v>
      </c>
    </row>
    <row r="3909" spans="1:9">
      <c r="A3909" s="22" t="str">
        <f>HYPERLINK("https://app.vivvix.com/360/KMI/IntelliDrive/ApplUI/Pages/CreativePages/CustomReportCreativeDetail.aspx?App=23&amp;ReportView=4&amp;Qid=1711279&amp;Row=3901&amp;Col=1","No Title Assigned - #15268706325")</f>
        <v/>
      </c>
      <c r="B3909" s="0" t="s">
        <v>5505</v>
      </c>
      <c r="E3909" s="0" t="inlineStr">
        <is>
          <t xml:space="preserve">Mazda</t>
        </is>
      </c>
      <c r="F3909" s="0" t="inlineStr">
        <is>
          <t xml:space="preserve">Mazda</t>
        </is>
      </c>
      <c r="G3909" s="0" t="s">
        <v>171</v>
      </c>
      <c r="H3909" s="5">
        <v>187.074800</v>
      </c>
    </row>
    <row r="3910" spans="1:9">
      <c r="A3910" s="22" t="str">
        <f>HYPERLINK("https://app.vivvix.com/360/KMI/IntelliDrive/ApplUI/Pages/CreativePages/CustomReportCreativeDetail.aspx?App=23&amp;ReportView=4&amp;Qid=1711279&amp;Row=3902&amp;Col=1","No Title Assigned - #15268706634")</f>
        <v/>
      </c>
      <c r="B3910" s="0" t="s">
        <v>5506</v>
      </c>
      <c r="E3910" s="0" t="inlineStr">
        <is>
          <t xml:space="preserve">Mazda</t>
        </is>
      </c>
      <c r="F3910" s="0" t="s">
        <v>21</v>
      </c>
      <c r="G3910" s="0" t="s">
        <v>22</v>
      </c>
      <c r="H3910" s="5">
        <v>4677.520400</v>
      </c>
    </row>
    <row r="3911" spans="1:9">
      <c r="A3911" s="22" t="str">
        <f>HYPERLINK("https://app.vivvix.com/360/KMI/IntelliDrive/ApplUI/Pages/CreativePages/CustomReportCreativeDetail.aspx?App=23&amp;ReportView=4&amp;Qid=1711279&amp;Row=3903&amp;Col=1","No Title Assigned - #15268707015")</f>
        <v/>
      </c>
      <c r="B3911" s="0" t="s">
        <v>5507</v>
      </c>
      <c r="C3911" s="0" t="s">
        <v>5508</v>
      </c>
      <c r="D3911" s="0" t="s">
        <v>5508</v>
      </c>
      <c r="E3911" s="0" t="inlineStr">
        <is>
          <t xml:space="preserve">Mazda</t>
        </is>
      </c>
      <c r="F3911" s="0" t="inlineStr">
        <is>
          <t xml:space="preserve">Mazda</t>
        </is>
      </c>
      <c r="G3911" s="0" t="s">
        <v>171</v>
      </c>
      <c r="H3911" s="5">
        <v>19.830300</v>
      </c>
    </row>
    <row r="3912" spans="1:9">
      <c r="A3912" s="22" t="str">
        <f>HYPERLINK("https://app.vivvix.com/360/KMI/IntelliDrive/ApplUI/Pages/CreativePages/CustomReportCreativeDetail.aspx?App=23&amp;ReportView=4&amp;Qid=1711279&amp;Row=3904&amp;Col=1","No Title Assigned - #15268710457")</f>
        <v/>
      </c>
      <c r="B3912" s="0" t="s">
        <v>5509</v>
      </c>
      <c r="C3912" s="0" t="s">
        <v>5510</v>
      </c>
      <c r="D3912" s="0" t="s">
        <v>5510</v>
      </c>
      <c r="E3912" s="0" t="inlineStr">
        <is>
          <t xml:space="preserve">Mazda</t>
        </is>
      </c>
      <c r="F3912" s="0" t="inlineStr">
        <is>
          <t xml:space="preserve">Mazda</t>
        </is>
      </c>
      <c r="G3912" s="0" t="s">
        <v>171</v>
      </c>
      <c r="H3912" s="5">
        <v>13964.724900</v>
      </c>
    </row>
    <row r="3913" spans="1:9">
      <c r="A3913" s="22" t="str">
        <f>HYPERLINK("https://app.vivvix.com/360/KMI/IntelliDrive/ApplUI/Pages/CreativePages/CustomReportCreativeDetail.aspx?App=23&amp;ReportView=4&amp;Qid=1711279&amp;Row=3905&amp;Col=1","No Title Assigned - #15268710457")</f>
        <v/>
      </c>
      <c r="B3913" s="0" t="s">
        <v>5509</v>
      </c>
      <c r="E3913" s="0" t="inlineStr">
        <is>
          <t xml:space="preserve">Mazda</t>
        </is>
      </c>
      <c r="F3913" s="0" t="inlineStr">
        <is>
          <t xml:space="preserve">Mazda</t>
        </is>
      </c>
      <c r="G3913" s="0" t="s">
        <v>171</v>
      </c>
      <c r="H3913" s="5">
        <v>16808.856900</v>
      </c>
    </row>
    <row r="3914" spans="1:9">
      <c r="A3914" s="22" t="str">
        <f>HYPERLINK("https://app.vivvix.com/360/KMI/IntelliDrive/ApplUI/Pages/CreativePages/CustomReportCreativeDetail.aspx?App=23&amp;ReportView=4&amp;Qid=1711279&amp;Row=3906&amp;Col=1","No Title Assigned - #15268712780")</f>
        <v/>
      </c>
      <c r="B3914" s="0" t="s">
        <v>5511</v>
      </c>
      <c r="C3914" s="0" t="s">
        <v>5512</v>
      </c>
      <c r="D3914" s="0" t="s">
        <v>5512</v>
      </c>
      <c r="E3914" s="0" t="inlineStr">
        <is>
          <t xml:space="preserve">Mazda</t>
        </is>
      </c>
      <c r="F3914" s="0" t="inlineStr">
        <is>
          <t xml:space="preserve">Mazda</t>
        </is>
      </c>
      <c r="G3914" s="0" t="s">
        <v>171</v>
      </c>
      <c r="H3914" s="5">
        <v>39.660600</v>
      </c>
    </row>
    <row r="3915" spans="1:9">
      <c r="A3915" s="22" t="str">
        <f>HYPERLINK("https://app.vivvix.com/360/KMI/IntelliDrive/ApplUI/Pages/CreativePages/CustomReportCreativeDetail.aspx?App=23&amp;ReportView=4&amp;Qid=1711279&amp;Row=3907&amp;Col=1","No Title Assigned - #15268716010")</f>
        <v/>
      </c>
      <c r="B3915" s="0" t="s">
        <v>5513</v>
      </c>
      <c r="C3915" s="0" t="s">
        <v>5514</v>
      </c>
      <c r="D3915" s="0" t="s">
        <v>5514</v>
      </c>
      <c r="E3915" s="0" t="inlineStr">
        <is>
          <t xml:space="preserve">Mazda</t>
        </is>
      </c>
      <c r="F3915" s="0" t="s">
        <v>28</v>
      </c>
      <c r="G3915" s="0" t="s">
        <v>29</v>
      </c>
      <c r="H3915" s="5">
        <v>835.638900</v>
      </c>
    </row>
    <row r="3916" spans="1:9">
      <c r="A3916" s="22" t="str">
        <f>HYPERLINK("https://app.vivvix.com/360/KMI/IntelliDrive/ApplUI/Pages/CreativePages/CustomReportCreativeDetail.aspx?App=23&amp;ReportView=4&amp;Qid=1711279&amp;Row=3908&amp;Col=1","No Title Assigned - #15268719174")</f>
        <v/>
      </c>
      <c r="B3916" s="0" t="s">
        <v>5515</v>
      </c>
      <c r="C3916" s="0" t="s">
        <v>5516</v>
      </c>
      <c r="D3916" s="0" t="s">
        <v>4781</v>
      </c>
      <c r="E3916" s="0" t="inlineStr">
        <is>
          <t xml:space="preserve">Mazda</t>
        </is>
      </c>
      <c r="F3916" s="0" t="s">
        <v>28</v>
      </c>
      <c r="G3916" s="0" t="s">
        <v>29</v>
      </c>
      <c r="H3916" s="5">
        <v>6.460000</v>
      </c>
    </row>
    <row r="3917" spans="1:9">
      <c r="A3917" s="22" t="str">
        <f>HYPERLINK("https://app.vivvix.com/360/KMI/IntelliDrive/ApplUI/Pages/CreativePages/CustomReportCreativeDetail.aspx?App=23&amp;ReportView=4&amp;Qid=1711279&amp;Row=3909&amp;Col=1","No Title Assigned - #15268719543")</f>
        <v/>
      </c>
      <c r="B3917" s="0" t="s">
        <v>5517</v>
      </c>
      <c r="C3917" s="0" t="s">
        <v>5518</v>
      </c>
      <c r="D3917" s="0" t="s">
        <v>5518</v>
      </c>
      <c r="E3917" s="0" t="inlineStr">
        <is>
          <t xml:space="preserve">Mazda</t>
        </is>
      </c>
      <c r="F3917" s="0" t="s">
        <v>28</v>
      </c>
      <c r="G3917" s="0" t="s">
        <v>29</v>
      </c>
      <c r="H3917" s="5">
        <v>46.434400</v>
      </c>
    </row>
    <row r="3918" spans="1:9">
      <c r="A3918" s="22" t="str">
        <f>HYPERLINK("https://app.vivvix.com/360/KMI/IntelliDrive/ApplUI/Pages/CreativePages/CustomReportCreativeDetail.aspx?App=23&amp;ReportView=4&amp;Qid=1711279&amp;Row=3910&amp;Col=1","No Title Assigned - #15268719544")</f>
        <v/>
      </c>
      <c r="B3918" s="0" t="s">
        <v>5519</v>
      </c>
      <c r="C3918" s="0" t="s">
        <v>5520</v>
      </c>
      <c r="D3918" s="0" t="s">
        <v>5520</v>
      </c>
      <c r="E3918" s="0" t="inlineStr">
        <is>
          <t xml:space="preserve">Mazda</t>
        </is>
      </c>
      <c r="F3918" s="0" t="s">
        <v>28</v>
      </c>
      <c r="G3918" s="0" t="s">
        <v>29</v>
      </c>
      <c r="H3918" s="5">
        <v>54.118300</v>
      </c>
    </row>
    <row r="3919" spans="1:9">
      <c r="A3919" s="22" t="str">
        <f>HYPERLINK("https://app.vivvix.com/360/KMI/IntelliDrive/ApplUI/Pages/CreativePages/CustomReportCreativeDetail.aspx?App=23&amp;ReportView=4&amp;Qid=1711279&amp;Row=3911&amp;Col=1","No Title Assigned - #15268719874")</f>
        <v/>
      </c>
      <c r="B3919" s="0" t="s">
        <v>5521</v>
      </c>
      <c r="C3919" s="0" t="s">
        <v>5522</v>
      </c>
      <c r="D3919" s="0" t="s">
        <v>5518</v>
      </c>
      <c r="E3919" s="0" t="inlineStr">
        <is>
          <t xml:space="preserve">Mazda</t>
        </is>
      </c>
      <c r="F3919" s="0" t="s">
        <v>28</v>
      </c>
      <c r="G3919" s="0" t="s">
        <v>29</v>
      </c>
      <c r="H3919" s="5">
        <v>26.749600</v>
      </c>
    </row>
    <row r="3920" spans="1:9">
      <c r="A3920" s="22" t="str">
        <f>HYPERLINK("https://app.vivvix.com/360/KMI/IntelliDrive/ApplUI/Pages/CreativePages/CustomReportCreativeDetail.aspx?App=23&amp;ReportView=4&amp;Qid=1711279&amp;Row=3912&amp;Col=1","No Title Assigned - #15268720383")</f>
        <v/>
      </c>
      <c r="B3920" s="0" t="s">
        <v>5523</v>
      </c>
      <c r="C3920" s="0" t="s">
        <v>5524</v>
      </c>
      <c r="D3920" s="0" t="s">
        <v>5524</v>
      </c>
      <c r="E3920" s="0" t="inlineStr">
        <is>
          <t xml:space="preserve">Mazda</t>
        </is>
      </c>
      <c r="F3920" s="0" t="s">
        <v>17</v>
      </c>
      <c r="G3920" s="0" t="s">
        <v>33</v>
      </c>
      <c r="H3920" s="5">
        <v>417.949100</v>
      </c>
    </row>
    <row r="3921" spans="1:9">
      <c r="A3921" s="22" t="str">
        <f>HYPERLINK("https://app.vivvix.com/360/KMI/IntelliDrive/ApplUI/Pages/CreativePages/CustomReportCreativeDetail.aspx?App=23&amp;ReportView=4&amp;Qid=1711279&amp;Row=3913&amp;Col=1","No Title Assigned - #15268722056")</f>
        <v/>
      </c>
      <c r="B3921" s="0" t="s">
        <v>5525</v>
      </c>
      <c r="C3921" s="0" t="s">
        <v>5526</v>
      </c>
      <c r="D3921" s="0" t="s">
        <v>4333</v>
      </c>
      <c r="E3921" s="0" t="inlineStr">
        <is>
          <t xml:space="preserve">Mazda</t>
        </is>
      </c>
      <c r="F3921" s="0" t="s">
        <v>28</v>
      </c>
      <c r="G3921" s="0" t="s">
        <v>29</v>
      </c>
      <c r="H3921" s="5">
        <v>339.697500</v>
      </c>
    </row>
    <row r="3922" spans="1:9">
      <c r="A3922" s="22" t="str">
        <f>HYPERLINK("https://app.vivvix.com/360/KMI/IntelliDrive/ApplUI/Pages/CreativePages/CustomReportCreativeDetail.aspx?App=23&amp;ReportView=4&amp;Qid=1711279&amp;Row=3914&amp;Col=1","No Title Assigned - #15268722289")</f>
        <v/>
      </c>
      <c r="B3922" s="0" t="s">
        <v>5527</v>
      </c>
      <c r="C3922" s="0" t="s">
        <v>5528</v>
      </c>
      <c r="D3922" s="0" t="s">
        <v>4597</v>
      </c>
      <c r="E3922" s="0" t="inlineStr">
        <is>
          <t xml:space="preserve">Mazda</t>
        </is>
      </c>
      <c r="F3922" s="0" t="s">
        <v>17</v>
      </c>
      <c r="G3922" s="0" t="s">
        <v>33</v>
      </c>
      <c r="H3922" s="5">
        <v>211.771300</v>
      </c>
    </row>
    <row r="3923" spans="1:9">
      <c r="A3923" s="22" t="str">
        <f>HYPERLINK("https://app.vivvix.com/360/KMI/IntelliDrive/ApplUI/Pages/CreativePages/CustomReportCreativeDetail.aspx?App=23&amp;ReportView=4&amp;Qid=1711279&amp;Row=3915&amp;Col=1","No Title Assigned - #15268722475")</f>
        <v/>
      </c>
      <c r="B3923" s="0" t="s">
        <v>5529</v>
      </c>
      <c r="C3923" s="0" t="s">
        <v>5530</v>
      </c>
      <c r="D3923" s="0" t="s">
        <v>5530</v>
      </c>
      <c r="E3923" s="0" t="inlineStr">
        <is>
          <t xml:space="preserve">Mazda</t>
        </is>
      </c>
      <c r="F3923" s="0" t="s">
        <v>21</v>
      </c>
      <c r="G3923" s="0" t="s">
        <v>22</v>
      </c>
      <c r="H3923" s="5">
        <v>1550.740400</v>
      </c>
    </row>
    <row r="3924" spans="1:9">
      <c r="A3924" s="22" t="str">
        <f>HYPERLINK("https://app.vivvix.com/360/KMI/IntelliDrive/ApplUI/Pages/CreativePages/CustomReportCreativeDetail.aspx?App=23&amp;ReportView=4&amp;Qid=1711279&amp;Row=3916&amp;Col=1","No Title Assigned - #15268724271")</f>
        <v/>
      </c>
      <c r="B3924" s="0" t="s">
        <v>5531</v>
      </c>
      <c r="C3924" s="0" t="s">
        <v>5532</v>
      </c>
      <c r="D3924" s="0" t="s">
        <v>4204</v>
      </c>
      <c r="E3924" s="0" t="inlineStr">
        <is>
          <t xml:space="preserve">Mazda</t>
        </is>
      </c>
      <c r="F3924" s="0" t="s">
        <v>28</v>
      </c>
      <c r="G3924" s="0" t="s">
        <v>29</v>
      </c>
      <c r="H3924" s="5">
        <v>6406.599100</v>
      </c>
    </row>
    <row r="3925" spans="1:9">
      <c r="A3925" s="22" t="str">
        <f>HYPERLINK("https://app.vivvix.com/360/KMI/IntelliDrive/ApplUI/Pages/CreativePages/CustomReportCreativeDetail.aspx?App=23&amp;ReportView=4&amp;Qid=1711279&amp;Row=3917&amp;Col=1","No Title Assigned - #15268724824")</f>
        <v/>
      </c>
      <c r="B3925" s="0" t="s">
        <v>5533</v>
      </c>
      <c r="C3925" s="0" t="s">
        <v>5534</v>
      </c>
      <c r="D3925" s="0" t="s">
        <v>5534</v>
      </c>
      <c r="E3925" s="0" t="inlineStr">
        <is>
          <t xml:space="preserve">Mazda</t>
        </is>
      </c>
      <c r="F3925" s="0" t="s">
        <v>28</v>
      </c>
      <c r="G3925" s="0" t="s">
        <v>29</v>
      </c>
      <c r="H3925" s="5">
        <v>4.676900</v>
      </c>
    </row>
    <row r="3926" spans="1:9">
      <c r="A3926" s="22" t="str">
        <f>HYPERLINK("https://app.vivvix.com/360/KMI/IntelliDrive/ApplUI/Pages/CreativePages/CustomReportCreativeDetail.aspx?App=23&amp;ReportView=4&amp;Qid=1711279&amp;Row=3918&amp;Col=1","No Title Assigned - #15268724858")</f>
        <v/>
      </c>
      <c r="B3926" s="0" t="s">
        <v>5535</v>
      </c>
      <c r="C3926" s="0" t="s">
        <v>5536</v>
      </c>
      <c r="D3926" s="0" t="s">
        <v>4204</v>
      </c>
      <c r="E3926" s="0" t="inlineStr">
        <is>
          <t xml:space="preserve">Mazda</t>
        </is>
      </c>
      <c r="F3926" s="0" t="s">
        <v>28</v>
      </c>
      <c r="G3926" s="0" t="s">
        <v>29</v>
      </c>
      <c r="H3926" s="5">
        <v>21.302000</v>
      </c>
    </row>
    <row r="3927" spans="1:9">
      <c r="A3927" s="22" t="str">
        <f>HYPERLINK("https://app.vivvix.com/360/KMI/IntelliDrive/ApplUI/Pages/CreativePages/CustomReportCreativeDetail.aspx?App=23&amp;ReportView=4&amp;Qid=1711279&amp;Row=3919&amp;Col=1","No Title Assigned - #15268725078")</f>
        <v/>
      </c>
      <c r="B3927" s="0" t="s">
        <v>5537</v>
      </c>
      <c r="C3927" s="0" t="s">
        <v>5538</v>
      </c>
      <c r="D3927" s="0" t="s">
        <v>4200</v>
      </c>
      <c r="E3927" s="0" t="inlineStr">
        <is>
          <t xml:space="preserve">Mazda</t>
        </is>
      </c>
      <c r="F3927" s="0" t="s">
        <v>28</v>
      </c>
      <c r="G3927" s="0" t="s">
        <v>29</v>
      </c>
      <c r="H3927" s="5">
        <v>402.787400</v>
      </c>
    </row>
    <row r="3928" spans="1:9">
      <c r="A3928" s="22" t="str">
        <f>HYPERLINK("https://app.vivvix.com/360/KMI/IntelliDrive/ApplUI/Pages/CreativePages/CustomReportCreativeDetail.aspx?App=23&amp;ReportView=4&amp;Qid=1711279&amp;Row=3920&amp;Col=1","No Title Assigned - #15268726202")</f>
        <v/>
      </c>
      <c r="B3928" s="0" t="s">
        <v>5539</v>
      </c>
      <c r="C3928" s="0" t="s">
        <v>5540</v>
      </c>
      <c r="D3928" s="0" t="s">
        <v>5540</v>
      </c>
      <c r="E3928" s="0" t="inlineStr">
        <is>
          <t xml:space="preserve">Mazda</t>
        </is>
      </c>
      <c r="F3928" s="0" t="s">
        <v>28</v>
      </c>
      <c r="G3928" s="0" t="s">
        <v>29</v>
      </c>
      <c r="H3928" s="5">
        <v>5329.528200</v>
      </c>
    </row>
    <row r="3929" spans="1:9">
      <c r="A3929" s="22" t="str">
        <f>HYPERLINK("https://app.vivvix.com/360/KMI/IntelliDrive/ApplUI/Pages/CreativePages/CustomReportCreativeDetail.aspx?App=23&amp;ReportView=4&amp;Qid=1711279&amp;Row=3921&amp;Col=1","No Title Assigned - #15268728986")</f>
        <v/>
      </c>
      <c r="B3929" s="0" t="s">
        <v>5541</v>
      </c>
      <c r="C3929" s="0" t="s">
        <v>5542</v>
      </c>
      <c r="D3929" s="0" t="s">
        <v>5542</v>
      </c>
      <c r="E3929" s="0" t="inlineStr">
        <is>
          <t xml:space="preserve">Mazda</t>
        </is>
      </c>
      <c r="F3929" s="0" t="inlineStr">
        <is>
          <t xml:space="preserve">Mazda</t>
        </is>
      </c>
      <c r="G3929" s="0" t="s">
        <v>171</v>
      </c>
      <c r="H3929" s="5">
        <v>772.232000</v>
      </c>
    </row>
    <row r="3930" spans="1:9">
      <c r="A3930" s="22" t="str">
        <f>HYPERLINK("https://app.vivvix.com/360/KMI/IntelliDrive/ApplUI/Pages/CreativePages/CustomReportCreativeDetail.aspx?App=23&amp;ReportView=4&amp;Qid=1711279&amp;Row=3922&amp;Col=1","No Title Assigned - #15268729748")</f>
        <v/>
      </c>
      <c r="B3930" s="0" t="s">
        <v>5543</v>
      </c>
      <c r="C3930" s="0" t="s">
        <v>5544</v>
      </c>
      <c r="D3930" s="0" t="s">
        <v>5544</v>
      </c>
      <c r="E3930" s="0" t="inlineStr">
        <is>
          <t xml:space="preserve">Mazda</t>
        </is>
      </c>
      <c r="F3930" s="0" t="inlineStr">
        <is>
          <t xml:space="preserve">Mazda</t>
        </is>
      </c>
      <c r="G3930" s="0" t="s">
        <v>171</v>
      </c>
      <c r="H3930" s="5">
        <v>241.286400</v>
      </c>
    </row>
    <row r="3931" spans="1:9">
      <c r="A3931" s="22" t="str">
        <f>HYPERLINK("https://app.vivvix.com/360/KMI/IntelliDrive/ApplUI/Pages/CreativePages/CustomReportCreativeDetail.aspx?App=23&amp;ReportView=4&amp;Qid=1711279&amp;Row=3923&amp;Col=1","No Title Assigned - #15268731525")</f>
        <v/>
      </c>
      <c r="B3931" s="0" t="s">
        <v>5545</v>
      </c>
      <c r="E3931" s="0" t="inlineStr">
        <is>
          <t xml:space="preserve">Mazda</t>
        </is>
      </c>
      <c r="F3931" s="0" t="inlineStr">
        <is>
          <t xml:space="preserve">Mazda</t>
        </is>
      </c>
      <c r="G3931" s="0" t="s">
        <v>171</v>
      </c>
      <c r="H3931" s="5">
        <v>5.135100</v>
      </c>
    </row>
    <row r="3932" spans="1:9">
      <c r="A3932" s="22" t="str">
        <f>HYPERLINK("https://app.vivvix.com/360/KMI/IntelliDrive/ApplUI/Pages/CreativePages/CustomReportCreativeDetail.aspx?App=23&amp;ReportView=4&amp;Qid=1711279&amp;Row=3924&amp;Col=1","No Title Assigned - #15268732450")</f>
        <v/>
      </c>
      <c r="B3932" s="0" t="s">
        <v>5546</v>
      </c>
      <c r="C3932" s="0" t="s">
        <v>5547</v>
      </c>
      <c r="D3932" s="0" t="s">
        <v>5547</v>
      </c>
      <c r="E3932" s="0" t="inlineStr">
        <is>
          <t xml:space="preserve">Mazda</t>
        </is>
      </c>
      <c r="F3932" s="0" t="inlineStr">
        <is>
          <t xml:space="preserve">Mazda</t>
        </is>
      </c>
      <c r="G3932" s="0" t="s">
        <v>171</v>
      </c>
      <c r="H3932" s="5">
        <v>26.233800</v>
      </c>
    </row>
    <row r="3933" spans="1:9">
      <c r="A3933" s="22" t="str">
        <f>HYPERLINK("https://app.vivvix.com/360/KMI/IntelliDrive/ApplUI/Pages/CreativePages/CustomReportCreativeDetail.aspx?App=23&amp;ReportView=4&amp;Qid=1711279&amp;Row=3925&amp;Col=1","No Title Assigned - #15268732452")</f>
        <v/>
      </c>
      <c r="B3933" s="0" t="s">
        <v>5548</v>
      </c>
      <c r="C3933" s="0" t="s">
        <v>5549</v>
      </c>
      <c r="D3933" s="0" t="s">
        <v>5549</v>
      </c>
      <c r="E3933" s="0" t="inlineStr">
        <is>
          <t xml:space="preserve">Mazda</t>
        </is>
      </c>
      <c r="F3933" s="0" t="s">
        <v>28</v>
      </c>
      <c r="G3933" s="0" t="s">
        <v>29</v>
      </c>
      <c r="H3933" s="5">
        <v>12.571700</v>
      </c>
    </row>
    <row r="3934" spans="1:9">
      <c r="A3934" s="22" t="str">
        <f>HYPERLINK("https://app.vivvix.com/360/KMI/IntelliDrive/ApplUI/Pages/CreativePages/CustomReportCreativeDetail.aspx?App=23&amp;ReportView=4&amp;Qid=1711279&amp;Row=3926&amp;Col=1","No Title Assigned - #15268734134")</f>
        <v/>
      </c>
      <c r="B3934" s="0" t="s">
        <v>5550</v>
      </c>
      <c r="C3934" s="0" t="s">
        <v>5551</v>
      </c>
      <c r="D3934" s="0" t="s">
        <v>5551</v>
      </c>
      <c r="E3934" s="0" t="inlineStr">
        <is>
          <t xml:space="preserve">Mazda</t>
        </is>
      </c>
      <c r="F3934" s="0" t="s">
        <v>28</v>
      </c>
      <c r="G3934" s="0" t="s">
        <v>29</v>
      </c>
    </row>
    <row r="3935" spans="1:9">
      <c r="A3935" s="22" t="str">
        <f>HYPERLINK("https://app.vivvix.com/360/KMI/IntelliDrive/ApplUI/Pages/CreativePages/CustomReportCreativeDetail.aspx?App=23&amp;ReportView=4&amp;Qid=1711279&amp;Row=3927&amp;Col=1","No Title Assigned - #15268734395")</f>
        <v/>
      </c>
      <c r="B3935" s="0" t="s">
        <v>5552</v>
      </c>
      <c r="E3935" s="0" t="inlineStr">
        <is>
          <t xml:space="preserve">Mazda</t>
        </is>
      </c>
      <c r="F3935" s="0" t="inlineStr">
        <is>
          <t xml:space="preserve">Mazda</t>
        </is>
      </c>
      <c r="G3935" s="0" t="s">
        <v>171</v>
      </c>
      <c r="H3935" s="5">
        <v>13.611100</v>
      </c>
    </row>
    <row r="3936" spans="1:9">
      <c r="A3936" s="22" t="str">
        <f>HYPERLINK("https://app.vivvix.com/360/KMI/IntelliDrive/ApplUI/Pages/CreativePages/CustomReportCreativeDetail.aspx?App=23&amp;ReportView=4&amp;Qid=1711279&amp;Row=3928&amp;Col=1","No Title Assigned - #15268734898")</f>
        <v/>
      </c>
      <c r="B3936" s="0" t="s">
        <v>5553</v>
      </c>
      <c r="E3936" s="0" t="inlineStr">
        <is>
          <t xml:space="preserve">Mazda</t>
        </is>
      </c>
      <c r="F3936" s="0" t="inlineStr">
        <is>
          <t xml:space="preserve">Mazda</t>
        </is>
      </c>
      <c r="G3936" s="0" t="s">
        <v>171</v>
      </c>
      <c r="H3936" s="5">
        <v>189.422800</v>
      </c>
    </row>
    <row r="3937" spans="1:9">
      <c r="A3937" s="22" t="str">
        <f>HYPERLINK("https://app.vivvix.com/360/KMI/IntelliDrive/ApplUI/Pages/CreativePages/CustomReportCreativeDetail.aspx?App=23&amp;ReportView=4&amp;Qid=1711279&amp;Row=3929&amp;Col=1","No Title Assigned - #15268735144")</f>
        <v/>
      </c>
      <c r="B3937" s="0" t="s">
        <v>5554</v>
      </c>
      <c r="E3937" s="0" t="inlineStr">
        <is>
          <t xml:space="preserve">Mazda</t>
        </is>
      </c>
      <c r="F3937" s="0" t="inlineStr">
        <is>
          <t xml:space="preserve">Mazda</t>
        </is>
      </c>
      <c r="G3937" s="0" t="s">
        <v>171</v>
      </c>
      <c r="H3937" s="5">
        <v>2369.260500</v>
      </c>
    </row>
    <row r="3938" spans="1:9">
      <c r="A3938" s="22" t="str">
        <f>HYPERLINK("https://app.vivvix.com/360/KMI/IntelliDrive/ApplUI/Pages/CreativePages/CustomReportCreativeDetail.aspx?App=23&amp;ReportView=4&amp;Qid=1711279&amp;Row=3930&amp;Col=1","No Title Assigned - #15268735273")</f>
        <v/>
      </c>
      <c r="B3938" s="0" t="s">
        <v>5555</v>
      </c>
      <c r="C3938" s="0" t="s">
        <v>5556</v>
      </c>
      <c r="D3938" s="0" t="s">
        <v>5556</v>
      </c>
      <c r="E3938" s="0" t="inlineStr">
        <is>
          <t xml:space="preserve">Mazda</t>
        </is>
      </c>
      <c r="F3938" s="0" t="inlineStr">
        <is>
          <t xml:space="preserve">Mazda</t>
        </is>
      </c>
      <c r="G3938" s="0" t="s">
        <v>171</v>
      </c>
      <c r="H3938" s="5">
        <v>508.193200</v>
      </c>
    </row>
    <row r="3939" spans="1:9">
      <c r="A3939" s="22" t="str">
        <f>HYPERLINK("https://app.vivvix.com/360/KMI/IntelliDrive/ApplUI/Pages/CreativePages/CustomReportCreativeDetail.aspx?App=23&amp;ReportView=4&amp;Qid=1711279&amp;Row=3931&amp;Col=1","No Title Assigned - #15268736034")</f>
        <v/>
      </c>
      <c r="B3939" s="0" t="s">
        <v>5557</v>
      </c>
      <c r="E3939" s="0" t="inlineStr">
        <is>
          <t xml:space="preserve">Mazda</t>
        </is>
      </c>
      <c r="F3939" s="0" t="inlineStr">
        <is>
          <t xml:space="preserve">Mazda</t>
        </is>
      </c>
      <c r="G3939" s="0" t="s">
        <v>171</v>
      </c>
      <c r="H3939" s="5">
        <v>68.667900</v>
      </c>
    </row>
    <row r="3940" spans="1:9">
      <c r="A3940" s="22" t="str">
        <f>HYPERLINK("https://app.vivvix.com/360/KMI/IntelliDrive/ApplUI/Pages/CreativePages/CustomReportCreativeDetail.aspx?App=23&amp;ReportView=4&amp;Qid=1711279&amp;Row=3932&amp;Col=1","No Title Assigned - #15268737370")</f>
        <v/>
      </c>
      <c r="B3940" s="0" t="s">
        <v>5558</v>
      </c>
      <c r="E3940" s="0" t="inlineStr">
        <is>
          <t xml:space="preserve">Mazda</t>
        </is>
      </c>
      <c r="F3940" s="0" t="inlineStr">
        <is>
          <t xml:space="preserve">Mazda</t>
        </is>
      </c>
      <c r="G3940" s="0" t="s">
        <v>171</v>
      </c>
      <c r="H3940" s="5">
        <v>2739.781300</v>
      </c>
    </row>
    <row r="3941" spans="1:9">
      <c r="A3941" s="22" t="str">
        <f>HYPERLINK("https://app.vivvix.com/360/KMI/IntelliDrive/ApplUI/Pages/CreativePages/CustomReportCreativeDetail.aspx?App=23&amp;ReportView=4&amp;Qid=1711279&amp;Row=3933&amp;Col=1","No Title Assigned - #15268737544")</f>
        <v/>
      </c>
      <c r="B3941" s="0" t="s">
        <v>5559</v>
      </c>
      <c r="E3941" s="0" t="inlineStr">
        <is>
          <t xml:space="preserve">Mazda</t>
        </is>
      </c>
      <c r="F3941" s="0" t="inlineStr">
        <is>
          <t xml:space="preserve">Mazda</t>
        </is>
      </c>
      <c r="G3941" s="0" t="s">
        <v>171</v>
      </c>
      <c r="H3941" s="5">
        <v>838.246400</v>
      </c>
    </row>
    <row r="3942" spans="1:9">
      <c r="A3942" s="22" t="str">
        <f>HYPERLINK("https://app.vivvix.com/360/KMI/IntelliDrive/ApplUI/Pages/CreativePages/CustomReportCreativeDetail.aspx?App=23&amp;ReportView=4&amp;Qid=1711279&amp;Row=3934&amp;Col=1","No Title Assigned - #15268737676")</f>
        <v/>
      </c>
      <c r="B3942" s="0" t="s">
        <v>5560</v>
      </c>
      <c r="E3942" s="0" t="inlineStr">
        <is>
          <t xml:space="preserve">Mazda</t>
        </is>
      </c>
      <c r="F3942" s="0" t="inlineStr">
        <is>
          <t xml:space="preserve">Mazda</t>
        </is>
      </c>
      <c r="G3942" s="0" t="s">
        <v>171</v>
      </c>
      <c r="H3942" s="5">
        <v>35.370600</v>
      </c>
    </row>
    <row r="3943" spans="1:9">
      <c r="A3943" s="22" t="str">
        <f>HYPERLINK("https://app.vivvix.com/360/KMI/IntelliDrive/ApplUI/Pages/CreativePages/CustomReportCreativeDetail.aspx?App=23&amp;ReportView=4&amp;Qid=1711279&amp;Row=3935&amp;Col=1","No Title Assigned - #15268737976")</f>
        <v/>
      </c>
      <c r="B3943" s="0" t="s">
        <v>5561</v>
      </c>
      <c r="E3943" s="0" t="inlineStr">
        <is>
          <t xml:space="preserve">Mazda</t>
        </is>
      </c>
      <c r="F3943" s="0" t="inlineStr">
        <is>
          <t xml:space="preserve">Mazda</t>
        </is>
      </c>
      <c r="G3943" s="0" t="s">
        <v>171</v>
      </c>
      <c r="H3943" s="5">
        <v>11.775600</v>
      </c>
    </row>
    <row r="3944" spans="1:9">
      <c r="A3944" s="22" t="str">
        <f>HYPERLINK("https://app.vivvix.com/360/KMI/IntelliDrive/ApplUI/Pages/CreativePages/CustomReportCreativeDetail.aspx?App=23&amp;ReportView=4&amp;Qid=1711279&amp;Row=3936&amp;Col=1","No Title Assigned - #15268738052")</f>
        <v/>
      </c>
      <c r="B3944" s="0" t="s">
        <v>5562</v>
      </c>
      <c r="E3944" s="0" t="inlineStr">
        <is>
          <t xml:space="preserve">Mazda</t>
        </is>
      </c>
      <c r="F3944" s="0" t="inlineStr">
        <is>
          <t xml:space="preserve">Mazda</t>
        </is>
      </c>
      <c r="G3944" s="0" t="s">
        <v>171</v>
      </c>
      <c r="H3944" s="5">
        <v>309.050600</v>
      </c>
    </row>
    <row r="3945" spans="1:9">
      <c r="A3945" s="22" t="str">
        <f>HYPERLINK("https://app.vivvix.com/360/KMI/IntelliDrive/ApplUI/Pages/CreativePages/CustomReportCreativeDetail.aspx?App=23&amp;ReportView=4&amp;Qid=1711279&amp;Row=3937&amp;Col=1","No Title Assigned - #15268738193")</f>
        <v/>
      </c>
      <c r="B3945" s="0" t="s">
        <v>5563</v>
      </c>
      <c r="E3945" s="0" t="inlineStr">
        <is>
          <t xml:space="preserve">Mazda</t>
        </is>
      </c>
      <c r="F3945" s="0" t="inlineStr">
        <is>
          <t xml:space="preserve">Mazda</t>
        </is>
      </c>
      <c r="G3945" s="0" t="s">
        <v>171</v>
      </c>
      <c r="H3945" s="5">
        <v>442.271700</v>
      </c>
    </row>
    <row r="3946" spans="1:9">
      <c r="A3946" s="22" t="str">
        <f>HYPERLINK("https://app.vivvix.com/360/KMI/IntelliDrive/ApplUI/Pages/CreativePages/CustomReportCreativeDetail.aspx?App=23&amp;ReportView=4&amp;Qid=1711279&amp;Row=3938&amp;Col=1","No Title Assigned - #15268738514")</f>
        <v/>
      </c>
      <c r="B3946" s="0" t="s">
        <v>5564</v>
      </c>
      <c r="E3946" s="0" t="inlineStr">
        <is>
          <t xml:space="preserve">Mazda</t>
        </is>
      </c>
      <c r="F3946" s="0" t="inlineStr">
        <is>
          <t xml:space="preserve">Mazda</t>
        </is>
      </c>
      <c r="G3946" s="0" t="s">
        <v>171</v>
      </c>
      <c r="H3946" s="5">
        <v>24.499700</v>
      </c>
    </row>
    <row r="3947" spans="1:9">
      <c r="A3947" s="22" t="str">
        <f>HYPERLINK("https://app.vivvix.com/360/KMI/IntelliDrive/ApplUI/Pages/CreativePages/CustomReportCreativeDetail.aspx?App=23&amp;ReportView=4&amp;Qid=1711279&amp;Row=3939&amp;Col=1","No Title Assigned - #15268739172")</f>
        <v/>
      </c>
      <c r="B3947" s="0" t="s">
        <v>5565</v>
      </c>
      <c r="C3947" s="0" t="s">
        <v>5566</v>
      </c>
      <c r="D3947" s="0" t="s">
        <v>4200</v>
      </c>
      <c r="E3947" s="0" t="inlineStr">
        <is>
          <t xml:space="preserve">Mazda</t>
        </is>
      </c>
      <c r="F3947" s="0" t="s">
        <v>28</v>
      </c>
      <c r="G3947" s="0" t="s">
        <v>29</v>
      </c>
      <c r="H3947" s="5">
        <v>54.528900</v>
      </c>
    </row>
    <row r="3948" spans="1:9">
      <c r="A3948" s="22" t="str">
        <f>HYPERLINK("https://app.vivvix.com/360/KMI/IntelliDrive/ApplUI/Pages/CreativePages/CustomReportCreativeDetail.aspx?App=23&amp;ReportView=4&amp;Qid=1711279&amp;Row=3940&amp;Col=1","No Title Assigned - #15268740260")</f>
        <v/>
      </c>
      <c r="B3948" s="0" t="s">
        <v>5567</v>
      </c>
      <c r="C3948" s="0" t="s">
        <v>5568</v>
      </c>
      <c r="D3948" s="0" t="s">
        <v>5568</v>
      </c>
      <c r="E3948" s="0" t="inlineStr">
        <is>
          <t xml:space="preserve">Mazda</t>
        </is>
      </c>
      <c r="F3948" s="0" t="s">
        <v>13</v>
      </c>
      <c r="G3948" s="0" t="s">
        <v>49</v>
      </c>
      <c r="H3948" s="5">
        <v>2957.299800</v>
      </c>
    </row>
    <row r="3949" spans="1:9">
      <c r="A3949" s="22" t="str">
        <f>HYPERLINK("https://app.vivvix.com/360/KMI/IntelliDrive/ApplUI/Pages/CreativePages/CustomReportCreativeDetail.aspx?App=23&amp;ReportView=4&amp;Qid=1711279&amp;Row=3941&amp;Col=1","No Title Assigned - #15268740423")</f>
        <v/>
      </c>
      <c r="B3949" s="0" t="s">
        <v>5569</v>
      </c>
      <c r="C3949" s="0" t="s">
        <v>5570</v>
      </c>
      <c r="D3949" s="0" t="s">
        <v>4204</v>
      </c>
      <c r="E3949" s="0" t="inlineStr">
        <is>
          <t xml:space="preserve">Mazda</t>
        </is>
      </c>
      <c r="F3949" s="0" t="s">
        <v>28</v>
      </c>
      <c r="G3949" s="0" t="s">
        <v>29</v>
      </c>
      <c r="H3949" s="5">
        <v>2176.241700</v>
      </c>
    </row>
    <row r="3950" spans="1:9">
      <c r="A3950" s="22" t="str">
        <f>HYPERLINK("https://app.vivvix.com/360/KMI/IntelliDrive/ApplUI/Pages/CreativePages/CustomReportCreativeDetail.aspx?App=23&amp;ReportView=4&amp;Qid=1711279&amp;Row=3942&amp;Col=1","No Title Assigned - #15268740562")</f>
        <v/>
      </c>
      <c r="B3950" s="0" t="s">
        <v>5571</v>
      </c>
      <c r="C3950" s="0" t="s">
        <v>5572</v>
      </c>
      <c r="D3950" s="0" t="s">
        <v>5572</v>
      </c>
      <c r="E3950" s="0" t="inlineStr">
        <is>
          <t xml:space="preserve">Mazda</t>
        </is>
      </c>
      <c r="F3950" s="0" t="inlineStr">
        <is>
          <t xml:space="preserve">Mazda</t>
        </is>
      </c>
      <c r="G3950" s="0" t="s">
        <v>171</v>
      </c>
      <c r="H3950" s="5">
        <v>472.696600</v>
      </c>
    </row>
    <row r="3951" spans="1:9">
      <c r="A3951" s="22" t="str">
        <f>HYPERLINK("https://app.vivvix.com/360/KMI/IntelliDrive/ApplUI/Pages/CreativePages/CustomReportCreativeDetail.aspx?App=23&amp;ReportView=4&amp;Qid=1711279&amp;Row=3943&amp;Col=1","No Title Assigned - #15268740583")</f>
        <v/>
      </c>
      <c r="B3951" s="0" t="s">
        <v>5573</v>
      </c>
      <c r="E3951" s="0" t="inlineStr">
        <is>
          <t xml:space="preserve">Mazda</t>
        </is>
      </c>
      <c r="F3951" s="0" t="inlineStr">
        <is>
          <t xml:space="preserve">Mazda</t>
        </is>
      </c>
      <c r="G3951" s="0" t="s">
        <v>171</v>
      </c>
      <c r="H3951" s="5">
        <v>47.488600</v>
      </c>
    </row>
    <row r="3952" spans="1:9">
      <c r="A3952" s="22" t="str">
        <f>HYPERLINK("https://app.vivvix.com/360/KMI/IntelliDrive/ApplUI/Pages/CreativePages/CustomReportCreativeDetail.aspx?App=23&amp;ReportView=4&amp;Qid=1711279&amp;Row=3944&amp;Col=1","No Title Assigned - #15268740725")</f>
        <v/>
      </c>
      <c r="B3952" s="0" t="s">
        <v>5574</v>
      </c>
      <c r="E3952" s="0" t="inlineStr">
        <is>
          <t xml:space="preserve">Mazda</t>
        </is>
      </c>
      <c r="F3952" s="0" t="inlineStr">
        <is>
          <t xml:space="preserve">Mazda</t>
        </is>
      </c>
      <c r="G3952" s="0" t="s">
        <v>171</v>
      </c>
      <c r="H3952" s="5">
        <v>45.957600</v>
      </c>
    </row>
    <row r="3953" spans="1:9">
      <c r="A3953" s="22" t="str">
        <f>HYPERLINK("https://app.vivvix.com/360/KMI/IntelliDrive/ApplUI/Pages/CreativePages/CustomReportCreativeDetail.aspx?App=23&amp;ReportView=4&amp;Qid=1711279&amp;Row=3945&amp;Col=1","No Title Assigned - #15268740950")</f>
        <v/>
      </c>
      <c r="B3953" s="0" t="s">
        <v>5575</v>
      </c>
      <c r="C3953" s="0" t="s">
        <v>5576</v>
      </c>
      <c r="D3953" s="0" t="s">
        <v>5576</v>
      </c>
      <c r="E3953" s="0" t="inlineStr">
        <is>
          <t xml:space="preserve">Mazda</t>
        </is>
      </c>
      <c r="F3953" s="0" t="inlineStr">
        <is>
          <t xml:space="preserve">Mazda</t>
        </is>
      </c>
      <c r="G3953" s="0" t="s">
        <v>171</v>
      </c>
      <c r="H3953" s="5">
        <v>2387.852000</v>
      </c>
    </row>
    <row r="3954" spans="1:9">
      <c r="A3954" s="22" t="str">
        <f>HYPERLINK("https://app.vivvix.com/360/KMI/IntelliDrive/ApplUI/Pages/CreativePages/CustomReportCreativeDetail.aspx?App=23&amp;ReportView=4&amp;Qid=1711279&amp;Row=3946&amp;Col=1","No Title Assigned - #15268741005")</f>
        <v/>
      </c>
      <c r="B3954" s="0" t="s">
        <v>5577</v>
      </c>
      <c r="E3954" s="0" t="inlineStr">
        <is>
          <t xml:space="preserve">Mazda</t>
        </is>
      </c>
      <c r="F3954" s="0" t="inlineStr">
        <is>
          <t xml:space="preserve">Mazda</t>
        </is>
      </c>
      <c r="G3954" s="0" t="s">
        <v>171</v>
      </c>
      <c r="H3954" s="5">
        <v>26.668500</v>
      </c>
    </row>
    <row r="3955" spans="1:9">
      <c r="A3955" s="22" t="str">
        <f>HYPERLINK("https://app.vivvix.com/360/KMI/IntelliDrive/ApplUI/Pages/CreativePages/CustomReportCreativeDetail.aspx?App=23&amp;ReportView=4&amp;Qid=1711279&amp;Row=3947&amp;Col=1","No Title Assigned - #15268741172")</f>
        <v/>
      </c>
      <c r="B3955" s="0" t="s">
        <v>5578</v>
      </c>
      <c r="E3955" s="0" t="inlineStr">
        <is>
          <t xml:space="preserve">Mazda</t>
        </is>
      </c>
      <c r="F3955" s="0" t="inlineStr">
        <is>
          <t xml:space="preserve">Mazda</t>
        </is>
      </c>
      <c r="G3955" s="0" t="s">
        <v>171</v>
      </c>
      <c r="H3955" s="5">
        <v>133.469500</v>
      </c>
    </row>
    <row r="3956" spans="1:9">
      <c r="A3956" s="22" t="str">
        <f>HYPERLINK("https://app.vivvix.com/360/KMI/IntelliDrive/ApplUI/Pages/CreativePages/CustomReportCreativeDetail.aspx?App=23&amp;ReportView=4&amp;Qid=1711279&amp;Row=3948&amp;Col=1","No Title Assigned - #15268741173")</f>
        <v/>
      </c>
      <c r="B3956" s="0" t="s">
        <v>5579</v>
      </c>
      <c r="E3956" s="0" t="inlineStr">
        <is>
          <t xml:space="preserve">Mazda</t>
        </is>
      </c>
      <c r="F3956" s="0" t="inlineStr">
        <is>
          <t xml:space="preserve">Mazda</t>
        </is>
      </c>
      <c r="G3956" s="0" t="s">
        <v>171</v>
      </c>
      <c r="H3956" s="5">
        <v>42.095600</v>
      </c>
    </row>
    <row r="3957" spans="1:9">
      <c r="A3957" s="22" t="str">
        <f>HYPERLINK("https://app.vivvix.com/360/KMI/IntelliDrive/ApplUI/Pages/CreativePages/CustomReportCreativeDetail.aspx?App=23&amp;ReportView=4&amp;Qid=1711279&amp;Row=3949&amp;Col=1","No Title Assigned - #15268741195")</f>
        <v/>
      </c>
      <c r="B3957" s="0" t="s">
        <v>5580</v>
      </c>
      <c r="C3957" s="0" t="s">
        <v>5581</v>
      </c>
      <c r="D3957" s="0" t="s">
        <v>5581</v>
      </c>
      <c r="E3957" s="0" t="inlineStr">
        <is>
          <t xml:space="preserve">Mazda</t>
        </is>
      </c>
      <c r="F3957" s="0" t="s">
        <v>13</v>
      </c>
      <c r="G3957" s="0" t="s">
        <v>49</v>
      </c>
      <c r="H3957" s="5">
        <v>5790.167000</v>
      </c>
    </row>
    <row r="3958" spans="1:9">
      <c r="A3958" s="22" t="str">
        <f>HYPERLINK("https://app.vivvix.com/360/KMI/IntelliDrive/ApplUI/Pages/CreativePages/CustomReportCreativeDetail.aspx?App=23&amp;ReportView=4&amp;Qid=1711279&amp;Row=3950&amp;Col=1","No Title Assigned - #15268741197")</f>
        <v/>
      </c>
      <c r="B3958" s="0" t="s">
        <v>5582</v>
      </c>
      <c r="E3958" s="0" t="inlineStr">
        <is>
          <t xml:space="preserve">Mazda</t>
        </is>
      </c>
      <c r="F3958" s="0" t="inlineStr">
        <is>
          <t xml:space="preserve">Mazda</t>
        </is>
      </c>
      <c r="G3958" s="0" t="s">
        <v>171</v>
      </c>
      <c r="H3958" s="5">
        <v>221.489100</v>
      </c>
    </row>
    <row r="3959" spans="1:9">
      <c r="A3959" s="22" t="str">
        <f>HYPERLINK("https://app.vivvix.com/360/KMI/IntelliDrive/ApplUI/Pages/CreativePages/CustomReportCreativeDetail.aspx?App=23&amp;ReportView=4&amp;Qid=1711279&amp;Row=3951&amp;Col=1","No Title Assigned - #15268741285")</f>
        <v/>
      </c>
      <c r="B3959" s="0" t="s">
        <v>5583</v>
      </c>
      <c r="E3959" s="0" t="inlineStr">
        <is>
          <t xml:space="preserve">Mazda</t>
        </is>
      </c>
      <c r="F3959" s="0" t="inlineStr">
        <is>
          <t xml:space="preserve">Mazda</t>
        </is>
      </c>
      <c r="G3959" s="0" t="s">
        <v>171</v>
      </c>
      <c r="H3959" s="5">
        <v>745.146300</v>
      </c>
    </row>
    <row r="3960" spans="1:9">
      <c r="A3960" s="22" t="str">
        <f>HYPERLINK("https://app.vivvix.com/360/KMI/IntelliDrive/ApplUI/Pages/CreativePages/CustomReportCreativeDetail.aspx?App=23&amp;ReportView=4&amp;Qid=1711279&amp;Row=3952&amp;Col=1","No Title Assigned - #15268741325")</f>
        <v/>
      </c>
      <c r="B3960" s="0" t="s">
        <v>5584</v>
      </c>
      <c r="E3960" s="0" t="inlineStr">
        <is>
          <t xml:space="preserve">Mazda</t>
        </is>
      </c>
      <c r="F3960" s="0" t="inlineStr">
        <is>
          <t xml:space="preserve">Mazda</t>
        </is>
      </c>
      <c r="G3960" s="0" t="s">
        <v>171</v>
      </c>
      <c r="H3960" s="5">
        <v>2319.589000</v>
      </c>
    </row>
    <row r="3961" spans="1:9">
      <c r="A3961" s="22" t="str">
        <f>HYPERLINK("https://app.vivvix.com/360/KMI/IntelliDrive/ApplUI/Pages/CreativePages/CustomReportCreativeDetail.aspx?App=23&amp;ReportView=4&amp;Qid=1711279&amp;Row=3953&amp;Col=1","No Title Assigned - #15268741364")</f>
        <v/>
      </c>
      <c r="B3961" s="0" t="s">
        <v>5585</v>
      </c>
      <c r="E3961" s="0" t="inlineStr">
        <is>
          <t xml:space="preserve">Mazda</t>
        </is>
      </c>
      <c r="F3961" s="0" t="inlineStr">
        <is>
          <t xml:space="preserve">Mazda</t>
        </is>
      </c>
      <c r="G3961" s="0" t="s">
        <v>171</v>
      </c>
      <c r="H3961" s="5">
        <v>104.779800</v>
      </c>
    </row>
    <row r="3962" spans="1:9">
      <c r="A3962" s="22" t="str">
        <f>HYPERLINK("https://app.vivvix.com/360/KMI/IntelliDrive/ApplUI/Pages/CreativePages/CustomReportCreativeDetail.aspx?App=23&amp;ReportView=4&amp;Qid=1711279&amp;Row=3954&amp;Col=1","No Title Assigned - #15268741383")</f>
        <v/>
      </c>
      <c r="B3962" s="0" t="s">
        <v>5586</v>
      </c>
      <c r="C3962" s="0" t="s">
        <v>5587</v>
      </c>
      <c r="D3962" s="0" t="s">
        <v>5587</v>
      </c>
      <c r="E3962" s="0" t="inlineStr">
        <is>
          <t xml:space="preserve">Mazda</t>
        </is>
      </c>
      <c r="F3962" s="0" t="inlineStr">
        <is>
          <t xml:space="preserve">Mazda</t>
        </is>
      </c>
      <c r="G3962" s="0" t="s">
        <v>171</v>
      </c>
      <c r="H3962" s="5">
        <v>5.712000</v>
      </c>
    </row>
    <row r="3963" spans="1:9">
      <c r="A3963" s="22" t="str">
        <f>HYPERLINK("https://app.vivvix.com/360/KMI/IntelliDrive/ApplUI/Pages/CreativePages/CustomReportCreativeDetail.aspx?App=23&amp;ReportView=4&amp;Qid=1711279&amp;Row=3955&amp;Col=1","No Title Assigned - #15268741472")</f>
        <v/>
      </c>
      <c r="B3963" s="0" t="s">
        <v>5588</v>
      </c>
      <c r="E3963" s="0" t="inlineStr">
        <is>
          <t xml:space="preserve">Mazda</t>
        </is>
      </c>
      <c r="F3963" s="0" t="inlineStr">
        <is>
          <t xml:space="preserve">Mazda</t>
        </is>
      </c>
      <c r="G3963" s="0" t="s">
        <v>171</v>
      </c>
      <c r="H3963" s="5">
        <v>1328.934600</v>
      </c>
    </row>
    <row r="3964" spans="1:9">
      <c r="A3964" s="22" t="str">
        <f>HYPERLINK("https://app.vivvix.com/360/KMI/IntelliDrive/ApplUI/Pages/CreativePages/CustomReportCreativeDetail.aspx?App=23&amp;ReportView=4&amp;Qid=1711279&amp;Row=3956&amp;Col=1","No Title Assigned - #15268741526")</f>
        <v/>
      </c>
      <c r="B3964" s="0" t="s">
        <v>5589</v>
      </c>
      <c r="E3964" s="0" t="inlineStr">
        <is>
          <t xml:space="preserve">Mazda</t>
        </is>
      </c>
      <c r="F3964" s="0" t="inlineStr">
        <is>
          <t xml:space="preserve">Mazda</t>
        </is>
      </c>
      <c r="G3964" s="0" t="s">
        <v>171</v>
      </c>
      <c r="H3964" s="5">
        <v>720.799100</v>
      </c>
    </row>
    <row r="3965" spans="1:9">
      <c r="A3965" s="22" t="str">
        <f>HYPERLINK("https://app.vivvix.com/360/KMI/IntelliDrive/ApplUI/Pages/CreativePages/CustomReportCreativeDetail.aspx?App=23&amp;ReportView=4&amp;Qid=1711279&amp;Row=3957&amp;Col=1","No Title Assigned - #15268741617")</f>
        <v/>
      </c>
      <c r="B3965" s="0" t="s">
        <v>5590</v>
      </c>
      <c r="E3965" s="0" t="inlineStr">
        <is>
          <t xml:space="preserve">Mazda</t>
        </is>
      </c>
      <c r="F3965" s="0" t="inlineStr">
        <is>
          <t xml:space="preserve">Mazda</t>
        </is>
      </c>
      <c r="G3965" s="0" t="s">
        <v>171</v>
      </c>
      <c r="H3965" s="5">
        <v>19.451300</v>
      </c>
    </row>
    <row r="3966" spans="1:9">
      <c r="A3966" s="22" t="str">
        <f>HYPERLINK("https://app.vivvix.com/360/KMI/IntelliDrive/ApplUI/Pages/CreativePages/CustomReportCreativeDetail.aspx?App=23&amp;ReportView=4&amp;Qid=1711279&amp;Row=3958&amp;Col=1","No Title Assigned - #15268741719")</f>
        <v/>
      </c>
      <c r="B3966" s="0" t="s">
        <v>5591</v>
      </c>
      <c r="E3966" s="0" t="inlineStr">
        <is>
          <t xml:space="preserve">Mazda</t>
        </is>
      </c>
      <c r="F3966" s="0" t="inlineStr">
        <is>
          <t xml:space="preserve">Mazda</t>
        </is>
      </c>
      <c r="G3966" s="0" t="s">
        <v>171</v>
      </c>
      <c r="H3966" s="5">
        <v>839.443000</v>
      </c>
    </row>
    <row r="3967" spans="1:9">
      <c r="A3967" s="22" t="str">
        <f>HYPERLINK("https://app.vivvix.com/360/KMI/IntelliDrive/ApplUI/Pages/CreativePages/CustomReportCreativeDetail.aspx?App=23&amp;ReportView=4&amp;Qid=1711279&amp;Row=3959&amp;Col=1","No Title Assigned - #15268742323")</f>
        <v/>
      </c>
      <c r="B3967" s="0" t="s">
        <v>5592</v>
      </c>
      <c r="E3967" s="0" t="inlineStr">
        <is>
          <t xml:space="preserve">Mazda</t>
        </is>
      </c>
      <c r="F3967" s="0" t="inlineStr">
        <is>
          <t xml:space="preserve">Mazda</t>
        </is>
      </c>
      <c r="G3967" s="0" t="s">
        <v>171</v>
      </c>
      <c r="H3967" s="5">
        <v>33592.398400</v>
      </c>
    </row>
    <row r="3968" spans="1:9">
      <c r="A3968" s="22" t="str">
        <f>HYPERLINK("https://app.vivvix.com/360/KMI/IntelliDrive/ApplUI/Pages/CreativePages/CustomReportCreativeDetail.aspx?App=23&amp;ReportView=4&amp;Qid=1711279&amp;Row=3960&amp;Col=1","No Title Assigned - #15268742325")</f>
        <v/>
      </c>
      <c r="B3968" s="0" t="s">
        <v>5593</v>
      </c>
      <c r="E3968" s="0" t="inlineStr">
        <is>
          <t xml:space="preserve">Mazda</t>
        </is>
      </c>
      <c r="F3968" s="0" t="inlineStr">
        <is>
          <t xml:space="preserve">Mazda</t>
        </is>
      </c>
      <c r="G3968" s="0" t="s">
        <v>171</v>
      </c>
      <c r="H3968" s="5">
        <v>3977.453100</v>
      </c>
    </row>
    <row r="3969" spans="1:9">
      <c r="A3969" s="22" t="str">
        <f>HYPERLINK("https://app.vivvix.com/360/KMI/IntelliDrive/ApplUI/Pages/CreativePages/CustomReportCreativeDetail.aspx?App=23&amp;ReportView=4&amp;Qid=1711279&amp;Row=3961&amp;Col=1","No Title Assigned - #15268742414")</f>
        <v/>
      </c>
      <c r="B3969" s="0" t="s">
        <v>5594</v>
      </c>
      <c r="E3969" s="0" t="inlineStr">
        <is>
          <t xml:space="preserve">Mazda</t>
        </is>
      </c>
      <c r="F3969" s="0" t="inlineStr">
        <is>
          <t xml:space="preserve">Mazda</t>
        </is>
      </c>
      <c r="G3969" s="0" t="s">
        <v>171</v>
      </c>
      <c r="H3969" s="5">
        <v>10301.128900</v>
      </c>
    </row>
    <row r="3970" spans="1:9">
      <c r="A3970" s="22" t="str">
        <f>HYPERLINK("https://app.vivvix.com/360/KMI/IntelliDrive/ApplUI/Pages/CreativePages/CustomReportCreativeDetail.aspx?App=23&amp;ReportView=4&amp;Qid=1711279&amp;Row=3962&amp;Col=1","No Title Assigned - #15268743440")</f>
        <v/>
      </c>
      <c r="B3970" s="0" t="s">
        <v>5595</v>
      </c>
      <c r="E3970" s="0" t="inlineStr">
        <is>
          <t xml:space="preserve">Mazda</t>
        </is>
      </c>
      <c r="F3970" s="0" t="inlineStr">
        <is>
          <t xml:space="preserve">Mazda</t>
        </is>
      </c>
      <c r="G3970" s="0" t="s">
        <v>171</v>
      </c>
      <c r="H3970" s="5">
        <v>6999.059500</v>
      </c>
    </row>
    <row r="3971" spans="1:9">
      <c r="A3971" s="22" t="str">
        <f>HYPERLINK("https://app.vivvix.com/360/KMI/IntelliDrive/ApplUI/Pages/CreativePages/CustomReportCreativeDetail.aspx?App=23&amp;ReportView=4&amp;Qid=1711279&amp;Row=3963&amp;Col=1","No Title Assigned - #15268743717")</f>
        <v/>
      </c>
      <c r="B3971" s="0" t="s">
        <v>5596</v>
      </c>
      <c r="E3971" s="0" t="inlineStr">
        <is>
          <t xml:space="preserve">Mazda</t>
        </is>
      </c>
      <c r="F3971" s="0" t="inlineStr">
        <is>
          <t xml:space="preserve">Mazda</t>
        </is>
      </c>
      <c r="G3971" s="0" t="s">
        <v>171</v>
      </c>
      <c r="H3971" s="5">
        <v>189.723500</v>
      </c>
    </row>
    <row r="3972" spans="1:9">
      <c r="A3972" s="22" t="str">
        <f>HYPERLINK("https://app.vivvix.com/360/KMI/IntelliDrive/ApplUI/Pages/CreativePages/CustomReportCreativeDetail.aspx?App=23&amp;ReportView=4&amp;Qid=1711279&amp;Row=3964&amp;Col=1","No Title Assigned - #15268744189")</f>
        <v/>
      </c>
      <c r="B3972" s="0" t="s">
        <v>5597</v>
      </c>
      <c r="E3972" s="0" t="inlineStr">
        <is>
          <t xml:space="preserve">Mazda</t>
        </is>
      </c>
      <c r="F3972" s="0" t="inlineStr">
        <is>
          <t xml:space="preserve">Mazda</t>
        </is>
      </c>
      <c r="G3972" s="0" t="s">
        <v>171</v>
      </c>
      <c r="H3972" s="5">
        <v>37.855500</v>
      </c>
    </row>
    <row r="3973" spans="1:9">
      <c r="A3973" s="22" t="str">
        <f>HYPERLINK("https://app.vivvix.com/360/KMI/IntelliDrive/ApplUI/Pages/CreativePages/CustomReportCreativeDetail.aspx?App=23&amp;ReportView=4&amp;Qid=1711279&amp;Row=3965&amp;Col=1","No Title Assigned - #15268744874")</f>
        <v/>
      </c>
      <c r="B3973" s="0" t="s">
        <v>5598</v>
      </c>
      <c r="E3973" s="0" t="inlineStr">
        <is>
          <t xml:space="preserve">Mazda</t>
        </is>
      </c>
      <c r="F3973" s="0" t="inlineStr">
        <is>
          <t xml:space="preserve">Mazda</t>
        </is>
      </c>
      <c r="G3973" s="0" t="s">
        <v>171</v>
      </c>
      <c r="H3973" s="5">
        <v>81.586600</v>
      </c>
    </row>
    <row r="3974" spans="1:9">
      <c r="A3974" s="22" t="str">
        <f>HYPERLINK("https://app.vivvix.com/360/KMI/IntelliDrive/ApplUI/Pages/CreativePages/CustomReportCreativeDetail.aspx?App=23&amp;ReportView=4&amp;Qid=1711279&amp;Row=3966&amp;Col=1","No Title Assigned - #15268744935")</f>
        <v/>
      </c>
      <c r="B3974" s="0" t="s">
        <v>5599</v>
      </c>
      <c r="C3974" s="0" t="s">
        <v>5600</v>
      </c>
      <c r="D3974" s="0" t="s">
        <v>5600</v>
      </c>
      <c r="E3974" s="0" t="inlineStr">
        <is>
          <t xml:space="preserve">Mazda</t>
        </is>
      </c>
      <c r="F3974" s="0" t="s">
        <v>13</v>
      </c>
      <c r="G3974" s="0" t="s">
        <v>49</v>
      </c>
      <c r="H3974" s="5">
        <v>164.497400</v>
      </c>
    </row>
    <row r="3975" spans="1:9">
      <c r="A3975" s="22" t="str">
        <f>HYPERLINK("https://app.vivvix.com/360/KMI/IntelliDrive/ApplUI/Pages/CreativePages/CustomReportCreativeDetail.aspx?App=23&amp;ReportView=4&amp;Qid=1711279&amp;Row=3967&amp;Col=1","No Title Assigned - #15268744971")</f>
        <v/>
      </c>
      <c r="B3975" s="0" t="s">
        <v>5601</v>
      </c>
      <c r="E3975" s="0" t="inlineStr">
        <is>
          <t xml:space="preserve">Mazda</t>
        </is>
      </c>
      <c r="F3975" s="0" t="inlineStr">
        <is>
          <t xml:space="preserve">Mazda</t>
        </is>
      </c>
      <c r="G3975" s="0" t="s">
        <v>171</v>
      </c>
      <c r="H3975" s="5">
        <v>219.688300</v>
      </c>
    </row>
    <row r="3976" spans="1:9">
      <c r="A3976" s="22" t="str">
        <f>HYPERLINK("https://app.vivvix.com/360/KMI/IntelliDrive/ApplUI/Pages/CreativePages/CustomReportCreativeDetail.aspx?App=23&amp;ReportView=4&amp;Qid=1711279&amp;Row=3968&amp;Col=1","No Title Assigned - #15268744971")</f>
        <v/>
      </c>
      <c r="B3976" s="0" t="s">
        <v>5601</v>
      </c>
      <c r="E3976" s="0" t="inlineStr">
        <is>
          <t xml:space="preserve">Mazda</t>
        </is>
      </c>
      <c r="F3976" s="0" t="inlineStr">
        <is>
          <t xml:space="preserve">Mazda</t>
        </is>
      </c>
      <c r="G3976" s="0" t="s">
        <v>171</v>
      </c>
      <c r="H3976" s="5">
        <v>178.876600</v>
      </c>
    </row>
    <row r="3977" spans="1:9">
      <c r="A3977" s="22" t="str">
        <f>HYPERLINK("https://app.vivvix.com/360/KMI/IntelliDrive/ApplUI/Pages/CreativePages/CustomReportCreativeDetail.aspx?App=23&amp;ReportView=4&amp;Qid=1711279&amp;Row=3969&amp;Col=1","No Title Assigned - #15268745179")</f>
        <v/>
      </c>
      <c r="B3977" s="0" t="s">
        <v>5602</v>
      </c>
      <c r="C3977" s="0" t="s">
        <v>5603</v>
      </c>
      <c r="D3977" s="0" t="s">
        <v>5603</v>
      </c>
      <c r="E3977" s="0" t="inlineStr">
        <is>
          <t xml:space="preserve">Mazda</t>
        </is>
      </c>
      <c r="F3977" s="0" t="s">
        <v>28</v>
      </c>
      <c r="G3977" s="0" t="s">
        <v>29</v>
      </c>
      <c r="H3977" s="5">
        <v>233.024200</v>
      </c>
    </row>
    <row r="3978" spans="1:9">
      <c r="A3978" s="22" t="str">
        <f>HYPERLINK("https://app.vivvix.com/360/KMI/IntelliDrive/ApplUI/Pages/CreativePages/CustomReportCreativeDetail.aspx?App=23&amp;ReportView=4&amp;Qid=1711279&amp;Row=3970&amp;Col=1","No Title Assigned - #15268745868")</f>
        <v/>
      </c>
      <c r="B3978" s="0" t="s">
        <v>5604</v>
      </c>
      <c r="E3978" s="0" t="inlineStr">
        <is>
          <t xml:space="preserve">Mazda</t>
        </is>
      </c>
      <c r="F3978" s="0" t="inlineStr">
        <is>
          <t xml:space="preserve">Mazda</t>
        </is>
      </c>
      <c r="G3978" s="0" t="s">
        <v>171</v>
      </c>
      <c r="H3978" s="5">
        <v>17.463300</v>
      </c>
    </row>
    <row r="3979" spans="1:9">
      <c r="A3979" s="22" t="str">
        <f>HYPERLINK("https://app.vivvix.com/360/KMI/IntelliDrive/ApplUI/Pages/CreativePages/CustomReportCreativeDetail.aspx?App=23&amp;ReportView=4&amp;Qid=1711279&amp;Row=3971&amp;Col=1","No Title Assigned - #15268745945")</f>
        <v/>
      </c>
      <c r="B3979" s="0" t="s">
        <v>5605</v>
      </c>
      <c r="E3979" s="0" t="inlineStr">
        <is>
          <t xml:space="preserve">Mazda</t>
        </is>
      </c>
      <c r="F3979" s="0" t="inlineStr">
        <is>
          <t xml:space="preserve">Mazda</t>
        </is>
      </c>
      <c r="G3979" s="0" t="s">
        <v>171</v>
      </c>
      <c r="H3979" s="5">
        <v>165.981900</v>
      </c>
    </row>
    <row r="3980" spans="1:9">
      <c r="A3980" s="22" t="str">
        <f>HYPERLINK("https://app.vivvix.com/360/KMI/IntelliDrive/ApplUI/Pages/CreativePages/CustomReportCreativeDetail.aspx?App=23&amp;ReportView=4&amp;Qid=1711279&amp;Row=3972&amp;Col=1","No Title Assigned - #15268745945")</f>
        <v/>
      </c>
      <c r="B3980" s="0" t="s">
        <v>5605</v>
      </c>
      <c r="C3980" s="0" t="s">
        <v>5606</v>
      </c>
      <c r="D3980" s="0" t="s">
        <v>5606</v>
      </c>
      <c r="E3980" s="0" t="inlineStr">
        <is>
          <t xml:space="preserve">Mazda</t>
        </is>
      </c>
      <c r="F3980" s="0" t="inlineStr">
        <is>
          <t xml:space="preserve">Mazda</t>
        </is>
      </c>
      <c r="G3980" s="0" t="s">
        <v>171</v>
      </c>
      <c r="H3980" s="5">
        <v>443.874500</v>
      </c>
    </row>
    <row r="3981" spans="1:9">
      <c r="A3981" s="22" t="str">
        <f>HYPERLINK("https://app.vivvix.com/360/KMI/IntelliDrive/ApplUI/Pages/CreativePages/CustomReportCreativeDetail.aspx?App=23&amp;ReportView=4&amp;Qid=1711279&amp;Row=3973&amp;Col=1","No Title Assigned - #15268745960")</f>
        <v/>
      </c>
      <c r="B3981" s="0" t="s">
        <v>5607</v>
      </c>
      <c r="E3981" s="0" t="inlineStr">
        <is>
          <t xml:space="preserve">Mazda</t>
        </is>
      </c>
      <c r="F3981" s="0" t="inlineStr">
        <is>
          <t xml:space="preserve">Mazda</t>
        </is>
      </c>
      <c r="G3981" s="0" t="s">
        <v>171</v>
      </c>
      <c r="H3981" s="5">
        <v>124.123100</v>
      </c>
    </row>
    <row r="3982" spans="1:9">
      <c r="A3982" s="22" t="str">
        <f>HYPERLINK("https://app.vivvix.com/360/KMI/IntelliDrive/ApplUI/Pages/CreativePages/CustomReportCreativeDetail.aspx?App=23&amp;ReportView=4&amp;Qid=1711279&amp;Row=3974&amp;Col=1","No Title Assigned - #15268745960")</f>
        <v/>
      </c>
      <c r="B3982" s="0" t="s">
        <v>5607</v>
      </c>
      <c r="E3982" s="0" t="inlineStr">
        <is>
          <t xml:space="preserve">Mazda</t>
        </is>
      </c>
      <c r="F3982" s="0" t="inlineStr">
        <is>
          <t xml:space="preserve">Mazda</t>
        </is>
      </c>
      <c r="G3982" s="0" t="s">
        <v>171</v>
      </c>
      <c r="H3982" s="5">
        <v>4902.439900</v>
      </c>
    </row>
    <row r="3983" spans="1:9">
      <c r="A3983" s="22" t="str">
        <f>HYPERLINK("https://app.vivvix.com/360/KMI/IntelliDrive/ApplUI/Pages/CreativePages/CustomReportCreativeDetail.aspx?App=23&amp;ReportView=4&amp;Qid=1711279&amp;Row=3975&amp;Col=1","No Title Assigned - #15268745964")</f>
        <v/>
      </c>
      <c r="B3983" s="0" t="s">
        <v>5608</v>
      </c>
      <c r="E3983" s="0" t="inlineStr">
        <is>
          <t xml:space="preserve">Mazda</t>
        </is>
      </c>
      <c r="F3983" s="0" t="inlineStr">
        <is>
          <t xml:space="preserve">Mazda</t>
        </is>
      </c>
      <c r="G3983" s="0" t="s">
        <v>171</v>
      </c>
      <c r="H3983" s="5">
        <v>46.941600</v>
      </c>
    </row>
    <row r="3984" spans="1:9">
      <c r="A3984" s="22" t="str">
        <f>HYPERLINK("https://app.vivvix.com/360/KMI/IntelliDrive/ApplUI/Pages/CreativePages/CustomReportCreativeDetail.aspx?App=23&amp;ReportView=4&amp;Qid=1711279&amp;Row=3976&amp;Col=1","No Title Assigned - #15268746411")</f>
        <v/>
      </c>
      <c r="B3984" s="0" t="s">
        <v>5609</v>
      </c>
      <c r="C3984" s="0" t="s">
        <v>5610</v>
      </c>
      <c r="D3984" s="0" t="s">
        <v>5610</v>
      </c>
      <c r="E3984" s="0" t="inlineStr">
        <is>
          <t xml:space="preserve">Mazda</t>
        </is>
      </c>
      <c r="F3984" s="0" t="s">
        <v>28</v>
      </c>
      <c r="G3984" s="0" t="s">
        <v>29</v>
      </c>
      <c r="H3984" s="5">
        <v>516.072400</v>
      </c>
    </row>
    <row r="3985" spans="1:9">
      <c r="A3985" s="22" t="str">
        <f>HYPERLINK("https://app.vivvix.com/360/KMI/IntelliDrive/ApplUI/Pages/CreativePages/CustomReportCreativeDetail.aspx?App=23&amp;ReportView=4&amp;Qid=1711279&amp;Row=3977&amp;Col=1","No Title Assigned - #15268746574")</f>
        <v/>
      </c>
      <c r="B3985" s="0" t="s">
        <v>5611</v>
      </c>
      <c r="C3985" s="0" t="s">
        <v>5612</v>
      </c>
      <c r="D3985" s="0" t="s">
        <v>5612</v>
      </c>
      <c r="E3985" s="0" t="inlineStr">
        <is>
          <t xml:space="preserve">Mazda</t>
        </is>
      </c>
      <c r="F3985" s="0" t="inlineStr">
        <is>
          <t xml:space="preserve">Mazda</t>
        </is>
      </c>
      <c r="G3985" s="0" t="s">
        <v>171</v>
      </c>
      <c r="H3985" s="5">
        <v>82.261200</v>
      </c>
    </row>
    <row r="3986" spans="1:9">
      <c r="A3986" s="22" t="str">
        <f>HYPERLINK("https://app.vivvix.com/360/KMI/IntelliDrive/ApplUI/Pages/CreativePages/CustomReportCreativeDetail.aspx?App=23&amp;ReportView=4&amp;Qid=1711279&amp;Row=3978&amp;Col=1","No Title Assigned - #15268746804")</f>
        <v/>
      </c>
      <c r="B3986" s="0" t="s">
        <v>5613</v>
      </c>
      <c r="E3986" s="0" t="inlineStr">
        <is>
          <t xml:space="preserve">Mazda</t>
        </is>
      </c>
      <c r="F3986" s="0" t="inlineStr">
        <is>
          <t xml:space="preserve">Mazda</t>
        </is>
      </c>
      <c r="G3986" s="0" t="s">
        <v>171</v>
      </c>
      <c r="H3986" s="5">
        <v>1.797900</v>
      </c>
    </row>
    <row r="3987" spans="1:9">
      <c r="A3987" s="22" t="str">
        <f>HYPERLINK("https://app.vivvix.com/360/KMI/IntelliDrive/ApplUI/Pages/CreativePages/CustomReportCreativeDetail.aspx?App=23&amp;ReportView=4&amp;Qid=1711279&amp;Row=3979&amp;Col=1","No Title Assigned - #15268747110")</f>
        <v/>
      </c>
      <c r="B3987" s="0" t="s">
        <v>5614</v>
      </c>
      <c r="E3987" s="0" t="inlineStr">
        <is>
          <t xml:space="preserve">Mazda</t>
        </is>
      </c>
      <c r="F3987" s="0" t="inlineStr">
        <is>
          <t xml:space="preserve">Mazda</t>
        </is>
      </c>
      <c r="G3987" s="0" t="s">
        <v>171</v>
      </c>
      <c r="H3987" s="5">
        <v>17.463300</v>
      </c>
    </row>
    <row r="3988" spans="1:9">
      <c r="A3988" s="22" t="str">
        <f>HYPERLINK("https://app.vivvix.com/360/KMI/IntelliDrive/ApplUI/Pages/CreativePages/CustomReportCreativeDetail.aspx?App=23&amp;ReportView=4&amp;Qid=1711279&amp;Row=3980&amp;Col=1","No Title Assigned - #15268747179")</f>
        <v/>
      </c>
      <c r="B3988" s="0" t="s">
        <v>5615</v>
      </c>
      <c r="E3988" s="0" t="inlineStr">
        <is>
          <t xml:space="preserve">Mazda</t>
        </is>
      </c>
      <c r="F3988" s="0" t="inlineStr">
        <is>
          <t xml:space="preserve">Mazda</t>
        </is>
      </c>
      <c r="G3988" s="0" t="s">
        <v>171</v>
      </c>
      <c r="H3988" s="5">
        <v>2300.710500</v>
      </c>
    </row>
    <row r="3989" spans="1:9">
      <c r="A3989" s="22" t="str">
        <f>HYPERLINK("https://app.vivvix.com/360/KMI/IntelliDrive/ApplUI/Pages/CreativePages/CustomReportCreativeDetail.aspx?App=23&amp;ReportView=4&amp;Qid=1711279&amp;Row=3981&amp;Col=1","No Title Assigned - #15268747268")</f>
        <v/>
      </c>
      <c r="B3989" s="0" t="s">
        <v>5616</v>
      </c>
      <c r="E3989" s="0" t="inlineStr">
        <is>
          <t xml:space="preserve">Mazda</t>
        </is>
      </c>
      <c r="F3989" s="0" t="inlineStr">
        <is>
          <t xml:space="preserve">Mazda</t>
        </is>
      </c>
      <c r="G3989" s="0" t="s">
        <v>171</v>
      </c>
      <c r="H3989" s="5">
        <v>814.610900</v>
      </c>
    </row>
    <row r="3990" spans="1:9">
      <c r="A3990" s="22" t="str">
        <f>HYPERLINK("https://app.vivvix.com/360/KMI/IntelliDrive/ApplUI/Pages/CreativePages/CustomReportCreativeDetail.aspx?App=23&amp;ReportView=4&amp;Qid=1711279&amp;Row=3982&amp;Col=1","No Title Assigned - #15268747346")</f>
        <v/>
      </c>
      <c r="B3990" s="0" t="s">
        <v>5617</v>
      </c>
      <c r="E3990" s="0" t="inlineStr">
        <is>
          <t xml:space="preserve">Mazda</t>
        </is>
      </c>
      <c r="F3990" s="0" t="inlineStr">
        <is>
          <t xml:space="preserve">Mazda</t>
        </is>
      </c>
      <c r="G3990" s="0" t="s">
        <v>171</v>
      </c>
      <c r="H3990" s="5">
        <v>221.489100</v>
      </c>
    </row>
    <row r="3991" spans="1:9">
      <c r="A3991" s="22" t="str">
        <f>HYPERLINK("https://app.vivvix.com/360/KMI/IntelliDrive/ApplUI/Pages/CreativePages/CustomReportCreativeDetail.aspx?App=23&amp;ReportView=4&amp;Qid=1711279&amp;Row=3983&amp;Col=1","No Title Assigned - #15268747348")</f>
        <v/>
      </c>
      <c r="B3991" s="0" t="s">
        <v>5618</v>
      </c>
      <c r="E3991" s="0" t="inlineStr">
        <is>
          <t xml:space="preserve">Mazda</t>
        </is>
      </c>
      <c r="F3991" s="0" t="inlineStr">
        <is>
          <t xml:space="preserve">Mazda</t>
        </is>
      </c>
      <c r="G3991" s="0" t="s">
        <v>171</v>
      </c>
      <c r="H3991" s="5">
        <v>221.489100</v>
      </c>
    </row>
    <row r="3992" spans="1:9">
      <c r="A3992" s="22" t="str">
        <f>HYPERLINK("https://app.vivvix.com/360/KMI/IntelliDrive/ApplUI/Pages/CreativePages/CustomReportCreativeDetail.aspx?App=23&amp;ReportView=4&amp;Qid=1711279&amp;Row=3984&amp;Col=1","No Title Assigned - #15268747374")</f>
        <v/>
      </c>
      <c r="B3992" s="0" t="s">
        <v>5619</v>
      </c>
      <c r="E3992" s="0" t="inlineStr">
        <is>
          <t xml:space="preserve">Mazda</t>
        </is>
      </c>
      <c r="F3992" s="0" t="inlineStr">
        <is>
          <t xml:space="preserve">Mazda</t>
        </is>
      </c>
      <c r="G3992" s="0" t="s">
        <v>171</v>
      </c>
      <c r="H3992" s="5">
        <v>114.171500</v>
      </c>
    </row>
    <row r="3993" spans="1:9">
      <c r="A3993" s="22" t="str">
        <f>HYPERLINK("https://app.vivvix.com/360/KMI/IntelliDrive/ApplUI/Pages/CreativePages/CustomReportCreativeDetail.aspx?App=23&amp;ReportView=4&amp;Qid=1711279&amp;Row=3985&amp;Col=1","No Title Assigned - #15268747379")</f>
        <v/>
      </c>
      <c r="B3993" s="0" t="s">
        <v>5620</v>
      </c>
      <c r="C3993" s="0" t="s">
        <v>5621</v>
      </c>
      <c r="D3993" s="0" t="s">
        <v>5621</v>
      </c>
      <c r="E3993" s="0" t="inlineStr">
        <is>
          <t xml:space="preserve">Mazda</t>
        </is>
      </c>
      <c r="F3993" s="0" t="inlineStr">
        <is>
          <t xml:space="preserve">Mazda</t>
        </is>
      </c>
      <c r="G3993" s="0" t="s">
        <v>171</v>
      </c>
      <c r="H3993" s="5">
        <v>11.347300</v>
      </c>
    </row>
    <row r="3994" spans="1:9">
      <c r="A3994" s="22" t="str">
        <f>HYPERLINK("https://app.vivvix.com/360/KMI/IntelliDrive/ApplUI/Pages/CreativePages/CustomReportCreativeDetail.aspx?App=23&amp;ReportView=4&amp;Qid=1711279&amp;Row=3986&amp;Col=1","No Title Assigned - #15268747475")</f>
        <v/>
      </c>
      <c r="B3994" s="0" t="s">
        <v>5622</v>
      </c>
      <c r="E3994" s="0" t="inlineStr">
        <is>
          <t xml:space="preserve">Mazda</t>
        </is>
      </c>
      <c r="F3994" s="0" t="inlineStr">
        <is>
          <t xml:space="preserve">Mazda</t>
        </is>
      </c>
      <c r="G3994" s="0" t="s">
        <v>171</v>
      </c>
      <c r="H3994" s="5">
        <v>5799.564600</v>
      </c>
    </row>
    <row r="3995" spans="1:9">
      <c r="A3995" s="22" t="str">
        <f>HYPERLINK("https://app.vivvix.com/360/KMI/IntelliDrive/ApplUI/Pages/CreativePages/CustomReportCreativeDetail.aspx?App=23&amp;ReportView=4&amp;Qid=1711279&amp;Row=3987&amp;Col=1","No Title Assigned - #15268747475")</f>
        <v/>
      </c>
      <c r="B3995" s="0" t="s">
        <v>5622</v>
      </c>
      <c r="E3995" s="0" t="inlineStr">
        <is>
          <t xml:space="preserve">Mazda</t>
        </is>
      </c>
      <c r="F3995" s="0" t="inlineStr">
        <is>
          <t xml:space="preserve">Mazda</t>
        </is>
      </c>
      <c r="G3995" s="0" t="s">
        <v>171</v>
      </c>
      <c r="H3995" s="5">
        <v>232.336400</v>
      </c>
    </row>
    <row r="3996" spans="1:9">
      <c r="A3996" s="22" t="str">
        <f>HYPERLINK("https://app.vivvix.com/360/KMI/IntelliDrive/ApplUI/Pages/CreativePages/CustomReportCreativeDetail.aspx?App=23&amp;ReportView=4&amp;Qid=1711279&amp;Row=3988&amp;Col=1","No Title Assigned - #15268747552")</f>
        <v/>
      </c>
      <c r="B3996" s="0" t="s">
        <v>5623</v>
      </c>
      <c r="E3996" s="0" t="inlineStr">
        <is>
          <t xml:space="preserve">Mazda</t>
        </is>
      </c>
      <c r="F3996" s="0" t="inlineStr">
        <is>
          <t xml:space="preserve">Mazda</t>
        </is>
      </c>
      <c r="G3996" s="0" t="s">
        <v>171</v>
      </c>
      <c r="H3996" s="5">
        <v>19.329500</v>
      </c>
    </row>
    <row r="3997" spans="1:9">
      <c r="A3997" s="22" t="str">
        <f>HYPERLINK("https://app.vivvix.com/360/KMI/IntelliDrive/ApplUI/Pages/CreativePages/CustomReportCreativeDetail.aspx?App=23&amp;ReportView=4&amp;Qid=1711279&amp;Row=3989&amp;Col=1","No Title Assigned - #15268747914")</f>
        <v/>
      </c>
      <c r="B3997" s="0" t="s">
        <v>5624</v>
      </c>
      <c r="C3997" s="0" t="s">
        <v>5625</v>
      </c>
      <c r="D3997" s="0" t="s">
        <v>5625</v>
      </c>
      <c r="E3997" s="0" t="inlineStr">
        <is>
          <t xml:space="preserve">Mazda</t>
        </is>
      </c>
      <c r="F3997" s="0" t="inlineStr">
        <is>
          <t xml:space="preserve">Mazda</t>
        </is>
      </c>
      <c r="G3997" s="0" t="s">
        <v>171</v>
      </c>
      <c r="H3997" s="5">
        <v>96.079800</v>
      </c>
    </row>
    <row r="3998" spans="1:9">
      <c r="A3998" s="22" t="str">
        <f>HYPERLINK("https://app.vivvix.com/360/KMI/IntelliDrive/ApplUI/Pages/CreativePages/CustomReportCreativeDetail.aspx?App=23&amp;ReportView=4&amp;Qid=1711279&amp;Row=3990&amp;Col=1","No Title Assigned - #15268748627")</f>
        <v/>
      </c>
      <c r="B3998" s="0" t="s">
        <v>5626</v>
      </c>
      <c r="E3998" s="0" t="inlineStr">
        <is>
          <t xml:space="preserve">Mazda</t>
        </is>
      </c>
      <c r="F3998" s="0" t="inlineStr">
        <is>
          <t xml:space="preserve">Mazda</t>
        </is>
      </c>
      <c r="G3998" s="0" t="s">
        <v>171</v>
      </c>
      <c r="H3998" s="5">
        <v>244.956500</v>
      </c>
    </row>
    <row r="3999" spans="1:9">
      <c r="A3999" s="22" t="str">
        <f>HYPERLINK("https://app.vivvix.com/360/KMI/IntelliDrive/ApplUI/Pages/CreativePages/CustomReportCreativeDetail.aspx?App=23&amp;ReportView=4&amp;Qid=1711279&amp;Row=3991&amp;Col=1","No Title Assigned - #15268748708")</f>
        <v/>
      </c>
      <c r="B3999" s="0" t="s">
        <v>5627</v>
      </c>
      <c r="E3999" s="0" t="inlineStr">
        <is>
          <t xml:space="preserve">Mazda</t>
        </is>
      </c>
      <c r="F3999" s="0" t="inlineStr">
        <is>
          <t xml:space="preserve">Mazda</t>
        </is>
      </c>
      <c r="G3999" s="0" t="s">
        <v>171</v>
      </c>
      <c r="H3999" s="5">
        <v>40.564200</v>
      </c>
    </row>
    <row r="4000" spans="1:9">
      <c r="A4000" s="22" t="str">
        <f>HYPERLINK("https://app.vivvix.com/360/KMI/IntelliDrive/ApplUI/Pages/CreativePages/CustomReportCreativeDetail.aspx?App=23&amp;ReportView=4&amp;Qid=1711279&amp;Row=3992&amp;Col=1","No Title Assigned - #15268748982")</f>
        <v/>
      </c>
      <c r="B4000" s="0" t="s">
        <v>5628</v>
      </c>
      <c r="E4000" s="0" t="inlineStr">
        <is>
          <t xml:space="preserve">Mazda</t>
        </is>
      </c>
      <c r="F4000" s="0" t="inlineStr">
        <is>
          <t xml:space="preserve">Mazda</t>
        </is>
      </c>
      <c r="G4000" s="0" t="s">
        <v>171</v>
      </c>
      <c r="H4000" s="5">
        <v>121.845200</v>
      </c>
    </row>
    <row r="4001" spans="1:9">
      <c r="A4001" s="22" t="str">
        <f>HYPERLINK("https://app.vivvix.com/360/KMI/IntelliDrive/ApplUI/Pages/CreativePages/CustomReportCreativeDetail.aspx?App=23&amp;ReportView=4&amp;Qid=1711279&amp;Row=3993&amp;Col=1","No Title Assigned - #15268749041")</f>
        <v/>
      </c>
      <c r="B4001" s="0" t="s">
        <v>5629</v>
      </c>
      <c r="E4001" s="0" t="inlineStr">
        <is>
          <t xml:space="preserve">Mazda</t>
        </is>
      </c>
      <c r="F4001" s="0" t="inlineStr">
        <is>
          <t xml:space="preserve">Mazda</t>
        </is>
      </c>
      <c r="G4001" s="0" t="s">
        <v>171</v>
      </c>
      <c r="H4001" s="5">
        <v>261.990600</v>
      </c>
    </row>
    <row r="4002" spans="1:9">
      <c r="A4002" s="22" t="str">
        <f>HYPERLINK("https://app.vivvix.com/360/KMI/IntelliDrive/ApplUI/Pages/CreativePages/CustomReportCreativeDetail.aspx?App=23&amp;ReportView=4&amp;Qid=1711279&amp;Row=3994&amp;Col=1","No Title Assigned - #15268749041")</f>
        <v/>
      </c>
      <c r="B4002" s="0" t="s">
        <v>5629</v>
      </c>
      <c r="E4002" s="0" t="inlineStr">
        <is>
          <t xml:space="preserve">Mazda</t>
        </is>
      </c>
      <c r="F4002" s="0" t="inlineStr">
        <is>
          <t xml:space="preserve">Mazda</t>
        </is>
      </c>
      <c r="G4002" s="0" t="s">
        <v>171</v>
      </c>
      <c r="H4002" s="5">
        <v>2821.663000</v>
      </c>
    </row>
    <row r="4003" spans="1:9">
      <c r="A4003" s="22" t="str">
        <f>HYPERLINK("https://app.vivvix.com/360/KMI/IntelliDrive/ApplUI/Pages/CreativePages/CustomReportCreativeDetail.aspx?App=23&amp;ReportView=4&amp;Qid=1711279&amp;Row=3995&amp;Col=1","No Title Assigned - #15268749128")</f>
        <v/>
      </c>
      <c r="B4003" s="0" t="s">
        <v>5630</v>
      </c>
      <c r="C4003" s="0" t="s">
        <v>5631</v>
      </c>
      <c r="D4003" s="0" t="s">
        <v>5631</v>
      </c>
      <c r="E4003" s="0" t="inlineStr">
        <is>
          <t xml:space="preserve">Mazda</t>
        </is>
      </c>
      <c r="F4003" s="0" t="s">
        <v>28</v>
      </c>
      <c r="G4003" s="0" t="s">
        <v>29</v>
      </c>
      <c r="H4003" s="5">
        <v>101.795900</v>
      </c>
    </row>
    <row r="4004" spans="1:9">
      <c r="A4004" s="22" t="str">
        <f>HYPERLINK("https://app.vivvix.com/360/KMI/IntelliDrive/ApplUI/Pages/CreativePages/CustomReportCreativeDetail.aspx?App=23&amp;ReportView=4&amp;Qid=1711279&amp;Row=3996&amp;Col=1","No Title Assigned - #15268749130")</f>
        <v/>
      </c>
      <c r="B4004" s="0" t="s">
        <v>5632</v>
      </c>
      <c r="C4004" s="0" t="s">
        <v>5633</v>
      </c>
      <c r="D4004" s="0" t="s">
        <v>5633</v>
      </c>
      <c r="E4004" s="0" t="inlineStr">
        <is>
          <t xml:space="preserve">Mazda</t>
        </is>
      </c>
      <c r="F4004" s="0" t="s">
        <v>13</v>
      </c>
      <c r="G4004" s="0" t="s">
        <v>49</v>
      </c>
      <c r="H4004" s="5">
        <v>101.795900</v>
      </c>
    </row>
    <row r="4005" spans="1:9">
      <c r="A4005" s="22" t="str">
        <f>HYPERLINK("https://app.vivvix.com/360/KMI/IntelliDrive/ApplUI/Pages/CreativePages/CustomReportCreativeDetail.aspx?App=23&amp;ReportView=4&amp;Qid=1711279&amp;Row=3997&amp;Col=1","No Title Assigned - #15268749132")</f>
        <v/>
      </c>
      <c r="B4005" s="0" t="s">
        <v>5634</v>
      </c>
      <c r="E4005" s="0" t="inlineStr">
        <is>
          <t xml:space="preserve">Mazda</t>
        </is>
      </c>
      <c r="F4005" s="0" t="inlineStr">
        <is>
          <t xml:space="preserve">Mazda</t>
        </is>
      </c>
      <c r="G4005" s="0" t="s">
        <v>171</v>
      </c>
      <c r="H4005" s="5">
        <v>5.950700</v>
      </c>
    </row>
    <row r="4006" spans="1:9">
      <c r="A4006" s="22" t="str">
        <f>HYPERLINK("https://app.vivvix.com/360/KMI/IntelliDrive/ApplUI/Pages/CreativePages/CustomReportCreativeDetail.aspx?App=23&amp;ReportView=4&amp;Qid=1711279&amp;Row=3998&amp;Col=1","No Title Assigned - #15268749133")</f>
        <v/>
      </c>
      <c r="B4006" s="0" t="s">
        <v>5635</v>
      </c>
      <c r="E4006" s="0" t="inlineStr">
        <is>
          <t xml:space="preserve">Mazda</t>
        </is>
      </c>
      <c r="F4006" s="0" t="inlineStr">
        <is>
          <t xml:space="preserve">Mazda</t>
        </is>
      </c>
      <c r="G4006" s="0" t="s">
        <v>171</v>
      </c>
      <c r="H4006" s="5">
        <v>139.184300</v>
      </c>
    </row>
    <row r="4007" spans="1:9">
      <c r="A4007" s="22" t="str">
        <f>HYPERLINK("https://app.vivvix.com/360/KMI/IntelliDrive/ApplUI/Pages/CreativePages/CustomReportCreativeDetail.aspx?App=23&amp;ReportView=4&amp;Qid=1711279&amp;Row=3999&amp;Col=1","No Title Assigned - #15268749161")</f>
        <v/>
      </c>
      <c r="B4007" s="0" t="s">
        <v>5636</v>
      </c>
      <c r="E4007" s="0" t="inlineStr">
        <is>
          <t xml:space="preserve">Mazda</t>
        </is>
      </c>
      <c r="F4007" s="0" t="inlineStr">
        <is>
          <t xml:space="preserve">Mazda</t>
        </is>
      </c>
      <c r="G4007" s="0" t="s">
        <v>171</v>
      </c>
      <c r="H4007" s="5">
        <v>6.281100</v>
      </c>
    </row>
    <row r="4008" spans="1:9">
      <c r="A4008" s="22" t="str">
        <f>HYPERLINK("https://app.vivvix.com/360/KMI/IntelliDrive/ApplUI/Pages/CreativePages/CustomReportCreativeDetail.aspx?App=23&amp;ReportView=4&amp;Qid=1711279&amp;Row=4000&amp;Col=1","No Title Assigned - #15268749215")</f>
        <v/>
      </c>
      <c r="B4008" s="0" t="s">
        <v>5637</v>
      </c>
      <c r="E4008" s="0" t="inlineStr">
        <is>
          <t xml:space="preserve">Mazda</t>
        </is>
      </c>
      <c r="F4008" s="0" t="inlineStr">
        <is>
          <t xml:space="preserve">Mazda</t>
        </is>
      </c>
      <c r="G4008" s="0" t="s">
        <v>171</v>
      </c>
      <c r="H4008" s="5">
        <v>30.523200</v>
      </c>
    </row>
    <row r="4009" spans="1:9">
      <c r="A4009" s="22" t="str">
        <f>HYPERLINK("https://app.vivvix.com/360/KMI/IntelliDrive/ApplUI/Pages/CreativePages/CustomReportCreativeDetail.aspx?App=23&amp;ReportView=4&amp;Qid=1711279&amp;Row=4001&amp;Col=1","No Title Assigned - #15268749303")</f>
        <v/>
      </c>
      <c r="B4009" s="0" t="s">
        <v>5638</v>
      </c>
      <c r="E4009" s="0" t="inlineStr">
        <is>
          <t xml:space="preserve">Mazda</t>
        </is>
      </c>
      <c r="F4009" s="0" t="inlineStr">
        <is>
          <t xml:space="preserve">Mazda</t>
        </is>
      </c>
      <c r="G4009" s="0" t="s">
        <v>171</v>
      </c>
      <c r="H4009" s="5">
        <v>1539.389400</v>
      </c>
    </row>
    <row r="4010" spans="1:9">
      <c r="A4010" s="22" t="str">
        <f>HYPERLINK("https://app.vivvix.com/360/KMI/IntelliDrive/ApplUI/Pages/CreativePages/CustomReportCreativeDetail.aspx?App=23&amp;ReportView=4&amp;Qid=1711279&amp;Row=4002&amp;Col=1","No Title Assigned - #15268749308")</f>
        <v/>
      </c>
      <c r="B4010" s="0" t="s">
        <v>5639</v>
      </c>
      <c r="E4010" s="0" t="inlineStr">
        <is>
          <t xml:space="preserve">Mazda</t>
        </is>
      </c>
      <c r="F4010" s="0" t="inlineStr">
        <is>
          <t xml:space="preserve">Mazda</t>
        </is>
      </c>
      <c r="G4010" s="0" t="s">
        <v>171</v>
      </c>
      <c r="H4010" s="5">
        <v>83.404800</v>
      </c>
    </row>
    <row r="4011" spans="1:9">
      <c r="A4011" s="22" t="str">
        <f>HYPERLINK("https://app.vivvix.com/360/KMI/IntelliDrive/ApplUI/Pages/CreativePages/CustomReportCreativeDetail.aspx?App=23&amp;ReportView=4&amp;Qid=1711279&amp;Row=4003&amp;Col=1","No Title Assigned - #15268749333")</f>
        <v/>
      </c>
      <c r="B4011" s="0" t="s">
        <v>5640</v>
      </c>
      <c r="E4011" s="0" t="inlineStr">
        <is>
          <t xml:space="preserve">Mazda</t>
        </is>
      </c>
      <c r="F4011" s="0" t="inlineStr">
        <is>
          <t xml:space="preserve">Mazda</t>
        </is>
      </c>
      <c r="G4011" s="0" t="s">
        <v>171</v>
      </c>
      <c r="H4011" s="5">
        <v>93.899300</v>
      </c>
    </row>
    <row r="4012" spans="1:9">
      <c r="A4012" s="22" t="str">
        <f>HYPERLINK("https://app.vivvix.com/360/KMI/IntelliDrive/ApplUI/Pages/CreativePages/CustomReportCreativeDetail.aspx?App=23&amp;ReportView=4&amp;Qid=1711279&amp;Row=4004&amp;Col=1","No Title Assigned - #15268749396")</f>
        <v/>
      </c>
      <c r="B4012" s="0" t="s">
        <v>5641</v>
      </c>
      <c r="E4012" s="0" t="inlineStr">
        <is>
          <t xml:space="preserve">Mazda</t>
        </is>
      </c>
      <c r="F4012" s="0" t="inlineStr">
        <is>
          <t xml:space="preserve">Mazda</t>
        </is>
      </c>
      <c r="G4012" s="0" t="s">
        <v>171</v>
      </c>
      <c r="H4012" s="5">
        <v>173.620400</v>
      </c>
    </row>
    <row r="4013" spans="1:9">
      <c r="A4013" s="22" t="str">
        <f>HYPERLINK("https://app.vivvix.com/360/KMI/IntelliDrive/ApplUI/Pages/CreativePages/CustomReportCreativeDetail.aspx?App=23&amp;ReportView=4&amp;Qid=1711279&amp;Row=4005&amp;Col=1","No Title Assigned - #15268749588")</f>
        <v/>
      </c>
      <c r="B4013" s="0" t="s">
        <v>5642</v>
      </c>
      <c r="C4013" s="0" t="s">
        <v>5643</v>
      </c>
      <c r="D4013" s="0" t="s">
        <v>5643</v>
      </c>
      <c r="E4013" s="0" t="inlineStr">
        <is>
          <t xml:space="preserve">Mazda</t>
        </is>
      </c>
      <c r="F4013" s="0" t="inlineStr">
        <is>
          <t xml:space="preserve">Mazda</t>
        </is>
      </c>
      <c r="G4013" s="0" t="s">
        <v>171</v>
      </c>
      <c r="H4013" s="5">
        <v>23.125000</v>
      </c>
    </row>
    <row r="4014" spans="1:9">
      <c r="A4014" s="22" t="str">
        <f>HYPERLINK("https://app.vivvix.com/360/KMI/IntelliDrive/ApplUI/Pages/CreativePages/CustomReportCreativeDetail.aspx?App=23&amp;ReportView=4&amp;Qid=1711279&amp;Row=4006&amp;Col=1","No Title Assigned - #15268749590")</f>
        <v/>
      </c>
      <c r="B4014" s="0" t="s">
        <v>5644</v>
      </c>
      <c r="E4014" s="0" t="inlineStr">
        <is>
          <t xml:space="preserve">Mazda</t>
        </is>
      </c>
      <c r="F4014" s="0" t="inlineStr">
        <is>
          <t xml:space="preserve">Mazda</t>
        </is>
      </c>
      <c r="G4014" s="0" t="s">
        <v>171</v>
      </c>
      <c r="H4014" s="5">
        <v>11.562500</v>
      </c>
    </row>
    <row r="4015" spans="1:9">
      <c r="A4015" s="22" t="str">
        <f>HYPERLINK("https://app.vivvix.com/360/KMI/IntelliDrive/ApplUI/Pages/CreativePages/CustomReportCreativeDetail.aspx?App=23&amp;ReportView=4&amp;Qid=1711279&amp;Row=4007&amp;Col=1","No Title Assigned - #15268749708")</f>
        <v/>
      </c>
      <c r="B4015" s="0" t="s">
        <v>5645</v>
      </c>
      <c r="E4015" s="0" t="inlineStr">
        <is>
          <t xml:space="preserve">Mazda</t>
        </is>
      </c>
      <c r="F4015" s="0" t="inlineStr">
        <is>
          <t xml:space="preserve">Mazda</t>
        </is>
      </c>
      <c r="G4015" s="0" t="s">
        <v>171</v>
      </c>
      <c r="H4015" s="5">
        <v>354.805800</v>
      </c>
    </row>
    <row r="4016" spans="1:9">
      <c r="A4016" s="22" t="str">
        <f>HYPERLINK("https://app.vivvix.com/360/KMI/IntelliDrive/ApplUI/Pages/CreativePages/CustomReportCreativeDetail.aspx?App=23&amp;ReportView=4&amp;Qid=1711279&amp;Row=4008&amp;Col=1","No Title Assigned - #15268749780")</f>
        <v/>
      </c>
      <c r="B4016" s="0" t="s">
        <v>5646</v>
      </c>
      <c r="E4016" s="0" t="inlineStr">
        <is>
          <t xml:space="preserve">Mazda</t>
        </is>
      </c>
      <c r="F4016" s="0" t="inlineStr">
        <is>
          <t xml:space="preserve">Mazda</t>
        </is>
      </c>
      <c r="G4016" s="0" t="s">
        <v>171</v>
      </c>
      <c r="H4016" s="5">
        <v>81.348800</v>
      </c>
    </row>
    <row r="4017" spans="1:9">
      <c r="A4017" s="22" t="str">
        <f>HYPERLINK("https://app.vivvix.com/360/KMI/IntelliDrive/ApplUI/Pages/CreativePages/CustomReportCreativeDetail.aspx?App=23&amp;ReportView=4&amp;Qid=1711279&amp;Row=4009&amp;Col=1","No Title Assigned - #15268752976")</f>
        <v/>
      </c>
      <c r="B4017" s="0" t="s">
        <v>5647</v>
      </c>
      <c r="E4017" s="0" t="inlineStr">
        <is>
          <t xml:space="preserve">Mazda</t>
        </is>
      </c>
      <c r="F4017" s="0" t="inlineStr">
        <is>
          <t xml:space="preserve">Mazda</t>
        </is>
      </c>
      <c r="G4017" s="0" t="s">
        <v>171</v>
      </c>
      <c r="H4017" s="5">
        <v>431.985800</v>
      </c>
    </row>
    <row r="4018" spans="1:9">
      <c r="A4018" s="22" t="str">
        <f>HYPERLINK("https://app.vivvix.com/360/KMI/IntelliDrive/ApplUI/Pages/CreativePages/CustomReportCreativeDetail.aspx?App=23&amp;ReportView=4&amp;Qid=1711279&amp;Row=4010&amp;Col=1","No Title Assigned - #15268753080")</f>
        <v/>
      </c>
      <c r="B4018" s="0" t="s">
        <v>5648</v>
      </c>
      <c r="E4018" s="0" t="inlineStr">
        <is>
          <t xml:space="preserve">Mazda</t>
        </is>
      </c>
      <c r="F4018" s="0" t="inlineStr">
        <is>
          <t xml:space="preserve">Mazda</t>
        </is>
      </c>
      <c r="G4018" s="0" t="s">
        <v>171</v>
      </c>
      <c r="H4018" s="5">
        <v>230.686100</v>
      </c>
    </row>
    <row r="4019" spans="1:9">
      <c r="A4019" s="22" t="str">
        <f>HYPERLINK("https://app.vivvix.com/360/KMI/IntelliDrive/ApplUI/Pages/CreativePages/CustomReportCreativeDetail.aspx?App=23&amp;ReportView=4&amp;Qid=1711279&amp;Row=4011&amp;Col=1","No Title Assigned - #15268753726")</f>
        <v/>
      </c>
      <c r="B4019" s="0" t="s">
        <v>5649</v>
      </c>
      <c r="E4019" s="0" t="inlineStr">
        <is>
          <t xml:space="preserve">Mazda</t>
        </is>
      </c>
      <c r="F4019" s="0" t="inlineStr">
        <is>
          <t xml:space="preserve">Mazda</t>
        </is>
      </c>
      <c r="G4019" s="0" t="s">
        <v>171</v>
      </c>
      <c r="H4019" s="5">
        <v>1011.892200</v>
      </c>
    </row>
    <row r="4020" spans="1:9">
      <c r="A4020" s="22" t="str">
        <f>HYPERLINK("https://app.vivvix.com/360/KMI/IntelliDrive/ApplUI/Pages/CreativePages/CustomReportCreativeDetail.aspx?App=23&amp;ReportView=4&amp;Qid=1711279&amp;Row=4012&amp;Col=1","No Title Assigned - #15268753726")</f>
        <v/>
      </c>
      <c r="B4020" s="0" t="s">
        <v>5649</v>
      </c>
      <c r="E4020" s="0" t="inlineStr">
        <is>
          <t xml:space="preserve">Mazda</t>
        </is>
      </c>
      <c r="F4020" s="0" t="inlineStr">
        <is>
          <t xml:space="preserve">Mazda</t>
        </is>
      </c>
      <c r="G4020" s="0" t="s">
        <v>171</v>
      </c>
      <c r="H4020" s="5">
        <v>1097.153600</v>
      </c>
    </row>
    <row r="4021" spans="1:9">
      <c r="A4021" s="22" t="str">
        <f>HYPERLINK("https://app.vivvix.com/360/KMI/IntelliDrive/ApplUI/Pages/CreativePages/CustomReportCreativeDetail.aspx?App=23&amp;ReportView=4&amp;Qid=1711279&amp;Row=4013&amp;Col=1","No Title Assigned - #15268761610")</f>
        <v/>
      </c>
      <c r="B4021" s="0" t="s">
        <v>5650</v>
      </c>
      <c r="E4021" s="0" t="inlineStr">
        <is>
          <t xml:space="preserve">Mazda</t>
        </is>
      </c>
      <c r="F4021" s="0" t="inlineStr">
        <is>
          <t xml:space="preserve">Mazda</t>
        </is>
      </c>
      <c r="G4021" s="0" t="s">
        <v>171</v>
      </c>
      <c r="H4021" s="5">
        <v>23.906800</v>
      </c>
    </row>
    <row r="4022" spans="1:9">
      <c r="A4022" s="22" t="str">
        <f>HYPERLINK("https://app.vivvix.com/360/KMI/IntelliDrive/ApplUI/Pages/CreativePages/CustomReportCreativeDetail.aspx?App=23&amp;ReportView=4&amp;Qid=1711279&amp;Row=4014&amp;Col=1","No Title Assigned - #15268767578")</f>
        <v/>
      </c>
      <c r="B4022" s="0" t="s">
        <v>5651</v>
      </c>
      <c r="C4022" s="0" t="s">
        <v>5652</v>
      </c>
      <c r="D4022" s="0" t="s">
        <v>5652</v>
      </c>
      <c r="E4022" s="0" t="inlineStr">
        <is>
          <t xml:space="preserve">Mazda</t>
        </is>
      </c>
      <c r="F4022" s="0" t="inlineStr">
        <is>
          <t xml:space="preserve">Mazda</t>
        </is>
      </c>
      <c r="G4022" s="0" t="s">
        <v>171</v>
      </c>
      <c r="H4022" s="5">
        <v>60.525600</v>
      </c>
    </row>
    <row r="4023" spans="1:9">
      <c r="A4023" s="22" t="str">
        <f>HYPERLINK("https://app.vivvix.com/360/KMI/IntelliDrive/ApplUI/Pages/CreativePages/CustomReportCreativeDetail.aspx?App=23&amp;ReportView=4&amp;Qid=1711279&amp;Row=4015&amp;Col=1","No Title Assigned - #15268770479")</f>
        <v/>
      </c>
      <c r="B4023" s="0" t="s">
        <v>5653</v>
      </c>
      <c r="E4023" s="0" t="inlineStr">
        <is>
          <t xml:space="preserve">Mazda</t>
        </is>
      </c>
      <c r="F4023" s="0" t="inlineStr">
        <is>
          <t xml:space="preserve">Mazda</t>
        </is>
      </c>
      <c r="G4023" s="0" t="s">
        <v>171</v>
      </c>
      <c r="H4023" s="5">
        <v>2016.455600</v>
      </c>
    </row>
    <row r="4024" spans="1:9">
      <c r="A4024" s="22" t="str">
        <f>HYPERLINK("https://app.vivvix.com/360/KMI/IntelliDrive/ApplUI/Pages/CreativePages/CustomReportCreativeDetail.aspx?App=23&amp;ReportView=4&amp;Qid=1711279&amp;Row=4016&amp;Col=1","No Title Assigned - #15268775437")</f>
        <v/>
      </c>
      <c r="B4024" s="0" t="s">
        <v>5654</v>
      </c>
      <c r="E4024" s="0" t="inlineStr">
        <is>
          <t xml:space="preserve">Mazda</t>
        </is>
      </c>
      <c r="F4024" s="0" t="inlineStr">
        <is>
          <t xml:space="preserve">Mazda</t>
        </is>
      </c>
      <c r="G4024" s="0" t="s">
        <v>171</v>
      </c>
      <c r="H4024" s="5">
        <v>12821.325200</v>
      </c>
    </row>
    <row r="4025" spans="1:9">
      <c r="A4025" s="22" t="str">
        <f>HYPERLINK("https://app.vivvix.com/360/KMI/IntelliDrive/ApplUI/Pages/CreativePages/CustomReportCreativeDetail.aspx?App=23&amp;ReportView=4&amp;Qid=1711279&amp;Row=4017&amp;Col=1","No Title Assigned - #15268777513")</f>
        <v/>
      </c>
      <c r="B4025" s="0" t="s">
        <v>5655</v>
      </c>
      <c r="E4025" s="0" t="inlineStr">
        <is>
          <t xml:space="preserve">Mazda</t>
        </is>
      </c>
      <c r="F4025" s="0" t="inlineStr">
        <is>
          <t xml:space="preserve">Mazda</t>
        </is>
      </c>
      <c r="G4025" s="0" t="s">
        <v>171</v>
      </c>
      <c r="H4025" s="5">
        <v>692.060900</v>
      </c>
    </row>
    <row r="4026" spans="1:9">
      <c r="A4026" s="22" t="str">
        <f>HYPERLINK("https://app.vivvix.com/360/KMI/IntelliDrive/ApplUI/Pages/CreativePages/CustomReportCreativeDetail.aspx?App=23&amp;ReportView=4&amp;Qid=1711279&amp;Row=4018&amp;Col=1","No Title Assigned - #15268791826")</f>
        <v/>
      </c>
      <c r="B4026" s="0" t="s">
        <v>5656</v>
      </c>
      <c r="E4026" s="0" t="inlineStr">
        <is>
          <t xml:space="preserve">Mazda</t>
        </is>
      </c>
      <c r="F4026" s="0" t="inlineStr">
        <is>
          <t xml:space="preserve">Mazda</t>
        </is>
      </c>
      <c r="G4026" s="0" t="s">
        <v>171</v>
      </c>
      <c r="H4026" s="5">
        <v>254.355500</v>
      </c>
    </row>
    <row r="4027" spans="1:9">
      <c r="A4027" s="22" t="str">
        <f>HYPERLINK("https://app.vivvix.com/360/KMI/IntelliDrive/ApplUI/Pages/CreativePages/CustomReportCreativeDetail.aspx?App=23&amp;ReportView=4&amp;Qid=1711279&amp;Row=4019&amp;Col=1","No Title Assigned - #15268792005")</f>
        <v/>
      </c>
      <c r="B4027" s="0" t="s">
        <v>5657</v>
      </c>
      <c r="C4027" s="0" t="s">
        <v>5658</v>
      </c>
      <c r="D4027" s="0" t="s">
        <v>5658</v>
      </c>
      <c r="E4027" s="0" t="inlineStr">
        <is>
          <t xml:space="preserve">Mazda</t>
        </is>
      </c>
      <c r="F4027" s="0" t="inlineStr">
        <is>
          <t xml:space="preserve">Mazda</t>
        </is>
      </c>
      <c r="G4027" s="0" t="s">
        <v>171</v>
      </c>
      <c r="H4027" s="5">
        <v>132615.454300</v>
      </c>
    </row>
    <row r="4028" spans="1:9">
      <c r="A4028" s="22" t="str">
        <f>HYPERLINK("https://app.vivvix.com/360/KMI/IntelliDrive/ApplUI/Pages/CreativePages/CustomReportCreativeDetail.aspx?App=23&amp;ReportView=4&amp;Qid=1711279&amp;Row=4020&amp;Col=1","No Title Assigned - #15268792302")</f>
        <v/>
      </c>
      <c r="B4028" s="0" t="s">
        <v>5659</v>
      </c>
      <c r="E4028" s="0" t="inlineStr">
        <is>
          <t xml:space="preserve">Mazda</t>
        </is>
      </c>
      <c r="F4028" s="0" t="inlineStr">
        <is>
          <t xml:space="preserve">Mazda</t>
        </is>
      </c>
      <c r="G4028" s="0" t="s">
        <v>171</v>
      </c>
      <c r="H4028" s="5">
        <v>1609.957300</v>
      </c>
    </row>
    <row r="4029" spans="1:9">
      <c r="A4029" s="22" t="str">
        <f>HYPERLINK("https://app.vivvix.com/360/KMI/IntelliDrive/ApplUI/Pages/CreativePages/CustomReportCreativeDetail.aspx?App=23&amp;ReportView=4&amp;Qid=1711279&amp;Row=4021&amp;Col=1","No Title Assigned - #15268793050")</f>
        <v/>
      </c>
      <c r="B4029" s="0" t="s">
        <v>5660</v>
      </c>
      <c r="E4029" s="0" t="inlineStr">
        <is>
          <t xml:space="preserve">Mazda</t>
        </is>
      </c>
      <c r="F4029" s="0" t="inlineStr">
        <is>
          <t xml:space="preserve">Mazda</t>
        </is>
      </c>
      <c r="G4029" s="0" t="s">
        <v>171</v>
      </c>
      <c r="H4029" s="5">
        <v>1516.383600</v>
      </c>
    </row>
    <row r="4030" spans="1:9">
      <c r="A4030" s="22" t="str">
        <f>HYPERLINK("https://app.vivvix.com/360/KMI/IntelliDrive/ApplUI/Pages/CreativePages/CustomReportCreativeDetail.aspx?App=23&amp;ReportView=4&amp;Qid=1711279&amp;Row=4022&amp;Col=1","No Title Assigned - #15268793050")</f>
        <v/>
      </c>
      <c r="B4030" s="0" t="s">
        <v>5660</v>
      </c>
      <c r="E4030" s="0" t="inlineStr">
        <is>
          <t xml:space="preserve">Mazda</t>
        </is>
      </c>
      <c r="F4030" s="0" t="inlineStr">
        <is>
          <t xml:space="preserve">Mazda</t>
        </is>
      </c>
      <c r="G4030" s="0" t="s">
        <v>171</v>
      </c>
      <c r="H4030" s="5">
        <v>1009.680700</v>
      </c>
    </row>
    <row r="4031" spans="1:9">
      <c r="A4031" s="22" t="str">
        <f>HYPERLINK("https://app.vivvix.com/360/KMI/IntelliDrive/ApplUI/Pages/CreativePages/CustomReportCreativeDetail.aspx?App=23&amp;ReportView=4&amp;Qid=1711279&amp;Row=4023&amp;Col=1","No Title Assigned - #15268796199")</f>
        <v/>
      </c>
      <c r="B4031" s="0" t="s">
        <v>5661</v>
      </c>
      <c r="E4031" s="0" t="inlineStr">
        <is>
          <t xml:space="preserve">Mazda</t>
        </is>
      </c>
      <c r="F4031" s="0" t="inlineStr">
        <is>
          <t xml:space="preserve">Mazda</t>
        </is>
      </c>
      <c r="G4031" s="0" t="s">
        <v>171</v>
      </c>
      <c r="H4031" s="5">
        <v>12.036800</v>
      </c>
    </row>
    <row r="4032" spans="1:9">
      <c r="A4032" s="22" t="str">
        <f>HYPERLINK("https://app.vivvix.com/360/KMI/IntelliDrive/ApplUI/Pages/CreativePages/CustomReportCreativeDetail.aspx?App=23&amp;ReportView=4&amp;Qid=1711279&amp;Row=4024&amp;Col=1","No Title Assigned - #15268802808")</f>
        <v/>
      </c>
      <c r="B4032" s="0" t="s">
        <v>5662</v>
      </c>
      <c r="E4032" s="0" t="inlineStr">
        <is>
          <t xml:space="preserve">Mazda</t>
        </is>
      </c>
      <c r="F4032" s="0" t="inlineStr">
        <is>
          <t xml:space="preserve">Mazda</t>
        </is>
      </c>
      <c r="G4032" s="0" t="s">
        <v>171</v>
      </c>
      <c r="H4032" s="5">
        <v>8511.040400</v>
      </c>
    </row>
    <row r="4033" spans="1:9">
      <c r="A4033" s="22" t="str">
        <f>HYPERLINK("https://app.vivvix.com/360/KMI/IntelliDrive/ApplUI/Pages/CreativePages/CustomReportCreativeDetail.aspx?App=23&amp;ReportView=4&amp;Qid=1711279&amp;Row=4025&amp;Col=1","No Title Assigned - #15268802808")</f>
        <v/>
      </c>
      <c r="B4033" s="0" t="s">
        <v>5662</v>
      </c>
      <c r="E4033" s="0" t="inlineStr">
        <is>
          <t xml:space="preserve">Mazda</t>
        </is>
      </c>
      <c r="F4033" s="0" t="inlineStr">
        <is>
          <t xml:space="preserve">Mazda</t>
        </is>
      </c>
      <c r="G4033" s="0" t="s">
        <v>171</v>
      </c>
      <c r="H4033" s="5">
        <v>3179.243500</v>
      </c>
    </row>
    <row r="4034" spans="1:9">
      <c r="A4034" s="22" t="str">
        <f>HYPERLINK("https://app.vivvix.com/360/KMI/IntelliDrive/ApplUI/Pages/CreativePages/CustomReportCreativeDetail.aspx?App=23&amp;ReportView=4&amp;Qid=1711279&amp;Row=4026&amp;Col=1","No Title Assigned - #15268804678")</f>
        <v/>
      </c>
      <c r="B4034" s="0" t="s">
        <v>5663</v>
      </c>
      <c r="C4034" s="0" t="s">
        <v>5664</v>
      </c>
      <c r="D4034" s="0" t="s">
        <v>5664</v>
      </c>
      <c r="E4034" s="0" t="inlineStr">
        <is>
          <t xml:space="preserve">Mazda</t>
        </is>
      </c>
      <c r="F4034" s="0" t="inlineStr">
        <is>
          <t xml:space="preserve">Mazda</t>
        </is>
      </c>
      <c r="G4034" s="0" t="s">
        <v>171</v>
      </c>
      <c r="H4034" s="5">
        <v>420.364300</v>
      </c>
    </row>
    <row r="4035" spans="1:9">
      <c r="A4035" s="22" t="str">
        <f>HYPERLINK("https://app.vivvix.com/360/KMI/IntelliDrive/ApplUI/Pages/CreativePages/CustomReportCreativeDetail.aspx?App=23&amp;ReportView=4&amp;Qid=1711279&amp;Row=4027&amp;Col=1","No Title Assigned - #15268806012")</f>
        <v/>
      </c>
      <c r="B4035" s="0" t="s">
        <v>5665</v>
      </c>
      <c r="E4035" s="0" t="inlineStr">
        <is>
          <t xml:space="preserve">Mazda</t>
        </is>
      </c>
      <c r="F4035" s="0" t="inlineStr">
        <is>
          <t xml:space="preserve">Mazda</t>
        </is>
      </c>
      <c r="G4035" s="0" t="s">
        <v>171</v>
      </c>
      <c r="H4035" s="5">
        <v>7558.707400</v>
      </c>
    </row>
    <row r="4036" spans="1:9">
      <c r="A4036" s="22" t="str">
        <f>HYPERLINK("https://app.vivvix.com/360/KMI/IntelliDrive/ApplUI/Pages/CreativePages/CustomReportCreativeDetail.aspx?App=23&amp;ReportView=4&amp;Qid=1711279&amp;Row=4028&amp;Col=1","No Title Assigned - #15268807663")</f>
        <v/>
      </c>
      <c r="B4036" s="0" t="s">
        <v>5666</v>
      </c>
      <c r="E4036" s="0" t="inlineStr">
        <is>
          <t xml:space="preserve">Mazda</t>
        </is>
      </c>
      <c r="F4036" s="0" t="inlineStr">
        <is>
          <t xml:space="preserve">Mazda</t>
        </is>
      </c>
      <c r="G4036" s="0" t="s">
        <v>171</v>
      </c>
      <c r="H4036" s="5">
        <v>284.234800</v>
      </c>
    </row>
    <row r="4037" spans="1:9">
      <c r="A4037" s="22" t="str">
        <f>HYPERLINK("https://app.vivvix.com/360/KMI/IntelliDrive/ApplUI/Pages/CreativePages/CustomReportCreativeDetail.aspx?App=23&amp;ReportView=4&amp;Qid=1711279&amp;Row=4029&amp;Col=1","No Title Assigned - #15268808785")</f>
        <v/>
      </c>
      <c r="B4037" s="0" t="s">
        <v>5667</v>
      </c>
      <c r="C4037" s="0" t="s">
        <v>5668</v>
      </c>
      <c r="D4037" s="0" t="s">
        <v>5668</v>
      </c>
      <c r="E4037" s="0" t="inlineStr">
        <is>
          <t xml:space="preserve">Mazda</t>
        </is>
      </c>
      <c r="F4037" s="0" t="s">
        <v>28</v>
      </c>
      <c r="G4037" s="0" t="s">
        <v>29</v>
      </c>
      <c r="H4037" s="5">
        <v>5.556300</v>
      </c>
    </row>
    <row r="4038" spans="1:9">
      <c r="A4038" s="22" t="str">
        <f>HYPERLINK("https://app.vivvix.com/360/KMI/IntelliDrive/ApplUI/Pages/CreativePages/CustomReportCreativeDetail.aspx?App=23&amp;ReportView=4&amp;Qid=1711279&amp;Row=4030&amp;Col=1","No Title Assigned - #15268810301")</f>
        <v/>
      </c>
      <c r="B4038" s="0" t="s">
        <v>5669</v>
      </c>
      <c r="C4038" s="0" t="s">
        <v>5670</v>
      </c>
      <c r="D4038" s="0" t="s">
        <v>5670</v>
      </c>
      <c r="E4038" s="0" t="inlineStr">
        <is>
          <t xml:space="preserve">Mazda</t>
        </is>
      </c>
      <c r="F4038" s="0" t="s">
        <v>17</v>
      </c>
      <c r="G4038" s="0" t="s">
        <v>33</v>
      </c>
      <c r="H4038" s="5">
        <v>1678.818800</v>
      </c>
    </row>
    <row r="4039" spans="1:9">
      <c r="A4039" s="22" t="str">
        <f>HYPERLINK("https://app.vivvix.com/360/KMI/IntelliDrive/ApplUI/Pages/CreativePages/CustomReportCreativeDetail.aspx?App=23&amp;ReportView=4&amp;Qid=1711279&amp;Row=4031&amp;Col=1","No Title Assigned - #15268812800")</f>
        <v/>
      </c>
      <c r="B4039" s="0" t="s">
        <v>5671</v>
      </c>
      <c r="C4039" s="0" t="s">
        <v>5672</v>
      </c>
      <c r="D4039" s="0" t="s">
        <v>4225</v>
      </c>
      <c r="E4039" s="0" t="inlineStr">
        <is>
          <t xml:space="preserve">Mazda</t>
        </is>
      </c>
      <c r="F4039" s="0" t="s">
        <v>28</v>
      </c>
      <c r="G4039" s="0" t="s">
        <v>29</v>
      </c>
      <c r="H4039" s="5">
        <v>93.047200</v>
      </c>
    </row>
    <row r="4040" spans="1:9">
      <c r="A4040" s="22" t="str">
        <f>HYPERLINK("https://app.vivvix.com/360/KMI/IntelliDrive/ApplUI/Pages/CreativePages/CustomReportCreativeDetail.aspx?App=23&amp;ReportView=4&amp;Qid=1711279&amp;Row=4032&amp;Col=1","No Title Assigned - #15268813120")</f>
        <v/>
      </c>
      <c r="B4040" s="0" t="s">
        <v>5673</v>
      </c>
      <c r="C4040" s="0" t="s">
        <v>5674</v>
      </c>
      <c r="D4040" s="0" t="s">
        <v>4204</v>
      </c>
      <c r="E4040" s="0" t="inlineStr">
        <is>
          <t xml:space="preserve">Mazda</t>
        </is>
      </c>
      <c r="F4040" s="0" t="s">
        <v>28</v>
      </c>
      <c r="G4040" s="0" t="s">
        <v>29</v>
      </c>
      <c r="H4040" s="5">
        <v>4664.502000</v>
      </c>
    </row>
    <row r="4041" spans="1:9">
      <c r="A4041" s="22" t="str">
        <f>HYPERLINK("https://app.vivvix.com/360/KMI/IntelliDrive/ApplUI/Pages/CreativePages/CustomReportCreativeDetail.aspx?App=23&amp;ReportView=4&amp;Qid=1711279&amp;Row=4033&amp;Col=1","No Title Assigned - #15268813988")</f>
        <v/>
      </c>
      <c r="B4041" s="0" t="s">
        <v>5675</v>
      </c>
      <c r="E4041" s="0" t="inlineStr">
        <is>
          <t xml:space="preserve">Mazda</t>
        </is>
      </c>
      <c r="F4041" s="0" t="s">
        <v>28</v>
      </c>
      <c r="G4041" s="0" t="s">
        <v>29</v>
      </c>
      <c r="H4041" s="5">
        <v>70.989400</v>
      </c>
    </row>
    <row r="4042" spans="1:9">
      <c r="A4042" s="22" t="str">
        <f>HYPERLINK("https://app.vivvix.com/360/KMI/IntelliDrive/ApplUI/Pages/CreativePages/CustomReportCreativeDetail.aspx?App=23&amp;ReportView=4&amp;Qid=1711279&amp;Row=4034&amp;Col=1","No Title Assigned - #15268813988")</f>
        <v/>
      </c>
      <c r="B4042" s="0" t="s">
        <v>5675</v>
      </c>
      <c r="C4042" s="0" t="s">
        <v>5676</v>
      </c>
      <c r="D4042" s="0" t="s">
        <v>5676</v>
      </c>
      <c r="E4042" s="0" t="inlineStr">
        <is>
          <t xml:space="preserve">Mazda</t>
        </is>
      </c>
      <c r="F4042" s="0" t="s">
        <v>28</v>
      </c>
      <c r="G4042" s="0" t="s">
        <v>29</v>
      </c>
      <c r="H4042" s="5">
        <v>2072.598100</v>
      </c>
    </row>
    <row r="4043" spans="1:9">
      <c r="A4043" s="22" t="str">
        <f>HYPERLINK("https://app.vivvix.com/360/KMI/IntelliDrive/ApplUI/Pages/CreativePages/CustomReportCreativeDetail.aspx?App=23&amp;ReportView=4&amp;Qid=1711279&amp;Row=4035&amp;Col=1","No Title Assigned - #15268814014")</f>
        <v/>
      </c>
      <c r="B4043" s="0" t="s">
        <v>5677</v>
      </c>
      <c r="C4043" s="0" t="s">
        <v>5678</v>
      </c>
      <c r="D4043" s="0" t="s">
        <v>5678</v>
      </c>
      <c r="E4043" s="0" t="inlineStr">
        <is>
          <t xml:space="preserve">Mazda</t>
        </is>
      </c>
      <c r="F4043" s="0" t="s">
        <v>21</v>
      </c>
      <c r="G4043" s="0" t="s">
        <v>22</v>
      </c>
      <c r="H4043" s="5">
        <v>3167.574100</v>
      </c>
    </row>
    <row r="4044" spans="1:9">
      <c r="A4044" s="22" t="str">
        <f>HYPERLINK("https://app.vivvix.com/360/KMI/IntelliDrive/ApplUI/Pages/CreativePages/CustomReportCreativeDetail.aspx?App=23&amp;ReportView=4&amp;Qid=1711279&amp;Row=4036&amp;Col=1","No Title Assigned - #15268815984")</f>
        <v/>
      </c>
      <c r="B4044" s="0" t="s">
        <v>5679</v>
      </c>
      <c r="C4044" s="0" t="s">
        <v>5680</v>
      </c>
      <c r="D4044" s="0" t="s">
        <v>5680</v>
      </c>
      <c r="E4044" s="0" t="inlineStr">
        <is>
          <t xml:space="preserve">Mazda</t>
        </is>
      </c>
      <c r="F4044" s="0" t="s">
        <v>13</v>
      </c>
      <c r="G4044" s="0" t="s">
        <v>49</v>
      </c>
      <c r="H4044" s="5">
        <v>97.319600</v>
      </c>
    </row>
    <row r="4045" spans="1:9">
      <c r="A4045" s="22" t="str">
        <f>HYPERLINK("https://app.vivvix.com/360/KMI/IntelliDrive/ApplUI/Pages/CreativePages/CustomReportCreativeDetail.aspx?App=23&amp;ReportView=4&amp;Qid=1711279&amp;Row=4037&amp;Col=1","No Title Assigned - #15268816664")</f>
        <v/>
      </c>
      <c r="B4045" s="0" t="s">
        <v>5681</v>
      </c>
      <c r="C4045" s="0" t="s">
        <v>5682</v>
      </c>
      <c r="D4045" s="0" t="s">
        <v>4200</v>
      </c>
      <c r="E4045" s="0" t="inlineStr">
        <is>
          <t xml:space="preserve">Mazda</t>
        </is>
      </c>
      <c r="F4045" s="0" t="s">
        <v>28</v>
      </c>
      <c r="G4045" s="0" t="s">
        <v>29</v>
      </c>
      <c r="H4045" s="5">
        <v>141.978800</v>
      </c>
    </row>
    <row r="4046" spans="1:9">
      <c r="A4046" s="22" t="str">
        <f>HYPERLINK("https://app.vivvix.com/360/KMI/IntelliDrive/ApplUI/Pages/CreativePages/CustomReportCreativeDetail.aspx?App=23&amp;ReportView=4&amp;Qid=1711279&amp;Row=4038&amp;Col=1","No Title Assigned - #15268816664")</f>
        <v/>
      </c>
      <c r="B4046" s="0" t="s">
        <v>5681</v>
      </c>
      <c r="E4046" s="0" t="inlineStr">
        <is>
          <t xml:space="preserve">Mazda</t>
        </is>
      </c>
      <c r="F4046" s="0" t="s">
        <v>28</v>
      </c>
      <c r="G4046" s="0" t="s">
        <v>29</v>
      </c>
      <c r="H4046" s="5">
        <v>3582.425900</v>
      </c>
    </row>
    <row r="4047" spans="1:9">
      <c r="A4047" s="22" t="str">
        <f>HYPERLINK("https://app.vivvix.com/360/KMI/IntelliDrive/ApplUI/Pages/CreativePages/CustomReportCreativeDetail.aspx?App=23&amp;ReportView=4&amp;Qid=1711279&amp;Row=4039&amp;Col=1","No Title Assigned - #15268816832")</f>
        <v/>
      </c>
      <c r="B4047" s="0" t="s">
        <v>5683</v>
      </c>
      <c r="E4047" s="0" t="inlineStr">
        <is>
          <t xml:space="preserve">Mazda</t>
        </is>
      </c>
      <c r="F4047" s="0" t="s">
        <v>28</v>
      </c>
      <c r="G4047" s="0" t="s">
        <v>29</v>
      </c>
      <c r="H4047" s="5">
        <v>1124.244900</v>
      </c>
    </row>
    <row r="4048" spans="1:9">
      <c r="A4048" s="22" t="str">
        <f>HYPERLINK("https://app.vivvix.com/360/KMI/IntelliDrive/ApplUI/Pages/CreativePages/CustomReportCreativeDetail.aspx?App=23&amp;ReportView=4&amp;Qid=1711279&amp;Row=4040&amp;Col=1","No Title Assigned - #15268816832")</f>
        <v/>
      </c>
      <c r="B4048" s="0" t="s">
        <v>5683</v>
      </c>
      <c r="C4048" s="0" t="s">
        <v>5684</v>
      </c>
      <c r="D4048" s="0" t="s">
        <v>5684</v>
      </c>
      <c r="E4048" s="0" t="inlineStr">
        <is>
          <t xml:space="preserve">Mazda</t>
        </is>
      </c>
      <c r="F4048" s="0" t="s">
        <v>28</v>
      </c>
      <c r="G4048" s="0" t="s">
        <v>29</v>
      </c>
      <c r="H4048" s="5">
        <v>1610.682100</v>
      </c>
    </row>
    <row r="4049" spans="1:9">
      <c r="A4049" s="22" t="str">
        <f>HYPERLINK("https://app.vivvix.com/360/KMI/IntelliDrive/ApplUI/Pages/CreativePages/CustomReportCreativeDetail.aspx?App=23&amp;ReportView=4&amp;Qid=1711279&amp;Row=4041&amp;Col=1","No Title Assigned - #15268817840")</f>
        <v/>
      </c>
      <c r="B4049" s="0" t="s">
        <v>5685</v>
      </c>
      <c r="E4049" s="0" t="inlineStr">
        <is>
          <t xml:space="preserve">Mazda</t>
        </is>
      </c>
      <c r="F4049" s="0" t="inlineStr">
        <is>
          <t xml:space="preserve">Mazda</t>
        </is>
      </c>
      <c r="G4049" s="0" t="s">
        <v>171</v>
      </c>
      <c r="H4049" s="5">
        <v>255.018200</v>
      </c>
    </row>
    <row r="4050" spans="1:9">
      <c r="A4050" s="22" t="str">
        <f>HYPERLINK("https://app.vivvix.com/360/KMI/IntelliDrive/ApplUI/Pages/CreativePages/CustomReportCreativeDetail.aspx?App=23&amp;ReportView=4&amp;Qid=1711279&amp;Row=4042&amp;Col=1","No Title Assigned - #15268818087")</f>
        <v/>
      </c>
      <c r="B4050" s="0" t="s">
        <v>5686</v>
      </c>
      <c r="E4050" s="0" t="inlineStr">
        <is>
          <t xml:space="preserve">Mazda</t>
        </is>
      </c>
      <c r="F4050" s="0" t="inlineStr">
        <is>
          <t xml:space="preserve">Mazda</t>
        </is>
      </c>
      <c r="G4050" s="0" t="s">
        <v>171</v>
      </c>
      <c r="H4050" s="5">
        <v>60557.873800</v>
      </c>
    </row>
    <row r="4051" spans="1:9">
      <c r="A4051" s="22" t="str">
        <f>HYPERLINK("https://app.vivvix.com/360/KMI/IntelliDrive/ApplUI/Pages/CreativePages/CustomReportCreativeDetail.aspx?App=23&amp;ReportView=4&amp;Qid=1711279&amp;Row=4043&amp;Col=1","No Title Assigned - #15268818087")</f>
        <v/>
      </c>
      <c r="B4051" s="0" t="s">
        <v>5686</v>
      </c>
      <c r="E4051" s="0" t="inlineStr">
        <is>
          <t xml:space="preserve">Mazda</t>
        </is>
      </c>
      <c r="F4051" s="0" t="inlineStr">
        <is>
          <t xml:space="preserve">Mazda</t>
        </is>
      </c>
      <c r="G4051" s="0" t="s">
        <v>171</v>
      </c>
      <c r="H4051" s="5">
        <v>140029.763600</v>
      </c>
    </row>
    <row r="4052" spans="1:9">
      <c r="A4052" s="22" t="str">
        <f>HYPERLINK("https://app.vivvix.com/360/KMI/IntelliDrive/ApplUI/Pages/CreativePages/CustomReportCreativeDetail.aspx?App=23&amp;ReportView=4&amp;Qid=1711279&amp;Row=4044&amp;Col=1","No Title Assigned - #15268818187")</f>
        <v/>
      </c>
      <c r="B4052" s="0" t="s">
        <v>5687</v>
      </c>
      <c r="C4052" s="0" t="s">
        <v>5688</v>
      </c>
      <c r="D4052" s="0" t="s">
        <v>5688</v>
      </c>
      <c r="E4052" s="0" t="inlineStr">
        <is>
          <t xml:space="preserve">Mazda</t>
        </is>
      </c>
      <c r="F4052" s="0" t="inlineStr">
        <is>
          <t xml:space="preserve">Mazda</t>
        </is>
      </c>
      <c r="G4052" s="0" t="s">
        <v>171</v>
      </c>
      <c r="H4052" s="5">
        <v>522.727900</v>
      </c>
    </row>
    <row r="4053" spans="1:9">
      <c r="A4053" s="22" t="str">
        <f>HYPERLINK("https://app.vivvix.com/360/KMI/IntelliDrive/ApplUI/Pages/CreativePages/CustomReportCreativeDetail.aspx?App=23&amp;ReportView=4&amp;Qid=1711279&amp;Row=4045&amp;Col=1","No Title Assigned - #15268818268")</f>
        <v/>
      </c>
      <c r="B4053" s="0" t="s">
        <v>5689</v>
      </c>
      <c r="E4053" s="0" t="inlineStr">
        <is>
          <t xml:space="preserve">Mazda</t>
        </is>
      </c>
      <c r="F4053" s="0" t="inlineStr">
        <is>
          <t xml:space="preserve">Mazda</t>
        </is>
      </c>
      <c r="G4053" s="0" t="s">
        <v>171</v>
      </c>
      <c r="H4053" s="5">
        <v>12.652900</v>
      </c>
    </row>
    <row r="4054" spans="1:9">
      <c r="A4054" s="22" t="str">
        <f>HYPERLINK("https://app.vivvix.com/360/KMI/IntelliDrive/ApplUI/Pages/CreativePages/CustomReportCreativeDetail.aspx?App=23&amp;ReportView=4&amp;Qid=1711279&amp;Row=4046&amp;Col=1","No Title Assigned - #15268818268")</f>
        <v/>
      </c>
      <c r="B4054" s="0" t="s">
        <v>5689</v>
      </c>
      <c r="E4054" s="0" t="inlineStr">
        <is>
          <t xml:space="preserve">Mazda</t>
        </is>
      </c>
      <c r="F4054" s="0" t="inlineStr">
        <is>
          <t xml:space="preserve">Mazda</t>
        </is>
      </c>
      <c r="G4054" s="0" t="s">
        <v>171</v>
      </c>
      <c r="H4054" s="5">
        <v>2346.488300</v>
      </c>
    </row>
    <row r="4055" spans="1:9">
      <c r="A4055" s="22" t="str">
        <f>HYPERLINK("https://app.vivvix.com/360/KMI/IntelliDrive/ApplUI/Pages/CreativePages/CustomReportCreativeDetail.aspx?App=23&amp;ReportView=4&amp;Qid=1711279&amp;Row=4047&amp;Col=1","No Title Assigned - #15268818827")</f>
        <v/>
      </c>
      <c r="B4055" s="0" t="s">
        <v>5690</v>
      </c>
      <c r="E4055" s="0" t="inlineStr">
        <is>
          <t xml:space="preserve">Mazda</t>
        </is>
      </c>
      <c r="F4055" s="0" t="inlineStr">
        <is>
          <t xml:space="preserve">Mazda</t>
        </is>
      </c>
      <c r="G4055" s="0" t="s">
        <v>171</v>
      </c>
      <c r="H4055" s="5">
        <v>12.543200</v>
      </c>
    </row>
    <row r="4056" spans="1:9">
      <c r="A4056" s="22" t="str">
        <f>HYPERLINK("https://app.vivvix.com/360/KMI/IntelliDrive/ApplUI/Pages/CreativePages/CustomReportCreativeDetail.aspx?App=23&amp;ReportView=4&amp;Qid=1711279&amp;Row=4048&amp;Col=1","No Title Assigned - #15268819032")</f>
        <v/>
      </c>
      <c r="B4056" s="0" t="s">
        <v>5691</v>
      </c>
      <c r="C4056" s="0" t="s">
        <v>5692</v>
      </c>
      <c r="D4056" s="0" t="s">
        <v>5692</v>
      </c>
      <c r="E4056" s="0" t="inlineStr">
        <is>
          <t xml:space="preserve">Mazda</t>
        </is>
      </c>
      <c r="F4056" s="0" t="s">
        <v>28</v>
      </c>
      <c r="G4056" s="0" t="s">
        <v>29</v>
      </c>
      <c r="H4056" s="5">
        <v>175187.622600</v>
      </c>
    </row>
    <row r="4057" spans="1:9">
      <c r="A4057" s="22" t="str">
        <f>HYPERLINK("https://app.vivvix.com/360/KMI/IntelliDrive/ApplUI/Pages/CreativePages/CustomReportCreativeDetail.aspx?App=23&amp;ReportView=4&amp;Qid=1711279&amp;Row=4049&amp;Col=1","No Title Assigned - #15268820251")</f>
        <v/>
      </c>
      <c r="B4057" s="0" t="s">
        <v>5693</v>
      </c>
      <c r="E4057" s="0" t="inlineStr">
        <is>
          <t xml:space="preserve">Mazda</t>
        </is>
      </c>
      <c r="F4057" s="0" t="inlineStr">
        <is>
          <t xml:space="preserve">Mazda</t>
        </is>
      </c>
      <c r="G4057" s="0" t="s">
        <v>171</v>
      </c>
      <c r="H4057" s="5">
        <v>10.918000</v>
      </c>
    </row>
    <row r="4058" spans="1:9">
      <c r="A4058" s="22" t="str">
        <f>HYPERLINK("https://app.vivvix.com/360/KMI/IntelliDrive/ApplUI/Pages/CreativePages/CustomReportCreativeDetail.aspx?App=23&amp;ReportView=4&amp;Qid=1711279&amp;Row=4050&amp;Col=1","No Title Assigned - #15268820252")</f>
        <v/>
      </c>
      <c r="B4058" s="0" t="s">
        <v>5694</v>
      </c>
      <c r="E4058" s="0" t="inlineStr">
        <is>
          <t xml:space="preserve">Mazda</t>
        </is>
      </c>
      <c r="F4058" s="0" t="inlineStr">
        <is>
          <t xml:space="preserve">Mazda</t>
        </is>
      </c>
      <c r="G4058" s="0" t="s">
        <v>171</v>
      </c>
      <c r="H4058" s="5">
        <v>10.918000</v>
      </c>
    </row>
    <row r="4059" spans="1:9">
      <c r="A4059" s="22" t="str">
        <f>HYPERLINK("https://app.vivvix.com/360/KMI/IntelliDrive/ApplUI/Pages/CreativePages/CustomReportCreativeDetail.aspx?App=23&amp;ReportView=4&amp;Qid=1711279&amp;Row=4051&amp;Col=1","No Title Assigned - #15268823107")</f>
        <v/>
      </c>
      <c r="B4059" s="0" t="s">
        <v>5695</v>
      </c>
      <c r="E4059" s="0" t="inlineStr">
        <is>
          <t xml:space="preserve">Mazda</t>
        </is>
      </c>
      <c r="F4059" s="0" t="inlineStr">
        <is>
          <t xml:space="preserve">Mazda</t>
        </is>
      </c>
      <c r="G4059" s="0" t="s">
        <v>171</v>
      </c>
      <c r="H4059" s="5">
        <v>62.710500</v>
      </c>
    </row>
    <row r="4060" spans="1:9">
      <c r="A4060" s="22" t="str">
        <f>HYPERLINK("https://app.vivvix.com/360/KMI/IntelliDrive/ApplUI/Pages/CreativePages/CustomReportCreativeDetail.aspx?App=23&amp;ReportView=4&amp;Qid=1711279&amp;Row=4052&amp;Col=1","No Title Assigned - #15268823617")</f>
        <v/>
      </c>
      <c r="B4060" s="0" t="s">
        <v>5696</v>
      </c>
      <c r="E4060" s="0" t="inlineStr">
        <is>
          <t xml:space="preserve">Mazda</t>
        </is>
      </c>
      <c r="F4060" s="0" t="inlineStr">
        <is>
          <t xml:space="preserve">Mazda</t>
        </is>
      </c>
      <c r="G4060" s="0" t="s">
        <v>171</v>
      </c>
      <c r="H4060" s="5">
        <v>9.323700</v>
      </c>
    </row>
    <row r="4061" spans="1:9">
      <c r="A4061" s="22" t="str">
        <f>HYPERLINK("https://app.vivvix.com/360/KMI/IntelliDrive/ApplUI/Pages/CreativePages/CustomReportCreativeDetail.aspx?App=23&amp;ReportView=4&amp;Qid=1711279&amp;Row=4053&amp;Col=1","No Title Assigned - #15268824116")</f>
        <v/>
      </c>
      <c r="B4061" s="0" t="s">
        <v>5697</v>
      </c>
      <c r="C4061" s="0" t="s">
        <v>5698</v>
      </c>
      <c r="D4061" s="0" t="s">
        <v>5698</v>
      </c>
      <c r="E4061" s="0" t="inlineStr">
        <is>
          <t xml:space="preserve">Mazda</t>
        </is>
      </c>
      <c r="F4061" s="0" t="inlineStr">
        <is>
          <t xml:space="preserve">Mazda</t>
        </is>
      </c>
      <c r="G4061" s="0" t="s">
        <v>210</v>
      </c>
      <c r="H4061" s="5">
        <v>2429.133300</v>
      </c>
    </row>
    <row r="4062" spans="1:9">
      <c r="A4062" s="22" t="str">
        <f>HYPERLINK("https://app.vivvix.com/360/KMI/IntelliDrive/ApplUI/Pages/CreativePages/CustomReportCreativeDetail.aspx?App=23&amp;ReportView=4&amp;Qid=1711279&amp;Row=4054&amp;Col=1","No Title Assigned - #15268824116")</f>
        <v/>
      </c>
      <c r="B4062" s="0" t="s">
        <v>5697</v>
      </c>
      <c r="E4062" s="0" t="inlineStr">
        <is>
          <t xml:space="preserve">Mazda</t>
        </is>
      </c>
      <c r="F4062" s="0" t="inlineStr">
        <is>
          <t xml:space="preserve">Mazda</t>
        </is>
      </c>
      <c r="G4062" s="0" t="s">
        <v>210</v>
      </c>
      <c r="H4062" s="5">
        <v>5993.270700</v>
      </c>
    </row>
    <row r="4063" spans="1:9">
      <c r="A4063" s="22" t="str">
        <f>HYPERLINK("https://app.vivvix.com/360/KMI/IntelliDrive/ApplUI/Pages/CreativePages/CustomReportCreativeDetail.aspx?App=23&amp;ReportView=4&amp;Qid=1711279&amp;Row=4055&amp;Col=1","No Title Assigned - #15268825126")</f>
        <v/>
      </c>
      <c r="B4063" s="0" t="s">
        <v>5699</v>
      </c>
      <c r="E4063" s="0" t="inlineStr">
        <is>
          <t xml:space="preserve">Mazda</t>
        </is>
      </c>
      <c r="F4063" s="0" t="inlineStr">
        <is>
          <t xml:space="preserve">Mazda</t>
        </is>
      </c>
      <c r="G4063" s="0" t="s">
        <v>171</v>
      </c>
      <c r="H4063" s="5">
        <v>559.826600</v>
      </c>
    </row>
    <row r="4064" spans="1:9">
      <c r="A4064" s="22" t="str">
        <f>HYPERLINK("https://app.vivvix.com/360/KMI/IntelliDrive/ApplUI/Pages/CreativePages/CustomReportCreativeDetail.aspx?App=23&amp;ReportView=4&amp;Qid=1711279&amp;Row=4056&amp;Col=1","No Title Assigned - #15268826161")</f>
        <v/>
      </c>
      <c r="B4064" s="0" t="s">
        <v>5700</v>
      </c>
      <c r="C4064" s="0" t="s">
        <v>5701</v>
      </c>
      <c r="D4064" s="0" t="s">
        <v>5701</v>
      </c>
      <c r="E4064" s="0" t="inlineStr">
        <is>
          <t xml:space="preserve">Mazda</t>
        </is>
      </c>
      <c r="F4064" s="0" t="s">
        <v>13</v>
      </c>
      <c r="G4064" s="0" t="s">
        <v>49</v>
      </c>
      <c r="H4064" s="5">
        <v>10091.059300</v>
      </c>
    </row>
    <row r="4065" spans="1:9">
      <c r="A4065" s="22" t="str">
        <f>HYPERLINK("https://app.vivvix.com/360/KMI/IntelliDrive/ApplUI/Pages/CreativePages/CustomReportCreativeDetail.aspx?App=23&amp;ReportView=4&amp;Qid=1711279&amp;Row=4057&amp;Col=1","No Title Assigned - #15268826161")</f>
        <v/>
      </c>
      <c r="B4065" s="0" t="s">
        <v>5700</v>
      </c>
      <c r="E4065" s="0" t="inlineStr">
        <is>
          <t xml:space="preserve">Mazda</t>
        </is>
      </c>
      <c r="F4065" s="0" t="s">
        <v>13</v>
      </c>
      <c r="G4065" s="0" t="s">
        <v>49</v>
      </c>
      <c r="H4065" s="5">
        <v>50551.807700</v>
      </c>
    </row>
    <row r="4066" spans="1:9">
      <c r="A4066" s="22" t="str">
        <f>HYPERLINK("https://app.vivvix.com/360/KMI/IntelliDrive/ApplUI/Pages/CreativePages/CustomReportCreativeDetail.aspx?App=23&amp;ReportView=4&amp;Qid=1711279&amp;Row=4058&amp;Col=1","No Title Assigned - #15268826427")</f>
        <v/>
      </c>
      <c r="B4066" s="0" t="s">
        <v>5702</v>
      </c>
      <c r="C4066" s="0" t="s">
        <v>5703</v>
      </c>
      <c r="D4066" s="0" t="s">
        <v>4202</v>
      </c>
      <c r="E4066" s="0" t="inlineStr">
        <is>
          <t xml:space="preserve">Mazda</t>
        </is>
      </c>
      <c r="F4066" s="0" t="s">
        <v>28</v>
      </c>
      <c r="G4066" s="0" t="s">
        <v>29</v>
      </c>
      <c r="H4066" s="5">
        <v>11.608600</v>
      </c>
    </row>
    <row r="4067" spans="1:9">
      <c r="A4067" s="22" t="str">
        <f>HYPERLINK("https://app.vivvix.com/360/KMI/IntelliDrive/ApplUI/Pages/CreativePages/CustomReportCreativeDetail.aspx?App=23&amp;ReportView=4&amp;Qid=1711279&amp;Row=4059&amp;Col=1","No Title Assigned - #15268826553")</f>
        <v/>
      </c>
      <c r="B4067" s="0" t="s">
        <v>5704</v>
      </c>
      <c r="C4067" s="0" t="s">
        <v>5705</v>
      </c>
      <c r="D4067" s="0" t="s">
        <v>5705</v>
      </c>
      <c r="E4067" s="0" t="inlineStr">
        <is>
          <t xml:space="preserve">Mazda</t>
        </is>
      </c>
      <c r="F4067" s="0" t="s">
        <v>28</v>
      </c>
      <c r="G4067" s="0" t="s">
        <v>29</v>
      </c>
      <c r="H4067" s="5">
        <v>1035.071200</v>
      </c>
    </row>
    <row r="4068" spans="1:9">
      <c r="A4068" s="22" t="str">
        <f>HYPERLINK("https://app.vivvix.com/360/KMI/IntelliDrive/ApplUI/Pages/CreativePages/CustomReportCreativeDetail.aspx?App=23&amp;ReportView=4&amp;Qid=1711279&amp;Row=4060&amp;Col=1","No Title Assigned - #15268826576")</f>
        <v/>
      </c>
      <c r="B4068" s="0" t="s">
        <v>5706</v>
      </c>
      <c r="C4068" s="0" t="s">
        <v>5707</v>
      </c>
      <c r="D4068" s="0" t="s">
        <v>4200</v>
      </c>
      <c r="E4068" s="0" t="inlineStr">
        <is>
          <t xml:space="preserve">Mazda</t>
        </is>
      </c>
      <c r="F4068" s="0" t="s">
        <v>28</v>
      </c>
      <c r="G4068" s="0" t="s">
        <v>29</v>
      </c>
      <c r="H4068" s="5">
        <v>625.737000</v>
      </c>
    </row>
    <row r="4069" spans="1:9">
      <c r="A4069" s="22" t="str">
        <f>HYPERLINK("https://app.vivvix.com/360/KMI/IntelliDrive/ApplUI/Pages/CreativePages/CustomReportCreativeDetail.aspx?App=23&amp;ReportView=4&amp;Qid=1711279&amp;Row=4061&amp;Col=1","No Title Assigned - #15268827183")</f>
        <v/>
      </c>
      <c r="B4069" s="0" t="s">
        <v>5708</v>
      </c>
      <c r="E4069" s="0" t="inlineStr">
        <is>
          <t xml:space="preserve">Mazda</t>
        </is>
      </c>
      <c r="F4069" s="0" t="inlineStr">
        <is>
          <t xml:space="preserve">Mazda</t>
        </is>
      </c>
      <c r="G4069" s="0" t="s">
        <v>171</v>
      </c>
      <c r="H4069" s="5">
        <v>315.674800</v>
      </c>
    </row>
    <row r="4070" spans="1:9">
      <c r="A4070" s="22" t="str">
        <f>HYPERLINK("https://app.vivvix.com/360/KMI/IntelliDrive/ApplUI/Pages/CreativePages/CustomReportCreativeDetail.aspx?App=23&amp;ReportView=4&amp;Qid=1711279&amp;Row=4062&amp;Col=1","No Title Assigned - #15268827183")</f>
        <v/>
      </c>
      <c r="B4070" s="0" t="s">
        <v>5708</v>
      </c>
      <c r="C4070" s="0" t="s">
        <v>5709</v>
      </c>
      <c r="D4070" s="0" t="s">
        <v>5709</v>
      </c>
      <c r="E4070" s="0" t="inlineStr">
        <is>
          <t xml:space="preserve">Mazda</t>
        </is>
      </c>
      <c r="F4070" s="0" t="inlineStr">
        <is>
          <t xml:space="preserve">Mazda</t>
        </is>
      </c>
      <c r="G4070" s="0" t="s">
        <v>171</v>
      </c>
      <c r="H4070" s="5">
        <v>379.108500</v>
      </c>
    </row>
    <row r="4071" spans="1:9">
      <c r="A4071" s="22" t="str">
        <f>HYPERLINK("https://app.vivvix.com/360/KMI/IntelliDrive/ApplUI/Pages/CreativePages/CustomReportCreativeDetail.aspx?App=23&amp;ReportView=4&amp;Qid=1711279&amp;Row=4063&amp;Col=1","No Title Assigned - #15268828711")</f>
        <v/>
      </c>
      <c r="B4071" s="0" t="s">
        <v>5710</v>
      </c>
      <c r="E4071" s="0" t="inlineStr">
        <is>
          <t xml:space="preserve">Mazda</t>
        </is>
      </c>
      <c r="F4071" s="0" t="inlineStr">
        <is>
          <t xml:space="preserve">Mazda</t>
        </is>
      </c>
      <c r="G4071" s="0" t="s">
        <v>171</v>
      </c>
      <c r="H4071" s="5">
        <v>126.389800</v>
      </c>
    </row>
    <row r="4072" spans="1:9">
      <c r="A4072" s="22" t="str">
        <f>HYPERLINK("https://app.vivvix.com/360/KMI/IntelliDrive/ApplUI/Pages/CreativePages/CustomReportCreativeDetail.aspx?App=23&amp;ReportView=4&amp;Qid=1711279&amp;Row=4064&amp;Col=1","No Title Assigned - #15268828842")</f>
        <v/>
      </c>
      <c r="B4072" s="0" t="s">
        <v>5711</v>
      </c>
      <c r="C4072" s="0" t="s">
        <v>5712</v>
      </c>
      <c r="D4072" s="0" t="s">
        <v>4274</v>
      </c>
      <c r="E4072" s="0" t="inlineStr">
        <is>
          <t xml:space="preserve">Mazda</t>
        </is>
      </c>
      <c r="F4072" s="0" t="s">
        <v>28</v>
      </c>
      <c r="G4072" s="0" t="s">
        <v>29</v>
      </c>
      <c r="H4072" s="5">
        <v>3411.077700</v>
      </c>
    </row>
    <row r="4073" spans="1:9">
      <c r="A4073" s="22" t="str">
        <f>HYPERLINK("https://app.vivvix.com/360/KMI/IntelliDrive/ApplUI/Pages/CreativePages/CustomReportCreativeDetail.aspx?App=23&amp;ReportView=4&amp;Qid=1711279&amp;Row=4065&amp;Col=1","No Title Assigned - #15268829664")</f>
        <v/>
      </c>
      <c r="B4073" s="0" t="s">
        <v>5713</v>
      </c>
      <c r="C4073" s="0" t="s">
        <v>5714</v>
      </c>
      <c r="D4073" s="0" t="s">
        <v>5714</v>
      </c>
      <c r="E4073" s="0" t="inlineStr">
        <is>
          <t xml:space="preserve">Mazda</t>
        </is>
      </c>
      <c r="F4073" s="0" t="inlineStr">
        <is>
          <t xml:space="preserve">Mazda</t>
        </is>
      </c>
      <c r="G4073" s="0" t="s">
        <v>171</v>
      </c>
      <c r="H4073" s="5">
        <v>3.241700</v>
      </c>
    </row>
    <row r="4074" spans="1:9">
      <c r="A4074" s="22" t="str">
        <f>HYPERLINK("https://app.vivvix.com/360/KMI/IntelliDrive/ApplUI/Pages/CreativePages/CustomReportCreativeDetail.aspx?App=23&amp;ReportView=4&amp;Qid=1711279&amp;Row=4066&amp;Col=1","No Title Assigned - #15268829665")</f>
        <v/>
      </c>
      <c r="B4074" s="0" t="s">
        <v>5715</v>
      </c>
      <c r="C4074" s="0" t="s">
        <v>5716</v>
      </c>
      <c r="D4074" s="0" t="s">
        <v>5716</v>
      </c>
      <c r="E4074" s="0" t="inlineStr">
        <is>
          <t xml:space="preserve">Mazda</t>
        </is>
      </c>
      <c r="F4074" s="0" t="inlineStr">
        <is>
          <t xml:space="preserve">Mazda</t>
        </is>
      </c>
      <c r="G4074" s="0" t="s">
        <v>171</v>
      </c>
      <c r="H4074" s="5">
        <v>109.868500</v>
      </c>
    </row>
    <row r="4075" spans="1:9">
      <c r="A4075" s="22" t="str">
        <f>HYPERLINK("https://app.vivvix.com/360/KMI/IntelliDrive/ApplUI/Pages/CreativePages/CustomReportCreativeDetail.aspx?App=23&amp;ReportView=4&amp;Qid=1711279&amp;Row=4067&amp;Col=1","No Title Assigned - #15268831191")</f>
        <v/>
      </c>
      <c r="B4075" s="0" t="s">
        <v>5717</v>
      </c>
      <c r="C4075" s="0" t="s">
        <v>5718</v>
      </c>
      <c r="D4075" s="0" t="s">
        <v>5718</v>
      </c>
      <c r="E4075" s="0" t="inlineStr">
        <is>
          <t xml:space="preserve">Mazda</t>
        </is>
      </c>
      <c r="F4075" s="0" t="inlineStr">
        <is>
          <t xml:space="preserve">Mazda</t>
        </is>
      </c>
      <c r="G4075" s="0" t="s">
        <v>171</v>
      </c>
      <c r="H4075" s="5">
        <v>1222.536700</v>
      </c>
    </row>
    <row r="4076" spans="1:9">
      <c r="A4076" s="22" t="str">
        <f>HYPERLINK("https://app.vivvix.com/360/KMI/IntelliDrive/ApplUI/Pages/CreativePages/CustomReportCreativeDetail.aspx?App=23&amp;ReportView=4&amp;Qid=1711279&amp;Row=4068&amp;Col=1","No Title Assigned - #15268831191")</f>
        <v/>
      </c>
      <c r="B4076" s="0" t="s">
        <v>5717</v>
      </c>
      <c r="E4076" s="0" t="inlineStr">
        <is>
          <t xml:space="preserve">Mazda</t>
        </is>
      </c>
      <c r="F4076" s="0" t="inlineStr">
        <is>
          <t xml:space="preserve">Mazda</t>
        </is>
      </c>
      <c r="G4076" s="0" t="s">
        <v>171</v>
      </c>
      <c r="H4076" s="5">
        <v>220481.187700</v>
      </c>
    </row>
    <row r="4077" spans="1:9">
      <c r="A4077" s="22" t="str">
        <f>HYPERLINK("https://app.vivvix.com/360/KMI/IntelliDrive/ApplUI/Pages/CreativePages/CustomReportCreativeDetail.aspx?App=23&amp;ReportView=4&amp;Qid=1711279&amp;Row=4069&amp;Col=1","No Title Assigned - #15268831283")</f>
        <v/>
      </c>
      <c r="B4077" s="0" t="s">
        <v>5719</v>
      </c>
      <c r="E4077" s="0" t="inlineStr">
        <is>
          <t xml:space="preserve">Mazda</t>
        </is>
      </c>
      <c r="F4077" s="0" t="inlineStr">
        <is>
          <t xml:space="preserve">Mazda</t>
        </is>
      </c>
      <c r="G4077" s="0" t="s">
        <v>171</v>
      </c>
      <c r="H4077" s="5">
        <v>675.413900</v>
      </c>
    </row>
    <row r="4078" spans="1:9">
      <c r="A4078" s="22" t="str">
        <f>HYPERLINK("https://app.vivvix.com/360/KMI/IntelliDrive/ApplUI/Pages/CreativePages/CustomReportCreativeDetail.aspx?App=23&amp;ReportView=4&amp;Qid=1711279&amp;Row=4070&amp;Col=1","No Title Assigned - #15268831318")</f>
        <v/>
      </c>
      <c r="B4078" s="0" t="s">
        <v>5720</v>
      </c>
      <c r="E4078" s="0" t="inlineStr">
        <is>
          <t xml:space="preserve">Mazda</t>
        </is>
      </c>
      <c r="F4078" s="0" t="inlineStr">
        <is>
          <t xml:space="preserve">Mazda</t>
        </is>
      </c>
      <c r="G4078" s="0" t="s">
        <v>171</v>
      </c>
      <c r="H4078" s="5">
        <v>518.322200</v>
      </c>
    </row>
    <row r="4079" spans="1:9">
      <c r="A4079" s="22" t="str">
        <f>HYPERLINK("https://app.vivvix.com/360/KMI/IntelliDrive/ApplUI/Pages/CreativePages/CustomReportCreativeDetail.aspx?App=23&amp;ReportView=4&amp;Qid=1711279&amp;Row=4071&amp;Col=1","No Title Assigned - #15268831767")</f>
        <v/>
      </c>
      <c r="B4079" s="0" t="s">
        <v>5721</v>
      </c>
      <c r="E4079" s="0" t="inlineStr">
        <is>
          <t xml:space="preserve">Mazda</t>
        </is>
      </c>
      <c r="F4079" s="0" t="inlineStr">
        <is>
          <t xml:space="preserve">Mazda</t>
        </is>
      </c>
      <c r="G4079" s="0" t="s">
        <v>171</v>
      </c>
      <c r="H4079" s="5">
        <v>24.892000</v>
      </c>
    </row>
    <row r="4080" spans="1:9">
      <c r="A4080" s="22" t="str">
        <f>HYPERLINK("https://app.vivvix.com/360/KMI/IntelliDrive/ApplUI/Pages/CreativePages/CustomReportCreativeDetail.aspx?App=23&amp;ReportView=4&amp;Qid=1711279&amp;Row=4072&amp;Col=1","No Title Assigned - #15268832210")</f>
        <v/>
      </c>
      <c r="B4080" s="0" t="s">
        <v>5722</v>
      </c>
      <c r="C4080" s="0" t="s">
        <v>5723</v>
      </c>
      <c r="D4080" s="0" t="s">
        <v>5723</v>
      </c>
      <c r="E4080" s="0" t="inlineStr">
        <is>
          <t xml:space="preserve">Mazda</t>
        </is>
      </c>
      <c r="F4080" s="0" t="inlineStr">
        <is>
          <t xml:space="preserve">Mazda</t>
        </is>
      </c>
      <c r="G4080" s="0" t="s">
        <v>171</v>
      </c>
      <c r="H4080" s="5">
        <v>89.085800</v>
      </c>
    </row>
    <row r="4081" spans="1:9">
      <c r="A4081" s="22" t="str">
        <f>HYPERLINK("https://app.vivvix.com/360/KMI/IntelliDrive/ApplUI/Pages/CreativePages/CustomReportCreativeDetail.aspx?App=23&amp;ReportView=4&amp;Qid=1711279&amp;Row=4073&amp;Col=1","No Title Assigned - #15268832494")</f>
        <v/>
      </c>
      <c r="B4081" s="0" t="s">
        <v>5724</v>
      </c>
      <c r="C4081" s="0" t="s">
        <v>5725</v>
      </c>
      <c r="D4081" s="0" t="s">
        <v>5725</v>
      </c>
      <c r="E4081" s="0" t="inlineStr">
        <is>
          <t xml:space="preserve">Mazda</t>
        </is>
      </c>
      <c r="F4081" s="0" t="inlineStr">
        <is>
          <t xml:space="preserve">Mazda</t>
        </is>
      </c>
      <c r="G4081" s="0" t="s">
        <v>171</v>
      </c>
      <c r="H4081" s="5">
        <v>3256.150200</v>
      </c>
    </row>
    <row r="4082" spans="1:9">
      <c r="A4082" s="22" t="str">
        <f>HYPERLINK("https://app.vivvix.com/360/KMI/IntelliDrive/ApplUI/Pages/CreativePages/CustomReportCreativeDetail.aspx?App=23&amp;ReportView=4&amp;Qid=1711279&amp;Row=4074&amp;Col=1","No Title Assigned - #15268832494")</f>
        <v/>
      </c>
      <c r="B4082" s="0" t="s">
        <v>5724</v>
      </c>
      <c r="E4082" s="0" t="inlineStr">
        <is>
          <t xml:space="preserve">Mazda</t>
        </is>
      </c>
      <c r="F4082" s="0" t="inlineStr">
        <is>
          <t xml:space="preserve">Mazda</t>
        </is>
      </c>
      <c r="G4082" s="0" t="s">
        <v>171</v>
      </c>
      <c r="H4082" s="5">
        <v>3250.558000</v>
      </c>
    </row>
    <row r="4083" spans="1:9">
      <c r="A4083" s="22" t="str">
        <f>HYPERLINK("https://app.vivvix.com/360/KMI/IntelliDrive/ApplUI/Pages/CreativePages/CustomReportCreativeDetail.aspx?App=23&amp;ReportView=4&amp;Qid=1711279&amp;Row=4075&amp;Col=1","No Title Assigned - #15268832528")</f>
        <v/>
      </c>
      <c r="B4083" s="0" t="s">
        <v>5726</v>
      </c>
      <c r="C4083" s="0" t="s">
        <v>5727</v>
      </c>
      <c r="D4083" s="0" t="s">
        <v>5727</v>
      </c>
      <c r="E4083" s="0" t="inlineStr">
        <is>
          <t xml:space="preserve">Mazda</t>
        </is>
      </c>
      <c r="F4083" s="0" t="inlineStr">
        <is>
          <t xml:space="preserve">Mazda</t>
        </is>
      </c>
      <c r="G4083" s="0" t="s">
        <v>171</v>
      </c>
      <c r="H4083" s="5">
        <v>43.545400</v>
      </c>
    </row>
    <row r="4084" spans="1:9">
      <c r="A4084" s="22" t="str">
        <f>HYPERLINK("https://app.vivvix.com/360/KMI/IntelliDrive/ApplUI/Pages/CreativePages/CustomReportCreativeDetail.aspx?App=23&amp;ReportView=4&amp;Qid=1711279&amp;Row=4076&amp;Col=1","No Title Assigned - #15268832742")</f>
        <v/>
      </c>
      <c r="B4084" s="0" t="s">
        <v>5728</v>
      </c>
      <c r="E4084" s="0" t="inlineStr">
        <is>
          <t xml:space="preserve">Mazda</t>
        </is>
      </c>
      <c r="F4084" s="0" t="inlineStr">
        <is>
          <t xml:space="preserve">Mazda</t>
        </is>
      </c>
      <c r="G4084" s="0" t="s">
        <v>171</v>
      </c>
      <c r="H4084" s="5">
        <v>17.305100</v>
      </c>
    </row>
    <row r="4085" spans="1:9">
      <c r="A4085" s="22" t="str">
        <f>HYPERLINK("https://app.vivvix.com/360/KMI/IntelliDrive/ApplUI/Pages/CreativePages/CustomReportCreativeDetail.aspx?App=23&amp;ReportView=4&amp;Qid=1711279&amp;Row=4077&amp;Col=1","No Title Assigned - #15268832743")</f>
        <v/>
      </c>
      <c r="B4085" s="0" t="s">
        <v>5729</v>
      </c>
      <c r="E4085" s="0" t="inlineStr">
        <is>
          <t xml:space="preserve">Mazda</t>
        </is>
      </c>
      <c r="F4085" s="0" t="inlineStr">
        <is>
          <t xml:space="preserve">Mazda</t>
        </is>
      </c>
      <c r="G4085" s="0" t="s">
        <v>171</v>
      </c>
      <c r="H4085" s="5">
        <v>17.305100</v>
      </c>
    </row>
    <row r="4086" spans="1:9">
      <c r="A4086" s="22" t="str">
        <f>HYPERLINK("https://app.vivvix.com/360/KMI/IntelliDrive/ApplUI/Pages/CreativePages/CustomReportCreativeDetail.aspx?App=23&amp;ReportView=4&amp;Qid=1711279&amp;Row=4078&amp;Col=1","No Title Assigned - #15268833291")</f>
        <v/>
      </c>
      <c r="B4086" s="0" t="s">
        <v>5730</v>
      </c>
      <c r="E4086" s="0" t="inlineStr">
        <is>
          <t xml:space="preserve">Mazda</t>
        </is>
      </c>
      <c r="F4086" s="0" t="inlineStr">
        <is>
          <t xml:space="preserve">Mazda</t>
        </is>
      </c>
      <c r="G4086" s="0" t="s">
        <v>171</v>
      </c>
      <c r="H4086" s="5">
        <v>10.304800</v>
      </c>
    </row>
    <row r="4087" spans="1:9">
      <c r="A4087" s="22" t="str">
        <f>HYPERLINK("https://app.vivvix.com/360/KMI/IntelliDrive/ApplUI/Pages/CreativePages/CustomReportCreativeDetail.aspx?App=23&amp;ReportView=4&amp;Qid=1711279&amp;Row=4079&amp;Col=1","No Title Assigned - #15268833994")</f>
        <v/>
      </c>
      <c r="B4087" s="0" t="s">
        <v>5731</v>
      </c>
      <c r="E4087" s="0" t="inlineStr">
        <is>
          <t xml:space="preserve">Mazda</t>
        </is>
      </c>
      <c r="F4087" s="0" t="inlineStr">
        <is>
          <t xml:space="preserve">Mazda</t>
        </is>
      </c>
      <c r="G4087" s="0" t="s">
        <v>171</v>
      </c>
      <c r="H4087" s="5">
        <v>523.108400</v>
      </c>
    </row>
    <row r="4088" spans="1:9">
      <c r="A4088" s="22" t="str">
        <f>HYPERLINK("https://app.vivvix.com/360/KMI/IntelliDrive/ApplUI/Pages/CreativePages/CustomReportCreativeDetail.aspx?App=23&amp;ReportView=4&amp;Qid=1711279&amp;Row=4080&amp;Col=1","No Title Assigned - #15268834720")</f>
        <v/>
      </c>
      <c r="B4088" s="0" t="s">
        <v>5732</v>
      </c>
      <c r="C4088" s="0" t="s">
        <v>5733</v>
      </c>
      <c r="D4088" s="0" t="s">
        <v>5733</v>
      </c>
      <c r="E4088" s="0" t="inlineStr">
        <is>
          <t xml:space="preserve">Mazda</t>
        </is>
      </c>
      <c r="F4088" s="0" t="s">
        <v>28</v>
      </c>
      <c r="G4088" s="0" t="s">
        <v>29</v>
      </c>
      <c r="H4088" s="5">
        <v>103.454400</v>
      </c>
    </row>
    <row r="4089" spans="1:9">
      <c r="A4089" s="22" t="str">
        <f>HYPERLINK("https://app.vivvix.com/360/KMI/IntelliDrive/ApplUI/Pages/CreativePages/CustomReportCreativeDetail.aspx?App=23&amp;ReportView=4&amp;Qid=1711279&amp;Row=4081&amp;Col=1","No Title Assigned - #15268835072")</f>
        <v/>
      </c>
      <c r="B4089" s="0" t="s">
        <v>5734</v>
      </c>
      <c r="C4089" s="0" t="s">
        <v>5735</v>
      </c>
      <c r="D4089" s="0" t="s">
        <v>5735</v>
      </c>
      <c r="E4089" s="0" t="inlineStr">
        <is>
          <t xml:space="preserve">Mazda</t>
        </is>
      </c>
      <c r="F4089" s="0" t="s">
        <v>28</v>
      </c>
      <c r="G4089" s="0" t="s">
        <v>29</v>
      </c>
      <c r="H4089" s="5">
        <v>124.572200</v>
      </c>
    </row>
    <row r="4090" spans="1:9">
      <c r="A4090" s="22" t="str">
        <f>HYPERLINK("https://app.vivvix.com/360/KMI/IntelliDrive/ApplUI/Pages/CreativePages/CustomReportCreativeDetail.aspx?App=23&amp;ReportView=4&amp;Qid=1711279&amp;Row=4082&amp;Col=1","No Title Assigned - #15268835973")</f>
        <v/>
      </c>
      <c r="B4090" s="0" t="s">
        <v>5736</v>
      </c>
      <c r="C4090" s="0" t="s">
        <v>5737</v>
      </c>
      <c r="D4090" s="0" t="s">
        <v>4204</v>
      </c>
      <c r="E4090" s="0" t="inlineStr">
        <is>
          <t xml:space="preserve">Mazda</t>
        </is>
      </c>
      <c r="F4090" s="0" t="s">
        <v>28</v>
      </c>
      <c r="G4090" s="0" t="s">
        <v>29</v>
      </c>
      <c r="H4090" s="5">
        <v>74.103200</v>
      </c>
    </row>
    <row r="4091" spans="1:9">
      <c r="A4091" s="22" t="str">
        <f>HYPERLINK("https://app.vivvix.com/360/KMI/IntelliDrive/ApplUI/Pages/CreativePages/CustomReportCreativeDetail.aspx?App=23&amp;ReportView=4&amp;Qid=1711279&amp;Row=4083&amp;Col=1","No Title Assigned - #15268836330")</f>
        <v/>
      </c>
      <c r="B4091" s="0" t="s">
        <v>5738</v>
      </c>
      <c r="C4091" s="0" t="s">
        <v>5739</v>
      </c>
      <c r="D4091" s="0" t="s">
        <v>5739</v>
      </c>
      <c r="E4091" s="0" t="inlineStr">
        <is>
          <t xml:space="preserve">Mazda</t>
        </is>
      </c>
      <c r="F4091" s="0" t="s">
        <v>28</v>
      </c>
      <c r="G4091" s="0" t="s">
        <v>29</v>
      </c>
      <c r="H4091" s="5">
        <v>38.983900</v>
      </c>
    </row>
    <row r="4092" spans="1:9">
      <c r="A4092" s="22" t="str">
        <f>HYPERLINK("https://app.vivvix.com/360/KMI/IntelliDrive/ApplUI/Pages/CreativePages/CustomReportCreativeDetail.aspx?App=23&amp;ReportView=4&amp;Qid=1711279&amp;Row=4084&amp;Col=1","No Title Assigned - #15268836521")</f>
        <v/>
      </c>
      <c r="B4092" s="0" t="s">
        <v>5740</v>
      </c>
      <c r="E4092" s="0" t="inlineStr">
        <is>
          <t xml:space="preserve">Mazda</t>
        </is>
      </c>
      <c r="F4092" s="0" t="inlineStr">
        <is>
          <t xml:space="preserve">Mazda</t>
        </is>
      </c>
      <c r="G4092" s="0" t="s">
        <v>171</v>
      </c>
      <c r="H4092" s="5">
        <v>116.320200</v>
      </c>
    </row>
    <row r="4093" spans="1:9">
      <c r="A4093" s="22" t="str">
        <f>HYPERLINK("https://app.vivvix.com/360/KMI/IntelliDrive/ApplUI/Pages/CreativePages/CustomReportCreativeDetail.aspx?App=23&amp;ReportView=4&amp;Qid=1711279&amp;Row=4085&amp;Col=1","No Title Assigned - #15268836918")</f>
        <v/>
      </c>
      <c r="B4093" s="0" t="s">
        <v>5741</v>
      </c>
      <c r="C4093" s="0" t="s">
        <v>5742</v>
      </c>
      <c r="D4093" s="0" t="s">
        <v>5742</v>
      </c>
      <c r="E4093" s="0" t="inlineStr">
        <is>
          <t xml:space="preserve">Mazda</t>
        </is>
      </c>
      <c r="F4093" s="0" t="s">
        <v>13</v>
      </c>
      <c r="G4093" s="0" t="s">
        <v>49</v>
      </c>
      <c r="H4093" s="5">
        <v>11025.616800</v>
      </c>
    </row>
    <row r="4094" spans="1:9">
      <c r="A4094" s="22" t="str">
        <f>HYPERLINK("https://app.vivvix.com/360/KMI/IntelliDrive/ApplUI/Pages/CreativePages/CustomReportCreativeDetail.aspx?App=23&amp;ReportView=4&amp;Qid=1711279&amp;Row=4086&amp;Col=1","No Title Assigned - #15268836918")</f>
        <v/>
      </c>
      <c r="B4094" s="0" t="s">
        <v>5741</v>
      </c>
      <c r="E4094" s="0" t="inlineStr">
        <is>
          <t xml:space="preserve">Mazda</t>
        </is>
      </c>
      <c r="F4094" s="0" t="s">
        <v>13</v>
      </c>
      <c r="G4094" s="0" t="s">
        <v>49</v>
      </c>
      <c r="H4094" s="5">
        <v>212.152800</v>
      </c>
    </row>
    <row r="4095" spans="1:9">
      <c r="A4095" s="22" t="str">
        <f>HYPERLINK("https://app.vivvix.com/360/KMI/IntelliDrive/ApplUI/Pages/CreativePages/CustomReportCreativeDetail.aspx?App=23&amp;ReportView=4&amp;Qid=1711279&amp;Row=4087&amp;Col=1","No Title Assigned - #15268837056")</f>
        <v/>
      </c>
      <c r="B4095" s="0" t="s">
        <v>5743</v>
      </c>
      <c r="C4095" s="0" t="s">
        <v>5744</v>
      </c>
      <c r="D4095" s="0" t="s">
        <v>5744</v>
      </c>
      <c r="E4095" s="0" t="inlineStr">
        <is>
          <t xml:space="preserve">Mazda</t>
        </is>
      </c>
      <c r="F4095" s="0" t="inlineStr">
        <is>
          <t xml:space="preserve">Mazda</t>
        </is>
      </c>
      <c r="G4095" s="0" t="s">
        <v>171</v>
      </c>
      <c r="H4095" s="5">
        <v>2532.444100</v>
      </c>
    </row>
    <row r="4096" spans="1:9">
      <c r="A4096" s="22" t="str">
        <f>HYPERLINK("https://app.vivvix.com/360/KMI/IntelliDrive/ApplUI/Pages/CreativePages/CustomReportCreativeDetail.aspx?App=23&amp;ReportView=4&amp;Qid=1711279&amp;Row=4088&amp;Col=1","No Title Assigned - #15268837310")</f>
        <v/>
      </c>
      <c r="B4096" s="0" t="s">
        <v>5745</v>
      </c>
      <c r="C4096" s="0" t="s">
        <v>5746</v>
      </c>
      <c r="D4096" s="0" t="s">
        <v>5746</v>
      </c>
      <c r="E4096" s="0" t="inlineStr">
        <is>
          <t xml:space="preserve">Mazda</t>
        </is>
      </c>
      <c r="F4096" s="0" t="inlineStr">
        <is>
          <t xml:space="preserve">Mazda</t>
        </is>
      </c>
      <c r="G4096" s="0" t="s">
        <v>171</v>
      </c>
      <c r="H4096" s="5">
        <v>47.528700</v>
      </c>
    </row>
    <row r="4097" spans="1:9">
      <c r="A4097" s="22" t="str">
        <f>HYPERLINK("https://app.vivvix.com/360/KMI/IntelliDrive/ApplUI/Pages/CreativePages/CustomReportCreativeDetail.aspx?App=23&amp;ReportView=4&amp;Qid=1711279&amp;Row=4089&amp;Col=1","No Title Assigned - #15268837322")</f>
        <v/>
      </c>
      <c r="B4097" s="0" t="s">
        <v>5747</v>
      </c>
      <c r="E4097" s="0" t="inlineStr">
        <is>
          <t xml:space="preserve">Mazda</t>
        </is>
      </c>
      <c r="F4097" s="0" t="inlineStr">
        <is>
          <t xml:space="preserve">Mazda</t>
        </is>
      </c>
      <c r="G4097" s="0" t="s">
        <v>171</v>
      </c>
      <c r="H4097" s="5">
        <v>5727.071800</v>
      </c>
    </row>
    <row r="4098" spans="1:9">
      <c r="A4098" s="22" t="str">
        <f>HYPERLINK("https://app.vivvix.com/360/KMI/IntelliDrive/ApplUI/Pages/CreativePages/CustomReportCreativeDetail.aspx?App=23&amp;ReportView=4&amp;Qid=1711279&amp;Row=4090&amp;Col=1","No Title Assigned - #15268839614")</f>
        <v/>
      </c>
      <c r="B4098" s="0" t="s">
        <v>5748</v>
      </c>
      <c r="E4098" s="0" t="inlineStr">
        <is>
          <t xml:space="preserve">Mazda</t>
        </is>
      </c>
      <c r="F4098" s="0" t="inlineStr">
        <is>
          <t xml:space="preserve">Mazda</t>
        </is>
      </c>
      <c r="G4098" s="0" t="s">
        <v>171</v>
      </c>
      <c r="H4098" s="5">
        <v>132.681300</v>
      </c>
    </row>
    <row r="4099" spans="1:9">
      <c r="A4099" s="22" t="str">
        <f>HYPERLINK("https://app.vivvix.com/360/KMI/IntelliDrive/ApplUI/Pages/CreativePages/CustomReportCreativeDetail.aspx?App=23&amp;ReportView=4&amp;Qid=1711279&amp;Row=4091&amp;Col=1","No Title Assigned - #15268839771")</f>
        <v/>
      </c>
      <c r="B4099" s="0" t="s">
        <v>5749</v>
      </c>
      <c r="E4099" s="0" t="inlineStr">
        <is>
          <t xml:space="preserve">Mazda</t>
        </is>
      </c>
      <c r="F4099" s="0" t="inlineStr">
        <is>
          <t xml:space="preserve">Mazda</t>
        </is>
      </c>
      <c r="G4099" s="0" t="s">
        <v>171</v>
      </c>
      <c r="H4099" s="5">
        <v>36.514000</v>
      </c>
    </row>
    <row r="4100" spans="1:9">
      <c r="A4100" s="22" t="str">
        <f>HYPERLINK("https://app.vivvix.com/360/KMI/IntelliDrive/ApplUI/Pages/CreativePages/CustomReportCreativeDetail.aspx?App=23&amp;ReportView=4&amp;Qid=1711279&amp;Row=4092&amp;Col=1","No Title Assigned - #15268839779")</f>
        <v/>
      </c>
      <c r="B4100" s="0" t="s">
        <v>5750</v>
      </c>
      <c r="E4100" s="0" t="inlineStr">
        <is>
          <t xml:space="preserve">Mazda</t>
        </is>
      </c>
      <c r="F4100" s="0" t="inlineStr">
        <is>
          <t xml:space="preserve">Mazda</t>
        </is>
      </c>
      <c r="G4100" s="0" t="s">
        <v>171</v>
      </c>
      <c r="H4100" s="5">
        <v>16.312400</v>
      </c>
    </row>
    <row r="4101" spans="1:9">
      <c r="A4101" s="22" t="str">
        <f>HYPERLINK("https://app.vivvix.com/360/KMI/IntelliDrive/ApplUI/Pages/CreativePages/CustomReportCreativeDetail.aspx?App=23&amp;ReportView=4&amp;Qid=1711279&amp;Row=4093&amp;Col=1","No Title Assigned - #15268839780")</f>
        <v/>
      </c>
      <c r="B4101" s="0" t="s">
        <v>5751</v>
      </c>
      <c r="C4101" s="0" t="s">
        <v>5752</v>
      </c>
      <c r="D4101" s="0" t="s">
        <v>5752</v>
      </c>
      <c r="E4101" s="0" t="inlineStr">
        <is>
          <t xml:space="preserve">Mazda</t>
        </is>
      </c>
      <c r="F4101" s="0" t="inlineStr">
        <is>
          <t xml:space="preserve">Mazda</t>
        </is>
      </c>
      <c r="G4101" s="0" t="s">
        <v>171</v>
      </c>
      <c r="H4101" s="5">
        <v>1865.965900</v>
      </c>
    </row>
    <row r="4102" spans="1:9">
      <c r="A4102" s="22" t="str">
        <f>HYPERLINK("https://app.vivvix.com/360/KMI/IntelliDrive/ApplUI/Pages/CreativePages/CustomReportCreativeDetail.aspx?App=23&amp;ReportView=4&amp;Qid=1711279&amp;Row=4094&amp;Col=1","No Title Assigned - #15268839780")</f>
        <v/>
      </c>
      <c r="B4102" s="0" t="s">
        <v>5751</v>
      </c>
      <c r="E4102" s="0" t="inlineStr">
        <is>
          <t xml:space="preserve">Mazda</t>
        </is>
      </c>
      <c r="F4102" s="0" t="inlineStr">
        <is>
          <t xml:space="preserve">Mazda</t>
        </is>
      </c>
      <c r="G4102" s="0" t="s">
        <v>171</v>
      </c>
      <c r="H4102" s="5">
        <v>87.029300</v>
      </c>
    </row>
    <row r="4103" spans="1:9">
      <c r="A4103" s="22" t="str">
        <f>HYPERLINK("https://app.vivvix.com/360/KMI/IntelliDrive/ApplUI/Pages/CreativePages/CustomReportCreativeDetail.aspx?App=23&amp;ReportView=4&amp;Qid=1711279&amp;Row=4095&amp;Col=1","No Title Assigned - #15268840299")</f>
        <v/>
      </c>
      <c r="B4103" s="0" t="s">
        <v>5753</v>
      </c>
      <c r="E4103" s="0" t="inlineStr">
        <is>
          <t xml:space="preserve">Mazda</t>
        </is>
      </c>
      <c r="F4103" s="0" t="inlineStr">
        <is>
          <t xml:space="preserve">Mazda</t>
        </is>
      </c>
      <c r="G4103" s="0" t="s">
        <v>171</v>
      </c>
      <c r="H4103" s="5">
        <v>3661.207900</v>
      </c>
    </row>
    <row r="4104" spans="1:9">
      <c r="A4104" s="22" t="str">
        <f>HYPERLINK("https://app.vivvix.com/360/KMI/IntelliDrive/ApplUI/Pages/CreativePages/CustomReportCreativeDetail.aspx?App=23&amp;ReportView=4&amp;Qid=1711279&amp;Row=4096&amp;Col=1","No Title Assigned - #15268840701")</f>
        <v/>
      </c>
      <c r="B4104" s="0" t="s">
        <v>5754</v>
      </c>
      <c r="E4104" s="0" t="inlineStr">
        <is>
          <t xml:space="preserve">Mazda</t>
        </is>
      </c>
      <c r="F4104" s="0" t="inlineStr">
        <is>
          <t xml:space="preserve">Mazda</t>
        </is>
      </c>
      <c r="G4104" s="0" t="s">
        <v>171</v>
      </c>
      <c r="H4104" s="5">
        <v>1106.809500</v>
      </c>
    </row>
    <row r="4105" spans="1:9">
      <c r="A4105" s="22" t="str">
        <f>HYPERLINK("https://app.vivvix.com/360/KMI/IntelliDrive/ApplUI/Pages/CreativePages/CustomReportCreativeDetail.aspx?App=23&amp;ReportView=4&amp;Qid=1711279&amp;Row=4097&amp;Col=1","No Title Assigned - #15268841355")</f>
        <v/>
      </c>
      <c r="B4105" s="0" t="s">
        <v>5755</v>
      </c>
      <c r="E4105" s="0" t="inlineStr">
        <is>
          <t xml:space="preserve">Mazda</t>
        </is>
      </c>
      <c r="F4105" s="0" t="inlineStr">
        <is>
          <t xml:space="preserve">Mazda</t>
        </is>
      </c>
      <c r="G4105" s="0" t="s">
        <v>171</v>
      </c>
      <c r="H4105" s="5">
        <v>197.452000</v>
      </c>
    </row>
    <row r="4106" spans="1:9">
      <c r="A4106" s="22" t="str">
        <f>HYPERLINK("https://app.vivvix.com/360/KMI/IntelliDrive/ApplUI/Pages/CreativePages/CustomReportCreativeDetail.aspx?App=23&amp;ReportView=4&amp;Qid=1711279&amp;Row=4098&amp;Col=1","No Title Assigned - #15268841356")</f>
        <v/>
      </c>
      <c r="B4106" s="0" t="s">
        <v>5756</v>
      </c>
      <c r="C4106" s="0" t="s">
        <v>5757</v>
      </c>
      <c r="D4106" s="0" t="s">
        <v>5757</v>
      </c>
      <c r="E4106" s="0" t="inlineStr">
        <is>
          <t xml:space="preserve">Mazda</t>
        </is>
      </c>
      <c r="F4106" s="0" t="inlineStr">
        <is>
          <t xml:space="preserve">Mazda</t>
        </is>
      </c>
      <c r="G4106" s="0" t="s">
        <v>171</v>
      </c>
      <c r="H4106" s="5">
        <v>422.763400</v>
      </c>
    </row>
    <row r="4107" spans="1:9">
      <c r="A4107" s="22" t="str">
        <f>HYPERLINK("https://app.vivvix.com/360/KMI/IntelliDrive/ApplUI/Pages/CreativePages/CustomReportCreativeDetail.aspx?App=23&amp;ReportView=4&amp;Qid=1711279&amp;Row=4099&amp;Col=1","No Title Assigned - #15268841356")</f>
        <v/>
      </c>
      <c r="B4107" s="0" t="s">
        <v>5756</v>
      </c>
      <c r="E4107" s="0" t="inlineStr">
        <is>
          <t xml:space="preserve">Mazda</t>
        </is>
      </c>
      <c r="F4107" s="0" t="inlineStr">
        <is>
          <t xml:space="preserve">Mazda</t>
        </is>
      </c>
      <c r="G4107" s="0" t="s">
        <v>171</v>
      </c>
      <c r="H4107" s="5">
        <v>2583.499800</v>
      </c>
    </row>
    <row r="4108" spans="1:9">
      <c r="A4108" s="22" t="str">
        <f>HYPERLINK("https://app.vivvix.com/360/KMI/IntelliDrive/ApplUI/Pages/CreativePages/CustomReportCreativeDetail.aspx?App=23&amp;ReportView=4&amp;Qid=1711279&amp;Row=4100&amp;Col=1","No Title Assigned - #15268841505")</f>
        <v/>
      </c>
      <c r="B4108" s="0" t="s">
        <v>5758</v>
      </c>
      <c r="C4108" s="0" t="s">
        <v>5759</v>
      </c>
      <c r="D4108" s="0" t="s">
        <v>5759</v>
      </c>
      <c r="E4108" s="0" t="inlineStr">
        <is>
          <t xml:space="preserve">Mazda</t>
        </is>
      </c>
      <c r="F4108" s="0" t="s">
        <v>28</v>
      </c>
      <c r="G4108" s="0" t="s">
        <v>29</v>
      </c>
      <c r="H4108" s="5">
        <v>27785.563600</v>
      </c>
    </row>
    <row r="4109" spans="1:9">
      <c r="A4109" s="22" t="str">
        <f>HYPERLINK("https://app.vivvix.com/360/KMI/IntelliDrive/ApplUI/Pages/CreativePages/CustomReportCreativeDetail.aspx?App=23&amp;ReportView=4&amp;Qid=1711279&amp;Row=4101&amp;Col=1","No Title Assigned - #15268841625")</f>
        <v/>
      </c>
      <c r="B4109" s="0" t="s">
        <v>5760</v>
      </c>
      <c r="C4109" s="0" t="s">
        <v>5761</v>
      </c>
      <c r="D4109" s="0" t="s">
        <v>5761</v>
      </c>
      <c r="E4109" s="0" t="inlineStr">
        <is>
          <t xml:space="preserve">Mazda</t>
        </is>
      </c>
      <c r="F4109" s="0" t="s">
        <v>13</v>
      </c>
      <c r="G4109" s="0" t="s">
        <v>49</v>
      </c>
      <c r="H4109" s="5">
        <v>108.334800</v>
      </c>
    </row>
    <row r="4110" spans="1:9">
      <c r="A4110" s="22" t="str">
        <f>HYPERLINK("https://app.vivvix.com/360/KMI/IntelliDrive/ApplUI/Pages/CreativePages/CustomReportCreativeDetail.aspx?App=23&amp;ReportView=4&amp;Qid=1711279&amp;Row=4102&amp;Col=1","No Title Assigned - #15268841625")</f>
        <v/>
      </c>
      <c r="B4110" s="0" t="s">
        <v>5760</v>
      </c>
      <c r="C4110" s="0" t="s">
        <v>5762</v>
      </c>
      <c r="D4110" s="0" t="s">
        <v>5762</v>
      </c>
      <c r="E4110" s="0" t="inlineStr">
        <is>
          <t xml:space="preserve">Mazda</t>
        </is>
      </c>
      <c r="F4110" s="0" t="s">
        <v>13</v>
      </c>
      <c r="G4110" s="0" t="s">
        <v>49</v>
      </c>
      <c r="H4110" s="5">
        <v>536.968000</v>
      </c>
    </row>
    <row r="4111" spans="1:9">
      <c r="A4111" s="22" t="str">
        <f>HYPERLINK("https://app.vivvix.com/360/KMI/IntelliDrive/ApplUI/Pages/CreativePages/CustomReportCreativeDetail.aspx?App=23&amp;ReportView=4&amp;Qid=1711279&amp;Row=4103&amp;Col=1","No Title Assigned - #15268842657")</f>
        <v/>
      </c>
      <c r="B4111" s="0" t="s">
        <v>5763</v>
      </c>
      <c r="C4111" s="0" t="s">
        <v>5764</v>
      </c>
      <c r="D4111" s="0" t="s">
        <v>5764</v>
      </c>
      <c r="E4111" s="0" t="inlineStr">
        <is>
          <t xml:space="preserve">Mazda</t>
        </is>
      </c>
      <c r="F4111" s="0" t="inlineStr">
        <is>
          <t xml:space="preserve">Mazda</t>
        </is>
      </c>
      <c r="G4111" s="0" t="s">
        <v>171</v>
      </c>
      <c r="H4111" s="5">
        <v>27711.401300</v>
      </c>
    </row>
    <row r="4112" spans="1:9">
      <c r="A4112" s="22" t="str">
        <f>HYPERLINK("https://app.vivvix.com/360/KMI/IntelliDrive/ApplUI/Pages/CreativePages/CustomReportCreativeDetail.aspx?App=23&amp;ReportView=4&amp;Qid=1711279&amp;Row=4104&amp;Col=1","No Title Assigned - #15268842657")</f>
        <v/>
      </c>
      <c r="B4112" s="0" t="s">
        <v>5763</v>
      </c>
      <c r="E4112" s="0" t="inlineStr">
        <is>
          <t xml:space="preserve">Mazda</t>
        </is>
      </c>
      <c r="F4112" s="0" t="inlineStr">
        <is>
          <t xml:space="preserve">Mazda</t>
        </is>
      </c>
      <c r="G4112" s="0" t="s">
        <v>171</v>
      </c>
      <c r="H4112" s="5">
        <v>6037.243700</v>
      </c>
    </row>
    <row r="4113" spans="1:9">
      <c r="A4113" s="22" t="str">
        <f>HYPERLINK("https://app.vivvix.com/360/KMI/IntelliDrive/ApplUI/Pages/CreativePages/CustomReportCreativeDetail.aspx?App=23&amp;ReportView=4&amp;Qid=1711279&amp;Row=4105&amp;Col=1","No Title Assigned - #15268842735")</f>
        <v/>
      </c>
      <c r="B4113" s="0" t="s">
        <v>5765</v>
      </c>
      <c r="C4113" s="0" t="s">
        <v>5766</v>
      </c>
      <c r="D4113" s="0" t="s">
        <v>5766</v>
      </c>
      <c r="E4113" s="0" t="inlineStr">
        <is>
          <t xml:space="preserve">Mazda</t>
        </is>
      </c>
      <c r="F4113" s="0" t="inlineStr">
        <is>
          <t xml:space="preserve">Mazda</t>
        </is>
      </c>
      <c r="G4113" s="0" t="s">
        <v>171</v>
      </c>
      <c r="H4113" s="5">
        <v>174.778500</v>
      </c>
    </row>
    <row r="4114" spans="1:9">
      <c r="A4114" s="22" t="str">
        <f>HYPERLINK("https://app.vivvix.com/360/KMI/IntelliDrive/ApplUI/Pages/CreativePages/CustomReportCreativeDetail.aspx?App=23&amp;ReportView=4&amp;Qid=1711279&amp;Row=4106&amp;Col=1","No Title Assigned - #15268843563")</f>
        <v/>
      </c>
      <c r="B4114" s="0" t="s">
        <v>5767</v>
      </c>
      <c r="C4114" s="0" t="s">
        <v>5768</v>
      </c>
      <c r="D4114" s="0" t="s">
        <v>5768</v>
      </c>
      <c r="E4114" s="0" t="inlineStr">
        <is>
          <t xml:space="preserve">Mazda</t>
        </is>
      </c>
      <c r="F4114" s="0" t="inlineStr">
        <is>
          <t xml:space="preserve">Mazda</t>
        </is>
      </c>
      <c r="G4114" s="0" t="s">
        <v>171</v>
      </c>
      <c r="H4114" s="5">
        <v>302.357200</v>
      </c>
    </row>
    <row r="4115" spans="1:9">
      <c r="A4115" s="22" t="str">
        <f>HYPERLINK("https://app.vivvix.com/360/KMI/IntelliDrive/ApplUI/Pages/CreativePages/CustomReportCreativeDetail.aspx?App=23&amp;ReportView=4&amp;Qid=1711279&amp;Row=4107&amp;Col=1","No Title Assigned - #15268844359")</f>
        <v/>
      </c>
      <c r="B4115" s="0" t="s">
        <v>5769</v>
      </c>
      <c r="C4115" s="0" t="s">
        <v>5770</v>
      </c>
      <c r="D4115" s="0" t="s">
        <v>5770</v>
      </c>
      <c r="E4115" s="0" t="inlineStr">
        <is>
          <t xml:space="preserve">Mazda</t>
        </is>
      </c>
      <c r="F4115" s="0" t="inlineStr">
        <is>
          <t xml:space="preserve">Mazda</t>
        </is>
      </c>
      <c r="G4115" s="0" t="s">
        <v>171</v>
      </c>
      <c r="H4115" s="5">
        <v>317.985900</v>
      </c>
    </row>
    <row r="4116" spans="1:9">
      <c r="A4116" s="22" t="str">
        <f>HYPERLINK("https://app.vivvix.com/360/KMI/IntelliDrive/ApplUI/Pages/CreativePages/CustomReportCreativeDetail.aspx?App=23&amp;ReportView=4&amp;Qid=1711279&amp;Row=4108&amp;Col=1","No Title Assigned - #15268844421")</f>
        <v/>
      </c>
      <c r="B4116" s="0" t="s">
        <v>5771</v>
      </c>
      <c r="E4116" s="0" t="inlineStr">
        <is>
          <t xml:space="preserve">Mazda</t>
        </is>
      </c>
      <c r="F4116" s="0" t="inlineStr">
        <is>
          <t xml:space="preserve">Mazda</t>
        </is>
      </c>
      <c r="G4116" s="0" t="s">
        <v>171</v>
      </c>
      <c r="H4116" s="5">
        <v>5.080700</v>
      </c>
    </row>
    <row r="4117" spans="1:9">
      <c r="A4117" s="22" t="str">
        <f>HYPERLINK("https://app.vivvix.com/360/KMI/IntelliDrive/ApplUI/Pages/CreativePages/CustomReportCreativeDetail.aspx?App=23&amp;ReportView=4&amp;Qid=1711279&amp;Row=4109&amp;Col=1","No Title Assigned - #15268844634")</f>
        <v/>
      </c>
      <c r="B4117" s="0" t="s">
        <v>5772</v>
      </c>
      <c r="E4117" s="0" t="inlineStr">
        <is>
          <t xml:space="preserve">Mazda</t>
        </is>
      </c>
      <c r="F4117" s="0" t="inlineStr">
        <is>
          <t xml:space="preserve">Mazda</t>
        </is>
      </c>
      <c r="G4117" s="0" t="s">
        <v>171</v>
      </c>
      <c r="H4117" s="5">
        <v>142.862700</v>
      </c>
    </row>
    <row r="4118" spans="1:9">
      <c r="A4118" s="22" t="str">
        <f>HYPERLINK("https://app.vivvix.com/360/KMI/IntelliDrive/ApplUI/Pages/CreativePages/CustomReportCreativeDetail.aspx?App=23&amp;ReportView=4&amp;Qid=1711279&amp;Row=4110&amp;Col=1","No Title Assigned - #15268845024")</f>
        <v/>
      </c>
      <c r="B4118" s="0" t="s">
        <v>5773</v>
      </c>
      <c r="C4118" s="0" t="s">
        <v>5774</v>
      </c>
      <c r="D4118" s="0" t="s">
        <v>5774</v>
      </c>
      <c r="E4118" s="0" t="inlineStr">
        <is>
          <t xml:space="preserve">Mazda</t>
        </is>
      </c>
      <c r="F4118" s="0" t="s">
        <v>28</v>
      </c>
      <c r="G4118" s="0" t="s">
        <v>29</v>
      </c>
      <c r="H4118" s="5">
        <v>2962.585400</v>
      </c>
    </row>
    <row r="4119" spans="1:9">
      <c r="A4119" s="22" t="str">
        <f>HYPERLINK("https://app.vivvix.com/360/KMI/IntelliDrive/ApplUI/Pages/CreativePages/CustomReportCreativeDetail.aspx?App=23&amp;ReportView=4&amp;Qid=1711279&amp;Row=4111&amp;Col=1","No Title Assigned - #15268845024")</f>
        <v/>
      </c>
      <c r="B4119" s="0" t="s">
        <v>5773</v>
      </c>
      <c r="E4119" s="0" t="inlineStr">
        <is>
          <t xml:space="preserve">Mazda</t>
        </is>
      </c>
      <c r="F4119" s="0" t="s">
        <v>28</v>
      </c>
      <c r="G4119" s="0" t="s">
        <v>29</v>
      </c>
      <c r="H4119" s="5">
        <v>59.117700</v>
      </c>
    </row>
    <row r="4120" spans="1:9">
      <c r="A4120" s="22" t="str">
        <f>HYPERLINK("https://app.vivvix.com/360/KMI/IntelliDrive/ApplUI/Pages/CreativePages/CustomReportCreativeDetail.aspx?App=23&amp;ReportView=4&amp;Qid=1711279&amp;Row=4112&amp;Col=1","No Title Assigned - #15268845074")</f>
        <v/>
      </c>
      <c r="B4120" s="0" t="s">
        <v>5775</v>
      </c>
      <c r="E4120" s="0" t="inlineStr">
        <is>
          <t xml:space="preserve">Mazda</t>
        </is>
      </c>
      <c r="F4120" s="0" t="inlineStr">
        <is>
          <t xml:space="preserve">Mazda</t>
        </is>
      </c>
      <c r="G4120" s="0" t="s">
        <v>171</v>
      </c>
      <c r="H4120" s="5">
        <v>1169.522000</v>
      </c>
    </row>
    <row r="4121" spans="1:9">
      <c r="A4121" s="22" t="str">
        <f>HYPERLINK("https://app.vivvix.com/360/KMI/IntelliDrive/ApplUI/Pages/CreativePages/CustomReportCreativeDetail.aspx?App=23&amp;ReportView=4&amp;Qid=1711279&amp;Row=4113&amp;Col=1","No Title Assigned - #15268845074")</f>
        <v/>
      </c>
      <c r="B4121" s="0" t="s">
        <v>5775</v>
      </c>
      <c r="E4121" s="0" t="inlineStr">
        <is>
          <t xml:space="preserve">Mazda</t>
        </is>
      </c>
      <c r="F4121" s="0" t="inlineStr">
        <is>
          <t xml:space="preserve">Mazda</t>
        </is>
      </c>
      <c r="G4121" s="0" t="s">
        <v>171</v>
      </c>
      <c r="H4121" s="5">
        <v>98.172600</v>
      </c>
    </row>
    <row r="4122" spans="1:9">
      <c r="A4122" s="22" t="str">
        <f>HYPERLINK("https://app.vivvix.com/360/KMI/IntelliDrive/ApplUI/Pages/CreativePages/CustomReportCreativeDetail.aspx?App=23&amp;ReportView=4&amp;Qid=1711279&amp;Row=4114&amp;Col=1","No Title Assigned - #15268845240")</f>
        <v/>
      </c>
      <c r="B4122" s="0" t="s">
        <v>5776</v>
      </c>
      <c r="E4122" s="0" t="inlineStr">
        <is>
          <t xml:space="preserve">Mazda</t>
        </is>
      </c>
      <c r="F4122" s="0" t="inlineStr">
        <is>
          <t xml:space="preserve">Mazda</t>
        </is>
      </c>
      <c r="G4122" s="0" t="s">
        <v>171</v>
      </c>
      <c r="H4122" s="5">
        <v>59.834000</v>
      </c>
    </row>
    <row r="4123" spans="1:9">
      <c r="A4123" s="22" t="str">
        <f>HYPERLINK("https://app.vivvix.com/360/KMI/IntelliDrive/ApplUI/Pages/CreativePages/CustomReportCreativeDetail.aspx?App=23&amp;ReportView=4&amp;Qid=1711279&amp;Row=4115&amp;Col=1","No Title Assigned - #15268845819")</f>
        <v/>
      </c>
      <c r="B4123" s="0" t="s">
        <v>5777</v>
      </c>
      <c r="E4123" s="0" t="inlineStr">
        <is>
          <t xml:space="preserve">Mazda</t>
        </is>
      </c>
      <c r="F4123" s="0" t="inlineStr">
        <is>
          <t xml:space="preserve">Mazda</t>
        </is>
      </c>
      <c r="G4123" s="0" t="s">
        <v>171</v>
      </c>
      <c r="H4123" s="5">
        <v>80.504600</v>
      </c>
    </row>
    <row r="4124" spans="1:9">
      <c r="A4124" s="22" t="str">
        <f>HYPERLINK("https://app.vivvix.com/360/KMI/IntelliDrive/ApplUI/Pages/CreativePages/CustomReportCreativeDetail.aspx?App=23&amp;ReportView=4&amp;Qid=1711279&amp;Row=4116&amp;Col=1","No Title Assigned - #15268846204")</f>
        <v/>
      </c>
      <c r="B4124" s="0" t="s">
        <v>5778</v>
      </c>
      <c r="E4124" s="0" t="inlineStr">
        <is>
          <t xml:space="preserve">Mazda</t>
        </is>
      </c>
      <c r="F4124" s="0" t="inlineStr">
        <is>
          <t xml:space="preserve">Mazda</t>
        </is>
      </c>
      <c r="G4124" s="0" t="s">
        <v>171</v>
      </c>
      <c r="H4124" s="5">
        <v>466.169700</v>
      </c>
    </row>
    <row r="4125" spans="1:9">
      <c r="A4125" s="22" t="str">
        <f>HYPERLINK("https://app.vivvix.com/360/KMI/IntelliDrive/ApplUI/Pages/CreativePages/CustomReportCreativeDetail.aspx?App=23&amp;ReportView=4&amp;Qid=1711279&amp;Row=4117&amp;Col=1","No Title Assigned - #15268846459")</f>
        <v/>
      </c>
      <c r="B4125" s="0" t="s">
        <v>5779</v>
      </c>
      <c r="C4125" s="0" t="s">
        <v>5780</v>
      </c>
      <c r="D4125" s="0" t="s">
        <v>5780</v>
      </c>
      <c r="E4125" s="0" t="inlineStr">
        <is>
          <t xml:space="preserve">Mazda</t>
        </is>
      </c>
      <c r="F4125" s="0" t="inlineStr">
        <is>
          <t xml:space="preserve">Mazda</t>
        </is>
      </c>
      <c r="G4125" s="0" t="s">
        <v>171</v>
      </c>
      <c r="H4125" s="5">
        <v>36.439500</v>
      </c>
    </row>
    <row r="4126" spans="1:9">
      <c r="A4126" s="22" t="str">
        <f>HYPERLINK("https://app.vivvix.com/360/KMI/IntelliDrive/ApplUI/Pages/CreativePages/CustomReportCreativeDetail.aspx?App=23&amp;ReportView=4&amp;Qid=1711279&amp;Row=4118&amp;Col=1","No Title Assigned - #15268847394")</f>
        <v/>
      </c>
      <c r="B4126" s="0" t="s">
        <v>5781</v>
      </c>
      <c r="C4126" s="0" t="s">
        <v>5782</v>
      </c>
      <c r="D4126" s="0" t="s">
        <v>5782</v>
      </c>
      <c r="E4126" s="0" t="inlineStr">
        <is>
          <t xml:space="preserve">Mazda</t>
        </is>
      </c>
      <c r="F4126" s="0" t="inlineStr">
        <is>
          <t xml:space="preserve">Mazda</t>
        </is>
      </c>
      <c r="G4126" s="0" t="s">
        <v>171</v>
      </c>
      <c r="H4126" s="5">
        <v>30.543000</v>
      </c>
    </row>
    <row r="4127" spans="1:9">
      <c r="A4127" s="22" t="str">
        <f>HYPERLINK("https://app.vivvix.com/360/KMI/IntelliDrive/ApplUI/Pages/CreativePages/CustomReportCreativeDetail.aspx?App=23&amp;ReportView=4&amp;Qid=1711279&amp;Row=4119&amp;Col=1","No Title Assigned - #15268848027")</f>
        <v/>
      </c>
      <c r="B4127" s="0" t="s">
        <v>5783</v>
      </c>
      <c r="E4127" s="0" t="inlineStr">
        <is>
          <t xml:space="preserve">Mazda</t>
        </is>
      </c>
      <c r="F4127" s="0" t="inlineStr">
        <is>
          <t xml:space="preserve">Mazda</t>
        </is>
      </c>
      <c r="G4127" s="0" t="s">
        <v>171</v>
      </c>
      <c r="H4127" s="5">
        <v>2461.697000</v>
      </c>
    </row>
    <row r="4128" spans="1:9">
      <c r="A4128" s="22" t="str">
        <f>HYPERLINK("https://app.vivvix.com/360/KMI/IntelliDrive/ApplUI/Pages/CreativePages/CustomReportCreativeDetail.aspx?App=23&amp;ReportView=4&amp;Qid=1711279&amp;Row=4120&amp;Col=1","No Title Assigned - #15268848044")</f>
        <v/>
      </c>
      <c r="B4128" s="0" t="s">
        <v>5784</v>
      </c>
      <c r="E4128" s="0" t="inlineStr">
        <is>
          <t xml:space="preserve">Mazda</t>
        </is>
      </c>
      <c r="F4128" s="0" t="inlineStr">
        <is>
          <t xml:space="preserve">Mazda</t>
        </is>
      </c>
      <c r="G4128" s="0" t="s">
        <v>171</v>
      </c>
      <c r="H4128" s="5">
        <v>115.693200</v>
      </c>
    </row>
    <row r="4129" spans="1:9">
      <c r="A4129" s="22" t="str">
        <f>HYPERLINK("https://app.vivvix.com/360/KMI/IntelliDrive/ApplUI/Pages/CreativePages/CustomReportCreativeDetail.aspx?App=23&amp;ReportView=4&amp;Qid=1711279&amp;Row=4121&amp;Col=1","No Title Assigned - #15268848943")</f>
        <v/>
      </c>
      <c r="B4129" s="0" t="s">
        <v>5785</v>
      </c>
      <c r="E4129" s="0" t="inlineStr">
        <is>
          <t xml:space="preserve">Mazda</t>
        </is>
      </c>
      <c r="F4129" s="0" t="inlineStr">
        <is>
          <t xml:space="preserve">Mazda</t>
        </is>
      </c>
      <c r="G4129" s="0" t="s">
        <v>171</v>
      </c>
      <c r="H4129" s="5">
        <v>374.551400</v>
      </c>
    </row>
    <row r="4130" spans="1:9">
      <c r="A4130" s="22" t="str">
        <f>HYPERLINK("https://app.vivvix.com/360/KMI/IntelliDrive/ApplUI/Pages/CreativePages/CustomReportCreativeDetail.aspx?App=23&amp;ReportView=4&amp;Qid=1711279&amp;Row=4122&amp;Col=1","No Title Assigned - #15268849725")</f>
        <v/>
      </c>
      <c r="B4130" s="0" t="s">
        <v>5786</v>
      </c>
      <c r="E4130" s="0" t="inlineStr">
        <is>
          <t xml:space="preserve">Mazda</t>
        </is>
      </c>
      <c r="F4130" s="0" t="inlineStr">
        <is>
          <t xml:space="preserve">Mazda</t>
        </is>
      </c>
      <c r="G4130" s="0" t="s">
        <v>171</v>
      </c>
      <c r="H4130" s="5">
        <v>179.502000</v>
      </c>
    </row>
    <row r="4131" spans="1:9">
      <c r="A4131" s="22" t="str">
        <f>HYPERLINK("https://app.vivvix.com/360/KMI/IntelliDrive/ApplUI/Pages/CreativePages/CustomReportCreativeDetail.aspx?App=23&amp;ReportView=4&amp;Qid=1711279&amp;Row=4123&amp;Col=1","No Title Assigned - #15268856333")</f>
        <v/>
      </c>
      <c r="B4131" s="0" t="s">
        <v>5787</v>
      </c>
      <c r="E4131" s="0" t="inlineStr">
        <is>
          <t xml:space="preserve">Mazda</t>
        </is>
      </c>
      <c r="F4131" s="0" t="inlineStr">
        <is>
          <t xml:space="preserve">Mazda</t>
        </is>
      </c>
      <c r="G4131" s="0" t="s">
        <v>171</v>
      </c>
      <c r="H4131" s="5">
        <v>69.782400</v>
      </c>
    </row>
    <row r="4132" spans="1:9">
      <c r="A4132" s="22" t="str">
        <f>HYPERLINK("https://app.vivvix.com/360/KMI/IntelliDrive/ApplUI/Pages/CreativePages/CustomReportCreativeDetail.aspx?App=23&amp;ReportView=4&amp;Qid=1711279&amp;Row=4124&amp;Col=1","No Title Assigned - #15268859114")</f>
        <v/>
      </c>
      <c r="B4132" s="0" t="s">
        <v>5788</v>
      </c>
      <c r="C4132" s="0" t="s">
        <v>5789</v>
      </c>
      <c r="D4132" s="0" t="s">
        <v>5789</v>
      </c>
      <c r="E4132" s="0" t="inlineStr">
        <is>
          <t xml:space="preserve">Mazda</t>
        </is>
      </c>
      <c r="F4132" s="0" t="inlineStr">
        <is>
          <t xml:space="preserve">Mazda</t>
        </is>
      </c>
      <c r="G4132" s="0" t="s">
        <v>171</v>
      </c>
      <c r="H4132" s="5">
        <v>3009.467000</v>
      </c>
    </row>
    <row r="4133" spans="1:9">
      <c r="A4133" s="22" t="str">
        <f>HYPERLINK("https://app.vivvix.com/360/KMI/IntelliDrive/ApplUI/Pages/CreativePages/CustomReportCreativeDetail.aspx?App=23&amp;ReportView=4&amp;Qid=1711279&amp;Row=4125&amp;Col=1","No Title Assigned - #15268859114")</f>
        <v/>
      </c>
      <c r="B4133" s="0" t="s">
        <v>5788</v>
      </c>
      <c r="E4133" s="0" t="inlineStr">
        <is>
          <t xml:space="preserve">Mazda</t>
        </is>
      </c>
      <c r="F4133" s="0" t="inlineStr">
        <is>
          <t xml:space="preserve">Mazda</t>
        </is>
      </c>
      <c r="G4133" s="0" t="s">
        <v>171</v>
      </c>
      <c r="H4133" s="5">
        <v>2234.292300</v>
      </c>
    </row>
    <row r="4134" spans="1:9">
      <c r="A4134" s="22" t="str">
        <f>HYPERLINK("https://app.vivvix.com/360/KMI/IntelliDrive/ApplUI/Pages/CreativePages/CustomReportCreativeDetail.aspx?App=23&amp;ReportView=4&amp;Qid=1711279&amp;Row=4126&amp;Col=1","No Title Assigned - #15268860381")</f>
        <v/>
      </c>
      <c r="B4134" s="0" t="s">
        <v>5790</v>
      </c>
      <c r="E4134" s="0" t="inlineStr">
        <is>
          <t xml:space="preserve">Mazda</t>
        </is>
      </c>
      <c r="F4134" s="0" t="inlineStr">
        <is>
          <t xml:space="preserve">Mazda</t>
        </is>
      </c>
      <c r="G4134" s="0" t="s">
        <v>171</v>
      </c>
      <c r="H4134" s="5">
        <v>18.930200</v>
      </c>
    </row>
    <row r="4135" spans="1:9">
      <c r="A4135" s="22" t="str">
        <f>HYPERLINK("https://app.vivvix.com/360/KMI/IntelliDrive/ApplUI/Pages/CreativePages/CustomReportCreativeDetail.aspx?App=23&amp;ReportView=4&amp;Qid=1711279&amp;Row=4127&amp;Col=1","No Title Assigned - #15268860500")</f>
        <v/>
      </c>
      <c r="B4135" s="0" t="s">
        <v>5791</v>
      </c>
      <c r="E4135" s="0" t="inlineStr">
        <is>
          <t xml:space="preserve">Mazda</t>
        </is>
      </c>
      <c r="F4135" s="0" t="inlineStr">
        <is>
          <t xml:space="preserve">Mazda</t>
        </is>
      </c>
      <c r="G4135" s="0" t="s">
        <v>171</v>
      </c>
      <c r="H4135" s="5">
        <v>49.109800</v>
      </c>
    </row>
    <row r="4136" spans="1:9">
      <c r="A4136" s="22" t="str">
        <f>HYPERLINK("https://app.vivvix.com/360/KMI/IntelliDrive/ApplUI/Pages/CreativePages/CustomReportCreativeDetail.aspx?App=23&amp;ReportView=4&amp;Qid=1711279&amp;Row=4128&amp;Col=1","No Title Assigned - #15268861223")</f>
        <v/>
      </c>
      <c r="B4136" s="0" t="s">
        <v>5792</v>
      </c>
      <c r="E4136" s="0" t="inlineStr">
        <is>
          <t xml:space="preserve">Mazda</t>
        </is>
      </c>
      <c r="F4136" s="0" t="inlineStr">
        <is>
          <t xml:space="preserve">Mazda</t>
        </is>
      </c>
      <c r="G4136" s="0" t="s">
        <v>171</v>
      </c>
      <c r="H4136" s="5">
        <v>193.269600</v>
      </c>
    </row>
    <row r="4137" spans="1:9">
      <c r="A4137" s="22" t="str">
        <f>HYPERLINK("https://app.vivvix.com/360/KMI/IntelliDrive/ApplUI/Pages/CreativePages/CustomReportCreativeDetail.aspx?App=23&amp;ReportView=4&amp;Qid=1711279&amp;Row=4129&amp;Col=1","No Title Assigned - #15268863292")</f>
        <v/>
      </c>
      <c r="B4137" s="0" t="s">
        <v>5793</v>
      </c>
      <c r="C4137" s="0" t="s">
        <v>5794</v>
      </c>
      <c r="D4137" s="0" t="s">
        <v>5794</v>
      </c>
      <c r="E4137" s="0" t="inlineStr">
        <is>
          <t xml:space="preserve">Mazda</t>
        </is>
      </c>
      <c r="F4137" s="0" t="inlineStr">
        <is>
          <t xml:space="preserve">Mazda</t>
        </is>
      </c>
      <c r="G4137" s="0" t="s">
        <v>171</v>
      </c>
      <c r="H4137" s="5">
        <v>1123.784600</v>
      </c>
    </row>
    <row r="4138" spans="1:9">
      <c r="A4138" s="22" t="str">
        <f>HYPERLINK("https://app.vivvix.com/360/KMI/IntelliDrive/ApplUI/Pages/CreativePages/CustomReportCreativeDetail.aspx?App=23&amp;ReportView=4&amp;Qid=1711279&amp;Row=4130&amp;Col=1","No Title Assigned - #15268863292")</f>
        <v/>
      </c>
      <c r="B4138" s="0" t="s">
        <v>5793</v>
      </c>
      <c r="E4138" s="0" t="inlineStr">
        <is>
          <t xml:space="preserve">Mazda</t>
        </is>
      </c>
      <c r="F4138" s="0" t="inlineStr">
        <is>
          <t xml:space="preserve">Mazda</t>
        </is>
      </c>
      <c r="G4138" s="0" t="s">
        <v>171</v>
      </c>
      <c r="H4138" s="5">
        <v>905.987800</v>
      </c>
    </row>
    <row r="4139" spans="1:9">
      <c r="A4139" s="22" t="str">
        <f>HYPERLINK("https://app.vivvix.com/360/KMI/IntelliDrive/ApplUI/Pages/CreativePages/CustomReportCreativeDetail.aspx?App=23&amp;ReportView=4&amp;Qid=1711279&amp;Row=4131&amp;Col=1","No Title Assigned - #15268863550")</f>
        <v/>
      </c>
      <c r="B4139" s="0" t="s">
        <v>5795</v>
      </c>
      <c r="E4139" s="0" t="inlineStr">
        <is>
          <t xml:space="preserve">Mazda</t>
        </is>
      </c>
      <c r="F4139" s="0" t="inlineStr">
        <is>
          <t xml:space="preserve">Mazda</t>
        </is>
      </c>
      <c r="G4139" s="0" t="s">
        <v>171</v>
      </c>
      <c r="H4139" s="5">
        <v>142.632300</v>
      </c>
    </row>
    <row r="4140" spans="1:9">
      <c r="A4140" s="22" t="str">
        <f>HYPERLINK("https://app.vivvix.com/360/KMI/IntelliDrive/ApplUI/Pages/CreativePages/CustomReportCreativeDetail.aspx?App=23&amp;ReportView=4&amp;Qid=1711279&amp;Row=4132&amp;Col=1","No Title Assigned - #15268863703")</f>
        <v/>
      </c>
      <c r="B4140" s="0" t="s">
        <v>5796</v>
      </c>
      <c r="E4140" s="0" t="inlineStr">
        <is>
          <t xml:space="preserve">Mazda</t>
        </is>
      </c>
      <c r="F4140" s="0" t="inlineStr">
        <is>
          <t xml:space="preserve">Mazda</t>
        </is>
      </c>
      <c r="G4140" s="0" t="s">
        <v>171</v>
      </c>
      <c r="H4140" s="5">
        <v>83.423500</v>
      </c>
    </row>
    <row r="4141" spans="1:9">
      <c r="A4141" s="22" t="str">
        <f>HYPERLINK("https://app.vivvix.com/360/KMI/IntelliDrive/ApplUI/Pages/CreativePages/CustomReportCreativeDetail.aspx?App=23&amp;ReportView=4&amp;Qid=1711279&amp;Row=4133&amp;Col=1","No Title Assigned - #15268863866")</f>
        <v/>
      </c>
      <c r="B4141" s="0" t="s">
        <v>5797</v>
      </c>
      <c r="C4141" s="0" t="s">
        <v>5798</v>
      </c>
      <c r="D4141" s="0" t="s">
        <v>5798</v>
      </c>
      <c r="E4141" s="0" t="inlineStr">
        <is>
          <t xml:space="preserve">Mazda</t>
        </is>
      </c>
      <c r="F4141" s="0" t="inlineStr">
        <is>
          <t xml:space="preserve">Mazda</t>
        </is>
      </c>
      <c r="G4141" s="0" t="s">
        <v>171</v>
      </c>
      <c r="H4141" s="5">
        <v>5961.763900</v>
      </c>
    </row>
    <row r="4142" spans="1:9">
      <c r="A4142" s="22" t="str">
        <f>HYPERLINK("https://app.vivvix.com/360/KMI/IntelliDrive/ApplUI/Pages/CreativePages/CustomReportCreativeDetail.aspx?App=23&amp;ReportView=4&amp;Qid=1711279&amp;Row=4134&amp;Col=1","No Title Assigned - #15268863866")</f>
        <v/>
      </c>
      <c r="B4142" s="0" t="s">
        <v>5797</v>
      </c>
      <c r="E4142" s="0" t="inlineStr">
        <is>
          <t xml:space="preserve">Mazda</t>
        </is>
      </c>
      <c r="F4142" s="0" t="inlineStr">
        <is>
          <t xml:space="preserve">Mazda</t>
        </is>
      </c>
      <c r="G4142" s="0" t="s">
        <v>171</v>
      </c>
      <c r="H4142" s="5">
        <v>3561.738600</v>
      </c>
    </row>
    <row r="4143" spans="1:9">
      <c r="A4143" s="22" t="str">
        <f>HYPERLINK("https://app.vivvix.com/360/KMI/IntelliDrive/ApplUI/Pages/CreativePages/CustomReportCreativeDetail.aspx?App=23&amp;ReportView=4&amp;Qid=1711279&amp;Row=4135&amp;Col=1","No Title Assigned - #15268864948")</f>
        <v/>
      </c>
      <c r="B4143" s="0" t="s">
        <v>5799</v>
      </c>
      <c r="E4143" s="0" t="inlineStr">
        <is>
          <t xml:space="preserve">Mazda</t>
        </is>
      </c>
      <c r="F4143" s="0" t="inlineStr">
        <is>
          <t xml:space="preserve">Mazda</t>
        </is>
      </c>
      <c r="G4143" s="0" t="s">
        <v>171</v>
      </c>
      <c r="H4143" s="5">
        <v>1960.839300</v>
      </c>
    </row>
    <row r="4144" spans="1:9">
      <c r="A4144" s="22" t="str">
        <f>HYPERLINK("https://app.vivvix.com/360/KMI/IntelliDrive/ApplUI/Pages/CreativePages/CustomReportCreativeDetail.aspx?App=23&amp;ReportView=4&amp;Qid=1711279&amp;Row=4136&amp;Col=1","No Title Assigned - #15268864948")</f>
        <v/>
      </c>
      <c r="B4144" s="0" t="s">
        <v>5799</v>
      </c>
      <c r="E4144" s="0" t="inlineStr">
        <is>
          <t xml:space="preserve">Mazda</t>
        </is>
      </c>
      <c r="F4144" s="0" t="inlineStr">
        <is>
          <t xml:space="preserve">Mazda</t>
        </is>
      </c>
      <c r="G4144" s="0" t="s">
        <v>171</v>
      </c>
      <c r="H4144" s="5">
        <v>1183.872600</v>
      </c>
    </row>
    <row r="4145" spans="1:9">
      <c r="A4145" s="22" t="str">
        <f>HYPERLINK("https://app.vivvix.com/360/KMI/IntelliDrive/ApplUI/Pages/CreativePages/CustomReportCreativeDetail.aspx?App=23&amp;ReportView=4&amp;Qid=1711279&amp;Row=4137&amp;Col=1","No Title Assigned - #15268869824")</f>
        <v/>
      </c>
      <c r="B4145" s="0" t="s">
        <v>5800</v>
      </c>
      <c r="E4145" s="0" t="inlineStr">
        <is>
          <t xml:space="preserve">Mazda</t>
        </is>
      </c>
      <c r="F4145" s="0" t="inlineStr">
        <is>
          <t xml:space="preserve">Mazda</t>
        </is>
      </c>
      <c r="G4145" s="0" t="s">
        <v>171</v>
      </c>
      <c r="H4145" s="5">
        <v>5.080700</v>
      </c>
    </row>
    <row r="4146" spans="1:9">
      <c r="A4146" s="22" t="str">
        <f>HYPERLINK("https://app.vivvix.com/360/KMI/IntelliDrive/ApplUI/Pages/CreativePages/CustomReportCreativeDetail.aspx?App=23&amp;ReportView=4&amp;Qid=1711279&amp;Row=4138&amp;Col=1","No Title Assigned - #15268869957")</f>
        <v/>
      </c>
      <c r="B4146" s="0" t="s">
        <v>5801</v>
      </c>
      <c r="E4146" s="0" t="inlineStr">
        <is>
          <t xml:space="preserve">Mazda</t>
        </is>
      </c>
      <c r="F4146" s="0" t="inlineStr">
        <is>
          <t xml:space="preserve">Mazda</t>
        </is>
      </c>
      <c r="G4146" s="0" t="s">
        <v>171</v>
      </c>
      <c r="H4146" s="5">
        <v>15.024000</v>
      </c>
    </row>
    <row r="4147" spans="1:9">
      <c r="A4147" s="22" t="str">
        <f>HYPERLINK("https://app.vivvix.com/360/KMI/IntelliDrive/ApplUI/Pages/CreativePages/CustomReportCreativeDetail.aspx?App=23&amp;ReportView=4&amp;Qid=1711279&amp;Row=4139&amp;Col=1","No Title Assigned - #15268870492")</f>
        <v/>
      </c>
      <c r="B4147" s="0" t="s">
        <v>5802</v>
      </c>
      <c r="E4147" s="0" t="inlineStr">
        <is>
          <t xml:space="preserve">Mazda</t>
        </is>
      </c>
      <c r="F4147" s="0" t="inlineStr">
        <is>
          <t xml:space="preserve">Mazda</t>
        </is>
      </c>
      <c r="G4147" s="0" t="s">
        <v>171</v>
      </c>
      <c r="H4147" s="5">
        <v>1082.474000</v>
      </c>
    </row>
    <row r="4148" spans="1:9">
      <c r="A4148" s="22" t="str">
        <f>HYPERLINK("https://app.vivvix.com/360/KMI/IntelliDrive/ApplUI/Pages/CreativePages/CustomReportCreativeDetail.aspx?App=23&amp;ReportView=4&amp;Qid=1711279&amp;Row=4140&amp;Col=1","No Title Assigned - #15268871271")</f>
        <v/>
      </c>
      <c r="B4148" s="0" t="s">
        <v>5803</v>
      </c>
      <c r="E4148" s="0" t="inlineStr">
        <is>
          <t xml:space="preserve">Mazda</t>
        </is>
      </c>
      <c r="F4148" s="0" t="inlineStr">
        <is>
          <t xml:space="preserve">Mazda</t>
        </is>
      </c>
      <c r="G4148" s="0" t="s">
        <v>171</v>
      </c>
      <c r="H4148" s="5">
        <v>2628.683700</v>
      </c>
    </row>
    <row r="4149" spans="1:9">
      <c r="A4149" s="22" t="str">
        <f>HYPERLINK("https://app.vivvix.com/360/KMI/IntelliDrive/ApplUI/Pages/CreativePages/CustomReportCreativeDetail.aspx?App=23&amp;ReportView=4&amp;Qid=1711279&amp;Row=4141&amp;Col=1","No Title Assigned - #15268871558")</f>
        <v/>
      </c>
      <c r="B4149" s="0" t="s">
        <v>5804</v>
      </c>
      <c r="E4149" s="0" t="inlineStr">
        <is>
          <t xml:space="preserve">Mazda</t>
        </is>
      </c>
      <c r="F4149" s="0" t="inlineStr">
        <is>
          <t xml:space="preserve">Mazda</t>
        </is>
      </c>
      <c r="G4149" s="0" t="s">
        <v>171</v>
      </c>
      <c r="H4149" s="5">
        <v>166.939800</v>
      </c>
    </row>
    <row r="4150" spans="1:9">
      <c r="A4150" s="22" t="str">
        <f>HYPERLINK("https://app.vivvix.com/360/KMI/IntelliDrive/ApplUI/Pages/CreativePages/CustomReportCreativeDetail.aspx?App=23&amp;ReportView=4&amp;Qid=1711279&amp;Row=4142&amp;Col=1","No Title Assigned - #15268871558")</f>
        <v/>
      </c>
      <c r="B4150" s="0" t="s">
        <v>5804</v>
      </c>
      <c r="E4150" s="0" t="inlineStr">
        <is>
          <t xml:space="preserve">Mazda</t>
        </is>
      </c>
      <c r="F4150" s="0" t="inlineStr">
        <is>
          <t xml:space="preserve">Mazda</t>
        </is>
      </c>
      <c r="G4150" s="0" t="s">
        <v>171</v>
      </c>
      <c r="H4150" s="5">
        <v>4840.148200</v>
      </c>
    </row>
    <row r="4151" spans="1:9">
      <c r="A4151" s="22" t="str">
        <f>HYPERLINK("https://app.vivvix.com/360/KMI/IntelliDrive/ApplUI/Pages/CreativePages/CustomReportCreativeDetail.aspx?App=23&amp;ReportView=4&amp;Qid=1711279&amp;Row=4143&amp;Col=1","No Title Assigned - #15268871847")</f>
        <v/>
      </c>
      <c r="B4151" s="0" t="s">
        <v>5805</v>
      </c>
      <c r="E4151" s="0" t="inlineStr">
        <is>
          <t xml:space="preserve">Mazda</t>
        </is>
      </c>
      <c r="F4151" s="0" t="inlineStr">
        <is>
          <t xml:space="preserve">Mazda</t>
        </is>
      </c>
      <c r="G4151" s="0" t="s">
        <v>171</v>
      </c>
      <c r="H4151" s="5">
        <v>71.873200</v>
      </c>
    </row>
    <row r="4152" spans="1:9">
      <c r="A4152" s="22" t="str">
        <f>HYPERLINK("https://app.vivvix.com/360/KMI/IntelliDrive/ApplUI/Pages/CreativePages/CustomReportCreativeDetail.aspx?App=23&amp;ReportView=4&amp;Qid=1711279&amp;Row=4144&amp;Col=1","No Title Assigned - #15268872338")</f>
        <v/>
      </c>
      <c r="B4152" s="0" t="s">
        <v>5806</v>
      </c>
      <c r="E4152" s="0" t="inlineStr">
        <is>
          <t xml:space="preserve">Mazda</t>
        </is>
      </c>
      <c r="F4152" s="0" t="inlineStr">
        <is>
          <t xml:space="preserve">Mazda</t>
        </is>
      </c>
      <c r="G4152" s="0" t="s">
        <v>171</v>
      </c>
      <c r="H4152" s="5">
        <v>24.499700</v>
      </c>
    </row>
    <row r="4153" spans="1:9">
      <c r="A4153" s="22" t="str">
        <f>HYPERLINK("https://app.vivvix.com/360/KMI/IntelliDrive/ApplUI/Pages/CreativePages/CustomReportCreativeDetail.aspx?App=23&amp;ReportView=4&amp;Qid=1711279&amp;Row=4145&amp;Col=1","No Title Assigned - #15268879233")</f>
        <v/>
      </c>
      <c r="B4153" s="0" t="s">
        <v>5807</v>
      </c>
      <c r="C4153" s="0" t="s">
        <v>5808</v>
      </c>
      <c r="D4153" s="0" t="s">
        <v>5808</v>
      </c>
      <c r="E4153" s="0" t="inlineStr">
        <is>
          <t xml:space="preserve">Mazda</t>
        </is>
      </c>
      <c r="F4153" s="0" t="inlineStr">
        <is>
          <t xml:space="preserve">Mazda</t>
        </is>
      </c>
      <c r="G4153" s="0" t="s">
        <v>171</v>
      </c>
      <c r="H4153" s="5">
        <v>97.998800</v>
      </c>
    </row>
    <row r="4154" spans="1:9">
      <c r="A4154" s="22" t="str">
        <f>HYPERLINK("https://app.vivvix.com/360/KMI/IntelliDrive/ApplUI/Pages/CreativePages/CustomReportCreativeDetail.aspx?App=23&amp;ReportView=4&amp;Qid=1711279&amp;Row=4146&amp;Col=1","No Title Assigned - #15268880216")</f>
        <v/>
      </c>
      <c r="B4154" s="0" t="s">
        <v>5809</v>
      </c>
      <c r="E4154" s="0" t="inlineStr">
        <is>
          <t xml:space="preserve">Mazda</t>
        </is>
      </c>
      <c r="F4154" s="0" t="inlineStr">
        <is>
          <t xml:space="preserve">Mazda</t>
        </is>
      </c>
      <c r="G4154" s="0" t="s">
        <v>171</v>
      </c>
      <c r="H4154" s="5">
        <v>1319.666100</v>
      </c>
    </row>
    <row r="4155" spans="1:9">
      <c r="A4155" s="22" t="str">
        <f>HYPERLINK("https://app.vivvix.com/360/KMI/IntelliDrive/ApplUI/Pages/CreativePages/CustomReportCreativeDetail.aspx?App=23&amp;ReportView=4&amp;Qid=1711279&amp;Row=4147&amp;Col=1","No Title Assigned - #15268880464")</f>
        <v/>
      </c>
      <c r="B4155" s="0" t="s">
        <v>5810</v>
      </c>
      <c r="E4155" s="0" t="inlineStr">
        <is>
          <t xml:space="preserve">Mazda</t>
        </is>
      </c>
      <c r="F4155" s="0" t="inlineStr">
        <is>
          <t xml:space="preserve">Mazda</t>
        </is>
      </c>
      <c r="G4155" s="0" t="s">
        <v>171</v>
      </c>
      <c r="H4155" s="5">
        <v>10780.065000</v>
      </c>
    </row>
    <row r="4156" spans="1:9">
      <c r="A4156" s="22" t="str">
        <f>HYPERLINK("https://app.vivvix.com/360/KMI/IntelliDrive/ApplUI/Pages/CreativePages/CustomReportCreativeDetail.aspx?App=23&amp;ReportView=4&amp;Qid=1711279&amp;Row=4148&amp;Col=1","No Title Assigned - #15268881678")</f>
        <v/>
      </c>
      <c r="B4156" s="0" t="s">
        <v>5811</v>
      </c>
      <c r="E4156" s="0" t="inlineStr">
        <is>
          <t xml:space="preserve">Mazda</t>
        </is>
      </c>
      <c r="F4156" s="0" t="inlineStr">
        <is>
          <t xml:space="preserve">Mazda</t>
        </is>
      </c>
      <c r="G4156" s="0" t="s">
        <v>171</v>
      </c>
      <c r="H4156" s="5">
        <v>719.856700</v>
      </c>
    </row>
    <row r="4157" spans="1:9">
      <c r="A4157" s="22" t="str">
        <f>HYPERLINK("https://app.vivvix.com/360/KMI/IntelliDrive/ApplUI/Pages/CreativePages/CustomReportCreativeDetail.aspx?App=23&amp;ReportView=4&amp;Qid=1711279&amp;Row=4149&amp;Col=1","No Title Assigned - #15268881679")</f>
        <v/>
      </c>
      <c r="B4157" s="0" t="s">
        <v>5812</v>
      </c>
      <c r="E4157" s="0" t="inlineStr">
        <is>
          <t xml:space="preserve">Mazda</t>
        </is>
      </c>
      <c r="F4157" s="0" t="inlineStr">
        <is>
          <t xml:space="preserve">Mazda</t>
        </is>
      </c>
      <c r="G4157" s="0" t="s">
        <v>171</v>
      </c>
      <c r="H4157" s="5">
        <v>719.856700</v>
      </c>
    </row>
    <row r="4158" spans="1:9">
      <c r="A4158" s="22" t="str">
        <f>HYPERLINK("https://app.vivvix.com/360/KMI/IntelliDrive/ApplUI/Pages/CreativePages/CustomReportCreativeDetail.aspx?App=23&amp;ReportView=4&amp;Qid=1711279&amp;Row=4150&amp;Col=1","No Title Assigned - #15268883841")</f>
        <v/>
      </c>
      <c r="B4158" s="0" t="s">
        <v>5813</v>
      </c>
      <c r="C4158" s="0" t="s">
        <v>5814</v>
      </c>
      <c r="D4158" s="0" t="s">
        <v>5814</v>
      </c>
      <c r="E4158" s="0" t="inlineStr">
        <is>
          <t xml:space="preserve">Mazda</t>
        </is>
      </c>
      <c r="F4158" s="0" t="inlineStr">
        <is>
          <t xml:space="preserve">Mazda</t>
        </is>
      </c>
      <c r="G4158" s="0" t="s">
        <v>171</v>
      </c>
      <c r="H4158" s="5">
        <v>688.518200</v>
      </c>
    </row>
    <row r="4159" spans="1:9">
      <c r="A4159" s="22" t="str">
        <f>HYPERLINK("https://app.vivvix.com/360/KMI/IntelliDrive/ApplUI/Pages/CreativePages/CustomReportCreativeDetail.aspx?App=23&amp;ReportView=4&amp;Qid=1711279&amp;Row=4151&amp;Col=1","No Title Assigned - #15268883841")</f>
        <v/>
      </c>
      <c r="B4159" s="0" t="s">
        <v>5813</v>
      </c>
      <c r="E4159" s="0" t="inlineStr">
        <is>
          <t xml:space="preserve">Mazda</t>
        </is>
      </c>
      <c r="F4159" s="0" t="inlineStr">
        <is>
          <t xml:space="preserve">Mazda</t>
        </is>
      </c>
      <c r="G4159" s="0" t="s">
        <v>171</v>
      </c>
      <c r="H4159" s="5">
        <v>23175.369600</v>
      </c>
    </row>
    <row r="4160" spans="1:9">
      <c r="A4160" s="22" t="str">
        <f>HYPERLINK("https://app.vivvix.com/360/KMI/IntelliDrive/ApplUI/Pages/CreativePages/CustomReportCreativeDetail.aspx?App=23&amp;ReportView=4&amp;Qid=1711279&amp;Row=4152&amp;Col=1","No Title Assigned - #15268884373")</f>
        <v/>
      </c>
      <c r="B4160" s="0" t="s">
        <v>5815</v>
      </c>
      <c r="E4160" s="0" t="inlineStr">
        <is>
          <t xml:space="preserve">Mazda</t>
        </is>
      </c>
      <c r="F4160" s="0" t="inlineStr">
        <is>
          <t xml:space="preserve">Mazda</t>
        </is>
      </c>
      <c r="G4160" s="0" t="s">
        <v>171</v>
      </c>
      <c r="H4160" s="5">
        <v>104.779800</v>
      </c>
    </row>
    <row r="4161" spans="1:9">
      <c r="A4161" s="22" t="str">
        <f>HYPERLINK("https://app.vivvix.com/360/KMI/IntelliDrive/ApplUI/Pages/CreativePages/CustomReportCreativeDetail.aspx?App=23&amp;ReportView=4&amp;Qid=1711279&amp;Row=4153&amp;Col=1","No Title Assigned - #15268884373")</f>
        <v/>
      </c>
      <c r="B4161" s="0" t="s">
        <v>5815</v>
      </c>
      <c r="E4161" s="0" t="inlineStr">
        <is>
          <t xml:space="preserve">Mazda</t>
        </is>
      </c>
      <c r="F4161" s="0" t="inlineStr">
        <is>
          <t xml:space="preserve">Mazda</t>
        </is>
      </c>
      <c r="G4161" s="0" t="s">
        <v>171</v>
      </c>
      <c r="H4161" s="5">
        <v>68.576800</v>
      </c>
    </row>
    <row r="4162" spans="1:9">
      <c r="A4162" s="22" t="str">
        <f>HYPERLINK("https://app.vivvix.com/360/KMI/IntelliDrive/ApplUI/Pages/CreativePages/CustomReportCreativeDetail.aspx?App=23&amp;ReportView=4&amp;Qid=1711279&amp;Row=4154&amp;Col=1","No Title Assigned - #15268884649")</f>
        <v/>
      </c>
      <c r="B4162" s="0" t="s">
        <v>5816</v>
      </c>
      <c r="E4162" s="0" t="inlineStr">
        <is>
          <t xml:space="preserve">Mazda</t>
        </is>
      </c>
      <c r="F4162" s="0" t="inlineStr">
        <is>
          <t xml:space="preserve">Mazda</t>
        </is>
      </c>
      <c r="G4162" s="0" t="s">
        <v>171</v>
      </c>
      <c r="H4162" s="5">
        <v>11.981900</v>
      </c>
    </row>
    <row r="4163" spans="1:9">
      <c r="A4163" s="22" t="str">
        <f>HYPERLINK("https://app.vivvix.com/360/KMI/IntelliDrive/ApplUI/Pages/CreativePages/CustomReportCreativeDetail.aspx?App=23&amp;ReportView=4&amp;Qid=1711279&amp;Row=4155&amp;Col=1","No Title Assigned - #15268885176")</f>
        <v/>
      </c>
      <c r="B4163" s="0" t="s">
        <v>5817</v>
      </c>
      <c r="E4163" s="0" t="inlineStr">
        <is>
          <t xml:space="preserve">Mazda</t>
        </is>
      </c>
      <c r="F4163" s="0" t="inlineStr">
        <is>
          <t xml:space="preserve">Mazda</t>
        </is>
      </c>
      <c r="G4163" s="0" t="s">
        <v>171</v>
      </c>
      <c r="H4163" s="5">
        <v>82.957700</v>
      </c>
    </row>
    <row r="4164" spans="1:9">
      <c r="A4164" s="22" t="str">
        <f>HYPERLINK("https://app.vivvix.com/360/KMI/IntelliDrive/ApplUI/Pages/CreativePages/CustomReportCreativeDetail.aspx?App=23&amp;ReportView=4&amp;Qid=1711279&amp;Row=4156&amp;Col=1","No Title Assigned - #15268886718")</f>
        <v/>
      </c>
      <c r="B4164" s="0" t="s">
        <v>5818</v>
      </c>
      <c r="E4164" s="0" t="inlineStr">
        <is>
          <t xml:space="preserve">Mazda</t>
        </is>
      </c>
      <c r="F4164" s="0" t="inlineStr">
        <is>
          <t xml:space="preserve">Mazda</t>
        </is>
      </c>
      <c r="G4164" s="0" t="s">
        <v>171</v>
      </c>
      <c r="H4164" s="5">
        <v>1655.110100</v>
      </c>
    </row>
    <row r="4165" spans="1:9">
      <c r="A4165" s="22" t="str">
        <f>HYPERLINK("https://app.vivvix.com/360/KMI/IntelliDrive/ApplUI/Pages/CreativePages/CustomReportCreativeDetail.aspx?App=23&amp;ReportView=4&amp;Qid=1711279&amp;Row=4157&amp;Col=1","No Title Assigned - #15268887845")</f>
        <v/>
      </c>
      <c r="B4165" s="0" t="s">
        <v>5819</v>
      </c>
      <c r="E4165" s="0" t="inlineStr">
        <is>
          <t xml:space="preserve">Mazda</t>
        </is>
      </c>
      <c r="F4165" s="0" t="inlineStr">
        <is>
          <t xml:space="preserve">Mazda</t>
        </is>
      </c>
      <c r="G4165" s="0" t="s">
        <v>171</v>
      </c>
      <c r="H4165" s="5">
        <v>715.524500</v>
      </c>
    </row>
    <row r="4166" spans="1:9">
      <c r="A4166" s="22" t="str">
        <f>HYPERLINK("https://app.vivvix.com/360/KMI/IntelliDrive/ApplUI/Pages/CreativePages/CustomReportCreativeDetail.aspx?App=23&amp;ReportView=4&amp;Qid=1711279&amp;Row=4158&amp;Col=1","No Title Assigned - #15268888305")</f>
        <v/>
      </c>
      <c r="B4166" s="0" t="s">
        <v>5820</v>
      </c>
      <c r="C4166" s="0" t="s">
        <v>5821</v>
      </c>
      <c r="D4166" s="0" t="s">
        <v>5821</v>
      </c>
      <c r="E4166" s="0" t="inlineStr">
        <is>
          <t xml:space="preserve">Mazda</t>
        </is>
      </c>
      <c r="F4166" s="0" t="inlineStr">
        <is>
          <t xml:space="preserve">Mazda</t>
        </is>
      </c>
      <c r="G4166" s="0" t="s">
        <v>171</v>
      </c>
      <c r="H4166" s="5">
        <v>11.930900</v>
      </c>
    </row>
    <row r="4167" spans="1:9">
      <c r="A4167" s="22" t="str">
        <f>HYPERLINK("https://app.vivvix.com/360/KMI/IntelliDrive/ApplUI/Pages/CreativePages/CustomReportCreativeDetail.aspx?App=23&amp;ReportView=4&amp;Qid=1711279&amp;Row=4159&amp;Col=1","No Title Assigned - #15268888801")</f>
        <v/>
      </c>
      <c r="B4167" s="0" t="s">
        <v>5822</v>
      </c>
      <c r="E4167" s="0" t="inlineStr">
        <is>
          <t xml:space="preserve">Mazda</t>
        </is>
      </c>
      <c r="F4167" s="0" t="inlineStr">
        <is>
          <t xml:space="preserve">Mazda</t>
        </is>
      </c>
      <c r="G4167" s="0" t="s">
        <v>171</v>
      </c>
      <c r="H4167" s="5">
        <v>1.797900</v>
      </c>
    </row>
    <row r="4168" spans="1:9">
      <c r="A4168" s="22" t="str">
        <f>HYPERLINK("https://app.vivvix.com/360/KMI/IntelliDrive/ApplUI/Pages/CreativePages/CustomReportCreativeDetail.aspx?App=23&amp;ReportView=4&amp;Qid=1711279&amp;Row=4160&amp;Col=1","No Title Assigned - #15268889291")</f>
        <v/>
      </c>
      <c r="B4168" s="0" t="s">
        <v>5823</v>
      </c>
      <c r="E4168" s="0" t="inlineStr">
        <is>
          <t xml:space="preserve">Mazda</t>
        </is>
      </c>
      <c r="F4168" s="0" t="inlineStr">
        <is>
          <t xml:space="preserve">Mazda</t>
        </is>
      </c>
      <c r="G4168" s="0" t="s">
        <v>171</v>
      </c>
      <c r="H4168" s="5">
        <v>13.323000</v>
      </c>
    </row>
    <row r="4169" spans="1:9">
      <c r="A4169" s="22" t="str">
        <f>HYPERLINK("https://app.vivvix.com/360/KMI/IntelliDrive/ApplUI/Pages/CreativePages/CustomReportCreativeDetail.aspx?App=23&amp;ReportView=4&amp;Qid=1711279&amp;Row=4161&amp;Col=1","No Title Assigned - #15268889585")</f>
        <v/>
      </c>
      <c r="B4169" s="0" t="s">
        <v>5824</v>
      </c>
      <c r="E4169" s="0" t="inlineStr">
        <is>
          <t xml:space="preserve">Mazda</t>
        </is>
      </c>
      <c r="F4169" s="0" t="inlineStr">
        <is>
          <t xml:space="preserve">Mazda</t>
        </is>
      </c>
      <c r="G4169" s="0" t="s">
        <v>171</v>
      </c>
      <c r="H4169" s="5">
        <v>45.400200</v>
      </c>
    </row>
    <row r="4170" spans="1:9">
      <c r="A4170" s="22" t="str">
        <f>HYPERLINK("https://app.vivvix.com/360/KMI/IntelliDrive/ApplUI/Pages/CreativePages/CustomReportCreativeDetail.aspx?App=23&amp;ReportView=4&amp;Qid=1711279&amp;Row=4162&amp;Col=1","No Title Assigned - #15268892898")</f>
        <v/>
      </c>
      <c r="B4170" s="0" t="s">
        <v>5825</v>
      </c>
      <c r="E4170" s="0" t="inlineStr">
        <is>
          <t xml:space="preserve">Mazda</t>
        </is>
      </c>
      <c r="F4170" s="0" t="inlineStr">
        <is>
          <t xml:space="preserve">Mazda</t>
        </is>
      </c>
      <c r="G4170" s="0" t="s">
        <v>171</v>
      </c>
      <c r="H4170" s="5">
        <v>13.983800</v>
      </c>
    </row>
    <row r="4171" spans="1:9">
      <c r="A4171" s="22" t="str">
        <f>HYPERLINK("https://app.vivvix.com/360/KMI/IntelliDrive/ApplUI/Pages/CreativePages/CustomReportCreativeDetail.aspx?App=23&amp;ReportView=4&amp;Qid=1711279&amp;Row=4163&amp;Col=1","No Title Assigned - #15268892942")</f>
        <v/>
      </c>
      <c r="B4171" s="0" t="s">
        <v>5826</v>
      </c>
      <c r="E4171" s="0" t="inlineStr">
        <is>
          <t xml:space="preserve">Mazda</t>
        </is>
      </c>
      <c r="F4171" s="0" t="inlineStr">
        <is>
          <t xml:space="preserve">Mazda</t>
        </is>
      </c>
      <c r="G4171" s="0" t="s">
        <v>171</v>
      </c>
      <c r="H4171" s="5">
        <v>6171.446500</v>
      </c>
    </row>
    <row r="4172" spans="1:9">
      <c r="A4172" s="22" t="str">
        <f>HYPERLINK("https://app.vivvix.com/360/KMI/IntelliDrive/ApplUI/Pages/CreativePages/CustomReportCreativeDetail.aspx?App=23&amp;ReportView=4&amp;Qid=1711279&amp;Row=4164&amp;Col=1","No Title Assigned - #15268892942")</f>
        <v/>
      </c>
      <c r="B4172" s="0" t="s">
        <v>5826</v>
      </c>
      <c r="C4172" s="0" t="s">
        <v>5827</v>
      </c>
      <c r="D4172" s="0" t="s">
        <v>5827</v>
      </c>
      <c r="E4172" s="0" t="inlineStr">
        <is>
          <t xml:space="preserve">Mazda</t>
        </is>
      </c>
      <c r="F4172" s="0" t="inlineStr">
        <is>
          <t xml:space="preserve">Mazda</t>
        </is>
      </c>
      <c r="G4172" s="0" t="s">
        <v>171</v>
      </c>
      <c r="H4172" s="5">
        <v>275.267000</v>
      </c>
    </row>
    <row r="4173" spans="1:9">
      <c r="A4173" s="22" t="str">
        <f>HYPERLINK("https://app.vivvix.com/360/KMI/IntelliDrive/ApplUI/Pages/CreativePages/CustomReportCreativeDetail.aspx?App=23&amp;ReportView=4&amp;Qid=1711279&amp;Row=4165&amp;Col=1","No Title Assigned - #15268894007")</f>
        <v/>
      </c>
      <c r="B4173" s="0" t="s">
        <v>5828</v>
      </c>
      <c r="C4173" s="0" t="s">
        <v>5829</v>
      </c>
      <c r="D4173" s="0" t="s">
        <v>5829</v>
      </c>
      <c r="E4173" s="0" t="inlineStr">
        <is>
          <t xml:space="preserve">Mazda</t>
        </is>
      </c>
      <c r="F4173" s="0" t="inlineStr">
        <is>
          <t xml:space="preserve">Mazda</t>
        </is>
      </c>
      <c r="G4173" s="0" t="s">
        <v>171</v>
      </c>
      <c r="H4173" s="5">
        <v>44.039900</v>
      </c>
    </row>
    <row r="4174" spans="1:9">
      <c r="A4174" s="22" t="str">
        <f>HYPERLINK("https://app.vivvix.com/360/KMI/IntelliDrive/ApplUI/Pages/CreativePages/CustomReportCreativeDetail.aspx?App=23&amp;ReportView=4&amp;Qid=1711279&amp;Row=4166&amp;Col=1","No Title Assigned - #15268894007")</f>
        <v/>
      </c>
      <c r="B4174" s="0" t="s">
        <v>5828</v>
      </c>
      <c r="E4174" s="0" t="inlineStr">
        <is>
          <t xml:space="preserve">Mazda</t>
        </is>
      </c>
      <c r="F4174" s="0" t="inlineStr">
        <is>
          <t xml:space="preserve">Mazda</t>
        </is>
      </c>
      <c r="G4174" s="0" t="s">
        <v>171</v>
      </c>
      <c r="H4174" s="5">
        <v>10613.776400</v>
      </c>
    </row>
    <row r="4175" spans="1:9">
      <c r="A4175" s="22" t="str">
        <f>HYPERLINK("https://app.vivvix.com/360/KMI/IntelliDrive/ApplUI/Pages/CreativePages/CustomReportCreativeDetail.aspx?App=23&amp;ReportView=4&amp;Qid=1711279&amp;Row=4167&amp;Col=1","No Title Assigned - #15268894350")</f>
        <v/>
      </c>
      <c r="B4175" s="0" t="s">
        <v>5830</v>
      </c>
      <c r="E4175" s="0" t="inlineStr">
        <is>
          <t xml:space="preserve">Mazda</t>
        </is>
      </c>
      <c r="F4175" s="0" t="inlineStr">
        <is>
          <t xml:space="preserve">Mazda</t>
        </is>
      </c>
      <c r="G4175" s="0" t="s">
        <v>171</v>
      </c>
      <c r="H4175" s="5">
        <v>544.558700</v>
      </c>
    </row>
    <row r="4176" spans="1:9">
      <c r="A4176" s="22" t="str">
        <f>HYPERLINK("https://app.vivvix.com/360/KMI/IntelliDrive/ApplUI/Pages/CreativePages/CustomReportCreativeDetail.aspx?App=23&amp;ReportView=4&amp;Qid=1711279&amp;Row=4168&amp;Col=1","No Title Assigned - #15268894985")</f>
        <v/>
      </c>
      <c r="B4176" s="0" t="s">
        <v>5831</v>
      </c>
      <c r="E4176" s="0" t="inlineStr">
        <is>
          <t xml:space="preserve">Mazda</t>
        </is>
      </c>
      <c r="F4176" s="0" t="inlineStr">
        <is>
          <t xml:space="preserve">Mazda</t>
        </is>
      </c>
      <c r="G4176" s="0" t="s">
        <v>171</v>
      </c>
      <c r="H4176" s="5">
        <v>83.597200</v>
      </c>
    </row>
    <row r="4177" spans="1:9">
      <c r="A4177" s="22" t="str">
        <f>HYPERLINK("https://app.vivvix.com/360/KMI/IntelliDrive/ApplUI/Pages/CreativePages/CustomReportCreativeDetail.aspx?App=23&amp;ReportView=4&amp;Qid=1711279&amp;Row=4169&amp;Col=1","No Title Assigned - #15268895235")</f>
        <v/>
      </c>
      <c r="B4177" s="0" t="s">
        <v>5832</v>
      </c>
      <c r="E4177" s="0" t="inlineStr">
        <is>
          <t xml:space="preserve">Mazda</t>
        </is>
      </c>
      <c r="F4177" s="0" t="inlineStr">
        <is>
          <t xml:space="preserve">Mazda</t>
        </is>
      </c>
      <c r="G4177" s="0" t="s">
        <v>171</v>
      </c>
      <c r="H4177" s="5">
        <v>6.281100</v>
      </c>
    </row>
    <row r="4178" spans="1:9">
      <c r="A4178" s="22" t="str">
        <f>HYPERLINK("https://app.vivvix.com/360/KMI/IntelliDrive/ApplUI/Pages/CreativePages/CustomReportCreativeDetail.aspx?App=23&amp;ReportView=4&amp;Qid=1711279&amp;Row=4170&amp;Col=1","No Title Assigned - #15268896641")</f>
        <v/>
      </c>
      <c r="B4178" s="0" t="s">
        <v>5833</v>
      </c>
      <c r="E4178" s="0" t="inlineStr">
        <is>
          <t xml:space="preserve">Mazda</t>
        </is>
      </c>
      <c r="F4178" s="0" t="inlineStr">
        <is>
          <t xml:space="preserve">Mazda</t>
        </is>
      </c>
      <c r="G4178" s="0" t="s">
        <v>171</v>
      </c>
      <c r="H4178" s="5">
        <v>213.255700</v>
      </c>
    </row>
    <row r="4179" spans="1:9">
      <c r="A4179" s="22" t="str">
        <f>HYPERLINK("https://app.vivvix.com/360/KMI/IntelliDrive/ApplUI/Pages/CreativePages/CustomReportCreativeDetail.aspx?App=23&amp;ReportView=4&amp;Qid=1711279&amp;Row=4171&amp;Col=1","No Title Assigned - #15268896642")</f>
        <v/>
      </c>
      <c r="B4179" s="0" t="s">
        <v>5834</v>
      </c>
      <c r="E4179" s="0" t="inlineStr">
        <is>
          <t xml:space="preserve">Mazda</t>
        </is>
      </c>
      <c r="F4179" s="0" t="inlineStr">
        <is>
          <t xml:space="preserve">Mazda</t>
        </is>
      </c>
      <c r="G4179" s="0" t="s">
        <v>171</v>
      </c>
      <c r="H4179" s="5">
        <v>195.595500</v>
      </c>
    </row>
    <row r="4180" spans="1:9">
      <c r="A4180" s="22" t="str">
        <f>HYPERLINK("https://app.vivvix.com/360/KMI/IntelliDrive/ApplUI/Pages/CreativePages/CustomReportCreativeDetail.aspx?App=23&amp;ReportView=4&amp;Qid=1711279&amp;Row=4172&amp;Col=1","No Title Assigned - #15268896825")</f>
        <v/>
      </c>
      <c r="B4180" s="0" t="s">
        <v>5835</v>
      </c>
      <c r="C4180" s="0" t="s">
        <v>5836</v>
      </c>
      <c r="D4180" s="0" t="s">
        <v>5836</v>
      </c>
      <c r="E4180" s="0" t="inlineStr">
        <is>
          <t xml:space="preserve">Mazda</t>
        </is>
      </c>
      <c r="F4180" s="0" t="inlineStr">
        <is>
          <t xml:space="preserve">Mazda</t>
        </is>
      </c>
      <c r="G4180" s="0" t="s">
        <v>171</v>
      </c>
      <c r="H4180" s="5">
        <v>18.345900</v>
      </c>
    </row>
    <row r="4181" spans="1:9">
      <c r="A4181" s="22" t="str">
        <f>HYPERLINK("https://app.vivvix.com/360/KMI/IntelliDrive/ApplUI/Pages/CreativePages/CustomReportCreativeDetail.aspx?App=23&amp;ReportView=4&amp;Qid=1711279&amp;Row=4173&amp;Col=1","No Title Assigned - #15268896825")</f>
        <v/>
      </c>
      <c r="B4181" s="0" t="s">
        <v>5835</v>
      </c>
      <c r="E4181" s="0" t="inlineStr">
        <is>
          <t xml:space="preserve">Mazda</t>
        </is>
      </c>
      <c r="F4181" s="0" t="inlineStr">
        <is>
          <t xml:space="preserve">Mazda</t>
        </is>
      </c>
      <c r="G4181" s="0" t="s">
        <v>171</v>
      </c>
      <c r="H4181" s="5">
        <v>17.463300</v>
      </c>
    </row>
    <row r="4182" spans="1:9">
      <c r="A4182" s="22" t="str">
        <f>HYPERLINK("https://app.vivvix.com/360/KMI/IntelliDrive/ApplUI/Pages/CreativePages/CustomReportCreativeDetail.aspx?App=23&amp;ReportView=4&amp;Qid=1711279&amp;Row=4174&amp;Col=1","No Title Assigned - #15268898822")</f>
        <v/>
      </c>
      <c r="B4182" s="0" t="s">
        <v>5837</v>
      </c>
      <c r="C4182" s="0" t="s">
        <v>5838</v>
      </c>
      <c r="D4182" s="0" t="s">
        <v>5838</v>
      </c>
      <c r="E4182" s="0" t="inlineStr">
        <is>
          <t xml:space="preserve">Mazda</t>
        </is>
      </c>
      <c r="F4182" s="0" t="inlineStr">
        <is>
          <t xml:space="preserve">Mazda</t>
        </is>
      </c>
      <c r="G4182" s="0" t="s">
        <v>171</v>
      </c>
      <c r="H4182" s="5">
        <v>1578.924900</v>
      </c>
    </row>
    <row r="4183" spans="1:9">
      <c r="A4183" s="22" t="str">
        <f>HYPERLINK("https://app.vivvix.com/360/KMI/IntelliDrive/ApplUI/Pages/CreativePages/CustomReportCreativeDetail.aspx?App=23&amp;ReportView=4&amp;Qid=1711279&amp;Row=4175&amp;Col=1","No Title Assigned - #15268899561")</f>
        <v/>
      </c>
      <c r="B4183" s="0" t="s">
        <v>5839</v>
      </c>
      <c r="E4183" s="0" t="inlineStr">
        <is>
          <t xml:space="preserve">Mazda</t>
        </is>
      </c>
      <c r="F4183" s="0" t="inlineStr">
        <is>
          <t xml:space="preserve">Mazda</t>
        </is>
      </c>
      <c r="G4183" s="0" t="s">
        <v>171</v>
      </c>
      <c r="H4183" s="5">
        <v>220.031300</v>
      </c>
    </row>
    <row r="4184" spans="1:9">
      <c r="A4184" s="22" t="str">
        <f>HYPERLINK("https://app.vivvix.com/360/KMI/IntelliDrive/ApplUI/Pages/CreativePages/CustomReportCreativeDetail.aspx?App=23&amp;ReportView=4&amp;Qid=1711279&amp;Row=4176&amp;Col=1","No Title Assigned - #15268901602")</f>
        <v/>
      </c>
      <c r="B4184" s="0" t="s">
        <v>5840</v>
      </c>
      <c r="E4184" s="0" t="inlineStr">
        <is>
          <t xml:space="preserve">Mazda</t>
        </is>
      </c>
      <c r="F4184" s="0" t="inlineStr">
        <is>
          <t xml:space="preserve">Mazda</t>
        </is>
      </c>
      <c r="G4184" s="0" t="s">
        <v>171</v>
      </c>
      <c r="H4184" s="5">
        <v>81.749200</v>
      </c>
    </row>
    <row r="4185" spans="1:9">
      <c r="A4185" s="22" t="str">
        <f>HYPERLINK("https://app.vivvix.com/360/KMI/IntelliDrive/ApplUI/Pages/CreativePages/CustomReportCreativeDetail.aspx?App=23&amp;ReportView=4&amp;Qid=1711279&amp;Row=4177&amp;Col=1","No Title Assigned - #15268902353")</f>
        <v/>
      </c>
      <c r="B4185" s="0" t="s">
        <v>5841</v>
      </c>
      <c r="E4185" s="0" t="inlineStr">
        <is>
          <t xml:space="preserve">Mazda</t>
        </is>
      </c>
      <c r="F4185" s="0" t="inlineStr">
        <is>
          <t xml:space="preserve">Mazda</t>
        </is>
      </c>
      <c r="G4185" s="0" t="s">
        <v>171</v>
      </c>
      <c r="H4185" s="5">
        <v>370.014900</v>
      </c>
    </row>
    <row r="4186" spans="1:9">
      <c r="A4186" s="22" t="str">
        <f>HYPERLINK("https://app.vivvix.com/360/KMI/IntelliDrive/ApplUI/Pages/CreativePages/CustomReportCreativeDetail.aspx?App=23&amp;ReportView=4&amp;Qid=1711279&amp;Row=4178&amp;Col=1","No Title Assigned - #15268903035")</f>
        <v/>
      </c>
      <c r="B4186" s="0" t="s">
        <v>5842</v>
      </c>
      <c r="E4186" s="0" t="inlineStr">
        <is>
          <t xml:space="preserve">Mazda</t>
        </is>
      </c>
      <c r="F4186" s="0" t="inlineStr">
        <is>
          <t xml:space="preserve">Mazda</t>
        </is>
      </c>
      <c r="G4186" s="0" t="s">
        <v>171</v>
      </c>
      <c r="H4186" s="5">
        <v>254.049900</v>
      </c>
    </row>
    <row r="4187" spans="1:9">
      <c r="A4187" s="22" t="str">
        <f>HYPERLINK("https://app.vivvix.com/360/KMI/IntelliDrive/ApplUI/Pages/CreativePages/CustomReportCreativeDetail.aspx?App=23&amp;ReportView=4&amp;Qid=1711279&amp;Row=4179&amp;Col=1","No Title Assigned - #15268903559")</f>
        <v/>
      </c>
      <c r="B4187" s="0" t="s">
        <v>5843</v>
      </c>
      <c r="C4187" s="0" t="s">
        <v>5844</v>
      </c>
      <c r="D4187" s="0" t="s">
        <v>5844</v>
      </c>
      <c r="E4187" s="0" t="inlineStr">
        <is>
          <t xml:space="preserve">Mazda</t>
        </is>
      </c>
      <c r="F4187" s="0" t="inlineStr">
        <is>
          <t xml:space="preserve">Mazda</t>
        </is>
      </c>
      <c r="G4187" s="0" t="s">
        <v>171</v>
      </c>
      <c r="H4187" s="5">
        <v>359.912900</v>
      </c>
    </row>
    <row r="4188" spans="1:9">
      <c r="A4188" s="22" t="str">
        <f>HYPERLINK("https://app.vivvix.com/360/KMI/IntelliDrive/ApplUI/Pages/CreativePages/CustomReportCreativeDetail.aspx?App=23&amp;ReportView=4&amp;Qid=1711279&amp;Row=4180&amp;Col=1","No Title Assigned - #15268903559")</f>
        <v/>
      </c>
      <c r="B4188" s="0" t="s">
        <v>5843</v>
      </c>
      <c r="E4188" s="0" t="inlineStr">
        <is>
          <t xml:space="preserve">Mazda</t>
        </is>
      </c>
      <c r="F4188" s="0" t="inlineStr">
        <is>
          <t xml:space="preserve">Mazda</t>
        </is>
      </c>
      <c r="G4188" s="0" t="s">
        <v>171</v>
      </c>
      <c r="H4188" s="5">
        <v>17.828600</v>
      </c>
    </row>
    <row r="4189" spans="1:9">
      <c r="A4189" s="22" t="str">
        <f>HYPERLINK("https://app.vivvix.com/360/KMI/IntelliDrive/ApplUI/Pages/CreativePages/CustomReportCreativeDetail.aspx?App=23&amp;ReportView=4&amp;Qid=1711279&amp;Row=4181&amp;Col=1","No Title Assigned - #15268904703")</f>
        <v/>
      </c>
      <c r="B4189" s="0" t="s">
        <v>5845</v>
      </c>
      <c r="E4189" s="0" t="inlineStr">
        <is>
          <t xml:space="preserve">Mazda</t>
        </is>
      </c>
      <c r="F4189" s="0" t="inlineStr">
        <is>
          <t xml:space="preserve">Mazda</t>
        </is>
      </c>
      <c r="G4189" s="0" t="s">
        <v>171</v>
      </c>
      <c r="H4189" s="5">
        <v>21.208300</v>
      </c>
    </row>
    <row r="4190" spans="1:9">
      <c r="A4190" s="22" t="str">
        <f>HYPERLINK("https://app.vivvix.com/360/KMI/IntelliDrive/ApplUI/Pages/CreativePages/CustomReportCreativeDetail.aspx?App=23&amp;ReportView=4&amp;Qid=1711279&amp;Row=4182&amp;Col=1","No Title Assigned - #15268907461")</f>
        <v/>
      </c>
      <c r="B4190" s="0" t="s">
        <v>5846</v>
      </c>
      <c r="C4190" s="0" t="s">
        <v>5847</v>
      </c>
      <c r="D4190" s="0" t="s">
        <v>5847</v>
      </c>
      <c r="E4190" s="0" t="inlineStr">
        <is>
          <t xml:space="preserve">Mazda</t>
        </is>
      </c>
      <c r="F4190" s="0" t="s">
        <v>28</v>
      </c>
      <c r="G4190" s="0" t="s">
        <v>29</v>
      </c>
      <c r="H4190" s="5">
        <v>88.629600</v>
      </c>
    </row>
    <row r="4191" spans="1:9">
      <c r="A4191" s="22" t="str">
        <f>HYPERLINK("https://app.vivvix.com/360/KMI/IntelliDrive/ApplUI/Pages/CreativePages/CustomReportCreativeDetail.aspx?App=23&amp;ReportView=4&amp;Qid=1711279&amp;Row=4183&amp;Col=1","No Title Assigned - #15268907983")</f>
        <v/>
      </c>
      <c r="B4191" s="0" t="s">
        <v>5848</v>
      </c>
      <c r="C4191" s="0" t="s">
        <v>5849</v>
      </c>
      <c r="D4191" s="0" t="s">
        <v>5849</v>
      </c>
      <c r="E4191" s="0" t="inlineStr">
        <is>
          <t xml:space="preserve">Mazda</t>
        </is>
      </c>
      <c r="F4191" s="0" t="s">
        <v>28</v>
      </c>
      <c r="G4191" s="0" t="s">
        <v>29</v>
      </c>
      <c r="H4191" s="5">
        <v>3.306400</v>
      </c>
    </row>
    <row r="4192" spans="1:9">
      <c r="A4192" s="22" t="str">
        <f>HYPERLINK("https://app.vivvix.com/360/KMI/IntelliDrive/ApplUI/Pages/CreativePages/CustomReportCreativeDetail.aspx?App=23&amp;ReportView=4&amp;Qid=1711279&amp;Row=4184&amp;Col=1","No Title Assigned - #15268909331")</f>
        <v/>
      </c>
      <c r="B4192" s="0" t="s">
        <v>5850</v>
      </c>
      <c r="C4192" s="0" t="s">
        <v>5851</v>
      </c>
      <c r="D4192" s="0" t="s">
        <v>5851</v>
      </c>
      <c r="E4192" s="0" t="inlineStr">
        <is>
          <t xml:space="preserve">Mazda</t>
        </is>
      </c>
      <c r="F4192" s="0" t="s">
        <v>28</v>
      </c>
      <c r="G4192" s="0" t="s">
        <v>29</v>
      </c>
      <c r="H4192" s="5">
        <v>11.756100</v>
      </c>
    </row>
    <row r="4193" spans="1:9">
      <c r="A4193" s="22" t="str">
        <f>HYPERLINK("https://app.vivvix.com/360/KMI/IntelliDrive/ApplUI/Pages/CreativePages/CustomReportCreativeDetail.aspx?App=23&amp;ReportView=4&amp;Qid=1711279&amp;Row=4185&amp;Col=1","No Title Assigned - #15268910416")</f>
        <v/>
      </c>
      <c r="B4193" s="0" t="s">
        <v>5852</v>
      </c>
      <c r="C4193" s="0" t="s">
        <v>5853</v>
      </c>
      <c r="D4193" s="0" t="s">
        <v>5853</v>
      </c>
      <c r="E4193" s="0" t="inlineStr">
        <is>
          <t xml:space="preserve">Mazda</t>
        </is>
      </c>
      <c r="F4193" s="0" t="s">
        <v>28</v>
      </c>
      <c r="G4193" s="0" t="s">
        <v>29</v>
      </c>
      <c r="H4193" s="5">
        <v>115.883800</v>
      </c>
    </row>
    <row r="4194" spans="1:9">
      <c r="A4194" s="22" t="str">
        <f>HYPERLINK("https://app.vivvix.com/360/KMI/IntelliDrive/ApplUI/Pages/CreativePages/CustomReportCreativeDetail.aspx?App=23&amp;ReportView=4&amp;Qid=1711279&amp;Row=4186&amp;Col=1","No Title Assigned - #15268911769")</f>
        <v/>
      </c>
      <c r="B4194" s="0" t="s">
        <v>5854</v>
      </c>
      <c r="C4194" s="0" t="s">
        <v>5855</v>
      </c>
      <c r="D4194" s="0" t="s">
        <v>5855</v>
      </c>
      <c r="E4194" s="0" t="inlineStr">
        <is>
          <t xml:space="preserve">Mazda</t>
        </is>
      </c>
      <c r="F4194" s="0" t="s">
        <v>28</v>
      </c>
      <c r="G4194" s="0" t="s">
        <v>29</v>
      </c>
      <c r="H4194" s="5">
        <v>364.444900</v>
      </c>
    </row>
    <row r="4195" spans="1:9">
      <c r="A4195" s="22" t="str">
        <f>HYPERLINK("https://app.vivvix.com/360/KMI/IntelliDrive/ApplUI/Pages/CreativePages/CustomReportCreativeDetail.aspx?App=23&amp;ReportView=4&amp;Qid=1711279&amp;Row=4187&amp;Col=1","No Title Assigned - #15268911856")</f>
        <v/>
      </c>
      <c r="B4195" s="0" t="s">
        <v>5856</v>
      </c>
      <c r="C4195" s="0" t="s">
        <v>5857</v>
      </c>
      <c r="D4195" s="0" t="s">
        <v>5857</v>
      </c>
      <c r="E4195" s="0" t="inlineStr">
        <is>
          <t xml:space="preserve">Mazda</t>
        </is>
      </c>
      <c r="F4195" s="0" t="s">
        <v>28</v>
      </c>
      <c r="G4195" s="0" t="s">
        <v>29</v>
      </c>
      <c r="H4195" s="5">
        <v>118.947600</v>
      </c>
    </row>
    <row r="4196" spans="1:9">
      <c r="A4196" s="22" t="str">
        <f>HYPERLINK("https://app.vivvix.com/360/KMI/IntelliDrive/ApplUI/Pages/CreativePages/CustomReportCreativeDetail.aspx?App=23&amp;ReportView=4&amp;Qid=1711279&amp;Row=4188&amp;Col=1","No Title Assigned - #15268912718")</f>
        <v/>
      </c>
      <c r="B4196" s="0" t="s">
        <v>5858</v>
      </c>
      <c r="E4196" s="0" t="inlineStr">
        <is>
          <t xml:space="preserve">Mazda</t>
        </is>
      </c>
      <c r="F4196" s="0" t="inlineStr">
        <is>
          <t xml:space="preserve">Mazda</t>
        </is>
      </c>
      <c r="G4196" s="0" t="s">
        <v>171</v>
      </c>
      <c r="H4196" s="5">
        <v>239.673200</v>
      </c>
    </row>
    <row r="4197" spans="1:9">
      <c r="A4197" s="22" t="str">
        <f>HYPERLINK("https://app.vivvix.com/360/KMI/IntelliDrive/ApplUI/Pages/CreativePages/CustomReportCreativeDetail.aspx?App=23&amp;ReportView=4&amp;Qid=1711279&amp;Row=4189&amp;Col=1","No Title Assigned - #15268913045")</f>
        <v/>
      </c>
      <c r="B4197" s="0" t="s">
        <v>5859</v>
      </c>
      <c r="E4197" s="0" t="inlineStr">
        <is>
          <t xml:space="preserve">Mazda</t>
        </is>
      </c>
      <c r="F4197" s="0" t="inlineStr">
        <is>
          <t xml:space="preserve">Mazda</t>
        </is>
      </c>
      <c r="G4197" s="0" t="s">
        <v>171</v>
      </c>
      <c r="H4197" s="5">
        <v>7.767100</v>
      </c>
    </row>
    <row r="4198" spans="1:9">
      <c r="A4198" s="22" t="str">
        <f>HYPERLINK("https://app.vivvix.com/360/KMI/IntelliDrive/ApplUI/Pages/CreativePages/CustomReportCreativeDetail.aspx?App=23&amp;ReportView=4&amp;Qid=1711279&amp;Row=4190&amp;Col=1","No Title Assigned - #15268913911")</f>
        <v/>
      </c>
      <c r="B4198" s="0" t="s">
        <v>5860</v>
      </c>
      <c r="C4198" s="0" t="s">
        <v>5861</v>
      </c>
      <c r="D4198" s="0" t="s">
        <v>5861</v>
      </c>
      <c r="E4198" s="0" t="inlineStr">
        <is>
          <t xml:space="preserve">Mazda</t>
        </is>
      </c>
      <c r="F4198" s="0" t="inlineStr">
        <is>
          <t xml:space="preserve">Mazda</t>
        </is>
      </c>
      <c r="G4198" s="0" t="s">
        <v>171</v>
      </c>
      <c r="H4198" s="5">
        <v>60413.859100</v>
      </c>
    </row>
    <row r="4199" spans="1:9">
      <c r="A4199" s="22" t="str">
        <f>HYPERLINK("https://app.vivvix.com/360/KMI/IntelliDrive/ApplUI/Pages/CreativePages/CustomReportCreativeDetail.aspx?App=23&amp;ReportView=4&amp;Qid=1711279&amp;Row=4191&amp;Col=1","No Title Assigned - #15268913911")</f>
        <v/>
      </c>
      <c r="B4199" s="0" t="s">
        <v>5860</v>
      </c>
      <c r="E4199" s="0" t="inlineStr">
        <is>
          <t xml:space="preserve">Mazda</t>
        </is>
      </c>
      <c r="F4199" s="0" t="inlineStr">
        <is>
          <t xml:space="preserve">Mazda</t>
        </is>
      </c>
      <c r="G4199" s="0" t="s">
        <v>171</v>
      </c>
      <c r="H4199" s="5">
        <v>9381.478600</v>
      </c>
    </row>
    <row r="4200" spans="1:9">
      <c r="A4200" s="22" t="str">
        <f>HYPERLINK("https://app.vivvix.com/360/KMI/IntelliDrive/ApplUI/Pages/CreativePages/CustomReportCreativeDetail.aspx?App=23&amp;ReportView=4&amp;Qid=1711279&amp;Row=4192&amp;Col=1","No Title Assigned - #15268914091")</f>
        <v/>
      </c>
      <c r="B4200" s="0" t="s">
        <v>5862</v>
      </c>
      <c r="E4200" s="0" t="inlineStr">
        <is>
          <t xml:space="preserve">Mazda</t>
        </is>
      </c>
      <c r="F4200" s="0" t="inlineStr">
        <is>
          <t xml:space="preserve">Mazda</t>
        </is>
      </c>
      <c r="G4200" s="0" t="s">
        <v>171</v>
      </c>
      <c r="H4200" s="5">
        <v>1441.773800</v>
      </c>
    </row>
    <row r="4201" spans="1:9">
      <c r="A4201" s="22" t="str">
        <f>HYPERLINK("https://app.vivvix.com/360/KMI/IntelliDrive/ApplUI/Pages/CreativePages/CustomReportCreativeDetail.aspx?App=23&amp;ReportView=4&amp;Qid=1711279&amp;Row=4193&amp;Col=1","No Title Assigned - #15268914093")</f>
        <v/>
      </c>
      <c r="B4201" s="0" t="s">
        <v>5863</v>
      </c>
      <c r="E4201" s="0" t="inlineStr">
        <is>
          <t xml:space="preserve">Mazda</t>
        </is>
      </c>
      <c r="F4201" s="0" t="inlineStr">
        <is>
          <t xml:space="preserve">Mazda</t>
        </is>
      </c>
      <c r="G4201" s="0" t="s">
        <v>171</v>
      </c>
      <c r="H4201" s="5">
        <v>280.587800</v>
      </c>
    </row>
    <row r="4202" spans="1:9">
      <c r="A4202" s="22" t="str">
        <f>HYPERLINK("https://app.vivvix.com/360/KMI/IntelliDrive/ApplUI/Pages/CreativePages/CustomReportCreativeDetail.aspx?App=23&amp;ReportView=4&amp;Qid=1711279&amp;Row=4194&amp;Col=1","No Title Assigned - #15268914819")</f>
        <v/>
      </c>
      <c r="B4202" s="0" t="s">
        <v>5864</v>
      </c>
      <c r="E4202" s="0" t="inlineStr">
        <is>
          <t xml:space="preserve">Mazda</t>
        </is>
      </c>
      <c r="F4202" s="0" t="inlineStr">
        <is>
          <t xml:space="preserve">Mazda</t>
        </is>
      </c>
      <c r="G4202" s="0" t="s">
        <v>171</v>
      </c>
      <c r="H4202" s="5">
        <v>57.954900</v>
      </c>
    </row>
    <row r="4203" spans="1:9">
      <c r="A4203" s="22" t="str">
        <f>HYPERLINK("https://app.vivvix.com/360/KMI/IntelliDrive/ApplUI/Pages/CreativePages/CustomReportCreativeDetail.aspx?App=23&amp;ReportView=4&amp;Qid=1711279&amp;Row=4195&amp;Col=1","No Title Assigned - #15268914948")</f>
        <v/>
      </c>
      <c r="B4203" s="0" t="s">
        <v>5865</v>
      </c>
      <c r="E4203" s="0" t="inlineStr">
        <is>
          <t xml:space="preserve">Mazda</t>
        </is>
      </c>
      <c r="F4203" s="0" t="inlineStr">
        <is>
          <t xml:space="preserve">Mazda</t>
        </is>
      </c>
      <c r="G4203" s="0" t="s">
        <v>171</v>
      </c>
      <c r="H4203" s="5">
        <v>52.875500</v>
      </c>
    </row>
    <row r="4204" spans="1:9">
      <c r="A4204" s="22" t="str">
        <f>HYPERLINK("https://app.vivvix.com/360/KMI/IntelliDrive/ApplUI/Pages/CreativePages/CustomReportCreativeDetail.aspx?App=23&amp;ReportView=4&amp;Qid=1711279&amp;Row=4196&amp;Col=1","No Title Assigned - #15268915048")</f>
        <v/>
      </c>
      <c r="B4204" s="0" t="s">
        <v>5866</v>
      </c>
      <c r="E4204" s="0" t="inlineStr">
        <is>
          <t xml:space="preserve">Mazda</t>
        </is>
      </c>
      <c r="F4204" s="0" t="inlineStr">
        <is>
          <t xml:space="preserve">Mazda</t>
        </is>
      </c>
      <c r="G4204" s="0" t="s">
        <v>171</v>
      </c>
      <c r="H4204" s="5">
        <v>555.721100</v>
      </c>
    </row>
    <row r="4205" spans="1:9">
      <c r="A4205" s="22" t="str">
        <f>HYPERLINK("https://app.vivvix.com/360/KMI/IntelliDrive/ApplUI/Pages/CreativePages/CustomReportCreativeDetail.aspx?App=23&amp;ReportView=4&amp;Qid=1711279&amp;Row=4197&amp;Col=1","No Title Assigned - #15268915328")</f>
        <v/>
      </c>
      <c r="B4205" s="0" t="s">
        <v>5867</v>
      </c>
      <c r="C4205" s="0" t="s">
        <v>5868</v>
      </c>
      <c r="D4205" s="0" t="s">
        <v>5868</v>
      </c>
      <c r="E4205" s="0" t="inlineStr">
        <is>
          <t xml:space="preserve">Mazda</t>
        </is>
      </c>
      <c r="F4205" s="0" t="inlineStr">
        <is>
          <t xml:space="preserve">Mazda</t>
        </is>
      </c>
      <c r="G4205" s="0" t="s">
        <v>171</v>
      </c>
      <c r="H4205" s="5">
        <v>13724.289700</v>
      </c>
    </row>
    <row r="4206" spans="1:9">
      <c r="A4206" s="22" t="str">
        <f>HYPERLINK("https://app.vivvix.com/360/KMI/IntelliDrive/ApplUI/Pages/CreativePages/CustomReportCreativeDetail.aspx?App=23&amp;ReportView=4&amp;Qid=1711279&amp;Row=4198&amp;Col=1","No Title Assigned - #15268915557")</f>
        <v/>
      </c>
      <c r="B4206" s="0" t="s">
        <v>5869</v>
      </c>
      <c r="E4206" s="0" t="inlineStr">
        <is>
          <t xml:space="preserve">Mazda</t>
        </is>
      </c>
      <c r="F4206" s="0" t="inlineStr">
        <is>
          <t xml:space="preserve">Mazda</t>
        </is>
      </c>
      <c r="G4206" s="0" t="s">
        <v>171</v>
      </c>
      <c r="H4206" s="5">
        <v>6.846800</v>
      </c>
    </row>
    <row r="4207" spans="1:9">
      <c r="A4207" s="22" t="str">
        <f>HYPERLINK("https://app.vivvix.com/360/KMI/IntelliDrive/ApplUI/Pages/CreativePages/CustomReportCreativeDetail.aspx?App=23&amp;ReportView=4&amp;Qid=1711279&amp;Row=4199&amp;Col=1","No Title Assigned - #15268915807")</f>
        <v/>
      </c>
      <c r="B4207" s="0" t="s">
        <v>5870</v>
      </c>
      <c r="E4207" s="0" t="inlineStr">
        <is>
          <t xml:space="preserve">Mazda</t>
        </is>
      </c>
      <c r="F4207" s="0" t="inlineStr">
        <is>
          <t xml:space="preserve">Mazda</t>
        </is>
      </c>
      <c r="G4207" s="0" t="s">
        <v>171</v>
      </c>
      <c r="H4207" s="5">
        <v>151.537300</v>
      </c>
    </row>
    <row r="4208" spans="1:9">
      <c r="A4208" s="22" t="str">
        <f>HYPERLINK("https://app.vivvix.com/360/KMI/IntelliDrive/ApplUI/Pages/CreativePages/CustomReportCreativeDetail.aspx?App=23&amp;ReportView=4&amp;Qid=1711279&amp;Row=4200&amp;Col=1","No Title Assigned - #15268915893")</f>
        <v/>
      </c>
      <c r="B4208" s="0" t="s">
        <v>5871</v>
      </c>
      <c r="E4208" s="0" t="inlineStr">
        <is>
          <t xml:space="preserve">Mazda</t>
        </is>
      </c>
      <c r="F4208" s="0" t="inlineStr">
        <is>
          <t xml:space="preserve">Mazda</t>
        </is>
      </c>
      <c r="G4208" s="0" t="s">
        <v>171</v>
      </c>
      <c r="H4208" s="5">
        <v>583.671100</v>
      </c>
    </row>
    <row r="4209" spans="1:9">
      <c r="A4209" s="22" t="str">
        <f>HYPERLINK("https://app.vivvix.com/360/KMI/IntelliDrive/ApplUI/Pages/CreativePages/CustomReportCreativeDetail.aspx?App=23&amp;ReportView=4&amp;Qid=1711279&amp;Row=4201&amp;Col=1","No Title Assigned - #15268916010")</f>
        <v/>
      </c>
      <c r="B4209" s="0" t="s">
        <v>5872</v>
      </c>
      <c r="C4209" s="0" t="s">
        <v>5873</v>
      </c>
      <c r="D4209" s="0" t="s">
        <v>5873</v>
      </c>
      <c r="E4209" s="0" t="inlineStr">
        <is>
          <t xml:space="preserve">Mazda</t>
        </is>
      </c>
      <c r="F4209" s="0" t="inlineStr">
        <is>
          <t xml:space="preserve">Mazda</t>
        </is>
      </c>
      <c r="G4209" s="0" t="s">
        <v>171</v>
      </c>
      <c r="H4209" s="5">
        <v>236.348300</v>
      </c>
    </row>
    <row r="4210" spans="1:9">
      <c r="A4210" s="22" t="str">
        <f>HYPERLINK("https://app.vivvix.com/360/KMI/IntelliDrive/ApplUI/Pages/CreativePages/CustomReportCreativeDetail.aspx?App=23&amp;ReportView=4&amp;Qid=1711279&amp;Row=4202&amp;Col=1","No Title Assigned - #15268916858")</f>
        <v/>
      </c>
      <c r="B4210" s="0" t="s">
        <v>5874</v>
      </c>
      <c r="C4210" s="0" t="s">
        <v>5875</v>
      </c>
      <c r="D4210" s="0" t="s">
        <v>5875</v>
      </c>
      <c r="E4210" s="0" t="inlineStr">
        <is>
          <t xml:space="preserve">Mazda</t>
        </is>
      </c>
      <c r="F4210" s="0" t="inlineStr">
        <is>
          <t xml:space="preserve">Mazda</t>
        </is>
      </c>
      <c r="G4210" s="0" t="s">
        <v>171</v>
      </c>
      <c r="H4210" s="5">
        <v>40.781300</v>
      </c>
    </row>
    <row r="4211" spans="1:9">
      <c r="A4211" s="22" t="str">
        <f>HYPERLINK("https://app.vivvix.com/360/KMI/IntelliDrive/ApplUI/Pages/CreativePages/CustomReportCreativeDetail.aspx?App=23&amp;ReportView=4&amp;Qid=1711279&amp;Row=4203&amp;Col=1","No Title Assigned - #15268918203")</f>
        <v/>
      </c>
      <c r="B4211" s="0" t="s">
        <v>5876</v>
      </c>
      <c r="E4211" s="0" t="inlineStr">
        <is>
          <t xml:space="preserve">Mazda</t>
        </is>
      </c>
      <c r="F4211" s="0" t="inlineStr">
        <is>
          <t xml:space="preserve">Mazda</t>
        </is>
      </c>
      <c r="G4211" s="0" t="s">
        <v>171</v>
      </c>
      <c r="H4211" s="5">
        <v>106.612000</v>
      </c>
    </row>
    <row r="4212" spans="1:9">
      <c r="A4212" s="22" t="str">
        <f>HYPERLINK("https://app.vivvix.com/360/KMI/IntelliDrive/ApplUI/Pages/CreativePages/CustomReportCreativeDetail.aspx?App=23&amp;ReportView=4&amp;Qid=1711279&amp;Row=4204&amp;Col=1","No Title Assigned - #15268920270")</f>
        <v/>
      </c>
      <c r="B4212" s="0" t="s">
        <v>5877</v>
      </c>
      <c r="C4212" s="0" t="s">
        <v>5878</v>
      </c>
      <c r="D4212" s="0" t="s">
        <v>5878</v>
      </c>
      <c r="E4212" s="0" t="inlineStr">
        <is>
          <t xml:space="preserve">Mazda</t>
        </is>
      </c>
      <c r="F4212" s="0" t="s">
        <v>28</v>
      </c>
      <c r="G4212" s="0" t="s">
        <v>29</v>
      </c>
      <c r="H4212" s="5">
        <v>2170.619100</v>
      </c>
    </row>
    <row r="4213" spans="1:9">
      <c r="A4213" s="22" t="str">
        <f>HYPERLINK("https://app.vivvix.com/360/KMI/IntelliDrive/ApplUI/Pages/CreativePages/CustomReportCreativeDetail.aspx?App=23&amp;ReportView=4&amp;Qid=1711279&amp;Row=4205&amp;Col=1","No Title Assigned - #15268920380")</f>
        <v/>
      </c>
      <c r="B4213" s="0" t="s">
        <v>5879</v>
      </c>
      <c r="C4213" s="0" t="s">
        <v>5880</v>
      </c>
      <c r="D4213" s="0" t="s">
        <v>4225</v>
      </c>
      <c r="E4213" s="0" t="inlineStr">
        <is>
          <t xml:space="preserve">Mazda</t>
        </is>
      </c>
      <c r="F4213" s="0" t="s">
        <v>28</v>
      </c>
      <c r="G4213" s="0" t="s">
        <v>29</v>
      </c>
      <c r="H4213" s="5">
        <v>14.471300</v>
      </c>
    </row>
    <row r="4214" spans="1:9">
      <c r="A4214" s="22" t="str">
        <f>HYPERLINK("https://app.vivvix.com/360/KMI/IntelliDrive/ApplUI/Pages/CreativePages/CustomReportCreativeDetail.aspx?App=23&amp;ReportView=4&amp;Qid=1711279&amp;Row=4206&amp;Col=1","No Title Assigned - #15268920418")</f>
        <v/>
      </c>
      <c r="B4214" s="0" t="s">
        <v>5881</v>
      </c>
      <c r="C4214" s="0" t="s">
        <v>5882</v>
      </c>
      <c r="D4214" s="0" t="s">
        <v>4204</v>
      </c>
      <c r="E4214" s="0" t="inlineStr">
        <is>
          <t xml:space="preserve">Mazda</t>
        </is>
      </c>
      <c r="F4214" s="0" t="s">
        <v>28</v>
      </c>
      <c r="G4214" s="0" t="s">
        <v>29</v>
      </c>
      <c r="H4214" s="5">
        <v>20.342000</v>
      </c>
    </row>
    <row r="4215" spans="1:9">
      <c r="A4215" s="22" t="str">
        <f>HYPERLINK("https://app.vivvix.com/360/KMI/IntelliDrive/ApplUI/Pages/CreativePages/CustomReportCreativeDetail.aspx?App=23&amp;ReportView=4&amp;Qid=1711279&amp;Row=4207&amp;Col=1","No Title Assigned - #15268920498")</f>
        <v/>
      </c>
      <c r="B4215" s="0" t="s">
        <v>5883</v>
      </c>
      <c r="E4215" s="0" t="inlineStr">
        <is>
          <t xml:space="preserve">Mazda</t>
        </is>
      </c>
      <c r="F4215" s="0" t="inlineStr">
        <is>
          <t xml:space="preserve">Mazda</t>
        </is>
      </c>
      <c r="G4215" s="0" t="s">
        <v>171</v>
      </c>
      <c r="H4215" s="5">
        <v>74.169700</v>
      </c>
    </row>
    <row r="4216" spans="1:9">
      <c r="A4216" s="22" t="str">
        <f>HYPERLINK("https://app.vivvix.com/360/KMI/IntelliDrive/ApplUI/Pages/CreativePages/CustomReportCreativeDetail.aspx?App=23&amp;ReportView=4&amp;Qid=1711279&amp;Row=4208&amp;Col=1","No Title Assigned - #15268920587")</f>
        <v/>
      </c>
      <c r="B4216" s="0" t="s">
        <v>5884</v>
      </c>
      <c r="E4216" s="0" t="inlineStr">
        <is>
          <t xml:space="preserve">Mazda</t>
        </is>
      </c>
      <c r="F4216" s="0" t="inlineStr">
        <is>
          <t xml:space="preserve">Mazda</t>
        </is>
      </c>
      <c r="G4216" s="0" t="s">
        <v>171</v>
      </c>
      <c r="H4216" s="5">
        <v>927.129200</v>
      </c>
    </row>
    <row r="4217" spans="1:9">
      <c r="A4217" s="22" t="str">
        <f>HYPERLINK("https://app.vivvix.com/360/KMI/IntelliDrive/ApplUI/Pages/CreativePages/CustomReportCreativeDetail.aspx?App=23&amp;ReportView=4&amp;Qid=1711279&amp;Row=4209&amp;Col=1","No Title Assigned - #15268920983")</f>
        <v/>
      </c>
      <c r="B4217" s="0" t="s">
        <v>5885</v>
      </c>
      <c r="C4217" s="0" t="s">
        <v>5886</v>
      </c>
      <c r="D4217" s="0" t="s">
        <v>5886</v>
      </c>
      <c r="E4217" s="0" t="inlineStr">
        <is>
          <t xml:space="preserve">Mazda</t>
        </is>
      </c>
      <c r="F4217" s="0" t="s">
        <v>28</v>
      </c>
      <c r="G4217" s="0" t="s">
        <v>29</v>
      </c>
      <c r="H4217" s="5">
        <v>37.775000</v>
      </c>
    </row>
    <row r="4218" spans="1:9">
      <c r="A4218" s="22" t="str">
        <f>HYPERLINK("https://app.vivvix.com/360/KMI/IntelliDrive/ApplUI/Pages/CreativePages/CustomReportCreativeDetail.aspx?App=23&amp;ReportView=4&amp;Qid=1711279&amp;Row=4210&amp;Col=1","No Title Assigned - #15268921757")</f>
        <v/>
      </c>
      <c r="B4218" s="0" t="s">
        <v>5887</v>
      </c>
      <c r="E4218" s="0" t="inlineStr">
        <is>
          <t xml:space="preserve">Mazda</t>
        </is>
      </c>
      <c r="F4218" s="0" t="inlineStr">
        <is>
          <t xml:space="preserve">Mazda</t>
        </is>
      </c>
      <c r="G4218" s="0" t="s">
        <v>171</v>
      </c>
      <c r="H4218" s="5">
        <v>131.081400</v>
      </c>
    </row>
    <row r="4219" spans="1:9">
      <c r="A4219" s="22" t="str">
        <f>HYPERLINK("https://app.vivvix.com/360/KMI/IntelliDrive/ApplUI/Pages/CreativePages/CustomReportCreativeDetail.aspx?App=23&amp;ReportView=4&amp;Qid=1711279&amp;Row=4211&amp;Col=1","No Title Assigned - #15268921758")</f>
        <v/>
      </c>
      <c r="B4219" s="0" t="s">
        <v>5888</v>
      </c>
      <c r="C4219" s="0" t="s">
        <v>5889</v>
      </c>
      <c r="D4219" s="0" t="s">
        <v>5889</v>
      </c>
      <c r="E4219" s="0" t="inlineStr">
        <is>
          <t xml:space="preserve">Mazda</t>
        </is>
      </c>
      <c r="F4219" s="0" t="s">
        <v>28</v>
      </c>
      <c r="G4219" s="0" t="s">
        <v>29</v>
      </c>
      <c r="H4219" s="5">
        <v>119.703600</v>
      </c>
    </row>
    <row r="4220" spans="1:9">
      <c r="A4220" s="22" t="str">
        <f>HYPERLINK("https://app.vivvix.com/360/KMI/IntelliDrive/ApplUI/Pages/CreativePages/CustomReportCreativeDetail.aspx?App=23&amp;ReportView=4&amp;Qid=1711279&amp;Row=4212&amp;Col=1","No Title Assigned - #15268921807")</f>
        <v/>
      </c>
      <c r="B4220" s="0" t="s">
        <v>5890</v>
      </c>
      <c r="C4220" s="0" t="s">
        <v>5891</v>
      </c>
      <c r="D4220" s="0" t="s">
        <v>5891</v>
      </c>
      <c r="E4220" s="0" t="inlineStr">
        <is>
          <t xml:space="preserve">Mazda</t>
        </is>
      </c>
      <c r="F4220" s="0" t="inlineStr">
        <is>
          <t xml:space="preserve">Mazda</t>
        </is>
      </c>
      <c r="G4220" s="0" t="s">
        <v>171</v>
      </c>
      <c r="H4220" s="5">
        <v>10.161400</v>
      </c>
    </row>
    <row r="4221" spans="1:9">
      <c r="A4221" s="22" t="str">
        <f>HYPERLINK("https://app.vivvix.com/360/KMI/IntelliDrive/ApplUI/Pages/CreativePages/CustomReportCreativeDetail.aspx?App=23&amp;ReportView=4&amp;Qid=1711279&amp;Row=4213&amp;Col=1","No Title Assigned - #15268922541")</f>
        <v/>
      </c>
      <c r="B4221" s="0" t="s">
        <v>5892</v>
      </c>
      <c r="E4221" s="0" t="inlineStr">
        <is>
          <t xml:space="preserve">Mazda</t>
        </is>
      </c>
      <c r="F4221" s="0" t="inlineStr">
        <is>
          <t xml:space="preserve">Mazda</t>
        </is>
      </c>
      <c r="G4221" s="0" t="s">
        <v>171</v>
      </c>
      <c r="H4221" s="5">
        <v>835.296100</v>
      </c>
    </row>
    <row r="4222" spans="1:9">
      <c r="A4222" s="22" t="str">
        <f>HYPERLINK("https://app.vivvix.com/360/KMI/IntelliDrive/ApplUI/Pages/CreativePages/CustomReportCreativeDetail.aspx?App=23&amp;ReportView=4&amp;Qid=1711279&amp;Row=4214&amp;Col=1","No Title Assigned - #15268922672")</f>
        <v/>
      </c>
      <c r="B4222" s="0" t="s">
        <v>5893</v>
      </c>
      <c r="E4222" s="0" t="inlineStr">
        <is>
          <t xml:space="preserve">Mazda</t>
        </is>
      </c>
      <c r="F4222" s="0" t="inlineStr">
        <is>
          <t xml:space="preserve">Mazda</t>
        </is>
      </c>
      <c r="G4222" s="0" t="s">
        <v>171</v>
      </c>
      <c r="H4222" s="5">
        <v>24.618700</v>
      </c>
    </row>
    <row r="4223" spans="1:9">
      <c r="A4223" s="22" t="str">
        <f>HYPERLINK("https://app.vivvix.com/360/KMI/IntelliDrive/ApplUI/Pages/CreativePages/CustomReportCreativeDetail.aspx?App=23&amp;ReportView=4&amp;Qid=1711279&amp;Row=4215&amp;Col=1","No Title Assigned - #15268922673")</f>
        <v/>
      </c>
      <c r="B4223" s="0" t="s">
        <v>5894</v>
      </c>
      <c r="C4223" s="0" t="s">
        <v>5895</v>
      </c>
      <c r="D4223" s="0" t="s">
        <v>5895</v>
      </c>
      <c r="E4223" s="0" t="inlineStr">
        <is>
          <t xml:space="preserve">Mazda</t>
        </is>
      </c>
      <c r="F4223" s="0" t="s">
        <v>28</v>
      </c>
      <c r="G4223" s="0" t="s">
        <v>29</v>
      </c>
      <c r="H4223" s="5">
        <v>9.237900</v>
      </c>
    </row>
    <row r="4224" spans="1:9">
      <c r="A4224" s="22" t="str">
        <f>HYPERLINK("https://app.vivvix.com/360/KMI/IntelliDrive/ApplUI/Pages/CreativePages/CustomReportCreativeDetail.aspx?App=23&amp;ReportView=4&amp;Qid=1711279&amp;Row=4216&amp;Col=1","No Title Assigned - #15268922674")</f>
        <v/>
      </c>
      <c r="B4224" s="0" t="s">
        <v>5896</v>
      </c>
      <c r="E4224" s="0" t="inlineStr">
        <is>
          <t xml:space="preserve">Mazda</t>
        </is>
      </c>
      <c r="F4224" s="0" t="inlineStr">
        <is>
          <t xml:space="preserve">Mazda</t>
        </is>
      </c>
      <c r="G4224" s="0" t="s">
        <v>171</v>
      </c>
      <c r="H4224" s="5">
        <v>337.081600</v>
      </c>
    </row>
    <row r="4225" spans="1:9">
      <c r="A4225" s="22" t="str">
        <f>HYPERLINK("https://app.vivvix.com/360/KMI/IntelliDrive/ApplUI/Pages/CreativePages/CustomReportCreativeDetail.aspx?App=23&amp;ReportView=4&amp;Qid=1711279&amp;Row=4217&amp;Col=1","No Title Assigned - #15268922784")</f>
        <v/>
      </c>
      <c r="B4225" s="0" t="s">
        <v>5897</v>
      </c>
      <c r="E4225" s="0" t="inlineStr">
        <is>
          <t xml:space="preserve">Mazda</t>
        </is>
      </c>
      <c r="F4225" s="0" t="inlineStr">
        <is>
          <t xml:space="preserve">Mazda</t>
        </is>
      </c>
      <c r="G4225" s="0" t="s">
        <v>171</v>
      </c>
      <c r="H4225" s="5">
        <v>26.492500</v>
      </c>
    </row>
    <row r="4226" spans="1:9">
      <c r="A4226" s="22" t="str">
        <f>HYPERLINK("https://app.vivvix.com/360/KMI/IntelliDrive/ApplUI/Pages/CreativePages/CustomReportCreativeDetail.aspx?App=23&amp;ReportView=4&amp;Qid=1711279&amp;Row=4218&amp;Col=1","No Title Assigned - #15268922996")</f>
        <v/>
      </c>
      <c r="B4226" s="0" t="s">
        <v>5898</v>
      </c>
      <c r="C4226" s="0" t="s">
        <v>5899</v>
      </c>
      <c r="D4226" s="0" t="s">
        <v>5899</v>
      </c>
      <c r="E4226" s="0" t="inlineStr">
        <is>
          <t xml:space="preserve">Mazda</t>
        </is>
      </c>
      <c r="F4226" s="0" t="s">
        <v>28</v>
      </c>
      <c r="G4226" s="0" t="s">
        <v>29</v>
      </c>
      <c r="H4226" s="5">
        <v>817.869900</v>
      </c>
    </row>
    <row r="4227" spans="1:9">
      <c r="A4227" s="22" t="str">
        <f>HYPERLINK("https://app.vivvix.com/360/KMI/IntelliDrive/ApplUI/Pages/CreativePages/CustomReportCreativeDetail.aspx?App=23&amp;ReportView=4&amp;Qid=1711279&amp;Row=4219&amp;Col=1","No Title Assigned - #15268923002")</f>
        <v/>
      </c>
      <c r="B4227" s="0" t="s">
        <v>5900</v>
      </c>
      <c r="C4227" s="0" t="s">
        <v>5901</v>
      </c>
      <c r="D4227" s="0" t="s">
        <v>5901</v>
      </c>
      <c r="E4227" s="0" t="inlineStr">
        <is>
          <t xml:space="preserve">Mazda</t>
        </is>
      </c>
      <c r="F4227" s="0" t="s">
        <v>28</v>
      </c>
      <c r="G4227" s="0" t="s">
        <v>29</v>
      </c>
      <c r="H4227" s="5">
        <v>889.211500</v>
      </c>
    </row>
    <row r="4228" spans="1:9">
      <c r="A4228" s="22" t="str">
        <f>HYPERLINK("https://app.vivvix.com/360/KMI/IntelliDrive/ApplUI/Pages/CreativePages/CustomReportCreativeDetail.aspx?App=23&amp;ReportView=4&amp;Qid=1711279&amp;Row=4220&amp;Col=1","No Title Assigned - #15268923029")</f>
        <v/>
      </c>
      <c r="B4228" s="0" t="s">
        <v>5902</v>
      </c>
      <c r="C4228" s="0" t="s">
        <v>5903</v>
      </c>
      <c r="D4228" s="0" t="s">
        <v>4333</v>
      </c>
      <c r="E4228" s="0" t="inlineStr">
        <is>
          <t xml:space="preserve">Mazda</t>
        </is>
      </c>
      <c r="F4228" s="0" t="s">
        <v>28</v>
      </c>
      <c r="G4228" s="0" t="s">
        <v>29</v>
      </c>
      <c r="H4228" s="5">
        <v>211.160400</v>
      </c>
    </row>
    <row r="4229" spans="1:9">
      <c r="A4229" s="22" t="str">
        <f>HYPERLINK("https://app.vivvix.com/360/KMI/IntelliDrive/ApplUI/Pages/CreativePages/CustomReportCreativeDetail.aspx?App=23&amp;ReportView=4&amp;Qid=1711279&amp;Row=4221&amp;Col=1","No Title Assigned - #15268923126")</f>
        <v/>
      </c>
      <c r="B4229" s="0" t="s">
        <v>5904</v>
      </c>
      <c r="C4229" s="0" t="s">
        <v>5905</v>
      </c>
      <c r="D4229" s="0" t="s">
        <v>5905</v>
      </c>
      <c r="E4229" s="0" t="inlineStr">
        <is>
          <t xml:space="preserve">Mazda</t>
        </is>
      </c>
      <c r="F4229" s="0" t="s">
        <v>28</v>
      </c>
      <c r="G4229" s="0" t="s">
        <v>29</v>
      </c>
      <c r="H4229" s="5">
        <v>1646.078500</v>
      </c>
    </row>
    <row r="4230" spans="1:9">
      <c r="A4230" s="22" t="str">
        <f>HYPERLINK("https://app.vivvix.com/360/KMI/IntelliDrive/ApplUI/Pages/CreativePages/CustomReportCreativeDetail.aspx?App=23&amp;ReportView=4&amp;Qid=1711279&amp;Row=4222&amp;Col=1","No Title Assigned - #15268923214")</f>
        <v/>
      </c>
      <c r="B4230" s="0" t="s">
        <v>5906</v>
      </c>
      <c r="E4230" s="0" t="inlineStr">
        <is>
          <t xml:space="preserve">Mazda</t>
        </is>
      </c>
      <c r="F4230" s="0" t="inlineStr">
        <is>
          <t xml:space="preserve">Mazda</t>
        </is>
      </c>
      <c r="G4230" s="0" t="s">
        <v>171</v>
      </c>
      <c r="H4230" s="5">
        <v>2043.049600</v>
      </c>
    </row>
    <row r="4231" spans="1:9">
      <c r="A4231" s="22" t="str">
        <f>HYPERLINK("https://app.vivvix.com/360/KMI/IntelliDrive/ApplUI/Pages/CreativePages/CustomReportCreativeDetail.aspx?App=23&amp;ReportView=4&amp;Qid=1711279&amp;Row=4223&amp;Col=1","No Title Assigned - #15268923228")</f>
        <v/>
      </c>
      <c r="B4231" s="0" t="s">
        <v>5907</v>
      </c>
      <c r="E4231" s="0" t="inlineStr">
        <is>
          <t xml:space="preserve">Mazda</t>
        </is>
      </c>
      <c r="F4231" s="0" t="inlineStr">
        <is>
          <t xml:space="preserve">Mazda</t>
        </is>
      </c>
      <c r="G4231" s="0" t="s">
        <v>171</v>
      </c>
      <c r="H4231" s="5">
        <v>452.322500</v>
      </c>
    </row>
    <row r="4232" spans="1:9">
      <c r="A4232" s="22" t="str">
        <f>HYPERLINK("https://app.vivvix.com/360/KMI/IntelliDrive/ApplUI/Pages/CreativePages/CustomReportCreativeDetail.aspx?App=23&amp;ReportView=4&amp;Qid=1711279&amp;Row=4224&amp;Col=1","No Title Assigned - #15268923228")</f>
        <v/>
      </c>
      <c r="B4232" s="0" t="s">
        <v>5907</v>
      </c>
      <c r="C4232" s="0" t="s">
        <v>5908</v>
      </c>
      <c r="D4232" s="0" t="s">
        <v>5908</v>
      </c>
      <c r="E4232" s="0" t="inlineStr">
        <is>
          <t xml:space="preserve">Mazda</t>
        </is>
      </c>
      <c r="F4232" s="0" t="inlineStr">
        <is>
          <t xml:space="preserve">Mazda</t>
        </is>
      </c>
      <c r="G4232" s="0" t="s">
        <v>171</v>
      </c>
      <c r="H4232" s="5">
        <v>123.542800</v>
      </c>
    </row>
    <row r="4233" spans="1:9">
      <c r="A4233" s="22" t="str">
        <f>HYPERLINK("https://app.vivvix.com/360/KMI/IntelliDrive/ApplUI/Pages/CreativePages/CustomReportCreativeDetail.aspx?App=23&amp;ReportView=4&amp;Qid=1711279&amp;Row=4225&amp;Col=1","No Title Assigned - #15268923411")</f>
        <v/>
      </c>
      <c r="B4233" s="0" t="s">
        <v>5909</v>
      </c>
      <c r="C4233" s="0" t="s">
        <v>5910</v>
      </c>
      <c r="D4233" s="0" t="s">
        <v>5910</v>
      </c>
      <c r="E4233" s="0" t="inlineStr">
        <is>
          <t xml:space="preserve">Mazda</t>
        </is>
      </c>
      <c r="F4233" s="0" t="s">
        <v>28</v>
      </c>
      <c r="G4233" s="0" t="s">
        <v>29</v>
      </c>
      <c r="H4233" s="5">
        <v>12.060900</v>
      </c>
    </row>
    <row r="4234" spans="1:9">
      <c r="A4234" s="22" t="str">
        <f>HYPERLINK("https://app.vivvix.com/360/KMI/IntelliDrive/ApplUI/Pages/CreativePages/CustomReportCreativeDetail.aspx?App=23&amp;ReportView=4&amp;Qid=1711279&amp;Row=4226&amp;Col=1","No Title Assigned - #15268923452")</f>
        <v/>
      </c>
      <c r="B4234" s="0" t="s">
        <v>5911</v>
      </c>
      <c r="E4234" s="0" t="inlineStr">
        <is>
          <t xml:space="preserve">Mazda</t>
        </is>
      </c>
      <c r="F4234" s="0" t="inlineStr">
        <is>
          <t xml:space="preserve">Mazda</t>
        </is>
      </c>
      <c r="G4234" s="0" t="s">
        <v>171</v>
      </c>
      <c r="H4234" s="5">
        <v>38.776500</v>
      </c>
    </row>
    <row r="4235" spans="1:9">
      <c r="A4235" s="22" t="str">
        <f>HYPERLINK("https://app.vivvix.com/360/KMI/IntelliDrive/ApplUI/Pages/CreativePages/CustomReportCreativeDetail.aspx?App=23&amp;ReportView=4&amp;Qid=1711279&amp;Row=4227&amp;Col=1","No Title Assigned - #15268923632")</f>
        <v/>
      </c>
      <c r="B4235" s="0" t="s">
        <v>5912</v>
      </c>
      <c r="C4235" s="0" t="s">
        <v>5913</v>
      </c>
      <c r="D4235" s="0" t="s">
        <v>4204</v>
      </c>
      <c r="E4235" s="0" t="inlineStr">
        <is>
          <t xml:space="preserve">Mazda</t>
        </is>
      </c>
      <c r="F4235" s="0" t="s">
        <v>28</v>
      </c>
      <c r="G4235" s="0" t="s">
        <v>29</v>
      </c>
      <c r="H4235" s="5">
        <v>1788.747600</v>
      </c>
    </row>
    <row r="4236" spans="1:9">
      <c r="A4236" s="22" t="str">
        <f>HYPERLINK("https://app.vivvix.com/360/KMI/IntelliDrive/ApplUI/Pages/CreativePages/CustomReportCreativeDetail.aspx?App=23&amp;ReportView=4&amp;Qid=1711279&amp;Row=4228&amp;Col=1","No Title Assigned - #15268923633")</f>
        <v/>
      </c>
      <c r="B4236" s="0" t="s">
        <v>5914</v>
      </c>
      <c r="C4236" s="0" t="s">
        <v>5915</v>
      </c>
      <c r="D4236" s="0" t="s">
        <v>5915</v>
      </c>
      <c r="E4236" s="0" t="inlineStr">
        <is>
          <t xml:space="preserve">Mazda</t>
        </is>
      </c>
      <c r="F4236" s="0" t="inlineStr">
        <is>
          <t xml:space="preserve">Mazda</t>
        </is>
      </c>
      <c r="G4236" s="0" t="s">
        <v>171</v>
      </c>
      <c r="H4236" s="5">
        <v>765.094700</v>
      </c>
    </row>
    <row r="4237" spans="1:9">
      <c r="A4237" s="22" t="str">
        <f>HYPERLINK("https://app.vivvix.com/360/KMI/IntelliDrive/ApplUI/Pages/CreativePages/CustomReportCreativeDetail.aspx?App=23&amp;ReportView=4&amp;Qid=1711279&amp;Row=4229&amp;Col=1","No Title Assigned - #15268923785")</f>
        <v/>
      </c>
      <c r="B4237" s="0" t="s">
        <v>5916</v>
      </c>
      <c r="C4237" s="0" t="s">
        <v>5917</v>
      </c>
      <c r="D4237" s="0" t="s">
        <v>5917</v>
      </c>
      <c r="E4237" s="0" t="inlineStr">
        <is>
          <t xml:space="preserve">Mazda</t>
        </is>
      </c>
      <c r="F4237" s="0" t="inlineStr">
        <is>
          <t xml:space="preserve">Mazda</t>
        </is>
      </c>
      <c r="G4237" s="0" t="s">
        <v>171</v>
      </c>
      <c r="H4237" s="5">
        <v>101.896600</v>
      </c>
    </row>
    <row r="4238" spans="1:9">
      <c r="A4238" s="22" t="str">
        <f>HYPERLINK("https://app.vivvix.com/360/KMI/IntelliDrive/ApplUI/Pages/CreativePages/CustomReportCreativeDetail.aspx?App=23&amp;ReportView=4&amp;Qid=1711279&amp;Row=4230&amp;Col=1","No Title Assigned - #15268923806")</f>
        <v/>
      </c>
      <c r="B4238" s="0" t="s">
        <v>5918</v>
      </c>
      <c r="C4238" s="0" t="s">
        <v>5919</v>
      </c>
      <c r="D4238" s="0" t="s">
        <v>5919</v>
      </c>
      <c r="E4238" s="0" t="inlineStr">
        <is>
          <t xml:space="preserve">Mazda</t>
        </is>
      </c>
      <c r="F4238" s="0" t="inlineStr">
        <is>
          <t xml:space="preserve">Mazda</t>
        </is>
      </c>
      <c r="G4238" s="0" t="s">
        <v>171</v>
      </c>
      <c r="H4238" s="5">
        <v>8470.142800</v>
      </c>
    </row>
    <row r="4239" spans="1:9">
      <c r="A4239" s="22" t="str">
        <f>HYPERLINK("https://app.vivvix.com/360/KMI/IntelliDrive/ApplUI/Pages/CreativePages/CustomReportCreativeDetail.aspx?App=23&amp;ReportView=4&amp;Qid=1711279&amp;Row=4231&amp;Col=1","No Title Assigned - #15268923806")</f>
        <v/>
      </c>
      <c r="B4239" s="0" t="s">
        <v>5918</v>
      </c>
      <c r="E4239" s="0" t="inlineStr">
        <is>
          <t xml:space="preserve">Mazda</t>
        </is>
      </c>
      <c r="F4239" s="0" t="inlineStr">
        <is>
          <t xml:space="preserve">Mazda</t>
        </is>
      </c>
      <c r="G4239" s="0" t="s">
        <v>171</v>
      </c>
      <c r="H4239" s="5">
        <v>159.284200</v>
      </c>
    </row>
    <row r="4240" spans="1:9">
      <c r="A4240" s="22" t="str">
        <f>HYPERLINK("https://app.vivvix.com/360/KMI/IntelliDrive/ApplUI/Pages/CreativePages/CustomReportCreativeDetail.aspx?App=23&amp;ReportView=4&amp;Qid=1711279&amp;Row=4232&amp;Col=1","No Title Assigned - #15268923833")</f>
        <v/>
      </c>
      <c r="B4240" s="0" t="s">
        <v>5920</v>
      </c>
      <c r="C4240" s="0" t="s">
        <v>5921</v>
      </c>
      <c r="D4240" s="0" t="s">
        <v>4225</v>
      </c>
      <c r="E4240" s="0" t="inlineStr">
        <is>
          <t xml:space="preserve">Mazda</t>
        </is>
      </c>
      <c r="F4240" s="0" t="s">
        <v>28</v>
      </c>
      <c r="G4240" s="0" t="s">
        <v>29</v>
      </c>
      <c r="H4240" s="5">
        <v>376.641400</v>
      </c>
    </row>
    <row r="4241" spans="1:9">
      <c r="A4241" s="22" t="str">
        <f>HYPERLINK("https://app.vivvix.com/360/KMI/IntelliDrive/ApplUI/Pages/CreativePages/CustomReportCreativeDetail.aspx?App=23&amp;ReportView=4&amp;Qid=1711279&amp;Row=4233&amp;Col=1","No Title Assigned - #15268923945")</f>
        <v/>
      </c>
      <c r="B4241" s="0" t="s">
        <v>5922</v>
      </c>
      <c r="E4241" s="0" t="inlineStr">
        <is>
          <t xml:space="preserve">Mazda</t>
        </is>
      </c>
      <c r="F4241" s="0" t="inlineStr">
        <is>
          <t xml:space="preserve">Mazda</t>
        </is>
      </c>
      <c r="G4241" s="0" t="s">
        <v>171</v>
      </c>
      <c r="H4241" s="5">
        <v>322.450700</v>
      </c>
    </row>
    <row r="4242" spans="1:9">
      <c r="A4242" s="22" t="str">
        <f>HYPERLINK("https://app.vivvix.com/360/KMI/IntelliDrive/ApplUI/Pages/CreativePages/CustomReportCreativeDetail.aspx?App=23&amp;ReportView=4&amp;Qid=1711279&amp;Row=4234&amp;Col=1","No Title Assigned - #15268923993")</f>
        <v/>
      </c>
      <c r="B4242" s="0" t="s">
        <v>5923</v>
      </c>
      <c r="C4242" s="0" t="s">
        <v>5924</v>
      </c>
      <c r="D4242" s="0" t="s">
        <v>4200</v>
      </c>
      <c r="E4242" s="0" t="inlineStr">
        <is>
          <t xml:space="preserve">Mazda</t>
        </is>
      </c>
      <c r="F4242" s="0" t="s">
        <v>28</v>
      </c>
      <c r="G4242" s="0" t="s">
        <v>29</v>
      </c>
      <c r="H4242" s="5">
        <v>79.682200</v>
      </c>
    </row>
    <row r="4243" spans="1:9">
      <c r="A4243" s="22" t="str">
        <f>HYPERLINK("https://app.vivvix.com/360/KMI/IntelliDrive/ApplUI/Pages/CreativePages/CustomReportCreativeDetail.aspx?App=23&amp;ReportView=4&amp;Qid=1711279&amp;Row=4235&amp;Col=1","No Title Assigned - #15268924499")</f>
        <v/>
      </c>
      <c r="B4243" s="0" t="s">
        <v>5925</v>
      </c>
      <c r="C4243" s="0" t="s">
        <v>5926</v>
      </c>
      <c r="D4243" s="0" t="s">
        <v>4204</v>
      </c>
      <c r="E4243" s="0" t="inlineStr">
        <is>
          <t xml:space="preserve">Mazda</t>
        </is>
      </c>
      <c r="F4243" s="0" t="s">
        <v>28</v>
      </c>
      <c r="G4243" s="0" t="s">
        <v>29</v>
      </c>
      <c r="H4243" s="5">
        <v>173.631600</v>
      </c>
    </row>
    <row r="4244" spans="1:9">
      <c r="A4244" s="22" t="str">
        <f>HYPERLINK("https://app.vivvix.com/360/KMI/IntelliDrive/ApplUI/Pages/CreativePages/CustomReportCreativeDetail.aspx?App=23&amp;ReportView=4&amp;Qid=1711279&amp;Row=4236&amp;Col=1","No Title Assigned - #15268924535")</f>
        <v/>
      </c>
      <c r="B4244" s="0" t="s">
        <v>5927</v>
      </c>
      <c r="C4244" s="0" t="s">
        <v>5928</v>
      </c>
      <c r="D4244" s="0" t="s">
        <v>4200</v>
      </c>
      <c r="E4244" s="0" t="inlineStr">
        <is>
          <t xml:space="preserve">Mazda</t>
        </is>
      </c>
      <c r="F4244" s="0" t="s">
        <v>28</v>
      </c>
      <c r="G4244" s="0" t="s">
        <v>29</v>
      </c>
      <c r="H4244" s="5">
        <v>145.564200</v>
      </c>
    </row>
    <row r="4245" spans="1:9">
      <c r="A4245" s="22" t="str">
        <f>HYPERLINK("https://app.vivvix.com/360/KMI/IntelliDrive/ApplUI/Pages/CreativePages/CustomReportCreativeDetail.aspx?App=23&amp;ReportView=4&amp;Qid=1711279&amp;Row=4237&amp;Col=1","No Title Assigned - #15268924697")</f>
        <v/>
      </c>
      <c r="B4245" s="0" t="s">
        <v>5929</v>
      </c>
      <c r="C4245" s="0" t="s">
        <v>5930</v>
      </c>
      <c r="D4245" s="0" t="s">
        <v>5930</v>
      </c>
      <c r="E4245" s="0" t="inlineStr">
        <is>
          <t xml:space="preserve">Mazda</t>
        </is>
      </c>
      <c r="F4245" s="0" t="inlineStr">
        <is>
          <t xml:space="preserve">Mazda</t>
        </is>
      </c>
      <c r="G4245" s="0" t="s">
        <v>171</v>
      </c>
      <c r="H4245" s="5">
        <v>376.597600</v>
      </c>
    </row>
    <row r="4246" spans="1:9">
      <c r="A4246" s="22" t="str">
        <f>HYPERLINK("https://app.vivvix.com/360/KMI/IntelliDrive/ApplUI/Pages/CreativePages/CustomReportCreativeDetail.aspx?App=23&amp;ReportView=4&amp;Qid=1711279&amp;Row=4238&amp;Col=1","No Title Assigned - #15268924820")</f>
        <v/>
      </c>
      <c r="B4246" s="0" t="s">
        <v>5931</v>
      </c>
      <c r="E4246" s="0" t="inlineStr">
        <is>
          <t xml:space="preserve">Mazda</t>
        </is>
      </c>
      <c r="F4246" s="0" t="inlineStr">
        <is>
          <t xml:space="preserve">Mazda</t>
        </is>
      </c>
      <c r="G4246" s="0" t="s">
        <v>171</v>
      </c>
      <c r="H4246" s="5">
        <v>15.207300</v>
      </c>
    </row>
    <row r="4247" spans="1:9">
      <c r="A4247" s="22" t="str">
        <f>HYPERLINK("https://app.vivvix.com/360/KMI/IntelliDrive/ApplUI/Pages/CreativePages/CustomReportCreativeDetail.aspx?App=23&amp;ReportView=4&amp;Qid=1711279&amp;Row=4239&amp;Col=1","No Title Assigned - #15268924853")</f>
        <v/>
      </c>
      <c r="B4247" s="0" t="s">
        <v>5932</v>
      </c>
      <c r="C4247" s="0" t="s">
        <v>5933</v>
      </c>
      <c r="D4247" s="0" t="s">
        <v>5933</v>
      </c>
      <c r="E4247" s="0" t="inlineStr">
        <is>
          <t xml:space="preserve">Mazda</t>
        </is>
      </c>
      <c r="F4247" s="0" t="inlineStr">
        <is>
          <t xml:space="preserve">Mazda</t>
        </is>
      </c>
      <c r="G4247" s="0" t="s">
        <v>171</v>
      </c>
      <c r="H4247" s="5">
        <v>104.517000</v>
      </c>
    </row>
    <row r="4248" spans="1:9">
      <c r="A4248" s="22" t="str">
        <f>HYPERLINK("https://app.vivvix.com/360/KMI/IntelliDrive/ApplUI/Pages/CreativePages/CustomReportCreativeDetail.aspx?App=23&amp;ReportView=4&amp;Qid=1711279&amp;Row=4240&amp;Col=1","No Title Assigned - #15268924920")</f>
        <v/>
      </c>
      <c r="B4248" s="0" t="s">
        <v>5934</v>
      </c>
      <c r="E4248" s="0" t="inlineStr">
        <is>
          <t xml:space="preserve">Mazda</t>
        </is>
      </c>
      <c r="F4248" s="0" t="inlineStr">
        <is>
          <t xml:space="preserve">Mazda</t>
        </is>
      </c>
      <c r="G4248" s="0" t="s">
        <v>171</v>
      </c>
      <c r="H4248" s="5">
        <v>73.390500</v>
      </c>
    </row>
    <row r="4249" spans="1:9">
      <c r="A4249" s="22" t="str">
        <f>HYPERLINK("https://app.vivvix.com/360/KMI/IntelliDrive/ApplUI/Pages/CreativePages/CustomReportCreativeDetail.aspx?App=23&amp;ReportView=4&amp;Qid=1711279&amp;Row=4241&amp;Col=1","No Title Assigned - #15268924961")</f>
        <v/>
      </c>
      <c r="B4249" s="0" t="s">
        <v>5935</v>
      </c>
      <c r="C4249" s="0" t="s">
        <v>5936</v>
      </c>
      <c r="D4249" s="0" t="s">
        <v>5936</v>
      </c>
      <c r="E4249" s="0" t="inlineStr">
        <is>
          <t xml:space="preserve">Mazda</t>
        </is>
      </c>
      <c r="F4249" s="0" t="inlineStr">
        <is>
          <t xml:space="preserve">Mazda</t>
        </is>
      </c>
      <c r="G4249" s="0" t="s">
        <v>171</v>
      </c>
      <c r="H4249" s="5">
        <v>371.294400</v>
      </c>
    </row>
    <row r="4250" spans="1:9">
      <c r="A4250" s="22" t="str">
        <f>HYPERLINK("https://app.vivvix.com/360/KMI/IntelliDrive/ApplUI/Pages/CreativePages/CustomReportCreativeDetail.aspx?App=23&amp;ReportView=4&amp;Qid=1711279&amp;Row=4242&amp;Col=1","No Title Assigned - #15268924961")</f>
        <v/>
      </c>
      <c r="B4250" s="0" t="s">
        <v>5935</v>
      </c>
      <c r="E4250" s="0" t="inlineStr">
        <is>
          <t xml:space="preserve">Mazda</t>
        </is>
      </c>
      <c r="F4250" s="0" t="inlineStr">
        <is>
          <t xml:space="preserve">Mazda</t>
        </is>
      </c>
      <c r="G4250" s="0" t="s">
        <v>171</v>
      </c>
      <c r="H4250" s="5">
        <v>1562.836500</v>
      </c>
    </row>
    <row r="4251" spans="1:9">
      <c r="A4251" s="22" t="str">
        <f>HYPERLINK("https://app.vivvix.com/360/KMI/IntelliDrive/ApplUI/Pages/CreativePages/CustomReportCreativeDetail.aspx?App=23&amp;ReportView=4&amp;Qid=1711279&amp;Row=4243&amp;Col=1","No Title Assigned - #15268925098")</f>
        <v/>
      </c>
      <c r="B4251" s="0" t="s">
        <v>5937</v>
      </c>
      <c r="C4251" s="0" t="s">
        <v>5938</v>
      </c>
      <c r="D4251" s="0" t="s">
        <v>5938</v>
      </c>
      <c r="E4251" s="0" t="inlineStr">
        <is>
          <t xml:space="preserve">Mazda</t>
        </is>
      </c>
      <c r="F4251" s="0" t="inlineStr">
        <is>
          <t xml:space="preserve">Mazda</t>
        </is>
      </c>
      <c r="G4251" s="0" t="s">
        <v>171</v>
      </c>
      <c r="H4251" s="5">
        <v>73.090300</v>
      </c>
    </row>
    <row r="4252" spans="1:9">
      <c r="A4252" s="22" t="str">
        <f>HYPERLINK("https://app.vivvix.com/360/KMI/IntelliDrive/ApplUI/Pages/CreativePages/CustomReportCreativeDetail.aspx?App=23&amp;ReportView=4&amp;Qid=1711279&amp;Row=4244&amp;Col=1","No Title Assigned - #15268925287")</f>
        <v/>
      </c>
      <c r="B4252" s="0" t="s">
        <v>5939</v>
      </c>
      <c r="C4252" s="0" t="s">
        <v>5940</v>
      </c>
      <c r="D4252" s="0" t="s">
        <v>4225</v>
      </c>
      <c r="E4252" s="0" t="inlineStr">
        <is>
          <t xml:space="preserve">Mazda</t>
        </is>
      </c>
      <c r="F4252" s="0" t="s">
        <v>28</v>
      </c>
      <c r="G4252" s="0" t="s">
        <v>29</v>
      </c>
      <c r="H4252" s="5">
        <v>391.234000</v>
      </c>
    </row>
    <row r="4253" spans="1:9">
      <c r="A4253" s="22" t="str">
        <f>HYPERLINK("https://app.vivvix.com/360/KMI/IntelliDrive/ApplUI/Pages/CreativePages/CustomReportCreativeDetail.aspx?App=23&amp;ReportView=4&amp;Qid=1711279&amp;Row=4245&amp;Col=1","No Title Assigned - #15268925452")</f>
        <v/>
      </c>
      <c r="B4253" s="0" t="s">
        <v>5941</v>
      </c>
      <c r="E4253" s="0" t="inlineStr">
        <is>
          <t xml:space="preserve">Mazda</t>
        </is>
      </c>
      <c r="F4253" s="0" t="inlineStr">
        <is>
          <t xml:space="preserve">Mazda</t>
        </is>
      </c>
      <c r="G4253" s="0" t="s">
        <v>171</v>
      </c>
      <c r="H4253" s="5">
        <v>680.227300</v>
      </c>
    </row>
    <row r="4254" spans="1:9">
      <c r="A4254" s="22" t="str">
        <f>HYPERLINK("https://app.vivvix.com/360/KMI/IntelliDrive/ApplUI/Pages/CreativePages/CustomReportCreativeDetail.aspx?App=23&amp;ReportView=4&amp;Qid=1711279&amp;Row=4246&amp;Col=1","No Title Assigned - #15268925452")</f>
        <v/>
      </c>
      <c r="B4254" s="0" t="s">
        <v>5941</v>
      </c>
      <c r="E4254" s="0" t="inlineStr">
        <is>
          <t xml:space="preserve">Mazda</t>
        </is>
      </c>
      <c r="F4254" s="0" t="inlineStr">
        <is>
          <t xml:space="preserve">Mazda</t>
        </is>
      </c>
      <c r="G4254" s="0" t="s">
        <v>171</v>
      </c>
      <c r="H4254" s="5">
        <v>41.840700</v>
      </c>
    </row>
    <row r="4255" spans="1:9">
      <c r="A4255" s="22" t="str">
        <f>HYPERLINK("https://app.vivvix.com/360/KMI/IntelliDrive/ApplUI/Pages/CreativePages/CustomReportCreativeDetail.aspx?App=23&amp;ReportView=4&amp;Qid=1711279&amp;Row=4247&amp;Col=1","No Title Assigned - #15268925891")</f>
        <v/>
      </c>
      <c r="B4255" s="0" t="s">
        <v>5942</v>
      </c>
      <c r="E4255" s="0" t="inlineStr">
        <is>
          <t xml:space="preserve">Mazda</t>
        </is>
      </c>
      <c r="F4255" s="0" t="inlineStr">
        <is>
          <t xml:space="preserve">Mazda</t>
        </is>
      </c>
      <c r="G4255" s="0" t="s">
        <v>171</v>
      </c>
      <c r="H4255" s="5">
        <v>123.112200</v>
      </c>
    </row>
    <row r="4256" spans="1:9">
      <c r="A4256" s="22" t="str">
        <f>HYPERLINK("https://app.vivvix.com/360/KMI/IntelliDrive/ApplUI/Pages/CreativePages/CustomReportCreativeDetail.aspx?App=23&amp;ReportView=4&amp;Qid=1711279&amp;Row=4248&amp;Col=1","No Title Assigned - #15268926133")</f>
        <v/>
      </c>
      <c r="B4256" s="0" t="s">
        <v>5943</v>
      </c>
      <c r="C4256" s="0" t="s">
        <v>5944</v>
      </c>
      <c r="D4256" s="0" t="s">
        <v>5944</v>
      </c>
      <c r="E4256" s="0" t="inlineStr">
        <is>
          <t xml:space="preserve">Mazda</t>
        </is>
      </c>
      <c r="F4256" s="0" t="s">
        <v>28</v>
      </c>
      <c r="G4256" s="0" t="s">
        <v>29</v>
      </c>
      <c r="H4256" s="5">
        <v>202.482500</v>
      </c>
    </row>
    <row r="4257" spans="1:9">
      <c r="A4257" s="22" t="str">
        <f>HYPERLINK("https://app.vivvix.com/360/KMI/IntelliDrive/ApplUI/Pages/CreativePages/CustomReportCreativeDetail.aspx?App=23&amp;ReportView=4&amp;Qid=1711279&amp;Row=4249&amp;Col=1","No Title Assigned - #15268926244")</f>
        <v/>
      </c>
      <c r="B4257" s="0" t="s">
        <v>5945</v>
      </c>
      <c r="C4257" s="0" t="s">
        <v>5946</v>
      </c>
      <c r="D4257" s="0" t="s">
        <v>5946</v>
      </c>
      <c r="E4257" s="0" t="inlineStr">
        <is>
          <t xml:space="preserve">Mazda</t>
        </is>
      </c>
      <c r="F4257" s="0" t="s">
        <v>28</v>
      </c>
      <c r="G4257" s="0" t="s">
        <v>29</v>
      </c>
      <c r="H4257" s="5">
        <v>13.587400</v>
      </c>
    </row>
    <row r="4258" spans="1:9">
      <c r="A4258" s="22" t="str">
        <f>HYPERLINK("https://app.vivvix.com/360/KMI/IntelliDrive/ApplUI/Pages/CreativePages/CustomReportCreativeDetail.aspx?App=23&amp;ReportView=4&amp;Qid=1711279&amp;Row=4250&amp;Col=1","No Title Assigned - #15268926353")</f>
        <v/>
      </c>
      <c r="B4258" s="0" t="s">
        <v>5947</v>
      </c>
      <c r="C4258" s="0" t="s">
        <v>5948</v>
      </c>
      <c r="D4258" s="0" t="s">
        <v>5948</v>
      </c>
      <c r="E4258" s="0" t="inlineStr">
        <is>
          <t xml:space="preserve">Mazda</t>
        </is>
      </c>
      <c r="F4258" s="0" t="s">
        <v>28</v>
      </c>
      <c r="G4258" s="0" t="s">
        <v>29</v>
      </c>
      <c r="H4258" s="5">
        <v>288.774900</v>
      </c>
    </row>
    <row r="4259" spans="1:9">
      <c r="A4259" s="22" t="str">
        <f>HYPERLINK("https://app.vivvix.com/360/KMI/IntelliDrive/ApplUI/Pages/CreativePages/CustomReportCreativeDetail.aspx?App=23&amp;ReportView=4&amp;Qid=1711279&amp;Row=4251&amp;Col=1","No Title Assigned - #15268926600")</f>
        <v/>
      </c>
      <c r="B4259" s="0" t="s">
        <v>5949</v>
      </c>
      <c r="C4259" s="0" t="s">
        <v>5950</v>
      </c>
      <c r="D4259" s="0" t="s">
        <v>5950</v>
      </c>
      <c r="E4259" s="0" t="inlineStr">
        <is>
          <t xml:space="preserve">Mazda</t>
        </is>
      </c>
      <c r="F4259" s="0" t="s">
        <v>13</v>
      </c>
      <c r="G4259" s="0" t="s">
        <v>49</v>
      </c>
      <c r="H4259" s="5">
        <v>14382.011800</v>
      </c>
    </row>
    <row r="4260" spans="1:9">
      <c r="A4260" s="22" t="str">
        <f>HYPERLINK("https://app.vivvix.com/360/KMI/IntelliDrive/ApplUI/Pages/CreativePages/CustomReportCreativeDetail.aspx?App=23&amp;ReportView=4&amp;Qid=1711279&amp;Row=4252&amp;Col=1","No Title Assigned - #15268926600")</f>
        <v/>
      </c>
      <c r="B4260" s="0" t="s">
        <v>5949</v>
      </c>
      <c r="C4260" s="0" t="s">
        <v>5951</v>
      </c>
      <c r="D4260" s="0" t="s">
        <v>5951</v>
      </c>
      <c r="E4260" s="0" t="inlineStr">
        <is>
          <t xml:space="preserve">Mazda</t>
        </is>
      </c>
      <c r="F4260" s="0" t="s">
        <v>13</v>
      </c>
      <c r="G4260" s="0" t="s">
        <v>49</v>
      </c>
      <c r="H4260" s="5">
        <v>79127.760000</v>
      </c>
    </row>
    <row r="4261" spans="1:9">
      <c r="A4261" s="22" t="str">
        <f>HYPERLINK("https://app.vivvix.com/360/KMI/IntelliDrive/ApplUI/Pages/CreativePages/CustomReportCreativeDetail.aspx?App=23&amp;ReportView=4&amp;Qid=1711279&amp;Row=4253&amp;Col=1","No Title Assigned - #15268926666")</f>
        <v/>
      </c>
      <c r="B4261" s="0" t="s">
        <v>5952</v>
      </c>
      <c r="E4261" s="0" t="inlineStr">
        <is>
          <t xml:space="preserve">Mazda</t>
        </is>
      </c>
      <c r="F4261" s="0" t="inlineStr">
        <is>
          <t xml:space="preserve">Mazda</t>
        </is>
      </c>
      <c r="G4261" s="0" t="s">
        <v>171</v>
      </c>
      <c r="H4261" s="5">
        <v>617.321000</v>
      </c>
    </row>
    <row r="4262" spans="1:9">
      <c r="A4262" s="22" t="str">
        <f>HYPERLINK("https://app.vivvix.com/360/KMI/IntelliDrive/ApplUI/Pages/CreativePages/CustomReportCreativeDetail.aspx?App=23&amp;ReportView=4&amp;Qid=1711279&amp;Row=4254&amp;Col=1","No Title Assigned - #15268926686")</f>
        <v/>
      </c>
      <c r="B4262" s="0" t="s">
        <v>5953</v>
      </c>
      <c r="E4262" s="0" t="inlineStr">
        <is>
          <t xml:space="preserve">Mazda</t>
        </is>
      </c>
      <c r="F4262" s="0" t="inlineStr">
        <is>
          <t xml:space="preserve">Mazda</t>
        </is>
      </c>
      <c r="G4262" s="0" t="s">
        <v>171</v>
      </c>
      <c r="H4262" s="5">
        <v>163.663900</v>
      </c>
    </row>
    <row r="4263" spans="1:9">
      <c r="A4263" s="22" t="str">
        <f>HYPERLINK("https://app.vivvix.com/360/KMI/IntelliDrive/ApplUI/Pages/CreativePages/CustomReportCreativeDetail.aspx?App=23&amp;ReportView=4&amp;Qid=1711279&amp;Row=4255&amp;Col=1","No Title Assigned - #15268926820")</f>
        <v/>
      </c>
      <c r="B4263" s="0" t="s">
        <v>5954</v>
      </c>
      <c r="E4263" s="0" t="inlineStr">
        <is>
          <t xml:space="preserve">Mazda</t>
        </is>
      </c>
      <c r="F4263" s="0" t="inlineStr">
        <is>
          <t xml:space="preserve">Mazda</t>
        </is>
      </c>
      <c r="G4263" s="0" t="s">
        <v>171</v>
      </c>
      <c r="H4263" s="5">
        <v>3.423400</v>
      </c>
    </row>
    <row r="4264" spans="1:9">
      <c r="A4264" s="22" t="str">
        <f>HYPERLINK("https://app.vivvix.com/360/KMI/IntelliDrive/ApplUI/Pages/CreativePages/CustomReportCreativeDetail.aspx?App=23&amp;ReportView=4&amp;Qid=1711279&amp;Row=4256&amp;Col=1","No Title Assigned - #15268926838")</f>
        <v/>
      </c>
      <c r="B4264" s="0" t="s">
        <v>5955</v>
      </c>
      <c r="C4264" s="0" t="s">
        <v>5956</v>
      </c>
      <c r="D4264" s="0" t="s">
        <v>5956</v>
      </c>
      <c r="E4264" s="0" t="inlineStr">
        <is>
          <t xml:space="preserve">Mazda</t>
        </is>
      </c>
      <c r="F4264" s="0" t="inlineStr">
        <is>
          <t xml:space="preserve">Mazda</t>
        </is>
      </c>
      <c r="G4264" s="0" t="s">
        <v>171</v>
      </c>
      <c r="H4264" s="5">
        <v>357.374400</v>
      </c>
    </row>
    <row r="4265" spans="1:9">
      <c r="A4265" s="22" t="str">
        <f>HYPERLINK("https://app.vivvix.com/360/KMI/IntelliDrive/ApplUI/Pages/CreativePages/CustomReportCreativeDetail.aspx?App=23&amp;ReportView=4&amp;Qid=1711279&amp;Row=4257&amp;Col=1","No Title Assigned - #15268926964")</f>
        <v/>
      </c>
      <c r="B4265" s="0" t="s">
        <v>5957</v>
      </c>
      <c r="E4265" s="0" t="inlineStr">
        <is>
          <t xml:space="preserve">Mazda</t>
        </is>
      </c>
      <c r="F4265" s="0" t="inlineStr">
        <is>
          <t xml:space="preserve">Mazda</t>
        </is>
      </c>
      <c r="G4265" s="0" t="s">
        <v>171</v>
      </c>
      <c r="H4265" s="5">
        <v>1005.369800</v>
      </c>
    </row>
    <row r="4266" spans="1:9">
      <c r="A4266" s="22" t="str">
        <f>HYPERLINK("https://app.vivvix.com/360/KMI/IntelliDrive/ApplUI/Pages/CreativePages/CustomReportCreativeDetail.aspx?App=23&amp;ReportView=4&amp;Qid=1711279&amp;Row=4258&amp;Col=1","No Title Assigned - #15268927002")</f>
        <v/>
      </c>
      <c r="B4266" s="0" t="s">
        <v>5958</v>
      </c>
      <c r="E4266" s="0" t="inlineStr">
        <is>
          <t xml:space="preserve">Mazda</t>
        </is>
      </c>
      <c r="F4266" s="0" t="inlineStr">
        <is>
          <t xml:space="preserve">Mazda</t>
        </is>
      </c>
      <c r="G4266" s="0" t="s">
        <v>171</v>
      </c>
      <c r="H4266" s="5">
        <v>99.151500</v>
      </c>
    </row>
    <row r="4267" spans="1:9">
      <c r="A4267" s="22" t="str">
        <f>HYPERLINK("https://app.vivvix.com/360/KMI/IntelliDrive/ApplUI/Pages/CreativePages/CustomReportCreativeDetail.aspx?App=23&amp;ReportView=4&amp;Qid=1711279&amp;Row=4259&amp;Col=1","No Title Assigned - #15268927105")</f>
        <v/>
      </c>
      <c r="B4267" s="0" t="s">
        <v>5959</v>
      </c>
      <c r="E4267" s="0" t="inlineStr">
        <is>
          <t xml:space="preserve">Mazda</t>
        </is>
      </c>
      <c r="F4267" s="0" t="inlineStr">
        <is>
          <t xml:space="preserve">Mazda</t>
        </is>
      </c>
      <c r="G4267" s="0" t="s">
        <v>171</v>
      </c>
      <c r="H4267" s="5">
        <v>34.480000</v>
      </c>
    </row>
    <row r="4268" spans="1:9">
      <c r="A4268" s="22" t="str">
        <f>HYPERLINK("https://app.vivvix.com/360/KMI/IntelliDrive/ApplUI/Pages/CreativePages/CustomReportCreativeDetail.aspx?App=23&amp;ReportView=4&amp;Qid=1711279&amp;Row=4260&amp;Col=1","No Title Assigned - #15268927212")</f>
        <v/>
      </c>
      <c r="B4268" s="0" t="s">
        <v>5960</v>
      </c>
      <c r="E4268" s="0" t="inlineStr">
        <is>
          <t xml:space="preserve">Mazda</t>
        </is>
      </c>
      <c r="F4268" s="0" t="inlineStr">
        <is>
          <t xml:space="preserve">Mazda</t>
        </is>
      </c>
      <c r="G4268" s="0" t="s">
        <v>171</v>
      </c>
      <c r="H4268" s="5">
        <v>96.494800</v>
      </c>
    </row>
    <row r="4269" spans="1:9">
      <c r="A4269" s="22" t="str">
        <f>HYPERLINK("https://app.vivvix.com/360/KMI/IntelliDrive/ApplUI/Pages/CreativePages/CustomReportCreativeDetail.aspx?App=23&amp;ReportView=4&amp;Qid=1711279&amp;Row=4261&amp;Col=1","No Title Assigned - #15268927312")</f>
        <v/>
      </c>
      <c r="B4269" s="0" t="s">
        <v>5961</v>
      </c>
      <c r="E4269" s="0" t="inlineStr">
        <is>
          <t xml:space="preserve">Mazda</t>
        </is>
      </c>
      <c r="F4269" s="0" t="inlineStr">
        <is>
          <t xml:space="preserve">Mazda</t>
        </is>
      </c>
      <c r="G4269" s="0" t="s">
        <v>171</v>
      </c>
      <c r="H4269" s="5">
        <v>13.501200</v>
      </c>
    </row>
    <row r="4270" spans="1:9">
      <c r="A4270" s="22" t="str">
        <f>HYPERLINK("https://app.vivvix.com/360/KMI/IntelliDrive/ApplUI/Pages/CreativePages/CustomReportCreativeDetail.aspx?App=23&amp;ReportView=4&amp;Qid=1711279&amp;Row=4262&amp;Col=1","No Title Assigned - #15268927361")</f>
        <v/>
      </c>
      <c r="B4270" s="0" t="s">
        <v>5962</v>
      </c>
      <c r="E4270" s="0" t="inlineStr">
        <is>
          <t xml:space="preserve">Mazda</t>
        </is>
      </c>
      <c r="F4270" s="0" t="inlineStr">
        <is>
          <t xml:space="preserve">Mazda</t>
        </is>
      </c>
      <c r="G4270" s="0" t="s">
        <v>171</v>
      </c>
      <c r="H4270" s="5">
        <v>59.834000</v>
      </c>
    </row>
    <row r="4271" spans="1:9">
      <c r="A4271" s="22" t="str">
        <f>HYPERLINK("https://app.vivvix.com/360/KMI/IntelliDrive/ApplUI/Pages/CreativePages/CustomReportCreativeDetail.aspx?App=23&amp;ReportView=4&amp;Qid=1711279&amp;Row=4263&amp;Col=1","No Title Assigned - #15268927485")</f>
        <v/>
      </c>
      <c r="B4271" s="0" t="s">
        <v>5963</v>
      </c>
      <c r="E4271" s="0" t="inlineStr">
        <is>
          <t xml:space="preserve">Mazda</t>
        </is>
      </c>
      <c r="F4271" s="0" t="inlineStr">
        <is>
          <t xml:space="preserve">Mazda</t>
        </is>
      </c>
      <c r="G4271" s="0" t="s">
        <v>171</v>
      </c>
      <c r="H4271" s="5">
        <v>316.880900</v>
      </c>
    </row>
    <row r="4272" spans="1:9">
      <c r="A4272" s="22" t="str">
        <f>HYPERLINK("https://app.vivvix.com/360/KMI/IntelliDrive/ApplUI/Pages/CreativePages/CustomReportCreativeDetail.aspx?App=23&amp;ReportView=4&amp;Qid=1711279&amp;Row=4264&amp;Col=1","No Title Assigned - #15268927502")</f>
        <v/>
      </c>
      <c r="B4272" s="0" t="s">
        <v>5964</v>
      </c>
      <c r="E4272" s="0" t="inlineStr">
        <is>
          <t xml:space="preserve">Mazda</t>
        </is>
      </c>
      <c r="F4272" s="0" t="inlineStr">
        <is>
          <t xml:space="preserve">Mazda</t>
        </is>
      </c>
      <c r="G4272" s="0" t="s">
        <v>171</v>
      </c>
      <c r="H4272" s="5">
        <v>595.259300</v>
      </c>
    </row>
    <row r="4273" spans="1:9">
      <c r="A4273" s="22" t="str">
        <f>HYPERLINK("https://app.vivvix.com/360/KMI/IntelliDrive/ApplUI/Pages/CreativePages/CustomReportCreativeDetail.aspx?App=23&amp;ReportView=4&amp;Qid=1711279&amp;Row=4265&amp;Col=1","No Title Assigned - #15268927738")</f>
        <v/>
      </c>
      <c r="B4273" s="0" t="s">
        <v>5965</v>
      </c>
      <c r="E4273" s="0" t="inlineStr">
        <is>
          <t xml:space="preserve">Mazda</t>
        </is>
      </c>
      <c r="F4273" s="0" t="inlineStr">
        <is>
          <t xml:space="preserve">Mazda</t>
        </is>
      </c>
      <c r="G4273" s="0" t="s">
        <v>171</v>
      </c>
      <c r="H4273" s="5">
        <v>13.523900</v>
      </c>
    </row>
    <row r="4274" spans="1:9">
      <c r="A4274" s="22" t="str">
        <f>HYPERLINK("https://app.vivvix.com/360/KMI/IntelliDrive/ApplUI/Pages/CreativePages/CustomReportCreativeDetail.aspx?App=23&amp;ReportView=4&amp;Qid=1711279&amp;Row=4266&amp;Col=1","No Title Assigned - #15268927820")</f>
        <v/>
      </c>
      <c r="B4274" s="0" t="s">
        <v>5966</v>
      </c>
      <c r="E4274" s="0" t="inlineStr">
        <is>
          <t xml:space="preserve">Mazda</t>
        </is>
      </c>
      <c r="F4274" s="0" t="inlineStr">
        <is>
          <t xml:space="preserve">Mazda</t>
        </is>
      </c>
      <c r="G4274" s="0" t="s">
        <v>171</v>
      </c>
      <c r="H4274" s="5">
        <v>30.006500</v>
      </c>
    </row>
    <row r="4275" spans="1:9">
      <c r="A4275" s="22" t="str">
        <f>HYPERLINK("https://app.vivvix.com/360/KMI/IntelliDrive/ApplUI/Pages/CreativePages/CustomReportCreativeDetail.aspx?App=23&amp;ReportView=4&amp;Qid=1711279&amp;Row=4267&amp;Col=1","No Title Assigned - #15268927842")</f>
        <v/>
      </c>
      <c r="B4275" s="0" t="s">
        <v>5967</v>
      </c>
      <c r="C4275" s="0" t="s">
        <v>5968</v>
      </c>
      <c r="D4275" s="0" t="s">
        <v>5968</v>
      </c>
      <c r="E4275" s="0" t="inlineStr">
        <is>
          <t xml:space="preserve">Mazda</t>
        </is>
      </c>
      <c r="F4275" s="0" t="inlineStr">
        <is>
          <t xml:space="preserve">Mazda</t>
        </is>
      </c>
      <c r="G4275" s="0" t="s">
        <v>171</v>
      </c>
      <c r="H4275" s="5">
        <v>134.041900</v>
      </c>
    </row>
    <row r="4276" spans="1:9">
      <c r="A4276" s="22" t="str">
        <f>HYPERLINK("https://app.vivvix.com/360/KMI/IntelliDrive/ApplUI/Pages/CreativePages/CustomReportCreativeDetail.aspx?App=23&amp;ReportView=4&amp;Qid=1711279&amp;Row=4268&amp;Col=1","No Title Assigned - #15268927854")</f>
        <v/>
      </c>
      <c r="B4276" s="0" t="s">
        <v>5969</v>
      </c>
      <c r="E4276" s="0" t="inlineStr">
        <is>
          <t xml:space="preserve">Mazda</t>
        </is>
      </c>
      <c r="F4276" s="0" t="inlineStr">
        <is>
          <t xml:space="preserve">Mazda</t>
        </is>
      </c>
      <c r="G4276" s="0" t="s">
        <v>171</v>
      </c>
      <c r="H4276" s="5">
        <v>39.660600</v>
      </c>
    </row>
    <row r="4277" spans="1:9">
      <c r="A4277" s="22" t="str">
        <f>HYPERLINK("https://app.vivvix.com/360/KMI/IntelliDrive/ApplUI/Pages/CreativePages/CustomReportCreativeDetail.aspx?App=23&amp;ReportView=4&amp;Qid=1711279&amp;Row=4269&amp;Col=1","No Title Assigned - #15268928098")</f>
        <v/>
      </c>
      <c r="B4277" s="0" t="s">
        <v>5970</v>
      </c>
      <c r="E4277" s="0" t="inlineStr">
        <is>
          <t xml:space="preserve">Mazda</t>
        </is>
      </c>
      <c r="F4277" s="0" t="inlineStr">
        <is>
          <t xml:space="preserve">Mazda</t>
        </is>
      </c>
      <c r="G4277" s="0" t="s">
        <v>171</v>
      </c>
      <c r="H4277" s="5">
        <v>6932.169600</v>
      </c>
    </row>
    <row r="4278" spans="1:9">
      <c r="A4278" s="22" t="str">
        <f>HYPERLINK("https://app.vivvix.com/360/KMI/IntelliDrive/ApplUI/Pages/CreativePages/CustomReportCreativeDetail.aspx?App=23&amp;ReportView=4&amp;Qid=1711279&amp;Row=4270&amp;Col=1","No Title Assigned - #15268928098")</f>
        <v/>
      </c>
      <c r="B4278" s="0" t="s">
        <v>5970</v>
      </c>
      <c r="E4278" s="0" t="inlineStr">
        <is>
          <t xml:space="preserve">Mazda</t>
        </is>
      </c>
      <c r="F4278" s="0" t="inlineStr">
        <is>
          <t xml:space="preserve">Mazda</t>
        </is>
      </c>
      <c r="G4278" s="0" t="s">
        <v>171</v>
      </c>
      <c r="H4278" s="5">
        <v>8074.265000</v>
      </c>
    </row>
    <row r="4279" spans="1:9">
      <c r="A4279" s="22" t="str">
        <f>HYPERLINK("https://app.vivvix.com/360/KMI/IntelliDrive/ApplUI/Pages/CreativePages/CustomReportCreativeDetail.aspx?App=23&amp;ReportView=4&amp;Qid=1711279&amp;Row=4271&amp;Col=1","No Title Assigned - #15268928106")</f>
        <v/>
      </c>
      <c r="B4279" s="0" t="s">
        <v>5971</v>
      </c>
      <c r="E4279" s="0" t="inlineStr">
        <is>
          <t xml:space="preserve">Mazda</t>
        </is>
      </c>
      <c r="F4279" s="0" t="inlineStr">
        <is>
          <t xml:space="preserve">Mazda</t>
        </is>
      </c>
      <c r="G4279" s="0" t="s">
        <v>171</v>
      </c>
      <c r="H4279" s="5">
        <v>2127.451800</v>
      </c>
    </row>
    <row r="4280" spans="1:9">
      <c r="A4280" s="22" t="str">
        <f>HYPERLINK("https://app.vivvix.com/360/KMI/IntelliDrive/ApplUI/Pages/CreativePages/CustomReportCreativeDetail.aspx?App=23&amp;ReportView=4&amp;Qid=1711279&amp;Row=4272&amp;Col=1","No Title Assigned - #15268928108")</f>
        <v/>
      </c>
      <c r="B4280" s="0" t="s">
        <v>5972</v>
      </c>
      <c r="E4280" s="0" t="inlineStr">
        <is>
          <t xml:space="preserve">Mazda</t>
        </is>
      </c>
      <c r="F4280" s="0" t="inlineStr">
        <is>
          <t xml:space="preserve">Mazda</t>
        </is>
      </c>
      <c r="G4280" s="0" t="s">
        <v>171</v>
      </c>
      <c r="H4280" s="5">
        <v>452.512300</v>
      </c>
    </row>
    <row r="4281" spans="1:9">
      <c r="A4281" s="22" t="str">
        <f>HYPERLINK("https://app.vivvix.com/360/KMI/IntelliDrive/ApplUI/Pages/CreativePages/CustomReportCreativeDetail.aspx?App=23&amp;ReportView=4&amp;Qid=1711279&amp;Row=4273&amp;Col=1","No Title Assigned - #15268928314")</f>
        <v/>
      </c>
      <c r="B4281" s="0" t="s">
        <v>5973</v>
      </c>
      <c r="E4281" s="0" t="inlineStr">
        <is>
          <t xml:space="preserve">Mazda</t>
        </is>
      </c>
      <c r="F4281" s="0" t="inlineStr">
        <is>
          <t xml:space="preserve">Mazda</t>
        </is>
      </c>
      <c r="G4281" s="0" t="s">
        <v>171</v>
      </c>
      <c r="H4281" s="5">
        <v>63.319300</v>
      </c>
    </row>
    <row r="4282" spans="1:9">
      <c r="A4282" s="22" t="str">
        <f>HYPERLINK("https://app.vivvix.com/360/KMI/IntelliDrive/ApplUI/Pages/CreativePages/CustomReportCreativeDetail.aspx?App=23&amp;ReportView=4&amp;Qid=1711279&amp;Row=4274&amp;Col=1","No Title Assigned - #15268928334")</f>
        <v/>
      </c>
      <c r="B4282" s="0" t="s">
        <v>5974</v>
      </c>
      <c r="C4282" s="0" t="s">
        <v>5975</v>
      </c>
      <c r="D4282" s="0" t="s">
        <v>5975</v>
      </c>
      <c r="E4282" s="0" t="inlineStr">
        <is>
          <t xml:space="preserve">Mazda</t>
        </is>
      </c>
      <c r="F4282" s="0" t="inlineStr">
        <is>
          <t xml:space="preserve">Mazda</t>
        </is>
      </c>
      <c r="G4282" s="0" t="s">
        <v>171</v>
      </c>
      <c r="H4282" s="5">
        <v>1499.750700</v>
      </c>
    </row>
    <row r="4283" spans="1:9">
      <c r="A4283" s="22" t="str">
        <f>HYPERLINK("https://app.vivvix.com/360/KMI/IntelliDrive/ApplUI/Pages/CreativePages/CustomReportCreativeDetail.aspx?App=23&amp;ReportView=4&amp;Qid=1711279&amp;Row=4275&amp;Col=1","No Title Assigned - #15268928334")</f>
        <v/>
      </c>
      <c r="B4283" s="0" t="s">
        <v>5974</v>
      </c>
      <c r="E4283" s="0" t="inlineStr">
        <is>
          <t xml:space="preserve">Mazda</t>
        </is>
      </c>
      <c r="F4283" s="0" t="inlineStr">
        <is>
          <t xml:space="preserve">Mazda</t>
        </is>
      </c>
      <c r="G4283" s="0" t="s">
        <v>171</v>
      </c>
      <c r="H4283" s="5">
        <v>186.023700</v>
      </c>
    </row>
    <row r="4284" spans="1:9">
      <c r="A4284" s="22" t="str">
        <f>HYPERLINK("https://app.vivvix.com/360/KMI/IntelliDrive/ApplUI/Pages/CreativePages/CustomReportCreativeDetail.aspx?App=23&amp;ReportView=4&amp;Qid=1711279&amp;Row=4276&amp;Col=1","No Title Assigned - #15268930596")</f>
        <v/>
      </c>
      <c r="B4284" s="0" t="s">
        <v>5976</v>
      </c>
      <c r="C4284" s="0" t="s">
        <v>5977</v>
      </c>
      <c r="D4284" s="0" t="s">
        <v>5977</v>
      </c>
      <c r="E4284" s="0" t="inlineStr">
        <is>
          <t xml:space="preserve">Mazda</t>
        </is>
      </c>
      <c r="F4284" s="0" t="s">
        <v>28</v>
      </c>
      <c r="G4284" s="0" t="s">
        <v>29</v>
      </c>
      <c r="H4284" s="5">
        <v>1116.782400</v>
      </c>
    </row>
    <row r="4285" spans="1:9">
      <c r="A4285" s="22" t="str">
        <f>HYPERLINK("https://app.vivvix.com/360/KMI/IntelliDrive/ApplUI/Pages/CreativePages/CustomReportCreativeDetail.aspx?App=23&amp;ReportView=4&amp;Qid=1711279&amp;Row=4277&amp;Col=1","No Title Assigned - #15268930819")</f>
        <v/>
      </c>
      <c r="B4285" s="0" t="s">
        <v>5978</v>
      </c>
      <c r="C4285" s="0" t="s">
        <v>5979</v>
      </c>
      <c r="D4285" s="0" t="s">
        <v>5979</v>
      </c>
      <c r="E4285" s="0" t="inlineStr">
        <is>
          <t xml:space="preserve">Mazda</t>
        </is>
      </c>
      <c r="F4285" s="0" t="s">
        <v>13</v>
      </c>
      <c r="G4285" s="0" t="s">
        <v>49</v>
      </c>
      <c r="H4285" s="5">
        <v>9564.393800</v>
      </c>
    </row>
    <row r="4286" spans="1:9">
      <c r="A4286" s="22" t="str">
        <f>HYPERLINK("https://app.vivvix.com/360/KMI/IntelliDrive/ApplUI/Pages/CreativePages/CustomReportCreativeDetail.aspx?App=23&amp;ReportView=4&amp;Qid=1711279&amp;Row=4278&amp;Col=1","No Title Assigned - #15268930862")</f>
        <v/>
      </c>
      <c r="B4286" s="0" t="s">
        <v>5980</v>
      </c>
      <c r="C4286" s="0" t="s">
        <v>5981</v>
      </c>
      <c r="D4286" s="0" t="s">
        <v>4333</v>
      </c>
      <c r="E4286" s="0" t="inlineStr">
        <is>
          <t xml:space="preserve">Mazda</t>
        </is>
      </c>
      <c r="F4286" s="0" t="s">
        <v>28</v>
      </c>
      <c r="G4286" s="0" t="s">
        <v>29</v>
      </c>
      <c r="H4286" s="5">
        <v>86.173600</v>
      </c>
    </row>
    <row r="4287" spans="1:9">
      <c r="A4287" s="22" t="str">
        <f>HYPERLINK("https://app.vivvix.com/360/KMI/IntelliDrive/ApplUI/Pages/CreativePages/CustomReportCreativeDetail.aspx?App=23&amp;ReportView=4&amp;Qid=1711279&amp;Row=4279&amp;Col=1","No Title Assigned - #15268931294")</f>
        <v/>
      </c>
      <c r="B4287" s="0" t="s">
        <v>5982</v>
      </c>
      <c r="C4287" s="0" t="s">
        <v>5983</v>
      </c>
      <c r="D4287" s="0" t="s">
        <v>5983</v>
      </c>
      <c r="E4287" s="0" t="inlineStr">
        <is>
          <t xml:space="preserve">Mazda</t>
        </is>
      </c>
      <c r="F4287" s="0" t="s">
        <v>28</v>
      </c>
      <c r="G4287" s="0" t="s">
        <v>29</v>
      </c>
      <c r="H4287" s="5">
        <v>16.891800</v>
      </c>
    </row>
    <row r="4288" spans="1:9">
      <c r="A4288" s="22" t="str">
        <f>HYPERLINK("https://app.vivvix.com/360/KMI/IntelliDrive/ApplUI/Pages/CreativePages/CustomReportCreativeDetail.aspx?App=23&amp;ReportView=4&amp;Qid=1711279&amp;Row=4280&amp;Col=1","No Title Assigned - #15268931360")</f>
        <v/>
      </c>
      <c r="B4288" s="0" t="s">
        <v>5984</v>
      </c>
      <c r="C4288" s="0" t="s">
        <v>5985</v>
      </c>
      <c r="D4288" s="0" t="s">
        <v>5985</v>
      </c>
      <c r="E4288" s="0" t="inlineStr">
        <is>
          <t xml:space="preserve">Mazda</t>
        </is>
      </c>
      <c r="F4288" s="0" t="s">
        <v>28</v>
      </c>
      <c r="G4288" s="0" t="s">
        <v>29</v>
      </c>
      <c r="H4288" s="5">
        <v>91.749300</v>
      </c>
    </row>
    <row r="4289" spans="1:9">
      <c r="A4289" s="22" t="str">
        <f>HYPERLINK("https://app.vivvix.com/360/KMI/IntelliDrive/ApplUI/Pages/CreativePages/CustomReportCreativeDetail.aspx?App=23&amp;ReportView=4&amp;Qid=1711279&amp;Row=4281&amp;Col=1","No Title Assigned - #15268931448")</f>
        <v/>
      </c>
      <c r="B4289" s="0" t="s">
        <v>5986</v>
      </c>
      <c r="C4289" s="0" t="s">
        <v>5987</v>
      </c>
      <c r="D4289" s="0" t="s">
        <v>5987</v>
      </c>
      <c r="E4289" s="0" t="inlineStr">
        <is>
          <t xml:space="preserve">Mazda</t>
        </is>
      </c>
      <c r="F4289" s="0" t="s">
        <v>28</v>
      </c>
      <c r="G4289" s="0" t="s">
        <v>29</v>
      </c>
      <c r="H4289" s="5">
        <v>367.778300</v>
      </c>
    </row>
    <row r="4290" spans="1:9">
      <c r="A4290" s="22" t="str">
        <f>HYPERLINK("https://app.vivvix.com/360/KMI/IntelliDrive/ApplUI/Pages/CreativePages/CustomReportCreativeDetail.aspx?App=23&amp;ReportView=4&amp;Qid=1711279&amp;Row=4282&amp;Col=1","No Title Assigned - #15268931582")</f>
        <v/>
      </c>
      <c r="B4290" s="0" t="s">
        <v>5988</v>
      </c>
      <c r="C4290" s="0" t="s">
        <v>5989</v>
      </c>
      <c r="D4290" s="0" t="s">
        <v>5989</v>
      </c>
      <c r="E4290" s="0" t="inlineStr">
        <is>
          <t xml:space="preserve">Mazda</t>
        </is>
      </c>
      <c r="F4290" s="0" t="s">
        <v>28</v>
      </c>
      <c r="G4290" s="0" t="s">
        <v>29</v>
      </c>
      <c r="H4290" s="5">
        <v>32.724100</v>
      </c>
    </row>
    <row r="4291" spans="1:9">
      <c r="A4291" s="22" t="str">
        <f>HYPERLINK("https://app.vivvix.com/360/KMI/IntelliDrive/ApplUI/Pages/CreativePages/CustomReportCreativeDetail.aspx?App=23&amp;ReportView=4&amp;Qid=1711279&amp;Row=4283&amp;Col=1","No Title Assigned - #15268931619")</f>
        <v/>
      </c>
      <c r="B4291" s="0" t="s">
        <v>5990</v>
      </c>
      <c r="C4291" s="0" t="s">
        <v>5991</v>
      </c>
      <c r="D4291" s="0" t="s">
        <v>5991</v>
      </c>
      <c r="E4291" s="0" t="inlineStr">
        <is>
          <t xml:space="preserve">Mazda</t>
        </is>
      </c>
      <c r="F4291" s="0" t="s">
        <v>13</v>
      </c>
      <c r="G4291" s="0" t="s">
        <v>49</v>
      </c>
      <c r="H4291" s="5">
        <v>4225.075700</v>
      </c>
    </row>
    <row r="4292" spans="1:9">
      <c r="A4292" s="22" t="str">
        <f>HYPERLINK("https://app.vivvix.com/360/KMI/IntelliDrive/ApplUI/Pages/CreativePages/CustomReportCreativeDetail.aspx?App=23&amp;ReportView=4&amp;Qid=1711279&amp;Row=4284&amp;Col=1","No Title Assigned - #15268931619")</f>
        <v/>
      </c>
      <c r="B4292" s="0" t="s">
        <v>5990</v>
      </c>
      <c r="C4292" s="0" t="s">
        <v>5992</v>
      </c>
      <c r="D4292" s="0" t="s">
        <v>5992</v>
      </c>
      <c r="E4292" s="0" t="inlineStr">
        <is>
          <t xml:space="preserve">Mazda</t>
        </is>
      </c>
      <c r="F4292" s="0" t="s">
        <v>13</v>
      </c>
      <c r="G4292" s="0" t="s">
        <v>49</v>
      </c>
      <c r="H4292" s="5">
        <v>12920.231000</v>
      </c>
    </row>
    <row r="4293" spans="1:9">
      <c r="A4293" s="22" t="str">
        <f>HYPERLINK("https://app.vivvix.com/360/KMI/IntelliDrive/ApplUI/Pages/CreativePages/CustomReportCreativeDetail.aspx?App=23&amp;ReportView=4&amp;Qid=1711279&amp;Row=4285&amp;Col=1","No Title Assigned - #15268932305")</f>
        <v/>
      </c>
      <c r="B4293" s="0" t="s">
        <v>5993</v>
      </c>
      <c r="C4293" s="0" t="s">
        <v>5994</v>
      </c>
      <c r="D4293" s="0" t="s">
        <v>5994</v>
      </c>
      <c r="E4293" s="0" t="inlineStr">
        <is>
          <t xml:space="preserve">Mazda</t>
        </is>
      </c>
      <c r="F4293" s="0" t="s">
        <v>28</v>
      </c>
      <c r="G4293" s="0" t="s">
        <v>29</v>
      </c>
      <c r="H4293" s="5">
        <v>212.152900</v>
      </c>
    </row>
    <row r="4294" spans="1:9">
      <c r="A4294" s="22" t="str">
        <f>HYPERLINK("https://app.vivvix.com/360/KMI/IntelliDrive/ApplUI/Pages/CreativePages/CustomReportCreativeDetail.aspx?App=23&amp;ReportView=4&amp;Qid=1711279&amp;Row=4286&amp;Col=1","No Title Assigned - #15268932741")</f>
        <v/>
      </c>
      <c r="B4294" s="0" t="s">
        <v>5995</v>
      </c>
      <c r="E4294" s="0" t="inlineStr">
        <is>
          <t xml:space="preserve">Mazda</t>
        </is>
      </c>
      <c r="F4294" s="0" t="inlineStr">
        <is>
          <t xml:space="preserve">Mazda</t>
        </is>
      </c>
      <c r="G4294" s="0" t="s">
        <v>171</v>
      </c>
      <c r="H4294" s="5">
        <v>1732.449000</v>
      </c>
    </row>
    <row r="4295" spans="1:9">
      <c r="A4295" s="22" t="str">
        <f>HYPERLINK("https://app.vivvix.com/360/KMI/IntelliDrive/ApplUI/Pages/CreativePages/CustomReportCreativeDetail.aspx?App=23&amp;ReportView=4&amp;Qid=1711279&amp;Row=4287&amp;Col=1","No Title Assigned - #15268933308")</f>
        <v/>
      </c>
      <c r="B4295" s="0" t="s">
        <v>5996</v>
      </c>
      <c r="E4295" s="0" t="inlineStr">
        <is>
          <t xml:space="preserve">Mazda</t>
        </is>
      </c>
      <c r="F4295" s="0" t="inlineStr">
        <is>
          <t xml:space="preserve">Mazda</t>
        </is>
      </c>
      <c r="G4295" s="0" t="s">
        <v>171</v>
      </c>
      <c r="H4295" s="5">
        <v>13.501200</v>
      </c>
    </row>
    <row r="4296" spans="1:9">
      <c r="A4296" s="22" t="str">
        <f>HYPERLINK("https://app.vivvix.com/360/KMI/IntelliDrive/ApplUI/Pages/CreativePages/CustomReportCreativeDetail.aspx?App=23&amp;ReportView=4&amp;Qid=1711279&amp;Row=4288&amp;Col=1","No Title Assigned - #15268933551")</f>
        <v/>
      </c>
      <c r="B4296" s="0" t="s">
        <v>5997</v>
      </c>
      <c r="C4296" s="0" t="s">
        <v>5998</v>
      </c>
      <c r="D4296" s="0" t="s">
        <v>5998</v>
      </c>
      <c r="E4296" s="0" t="inlineStr">
        <is>
          <t xml:space="preserve">Mazda</t>
        </is>
      </c>
      <c r="F4296" s="0" t="inlineStr">
        <is>
          <t xml:space="preserve">Mazda</t>
        </is>
      </c>
      <c r="G4296" s="0" t="s">
        <v>171</v>
      </c>
      <c r="H4296" s="5">
        <v>11590.103900</v>
      </c>
    </row>
    <row r="4297" spans="1:9">
      <c r="A4297" s="22" t="str">
        <f>HYPERLINK("https://app.vivvix.com/360/KMI/IntelliDrive/ApplUI/Pages/CreativePages/CustomReportCreativeDetail.aspx?App=23&amp;ReportView=4&amp;Qid=1711279&amp;Row=4289&amp;Col=1","No Title Assigned - #15268933551")</f>
        <v/>
      </c>
      <c r="B4297" s="0" t="s">
        <v>5997</v>
      </c>
      <c r="E4297" s="0" t="inlineStr">
        <is>
          <t xml:space="preserve">Mazda</t>
        </is>
      </c>
      <c r="F4297" s="0" t="inlineStr">
        <is>
          <t xml:space="preserve">Mazda</t>
        </is>
      </c>
      <c r="G4297" s="0" t="s">
        <v>171</v>
      </c>
      <c r="H4297" s="5">
        <v>10150.164600</v>
      </c>
    </row>
    <row r="4298" spans="1:9">
      <c r="A4298" s="22" t="str">
        <f>HYPERLINK("https://app.vivvix.com/360/KMI/IntelliDrive/ApplUI/Pages/CreativePages/CustomReportCreativeDetail.aspx?App=23&amp;ReportView=4&amp;Qid=1711279&amp;Row=4290&amp;Col=1","No Title Assigned - #15268933572")</f>
        <v/>
      </c>
      <c r="B4298" s="0" t="s">
        <v>5999</v>
      </c>
      <c r="E4298" s="0" t="inlineStr">
        <is>
          <t xml:space="preserve">Mazda</t>
        </is>
      </c>
      <c r="F4298" s="0" t="inlineStr">
        <is>
          <t xml:space="preserve">Mazda</t>
        </is>
      </c>
      <c r="G4298" s="0" t="s">
        <v>171</v>
      </c>
      <c r="H4298" s="5">
        <v>69.983200</v>
      </c>
    </row>
    <row r="4299" spans="1:9">
      <c r="A4299" s="22" t="str">
        <f>HYPERLINK("https://app.vivvix.com/360/KMI/IntelliDrive/ApplUI/Pages/CreativePages/CustomReportCreativeDetail.aspx?App=23&amp;ReportView=4&amp;Qid=1711279&amp;Row=4291&amp;Col=1","No Title Assigned - #15268933706")</f>
        <v/>
      </c>
      <c r="B4299" s="0" t="s">
        <v>6000</v>
      </c>
      <c r="E4299" s="0" t="inlineStr">
        <is>
          <t xml:space="preserve">Mazda</t>
        </is>
      </c>
      <c r="F4299" s="0" t="inlineStr">
        <is>
          <t xml:space="preserve">Mazda</t>
        </is>
      </c>
      <c r="G4299" s="0" t="s">
        <v>171</v>
      </c>
      <c r="H4299" s="5">
        <v>122.380800</v>
      </c>
    </row>
    <row r="4300" spans="1:9">
      <c r="A4300" s="22" t="str">
        <f>HYPERLINK("https://app.vivvix.com/360/KMI/IntelliDrive/ApplUI/Pages/CreativePages/CustomReportCreativeDetail.aspx?App=23&amp;ReportView=4&amp;Qid=1711279&amp;Row=4292&amp;Col=1","No Title Assigned - #15268933706")</f>
        <v/>
      </c>
      <c r="B4300" s="0" t="s">
        <v>6000</v>
      </c>
      <c r="E4300" s="0" t="inlineStr">
        <is>
          <t xml:space="preserve">Mazda</t>
        </is>
      </c>
      <c r="F4300" s="0" t="inlineStr">
        <is>
          <t xml:space="preserve">Mazda</t>
        </is>
      </c>
      <c r="G4300" s="0" t="s">
        <v>171</v>
      </c>
      <c r="H4300" s="5">
        <v>1128.649600</v>
      </c>
    </row>
    <row r="4301" spans="1:9">
      <c r="A4301" s="22" t="str">
        <f>HYPERLINK("https://app.vivvix.com/360/KMI/IntelliDrive/ApplUI/Pages/CreativePages/CustomReportCreativeDetail.aspx?App=23&amp;ReportView=4&amp;Qid=1711279&amp;Row=4293&amp;Col=1","No Title Assigned - #15268933830")</f>
        <v/>
      </c>
      <c r="B4301" s="0" t="s">
        <v>6001</v>
      </c>
      <c r="E4301" s="0" t="inlineStr">
        <is>
          <t xml:space="preserve">Mazda</t>
        </is>
      </c>
      <c r="F4301" s="0" t="inlineStr">
        <is>
          <t xml:space="preserve">Mazda</t>
        </is>
      </c>
      <c r="G4301" s="0" t="s">
        <v>171</v>
      </c>
      <c r="H4301" s="5">
        <v>46.521600</v>
      </c>
    </row>
    <row r="4302" spans="1:9">
      <c r="A4302" s="22" t="str">
        <f>HYPERLINK("https://app.vivvix.com/360/KMI/IntelliDrive/ApplUI/Pages/CreativePages/CustomReportCreativeDetail.aspx?App=23&amp;ReportView=4&amp;Qid=1711279&amp;Row=4294&amp;Col=1","No Title Assigned - #15268933856")</f>
        <v/>
      </c>
      <c r="B4302" s="0" t="s">
        <v>6002</v>
      </c>
      <c r="E4302" s="0" t="inlineStr">
        <is>
          <t xml:space="preserve">Mazda</t>
        </is>
      </c>
      <c r="F4302" s="0" t="inlineStr">
        <is>
          <t xml:space="preserve">Mazda</t>
        </is>
      </c>
      <c r="G4302" s="0" t="s">
        <v>171</v>
      </c>
      <c r="H4302" s="5">
        <v>373.403300</v>
      </c>
    </row>
    <row r="4303" spans="1:9">
      <c r="A4303" s="22" t="str">
        <f>HYPERLINK("https://app.vivvix.com/360/KMI/IntelliDrive/ApplUI/Pages/CreativePages/CustomReportCreativeDetail.aspx?App=23&amp;ReportView=4&amp;Qid=1711279&amp;Row=4295&amp;Col=1","No Title Assigned - #15268933862")</f>
        <v/>
      </c>
      <c r="B4303" s="0" t="s">
        <v>6003</v>
      </c>
      <c r="C4303" s="0" t="s">
        <v>6004</v>
      </c>
      <c r="D4303" s="0" t="s">
        <v>6004</v>
      </c>
      <c r="E4303" s="0" t="inlineStr">
        <is>
          <t xml:space="preserve">Mazda</t>
        </is>
      </c>
      <c r="F4303" s="0" t="inlineStr">
        <is>
          <t xml:space="preserve">Mazda</t>
        </is>
      </c>
      <c r="G4303" s="0" t="s">
        <v>171</v>
      </c>
      <c r="H4303" s="5">
        <v>120.390900</v>
      </c>
    </row>
    <row r="4304" spans="1:9">
      <c r="A4304" s="22" t="str">
        <f>HYPERLINK("https://app.vivvix.com/360/KMI/IntelliDrive/ApplUI/Pages/CreativePages/CustomReportCreativeDetail.aspx?App=23&amp;ReportView=4&amp;Qid=1711279&amp;Row=4296&amp;Col=1","No Title Assigned - #15268934081")</f>
        <v/>
      </c>
      <c r="B4304" s="0" t="s">
        <v>6005</v>
      </c>
      <c r="E4304" s="0" t="inlineStr">
        <is>
          <t xml:space="preserve">Mazda</t>
        </is>
      </c>
      <c r="F4304" s="0" t="inlineStr">
        <is>
          <t xml:space="preserve">Mazda</t>
        </is>
      </c>
      <c r="G4304" s="0" t="s">
        <v>171</v>
      </c>
      <c r="H4304" s="5">
        <v>34.926600</v>
      </c>
    </row>
    <row r="4305" spans="1:9">
      <c r="A4305" s="22" t="str">
        <f>HYPERLINK("https://app.vivvix.com/360/KMI/IntelliDrive/ApplUI/Pages/CreativePages/CustomReportCreativeDetail.aspx?App=23&amp;ReportView=4&amp;Qid=1711279&amp;Row=4297&amp;Col=1","No Title Assigned - #15268934142")</f>
        <v/>
      </c>
      <c r="B4305" s="0" t="s">
        <v>6006</v>
      </c>
      <c r="E4305" s="0" t="inlineStr">
        <is>
          <t xml:space="preserve">Mazda</t>
        </is>
      </c>
      <c r="F4305" s="0" t="inlineStr">
        <is>
          <t xml:space="preserve">Mazda</t>
        </is>
      </c>
      <c r="G4305" s="0" t="s">
        <v>171</v>
      </c>
      <c r="H4305" s="5">
        <v>8.973800</v>
      </c>
    </row>
    <row r="4306" spans="1:9">
      <c r="A4306" s="22" t="str">
        <f>HYPERLINK("https://app.vivvix.com/360/KMI/IntelliDrive/ApplUI/Pages/CreativePages/CustomReportCreativeDetail.aspx?App=23&amp;ReportView=4&amp;Qid=1711279&amp;Row=4298&amp;Col=1","No Title Assigned - #15268934160")</f>
        <v/>
      </c>
      <c r="B4306" s="0" t="s">
        <v>6007</v>
      </c>
      <c r="C4306" s="0" t="s">
        <v>6008</v>
      </c>
      <c r="D4306" s="0" t="s">
        <v>6008</v>
      </c>
      <c r="E4306" s="0" t="inlineStr">
        <is>
          <t xml:space="preserve">Mazda</t>
        </is>
      </c>
      <c r="F4306" s="0" t="inlineStr">
        <is>
          <t xml:space="preserve">Mazda</t>
        </is>
      </c>
      <c r="G4306" s="0" t="s">
        <v>171</v>
      </c>
      <c r="H4306" s="5">
        <v>4.323200</v>
      </c>
    </row>
    <row r="4307" spans="1:9">
      <c r="A4307" s="22" t="str">
        <f>HYPERLINK("https://app.vivvix.com/360/KMI/IntelliDrive/ApplUI/Pages/CreativePages/CustomReportCreativeDetail.aspx?App=23&amp;ReportView=4&amp;Qid=1711279&amp;Row=4299&amp;Col=1","No Title Assigned - #15268934274")</f>
        <v/>
      </c>
      <c r="B4307" s="0" t="s">
        <v>6009</v>
      </c>
      <c r="E4307" s="0" t="inlineStr">
        <is>
          <t xml:space="preserve">Mazda</t>
        </is>
      </c>
      <c r="F4307" s="0" t="inlineStr">
        <is>
          <t xml:space="preserve">Mazda</t>
        </is>
      </c>
      <c r="G4307" s="0" t="s">
        <v>171</v>
      </c>
      <c r="H4307" s="5">
        <v>91.943600</v>
      </c>
    </row>
    <row r="4308" spans="1:9">
      <c r="A4308" s="22" t="str">
        <f>HYPERLINK("https://app.vivvix.com/360/KMI/IntelliDrive/ApplUI/Pages/CreativePages/CustomReportCreativeDetail.aspx?App=23&amp;ReportView=4&amp;Qid=1711279&amp;Row=4300&amp;Col=1","No Title Assigned - #15268934275")</f>
        <v/>
      </c>
      <c r="B4308" s="0" t="s">
        <v>6010</v>
      </c>
      <c r="C4308" s="0" t="s">
        <v>6011</v>
      </c>
      <c r="D4308" s="0" t="s">
        <v>6011</v>
      </c>
      <c r="E4308" s="0" t="inlineStr">
        <is>
          <t xml:space="preserve">Mazda</t>
        </is>
      </c>
      <c r="F4308" s="0" t="inlineStr">
        <is>
          <t xml:space="preserve">Mazda</t>
        </is>
      </c>
      <c r="G4308" s="0" t="s">
        <v>171</v>
      </c>
      <c r="H4308" s="5">
        <v>945.055700</v>
      </c>
    </row>
    <row r="4309" spans="1:9">
      <c r="A4309" s="22" t="str">
        <f>HYPERLINK("https://app.vivvix.com/360/KMI/IntelliDrive/ApplUI/Pages/CreativePages/CustomReportCreativeDetail.aspx?App=23&amp;ReportView=4&amp;Qid=1711279&amp;Row=4301&amp;Col=1","No Title Assigned - #15268934275")</f>
        <v/>
      </c>
      <c r="B4309" s="0" t="s">
        <v>6010</v>
      </c>
      <c r="E4309" s="0" t="inlineStr">
        <is>
          <t xml:space="preserve">Mazda</t>
        </is>
      </c>
      <c r="F4309" s="0" t="inlineStr">
        <is>
          <t xml:space="preserve">Mazda</t>
        </is>
      </c>
      <c r="G4309" s="0" t="s">
        <v>171</v>
      </c>
      <c r="H4309" s="5">
        <v>873.708900</v>
      </c>
    </row>
    <row r="4310" spans="1:9">
      <c r="A4310" s="22" t="str">
        <f>HYPERLINK("https://app.vivvix.com/360/KMI/IntelliDrive/ApplUI/Pages/CreativePages/CustomReportCreativeDetail.aspx?App=23&amp;ReportView=4&amp;Qid=1711279&amp;Row=4302&amp;Col=1","No Title Assigned - #15268934302")</f>
        <v/>
      </c>
      <c r="B4310" s="0" t="s">
        <v>6012</v>
      </c>
      <c r="E4310" s="0" t="inlineStr">
        <is>
          <t xml:space="preserve">Mazda</t>
        </is>
      </c>
      <c r="F4310" s="0" t="inlineStr">
        <is>
          <t xml:space="preserve">Mazda</t>
        </is>
      </c>
      <c r="G4310" s="0" t="s">
        <v>171</v>
      </c>
      <c r="H4310" s="5">
        <v>19.917600</v>
      </c>
    </row>
    <row r="4311" spans="1:9">
      <c r="A4311" s="22" t="str">
        <f>HYPERLINK("https://app.vivvix.com/360/KMI/IntelliDrive/ApplUI/Pages/CreativePages/CustomReportCreativeDetail.aspx?App=23&amp;ReportView=4&amp;Qid=1711279&amp;Row=4303&amp;Col=1","No Title Assigned - #15268934931")</f>
        <v/>
      </c>
      <c r="B4311" s="0" t="s">
        <v>6013</v>
      </c>
      <c r="E4311" s="0" t="inlineStr">
        <is>
          <t xml:space="preserve">Mazda</t>
        </is>
      </c>
      <c r="F4311" s="0" t="inlineStr">
        <is>
          <t xml:space="preserve">Mazda</t>
        </is>
      </c>
      <c r="G4311" s="0" t="s">
        <v>171</v>
      </c>
      <c r="H4311" s="5">
        <v>151.057800</v>
      </c>
    </row>
    <row r="4312" spans="1:9">
      <c r="A4312" s="22" t="str">
        <f>HYPERLINK("https://app.vivvix.com/360/KMI/IntelliDrive/ApplUI/Pages/CreativePages/CustomReportCreativeDetail.aspx?App=23&amp;ReportView=4&amp;Qid=1711279&amp;Row=4304&amp;Col=1","No Title Assigned - #15268934960")</f>
        <v/>
      </c>
      <c r="B4312" s="0" t="s">
        <v>6014</v>
      </c>
      <c r="E4312" s="0" t="inlineStr">
        <is>
          <t xml:space="preserve">Mazda</t>
        </is>
      </c>
      <c r="F4312" s="0" t="inlineStr">
        <is>
          <t xml:space="preserve">Mazda</t>
        </is>
      </c>
      <c r="G4312" s="0" t="s">
        <v>171</v>
      </c>
      <c r="H4312" s="5">
        <v>12.157100</v>
      </c>
    </row>
    <row r="4313" spans="1:9">
      <c r="A4313" s="22" t="str">
        <f>HYPERLINK("https://app.vivvix.com/360/KMI/IntelliDrive/ApplUI/Pages/CreativePages/CustomReportCreativeDetail.aspx?App=23&amp;ReportView=4&amp;Qid=1711279&amp;Row=4305&amp;Col=1","No Title Assigned - #15268935014")</f>
        <v/>
      </c>
      <c r="B4313" s="0" t="s">
        <v>6015</v>
      </c>
      <c r="E4313" s="0" t="inlineStr">
        <is>
          <t xml:space="preserve">Mazda</t>
        </is>
      </c>
      <c r="F4313" s="0" t="inlineStr">
        <is>
          <t xml:space="preserve">Mazda</t>
        </is>
      </c>
      <c r="G4313" s="0" t="s">
        <v>171</v>
      </c>
      <c r="H4313" s="5">
        <v>128849.532000</v>
      </c>
    </row>
    <row r="4314" spans="1:9">
      <c r="A4314" s="22" t="str">
        <f>HYPERLINK("https://app.vivvix.com/360/KMI/IntelliDrive/ApplUI/Pages/CreativePages/CustomReportCreativeDetail.aspx?App=23&amp;ReportView=4&amp;Qid=1711279&amp;Row=4306&amp;Col=1","No Title Assigned - #15268935297")</f>
        <v/>
      </c>
      <c r="B4314" s="0" t="s">
        <v>6016</v>
      </c>
      <c r="E4314" s="0" t="inlineStr">
        <is>
          <t xml:space="preserve">Mazda</t>
        </is>
      </c>
      <c r="F4314" s="0" t="inlineStr">
        <is>
          <t xml:space="preserve">Mazda</t>
        </is>
      </c>
      <c r="G4314" s="0" t="s">
        <v>171</v>
      </c>
      <c r="H4314" s="5">
        <v>30.089900</v>
      </c>
    </row>
    <row r="4315" spans="1:9">
      <c r="A4315" s="22" t="str">
        <f>HYPERLINK("https://app.vivvix.com/360/KMI/IntelliDrive/ApplUI/Pages/CreativePages/CustomReportCreativeDetail.aspx?App=23&amp;ReportView=4&amp;Qid=1711279&amp;Row=4307&amp;Col=1","No Title Assigned - #15268935640")</f>
        <v/>
      </c>
      <c r="B4315" s="0" t="s">
        <v>6017</v>
      </c>
      <c r="E4315" s="0" t="inlineStr">
        <is>
          <t xml:space="preserve">Mazda</t>
        </is>
      </c>
      <c r="F4315" s="0" t="inlineStr">
        <is>
          <t xml:space="preserve">Mazda</t>
        </is>
      </c>
      <c r="G4315" s="0" t="s">
        <v>171</v>
      </c>
      <c r="H4315" s="5">
        <v>300.908500</v>
      </c>
    </row>
    <row r="4316" spans="1:9">
      <c r="A4316" s="22" t="str">
        <f>HYPERLINK("https://app.vivvix.com/360/KMI/IntelliDrive/ApplUI/Pages/CreativePages/CustomReportCreativeDetail.aspx?App=23&amp;ReportView=4&amp;Qid=1711279&amp;Row=4308&amp;Col=1","No Title Assigned - #15268935843")</f>
        <v/>
      </c>
      <c r="B4316" s="0" t="s">
        <v>6018</v>
      </c>
      <c r="E4316" s="0" t="inlineStr">
        <is>
          <t xml:space="preserve">Mazda</t>
        </is>
      </c>
      <c r="F4316" s="0" t="inlineStr">
        <is>
          <t xml:space="preserve">Mazda</t>
        </is>
      </c>
      <c r="G4316" s="0" t="s">
        <v>171</v>
      </c>
      <c r="H4316" s="5">
        <v>23.438200</v>
      </c>
    </row>
    <row r="4317" spans="1:9">
      <c r="A4317" s="22" t="str">
        <f>HYPERLINK("https://app.vivvix.com/360/KMI/IntelliDrive/ApplUI/Pages/CreativePages/CustomReportCreativeDetail.aspx?App=23&amp;ReportView=4&amp;Qid=1711279&amp;Row=4309&amp;Col=1","No Title Assigned - #15268935989")</f>
        <v/>
      </c>
      <c r="B4317" s="0" t="s">
        <v>6019</v>
      </c>
      <c r="E4317" s="0" t="inlineStr">
        <is>
          <t xml:space="preserve">Mazda</t>
        </is>
      </c>
      <c r="F4317" s="0" t="inlineStr">
        <is>
          <t xml:space="preserve">Mazda</t>
        </is>
      </c>
      <c r="G4317" s="0" t="s">
        <v>171</v>
      </c>
      <c r="H4317" s="5">
        <v>30685.000000</v>
      </c>
    </row>
    <row r="4318" spans="1:9">
      <c r="A4318" s="22" t="str">
        <f>HYPERLINK("https://app.vivvix.com/360/KMI/IntelliDrive/ApplUI/Pages/CreativePages/CustomReportCreativeDetail.aspx?App=23&amp;ReportView=4&amp;Qid=1711279&amp;Row=4310&amp;Col=1","No Title Assigned - #15268936053")</f>
        <v/>
      </c>
      <c r="B4318" s="0" t="s">
        <v>6020</v>
      </c>
      <c r="E4318" s="0" t="inlineStr">
        <is>
          <t xml:space="preserve">Mazda</t>
        </is>
      </c>
      <c r="F4318" s="0" t="inlineStr">
        <is>
          <t xml:space="preserve">Mazda</t>
        </is>
      </c>
      <c r="G4318" s="0" t="s">
        <v>171</v>
      </c>
      <c r="H4318" s="5">
        <v>280.206700</v>
      </c>
    </row>
    <row r="4319" spans="1:9">
      <c r="A4319" s="22" t="str">
        <f>HYPERLINK("https://app.vivvix.com/360/KMI/IntelliDrive/ApplUI/Pages/CreativePages/CustomReportCreativeDetail.aspx?App=23&amp;ReportView=4&amp;Qid=1711279&amp;Row=4311&amp;Col=1","No Title Assigned - #15268936438")</f>
        <v/>
      </c>
      <c r="B4319" s="0" t="s">
        <v>6021</v>
      </c>
      <c r="E4319" s="0" t="inlineStr">
        <is>
          <t xml:space="preserve">Mazda</t>
        </is>
      </c>
      <c r="F4319" s="0" t="inlineStr">
        <is>
          <t xml:space="preserve">Mazda</t>
        </is>
      </c>
      <c r="G4319" s="0" t="s">
        <v>171</v>
      </c>
      <c r="H4319" s="5">
        <v>331.963800</v>
      </c>
    </row>
    <row r="4320" spans="1:9">
      <c r="A4320" s="22" t="str">
        <f>HYPERLINK("https://app.vivvix.com/360/KMI/IntelliDrive/ApplUI/Pages/CreativePages/CustomReportCreativeDetail.aspx?App=23&amp;ReportView=4&amp;Qid=1711279&amp;Row=4312&amp;Col=1","No Title Assigned - #15268937038")</f>
        <v/>
      </c>
      <c r="B4320" s="0" t="s">
        <v>6022</v>
      </c>
      <c r="E4320" s="0" t="inlineStr">
        <is>
          <t xml:space="preserve">Mazda</t>
        </is>
      </c>
      <c r="F4320" s="0" t="inlineStr">
        <is>
          <t xml:space="preserve">Mazda</t>
        </is>
      </c>
      <c r="G4320" s="0" t="s">
        <v>171</v>
      </c>
      <c r="H4320" s="5">
        <v>1.711700</v>
      </c>
    </row>
    <row r="4321" spans="1:9">
      <c r="A4321" s="22" t="str">
        <f>HYPERLINK("https://app.vivvix.com/360/KMI/IntelliDrive/ApplUI/Pages/CreativePages/CustomReportCreativeDetail.aspx?App=23&amp;ReportView=4&amp;Qid=1711279&amp;Row=4313&amp;Col=1","No Title Assigned - #15268937063")</f>
        <v/>
      </c>
      <c r="B4321" s="0" t="s">
        <v>6023</v>
      </c>
      <c r="E4321" s="0" t="inlineStr">
        <is>
          <t xml:space="preserve">Mazda</t>
        </is>
      </c>
      <c r="F4321" s="0" t="inlineStr">
        <is>
          <t xml:space="preserve">Mazda</t>
        </is>
      </c>
      <c r="G4321" s="0" t="s">
        <v>171</v>
      </c>
      <c r="H4321" s="5">
        <v>6.281100</v>
      </c>
    </row>
    <row r="4322" spans="1:9">
      <c r="A4322" s="22" t="str">
        <f>HYPERLINK("https://app.vivvix.com/360/KMI/IntelliDrive/ApplUI/Pages/CreativePages/CustomReportCreativeDetail.aspx?App=23&amp;ReportView=4&amp;Qid=1711279&amp;Row=4314&amp;Col=1","No Title Assigned - #15268937089")</f>
        <v/>
      </c>
      <c r="B4322" s="0" t="s">
        <v>6024</v>
      </c>
      <c r="E4322" s="0" t="inlineStr">
        <is>
          <t xml:space="preserve">Mazda</t>
        </is>
      </c>
      <c r="F4322" s="0" t="inlineStr">
        <is>
          <t xml:space="preserve">Mazda</t>
        </is>
      </c>
      <c r="G4322" s="0" t="s">
        <v>171</v>
      </c>
      <c r="H4322" s="5">
        <v>70.741200</v>
      </c>
    </row>
    <row r="4323" spans="1:9">
      <c r="A4323" s="22" t="str">
        <f>HYPERLINK("https://app.vivvix.com/360/KMI/IntelliDrive/ApplUI/Pages/CreativePages/CustomReportCreativeDetail.aspx?App=23&amp;ReportView=4&amp;Qid=1711279&amp;Row=4315&amp;Col=1","No Title Assigned - #15268937212")</f>
        <v/>
      </c>
      <c r="B4323" s="0" t="s">
        <v>6025</v>
      </c>
      <c r="E4323" s="0" t="inlineStr">
        <is>
          <t xml:space="preserve">Mazda</t>
        </is>
      </c>
      <c r="F4323" s="0" t="inlineStr">
        <is>
          <t xml:space="preserve">Mazda</t>
        </is>
      </c>
      <c r="G4323" s="0" t="s">
        <v>171</v>
      </c>
      <c r="H4323" s="5">
        <v>55149.943000</v>
      </c>
    </row>
    <row r="4324" spans="1:9">
      <c r="A4324" s="22" t="str">
        <f>HYPERLINK("https://app.vivvix.com/360/KMI/IntelliDrive/ApplUI/Pages/CreativePages/CustomReportCreativeDetail.aspx?App=23&amp;ReportView=4&amp;Qid=1711279&amp;Row=4316&amp;Col=1","No Title Assigned - #15268937212")</f>
        <v/>
      </c>
      <c r="B4324" s="0" t="s">
        <v>6025</v>
      </c>
      <c r="E4324" s="0" t="inlineStr">
        <is>
          <t xml:space="preserve">Mazda</t>
        </is>
      </c>
      <c r="F4324" s="0" t="inlineStr">
        <is>
          <t xml:space="preserve">Mazda</t>
        </is>
      </c>
      <c r="G4324" s="0" t="s">
        <v>171</v>
      </c>
      <c r="H4324" s="5">
        <v>35965.440900</v>
      </c>
    </row>
    <row r="4325" spans="1:9">
      <c r="A4325" s="22" t="str">
        <f>HYPERLINK("https://app.vivvix.com/360/KMI/IntelliDrive/ApplUI/Pages/CreativePages/CustomReportCreativeDetail.aspx?App=23&amp;ReportView=4&amp;Qid=1711279&amp;Row=4317&amp;Col=1","No Title Assigned - #15268937372")</f>
        <v/>
      </c>
      <c r="B4325" s="0" t="s">
        <v>6026</v>
      </c>
      <c r="E4325" s="0" t="inlineStr">
        <is>
          <t xml:space="preserve">Mazda</t>
        </is>
      </c>
      <c r="F4325" s="0" t="inlineStr">
        <is>
          <t xml:space="preserve">Mazda</t>
        </is>
      </c>
      <c r="G4325" s="0" t="s">
        <v>171</v>
      </c>
      <c r="H4325" s="5">
        <v>4.228300</v>
      </c>
    </row>
    <row r="4326" spans="1:9">
      <c r="A4326" s="22" t="str">
        <f>HYPERLINK("https://app.vivvix.com/360/KMI/IntelliDrive/ApplUI/Pages/CreativePages/CustomReportCreativeDetail.aspx?App=23&amp;ReportView=4&amp;Qid=1711279&amp;Row=4318&amp;Col=1","No Title Assigned - #15268937986")</f>
        <v/>
      </c>
      <c r="B4326" s="0" t="s">
        <v>6027</v>
      </c>
      <c r="E4326" s="0" t="inlineStr">
        <is>
          <t xml:space="preserve">Mazda</t>
        </is>
      </c>
      <c r="F4326" s="0" t="inlineStr">
        <is>
          <t xml:space="preserve">Mazda</t>
        </is>
      </c>
      <c r="G4326" s="0" t="s">
        <v>171</v>
      </c>
      <c r="H4326" s="5">
        <v>272.361300</v>
      </c>
    </row>
    <row r="4327" spans="1:9">
      <c r="A4327" s="22" t="str">
        <f>HYPERLINK("https://app.vivvix.com/360/KMI/IntelliDrive/ApplUI/Pages/CreativePages/CustomReportCreativeDetail.aspx?App=23&amp;ReportView=4&amp;Qid=1711279&amp;Row=4319&amp;Col=1","No Title Assigned - #15268938850")</f>
        <v/>
      </c>
      <c r="B4327" s="0" t="s">
        <v>6028</v>
      </c>
      <c r="E4327" s="0" t="inlineStr">
        <is>
          <t xml:space="preserve">Mazda</t>
        </is>
      </c>
      <c r="F4327" s="0" t="inlineStr">
        <is>
          <t xml:space="preserve">Mazda</t>
        </is>
      </c>
      <c r="G4327" s="0" t="s">
        <v>171</v>
      </c>
      <c r="H4327" s="5">
        <v>196.345200</v>
      </c>
    </row>
    <row r="4328" spans="1:9">
      <c r="A4328" s="22" t="str">
        <f>HYPERLINK("https://app.vivvix.com/360/KMI/IntelliDrive/ApplUI/Pages/CreativePages/CustomReportCreativeDetail.aspx?App=23&amp;ReportView=4&amp;Qid=1711279&amp;Row=4320&amp;Col=1","No Title Assigned - #15268939066")</f>
        <v/>
      </c>
      <c r="B4328" s="0" t="s">
        <v>6029</v>
      </c>
      <c r="E4328" s="0" t="inlineStr">
        <is>
          <t xml:space="preserve">Mazda</t>
        </is>
      </c>
      <c r="F4328" s="0" t="inlineStr">
        <is>
          <t xml:space="preserve">Mazda</t>
        </is>
      </c>
      <c r="G4328" s="0" t="s">
        <v>171</v>
      </c>
      <c r="H4328" s="5">
        <v>111.172500</v>
      </c>
    </row>
    <row r="4329" spans="1:9">
      <c r="A4329" s="22" t="str">
        <f>HYPERLINK("https://app.vivvix.com/360/KMI/IntelliDrive/ApplUI/Pages/CreativePages/CustomReportCreativeDetail.aspx?App=23&amp;ReportView=4&amp;Qid=1711279&amp;Row=4321&amp;Col=1","No Title Assigned - #15268939363")</f>
        <v/>
      </c>
      <c r="B4329" s="0" t="s">
        <v>6030</v>
      </c>
      <c r="E4329" s="0" t="inlineStr">
        <is>
          <t xml:space="preserve">Mazda</t>
        </is>
      </c>
      <c r="F4329" s="0" t="inlineStr">
        <is>
          <t xml:space="preserve">Mazda</t>
        </is>
      </c>
      <c r="G4329" s="0" t="s">
        <v>171</v>
      </c>
      <c r="H4329" s="5">
        <v>8261.533900</v>
      </c>
    </row>
    <row r="4330" spans="1:9">
      <c r="A4330" s="22" t="str">
        <f>HYPERLINK("https://app.vivvix.com/360/KMI/IntelliDrive/ApplUI/Pages/CreativePages/CustomReportCreativeDetail.aspx?App=23&amp;ReportView=4&amp;Qid=1711279&amp;Row=4322&amp;Col=1","No Title Assigned - #15268939471")</f>
        <v/>
      </c>
      <c r="B4330" s="0" t="s">
        <v>6031</v>
      </c>
      <c r="E4330" s="0" t="inlineStr">
        <is>
          <t xml:space="preserve">Mazda</t>
        </is>
      </c>
      <c r="F4330" s="0" t="inlineStr">
        <is>
          <t xml:space="preserve">Mazda</t>
        </is>
      </c>
      <c r="G4330" s="0" t="s">
        <v>171</v>
      </c>
      <c r="H4330" s="5">
        <v>5793.230200</v>
      </c>
    </row>
    <row r="4331" spans="1:9">
      <c r="A4331" s="22" t="str">
        <f>HYPERLINK("https://app.vivvix.com/360/KMI/IntelliDrive/ApplUI/Pages/CreativePages/CustomReportCreativeDetail.aspx?App=23&amp;ReportView=4&amp;Qid=1711279&amp;Row=4323&amp;Col=1","No Title Assigned - #15268939471")</f>
        <v/>
      </c>
      <c r="B4331" s="0" t="s">
        <v>6031</v>
      </c>
      <c r="E4331" s="0" t="inlineStr">
        <is>
          <t xml:space="preserve">Mazda</t>
        </is>
      </c>
      <c r="F4331" s="0" t="inlineStr">
        <is>
          <t xml:space="preserve">Mazda</t>
        </is>
      </c>
      <c r="G4331" s="0" t="s">
        <v>171</v>
      </c>
      <c r="H4331" s="5">
        <v>3319.620900</v>
      </c>
    </row>
    <row r="4332" spans="1:9">
      <c r="A4332" s="22" t="str">
        <f>HYPERLINK("https://app.vivvix.com/360/KMI/IntelliDrive/ApplUI/Pages/CreativePages/CustomReportCreativeDetail.aspx?App=23&amp;ReportView=4&amp;Qid=1711279&amp;Row=4324&amp;Col=1","No Title Assigned - #15268939625")</f>
        <v/>
      </c>
      <c r="B4332" s="0" t="s">
        <v>6032</v>
      </c>
      <c r="E4332" s="0" t="inlineStr">
        <is>
          <t xml:space="preserve">Mazda</t>
        </is>
      </c>
      <c r="F4332" s="0" t="inlineStr">
        <is>
          <t xml:space="preserve">Mazda</t>
        </is>
      </c>
      <c r="G4332" s="0" t="s">
        <v>171</v>
      </c>
      <c r="H4332" s="5">
        <v>2.888400</v>
      </c>
    </row>
    <row r="4333" spans="1:9">
      <c r="A4333" s="22" t="str">
        <f>HYPERLINK("https://app.vivvix.com/360/KMI/IntelliDrive/ApplUI/Pages/CreativePages/CustomReportCreativeDetail.aspx?App=23&amp;ReportView=4&amp;Qid=1711279&amp;Row=4325&amp;Col=1","No Title Assigned - #15268940406")</f>
        <v/>
      </c>
      <c r="B4333" s="0" t="s">
        <v>6033</v>
      </c>
      <c r="C4333" s="0" t="s">
        <v>6034</v>
      </c>
      <c r="D4333" s="0" t="s">
        <v>6034</v>
      </c>
      <c r="E4333" s="0" t="inlineStr">
        <is>
          <t xml:space="preserve">Mazda</t>
        </is>
      </c>
      <c r="F4333" s="0" t="s">
        <v>13</v>
      </c>
      <c r="G4333" s="0" t="s">
        <v>49</v>
      </c>
      <c r="H4333" s="5">
        <v>15017.028100</v>
      </c>
    </row>
    <row r="4334" spans="1:9">
      <c r="A4334" s="22" t="str">
        <f>HYPERLINK("https://app.vivvix.com/360/KMI/IntelliDrive/ApplUI/Pages/CreativePages/CustomReportCreativeDetail.aspx?App=23&amp;ReportView=4&amp;Qid=1711279&amp;Row=4326&amp;Col=1","No Title Assigned - #15268940414")</f>
        <v/>
      </c>
      <c r="B4334" s="0" t="s">
        <v>6035</v>
      </c>
      <c r="E4334" s="0" t="inlineStr">
        <is>
          <t xml:space="preserve">Mazda</t>
        </is>
      </c>
      <c r="F4334" s="0" t="inlineStr">
        <is>
          <t xml:space="preserve">Mazda</t>
        </is>
      </c>
      <c r="G4334" s="0" t="s">
        <v>171</v>
      </c>
      <c r="H4334" s="5">
        <v>24.422800</v>
      </c>
    </row>
    <row r="4335" spans="1:9">
      <c r="A4335" s="22" t="str">
        <f>HYPERLINK("https://app.vivvix.com/360/KMI/IntelliDrive/ApplUI/Pages/CreativePages/CustomReportCreativeDetail.aspx?App=23&amp;ReportView=4&amp;Qid=1711279&amp;Row=4327&amp;Col=1","No Title Assigned - #15268940470")</f>
        <v/>
      </c>
      <c r="B4335" s="0" t="s">
        <v>6036</v>
      </c>
      <c r="E4335" s="0" t="inlineStr">
        <is>
          <t xml:space="preserve">Mazda</t>
        </is>
      </c>
      <c r="F4335" s="0" t="inlineStr">
        <is>
          <t xml:space="preserve">Mazda</t>
        </is>
      </c>
      <c r="G4335" s="0" t="s">
        <v>171</v>
      </c>
      <c r="H4335" s="5">
        <v>36.504000</v>
      </c>
    </row>
    <row r="4336" spans="1:9">
      <c r="A4336" s="22" t="str">
        <f>HYPERLINK("https://app.vivvix.com/360/KMI/IntelliDrive/ApplUI/Pages/CreativePages/CustomReportCreativeDetail.aspx?App=23&amp;ReportView=4&amp;Qid=1711279&amp;Row=4328&amp;Col=1","No Title Assigned - #15268940537")</f>
        <v/>
      </c>
      <c r="B4336" s="0" t="s">
        <v>6037</v>
      </c>
      <c r="E4336" s="0" t="inlineStr">
        <is>
          <t xml:space="preserve">Mazda</t>
        </is>
      </c>
      <c r="F4336" s="0" t="inlineStr">
        <is>
          <t xml:space="preserve">Mazda</t>
        </is>
      </c>
      <c r="G4336" s="0" t="s">
        <v>171</v>
      </c>
      <c r="H4336" s="5">
        <v>1257.352300</v>
      </c>
    </row>
    <row r="4337" spans="1:9">
      <c r="A4337" s="22" t="str">
        <f>HYPERLINK("https://app.vivvix.com/360/KMI/IntelliDrive/ApplUI/Pages/CreativePages/CustomReportCreativeDetail.aspx?App=23&amp;ReportView=4&amp;Qid=1711279&amp;Row=4329&amp;Col=1","No Title Assigned - #15268940537")</f>
        <v/>
      </c>
      <c r="B4337" s="0" t="s">
        <v>6037</v>
      </c>
      <c r="E4337" s="0" t="inlineStr">
        <is>
          <t xml:space="preserve">Mazda</t>
        </is>
      </c>
      <c r="F4337" s="0" t="inlineStr">
        <is>
          <t xml:space="preserve">Mazda</t>
        </is>
      </c>
      <c r="G4337" s="0" t="s">
        <v>171</v>
      </c>
      <c r="H4337" s="5">
        <v>39.927000</v>
      </c>
    </row>
    <row r="4338" spans="1:9">
      <c r="A4338" s="22" t="str">
        <f>HYPERLINK("https://app.vivvix.com/360/KMI/IntelliDrive/ApplUI/Pages/CreativePages/CustomReportCreativeDetail.aspx?App=23&amp;ReportView=4&amp;Qid=1711279&amp;Row=4330&amp;Col=1","No Title Assigned - #15268940655")</f>
        <v/>
      </c>
      <c r="B4338" s="0" t="s">
        <v>6038</v>
      </c>
      <c r="E4338" s="0" t="inlineStr">
        <is>
          <t xml:space="preserve">Mazda</t>
        </is>
      </c>
      <c r="F4338" s="0" t="inlineStr">
        <is>
          <t xml:space="preserve">Mazda</t>
        </is>
      </c>
      <c r="G4338" s="0" t="s">
        <v>171</v>
      </c>
      <c r="H4338" s="5">
        <v>48.603000</v>
      </c>
    </row>
    <row r="4339" spans="1:9">
      <c r="A4339" s="22" t="str">
        <f>HYPERLINK("https://app.vivvix.com/360/KMI/IntelliDrive/ApplUI/Pages/CreativePages/CustomReportCreativeDetail.aspx?App=23&amp;ReportView=4&amp;Qid=1711279&amp;Row=4331&amp;Col=1","No Title Assigned - #15268940829")</f>
        <v/>
      </c>
      <c r="B4339" s="0" t="s">
        <v>6039</v>
      </c>
      <c r="E4339" s="0" t="inlineStr">
        <is>
          <t xml:space="preserve">Mazda</t>
        </is>
      </c>
      <c r="F4339" s="0" t="inlineStr">
        <is>
          <t xml:space="preserve">Mazda</t>
        </is>
      </c>
      <c r="G4339" s="0" t="s">
        <v>171</v>
      </c>
      <c r="H4339" s="5">
        <v>205.053700</v>
      </c>
    </row>
    <row r="4340" spans="1:9">
      <c r="A4340" s="22" t="str">
        <f>HYPERLINK("https://app.vivvix.com/360/KMI/IntelliDrive/ApplUI/Pages/CreativePages/CustomReportCreativeDetail.aspx?App=23&amp;ReportView=4&amp;Qid=1711279&amp;Row=4332&amp;Col=1","No Title Assigned - #15268940861")</f>
        <v/>
      </c>
      <c r="B4340" s="0" t="s">
        <v>6040</v>
      </c>
      <c r="E4340" s="0" t="inlineStr">
        <is>
          <t xml:space="preserve">Mazda</t>
        </is>
      </c>
      <c r="F4340" s="0" t="inlineStr">
        <is>
          <t xml:space="preserve">Mazda</t>
        </is>
      </c>
      <c r="G4340" s="0" t="s">
        <v>171</v>
      </c>
      <c r="H4340" s="5">
        <v>220.421800</v>
      </c>
    </row>
    <row r="4341" spans="1:9">
      <c r="A4341" s="22" t="str">
        <f>HYPERLINK("https://app.vivvix.com/360/KMI/IntelliDrive/ApplUI/Pages/CreativePages/CustomReportCreativeDetail.aspx?App=23&amp;ReportView=4&amp;Qid=1711279&amp;Row=4333&amp;Col=1","No Title Assigned - #15268940874")</f>
        <v/>
      </c>
      <c r="B4341" s="0" t="s">
        <v>6041</v>
      </c>
      <c r="E4341" s="0" t="inlineStr">
        <is>
          <t xml:space="preserve">Mazda</t>
        </is>
      </c>
      <c r="F4341" s="0" t="inlineStr">
        <is>
          <t xml:space="preserve">Mazda</t>
        </is>
      </c>
      <c r="G4341" s="0" t="s">
        <v>171</v>
      </c>
      <c r="H4341" s="5">
        <v>25.141000</v>
      </c>
    </row>
    <row r="4342" spans="1:9">
      <c r="A4342" s="22" t="str">
        <f>HYPERLINK("https://app.vivvix.com/360/KMI/IntelliDrive/ApplUI/Pages/CreativePages/CustomReportCreativeDetail.aspx?App=23&amp;ReportView=4&amp;Qid=1711279&amp;Row=4334&amp;Col=1","No Title Assigned - #15268941292")</f>
        <v/>
      </c>
      <c r="B4342" s="0" t="s">
        <v>6042</v>
      </c>
      <c r="E4342" s="0" t="inlineStr">
        <is>
          <t xml:space="preserve">Mazda</t>
        </is>
      </c>
      <c r="F4342" s="0" t="inlineStr">
        <is>
          <t xml:space="preserve">Mazda</t>
        </is>
      </c>
      <c r="G4342" s="0" t="s">
        <v>171</v>
      </c>
      <c r="H4342" s="5">
        <v>98.172600</v>
      </c>
    </row>
    <row r="4343" spans="1:9">
      <c r="A4343" s="22" t="str">
        <f>HYPERLINK("https://app.vivvix.com/360/KMI/IntelliDrive/ApplUI/Pages/CreativePages/CustomReportCreativeDetail.aspx?App=23&amp;ReportView=4&amp;Qid=1711279&amp;Row=4335&amp;Col=1","No Title Assigned - #15268941568")</f>
        <v/>
      </c>
      <c r="B4343" s="0" t="s">
        <v>6043</v>
      </c>
      <c r="C4343" s="0" t="s">
        <v>6044</v>
      </c>
      <c r="D4343" s="0" t="s">
        <v>6044</v>
      </c>
      <c r="E4343" s="0" t="inlineStr">
        <is>
          <t xml:space="preserve">Mazda</t>
        </is>
      </c>
      <c r="F4343" s="0" t="s">
        <v>13</v>
      </c>
      <c r="G4343" s="0" t="s">
        <v>49</v>
      </c>
      <c r="H4343" s="5">
        <v>1221.770200</v>
      </c>
    </row>
    <row r="4344" spans="1:9">
      <c r="A4344" s="22" t="str">
        <f>HYPERLINK("https://app.vivvix.com/360/KMI/IntelliDrive/ApplUI/Pages/CreativePages/CustomReportCreativeDetail.aspx?App=23&amp;ReportView=4&amp;Qid=1711279&amp;Row=4336&amp;Col=1","No Title Assigned - #15268941649")</f>
        <v/>
      </c>
      <c r="B4344" s="0" t="s">
        <v>6045</v>
      </c>
      <c r="E4344" s="0" t="inlineStr">
        <is>
          <t xml:space="preserve">Mazda</t>
        </is>
      </c>
      <c r="F4344" s="0" t="inlineStr">
        <is>
          <t xml:space="preserve">Mazda</t>
        </is>
      </c>
      <c r="G4344" s="0" t="s">
        <v>171</v>
      </c>
      <c r="H4344" s="5">
        <v>13.501200</v>
      </c>
    </row>
    <row r="4345" spans="1:9">
      <c r="A4345" s="22" t="str">
        <f>HYPERLINK("https://app.vivvix.com/360/KMI/IntelliDrive/ApplUI/Pages/CreativePages/CustomReportCreativeDetail.aspx?App=23&amp;ReportView=4&amp;Qid=1711279&amp;Row=4337&amp;Col=1","No Title Assigned - #15268941962")</f>
        <v/>
      </c>
      <c r="B4345" s="0" t="s">
        <v>6046</v>
      </c>
      <c r="C4345" s="0" t="s">
        <v>6047</v>
      </c>
      <c r="D4345" s="0" t="s">
        <v>6047</v>
      </c>
      <c r="E4345" s="0" t="inlineStr">
        <is>
          <t xml:space="preserve">Mazda</t>
        </is>
      </c>
      <c r="F4345" s="0" t="s">
        <v>1452</v>
      </c>
      <c r="G4345" s="0" t="s">
        <v>1453</v>
      </c>
      <c r="H4345" s="5">
        <v>2838.134000</v>
      </c>
    </row>
    <row r="4346" spans="1:9">
      <c r="A4346" s="22" t="str">
        <f>HYPERLINK("https://app.vivvix.com/360/KMI/IntelliDrive/ApplUI/Pages/CreativePages/CustomReportCreativeDetail.aspx?App=23&amp;ReportView=4&amp;Qid=1711279&amp;Row=4338&amp;Col=1","No Title Assigned - #15268941962")</f>
        <v/>
      </c>
      <c r="B4346" s="0" t="s">
        <v>6046</v>
      </c>
      <c r="E4346" s="0" t="inlineStr">
        <is>
          <t xml:space="preserve">Mazda</t>
        </is>
      </c>
      <c r="F4346" s="0" t="s">
        <v>1452</v>
      </c>
      <c r="G4346" s="0" t="s">
        <v>1453</v>
      </c>
      <c r="H4346" s="5">
        <v>415.344800</v>
      </c>
    </row>
    <row r="4347" spans="1:9">
      <c r="A4347" s="22" t="str">
        <f>HYPERLINK("https://app.vivvix.com/360/KMI/IntelliDrive/ApplUI/Pages/CreativePages/CustomReportCreativeDetail.aspx?App=23&amp;ReportView=4&amp;Qid=1711279&amp;Row=4339&amp;Col=1","No Title Assigned - #15268942025")</f>
        <v/>
      </c>
      <c r="B4347" s="0" t="s">
        <v>6048</v>
      </c>
      <c r="E4347" s="0" t="inlineStr">
        <is>
          <t xml:space="preserve">Mazda</t>
        </is>
      </c>
      <c r="F4347" s="0" t="inlineStr">
        <is>
          <t xml:space="preserve">Mazda</t>
        </is>
      </c>
      <c r="G4347" s="0" t="s">
        <v>171</v>
      </c>
      <c r="H4347" s="5">
        <v>388.778800</v>
      </c>
    </row>
    <row r="4348" spans="1:9">
      <c r="A4348" s="22" t="str">
        <f>HYPERLINK("https://app.vivvix.com/360/KMI/IntelliDrive/ApplUI/Pages/CreativePages/CustomReportCreativeDetail.aspx?App=23&amp;ReportView=4&amp;Qid=1711279&amp;Row=4340&amp;Col=1","No Title Assigned - #15268942062")</f>
        <v/>
      </c>
      <c r="B4348" s="0" t="s">
        <v>6049</v>
      </c>
      <c r="E4348" s="0" t="inlineStr">
        <is>
          <t xml:space="preserve">Mazda</t>
        </is>
      </c>
      <c r="F4348" s="0" t="inlineStr">
        <is>
          <t xml:space="preserve">Mazda</t>
        </is>
      </c>
      <c r="G4348" s="0" t="s">
        <v>171</v>
      </c>
      <c r="H4348" s="5">
        <v>14.343000</v>
      </c>
    </row>
    <row r="4349" spans="1:9">
      <c r="A4349" s="22" t="str">
        <f>HYPERLINK("https://app.vivvix.com/360/KMI/IntelliDrive/ApplUI/Pages/CreativePages/CustomReportCreativeDetail.aspx?App=23&amp;ReportView=4&amp;Qid=1711279&amp;Row=4341&amp;Col=1","No Title Assigned - #15268943487")</f>
        <v/>
      </c>
      <c r="B4349" s="0" t="s">
        <v>6050</v>
      </c>
      <c r="E4349" s="0" t="inlineStr">
        <is>
          <t xml:space="preserve">Mazda</t>
        </is>
      </c>
      <c r="F4349" s="0" t="inlineStr">
        <is>
          <t xml:space="preserve">Mazda</t>
        </is>
      </c>
      <c r="G4349" s="0" t="s">
        <v>171</v>
      </c>
      <c r="H4349" s="5">
        <v>350.748400</v>
      </c>
    </row>
    <row r="4350" spans="1:9">
      <c r="A4350" s="22" t="str">
        <f>HYPERLINK("https://app.vivvix.com/360/KMI/IntelliDrive/ApplUI/Pages/CreativePages/CustomReportCreativeDetail.aspx?App=23&amp;ReportView=4&amp;Qid=1711279&amp;Row=4342&amp;Col=1","No Title Assigned - #15268944337")</f>
        <v/>
      </c>
      <c r="B4350" s="0" t="s">
        <v>6051</v>
      </c>
      <c r="E4350" s="0" t="inlineStr">
        <is>
          <t xml:space="preserve">Mazda</t>
        </is>
      </c>
      <c r="F4350" s="0" t="inlineStr">
        <is>
          <t xml:space="preserve">Mazda</t>
        </is>
      </c>
      <c r="G4350" s="0" t="s">
        <v>171</v>
      </c>
      <c r="H4350" s="5">
        <v>32.195700</v>
      </c>
    </row>
    <row r="4351" spans="1:9">
      <c r="A4351" s="22" t="str">
        <f>HYPERLINK("https://app.vivvix.com/360/KMI/IntelliDrive/ApplUI/Pages/CreativePages/CustomReportCreativeDetail.aspx?App=23&amp;ReportView=4&amp;Qid=1711279&amp;Row=4343&amp;Col=1","No Title Assigned - #15268944388")</f>
        <v/>
      </c>
      <c r="B4351" s="0" t="s">
        <v>6052</v>
      </c>
      <c r="E4351" s="0" t="inlineStr">
        <is>
          <t xml:space="preserve">Mazda</t>
        </is>
      </c>
      <c r="F4351" s="0" t="inlineStr">
        <is>
          <t xml:space="preserve">Mazda</t>
        </is>
      </c>
      <c r="G4351" s="0" t="s">
        <v>171</v>
      </c>
      <c r="H4351" s="5">
        <v>35.484000</v>
      </c>
    </row>
    <row r="4352" spans="1:9">
      <c r="A4352" s="22" t="str">
        <f>HYPERLINK("https://app.vivvix.com/360/KMI/IntelliDrive/ApplUI/Pages/CreativePages/CustomReportCreativeDetail.aspx?App=23&amp;ReportView=4&amp;Qid=1711279&amp;Row=4344&amp;Col=1","No Title Assigned - #15268944984")</f>
        <v/>
      </c>
      <c r="B4352" s="0" t="s">
        <v>6053</v>
      </c>
      <c r="E4352" s="0" t="inlineStr">
        <is>
          <t xml:space="preserve">Mazda</t>
        </is>
      </c>
      <c r="F4352" s="0" t="inlineStr">
        <is>
          <t xml:space="preserve">Mazda</t>
        </is>
      </c>
      <c r="G4352" s="0" t="s">
        <v>171</v>
      </c>
      <c r="H4352" s="5">
        <v>6.281100</v>
      </c>
    </row>
    <row r="4353" spans="1:9">
      <c r="A4353" s="22" t="str">
        <f>HYPERLINK("https://app.vivvix.com/360/KMI/IntelliDrive/ApplUI/Pages/CreativePages/CustomReportCreativeDetail.aspx?App=23&amp;ReportView=4&amp;Qid=1711279&amp;Row=4345&amp;Col=1","No Title Assigned - #15268945482")</f>
        <v/>
      </c>
      <c r="B4353" s="0" t="s">
        <v>6054</v>
      </c>
      <c r="C4353" s="0" t="s">
        <v>6055</v>
      </c>
      <c r="D4353" s="0" t="s">
        <v>6055</v>
      </c>
      <c r="E4353" s="0" t="inlineStr">
        <is>
          <t xml:space="preserve">Mazda</t>
        </is>
      </c>
      <c r="F4353" s="0" t="inlineStr">
        <is>
          <t xml:space="preserve">Mazda</t>
        </is>
      </c>
      <c r="G4353" s="0" t="s">
        <v>171</v>
      </c>
      <c r="H4353" s="5">
        <v>164.522400</v>
      </c>
    </row>
    <row r="4354" spans="1:9">
      <c r="A4354" s="22" t="str">
        <f>HYPERLINK("https://app.vivvix.com/360/KMI/IntelliDrive/ApplUI/Pages/CreativePages/CustomReportCreativeDetail.aspx?App=23&amp;ReportView=4&amp;Qid=1711279&amp;Row=4346&amp;Col=1","No Title Assigned - #15268945803")</f>
        <v/>
      </c>
      <c r="B4354" s="0" t="s">
        <v>6056</v>
      </c>
      <c r="C4354" s="0" t="s">
        <v>6057</v>
      </c>
      <c r="D4354" s="0" t="s">
        <v>6044</v>
      </c>
      <c r="E4354" s="0" t="inlineStr">
        <is>
          <t xml:space="preserve">Mazda</t>
        </is>
      </c>
      <c r="F4354" s="0" t="s">
        <v>13</v>
      </c>
      <c r="G4354" s="0" t="s">
        <v>49</v>
      </c>
      <c r="H4354" s="5">
        <v>16235.446200</v>
      </c>
    </row>
    <row r="4355" spans="1:9">
      <c r="A4355" s="22" t="str">
        <f>HYPERLINK("https://app.vivvix.com/360/KMI/IntelliDrive/ApplUI/Pages/CreativePages/CustomReportCreativeDetail.aspx?App=23&amp;ReportView=4&amp;Qid=1711279&amp;Row=4347&amp;Col=1","No Title Assigned - #15268945803")</f>
        <v/>
      </c>
      <c r="B4355" s="0" t="s">
        <v>6056</v>
      </c>
      <c r="E4355" s="0" t="inlineStr">
        <is>
          <t xml:space="preserve">Mazda</t>
        </is>
      </c>
      <c r="F4355" s="0" t="s">
        <v>13</v>
      </c>
      <c r="G4355" s="0" t="s">
        <v>49</v>
      </c>
      <c r="H4355" s="5">
        <v>28232.169900</v>
      </c>
    </row>
    <row r="4356" spans="1:9">
      <c r="A4356" s="22" t="str">
        <f>HYPERLINK("https://app.vivvix.com/360/KMI/IntelliDrive/ApplUI/Pages/CreativePages/CustomReportCreativeDetail.aspx?App=23&amp;ReportView=4&amp;Qid=1711279&amp;Row=4348&amp;Col=1","No Title Assigned - #15268945986")</f>
        <v/>
      </c>
      <c r="B4356" s="0" t="s">
        <v>6058</v>
      </c>
      <c r="E4356" s="0" t="inlineStr">
        <is>
          <t xml:space="preserve">Mazda</t>
        </is>
      </c>
      <c r="F4356" s="0" t="inlineStr">
        <is>
          <t xml:space="preserve">Mazda</t>
        </is>
      </c>
      <c r="G4356" s="0" t="s">
        <v>171</v>
      </c>
      <c r="H4356" s="5">
        <v>34.689300</v>
      </c>
    </row>
    <row r="4357" spans="1:9">
      <c r="A4357" s="22" t="str">
        <f>HYPERLINK("https://app.vivvix.com/360/KMI/IntelliDrive/ApplUI/Pages/CreativePages/CustomReportCreativeDetail.aspx?App=23&amp;ReportView=4&amp;Qid=1711279&amp;Row=4349&amp;Col=1","No Title Assigned - #15268946422")</f>
        <v/>
      </c>
      <c r="B4357" s="0" t="s">
        <v>6059</v>
      </c>
      <c r="C4357" s="0" t="s">
        <v>6060</v>
      </c>
      <c r="D4357" s="0" t="s">
        <v>4202</v>
      </c>
      <c r="E4357" s="0" t="inlineStr">
        <is>
          <t xml:space="preserve">Mazda</t>
        </is>
      </c>
      <c r="F4357" s="0" t="s">
        <v>28</v>
      </c>
      <c r="G4357" s="0" t="s">
        <v>29</v>
      </c>
      <c r="H4357" s="5">
        <v>6036.475400</v>
      </c>
    </row>
    <row r="4358" spans="1:9">
      <c r="A4358" s="22" t="str">
        <f>HYPERLINK("https://app.vivvix.com/360/KMI/IntelliDrive/ApplUI/Pages/CreativePages/CustomReportCreativeDetail.aspx?App=23&amp;ReportView=4&amp;Qid=1711279&amp;Row=4350&amp;Col=1","No Title Assigned - #15268946422")</f>
        <v/>
      </c>
      <c r="B4358" s="0" t="s">
        <v>6059</v>
      </c>
      <c r="E4358" s="0" t="inlineStr">
        <is>
          <t xml:space="preserve">Mazda</t>
        </is>
      </c>
      <c r="F4358" s="0" t="s">
        <v>28</v>
      </c>
      <c r="G4358" s="0" t="s">
        <v>29</v>
      </c>
      <c r="H4358" s="5">
        <v>13303.997200</v>
      </c>
    </row>
    <row r="4359" spans="1:9">
      <c r="A4359" s="22" t="str">
        <f>HYPERLINK("https://app.vivvix.com/360/KMI/IntelliDrive/ApplUI/Pages/CreativePages/CustomReportCreativeDetail.aspx?App=23&amp;ReportView=4&amp;Qid=1711279&amp;Row=4351&amp;Col=1","No Title Assigned - #15268948276")</f>
        <v/>
      </c>
      <c r="B4359" s="0" t="s">
        <v>6061</v>
      </c>
      <c r="E4359" s="0" t="inlineStr">
        <is>
          <t xml:space="preserve">Mazda</t>
        </is>
      </c>
      <c r="F4359" s="0" t="inlineStr">
        <is>
          <t xml:space="preserve">Mazda</t>
        </is>
      </c>
      <c r="G4359" s="0" t="s">
        <v>171</v>
      </c>
      <c r="H4359" s="5">
        <v>404.366700</v>
      </c>
    </row>
    <row r="4360" spans="1:9">
      <c r="A4360" s="22" t="str">
        <f>HYPERLINK("https://app.vivvix.com/360/KMI/IntelliDrive/ApplUI/Pages/CreativePages/CustomReportCreativeDetail.aspx?App=23&amp;ReportView=4&amp;Qid=1711279&amp;Row=4352&amp;Col=1","No Title Assigned - #15268949433")</f>
        <v/>
      </c>
      <c r="B4360" s="0" t="s">
        <v>6062</v>
      </c>
      <c r="E4360" s="0" t="inlineStr">
        <is>
          <t xml:space="preserve">Mazda</t>
        </is>
      </c>
      <c r="F4360" s="0" t="inlineStr">
        <is>
          <t xml:space="preserve">Mazda</t>
        </is>
      </c>
      <c r="G4360" s="0" t="s">
        <v>171</v>
      </c>
      <c r="H4360" s="5">
        <v>40.746700</v>
      </c>
    </row>
    <row r="4361" spans="1:9">
      <c r="A4361" s="22" t="str">
        <f>HYPERLINK("https://app.vivvix.com/360/KMI/IntelliDrive/ApplUI/Pages/CreativePages/CustomReportCreativeDetail.aspx?App=23&amp;ReportView=4&amp;Qid=1711279&amp;Row=4353&amp;Col=1","No Title Assigned - #15268951462")</f>
        <v/>
      </c>
      <c r="B4361" s="0" t="s">
        <v>6063</v>
      </c>
      <c r="E4361" s="0" t="inlineStr">
        <is>
          <t xml:space="preserve">Mazda</t>
        </is>
      </c>
      <c r="F4361" s="0" t="inlineStr">
        <is>
          <t xml:space="preserve">Mazda</t>
        </is>
      </c>
      <c r="G4361" s="0" t="s">
        <v>171</v>
      </c>
      <c r="H4361" s="5">
        <v>221.068000</v>
      </c>
    </row>
    <row r="4362" spans="1:9">
      <c r="A4362" s="22" t="str">
        <f>HYPERLINK("https://app.vivvix.com/360/KMI/IntelliDrive/ApplUI/Pages/CreativePages/CustomReportCreativeDetail.aspx?App=23&amp;ReportView=4&amp;Qid=1711279&amp;Row=4354&amp;Col=1","No Title Assigned - #15268951601")</f>
        <v/>
      </c>
      <c r="B4362" s="0" t="s">
        <v>6064</v>
      </c>
      <c r="E4362" s="0" t="inlineStr">
        <is>
          <t xml:space="preserve">Mazda</t>
        </is>
      </c>
      <c r="F4362" s="0" t="inlineStr">
        <is>
          <t xml:space="preserve">Mazda</t>
        </is>
      </c>
      <c r="G4362" s="0" t="s">
        <v>171</v>
      </c>
      <c r="H4362" s="5">
        <v>10.918000</v>
      </c>
    </row>
    <row r="4363" spans="1:9">
      <c r="A4363" s="22" t="str">
        <f>HYPERLINK("https://app.vivvix.com/360/KMI/IntelliDrive/ApplUI/Pages/CreativePages/CustomReportCreativeDetail.aspx?App=23&amp;ReportView=4&amp;Qid=1711279&amp;Row=4355&amp;Col=1","No Title Assigned - #15268952163")</f>
        <v/>
      </c>
      <c r="B4363" s="0" t="s">
        <v>6065</v>
      </c>
      <c r="C4363" s="0" t="s">
        <v>6066</v>
      </c>
      <c r="D4363" s="0" t="s">
        <v>6066</v>
      </c>
      <c r="E4363" s="0" t="inlineStr">
        <is>
          <t xml:space="preserve">Mazda</t>
        </is>
      </c>
      <c r="F4363" s="0" t="inlineStr">
        <is>
          <t xml:space="preserve">Mazda</t>
        </is>
      </c>
      <c r="G4363" s="0" t="s">
        <v>171</v>
      </c>
      <c r="H4363" s="5">
        <v>133.686000</v>
      </c>
    </row>
    <row r="4364" spans="1:9">
      <c r="A4364" s="22" t="str">
        <f>HYPERLINK("https://app.vivvix.com/360/KMI/IntelliDrive/ApplUI/Pages/CreativePages/CustomReportCreativeDetail.aspx?App=23&amp;ReportView=4&amp;Qid=1711279&amp;Row=4356&amp;Col=1","No Title Assigned - #15268952484")</f>
        <v/>
      </c>
      <c r="B4364" s="0" t="s">
        <v>6067</v>
      </c>
      <c r="E4364" s="0" t="inlineStr">
        <is>
          <t xml:space="preserve">Mazda</t>
        </is>
      </c>
      <c r="F4364" s="0" t="inlineStr">
        <is>
          <t xml:space="preserve">Mazda</t>
        </is>
      </c>
      <c r="G4364" s="0" t="s">
        <v>171</v>
      </c>
      <c r="H4364" s="5">
        <v>18.345900</v>
      </c>
    </row>
    <row r="4365" spans="1:9">
      <c r="A4365" s="22" t="str">
        <f>HYPERLINK("https://app.vivvix.com/360/KMI/IntelliDrive/ApplUI/Pages/CreativePages/CustomReportCreativeDetail.aspx?App=23&amp;ReportView=4&amp;Qid=1711279&amp;Row=4357&amp;Col=1","No Title Assigned - #15268952484")</f>
        <v/>
      </c>
      <c r="B4365" s="0" t="s">
        <v>6067</v>
      </c>
      <c r="E4365" s="0" t="inlineStr">
        <is>
          <t xml:space="preserve">Mazda</t>
        </is>
      </c>
      <c r="F4365" s="0" t="inlineStr">
        <is>
          <t xml:space="preserve">Mazda</t>
        </is>
      </c>
      <c r="G4365" s="0" t="s">
        <v>171</v>
      </c>
      <c r="H4365" s="5">
        <v>17.463300</v>
      </c>
    </row>
    <row r="4366" spans="1:9">
      <c r="A4366" s="22" t="str">
        <f>HYPERLINK("https://app.vivvix.com/360/KMI/IntelliDrive/ApplUI/Pages/CreativePages/CustomReportCreativeDetail.aspx?App=23&amp;ReportView=4&amp;Qid=1711279&amp;Row=4358&amp;Col=1","No Title Assigned - #15268955224")</f>
        <v/>
      </c>
      <c r="B4366" s="0" t="s">
        <v>6068</v>
      </c>
      <c r="E4366" s="0" t="inlineStr">
        <is>
          <t xml:space="preserve">Mazda</t>
        </is>
      </c>
      <c r="F4366" s="0" t="inlineStr">
        <is>
          <t xml:space="preserve">Mazda</t>
        </is>
      </c>
      <c r="G4366" s="0" t="s">
        <v>171</v>
      </c>
      <c r="H4366" s="5">
        <v>19.830300</v>
      </c>
    </row>
    <row r="4367" spans="1:9">
      <c r="A4367" s="22" t="str">
        <f>HYPERLINK("https://app.vivvix.com/360/KMI/IntelliDrive/ApplUI/Pages/CreativePages/CustomReportCreativeDetail.aspx?App=23&amp;ReportView=4&amp;Qid=1711279&amp;Row=4359&amp;Col=1","No Title Assigned - #15268955869")</f>
        <v/>
      </c>
      <c r="B4367" s="0" t="s">
        <v>6069</v>
      </c>
      <c r="E4367" s="0" t="inlineStr">
        <is>
          <t xml:space="preserve">Mazda</t>
        </is>
      </c>
      <c r="F4367" s="0" t="inlineStr">
        <is>
          <t xml:space="preserve">Mazda</t>
        </is>
      </c>
      <c r="G4367" s="0" t="s">
        <v>171</v>
      </c>
      <c r="H4367" s="5">
        <v>2665.292900</v>
      </c>
    </row>
    <row r="4368" spans="1:9">
      <c r="A4368" s="22" t="str">
        <f>HYPERLINK("https://app.vivvix.com/360/KMI/IntelliDrive/ApplUI/Pages/CreativePages/CustomReportCreativeDetail.aspx?App=23&amp;ReportView=4&amp;Qid=1711279&amp;Row=4360&amp;Col=1","No Title Assigned - #15268955877")</f>
        <v/>
      </c>
      <c r="B4368" s="0" t="s">
        <v>6070</v>
      </c>
      <c r="C4368" s="0" t="s">
        <v>6071</v>
      </c>
      <c r="D4368" s="0" t="s">
        <v>6071</v>
      </c>
      <c r="E4368" s="0" t="inlineStr">
        <is>
          <t xml:space="preserve">Mazda</t>
        </is>
      </c>
      <c r="F4368" s="0" t="inlineStr">
        <is>
          <t xml:space="preserve">Mazda</t>
        </is>
      </c>
      <c r="G4368" s="0" t="s">
        <v>171</v>
      </c>
      <c r="H4368" s="5">
        <v>69.983200</v>
      </c>
    </row>
    <row r="4369" spans="1:9">
      <c r="A4369" s="22" t="str">
        <f>HYPERLINK("https://app.vivvix.com/360/KMI/IntelliDrive/ApplUI/Pages/CreativePages/CustomReportCreativeDetail.aspx?App=23&amp;ReportView=4&amp;Qid=1711279&amp;Row=4361&amp;Col=1","No Title Assigned - #15268956524")</f>
        <v/>
      </c>
      <c r="B4369" s="0" t="s">
        <v>6072</v>
      </c>
      <c r="E4369" s="0" t="inlineStr">
        <is>
          <t xml:space="preserve">Mazda</t>
        </is>
      </c>
      <c r="F4369" s="0" t="inlineStr">
        <is>
          <t xml:space="preserve">Mazda</t>
        </is>
      </c>
      <c r="G4369" s="0" t="s">
        <v>171</v>
      </c>
      <c r="H4369" s="5">
        <v>12.543200</v>
      </c>
    </row>
    <row r="4370" spans="1:9">
      <c r="A4370" s="22" t="str">
        <f>HYPERLINK("https://app.vivvix.com/360/KMI/IntelliDrive/ApplUI/Pages/CreativePages/CustomReportCreativeDetail.aspx?App=23&amp;ReportView=4&amp;Qid=1711279&amp;Row=4362&amp;Col=1","No Title Assigned - #15268956703")</f>
        <v/>
      </c>
      <c r="B4370" s="0" t="s">
        <v>6073</v>
      </c>
      <c r="C4370" s="0" t="s">
        <v>6074</v>
      </c>
      <c r="D4370" s="0" t="s">
        <v>6074</v>
      </c>
      <c r="E4370" s="0" t="inlineStr">
        <is>
          <t xml:space="preserve">Mazda</t>
        </is>
      </c>
      <c r="F4370" s="0" t="inlineStr">
        <is>
          <t xml:space="preserve">Mazda</t>
        </is>
      </c>
      <c r="G4370" s="0" t="s">
        <v>171</v>
      </c>
      <c r="H4370" s="5">
        <v>1893.206900</v>
      </c>
    </row>
    <row r="4371" spans="1:9">
      <c r="A4371" s="22" t="str">
        <f>HYPERLINK("https://app.vivvix.com/360/KMI/IntelliDrive/ApplUI/Pages/CreativePages/CustomReportCreativeDetail.aspx?App=23&amp;ReportView=4&amp;Qid=1711279&amp;Row=4363&amp;Col=1","No Title Assigned - #15268956703")</f>
        <v/>
      </c>
      <c r="B4371" s="0" t="s">
        <v>6073</v>
      </c>
      <c r="E4371" s="0" t="inlineStr">
        <is>
          <t xml:space="preserve">Mazda</t>
        </is>
      </c>
      <c r="F4371" s="0" t="inlineStr">
        <is>
          <t xml:space="preserve">Mazda</t>
        </is>
      </c>
      <c r="G4371" s="0" t="s">
        <v>171</v>
      </c>
      <c r="H4371" s="5">
        <v>5631.559500</v>
      </c>
    </row>
    <row r="4372" spans="1:9">
      <c r="A4372" s="22" t="str">
        <f>HYPERLINK("https://app.vivvix.com/360/KMI/IntelliDrive/ApplUI/Pages/CreativePages/CustomReportCreativeDetail.aspx?App=23&amp;ReportView=4&amp;Qid=1711279&amp;Row=4364&amp;Col=1","No Title Assigned - #15268956985")</f>
        <v/>
      </c>
      <c r="B4372" s="0" t="s">
        <v>6075</v>
      </c>
      <c r="E4372" s="0" t="inlineStr">
        <is>
          <t xml:space="preserve">Mazda</t>
        </is>
      </c>
      <c r="F4372" s="0" t="inlineStr">
        <is>
          <t xml:space="preserve">Mazda</t>
        </is>
      </c>
      <c r="G4372" s="0" t="s">
        <v>171</v>
      </c>
      <c r="H4372" s="5">
        <v>72.403700</v>
      </c>
    </row>
    <row r="4373" spans="1:9">
      <c r="A4373" s="22" t="str">
        <f>HYPERLINK("https://app.vivvix.com/360/KMI/IntelliDrive/ApplUI/Pages/CreativePages/CustomReportCreativeDetail.aspx?App=23&amp;ReportView=4&amp;Qid=1711279&amp;Row=4365&amp;Col=1","No Title Assigned - #15268957759")</f>
        <v/>
      </c>
      <c r="B4373" s="0" t="s">
        <v>6076</v>
      </c>
      <c r="E4373" s="0" t="inlineStr">
        <is>
          <t xml:space="preserve">Mazda</t>
        </is>
      </c>
      <c r="F4373" s="0" t="inlineStr">
        <is>
          <t xml:space="preserve">Mazda</t>
        </is>
      </c>
      <c r="G4373" s="0" t="s">
        <v>171</v>
      </c>
      <c r="H4373" s="5">
        <v>5.080700</v>
      </c>
    </row>
    <row r="4374" spans="1:9">
      <c r="A4374" s="22" t="str">
        <f>HYPERLINK("https://app.vivvix.com/360/KMI/IntelliDrive/ApplUI/Pages/CreativePages/CustomReportCreativeDetail.aspx?App=23&amp;ReportView=4&amp;Qid=1711279&amp;Row=4366&amp;Col=1","No Title Assigned - #15268957865")</f>
        <v/>
      </c>
      <c r="B4374" s="0" t="s">
        <v>6077</v>
      </c>
      <c r="C4374" s="0" t="s">
        <v>6078</v>
      </c>
      <c r="D4374" s="0" t="s">
        <v>6079</v>
      </c>
      <c r="E4374" s="0" t="inlineStr">
        <is>
          <t xml:space="preserve">Mazda</t>
        </is>
      </c>
      <c r="F4374" s="0" t="s">
        <v>28</v>
      </c>
      <c r="G4374" s="0" t="s">
        <v>29</v>
      </c>
      <c r="H4374" s="5">
        <v>14.717300</v>
      </c>
    </row>
    <row r="4375" spans="1:9">
      <c r="A4375" s="22" t="str">
        <f>HYPERLINK("https://app.vivvix.com/360/KMI/IntelliDrive/ApplUI/Pages/CreativePages/CustomReportCreativeDetail.aspx?App=23&amp;ReportView=4&amp;Qid=1711279&amp;Row=4367&amp;Col=1","No Title Assigned - #15268958252")</f>
        <v/>
      </c>
      <c r="B4375" s="0" t="s">
        <v>6080</v>
      </c>
      <c r="E4375" s="0" t="inlineStr">
        <is>
          <t xml:space="preserve">Mazda</t>
        </is>
      </c>
      <c r="F4375" s="0" t="inlineStr">
        <is>
          <t xml:space="preserve">Mazda</t>
        </is>
      </c>
      <c r="G4375" s="0" t="s">
        <v>171</v>
      </c>
      <c r="H4375" s="5">
        <v>211.397500</v>
      </c>
    </row>
    <row r="4376" spans="1:9">
      <c r="A4376" s="22" t="str">
        <f>HYPERLINK("https://app.vivvix.com/360/KMI/IntelliDrive/ApplUI/Pages/CreativePages/CustomReportCreativeDetail.aspx?App=23&amp;ReportView=4&amp;Qid=1711279&amp;Row=4368&amp;Col=1","No Title Assigned - #15268958402")</f>
        <v/>
      </c>
      <c r="B4376" s="0" t="s">
        <v>6081</v>
      </c>
      <c r="E4376" s="0" t="inlineStr">
        <is>
          <t xml:space="preserve">Mazda</t>
        </is>
      </c>
      <c r="F4376" s="0" t="inlineStr">
        <is>
          <t xml:space="preserve">Mazda</t>
        </is>
      </c>
      <c r="G4376" s="0" t="s">
        <v>171</v>
      </c>
      <c r="H4376" s="5">
        <v>388.794800</v>
      </c>
    </row>
    <row r="4377" spans="1:9">
      <c r="A4377" s="22" t="str">
        <f>HYPERLINK("https://app.vivvix.com/360/KMI/IntelliDrive/ApplUI/Pages/CreativePages/CustomReportCreativeDetail.aspx?App=23&amp;ReportView=4&amp;Qid=1711279&amp;Row=4369&amp;Col=1","No Title Assigned - #15268958455")</f>
        <v/>
      </c>
      <c r="B4377" s="0" t="s">
        <v>6082</v>
      </c>
      <c r="E4377" s="0" t="inlineStr">
        <is>
          <t xml:space="preserve">Mazda</t>
        </is>
      </c>
      <c r="F4377" s="0" t="inlineStr">
        <is>
          <t xml:space="preserve">Mazda</t>
        </is>
      </c>
      <c r="G4377" s="0" t="s">
        <v>171</v>
      </c>
      <c r="H4377" s="5">
        <v>12236.838900</v>
      </c>
    </row>
    <row r="4378" spans="1:9">
      <c r="A4378" s="22" t="str">
        <f>HYPERLINK("https://app.vivvix.com/360/KMI/IntelliDrive/ApplUI/Pages/CreativePages/CustomReportCreativeDetail.aspx?App=23&amp;ReportView=4&amp;Qid=1711279&amp;Row=4370&amp;Col=1","No Title Assigned - #15268958748")</f>
        <v/>
      </c>
      <c r="B4378" s="0" t="s">
        <v>6083</v>
      </c>
      <c r="C4378" s="0" t="s">
        <v>6084</v>
      </c>
      <c r="D4378" s="0" t="s">
        <v>6085</v>
      </c>
      <c r="E4378" s="0" t="inlineStr">
        <is>
          <t xml:space="preserve">Mazda</t>
        </is>
      </c>
      <c r="F4378" s="0" t="s">
        <v>28</v>
      </c>
      <c r="G4378" s="0" t="s">
        <v>29</v>
      </c>
      <c r="H4378" s="5">
        <v>24.391500</v>
      </c>
    </row>
    <row r="4379" spans="1:9">
      <c r="A4379" s="22" t="str">
        <f>HYPERLINK("https://app.vivvix.com/360/KMI/IntelliDrive/ApplUI/Pages/CreativePages/CustomReportCreativeDetail.aspx?App=23&amp;ReportView=4&amp;Qid=1711279&amp;Row=4371&amp;Col=1","No Title Assigned - #15268959093")</f>
        <v/>
      </c>
      <c r="B4379" s="0" t="s">
        <v>6086</v>
      </c>
      <c r="E4379" s="0" t="inlineStr">
        <is>
          <t xml:space="preserve">Mazda</t>
        </is>
      </c>
      <c r="F4379" s="0" t="inlineStr">
        <is>
          <t xml:space="preserve">Mazda</t>
        </is>
      </c>
      <c r="G4379" s="0" t="s">
        <v>171</v>
      </c>
      <c r="H4379" s="5">
        <v>3833.035000</v>
      </c>
    </row>
    <row r="4380" spans="1:9">
      <c r="A4380" s="22" t="str">
        <f>HYPERLINK("https://app.vivvix.com/360/KMI/IntelliDrive/ApplUI/Pages/CreativePages/CustomReportCreativeDetail.aspx?App=23&amp;ReportView=4&amp;Qid=1711279&amp;Row=4372&amp;Col=1","No Title Assigned - #15268959093")</f>
        <v/>
      </c>
      <c r="B4380" s="0" t="s">
        <v>6086</v>
      </c>
      <c r="E4380" s="0" t="inlineStr">
        <is>
          <t xml:space="preserve">Mazda</t>
        </is>
      </c>
      <c r="F4380" s="0" t="inlineStr">
        <is>
          <t xml:space="preserve">Mazda</t>
        </is>
      </c>
      <c r="G4380" s="0" t="s">
        <v>171</v>
      </c>
      <c r="H4380" s="5">
        <v>2028.649200</v>
      </c>
    </row>
    <row r="4381" spans="1:9">
      <c r="A4381" s="22" t="str">
        <f>HYPERLINK("https://app.vivvix.com/360/KMI/IntelliDrive/ApplUI/Pages/CreativePages/CustomReportCreativeDetail.aspx?App=23&amp;ReportView=4&amp;Qid=1711279&amp;Row=4373&amp;Col=1","No Title Assigned - #15268959328")</f>
        <v/>
      </c>
      <c r="B4381" s="0" t="s">
        <v>6087</v>
      </c>
      <c r="E4381" s="0" t="inlineStr">
        <is>
          <t xml:space="preserve">Mazda</t>
        </is>
      </c>
      <c r="F4381" s="0" t="inlineStr">
        <is>
          <t xml:space="preserve">Mazda</t>
        </is>
      </c>
      <c r="G4381" s="0" t="s">
        <v>171</v>
      </c>
      <c r="H4381" s="5">
        <v>516.755000</v>
      </c>
    </row>
    <row r="4382" spans="1:9">
      <c r="A4382" s="22" t="str">
        <f>HYPERLINK("https://app.vivvix.com/360/KMI/IntelliDrive/ApplUI/Pages/CreativePages/CustomReportCreativeDetail.aspx?App=23&amp;ReportView=4&amp;Qid=1711279&amp;Row=4374&amp;Col=1","No Title Assigned - #15268959374")</f>
        <v/>
      </c>
      <c r="B4382" s="0" t="s">
        <v>6088</v>
      </c>
      <c r="C4382" s="0" t="s">
        <v>6089</v>
      </c>
      <c r="D4382" s="0" t="s">
        <v>6089</v>
      </c>
      <c r="E4382" s="0" t="inlineStr">
        <is>
          <t xml:space="preserve">Mazda</t>
        </is>
      </c>
      <c r="F4382" s="0" t="inlineStr">
        <is>
          <t xml:space="preserve">Mazda</t>
        </is>
      </c>
      <c r="G4382" s="0" t="s">
        <v>171</v>
      </c>
      <c r="H4382" s="5">
        <v>30.006500</v>
      </c>
    </row>
    <row r="4383" spans="1:9">
      <c r="A4383" s="22" t="str">
        <f>HYPERLINK("https://app.vivvix.com/360/KMI/IntelliDrive/ApplUI/Pages/CreativePages/CustomReportCreativeDetail.aspx?App=23&amp;ReportView=4&amp;Qid=1711279&amp;Row=4375&amp;Col=1","No Title Assigned - #15268960067")</f>
        <v/>
      </c>
      <c r="B4383" s="0" t="s">
        <v>6090</v>
      </c>
      <c r="E4383" s="0" t="inlineStr">
        <is>
          <t xml:space="preserve">Mazda</t>
        </is>
      </c>
      <c r="F4383" s="0" t="s">
        <v>21</v>
      </c>
      <c r="G4383" s="0" t="s">
        <v>22</v>
      </c>
      <c r="H4383" s="5">
        <v>418.351000</v>
      </c>
    </row>
    <row r="4384" spans="1:9">
      <c r="A4384" s="22" t="str">
        <f>HYPERLINK("https://app.vivvix.com/360/KMI/IntelliDrive/ApplUI/Pages/CreativePages/CustomReportCreativeDetail.aspx?App=23&amp;ReportView=4&amp;Qid=1711279&amp;Row=4376&amp;Col=1","No Title Assigned - #15268960219")</f>
        <v/>
      </c>
      <c r="B4384" s="0" t="s">
        <v>6091</v>
      </c>
      <c r="E4384" s="0" t="inlineStr">
        <is>
          <t xml:space="preserve">Mazda</t>
        </is>
      </c>
      <c r="F4384" s="0" t="s">
        <v>21</v>
      </c>
      <c r="G4384" s="0" t="s">
        <v>22</v>
      </c>
      <c r="H4384" s="5">
        <v>211.190300</v>
      </c>
    </row>
    <row r="4385" spans="1:9">
      <c r="A4385" s="22" t="str">
        <f>HYPERLINK("https://app.vivvix.com/360/KMI/IntelliDrive/ApplUI/Pages/CreativePages/CustomReportCreativeDetail.aspx?App=23&amp;ReportView=4&amp;Qid=1711279&amp;Row=4377&amp;Col=1","No Title Assigned - #15268960354")</f>
        <v/>
      </c>
      <c r="B4385" s="0" t="s">
        <v>6092</v>
      </c>
      <c r="C4385" s="0" t="s">
        <v>6093</v>
      </c>
      <c r="D4385" s="0" t="s">
        <v>6093</v>
      </c>
      <c r="E4385" s="0" t="inlineStr">
        <is>
          <t xml:space="preserve">Mazda</t>
        </is>
      </c>
      <c r="F4385" s="0" t="inlineStr">
        <is>
          <t xml:space="preserve">Mazda</t>
        </is>
      </c>
      <c r="G4385" s="0" t="s">
        <v>171</v>
      </c>
      <c r="H4385" s="5">
        <v>30.484200</v>
      </c>
    </row>
    <row r="4386" spans="1:9">
      <c r="A4386" s="22" t="str">
        <f>HYPERLINK("https://app.vivvix.com/360/KMI/IntelliDrive/ApplUI/Pages/CreativePages/CustomReportCreativeDetail.aspx?App=23&amp;ReportView=4&amp;Qid=1711279&amp;Row=4378&amp;Col=1","No Title Assigned - #15268960444")</f>
        <v/>
      </c>
      <c r="B4386" s="0" t="s">
        <v>6094</v>
      </c>
      <c r="E4386" s="0" t="inlineStr">
        <is>
          <t xml:space="preserve">Mazda</t>
        </is>
      </c>
      <c r="F4386" s="0" t="inlineStr">
        <is>
          <t xml:space="preserve">Mazda</t>
        </is>
      </c>
      <c r="G4386" s="0" t="s">
        <v>171</v>
      </c>
      <c r="H4386" s="5">
        <v>15.614300</v>
      </c>
    </row>
    <row r="4387" spans="1:9">
      <c r="A4387" s="22" t="str">
        <f>HYPERLINK("https://app.vivvix.com/360/KMI/IntelliDrive/ApplUI/Pages/CreativePages/CustomReportCreativeDetail.aspx?App=23&amp;ReportView=4&amp;Qid=1711279&amp;Row=4379&amp;Col=1","No Title Assigned - #15268961509")</f>
        <v/>
      </c>
      <c r="B4387" s="0" t="s">
        <v>6095</v>
      </c>
      <c r="E4387" s="0" t="inlineStr">
        <is>
          <t xml:space="preserve">Mazda</t>
        </is>
      </c>
      <c r="F4387" s="0" t="inlineStr">
        <is>
          <t xml:space="preserve">Mazda</t>
        </is>
      </c>
      <c r="G4387" s="0" t="s">
        <v>171</v>
      </c>
      <c r="H4387" s="5">
        <v>4627.161600</v>
      </c>
    </row>
    <row r="4388" spans="1:9">
      <c r="A4388" s="22" t="str">
        <f>HYPERLINK("https://app.vivvix.com/360/KMI/IntelliDrive/ApplUI/Pages/CreativePages/CustomReportCreativeDetail.aspx?App=23&amp;ReportView=4&amp;Qid=1711279&amp;Row=4380&amp;Col=1","No Title Assigned - #15268962354")</f>
        <v/>
      </c>
      <c r="B4388" s="0" t="s">
        <v>6096</v>
      </c>
      <c r="E4388" s="0" t="inlineStr">
        <is>
          <t xml:space="preserve">Mazda</t>
        </is>
      </c>
      <c r="F4388" s="0" t="inlineStr">
        <is>
          <t xml:space="preserve">Mazda</t>
        </is>
      </c>
      <c r="G4388" s="0" t="s">
        <v>171</v>
      </c>
      <c r="H4388" s="5">
        <v>996.752600</v>
      </c>
    </row>
    <row r="4389" spans="1:9">
      <c r="A4389" s="22" t="str">
        <f>HYPERLINK("https://app.vivvix.com/360/KMI/IntelliDrive/ApplUI/Pages/CreativePages/CustomReportCreativeDetail.aspx?App=23&amp;ReportView=4&amp;Qid=1711279&amp;Row=4381&amp;Col=1","No Title Assigned - #15268964291")</f>
        <v/>
      </c>
      <c r="B4389" s="0" t="s">
        <v>6097</v>
      </c>
      <c r="E4389" s="0" t="inlineStr">
        <is>
          <t xml:space="preserve">Mazda</t>
        </is>
      </c>
      <c r="F4389" s="0" t="inlineStr">
        <is>
          <t xml:space="preserve">Mazda</t>
        </is>
      </c>
      <c r="G4389" s="0" t="s">
        <v>171</v>
      </c>
      <c r="H4389" s="5">
        <v>139.014300</v>
      </c>
    </row>
    <row r="4390" spans="1:9">
      <c r="A4390" s="22" t="str">
        <f>HYPERLINK("https://app.vivvix.com/360/KMI/IntelliDrive/ApplUI/Pages/CreativePages/CustomReportCreativeDetail.aspx?App=23&amp;ReportView=4&amp;Qid=1711279&amp;Row=4382&amp;Col=1","No Title Assigned - #15268964977")</f>
        <v/>
      </c>
      <c r="B4390" s="0" t="s">
        <v>6098</v>
      </c>
      <c r="E4390" s="0" t="inlineStr">
        <is>
          <t xml:space="preserve">Mazda</t>
        </is>
      </c>
      <c r="F4390" s="0" t="s">
        <v>28</v>
      </c>
      <c r="G4390" s="0" t="s">
        <v>29</v>
      </c>
      <c r="H4390" s="5">
        <v>122.092200</v>
      </c>
    </row>
    <row r="4391" spans="1:9">
      <c r="A4391" s="22" t="str">
        <f>HYPERLINK("https://app.vivvix.com/360/KMI/IntelliDrive/ApplUI/Pages/CreativePages/CustomReportCreativeDetail.aspx?App=23&amp;ReportView=4&amp;Qid=1711279&amp;Row=4383&amp;Col=1","No Title Assigned - #15268964977")</f>
        <v/>
      </c>
      <c r="B4391" s="0" t="s">
        <v>6098</v>
      </c>
      <c r="C4391" s="0" t="s">
        <v>6099</v>
      </c>
      <c r="D4391" s="0" t="s">
        <v>6099</v>
      </c>
      <c r="E4391" s="0" t="inlineStr">
        <is>
          <t xml:space="preserve">Mazda</t>
        </is>
      </c>
      <c r="F4391" s="0" t="s">
        <v>28</v>
      </c>
      <c r="G4391" s="0" t="s">
        <v>29</v>
      </c>
      <c r="H4391" s="5">
        <v>274.827800</v>
      </c>
    </row>
    <row r="4392" spans="1:9">
      <c r="A4392" s="22" t="str">
        <f>HYPERLINK("https://app.vivvix.com/360/KMI/IntelliDrive/ApplUI/Pages/CreativePages/CustomReportCreativeDetail.aspx?App=23&amp;ReportView=4&amp;Qid=1711279&amp;Row=4384&amp;Col=1","No Title Assigned - #15268965551")</f>
        <v/>
      </c>
      <c r="B4392" s="0" t="s">
        <v>6100</v>
      </c>
      <c r="E4392" s="0" t="inlineStr">
        <is>
          <t xml:space="preserve">Mazda</t>
        </is>
      </c>
      <c r="F4392" s="0" t="inlineStr">
        <is>
          <t xml:space="preserve">Mazda</t>
        </is>
      </c>
      <c r="G4392" s="0" t="s">
        <v>171</v>
      </c>
      <c r="H4392" s="5">
        <v>97212.191400</v>
      </c>
    </row>
    <row r="4393" spans="1:9">
      <c r="A4393" s="22" t="str">
        <f>HYPERLINK("https://app.vivvix.com/360/KMI/IntelliDrive/ApplUI/Pages/CreativePages/CustomReportCreativeDetail.aspx?App=23&amp;ReportView=4&amp;Qid=1711279&amp;Row=4385&amp;Col=1","No Title Assigned - #15268967502")</f>
        <v/>
      </c>
      <c r="B4393" s="0" t="s">
        <v>6101</v>
      </c>
      <c r="E4393" s="0" t="inlineStr">
        <is>
          <t xml:space="preserve">Mazda</t>
        </is>
      </c>
      <c r="F4393" s="0" t="inlineStr">
        <is>
          <t xml:space="preserve">Mazda</t>
        </is>
      </c>
      <c r="G4393" s="0" t="s">
        <v>171</v>
      </c>
      <c r="H4393" s="5">
        <v>85.961400</v>
      </c>
    </row>
    <row r="4394" spans="1:9">
      <c r="A4394" s="22" t="str">
        <f>HYPERLINK("https://app.vivvix.com/360/KMI/IntelliDrive/ApplUI/Pages/CreativePages/CustomReportCreativeDetail.aspx?App=23&amp;ReportView=4&amp;Qid=1711279&amp;Row=4386&amp;Col=1","No Title Assigned - #15268968103")</f>
        <v/>
      </c>
      <c r="B4394" s="0" t="s">
        <v>6102</v>
      </c>
      <c r="C4394" s="0" t="s">
        <v>6103</v>
      </c>
      <c r="D4394" s="0" t="s">
        <v>6103</v>
      </c>
      <c r="E4394" s="0" t="inlineStr">
        <is>
          <t xml:space="preserve">Mazda</t>
        </is>
      </c>
      <c r="F4394" s="0" t="s">
        <v>28</v>
      </c>
      <c r="G4394" s="0" t="s">
        <v>29</v>
      </c>
      <c r="H4394" s="5">
        <v>274.827800</v>
      </c>
    </row>
    <row r="4395" spans="1:9">
      <c r="A4395" s="22" t="str">
        <f>HYPERLINK("https://app.vivvix.com/360/KMI/IntelliDrive/ApplUI/Pages/CreativePages/CustomReportCreativeDetail.aspx?App=23&amp;ReportView=4&amp;Qid=1711279&amp;Row=4387&amp;Col=1","No Title Assigned - #15268969127")</f>
        <v/>
      </c>
      <c r="B4395" s="0" t="s">
        <v>6104</v>
      </c>
      <c r="E4395" s="0" t="inlineStr">
        <is>
          <t xml:space="preserve">Mazda</t>
        </is>
      </c>
      <c r="F4395" s="0" t="inlineStr">
        <is>
          <t xml:space="preserve">Mazda</t>
        </is>
      </c>
      <c r="G4395" s="0" t="s">
        <v>171</v>
      </c>
      <c r="H4395" s="5">
        <v>203.863100</v>
      </c>
    </row>
    <row r="4396" spans="1:9">
      <c r="A4396" s="22" t="str">
        <f>HYPERLINK("https://app.vivvix.com/360/KMI/IntelliDrive/ApplUI/Pages/CreativePages/CustomReportCreativeDetail.aspx?App=23&amp;ReportView=4&amp;Qid=1711279&amp;Row=4388&amp;Col=1","No Title Assigned - #15268969234")</f>
        <v/>
      </c>
      <c r="B4396" s="0" t="s">
        <v>6105</v>
      </c>
      <c r="E4396" s="0" t="inlineStr">
        <is>
          <t xml:space="preserve">Mazda</t>
        </is>
      </c>
      <c r="F4396" s="0" t="inlineStr">
        <is>
          <t xml:space="preserve">Mazda</t>
        </is>
      </c>
      <c r="G4396" s="0" t="s">
        <v>171</v>
      </c>
      <c r="H4396" s="5">
        <v>2.292000</v>
      </c>
    </row>
    <row r="4397" spans="1:9">
      <c r="A4397" s="22" t="str">
        <f>HYPERLINK("https://app.vivvix.com/360/KMI/IntelliDrive/ApplUI/Pages/CreativePages/CustomReportCreativeDetail.aspx?App=23&amp;ReportView=4&amp;Qid=1711279&amp;Row=4389&amp;Col=1","No Title Assigned - #15268969394")</f>
        <v/>
      </c>
      <c r="B4397" s="0" t="s">
        <v>6106</v>
      </c>
      <c r="E4397" s="0" t="inlineStr">
        <is>
          <t xml:space="preserve">Mazda</t>
        </is>
      </c>
      <c r="F4397" s="0" t="inlineStr">
        <is>
          <t xml:space="preserve">Mazda</t>
        </is>
      </c>
      <c r="G4397" s="0" t="s">
        <v>171</v>
      </c>
      <c r="H4397" s="5">
        <v>44.512200</v>
      </c>
    </row>
    <row r="4398" spans="1:9">
      <c r="A4398" s="22" t="str">
        <f>HYPERLINK("https://app.vivvix.com/360/KMI/IntelliDrive/ApplUI/Pages/CreativePages/CustomReportCreativeDetail.aspx?App=23&amp;ReportView=4&amp;Qid=1711279&amp;Row=4390&amp;Col=1","No Title Assigned - #15268969395")</f>
        <v/>
      </c>
      <c r="B4398" s="0" t="s">
        <v>6107</v>
      </c>
      <c r="E4398" s="0" t="inlineStr">
        <is>
          <t xml:space="preserve">Mazda</t>
        </is>
      </c>
      <c r="F4398" s="0" t="inlineStr">
        <is>
          <t xml:space="preserve">Mazda</t>
        </is>
      </c>
      <c r="G4398" s="0" t="s">
        <v>171</v>
      </c>
      <c r="H4398" s="5">
        <v>59.733000</v>
      </c>
    </row>
    <row r="4399" spans="1:9">
      <c r="A4399" s="22" t="str">
        <f>HYPERLINK("https://app.vivvix.com/360/KMI/IntelliDrive/ApplUI/Pages/CreativePages/CustomReportCreativeDetail.aspx?App=23&amp;ReportView=4&amp;Qid=1711279&amp;Row=4391&amp;Col=1","No Title Assigned - #15268976762")</f>
        <v/>
      </c>
      <c r="B4399" s="0" t="s">
        <v>6108</v>
      </c>
      <c r="E4399" s="0" t="inlineStr">
        <is>
          <t xml:space="preserve">Mazda</t>
        </is>
      </c>
      <c r="F4399" s="0" t="inlineStr">
        <is>
          <t xml:space="preserve">Mazda</t>
        </is>
      </c>
      <c r="G4399" s="0" t="s">
        <v>171</v>
      </c>
      <c r="H4399" s="5">
        <v>425.405400</v>
      </c>
    </row>
    <row r="4400" spans="1:9">
      <c r="A4400" s="22" t="str">
        <f>HYPERLINK("https://app.vivvix.com/360/KMI/IntelliDrive/ApplUI/Pages/CreativePages/CustomReportCreativeDetail.aspx?App=23&amp;ReportView=4&amp;Qid=1711279&amp;Row=4392&amp;Col=1","No Title Assigned - #15268977105")</f>
        <v/>
      </c>
      <c r="B4400" s="0" t="s">
        <v>6109</v>
      </c>
      <c r="E4400" s="0" t="inlineStr">
        <is>
          <t xml:space="preserve">Mazda</t>
        </is>
      </c>
      <c r="F4400" s="0" t="inlineStr">
        <is>
          <t xml:space="preserve">Mazda</t>
        </is>
      </c>
      <c r="G4400" s="0" t="s">
        <v>171</v>
      </c>
      <c r="H4400" s="5">
        <v>22.995800</v>
      </c>
    </row>
    <row r="4401" spans="1:9">
      <c r="A4401" s="22" t="str">
        <f>HYPERLINK("https://app.vivvix.com/360/KMI/IntelliDrive/ApplUI/Pages/CreativePages/CustomReportCreativeDetail.aspx?App=23&amp;ReportView=4&amp;Qid=1711279&amp;Row=4393&amp;Col=1","No Title Assigned - #15268977269")</f>
        <v/>
      </c>
      <c r="B4401" s="0" t="s">
        <v>6110</v>
      </c>
      <c r="E4401" s="0" t="inlineStr">
        <is>
          <t xml:space="preserve">Mazda</t>
        </is>
      </c>
      <c r="F4401" s="0" t="inlineStr">
        <is>
          <t xml:space="preserve">Mazda</t>
        </is>
      </c>
      <c r="G4401" s="0" t="s">
        <v>171</v>
      </c>
      <c r="H4401" s="5">
        <v>24.499700</v>
      </c>
    </row>
    <row r="4402" spans="1:9">
      <c r="A4402" s="22" t="str">
        <f>HYPERLINK("https://app.vivvix.com/360/KMI/IntelliDrive/ApplUI/Pages/CreativePages/CustomReportCreativeDetail.aspx?App=23&amp;ReportView=4&amp;Qid=1711279&amp;Row=4394&amp;Col=1","No Title Assigned - #15268979136")</f>
        <v/>
      </c>
      <c r="B4402" s="0" t="s">
        <v>6111</v>
      </c>
      <c r="E4402" s="0" t="inlineStr">
        <is>
          <t xml:space="preserve">Mazda</t>
        </is>
      </c>
      <c r="F4402" s="0" t="inlineStr">
        <is>
          <t xml:space="preserve">Mazda</t>
        </is>
      </c>
      <c r="G4402" s="0" t="s">
        <v>171</v>
      </c>
      <c r="H4402" s="5">
        <v>17.273800</v>
      </c>
    </row>
    <row r="4403" spans="1:9">
      <c r="A4403" s="22" t="str">
        <f>HYPERLINK("https://app.vivvix.com/360/KMI/IntelliDrive/ApplUI/Pages/CreativePages/CustomReportCreativeDetail.aspx?App=23&amp;ReportView=4&amp;Qid=1711279&amp;Row=4395&amp;Col=1","No Title Assigned - #15268988070")</f>
        <v/>
      </c>
      <c r="B4403" s="0" t="s">
        <v>6112</v>
      </c>
      <c r="E4403" s="0" t="inlineStr">
        <is>
          <t xml:space="preserve">Mazda</t>
        </is>
      </c>
      <c r="F4403" s="0" t="inlineStr">
        <is>
          <t xml:space="preserve">Mazda</t>
        </is>
      </c>
      <c r="G4403" s="0" t="s">
        <v>171</v>
      </c>
      <c r="H4403" s="5">
        <v>179.294000</v>
      </c>
    </row>
    <row r="4404" spans="1:9">
      <c r="A4404" s="22" t="str">
        <f>HYPERLINK("https://app.vivvix.com/360/KMI/IntelliDrive/ApplUI/Pages/CreativePages/CustomReportCreativeDetail.aspx?App=23&amp;ReportView=4&amp;Qid=1711279&amp;Row=4396&amp;Col=1","No Title Assigned - #15268990087")</f>
        <v/>
      </c>
      <c r="B4404" s="0" t="s">
        <v>6113</v>
      </c>
      <c r="E4404" s="0" t="inlineStr">
        <is>
          <t xml:space="preserve">Mazda</t>
        </is>
      </c>
      <c r="F4404" s="0" t="inlineStr">
        <is>
          <t xml:space="preserve">Mazda</t>
        </is>
      </c>
      <c r="G4404" s="0" t="s">
        <v>171</v>
      </c>
      <c r="H4404" s="5">
        <v>16.174000</v>
      </c>
    </row>
    <row r="4405" spans="1:9">
      <c r="A4405" s="22" t="str">
        <f>HYPERLINK("https://app.vivvix.com/360/KMI/IntelliDrive/ApplUI/Pages/CreativePages/CustomReportCreativeDetail.aspx?App=23&amp;ReportView=4&amp;Qid=1711279&amp;Row=4397&amp;Col=1","No Title Assigned - #15268990804")</f>
        <v/>
      </c>
      <c r="B4405" s="0" t="s">
        <v>6114</v>
      </c>
      <c r="E4405" s="0" t="inlineStr">
        <is>
          <t xml:space="preserve">Mazda</t>
        </is>
      </c>
      <c r="F4405" s="0" t="inlineStr">
        <is>
          <t xml:space="preserve">Mazda</t>
        </is>
      </c>
      <c r="G4405" s="0" t="s">
        <v>171</v>
      </c>
      <c r="H4405" s="5">
        <v>182.302900</v>
      </c>
    </row>
    <row r="4406" spans="1:9">
      <c r="A4406" s="22" t="str">
        <f>HYPERLINK("https://app.vivvix.com/360/KMI/IntelliDrive/ApplUI/Pages/CreativePages/CustomReportCreativeDetail.aspx?App=23&amp;ReportView=4&amp;Qid=1711279&amp;Row=4398&amp;Col=1","No Title Assigned - #15268990959")</f>
        <v/>
      </c>
      <c r="B4406" s="0" t="s">
        <v>6115</v>
      </c>
      <c r="E4406" s="0" t="inlineStr">
        <is>
          <t xml:space="preserve">Mazda</t>
        </is>
      </c>
      <c r="F4406" s="0" t="inlineStr">
        <is>
          <t xml:space="preserve">Mazda</t>
        </is>
      </c>
      <c r="G4406" s="0" t="s">
        <v>171</v>
      </c>
      <c r="H4406" s="5">
        <v>34.689300</v>
      </c>
    </row>
    <row r="4407" spans="1:9">
      <c r="A4407" s="22" t="str">
        <f>HYPERLINK("https://app.vivvix.com/360/KMI/IntelliDrive/ApplUI/Pages/CreativePages/CustomReportCreativeDetail.aspx?App=23&amp;ReportView=4&amp;Qid=1711279&amp;Row=4399&amp;Col=1","No Title Assigned - #15268991400")</f>
        <v/>
      </c>
      <c r="B4407" s="0" t="s">
        <v>6116</v>
      </c>
      <c r="E4407" s="0" t="inlineStr">
        <is>
          <t xml:space="preserve">Mazda</t>
        </is>
      </c>
      <c r="F4407" s="0" t="inlineStr">
        <is>
          <t xml:space="preserve">Mazda</t>
        </is>
      </c>
      <c r="G4407" s="0" t="s">
        <v>171</v>
      </c>
      <c r="H4407" s="5">
        <v>187.191100</v>
      </c>
    </row>
    <row r="4408" spans="1:9">
      <c r="A4408" s="22" t="str">
        <f>HYPERLINK("https://app.vivvix.com/360/KMI/IntelliDrive/ApplUI/Pages/CreativePages/CustomReportCreativeDetail.aspx?App=23&amp;ReportView=4&amp;Qid=1711279&amp;Row=4400&amp;Col=1","No Title Assigned - #15268992169")</f>
        <v/>
      </c>
      <c r="B4408" s="0" t="s">
        <v>6117</v>
      </c>
      <c r="E4408" s="0" t="inlineStr">
        <is>
          <t xml:space="preserve">Mazda</t>
        </is>
      </c>
      <c r="F4408" s="0" t="s">
        <v>21</v>
      </c>
      <c r="G4408" s="0" t="s">
        <v>22</v>
      </c>
      <c r="H4408" s="5">
        <v>275.969700</v>
      </c>
    </row>
    <row r="4409" spans="1:9">
      <c r="A4409" s="22" t="str">
        <f>HYPERLINK("https://app.vivvix.com/360/KMI/IntelliDrive/ApplUI/Pages/CreativePages/CustomReportCreativeDetail.aspx?App=23&amp;ReportView=4&amp;Qid=1711279&amp;Row=4401&amp;Col=1","No Title Assigned - #15268992245")</f>
        <v/>
      </c>
      <c r="B4409" s="0" t="s">
        <v>6118</v>
      </c>
      <c r="E4409" s="0" t="inlineStr">
        <is>
          <t xml:space="preserve">Mazda</t>
        </is>
      </c>
      <c r="F4409" s="0" t="inlineStr">
        <is>
          <t xml:space="preserve">Mazda</t>
        </is>
      </c>
      <c r="G4409" s="0" t="s">
        <v>171</v>
      </c>
      <c r="H4409" s="5">
        <v>398.043900</v>
      </c>
    </row>
    <row r="4410" spans="1:9">
      <c r="A4410" s="22" t="str">
        <f>HYPERLINK("https://app.vivvix.com/360/KMI/IntelliDrive/ApplUI/Pages/CreativePages/CustomReportCreativeDetail.aspx?App=23&amp;ReportView=4&amp;Qid=1711279&amp;Row=4402&amp;Col=1","No Title Assigned - #15268992522")</f>
        <v/>
      </c>
      <c r="B4410" s="0" t="s">
        <v>6119</v>
      </c>
      <c r="E4410" s="0" t="inlineStr">
        <is>
          <t xml:space="preserve">Mazda</t>
        </is>
      </c>
      <c r="F4410" s="0" t="inlineStr">
        <is>
          <t xml:space="preserve">Mazda</t>
        </is>
      </c>
      <c r="G4410" s="0" t="s">
        <v>171</v>
      </c>
      <c r="H4410" s="5">
        <v>347.399000</v>
      </c>
    </row>
    <row r="4411" spans="1:9">
      <c r="A4411" s="22" t="str">
        <f>HYPERLINK("https://app.vivvix.com/360/KMI/IntelliDrive/ApplUI/Pages/CreativePages/CustomReportCreativeDetail.aspx?App=23&amp;ReportView=4&amp;Qid=1711279&amp;Row=4403&amp;Col=1","No Title Assigned - #15268992678")</f>
        <v/>
      </c>
      <c r="B4411" s="0" t="s">
        <v>6120</v>
      </c>
      <c r="E4411" s="0" t="inlineStr">
        <is>
          <t xml:space="preserve">Mazda</t>
        </is>
      </c>
      <c r="F4411" s="0" t="inlineStr">
        <is>
          <t xml:space="preserve">Mazda</t>
        </is>
      </c>
      <c r="G4411" s="0" t="s">
        <v>171</v>
      </c>
      <c r="H4411" s="5">
        <v>1103.765500</v>
      </c>
    </row>
    <row r="4412" spans="1:9">
      <c r="A4412" s="22" t="str">
        <f>HYPERLINK("https://app.vivvix.com/360/KMI/IntelliDrive/ApplUI/Pages/CreativePages/CustomReportCreativeDetail.aspx?App=23&amp;ReportView=4&amp;Qid=1711279&amp;Row=4404&amp;Col=1","No Title Assigned - #15268993200")</f>
        <v/>
      </c>
      <c r="B4412" s="0" t="s">
        <v>6121</v>
      </c>
      <c r="E4412" s="0" t="inlineStr">
        <is>
          <t xml:space="preserve">Mazda</t>
        </is>
      </c>
      <c r="F4412" s="0" t="inlineStr">
        <is>
          <t xml:space="preserve">Mazda</t>
        </is>
      </c>
      <c r="G4412" s="0" t="s">
        <v>171</v>
      </c>
      <c r="H4412" s="5">
        <v>20.934000</v>
      </c>
    </row>
    <row r="4413" spans="1:9">
      <c r="A4413" s="22" t="str">
        <f>HYPERLINK("https://app.vivvix.com/360/KMI/IntelliDrive/ApplUI/Pages/CreativePages/CustomReportCreativeDetail.aspx?App=23&amp;ReportView=4&amp;Qid=1711279&amp;Row=4405&amp;Col=1","No Title Assigned - #15268993229")</f>
        <v/>
      </c>
      <c r="B4413" s="0" t="s">
        <v>6122</v>
      </c>
      <c r="E4413" s="0" t="inlineStr">
        <is>
          <t xml:space="preserve">Mazda</t>
        </is>
      </c>
      <c r="F4413" s="0" t="inlineStr">
        <is>
          <t xml:space="preserve">Mazda</t>
        </is>
      </c>
      <c r="G4413" s="0" t="s">
        <v>171</v>
      </c>
      <c r="H4413" s="5">
        <v>46.807900</v>
      </c>
    </row>
    <row r="4414" spans="1:9">
      <c r="A4414" s="22" t="str">
        <f>HYPERLINK("https://app.vivvix.com/360/KMI/IntelliDrive/ApplUI/Pages/CreativePages/CustomReportCreativeDetail.aspx?App=23&amp;ReportView=4&amp;Qid=1711279&amp;Row=4406&amp;Col=1","No Title Assigned - #15268993308")</f>
        <v/>
      </c>
      <c r="B4414" s="0" t="s">
        <v>6123</v>
      </c>
      <c r="E4414" s="0" t="inlineStr">
        <is>
          <t xml:space="preserve">Mazda</t>
        </is>
      </c>
      <c r="F4414" s="0" t="inlineStr">
        <is>
          <t xml:space="preserve">Mazda</t>
        </is>
      </c>
      <c r="G4414" s="0" t="s">
        <v>171</v>
      </c>
      <c r="H4414" s="5">
        <v>282.792400</v>
      </c>
    </row>
    <row r="4415" spans="1:9">
      <c r="A4415" s="22" t="str">
        <f>HYPERLINK("https://app.vivvix.com/360/KMI/IntelliDrive/ApplUI/Pages/CreativePages/CustomReportCreativeDetail.aspx?App=23&amp;ReportView=4&amp;Qid=1711279&amp;Row=4407&amp;Col=1","No Title Assigned - #15268993382")</f>
        <v/>
      </c>
      <c r="B4415" s="0" t="s">
        <v>6124</v>
      </c>
      <c r="E4415" s="0" t="inlineStr">
        <is>
          <t xml:space="preserve">Mazda</t>
        </is>
      </c>
      <c r="F4415" s="0" t="inlineStr">
        <is>
          <t xml:space="preserve">Mazda</t>
        </is>
      </c>
      <c r="G4415" s="0" t="s">
        <v>171</v>
      </c>
      <c r="H4415" s="5">
        <v>123.587300</v>
      </c>
    </row>
    <row r="4416" spans="1:9">
      <c r="A4416" s="22" t="str">
        <f>HYPERLINK("https://app.vivvix.com/360/KMI/IntelliDrive/ApplUI/Pages/CreativePages/CustomReportCreativeDetail.aspx?App=23&amp;ReportView=4&amp;Qid=1711279&amp;Row=4408&amp;Col=1","No Title Assigned - #15268993645")</f>
        <v/>
      </c>
      <c r="B4416" s="0" t="s">
        <v>6125</v>
      </c>
      <c r="E4416" s="0" t="inlineStr">
        <is>
          <t xml:space="preserve">Mazda</t>
        </is>
      </c>
      <c r="F4416" s="0" t="inlineStr">
        <is>
          <t xml:space="preserve">Mazda</t>
        </is>
      </c>
      <c r="G4416" s="0" t="s">
        <v>171</v>
      </c>
      <c r="H4416" s="5">
        <v>17.923900</v>
      </c>
    </row>
    <row r="4417" spans="1:9">
      <c r="A4417" s="22" t="str">
        <f>HYPERLINK("https://app.vivvix.com/360/KMI/IntelliDrive/ApplUI/Pages/CreativePages/CustomReportCreativeDetail.aspx?App=23&amp;ReportView=4&amp;Qid=1711279&amp;Row=4409&amp;Col=1","No Title Assigned - #15268993646")</f>
        <v/>
      </c>
      <c r="B4417" s="0" t="s">
        <v>6126</v>
      </c>
      <c r="E4417" s="0" t="inlineStr">
        <is>
          <t xml:space="preserve">Mazda</t>
        </is>
      </c>
      <c r="F4417" s="0" t="inlineStr">
        <is>
          <t xml:space="preserve">Mazda</t>
        </is>
      </c>
      <c r="G4417" s="0" t="s">
        <v>171</v>
      </c>
      <c r="H4417" s="5">
        <v>35.847800</v>
      </c>
    </row>
    <row r="4418" spans="1:9">
      <c r="A4418" s="22" t="str">
        <f>HYPERLINK("https://app.vivvix.com/360/KMI/IntelliDrive/ApplUI/Pages/CreativePages/CustomReportCreativeDetail.aspx?App=23&amp;ReportView=4&amp;Qid=1711279&amp;Row=4410&amp;Col=1","No Title Assigned - #15268994610")</f>
        <v/>
      </c>
      <c r="B4418" s="0" t="s">
        <v>6127</v>
      </c>
      <c r="E4418" s="0" t="inlineStr">
        <is>
          <t xml:space="preserve">Mazda</t>
        </is>
      </c>
      <c r="F4418" s="0" t="inlineStr">
        <is>
          <t xml:space="preserve">Mazda</t>
        </is>
      </c>
      <c r="G4418" s="0" t="s">
        <v>171</v>
      </c>
      <c r="H4418" s="5">
        <v>63.128400</v>
      </c>
    </row>
    <row r="4419" spans="1:9">
      <c r="A4419" s="22" t="str">
        <f>HYPERLINK("https://app.vivvix.com/360/KMI/IntelliDrive/ApplUI/Pages/CreativePages/CustomReportCreativeDetail.aspx?App=23&amp;ReportView=4&amp;Qid=1711279&amp;Row=4411&amp;Col=1","No Title Assigned - #15268994787")</f>
        <v/>
      </c>
      <c r="B4419" s="0" t="s">
        <v>6128</v>
      </c>
      <c r="E4419" s="0" t="inlineStr">
        <is>
          <t xml:space="preserve">Mazda</t>
        </is>
      </c>
      <c r="F4419" s="0" t="inlineStr">
        <is>
          <t xml:space="preserve">Mazda</t>
        </is>
      </c>
      <c r="G4419" s="0" t="s">
        <v>171</v>
      </c>
      <c r="H4419" s="5">
        <v>32.821900</v>
      </c>
    </row>
    <row r="4420" spans="1:9">
      <c r="A4420" s="22" t="str">
        <f>HYPERLINK("https://app.vivvix.com/360/KMI/IntelliDrive/ApplUI/Pages/CreativePages/CustomReportCreativeDetail.aspx?App=23&amp;ReportView=4&amp;Qid=1711279&amp;Row=4412&amp;Col=1","No Title Assigned - #15268994793")</f>
        <v/>
      </c>
      <c r="B4420" s="0" t="s">
        <v>6129</v>
      </c>
      <c r="C4420" s="0" t="s">
        <v>6130</v>
      </c>
      <c r="D4420" s="0" t="s">
        <v>6130</v>
      </c>
      <c r="E4420" s="0" t="inlineStr">
        <is>
          <t xml:space="preserve">Mazda</t>
        </is>
      </c>
      <c r="F4420" s="0" t="inlineStr">
        <is>
          <t xml:space="preserve">Mazda</t>
        </is>
      </c>
      <c r="G4420" s="0" t="s">
        <v>171</v>
      </c>
      <c r="H4420" s="5">
        <v>91.629000</v>
      </c>
    </row>
    <row r="4421" spans="1:9">
      <c r="A4421" s="22" t="str">
        <f>HYPERLINK("https://app.vivvix.com/360/KMI/IntelliDrive/ApplUI/Pages/CreativePages/CustomReportCreativeDetail.aspx?App=23&amp;ReportView=4&amp;Qid=1711279&amp;Row=4413&amp;Col=1","No Title Assigned - #15268994997")</f>
        <v/>
      </c>
      <c r="B4421" s="0" t="s">
        <v>6131</v>
      </c>
      <c r="E4421" s="0" t="inlineStr">
        <is>
          <t xml:space="preserve">Mazda</t>
        </is>
      </c>
      <c r="F4421" s="0" t="inlineStr">
        <is>
          <t xml:space="preserve">Mazda</t>
        </is>
      </c>
      <c r="G4421" s="0" t="s">
        <v>171</v>
      </c>
      <c r="H4421" s="5">
        <v>458.582300</v>
      </c>
    </row>
    <row r="4422" spans="1:9">
      <c r="A4422" s="22" t="str">
        <f>HYPERLINK("https://app.vivvix.com/360/KMI/IntelliDrive/ApplUI/Pages/CreativePages/CustomReportCreativeDetail.aspx?App=23&amp;ReportView=4&amp;Qid=1711279&amp;Row=4414&amp;Col=1","No Title Assigned - #15268995077")</f>
        <v/>
      </c>
      <c r="B4422" s="0" t="s">
        <v>6132</v>
      </c>
      <c r="E4422" s="0" t="inlineStr">
        <is>
          <t xml:space="preserve">Mazda</t>
        </is>
      </c>
      <c r="F4422" s="0" t="inlineStr">
        <is>
          <t xml:space="preserve">Mazda</t>
        </is>
      </c>
      <c r="G4422" s="0" t="s">
        <v>171</v>
      </c>
      <c r="H4422" s="5">
        <v>12.484000</v>
      </c>
    </row>
    <row r="4423" spans="1:9">
      <c r="A4423" s="22" t="str">
        <f>HYPERLINK("https://app.vivvix.com/360/KMI/IntelliDrive/ApplUI/Pages/CreativePages/CustomReportCreativeDetail.aspx?App=23&amp;ReportView=4&amp;Qid=1711279&amp;Row=4415&amp;Col=1","No Title Assigned - #15268995136")</f>
        <v/>
      </c>
      <c r="B4423" s="0" t="s">
        <v>6133</v>
      </c>
      <c r="C4423" s="0" t="s">
        <v>6134</v>
      </c>
      <c r="D4423" s="0" t="s">
        <v>6134</v>
      </c>
      <c r="E4423" s="0" t="inlineStr">
        <is>
          <t xml:space="preserve">Mazda</t>
        </is>
      </c>
      <c r="F4423" s="0" t="inlineStr">
        <is>
          <t xml:space="preserve">Mazda</t>
        </is>
      </c>
      <c r="G4423" s="0" t="s">
        <v>171</v>
      </c>
      <c r="H4423" s="5">
        <v>403.250900</v>
      </c>
    </row>
    <row r="4424" spans="1:9">
      <c r="A4424" s="22" t="str">
        <f>HYPERLINK("https://app.vivvix.com/360/KMI/IntelliDrive/ApplUI/Pages/CreativePages/CustomReportCreativeDetail.aspx?App=23&amp;ReportView=4&amp;Qid=1711279&amp;Row=4416&amp;Col=1","No Title Assigned - #15268995618")</f>
        <v/>
      </c>
      <c r="B4424" s="0" t="s">
        <v>6135</v>
      </c>
      <c r="C4424" s="0" t="s">
        <v>6136</v>
      </c>
      <c r="D4424" s="0" t="s">
        <v>6136</v>
      </c>
      <c r="E4424" s="0" t="inlineStr">
        <is>
          <t xml:space="preserve">Mazda</t>
        </is>
      </c>
      <c r="F4424" s="0" t="inlineStr">
        <is>
          <t xml:space="preserve">Mazda</t>
        </is>
      </c>
      <c r="G4424" s="0" t="s">
        <v>171</v>
      </c>
      <c r="H4424" s="5">
        <v>11.448300</v>
      </c>
    </row>
    <row r="4425" spans="1:9">
      <c r="A4425" s="22" t="str">
        <f>HYPERLINK("https://app.vivvix.com/360/KMI/IntelliDrive/ApplUI/Pages/CreativePages/CustomReportCreativeDetail.aspx?App=23&amp;ReportView=4&amp;Qid=1711279&amp;Row=4417&amp;Col=1","No Title Assigned - #15268996649")</f>
        <v/>
      </c>
      <c r="B4425" s="0" t="s">
        <v>6137</v>
      </c>
      <c r="E4425" s="0" t="inlineStr">
        <is>
          <t xml:space="preserve">Mazda</t>
        </is>
      </c>
      <c r="F4425" s="0" t="s">
        <v>21</v>
      </c>
      <c r="G4425" s="0" t="s">
        <v>22</v>
      </c>
      <c r="H4425" s="5">
        <v>1072.834500</v>
      </c>
    </row>
    <row r="4426" spans="1:9">
      <c r="A4426" s="22" t="str">
        <f>HYPERLINK("https://app.vivvix.com/360/KMI/IntelliDrive/ApplUI/Pages/CreativePages/CustomReportCreativeDetail.aspx?App=23&amp;ReportView=4&amp;Qid=1711279&amp;Row=4418&amp;Col=1","No Title Assigned - #15268997052")</f>
        <v/>
      </c>
      <c r="B4426" s="0" t="s">
        <v>6138</v>
      </c>
      <c r="C4426" s="0" t="s">
        <v>6139</v>
      </c>
      <c r="D4426" s="0" t="s">
        <v>6139</v>
      </c>
      <c r="E4426" s="0" t="inlineStr">
        <is>
          <t xml:space="preserve">Mazda</t>
        </is>
      </c>
      <c r="F4426" s="0" t="inlineStr">
        <is>
          <t xml:space="preserve">Mazda</t>
        </is>
      </c>
      <c r="G4426" s="0" t="s">
        <v>171</v>
      </c>
      <c r="H4426" s="5">
        <v>61592.649500</v>
      </c>
    </row>
    <row r="4427" spans="1:9">
      <c r="A4427" s="22" t="str">
        <f>HYPERLINK("https://app.vivvix.com/360/KMI/IntelliDrive/ApplUI/Pages/CreativePages/CustomReportCreativeDetail.aspx?App=23&amp;ReportView=4&amp;Qid=1711279&amp;Row=4419&amp;Col=1","No Title Assigned - #15268997579")</f>
        <v/>
      </c>
      <c r="B4427" s="0" t="s">
        <v>6140</v>
      </c>
      <c r="C4427" s="0" t="s">
        <v>6141</v>
      </c>
      <c r="D4427" s="0" t="s">
        <v>4202</v>
      </c>
      <c r="E4427" s="0" t="inlineStr">
        <is>
          <t xml:space="preserve">Mazda</t>
        </is>
      </c>
      <c r="F4427" s="0" t="s">
        <v>28</v>
      </c>
      <c r="G4427" s="0" t="s">
        <v>29</v>
      </c>
      <c r="H4427" s="5">
        <v>10.711000</v>
      </c>
    </row>
    <row r="4428" spans="1:9">
      <c r="A4428" s="22" t="str">
        <f>HYPERLINK("https://app.vivvix.com/360/KMI/IntelliDrive/ApplUI/Pages/CreativePages/CustomReportCreativeDetail.aspx?App=23&amp;ReportView=4&amp;Qid=1711279&amp;Row=4420&amp;Col=1","No Title Assigned - #15268998894")</f>
        <v/>
      </c>
      <c r="B4428" s="0" t="s">
        <v>6142</v>
      </c>
      <c r="C4428" s="0" t="s">
        <v>6143</v>
      </c>
      <c r="D4428" s="0" t="s">
        <v>6144</v>
      </c>
      <c r="E4428" s="0" t="inlineStr">
        <is>
          <t xml:space="preserve">Mazda</t>
        </is>
      </c>
      <c r="F4428" s="0" t="s">
        <v>28</v>
      </c>
      <c r="G4428" s="0" t="s">
        <v>29</v>
      </c>
      <c r="H4428" s="5">
        <v>6.564100</v>
      </c>
    </row>
    <row r="4429" spans="1:9">
      <c r="A4429" s="22" t="str">
        <f>HYPERLINK("https://app.vivvix.com/360/KMI/IntelliDrive/ApplUI/Pages/CreativePages/CustomReportCreativeDetail.aspx?App=23&amp;ReportView=4&amp;Qid=1711279&amp;Row=4421&amp;Col=1","No Title Assigned - #15268998950")</f>
        <v/>
      </c>
      <c r="B4429" s="0" t="s">
        <v>6145</v>
      </c>
      <c r="C4429" s="0" t="s">
        <v>6146</v>
      </c>
      <c r="D4429" s="0" t="s">
        <v>6146</v>
      </c>
      <c r="E4429" s="0" t="inlineStr">
        <is>
          <t xml:space="preserve">Mazda</t>
        </is>
      </c>
      <c r="F4429" s="0" t="inlineStr">
        <is>
          <t xml:space="preserve">Mazda</t>
        </is>
      </c>
      <c r="G4429" s="0" t="s">
        <v>171</v>
      </c>
      <c r="H4429" s="5">
        <v>40.564200</v>
      </c>
    </row>
    <row r="4430" spans="1:9">
      <c r="A4430" s="22" t="str">
        <f>HYPERLINK("https://app.vivvix.com/360/KMI/IntelliDrive/ApplUI/Pages/CreativePages/CustomReportCreativeDetail.aspx?App=23&amp;ReportView=4&amp;Qid=1711279&amp;Row=4422&amp;Col=1","No Title Assigned - #15268998954")</f>
        <v/>
      </c>
      <c r="B4430" s="0" t="s">
        <v>6147</v>
      </c>
      <c r="C4430" s="0" t="s">
        <v>6148</v>
      </c>
      <c r="D4430" s="0" t="s">
        <v>6148</v>
      </c>
      <c r="E4430" s="0" t="inlineStr">
        <is>
          <t xml:space="preserve">Mazda</t>
        </is>
      </c>
      <c r="F4430" s="0" t="s">
        <v>13</v>
      </c>
      <c r="G4430" s="0" t="s">
        <v>49</v>
      </c>
      <c r="H4430" s="5">
        <v>34.457300</v>
      </c>
    </row>
    <row r="4431" spans="1:9">
      <c r="A4431" s="22" t="str">
        <f>HYPERLINK("https://app.vivvix.com/360/KMI/IntelliDrive/ApplUI/Pages/CreativePages/CustomReportCreativeDetail.aspx?App=23&amp;ReportView=4&amp;Qid=1711279&amp;Row=4423&amp;Col=1","No Title Assigned - #15268999526")</f>
        <v/>
      </c>
      <c r="B4431" s="0" t="s">
        <v>6149</v>
      </c>
      <c r="E4431" s="0" t="inlineStr">
        <is>
          <t xml:space="preserve">Mazda</t>
        </is>
      </c>
      <c r="F4431" s="0" t="inlineStr">
        <is>
          <t xml:space="preserve">Mazda</t>
        </is>
      </c>
      <c r="G4431" s="0" t="s">
        <v>171</v>
      </c>
      <c r="H4431" s="5">
        <v>684.320200</v>
      </c>
    </row>
    <row r="4432" spans="1:9">
      <c r="A4432" s="22" t="str">
        <f>HYPERLINK("https://app.vivvix.com/360/KMI/IntelliDrive/ApplUI/Pages/CreativePages/CustomReportCreativeDetail.aspx?App=23&amp;ReportView=4&amp;Qid=1711279&amp;Row=4424&amp;Col=1","No Title Assigned - #15268999868")</f>
        <v/>
      </c>
      <c r="B4432" s="0" t="s">
        <v>6150</v>
      </c>
      <c r="C4432" s="0" t="s">
        <v>6151</v>
      </c>
      <c r="D4432" s="0" t="s">
        <v>4200</v>
      </c>
      <c r="E4432" s="0" t="inlineStr">
        <is>
          <t xml:space="preserve">Mazda</t>
        </is>
      </c>
      <c r="F4432" s="0" t="s">
        <v>28</v>
      </c>
      <c r="G4432" s="0" t="s">
        <v>29</v>
      </c>
      <c r="H4432" s="5">
        <v>86.223500</v>
      </c>
    </row>
    <row r="4433" spans="1:9">
      <c r="A4433" s="22" t="str">
        <f>HYPERLINK("https://app.vivvix.com/360/KMI/IntelliDrive/ApplUI/Pages/CreativePages/CustomReportCreativeDetail.aspx?App=23&amp;ReportView=4&amp;Qid=1711279&amp;Row=4425&amp;Col=1","No Title Assigned - #15269000071")</f>
        <v/>
      </c>
      <c r="B4433" s="0" t="s">
        <v>6152</v>
      </c>
      <c r="C4433" s="0" t="s">
        <v>6153</v>
      </c>
      <c r="D4433" s="0" t="s">
        <v>6153</v>
      </c>
      <c r="E4433" s="0" t="inlineStr">
        <is>
          <t xml:space="preserve">Mazda</t>
        </is>
      </c>
      <c r="F4433" s="0" t="s">
        <v>28</v>
      </c>
      <c r="G4433" s="0" t="s">
        <v>29</v>
      </c>
      <c r="H4433" s="5">
        <v>40.513600</v>
      </c>
    </row>
    <row r="4434" spans="1:9">
      <c r="A4434" s="22" t="str">
        <f>HYPERLINK("https://app.vivvix.com/360/KMI/IntelliDrive/ApplUI/Pages/CreativePages/CustomReportCreativeDetail.aspx?App=23&amp;ReportView=4&amp;Qid=1711279&amp;Row=4426&amp;Col=1","No Title Assigned - #15269000238")</f>
        <v/>
      </c>
      <c r="B4434" s="0" t="s">
        <v>6154</v>
      </c>
      <c r="C4434" s="0" t="s">
        <v>6155</v>
      </c>
      <c r="D4434" s="0" t="s">
        <v>6155</v>
      </c>
      <c r="E4434" s="0" t="inlineStr">
        <is>
          <t xml:space="preserve">Mazda</t>
        </is>
      </c>
      <c r="F4434" s="0" t="inlineStr">
        <is>
          <t xml:space="preserve">Mazda</t>
        </is>
      </c>
      <c r="G4434" s="0" t="s">
        <v>2413</v>
      </c>
      <c r="H4434" s="5">
        <v>2369.579300</v>
      </c>
    </row>
    <row r="4435" spans="1:9">
      <c r="A4435" s="22" t="str">
        <f>HYPERLINK("https://app.vivvix.com/360/KMI/IntelliDrive/ApplUI/Pages/CreativePages/CustomReportCreativeDetail.aspx?App=23&amp;ReportView=4&amp;Qid=1711279&amp;Row=4427&amp;Col=1","No Title Assigned - #15269000323")</f>
        <v/>
      </c>
      <c r="B4435" s="0" t="s">
        <v>6156</v>
      </c>
      <c r="C4435" s="0" t="s">
        <v>6157</v>
      </c>
      <c r="D4435" s="0" t="s">
        <v>4454</v>
      </c>
      <c r="E4435" s="0" t="inlineStr">
        <is>
          <t xml:space="preserve">Mazda</t>
        </is>
      </c>
      <c r="F4435" s="0" t="s">
        <v>369</v>
      </c>
      <c r="G4435" s="0" t="s">
        <v>370</v>
      </c>
      <c r="H4435" s="5">
        <v>2581.426000</v>
      </c>
    </row>
    <row r="4436" spans="1:9">
      <c r="A4436" s="22" t="str">
        <f>HYPERLINK("https://app.vivvix.com/360/KMI/IntelliDrive/ApplUI/Pages/CreativePages/CustomReportCreativeDetail.aspx?App=23&amp;ReportView=4&amp;Qid=1711279&amp;Row=4428&amp;Col=1","No Title Assigned - #15269000915")</f>
        <v/>
      </c>
      <c r="B4436" s="0" t="s">
        <v>6158</v>
      </c>
      <c r="C4436" s="0" t="s">
        <v>6159</v>
      </c>
      <c r="D4436" s="0" t="s">
        <v>6159</v>
      </c>
      <c r="E4436" s="0" t="inlineStr">
        <is>
          <t xml:space="preserve">Mazda</t>
        </is>
      </c>
      <c r="F4436" s="0" t="s">
        <v>28</v>
      </c>
      <c r="G4436" s="0" t="s">
        <v>29</v>
      </c>
      <c r="H4436" s="5">
        <v>9.313500</v>
      </c>
    </row>
    <row r="4437" spans="1:9">
      <c r="A4437" s="22" t="str">
        <f>HYPERLINK("https://app.vivvix.com/360/KMI/IntelliDrive/ApplUI/Pages/CreativePages/CustomReportCreativeDetail.aspx?App=23&amp;ReportView=4&amp;Qid=1711279&amp;Row=4429&amp;Col=1","No Title Assigned - #15269001288")</f>
        <v/>
      </c>
      <c r="B4437" s="0" t="s">
        <v>6160</v>
      </c>
      <c r="C4437" s="0" t="s">
        <v>6161</v>
      </c>
      <c r="D4437" s="0" t="s">
        <v>4335</v>
      </c>
      <c r="E4437" s="0" t="inlineStr">
        <is>
          <t xml:space="preserve">Mazda</t>
        </is>
      </c>
      <c r="F4437" s="0" t="s">
        <v>13</v>
      </c>
      <c r="G4437" s="0" t="s">
        <v>49</v>
      </c>
      <c r="H4437" s="5">
        <v>5156.891700</v>
      </c>
    </row>
    <row r="4438" spans="1:9">
      <c r="A4438" s="22" t="str">
        <f>HYPERLINK("https://app.vivvix.com/360/KMI/IntelliDrive/ApplUI/Pages/CreativePages/CustomReportCreativeDetail.aspx?App=23&amp;ReportView=4&amp;Qid=1711279&amp;Row=4430&amp;Col=1","No Title Assigned - #15269001405")</f>
        <v/>
      </c>
      <c r="B4438" s="0" t="s">
        <v>6162</v>
      </c>
      <c r="C4438" s="0" t="s">
        <v>6163</v>
      </c>
      <c r="D4438" s="0" t="s">
        <v>6163</v>
      </c>
      <c r="E4438" s="0" t="inlineStr">
        <is>
          <t xml:space="preserve">Mazda</t>
        </is>
      </c>
      <c r="F4438" s="0" t="s">
        <v>28</v>
      </c>
      <c r="G4438" s="0" t="s">
        <v>29</v>
      </c>
      <c r="H4438" s="5">
        <v>138.751200</v>
      </c>
    </row>
    <row r="4439" spans="1:9">
      <c r="A4439" s="22" t="str">
        <f>HYPERLINK("https://app.vivvix.com/360/KMI/IntelliDrive/ApplUI/Pages/CreativePages/CustomReportCreativeDetail.aspx?App=23&amp;ReportView=4&amp;Qid=1711279&amp;Row=4431&amp;Col=1","No Title Assigned - #15269001424")</f>
        <v/>
      </c>
      <c r="B4439" s="0" t="s">
        <v>6164</v>
      </c>
      <c r="C4439" s="0" t="s">
        <v>6165</v>
      </c>
      <c r="D4439" s="0" t="s">
        <v>6165</v>
      </c>
      <c r="E4439" s="0" t="inlineStr">
        <is>
          <t xml:space="preserve">Mazda</t>
        </is>
      </c>
      <c r="F4439" s="0" t="s">
        <v>28</v>
      </c>
      <c r="G4439" s="0" t="s">
        <v>29</v>
      </c>
      <c r="H4439" s="5">
        <v>53.414200</v>
      </c>
    </row>
    <row r="4440" spans="1:9">
      <c r="A4440" s="22" t="str">
        <f>HYPERLINK("https://app.vivvix.com/360/KMI/IntelliDrive/ApplUI/Pages/CreativePages/CustomReportCreativeDetail.aspx?App=23&amp;ReportView=4&amp;Qid=1711279&amp;Row=4432&amp;Col=1","No Title Assigned - #15269002141")</f>
        <v/>
      </c>
      <c r="B4440" s="0" t="s">
        <v>6166</v>
      </c>
      <c r="C4440" s="0" t="s">
        <v>6167</v>
      </c>
      <c r="D4440" s="0" t="s">
        <v>6167</v>
      </c>
      <c r="E4440" s="0" t="inlineStr">
        <is>
          <t xml:space="preserve">Mazda</t>
        </is>
      </c>
      <c r="F4440" s="0" t="s">
        <v>28</v>
      </c>
      <c r="G4440" s="0" t="s">
        <v>29</v>
      </c>
      <c r="H4440" s="5">
        <v>512.614200</v>
      </c>
    </row>
    <row r="4441" spans="1:9">
      <c r="A4441" s="22" t="str">
        <f>HYPERLINK("https://app.vivvix.com/360/KMI/IntelliDrive/ApplUI/Pages/CreativePages/CustomReportCreativeDetail.aspx?App=23&amp;ReportView=4&amp;Qid=1711279&amp;Row=4433&amp;Col=1","No Title Assigned - #15269002368")</f>
        <v/>
      </c>
      <c r="B4441" s="0" t="s">
        <v>6168</v>
      </c>
      <c r="C4441" s="0" t="s">
        <v>6144</v>
      </c>
      <c r="D4441" s="0" t="s">
        <v>6144</v>
      </c>
      <c r="E4441" s="0" t="inlineStr">
        <is>
          <t xml:space="preserve">Mazda</t>
        </is>
      </c>
      <c r="F4441" s="0" t="s">
        <v>28</v>
      </c>
      <c r="G4441" s="0" t="s">
        <v>29</v>
      </c>
      <c r="H4441" s="5">
        <v>2853.859200</v>
      </c>
    </row>
    <row r="4442" spans="1:9">
      <c r="A4442" s="22" t="str">
        <f>HYPERLINK("https://app.vivvix.com/360/KMI/IntelliDrive/ApplUI/Pages/CreativePages/CustomReportCreativeDetail.aspx?App=23&amp;ReportView=4&amp;Qid=1711279&amp;Row=4434&amp;Col=1","No Title Assigned - #15269002517")</f>
        <v/>
      </c>
      <c r="B4442" s="0" t="s">
        <v>6169</v>
      </c>
      <c r="C4442" s="0" t="s">
        <v>6170</v>
      </c>
      <c r="D4442" s="0" t="s">
        <v>6170</v>
      </c>
      <c r="E4442" s="0" t="inlineStr">
        <is>
          <t xml:space="preserve">Mazda</t>
        </is>
      </c>
      <c r="F4442" s="0" t="s">
        <v>28</v>
      </c>
      <c r="G4442" s="0" t="s">
        <v>29</v>
      </c>
      <c r="H4442" s="5">
        <v>4.170700</v>
      </c>
    </row>
    <row r="4443" spans="1:9">
      <c r="A4443" s="22" t="str">
        <f>HYPERLINK("https://app.vivvix.com/360/KMI/IntelliDrive/ApplUI/Pages/CreativePages/CustomReportCreativeDetail.aspx?App=23&amp;ReportView=4&amp;Qid=1711279&amp;Row=4435&amp;Col=1","No Title Assigned - #15269002840")</f>
        <v/>
      </c>
      <c r="B4443" s="0" t="s">
        <v>6171</v>
      </c>
      <c r="C4443" s="0" t="s">
        <v>6172</v>
      </c>
      <c r="D4443" s="0" t="s">
        <v>4204</v>
      </c>
      <c r="E4443" s="0" t="inlineStr">
        <is>
          <t xml:space="preserve">Mazda</t>
        </is>
      </c>
      <c r="F4443" s="0" t="s">
        <v>28</v>
      </c>
      <c r="G4443" s="0" t="s">
        <v>29</v>
      </c>
      <c r="H4443" s="5">
        <v>1684.218100</v>
      </c>
    </row>
    <row r="4444" spans="1:9">
      <c r="A4444" s="22" t="str">
        <f>HYPERLINK("https://app.vivvix.com/360/KMI/IntelliDrive/ApplUI/Pages/CreativePages/CustomReportCreativeDetail.aspx?App=23&amp;ReportView=4&amp;Qid=1711279&amp;Row=4436&amp;Col=1","No Title Assigned - #15269003288")</f>
        <v/>
      </c>
      <c r="B4444" s="0" t="s">
        <v>6173</v>
      </c>
      <c r="C4444" s="0" t="s">
        <v>6174</v>
      </c>
      <c r="D4444" s="0" t="s">
        <v>4200</v>
      </c>
      <c r="E4444" s="0" t="inlineStr">
        <is>
          <t xml:space="preserve">Mazda</t>
        </is>
      </c>
      <c r="F4444" s="0" t="s">
        <v>28</v>
      </c>
      <c r="G4444" s="0" t="s">
        <v>29</v>
      </c>
      <c r="H4444" s="5">
        <v>91.943600</v>
      </c>
    </row>
    <row r="4445" spans="1:9">
      <c r="A4445" s="22" t="str">
        <f>HYPERLINK("https://app.vivvix.com/360/KMI/IntelliDrive/ApplUI/Pages/CreativePages/CustomReportCreativeDetail.aspx?App=23&amp;ReportView=4&amp;Qid=1711279&amp;Row=4437&amp;Col=1","No Title Assigned - #15269003290")</f>
        <v/>
      </c>
      <c r="B4445" s="0" t="s">
        <v>6175</v>
      </c>
      <c r="C4445" s="0" t="s">
        <v>6176</v>
      </c>
      <c r="D4445" s="0" t="s">
        <v>4204</v>
      </c>
      <c r="E4445" s="0" t="inlineStr">
        <is>
          <t xml:space="preserve">Mazda</t>
        </is>
      </c>
      <c r="F4445" s="0" t="s">
        <v>28</v>
      </c>
      <c r="G4445" s="0" t="s">
        <v>29</v>
      </c>
      <c r="H4445" s="5">
        <v>91.943600</v>
      </c>
    </row>
    <row r="4446" spans="1:9">
      <c r="A4446" s="22" t="str">
        <f>HYPERLINK("https://app.vivvix.com/360/KMI/IntelliDrive/ApplUI/Pages/CreativePages/CustomReportCreativeDetail.aspx?App=23&amp;ReportView=4&amp;Qid=1711279&amp;Row=4438&amp;Col=1","No Title Assigned - #15269003487")</f>
        <v/>
      </c>
      <c r="B4446" s="0" t="s">
        <v>6177</v>
      </c>
      <c r="C4446" s="0" t="s">
        <v>6178</v>
      </c>
      <c r="D4446" s="0" t="s">
        <v>6178</v>
      </c>
      <c r="E4446" s="0" t="inlineStr">
        <is>
          <t xml:space="preserve">Mazda</t>
        </is>
      </c>
      <c r="F4446" s="0" t="s">
        <v>28</v>
      </c>
      <c r="G4446" s="0" t="s">
        <v>29</v>
      </c>
      <c r="H4446" s="5">
        <v>1391.552300</v>
      </c>
    </row>
    <row r="4447" spans="1:9">
      <c r="A4447" s="22" t="str">
        <f>HYPERLINK("https://app.vivvix.com/360/KMI/IntelliDrive/ApplUI/Pages/CreativePages/CustomReportCreativeDetail.aspx?App=23&amp;ReportView=4&amp;Qid=1711279&amp;Row=4439&amp;Col=1","No Title Assigned - #15269003487")</f>
        <v/>
      </c>
      <c r="B4447" s="0" t="s">
        <v>6177</v>
      </c>
      <c r="E4447" s="0" t="inlineStr">
        <is>
          <t xml:space="preserve">Mazda</t>
        </is>
      </c>
      <c r="F4447" s="0" t="s">
        <v>28</v>
      </c>
      <c r="G4447" s="0" t="s">
        <v>29</v>
      </c>
      <c r="H4447" s="5">
        <v>76.242000</v>
      </c>
    </row>
    <row r="4448" spans="1:9">
      <c r="A4448" s="22" t="str">
        <f>HYPERLINK("https://app.vivvix.com/360/KMI/IntelliDrive/ApplUI/Pages/CreativePages/CustomReportCreativeDetail.aspx?App=23&amp;ReportView=4&amp;Qid=1711279&amp;Row=4440&amp;Col=1","No Title Assigned - #15269003533")</f>
        <v/>
      </c>
      <c r="B4448" s="0" t="s">
        <v>6179</v>
      </c>
      <c r="C4448" s="0" t="s">
        <v>6180</v>
      </c>
      <c r="D4448" s="0" t="s">
        <v>6180</v>
      </c>
      <c r="E4448" s="0" t="inlineStr">
        <is>
          <t xml:space="preserve">Mazda</t>
        </is>
      </c>
      <c r="F4448" s="0" t="s">
        <v>13</v>
      </c>
      <c r="G4448" s="0" t="s">
        <v>49</v>
      </c>
      <c r="H4448" s="5">
        <v>4676.035400</v>
      </c>
    </row>
    <row r="4449" spans="1:9">
      <c r="A4449" s="22" t="str">
        <f>HYPERLINK("https://app.vivvix.com/360/KMI/IntelliDrive/ApplUI/Pages/CreativePages/CustomReportCreativeDetail.aspx?App=23&amp;ReportView=4&amp;Qid=1711279&amp;Row=4441&amp;Col=1","No Title Assigned - #15269003533")</f>
        <v/>
      </c>
      <c r="B4449" s="0" t="s">
        <v>6179</v>
      </c>
      <c r="E4449" s="0" t="inlineStr">
        <is>
          <t xml:space="preserve">Mazda</t>
        </is>
      </c>
      <c r="F4449" s="0" t="s">
        <v>13</v>
      </c>
      <c r="G4449" s="0" t="s">
        <v>49</v>
      </c>
      <c r="H4449" s="5">
        <v>65.636400</v>
      </c>
    </row>
    <row r="4450" spans="1:9">
      <c r="A4450" s="22" t="str">
        <f>HYPERLINK("https://app.vivvix.com/360/KMI/IntelliDrive/ApplUI/Pages/CreativePages/CustomReportCreativeDetail.aspx?App=23&amp;ReportView=4&amp;Qid=1711279&amp;Row=4442&amp;Col=1","No Title Assigned - #15269003930")</f>
        <v/>
      </c>
      <c r="B4450" s="0" t="s">
        <v>6181</v>
      </c>
      <c r="E4450" s="0" t="inlineStr">
        <is>
          <t xml:space="preserve">Mazda</t>
        </is>
      </c>
      <c r="F4450" s="0" t="inlineStr">
        <is>
          <t xml:space="preserve">Mazda</t>
        </is>
      </c>
      <c r="G4450" s="0" t="s">
        <v>171</v>
      </c>
      <c r="H4450" s="5">
        <v>93.241000</v>
      </c>
    </row>
    <row r="4451" spans="1:9">
      <c r="A4451" s="22" t="str">
        <f>HYPERLINK("https://app.vivvix.com/360/KMI/IntelliDrive/ApplUI/Pages/CreativePages/CustomReportCreativeDetail.aspx?App=23&amp;ReportView=4&amp;Qid=1711279&amp;Row=4443&amp;Col=1","No Title Assigned - #15269004530")</f>
        <v/>
      </c>
      <c r="B4451" s="0" t="s">
        <v>6182</v>
      </c>
      <c r="C4451" s="0" t="s">
        <v>6183</v>
      </c>
      <c r="D4451" s="0" t="s">
        <v>6183</v>
      </c>
      <c r="E4451" s="0" t="inlineStr">
        <is>
          <t xml:space="preserve">Mazda</t>
        </is>
      </c>
      <c r="F4451" s="0" t="s">
        <v>13</v>
      </c>
      <c r="G4451" s="0" t="s">
        <v>49</v>
      </c>
      <c r="H4451" s="5">
        <v>87918.114100</v>
      </c>
    </row>
    <row r="4452" spans="1:9">
      <c r="A4452" s="22" t="str">
        <f>HYPERLINK("https://app.vivvix.com/360/KMI/IntelliDrive/ApplUI/Pages/CreativePages/CustomReportCreativeDetail.aspx?App=23&amp;ReportView=4&amp;Qid=1711279&amp;Row=4444&amp;Col=1","No Title Assigned - #15269004530")</f>
        <v/>
      </c>
      <c r="B4452" s="0" t="s">
        <v>6182</v>
      </c>
      <c r="E4452" s="0" t="inlineStr">
        <is>
          <t xml:space="preserve">Mazda</t>
        </is>
      </c>
      <c r="F4452" s="0" t="s">
        <v>13</v>
      </c>
      <c r="G4452" s="0" t="s">
        <v>49</v>
      </c>
      <c r="H4452" s="5">
        <v>1338.811200</v>
      </c>
    </row>
    <row r="4453" spans="1:9">
      <c r="A4453" s="22" t="str">
        <f>HYPERLINK("https://app.vivvix.com/360/KMI/IntelliDrive/ApplUI/Pages/CreativePages/CustomReportCreativeDetail.aspx?App=23&amp;ReportView=4&amp;Qid=1711279&amp;Row=4445&amp;Col=1","No Title Assigned - #15269004885")</f>
        <v/>
      </c>
      <c r="B4453" s="0" t="s">
        <v>6184</v>
      </c>
      <c r="C4453" s="0" t="s">
        <v>6185</v>
      </c>
      <c r="D4453" s="0" t="s">
        <v>6185</v>
      </c>
      <c r="E4453" s="0" t="inlineStr">
        <is>
          <t xml:space="preserve">Mazda</t>
        </is>
      </c>
      <c r="F4453" s="0" t="s">
        <v>28</v>
      </c>
      <c r="G4453" s="0" t="s">
        <v>29</v>
      </c>
      <c r="H4453" s="5">
        <v>56.651700</v>
      </c>
    </row>
    <row r="4454" spans="1:9">
      <c r="A4454" s="22" t="str">
        <f>HYPERLINK("https://app.vivvix.com/360/KMI/IntelliDrive/ApplUI/Pages/CreativePages/CustomReportCreativeDetail.aspx?App=23&amp;ReportView=4&amp;Qid=1711279&amp;Row=4446&amp;Col=1","No Title Assigned - #15269005153")</f>
        <v/>
      </c>
      <c r="B4454" s="0" t="s">
        <v>6186</v>
      </c>
      <c r="C4454" s="0" t="s">
        <v>6187</v>
      </c>
      <c r="D4454" s="0" t="s">
        <v>4204</v>
      </c>
      <c r="E4454" s="0" t="inlineStr">
        <is>
          <t xml:space="preserve">Mazda</t>
        </is>
      </c>
      <c r="F4454" s="0" t="s">
        <v>28</v>
      </c>
      <c r="G4454" s="0" t="s">
        <v>29</v>
      </c>
      <c r="H4454" s="5">
        <v>270.403200</v>
      </c>
    </row>
    <row r="4455" spans="1:9">
      <c r="A4455" s="22" t="str">
        <f>HYPERLINK("https://app.vivvix.com/360/KMI/IntelliDrive/ApplUI/Pages/CreativePages/CustomReportCreativeDetail.aspx?App=23&amp;ReportView=4&amp;Qid=1711279&amp;Row=4447&amp;Col=1","No Title Assigned - #15269005154")</f>
        <v/>
      </c>
      <c r="B4455" s="0" t="s">
        <v>6188</v>
      </c>
      <c r="C4455" s="0" t="s">
        <v>6189</v>
      </c>
      <c r="D4455" s="0" t="s">
        <v>4200</v>
      </c>
      <c r="E4455" s="0" t="inlineStr">
        <is>
          <t xml:space="preserve">Mazda</t>
        </is>
      </c>
      <c r="F4455" s="0" t="s">
        <v>28</v>
      </c>
      <c r="G4455" s="0" t="s">
        <v>29</v>
      </c>
      <c r="H4455" s="5">
        <v>14.650100</v>
      </c>
    </row>
    <row r="4456" spans="1:9">
      <c r="A4456" s="22" t="str">
        <f>HYPERLINK("https://app.vivvix.com/360/KMI/IntelliDrive/ApplUI/Pages/CreativePages/CustomReportCreativeDetail.aspx?App=23&amp;ReportView=4&amp;Qid=1711279&amp;Row=4448&amp;Col=1","No Title Assigned - #15269005290")</f>
        <v/>
      </c>
      <c r="B4456" s="0" t="s">
        <v>6190</v>
      </c>
      <c r="C4456" s="0" t="s">
        <v>6191</v>
      </c>
      <c r="D4456" s="0" t="s">
        <v>6191</v>
      </c>
      <c r="E4456" s="0" t="inlineStr">
        <is>
          <t xml:space="preserve">Mazda</t>
        </is>
      </c>
      <c r="F4456" s="0" t="s">
        <v>28</v>
      </c>
      <c r="G4456" s="0" t="s">
        <v>29</v>
      </c>
      <c r="H4456" s="5">
        <v>2.409300</v>
      </c>
    </row>
    <row r="4457" spans="1:9">
      <c r="A4457" s="22" t="str">
        <f>HYPERLINK("https://app.vivvix.com/360/KMI/IntelliDrive/ApplUI/Pages/CreativePages/CustomReportCreativeDetail.aspx?App=23&amp;ReportView=4&amp;Qid=1711279&amp;Row=4449&amp;Col=1","No Title Assigned - #15269006051")</f>
        <v/>
      </c>
      <c r="B4457" s="0" t="s">
        <v>6192</v>
      </c>
      <c r="E4457" s="0" t="inlineStr">
        <is>
          <t xml:space="preserve">Mazda</t>
        </is>
      </c>
      <c r="F4457" s="0" t="inlineStr">
        <is>
          <t xml:space="preserve">Mazda</t>
        </is>
      </c>
      <c r="G4457" s="0" t="s">
        <v>171</v>
      </c>
      <c r="H4457" s="5">
        <v>1819.900500</v>
      </c>
    </row>
    <row r="4458" spans="1:9">
      <c r="A4458" s="22" t="str">
        <f>HYPERLINK("https://app.vivvix.com/360/KMI/IntelliDrive/ApplUI/Pages/CreativePages/CustomReportCreativeDetail.aspx?App=23&amp;ReportView=4&amp;Qid=1711279&amp;Row=4450&amp;Col=1","No Title Assigned - #15269006051")</f>
        <v/>
      </c>
      <c r="B4458" s="0" t="s">
        <v>6192</v>
      </c>
      <c r="E4458" s="0" t="inlineStr">
        <is>
          <t xml:space="preserve">Mazda</t>
        </is>
      </c>
      <c r="F4458" s="0" t="inlineStr">
        <is>
          <t xml:space="preserve">Mazda</t>
        </is>
      </c>
      <c r="G4458" s="0" t="s">
        <v>171</v>
      </c>
      <c r="H4458" s="5">
        <v>53.472800</v>
      </c>
    </row>
    <row r="4459" spans="1:9">
      <c r="A4459" s="22" t="str">
        <f>HYPERLINK("https://app.vivvix.com/360/KMI/IntelliDrive/ApplUI/Pages/CreativePages/CustomReportCreativeDetail.aspx?App=23&amp;ReportView=4&amp;Qid=1711279&amp;Row=4451&amp;Col=1","No Title Assigned - #15269006499")</f>
        <v/>
      </c>
      <c r="B4459" s="0" t="s">
        <v>6193</v>
      </c>
      <c r="E4459" s="0" t="inlineStr">
        <is>
          <t xml:space="preserve">Mazda</t>
        </is>
      </c>
      <c r="F4459" s="0" t="inlineStr">
        <is>
          <t xml:space="preserve">Mazda</t>
        </is>
      </c>
      <c r="G4459" s="0" t="s">
        <v>171</v>
      </c>
      <c r="H4459" s="5">
        <v>84.213700</v>
      </c>
    </row>
    <row r="4460" spans="1:9">
      <c r="A4460" s="22" t="str">
        <f>HYPERLINK("https://app.vivvix.com/360/KMI/IntelliDrive/ApplUI/Pages/CreativePages/CustomReportCreativeDetail.aspx?App=23&amp;ReportView=4&amp;Qid=1711279&amp;Row=4452&amp;Col=1","No Title Assigned - #15269006532")</f>
        <v/>
      </c>
      <c r="B4460" s="0" t="s">
        <v>6194</v>
      </c>
      <c r="E4460" s="0" t="inlineStr">
        <is>
          <t xml:space="preserve">Mazda</t>
        </is>
      </c>
      <c r="F4460" s="0" t="inlineStr">
        <is>
          <t xml:space="preserve">Mazda</t>
        </is>
      </c>
      <c r="G4460" s="0" t="s">
        <v>171</v>
      </c>
      <c r="H4460" s="5">
        <v>45003.494400</v>
      </c>
    </row>
    <row r="4461" spans="1:9">
      <c r="A4461" s="22" t="str">
        <f>HYPERLINK("https://app.vivvix.com/360/KMI/IntelliDrive/ApplUI/Pages/CreativePages/CustomReportCreativeDetail.aspx?App=23&amp;ReportView=4&amp;Qid=1711279&amp;Row=4453&amp;Col=1","No Title Assigned - #15269006648")</f>
        <v/>
      </c>
      <c r="B4461" s="0" t="s">
        <v>6195</v>
      </c>
      <c r="E4461" s="0" t="inlineStr">
        <is>
          <t xml:space="preserve">Mazda</t>
        </is>
      </c>
      <c r="F4461" s="0" t="inlineStr">
        <is>
          <t xml:space="preserve">Mazda</t>
        </is>
      </c>
      <c r="G4461" s="0" t="s">
        <v>171</v>
      </c>
      <c r="H4461" s="5">
        <v>400.578400</v>
      </c>
    </row>
    <row r="4462" spans="1:9">
      <c r="A4462" s="22" t="str">
        <f>HYPERLINK("https://app.vivvix.com/360/KMI/IntelliDrive/ApplUI/Pages/CreativePages/CustomReportCreativeDetail.aspx?App=23&amp;ReportView=4&amp;Qid=1711279&amp;Row=4454&amp;Col=1","No Title Assigned - #15269006664")</f>
        <v/>
      </c>
      <c r="B4462" s="0" t="s">
        <v>6196</v>
      </c>
      <c r="E4462" s="0" t="inlineStr">
        <is>
          <t xml:space="preserve">Mazda</t>
        </is>
      </c>
      <c r="F4462" s="0" t="inlineStr">
        <is>
          <t xml:space="preserve">Mazda</t>
        </is>
      </c>
      <c r="G4462" s="0" t="s">
        <v>171</v>
      </c>
      <c r="H4462" s="5">
        <v>165.981900</v>
      </c>
    </row>
    <row r="4463" spans="1:9">
      <c r="A4463" s="22" t="str">
        <f>HYPERLINK("https://app.vivvix.com/360/KMI/IntelliDrive/ApplUI/Pages/CreativePages/CustomReportCreativeDetail.aspx?App=23&amp;ReportView=4&amp;Qid=1711279&amp;Row=4455&amp;Col=1","No Title Assigned - #15269006977")</f>
        <v/>
      </c>
      <c r="B4463" s="0" t="s">
        <v>6197</v>
      </c>
      <c r="E4463" s="0" t="inlineStr">
        <is>
          <t xml:space="preserve">Mazda</t>
        </is>
      </c>
      <c r="F4463" s="0" t="inlineStr">
        <is>
          <t xml:space="preserve">Mazda</t>
        </is>
      </c>
      <c r="G4463" s="0" t="s">
        <v>171</v>
      </c>
      <c r="H4463" s="5">
        <v>56.866500</v>
      </c>
    </row>
    <row r="4464" spans="1:9">
      <c r="A4464" s="22" t="str">
        <f>HYPERLINK("https://app.vivvix.com/360/KMI/IntelliDrive/ApplUI/Pages/CreativePages/CustomReportCreativeDetail.aspx?App=23&amp;ReportView=4&amp;Qid=1711279&amp;Row=4456&amp;Col=1","No Title Assigned - #15269006980")</f>
        <v/>
      </c>
      <c r="B4464" s="0" t="s">
        <v>6198</v>
      </c>
      <c r="E4464" s="0" t="inlineStr">
        <is>
          <t xml:space="preserve">Mazda</t>
        </is>
      </c>
      <c r="F4464" s="0" t="inlineStr">
        <is>
          <t xml:space="preserve">Mazda</t>
        </is>
      </c>
      <c r="G4464" s="0" t="s">
        <v>171</v>
      </c>
      <c r="H4464" s="5">
        <v>11.383100</v>
      </c>
    </row>
    <row r="4465" spans="1:9">
      <c r="A4465" s="22" t="str">
        <f>HYPERLINK("https://app.vivvix.com/360/KMI/IntelliDrive/ApplUI/Pages/CreativePages/CustomReportCreativeDetail.aspx?App=23&amp;ReportView=4&amp;Qid=1711279&amp;Row=4457&amp;Col=1","No Title Assigned - #15269007225")</f>
        <v/>
      </c>
      <c r="B4465" s="0" t="s">
        <v>6199</v>
      </c>
      <c r="E4465" s="0" t="inlineStr">
        <is>
          <t xml:space="preserve">Mazda</t>
        </is>
      </c>
      <c r="F4465" s="0" t="inlineStr">
        <is>
          <t xml:space="preserve">Mazda</t>
        </is>
      </c>
      <c r="G4465" s="0" t="s">
        <v>171</v>
      </c>
      <c r="H4465" s="5">
        <v>73.506700</v>
      </c>
    </row>
    <row r="4466" spans="1:9">
      <c r="A4466" s="22" t="str">
        <f>HYPERLINK("https://app.vivvix.com/360/KMI/IntelliDrive/ApplUI/Pages/CreativePages/CustomReportCreativeDetail.aspx?App=23&amp;ReportView=4&amp;Qid=1711279&amp;Row=4458&amp;Col=1","No Title Assigned - #15269007662")</f>
        <v/>
      </c>
      <c r="B4466" s="0" t="s">
        <v>6200</v>
      </c>
      <c r="E4466" s="0" t="inlineStr">
        <is>
          <t xml:space="preserve">Mazda</t>
        </is>
      </c>
      <c r="F4466" s="0" t="inlineStr">
        <is>
          <t xml:space="preserve">Mazda</t>
        </is>
      </c>
      <c r="G4466" s="0" t="s">
        <v>171</v>
      </c>
      <c r="H4466" s="5">
        <v>40.459100</v>
      </c>
    </row>
    <row r="4467" spans="1:9">
      <c r="A4467" s="22" t="str">
        <f>HYPERLINK("https://app.vivvix.com/360/KMI/IntelliDrive/ApplUI/Pages/CreativePages/CustomReportCreativeDetail.aspx?App=23&amp;ReportView=4&amp;Qid=1711279&amp;Row=4459&amp;Col=1","No Title Assigned - #15269008599")</f>
        <v/>
      </c>
      <c r="B4467" s="0" t="s">
        <v>6201</v>
      </c>
      <c r="E4467" s="0" t="inlineStr">
        <is>
          <t xml:space="preserve">Mazda</t>
        </is>
      </c>
      <c r="F4467" s="0" t="inlineStr">
        <is>
          <t xml:space="preserve">Mazda</t>
        </is>
      </c>
      <c r="G4467" s="0" t="s">
        <v>171</v>
      </c>
      <c r="H4467" s="5">
        <v>42.433400</v>
      </c>
    </row>
    <row r="4468" spans="1:9">
      <c r="A4468" s="22" t="str">
        <f>HYPERLINK("https://app.vivvix.com/360/KMI/IntelliDrive/ApplUI/Pages/CreativePages/CustomReportCreativeDetail.aspx?App=23&amp;ReportView=4&amp;Qid=1711279&amp;Row=4460&amp;Col=1","No Title Assigned - #15269009737")</f>
        <v/>
      </c>
      <c r="B4468" s="0" t="s">
        <v>6202</v>
      </c>
      <c r="E4468" s="0" t="inlineStr">
        <is>
          <t xml:space="preserve">Mazda</t>
        </is>
      </c>
      <c r="F4468" s="0" t="inlineStr">
        <is>
          <t xml:space="preserve">Mazda</t>
        </is>
      </c>
      <c r="G4468" s="0" t="s">
        <v>171</v>
      </c>
      <c r="H4468" s="5">
        <v>82.489000</v>
      </c>
    </row>
    <row r="4469" spans="1:9">
      <c r="A4469" s="22" t="str">
        <f>HYPERLINK("https://app.vivvix.com/360/KMI/IntelliDrive/ApplUI/Pages/CreativePages/CustomReportCreativeDetail.aspx?App=23&amp;ReportView=4&amp;Qid=1711279&amp;Row=4461&amp;Col=1","No Title Assigned - #15269010720")</f>
        <v/>
      </c>
      <c r="B4469" s="0" t="s">
        <v>6203</v>
      </c>
      <c r="C4469" s="0" t="s">
        <v>6204</v>
      </c>
      <c r="D4469" s="0" t="s">
        <v>6204</v>
      </c>
      <c r="E4469" s="0" t="inlineStr">
        <is>
          <t xml:space="preserve">Mazda</t>
        </is>
      </c>
      <c r="F4469" s="0" t="s">
        <v>28</v>
      </c>
      <c r="G4469" s="0" t="s">
        <v>29</v>
      </c>
      <c r="H4469" s="5">
        <v>1123.670000</v>
      </c>
    </row>
    <row r="4470" spans="1:9">
      <c r="A4470" s="22" t="str">
        <f>HYPERLINK("https://app.vivvix.com/360/KMI/IntelliDrive/ApplUI/Pages/CreativePages/CustomReportCreativeDetail.aspx?App=23&amp;ReportView=4&amp;Qid=1711279&amp;Row=4462&amp;Col=1","No Title Assigned - #15269010736")</f>
        <v/>
      </c>
      <c r="B4470" s="0" t="s">
        <v>6205</v>
      </c>
      <c r="C4470" s="0" t="s">
        <v>6206</v>
      </c>
      <c r="D4470" s="0" t="s">
        <v>6206</v>
      </c>
      <c r="E4470" s="0" t="inlineStr">
        <is>
          <t xml:space="preserve">Mazda</t>
        </is>
      </c>
      <c r="F4470" s="0" t="s">
        <v>28</v>
      </c>
      <c r="G4470" s="0" t="s">
        <v>29</v>
      </c>
      <c r="H4470" s="5">
        <v>86.623700</v>
      </c>
    </row>
    <row r="4471" spans="1:9">
      <c r="A4471" s="22" t="str">
        <f>HYPERLINK("https://app.vivvix.com/360/KMI/IntelliDrive/ApplUI/Pages/CreativePages/CustomReportCreativeDetail.aspx?App=23&amp;ReportView=4&amp;Qid=1711279&amp;Row=4463&amp;Col=1","No Title Assigned - #15269011591")</f>
        <v/>
      </c>
      <c r="B4471" s="0" t="s">
        <v>6207</v>
      </c>
      <c r="E4471" s="0" t="inlineStr">
        <is>
          <t xml:space="preserve">Mazda</t>
        </is>
      </c>
      <c r="F4471" s="0" t="inlineStr">
        <is>
          <t xml:space="preserve">Mazda</t>
        </is>
      </c>
      <c r="G4471" s="0" t="s">
        <v>171</v>
      </c>
      <c r="H4471" s="5">
        <v>393.717800</v>
      </c>
    </row>
    <row r="4472" spans="1:9">
      <c r="A4472" s="22" t="str">
        <f>HYPERLINK("https://app.vivvix.com/360/KMI/IntelliDrive/ApplUI/Pages/CreativePages/CustomReportCreativeDetail.aspx?App=23&amp;ReportView=4&amp;Qid=1711279&amp;Row=4464&amp;Col=1","No Title Assigned - #15269011777")</f>
        <v/>
      </c>
      <c r="B4472" s="0" t="s">
        <v>6208</v>
      </c>
      <c r="C4472" s="0" t="s">
        <v>6209</v>
      </c>
      <c r="D4472" s="0" t="s">
        <v>6209</v>
      </c>
      <c r="E4472" s="0" t="inlineStr">
        <is>
          <t xml:space="preserve">Mazda</t>
        </is>
      </c>
      <c r="F4472" s="0" t="s">
        <v>28</v>
      </c>
      <c r="G4472" s="0" t="s">
        <v>29</v>
      </c>
      <c r="H4472" s="5">
        <v>447.526800</v>
      </c>
    </row>
    <row r="4473" spans="1:9">
      <c r="A4473" s="22" t="str">
        <f>HYPERLINK("https://app.vivvix.com/360/KMI/IntelliDrive/ApplUI/Pages/CreativePages/CustomReportCreativeDetail.aspx?App=23&amp;ReportView=4&amp;Qid=1711279&amp;Row=4465&amp;Col=1","No Title Assigned - #15269012131")</f>
        <v/>
      </c>
      <c r="B4473" s="0" t="s">
        <v>6210</v>
      </c>
      <c r="E4473" s="0" t="inlineStr">
        <is>
          <t xml:space="preserve">Mazda</t>
        </is>
      </c>
      <c r="F4473" s="0" t="s">
        <v>28</v>
      </c>
      <c r="G4473" s="0" t="s">
        <v>29</v>
      </c>
      <c r="H4473" s="5">
        <v>70.868200</v>
      </c>
    </row>
    <row r="4474" spans="1:9">
      <c r="A4474" s="22" t="str">
        <f>HYPERLINK("https://app.vivvix.com/360/KMI/IntelliDrive/ApplUI/Pages/CreativePages/CustomReportCreativeDetail.aspx?App=23&amp;ReportView=4&amp;Qid=1711279&amp;Row=4466&amp;Col=1","No Title Assigned - #15269012131")</f>
        <v/>
      </c>
      <c r="B4474" s="0" t="s">
        <v>6210</v>
      </c>
      <c r="C4474" s="0" t="s">
        <v>6211</v>
      </c>
      <c r="D4474" s="0" t="s">
        <v>6211</v>
      </c>
      <c r="E4474" s="0" t="inlineStr">
        <is>
          <t xml:space="preserve">Mazda</t>
        </is>
      </c>
      <c r="F4474" s="0" t="s">
        <v>28</v>
      </c>
      <c r="G4474" s="0" t="s">
        <v>29</v>
      </c>
      <c r="H4474" s="5">
        <v>204.914800</v>
      </c>
    </row>
    <row r="4475" spans="1:9">
      <c r="A4475" s="22" t="str">
        <f>HYPERLINK("https://app.vivvix.com/360/KMI/IntelliDrive/ApplUI/Pages/CreativePages/CustomReportCreativeDetail.aspx?App=23&amp;ReportView=4&amp;Qid=1711279&amp;Row=4467&amp;Col=1","No Title Assigned - #15269012425")</f>
        <v/>
      </c>
      <c r="B4475" s="0" t="s">
        <v>6212</v>
      </c>
      <c r="C4475" s="0" t="s">
        <v>6213</v>
      </c>
      <c r="D4475" s="0" t="s">
        <v>6213</v>
      </c>
      <c r="E4475" s="0" t="inlineStr">
        <is>
          <t xml:space="preserve">Mazda</t>
        </is>
      </c>
      <c r="F4475" s="0" t="s">
        <v>28</v>
      </c>
      <c r="G4475" s="0" t="s">
        <v>29</v>
      </c>
      <c r="H4475" s="5">
        <v>21.156000</v>
      </c>
    </row>
    <row r="4476" spans="1:9">
      <c r="A4476" s="22" t="str">
        <f>HYPERLINK("https://app.vivvix.com/360/KMI/IntelliDrive/ApplUI/Pages/CreativePages/CustomReportCreativeDetail.aspx?App=23&amp;ReportView=4&amp;Qid=1711279&amp;Row=4468&amp;Col=1","No Title Assigned - #15269012980")</f>
        <v/>
      </c>
      <c r="B4476" s="0" t="s">
        <v>6214</v>
      </c>
      <c r="E4476" s="0" t="inlineStr">
        <is>
          <t xml:space="preserve">Mazda</t>
        </is>
      </c>
      <c r="F4476" s="0" t="inlineStr">
        <is>
          <t xml:space="preserve">Mazda</t>
        </is>
      </c>
      <c r="G4476" s="0" t="s">
        <v>171</v>
      </c>
      <c r="H4476" s="5">
        <v>1005.750200</v>
      </c>
    </row>
    <row r="4477" spans="1:9">
      <c r="A4477" s="22" t="str">
        <f>HYPERLINK("https://app.vivvix.com/360/KMI/IntelliDrive/ApplUI/Pages/CreativePages/CustomReportCreativeDetail.aspx?App=23&amp;ReportView=4&amp;Qid=1711279&amp;Row=4469&amp;Col=1","No Title Assigned - #15269014065")</f>
        <v/>
      </c>
      <c r="B4477" s="0" t="s">
        <v>6215</v>
      </c>
      <c r="E4477" s="0" t="inlineStr">
        <is>
          <t xml:space="preserve">Mazda</t>
        </is>
      </c>
      <c r="F4477" s="0" t="inlineStr">
        <is>
          <t xml:space="preserve">Mazda</t>
        </is>
      </c>
      <c r="G4477" s="0" t="s">
        <v>171</v>
      </c>
      <c r="H4477" s="5">
        <v>68.416000</v>
      </c>
    </row>
    <row r="4478" spans="1:9">
      <c r="A4478" s="22" t="str">
        <f>HYPERLINK("https://app.vivvix.com/360/KMI/IntelliDrive/ApplUI/Pages/CreativePages/CustomReportCreativeDetail.aspx?App=23&amp;ReportView=4&amp;Qid=1711279&amp;Row=4470&amp;Col=1","No Title Assigned - #15269014065")</f>
        <v/>
      </c>
      <c r="B4478" s="0" t="s">
        <v>6215</v>
      </c>
      <c r="E4478" s="0" t="inlineStr">
        <is>
          <t xml:space="preserve">Mazda</t>
        </is>
      </c>
      <c r="F4478" s="0" t="inlineStr">
        <is>
          <t xml:space="preserve">Mazda</t>
        </is>
      </c>
      <c r="G4478" s="0" t="s">
        <v>171</v>
      </c>
      <c r="H4478" s="5">
        <v>10.918000</v>
      </c>
    </row>
    <row r="4479" spans="1:9">
      <c r="A4479" s="22" t="str">
        <f>HYPERLINK("https://app.vivvix.com/360/KMI/IntelliDrive/ApplUI/Pages/CreativePages/CustomReportCreativeDetail.aspx?App=23&amp;ReportView=4&amp;Qid=1711279&amp;Row=4471&amp;Col=1","No Title Assigned - #15269014709")</f>
        <v/>
      </c>
      <c r="B4479" s="0" t="s">
        <v>6216</v>
      </c>
      <c r="E4479" s="0" t="inlineStr">
        <is>
          <t xml:space="preserve">Mazda</t>
        </is>
      </c>
      <c r="F4479" s="0" t="inlineStr">
        <is>
          <t xml:space="preserve">Mazda</t>
        </is>
      </c>
      <c r="G4479" s="0" t="s">
        <v>171</v>
      </c>
      <c r="H4479" s="5">
        <v>17.463300</v>
      </c>
    </row>
    <row r="4480" spans="1:9">
      <c r="A4480" s="22" t="str">
        <f>HYPERLINK("https://app.vivvix.com/360/KMI/IntelliDrive/ApplUI/Pages/CreativePages/CustomReportCreativeDetail.aspx?App=23&amp;ReportView=4&amp;Qid=1711279&amp;Row=4472&amp;Col=1","No Title Assigned - #15269014771")</f>
        <v/>
      </c>
      <c r="B4480" s="0" t="s">
        <v>6217</v>
      </c>
      <c r="C4480" s="0" t="s">
        <v>6218</v>
      </c>
      <c r="D4480" s="0" t="s">
        <v>6218</v>
      </c>
      <c r="E4480" s="0" t="inlineStr">
        <is>
          <t xml:space="preserve">Mazda</t>
        </is>
      </c>
      <c r="F4480" s="0" t="inlineStr">
        <is>
          <t xml:space="preserve">Mazda</t>
        </is>
      </c>
      <c r="G4480" s="0" t="s">
        <v>171</v>
      </c>
      <c r="H4480" s="5">
        <v>1439.343800</v>
      </c>
    </row>
    <row r="4481" spans="1:9">
      <c r="A4481" s="22" t="str">
        <f>HYPERLINK("https://app.vivvix.com/360/KMI/IntelliDrive/ApplUI/Pages/CreativePages/CustomReportCreativeDetail.aspx?App=23&amp;ReportView=4&amp;Qid=1711279&amp;Row=4473&amp;Col=1","No Title Assigned - #15269015023")</f>
        <v/>
      </c>
      <c r="B4481" s="0" t="s">
        <v>6219</v>
      </c>
      <c r="C4481" s="0" t="s">
        <v>6220</v>
      </c>
      <c r="D4481" s="0" t="s">
        <v>6220</v>
      </c>
      <c r="E4481" s="0" t="inlineStr">
        <is>
          <t xml:space="preserve">Mazda</t>
        </is>
      </c>
      <c r="F4481" s="0" t="inlineStr">
        <is>
          <t xml:space="preserve">Mazda</t>
        </is>
      </c>
      <c r="G4481" s="0" t="s">
        <v>171</v>
      </c>
      <c r="H4481" s="5">
        <v>25.086400</v>
      </c>
    </row>
    <row r="4482" spans="1:9">
      <c r="A4482" s="22" t="str">
        <f>HYPERLINK("https://app.vivvix.com/360/KMI/IntelliDrive/ApplUI/Pages/CreativePages/CustomReportCreativeDetail.aspx?App=23&amp;ReportView=4&amp;Qid=1711279&amp;Row=4474&amp;Col=1","No Title Assigned - #15269015226")</f>
        <v/>
      </c>
      <c r="B4482" s="0" t="s">
        <v>6221</v>
      </c>
      <c r="E4482" s="0" t="inlineStr">
        <is>
          <t xml:space="preserve">Mazda</t>
        </is>
      </c>
      <c r="F4482" s="0" t="inlineStr">
        <is>
          <t xml:space="preserve">Mazda</t>
        </is>
      </c>
      <c r="G4482" s="0" t="s">
        <v>171</v>
      </c>
      <c r="H4482" s="5">
        <v>523.689700</v>
      </c>
    </row>
    <row r="4483" spans="1:9">
      <c r="A4483" s="22" t="str">
        <f>HYPERLINK("https://app.vivvix.com/360/KMI/IntelliDrive/ApplUI/Pages/CreativePages/CustomReportCreativeDetail.aspx?App=23&amp;ReportView=4&amp;Qid=1711279&amp;Row=4475&amp;Col=1","No Title Assigned - #15269015329")</f>
        <v/>
      </c>
      <c r="B4483" s="0" t="s">
        <v>6222</v>
      </c>
      <c r="C4483" s="0" t="s">
        <v>6223</v>
      </c>
      <c r="D4483" s="0" t="s">
        <v>6223</v>
      </c>
      <c r="E4483" s="0" t="inlineStr">
        <is>
          <t xml:space="preserve">Mazda</t>
        </is>
      </c>
      <c r="F4483" s="0" t="inlineStr">
        <is>
          <t xml:space="preserve">Mazda</t>
        </is>
      </c>
      <c r="G4483" s="0" t="s">
        <v>171</v>
      </c>
      <c r="H4483" s="5">
        <v>53.409300</v>
      </c>
    </row>
    <row r="4484" spans="1:9">
      <c r="A4484" s="22" t="str">
        <f>HYPERLINK("https://app.vivvix.com/360/KMI/IntelliDrive/ApplUI/Pages/CreativePages/CustomReportCreativeDetail.aspx?App=23&amp;ReportView=4&amp;Qid=1711279&amp;Row=4476&amp;Col=1","No Title Assigned - #15269015493")</f>
        <v/>
      </c>
      <c r="B4484" s="0" t="s">
        <v>6224</v>
      </c>
      <c r="E4484" s="0" t="inlineStr">
        <is>
          <t xml:space="preserve">Mazda</t>
        </is>
      </c>
      <c r="F4484" s="0" t="inlineStr">
        <is>
          <t xml:space="preserve">Mazda</t>
        </is>
      </c>
      <c r="G4484" s="0" t="s">
        <v>171</v>
      </c>
      <c r="H4484" s="5">
        <v>4.708700</v>
      </c>
    </row>
    <row r="4485" spans="1:9">
      <c r="A4485" s="22" t="str">
        <f>HYPERLINK("https://app.vivvix.com/360/KMI/IntelliDrive/ApplUI/Pages/CreativePages/CustomReportCreativeDetail.aspx?App=23&amp;ReportView=4&amp;Qid=1711279&amp;Row=4477&amp;Col=1","No Title Assigned - #15269015774")</f>
        <v/>
      </c>
      <c r="B4485" s="0" t="s">
        <v>6225</v>
      </c>
      <c r="E4485" s="0" t="inlineStr">
        <is>
          <t xml:space="preserve">Mazda</t>
        </is>
      </c>
      <c r="F4485" s="0" t="inlineStr">
        <is>
          <t xml:space="preserve">Mazda</t>
        </is>
      </c>
      <c r="G4485" s="0" t="s">
        <v>171</v>
      </c>
      <c r="H4485" s="5">
        <v>8.973800</v>
      </c>
    </row>
    <row r="4486" spans="1:9">
      <c r="A4486" s="22" t="str">
        <f>HYPERLINK("https://app.vivvix.com/360/KMI/IntelliDrive/ApplUI/Pages/CreativePages/CustomReportCreativeDetail.aspx?App=23&amp;ReportView=4&amp;Qid=1711279&amp;Row=4478&amp;Col=1","No Title Assigned - #15269017022")</f>
        <v/>
      </c>
      <c r="B4486" s="0" t="s">
        <v>6226</v>
      </c>
      <c r="E4486" s="0" t="inlineStr">
        <is>
          <t xml:space="preserve">Mazda</t>
        </is>
      </c>
      <c r="F4486" s="0" t="inlineStr">
        <is>
          <t xml:space="preserve">Mazda</t>
        </is>
      </c>
      <c r="G4486" s="0" t="s">
        <v>171</v>
      </c>
      <c r="H4486" s="5">
        <v>37.745500</v>
      </c>
    </row>
    <row r="4487" spans="1:9">
      <c r="A4487" s="22" t="str">
        <f>HYPERLINK("https://app.vivvix.com/360/KMI/IntelliDrive/ApplUI/Pages/CreativePages/CustomReportCreativeDetail.aspx?App=23&amp;ReportView=4&amp;Qid=1711279&amp;Row=4479&amp;Col=1","No Title Assigned - #15269017538")</f>
        <v/>
      </c>
      <c r="B4487" s="0" t="s">
        <v>6227</v>
      </c>
      <c r="E4487" s="0" t="inlineStr">
        <is>
          <t xml:space="preserve">Mazda</t>
        </is>
      </c>
      <c r="F4487" s="0" t="inlineStr">
        <is>
          <t xml:space="preserve">Mazda</t>
        </is>
      </c>
      <c r="G4487" s="0" t="s">
        <v>171</v>
      </c>
      <c r="H4487" s="5">
        <v>422.344300</v>
      </c>
    </row>
    <row r="4488" spans="1:9">
      <c r="A4488" s="22" t="str">
        <f>HYPERLINK("https://app.vivvix.com/360/KMI/IntelliDrive/ApplUI/Pages/CreativePages/CustomReportCreativeDetail.aspx?App=23&amp;ReportView=4&amp;Qid=1711279&amp;Row=4480&amp;Col=1","No Title Assigned - #15269017565")</f>
        <v/>
      </c>
      <c r="B4488" s="0" t="s">
        <v>6228</v>
      </c>
      <c r="E4488" s="0" t="inlineStr">
        <is>
          <t xml:space="preserve">Mazda</t>
        </is>
      </c>
      <c r="F4488" s="0" t="inlineStr">
        <is>
          <t xml:space="preserve">Mazda</t>
        </is>
      </c>
      <c r="G4488" s="0" t="s">
        <v>171</v>
      </c>
      <c r="H4488" s="5">
        <v>639.786000</v>
      </c>
    </row>
    <row r="4489" spans="1:9">
      <c r="A4489" s="22" t="str">
        <f>HYPERLINK("https://app.vivvix.com/360/KMI/IntelliDrive/ApplUI/Pages/CreativePages/CustomReportCreativeDetail.aspx?App=23&amp;ReportView=4&amp;Qid=1711279&amp;Row=4481&amp;Col=1","No Title Assigned - #15269017847")</f>
        <v/>
      </c>
      <c r="B4489" s="0" t="s">
        <v>6229</v>
      </c>
      <c r="E4489" s="0" t="inlineStr">
        <is>
          <t xml:space="preserve">Mazda</t>
        </is>
      </c>
      <c r="F4489" s="0" t="inlineStr">
        <is>
          <t xml:space="preserve">Mazda</t>
        </is>
      </c>
      <c r="G4489" s="0" t="s">
        <v>171</v>
      </c>
      <c r="H4489" s="5">
        <v>12.162700</v>
      </c>
    </row>
    <row r="4490" spans="1:9">
      <c r="A4490" s="22" t="str">
        <f>HYPERLINK("https://app.vivvix.com/360/KMI/IntelliDrive/ApplUI/Pages/CreativePages/CustomReportCreativeDetail.aspx?App=23&amp;ReportView=4&amp;Qid=1711279&amp;Row=4482&amp;Col=1","No Title Assigned - #15269017913")</f>
        <v/>
      </c>
      <c r="B4490" s="0" t="s">
        <v>6230</v>
      </c>
      <c r="E4490" s="0" t="inlineStr">
        <is>
          <t xml:space="preserve">Mazda</t>
        </is>
      </c>
      <c r="F4490" s="0" t="inlineStr">
        <is>
          <t xml:space="preserve">Mazda</t>
        </is>
      </c>
      <c r="G4490" s="0" t="s">
        <v>171</v>
      </c>
      <c r="H4490" s="5">
        <v>48687.854100</v>
      </c>
    </row>
    <row r="4491" spans="1:9">
      <c r="A4491" s="22" t="str">
        <f>HYPERLINK("https://app.vivvix.com/360/KMI/IntelliDrive/ApplUI/Pages/CreativePages/CustomReportCreativeDetail.aspx?App=23&amp;ReportView=4&amp;Qid=1711279&amp;Row=4483&amp;Col=1","No Title Assigned - #15269017913")</f>
        <v/>
      </c>
      <c r="B4491" s="0" t="s">
        <v>6230</v>
      </c>
      <c r="E4491" s="0" t="inlineStr">
        <is>
          <t xml:space="preserve">Mazda</t>
        </is>
      </c>
      <c r="F4491" s="0" t="inlineStr">
        <is>
          <t xml:space="preserve">Mazda</t>
        </is>
      </c>
      <c r="G4491" s="0" t="s">
        <v>171</v>
      </c>
      <c r="H4491" s="5">
        <v>87.287000</v>
      </c>
    </row>
    <row r="4492" spans="1:9">
      <c r="A4492" s="22" t="str">
        <f>HYPERLINK("https://app.vivvix.com/360/KMI/IntelliDrive/ApplUI/Pages/CreativePages/CustomReportCreativeDetail.aspx?App=23&amp;ReportView=4&amp;Qid=1711279&amp;Row=4484&amp;Col=1","No Title Assigned - #15269018099")</f>
        <v/>
      </c>
      <c r="B4492" s="0" t="s">
        <v>6231</v>
      </c>
      <c r="E4492" s="0" t="inlineStr">
        <is>
          <t xml:space="preserve">Mazda</t>
        </is>
      </c>
      <c r="F4492" s="0" t="inlineStr">
        <is>
          <t xml:space="preserve">Mazda</t>
        </is>
      </c>
      <c r="G4492" s="0" t="s">
        <v>171</v>
      </c>
      <c r="H4492" s="5">
        <v>7.767100</v>
      </c>
    </row>
    <row r="4493" spans="1:9">
      <c r="A4493" s="22" t="str">
        <f>HYPERLINK("https://app.vivvix.com/360/KMI/IntelliDrive/ApplUI/Pages/CreativePages/CustomReportCreativeDetail.aspx?App=23&amp;ReportView=4&amp;Qid=1711279&amp;Row=4485&amp;Col=1","No Title Assigned - #15269018209")</f>
        <v/>
      </c>
      <c r="B4493" s="0" t="s">
        <v>6232</v>
      </c>
      <c r="C4493" s="0" t="s">
        <v>6233</v>
      </c>
      <c r="D4493" s="0" t="s">
        <v>6233</v>
      </c>
      <c r="E4493" s="0" t="inlineStr">
        <is>
          <t xml:space="preserve">Mazda</t>
        </is>
      </c>
      <c r="F4493" s="0" t="inlineStr">
        <is>
          <t xml:space="preserve">Mazda</t>
        </is>
      </c>
      <c r="G4493" s="0" t="s">
        <v>171</v>
      </c>
      <c r="H4493" s="5">
        <v>85.427600</v>
      </c>
    </row>
    <row r="4494" spans="1:9">
      <c r="A4494" s="22" t="str">
        <f>HYPERLINK("https://app.vivvix.com/360/KMI/IntelliDrive/ApplUI/Pages/CreativePages/CustomReportCreativeDetail.aspx?App=23&amp;ReportView=4&amp;Qid=1711279&amp;Row=4486&amp;Col=1","No Title Assigned - #15269018209")</f>
        <v/>
      </c>
      <c r="B4494" s="0" t="s">
        <v>6232</v>
      </c>
      <c r="E4494" s="0" t="inlineStr">
        <is>
          <t xml:space="preserve">Mazda</t>
        </is>
      </c>
      <c r="F4494" s="0" t="inlineStr">
        <is>
          <t xml:space="preserve">Mazda</t>
        </is>
      </c>
      <c r="G4494" s="0" t="s">
        <v>171</v>
      </c>
      <c r="H4494" s="5">
        <v>2147.374500</v>
      </c>
    </row>
    <row r="4495" spans="1:9">
      <c r="A4495" s="22" t="str">
        <f>HYPERLINK("https://app.vivvix.com/360/KMI/IntelliDrive/ApplUI/Pages/CreativePages/CustomReportCreativeDetail.aspx?App=23&amp;ReportView=4&amp;Qid=1711279&amp;Row=4487&amp;Col=1","No Title Assigned - #15269018574")</f>
        <v/>
      </c>
      <c r="B4495" s="0" t="s">
        <v>6234</v>
      </c>
      <c r="E4495" s="0" t="inlineStr">
        <is>
          <t xml:space="preserve">Mazda</t>
        </is>
      </c>
      <c r="F4495" s="0" t="inlineStr">
        <is>
          <t xml:space="preserve">Mazda</t>
        </is>
      </c>
      <c r="G4495" s="0" t="s">
        <v>171</v>
      </c>
      <c r="H4495" s="5">
        <v>1308.446800</v>
      </c>
    </row>
    <row r="4496" spans="1:9">
      <c r="A4496" s="22" t="str">
        <f>HYPERLINK("https://app.vivvix.com/360/KMI/IntelliDrive/ApplUI/Pages/CreativePages/CustomReportCreativeDetail.aspx?App=23&amp;ReportView=4&amp;Qid=1711279&amp;Row=4488&amp;Col=1","No Title Assigned - #15269018574")</f>
        <v/>
      </c>
      <c r="B4496" s="0" t="s">
        <v>6234</v>
      </c>
      <c r="E4496" s="0" t="inlineStr">
        <is>
          <t xml:space="preserve">Mazda</t>
        </is>
      </c>
      <c r="F4496" s="0" t="inlineStr">
        <is>
          <t xml:space="preserve">Mazda</t>
        </is>
      </c>
      <c r="G4496" s="0" t="s">
        <v>171</v>
      </c>
      <c r="H4496" s="5">
        <v>905.746200</v>
      </c>
    </row>
    <row r="4497" spans="1:9">
      <c r="A4497" s="22" t="str">
        <f>HYPERLINK("https://app.vivvix.com/360/KMI/IntelliDrive/ApplUI/Pages/CreativePages/CustomReportCreativeDetail.aspx?App=23&amp;ReportView=4&amp;Qid=1711279&amp;Row=4489&amp;Col=1","No Title Assigned - #15269018695")</f>
        <v/>
      </c>
      <c r="B4497" s="0" t="s">
        <v>6235</v>
      </c>
      <c r="C4497" s="0" t="s">
        <v>6236</v>
      </c>
      <c r="D4497" s="0" t="s">
        <v>6236</v>
      </c>
      <c r="E4497" s="0" t="inlineStr">
        <is>
          <t xml:space="preserve">Mazda</t>
        </is>
      </c>
      <c r="F4497" s="0" t="s">
        <v>28</v>
      </c>
      <c r="G4497" s="0" t="s">
        <v>29</v>
      </c>
      <c r="H4497" s="5">
        <v>35.030000</v>
      </c>
    </row>
    <row r="4498" spans="1:9">
      <c r="A4498" s="22" t="str">
        <f>HYPERLINK("https://app.vivvix.com/360/KMI/IntelliDrive/ApplUI/Pages/CreativePages/CustomReportCreativeDetail.aspx?App=23&amp;ReportView=4&amp;Qid=1711279&amp;Row=4490&amp;Col=1","No Title Assigned - #15269018719")</f>
        <v/>
      </c>
      <c r="B4498" s="0" t="s">
        <v>6237</v>
      </c>
      <c r="C4498" s="0" t="s">
        <v>6238</v>
      </c>
      <c r="D4498" s="0" t="s">
        <v>6238</v>
      </c>
      <c r="E4498" s="0" t="inlineStr">
        <is>
          <t xml:space="preserve">Mazda</t>
        </is>
      </c>
      <c r="F4498" s="0" t="s">
        <v>13</v>
      </c>
      <c r="G4498" s="0" t="s">
        <v>49</v>
      </c>
      <c r="H4498" s="5">
        <v>1751.460700</v>
      </c>
    </row>
    <row r="4499" spans="1:9">
      <c r="A4499" s="22" t="str">
        <f>HYPERLINK("https://app.vivvix.com/360/KMI/IntelliDrive/ApplUI/Pages/CreativePages/CustomReportCreativeDetail.aspx?App=23&amp;ReportView=4&amp;Qid=1711279&amp;Row=4491&amp;Col=1","No Title Assigned - #15269019164")</f>
        <v/>
      </c>
      <c r="B4499" s="0" t="s">
        <v>6239</v>
      </c>
      <c r="C4499" s="0" t="s">
        <v>6240</v>
      </c>
      <c r="D4499" s="0" t="s">
        <v>6240</v>
      </c>
      <c r="E4499" s="0" t="inlineStr">
        <is>
          <t xml:space="preserve">Mazda</t>
        </is>
      </c>
      <c r="F4499" s="0" t="s">
        <v>28</v>
      </c>
      <c r="G4499" s="0" t="s">
        <v>29</v>
      </c>
      <c r="H4499" s="5">
        <v>138.408400</v>
      </c>
    </row>
    <row r="4500" spans="1:9">
      <c r="A4500" s="22" t="str">
        <f>HYPERLINK("https://app.vivvix.com/360/KMI/IntelliDrive/ApplUI/Pages/CreativePages/CustomReportCreativeDetail.aspx?App=23&amp;ReportView=4&amp;Qid=1711279&amp;Row=4492&amp;Col=1","No Title Assigned - #15269019317")</f>
        <v/>
      </c>
      <c r="B4500" s="0" t="s">
        <v>6241</v>
      </c>
      <c r="C4500" s="0" t="s">
        <v>6242</v>
      </c>
      <c r="D4500" s="0" t="s">
        <v>4204</v>
      </c>
      <c r="E4500" s="0" t="inlineStr">
        <is>
          <t xml:space="preserve">Mazda</t>
        </is>
      </c>
      <c r="F4500" s="0" t="s">
        <v>28</v>
      </c>
      <c r="G4500" s="0" t="s">
        <v>29</v>
      </c>
      <c r="H4500" s="5">
        <v>35.442600</v>
      </c>
    </row>
    <row r="4501" spans="1:9">
      <c r="A4501" s="22" t="str">
        <f>HYPERLINK("https://app.vivvix.com/360/KMI/IntelliDrive/ApplUI/Pages/CreativePages/CustomReportCreativeDetail.aspx?App=23&amp;ReportView=4&amp;Qid=1711279&amp;Row=4493&amp;Col=1","No Title Assigned - #15269019460")</f>
        <v/>
      </c>
      <c r="B4501" s="0" t="s">
        <v>6243</v>
      </c>
      <c r="C4501" s="0" t="s">
        <v>6244</v>
      </c>
      <c r="D4501" s="0" t="s">
        <v>4204</v>
      </c>
      <c r="E4501" s="0" t="inlineStr">
        <is>
          <t xml:space="preserve">Mazda</t>
        </is>
      </c>
      <c r="F4501" s="0" t="s">
        <v>28</v>
      </c>
      <c r="G4501" s="0" t="s">
        <v>29</v>
      </c>
      <c r="H4501" s="5">
        <v>14.027200</v>
      </c>
    </row>
    <row r="4502" spans="1:9">
      <c r="A4502" s="22" t="str">
        <f>HYPERLINK("https://app.vivvix.com/360/KMI/IntelliDrive/ApplUI/Pages/CreativePages/CustomReportCreativeDetail.aspx?App=23&amp;ReportView=4&amp;Qid=1711279&amp;Row=4494&amp;Col=1","No Title Assigned - #15269019476")</f>
        <v/>
      </c>
      <c r="B4502" s="0" t="s">
        <v>6245</v>
      </c>
      <c r="C4502" s="0" t="s">
        <v>6246</v>
      </c>
      <c r="D4502" s="0" t="s">
        <v>4200</v>
      </c>
      <c r="E4502" s="0" t="inlineStr">
        <is>
          <t xml:space="preserve">Mazda</t>
        </is>
      </c>
      <c r="F4502" s="0" t="s">
        <v>28</v>
      </c>
      <c r="G4502" s="0" t="s">
        <v>29</v>
      </c>
      <c r="H4502" s="5">
        <v>272.816000</v>
      </c>
    </row>
    <row r="4503" spans="1:9">
      <c r="A4503" s="22" t="str">
        <f>HYPERLINK("https://app.vivvix.com/360/KMI/IntelliDrive/ApplUI/Pages/CreativePages/CustomReportCreativeDetail.aspx?App=23&amp;ReportView=4&amp;Qid=1711279&amp;Row=4495&amp;Col=1","No Title Assigned - #15269019934")</f>
        <v/>
      </c>
      <c r="B4503" s="0" t="s">
        <v>6247</v>
      </c>
      <c r="C4503" s="0" t="s">
        <v>6248</v>
      </c>
      <c r="D4503" s="0" t="s">
        <v>6248</v>
      </c>
      <c r="E4503" s="0" t="inlineStr">
        <is>
          <t xml:space="preserve">Mazda</t>
        </is>
      </c>
      <c r="F4503" s="0" t="s">
        <v>13</v>
      </c>
      <c r="G4503" s="0" t="s">
        <v>49</v>
      </c>
      <c r="H4503" s="5">
        <v>206.724900</v>
      </c>
    </row>
    <row r="4504" spans="1:9">
      <c r="A4504" s="22" t="str">
        <f>HYPERLINK("https://app.vivvix.com/360/KMI/IntelliDrive/ApplUI/Pages/CreativePages/CustomReportCreativeDetail.aspx?App=23&amp;ReportView=4&amp;Qid=1711279&amp;Row=4496&amp;Col=1","No Title Assigned - #15269020289")</f>
        <v/>
      </c>
      <c r="B4504" s="0" t="s">
        <v>6249</v>
      </c>
      <c r="C4504" s="0" t="s">
        <v>6250</v>
      </c>
      <c r="D4504" s="0" t="s">
        <v>6250</v>
      </c>
      <c r="E4504" s="0" t="inlineStr">
        <is>
          <t xml:space="preserve">Mazda</t>
        </is>
      </c>
      <c r="F4504" s="0" t="s">
        <v>28</v>
      </c>
      <c r="G4504" s="0" t="s">
        <v>29</v>
      </c>
      <c r="H4504" s="5">
        <v>108.970400</v>
      </c>
    </row>
    <row r="4505" spans="1:9">
      <c r="A4505" s="22" t="str">
        <f>HYPERLINK("https://app.vivvix.com/360/KMI/IntelliDrive/ApplUI/Pages/CreativePages/CustomReportCreativeDetail.aspx?App=23&amp;ReportView=4&amp;Qid=1711279&amp;Row=4497&amp;Col=1","No Title Assigned - #15269021153")</f>
        <v/>
      </c>
      <c r="B4505" s="0" t="s">
        <v>6251</v>
      </c>
      <c r="C4505" s="0" t="s">
        <v>6252</v>
      </c>
      <c r="D4505" s="0" t="s">
        <v>6252</v>
      </c>
      <c r="E4505" s="0" t="inlineStr">
        <is>
          <t xml:space="preserve">Mazda</t>
        </is>
      </c>
      <c r="F4505" s="0" t="s">
        <v>13</v>
      </c>
      <c r="G4505" s="0" t="s">
        <v>49</v>
      </c>
      <c r="H4505" s="5">
        <v>9883.614300</v>
      </c>
    </row>
    <row r="4506" spans="1:9">
      <c r="A4506" s="22" t="str">
        <f>HYPERLINK("https://app.vivvix.com/360/KMI/IntelliDrive/ApplUI/Pages/CreativePages/CustomReportCreativeDetail.aspx?App=23&amp;ReportView=4&amp;Qid=1711279&amp;Row=4498&amp;Col=1","No Title Assigned - #15269021593")</f>
        <v/>
      </c>
      <c r="B4506" s="0" t="s">
        <v>6253</v>
      </c>
      <c r="C4506" s="0" t="s">
        <v>6085</v>
      </c>
      <c r="D4506" s="0" t="s">
        <v>6085</v>
      </c>
      <c r="E4506" s="0" t="inlineStr">
        <is>
          <t xml:space="preserve">Mazda</t>
        </is>
      </c>
      <c r="F4506" s="0" t="s">
        <v>28</v>
      </c>
      <c r="G4506" s="0" t="s">
        <v>29</v>
      </c>
      <c r="H4506" s="5">
        <v>65.498200</v>
      </c>
    </row>
    <row r="4507" spans="1:9">
      <c r="A4507" s="22" t="str">
        <f>HYPERLINK("https://app.vivvix.com/360/KMI/IntelliDrive/ApplUI/Pages/CreativePages/CustomReportCreativeDetail.aspx?App=23&amp;ReportView=4&amp;Qid=1711279&amp;Row=4499&amp;Col=1","No Title Assigned - #15269021829")</f>
        <v/>
      </c>
      <c r="B4507" s="0" t="s">
        <v>6254</v>
      </c>
      <c r="E4507" s="0" t="inlineStr">
        <is>
          <t xml:space="preserve">Mazda</t>
        </is>
      </c>
      <c r="F4507" s="0" t="inlineStr">
        <is>
          <t xml:space="preserve">Mazda</t>
        </is>
      </c>
      <c r="G4507" s="0" t="s">
        <v>171</v>
      </c>
      <c r="H4507" s="5">
        <v>165.530400</v>
      </c>
    </row>
    <row r="4508" spans="1:9">
      <c r="A4508" s="22" t="str">
        <f>HYPERLINK("https://app.vivvix.com/360/KMI/IntelliDrive/ApplUI/Pages/CreativePages/CustomReportCreativeDetail.aspx?App=23&amp;ReportView=4&amp;Qid=1711279&amp;Row=4500&amp;Col=1","No Title Assigned - #15269022411")</f>
        <v/>
      </c>
      <c r="B4508" s="0" t="s">
        <v>6255</v>
      </c>
      <c r="C4508" s="0" t="s">
        <v>6256</v>
      </c>
      <c r="D4508" s="0" t="s">
        <v>6256</v>
      </c>
      <c r="E4508" s="0" t="inlineStr">
        <is>
          <t xml:space="preserve">Mazda</t>
        </is>
      </c>
      <c r="F4508" s="0" t="s">
        <v>28</v>
      </c>
      <c r="G4508" s="0" t="s">
        <v>29</v>
      </c>
      <c r="H4508" s="5">
        <v>721.410300</v>
      </c>
    </row>
    <row r="4509" spans="1:9">
      <c r="A4509" s="22" t="str">
        <f>HYPERLINK("https://app.vivvix.com/360/KMI/IntelliDrive/ApplUI/Pages/CreativePages/CustomReportCreativeDetail.aspx?App=23&amp;ReportView=4&amp;Qid=1711279&amp;Row=4501&amp;Col=1","No Title Assigned - #15269022511")</f>
        <v/>
      </c>
      <c r="B4509" s="0" t="s">
        <v>6257</v>
      </c>
      <c r="C4509" s="0" t="s">
        <v>6258</v>
      </c>
      <c r="D4509" s="0" t="s">
        <v>6258</v>
      </c>
      <c r="E4509" s="0" t="inlineStr">
        <is>
          <t xml:space="preserve">Mazda</t>
        </is>
      </c>
      <c r="F4509" s="0" t="s">
        <v>56</v>
      </c>
      <c r="G4509" s="0" t="s">
        <v>57</v>
      </c>
      <c r="H4509" s="5">
        <v>790.641300</v>
      </c>
    </row>
    <row r="4510" spans="1:9">
      <c r="A4510" s="22" t="str">
        <f>HYPERLINK("https://app.vivvix.com/360/KMI/IntelliDrive/ApplUI/Pages/CreativePages/CustomReportCreativeDetail.aspx?App=23&amp;ReportView=4&amp;Qid=1711279&amp;Row=4502&amp;Col=1","No Title Assigned - #15269022969")</f>
        <v/>
      </c>
      <c r="B4510" s="0" t="s">
        <v>6259</v>
      </c>
      <c r="C4510" s="0" t="s">
        <v>6260</v>
      </c>
      <c r="D4510" s="0" t="s">
        <v>6260</v>
      </c>
      <c r="E4510" s="0" t="inlineStr">
        <is>
          <t xml:space="preserve">Mazda</t>
        </is>
      </c>
      <c r="F4510" s="0" t="s">
        <v>28</v>
      </c>
      <c r="G4510" s="0" t="s">
        <v>29</v>
      </c>
      <c r="H4510" s="5">
        <v>10.345600</v>
      </c>
    </row>
    <row r="4511" spans="1:9">
      <c r="A4511" s="22" t="str">
        <f>HYPERLINK("https://app.vivvix.com/360/KMI/IntelliDrive/ApplUI/Pages/CreativePages/CustomReportCreativeDetail.aspx?App=23&amp;ReportView=4&amp;Qid=1711279&amp;Row=4503&amp;Col=1","No Title Assigned - #15269023077")</f>
        <v/>
      </c>
      <c r="B4511" s="0" t="s">
        <v>6261</v>
      </c>
      <c r="C4511" s="0" t="s">
        <v>6262</v>
      </c>
      <c r="D4511" s="0" t="s">
        <v>4202</v>
      </c>
      <c r="E4511" s="0" t="inlineStr">
        <is>
          <t xml:space="preserve">Mazda</t>
        </is>
      </c>
      <c r="F4511" s="0" t="s">
        <v>28</v>
      </c>
      <c r="G4511" s="0" t="s">
        <v>29</v>
      </c>
      <c r="H4511" s="5">
        <v>1926.207300</v>
      </c>
    </row>
    <row r="4512" spans="1:9">
      <c r="A4512" s="22" t="str">
        <f>HYPERLINK("https://app.vivvix.com/360/KMI/IntelliDrive/ApplUI/Pages/CreativePages/CustomReportCreativeDetail.aspx?App=23&amp;ReportView=4&amp;Qid=1711279&amp;Row=4504&amp;Col=1","No Title Assigned - #15269023077")</f>
        <v/>
      </c>
      <c r="B4512" s="0" t="s">
        <v>6261</v>
      </c>
      <c r="E4512" s="0" t="inlineStr">
        <is>
          <t xml:space="preserve">Mazda</t>
        </is>
      </c>
      <c r="F4512" s="0" t="s">
        <v>28</v>
      </c>
      <c r="G4512" s="0" t="s">
        <v>29</v>
      </c>
      <c r="H4512" s="5">
        <v>4626.515600</v>
      </c>
    </row>
    <row r="4513" spans="1:9">
      <c r="A4513" s="22" t="str">
        <f>HYPERLINK("https://app.vivvix.com/360/KMI/IntelliDrive/ApplUI/Pages/CreativePages/CustomReportCreativeDetail.aspx?App=23&amp;ReportView=4&amp;Qid=1711279&amp;Row=4505&amp;Col=1","No Title Assigned - #15269023164")</f>
        <v/>
      </c>
      <c r="B4513" s="0" t="s">
        <v>6263</v>
      </c>
      <c r="C4513" s="0" t="s">
        <v>6264</v>
      </c>
      <c r="D4513" s="0" t="s">
        <v>6264</v>
      </c>
      <c r="E4513" s="0" t="inlineStr">
        <is>
          <t xml:space="preserve">Mazda</t>
        </is>
      </c>
      <c r="F4513" s="0" t="s">
        <v>28</v>
      </c>
      <c r="G4513" s="0" t="s">
        <v>29</v>
      </c>
      <c r="H4513" s="5">
        <v>52.976300</v>
      </c>
    </row>
    <row r="4514" spans="1:9">
      <c r="A4514" s="22" t="str">
        <f>HYPERLINK("https://app.vivvix.com/360/KMI/IntelliDrive/ApplUI/Pages/CreativePages/CustomReportCreativeDetail.aspx?App=23&amp;ReportView=4&amp;Qid=1711279&amp;Row=4506&amp;Col=1","No Title Assigned - #15269023544")</f>
        <v/>
      </c>
      <c r="B4514" s="0" t="s">
        <v>6265</v>
      </c>
      <c r="E4514" s="0" t="inlineStr">
        <is>
          <t xml:space="preserve">Mazda</t>
        </is>
      </c>
      <c r="F4514" s="0" t="inlineStr">
        <is>
          <t xml:space="preserve">Mazda</t>
        </is>
      </c>
      <c r="G4514" s="0" t="s">
        <v>171</v>
      </c>
      <c r="H4514" s="5">
        <v>28.811500</v>
      </c>
    </row>
    <row r="4515" spans="1:9">
      <c r="A4515" s="22" t="str">
        <f>HYPERLINK("https://app.vivvix.com/360/KMI/IntelliDrive/ApplUI/Pages/CreativePages/CustomReportCreativeDetail.aspx?App=23&amp;ReportView=4&amp;Qid=1711279&amp;Row=4507&amp;Col=1","No Title Assigned - #15269023754")</f>
        <v/>
      </c>
      <c r="B4515" s="0" t="s">
        <v>6266</v>
      </c>
      <c r="E4515" s="0" t="inlineStr">
        <is>
          <t xml:space="preserve">Mazda</t>
        </is>
      </c>
      <c r="F4515" s="0" t="inlineStr">
        <is>
          <t xml:space="preserve">Mazda</t>
        </is>
      </c>
      <c r="G4515" s="0" t="s">
        <v>171</v>
      </c>
      <c r="H4515" s="5">
        <v>15.271500</v>
      </c>
    </row>
    <row r="4516" spans="1:9">
      <c r="A4516" s="22" t="str">
        <f>HYPERLINK("https://app.vivvix.com/360/KMI/IntelliDrive/ApplUI/Pages/CreativePages/CustomReportCreativeDetail.aspx?App=23&amp;ReportView=4&amp;Qid=1711279&amp;Row=4508&amp;Col=1","No Title Assigned - #15269024216")</f>
        <v/>
      </c>
      <c r="B4516" s="0" t="s">
        <v>6267</v>
      </c>
      <c r="E4516" s="0" t="inlineStr">
        <is>
          <t xml:space="preserve">Mazda</t>
        </is>
      </c>
      <c r="F4516" s="0" t="inlineStr">
        <is>
          <t xml:space="preserve">Mazda</t>
        </is>
      </c>
      <c r="G4516" s="0" t="s">
        <v>171</v>
      </c>
      <c r="H4516" s="5">
        <v>5.080700</v>
      </c>
    </row>
    <row r="4517" spans="1:9">
      <c r="A4517" s="22" t="str">
        <f>HYPERLINK("https://app.vivvix.com/360/KMI/IntelliDrive/ApplUI/Pages/CreativePages/CustomReportCreativeDetail.aspx?App=23&amp;ReportView=4&amp;Qid=1711279&amp;Row=4509&amp;Col=1","No Title Assigned - #15269024350")</f>
        <v/>
      </c>
      <c r="B4517" s="0" t="s">
        <v>6268</v>
      </c>
      <c r="E4517" s="0" t="inlineStr">
        <is>
          <t xml:space="preserve">Mazda</t>
        </is>
      </c>
      <c r="F4517" s="0" t="inlineStr">
        <is>
          <t xml:space="preserve">Mazda</t>
        </is>
      </c>
      <c r="G4517" s="0" t="s">
        <v>171</v>
      </c>
      <c r="H4517" s="5">
        <v>247.063800</v>
      </c>
    </row>
    <row r="4518" spans="1:9">
      <c r="A4518" s="22" t="str">
        <f>HYPERLINK("https://app.vivvix.com/360/KMI/IntelliDrive/ApplUI/Pages/CreativePages/CustomReportCreativeDetail.aspx?App=23&amp;ReportView=4&amp;Qid=1711279&amp;Row=4510&amp;Col=1","No Title Assigned - #15269024680")</f>
        <v/>
      </c>
      <c r="B4518" s="0" t="s">
        <v>6269</v>
      </c>
      <c r="E4518" s="0" t="inlineStr">
        <is>
          <t xml:space="preserve">Mazda</t>
        </is>
      </c>
      <c r="F4518" s="0" t="inlineStr">
        <is>
          <t xml:space="preserve">Mazda</t>
        </is>
      </c>
      <c r="G4518" s="0" t="s">
        <v>171</v>
      </c>
      <c r="H4518" s="5">
        <v>204.910000</v>
      </c>
    </row>
    <row r="4519" spans="1:9">
      <c r="A4519" s="22" t="str">
        <f>HYPERLINK("https://app.vivvix.com/360/KMI/IntelliDrive/ApplUI/Pages/CreativePages/CustomReportCreativeDetail.aspx?App=23&amp;ReportView=4&amp;Qid=1711279&amp;Row=4511&amp;Col=1","No Title Assigned - #15269025092")</f>
        <v/>
      </c>
      <c r="B4519" s="0" t="s">
        <v>6270</v>
      </c>
      <c r="E4519" s="0" t="inlineStr">
        <is>
          <t xml:space="preserve">Mazda</t>
        </is>
      </c>
      <c r="F4519" s="0" t="inlineStr">
        <is>
          <t xml:space="preserve">Mazda</t>
        </is>
      </c>
      <c r="G4519" s="0" t="s">
        <v>171</v>
      </c>
      <c r="H4519" s="5">
        <v>2844.119900</v>
      </c>
    </row>
    <row r="4520" spans="1:9">
      <c r="A4520" s="22" t="str">
        <f>HYPERLINK("https://app.vivvix.com/360/KMI/IntelliDrive/ApplUI/Pages/CreativePages/CustomReportCreativeDetail.aspx?App=23&amp;ReportView=4&amp;Qid=1711279&amp;Row=4512&amp;Col=1","No Title Assigned - #15269025368")</f>
        <v/>
      </c>
      <c r="B4520" s="0" t="s">
        <v>6271</v>
      </c>
      <c r="E4520" s="0" t="inlineStr">
        <is>
          <t xml:space="preserve">Mazda</t>
        </is>
      </c>
      <c r="F4520" s="0" t="inlineStr">
        <is>
          <t xml:space="preserve">Mazda</t>
        </is>
      </c>
      <c r="G4520" s="0" t="s">
        <v>171</v>
      </c>
      <c r="H4520" s="5">
        <v>70298.007800</v>
      </c>
    </row>
    <row r="4521" spans="1:9">
      <c r="A4521" s="22" t="str">
        <f>HYPERLINK("https://app.vivvix.com/360/KMI/IntelliDrive/ApplUI/Pages/CreativePages/CustomReportCreativeDetail.aspx?App=23&amp;ReportView=4&amp;Qid=1711279&amp;Row=4513&amp;Col=1","No Title Assigned - #15269025999")</f>
        <v/>
      </c>
      <c r="B4521" s="0" t="s">
        <v>6272</v>
      </c>
      <c r="E4521" s="0" t="inlineStr">
        <is>
          <t xml:space="preserve">Mazda</t>
        </is>
      </c>
      <c r="F4521" s="0" t="inlineStr">
        <is>
          <t xml:space="preserve">Mazda</t>
        </is>
      </c>
      <c r="G4521" s="0" t="s">
        <v>171</v>
      </c>
      <c r="H4521" s="5">
        <v>945.988200</v>
      </c>
    </row>
    <row r="4522" spans="1:9">
      <c r="A4522" s="22" t="str">
        <f>HYPERLINK("https://app.vivvix.com/360/KMI/IntelliDrive/ApplUI/Pages/CreativePages/CustomReportCreativeDetail.aspx?App=23&amp;ReportView=4&amp;Qid=1711279&amp;Row=4514&amp;Col=1","No Title Assigned - #15269026097")</f>
        <v/>
      </c>
      <c r="B4522" s="0" t="s">
        <v>6273</v>
      </c>
      <c r="C4522" s="0" t="s">
        <v>6274</v>
      </c>
      <c r="D4522" s="0" t="s">
        <v>6274</v>
      </c>
      <c r="E4522" s="0" t="inlineStr">
        <is>
          <t xml:space="preserve">Mazda</t>
        </is>
      </c>
      <c r="F4522" s="0" t="inlineStr">
        <is>
          <t xml:space="preserve">Mazda</t>
        </is>
      </c>
      <c r="G4522" s="0" t="s">
        <v>171</v>
      </c>
      <c r="H4522" s="5">
        <v>119.201700</v>
      </c>
    </row>
    <row r="4523" spans="1:9">
      <c r="A4523" s="22" t="str">
        <f>HYPERLINK("https://app.vivvix.com/360/KMI/IntelliDrive/ApplUI/Pages/CreativePages/CustomReportCreativeDetail.aspx?App=23&amp;ReportView=4&amp;Qid=1711279&amp;Row=4515&amp;Col=1","No Title Assigned - #15269026610")</f>
        <v/>
      </c>
      <c r="B4523" s="0" t="s">
        <v>6275</v>
      </c>
      <c r="E4523" s="0" t="inlineStr">
        <is>
          <t xml:space="preserve">Mazda</t>
        </is>
      </c>
      <c r="F4523" s="0" t="inlineStr">
        <is>
          <t xml:space="preserve">Mazda</t>
        </is>
      </c>
      <c r="G4523" s="0" t="s">
        <v>171</v>
      </c>
      <c r="H4523" s="5">
        <v>65.639100</v>
      </c>
    </row>
    <row r="4524" spans="1:9">
      <c r="A4524" s="22" t="str">
        <f>HYPERLINK("https://app.vivvix.com/360/KMI/IntelliDrive/ApplUI/Pages/CreativePages/CustomReportCreativeDetail.aspx?App=23&amp;ReportView=4&amp;Qid=1711279&amp;Row=4516&amp;Col=1","No Title Assigned - #15269027115")</f>
        <v/>
      </c>
      <c r="B4524" s="0" t="s">
        <v>6276</v>
      </c>
      <c r="E4524" s="0" t="inlineStr">
        <is>
          <t xml:space="preserve">Mazda</t>
        </is>
      </c>
      <c r="F4524" s="0" t="inlineStr">
        <is>
          <t xml:space="preserve">Mazda</t>
        </is>
      </c>
      <c r="G4524" s="0" t="s">
        <v>171</v>
      </c>
      <c r="H4524" s="5">
        <v>67.500600</v>
      </c>
    </row>
    <row r="4525" spans="1:9">
      <c r="A4525" s="22" t="str">
        <f>HYPERLINK("https://app.vivvix.com/360/KMI/IntelliDrive/ApplUI/Pages/CreativePages/CustomReportCreativeDetail.aspx?App=23&amp;ReportView=4&amp;Qid=1711279&amp;Row=4517&amp;Col=1","No Title Assigned - #15269027767")</f>
        <v/>
      </c>
      <c r="B4525" s="0" t="s">
        <v>6277</v>
      </c>
      <c r="E4525" s="0" t="inlineStr">
        <is>
          <t xml:space="preserve">Mazda</t>
        </is>
      </c>
      <c r="F4525" s="0" t="inlineStr">
        <is>
          <t xml:space="preserve">Mazda</t>
        </is>
      </c>
      <c r="G4525" s="0" t="s">
        <v>171</v>
      </c>
      <c r="H4525" s="5">
        <v>95.153200</v>
      </c>
    </row>
    <row r="4526" spans="1:9">
      <c r="A4526" s="22" t="str">
        <f>HYPERLINK("https://app.vivvix.com/360/KMI/IntelliDrive/ApplUI/Pages/CreativePages/CustomReportCreativeDetail.aspx?App=23&amp;ReportView=4&amp;Qid=1711279&amp;Row=4518&amp;Col=1","No Title Assigned - #15269028155")</f>
        <v/>
      </c>
      <c r="B4526" s="0" t="s">
        <v>6278</v>
      </c>
      <c r="E4526" s="0" t="inlineStr">
        <is>
          <t xml:space="preserve">Mazda</t>
        </is>
      </c>
      <c r="F4526" s="0" t="inlineStr">
        <is>
          <t xml:space="preserve">Mazda</t>
        </is>
      </c>
      <c r="G4526" s="0" t="s">
        <v>171</v>
      </c>
      <c r="H4526" s="5">
        <v>119.466000</v>
      </c>
    </row>
    <row r="4527" spans="1:9">
      <c r="A4527" s="22" t="str">
        <f>HYPERLINK("https://app.vivvix.com/360/KMI/IntelliDrive/ApplUI/Pages/CreativePages/CustomReportCreativeDetail.aspx?App=23&amp;ReportView=4&amp;Qid=1711279&amp;Row=4519&amp;Col=1","No Title Assigned - #15269028748")</f>
        <v/>
      </c>
      <c r="B4527" s="0" t="s">
        <v>6279</v>
      </c>
      <c r="E4527" s="0" t="inlineStr">
        <is>
          <t xml:space="preserve">Mazda</t>
        </is>
      </c>
      <c r="F4527" s="0" t="inlineStr">
        <is>
          <t xml:space="preserve">Mazda</t>
        </is>
      </c>
      <c r="G4527" s="0" t="s">
        <v>171</v>
      </c>
      <c r="H4527" s="5">
        <v>27.342600</v>
      </c>
    </row>
    <row r="4528" spans="1:9">
      <c r="A4528" s="22" t="str">
        <f>HYPERLINK("https://app.vivvix.com/360/KMI/IntelliDrive/ApplUI/Pages/CreativePages/CustomReportCreativeDetail.aspx?App=23&amp;ReportView=4&amp;Qid=1711279&amp;Row=4520&amp;Col=1","No Title Assigned - #15269028885")</f>
        <v/>
      </c>
      <c r="B4528" s="0" t="s">
        <v>6280</v>
      </c>
      <c r="E4528" s="0" t="inlineStr">
        <is>
          <t xml:space="preserve">Mazda</t>
        </is>
      </c>
      <c r="F4528" s="0" t="inlineStr">
        <is>
          <t xml:space="preserve">Mazda</t>
        </is>
      </c>
      <c r="G4528" s="0" t="s">
        <v>171</v>
      </c>
      <c r="H4528" s="5">
        <v>157.932600</v>
      </c>
    </row>
    <row r="4529" spans="1:9">
      <c r="A4529" s="22" t="str">
        <f>HYPERLINK("https://app.vivvix.com/360/KMI/IntelliDrive/ApplUI/Pages/CreativePages/CustomReportCreativeDetail.aspx?App=23&amp;ReportView=4&amp;Qid=1711279&amp;Row=4521&amp;Col=1","No Title Assigned - #15269028970")</f>
        <v/>
      </c>
      <c r="B4529" s="0" t="s">
        <v>6281</v>
      </c>
      <c r="E4529" s="0" t="inlineStr">
        <is>
          <t xml:space="preserve">Mazda</t>
        </is>
      </c>
      <c r="F4529" s="0" t="inlineStr">
        <is>
          <t xml:space="preserve">Mazda</t>
        </is>
      </c>
      <c r="G4529" s="0" t="s">
        <v>171</v>
      </c>
      <c r="H4529" s="5">
        <v>1833.658300</v>
      </c>
    </row>
    <row r="4530" spans="1:9">
      <c r="A4530" s="22" t="str">
        <f>HYPERLINK("https://app.vivvix.com/360/KMI/IntelliDrive/ApplUI/Pages/CreativePages/CustomReportCreativeDetail.aspx?App=23&amp;ReportView=4&amp;Qid=1711279&amp;Row=4522&amp;Col=1","No Title Assigned - #15269029452")</f>
        <v/>
      </c>
      <c r="B4530" s="0" t="s">
        <v>6282</v>
      </c>
      <c r="C4530" s="0" t="s">
        <v>6283</v>
      </c>
      <c r="D4530" s="0" t="s">
        <v>6283</v>
      </c>
      <c r="E4530" s="0" t="inlineStr">
        <is>
          <t xml:space="preserve">Mazda</t>
        </is>
      </c>
      <c r="F4530" s="0" t="inlineStr">
        <is>
          <t xml:space="preserve">Mazda</t>
        </is>
      </c>
      <c r="G4530" s="0" t="s">
        <v>171</v>
      </c>
      <c r="H4530" s="5">
        <v>2354.319900</v>
      </c>
    </row>
    <row r="4531" spans="1:9">
      <c r="A4531" s="22" t="str">
        <f>HYPERLINK("https://app.vivvix.com/360/KMI/IntelliDrive/ApplUI/Pages/CreativePages/CustomReportCreativeDetail.aspx?App=23&amp;ReportView=4&amp;Qid=1711279&amp;Row=4523&amp;Col=1","No Title Assigned - #15269029452")</f>
        <v/>
      </c>
      <c r="B4531" s="0" t="s">
        <v>6282</v>
      </c>
      <c r="E4531" s="0" t="inlineStr">
        <is>
          <t xml:space="preserve">Mazda</t>
        </is>
      </c>
      <c r="F4531" s="0" t="inlineStr">
        <is>
          <t xml:space="preserve">Mazda</t>
        </is>
      </c>
      <c r="G4531" s="0" t="s">
        <v>171</v>
      </c>
      <c r="H4531" s="5">
        <v>2909.901400</v>
      </c>
    </row>
    <row r="4532" spans="1:9">
      <c r="A4532" s="22" t="str">
        <f>HYPERLINK("https://app.vivvix.com/360/KMI/IntelliDrive/ApplUI/Pages/CreativePages/CustomReportCreativeDetail.aspx?App=23&amp;ReportView=4&amp;Qid=1711279&amp;Row=4524&amp;Col=1","No Title Assigned - #15269029520")</f>
        <v/>
      </c>
      <c r="B4532" s="0" t="s">
        <v>6284</v>
      </c>
      <c r="E4532" s="0" t="inlineStr">
        <is>
          <t xml:space="preserve">Mazda</t>
        </is>
      </c>
      <c r="F4532" s="0" t="inlineStr">
        <is>
          <t xml:space="preserve">Mazda</t>
        </is>
      </c>
      <c r="G4532" s="0" t="s">
        <v>171</v>
      </c>
      <c r="H4532" s="5">
        <v>575.972300</v>
      </c>
    </row>
    <row r="4533" spans="1:9">
      <c r="A4533" s="22" t="str">
        <f>HYPERLINK("https://app.vivvix.com/360/KMI/IntelliDrive/ApplUI/Pages/CreativePages/CustomReportCreativeDetail.aspx?App=23&amp;ReportView=4&amp;Qid=1711279&amp;Row=4525&amp;Col=1","No Title Assigned - #15269029792")</f>
        <v/>
      </c>
      <c r="B4533" s="0" t="s">
        <v>6285</v>
      </c>
      <c r="E4533" s="0" t="inlineStr">
        <is>
          <t xml:space="preserve">Mazda</t>
        </is>
      </c>
      <c r="F4533" s="0" t="inlineStr">
        <is>
          <t xml:space="preserve">Mazda</t>
        </is>
      </c>
      <c r="G4533" s="0" t="s">
        <v>171</v>
      </c>
      <c r="H4533" s="5">
        <v>46.622000</v>
      </c>
    </row>
    <row r="4534" spans="1:9">
      <c r="A4534" s="22" t="str">
        <f>HYPERLINK("https://app.vivvix.com/360/KMI/IntelliDrive/ApplUI/Pages/CreativePages/CustomReportCreativeDetail.aspx?App=23&amp;ReportView=4&amp;Qid=1711279&amp;Row=4526&amp;Col=1","No Title Assigned - #15269033614")</f>
        <v/>
      </c>
      <c r="B4534" s="0" t="s">
        <v>6286</v>
      </c>
      <c r="E4534" s="0" t="inlineStr">
        <is>
          <t xml:space="preserve">Mazda</t>
        </is>
      </c>
      <c r="F4534" s="0" t="inlineStr">
        <is>
          <t xml:space="preserve">Mazda</t>
        </is>
      </c>
      <c r="G4534" s="0" t="s">
        <v>171</v>
      </c>
      <c r="H4534" s="5">
        <v>42.433400</v>
      </c>
    </row>
    <row r="4535" spans="1:9">
      <c r="A4535" s="22" t="str">
        <f>HYPERLINK("https://app.vivvix.com/360/KMI/IntelliDrive/ApplUI/Pages/CreativePages/CustomReportCreativeDetail.aspx?App=23&amp;ReportView=4&amp;Qid=1711279&amp;Row=4527&amp;Col=1","No Title Assigned - #15269033692")</f>
        <v/>
      </c>
      <c r="B4535" s="0" t="s">
        <v>6287</v>
      </c>
      <c r="E4535" s="0" t="inlineStr">
        <is>
          <t xml:space="preserve">Mazda</t>
        </is>
      </c>
      <c r="F4535" s="0" t="inlineStr">
        <is>
          <t xml:space="preserve">Mazda</t>
        </is>
      </c>
      <c r="G4535" s="0" t="s">
        <v>171</v>
      </c>
      <c r="H4535" s="5">
        <v>148.877200</v>
      </c>
    </row>
    <row r="4536" spans="1:9">
      <c r="A4536" s="22" t="str">
        <f>HYPERLINK("https://app.vivvix.com/360/KMI/IntelliDrive/ApplUI/Pages/CreativePages/CustomReportCreativeDetail.aspx?App=23&amp;ReportView=4&amp;Qid=1711279&amp;Row=4528&amp;Col=1","No Title Assigned - #15269036199")</f>
        <v/>
      </c>
      <c r="B4536" s="0" t="s">
        <v>6288</v>
      </c>
      <c r="E4536" s="0" t="inlineStr">
        <is>
          <t xml:space="preserve">Mazda</t>
        </is>
      </c>
      <c r="F4536" s="0" t="inlineStr">
        <is>
          <t xml:space="preserve">Mazda</t>
        </is>
      </c>
      <c r="G4536" s="0" t="s">
        <v>171</v>
      </c>
      <c r="H4536" s="5">
        <v>269.631700</v>
      </c>
    </row>
    <row r="4537" spans="1:9">
      <c r="A4537" s="22" t="str">
        <f>HYPERLINK("https://app.vivvix.com/360/KMI/IntelliDrive/ApplUI/Pages/CreativePages/CustomReportCreativeDetail.aspx?App=23&amp;ReportView=4&amp;Qid=1711279&amp;Row=4529&amp;Col=1","No Title Assigned - #15269038735")</f>
        <v/>
      </c>
      <c r="B4537" s="0" t="s">
        <v>6289</v>
      </c>
      <c r="C4537" s="0" t="s">
        <v>6290</v>
      </c>
      <c r="D4537" s="0" t="s">
        <v>6290</v>
      </c>
      <c r="E4537" s="0" t="inlineStr">
        <is>
          <t xml:space="preserve">Mazda</t>
        </is>
      </c>
      <c r="F4537" s="0" t="inlineStr">
        <is>
          <t xml:space="preserve">Mazda</t>
        </is>
      </c>
      <c r="G4537" s="0" t="s">
        <v>171</v>
      </c>
      <c r="H4537" s="5">
        <v>236.348300</v>
      </c>
    </row>
    <row r="4538" spans="1:9">
      <c r="A4538" s="22" t="str">
        <f>HYPERLINK("https://app.vivvix.com/360/KMI/IntelliDrive/ApplUI/Pages/CreativePages/CustomReportCreativeDetail.aspx?App=23&amp;ReportView=4&amp;Qid=1711279&amp;Row=4530&amp;Col=1","No Title Assigned - #15269038950")</f>
        <v/>
      </c>
      <c r="B4538" s="0" t="s">
        <v>6291</v>
      </c>
      <c r="C4538" s="0" t="s">
        <v>6292</v>
      </c>
      <c r="D4538" s="0" t="s">
        <v>4200</v>
      </c>
      <c r="E4538" s="0" t="inlineStr">
        <is>
          <t xml:space="preserve">Mazda</t>
        </is>
      </c>
      <c r="F4538" s="0" t="s">
        <v>28</v>
      </c>
      <c r="G4538" s="0" t="s">
        <v>29</v>
      </c>
      <c r="H4538" s="5">
        <v>1168.994000</v>
      </c>
    </row>
    <row r="4539" spans="1:9">
      <c r="A4539" s="22" t="str">
        <f>HYPERLINK("https://app.vivvix.com/360/KMI/IntelliDrive/ApplUI/Pages/CreativePages/CustomReportCreativeDetail.aspx?App=23&amp;ReportView=4&amp;Qid=1711279&amp;Row=4531&amp;Col=1","No Title Assigned - #15269038950")</f>
        <v/>
      </c>
      <c r="B4539" s="0" t="s">
        <v>6291</v>
      </c>
      <c r="E4539" s="0" t="inlineStr">
        <is>
          <t xml:space="preserve">Mazda</t>
        </is>
      </c>
      <c r="F4539" s="0" t="s">
        <v>28</v>
      </c>
      <c r="G4539" s="0" t="s">
        <v>29</v>
      </c>
      <c r="H4539" s="5">
        <v>165.940100</v>
      </c>
    </row>
    <row r="4540" spans="1:9">
      <c r="A4540" s="22" t="str">
        <f>HYPERLINK("https://app.vivvix.com/360/KMI/IntelliDrive/ApplUI/Pages/CreativePages/CustomReportCreativeDetail.aspx?App=23&amp;ReportView=4&amp;Qid=1711279&amp;Row=4532&amp;Col=1","No Title Assigned - #15269041437")</f>
        <v/>
      </c>
      <c r="B4540" s="0" t="s">
        <v>6293</v>
      </c>
      <c r="E4540" s="0" t="inlineStr">
        <is>
          <t xml:space="preserve">Mazda</t>
        </is>
      </c>
      <c r="F4540" s="0" t="inlineStr">
        <is>
          <t xml:space="preserve">Mazda</t>
        </is>
      </c>
      <c r="G4540" s="0" t="s">
        <v>171</v>
      </c>
      <c r="H4540" s="5">
        <v>2593.019200</v>
      </c>
    </row>
    <row r="4541" spans="1:9">
      <c r="A4541" s="22" t="str">
        <f>HYPERLINK("https://app.vivvix.com/360/KMI/IntelliDrive/ApplUI/Pages/CreativePages/CustomReportCreativeDetail.aspx?App=23&amp;ReportView=4&amp;Qid=1711279&amp;Row=4533&amp;Col=1","No Title Assigned - #15269045776")</f>
        <v/>
      </c>
      <c r="B4541" s="0" t="s">
        <v>6294</v>
      </c>
      <c r="E4541" s="0" t="inlineStr">
        <is>
          <t xml:space="preserve">Mazda</t>
        </is>
      </c>
      <c r="F4541" s="0" t="inlineStr">
        <is>
          <t xml:space="preserve">Mazda</t>
        </is>
      </c>
      <c r="G4541" s="0" t="s">
        <v>171</v>
      </c>
      <c r="H4541" s="5">
        <v>433.034900</v>
      </c>
    </row>
    <row r="4542" spans="1:9">
      <c r="A4542" s="22" t="str">
        <f>HYPERLINK("https://app.vivvix.com/360/KMI/IntelliDrive/ApplUI/Pages/CreativePages/CustomReportCreativeDetail.aspx?App=23&amp;ReportView=4&amp;Qid=1711279&amp;Row=4534&amp;Col=1","No Title Assigned - #15269066779")</f>
        <v/>
      </c>
      <c r="B4542" s="0" t="s">
        <v>6295</v>
      </c>
      <c r="E4542" s="0" t="inlineStr">
        <is>
          <t xml:space="preserve">Mazda</t>
        </is>
      </c>
      <c r="F4542" s="0" t="inlineStr">
        <is>
          <t xml:space="preserve">Mazda</t>
        </is>
      </c>
      <c r="G4542" s="0" t="s">
        <v>171</v>
      </c>
      <c r="H4542" s="5">
        <v>3454.432300</v>
      </c>
    </row>
    <row r="4543" spans="1:9">
      <c r="A4543" s="22" t="str">
        <f>HYPERLINK("https://app.vivvix.com/360/KMI/IntelliDrive/ApplUI/Pages/CreativePages/CustomReportCreativeDetail.aspx?App=23&amp;ReportView=4&amp;Qid=1711279&amp;Row=4535&amp;Col=1","No Title Assigned - #15269067289")</f>
        <v/>
      </c>
      <c r="B4543" s="0" t="s">
        <v>6296</v>
      </c>
      <c r="C4543" s="0" t="s">
        <v>6297</v>
      </c>
      <c r="D4543" s="0" t="s">
        <v>6297</v>
      </c>
      <c r="E4543" s="0" t="inlineStr">
        <is>
          <t xml:space="preserve">Mazda</t>
        </is>
      </c>
      <c r="F4543" s="0" t="inlineStr">
        <is>
          <t xml:space="preserve">Mazda</t>
        </is>
      </c>
      <c r="G4543" s="0" t="s">
        <v>1992</v>
      </c>
      <c r="H4543" s="5">
        <v>410.594000</v>
      </c>
    </row>
    <row r="4544" spans="1:9">
      <c r="A4544" s="22" t="str">
        <f>HYPERLINK("https://app.vivvix.com/360/KMI/IntelliDrive/ApplUI/Pages/CreativePages/CustomReportCreativeDetail.aspx?App=23&amp;ReportView=4&amp;Qid=1711279&amp;Row=4536&amp;Col=1","No Title Assigned - #15269073132")</f>
        <v/>
      </c>
      <c r="B4544" s="0" t="s">
        <v>6298</v>
      </c>
      <c r="E4544" s="0" t="inlineStr">
        <is>
          <t xml:space="preserve">Mazda</t>
        </is>
      </c>
      <c r="F4544" s="0" t="inlineStr">
        <is>
          <t xml:space="preserve">Mazda</t>
        </is>
      </c>
      <c r="G4544" s="0" t="s">
        <v>171</v>
      </c>
      <c r="H4544" s="5">
        <v>1.711700</v>
      </c>
    </row>
    <row r="4545" spans="1:9">
      <c r="A4545" s="22" t="str">
        <f>HYPERLINK("https://app.vivvix.com/360/KMI/IntelliDrive/ApplUI/Pages/CreativePages/CustomReportCreativeDetail.aspx?App=23&amp;ReportView=4&amp;Qid=1711279&amp;Row=4537&amp;Col=1","No Title Assigned - #15269075853")</f>
        <v/>
      </c>
      <c r="B4545" s="0" t="s">
        <v>6299</v>
      </c>
      <c r="C4545" s="0" t="s">
        <v>6300</v>
      </c>
      <c r="D4545" s="0" t="s">
        <v>6300</v>
      </c>
      <c r="E4545" s="0" t="inlineStr">
        <is>
          <t xml:space="preserve">Mazda</t>
        </is>
      </c>
      <c r="F4545" s="0" t="inlineStr">
        <is>
          <t xml:space="preserve">Mazda</t>
        </is>
      </c>
      <c r="G4545" s="0" t="s">
        <v>171</v>
      </c>
      <c r="H4545" s="5">
        <v>353.031200</v>
      </c>
    </row>
    <row r="4546" spans="1:9">
      <c r="A4546" s="22" t="str">
        <f>HYPERLINK("https://app.vivvix.com/360/KMI/IntelliDrive/ApplUI/Pages/CreativePages/CustomReportCreativeDetail.aspx?App=23&amp;ReportView=4&amp;Qid=1711279&amp;Row=4538&amp;Col=1","No Title Assigned - #15269075855")</f>
        <v/>
      </c>
      <c r="B4546" s="0" t="s">
        <v>6301</v>
      </c>
      <c r="C4546" s="0" t="s">
        <v>6302</v>
      </c>
      <c r="D4546" s="0" t="s">
        <v>6302</v>
      </c>
      <c r="E4546" s="0" t="inlineStr">
        <is>
          <t xml:space="preserve">Mazda</t>
        </is>
      </c>
      <c r="F4546" s="0" t="inlineStr">
        <is>
          <t xml:space="preserve">Mazda</t>
        </is>
      </c>
      <c r="G4546" s="0" t="s">
        <v>171</v>
      </c>
      <c r="H4546" s="5">
        <v>24.529500</v>
      </c>
    </row>
    <row r="4547" spans="1:9">
      <c r="A4547" s="22" t="str">
        <f>HYPERLINK("https://app.vivvix.com/360/KMI/IntelliDrive/ApplUI/Pages/CreativePages/CustomReportCreativeDetail.aspx?App=23&amp;ReportView=4&amp;Qid=1711279&amp;Row=4539&amp;Col=1","No Title Assigned - #15269080001")</f>
        <v/>
      </c>
      <c r="B4547" s="0" t="s">
        <v>6303</v>
      </c>
      <c r="E4547" s="0" t="inlineStr">
        <is>
          <t xml:space="preserve">Mazda</t>
        </is>
      </c>
      <c r="F4547" s="0" t="inlineStr">
        <is>
          <t xml:space="preserve">Mazda</t>
        </is>
      </c>
      <c r="G4547" s="0" t="s">
        <v>171</v>
      </c>
      <c r="H4547" s="5">
        <v>5.198300</v>
      </c>
    </row>
    <row r="4548" spans="1:9">
      <c r="A4548" s="22" t="str">
        <f>HYPERLINK("https://app.vivvix.com/360/KMI/IntelliDrive/ApplUI/Pages/CreativePages/CustomReportCreativeDetail.aspx?App=23&amp;ReportView=4&amp;Qid=1711279&amp;Row=4540&amp;Col=1","No Title Assigned - #15269080124")</f>
        <v/>
      </c>
      <c r="B4548" s="0" t="s">
        <v>6304</v>
      </c>
      <c r="C4548" s="0" t="s">
        <v>6305</v>
      </c>
      <c r="D4548" s="0" t="s">
        <v>6305</v>
      </c>
      <c r="E4548" s="0" t="inlineStr">
        <is>
          <t xml:space="preserve">Mazda</t>
        </is>
      </c>
      <c r="F4548" s="0" t="inlineStr">
        <is>
          <t xml:space="preserve">Mazda</t>
        </is>
      </c>
      <c r="G4548" s="0" t="s">
        <v>171</v>
      </c>
      <c r="H4548" s="5">
        <v>740.070700</v>
      </c>
    </row>
    <row r="4549" spans="1:9">
      <c r="A4549" s="22" t="str">
        <f>HYPERLINK("https://app.vivvix.com/360/KMI/IntelliDrive/ApplUI/Pages/CreativePages/CustomReportCreativeDetail.aspx?App=23&amp;ReportView=4&amp;Qid=1711279&amp;Row=4541&amp;Col=1","No Title Assigned - #15269081668")</f>
        <v/>
      </c>
      <c r="B4549" s="0" t="s">
        <v>6306</v>
      </c>
      <c r="C4549" s="0" t="s">
        <v>6307</v>
      </c>
      <c r="D4549" s="0" t="s">
        <v>6307</v>
      </c>
      <c r="E4549" s="0" t="inlineStr">
        <is>
          <t xml:space="preserve">Mazda</t>
        </is>
      </c>
      <c r="F4549" s="0" t="s">
        <v>13</v>
      </c>
      <c r="G4549" s="0" t="s">
        <v>49</v>
      </c>
      <c r="H4549" s="5">
        <v>36.115500</v>
      </c>
    </row>
    <row r="4550" spans="1:9">
      <c r="A4550" s="22" t="str">
        <f>HYPERLINK("https://app.vivvix.com/360/KMI/IntelliDrive/ApplUI/Pages/CreativePages/CustomReportCreativeDetail.aspx?App=23&amp;ReportView=4&amp;Qid=1711279&amp;Row=4542&amp;Col=1","No Title Assigned - #15269081749")</f>
        <v/>
      </c>
      <c r="B4550" s="0" t="s">
        <v>6308</v>
      </c>
      <c r="C4550" s="0" t="s">
        <v>6309</v>
      </c>
      <c r="D4550" s="0" t="s">
        <v>6309</v>
      </c>
      <c r="E4550" s="0" t="inlineStr">
        <is>
          <t xml:space="preserve">Mazda</t>
        </is>
      </c>
      <c r="F4550" s="0" t="s">
        <v>28</v>
      </c>
      <c r="G4550" s="0" t="s">
        <v>29</v>
      </c>
      <c r="H4550" s="5">
        <v>32.724100</v>
      </c>
    </row>
    <row r="4551" spans="1:9">
      <c r="A4551" s="22" t="str">
        <f>HYPERLINK("https://app.vivvix.com/360/KMI/IntelliDrive/ApplUI/Pages/CreativePages/CustomReportCreativeDetail.aspx?App=23&amp;ReportView=4&amp;Qid=1711279&amp;Row=4543&amp;Col=1","No Title Assigned - #15269081749")</f>
        <v/>
      </c>
      <c r="B4551" s="0" t="s">
        <v>6308</v>
      </c>
      <c r="E4551" s="0" t="inlineStr">
        <is>
          <t xml:space="preserve">Mazda</t>
        </is>
      </c>
      <c r="F4551" s="0" t="s">
        <v>28</v>
      </c>
      <c r="G4551" s="0" t="s">
        <v>29</v>
      </c>
      <c r="H4551" s="5">
        <v>44.576500</v>
      </c>
    </row>
    <row r="4552" spans="1:9">
      <c r="A4552" s="22" t="str">
        <f>HYPERLINK("https://app.vivvix.com/360/KMI/IntelliDrive/ApplUI/Pages/CreativePages/CustomReportCreativeDetail.aspx?App=23&amp;ReportView=4&amp;Qid=1711279&amp;Row=4544&amp;Col=1","No Title Assigned - #15269082015")</f>
        <v/>
      </c>
      <c r="B4552" s="0" t="s">
        <v>6310</v>
      </c>
      <c r="C4552" s="0" t="s">
        <v>6311</v>
      </c>
      <c r="D4552" s="0" t="s">
        <v>6311</v>
      </c>
      <c r="E4552" s="0" t="inlineStr">
        <is>
          <t xml:space="preserve">Mazda</t>
        </is>
      </c>
      <c r="F4552" s="0" t="s">
        <v>21</v>
      </c>
      <c r="G4552" s="0" t="s">
        <v>22</v>
      </c>
      <c r="H4552" s="5">
        <v>1558.424600</v>
      </c>
    </row>
    <row r="4553" spans="1:9">
      <c r="A4553" s="22" t="str">
        <f>HYPERLINK("https://app.vivvix.com/360/KMI/IntelliDrive/ApplUI/Pages/CreativePages/CustomReportCreativeDetail.aspx?App=23&amp;ReportView=4&amp;Qid=1711279&amp;Row=4545&amp;Col=1","No Title Assigned - #15269082021")</f>
        <v/>
      </c>
      <c r="B4553" s="0" t="s">
        <v>6312</v>
      </c>
      <c r="C4553" s="0" t="s">
        <v>6313</v>
      </c>
      <c r="D4553" s="0" t="s">
        <v>6313</v>
      </c>
      <c r="E4553" s="0" t="inlineStr">
        <is>
          <t xml:space="preserve">Mazda</t>
        </is>
      </c>
      <c r="F4553" s="0" t="s">
        <v>28</v>
      </c>
      <c r="G4553" s="0" t="s">
        <v>29</v>
      </c>
      <c r="H4553" s="5">
        <v>239.704200</v>
      </c>
    </row>
    <row r="4554" spans="1:9">
      <c r="A4554" s="22" t="str">
        <f>HYPERLINK("https://app.vivvix.com/360/KMI/IntelliDrive/ApplUI/Pages/CreativePages/CustomReportCreativeDetail.aspx?App=23&amp;ReportView=4&amp;Qid=1711279&amp;Row=4546&amp;Col=1","No Title Assigned - #15269083275")</f>
        <v/>
      </c>
      <c r="B4554" s="0" t="s">
        <v>6314</v>
      </c>
      <c r="C4554" s="0" t="s">
        <v>6315</v>
      </c>
      <c r="D4554" s="0" t="s">
        <v>4204</v>
      </c>
      <c r="E4554" s="0" t="inlineStr">
        <is>
          <t xml:space="preserve">Mazda</t>
        </is>
      </c>
      <c r="F4554" s="0" t="s">
        <v>28</v>
      </c>
      <c r="G4554" s="0" t="s">
        <v>29</v>
      </c>
      <c r="H4554" s="5">
        <v>233.480500</v>
      </c>
    </row>
    <row r="4555" spans="1:9">
      <c r="A4555" s="22" t="str">
        <f>HYPERLINK("https://app.vivvix.com/360/KMI/IntelliDrive/ApplUI/Pages/CreativePages/CustomReportCreativeDetail.aspx?App=23&amp;ReportView=4&amp;Qid=1711279&amp;Row=4547&amp;Col=1","No Title Assigned - #15269083298")</f>
        <v/>
      </c>
      <c r="B4555" s="0" t="s">
        <v>6316</v>
      </c>
      <c r="C4555" s="0" t="s">
        <v>6317</v>
      </c>
      <c r="D4555" s="0" t="s">
        <v>6317</v>
      </c>
      <c r="E4555" s="0" t="inlineStr">
        <is>
          <t xml:space="preserve">Mazda</t>
        </is>
      </c>
      <c r="F4555" s="0" t="s">
        <v>28</v>
      </c>
      <c r="G4555" s="0" t="s">
        <v>29</v>
      </c>
      <c r="H4555" s="5">
        <v>1489.649600</v>
      </c>
    </row>
    <row r="4556" spans="1:9">
      <c r="A4556" s="22" t="str">
        <f>HYPERLINK("https://app.vivvix.com/360/KMI/IntelliDrive/ApplUI/Pages/CreativePages/CustomReportCreativeDetail.aspx?App=23&amp;ReportView=4&amp;Qid=1711279&amp;Row=4548&amp;Col=1","No Title Assigned - #15269085879")</f>
        <v/>
      </c>
      <c r="B4556" s="0" t="s">
        <v>6318</v>
      </c>
      <c r="C4556" s="0" t="s">
        <v>6319</v>
      </c>
      <c r="D4556" s="0" t="s">
        <v>6319</v>
      </c>
      <c r="E4556" s="0" t="inlineStr">
        <is>
          <t xml:space="preserve">Mazda</t>
        </is>
      </c>
      <c r="F4556" s="0" t="s">
        <v>28</v>
      </c>
      <c r="G4556" s="0" t="s">
        <v>29</v>
      </c>
      <c r="H4556" s="5">
        <v>11.637300</v>
      </c>
    </row>
    <row r="4557" spans="1:9">
      <c r="A4557" s="22" t="str">
        <f>HYPERLINK("https://app.vivvix.com/360/KMI/IntelliDrive/ApplUI/Pages/CreativePages/CustomReportCreativeDetail.aspx?App=23&amp;ReportView=4&amp;Qid=1711279&amp;Row=4549&amp;Col=1","No Title Assigned - #15269086250")</f>
        <v/>
      </c>
      <c r="B4557" s="0" t="s">
        <v>6320</v>
      </c>
      <c r="C4557" s="0" t="s">
        <v>6321</v>
      </c>
      <c r="D4557" s="0" t="s">
        <v>4200</v>
      </c>
      <c r="E4557" s="0" t="inlineStr">
        <is>
          <t xml:space="preserve">Mazda</t>
        </is>
      </c>
      <c r="F4557" s="0" t="s">
        <v>28</v>
      </c>
      <c r="G4557" s="0" t="s">
        <v>29</v>
      </c>
      <c r="H4557" s="5">
        <v>693.380400</v>
      </c>
    </row>
    <row r="4558" spans="1:9">
      <c r="A4558" s="22" t="str">
        <f>HYPERLINK("https://app.vivvix.com/360/KMI/IntelliDrive/ApplUI/Pages/CreativePages/CustomReportCreativeDetail.aspx?App=23&amp;ReportView=4&amp;Qid=1711279&amp;Row=4550&amp;Col=1","No Title Assigned - #15269087834")</f>
        <v/>
      </c>
      <c r="B4558" s="0" t="s">
        <v>6322</v>
      </c>
      <c r="C4558" s="0" t="s">
        <v>6323</v>
      </c>
      <c r="D4558" s="0" t="s">
        <v>6183</v>
      </c>
      <c r="E4558" s="0" t="inlineStr">
        <is>
          <t xml:space="preserve">Mazda</t>
        </is>
      </c>
      <c r="F4558" s="0" t="s">
        <v>13</v>
      </c>
      <c r="G4558" s="0" t="s">
        <v>49</v>
      </c>
      <c r="H4558" s="5">
        <v>254.695900</v>
      </c>
    </row>
    <row r="4559" spans="1:9">
      <c r="A4559" s="22" t="str">
        <f>HYPERLINK("https://app.vivvix.com/360/KMI/IntelliDrive/ApplUI/Pages/CreativePages/CustomReportCreativeDetail.aspx?App=23&amp;ReportView=4&amp;Qid=1711279&amp;Row=4551&amp;Col=1","No Title Assigned - #15269088185")</f>
        <v/>
      </c>
      <c r="B4559" s="0" t="s">
        <v>6324</v>
      </c>
      <c r="E4559" s="0" t="inlineStr">
        <is>
          <t xml:space="preserve">Mazda</t>
        </is>
      </c>
      <c r="F4559" s="0" t="s">
        <v>204</v>
      </c>
      <c r="G4559" s="0" t="s">
        <v>205</v>
      </c>
      <c r="H4559" s="5">
        <v>3785.189000</v>
      </c>
    </row>
    <row r="4560" spans="1:9">
      <c r="A4560" s="22" t="str">
        <f>HYPERLINK("https://app.vivvix.com/360/KMI/IntelliDrive/ApplUI/Pages/CreativePages/CustomReportCreativeDetail.aspx?App=23&amp;ReportView=4&amp;Qid=1711279&amp;Row=4552&amp;Col=1","No Title Assigned - #15269088285")</f>
        <v/>
      </c>
      <c r="B4560" s="0" t="s">
        <v>6325</v>
      </c>
      <c r="E4560" s="0" t="inlineStr">
        <is>
          <t xml:space="preserve">Mazda</t>
        </is>
      </c>
      <c r="F4560" s="0" t="inlineStr">
        <is>
          <t xml:space="preserve">Mazda</t>
        </is>
      </c>
      <c r="G4560" s="0" t="s">
        <v>171</v>
      </c>
      <c r="H4560" s="5">
        <v>16020.488300</v>
      </c>
    </row>
    <row r="4561" spans="1:9">
      <c r="A4561" s="22" t="str">
        <f>HYPERLINK("https://app.vivvix.com/360/KMI/IntelliDrive/ApplUI/Pages/CreativePages/CustomReportCreativeDetail.aspx?App=23&amp;ReportView=4&amp;Qid=1711279&amp;Row=4553&amp;Col=1","No Title Assigned - #15269090443")</f>
        <v/>
      </c>
      <c r="B4561" s="0" t="s">
        <v>6326</v>
      </c>
      <c r="E4561" s="0" t="inlineStr">
        <is>
          <t xml:space="preserve">Mazda</t>
        </is>
      </c>
      <c r="F4561" s="0" t="inlineStr">
        <is>
          <t xml:space="preserve">Mazda</t>
        </is>
      </c>
      <c r="G4561" s="0" t="s">
        <v>171</v>
      </c>
      <c r="H4561" s="5">
        <v>275.347200</v>
      </c>
    </row>
    <row r="4562" spans="1:9">
      <c r="A4562" s="22" t="str">
        <f>HYPERLINK("https://app.vivvix.com/360/KMI/IntelliDrive/ApplUI/Pages/CreativePages/CustomReportCreativeDetail.aspx?App=23&amp;ReportView=4&amp;Qid=1711279&amp;Row=4554&amp;Col=1","No Title Assigned - #15269090657")</f>
        <v/>
      </c>
      <c r="B4562" s="0" t="s">
        <v>6327</v>
      </c>
      <c r="E4562" s="0" t="inlineStr">
        <is>
          <t xml:space="preserve">Mazda</t>
        </is>
      </c>
      <c r="F4562" s="0" t="inlineStr">
        <is>
          <t xml:space="preserve">Mazda</t>
        </is>
      </c>
      <c r="G4562" s="0" t="s">
        <v>171</v>
      </c>
      <c r="H4562" s="5">
        <v>12.081300</v>
      </c>
    </row>
    <row r="4563" spans="1:9">
      <c r="A4563" s="22" t="str">
        <f>HYPERLINK("https://app.vivvix.com/360/KMI/IntelliDrive/ApplUI/Pages/CreativePages/CustomReportCreativeDetail.aspx?App=23&amp;ReportView=4&amp;Qid=1711279&amp;Row=4555&amp;Col=1","No Title Assigned - #15269090720")</f>
        <v/>
      </c>
      <c r="B4563" s="0" t="s">
        <v>6328</v>
      </c>
      <c r="E4563" s="0" t="inlineStr">
        <is>
          <t xml:space="preserve">Mazda</t>
        </is>
      </c>
      <c r="F4563" s="0" t="inlineStr">
        <is>
          <t xml:space="preserve">Mazda</t>
        </is>
      </c>
      <c r="G4563" s="0" t="s">
        <v>171</v>
      </c>
      <c r="H4563" s="5">
        <v>42.433400</v>
      </c>
    </row>
    <row r="4564" spans="1:9">
      <c r="A4564" s="22" t="str">
        <f>HYPERLINK("https://app.vivvix.com/360/KMI/IntelliDrive/ApplUI/Pages/CreativePages/CustomReportCreativeDetail.aspx?App=23&amp;ReportView=4&amp;Qid=1711279&amp;Row=4556&amp;Col=1","No Title Assigned - #15269091181")</f>
        <v/>
      </c>
      <c r="B4564" s="0" t="s">
        <v>6329</v>
      </c>
      <c r="C4564" s="0" t="s">
        <v>6330</v>
      </c>
      <c r="D4564" s="0" t="s">
        <v>6330</v>
      </c>
      <c r="E4564" s="0" t="inlineStr">
        <is>
          <t xml:space="preserve">Mazda</t>
        </is>
      </c>
      <c r="F4564" s="0" t="s">
        <v>13</v>
      </c>
      <c r="G4564" s="0" t="s">
        <v>49</v>
      </c>
      <c r="H4564" s="5">
        <v>3579.022200</v>
      </c>
    </row>
    <row r="4565" spans="1:9">
      <c r="A4565" s="22" t="str">
        <f>HYPERLINK("https://app.vivvix.com/360/KMI/IntelliDrive/ApplUI/Pages/CreativePages/CustomReportCreativeDetail.aspx?App=23&amp;ReportView=4&amp;Qid=1711279&amp;Row=4557&amp;Col=1","No Title Assigned - #15269091314")</f>
        <v/>
      </c>
      <c r="B4565" s="0" t="s">
        <v>6331</v>
      </c>
      <c r="C4565" s="0" t="s">
        <v>6332</v>
      </c>
      <c r="D4565" s="0" t="s">
        <v>6332</v>
      </c>
      <c r="E4565" s="0" t="inlineStr">
        <is>
          <t xml:space="preserve">Mazda</t>
        </is>
      </c>
      <c r="F4565" s="0" t="inlineStr">
        <is>
          <t xml:space="preserve">Mazda</t>
        </is>
      </c>
      <c r="G4565" s="0" t="s">
        <v>171</v>
      </c>
      <c r="H4565" s="5">
        <v>472.696600</v>
      </c>
    </row>
    <row r="4566" spans="1:9">
      <c r="A4566" s="22" t="str">
        <f>HYPERLINK("https://app.vivvix.com/360/KMI/IntelliDrive/ApplUI/Pages/CreativePages/CustomReportCreativeDetail.aspx?App=23&amp;ReportView=4&amp;Qid=1711279&amp;Row=4558&amp;Col=1","No Title Assigned - #15269091484")</f>
        <v/>
      </c>
      <c r="B4566" s="0" t="s">
        <v>6333</v>
      </c>
      <c r="E4566" s="0" t="inlineStr">
        <is>
          <t xml:space="preserve">Mazda</t>
        </is>
      </c>
      <c r="F4566" s="0" t="inlineStr">
        <is>
          <t xml:space="preserve">Mazda</t>
        </is>
      </c>
      <c r="G4566" s="0" t="s">
        <v>171</v>
      </c>
      <c r="H4566" s="5">
        <v>16.755400</v>
      </c>
    </row>
    <row r="4567" spans="1:9">
      <c r="A4567" s="22" t="str">
        <f>HYPERLINK("https://app.vivvix.com/360/KMI/IntelliDrive/ApplUI/Pages/CreativePages/CustomReportCreativeDetail.aspx?App=23&amp;ReportView=4&amp;Qid=1711279&amp;Row=4559&amp;Col=1","No Title Assigned - #15269091708")</f>
        <v/>
      </c>
      <c r="B4567" s="0" t="s">
        <v>6334</v>
      </c>
      <c r="E4567" s="0" t="inlineStr">
        <is>
          <t xml:space="preserve">Mazda</t>
        </is>
      </c>
      <c r="F4567" s="0" t="s">
        <v>21</v>
      </c>
      <c r="G4567" s="0" t="s">
        <v>22</v>
      </c>
      <c r="H4567" s="5">
        <v>237.664400</v>
      </c>
    </row>
    <row r="4568" spans="1:9">
      <c r="A4568" s="22" t="str">
        <f>HYPERLINK("https://app.vivvix.com/360/KMI/IntelliDrive/ApplUI/Pages/CreativePages/CustomReportCreativeDetail.aspx?App=23&amp;ReportView=4&amp;Qid=1711279&amp;Row=4560&amp;Col=1","No Title Assigned - #15269091709")</f>
        <v/>
      </c>
      <c r="B4568" s="0" t="s">
        <v>6335</v>
      </c>
      <c r="E4568" s="0" t="inlineStr">
        <is>
          <t xml:space="preserve">Mazda</t>
        </is>
      </c>
      <c r="F4568" s="0" t="inlineStr">
        <is>
          <t xml:space="preserve">Mazda</t>
        </is>
      </c>
      <c r="G4568" s="0" t="s">
        <v>171</v>
      </c>
      <c r="H4568" s="5">
        <v>207.254800</v>
      </c>
    </row>
    <row r="4569" spans="1:9">
      <c r="A4569" s="22" t="str">
        <f>HYPERLINK("https://app.vivvix.com/360/KMI/IntelliDrive/ApplUI/Pages/CreativePages/CustomReportCreativeDetail.aspx?App=23&amp;ReportView=4&amp;Qid=1711279&amp;Row=4561&amp;Col=1","No Title Assigned - #15269092132")</f>
        <v/>
      </c>
      <c r="B4569" s="0" t="s">
        <v>6336</v>
      </c>
      <c r="E4569" s="0" t="inlineStr">
        <is>
          <t xml:space="preserve">Mazda</t>
        </is>
      </c>
      <c r="F4569" s="0" t="inlineStr">
        <is>
          <t xml:space="preserve">Mazda</t>
        </is>
      </c>
      <c r="G4569" s="0" t="s">
        <v>171</v>
      </c>
      <c r="H4569" s="5">
        <v>463.225700</v>
      </c>
    </row>
    <row r="4570" spans="1:9">
      <c r="A4570" s="22" t="str">
        <f>HYPERLINK("https://app.vivvix.com/360/KMI/IntelliDrive/ApplUI/Pages/CreativePages/CustomReportCreativeDetail.aspx?App=23&amp;ReportView=4&amp;Qid=1711279&amp;Row=4562&amp;Col=1","No Title Assigned - #15269092344")</f>
        <v/>
      </c>
      <c r="B4570" s="0" t="s">
        <v>6337</v>
      </c>
      <c r="E4570" s="0" t="inlineStr">
        <is>
          <t xml:space="preserve">Mazda</t>
        </is>
      </c>
      <c r="F4570" s="0" t="inlineStr">
        <is>
          <t xml:space="preserve">Mazda</t>
        </is>
      </c>
      <c r="G4570" s="0" t="s">
        <v>171</v>
      </c>
      <c r="H4570" s="5">
        <v>22.388200</v>
      </c>
    </row>
    <row r="4571" spans="1:9">
      <c r="A4571" s="22" t="str">
        <f>HYPERLINK("https://app.vivvix.com/360/KMI/IntelliDrive/ApplUI/Pages/CreativePages/CustomReportCreativeDetail.aspx?App=23&amp;ReportView=4&amp;Qid=1711279&amp;Row=4563&amp;Col=1","No Title Assigned - #15269092815")</f>
        <v/>
      </c>
      <c r="B4571" s="0" t="s">
        <v>6338</v>
      </c>
      <c r="C4571" s="0" t="s">
        <v>6339</v>
      </c>
      <c r="D4571" s="0" t="s">
        <v>6339</v>
      </c>
      <c r="E4571" s="0" t="inlineStr">
        <is>
          <t xml:space="preserve">Mazda</t>
        </is>
      </c>
      <c r="F4571" s="0" t="s">
        <v>28</v>
      </c>
      <c r="G4571" s="0" t="s">
        <v>29</v>
      </c>
      <c r="H4571" s="5">
        <v>239.192200</v>
      </c>
    </row>
    <row r="4572" spans="1:9">
      <c r="A4572" s="22" t="str">
        <f>HYPERLINK("https://app.vivvix.com/360/KMI/IntelliDrive/ApplUI/Pages/CreativePages/CustomReportCreativeDetail.aspx?App=23&amp;ReportView=4&amp;Qid=1711279&amp;Row=4564&amp;Col=1","No Title Assigned - #15269092838")</f>
        <v/>
      </c>
      <c r="B4572" s="0" t="s">
        <v>6340</v>
      </c>
      <c r="E4572" s="0" t="inlineStr">
        <is>
          <t xml:space="preserve">Mazda</t>
        </is>
      </c>
      <c r="F4572" s="0" t="inlineStr">
        <is>
          <t xml:space="preserve">Mazda</t>
        </is>
      </c>
      <c r="G4572" s="0" t="s">
        <v>171</v>
      </c>
      <c r="H4572" s="5">
        <v>11433.058300</v>
      </c>
    </row>
    <row r="4573" spans="1:9">
      <c r="A4573" s="22" t="str">
        <f>HYPERLINK("https://app.vivvix.com/360/KMI/IntelliDrive/ApplUI/Pages/CreativePages/CustomReportCreativeDetail.aspx?App=23&amp;ReportView=4&amp;Qid=1711279&amp;Row=4565&amp;Col=1","No Title Assigned - #15269092838")</f>
        <v/>
      </c>
      <c r="B4573" s="0" t="s">
        <v>6340</v>
      </c>
      <c r="E4573" s="0" t="inlineStr">
        <is>
          <t xml:space="preserve">Mazda</t>
        </is>
      </c>
      <c r="F4573" s="0" t="inlineStr">
        <is>
          <t xml:space="preserve">Mazda</t>
        </is>
      </c>
      <c r="G4573" s="0" t="s">
        <v>171</v>
      </c>
      <c r="H4573" s="5">
        <v>452.530400</v>
      </c>
    </row>
    <row r="4574" spans="1:9">
      <c r="A4574" s="22" t="str">
        <f>HYPERLINK("https://app.vivvix.com/360/KMI/IntelliDrive/ApplUI/Pages/CreativePages/CustomReportCreativeDetail.aspx?App=23&amp;ReportView=4&amp;Qid=1711279&amp;Row=4566&amp;Col=1","No Title Assigned - #15269093553")</f>
        <v/>
      </c>
      <c r="B4574" s="0" t="s">
        <v>6341</v>
      </c>
      <c r="E4574" s="0" t="inlineStr">
        <is>
          <t xml:space="preserve">Mazda</t>
        </is>
      </c>
      <c r="F4574" s="0" t="inlineStr">
        <is>
          <t xml:space="preserve">Mazda</t>
        </is>
      </c>
      <c r="G4574" s="0" t="s">
        <v>171</v>
      </c>
      <c r="H4574" s="5">
        <v>85.263000</v>
      </c>
    </row>
    <row r="4575" spans="1:9">
      <c r="A4575" s="22" t="str">
        <f>HYPERLINK("https://app.vivvix.com/360/KMI/IntelliDrive/ApplUI/Pages/CreativePages/CustomReportCreativeDetail.aspx?App=23&amp;ReportView=4&amp;Qid=1711279&amp;Row=4567&amp;Col=1","No Title Assigned - #15269094284")</f>
        <v/>
      </c>
      <c r="B4575" s="0" t="s">
        <v>6342</v>
      </c>
      <c r="E4575" s="0" t="inlineStr">
        <is>
          <t xml:space="preserve">Mazda</t>
        </is>
      </c>
      <c r="F4575" s="0" t="inlineStr">
        <is>
          <t xml:space="preserve">Mazda</t>
        </is>
      </c>
      <c r="G4575" s="0" t="s">
        <v>171</v>
      </c>
      <c r="H4575" s="5">
        <v>262.212100</v>
      </c>
    </row>
    <row r="4576" spans="1:9">
      <c r="A4576" s="22" t="str">
        <f>HYPERLINK("https://app.vivvix.com/360/KMI/IntelliDrive/ApplUI/Pages/CreativePages/CustomReportCreativeDetail.aspx?App=23&amp;ReportView=4&amp;Qid=1711279&amp;Row=4568&amp;Col=1","No Title Assigned - #15269094284")</f>
        <v/>
      </c>
      <c r="B4576" s="0" t="s">
        <v>6342</v>
      </c>
      <c r="E4576" s="0" t="inlineStr">
        <is>
          <t xml:space="preserve">Mazda</t>
        </is>
      </c>
      <c r="F4576" s="0" t="inlineStr">
        <is>
          <t xml:space="preserve">Mazda</t>
        </is>
      </c>
      <c r="G4576" s="0" t="s">
        <v>171</v>
      </c>
      <c r="H4576" s="5">
        <v>392.865800</v>
      </c>
    </row>
    <row r="4577" spans="1:9">
      <c r="A4577" s="22" t="str">
        <f>HYPERLINK("https://app.vivvix.com/360/KMI/IntelliDrive/ApplUI/Pages/CreativePages/CustomReportCreativeDetail.aspx?App=23&amp;ReportView=4&amp;Qid=1711279&amp;Row=4569&amp;Col=1","No Title Assigned - #15269094461")</f>
        <v/>
      </c>
      <c r="B4577" s="0" t="s">
        <v>6343</v>
      </c>
      <c r="C4577" s="0" t="s">
        <v>6344</v>
      </c>
      <c r="D4577" s="0" t="s">
        <v>6344</v>
      </c>
      <c r="E4577" s="0" t="inlineStr">
        <is>
          <t xml:space="preserve">Mazda</t>
        </is>
      </c>
      <c r="F4577" s="0" t="inlineStr">
        <is>
          <t xml:space="preserve">Mazda</t>
        </is>
      </c>
      <c r="G4577" s="0" t="s">
        <v>171</v>
      </c>
      <c r="H4577" s="5">
        <v>25.086400</v>
      </c>
    </row>
    <row r="4578" spans="1:9">
      <c r="A4578" s="22" t="str">
        <f>HYPERLINK("https://app.vivvix.com/360/KMI/IntelliDrive/ApplUI/Pages/CreativePages/CustomReportCreativeDetail.aspx?App=23&amp;ReportView=4&amp;Qid=1711279&amp;Row=4570&amp;Col=1","No Title Assigned - #15269095720")</f>
        <v/>
      </c>
      <c r="B4578" s="0" t="s">
        <v>6345</v>
      </c>
      <c r="E4578" s="0" t="inlineStr">
        <is>
          <t xml:space="preserve">Mazda</t>
        </is>
      </c>
      <c r="F4578" s="0" t="inlineStr">
        <is>
          <t xml:space="preserve">Mazda</t>
        </is>
      </c>
      <c r="G4578" s="0" t="s">
        <v>171</v>
      </c>
      <c r="H4578" s="5">
        <v>7266.589000</v>
      </c>
    </row>
    <row r="4579" spans="1:9">
      <c r="A4579" s="22" t="str">
        <f>HYPERLINK("https://app.vivvix.com/360/KMI/IntelliDrive/ApplUI/Pages/CreativePages/CustomReportCreativeDetail.aspx?App=23&amp;ReportView=4&amp;Qid=1711279&amp;Row=4571&amp;Col=1","No Title Assigned - #15269095720")</f>
        <v/>
      </c>
      <c r="B4579" s="0" t="s">
        <v>6345</v>
      </c>
      <c r="E4579" s="0" t="inlineStr">
        <is>
          <t xml:space="preserve">Mazda</t>
        </is>
      </c>
      <c r="F4579" s="0" t="inlineStr">
        <is>
          <t xml:space="preserve">Mazda</t>
        </is>
      </c>
      <c r="G4579" s="0" t="s">
        <v>171</v>
      </c>
      <c r="H4579" s="5">
        <v>15232.023700</v>
      </c>
    </row>
    <row r="4580" spans="1:9">
      <c r="A4580" s="22" t="str">
        <f>HYPERLINK("https://app.vivvix.com/360/KMI/IntelliDrive/ApplUI/Pages/CreativePages/CustomReportCreativeDetail.aspx?App=23&amp;ReportView=4&amp;Qid=1711279&amp;Row=4572&amp;Col=1","No Title Assigned - #15269095953")</f>
        <v/>
      </c>
      <c r="B4580" s="0" t="s">
        <v>6346</v>
      </c>
      <c r="E4580" s="0" t="inlineStr">
        <is>
          <t xml:space="preserve">Mazda</t>
        </is>
      </c>
      <c r="F4580" s="0" t="inlineStr">
        <is>
          <t xml:space="preserve">Mazda</t>
        </is>
      </c>
      <c r="G4580" s="0" t="s">
        <v>171</v>
      </c>
      <c r="H4580" s="5">
        <v>5.950700</v>
      </c>
    </row>
    <row r="4581" spans="1:9">
      <c r="A4581" s="22" t="str">
        <f>HYPERLINK("https://app.vivvix.com/360/KMI/IntelliDrive/ApplUI/Pages/CreativePages/CustomReportCreativeDetail.aspx?App=23&amp;ReportView=4&amp;Qid=1711279&amp;Row=4573&amp;Col=1","No Title Assigned - #15269096298")</f>
        <v/>
      </c>
      <c r="B4581" s="0" t="s">
        <v>6347</v>
      </c>
      <c r="E4581" s="0" t="inlineStr">
        <is>
          <t xml:space="preserve">Mazda</t>
        </is>
      </c>
      <c r="F4581" s="0" t="inlineStr">
        <is>
          <t xml:space="preserve">Mazda</t>
        </is>
      </c>
      <c r="G4581" s="0" t="s">
        <v>171</v>
      </c>
      <c r="H4581" s="5">
        <v>636.810400</v>
      </c>
    </row>
    <row r="4582" spans="1:9">
      <c r="A4582" s="22" t="str">
        <f>HYPERLINK("https://app.vivvix.com/360/KMI/IntelliDrive/ApplUI/Pages/CreativePages/CustomReportCreativeDetail.aspx?App=23&amp;ReportView=4&amp;Qid=1711279&amp;Row=4574&amp;Col=1","No Title Assigned - #15269096647")</f>
        <v/>
      </c>
      <c r="B4582" s="0" t="s">
        <v>6348</v>
      </c>
      <c r="E4582" s="0" t="inlineStr">
        <is>
          <t xml:space="preserve">Mazda</t>
        </is>
      </c>
      <c r="F4582" s="0" t="inlineStr">
        <is>
          <t xml:space="preserve">Mazda</t>
        </is>
      </c>
      <c r="G4582" s="0" t="s">
        <v>171</v>
      </c>
      <c r="H4582" s="5">
        <v>3.331900</v>
      </c>
    </row>
    <row r="4583" spans="1:9">
      <c r="A4583" s="22" t="str">
        <f>HYPERLINK("https://app.vivvix.com/360/KMI/IntelliDrive/ApplUI/Pages/CreativePages/CustomReportCreativeDetail.aspx?App=23&amp;ReportView=4&amp;Qid=1711279&amp;Row=4575&amp;Col=1","No Title Assigned - #15269096693")</f>
        <v/>
      </c>
      <c r="B4583" s="0" t="s">
        <v>6349</v>
      </c>
      <c r="E4583" s="0" t="inlineStr">
        <is>
          <t xml:space="preserve">Mazda</t>
        </is>
      </c>
      <c r="F4583" s="0" t="inlineStr">
        <is>
          <t xml:space="preserve">Mazda</t>
        </is>
      </c>
      <c r="G4583" s="0" t="s">
        <v>171</v>
      </c>
      <c r="H4583" s="5">
        <v>8.081300</v>
      </c>
    </row>
    <row r="4584" spans="1:9">
      <c r="A4584" s="22" t="str">
        <f>HYPERLINK("https://app.vivvix.com/360/KMI/IntelliDrive/ApplUI/Pages/CreativePages/CustomReportCreativeDetail.aspx?App=23&amp;ReportView=4&amp;Qid=1711279&amp;Row=4576&amp;Col=1","No Title Assigned - #15269096848")</f>
        <v/>
      </c>
      <c r="B4584" s="0" t="s">
        <v>6350</v>
      </c>
      <c r="E4584" s="0" t="inlineStr">
        <is>
          <t xml:space="preserve">Mazda</t>
        </is>
      </c>
      <c r="F4584" s="0" t="inlineStr">
        <is>
          <t xml:space="preserve">Mazda</t>
        </is>
      </c>
      <c r="G4584" s="0" t="s">
        <v>171</v>
      </c>
      <c r="H4584" s="5">
        <v>1833.565600</v>
      </c>
    </row>
    <row r="4585" spans="1:9">
      <c r="A4585" s="22" t="str">
        <f>HYPERLINK("https://app.vivvix.com/360/KMI/IntelliDrive/ApplUI/Pages/CreativePages/CustomReportCreativeDetail.aspx?App=23&amp;ReportView=4&amp;Qid=1711279&amp;Row=4577&amp;Col=1","No Title Assigned - #15269097148")</f>
        <v/>
      </c>
      <c r="B4585" s="0" t="s">
        <v>6351</v>
      </c>
      <c r="C4585" s="0" t="s">
        <v>6352</v>
      </c>
      <c r="D4585" s="0" t="s">
        <v>6352</v>
      </c>
      <c r="E4585" s="0" t="inlineStr">
        <is>
          <t xml:space="preserve">Mazda</t>
        </is>
      </c>
      <c r="F4585" s="0" t="inlineStr">
        <is>
          <t xml:space="preserve">Mazda</t>
        </is>
      </c>
      <c r="G4585" s="0" t="s">
        <v>210</v>
      </c>
      <c r="H4585" s="5">
        <v>19815.106700</v>
      </c>
    </row>
    <row r="4586" spans="1:9">
      <c r="A4586" s="22" t="str">
        <f>HYPERLINK("https://app.vivvix.com/360/KMI/IntelliDrive/ApplUI/Pages/CreativePages/CustomReportCreativeDetail.aspx?App=23&amp;ReportView=4&amp;Qid=1711279&amp;Row=4578&amp;Col=1","No Title Assigned - #15269097667")</f>
        <v/>
      </c>
      <c r="B4586" s="0" t="s">
        <v>6353</v>
      </c>
      <c r="C4586" s="0" t="s">
        <v>6354</v>
      </c>
      <c r="D4586" s="0" t="s">
        <v>6354</v>
      </c>
      <c r="E4586" s="0" t="inlineStr">
        <is>
          <t xml:space="preserve">Mazda</t>
        </is>
      </c>
      <c r="F4586" s="0" t="s">
        <v>28</v>
      </c>
      <c r="G4586" s="0" t="s">
        <v>29</v>
      </c>
      <c r="H4586" s="5">
        <v>6327.772200</v>
      </c>
    </row>
    <row r="4587" spans="1:9">
      <c r="A4587" s="22" t="str">
        <f>HYPERLINK("https://app.vivvix.com/360/KMI/IntelliDrive/ApplUI/Pages/CreativePages/CustomReportCreativeDetail.aspx?App=23&amp;ReportView=4&amp;Qid=1711279&amp;Row=4579&amp;Col=1","No Title Assigned - #15269097808")</f>
        <v/>
      </c>
      <c r="B4587" s="0" t="s">
        <v>6355</v>
      </c>
      <c r="C4587" s="0" t="s">
        <v>6356</v>
      </c>
      <c r="D4587" s="0" t="s">
        <v>6356</v>
      </c>
      <c r="E4587" s="0" t="inlineStr">
        <is>
          <t xml:space="preserve">Mazda</t>
        </is>
      </c>
      <c r="F4587" s="0" t="s">
        <v>28</v>
      </c>
      <c r="G4587" s="0" t="s">
        <v>29</v>
      </c>
      <c r="H4587" s="5">
        <v>863.165400</v>
      </c>
    </row>
    <row r="4588" spans="1:9">
      <c r="A4588" s="22" t="str">
        <f>HYPERLINK("https://app.vivvix.com/360/KMI/IntelliDrive/ApplUI/Pages/CreativePages/CustomReportCreativeDetail.aspx?App=23&amp;ReportView=4&amp;Qid=1711279&amp;Row=4580&amp;Col=1","No Title Assigned - #15269098099")</f>
        <v/>
      </c>
      <c r="B4588" s="0" t="s">
        <v>6357</v>
      </c>
      <c r="E4588" s="0" t="inlineStr">
        <is>
          <t xml:space="preserve">Mazda</t>
        </is>
      </c>
      <c r="F4588" s="0" t="inlineStr">
        <is>
          <t xml:space="preserve">Mazda</t>
        </is>
      </c>
      <c r="G4588" s="0" t="s">
        <v>171</v>
      </c>
      <c r="H4588" s="5">
        <v>43.655100</v>
      </c>
    </row>
    <row r="4589" spans="1:9">
      <c r="A4589" s="22" t="str">
        <f>HYPERLINK("https://app.vivvix.com/360/KMI/IntelliDrive/ApplUI/Pages/CreativePages/CustomReportCreativeDetail.aspx?App=23&amp;ReportView=4&amp;Qid=1711279&amp;Row=4581&amp;Col=1","No Title Assigned - #15269098142")</f>
        <v/>
      </c>
      <c r="B4589" s="0" t="s">
        <v>6358</v>
      </c>
      <c r="E4589" s="0" t="inlineStr">
        <is>
          <t xml:space="preserve">Mazda</t>
        </is>
      </c>
      <c r="F4589" s="0" t="inlineStr">
        <is>
          <t xml:space="preserve">Mazda</t>
        </is>
      </c>
      <c r="G4589" s="0" t="s">
        <v>171</v>
      </c>
      <c r="H4589" s="5">
        <v>17.852100</v>
      </c>
    </row>
    <row r="4590" spans="1:9">
      <c r="A4590" s="22" t="str">
        <f>HYPERLINK("https://app.vivvix.com/360/KMI/IntelliDrive/ApplUI/Pages/CreativePages/CustomReportCreativeDetail.aspx?App=23&amp;ReportView=4&amp;Qid=1711279&amp;Row=4582&amp;Col=1","No Title Assigned - #15269098285")</f>
        <v/>
      </c>
      <c r="B4590" s="0" t="s">
        <v>6359</v>
      </c>
      <c r="E4590" s="0" t="inlineStr">
        <is>
          <t xml:space="preserve">Mazda</t>
        </is>
      </c>
      <c r="F4590" s="0" t="inlineStr">
        <is>
          <t xml:space="preserve">Mazda</t>
        </is>
      </c>
      <c r="G4590" s="0" t="s">
        <v>171</v>
      </c>
      <c r="H4590" s="5">
        <v>71.314400</v>
      </c>
    </row>
    <row r="4591" spans="1:9">
      <c r="A4591" s="22" t="str">
        <f>HYPERLINK("https://app.vivvix.com/360/KMI/IntelliDrive/ApplUI/Pages/CreativePages/CustomReportCreativeDetail.aspx?App=23&amp;ReportView=4&amp;Qid=1711279&amp;Row=4583&amp;Col=1","No Title Assigned - #15269098659")</f>
        <v/>
      </c>
      <c r="B4591" s="0" t="s">
        <v>6360</v>
      </c>
      <c r="E4591" s="0" t="inlineStr">
        <is>
          <t xml:space="preserve">Mazda</t>
        </is>
      </c>
      <c r="F4591" s="0" t="inlineStr">
        <is>
          <t xml:space="preserve">Mazda</t>
        </is>
      </c>
      <c r="G4591" s="0" t="s">
        <v>171</v>
      </c>
      <c r="H4591" s="5">
        <v>17376.798800</v>
      </c>
    </row>
    <row r="4592" spans="1:9">
      <c r="A4592" s="22" t="str">
        <f>HYPERLINK("https://app.vivvix.com/360/KMI/IntelliDrive/ApplUI/Pages/CreativePages/CustomReportCreativeDetail.aspx?App=23&amp;ReportView=4&amp;Qid=1711279&amp;Row=4584&amp;Col=1","No Title Assigned - #15269099070")</f>
        <v/>
      </c>
      <c r="B4592" s="0" t="s">
        <v>6361</v>
      </c>
      <c r="E4592" s="0" t="inlineStr">
        <is>
          <t xml:space="preserve">Mazda</t>
        </is>
      </c>
      <c r="F4592" s="0" t="inlineStr">
        <is>
          <t xml:space="preserve">Mazda</t>
        </is>
      </c>
      <c r="G4592" s="0" t="s">
        <v>171</v>
      </c>
      <c r="H4592" s="5">
        <v>207.882400</v>
      </c>
    </row>
    <row r="4593" spans="1:9">
      <c r="A4593" s="22" t="str">
        <f>HYPERLINK("https://app.vivvix.com/360/KMI/IntelliDrive/ApplUI/Pages/CreativePages/CustomReportCreativeDetail.aspx?App=23&amp;ReportView=4&amp;Qid=1711279&amp;Row=4585&amp;Col=1","No Title Assigned - #15269100092")</f>
        <v/>
      </c>
      <c r="B4593" s="0" t="s">
        <v>6362</v>
      </c>
      <c r="E4593" s="0" t="inlineStr">
        <is>
          <t xml:space="preserve">Mazda</t>
        </is>
      </c>
      <c r="F4593" s="0" t="inlineStr">
        <is>
          <t xml:space="preserve">Mazda</t>
        </is>
      </c>
      <c r="G4593" s="0" t="s">
        <v>171</v>
      </c>
      <c r="H4593" s="5">
        <v>254.143200</v>
      </c>
    </row>
    <row r="4594" spans="1:9">
      <c r="A4594" s="22" t="str">
        <f>HYPERLINK("https://app.vivvix.com/360/KMI/IntelliDrive/ApplUI/Pages/CreativePages/CustomReportCreativeDetail.aspx?App=23&amp;ReportView=4&amp;Qid=1711279&amp;Row=4586&amp;Col=1","No Title Assigned - #15269101458")</f>
        <v/>
      </c>
      <c r="B4594" s="0" t="s">
        <v>6363</v>
      </c>
      <c r="E4594" s="0" t="inlineStr">
        <is>
          <t xml:space="preserve">Mazda</t>
        </is>
      </c>
      <c r="F4594" s="0" t="inlineStr">
        <is>
          <t xml:space="preserve">Mazda</t>
        </is>
      </c>
      <c r="G4594" s="0" t="s">
        <v>171</v>
      </c>
      <c r="H4594" s="5">
        <v>36.504000</v>
      </c>
    </row>
    <row r="4595" spans="1:9">
      <c r="A4595" s="22" t="str">
        <f>HYPERLINK("https://app.vivvix.com/360/KMI/IntelliDrive/ApplUI/Pages/CreativePages/CustomReportCreativeDetail.aspx?App=23&amp;ReportView=4&amp;Qid=1711279&amp;Row=4587&amp;Col=1","No Title Assigned - #15269101821")</f>
        <v/>
      </c>
      <c r="B4595" s="0" t="s">
        <v>6364</v>
      </c>
      <c r="E4595" s="0" t="inlineStr">
        <is>
          <t xml:space="preserve">Mazda</t>
        </is>
      </c>
      <c r="F4595" s="0" t="inlineStr">
        <is>
          <t xml:space="preserve">Mazda</t>
        </is>
      </c>
      <c r="G4595" s="0" t="s">
        <v>171</v>
      </c>
      <c r="H4595" s="5">
        <v>82.261200</v>
      </c>
    </row>
    <row r="4596" spans="1:9">
      <c r="A4596" s="22" t="str">
        <f>HYPERLINK("https://app.vivvix.com/360/KMI/IntelliDrive/ApplUI/Pages/CreativePages/CustomReportCreativeDetail.aspx?App=23&amp;ReportView=4&amp;Qid=1711279&amp;Row=4588&amp;Col=1","No Title Assigned - #15269102012")</f>
        <v/>
      </c>
      <c r="B4596" s="0" t="s">
        <v>6365</v>
      </c>
      <c r="E4596" s="0" t="inlineStr">
        <is>
          <t xml:space="preserve">Mazda</t>
        </is>
      </c>
      <c r="F4596" s="0" t="inlineStr">
        <is>
          <t xml:space="preserve">Mazda</t>
        </is>
      </c>
      <c r="G4596" s="0" t="s">
        <v>171</v>
      </c>
      <c r="H4596" s="5">
        <v>207.882400</v>
      </c>
    </row>
    <row r="4597" spans="1:9">
      <c r="A4597" s="22" t="str">
        <f>HYPERLINK("https://app.vivvix.com/360/KMI/IntelliDrive/ApplUI/Pages/CreativePages/CustomReportCreativeDetail.aspx?App=23&amp;ReportView=4&amp;Qid=1711279&amp;Row=4589&amp;Col=1","No Title Assigned - #15269102378")</f>
        <v/>
      </c>
      <c r="B4597" s="0" t="s">
        <v>6366</v>
      </c>
      <c r="E4597" s="0" t="inlineStr">
        <is>
          <t xml:space="preserve">Mazda</t>
        </is>
      </c>
      <c r="F4597" s="0" t="inlineStr">
        <is>
          <t xml:space="preserve">Mazda</t>
        </is>
      </c>
      <c r="G4597" s="0" t="s">
        <v>171</v>
      </c>
      <c r="H4597" s="5">
        <v>236.396400</v>
      </c>
    </row>
    <row r="4598" spans="1:9">
      <c r="A4598" s="22" t="str">
        <f>HYPERLINK("https://app.vivvix.com/360/KMI/IntelliDrive/ApplUI/Pages/CreativePages/CustomReportCreativeDetail.aspx?App=23&amp;ReportView=4&amp;Qid=1711279&amp;Row=4590&amp;Col=1","No Title Assigned - #15269102497")</f>
        <v/>
      </c>
      <c r="B4598" s="0" t="s">
        <v>6367</v>
      </c>
      <c r="E4598" s="0" t="inlineStr">
        <is>
          <t xml:space="preserve">Mazda</t>
        </is>
      </c>
      <c r="F4598" s="0" t="inlineStr">
        <is>
          <t xml:space="preserve">Mazda</t>
        </is>
      </c>
      <c r="G4598" s="0" t="s">
        <v>171</v>
      </c>
      <c r="H4598" s="5">
        <v>82.261200</v>
      </c>
    </row>
    <row r="4599" spans="1:9">
      <c r="A4599" s="22" t="str">
        <f>HYPERLINK("https://app.vivvix.com/360/KMI/IntelliDrive/ApplUI/Pages/CreativePages/CustomReportCreativeDetail.aspx?App=23&amp;ReportView=4&amp;Qid=1711279&amp;Row=4591&amp;Col=1","No Title Assigned - #15269102754")</f>
        <v/>
      </c>
      <c r="B4599" s="0" t="s">
        <v>6368</v>
      </c>
      <c r="E4599" s="0" t="inlineStr">
        <is>
          <t xml:space="preserve">Mazda</t>
        </is>
      </c>
      <c r="F4599" s="0" t="inlineStr">
        <is>
          <t xml:space="preserve">Mazda</t>
        </is>
      </c>
      <c r="G4599" s="0" t="s">
        <v>171</v>
      </c>
      <c r="H4599" s="5">
        <v>1448.437600</v>
      </c>
    </row>
    <row r="4600" spans="1:9">
      <c r="A4600" s="22" t="str">
        <f>HYPERLINK("https://app.vivvix.com/360/KMI/IntelliDrive/ApplUI/Pages/CreativePages/CustomReportCreativeDetail.aspx?App=23&amp;ReportView=4&amp;Qid=1711279&amp;Row=4592&amp;Col=1","No Title Assigned - #15269102754")</f>
        <v/>
      </c>
      <c r="B4600" s="0" t="s">
        <v>6368</v>
      </c>
      <c r="E4600" s="0" t="inlineStr">
        <is>
          <t xml:space="preserve">Mazda</t>
        </is>
      </c>
      <c r="F4600" s="0" t="inlineStr">
        <is>
          <t xml:space="preserve">Mazda</t>
        </is>
      </c>
      <c r="G4600" s="0" t="s">
        <v>171</v>
      </c>
      <c r="H4600" s="5">
        <v>195.936100</v>
      </c>
    </row>
    <row r="4601" spans="1:9">
      <c r="A4601" s="22" t="str">
        <f>HYPERLINK("https://app.vivvix.com/360/KMI/IntelliDrive/ApplUI/Pages/CreativePages/CustomReportCreativeDetail.aspx?App=23&amp;ReportView=4&amp;Qid=1711279&amp;Row=4593&amp;Col=1","No Title Assigned - #15269102873")</f>
        <v/>
      </c>
      <c r="B4601" s="0" t="s">
        <v>6369</v>
      </c>
      <c r="C4601" s="0" t="s">
        <v>6370</v>
      </c>
      <c r="D4601" s="0" t="s">
        <v>6370</v>
      </c>
      <c r="E4601" s="0" t="inlineStr">
        <is>
          <t xml:space="preserve">Mazda</t>
        </is>
      </c>
      <c r="F4601" s="0" t="inlineStr">
        <is>
          <t xml:space="preserve">Mazda</t>
        </is>
      </c>
      <c r="G4601" s="0" t="s">
        <v>171</v>
      </c>
      <c r="H4601" s="5">
        <v>108.921500</v>
      </c>
    </row>
    <row r="4602" spans="1:9">
      <c r="A4602" s="22" t="str">
        <f>HYPERLINK("https://app.vivvix.com/360/KMI/IntelliDrive/ApplUI/Pages/CreativePages/CustomReportCreativeDetail.aspx?App=23&amp;ReportView=4&amp;Qid=1711279&amp;Row=4594&amp;Col=1","No Title Assigned - #15269103457")</f>
        <v/>
      </c>
      <c r="B4602" s="0" t="s">
        <v>6371</v>
      </c>
      <c r="E4602" s="0" t="inlineStr">
        <is>
          <t xml:space="preserve">Mazda</t>
        </is>
      </c>
      <c r="F4602" s="0" t="inlineStr">
        <is>
          <t xml:space="preserve">Mazda</t>
        </is>
      </c>
      <c r="G4602" s="0" t="s">
        <v>171</v>
      </c>
      <c r="H4602" s="5">
        <v>132.919500</v>
      </c>
    </row>
    <row r="4603" spans="1:9">
      <c r="A4603" s="22" t="str">
        <f>HYPERLINK("https://app.vivvix.com/360/KMI/IntelliDrive/ApplUI/Pages/CreativePages/CustomReportCreativeDetail.aspx?App=23&amp;ReportView=4&amp;Qid=1711279&amp;Row=4595&amp;Col=1","No Title Assigned - #15269103598")</f>
        <v/>
      </c>
      <c r="B4603" s="0" t="s">
        <v>6372</v>
      </c>
      <c r="E4603" s="0" t="inlineStr">
        <is>
          <t xml:space="preserve">Mazda</t>
        </is>
      </c>
      <c r="F4603" s="0" t="inlineStr">
        <is>
          <t xml:space="preserve">Mazda</t>
        </is>
      </c>
      <c r="G4603" s="0" t="s">
        <v>171</v>
      </c>
      <c r="H4603" s="5">
        <v>53.420300</v>
      </c>
    </row>
    <row r="4604" spans="1:9">
      <c r="A4604" s="22" t="str">
        <f>HYPERLINK("https://app.vivvix.com/360/KMI/IntelliDrive/ApplUI/Pages/CreativePages/CustomReportCreativeDetail.aspx?App=23&amp;ReportView=4&amp;Qid=1711279&amp;Row=4596&amp;Col=1","No Title Assigned - #15269103682")</f>
        <v/>
      </c>
      <c r="B4604" s="0" t="s">
        <v>6373</v>
      </c>
      <c r="E4604" s="0" t="inlineStr">
        <is>
          <t xml:space="preserve">Mazda</t>
        </is>
      </c>
      <c r="F4604" s="0" t="inlineStr">
        <is>
          <t xml:space="preserve">Mazda</t>
        </is>
      </c>
      <c r="G4604" s="0" t="s">
        <v>171</v>
      </c>
      <c r="H4604" s="5">
        <v>22.246800</v>
      </c>
    </row>
    <row r="4605" spans="1:9">
      <c r="A4605" s="22" t="str">
        <f>HYPERLINK("https://app.vivvix.com/360/KMI/IntelliDrive/ApplUI/Pages/CreativePages/CustomReportCreativeDetail.aspx?App=23&amp;ReportView=4&amp;Qid=1711279&amp;Row=4597&amp;Col=1","No Title Assigned - #15269103800")</f>
        <v/>
      </c>
      <c r="B4605" s="0" t="s">
        <v>6374</v>
      </c>
      <c r="E4605" s="0" t="inlineStr">
        <is>
          <t xml:space="preserve">Mazda</t>
        </is>
      </c>
      <c r="F4605" s="0" t="inlineStr">
        <is>
          <t xml:space="preserve">Mazda</t>
        </is>
      </c>
      <c r="G4605" s="0" t="s">
        <v>171</v>
      </c>
      <c r="H4605" s="5">
        <v>15.349300</v>
      </c>
    </row>
    <row r="4606" spans="1:9">
      <c r="A4606" s="22" t="str">
        <f>HYPERLINK("https://app.vivvix.com/360/KMI/IntelliDrive/ApplUI/Pages/CreativePages/CustomReportCreativeDetail.aspx?App=23&amp;ReportView=4&amp;Qid=1711279&amp;Row=4598&amp;Col=1","No Title Assigned - #15269103822")</f>
        <v/>
      </c>
      <c r="B4606" s="0" t="s">
        <v>6375</v>
      </c>
      <c r="C4606" s="0" t="s">
        <v>6376</v>
      </c>
      <c r="D4606" s="0" t="s">
        <v>6376</v>
      </c>
      <c r="E4606" s="0" t="inlineStr">
        <is>
          <t xml:space="preserve">Mazda</t>
        </is>
      </c>
      <c r="F4606" s="0" t="inlineStr">
        <is>
          <t xml:space="preserve">Mazda</t>
        </is>
      </c>
      <c r="G4606" s="0" t="s">
        <v>171</v>
      </c>
      <c r="H4606" s="5">
        <v>82.261200</v>
      </c>
    </row>
    <row r="4607" spans="1:9">
      <c r="A4607" s="22" t="str">
        <f>HYPERLINK("https://app.vivvix.com/360/KMI/IntelliDrive/ApplUI/Pages/CreativePages/CustomReportCreativeDetail.aspx?App=23&amp;ReportView=4&amp;Qid=1711279&amp;Row=4599&amp;Col=1","No Title Assigned - #15269104306")</f>
        <v/>
      </c>
      <c r="B4607" s="0" t="s">
        <v>6377</v>
      </c>
      <c r="E4607" s="0" t="inlineStr">
        <is>
          <t xml:space="preserve">Mazda</t>
        </is>
      </c>
      <c r="F4607" s="0" t="inlineStr">
        <is>
          <t xml:space="preserve">Mazda</t>
        </is>
      </c>
      <c r="G4607" s="0" t="s">
        <v>171</v>
      </c>
      <c r="H4607" s="5">
        <v>22.700100</v>
      </c>
    </row>
    <row r="4608" spans="1:9">
      <c r="A4608" s="22" t="str">
        <f>HYPERLINK("https://app.vivvix.com/360/KMI/IntelliDrive/ApplUI/Pages/CreativePages/CustomReportCreativeDetail.aspx?App=23&amp;ReportView=4&amp;Qid=1711279&amp;Row=4600&amp;Col=1","No Title Assigned - #15269104828")</f>
        <v/>
      </c>
      <c r="B4608" s="0" t="s">
        <v>6378</v>
      </c>
      <c r="C4608" s="0" t="s">
        <v>6379</v>
      </c>
      <c r="D4608" s="0" t="s">
        <v>6379</v>
      </c>
      <c r="E4608" s="0" t="inlineStr">
        <is>
          <t xml:space="preserve">Mazda</t>
        </is>
      </c>
      <c r="F4608" s="0" t="inlineStr">
        <is>
          <t xml:space="preserve">Mazda</t>
        </is>
      </c>
      <c r="G4608" s="0" t="s">
        <v>171</v>
      </c>
      <c r="H4608" s="5">
        <v>2999.370900</v>
      </c>
    </row>
    <row r="4609" spans="1:9">
      <c r="A4609" s="22" t="str">
        <f>HYPERLINK("https://app.vivvix.com/360/KMI/IntelliDrive/ApplUI/Pages/CreativePages/CustomReportCreativeDetail.aspx?App=23&amp;ReportView=4&amp;Qid=1711279&amp;Row=4601&amp;Col=1","No Title Assigned - #15269104828")</f>
        <v/>
      </c>
      <c r="B4609" s="0" t="s">
        <v>6378</v>
      </c>
      <c r="E4609" s="0" t="inlineStr">
        <is>
          <t xml:space="preserve">Mazda</t>
        </is>
      </c>
      <c r="F4609" s="0" t="inlineStr">
        <is>
          <t xml:space="preserve">Mazda</t>
        </is>
      </c>
      <c r="G4609" s="0" t="s">
        <v>171</v>
      </c>
      <c r="H4609" s="5">
        <v>2620.441700</v>
      </c>
    </row>
    <row r="4610" spans="1:9">
      <c r="A4610" s="22" t="str">
        <f>HYPERLINK("https://app.vivvix.com/360/KMI/IntelliDrive/ApplUI/Pages/CreativePages/CustomReportCreativeDetail.aspx?App=23&amp;ReportView=4&amp;Qid=1711279&amp;Row=4602&amp;Col=1","No Title Assigned - #15269105142")</f>
        <v/>
      </c>
      <c r="B4610" s="0" t="s">
        <v>6380</v>
      </c>
      <c r="E4610" s="0" t="inlineStr">
        <is>
          <t xml:space="preserve">Mazda</t>
        </is>
      </c>
      <c r="F4610" s="0" t="inlineStr">
        <is>
          <t xml:space="preserve">Mazda</t>
        </is>
      </c>
      <c r="G4610" s="0" t="s">
        <v>171</v>
      </c>
      <c r="H4610" s="5">
        <v>28528.590700</v>
      </c>
    </row>
    <row r="4611" spans="1:9">
      <c r="A4611" s="22" t="str">
        <f>HYPERLINK("https://app.vivvix.com/360/KMI/IntelliDrive/ApplUI/Pages/CreativePages/CustomReportCreativeDetail.aspx?App=23&amp;ReportView=4&amp;Qid=1711279&amp;Row=4603&amp;Col=1","No Title Assigned - #15269105142")</f>
        <v/>
      </c>
      <c r="B4611" s="0" t="s">
        <v>6380</v>
      </c>
      <c r="E4611" s="0" t="inlineStr">
        <is>
          <t xml:space="preserve">Mazda</t>
        </is>
      </c>
      <c r="F4611" s="0" t="inlineStr">
        <is>
          <t xml:space="preserve">Mazda</t>
        </is>
      </c>
      <c r="G4611" s="0" t="s">
        <v>171</v>
      </c>
      <c r="H4611" s="5">
        <v>15368.213400</v>
      </c>
    </row>
    <row r="4612" spans="1:9">
      <c r="A4612" s="22" t="str">
        <f>HYPERLINK("https://app.vivvix.com/360/KMI/IntelliDrive/ApplUI/Pages/CreativePages/CustomReportCreativeDetail.aspx?App=23&amp;ReportView=4&amp;Qid=1711279&amp;Row=4604&amp;Col=1","No Title Assigned - #15269105476")</f>
        <v/>
      </c>
      <c r="B4612" s="0" t="s">
        <v>6381</v>
      </c>
      <c r="E4612" s="0" t="inlineStr">
        <is>
          <t xml:space="preserve">Mazda</t>
        </is>
      </c>
      <c r="F4612" s="0" t="inlineStr">
        <is>
          <t xml:space="preserve">Mazda</t>
        </is>
      </c>
      <c r="G4612" s="0" t="s">
        <v>171</v>
      </c>
      <c r="H4612" s="5">
        <v>566.870800</v>
      </c>
    </row>
    <row r="4613" spans="1:9">
      <c r="A4613" s="22" t="str">
        <f>HYPERLINK("https://app.vivvix.com/360/KMI/IntelliDrive/ApplUI/Pages/CreativePages/CustomReportCreativeDetail.aspx?App=23&amp;ReportView=4&amp;Qid=1711279&amp;Row=4605&amp;Col=1","No Title Assigned - #15269105634")</f>
        <v/>
      </c>
      <c r="B4613" s="0" t="s">
        <v>6382</v>
      </c>
      <c r="E4613" s="0" t="inlineStr">
        <is>
          <t xml:space="preserve">Mazda</t>
        </is>
      </c>
      <c r="F4613" s="0" t="inlineStr">
        <is>
          <t xml:space="preserve">Mazda</t>
        </is>
      </c>
      <c r="G4613" s="0" t="s">
        <v>171</v>
      </c>
      <c r="H4613" s="5">
        <v>167.923700</v>
      </c>
    </row>
    <row r="4614" spans="1:9">
      <c r="A4614" s="22" t="str">
        <f>HYPERLINK("https://app.vivvix.com/360/KMI/IntelliDrive/ApplUI/Pages/CreativePages/CustomReportCreativeDetail.aspx?App=23&amp;ReportView=4&amp;Qid=1711279&amp;Row=4606&amp;Col=1","No Title Assigned - #15269105884")</f>
        <v/>
      </c>
      <c r="B4614" s="0" t="s">
        <v>6383</v>
      </c>
      <c r="E4614" s="0" t="inlineStr">
        <is>
          <t xml:space="preserve">Mazda</t>
        </is>
      </c>
      <c r="F4614" s="0" t="inlineStr">
        <is>
          <t xml:space="preserve">Mazda</t>
        </is>
      </c>
      <c r="G4614" s="0" t="s">
        <v>171</v>
      </c>
      <c r="H4614" s="5">
        <v>4599.029100</v>
      </c>
    </row>
    <row r="4615" spans="1:9">
      <c r="A4615" s="22" t="str">
        <f>HYPERLINK("https://app.vivvix.com/360/KMI/IntelliDrive/ApplUI/Pages/CreativePages/CustomReportCreativeDetail.aspx?App=23&amp;ReportView=4&amp;Qid=1711279&amp;Row=4607&amp;Col=1","No Title Assigned - #15269105884")</f>
        <v/>
      </c>
      <c r="B4615" s="0" t="s">
        <v>6383</v>
      </c>
      <c r="E4615" s="0" t="inlineStr">
        <is>
          <t xml:space="preserve">Mazda</t>
        </is>
      </c>
      <c r="F4615" s="0" t="inlineStr">
        <is>
          <t xml:space="preserve">Mazda</t>
        </is>
      </c>
      <c r="G4615" s="0" t="s">
        <v>171</v>
      </c>
      <c r="H4615" s="5">
        <v>674.066200</v>
      </c>
    </row>
    <row r="4616" spans="1:9">
      <c r="A4616" s="22" t="str">
        <f>HYPERLINK("https://app.vivvix.com/360/KMI/IntelliDrive/ApplUI/Pages/CreativePages/CustomReportCreativeDetail.aspx?App=23&amp;ReportView=4&amp;Qid=1711279&amp;Row=4608&amp;Col=1","No Title Assigned - #15269105988")</f>
        <v/>
      </c>
      <c r="B4616" s="0" t="s">
        <v>6384</v>
      </c>
      <c r="E4616" s="0" t="inlineStr">
        <is>
          <t xml:space="preserve">Mazda</t>
        </is>
      </c>
      <c r="F4616" s="0" t="inlineStr">
        <is>
          <t xml:space="preserve">Mazda</t>
        </is>
      </c>
      <c r="G4616" s="0" t="s">
        <v>171</v>
      </c>
      <c r="H4616" s="5">
        <v>68.880200</v>
      </c>
    </row>
    <row r="4617" spans="1:9">
      <c r="A4617" s="22" t="str">
        <f>HYPERLINK("https://app.vivvix.com/360/KMI/IntelliDrive/ApplUI/Pages/CreativePages/CustomReportCreativeDetail.aspx?App=23&amp;ReportView=4&amp;Qid=1711279&amp;Row=4609&amp;Col=1","No Title Assigned - #15269106294")</f>
        <v/>
      </c>
      <c r="B4617" s="0" t="s">
        <v>6385</v>
      </c>
      <c r="E4617" s="0" t="inlineStr">
        <is>
          <t xml:space="preserve">Mazda</t>
        </is>
      </c>
      <c r="F4617" s="0" t="inlineStr">
        <is>
          <t xml:space="preserve">Mazda</t>
        </is>
      </c>
      <c r="G4617" s="0" t="s">
        <v>171</v>
      </c>
      <c r="H4617" s="5">
        <v>5533.376500</v>
      </c>
    </row>
    <row r="4618" spans="1:9">
      <c r="A4618" s="22" t="str">
        <f>HYPERLINK("https://app.vivvix.com/360/KMI/IntelliDrive/ApplUI/Pages/CreativePages/CustomReportCreativeDetail.aspx?App=23&amp;ReportView=4&amp;Qid=1711279&amp;Row=4610&amp;Col=1","No Title Assigned - #15269107283")</f>
        <v/>
      </c>
      <c r="B4618" s="0" t="s">
        <v>6386</v>
      </c>
      <c r="E4618" s="0" t="inlineStr">
        <is>
          <t xml:space="preserve">Mazda</t>
        </is>
      </c>
      <c r="F4618" s="0" t="inlineStr">
        <is>
          <t xml:space="preserve">Mazda</t>
        </is>
      </c>
      <c r="G4618" s="0" t="s">
        <v>171</v>
      </c>
      <c r="H4618" s="5">
        <v>47.203400</v>
      </c>
    </row>
    <row r="4619" spans="1:9">
      <c r="A4619" s="22" t="str">
        <f>HYPERLINK("https://app.vivvix.com/360/KMI/IntelliDrive/ApplUI/Pages/CreativePages/CustomReportCreativeDetail.aspx?App=23&amp;ReportView=4&amp;Qid=1711279&amp;Row=4611&amp;Col=1","No Title Assigned - #15269112417")</f>
        <v/>
      </c>
      <c r="B4619" s="0" t="s">
        <v>6387</v>
      </c>
      <c r="E4619" s="0" t="inlineStr">
        <is>
          <t xml:space="preserve">Mazda</t>
        </is>
      </c>
      <c r="F4619" s="0" t="inlineStr">
        <is>
          <t xml:space="preserve">Mazda</t>
        </is>
      </c>
      <c r="G4619" s="0" t="s">
        <v>171</v>
      </c>
      <c r="H4619" s="5">
        <v>22.700100</v>
      </c>
    </row>
    <row r="4620" spans="1:9">
      <c r="A4620" s="22" t="str">
        <f>HYPERLINK("https://app.vivvix.com/360/KMI/IntelliDrive/ApplUI/Pages/CreativePages/CustomReportCreativeDetail.aspx?App=23&amp;ReportView=4&amp;Qid=1711279&amp;Row=4612&amp;Col=1","No Title Assigned - #15269114895")</f>
        <v/>
      </c>
      <c r="B4620" s="0" t="s">
        <v>6388</v>
      </c>
      <c r="E4620" s="0" t="inlineStr">
        <is>
          <t xml:space="preserve">Mazda</t>
        </is>
      </c>
      <c r="F4620" s="0" t="inlineStr">
        <is>
          <t xml:space="preserve">Mazda</t>
        </is>
      </c>
      <c r="G4620" s="0" t="s">
        <v>171</v>
      </c>
      <c r="H4620" s="5">
        <v>616.675200</v>
      </c>
    </row>
    <row r="4621" spans="1:9">
      <c r="A4621" s="22" t="str">
        <f>HYPERLINK("https://app.vivvix.com/360/KMI/IntelliDrive/ApplUI/Pages/CreativePages/CustomReportCreativeDetail.aspx?App=23&amp;ReportView=4&amp;Qid=1711279&amp;Row=4613&amp;Col=1","No Title Assigned - #15269126039")</f>
        <v/>
      </c>
      <c r="B4621" s="0" t="s">
        <v>6389</v>
      </c>
      <c r="E4621" s="0" t="inlineStr">
        <is>
          <t xml:space="preserve">Mazda</t>
        </is>
      </c>
      <c r="F4621" s="0" t="inlineStr">
        <is>
          <t xml:space="preserve">Mazda</t>
        </is>
      </c>
      <c r="G4621" s="0" t="s">
        <v>171</v>
      </c>
      <c r="H4621" s="5">
        <v>1058.348000</v>
      </c>
    </row>
    <row r="4622" spans="1:9">
      <c r="A4622" s="22" t="str">
        <f>HYPERLINK("https://app.vivvix.com/360/KMI/IntelliDrive/ApplUI/Pages/CreativePages/CustomReportCreativeDetail.aspx?App=23&amp;ReportView=4&amp;Qid=1711279&amp;Row=4614&amp;Col=1","No Title Assigned - #15269127197")</f>
        <v/>
      </c>
      <c r="B4622" s="0" t="s">
        <v>6390</v>
      </c>
      <c r="E4622" s="0" t="inlineStr">
        <is>
          <t xml:space="preserve">Mazda</t>
        </is>
      </c>
      <c r="F4622" s="0" t="inlineStr">
        <is>
          <t xml:space="preserve">Mazda</t>
        </is>
      </c>
      <c r="G4622" s="0" t="s">
        <v>171</v>
      </c>
      <c r="H4622" s="5">
        <v>2249.674500</v>
      </c>
    </row>
    <row r="4623" spans="1:9">
      <c r="A4623" s="22" t="str">
        <f>HYPERLINK("https://app.vivvix.com/360/KMI/IntelliDrive/ApplUI/Pages/CreativePages/CustomReportCreativeDetail.aspx?App=23&amp;ReportView=4&amp;Qid=1711279&amp;Row=4615&amp;Col=1","No Title Assigned - #15269128070")</f>
        <v/>
      </c>
      <c r="B4623" s="0" t="s">
        <v>6391</v>
      </c>
      <c r="E4623" s="0" t="inlineStr">
        <is>
          <t xml:space="preserve">Mazda</t>
        </is>
      </c>
      <c r="F4623" s="0" t="inlineStr">
        <is>
          <t xml:space="preserve">Mazda</t>
        </is>
      </c>
      <c r="G4623" s="0" t="s">
        <v>171</v>
      </c>
      <c r="H4623" s="5">
        <v>82.261200</v>
      </c>
    </row>
    <row r="4624" spans="1:9">
      <c r="A4624" s="22" t="str">
        <f>HYPERLINK("https://app.vivvix.com/360/KMI/IntelliDrive/ApplUI/Pages/CreativePages/CustomReportCreativeDetail.aspx?App=23&amp;ReportView=4&amp;Qid=1711279&amp;Row=4616&amp;Col=1","No Title Assigned - #15269128801")</f>
        <v/>
      </c>
      <c r="B4624" s="0" t="s">
        <v>6392</v>
      </c>
      <c r="E4624" s="0" t="inlineStr">
        <is>
          <t xml:space="preserve">Mazda</t>
        </is>
      </c>
      <c r="F4624" s="0" t="inlineStr">
        <is>
          <t xml:space="preserve">Mazda</t>
        </is>
      </c>
      <c r="G4624" s="0" t="s">
        <v>171</v>
      </c>
      <c r="H4624" s="5">
        <v>1321.982700</v>
      </c>
    </row>
    <row r="4625" spans="1:9">
      <c r="A4625" s="22" t="str">
        <f>HYPERLINK("https://app.vivvix.com/360/KMI/IntelliDrive/ApplUI/Pages/CreativePages/CustomReportCreativeDetail.aspx?App=23&amp;ReportView=4&amp;Qid=1711279&amp;Row=4617&amp;Col=1","No Title Assigned - #15269133653")</f>
        <v/>
      </c>
      <c r="B4625" s="0" t="s">
        <v>6393</v>
      </c>
      <c r="E4625" s="0" t="inlineStr">
        <is>
          <t xml:space="preserve">Mazda</t>
        </is>
      </c>
      <c r="F4625" s="0" t="inlineStr">
        <is>
          <t xml:space="preserve">Mazda</t>
        </is>
      </c>
      <c r="G4625" s="0" t="s">
        <v>171</v>
      </c>
      <c r="H4625" s="5">
        <v>1081.959000</v>
      </c>
    </row>
    <row r="4626" spans="1:9">
      <c r="A4626" s="22" t="str">
        <f>HYPERLINK("https://app.vivvix.com/360/KMI/IntelliDrive/ApplUI/Pages/CreativePages/CustomReportCreativeDetail.aspx?App=23&amp;ReportView=4&amp;Qid=1711279&amp;Row=4618&amp;Col=1","No Title Assigned - #15269134316")</f>
        <v/>
      </c>
      <c r="B4626" s="0" t="s">
        <v>6394</v>
      </c>
      <c r="E4626" s="0" t="inlineStr">
        <is>
          <t xml:space="preserve">Mazda</t>
        </is>
      </c>
      <c r="F4626" s="0" t="s">
        <v>21</v>
      </c>
      <c r="G4626" s="0" t="s">
        <v>22</v>
      </c>
      <c r="H4626" s="5">
        <v>224.753900</v>
      </c>
    </row>
    <row r="4627" spans="1:9">
      <c r="A4627" s="22" t="str">
        <f>HYPERLINK("https://app.vivvix.com/360/KMI/IntelliDrive/ApplUI/Pages/CreativePages/CustomReportCreativeDetail.aspx?App=23&amp;ReportView=4&amp;Qid=1711279&amp;Row=4619&amp;Col=1","No Title Assigned - #15269137120")</f>
        <v/>
      </c>
      <c r="B4627" s="0" t="s">
        <v>6395</v>
      </c>
      <c r="E4627" s="0" t="inlineStr">
        <is>
          <t xml:space="preserve">Mazda</t>
        </is>
      </c>
      <c r="F4627" s="0" t="inlineStr">
        <is>
          <t xml:space="preserve">Mazda</t>
        </is>
      </c>
      <c r="G4627" s="0" t="s">
        <v>171</v>
      </c>
      <c r="H4627" s="5">
        <v>1780.521700</v>
      </c>
    </row>
    <row r="4628" spans="1:9">
      <c r="A4628" s="22" t="str">
        <f>HYPERLINK("https://app.vivvix.com/360/KMI/IntelliDrive/ApplUI/Pages/CreativePages/CustomReportCreativeDetail.aspx?App=23&amp;ReportView=4&amp;Qid=1711279&amp;Row=4620&amp;Col=1","No Title Assigned - #15269138324")</f>
        <v/>
      </c>
      <c r="B4628" s="0" t="s">
        <v>6396</v>
      </c>
      <c r="E4628" s="0" t="inlineStr">
        <is>
          <t xml:space="preserve">Mazda</t>
        </is>
      </c>
      <c r="F4628" s="0" t="inlineStr">
        <is>
          <t xml:space="preserve">Mazda</t>
        </is>
      </c>
      <c r="G4628" s="0" t="s">
        <v>171</v>
      </c>
      <c r="H4628" s="5">
        <v>1041.038100</v>
      </c>
    </row>
    <row r="4629" spans="1:9">
      <c r="A4629" s="22" t="str">
        <f>HYPERLINK("https://app.vivvix.com/360/KMI/IntelliDrive/ApplUI/Pages/CreativePages/CustomReportCreativeDetail.aspx?App=23&amp;ReportView=4&amp;Qid=1711279&amp;Row=4621&amp;Col=1","No Title Assigned - #15269144799")</f>
        <v/>
      </c>
      <c r="B4629" s="0" t="s">
        <v>6397</v>
      </c>
      <c r="E4629" s="0" t="inlineStr">
        <is>
          <t xml:space="preserve">Mazda</t>
        </is>
      </c>
      <c r="F4629" s="0" t="inlineStr">
        <is>
          <t xml:space="preserve">Mazda</t>
        </is>
      </c>
      <c r="G4629" s="0" t="s">
        <v>171</v>
      </c>
      <c r="H4629" s="5">
        <v>74.420900</v>
      </c>
    </row>
    <row r="4630" spans="1:9">
      <c r="A4630" s="22" t="str">
        <f>HYPERLINK("https://app.vivvix.com/360/KMI/IntelliDrive/ApplUI/Pages/CreativePages/CustomReportCreativeDetail.aspx?App=23&amp;ReportView=4&amp;Qid=1711279&amp;Row=4622&amp;Col=1","No Title Assigned - #15269146157")</f>
        <v/>
      </c>
      <c r="B4630" s="0" t="s">
        <v>6398</v>
      </c>
      <c r="E4630" s="0" t="inlineStr">
        <is>
          <t xml:space="preserve">Mazda</t>
        </is>
      </c>
      <c r="F4630" s="0" t="inlineStr">
        <is>
          <t xml:space="preserve">Mazda</t>
        </is>
      </c>
      <c r="G4630" s="0" t="s">
        <v>171</v>
      </c>
      <c r="H4630" s="5">
        <v>145.918300</v>
      </c>
    </row>
    <row r="4631" spans="1:9">
      <c r="A4631" s="22" t="str">
        <f>HYPERLINK("https://app.vivvix.com/360/KMI/IntelliDrive/ApplUI/Pages/CreativePages/CustomReportCreativeDetail.aspx?App=23&amp;ReportView=4&amp;Qid=1711279&amp;Row=4623&amp;Col=1","No Title Assigned - #15269149437")</f>
        <v/>
      </c>
      <c r="B4631" s="0" t="s">
        <v>6399</v>
      </c>
      <c r="C4631" s="0" t="s">
        <v>6400</v>
      </c>
      <c r="D4631" s="0" t="s">
        <v>6400</v>
      </c>
      <c r="E4631" s="0" t="inlineStr">
        <is>
          <t xml:space="preserve">Mazda</t>
        </is>
      </c>
      <c r="F4631" s="0" t="inlineStr">
        <is>
          <t xml:space="preserve">Mazda</t>
        </is>
      </c>
      <c r="G4631" s="0" t="s">
        <v>171</v>
      </c>
      <c r="H4631" s="5">
        <v>2237.188800</v>
      </c>
    </row>
    <row r="4632" spans="1:9">
      <c r="A4632" s="22" t="str">
        <f>HYPERLINK("https://app.vivvix.com/360/KMI/IntelliDrive/ApplUI/Pages/CreativePages/CustomReportCreativeDetail.aspx?App=23&amp;ReportView=4&amp;Qid=1711279&amp;Row=4624&amp;Col=1","No Title Assigned - #15269149437")</f>
        <v/>
      </c>
      <c r="B4632" s="0" t="s">
        <v>6399</v>
      </c>
      <c r="E4632" s="0" t="inlineStr">
        <is>
          <t xml:space="preserve">Mazda</t>
        </is>
      </c>
      <c r="F4632" s="0" t="inlineStr">
        <is>
          <t xml:space="preserve">Mazda</t>
        </is>
      </c>
      <c r="G4632" s="0" t="s">
        <v>171</v>
      </c>
      <c r="H4632" s="5">
        <v>186.023700</v>
      </c>
    </row>
    <row r="4633" spans="1:9">
      <c r="A4633" s="22" t="str">
        <f>HYPERLINK("https://app.vivvix.com/360/KMI/IntelliDrive/ApplUI/Pages/CreativePages/CustomReportCreativeDetail.aspx?App=23&amp;ReportView=4&amp;Qid=1711279&amp;Row=4625&amp;Col=1","No Title Assigned - #15269150242")</f>
        <v/>
      </c>
      <c r="B4633" s="0" t="s">
        <v>6401</v>
      </c>
      <c r="E4633" s="0" t="inlineStr">
        <is>
          <t xml:space="preserve">Mazda</t>
        </is>
      </c>
      <c r="F4633" s="0" t="inlineStr">
        <is>
          <t xml:space="preserve">Mazda</t>
        </is>
      </c>
      <c r="G4633" s="0" t="s">
        <v>171</v>
      </c>
      <c r="H4633" s="5">
        <v>5.039100</v>
      </c>
    </row>
    <row r="4634" spans="1:9">
      <c r="A4634" s="22" t="str">
        <f>HYPERLINK("https://app.vivvix.com/360/KMI/IntelliDrive/ApplUI/Pages/CreativePages/CustomReportCreativeDetail.aspx?App=23&amp;ReportView=4&amp;Qid=1711279&amp;Row=4626&amp;Col=1","No Title Assigned - #15269152030")</f>
        <v/>
      </c>
      <c r="B4634" s="0" t="s">
        <v>6402</v>
      </c>
      <c r="E4634" s="0" t="inlineStr">
        <is>
          <t xml:space="preserve">Mazda</t>
        </is>
      </c>
      <c r="F4634" s="0" t="inlineStr">
        <is>
          <t xml:space="preserve">Mazda</t>
        </is>
      </c>
      <c r="G4634" s="0" t="s">
        <v>171</v>
      </c>
      <c r="H4634" s="5">
        <v>22.700100</v>
      </c>
    </row>
    <row r="4635" spans="1:9">
      <c r="A4635" s="22" t="str">
        <f>HYPERLINK("https://app.vivvix.com/360/KMI/IntelliDrive/ApplUI/Pages/CreativePages/CustomReportCreativeDetail.aspx?App=23&amp;ReportView=4&amp;Qid=1711279&amp;Row=4627&amp;Col=1","No Title Assigned - #15269153762")</f>
        <v/>
      </c>
      <c r="B4635" s="0" t="s">
        <v>6403</v>
      </c>
      <c r="C4635" s="0" t="s">
        <v>6404</v>
      </c>
      <c r="D4635" s="0" t="s">
        <v>6404</v>
      </c>
      <c r="E4635" s="0" t="inlineStr">
        <is>
          <t xml:space="preserve">Mazda</t>
        </is>
      </c>
      <c r="F4635" s="0" t="s">
        <v>13</v>
      </c>
      <c r="G4635" s="0" t="s">
        <v>49</v>
      </c>
      <c r="H4635" s="5">
        <v>28792.573200</v>
      </c>
    </row>
    <row r="4636" spans="1:9">
      <c r="A4636" s="22" t="str">
        <f>HYPERLINK("https://app.vivvix.com/360/KMI/IntelliDrive/ApplUI/Pages/CreativePages/CustomReportCreativeDetail.aspx?App=23&amp;ReportView=4&amp;Qid=1711279&amp;Row=4628&amp;Col=1","No Title Assigned - #15269153762")</f>
        <v/>
      </c>
      <c r="B4636" s="0" t="s">
        <v>6403</v>
      </c>
      <c r="E4636" s="0" t="inlineStr">
        <is>
          <t xml:space="preserve">Mazda</t>
        </is>
      </c>
      <c r="F4636" s="0" t="s">
        <v>13</v>
      </c>
      <c r="G4636" s="0" t="s">
        <v>49</v>
      </c>
      <c r="H4636" s="5">
        <v>56497.553800</v>
      </c>
    </row>
    <row r="4637" spans="1:9">
      <c r="A4637" s="22" t="str">
        <f>HYPERLINK("https://app.vivvix.com/360/KMI/IntelliDrive/ApplUI/Pages/CreativePages/CustomReportCreativeDetail.aspx?App=23&amp;ReportView=4&amp;Qid=1711279&amp;Row=4629&amp;Col=1","No Title Assigned - #15269158083")</f>
        <v/>
      </c>
      <c r="B4637" s="0" t="s">
        <v>6405</v>
      </c>
      <c r="E4637" s="0" t="inlineStr">
        <is>
          <t xml:space="preserve">Mazda</t>
        </is>
      </c>
      <c r="F4637" s="0" t="s">
        <v>21</v>
      </c>
      <c r="G4637" s="0" t="s">
        <v>22</v>
      </c>
      <c r="H4637" s="5">
        <v>428.820500</v>
      </c>
    </row>
    <row r="4638" spans="1:9">
      <c r="A4638" s="22" t="str">
        <f>HYPERLINK("https://app.vivvix.com/360/KMI/IntelliDrive/ApplUI/Pages/CreativePages/CustomReportCreativeDetail.aspx?App=23&amp;ReportView=4&amp;Qid=1711279&amp;Row=4630&amp;Col=1","No Title Assigned - #15269159168")</f>
        <v/>
      </c>
      <c r="B4638" s="0" t="s">
        <v>6406</v>
      </c>
      <c r="E4638" s="0" t="inlineStr">
        <is>
          <t xml:space="preserve">Mazda</t>
        </is>
      </c>
      <c r="F4638" s="0" t="inlineStr">
        <is>
          <t xml:space="preserve">Mazda</t>
        </is>
      </c>
      <c r="G4638" s="0" t="s">
        <v>171</v>
      </c>
      <c r="H4638" s="5">
        <v>20118.841100</v>
      </c>
    </row>
    <row r="4639" spans="1:9">
      <c r="A4639" s="22" t="str">
        <f>HYPERLINK("https://app.vivvix.com/360/KMI/IntelliDrive/ApplUI/Pages/CreativePages/CustomReportCreativeDetail.aspx?App=23&amp;ReportView=4&amp;Qid=1711279&amp;Row=4631&amp;Col=1","No Title Assigned - #15269159456")</f>
        <v/>
      </c>
      <c r="B4639" s="0" t="s">
        <v>6407</v>
      </c>
      <c r="E4639" s="0" t="inlineStr">
        <is>
          <t xml:space="preserve">Mazda</t>
        </is>
      </c>
      <c r="F4639" s="0" t="inlineStr">
        <is>
          <t xml:space="preserve">Mazda</t>
        </is>
      </c>
      <c r="G4639" s="0" t="s">
        <v>171</v>
      </c>
      <c r="H4639" s="5">
        <v>9930.026300</v>
      </c>
    </row>
    <row r="4640" spans="1:9">
      <c r="A4640" s="22" t="str">
        <f>HYPERLINK("https://app.vivvix.com/360/KMI/IntelliDrive/ApplUI/Pages/CreativePages/CustomReportCreativeDetail.aspx?App=23&amp;ReportView=4&amp;Qid=1711279&amp;Row=4632&amp;Col=1","No Title Assigned - #15269159456")</f>
        <v/>
      </c>
      <c r="B4640" s="0" t="s">
        <v>6407</v>
      </c>
      <c r="E4640" s="0" t="inlineStr">
        <is>
          <t xml:space="preserve">Mazda</t>
        </is>
      </c>
      <c r="F4640" s="0" t="inlineStr">
        <is>
          <t xml:space="preserve">Mazda</t>
        </is>
      </c>
      <c r="G4640" s="0" t="s">
        <v>171</v>
      </c>
      <c r="H4640" s="5">
        <v>2.620900</v>
      </c>
    </row>
    <row r="4641" spans="1:9">
      <c r="A4641" s="22" t="str">
        <f>HYPERLINK("https://app.vivvix.com/360/KMI/IntelliDrive/ApplUI/Pages/CreativePages/CustomReportCreativeDetail.aspx?App=23&amp;ReportView=4&amp;Qid=1711279&amp;Row=4633&amp;Col=1","No Title Assigned - #15269160001")</f>
        <v/>
      </c>
      <c r="B4641" s="0" t="s">
        <v>6408</v>
      </c>
      <c r="E4641" s="0" t="inlineStr">
        <is>
          <t xml:space="preserve">Mazda</t>
        </is>
      </c>
      <c r="F4641" s="0" t="inlineStr">
        <is>
          <t xml:space="preserve">Mazda</t>
        </is>
      </c>
      <c r="G4641" s="0" t="s">
        <v>171</v>
      </c>
      <c r="H4641" s="5">
        <v>46.807900</v>
      </c>
    </row>
    <row r="4642" spans="1:9">
      <c r="A4642" s="22" t="str">
        <f>HYPERLINK("https://app.vivvix.com/360/KMI/IntelliDrive/ApplUI/Pages/CreativePages/CustomReportCreativeDetail.aspx?App=23&amp;ReportView=4&amp;Qid=1711279&amp;Row=4634&amp;Col=1","No Title Assigned - #15269160001")</f>
        <v/>
      </c>
      <c r="B4642" s="0" t="s">
        <v>6408</v>
      </c>
      <c r="E4642" s="0" t="inlineStr">
        <is>
          <t xml:space="preserve">Mazda</t>
        </is>
      </c>
      <c r="F4642" s="0" t="inlineStr">
        <is>
          <t xml:space="preserve">Mazda</t>
        </is>
      </c>
      <c r="G4642" s="0" t="s">
        <v>171</v>
      </c>
      <c r="H4642" s="5">
        <v>57.691000</v>
      </c>
    </row>
    <row r="4643" spans="1:9">
      <c r="A4643" s="22" t="str">
        <f>HYPERLINK("https://app.vivvix.com/360/KMI/IntelliDrive/ApplUI/Pages/CreativePages/CustomReportCreativeDetail.aspx?App=23&amp;ReportView=4&amp;Qid=1711279&amp;Row=4635&amp;Col=1","No Title Assigned - #15269160171")</f>
        <v/>
      </c>
      <c r="B4643" s="0" t="s">
        <v>6409</v>
      </c>
      <c r="E4643" s="0" t="inlineStr">
        <is>
          <t xml:space="preserve">Mazda</t>
        </is>
      </c>
      <c r="F4643" s="0" t="inlineStr">
        <is>
          <t xml:space="preserve">Mazda</t>
        </is>
      </c>
      <c r="G4643" s="0" t="s">
        <v>171</v>
      </c>
      <c r="H4643" s="5">
        <v>3.232500</v>
      </c>
    </row>
    <row r="4644" spans="1:9">
      <c r="A4644" s="22" t="str">
        <f>HYPERLINK("https://app.vivvix.com/360/KMI/IntelliDrive/ApplUI/Pages/CreativePages/CustomReportCreativeDetail.aspx?App=23&amp;ReportView=4&amp;Qid=1711279&amp;Row=4636&amp;Col=1","No Title Assigned - #15269160321")</f>
        <v/>
      </c>
      <c r="B4644" s="0" t="s">
        <v>6410</v>
      </c>
      <c r="E4644" s="0" t="inlineStr">
        <is>
          <t xml:space="preserve">Mazda</t>
        </is>
      </c>
      <c r="F4644" s="0" t="inlineStr">
        <is>
          <t xml:space="preserve">Mazda</t>
        </is>
      </c>
      <c r="G4644" s="0" t="s">
        <v>171</v>
      </c>
      <c r="H4644" s="5">
        <v>12.036800</v>
      </c>
    </row>
    <row r="4645" spans="1:9">
      <c r="A4645" s="22" t="str">
        <f>HYPERLINK("https://app.vivvix.com/360/KMI/IntelliDrive/ApplUI/Pages/CreativePages/CustomReportCreativeDetail.aspx?App=23&amp;ReportView=4&amp;Qid=1711279&amp;Row=4637&amp;Col=1","No Title Assigned - #15269162059")</f>
        <v/>
      </c>
      <c r="B4645" s="0" t="s">
        <v>6411</v>
      </c>
      <c r="C4645" s="0" t="s">
        <v>6412</v>
      </c>
      <c r="D4645" s="0" t="s">
        <v>6412</v>
      </c>
      <c r="E4645" s="0" t="inlineStr">
        <is>
          <t xml:space="preserve">Mazda</t>
        </is>
      </c>
      <c r="F4645" s="0" t="s">
        <v>17</v>
      </c>
      <c r="G4645" s="0" t="s">
        <v>33</v>
      </c>
      <c r="H4645" s="5">
        <v>4203.739800</v>
      </c>
    </row>
    <row r="4646" spans="1:9">
      <c r="A4646" s="22" t="str">
        <f>HYPERLINK("https://app.vivvix.com/360/KMI/IntelliDrive/ApplUI/Pages/CreativePages/CustomReportCreativeDetail.aspx?App=23&amp;ReportView=4&amp;Qid=1711279&amp;Row=4638&amp;Col=1","No Title Assigned - #15269162121")</f>
        <v/>
      </c>
      <c r="B4646" s="0" t="s">
        <v>6413</v>
      </c>
      <c r="C4646" s="0" t="s">
        <v>6414</v>
      </c>
      <c r="D4646" s="0" t="s">
        <v>6412</v>
      </c>
      <c r="E4646" s="0" t="inlineStr">
        <is>
          <t xml:space="preserve">Mazda</t>
        </is>
      </c>
      <c r="F4646" s="0" t="s">
        <v>17</v>
      </c>
      <c r="G4646" s="0" t="s">
        <v>33</v>
      </c>
      <c r="H4646" s="5">
        <v>1232.428400</v>
      </c>
    </row>
    <row r="4647" spans="1:9">
      <c r="A4647" s="22" t="str">
        <f>HYPERLINK("https://app.vivvix.com/360/KMI/IntelliDrive/ApplUI/Pages/CreativePages/CustomReportCreativeDetail.aspx?App=23&amp;ReportView=4&amp;Qid=1711279&amp;Row=4639&amp;Col=1","No Title Assigned - #15269162666")</f>
        <v/>
      </c>
      <c r="B4647" s="0" t="s">
        <v>6415</v>
      </c>
      <c r="C4647" s="0" t="s">
        <v>6416</v>
      </c>
      <c r="D4647" s="0" t="s">
        <v>6416</v>
      </c>
      <c r="E4647" s="0" t="inlineStr">
        <is>
          <t xml:space="preserve">Mazda</t>
        </is>
      </c>
      <c r="F4647" s="0" t="s">
        <v>13</v>
      </c>
      <c r="G4647" s="0" t="s">
        <v>49</v>
      </c>
      <c r="H4647" s="5">
        <v>4095.148000</v>
      </c>
    </row>
    <row r="4648" spans="1:9">
      <c r="A4648" s="22" t="str">
        <f>HYPERLINK("https://app.vivvix.com/360/KMI/IntelliDrive/ApplUI/Pages/CreativePages/CustomReportCreativeDetail.aspx?App=23&amp;ReportView=4&amp;Qid=1711279&amp;Row=4640&amp;Col=1","No Title Assigned - #15269162666")</f>
        <v/>
      </c>
      <c r="B4648" s="0" t="s">
        <v>6415</v>
      </c>
      <c r="E4648" s="0" t="inlineStr">
        <is>
          <t xml:space="preserve">Mazda</t>
        </is>
      </c>
      <c r="F4648" s="0" t="s">
        <v>13</v>
      </c>
      <c r="G4648" s="0" t="s">
        <v>49</v>
      </c>
      <c r="H4648" s="5">
        <v>9683.956500</v>
      </c>
    </row>
    <row r="4649" spans="1:9">
      <c r="A4649" s="22" t="str">
        <f>HYPERLINK("https://app.vivvix.com/360/KMI/IntelliDrive/ApplUI/Pages/CreativePages/CustomReportCreativeDetail.aspx?App=23&amp;ReportView=4&amp;Qid=1711279&amp;Row=4641&amp;Col=1","No Title Assigned - #15269162667")</f>
        <v/>
      </c>
      <c r="B4649" s="0" t="s">
        <v>6417</v>
      </c>
      <c r="C4649" s="0" t="s">
        <v>6418</v>
      </c>
      <c r="D4649" s="0" t="s">
        <v>4774</v>
      </c>
      <c r="E4649" s="0" t="inlineStr">
        <is>
          <t xml:space="preserve">Mazda</t>
        </is>
      </c>
      <c r="F4649" s="0" t="s">
        <v>13</v>
      </c>
      <c r="G4649" s="0" t="s">
        <v>49</v>
      </c>
      <c r="H4649" s="5">
        <v>1980.890800</v>
      </c>
    </row>
    <row r="4650" spans="1:9">
      <c r="A4650" s="22" t="str">
        <f>HYPERLINK("https://app.vivvix.com/360/KMI/IntelliDrive/ApplUI/Pages/CreativePages/CustomReportCreativeDetail.aspx?App=23&amp;ReportView=4&amp;Qid=1711279&amp;Row=4642&amp;Col=1","No Title Assigned - #15269162667")</f>
        <v/>
      </c>
      <c r="B4650" s="0" t="s">
        <v>6417</v>
      </c>
      <c r="E4650" s="0" t="inlineStr">
        <is>
          <t xml:space="preserve">Mazda</t>
        </is>
      </c>
      <c r="F4650" s="0" t="s">
        <v>13</v>
      </c>
      <c r="G4650" s="0" t="s">
        <v>49</v>
      </c>
      <c r="H4650" s="5">
        <v>3912.810200</v>
      </c>
    </row>
    <row r="4651" spans="1:9">
      <c r="A4651" s="22" t="str">
        <f>HYPERLINK("https://app.vivvix.com/360/KMI/IntelliDrive/ApplUI/Pages/CreativePages/CustomReportCreativeDetail.aspx?App=23&amp;ReportView=4&amp;Qid=1711279&amp;Row=4643&amp;Col=1","No Title Assigned - #15269162676")</f>
        <v/>
      </c>
      <c r="B4651" s="0" t="s">
        <v>6419</v>
      </c>
      <c r="C4651" s="0" t="s">
        <v>6420</v>
      </c>
      <c r="D4651" s="0" t="s">
        <v>6420</v>
      </c>
      <c r="E4651" s="0" t="inlineStr">
        <is>
          <t xml:space="preserve">Mazda</t>
        </is>
      </c>
      <c r="F4651" s="0" t="s">
        <v>13</v>
      </c>
      <c r="G4651" s="0" t="s">
        <v>49</v>
      </c>
      <c r="H4651" s="5">
        <v>1340.483500</v>
      </c>
    </row>
    <row r="4652" spans="1:9">
      <c r="A4652" s="22" t="str">
        <f>HYPERLINK("https://app.vivvix.com/360/KMI/IntelliDrive/ApplUI/Pages/CreativePages/CustomReportCreativeDetail.aspx?App=23&amp;ReportView=4&amp;Qid=1711279&amp;Row=4644&amp;Col=1","No Title Assigned - #15269162676")</f>
        <v/>
      </c>
      <c r="B4652" s="0" t="s">
        <v>6419</v>
      </c>
      <c r="E4652" s="0" t="inlineStr">
        <is>
          <t xml:space="preserve">Mazda</t>
        </is>
      </c>
      <c r="F4652" s="0" t="s">
        <v>13</v>
      </c>
      <c r="G4652" s="0" t="s">
        <v>49</v>
      </c>
      <c r="H4652" s="5">
        <v>656.395100</v>
      </c>
    </row>
    <row r="4653" spans="1:9">
      <c r="A4653" s="22" t="str">
        <f>HYPERLINK("https://app.vivvix.com/360/KMI/IntelliDrive/ApplUI/Pages/CreativePages/CustomReportCreativeDetail.aspx?App=23&amp;ReportView=4&amp;Qid=1711279&amp;Row=4645&amp;Col=1","No Title Assigned - #15269164345")</f>
        <v/>
      </c>
      <c r="B4653" s="0" t="s">
        <v>6421</v>
      </c>
      <c r="E4653" s="0" t="inlineStr">
        <is>
          <t xml:space="preserve">Mazda</t>
        </is>
      </c>
      <c r="F4653" s="0" t="inlineStr">
        <is>
          <t xml:space="preserve">Mazda</t>
        </is>
      </c>
      <c r="G4653" s="0" t="s">
        <v>171</v>
      </c>
      <c r="H4653" s="5">
        <v>12.405700</v>
      </c>
    </row>
    <row r="4654" spans="1:9">
      <c r="A4654" s="22" t="str">
        <f>HYPERLINK("https://app.vivvix.com/360/KMI/IntelliDrive/ApplUI/Pages/CreativePages/CustomReportCreativeDetail.aspx?App=23&amp;ReportView=4&amp;Qid=1711279&amp;Row=4646&amp;Col=1","No Title Assigned - #15269164578")</f>
        <v/>
      </c>
      <c r="B4654" s="0" t="s">
        <v>6422</v>
      </c>
      <c r="E4654" s="0" t="inlineStr">
        <is>
          <t xml:space="preserve">Mazda</t>
        </is>
      </c>
      <c r="F4654" s="0" t="inlineStr">
        <is>
          <t xml:space="preserve">Mazda</t>
        </is>
      </c>
      <c r="G4654" s="0" t="s">
        <v>171</v>
      </c>
      <c r="H4654" s="5">
        <v>764.504500</v>
      </c>
    </row>
    <row r="4655" spans="1:9">
      <c r="A4655" s="22" t="str">
        <f>HYPERLINK("https://app.vivvix.com/360/KMI/IntelliDrive/ApplUI/Pages/CreativePages/CustomReportCreativeDetail.aspx?App=23&amp;ReportView=4&amp;Qid=1711279&amp;Row=4647&amp;Col=1","No Title Assigned - #15269164578")</f>
        <v/>
      </c>
      <c r="B4655" s="0" t="s">
        <v>6422</v>
      </c>
      <c r="E4655" s="0" t="inlineStr">
        <is>
          <t xml:space="preserve">Mazda</t>
        </is>
      </c>
      <c r="F4655" s="0" t="inlineStr">
        <is>
          <t xml:space="preserve">Mazda</t>
        </is>
      </c>
      <c r="G4655" s="0" t="s">
        <v>171</v>
      </c>
      <c r="H4655" s="5">
        <v>266.368500</v>
      </c>
    </row>
    <row r="4656" spans="1:9">
      <c r="A4656" s="22" t="str">
        <f>HYPERLINK("https://app.vivvix.com/360/KMI/IntelliDrive/ApplUI/Pages/CreativePages/CustomReportCreativeDetail.aspx?App=23&amp;ReportView=4&amp;Qid=1711279&amp;Row=4648&amp;Col=1","No Title Assigned - #15269164780")</f>
        <v/>
      </c>
      <c r="B4656" s="0" t="s">
        <v>6423</v>
      </c>
      <c r="E4656" s="0" t="inlineStr">
        <is>
          <t xml:space="preserve">Mazda</t>
        </is>
      </c>
      <c r="F4656" s="0" t="inlineStr">
        <is>
          <t xml:space="preserve">Mazda</t>
        </is>
      </c>
      <c r="G4656" s="0" t="s">
        <v>171</v>
      </c>
      <c r="H4656" s="5">
        <v>3690.301800</v>
      </c>
    </row>
    <row r="4657" spans="1:9">
      <c r="A4657" s="22" t="str">
        <f>HYPERLINK("https://app.vivvix.com/360/KMI/IntelliDrive/ApplUI/Pages/CreativePages/CustomReportCreativeDetail.aspx?App=23&amp;ReportView=4&amp;Qid=1711279&amp;Row=4649&amp;Col=1","No Title Assigned - #15269164870")</f>
        <v/>
      </c>
      <c r="B4657" s="0" t="s">
        <v>6424</v>
      </c>
      <c r="E4657" s="0" t="inlineStr">
        <is>
          <t xml:space="preserve">Mazda</t>
        </is>
      </c>
      <c r="F4657" s="0" t="inlineStr">
        <is>
          <t xml:space="preserve">Mazda</t>
        </is>
      </c>
      <c r="G4657" s="0" t="s">
        <v>171</v>
      </c>
      <c r="H4657" s="5">
        <v>189.686100</v>
      </c>
    </row>
    <row r="4658" spans="1:9">
      <c r="A4658" s="22" t="str">
        <f>HYPERLINK("https://app.vivvix.com/360/KMI/IntelliDrive/ApplUI/Pages/CreativePages/CustomReportCreativeDetail.aspx?App=23&amp;ReportView=4&amp;Qid=1711279&amp;Row=4650&amp;Col=1","No Title Assigned - #15269165065")</f>
        <v/>
      </c>
      <c r="B4658" s="0" t="s">
        <v>6425</v>
      </c>
      <c r="E4658" s="0" t="inlineStr">
        <is>
          <t xml:space="preserve">Mazda</t>
        </is>
      </c>
      <c r="F4658" s="0" t="inlineStr">
        <is>
          <t xml:space="preserve">Mazda</t>
        </is>
      </c>
      <c r="G4658" s="0" t="s">
        <v>171</v>
      </c>
      <c r="H4658" s="5">
        <v>10627.412600</v>
      </c>
    </row>
    <row r="4659" spans="1:9">
      <c r="A4659" s="22" t="str">
        <f>HYPERLINK("https://app.vivvix.com/360/KMI/IntelliDrive/ApplUI/Pages/CreativePages/CustomReportCreativeDetail.aspx?App=23&amp;ReportView=4&amp;Qid=1711279&amp;Row=4651&amp;Col=1","No Title Assigned - #15269165065")</f>
        <v/>
      </c>
      <c r="B4659" s="0" t="s">
        <v>6425</v>
      </c>
      <c r="C4659" s="0" t="s">
        <v>6426</v>
      </c>
      <c r="D4659" s="0" t="s">
        <v>6426</v>
      </c>
      <c r="E4659" s="0" t="inlineStr">
        <is>
          <t xml:space="preserve">Mazda</t>
        </is>
      </c>
      <c r="F4659" s="0" t="inlineStr">
        <is>
          <t xml:space="preserve">Mazda</t>
        </is>
      </c>
      <c r="G4659" s="0" t="s">
        <v>171</v>
      </c>
      <c r="H4659" s="5">
        <v>1615.848300</v>
      </c>
    </row>
    <row r="4660" spans="1:9">
      <c r="A4660" s="22" t="str">
        <f>HYPERLINK("https://app.vivvix.com/360/KMI/IntelliDrive/ApplUI/Pages/CreativePages/CustomReportCreativeDetail.aspx?App=23&amp;ReportView=4&amp;Qid=1711279&amp;Row=4652&amp;Col=1","No Title Assigned - #15269165118")</f>
        <v/>
      </c>
      <c r="B4660" s="0" t="s">
        <v>6427</v>
      </c>
      <c r="E4660" s="0" t="inlineStr">
        <is>
          <t xml:space="preserve">Mazda</t>
        </is>
      </c>
      <c r="F4660" s="0" t="inlineStr">
        <is>
          <t xml:space="preserve">Mazda</t>
        </is>
      </c>
      <c r="G4660" s="0" t="s">
        <v>171</v>
      </c>
      <c r="H4660" s="5">
        <v>77.436000</v>
      </c>
    </row>
    <row r="4661" spans="1:9">
      <c r="A4661" s="22" t="str">
        <f>HYPERLINK("https://app.vivvix.com/360/KMI/IntelliDrive/ApplUI/Pages/CreativePages/CustomReportCreativeDetail.aspx?App=23&amp;ReportView=4&amp;Qid=1711279&amp;Row=4653&amp;Col=1","No Title Assigned - #15269167771")</f>
        <v/>
      </c>
      <c r="B4661" s="0" t="s">
        <v>6428</v>
      </c>
      <c r="C4661" s="0" t="s">
        <v>6429</v>
      </c>
      <c r="D4661" s="0" t="s">
        <v>4225</v>
      </c>
      <c r="E4661" s="0" t="inlineStr">
        <is>
          <t xml:space="preserve">Mazda</t>
        </is>
      </c>
      <c r="F4661" s="0" t="s">
        <v>28</v>
      </c>
      <c r="G4661" s="0" t="s">
        <v>29</v>
      </c>
      <c r="H4661" s="5">
        <v>5.666800</v>
      </c>
    </row>
    <row r="4662" spans="1:9">
      <c r="A4662" s="22" t="str">
        <f>HYPERLINK("https://app.vivvix.com/360/KMI/IntelliDrive/ApplUI/Pages/CreativePages/CustomReportCreativeDetail.aspx?App=23&amp;ReportView=4&amp;Qid=1711279&amp;Row=4654&amp;Col=1","No Title Assigned - #15269168080")</f>
        <v/>
      </c>
      <c r="B4662" s="0" t="s">
        <v>6430</v>
      </c>
      <c r="C4662" s="0" t="s">
        <v>6431</v>
      </c>
      <c r="D4662" s="0" t="s">
        <v>6044</v>
      </c>
      <c r="E4662" s="0" t="inlineStr">
        <is>
          <t xml:space="preserve">Mazda</t>
        </is>
      </c>
      <c r="F4662" s="0" t="s">
        <v>13</v>
      </c>
      <c r="G4662" s="0" t="s">
        <v>49</v>
      </c>
      <c r="H4662" s="5">
        <v>7729.085800</v>
      </c>
    </row>
    <row r="4663" spans="1:9">
      <c r="A4663" s="22" t="str">
        <f>HYPERLINK("https://app.vivvix.com/360/KMI/IntelliDrive/ApplUI/Pages/CreativePages/CustomReportCreativeDetail.aspx?App=23&amp;ReportView=4&amp;Qid=1711279&amp;Row=4655&amp;Col=1","No Title Assigned - #15269168080")</f>
        <v/>
      </c>
      <c r="B4663" s="0" t="s">
        <v>6430</v>
      </c>
      <c r="E4663" s="0" t="inlineStr">
        <is>
          <t xml:space="preserve">Mazda</t>
        </is>
      </c>
      <c r="F4663" s="0" t="s">
        <v>13</v>
      </c>
      <c r="G4663" s="0" t="s">
        <v>49</v>
      </c>
      <c r="H4663" s="5">
        <v>22512.982800</v>
      </c>
    </row>
    <row r="4664" spans="1:9">
      <c r="A4664" s="22" t="str">
        <f>HYPERLINK("https://app.vivvix.com/360/KMI/IntelliDrive/ApplUI/Pages/CreativePages/CustomReportCreativeDetail.aspx?App=23&amp;ReportView=4&amp;Qid=1711279&amp;Row=4656&amp;Col=1","No Title Assigned - #15269168177")</f>
        <v/>
      </c>
      <c r="B4664" s="0" t="s">
        <v>6432</v>
      </c>
      <c r="C4664" s="0" t="s">
        <v>6433</v>
      </c>
      <c r="D4664" s="0" t="s">
        <v>6433</v>
      </c>
      <c r="E4664" s="0" t="inlineStr">
        <is>
          <t xml:space="preserve">Mazda</t>
        </is>
      </c>
      <c r="F4664" s="0" t="s">
        <v>13</v>
      </c>
      <c r="G4664" s="0" t="s">
        <v>49</v>
      </c>
      <c r="H4664" s="5">
        <v>3832.537400</v>
      </c>
    </row>
    <row r="4665" spans="1:9">
      <c r="A4665" s="22" t="str">
        <f>HYPERLINK("https://app.vivvix.com/360/KMI/IntelliDrive/ApplUI/Pages/CreativePages/CustomReportCreativeDetail.aspx?App=23&amp;ReportView=4&amp;Qid=1711279&amp;Row=4657&amp;Col=1","No Title Assigned - #15269168778")</f>
        <v/>
      </c>
      <c r="B4665" s="0" t="s">
        <v>6434</v>
      </c>
      <c r="C4665" s="0" t="s">
        <v>6435</v>
      </c>
      <c r="D4665" s="0" t="s">
        <v>6435</v>
      </c>
      <c r="E4665" s="0" t="inlineStr">
        <is>
          <t xml:space="preserve">Mazda</t>
        </is>
      </c>
      <c r="F4665" s="0" t="inlineStr">
        <is>
          <t xml:space="preserve">Mazda</t>
        </is>
      </c>
      <c r="G4665" s="0" t="s">
        <v>210</v>
      </c>
      <c r="H4665" s="5">
        <v>4447.269300</v>
      </c>
    </row>
    <row r="4666" spans="1:9">
      <c r="A4666" s="22" t="str">
        <f>HYPERLINK("https://app.vivvix.com/360/KMI/IntelliDrive/ApplUI/Pages/CreativePages/CustomReportCreativeDetail.aspx?App=23&amp;ReportView=4&amp;Qid=1711279&amp;Row=4658&amp;Col=1","No Title Assigned - #15269169574")</f>
        <v/>
      </c>
      <c r="B4666" s="0" t="s">
        <v>6436</v>
      </c>
      <c r="E4666" s="0" t="inlineStr">
        <is>
          <t xml:space="preserve">Mazda</t>
        </is>
      </c>
      <c r="F4666" s="0" t="inlineStr">
        <is>
          <t xml:space="preserve">Mazda</t>
        </is>
      </c>
      <c r="G4666" s="0" t="s">
        <v>171</v>
      </c>
      <c r="H4666" s="5">
        <v>906.885900</v>
      </c>
    </row>
    <row r="4667" spans="1:9">
      <c r="A4667" s="22" t="str">
        <f>HYPERLINK("https://app.vivvix.com/360/KMI/IntelliDrive/ApplUI/Pages/CreativePages/CustomReportCreativeDetail.aspx?App=23&amp;ReportView=4&amp;Qid=1711279&amp;Row=4659&amp;Col=1","No Title Assigned - #15269170037")</f>
        <v/>
      </c>
      <c r="B4667" s="0" t="s">
        <v>6437</v>
      </c>
      <c r="E4667" s="0" t="inlineStr">
        <is>
          <t xml:space="preserve">Mazda</t>
        </is>
      </c>
      <c r="F4667" s="0" t="inlineStr">
        <is>
          <t xml:space="preserve">Mazda</t>
        </is>
      </c>
      <c r="G4667" s="0" t="s">
        <v>171</v>
      </c>
      <c r="H4667" s="5">
        <v>17.135900</v>
      </c>
    </row>
    <row r="4668" spans="1:9">
      <c r="A4668" s="22" t="str">
        <f>HYPERLINK("https://app.vivvix.com/360/KMI/IntelliDrive/ApplUI/Pages/CreativePages/CustomReportCreativeDetail.aspx?App=23&amp;ReportView=4&amp;Qid=1711279&amp;Row=4660&amp;Col=1","No Title Assigned - #15269170081")</f>
        <v/>
      </c>
      <c r="B4668" s="0" t="s">
        <v>6438</v>
      </c>
      <c r="E4668" s="0" t="inlineStr">
        <is>
          <t xml:space="preserve">Mazda</t>
        </is>
      </c>
      <c r="F4668" s="0" t="inlineStr">
        <is>
          <t xml:space="preserve">Mazda</t>
        </is>
      </c>
      <c r="G4668" s="0" t="s">
        <v>171</v>
      </c>
      <c r="H4668" s="5">
        <v>5791.963000</v>
      </c>
    </row>
    <row r="4669" spans="1:9">
      <c r="A4669" s="22" t="str">
        <f>HYPERLINK("https://app.vivvix.com/360/KMI/IntelliDrive/ApplUI/Pages/CreativePages/CustomReportCreativeDetail.aspx?App=23&amp;ReportView=4&amp;Qid=1711279&amp;Row=4661&amp;Col=1","No Title Assigned - #15269171500")</f>
        <v/>
      </c>
      <c r="B4669" s="0" t="s">
        <v>6439</v>
      </c>
      <c r="C4669" s="0" t="s">
        <v>6440</v>
      </c>
      <c r="D4669" s="0" t="s">
        <v>6440</v>
      </c>
      <c r="E4669" s="0" t="inlineStr">
        <is>
          <t xml:space="preserve">Mazda</t>
        </is>
      </c>
      <c r="F4669" s="0" t="inlineStr">
        <is>
          <t xml:space="preserve">Mazda</t>
        </is>
      </c>
      <c r="G4669" s="0" t="s">
        <v>210</v>
      </c>
    </row>
    <row r="4670" spans="1:9">
      <c r="A4670" s="22" t="str">
        <f>HYPERLINK("https://app.vivvix.com/360/KMI/IntelliDrive/ApplUI/Pages/CreativePages/CustomReportCreativeDetail.aspx?App=23&amp;ReportView=4&amp;Qid=1711279&amp;Row=4662&amp;Col=1","No Title Assigned - #15269171686")</f>
        <v/>
      </c>
      <c r="B4670" s="0" t="s">
        <v>6441</v>
      </c>
      <c r="E4670" s="0" t="inlineStr">
        <is>
          <t xml:space="preserve">Mazda</t>
        </is>
      </c>
      <c r="F4670" s="0" t="s">
        <v>13</v>
      </c>
      <c r="G4670" s="0" t="s">
        <v>49</v>
      </c>
      <c r="H4670" s="5">
        <v>741.316400</v>
      </c>
    </row>
    <row r="4671" spans="1:9">
      <c r="A4671" s="22" t="str">
        <f>HYPERLINK("https://app.vivvix.com/360/KMI/IntelliDrive/ApplUI/Pages/CreativePages/CustomReportCreativeDetail.aspx?App=23&amp;ReportView=4&amp;Qid=1711279&amp;Row=4663&amp;Col=1","No Title Assigned - #15269171686")</f>
        <v/>
      </c>
      <c r="B4671" s="0" t="s">
        <v>6441</v>
      </c>
      <c r="C4671" s="0" t="s">
        <v>6442</v>
      </c>
      <c r="D4671" s="0" t="s">
        <v>6442</v>
      </c>
      <c r="E4671" s="0" t="inlineStr">
        <is>
          <t xml:space="preserve">Mazda</t>
        </is>
      </c>
      <c r="F4671" s="0" t="s">
        <v>13</v>
      </c>
      <c r="G4671" s="0" t="s">
        <v>49</v>
      </c>
      <c r="H4671" s="5">
        <v>840.003900</v>
      </c>
    </row>
    <row r="4672" spans="1:9">
      <c r="A4672" s="22" t="str">
        <f>HYPERLINK("https://app.vivvix.com/360/KMI/IntelliDrive/ApplUI/Pages/CreativePages/CustomReportCreativeDetail.aspx?App=23&amp;ReportView=4&amp;Qid=1711279&amp;Row=4664&amp;Col=1","No Title Assigned - #15269173796")</f>
        <v/>
      </c>
      <c r="B4672" s="0" t="s">
        <v>6443</v>
      </c>
      <c r="E4672" s="0" t="inlineStr">
        <is>
          <t xml:space="preserve">Mazda</t>
        </is>
      </c>
      <c r="F4672" s="0" t="inlineStr">
        <is>
          <t xml:space="preserve">Mazda</t>
        </is>
      </c>
      <c r="G4672" s="0" t="s">
        <v>171</v>
      </c>
      <c r="H4672" s="5">
        <v>85.452600</v>
      </c>
    </row>
    <row r="4673" spans="1:9">
      <c r="A4673" s="22" t="str">
        <f>HYPERLINK("https://app.vivvix.com/360/KMI/IntelliDrive/ApplUI/Pages/CreativePages/CustomReportCreativeDetail.aspx?App=23&amp;ReportView=4&amp;Qid=1711279&amp;Row=4665&amp;Col=1","No Title Assigned - #15269175220")</f>
        <v/>
      </c>
      <c r="B4673" s="0" t="s">
        <v>6444</v>
      </c>
      <c r="E4673" s="0" t="inlineStr">
        <is>
          <t xml:space="preserve">Mazda</t>
        </is>
      </c>
      <c r="F4673" s="0" t="inlineStr">
        <is>
          <t xml:space="preserve">Mazda</t>
        </is>
      </c>
      <c r="G4673" s="0" t="s">
        <v>171</v>
      </c>
      <c r="H4673" s="5">
        <v>138.812100</v>
      </c>
    </row>
    <row r="4674" spans="1:9">
      <c r="A4674" s="22" t="str">
        <f>HYPERLINK("https://app.vivvix.com/360/KMI/IntelliDrive/ApplUI/Pages/CreativePages/CustomReportCreativeDetail.aspx?App=23&amp;ReportView=4&amp;Qid=1711279&amp;Row=4666&amp;Col=1","No Title Assigned - #15269177342")</f>
        <v/>
      </c>
      <c r="B4674" s="0" t="s">
        <v>6445</v>
      </c>
      <c r="E4674" s="0" t="inlineStr">
        <is>
          <t xml:space="preserve">Mazda</t>
        </is>
      </c>
      <c r="F4674" s="0" t="inlineStr">
        <is>
          <t xml:space="preserve">Mazda</t>
        </is>
      </c>
      <c r="G4674" s="0" t="s">
        <v>171</v>
      </c>
      <c r="H4674" s="5">
        <v>783.154400</v>
      </c>
    </row>
    <row r="4675" spans="1:9">
      <c r="A4675" s="22" t="str">
        <f>HYPERLINK("https://app.vivvix.com/360/KMI/IntelliDrive/ApplUI/Pages/CreativePages/CustomReportCreativeDetail.aspx?App=23&amp;ReportView=4&amp;Qid=1711279&amp;Row=4667&amp;Col=1","No Title Assigned - #15269177710")</f>
        <v/>
      </c>
      <c r="B4675" s="0" t="s">
        <v>6446</v>
      </c>
      <c r="E4675" s="0" t="inlineStr">
        <is>
          <t xml:space="preserve">Mazda</t>
        </is>
      </c>
      <c r="F4675" s="0" t="inlineStr">
        <is>
          <t xml:space="preserve">Mazda</t>
        </is>
      </c>
      <c r="G4675" s="0" t="s">
        <v>171</v>
      </c>
      <c r="H4675" s="5">
        <v>5448.952600</v>
      </c>
    </row>
    <row r="4676" spans="1:9">
      <c r="A4676" s="22" t="str">
        <f>HYPERLINK("https://app.vivvix.com/360/KMI/IntelliDrive/ApplUI/Pages/CreativePages/CustomReportCreativeDetail.aspx?App=23&amp;ReportView=4&amp;Qid=1711279&amp;Row=4668&amp;Col=1","No Title Assigned - #15269177710")</f>
        <v/>
      </c>
      <c r="B4676" s="0" t="s">
        <v>6446</v>
      </c>
      <c r="E4676" s="0" t="inlineStr">
        <is>
          <t xml:space="preserve">Mazda</t>
        </is>
      </c>
      <c r="F4676" s="0" t="inlineStr">
        <is>
          <t xml:space="preserve">Mazda</t>
        </is>
      </c>
      <c r="G4676" s="0" t="s">
        <v>171</v>
      </c>
      <c r="H4676" s="5">
        <v>1607.739900</v>
      </c>
    </row>
    <row r="4677" spans="1:9">
      <c r="A4677" s="22" t="str">
        <f>HYPERLINK("https://app.vivvix.com/360/KMI/IntelliDrive/ApplUI/Pages/CreativePages/CustomReportCreativeDetail.aspx?App=23&amp;ReportView=4&amp;Qid=1711279&amp;Row=4669&amp;Col=1","No Title Assigned - #15269177790")</f>
        <v/>
      </c>
      <c r="B4677" s="0" t="s">
        <v>6447</v>
      </c>
      <c r="E4677" s="0" t="inlineStr">
        <is>
          <t xml:space="preserve">Mazda</t>
        </is>
      </c>
      <c r="F4677" s="0" t="inlineStr">
        <is>
          <t xml:space="preserve">Mazda</t>
        </is>
      </c>
      <c r="G4677" s="0" t="s">
        <v>171</v>
      </c>
      <c r="H4677" s="5">
        <v>125.354300</v>
      </c>
    </row>
    <row r="4678" spans="1:9">
      <c r="A4678" s="22" t="str">
        <f>HYPERLINK("https://app.vivvix.com/360/KMI/IntelliDrive/ApplUI/Pages/CreativePages/CustomReportCreativeDetail.aspx?App=23&amp;ReportView=4&amp;Qid=1711279&amp;Row=4670&amp;Col=1","No Title Assigned - #15269178540")</f>
        <v/>
      </c>
      <c r="B4678" s="0" t="s">
        <v>6448</v>
      </c>
      <c r="E4678" s="0" t="inlineStr">
        <is>
          <t xml:space="preserve">Mazda</t>
        </is>
      </c>
      <c r="F4678" s="0" t="inlineStr">
        <is>
          <t xml:space="preserve">Mazda</t>
        </is>
      </c>
      <c r="G4678" s="0" t="s">
        <v>171</v>
      </c>
      <c r="H4678" s="5">
        <v>65.508000</v>
      </c>
    </row>
    <row r="4679" spans="1:9">
      <c r="A4679" s="22" t="str">
        <f>HYPERLINK("https://app.vivvix.com/360/KMI/IntelliDrive/ApplUI/Pages/CreativePages/CustomReportCreativeDetail.aspx?App=23&amp;ReportView=4&amp;Qid=1711279&amp;Row=4671&amp;Col=1","No Title Assigned - #15269178914")</f>
        <v/>
      </c>
      <c r="B4679" s="0" t="s">
        <v>6449</v>
      </c>
      <c r="E4679" s="0" t="inlineStr">
        <is>
          <t xml:space="preserve">Mazda</t>
        </is>
      </c>
      <c r="F4679" s="0" t="inlineStr">
        <is>
          <t xml:space="preserve">Mazda</t>
        </is>
      </c>
      <c r="G4679" s="0" t="s">
        <v>171</v>
      </c>
      <c r="H4679" s="5">
        <v>779.476800</v>
      </c>
    </row>
    <row r="4680" spans="1:9">
      <c r="A4680" s="22" t="str">
        <f>HYPERLINK("https://app.vivvix.com/360/KMI/IntelliDrive/ApplUI/Pages/CreativePages/CustomReportCreativeDetail.aspx?App=23&amp;ReportView=4&amp;Qid=1711279&amp;Row=4672&amp;Col=1","No Title Assigned - #15269178930")</f>
        <v/>
      </c>
      <c r="B4680" s="0" t="s">
        <v>6450</v>
      </c>
      <c r="E4680" s="0" t="inlineStr">
        <is>
          <t xml:space="preserve">Mazda</t>
        </is>
      </c>
      <c r="F4680" s="0" t="inlineStr">
        <is>
          <t xml:space="preserve">Mazda</t>
        </is>
      </c>
      <c r="G4680" s="0" t="s">
        <v>171</v>
      </c>
      <c r="H4680" s="5">
        <v>738.847100</v>
      </c>
    </row>
    <row r="4681" spans="1:9">
      <c r="A4681" s="22" t="str">
        <f>HYPERLINK("https://app.vivvix.com/360/KMI/IntelliDrive/ApplUI/Pages/CreativePages/CustomReportCreativeDetail.aspx?App=23&amp;ReportView=4&amp;Qid=1711279&amp;Row=4673&amp;Col=1","No Title Assigned - #15269178930")</f>
        <v/>
      </c>
      <c r="B4681" s="0" t="s">
        <v>6450</v>
      </c>
      <c r="E4681" s="0" t="inlineStr">
        <is>
          <t xml:space="preserve">Mazda</t>
        </is>
      </c>
      <c r="F4681" s="0" t="inlineStr">
        <is>
          <t xml:space="preserve">Mazda</t>
        </is>
      </c>
      <c r="G4681" s="0" t="s">
        <v>171</v>
      </c>
      <c r="H4681" s="5">
        <v>441.492800</v>
      </c>
    </row>
    <row r="4682" spans="1:9">
      <c r="A4682" s="22" t="str">
        <f>HYPERLINK("https://app.vivvix.com/360/KMI/IntelliDrive/ApplUI/Pages/CreativePages/CustomReportCreativeDetail.aspx?App=23&amp;ReportView=4&amp;Qid=1711279&amp;Row=4674&amp;Col=1","No Title Assigned - #15269179466")</f>
        <v/>
      </c>
      <c r="B4682" s="0" t="s">
        <v>6451</v>
      </c>
      <c r="E4682" s="0" t="inlineStr">
        <is>
          <t xml:space="preserve">Mazda</t>
        </is>
      </c>
      <c r="F4682" s="0" t="inlineStr">
        <is>
          <t xml:space="preserve">Mazda</t>
        </is>
      </c>
      <c r="G4682" s="0" t="s">
        <v>171</v>
      </c>
      <c r="H4682" s="5">
        <v>45.400200</v>
      </c>
    </row>
    <row r="4683" spans="1:9">
      <c r="A4683" s="22" t="str">
        <f>HYPERLINK("https://app.vivvix.com/360/KMI/IntelliDrive/ApplUI/Pages/CreativePages/CustomReportCreativeDetail.aspx?App=23&amp;ReportView=4&amp;Qid=1711279&amp;Row=4675&amp;Col=1","No Title Assigned - #15269179531")</f>
        <v/>
      </c>
      <c r="B4683" s="0" t="s">
        <v>6452</v>
      </c>
      <c r="E4683" s="0" t="inlineStr">
        <is>
          <t xml:space="preserve">Mazda</t>
        </is>
      </c>
      <c r="F4683" s="0" t="inlineStr">
        <is>
          <t xml:space="preserve">Mazda</t>
        </is>
      </c>
      <c r="G4683" s="0" t="s">
        <v>171</v>
      </c>
      <c r="H4683" s="5">
        <v>5.080700</v>
      </c>
    </row>
    <row r="4684" spans="1:9">
      <c r="A4684" s="22" t="str">
        <f>HYPERLINK("https://app.vivvix.com/360/KMI/IntelliDrive/ApplUI/Pages/CreativePages/CustomReportCreativeDetail.aspx?App=23&amp;ReportView=4&amp;Qid=1711279&amp;Row=4676&amp;Col=1","No Title Assigned - #15269180882")</f>
        <v/>
      </c>
      <c r="B4684" s="0" t="s">
        <v>6453</v>
      </c>
      <c r="E4684" s="0" t="inlineStr">
        <is>
          <t xml:space="preserve">Mazda</t>
        </is>
      </c>
      <c r="F4684" s="0" t="inlineStr">
        <is>
          <t xml:space="preserve">Mazda</t>
        </is>
      </c>
      <c r="G4684" s="0" t="s">
        <v>171</v>
      </c>
      <c r="H4684" s="5">
        <v>219.688300</v>
      </c>
    </row>
    <row r="4685" spans="1:9">
      <c r="A4685" s="22" t="str">
        <f>HYPERLINK("https://app.vivvix.com/360/KMI/IntelliDrive/ApplUI/Pages/CreativePages/CustomReportCreativeDetail.aspx?App=23&amp;ReportView=4&amp;Qid=1711279&amp;Row=4677&amp;Col=1","No Title Assigned - #15269182386")</f>
        <v/>
      </c>
      <c r="B4685" s="0" t="s">
        <v>6454</v>
      </c>
      <c r="E4685" s="0" t="inlineStr">
        <is>
          <t xml:space="preserve">Mazda</t>
        </is>
      </c>
      <c r="F4685" s="0" t="inlineStr">
        <is>
          <t xml:space="preserve">Mazda</t>
        </is>
      </c>
      <c r="G4685" s="0" t="s">
        <v>171</v>
      </c>
      <c r="H4685" s="5">
        <v>34.166600</v>
      </c>
    </row>
    <row r="4686" spans="1:9">
      <c r="A4686" s="22" t="str">
        <f>HYPERLINK("https://app.vivvix.com/360/KMI/IntelliDrive/ApplUI/Pages/CreativePages/CustomReportCreativeDetail.aspx?App=23&amp;ReportView=4&amp;Qid=1711279&amp;Row=4678&amp;Col=1","No Title Assigned - #15269182801")</f>
        <v/>
      </c>
      <c r="B4686" s="0" t="s">
        <v>6455</v>
      </c>
      <c r="E4686" s="0" t="inlineStr">
        <is>
          <t xml:space="preserve">Mazda</t>
        </is>
      </c>
      <c r="F4686" s="0" t="inlineStr">
        <is>
          <t xml:space="preserve">Mazda</t>
        </is>
      </c>
      <c r="G4686" s="0" t="s">
        <v>171</v>
      </c>
      <c r="H4686" s="5">
        <v>23.438200</v>
      </c>
    </row>
    <row r="4687" spans="1:9">
      <c r="A4687" s="22" t="str">
        <f>HYPERLINK("https://app.vivvix.com/360/KMI/IntelliDrive/ApplUI/Pages/CreativePages/CustomReportCreativeDetail.aspx?App=23&amp;ReportView=4&amp;Qid=1711279&amp;Row=4679&amp;Col=1","No Title Assigned - #15269183550")</f>
        <v/>
      </c>
      <c r="B4687" s="0" t="s">
        <v>6456</v>
      </c>
      <c r="E4687" s="0" t="inlineStr">
        <is>
          <t xml:space="preserve">Mazda</t>
        </is>
      </c>
      <c r="F4687" s="0" t="inlineStr">
        <is>
          <t xml:space="preserve">Mazda</t>
        </is>
      </c>
      <c r="G4687" s="0" t="s">
        <v>171</v>
      </c>
      <c r="H4687" s="5">
        <v>69.375000</v>
      </c>
    </row>
    <row r="4688" spans="1:9">
      <c r="A4688" s="22" t="str">
        <f>HYPERLINK("https://app.vivvix.com/360/KMI/IntelliDrive/ApplUI/Pages/CreativePages/CustomReportCreativeDetail.aspx?App=23&amp;ReportView=4&amp;Qid=1711279&amp;Row=4680&amp;Col=1","No Title Assigned - #15269183550")</f>
        <v/>
      </c>
      <c r="B4688" s="0" t="s">
        <v>6456</v>
      </c>
      <c r="E4688" s="0" t="inlineStr">
        <is>
          <t xml:space="preserve">Mazda</t>
        </is>
      </c>
      <c r="F4688" s="0" t="inlineStr">
        <is>
          <t xml:space="preserve">Mazda</t>
        </is>
      </c>
      <c r="G4688" s="0" t="s">
        <v>171</v>
      </c>
      <c r="H4688" s="5">
        <v>124.141600</v>
      </c>
    </row>
    <row r="4689" spans="1:9">
      <c r="A4689" s="22" t="str">
        <f>HYPERLINK("https://app.vivvix.com/360/KMI/IntelliDrive/ApplUI/Pages/CreativePages/CustomReportCreativeDetail.aspx?App=23&amp;ReportView=4&amp;Qid=1711279&amp;Row=4681&amp;Col=1","No Title Assigned - #15269183551")</f>
        <v/>
      </c>
      <c r="B4689" s="0" t="s">
        <v>6457</v>
      </c>
      <c r="E4689" s="0" t="inlineStr">
        <is>
          <t xml:space="preserve">Mazda</t>
        </is>
      </c>
      <c r="F4689" s="0" t="inlineStr">
        <is>
          <t xml:space="preserve">Mazda</t>
        </is>
      </c>
      <c r="G4689" s="0" t="s">
        <v>171</v>
      </c>
      <c r="H4689" s="5">
        <v>124.141600</v>
      </c>
    </row>
    <row r="4690" spans="1:9">
      <c r="A4690" s="22" t="str">
        <f>HYPERLINK("https://app.vivvix.com/360/KMI/IntelliDrive/ApplUI/Pages/CreativePages/CustomReportCreativeDetail.aspx?App=23&amp;ReportView=4&amp;Qid=1711279&amp;Row=4682&amp;Col=1","No Title Assigned - #15269184043")</f>
        <v/>
      </c>
      <c r="B4690" s="0" t="s">
        <v>6458</v>
      </c>
      <c r="E4690" s="0" t="inlineStr">
        <is>
          <t xml:space="preserve">Mazda</t>
        </is>
      </c>
      <c r="F4690" s="0" t="inlineStr">
        <is>
          <t xml:space="preserve">Mazda</t>
        </is>
      </c>
      <c r="G4690" s="0" t="s">
        <v>171</v>
      </c>
      <c r="H4690" s="5">
        <v>4950.700700</v>
      </c>
    </row>
    <row r="4691" spans="1:9">
      <c r="A4691" s="22" t="str">
        <f>HYPERLINK("https://app.vivvix.com/360/KMI/IntelliDrive/ApplUI/Pages/CreativePages/CustomReportCreativeDetail.aspx?App=23&amp;ReportView=4&amp;Qid=1711279&amp;Row=4683&amp;Col=1","No Title Assigned - #15269184239")</f>
        <v/>
      </c>
      <c r="B4691" s="0" t="s">
        <v>6459</v>
      </c>
      <c r="E4691" s="0" t="inlineStr">
        <is>
          <t xml:space="preserve">Mazda</t>
        </is>
      </c>
      <c r="F4691" s="0" t="inlineStr">
        <is>
          <t xml:space="preserve">Mazda</t>
        </is>
      </c>
      <c r="G4691" s="0" t="s">
        <v>171</v>
      </c>
      <c r="H4691" s="5">
        <v>92.352000</v>
      </c>
    </row>
    <row r="4692" spans="1:9">
      <c r="A4692" s="22" t="str">
        <f>HYPERLINK("https://app.vivvix.com/360/KMI/IntelliDrive/ApplUI/Pages/CreativePages/CustomReportCreativeDetail.aspx?App=23&amp;ReportView=4&amp;Qid=1711279&amp;Row=4684&amp;Col=1","No Title Assigned - #15269184418")</f>
        <v/>
      </c>
      <c r="B4692" s="0" t="s">
        <v>6460</v>
      </c>
      <c r="E4692" s="0" t="inlineStr">
        <is>
          <t xml:space="preserve">Mazda</t>
        </is>
      </c>
      <c r="F4692" s="0" t="inlineStr">
        <is>
          <t xml:space="preserve">Mazda</t>
        </is>
      </c>
      <c r="G4692" s="0" t="s">
        <v>171</v>
      </c>
      <c r="H4692" s="5">
        <v>482.069200</v>
      </c>
    </row>
    <row r="4693" spans="1:9">
      <c r="A4693" s="22" t="str">
        <f>HYPERLINK("https://app.vivvix.com/360/KMI/IntelliDrive/ApplUI/Pages/CreativePages/CustomReportCreativeDetail.aspx?App=23&amp;ReportView=4&amp;Qid=1711279&amp;Row=4685&amp;Col=1","No Title Assigned - #15269184459")</f>
        <v/>
      </c>
      <c r="B4693" s="0" t="s">
        <v>6461</v>
      </c>
      <c r="E4693" s="0" t="inlineStr">
        <is>
          <t xml:space="preserve">Mazda</t>
        </is>
      </c>
      <c r="F4693" s="0" t="inlineStr">
        <is>
          <t xml:space="preserve">Mazda</t>
        </is>
      </c>
      <c r="G4693" s="0" t="s">
        <v>171</v>
      </c>
      <c r="H4693" s="5">
        <v>34860.832900</v>
      </c>
    </row>
    <row r="4694" spans="1:9">
      <c r="A4694" s="22" t="str">
        <f>HYPERLINK("https://app.vivvix.com/360/KMI/IntelliDrive/ApplUI/Pages/CreativePages/CustomReportCreativeDetail.aspx?App=23&amp;ReportView=4&amp;Qid=1711279&amp;Row=4686&amp;Col=1","No Title Assigned - #15269184485")</f>
        <v/>
      </c>
      <c r="B4694" s="0" t="s">
        <v>6462</v>
      </c>
      <c r="E4694" s="0" t="inlineStr">
        <is>
          <t xml:space="preserve">Mazda</t>
        </is>
      </c>
      <c r="F4694" s="0" t="inlineStr">
        <is>
          <t xml:space="preserve">Mazda</t>
        </is>
      </c>
      <c r="G4694" s="0" t="s">
        <v>171</v>
      </c>
      <c r="H4694" s="5">
        <v>83.742000</v>
      </c>
    </row>
    <row r="4695" spans="1:9">
      <c r="A4695" s="22" t="str">
        <f>HYPERLINK("https://app.vivvix.com/360/KMI/IntelliDrive/ApplUI/Pages/CreativePages/CustomReportCreativeDetail.aspx?App=23&amp;ReportView=4&amp;Qid=1711279&amp;Row=4687&amp;Col=1","No Title Assigned - #15269184892")</f>
        <v/>
      </c>
      <c r="B4695" s="0" t="s">
        <v>6463</v>
      </c>
      <c r="E4695" s="0" t="inlineStr">
        <is>
          <t xml:space="preserve">Mazda</t>
        </is>
      </c>
      <c r="F4695" s="0" t="inlineStr">
        <is>
          <t xml:space="preserve">Mazda</t>
        </is>
      </c>
      <c r="G4695" s="0" t="s">
        <v>171</v>
      </c>
      <c r="H4695" s="5">
        <v>484.149000</v>
      </c>
    </row>
    <row r="4696" spans="1:9">
      <c r="A4696" s="22" t="str">
        <f>HYPERLINK("https://app.vivvix.com/360/KMI/IntelliDrive/ApplUI/Pages/CreativePages/CustomReportCreativeDetail.aspx?App=23&amp;ReportView=4&amp;Qid=1711279&amp;Row=4688&amp;Col=1","No Title Assigned - #15269184918")</f>
        <v/>
      </c>
      <c r="B4696" s="0" t="s">
        <v>6464</v>
      </c>
      <c r="C4696" s="0" t="s">
        <v>6465</v>
      </c>
      <c r="D4696" s="0" t="s">
        <v>6465</v>
      </c>
      <c r="E4696" s="0" t="inlineStr">
        <is>
          <t xml:space="preserve">Mazda</t>
        </is>
      </c>
      <c r="F4696" s="0" t="inlineStr">
        <is>
          <t xml:space="preserve">Mazda</t>
        </is>
      </c>
      <c r="G4696" s="0" t="s">
        <v>171</v>
      </c>
      <c r="H4696" s="5">
        <v>259.377900</v>
      </c>
    </row>
    <row r="4697" spans="1:9">
      <c r="A4697" s="22" t="str">
        <f>HYPERLINK("https://app.vivvix.com/360/KMI/IntelliDrive/ApplUI/Pages/CreativePages/CustomReportCreativeDetail.aspx?App=23&amp;ReportView=4&amp;Qid=1711279&amp;Row=4689&amp;Col=1","No Title Assigned - #15269186982")</f>
        <v/>
      </c>
      <c r="B4697" s="0" t="s">
        <v>6466</v>
      </c>
      <c r="C4697" s="0" t="s">
        <v>6467</v>
      </c>
      <c r="D4697" s="0" t="s">
        <v>6467</v>
      </c>
      <c r="E4697" s="0" t="inlineStr">
        <is>
          <t xml:space="preserve">Mazda</t>
        </is>
      </c>
      <c r="F4697" s="0" t="inlineStr">
        <is>
          <t xml:space="preserve">Mazda</t>
        </is>
      </c>
      <c r="G4697" s="0" t="s">
        <v>171</v>
      </c>
      <c r="H4697" s="5">
        <v>283.315000</v>
      </c>
    </row>
    <row r="4698" spans="1:9">
      <c r="A4698" s="22" t="str">
        <f>HYPERLINK("https://app.vivvix.com/360/KMI/IntelliDrive/ApplUI/Pages/CreativePages/CustomReportCreativeDetail.aspx?App=23&amp;ReportView=4&amp;Qid=1711279&amp;Row=4690&amp;Col=1","No Title Assigned - #15269187325")</f>
        <v/>
      </c>
      <c r="B4698" s="0" t="s">
        <v>6468</v>
      </c>
      <c r="E4698" s="0" t="inlineStr">
        <is>
          <t xml:space="preserve">Mazda</t>
        </is>
      </c>
      <c r="F4698" s="0" t="inlineStr">
        <is>
          <t xml:space="preserve">Mazda</t>
        </is>
      </c>
      <c r="G4698" s="0" t="s">
        <v>171</v>
      </c>
      <c r="H4698" s="5">
        <v>452.322500</v>
      </c>
    </row>
    <row r="4699" spans="1:9">
      <c r="A4699" s="22" t="str">
        <f>HYPERLINK("https://app.vivvix.com/360/KMI/IntelliDrive/ApplUI/Pages/CreativePages/CustomReportCreativeDetail.aspx?App=23&amp;ReportView=4&amp;Qid=1711279&amp;Row=4691&amp;Col=1","No Title Assigned - #15269189365")</f>
        <v/>
      </c>
      <c r="B4699" s="0" t="s">
        <v>6469</v>
      </c>
      <c r="C4699" s="0" t="s">
        <v>6470</v>
      </c>
      <c r="D4699" s="0" t="s">
        <v>6470</v>
      </c>
      <c r="E4699" s="0" t="inlineStr">
        <is>
          <t xml:space="preserve">Mazda</t>
        </is>
      </c>
      <c r="F4699" s="0" t="inlineStr">
        <is>
          <t xml:space="preserve">Mazda</t>
        </is>
      </c>
      <c r="G4699" s="0" t="s">
        <v>171</v>
      </c>
      <c r="H4699" s="5">
        <v>155.950600</v>
      </c>
    </row>
    <row r="4700" spans="1:9">
      <c r="A4700" s="22" t="str">
        <f>HYPERLINK("https://app.vivvix.com/360/KMI/IntelliDrive/ApplUI/Pages/CreativePages/CustomReportCreativeDetail.aspx?App=23&amp;ReportView=4&amp;Qid=1711279&amp;Row=4692&amp;Col=1","No Title Assigned - #15269189835")</f>
        <v/>
      </c>
      <c r="B4700" s="0" t="s">
        <v>6471</v>
      </c>
      <c r="E4700" s="0" t="inlineStr">
        <is>
          <t xml:space="preserve">Mazda</t>
        </is>
      </c>
      <c r="F4700" s="0" t="inlineStr">
        <is>
          <t xml:space="preserve">Mazda</t>
        </is>
      </c>
      <c r="G4700" s="0" t="s">
        <v>171</v>
      </c>
      <c r="H4700" s="5">
        <v>105.479600</v>
      </c>
    </row>
    <row r="4701" spans="1:9">
      <c r="A4701" s="22" t="str">
        <f>HYPERLINK("https://app.vivvix.com/360/KMI/IntelliDrive/ApplUI/Pages/CreativePages/CustomReportCreativeDetail.aspx?App=23&amp;ReportView=4&amp;Qid=1711279&amp;Row=4693&amp;Col=1","No Title Assigned - #15269190930")</f>
        <v/>
      </c>
      <c r="B4701" s="0" t="s">
        <v>6472</v>
      </c>
      <c r="E4701" s="0" t="inlineStr">
        <is>
          <t xml:space="preserve">Mazda</t>
        </is>
      </c>
      <c r="F4701" s="0" t="inlineStr">
        <is>
          <t xml:space="preserve">Mazda</t>
        </is>
      </c>
      <c r="G4701" s="0" t="s">
        <v>171</v>
      </c>
      <c r="H4701" s="5">
        <v>166.847000</v>
      </c>
    </row>
    <row r="4702" spans="1:9">
      <c r="A4702" s="22" t="str">
        <f>HYPERLINK("https://app.vivvix.com/360/KMI/IntelliDrive/ApplUI/Pages/CreativePages/CustomReportCreativeDetail.aspx?App=23&amp;ReportView=4&amp;Qid=1711279&amp;Row=4694&amp;Col=1","No Title Assigned - #15269191006")</f>
        <v/>
      </c>
      <c r="B4702" s="0" t="s">
        <v>6473</v>
      </c>
      <c r="E4702" s="0" t="inlineStr">
        <is>
          <t xml:space="preserve">Mazda</t>
        </is>
      </c>
      <c r="F4702" s="0" t="inlineStr">
        <is>
          <t xml:space="preserve">Mazda</t>
        </is>
      </c>
      <c r="G4702" s="0" t="s">
        <v>171</v>
      </c>
      <c r="H4702" s="5">
        <v>224.502600</v>
      </c>
    </row>
    <row r="4703" spans="1:9">
      <c r="A4703" s="22" t="str">
        <f>HYPERLINK("https://app.vivvix.com/360/KMI/IntelliDrive/ApplUI/Pages/CreativePages/CustomReportCreativeDetail.aspx?App=23&amp;ReportView=4&amp;Qid=1711279&amp;Row=4695&amp;Col=1","No Title Assigned - #15269191654")</f>
        <v/>
      </c>
      <c r="B4703" s="0" t="s">
        <v>6474</v>
      </c>
      <c r="E4703" s="0" t="inlineStr">
        <is>
          <t xml:space="preserve">Mazda</t>
        </is>
      </c>
      <c r="F4703" s="0" t="inlineStr">
        <is>
          <t xml:space="preserve">Mazda</t>
        </is>
      </c>
      <c r="G4703" s="0" t="s">
        <v>171</v>
      </c>
      <c r="H4703" s="5">
        <v>19.830300</v>
      </c>
    </row>
    <row r="4704" spans="1:9">
      <c r="A4704" s="22" t="str">
        <f>HYPERLINK("https://app.vivvix.com/360/KMI/IntelliDrive/ApplUI/Pages/CreativePages/CustomReportCreativeDetail.aspx?App=23&amp;ReportView=4&amp;Qid=1711279&amp;Row=4696&amp;Col=1","No Title Assigned - #15269191728")</f>
        <v/>
      </c>
      <c r="B4704" s="0" t="s">
        <v>6475</v>
      </c>
      <c r="C4704" s="0" t="s">
        <v>6476</v>
      </c>
      <c r="D4704" s="0" t="s">
        <v>6476</v>
      </c>
      <c r="E4704" s="0" t="inlineStr">
        <is>
          <t xml:space="preserve">Mazda</t>
        </is>
      </c>
      <c r="F4704" s="0" t="inlineStr">
        <is>
          <t xml:space="preserve">Mazda</t>
        </is>
      </c>
      <c r="G4704" s="0" t="s">
        <v>171</v>
      </c>
      <c r="H4704" s="5">
        <v>13.629100</v>
      </c>
    </row>
    <row r="4705" spans="1:9">
      <c r="A4705" s="22" t="str">
        <f>HYPERLINK("https://app.vivvix.com/360/KMI/IntelliDrive/ApplUI/Pages/CreativePages/CustomReportCreativeDetail.aspx?App=23&amp;ReportView=4&amp;Qid=1711279&amp;Row=4697&amp;Col=1","No Title Assigned - #15269192193")</f>
        <v/>
      </c>
      <c r="B4705" s="0" t="s">
        <v>6477</v>
      </c>
      <c r="E4705" s="0" t="inlineStr">
        <is>
          <t xml:space="preserve">Mazda</t>
        </is>
      </c>
      <c r="F4705" s="0" t="inlineStr">
        <is>
          <t xml:space="preserve">Mazda</t>
        </is>
      </c>
      <c r="G4705" s="0" t="s">
        <v>171</v>
      </c>
      <c r="H4705" s="5">
        <v>11.138700</v>
      </c>
    </row>
    <row r="4706" spans="1:9">
      <c r="A4706" s="22" t="str">
        <f>HYPERLINK("https://app.vivvix.com/360/KMI/IntelliDrive/ApplUI/Pages/CreativePages/CustomReportCreativeDetail.aspx?App=23&amp;ReportView=4&amp;Qid=1711279&amp;Row=4698&amp;Col=1","No Title Assigned - #15269192933")</f>
        <v/>
      </c>
      <c r="B4706" s="0" t="s">
        <v>6478</v>
      </c>
      <c r="E4706" s="0" t="inlineStr">
        <is>
          <t xml:space="preserve">Mazda</t>
        </is>
      </c>
      <c r="F4706" s="0" t="inlineStr">
        <is>
          <t xml:space="preserve">Mazda</t>
        </is>
      </c>
      <c r="G4706" s="0" t="s">
        <v>171</v>
      </c>
      <c r="H4706" s="5">
        <v>1623.316600</v>
      </c>
    </row>
    <row r="4707" spans="1:9">
      <c r="A4707" s="22" t="str">
        <f>HYPERLINK("https://app.vivvix.com/360/KMI/IntelliDrive/ApplUI/Pages/CreativePages/CustomReportCreativeDetail.aspx?App=23&amp;ReportView=4&amp;Qid=1711279&amp;Row=4699&amp;Col=1","No Title Assigned - #15269198067")</f>
        <v/>
      </c>
      <c r="B4707" s="0" t="s">
        <v>6479</v>
      </c>
      <c r="E4707" s="0" t="inlineStr">
        <is>
          <t xml:space="preserve">Mazda</t>
        </is>
      </c>
      <c r="F4707" s="0" t="inlineStr">
        <is>
          <t xml:space="preserve">Mazda</t>
        </is>
      </c>
      <c r="G4707" s="0" t="s">
        <v>171</v>
      </c>
      <c r="H4707" s="5">
        <v>111.990600</v>
      </c>
    </row>
    <row r="4708" spans="1:9">
      <c r="A4708" s="22" t="str">
        <f>HYPERLINK("https://app.vivvix.com/360/KMI/IntelliDrive/ApplUI/Pages/CreativePages/CustomReportCreativeDetail.aspx?App=23&amp;ReportView=4&amp;Qid=1711279&amp;Row=4700&amp;Col=1","No Title Assigned - #15269211566")</f>
        <v/>
      </c>
      <c r="B4708" s="0" t="s">
        <v>6480</v>
      </c>
      <c r="E4708" s="0" t="inlineStr">
        <is>
          <t xml:space="preserve">Mazda</t>
        </is>
      </c>
      <c r="F4708" s="0" t="inlineStr">
        <is>
          <t xml:space="preserve">Mazda</t>
        </is>
      </c>
      <c r="G4708" s="0" t="s">
        <v>171</v>
      </c>
      <c r="H4708" s="5">
        <v>66.809200</v>
      </c>
    </row>
    <row r="4709" spans="1:9">
      <c r="A4709" s="22" t="str">
        <f>HYPERLINK("https://app.vivvix.com/360/KMI/IntelliDrive/ApplUI/Pages/CreativePages/CustomReportCreativeDetail.aspx?App=23&amp;ReportView=4&amp;Qid=1711279&amp;Row=4701&amp;Col=1","No Title Assigned - #15269218310")</f>
        <v/>
      </c>
      <c r="B4709" s="0" t="s">
        <v>6481</v>
      </c>
      <c r="E4709" s="0" t="inlineStr">
        <is>
          <t xml:space="preserve">Mazda</t>
        </is>
      </c>
      <c r="F4709" s="0" t="inlineStr">
        <is>
          <t xml:space="preserve">Mazda</t>
        </is>
      </c>
      <c r="G4709" s="0" t="s">
        <v>171</v>
      </c>
      <c r="H4709" s="5">
        <v>8751.748800</v>
      </c>
    </row>
    <row r="4710" spans="1:9">
      <c r="A4710" s="22" t="str">
        <f>HYPERLINK("https://app.vivvix.com/360/KMI/IntelliDrive/ApplUI/Pages/CreativePages/CustomReportCreativeDetail.aspx?App=23&amp;ReportView=4&amp;Qid=1711279&amp;Row=4702&amp;Col=1","No Title Assigned - #15269218576")</f>
        <v/>
      </c>
      <c r="B4710" s="0" t="s">
        <v>6482</v>
      </c>
      <c r="E4710" s="0" t="inlineStr">
        <is>
          <t xml:space="preserve">Mazda</t>
        </is>
      </c>
      <c r="F4710" s="0" t="inlineStr">
        <is>
          <t xml:space="preserve">Mazda</t>
        </is>
      </c>
      <c r="G4710" s="0" t="s">
        <v>171</v>
      </c>
      <c r="H4710" s="5">
        <v>162.034400</v>
      </c>
    </row>
    <row r="4711" spans="1:9">
      <c r="A4711" s="22" t="str">
        <f>HYPERLINK("https://app.vivvix.com/360/KMI/IntelliDrive/ApplUI/Pages/CreativePages/CustomReportCreativeDetail.aspx?App=23&amp;ReportView=4&amp;Qid=1711279&amp;Row=4703&amp;Col=1","No Title Assigned - #15269218982")</f>
        <v/>
      </c>
      <c r="B4711" s="0" t="s">
        <v>6483</v>
      </c>
      <c r="E4711" s="0" t="inlineStr">
        <is>
          <t xml:space="preserve">Mazda</t>
        </is>
      </c>
      <c r="F4711" s="0" t="inlineStr">
        <is>
          <t xml:space="preserve">Mazda</t>
        </is>
      </c>
      <c r="G4711" s="0" t="s">
        <v>171</v>
      </c>
      <c r="H4711" s="5">
        <v>554.249600</v>
      </c>
    </row>
    <row r="4712" spans="1:9">
      <c r="A4712" s="22" t="str">
        <f>HYPERLINK("https://app.vivvix.com/360/KMI/IntelliDrive/ApplUI/Pages/CreativePages/CustomReportCreativeDetail.aspx?App=23&amp;ReportView=4&amp;Qid=1711279&amp;Row=4704&amp;Col=1","No Title Assigned - #15269219034")</f>
        <v/>
      </c>
      <c r="B4712" s="0" t="s">
        <v>6484</v>
      </c>
      <c r="E4712" s="0" t="inlineStr">
        <is>
          <t xml:space="preserve">Mazda</t>
        </is>
      </c>
      <c r="F4712" s="0" t="inlineStr">
        <is>
          <t xml:space="preserve">Mazda</t>
        </is>
      </c>
      <c r="G4712" s="0" t="s">
        <v>171</v>
      </c>
      <c r="H4712" s="5">
        <v>8057.776900</v>
      </c>
    </row>
    <row r="4713" spans="1:9">
      <c r="A4713" s="22" t="str">
        <f>HYPERLINK("https://app.vivvix.com/360/KMI/IntelliDrive/ApplUI/Pages/CreativePages/CustomReportCreativeDetail.aspx?App=23&amp;ReportView=4&amp;Qid=1711279&amp;Row=4705&amp;Col=1","No Title Assigned - #15269219113")</f>
        <v/>
      </c>
      <c r="B4713" s="0" t="s">
        <v>6485</v>
      </c>
      <c r="E4713" s="0" t="inlineStr">
        <is>
          <t xml:space="preserve">Mazda</t>
        </is>
      </c>
      <c r="F4713" s="0" t="inlineStr">
        <is>
          <t xml:space="preserve">Mazda</t>
        </is>
      </c>
      <c r="G4713" s="0" t="s">
        <v>171</v>
      </c>
      <c r="H4713" s="5">
        <v>259.657900</v>
      </c>
    </row>
    <row r="4714" spans="1:9">
      <c r="A4714" s="22" t="str">
        <f>HYPERLINK("https://app.vivvix.com/360/KMI/IntelliDrive/ApplUI/Pages/CreativePages/CustomReportCreativeDetail.aspx?App=23&amp;ReportView=4&amp;Qid=1711279&amp;Row=4706&amp;Col=1","No Title Assigned - #15269219130")</f>
        <v/>
      </c>
      <c r="B4714" s="0" t="s">
        <v>6486</v>
      </c>
      <c r="E4714" s="0" t="inlineStr">
        <is>
          <t xml:space="preserve">Mazda</t>
        </is>
      </c>
      <c r="F4714" s="0" t="inlineStr">
        <is>
          <t xml:space="preserve">Mazda</t>
        </is>
      </c>
      <c r="G4714" s="0" t="s">
        <v>171</v>
      </c>
      <c r="H4714" s="5">
        <v>466.407500</v>
      </c>
    </row>
    <row r="4715" spans="1:9">
      <c r="A4715" s="22" t="str">
        <f>HYPERLINK("https://app.vivvix.com/360/KMI/IntelliDrive/ApplUI/Pages/CreativePages/CustomReportCreativeDetail.aspx?App=23&amp;ReportView=4&amp;Qid=1711279&amp;Row=4707&amp;Col=1","No Title Assigned - #15269219174")</f>
        <v/>
      </c>
      <c r="B4715" s="0" t="s">
        <v>6487</v>
      </c>
      <c r="E4715" s="0" t="inlineStr">
        <is>
          <t xml:space="preserve">Mazda</t>
        </is>
      </c>
      <c r="F4715" s="0" t="inlineStr">
        <is>
          <t xml:space="preserve">Mazda</t>
        </is>
      </c>
      <c r="G4715" s="0" t="s">
        <v>171</v>
      </c>
      <c r="H4715" s="5">
        <v>1420.351700</v>
      </c>
    </row>
    <row r="4716" spans="1:9">
      <c r="A4716" s="22" t="str">
        <f>HYPERLINK("https://app.vivvix.com/360/KMI/IntelliDrive/ApplUI/Pages/CreativePages/CustomReportCreativeDetail.aspx?App=23&amp;ReportView=4&amp;Qid=1711279&amp;Row=4708&amp;Col=1","No Title Assigned - #15269219222")</f>
        <v/>
      </c>
      <c r="B4716" s="0" t="s">
        <v>6488</v>
      </c>
      <c r="E4716" s="0" t="inlineStr">
        <is>
          <t xml:space="preserve">Mazda</t>
        </is>
      </c>
      <c r="F4716" s="0" t="inlineStr">
        <is>
          <t xml:space="preserve">Mazda</t>
        </is>
      </c>
      <c r="G4716" s="0" t="s">
        <v>171</v>
      </c>
      <c r="H4716" s="5">
        <v>415.206300</v>
      </c>
    </row>
    <row r="4717" spans="1:9">
      <c r="A4717" s="22" t="str">
        <f>HYPERLINK("https://app.vivvix.com/360/KMI/IntelliDrive/ApplUI/Pages/CreativePages/CustomReportCreativeDetail.aspx?App=23&amp;ReportView=4&amp;Qid=1711279&amp;Row=4709&amp;Col=1","No Title Assigned - #15269219222")</f>
        <v/>
      </c>
      <c r="B4717" s="0" t="s">
        <v>6488</v>
      </c>
      <c r="C4717" s="0" t="s">
        <v>6489</v>
      </c>
      <c r="D4717" s="0" t="s">
        <v>6489</v>
      </c>
      <c r="E4717" s="0" t="inlineStr">
        <is>
          <t xml:space="preserve">Mazda</t>
        </is>
      </c>
      <c r="F4717" s="0" t="inlineStr">
        <is>
          <t xml:space="preserve">Mazda</t>
        </is>
      </c>
      <c r="G4717" s="0" t="s">
        <v>171</v>
      </c>
      <c r="H4717" s="5">
        <v>2.450400</v>
      </c>
    </row>
    <row r="4718" spans="1:9">
      <c r="A4718" s="22" t="str">
        <f>HYPERLINK("https://app.vivvix.com/360/KMI/IntelliDrive/ApplUI/Pages/CreativePages/CustomReportCreativeDetail.aspx?App=23&amp;ReportView=4&amp;Qid=1711279&amp;Row=4710&amp;Col=1","No Title Assigned - #15269219225")</f>
        <v/>
      </c>
      <c r="B4718" s="0" t="s">
        <v>6490</v>
      </c>
      <c r="E4718" s="0" t="inlineStr">
        <is>
          <t xml:space="preserve">Mazda</t>
        </is>
      </c>
      <c r="F4718" s="0" t="inlineStr">
        <is>
          <t xml:space="preserve">Mazda</t>
        </is>
      </c>
      <c r="G4718" s="0" t="s">
        <v>171</v>
      </c>
      <c r="H4718" s="5">
        <v>515.926500</v>
      </c>
    </row>
    <row r="4719" spans="1:9">
      <c r="A4719" s="22" t="str">
        <f>HYPERLINK("https://app.vivvix.com/360/KMI/IntelliDrive/ApplUI/Pages/CreativePages/CustomReportCreativeDetail.aspx?App=23&amp;ReportView=4&amp;Qid=1711279&amp;Row=4711&amp;Col=1","No Title Assigned - #15269219902")</f>
        <v/>
      </c>
      <c r="B4719" s="0" t="s">
        <v>6491</v>
      </c>
      <c r="E4719" s="0" t="inlineStr">
        <is>
          <t xml:space="preserve">Mazda</t>
        </is>
      </c>
      <c r="F4719" s="0" t="inlineStr">
        <is>
          <t xml:space="preserve">Mazda</t>
        </is>
      </c>
      <c r="G4719" s="0" t="s">
        <v>171</v>
      </c>
      <c r="H4719" s="5">
        <v>11249.683400</v>
      </c>
    </row>
    <row r="4720" spans="1:9">
      <c r="A4720" s="22" t="str">
        <f>HYPERLINK("https://app.vivvix.com/360/KMI/IntelliDrive/ApplUI/Pages/CreativePages/CustomReportCreativeDetail.aspx?App=23&amp;ReportView=4&amp;Qid=1711279&amp;Row=4712&amp;Col=1","No Title Assigned - #15269219902")</f>
        <v/>
      </c>
      <c r="B4720" s="0" t="s">
        <v>6491</v>
      </c>
      <c r="E4720" s="0" t="inlineStr">
        <is>
          <t xml:space="preserve">Mazda</t>
        </is>
      </c>
      <c r="F4720" s="0" t="inlineStr">
        <is>
          <t xml:space="preserve">Mazda</t>
        </is>
      </c>
      <c r="G4720" s="0" t="s">
        <v>171</v>
      </c>
      <c r="H4720" s="5">
        <v>124.240000</v>
      </c>
    </row>
    <row r="4721" spans="1:9">
      <c r="A4721" s="22" t="str">
        <f>HYPERLINK("https://app.vivvix.com/360/KMI/IntelliDrive/ApplUI/Pages/CreativePages/CustomReportCreativeDetail.aspx?App=23&amp;ReportView=4&amp;Qid=1711279&amp;Row=4713&amp;Col=1","No Title Assigned - #15269220297")</f>
        <v/>
      </c>
      <c r="B4721" s="0" t="s">
        <v>6492</v>
      </c>
      <c r="E4721" s="0" t="inlineStr">
        <is>
          <t xml:space="preserve">Mazda</t>
        </is>
      </c>
      <c r="F4721" s="0" t="inlineStr">
        <is>
          <t xml:space="preserve">Mazda</t>
        </is>
      </c>
      <c r="G4721" s="0" t="s">
        <v>171</v>
      </c>
      <c r="H4721" s="5">
        <v>8.122900</v>
      </c>
    </row>
    <row r="4722" spans="1:9">
      <c r="A4722" s="22" t="str">
        <f>HYPERLINK("https://app.vivvix.com/360/KMI/IntelliDrive/ApplUI/Pages/CreativePages/CustomReportCreativeDetail.aspx?App=23&amp;ReportView=4&amp;Qid=1711279&amp;Row=4714&amp;Col=1","No Title Assigned - #15269221124")</f>
        <v/>
      </c>
      <c r="B4722" s="0" t="s">
        <v>6493</v>
      </c>
      <c r="E4722" s="0" t="inlineStr">
        <is>
          <t xml:space="preserve">Mazda</t>
        </is>
      </c>
      <c r="F4722" s="0" t="inlineStr">
        <is>
          <t xml:space="preserve">Mazda</t>
        </is>
      </c>
      <c r="G4722" s="0" t="s">
        <v>171</v>
      </c>
      <c r="H4722" s="5">
        <v>24071.139500</v>
      </c>
    </row>
    <row r="4723" spans="1:9">
      <c r="A4723" s="22" t="str">
        <f>HYPERLINK("https://app.vivvix.com/360/KMI/IntelliDrive/ApplUI/Pages/CreativePages/CustomReportCreativeDetail.aspx?App=23&amp;ReportView=4&amp;Qid=1711279&amp;Row=4715&amp;Col=1","No Title Assigned - #15269221124")</f>
        <v/>
      </c>
      <c r="B4723" s="0" t="s">
        <v>6493</v>
      </c>
      <c r="E4723" s="0" t="inlineStr">
        <is>
          <t xml:space="preserve">Mazda</t>
        </is>
      </c>
      <c r="F4723" s="0" t="inlineStr">
        <is>
          <t xml:space="preserve">Mazda</t>
        </is>
      </c>
      <c r="G4723" s="0" t="s">
        <v>171</v>
      </c>
      <c r="H4723" s="5">
        <v>1819.888400</v>
      </c>
    </row>
    <row r="4724" spans="1:9">
      <c r="A4724" s="22" t="str">
        <f>HYPERLINK("https://app.vivvix.com/360/KMI/IntelliDrive/ApplUI/Pages/CreativePages/CustomReportCreativeDetail.aspx?App=23&amp;ReportView=4&amp;Qid=1711279&amp;Row=4716&amp;Col=1","No Title Assigned - #15269222060")</f>
        <v/>
      </c>
      <c r="B4724" s="0" t="s">
        <v>6494</v>
      </c>
      <c r="E4724" s="0" t="inlineStr">
        <is>
          <t xml:space="preserve">Mazda</t>
        </is>
      </c>
      <c r="F4724" s="0" t="inlineStr">
        <is>
          <t xml:space="preserve">Mazda</t>
        </is>
      </c>
      <c r="G4724" s="0" t="s">
        <v>171</v>
      </c>
      <c r="H4724" s="5">
        <v>50.318800</v>
      </c>
    </row>
    <row r="4725" spans="1:9">
      <c r="A4725" s="22" t="str">
        <f>HYPERLINK("https://app.vivvix.com/360/KMI/IntelliDrive/ApplUI/Pages/CreativePages/CustomReportCreativeDetail.aspx?App=23&amp;ReportView=4&amp;Qid=1711279&amp;Row=4717&amp;Col=1","No Title Assigned - #15269222125")</f>
        <v/>
      </c>
      <c r="B4725" s="0" t="s">
        <v>6495</v>
      </c>
      <c r="E4725" s="0" t="inlineStr">
        <is>
          <t xml:space="preserve">Mazda</t>
        </is>
      </c>
      <c r="F4725" s="0" t="inlineStr">
        <is>
          <t xml:space="preserve">Mazda</t>
        </is>
      </c>
      <c r="G4725" s="0" t="s">
        <v>171</v>
      </c>
      <c r="H4725" s="5">
        <v>21.833000</v>
      </c>
    </row>
    <row r="4726" spans="1:9">
      <c r="A4726" s="22" t="str">
        <f>HYPERLINK("https://app.vivvix.com/360/KMI/IntelliDrive/ApplUI/Pages/CreativePages/CustomReportCreativeDetail.aspx?App=23&amp;ReportView=4&amp;Qid=1711279&amp;Row=4718&amp;Col=1","No Title Assigned - #15269224347")</f>
        <v/>
      </c>
      <c r="B4726" s="0" t="s">
        <v>6496</v>
      </c>
      <c r="E4726" s="0" t="inlineStr">
        <is>
          <t xml:space="preserve">Mazda</t>
        </is>
      </c>
      <c r="F4726" s="0" t="inlineStr">
        <is>
          <t xml:space="preserve">Mazda</t>
        </is>
      </c>
      <c r="G4726" s="0" t="s">
        <v>171</v>
      </c>
      <c r="H4726" s="5">
        <v>28.811500</v>
      </c>
    </row>
    <row r="4727" spans="1:9">
      <c r="A4727" s="22" t="str">
        <f>HYPERLINK("https://app.vivvix.com/360/KMI/IntelliDrive/ApplUI/Pages/CreativePages/CustomReportCreativeDetail.aspx?App=23&amp;ReportView=4&amp;Qid=1711279&amp;Row=4719&amp;Col=1","No Title Assigned - #15269224524")</f>
        <v/>
      </c>
      <c r="B4727" s="0" t="s">
        <v>6497</v>
      </c>
      <c r="E4727" s="0" t="inlineStr">
        <is>
          <t xml:space="preserve">Mazda</t>
        </is>
      </c>
      <c r="F4727" s="0" t="inlineStr">
        <is>
          <t xml:space="preserve">Mazda</t>
        </is>
      </c>
      <c r="G4727" s="0" t="s">
        <v>171</v>
      </c>
      <c r="H4727" s="5">
        <v>2030.441100</v>
      </c>
    </row>
    <row r="4728" spans="1:9">
      <c r="A4728" s="22" t="str">
        <f>HYPERLINK("https://app.vivvix.com/360/KMI/IntelliDrive/ApplUI/Pages/CreativePages/CustomReportCreativeDetail.aspx?App=23&amp;ReportView=4&amp;Qid=1711279&amp;Row=4720&amp;Col=1","No Title Assigned - #15269224701")</f>
        <v/>
      </c>
      <c r="B4728" s="0" t="s">
        <v>6498</v>
      </c>
      <c r="E4728" s="0" t="inlineStr">
        <is>
          <t xml:space="preserve">Mazda</t>
        </is>
      </c>
      <c r="F4728" s="0" t="inlineStr">
        <is>
          <t xml:space="preserve">Mazda</t>
        </is>
      </c>
      <c r="G4728" s="0" t="s">
        <v>171</v>
      </c>
      <c r="H4728" s="5">
        <v>9685.143900</v>
      </c>
    </row>
    <row r="4729" spans="1:9">
      <c r="A4729" s="22" t="str">
        <f>HYPERLINK("https://app.vivvix.com/360/KMI/IntelliDrive/ApplUI/Pages/CreativePages/CustomReportCreativeDetail.aspx?App=23&amp;ReportView=4&amp;Qid=1711279&amp;Row=4721&amp;Col=1","No Title Assigned - #15269224919")</f>
        <v/>
      </c>
      <c r="B4729" s="0" t="s">
        <v>6499</v>
      </c>
      <c r="E4729" s="0" t="inlineStr">
        <is>
          <t xml:space="preserve">Mazda</t>
        </is>
      </c>
      <c r="F4729" s="0" t="inlineStr">
        <is>
          <t xml:space="preserve">Mazda</t>
        </is>
      </c>
      <c r="G4729" s="0" t="s">
        <v>171</v>
      </c>
      <c r="H4729" s="5">
        <v>663.118000</v>
      </c>
    </row>
    <row r="4730" spans="1:9">
      <c r="A4730" s="22" t="str">
        <f>HYPERLINK("https://app.vivvix.com/360/KMI/IntelliDrive/ApplUI/Pages/CreativePages/CustomReportCreativeDetail.aspx?App=23&amp;ReportView=4&amp;Qid=1711279&amp;Row=4722&amp;Col=1","No Title Assigned - #15269225039")</f>
        <v/>
      </c>
      <c r="B4730" s="0" t="s">
        <v>6500</v>
      </c>
      <c r="E4730" s="0" t="inlineStr">
        <is>
          <t xml:space="preserve">Mazda</t>
        </is>
      </c>
      <c r="F4730" s="0" t="inlineStr">
        <is>
          <t xml:space="preserve">Mazda</t>
        </is>
      </c>
      <c r="G4730" s="0" t="s">
        <v>171</v>
      </c>
      <c r="H4730" s="5">
        <v>103875.092300</v>
      </c>
    </row>
    <row r="4731" spans="1:9">
      <c r="A4731" s="22" t="str">
        <f>HYPERLINK("https://app.vivvix.com/360/KMI/IntelliDrive/ApplUI/Pages/CreativePages/CustomReportCreativeDetail.aspx?App=23&amp;ReportView=4&amp;Qid=1711279&amp;Row=4723&amp;Col=1","No Title Assigned - #15269226302")</f>
        <v/>
      </c>
      <c r="B4731" s="0" t="s">
        <v>6501</v>
      </c>
      <c r="E4731" s="0" t="inlineStr">
        <is>
          <t xml:space="preserve">Mazda</t>
        </is>
      </c>
      <c r="F4731" s="0" t="inlineStr">
        <is>
          <t xml:space="preserve">Mazda</t>
        </is>
      </c>
      <c r="G4731" s="0" t="s">
        <v>171</v>
      </c>
      <c r="H4731" s="5">
        <v>105.685700</v>
      </c>
    </row>
    <row r="4732" spans="1:9">
      <c r="A4732" s="22" t="str">
        <f>HYPERLINK("https://app.vivvix.com/360/KMI/IntelliDrive/ApplUI/Pages/CreativePages/CustomReportCreativeDetail.aspx?App=23&amp;ReportView=4&amp;Qid=1711279&amp;Row=4724&amp;Col=1","No Title Assigned - #15269227592")</f>
        <v/>
      </c>
      <c r="B4732" s="0" t="s">
        <v>6502</v>
      </c>
      <c r="E4732" s="0" t="inlineStr">
        <is>
          <t xml:space="preserve">Mazda</t>
        </is>
      </c>
      <c r="F4732" s="0" t="inlineStr">
        <is>
          <t xml:space="preserve">Mazda</t>
        </is>
      </c>
      <c r="G4732" s="0" t="s">
        <v>171</v>
      </c>
      <c r="H4732" s="5">
        <v>293.242000</v>
      </c>
    </row>
    <row r="4733" spans="1:9">
      <c r="A4733" s="22" t="str">
        <f>HYPERLINK("https://app.vivvix.com/360/KMI/IntelliDrive/ApplUI/Pages/CreativePages/CustomReportCreativeDetail.aspx?App=23&amp;ReportView=4&amp;Qid=1711279&amp;Row=4725&amp;Col=1","No Title Assigned - #15269229365")</f>
        <v/>
      </c>
      <c r="B4733" s="0" t="s">
        <v>6503</v>
      </c>
      <c r="E4733" s="0" t="inlineStr">
        <is>
          <t xml:space="preserve">Mazda</t>
        </is>
      </c>
      <c r="F4733" s="0" t="inlineStr">
        <is>
          <t xml:space="preserve">Mazda</t>
        </is>
      </c>
      <c r="G4733" s="0" t="s">
        <v>171</v>
      </c>
      <c r="H4733" s="5">
        <v>3512.984000</v>
      </c>
    </row>
    <row r="4734" spans="1:9">
      <c r="A4734" s="22" t="str">
        <f>HYPERLINK("https://app.vivvix.com/360/KMI/IntelliDrive/ApplUI/Pages/CreativePages/CustomReportCreativeDetail.aspx?App=23&amp;ReportView=4&amp;Qid=1711279&amp;Row=4726&amp;Col=1","No Title Assigned - #15269234808")</f>
        <v/>
      </c>
      <c r="B4734" s="0" t="s">
        <v>6504</v>
      </c>
      <c r="E4734" s="0" t="inlineStr">
        <is>
          <t xml:space="preserve">Mazda</t>
        </is>
      </c>
      <c r="F4734" s="0" t="inlineStr">
        <is>
          <t xml:space="preserve">Mazda</t>
        </is>
      </c>
      <c r="G4734" s="0" t="s">
        <v>171</v>
      </c>
      <c r="H4734" s="5">
        <v>4207.298800</v>
      </c>
    </row>
    <row r="4735" spans="1:9">
      <c r="A4735" s="22" t="str">
        <f>HYPERLINK("https://app.vivvix.com/360/KMI/IntelliDrive/ApplUI/Pages/CreativePages/CustomReportCreativeDetail.aspx?App=23&amp;ReportView=4&amp;Qid=1711279&amp;Row=4727&amp;Col=1","No Title Assigned - #15269235700")</f>
        <v/>
      </c>
      <c r="B4735" s="0" t="s">
        <v>6505</v>
      </c>
      <c r="E4735" s="0" t="inlineStr">
        <is>
          <t xml:space="preserve">Mazda</t>
        </is>
      </c>
      <c r="F4735" s="0" t="inlineStr">
        <is>
          <t xml:space="preserve">Mazda</t>
        </is>
      </c>
      <c r="G4735" s="0" t="s">
        <v>171</v>
      </c>
      <c r="H4735" s="5">
        <v>8.964700</v>
      </c>
    </row>
    <row r="4736" spans="1:9">
      <c r="A4736" s="22" t="str">
        <f>HYPERLINK("https://app.vivvix.com/360/KMI/IntelliDrive/ApplUI/Pages/CreativePages/CustomReportCreativeDetail.aspx?App=23&amp;ReportView=4&amp;Qid=1711279&amp;Row=4728&amp;Col=1","No Title Assigned - #15269235737")</f>
        <v/>
      </c>
      <c r="B4736" s="0" t="s">
        <v>6506</v>
      </c>
      <c r="E4736" s="0" t="inlineStr">
        <is>
          <t xml:space="preserve">Mazda</t>
        </is>
      </c>
      <c r="F4736" s="0" t="inlineStr">
        <is>
          <t xml:space="preserve">Mazda</t>
        </is>
      </c>
      <c r="G4736" s="0" t="s">
        <v>171</v>
      </c>
      <c r="H4736" s="5">
        <v>140566.569500</v>
      </c>
    </row>
    <row r="4737" spans="1:9">
      <c r="A4737" s="22" t="str">
        <f>HYPERLINK("https://app.vivvix.com/360/KMI/IntelliDrive/ApplUI/Pages/CreativePages/CustomReportCreativeDetail.aspx?App=23&amp;ReportView=4&amp;Qid=1711279&amp;Row=4729&amp;Col=1","No Title Assigned - #15269237012")</f>
        <v/>
      </c>
      <c r="B4737" s="0" t="s">
        <v>6507</v>
      </c>
      <c r="E4737" s="0" t="inlineStr">
        <is>
          <t xml:space="preserve">Mazda</t>
        </is>
      </c>
      <c r="F4737" s="0" t="inlineStr">
        <is>
          <t xml:space="preserve">Mazda</t>
        </is>
      </c>
      <c r="G4737" s="0" t="s">
        <v>171</v>
      </c>
      <c r="H4737" s="5">
        <v>188.208400</v>
      </c>
    </row>
    <row r="4738" spans="1:9">
      <c r="A4738" s="22" t="str">
        <f>HYPERLINK("https://app.vivvix.com/360/KMI/IntelliDrive/ApplUI/Pages/CreativePages/CustomReportCreativeDetail.aspx?App=23&amp;ReportView=4&amp;Qid=1711279&amp;Row=4730&amp;Col=1","No Title Assigned - #15269237170")</f>
        <v/>
      </c>
      <c r="B4738" s="0" t="s">
        <v>6508</v>
      </c>
      <c r="E4738" s="0" t="inlineStr">
        <is>
          <t xml:space="preserve">Mazda</t>
        </is>
      </c>
      <c r="F4738" s="0" t="inlineStr">
        <is>
          <t xml:space="preserve">Mazda</t>
        </is>
      </c>
      <c r="G4738" s="0" t="s">
        <v>171</v>
      </c>
      <c r="H4738" s="5">
        <v>1787.314600</v>
      </c>
    </row>
    <row r="4739" spans="1:9">
      <c r="A4739" s="22" t="str">
        <f>HYPERLINK("https://app.vivvix.com/360/KMI/IntelliDrive/ApplUI/Pages/CreativePages/CustomReportCreativeDetail.aspx?App=23&amp;ReportView=4&amp;Qid=1711279&amp;Row=4731&amp;Col=1","No Title Assigned - #15269237674")</f>
        <v/>
      </c>
      <c r="B4739" s="0" t="s">
        <v>6509</v>
      </c>
      <c r="E4739" s="0" t="inlineStr">
        <is>
          <t xml:space="preserve">Mazda</t>
        </is>
      </c>
      <c r="F4739" s="0" t="inlineStr">
        <is>
          <t xml:space="preserve">Mazda</t>
        </is>
      </c>
      <c r="G4739" s="0" t="s">
        <v>171</v>
      </c>
      <c r="H4739" s="5">
        <v>117.145700</v>
      </c>
    </row>
    <row r="4740" spans="1:9">
      <c r="A4740" s="22" t="str">
        <f>HYPERLINK("https://app.vivvix.com/360/KMI/IntelliDrive/ApplUI/Pages/CreativePages/CustomReportCreativeDetail.aspx?App=23&amp;ReportView=4&amp;Qid=1711279&amp;Row=4732&amp;Col=1","No Title Assigned - #15269237889")</f>
        <v/>
      </c>
      <c r="B4740" s="0" t="s">
        <v>6510</v>
      </c>
      <c r="E4740" s="0" t="inlineStr">
        <is>
          <t xml:space="preserve">Mazda</t>
        </is>
      </c>
      <c r="F4740" s="0" t="inlineStr">
        <is>
          <t xml:space="preserve">Mazda</t>
        </is>
      </c>
      <c r="G4740" s="0" t="s">
        <v>171</v>
      </c>
      <c r="H4740" s="5">
        <v>88.912400</v>
      </c>
    </row>
    <row r="4741" spans="1:9">
      <c r="A4741" s="22" t="str">
        <f>HYPERLINK("https://app.vivvix.com/360/KMI/IntelliDrive/ApplUI/Pages/CreativePages/CustomReportCreativeDetail.aspx?App=23&amp;ReportView=4&amp;Qid=1711279&amp;Row=4733&amp;Col=1","No Title Assigned - #15269238235")</f>
        <v/>
      </c>
      <c r="B4741" s="0" t="s">
        <v>6511</v>
      </c>
      <c r="E4741" s="0" t="inlineStr">
        <is>
          <t xml:space="preserve">Mazda</t>
        </is>
      </c>
      <c r="F4741" s="0" t="inlineStr">
        <is>
          <t xml:space="preserve">Mazda</t>
        </is>
      </c>
      <c r="G4741" s="0" t="s">
        <v>171</v>
      </c>
      <c r="H4741" s="5">
        <v>53.485800</v>
      </c>
    </row>
    <row r="4742" spans="1:9">
      <c r="A4742" s="22" t="str">
        <f>HYPERLINK("https://app.vivvix.com/360/KMI/IntelliDrive/ApplUI/Pages/CreativePages/CustomReportCreativeDetail.aspx?App=23&amp;ReportView=4&amp;Qid=1711279&amp;Row=4734&amp;Col=1","No Title Assigned - #15269238527")</f>
        <v/>
      </c>
      <c r="B4742" s="0" t="s">
        <v>6512</v>
      </c>
      <c r="E4742" s="0" t="inlineStr">
        <is>
          <t xml:space="preserve">Mazda</t>
        </is>
      </c>
      <c r="F4742" s="0" t="inlineStr">
        <is>
          <t xml:space="preserve">Mazda</t>
        </is>
      </c>
      <c r="G4742" s="0" t="s">
        <v>171</v>
      </c>
      <c r="H4742" s="5">
        <v>29.545700</v>
      </c>
    </row>
    <row r="4743" spans="1:9">
      <c r="A4743" s="22" t="str">
        <f>HYPERLINK("https://app.vivvix.com/360/KMI/IntelliDrive/ApplUI/Pages/CreativePages/CustomReportCreativeDetail.aspx?App=23&amp;ReportView=4&amp;Qid=1711279&amp;Row=4735&amp;Col=1","No Title Assigned - #15269238881")</f>
        <v/>
      </c>
      <c r="B4743" s="0" t="s">
        <v>6513</v>
      </c>
      <c r="E4743" s="0" t="inlineStr">
        <is>
          <t xml:space="preserve">Mazda</t>
        </is>
      </c>
      <c r="F4743" s="0" t="inlineStr">
        <is>
          <t xml:space="preserve">Mazda</t>
        </is>
      </c>
      <c r="G4743" s="0" t="s">
        <v>171</v>
      </c>
      <c r="H4743" s="5">
        <v>128.658700</v>
      </c>
    </row>
    <row r="4744" spans="1:9">
      <c r="A4744" s="22" t="str">
        <f>HYPERLINK("https://app.vivvix.com/360/KMI/IntelliDrive/ApplUI/Pages/CreativePages/CustomReportCreativeDetail.aspx?App=23&amp;ReportView=4&amp;Qid=1711279&amp;Row=4736&amp;Col=1","No Title Assigned - #15269239683")</f>
        <v/>
      </c>
      <c r="B4744" s="0" t="s">
        <v>6514</v>
      </c>
      <c r="E4744" s="0" t="inlineStr">
        <is>
          <t xml:space="preserve">Mazda</t>
        </is>
      </c>
      <c r="F4744" s="0" t="inlineStr">
        <is>
          <t xml:space="preserve">Mazda</t>
        </is>
      </c>
      <c r="G4744" s="0" t="s">
        <v>171</v>
      </c>
      <c r="H4744" s="5">
        <v>142.106300</v>
      </c>
    </row>
    <row r="4745" spans="1:9">
      <c r="A4745" s="22" t="str">
        <f>HYPERLINK("https://app.vivvix.com/360/KMI/IntelliDrive/ApplUI/Pages/CreativePages/CustomReportCreativeDetail.aspx?App=23&amp;ReportView=4&amp;Qid=1711279&amp;Row=4737&amp;Col=1","No Title Assigned - #15269241394")</f>
        <v/>
      </c>
      <c r="B4745" s="0" t="s">
        <v>6515</v>
      </c>
      <c r="E4745" s="0" t="inlineStr">
        <is>
          <t xml:space="preserve">Mazda</t>
        </is>
      </c>
      <c r="F4745" s="0" t="inlineStr">
        <is>
          <t xml:space="preserve">Mazda</t>
        </is>
      </c>
      <c r="G4745" s="0" t="s">
        <v>171</v>
      </c>
      <c r="H4745" s="5">
        <v>386.997500</v>
      </c>
    </row>
    <row r="4746" spans="1:9">
      <c r="A4746" s="22" t="str">
        <f>HYPERLINK("https://app.vivvix.com/360/KMI/IntelliDrive/ApplUI/Pages/CreativePages/CustomReportCreativeDetail.aspx?App=23&amp;ReportView=4&amp;Qid=1711279&amp;Row=4738&amp;Col=1","No Title Assigned - #15269241461")</f>
        <v/>
      </c>
      <c r="B4746" s="0" t="s">
        <v>6516</v>
      </c>
      <c r="C4746" s="0" t="s">
        <v>6517</v>
      </c>
      <c r="D4746" s="0" t="s">
        <v>6517</v>
      </c>
      <c r="E4746" s="0" t="inlineStr">
        <is>
          <t xml:space="preserve">Mazda</t>
        </is>
      </c>
      <c r="F4746" s="0" t="inlineStr">
        <is>
          <t xml:space="preserve">Mazda</t>
        </is>
      </c>
      <c r="G4746" s="0" t="s">
        <v>171</v>
      </c>
      <c r="H4746" s="5">
        <v>4271.280400</v>
      </c>
    </row>
    <row r="4747" spans="1:9">
      <c r="A4747" s="22" t="str">
        <f>HYPERLINK("https://app.vivvix.com/360/KMI/IntelliDrive/ApplUI/Pages/CreativePages/CustomReportCreativeDetail.aspx?App=23&amp;ReportView=4&amp;Qid=1711279&amp;Row=4739&amp;Col=1","No Title Assigned - #15269241461")</f>
        <v/>
      </c>
      <c r="B4747" s="0" t="s">
        <v>6516</v>
      </c>
      <c r="E4747" s="0" t="inlineStr">
        <is>
          <t xml:space="preserve">Mazda</t>
        </is>
      </c>
      <c r="F4747" s="0" t="inlineStr">
        <is>
          <t xml:space="preserve">Mazda</t>
        </is>
      </c>
      <c r="G4747" s="0" t="s">
        <v>171</v>
      </c>
      <c r="H4747" s="5">
        <v>554.249600</v>
      </c>
    </row>
    <row r="4748" spans="1:9">
      <c r="A4748" s="22" t="str">
        <f>HYPERLINK("https://app.vivvix.com/360/KMI/IntelliDrive/ApplUI/Pages/CreativePages/CustomReportCreativeDetail.aspx?App=23&amp;ReportView=4&amp;Qid=1711279&amp;Row=4740&amp;Col=1","No Title Assigned - #15269244605")</f>
        <v/>
      </c>
      <c r="B4748" s="0" t="s">
        <v>6518</v>
      </c>
      <c r="E4748" s="0" t="inlineStr">
        <is>
          <t xml:space="preserve">Mazda</t>
        </is>
      </c>
      <c r="F4748" s="0" t="inlineStr">
        <is>
          <t xml:space="preserve">Mazda</t>
        </is>
      </c>
      <c r="G4748" s="0" t="s">
        <v>171</v>
      </c>
      <c r="H4748" s="5">
        <v>8.964700</v>
      </c>
    </row>
    <row r="4749" spans="1:9">
      <c r="A4749" s="22" t="str">
        <f>HYPERLINK("https://app.vivvix.com/360/KMI/IntelliDrive/ApplUI/Pages/CreativePages/CustomReportCreativeDetail.aspx?App=23&amp;ReportView=4&amp;Qid=1711279&amp;Row=4741&amp;Col=1","No Title Assigned - #15269246052")</f>
        <v/>
      </c>
      <c r="B4749" s="0" t="s">
        <v>6519</v>
      </c>
      <c r="C4749" s="0" t="s">
        <v>6520</v>
      </c>
      <c r="D4749" s="0" t="s">
        <v>4333</v>
      </c>
      <c r="E4749" s="0" t="inlineStr">
        <is>
          <t xml:space="preserve">Mazda</t>
        </is>
      </c>
      <c r="F4749" s="0" t="s">
        <v>28</v>
      </c>
      <c r="G4749" s="0" t="s">
        <v>29</v>
      </c>
      <c r="H4749" s="5">
        <v>62.573400</v>
      </c>
    </row>
    <row r="4750" spans="1:9">
      <c r="A4750" s="22" t="str">
        <f>HYPERLINK("https://app.vivvix.com/360/KMI/IntelliDrive/ApplUI/Pages/CreativePages/CustomReportCreativeDetail.aspx?App=23&amp;ReportView=4&amp;Qid=1711279&amp;Row=4742&amp;Col=1","No Title Assigned - #15269249640")</f>
        <v/>
      </c>
      <c r="B4750" s="0" t="s">
        <v>6521</v>
      </c>
      <c r="E4750" s="0" t="inlineStr">
        <is>
          <t xml:space="preserve">Mazda</t>
        </is>
      </c>
      <c r="F4750" s="0" t="inlineStr">
        <is>
          <t xml:space="preserve">Mazda</t>
        </is>
      </c>
      <c r="G4750" s="0" t="s">
        <v>171</v>
      </c>
      <c r="H4750" s="5">
        <v>1945.859100</v>
      </c>
    </row>
    <row r="4751" spans="1:9">
      <c r="A4751" s="22" t="str">
        <f>HYPERLINK("https://app.vivvix.com/360/KMI/IntelliDrive/ApplUI/Pages/CreativePages/CustomReportCreativeDetail.aspx?App=23&amp;ReportView=4&amp;Qid=1711279&amp;Row=4743&amp;Col=1","No Title Assigned - #15269251016")</f>
        <v/>
      </c>
      <c r="B4751" s="0" t="s">
        <v>6522</v>
      </c>
      <c r="E4751" s="0" t="inlineStr">
        <is>
          <t xml:space="preserve">Mazda</t>
        </is>
      </c>
      <c r="F4751" s="0" t="inlineStr">
        <is>
          <t xml:space="preserve">Mazda</t>
        </is>
      </c>
      <c r="G4751" s="0" t="s">
        <v>171</v>
      </c>
      <c r="H4751" s="5">
        <v>17.295300</v>
      </c>
    </row>
    <row r="4752" spans="1:9">
      <c r="A4752" s="22" t="str">
        <f>HYPERLINK("https://app.vivvix.com/360/KMI/IntelliDrive/ApplUI/Pages/CreativePages/CustomReportCreativeDetail.aspx?App=23&amp;ReportView=4&amp;Qid=1711279&amp;Row=4744&amp;Col=1","No Title Assigned - #15269251189")</f>
        <v/>
      </c>
      <c r="B4752" s="0" t="s">
        <v>6523</v>
      </c>
      <c r="E4752" s="0" t="inlineStr">
        <is>
          <t xml:space="preserve">Mazda</t>
        </is>
      </c>
      <c r="F4752" s="0" t="inlineStr">
        <is>
          <t xml:space="preserve">Mazda</t>
        </is>
      </c>
      <c r="G4752" s="0" t="s">
        <v>171</v>
      </c>
      <c r="H4752" s="5">
        <v>46.407700</v>
      </c>
    </row>
    <row r="4753" spans="1:9">
      <c r="A4753" s="22" t="str">
        <f>HYPERLINK("https://app.vivvix.com/360/KMI/IntelliDrive/ApplUI/Pages/CreativePages/CustomReportCreativeDetail.aspx?App=23&amp;ReportView=4&amp;Qid=1711279&amp;Row=4745&amp;Col=1","No Title Assigned - #15269252579")</f>
        <v/>
      </c>
      <c r="B4753" s="0" t="s">
        <v>6524</v>
      </c>
      <c r="C4753" s="0" t="s">
        <v>6525</v>
      </c>
      <c r="D4753" s="0" t="s">
        <v>6525</v>
      </c>
      <c r="E4753" s="0" t="inlineStr">
        <is>
          <t xml:space="preserve">Mazda</t>
        </is>
      </c>
      <c r="F4753" s="0" t="inlineStr">
        <is>
          <t xml:space="preserve">Mazda</t>
        </is>
      </c>
      <c r="G4753" s="0" t="s">
        <v>171</v>
      </c>
      <c r="H4753" s="5">
        <v>14830.576300</v>
      </c>
    </row>
    <row r="4754" spans="1:9">
      <c r="A4754" s="22" t="str">
        <f>HYPERLINK("https://app.vivvix.com/360/KMI/IntelliDrive/ApplUI/Pages/CreativePages/CustomReportCreativeDetail.aspx?App=23&amp;ReportView=4&amp;Qid=1711279&amp;Row=4746&amp;Col=1","No Title Assigned - #15269252579")</f>
        <v/>
      </c>
      <c r="B4754" s="0" t="s">
        <v>6524</v>
      </c>
      <c r="E4754" s="0" t="inlineStr">
        <is>
          <t xml:space="preserve">Mazda</t>
        </is>
      </c>
      <c r="F4754" s="0" t="inlineStr">
        <is>
          <t xml:space="preserve">Mazda</t>
        </is>
      </c>
      <c r="G4754" s="0" t="s">
        <v>171</v>
      </c>
      <c r="H4754" s="5">
        <v>70.160200</v>
      </c>
    </row>
    <row r="4755" spans="1:9">
      <c r="A4755" s="22" t="str">
        <f>HYPERLINK("https://app.vivvix.com/360/KMI/IntelliDrive/ApplUI/Pages/CreativePages/CustomReportCreativeDetail.aspx?App=23&amp;ReportView=4&amp;Qid=1711279&amp;Row=4747&amp;Col=1","No Title Assigned - #15269252887")</f>
        <v/>
      </c>
      <c r="B4755" s="0" t="s">
        <v>6526</v>
      </c>
      <c r="E4755" s="0" t="inlineStr">
        <is>
          <t xml:space="preserve">Mazda</t>
        </is>
      </c>
      <c r="F4755" s="0" t="inlineStr">
        <is>
          <t xml:space="preserve">Mazda</t>
        </is>
      </c>
      <c r="G4755" s="0" t="s">
        <v>171</v>
      </c>
      <c r="H4755" s="5">
        <v>1306.161300</v>
      </c>
    </row>
    <row r="4756" spans="1:9">
      <c r="A4756" s="22" t="str">
        <f>HYPERLINK("https://app.vivvix.com/360/KMI/IntelliDrive/ApplUI/Pages/CreativePages/CustomReportCreativeDetail.aspx?App=23&amp;ReportView=4&amp;Qid=1711279&amp;Row=4748&amp;Col=1","No Title Assigned - #15269258239")</f>
        <v/>
      </c>
      <c r="B4756" s="0" t="s">
        <v>6527</v>
      </c>
      <c r="C4756" s="0" t="s">
        <v>6528</v>
      </c>
      <c r="D4756" s="0" t="s">
        <v>6528</v>
      </c>
      <c r="E4756" s="0" t="inlineStr">
        <is>
          <t xml:space="preserve">Mazda</t>
        </is>
      </c>
      <c r="F4756" s="0" t="s">
        <v>28</v>
      </c>
      <c r="G4756" s="0" t="s">
        <v>29</v>
      </c>
      <c r="H4756" s="5">
        <v>1191.297000</v>
      </c>
    </row>
    <row r="4757" spans="1:9">
      <c r="A4757" s="22" t="str">
        <f>HYPERLINK("https://app.vivvix.com/360/KMI/IntelliDrive/ApplUI/Pages/CreativePages/CustomReportCreativeDetail.aspx?App=23&amp;ReportView=4&amp;Qid=1711279&amp;Row=4749&amp;Col=1","No Title Assigned - #15269258713")</f>
        <v/>
      </c>
      <c r="B4757" s="0" t="s">
        <v>6529</v>
      </c>
      <c r="C4757" s="0" t="s">
        <v>6530</v>
      </c>
      <c r="D4757" s="0" t="s">
        <v>6530</v>
      </c>
      <c r="E4757" s="0" t="inlineStr">
        <is>
          <t xml:space="preserve">Mazda</t>
        </is>
      </c>
      <c r="F4757" s="0" t="s">
        <v>13</v>
      </c>
      <c r="G4757" s="0" t="s">
        <v>49</v>
      </c>
      <c r="H4757" s="5">
        <v>7401.119000</v>
      </c>
    </row>
    <row r="4758" spans="1:9">
      <c r="A4758" s="22" t="str">
        <f>HYPERLINK("https://app.vivvix.com/360/KMI/IntelliDrive/ApplUI/Pages/CreativePages/CustomReportCreativeDetail.aspx?App=23&amp;ReportView=4&amp;Qid=1711279&amp;Row=4750&amp;Col=1","No Title Assigned - #15269258994")</f>
        <v/>
      </c>
      <c r="B4758" s="0" t="s">
        <v>6531</v>
      </c>
      <c r="C4758" s="0" t="s">
        <v>6532</v>
      </c>
      <c r="D4758" s="0" t="s">
        <v>4333</v>
      </c>
      <c r="E4758" s="0" t="inlineStr">
        <is>
          <t xml:space="preserve">Mazda</t>
        </is>
      </c>
      <c r="F4758" s="0" t="s">
        <v>28</v>
      </c>
      <c r="G4758" s="0" t="s">
        <v>29</v>
      </c>
      <c r="H4758" s="5">
        <v>562.529400</v>
      </c>
    </row>
    <row r="4759" spans="1:9">
      <c r="A4759" s="22" t="str">
        <f>HYPERLINK("https://app.vivvix.com/360/KMI/IntelliDrive/ApplUI/Pages/CreativePages/CustomReportCreativeDetail.aspx?App=23&amp;ReportView=4&amp;Qid=1711279&amp;Row=4751&amp;Col=1","No Title Assigned - #15269259858")</f>
        <v/>
      </c>
      <c r="B4759" s="0" t="s">
        <v>6533</v>
      </c>
      <c r="C4759" s="0" t="s">
        <v>6534</v>
      </c>
      <c r="D4759" s="0" t="s">
        <v>6534</v>
      </c>
      <c r="E4759" s="0" t="inlineStr">
        <is>
          <t xml:space="preserve">Mazda</t>
        </is>
      </c>
      <c r="F4759" s="0" t="inlineStr">
        <is>
          <t xml:space="preserve">Mazda</t>
        </is>
      </c>
      <c r="G4759" s="0" t="s">
        <v>210</v>
      </c>
      <c r="H4759" s="5">
        <v>912.717500</v>
      </c>
    </row>
    <row r="4760" spans="1:9">
      <c r="A4760" s="22" t="str">
        <f>HYPERLINK("https://app.vivvix.com/360/KMI/IntelliDrive/ApplUI/Pages/CreativePages/CustomReportCreativeDetail.aspx?App=23&amp;ReportView=4&amp;Qid=1711279&amp;Row=4752&amp;Col=1","No Title Assigned - #15269260034")</f>
        <v/>
      </c>
      <c r="B4760" s="0" t="s">
        <v>6535</v>
      </c>
      <c r="C4760" s="0" t="s">
        <v>6536</v>
      </c>
      <c r="D4760" s="0" t="s">
        <v>6536</v>
      </c>
      <c r="E4760" s="0" t="inlineStr">
        <is>
          <t xml:space="preserve">Mazda</t>
        </is>
      </c>
      <c r="F4760" s="0" t="s">
        <v>28</v>
      </c>
      <c r="G4760" s="0" t="s">
        <v>29</v>
      </c>
      <c r="H4760" s="5">
        <v>262.426200</v>
      </c>
    </row>
    <row r="4761" spans="1:9">
      <c r="A4761" s="22" t="str">
        <f>HYPERLINK("https://app.vivvix.com/360/KMI/IntelliDrive/ApplUI/Pages/CreativePages/CustomReportCreativeDetail.aspx?App=23&amp;ReportView=4&amp;Qid=1711279&amp;Row=4753&amp;Col=1","No Title Assigned - #15269260481")</f>
        <v/>
      </c>
      <c r="B4761" s="0" t="s">
        <v>6537</v>
      </c>
      <c r="C4761" s="0" t="s">
        <v>6538</v>
      </c>
      <c r="D4761" s="0" t="s">
        <v>4200</v>
      </c>
      <c r="E4761" s="0" t="inlineStr">
        <is>
          <t xml:space="preserve">Mazda</t>
        </is>
      </c>
      <c r="F4761" s="0" t="s">
        <v>28</v>
      </c>
      <c r="G4761" s="0" t="s">
        <v>29</v>
      </c>
      <c r="H4761" s="5">
        <v>41.106500</v>
      </c>
    </row>
    <row r="4762" spans="1:9">
      <c r="A4762" s="22" t="str">
        <f>HYPERLINK("https://app.vivvix.com/360/KMI/IntelliDrive/ApplUI/Pages/CreativePages/CustomReportCreativeDetail.aspx?App=23&amp;ReportView=4&amp;Qid=1711279&amp;Row=4754&amp;Col=1","No Title Assigned - #15269260602")</f>
        <v/>
      </c>
      <c r="B4762" s="0" t="s">
        <v>6539</v>
      </c>
      <c r="C4762" s="0" t="s">
        <v>6540</v>
      </c>
      <c r="D4762" s="0" t="s">
        <v>6540</v>
      </c>
      <c r="E4762" s="0" t="inlineStr">
        <is>
          <t xml:space="preserve">Mazda</t>
        </is>
      </c>
      <c r="F4762" s="0" t="s">
        <v>28</v>
      </c>
      <c r="G4762" s="0" t="s">
        <v>29</v>
      </c>
      <c r="H4762" s="5">
        <v>502.875100</v>
      </c>
    </row>
    <row r="4763" spans="1:9">
      <c r="A4763" s="22" t="str">
        <f>HYPERLINK("https://app.vivvix.com/360/KMI/IntelliDrive/ApplUI/Pages/CreativePages/CustomReportCreativeDetail.aspx?App=23&amp;ReportView=4&amp;Qid=1711279&amp;Row=4755&amp;Col=1","No Title Assigned - #15269261795")</f>
        <v/>
      </c>
      <c r="B4763" s="0" t="s">
        <v>6541</v>
      </c>
      <c r="E4763" s="0" t="inlineStr">
        <is>
          <t xml:space="preserve">Mazda</t>
        </is>
      </c>
      <c r="F4763" s="0" t="inlineStr">
        <is>
          <t xml:space="preserve">Mazda</t>
        </is>
      </c>
      <c r="G4763" s="0" t="s">
        <v>171</v>
      </c>
      <c r="H4763" s="5">
        <v>91.629000</v>
      </c>
    </row>
    <row r="4764" spans="1:9">
      <c r="A4764" s="22" t="str">
        <f>HYPERLINK("https://app.vivvix.com/360/KMI/IntelliDrive/ApplUI/Pages/CreativePages/CustomReportCreativeDetail.aspx?App=23&amp;ReportView=4&amp;Qid=1711279&amp;Row=4756&amp;Col=1","No Title Assigned - #15269263261")</f>
        <v/>
      </c>
      <c r="B4764" s="0" t="s">
        <v>6542</v>
      </c>
      <c r="E4764" s="0" t="inlineStr">
        <is>
          <t xml:space="preserve">Mazda</t>
        </is>
      </c>
      <c r="F4764" s="0" t="inlineStr">
        <is>
          <t xml:space="preserve">Mazda</t>
        </is>
      </c>
      <c r="G4764" s="0" t="s">
        <v>171</v>
      </c>
      <c r="H4764" s="5">
        <v>110.028900</v>
      </c>
    </row>
    <row r="4765" spans="1:9">
      <c r="A4765" s="22" t="str">
        <f>HYPERLINK("https://app.vivvix.com/360/KMI/IntelliDrive/ApplUI/Pages/CreativePages/CustomReportCreativeDetail.aspx?App=23&amp;ReportView=4&amp;Qid=1711279&amp;Row=4757&amp;Col=1","No Title Assigned - #15269263518")</f>
        <v/>
      </c>
      <c r="B4765" s="0" t="s">
        <v>6543</v>
      </c>
      <c r="E4765" s="0" t="inlineStr">
        <is>
          <t xml:space="preserve">Mazda</t>
        </is>
      </c>
      <c r="F4765" s="0" t="inlineStr">
        <is>
          <t xml:space="preserve">Mazda</t>
        </is>
      </c>
      <c r="G4765" s="0" t="s">
        <v>171</v>
      </c>
      <c r="H4765" s="5">
        <v>211.110800</v>
      </c>
    </row>
    <row r="4766" spans="1:9">
      <c r="A4766" s="22" t="str">
        <f>HYPERLINK("https://app.vivvix.com/360/KMI/IntelliDrive/ApplUI/Pages/CreativePages/CustomReportCreativeDetail.aspx?App=23&amp;ReportView=4&amp;Qid=1711279&amp;Row=4758&amp;Col=1","No Title Assigned - #15269263760")</f>
        <v/>
      </c>
      <c r="B4766" s="0" t="s">
        <v>6544</v>
      </c>
      <c r="E4766" s="0" t="inlineStr">
        <is>
          <t xml:space="preserve">Mazda</t>
        </is>
      </c>
      <c r="F4766" s="0" t="inlineStr">
        <is>
          <t xml:space="preserve">Mazda</t>
        </is>
      </c>
      <c r="G4766" s="0" t="s">
        <v>171</v>
      </c>
      <c r="H4766" s="5">
        <v>315.848800</v>
      </c>
    </row>
    <row r="4767" spans="1:9">
      <c r="A4767" s="22" t="str">
        <f>HYPERLINK("https://app.vivvix.com/360/KMI/IntelliDrive/ApplUI/Pages/CreativePages/CustomReportCreativeDetail.aspx?App=23&amp;ReportView=4&amp;Qid=1711279&amp;Row=4759&amp;Col=1","No Title Assigned - #15269263775")</f>
        <v/>
      </c>
      <c r="B4767" s="0" t="s">
        <v>6545</v>
      </c>
      <c r="E4767" s="0" t="inlineStr">
        <is>
          <t xml:space="preserve">Mazda</t>
        </is>
      </c>
      <c r="F4767" s="0" t="inlineStr">
        <is>
          <t xml:space="preserve">Mazda</t>
        </is>
      </c>
      <c r="G4767" s="0" t="s">
        <v>171</v>
      </c>
      <c r="H4767" s="5">
        <v>2998.564800</v>
      </c>
    </row>
    <row r="4768" spans="1:9">
      <c r="A4768" s="22" t="str">
        <f>HYPERLINK("https://app.vivvix.com/360/KMI/IntelliDrive/ApplUI/Pages/CreativePages/CustomReportCreativeDetail.aspx?App=23&amp;ReportView=4&amp;Qid=1711279&amp;Row=4760&amp;Col=1","No Title Assigned - #15269263775")</f>
        <v/>
      </c>
      <c r="B4768" s="0" t="s">
        <v>6545</v>
      </c>
      <c r="E4768" s="0" t="inlineStr">
        <is>
          <t xml:space="preserve">Mazda</t>
        </is>
      </c>
      <c r="F4768" s="0" t="inlineStr">
        <is>
          <t xml:space="preserve">Mazda</t>
        </is>
      </c>
      <c r="G4768" s="0" t="s">
        <v>171</v>
      </c>
      <c r="H4768" s="5">
        <v>518.031800</v>
      </c>
    </row>
    <row r="4769" spans="1:9">
      <c r="A4769" s="22" t="str">
        <f>HYPERLINK("https://app.vivvix.com/360/KMI/IntelliDrive/ApplUI/Pages/CreativePages/CustomReportCreativeDetail.aspx?App=23&amp;ReportView=4&amp;Qid=1711279&amp;Row=4761&amp;Col=1","No Title Assigned - #15269263976")</f>
        <v/>
      </c>
      <c r="B4769" s="0" t="s">
        <v>6546</v>
      </c>
      <c r="C4769" s="0" t="s">
        <v>6547</v>
      </c>
      <c r="D4769" s="0" t="s">
        <v>6547</v>
      </c>
      <c r="E4769" s="0" t="inlineStr">
        <is>
          <t xml:space="preserve">Mazda</t>
        </is>
      </c>
      <c r="F4769" s="0" t="inlineStr">
        <is>
          <t xml:space="preserve">Mazda</t>
        </is>
      </c>
      <c r="G4769" s="0" t="s">
        <v>171</v>
      </c>
      <c r="H4769" s="5">
        <v>400.144200</v>
      </c>
    </row>
    <row r="4770" spans="1:9">
      <c r="A4770" s="22" t="str">
        <f>HYPERLINK("https://app.vivvix.com/360/KMI/IntelliDrive/ApplUI/Pages/CreativePages/CustomReportCreativeDetail.aspx?App=23&amp;ReportView=4&amp;Qid=1711279&amp;Row=4762&amp;Col=1","No Title Assigned - #15269264339")</f>
        <v/>
      </c>
      <c r="B4770" s="0" t="s">
        <v>6548</v>
      </c>
      <c r="C4770" s="0" t="s">
        <v>6549</v>
      </c>
      <c r="D4770" s="0" t="s">
        <v>6549</v>
      </c>
      <c r="E4770" s="0" t="inlineStr">
        <is>
          <t xml:space="preserve">Mazda</t>
        </is>
      </c>
      <c r="F4770" s="0" t="s">
        <v>28</v>
      </c>
      <c r="G4770" s="0" t="s">
        <v>29</v>
      </c>
      <c r="H4770" s="5">
        <v>21112.828500</v>
      </c>
    </row>
    <row r="4771" spans="1:9">
      <c r="A4771" s="22" t="str">
        <f>HYPERLINK("https://app.vivvix.com/360/KMI/IntelliDrive/ApplUI/Pages/CreativePages/CustomReportCreativeDetail.aspx?App=23&amp;ReportView=4&amp;Qid=1711279&amp;Row=4763&amp;Col=1","No Title Assigned - #15269264454")</f>
        <v/>
      </c>
      <c r="B4771" s="0" t="s">
        <v>6550</v>
      </c>
      <c r="E4771" s="0" t="inlineStr">
        <is>
          <t xml:space="preserve">Mazda</t>
        </is>
      </c>
      <c r="F4771" s="0" t="inlineStr">
        <is>
          <t xml:space="preserve">Mazda</t>
        </is>
      </c>
      <c r="G4771" s="0" t="s">
        <v>171</v>
      </c>
      <c r="H4771" s="5">
        <v>17.214300</v>
      </c>
    </row>
    <row r="4772" spans="1:9">
      <c r="A4772" s="22" t="str">
        <f>HYPERLINK("https://app.vivvix.com/360/KMI/IntelliDrive/ApplUI/Pages/CreativePages/CustomReportCreativeDetail.aspx?App=23&amp;ReportView=4&amp;Qid=1711279&amp;Row=4764&amp;Col=1","No Title Assigned - #15269264693")</f>
        <v/>
      </c>
      <c r="B4772" s="0" t="s">
        <v>6551</v>
      </c>
      <c r="E4772" s="0" t="inlineStr">
        <is>
          <t xml:space="preserve">Mazda</t>
        </is>
      </c>
      <c r="F4772" s="0" t="inlineStr">
        <is>
          <t xml:space="preserve">Mazda</t>
        </is>
      </c>
      <c r="G4772" s="0" t="s">
        <v>171</v>
      </c>
      <c r="H4772" s="5">
        <v>629.140900</v>
      </c>
    </row>
    <row r="4773" spans="1:9">
      <c r="A4773" s="22" t="str">
        <f>HYPERLINK("https://app.vivvix.com/360/KMI/IntelliDrive/ApplUI/Pages/CreativePages/CustomReportCreativeDetail.aspx?App=23&amp;ReportView=4&amp;Qid=1711279&amp;Row=4765&amp;Col=1","No Title Assigned - #15269264843")</f>
        <v/>
      </c>
      <c r="B4773" s="0" t="s">
        <v>6552</v>
      </c>
      <c r="E4773" s="0" t="inlineStr">
        <is>
          <t xml:space="preserve">Mazda</t>
        </is>
      </c>
      <c r="F4773" s="0" t="inlineStr">
        <is>
          <t xml:space="preserve">Mazda</t>
        </is>
      </c>
      <c r="G4773" s="0" t="s">
        <v>171</v>
      </c>
      <c r="H4773" s="5">
        <v>104.556500</v>
      </c>
    </row>
    <row r="4774" spans="1:9">
      <c r="A4774" s="22" t="str">
        <f>HYPERLINK("https://app.vivvix.com/360/KMI/IntelliDrive/ApplUI/Pages/CreativePages/CustomReportCreativeDetail.aspx?App=23&amp;ReportView=4&amp;Qid=1711279&amp;Row=4766&amp;Col=1","No Title Assigned - #15269264890")</f>
        <v/>
      </c>
      <c r="B4774" s="0" t="s">
        <v>6553</v>
      </c>
      <c r="C4774" s="0" t="s">
        <v>6554</v>
      </c>
      <c r="D4774" s="0" t="s">
        <v>6554</v>
      </c>
      <c r="E4774" s="0" t="inlineStr">
        <is>
          <t xml:space="preserve">Mazda</t>
        </is>
      </c>
      <c r="F4774" s="0" t="inlineStr">
        <is>
          <t xml:space="preserve">Mazda</t>
        </is>
      </c>
      <c r="G4774" s="0" t="s">
        <v>171</v>
      </c>
      <c r="H4774" s="5">
        <v>205.444800</v>
      </c>
    </row>
    <row r="4775" spans="1:9">
      <c r="A4775" s="22" t="str">
        <f>HYPERLINK("https://app.vivvix.com/360/KMI/IntelliDrive/ApplUI/Pages/CreativePages/CustomReportCreativeDetail.aspx?App=23&amp;ReportView=4&amp;Qid=1711279&amp;Row=4767&amp;Col=1","No Title Assigned - #15269265399")</f>
        <v/>
      </c>
      <c r="B4775" s="0" t="s">
        <v>6555</v>
      </c>
      <c r="C4775" s="0" t="s">
        <v>6556</v>
      </c>
      <c r="D4775" s="0" t="s">
        <v>6556</v>
      </c>
      <c r="E4775" s="0" t="inlineStr">
        <is>
          <t xml:space="preserve">Mazda</t>
        </is>
      </c>
      <c r="F4775" s="0" t="inlineStr">
        <is>
          <t xml:space="preserve">Mazda</t>
        </is>
      </c>
      <c r="G4775" s="0" t="s">
        <v>171</v>
      </c>
      <c r="H4775" s="5">
        <v>179.900000</v>
      </c>
    </row>
    <row r="4776" spans="1:9">
      <c r="A4776" s="22" t="str">
        <f>HYPERLINK("https://app.vivvix.com/360/KMI/IntelliDrive/ApplUI/Pages/CreativePages/CustomReportCreativeDetail.aspx?App=23&amp;ReportView=4&amp;Qid=1711279&amp;Row=4768&amp;Col=1","No Title Assigned - #15269266336")</f>
        <v/>
      </c>
      <c r="B4776" s="0" t="s">
        <v>6557</v>
      </c>
      <c r="E4776" s="0" t="inlineStr">
        <is>
          <t xml:space="preserve">Mazda</t>
        </is>
      </c>
      <c r="F4776" s="0" t="inlineStr">
        <is>
          <t xml:space="preserve">Mazda</t>
        </is>
      </c>
      <c r="G4776" s="0" t="s">
        <v>171</v>
      </c>
      <c r="H4776" s="5">
        <v>124.441500</v>
      </c>
    </row>
    <row r="4777" spans="1:9">
      <c r="A4777" s="22" t="str">
        <f>HYPERLINK("https://app.vivvix.com/360/KMI/IntelliDrive/ApplUI/Pages/CreativePages/CustomReportCreativeDetail.aspx?App=23&amp;ReportView=4&amp;Qid=1711279&amp;Row=4769&amp;Col=1","No Title Assigned - #15269268211")</f>
        <v/>
      </c>
      <c r="B4777" s="0" t="s">
        <v>6558</v>
      </c>
      <c r="E4777" s="0" t="inlineStr">
        <is>
          <t xml:space="preserve">Mazda</t>
        </is>
      </c>
      <c r="F4777" s="0" t="inlineStr">
        <is>
          <t xml:space="preserve">Mazda</t>
        </is>
      </c>
      <c r="G4777" s="0" t="s">
        <v>171</v>
      </c>
      <c r="H4777" s="5">
        <v>4101.132700</v>
      </c>
    </row>
    <row r="4778" spans="1:9">
      <c r="A4778" s="22" t="str">
        <f>HYPERLINK("https://app.vivvix.com/360/KMI/IntelliDrive/ApplUI/Pages/CreativePages/CustomReportCreativeDetail.aspx?App=23&amp;ReportView=4&amp;Qid=1711279&amp;Row=4770&amp;Col=1","No Title Assigned - #15269269676")</f>
        <v/>
      </c>
      <c r="B4778" s="0" t="s">
        <v>6559</v>
      </c>
      <c r="E4778" s="0" t="inlineStr">
        <is>
          <t xml:space="preserve">Mazda</t>
        </is>
      </c>
      <c r="F4778" s="0" t="inlineStr">
        <is>
          <t xml:space="preserve">Mazda</t>
        </is>
      </c>
      <c r="G4778" s="0" t="s">
        <v>171</v>
      </c>
      <c r="H4778" s="5">
        <v>18.345900</v>
      </c>
    </row>
    <row r="4779" spans="1:9">
      <c r="A4779" s="22" t="str">
        <f>HYPERLINK("https://app.vivvix.com/360/KMI/IntelliDrive/ApplUI/Pages/CreativePages/CustomReportCreativeDetail.aspx?App=23&amp;ReportView=4&amp;Qid=1711279&amp;Row=4771&amp;Col=1","No Title Assigned - #15269269676")</f>
        <v/>
      </c>
      <c r="B4779" s="0" t="s">
        <v>6559</v>
      </c>
      <c r="E4779" s="0" t="inlineStr">
        <is>
          <t xml:space="preserve">Mazda</t>
        </is>
      </c>
      <c r="F4779" s="0" t="inlineStr">
        <is>
          <t xml:space="preserve">Mazda</t>
        </is>
      </c>
      <c r="G4779" s="0" t="s">
        <v>171</v>
      </c>
      <c r="H4779" s="5">
        <v>560.972200</v>
      </c>
    </row>
    <row r="4780" spans="1:9">
      <c r="A4780" s="22" t="str">
        <f>HYPERLINK("https://app.vivvix.com/360/KMI/IntelliDrive/ApplUI/Pages/CreativePages/CustomReportCreativeDetail.aspx?App=23&amp;ReportView=4&amp;Qid=1711279&amp;Row=4772&amp;Col=1","No Title Assigned - #15269271206")</f>
        <v/>
      </c>
      <c r="B4780" s="0" t="s">
        <v>6560</v>
      </c>
      <c r="E4780" s="0" t="inlineStr">
        <is>
          <t xml:space="preserve">Mazda</t>
        </is>
      </c>
      <c r="F4780" s="0" t="inlineStr">
        <is>
          <t xml:space="preserve">Mazda</t>
        </is>
      </c>
      <c r="G4780" s="0" t="s">
        <v>171</v>
      </c>
      <c r="H4780" s="5">
        <v>27.500500</v>
      </c>
    </row>
    <row r="4781" spans="1:9">
      <c r="A4781" s="22" t="str">
        <f>HYPERLINK("https://app.vivvix.com/360/KMI/IntelliDrive/ApplUI/Pages/CreativePages/CustomReportCreativeDetail.aspx?App=23&amp;ReportView=4&amp;Qid=1711279&amp;Row=4773&amp;Col=1","No Title Assigned - #15269271406")</f>
        <v/>
      </c>
      <c r="B4781" s="0" t="s">
        <v>6561</v>
      </c>
      <c r="E4781" s="0" t="inlineStr">
        <is>
          <t xml:space="preserve">Mazda</t>
        </is>
      </c>
      <c r="F4781" s="0" t="inlineStr">
        <is>
          <t xml:space="preserve">Mazda</t>
        </is>
      </c>
      <c r="G4781" s="0" t="s">
        <v>171</v>
      </c>
      <c r="H4781" s="5">
        <v>530.840200</v>
      </c>
    </row>
    <row r="4782" spans="1:9">
      <c r="A4782" s="22" t="str">
        <f>HYPERLINK("https://app.vivvix.com/360/KMI/IntelliDrive/ApplUI/Pages/CreativePages/CustomReportCreativeDetail.aspx?App=23&amp;ReportView=4&amp;Qid=1711279&amp;Row=4774&amp;Col=1","No Title Assigned - #15269271636")</f>
        <v/>
      </c>
      <c r="B4782" s="0" t="s">
        <v>6562</v>
      </c>
      <c r="E4782" s="0" t="inlineStr">
        <is>
          <t xml:space="preserve">Mazda</t>
        </is>
      </c>
      <c r="F4782" s="0" t="inlineStr">
        <is>
          <t xml:space="preserve">Mazda</t>
        </is>
      </c>
      <c r="G4782" s="0" t="s">
        <v>171</v>
      </c>
      <c r="H4782" s="5">
        <v>36.894700</v>
      </c>
    </row>
    <row r="4783" spans="1:9">
      <c r="A4783" s="22" t="str">
        <f>HYPERLINK("https://app.vivvix.com/360/KMI/IntelliDrive/ApplUI/Pages/CreativePages/CustomReportCreativeDetail.aspx?App=23&amp;ReportView=4&amp;Qid=1711279&amp;Row=4775&amp;Col=1","No Title Assigned - #15269271636")</f>
        <v/>
      </c>
      <c r="B4783" s="0" t="s">
        <v>6562</v>
      </c>
      <c r="C4783" s="0" t="s">
        <v>6563</v>
      </c>
      <c r="D4783" s="0" t="s">
        <v>6563</v>
      </c>
      <c r="E4783" s="0" t="inlineStr">
        <is>
          <t xml:space="preserve">Mazda</t>
        </is>
      </c>
      <c r="F4783" s="0" t="inlineStr">
        <is>
          <t xml:space="preserve">Mazda</t>
        </is>
      </c>
      <c r="G4783" s="0" t="s">
        <v>171</v>
      </c>
      <c r="H4783" s="5">
        <v>8.973800</v>
      </c>
    </row>
    <row r="4784" spans="1:9">
      <c r="A4784" s="22" t="str">
        <f>HYPERLINK("https://app.vivvix.com/360/KMI/IntelliDrive/ApplUI/Pages/CreativePages/CustomReportCreativeDetail.aspx?App=23&amp;ReportView=4&amp;Qid=1711279&amp;Row=4776&amp;Col=1","No Title Assigned - #15269271955")</f>
        <v/>
      </c>
      <c r="B4784" s="0" t="s">
        <v>6564</v>
      </c>
      <c r="E4784" s="0" t="inlineStr">
        <is>
          <t xml:space="preserve">Mazda</t>
        </is>
      </c>
      <c r="F4784" s="0" t="inlineStr">
        <is>
          <t xml:space="preserve">Mazda</t>
        </is>
      </c>
      <c r="G4784" s="0" t="s">
        <v>171</v>
      </c>
      <c r="H4784" s="5">
        <v>742.704500</v>
      </c>
    </row>
    <row r="4785" spans="1:9">
      <c r="A4785" s="22" t="str">
        <f>HYPERLINK("https://app.vivvix.com/360/KMI/IntelliDrive/ApplUI/Pages/CreativePages/CustomReportCreativeDetail.aspx?App=23&amp;ReportView=4&amp;Qid=1711279&amp;Row=4777&amp;Col=1","No Title Assigned - #15269272464")</f>
        <v/>
      </c>
      <c r="B4785" s="0" t="s">
        <v>6565</v>
      </c>
      <c r="E4785" s="0" t="inlineStr">
        <is>
          <t xml:space="preserve">Mazda</t>
        </is>
      </c>
      <c r="F4785" s="0" t="inlineStr">
        <is>
          <t xml:space="preserve">Mazda</t>
        </is>
      </c>
      <c r="G4785" s="0" t="s">
        <v>171</v>
      </c>
      <c r="H4785" s="5">
        <v>104.443300</v>
      </c>
    </row>
    <row r="4786" spans="1:9">
      <c r="A4786" s="22" t="str">
        <f>HYPERLINK("https://app.vivvix.com/360/KMI/IntelliDrive/ApplUI/Pages/CreativePages/CustomReportCreativeDetail.aspx?App=23&amp;ReportView=4&amp;Qid=1711279&amp;Row=4778&amp;Col=1","No Title Assigned - #15269272723")</f>
        <v/>
      </c>
      <c r="B4786" s="0" t="s">
        <v>6566</v>
      </c>
      <c r="E4786" s="0" t="inlineStr">
        <is>
          <t xml:space="preserve">Mazda</t>
        </is>
      </c>
      <c r="F4786" s="0" t="inlineStr">
        <is>
          <t xml:space="preserve">Mazda</t>
        </is>
      </c>
      <c r="G4786" s="0" t="s">
        <v>171</v>
      </c>
      <c r="H4786" s="5">
        <v>320.150200</v>
      </c>
    </row>
    <row r="4787" spans="1:9">
      <c r="A4787" s="22" t="str">
        <f>HYPERLINK("https://app.vivvix.com/360/KMI/IntelliDrive/ApplUI/Pages/CreativePages/CustomReportCreativeDetail.aspx?App=23&amp;ReportView=4&amp;Qid=1711279&amp;Row=4779&amp;Col=1","No Title Assigned - #15269273461")</f>
        <v/>
      </c>
      <c r="B4787" s="0" t="s">
        <v>6567</v>
      </c>
      <c r="E4787" s="0" t="inlineStr">
        <is>
          <t xml:space="preserve">Mazda</t>
        </is>
      </c>
      <c r="F4787" s="0" t="inlineStr">
        <is>
          <t xml:space="preserve">Mazda</t>
        </is>
      </c>
      <c r="G4787" s="0" t="s">
        <v>171</v>
      </c>
      <c r="H4787" s="5">
        <v>188.298800</v>
      </c>
    </row>
    <row r="4788" spans="1:9">
      <c r="A4788" s="22" t="str">
        <f>HYPERLINK("https://app.vivvix.com/360/KMI/IntelliDrive/ApplUI/Pages/CreativePages/CustomReportCreativeDetail.aspx?App=23&amp;ReportView=4&amp;Qid=1711279&amp;Row=4780&amp;Col=1","No Title Assigned - #15269273522")</f>
        <v/>
      </c>
      <c r="B4788" s="0" t="s">
        <v>6568</v>
      </c>
      <c r="C4788" s="0" t="s">
        <v>6569</v>
      </c>
      <c r="D4788" s="0" t="s">
        <v>6569</v>
      </c>
      <c r="E4788" s="0" t="inlineStr">
        <is>
          <t xml:space="preserve">Mazda</t>
        </is>
      </c>
      <c r="F4788" s="0" t="inlineStr">
        <is>
          <t xml:space="preserve">Mazda</t>
        </is>
      </c>
      <c r="G4788" s="0" t="s">
        <v>171</v>
      </c>
      <c r="H4788" s="5">
        <v>3590.048400</v>
      </c>
    </row>
    <row r="4789" spans="1:9">
      <c r="A4789" s="22" t="str">
        <f>HYPERLINK("https://app.vivvix.com/360/KMI/IntelliDrive/ApplUI/Pages/CreativePages/CustomReportCreativeDetail.aspx?App=23&amp;ReportView=4&amp;Qid=1711279&amp;Row=4781&amp;Col=1","No Title Assigned - #15269273555")</f>
        <v/>
      </c>
      <c r="B4789" s="0" t="s">
        <v>6570</v>
      </c>
      <c r="E4789" s="0" t="inlineStr">
        <is>
          <t xml:space="preserve">Mazda</t>
        </is>
      </c>
      <c r="F4789" s="0" t="inlineStr">
        <is>
          <t xml:space="preserve">Mazda</t>
        </is>
      </c>
      <c r="G4789" s="0" t="s">
        <v>171</v>
      </c>
      <c r="H4789" s="5">
        <v>852.245000</v>
      </c>
    </row>
    <row r="4790" spans="1:9">
      <c r="A4790" s="22" t="str">
        <f>HYPERLINK("https://app.vivvix.com/360/KMI/IntelliDrive/ApplUI/Pages/CreativePages/CustomReportCreativeDetail.aspx?App=23&amp;ReportView=4&amp;Qid=1711279&amp;Row=4782&amp;Col=1","No Title Assigned - #15269274655")</f>
        <v/>
      </c>
      <c r="B4790" s="0" t="s">
        <v>6571</v>
      </c>
      <c r="E4790" s="0" t="inlineStr">
        <is>
          <t xml:space="preserve">Mazda</t>
        </is>
      </c>
      <c r="F4790" s="0" t="inlineStr">
        <is>
          <t xml:space="preserve">Mazda</t>
        </is>
      </c>
      <c r="G4790" s="0" t="s">
        <v>171</v>
      </c>
      <c r="H4790" s="5">
        <v>47.360000</v>
      </c>
    </row>
    <row r="4791" spans="1:9">
      <c r="A4791" s="22" t="str">
        <f>HYPERLINK("https://app.vivvix.com/360/KMI/IntelliDrive/ApplUI/Pages/CreativePages/CustomReportCreativeDetail.aspx?App=23&amp;ReportView=4&amp;Qid=1711279&amp;Row=4783&amp;Col=1","No Title Assigned - #15269274899")</f>
        <v/>
      </c>
      <c r="B4791" s="0" t="s">
        <v>6572</v>
      </c>
      <c r="E4791" s="0" t="inlineStr">
        <is>
          <t xml:space="preserve">Mazda</t>
        </is>
      </c>
      <c r="F4791" s="0" t="inlineStr">
        <is>
          <t xml:space="preserve">Mazda</t>
        </is>
      </c>
      <c r="G4791" s="0" t="s">
        <v>171</v>
      </c>
      <c r="H4791" s="5">
        <v>13.611100</v>
      </c>
    </row>
    <row r="4792" spans="1:9">
      <c r="A4792" s="22" t="str">
        <f>HYPERLINK("https://app.vivvix.com/360/KMI/IntelliDrive/ApplUI/Pages/CreativePages/CustomReportCreativeDetail.aspx?App=23&amp;ReportView=4&amp;Qid=1711279&amp;Row=4784&amp;Col=1","No Title Assigned - #15269274933")</f>
        <v/>
      </c>
      <c r="B4792" s="0" t="s">
        <v>6573</v>
      </c>
      <c r="E4792" s="0" t="inlineStr">
        <is>
          <t xml:space="preserve">Mazda</t>
        </is>
      </c>
      <c r="F4792" s="0" t="inlineStr">
        <is>
          <t xml:space="preserve">Mazda</t>
        </is>
      </c>
      <c r="G4792" s="0" t="s">
        <v>171</v>
      </c>
      <c r="H4792" s="5">
        <v>291.437500</v>
      </c>
    </row>
    <row r="4793" spans="1:9">
      <c r="A4793" s="22" t="str">
        <f>HYPERLINK("https://app.vivvix.com/360/KMI/IntelliDrive/ApplUI/Pages/CreativePages/CustomReportCreativeDetail.aspx?App=23&amp;ReportView=4&amp;Qid=1711279&amp;Row=4785&amp;Col=1","No Title Assigned - #15269274933")</f>
        <v/>
      </c>
      <c r="B4793" s="0" t="s">
        <v>6573</v>
      </c>
      <c r="C4793" s="0" t="s">
        <v>6574</v>
      </c>
      <c r="D4793" s="0" t="s">
        <v>6574</v>
      </c>
      <c r="E4793" s="0" t="inlineStr">
        <is>
          <t xml:space="preserve">Mazda</t>
        </is>
      </c>
      <c r="F4793" s="0" t="inlineStr">
        <is>
          <t xml:space="preserve">Mazda</t>
        </is>
      </c>
      <c r="G4793" s="0" t="s">
        <v>171</v>
      </c>
      <c r="H4793" s="5">
        <v>86.575800</v>
      </c>
    </row>
    <row r="4794" spans="1:9">
      <c r="A4794" s="22" t="str">
        <f>HYPERLINK("https://app.vivvix.com/360/KMI/IntelliDrive/ApplUI/Pages/CreativePages/CustomReportCreativeDetail.aspx?App=23&amp;ReportView=4&amp;Qid=1711279&amp;Row=4786&amp;Col=1","No Title Assigned - #15269274997")</f>
        <v/>
      </c>
      <c r="B4794" s="0" t="s">
        <v>6575</v>
      </c>
      <c r="E4794" s="0" t="inlineStr">
        <is>
          <t xml:space="preserve">Mazda</t>
        </is>
      </c>
      <c r="F4794" s="0" t="inlineStr">
        <is>
          <t xml:space="preserve">Mazda</t>
        </is>
      </c>
      <c r="G4794" s="0" t="s">
        <v>171</v>
      </c>
      <c r="H4794" s="5">
        <v>188.298800</v>
      </c>
    </row>
    <row r="4795" spans="1:9">
      <c r="A4795" s="22" t="str">
        <f>HYPERLINK("https://app.vivvix.com/360/KMI/IntelliDrive/ApplUI/Pages/CreativePages/CustomReportCreativeDetail.aspx?App=23&amp;ReportView=4&amp;Qid=1711279&amp;Row=4787&amp;Col=1","No Title Assigned - #15269276513")</f>
        <v/>
      </c>
      <c r="B4795" s="0" t="s">
        <v>6576</v>
      </c>
      <c r="C4795" s="0" t="s">
        <v>6577</v>
      </c>
      <c r="D4795" s="0" t="s">
        <v>6577</v>
      </c>
      <c r="E4795" s="0" t="inlineStr">
        <is>
          <t xml:space="preserve">Mazda</t>
        </is>
      </c>
      <c r="F4795" s="0" t="inlineStr">
        <is>
          <t xml:space="preserve">Mazda</t>
        </is>
      </c>
      <c r="G4795" s="0" t="s">
        <v>171</v>
      </c>
      <c r="H4795" s="5">
        <v>16.104400</v>
      </c>
    </row>
    <row r="4796" spans="1:9">
      <c r="A4796" s="22" t="str">
        <f>HYPERLINK("https://app.vivvix.com/360/KMI/IntelliDrive/ApplUI/Pages/CreativePages/CustomReportCreativeDetail.aspx?App=23&amp;ReportView=4&amp;Qid=1711279&amp;Row=4788&amp;Col=1","No Title Assigned - #15269276710")</f>
        <v/>
      </c>
      <c r="B4796" s="0" t="s">
        <v>6578</v>
      </c>
      <c r="E4796" s="0" t="inlineStr">
        <is>
          <t xml:space="preserve">Mazda</t>
        </is>
      </c>
      <c r="F4796" s="0" t="inlineStr">
        <is>
          <t xml:space="preserve">Mazda</t>
        </is>
      </c>
      <c r="G4796" s="0" t="s">
        <v>171</v>
      </c>
      <c r="H4796" s="5">
        <v>122.498500</v>
      </c>
    </row>
    <row r="4797" spans="1:9">
      <c r="A4797" s="22" t="str">
        <f>HYPERLINK("https://app.vivvix.com/360/KMI/IntelliDrive/ApplUI/Pages/CreativePages/CustomReportCreativeDetail.aspx?App=23&amp;ReportView=4&amp;Qid=1711279&amp;Row=4789&amp;Col=1","No Title Assigned - #15269276955")</f>
        <v/>
      </c>
      <c r="B4797" s="0" t="s">
        <v>6579</v>
      </c>
      <c r="E4797" s="0" t="inlineStr">
        <is>
          <t xml:space="preserve">Mazda</t>
        </is>
      </c>
      <c r="F4797" s="0" t="inlineStr">
        <is>
          <t xml:space="preserve">Mazda</t>
        </is>
      </c>
      <c r="G4797" s="0" t="s">
        <v>171</v>
      </c>
      <c r="H4797" s="5">
        <v>35.772700</v>
      </c>
    </row>
    <row r="4798" spans="1:9">
      <c r="A4798" s="22" t="str">
        <f>HYPERLINK("https://app.vivvix.com/360/KMI/IntelliDrive/ApplUI/Pages/CreativePages/CustomReportCreativeDetail.aspx?App=23&amp;ReportView=4&amp;Qid=1711279&amp;Row=4790&amp;Col=1","No Title Assigned - #15269277363")</f>
        <v/>
      </c>
      <c r="B4798" s="0" t="s">
        <v>6580</v>
      </c>
      <c r="E4798" s="0" t="inlineStr">
        <is>
          <t xml:space="preserve">Mazda</t>
        </is>
      </c>
      <c r="F4798" s="0" t="inlineStr">
        <is>
          <t xml:space="preserve">Mazda</t>
        </is>
      </c>
      <c r="G4798" s="0" t="s">
        <v>171</v>
      </c>
      <c r="H4798" s="5">
        <v>34.926600</v>
      </c>
    </row>
    <row r="4799" spans="1:9">
      <c r="A4799" s="22" t="str">
        <f>HYPERLINK("https://app.vivvix.com/360/KMI/IntelliDrive/ApplUI/Pages/CreativePages/CustomReportCreativeDetail.aspx?App=23&amp;ReportView=4&amp;Qid=1711279&amp;Row=4791&amp;Col=1","No Title Assigned - #15269277363")</f>
        <v/>
      </c>
      <c r="B4799" s="0" t="s">
        <v>6580</v>
      </c>
      <c r="E4799" s="0" t="inlineStr">
        <is>
          <t xml:space="preserve">Mazda</t>
        </is>
      </c>
      <c r="F4799" s="0" t="inlineStr">
        <is>
          <t xml:space="preserve">Mazda</t>
        </is>
      </c>
      <c r="G4799" s="0" t="s">
        <v>171</v>
      </c>
      <c r="H4799" s="5">
        <v>22.109200</v>
      </c>
    </row>
    <row r="4800" spans="1:9">
      <c r="A4800" s="22" t="str">
        <f>HYPERLINK("https://app.vivvix.com/360/KMI/IntelliDrive/ApplUI/Pages/CreativePages/CustomReportCreativeDetail.aspx?App=23&amp;ReportView=4&amp;Qid=1711279&amp;Row=4792&amp;Col=1","No Title Assigned - #15269277393")</f>
        <v/>
      </c>
      <c r="B4800" s="0" t="s">
        <v>6581</v>
      </c>
      <c r="E4800" s="0" t="inlineStr">
        <is>
          <t xml:space="preserve">Mazda</t>
        </is>
      </c>
      <c r="F4800" s="0" t="inlineStr">
        <is>
          <t xml:space="preserve">Mazda</t>
        </is>
      </c>
      <c r="G4800" s="0" t="s">
        <v>171</v>
      </c>
      <c r="H4800" s="5">
        <v>17.828600</v>
      </c>
    </row>
    <row r="4801" spans="1:9">
      <c r="A4801" s="22" t="str">
        <f>HYPERLINK("https://app.vivvix.com/360/KMI/IntelliDrive/ApplUI/Pages/CreativePages/CustomReportCreativeDetail.aspx?App=23&amp;ReportView=4&amp;Qid=1711279&amp;Row=4793&amp;Col=1","No Title Assigned - #15269277435")</f>
        <v/>
      </c>
      <c r="B4801" s="0" t="s">
        <v>6582</v>
      </c>
      <c r="E4801" s="0" t="inlineStr">
        <is>
          <t xml:space="preserve">Mazda</t>
        </is>
      </c>
      <c r="F4801" s="0" t="inlineStr">
        <is>
          <t xml:space="preserve">Mazda</t>
        </is>
      </c>
      <c r="G4801" s="0" t="s">
        <v>171</v>
      </c>
      <c r="H4801" s="5">
        <v>85.569400</v>
      </c>
    </row>
    <row r="4802" spans="1:9">
      <c r="A4802" s="22" t="str">
        <f>HYPERLINK("https://app.vivvix.com/360/KMI/IntelliDrive/ApplUI/Pages/CreativePages/CustomReportCreativeDetail.aspx?App=23&amp;ReportView=4&amp;Qid=1711279&amp;Row=4794&amp;Col=1","No Title Assigned - #15269277545")</f>
        <v/>
      </c>
      <c r="B4802" s="0" t="s">
        <v>6583</v>
      </c>
      <c r="E4802" s="0" t="inlineStr">
        <is>
          <t xml:space="preserve">Mazda</t>
        </is>
      </c>
      <c r="F4802" s="0" t="inlineStr">
        <is>
          <t xml:space="preserve">Mazda</t>
        </is>
      </c>
      <c r="G4802" s="0" t="s">
        <v>171</v>
      </c>
      <c r="H4802" s="5">
        <v>48.147200</v>
      </c>
    </row>
    <row r="4803" spans="1:9">
      <c r="A4803" s="22" t="str">
        <f>HYPERLINK("https://app.vivvix.com/360/KMI/IntelliDrive/ApplUI/Pages/CreativePages/CustomReportCreativeDetail.aspx?App=23&amp;ReportView=4&amp;Qid=1711279&amp;Row=4795&amp;Col=1","No Title Assigned - #15269277577")</f>
        <v/>
      </c>
      <c r="B4803" s="0" t="s">
        <v>6584</v>
      </c>
      <c r="E4803" s="0" t="inlineStr">
        <is>
          <t xml:space="preserve">Mazda</t>
        </is>
      </c>
      <c r="F4803" s="0" t="inlineStr">
        <is>
          <t xml:space="preserve">Mazda</t>
        </is>
      </c>
      <c r="G4803" s="0" t="s">
        <v>171</v>
      </c>
      <c r="H4803" s="5">
        <v>141.919400</v>
      </c>
    </row>
    <row r="4804" spans="1:9">
      <c r="A4804" s="22" t="str">
        <f>HYPERLINK("https://app.vivvix.com/360/KMI/IntelliDrive/ApplUI/Pages/CreativePages/CustomReportCreativeDetail.aspx?App=23&amp;ReportView=4&amp;Qid=1711279&amp;Row=4796&amp;Col=1","No Title Assigned - #15269277578")</f>
        <v/>
      </c>
      <c r="B4804" s="0" t="s">
        <v>6585</v>
      </c>
      <c r="E4804" s="0" t="inlineStr">
        <is>
          <t xml:space="preserve">Mazda</t>
        </is>
      </c>
      <c r="F4804" s="0" t="inlineStr">
        <is>
          <t xml:space="preserve">Mazda</t>
        </is>
      </c>
      <c r="G4804" s="0" t="s">
        <v>171</v>
      </c>
      <c r="H4804" s="5">
        <v>60.822600</v>
      </c>
    </row>
    <row r="4805" spans="1:9">
      <c r="A4805" s="22" t="str">
        <f>HYPERLINK("https://app.vivvix.com/360/KMI/IntelliDrive/ApplUI/Pages/CreativePages/CustomReportCreativeDetail.aspx?App=23&amp;ReportView=4&amp;Qid=1711279&amp;Row=4797&amp;Col=1","No Title Assigned - #15269277894")</f>
        <v/>
      </c>
      <c r="B4805" s="0" t="s">
        <v>6586</v>
      </c>
      <c r="C4805" s="0" t="s">
        <v>6587</v>
      </c>
      <c r="D4805" s="0" t="s">
        <v>6587</v>
      </c>
      <c r="E4805" s="0" t="inlineStr">
        <is>
          <t xml:space="preserve">Mazda</t>
        </is>
      </c>
      <c r="F4805" s="0" t="inlineStr">
        <is>
          <t xml:space="preserve">Mazda</t>
        </is>
      </c>
      <c r="G4805" s="0" t="s">
        <v>171</v>
      </c>
      <c r="H4805" s="5">
        <v>739.547000</v>
      </c>
    </row>
    <row r="4806" spans="1:9">
      <c r="A4806" s="22" t="str">
        <f>HYPERLINK("https://app.vivvix.com/360/KMI/IntelliDrive/ApplUI/Pages/CreativePages/CustomReportCreativeDetail.aspx?App=23&amp;ReportView=4&amp;Qid=1711279&amp;Row=4798&amp;Col=1","No Title Assigned - #15269278415")</f>
        <v/>
      </c>
      <c r="B4806" s="0" t="s">
        <v>6588</v>
      </c>
      <c r="E4806" s="0" t="inlineStr">
        <is>
          <t xml:space="preserve">Mazda</t>
        </is>
      </c>
      <c r="F4806" s="0" t="inlineStr">
        <is>
          <t xml:space="preserve">Mazda</t>
        </is>
      </c>
      <c r="G4806" s="0" t="s">
        <v>171</v>
      </c>
      <c r="H4806" s="5">
        <v>4733.041700</v>
      </c>
    </row>
    <row r="4807" spans="1:9">
      <c r="A4807" s="22" t="str">
        <f>HYPERLINK("https://app.vivvix.com/360/KMI/IntelliDrive/ApplUI/Pages/CreativePages/CustomReportCreativeDetail.aspx?App=23&amp;ReportView=4&amp;Qid=1711279&amp;Row=4799&amp;Col=1","No Title Assigned - #15269278849")</f>
        <v/>
      </c>
      <c r="B4807" s="0" t="s">
        <v>6589</v>
      </c>
      <c r="E4807" s="0" t="inlineStr">
        <is>
          <t xml:space="preserve">Mazda</t>
        </is>
      </c>
      <c r="F4807" s="0" t="inlineStr">
        <is>
          <t xml:space="preserve">Mazda</t>
        </is>
      </c>
      <c r="G4807" s="0" t="s">
        <v>171</v>
      </c>
      <c r="H4807" s="5">
        <v>10.825700</v>
      </c>
    </row>
    <row r="4808" spans="1:9">
      <c r="A4808" s="22" t="str">
        <f>HYPERLINK("https://app.vivvix.com/360/KMI/IntelliDrive/ApplUI/Pages/CreativePages/CustomReportCreativeDetail.aspx?App=23&amp;ReportView=4&amp;Qid=1711279&amp;Row=4800&amp;Col=1","No Title Assigned - #15269278882")</f>
        <v/>
      </c>
      <c r="B4808" s="0" t="s">
        <v>6590</v>
      </c>
      <c r="E4808" s="0" t="inlineStr">
        <is>
          <t xml:space="preserve">Mazda</t>
        </is>
      </c>
      <c r="F4808" s="0" t="inlineStr">
        <is>
          <t xml:space="preserve">Mazda</t>
        </is>
      </c>
      <c r="G4808" s="0" t="s">
        <v>171</v>
      </c>
      <c r="H4808" s="5">
        <v>219.424200</v>
      </c>
    </row>
    <row r="4809" spans="1:9">
      <c r="A4809" s="22" t="str">
        <f>HYPERLINK("https://app.vivvix.com/360/KMI/IntelliDrive/ApplUI/Pages/CreativePages/CustomReportCreativeDetail.aspx?App=23&amp;ReportView=4&amp;Qid=1711279&amp;Row=4801&amp;Col=1","No Title Assigned - #15269278918")</f>
        <v/>
      </c>
      <c r="B4809" s="0" t="s">
        <v>6591</v>
      </c>
      <c r="E4809" s="0" t="inlineStr">
        <is>
          <t xml:space="preserve">Mazda</t>
        </is>
      </c>
      <c r="F4809" s="0" t="inlineStr">
        <is>
          <t xml:space="preserve">Mazda</t>
        </is>
      </c>
      <c r="G4809" s="0" t="s">
        <v>171</v>
      </c>
      <c r="H4809" s="5">
        <v>13354.540000</v>
      </c>
    </row>
    <row r="4810" spans="1:9">
      <c r="A4810" s="22" t="str">
        <f>HYPERLINK("https://app.vivvix.com/360/KMI/IntelliDrive/ApplUI/Pages/CreativePages/CustomReportCreativeDetail.aspx?App=23&amp;ReportView=4&amp;Qid=1711279&amp;Row=4802&amp;Col=1","No Title Assigned - #15269279673")</f>
        <v/>
      </c>
      <c r="B4810" s="0" t="s">
        <v>6592</v>
      </c>
      <c r="E4810" s="0" t="inlineStr">
        <is>
          <t xml:space="preserve">Mazda</t>
        </is>
      </c>
      <c r="F4810" s="0" t="inlineStr">
        <is>
          <t xml:space="preserve">Mazda</t>
        </is>
      </c>
      <c r="G4810" s="0" t="s">
        <v>171</v>
      </c>
      <c r="H4810" s="5">
        <v>57.641200</v>
      </c>
    </row>
    <row r="4811" spans="1:9">
      <c r="A4811" s="22" t="str">
        <f>HYPERLINK("https://app.vivvix.com/360/KMI/IntelliDrive/ApplUI/Pages/CreativePages/CustomReportCreativeDetail.aspx?App=23&amp;ReportView=4&amp;Qid=1711279&amp;Row=4803&amp;Col=1","No Title Assigned - #15269279947")</f>
        <v/>
      </c>
      <c r="B4811" s="0" t="s">
        <v>6593</v>
      </c>
      <c r="E4811" s="0" t="inlineStr">
        <is>
          <t xml:space="preserve">Mazda</t>
        </is>
      </c>
      <c r="F4811" s="0" t="inlineStr">
        <is>
          <t xml:space="preserve">Mazda</t>
        </is>
      </c>
      <c r="G4811" s="0" t="s">
        <v>171</v>
      </c>
      <c r="H4811" s="5">
        <v>3.331900</v>
      </c>
    </row>
    <row r="4812" spans="1:9">
      <c r="A4812" s="22" t="str">
        <f>HYPERLINK("https://app.vivvix.com/360/KMI/IntelliDrive/ApplUI/Pages/CreativePages/CustomReportCreativeDetail.aspx?App=23&amp;ReportView=4&amp;Qid=1711279&amp;Row=4804&amp;Col=1","No Title Assigned - #15269280209")</f>
        <v/>
      </c>
      <c r="B4812" s="0" t="s">
        <v>6594</v>
      </c>
      <c r="E4812" s="0" t="inlineStr">
        <is>
          <t xml:space="preserve">Mazda</t>
        </is>
      </c>
      <c r="F4812" s="0" t="inlineStr">
        <is>
          <t xml:space="preserve">Mazda</t>
        </is>
      </c>
      <c r="G4812" s="0" t="s">
        <v>171</v>
      </c>
      <c r="H4812" s="5">
        <v>104.062800</v>
      </c>
    </row>
    <row r="4813" spans="1:9">
      <c r="A4813" s="22" t="str">
        <f>HYPERLINK("https://app.vivvix.com/360/KMI/IntelliDrive/ApplUI/Pages/CreativePages/CustomReportCreativeDetail.aspx?App=23&amp;ReportView=4&amp;Qid=1711279&amp;Row=4805&amp;Col=1","No Title Assigned - #15269280612")</f>
        <v/>
      </c>
      <c r="B4813" s="0" t="s">
        <v>6595</v>
      </c>
      <c r="E4813" s="0" t="inlineStr">
        <is>
          <t xml:space="preserve">Mazda</t>
        </is>
      </c>
      <c r="F4813" s="0" t="inlineStr">
        <is>
          <t xml:space="preserve">Mazda</t>
        </is>
      </c>
      <c r="G4813" s="0" t="s">
        <v>171</v>
      </c>
      <c r="H4813" s="5">
        <v>6038.434500</v>
      </c>
    </row>
    <row r="4814" spans="1:9">
      <c r="A4814" s="22" t="str">
        <f>HYPERLINK("https://app.vivvix.com/360/KMI/IntelliDrive/ApplUI/Pages/CreativePages/CustomReportCreativeDetail.aspx?App=23&amp;ReportView=4&amp;Qid=1711279&amp;Row=4806&amp;Col=1","No Title Assigned - #15269280612")</f>
        <v/>
      </c>
      <c r="B4814" s="0" t="s">
        <v>6595</v>
      </c>
      <c r="E4814" s="0" t="inlineStr">
        <is>
          <t xml:space="preserve">Mazda</t>
        </is>
      </c>
      <c r="F4814" s="0" t="inlineStr">
        <is>
          <t xml:space="preserve">Mazda</t>
        </is>
      </c>
      <c r="G4814" s="0" t="s">
        <v>171</v>
      </c>
      <c r="H4814" s="5">
        <v>1249.535200</v>
      </c>
    </row>
    <row r="4815" spans="1:9">
      <c r="A4815" s="22" t="str">
        <f>HYPERLINK("https://app.vivvix.com/360/KMI/IntelliDrive/ApplUI/Pages/CreativePages/CustomReportCreativeDetail.aspx?App=23&amp;ReportView=4&amp;Qid=1711279&amp;Row=4807&amp;Col=1","No Title Assigned - #15269280631")</f>
        <v/>
      </c>
      <c r="B4815" s="0" t="s">
        <v>6596</v>
      </c>
      <c r="E4815" s="0" t="inlineStr">
        <is>
          <t xml:space="preserve">Mazda</t>
        </is>
      </c>
      <c r="F4815" s="0" t="inlineStr">
        <is>
          <t xml:space="preserve">Mazda</t>
        </is>
      </c>
      <c r="G4815" s="0" t="s">
        <v>171</v>
      </c>
      <c r="H4815" s="5">
        <v>26.535700</v>
      </c>
    </row>
    <row r="4816" spans="1:9">
      <c r="A4816" s="22" t="str">
        <f>HYPERLINK("https://app.vivvix.com/360/KMI/IntelliDrive/ApplUI/Pages/CreativePages/CustomReportCreativeDetail.aspx?App=23&amp;ReportView=4&amp;Qid=1711279&amp;Row=4808&amp;Col=1","No Title Assigned - #15269280635")</f>
        <v/>
      </c>
      <c r="B4816" s="0" t="s">
        <v>6597</v>
      </c>
      <c r="C4816" s="0" t="s">
        <v>6598</v>
      </c>
      <c r="D4816" s="0" t="s">
        <v>6598</v>
      </c>
      <c r="E4816" s="0" t="inlineStr">
        <is>
          <t xml:space="preserve">Mazda</t>
        </is>
      </c>
      <c r="F4816" s="0" t="inlineStr">
        <is>
          <t xml:space="preserve">Mazda</t>
        </is>
      </c>
      <c r="G4816" s="0" t="s">
        <v>171</v>
      </c>
      <c r="H4816" s="5">
        <v>17.192900</v>
      </c>
    </row>
    <row r="4817" spans="1:9">
      <c r="A4817" s="22" t="str">
        <f>HYPERLINK("https://app.vivvix.com/360/KMI/IntelliDrive/ApplUI/Pages/CreativePages/CustomReportCreativeDetail.aspx?App=23&amp;ReportView=4&amp;Qid=1711279&amp;Row=4809&amp;Col=1","No Title Assigned - #15269280802")</f>
        <v/>
      </c>
      <c r="B4817" s="0" t="s">
        <v>6599</v>
      </c>
      <c r="E4817" s="0" t="inlineStr">
        <is>
          <t xml:space="preserve">Mazda</t>
        </is>
      </c>
      <c r="F4817" s="0" t="inlineStr">
        <is>
          <t xml:space="preserve">Mazda</t>
        </is>
      </c>
      <c r="G4817" s="0" t="s">
        <v>171</v>
      </c>
      <c r="H4817" s="5">
        <v>202.859900</v>
      </c>
    </row>
    <row r="4818" spans="1:9">
      <c r="A4818" s="22" t="str">
        <f>HYPERLINK("https://app.vivvix.com/360/KMI/IntelliDrive/ApplUI/Pages/CreativePages/CustomReportCreativeDetail.aspx?App=23&amp;ReportView=4&amp;Qid=1711279&amp;Row=4810&amp;Col=1","No Title Assigned - #15269280810")</f>
        <v/>
      </c>
      <c r="B4818" s="0" t="s">
        <v>6600</v>
      </c>
      <c r="E4818" s="0" t="inlineStr">
        <is>
          <t xml:space="preserve">Mazda</t>
        </is>
      </c>
      <c r="F4818" s="0" t="inlineStr">
        <is>
          <t xml:space="preserve">Mazda</t>
        </is>
      </c>
      <c r="G4818" s="0" t="s">
        <v>171</v>
      </c>
      <c r="H4818" s="5">
        <v>120.190000</v>
      </c>
    </row>
    <row r="4819" spans="1:9">
      <c r="A4819" s="22" t="str">
        <f>HYPERLINK("https://app.vivvix.com/360/KMI/IntelliDrive/ApplUI/Pages/CreativePages/CustomReportCreativeDetail.aspx?App=23&amp;ReportView=4&amp;Qid=1711279&amp;Row=4811&amp;Col=1","No Title Assigned - #15269280812")</f>
        <v/>
      </c>
      <c r="B4819" s="0" t="s">
        <v>6601</v>
      </c>
      <c r="E4819" s="0" t="inlineStr">
        <is>
          <t xml:space="preserve">Mazda</t>
        </is>
      </c>
      <c r="F4819" s="0" t="inlineStr">
        <is>
          <t xml:space="preserve">Mazda</t>
        </is>
      </c>
      <c r="G4819" s="0" t="s">
        <v>171</v>
      </c>
      <c r="H4819" s="5">
        <v>120.190000</v>
      </c>
    </row>
    <row r="4820" spans="1:9">
      <c r="A4820" s="22" t="str">
        <f>HYPERLINK("https://app.vivvix.com/360/KMI/IntelliDrive/ApplUI/Pages/CreativePages/CustomReportCreativeDetail.aspx?App=23&amp;ReportView=4&amp;Qid=1711279&amp;Row=4812&amp;Col=1","No Title Assigned - #15269280863")</f>
        <v/>
      </c>
      <c r="B4820" s="0" t="s">
        <v>6602</v>
      </c>
      <c r="E4820" s="0" t="inlineStr">
        <is>
          <t xml:space="preserve">Mazda</t>
        </is>
      </c>
      <c r="F4820" s="0" t="inlineStr">
        <is>
          <t xml:space="preserve">Mazda</t>
        </is>
      </c>
      <c r="G4820" s="0" t="s">
        <v>171</v>
      </c>
      <c r="H4820" s="5">
        <v>12.797300</v>
      </c>
    </row>
    <row r="4821" spans="1:9">
      <c r="A4821" s="22" t="str">
        <f>HYPERLINK("https://app.vivvix.com/360/KMI/IntelliDrive/ApplUI/Pages/CreativePages/CustomReportCreativeDetail.aspx?App=23&amp;ReportView=4&amp;Qid=1711279&amp;Row=4813&amp;Col=1","No Title Assigned - #15269291505")</f>
        <v/>
      </c>
      <c r="B4821" s="0" t="s">
        <v>6603</v>
      </c>
      <c r="E4821" s="0" t="inlineStr">
        <is>
          <t xml:space="preserve">Mazda</t>
        </is>
      </c>
      <c r="F4821" s="0" t="inlineStr">
        <is>
          <t xml:space="preserve">Mazda</t>
        </is>
      </c>
      <c r="G4821" s="0" t="s">
        <v>171</v>
      </c>
      <c r="H4821" s="5">
        <v>12.925500</v>
      </c>
    </row>
    <row r="4822" spans="1:9">
      <c r="A4822" s="22" t="str">
        <f>HYPERLINK("https://app.vivvix.com/360/KMI/IntelliDrive/ApplUI/Pages/CreativePages/CustomReportCreativeDetail.aspx?App=23&amp;ReportView=4&amp;Qid=1711279&amp;Row=4814&amp;Col=1","No Title Assigned - #15269291624")</f>
        <v/>
      </c>
      <c r="B4822" s="0" t="s">
        <v>6604</v>
      </c>
      <c r="C4822" s="0" t="s">
        <v>6605</v>
      </c>
      <c r="D4822" s="0" t="s">
        <v>6605</v>
      </c>
      <c r="E4822" s="0" t="inlineStr">
        <is>
          <t xml:space="preserve">Mazda</t>
        </is>
      </c>
      <c r="F4822" s="0" t="inlineStr">
        <is>
          <t xml:space="preserve">Mazda</t>
        </is>
      </c>
      <c r="G4822" s="0" t="s">
        <v>171</v>
      </c>
      <c r="H4822" s="5">
        <v>27.222200</v>
      </c>
    </row>
    <row r="4823" spans="1:9">
      <c r="A4823" s="22" t="str">
        <f>HYPERLINK("https://app.vivvix.com/360/KMI/IntelliDrive/ApplUI/Pages/CreativePages/CustomReportCreativeDetail.aspx?App=23&amp;ReportView=4&amp;Qid=1711279&amp;Row=4815&amp;Col=1","No Title Assigned - #15269291624")</f>
        <v/>
      </c>
      <c r="B4823" s="0" t="s">
        <v>6604</v>
      </c>
      <c r="E4823" s="0" t="inlineStr">
        <is>
          <t xml:space="preserve">Mazda</t>
        </is>
      </c>
      <c r="F4823" s="0" t="inlineStr">
        <is>
          <t xml:space="preserve">Mazda</t>
        </is>
      </c>
      <c r="G4823" s="0" t="s">
        <v>171</v>
      </c>
      <c r="H4823" s="5">
        <v>1174.588300</v>
      </c>
    </row>
    <row r="4824" spans="1:9">
      <c r="A4824" s="22" t="str">
        <f>HYPERLINK("https://app.vivvix.com/360/KMI/IntelliDrive/ApplUI/Pages/CreativePages/CustomReportCreativeDetail.aspx?App=23&amp;ReportView=4&amp;Qid=1711279&amp;Row=4816&amp;Col=1","No Title Assigned - #15269291984")</f>
        <v/>
      </c>
      <c r="B4824" s="0" t="s">
        <v>6606</v>
      </c>
      <c r="E4824" s="0" t="inlineStr">
        <is>
          <t xml:space="preserve">Mazda</t>
        </is>
      </c>
      <c r="F4824" s="0" t="inlineStr">
        <is>
          <t xml:space="preserve">Mazda</t>
        </is>
      </c>
      <c r="G4824" s="0" t="s">
        <v>171</v>
      </c>
      <c r="H4824" s="5">
        <v>217.777400</v>
      </c>
    </row>
    <row r="4825" spans="1:9">
      <c r="A4825" s="22" t="str">
        <f>HYPERLINK("https://app.vivvix.com/360/KMI/IntelliDrive/ApplUI/Pages/CreativePages/CustomReportCreativeDetail.aspx?App=23&amp;ReportView=4&amp;Qid=1711279&amp;Row=4817&amp;Col=1","No Title Assigned - #15269291984")</f>
        <v/>
      </c>
      <c r="B4825" s="0" t="s">
        <v>6606</v>
      </c>
      <c r="E4825" s="0" t="inlineStr">
        <is>
          <t xml:space="preserve">Mazda</t>
        </is>
      </c>
      <c r="F4825" s="0" t="inlineStr">
        <is>
          <t xml:space="preserve">Mazda</t>
        </is>
      </c>
      <c r="G4825" s="0" t="s">
        <v>171</v>
      </c>
      <c r="H4825" s="5">
        <v>1682.197000</v>
      </c>
    </row>
    <row r="4826" spans="1:9">
      <c r="A4826" s="22" t="str">
        <f>HYPERLINK("https://app.vivvix.com/360/KMI/IntelliDrive/ApplUI/Pages/CreativePages/CustomReportCreativeDetail.aspx?App=23&amp;ReportView=4&amp;Qid=1711279&amp;Row=4818&amp;Col=1","No Title Assigned - #15269292120")</f>
        <v/>
      </c>
      <c r="B4826" s="0" t="s">
        <v>6607</v>
      </c>
      <c r="E4826" s="0" t="inlineStr">
        <is>
          <t xml:space="preserve">Mazda</t>
        </is>
      </c>
      <c r="F4826" s="0" t="inlineStr">
        <is>
          <t xml:space="preserve">Mazda</t>
        </is>
      </c>
      <c r="G4826" s="0" t="s">
        <v>171</v>
      </c>
      <c r="H4826" s="5">
        <v>471.009700</v>
      </c>
    </row>
    <row r="4827" spans="1:9">
      <c r="A4827" s="22" t="str">
        <f>HYPERLINK("https://app.vivvix.com/360/KMI/IntelliDrive/ApplUI/Pages/CreativePages/CustomReportCreativeDetail.aspx?App=23&amp;ReportView=4&amp;Qid=1711279&amp;Row=4819&amp;Col=1","No Title Assigned - #15269292174")</f>
        <v/>
      </c>
      <c r="B4827" s="0" t="s">
        <v>6608</v>
      </c>
      <c r="E4827" s="0" t="inlineStr">
        <is>
          <t xml:space="preserve">Mazda</t>
        </is>
      </c>
      <c r="F4827" s="0" t="inlineStr">
        <is>
          <t xml:space="preserve">Mazda</t>
        </is>
      </c>
      <c r="G4827" s="0" t="s">
        <v>171</v>
      </c>
      <c r="H4827" s="5">
        <v>11.149700</v>
      </c>
    </row>
    <row r="4828" spans="1:9">
      <c r="A4828" s="22" t="str">
        <f>HYPERLINK("https://app.vivvix.com/360/KMI/IntelliDrive/ApplUI/Pages/CreativePages/CustomReportCreativeDetail.aspx?App=23&amp;ReportView=4&amp;Qid=1711279&amp;Row=4820&amp;Col=1","No Title Assigned - #15269292190")</f>
        <v/>
      </c>
      <c r="B4828" s="0" t="s">
        <v>6609</v>
      </c>
      <c r="E4828" s="0" t="inlineStr">
        <is>
          <t xml:space="preserve">Mazda</t>
        </is>
      </c>
      <c r="F4828" s="0" t="inlineStr">
        <is>
          <t xml:space="preserve">Mazda</t>
        </is>
      </c>
      <c r="G4828" s="0" t="s">
        <v>171</v>
      </c>
      <c r="H4828" s="5">
        <v>779.989300</v>
      </c>
    </row>
    <row r="4829" spans="1:9">
      <c r="A4829" s="22" t="str">
        <f>HYPERLINK("https://app.vivvix.com/360/KMI/IntelliDrive/ApplUI/Pages/CreativePages/CustomReportCreativeDetail.aspx?App=23&amp;ReportView=4&amp;Qid=1711279&amp;Row=4821&amp;Col=1","No Title Assigned - #15269292222")</f>
        <v/>
      </c>
      <c r="B4829" s="0" t="s">
        <v>6610</v>
      </c>
      <c r="E4829" s="0" t="inlineStr">
        <is>
          <t xml:space="preserve">Mazda</t>
        </is>
      </c>
      <c r="F4829" s="0" t="inlineStr">
        <is>
          <t xml:space="preserve">Mazda</t>
        </is>
      </c>
      <c r="G4829" s="0" t="s">
        <v>171</v>
      </c>
      <c r="H4829" s="5">
        <v>509.081100</v>
      </c>
    </row>
    <row r="4830" spans="1:9">
      <c r="A4830" s="22" t="str">
        <f>HYPERLINK("https://app.vivvix.com/360/KMI/IntelliDrive/ApplUI/Pages/CreativePages/CustomReportCreativeDetail.aspx?App=23&amp;ReportView=4&amp;Qid=1711279&amp;Row=4822&amp;Col=1","No Title Assigned - #15269292438")</f>
        <v/>
      </c>
      <c r="B4830" s="0" t="s">
        <v>6611</v>
      </c>
      <c r="C4830" s="0" t="s">
        <v>6612</v>
      </c>
      <c r="D4830" s="0" t="s">
        <v>6612</v>
      </c>
      <c r="E4830" s="0" t="inlineStr">
        <is>
          <t xml:space="preserve">Mazda</t>
        </is>
      </c>
      <c r="F4830" s="0" t="inlineStr">
        <is>
          <t xml:space="preserve">Mazda</t>
        </is>
      </c>
      <c r="G4830" s="0" t="s">
        <v>171</v>
      </c>
      <c r="H4830" s="5">
        <v>5.069100</v>
      </c>
    </row>
    <row r="4831" spans="1:9">
      <c r="A4831" s="22" t="str">
        <f>HYPERLINK("https://app.vivvix.com/360/KMI/IntelliDrive/ApplUI/Pages/CreativePages/CustomReportCreativeDetail.aspx?App=23&amp;ReportView=4&amp;Qid=1711279&amp;Row=4823&amp;Col=1","No Title Assigned - #15269292522")</f>
        <v/>
      </c>
      <c r="B4831" s="0" t="s">
        <v>6613</v>
      </c>
      <c r="E4831" s="0" t="inlineStr">
        <is>
          <t xml:space="preserve">Mazda</t>
        </is>
      </c>
      <c r="F4831" s="0" t="inlineStr">
        <is>
          <t xml:space="preserve">Mazda</t>
        </is>
      </c>
      <c r="G4831" s="0" t="s">
        <v>171</v>
      </c>
      <c r="H4831" s="5">
        <v>157.169700</v>
      </c>
    </row>
    <row r="4832" spans="1:9">
      <c r="A4832" s="22" t="str">
        <f>HYPERLINK("https://app.vivvix.com/360/KMI/IntelliDrive/ApplUI/Pages/CreativePages/CustomReportCreativeDetail.aspx?App=23&amp;ReportView=4&amp;Qid=1711279&amp;Row=4824&amp;Col=1","No Title Assigned - #15269292522")</f>
        <v/>
      </c>
      <c r="B4832" s="0" t="s">
        <v>6613</v>
      </c>
      <c r="C4832" s="0" t="s">
        <v>6614</v>
      </c>
      <c r="D4832" s="0" t="s">
        <v>6614</v>
      </c>
      <c r="E4832" s="0" t="inlineStr">
        <is>
          <t xml:space="preserve">Mazda</t>
        </is>
      </c>
      <c r="F4832" s="0" t="inlineStr">
        <is>
          <t xml:space="preserve">Mazda</t>
        </is>
      </c>
      <c r="G4832" s="0" t="s">
        <v>171</v>
      </c>
      <c r="H4832" s="5">
        <v>38.472800</v>
      </c>
    </row>
    <row r="4833" spans="1:9">
      <c r="A4833" s="22" t="str">
        <f>HYPERLINK("https://app.vivvix.com/360/KMI/IntelliDrive/ApplUI/Pages/CreativePages/CustomReportCreativeDetail.aspx?App=23&amp;ReportView=4&amp;Qid=1711279&amp;Row=4825&amp;Col=1","No Title Assigned - #15269292542")</f>
        <v/>
      </c>
      <c r="B4833" s="0" t="s">
        <v>6615</v>
      </c>
      <c r="C4833" s="0" t="s">
        <v>6616</v>
      </c>
      <c r="D4833" s="0" t="s">
        <v>4333</v>
      </c>
      <c r="E4833" s="0" t="inlineStr">
        <is>
          <t xml:space="preserve">Mazda</t>
        </is>
      </c>
      <c r="F4833" s="0" t="s">
        <v>28</v>
      </c>
      <c r="G4833" s="0" t="s">
        <v>29</v>
      </c>
      <c r="H4833" s="5">
        <v>1460.195700</v>
      </c>
    </row>
    <row r="4834" spans="1:9">
      <c r="A4834" s="22" t="str">
        <f>HYPERLINK("https://app.vivvix.com/360/KMI/IntelliDrive/ApplUI/Pages/CreativePages/CustomReportCreativeDetail.aspx?App=23&amp;ReportView=4&amp;Qid=1711279&amp;Row=4826&amp;Col=1","No Title Assigned - #15269292558")</f>
        <v/>
      </c>
      <c r="B4834" s="0" t="s">
        <v>6617</v>
      </c>
      <c r="C4834" s="0" t="s">
        <v>6618</v>
      </c>
      <c r="D4834" s="0" t="s">
        <v>6618</v>
      </c>
      <c r="E4834" s="0" t="inlineStr">
        <is>
          <t xml:space="preserve">Mazda</t>
        </is>
      </c>
      <c r="F4834" s="0" t="inlineStr">
        <is>
          <t xml:space="preserve">Mazda</t>
        </is>
      </c>
      <c r="G4834" s="0" t="s">
        <v>171</v>
      </c>
      <c r="H4834" s="5">
        <v>417.482200</v>
      </c>
    </row>
    <row r="4835" spans="1:9">
      <c r="A4835" s="22" t="str">
        <f>HYPERLINK("https://app.vivvix.com/360/KMI/IntelliDrive/ApplUI/Pages/CreativePages/CustomReportCreativeDetail.aspx?App=23&amp;ReportView=4&amp;Qid=1711279&amp;Row=4827&amp;Col=1","No Title Assigned - #15269292596")</f>
        <v/>
      </c>
      <c r="B4835" s="0" t="s">
        <v>6619</v>
      </c>
      <c r="E4835" s="0" t="inlineStr">
        <is>
          <t xml:space="preserve">Mazda</t>
        </is>
      </c>
      <c r="F4835" s="0" t="inlineStr">
        <is>
          <t xml:space="preserve">Mazda</t>
        </is>
      </c>
      <c r="G4835" s="0" t="s">
        <v>171</v>
      </c>
      <c r="H4835" s="5">
        <v>264.687200</v>
      </c>
    </row>
    <row r="4836" spans="1:9">
      <c r="A4836" s="22" t="str">
        <f>HYPERLINK("https://app.vivvix.com/360/KMI/IntelliDrive/ApplUI/Pages/CreativePages/CustomReportCreativeDetail.aspx?App=23&amp;ReportView=4&amp;Qid=1711279&amp;Row=4828&amp;Col=1","No Title Assigned - #15269292596")</f>
        <v/>
      </c>
      <c r="B4836" s="0" t="s">
        <v>6619</v>
      </c>
      <c r="E4836" s="0" t="inlineStr">
        <is>
          <t xml:space="preserve">Mazda</t>
        </is>
      </c>
      <c r="F4836" s="0" t="inlineStr">
        <is>
          <t xml:space="preserve">Mazda</t>
        </is>
      </c>
      <c r="G4836" s="0" t="s">
        <v>171</v>
      </c>
      <c r="H4836" s="5">
        <v>31.975200</v>
      </c>
    </row>
    <row r="4837" spans="1:9">
      <c r="A4837" s="22" t="str">
        <f>HYPERLINK("https://app.vivvix.com/360/KMI/IntelliDrive/ApplUI/Pages/CreativePages/CustomReportCreativeDetail.aspx?App=23&amp;ReportView=4&amp;Qid=1711279&amp;Row=4829&amp;Col=1","No Title Assigned - #15269292598")</f>
        <v/>
      </c>
      <c r="B4837" s="0" t="s">
        <v>6620</v>
      </c>
      <c r="E4837" s="0" t="inlineStr">
        <is>
          <t xml:space="preserve">Mazda</t>
        </is>
      </c>
      <c r="F4837" s="0" t="inlineStr">
        <is>
          <t xml:space="preserve">Mazda</t>
        </is>
      </c>
      <c r="G4837" s="0" t="s">
        <v>171</v>
      </c>
      <c r="H4837" s="5">
        <v>264.687200</v>
      </c>
    </row>
    <row r="4838" spans="1:9">
      <c r="A4838" s="22" t="str">
        <f>HYPERLINK("https://app.vivvix.com/360/KMI/IntelliDrive/ApplUI/Pages/CreativePages/CustomReportCreativeDetail.aspx?App=23&amp;ReportView=4&amp;Qid=1711279&amp;Row=4830&amp;Col=1","No Title Assigned - #15269292774")</f>
        <v/>
      </c>
      <c r="B4838" s="0" t="s">
        <v>6621</v>
      </c>
      <c r="E4838" s="0" t="inlineStr">
        <is>
          <t xml:space="preserve">Mazda</t>
        </is>
      </c>
      <c r="F4838" s="0" t="inlineStr">
        <is>
          <t xml:space="preserve">Mazda</t>
        </is>
      </c>
      <c r="G4838" s="0" t="s">
        <v>171</v>
      </c>
      <c r="H4838" s="5">
        <v>11.562500</v>
      </c>
    </row>
    <row r="4839" spans="1:9">
      <c r="A4839" s="22" t="str">
        <f>HYPERLINK("https://app.vivvix.com/360/KMI/IntelliDrive/ApplUI/Pages/CreativePages/CustomReportCreativeDetail.aspx?App=23&amp;ReportView=4&amp;Qid=1711279&amp;Row=4831&amp;Col=1","No Title Assigned - #15269292815")</f>
        <v/>
      </c>
      <c r="B4839" s="0" t="s">
        <v>6622</v>
      </c>
      <c r="E4839" s="0" t="inlineStr">
        <is>
          <t xml:space="preserve">Mazda</t>
        </is>
      </c>
      <c r="F4839" s="0" t="inlineStr">
        <is>
          <t xml:space="preserve">Mazda</t>
        </is>
      </c>
      <c r="G4839" s="0" t="s">
        <v>171</v>
      </c>
      <c r="H4839" s="5">
        <v>645.919200</v>
      </c>
    </row>
    <row r="4840" spans="1:9">
      <c r="A4840" s="22" t="str">
        <f>HYPERLINK("https://app.vivvix.com/360/KMI/IntelliDrive/ApplUI/Pages/CreativePages/CustomReportCreativeDetail.aspx?App=23&amp;ReportView=4&amp;Qid=1711279&amp;Row=4832&amp;Col=1","No Title Assigned - #15269292830")</f>
        <v/>
      </c>
      <c r="B4840" s="0" t="s">
        <v>6623</v>
      </c>
      <c r="E4840" s="0" t="inlineStr">
        <is>
          <t xml:space="preserve">Mazda</t>
        </is>
      </c>
      <c r="F4840" s="0" t="inlineStr">
        <is>
          <t xml:space="preserve">Mazda</t>
        </is>
      </c>
      <c r="G4840" s="0" t="s">
        <v>171</v>
      </c>
      <c r="H4840" s="5">
        <v>264.020400</v>
      </c>
    </row>
    <row r="4841" spans="1:9">
      <c r="A4841" s="22" t="str">
        <f>HYPERLINK("https://app.vivvix.com/360/KMI/IntelliDrive/ApplUI/Pages/CreativePages/CustomReportCreativeDetail.aspx?App=23&amp;ReportView=4&amp;Qid=1711279&amp;Row=4833&amp;Col=1","No Title Assigned - #15269292874")</f>
        <v/>
      </c>
      <c r="B4841" s="0" t="s">
        <v>6624</v>
      </c>
      <c r="C4841" s="0" t="s">
        <v>6625</v>
      </c>
      <c r="D4841" s="0" t="s">
        <v>6625</v>
      </c>
      <c r="E4841" s="0" t="inlineStr">
        <is>
          <t xml:space="preserve">Mazda</t>
        </is>
      </c>
      <c r="F4841" s="0" t="inlineStr">
        <is>
          <t xml:space="preserve">Mazda</t>
        </is>
      </c>
      <c r="G4841" s="0" t="s">
        <v>171</v>
      </c>
      <c r="H4841" s="5">
        <v>27.222200</v>
      </c>
    </row>
    <row r="4842" spans="1:9">
      <c r="A4842" s="22" t="str">
        <f>HYPERLINK("https://app.vivvix.com/360/KMI/IntelliDrive/ApplUI/Pages/CreativePages/CustomReportCreativeDetail.aspx?App=23&amp;ReportView=4&amp;Qid=1711279&amp;Row=4834&amp;Col=1","No Title Assigned - #15269292910")</f>
        <v/>
      </c>
      <c r="B4842" s="0" t="s">
        <v>6626</v>
      </c>
      <c r="E4842" s="0" t="inlineStr">
        <is>
          <t xml:space="preserve">Mazda</t>
        </is>
      </c>
      <c r="F4842" s="0" t="inlineStr">
        <is>
          <t xml:space="preserve">Mazda</t>
        </is>
      </c>
      <c r="G4842" s="0" t="s">
        <v>171</v>
      </c>
      <c r="H4842" s="5">
        <v>149.955100</v>
      </c>
    </row>
    <row r="4843" spans="1:9">
      <c r="A4843" s="22" t="str">
        <f>HYPERLINK("https://app.vivvix.com/360/KMI/IntelliDrive/ApplUI/Pages/CreativePages/CustomReportCreativeDetail.aspx?App=23&amp;ReportView=4&amp;Qid=1711279&amp;Row=4835&amp;Col=1","No Title Assigned - #15269293015")</f>
        <v/>
      </c>
      <c r="B4843" s="0" t="s">
        <v>6627</v>
      </c>
      <c r="C4843" s="0" t="s">
        <v>6628</v>
      </c>
      <c r="D4843" s="0" t="s">
        <v>6628</v>
      </c>
      <c r="E4843" s="0" t="inlineStr">
        <is>
          <t xml:space="preserve">Mazda</t>
        </is>
      </c>
      <c r="F4843" s="0" t="inlineStr">
        <is>
          <t xml:space="preserve">Mazda</t>
        </is>
      </c>
      <c r="G4843" s="0" t="s">
        <v>171</v>
      </c>
      <c r="H4843" s="5">
        <v>3926.779500</v>
      </c>
    </row>
    <row r="4844" spans="1:9">
      <c r="A4844" s="22" t="str">
        <f>HYPERLINK("https://app.vivvix.com/360/KMI/IntelliDrive/ApplUI/Pages/CreativePages/CustomReportCreativeDetail.aspx?App=23&amp;ReportView=4&amp;Qid=1711279&amp;Row=4836&amp;Col=1","No Title Assigned - #15269293015")</f>
        <v/>
      </c>
      <c r="B4844" s="0" t="s">
        <v>6627</v>
      </c>
      <c r="E4844" s="0" t="inlineStr">
        <is>
          <t xml:space="preserve">Mazda</t>
        </is>
      </c>
      <c r="F4844" s="0" t="inlineStr">
        <is>
          <t xml:space="preserve">Mazda</t>
        </is>
      </c>
      <c r="G4844" s="0" t="s">
        <v>171</v>
      </c>
      <c r="H4844" s="5">
        <v>8054.975800</v>
      </c>
    </row>
    <row r="4845" spans="1:9">
      <c r="A4845" s="22" t="str">
        <f>HYPERLINK("https://app.vivvix.com/360/KMI/IntelliDrive/ApplUI/Pages/CreativePages/CustomReportCreativeDetail.aspx?App=23&amp;ReportView=4&amp;Qid=1711279&amp;Row=4837&amp;Col=1","No Title Assigned - #15269293065")</f>
        <v/>
      </c>
      <c r="B4845" s="0" t="s">
        <v>6629</v>
      </c>
      <c r="E4845" s="0" t="inlineStr">
        <is>
          <t xml:space="preserve">Mazda</t>
        </is>
      </c>
      <c r="F4845" s="0" t="inlineStr">
        <is>
          <t xml:space="preserve">Mazda</t>
        </is>
      </c>
      <c r="G4845" s="0" t="s">
        <v>171</v>
      </c>
      <c r="H4845" s="5">
        <v>12.138000</v>
      </c>
    </row>
    <row r="4846" spans="1:9">
      <c r="A4846" s="22" t="str">
        <f>HYPERLINK("https://app.vivvix.com/360/KMI/IntelliDrive/ApplUI/Pages/CreativePages/CustomReportCreativeDetail.aspx?App=23&amp;ReportView=4&amp;Qid=1711279&amp;Row=4838&amp;Col=1","No Title Assigned - #15269293231")</f>
        <v/>
      </c>
      <c r="B4846" s="0" t="s">
        <v>6630</v>
      </c>
      <c r="E4846" s="0" t="inlineStr">
        <is>
          <t xml:space="preserve">Mazda</t>
        </is>
      </c>
      <c r="F4846" s="0" t="inlineStr">
        <is>
          <t xml:space="preserve">Mazda</t>
        </is>
      </c>
      <c r="G4846" s="0" t="s">
        <v>171</v>
      </c>
      <c r="H4846" s="5">
        <v>3116.823500</v>
      </c>
    </row>
    <row r="4847" spans="1:9">
      <c r="A4847" s="22" t="str">
        <f>HYPERLINK("https://app.vivvix.com/360/KMI/IntelliDrive/ApplUI/Pages/CreativePages/CustomReportCreativeDetail.aspx?App=23&amp;ReportView=4&amp;Qid=1711279&amp;Row=4839&amp;Col=1","No Title Assigned - #15269293258")</f>
        <v/>
      </c>
      <c r="B4847" s="0" t="s">
        <v>6631</v>
      </c>
      <c r="E4847" s="0" t="inlineStr">
        <is>
          <t xml:space="preserve">Mazda</t>
        </is>
      </c>
      <c r="F4847" s="0" t="inlineStr">
        <is>
          <t xml:space="preserve">Mazda</t>
        </is>
      </c>
      <c r="G4847" s="0" t="s">
        <v>171</v>
      </c>
      <c r="H4847" s="5">
        <v>52.031400</v>
      </c>
    </row>
    <row r="4848" spans="1:9">
      <c r="A4848" s="22" t="str">
        <f>HYPERLINK("https://app.vivvix.com/360/KMI/IntelliDrive/ApplUI/Pages/CreativePages/CustomReportCreativeDetail.aspx?App=23&amp;ReportView=4&amp;Qid=1711279&amp;Row=4840&amp;Col=1","No Title Assigned - #15269293325")</f>
        <v/>
      </c>
      <c r="B4848" s="0" t="s">
        <v>6632</v>
      </c>
      <c r="E4848" s="0" t="inlineStr">
        <is>
          <t xml:space="preserve">Mazda</t>
        </is>
      </c>
      <c r="F4848" s="0" t="inlineStr">
        <is>
          <t xml:space="preserve">Mazda</t>
        </is>
      </c>
      <c r="G4848" s="0" t="s">
        <v>171</v>
      </c>
      <c r="H4848" s="5">
        <v>22.700100</v>
      </c>
    </row>
    <row r="4849" spans="1:9">
      <c r="A4849" s="22" t="str">
        <f>HYPERLINK("https://app.vivvix.com/360/KMI/IntelliDrive/ApplUI/Pages/CreativePages/CustomReportCreativeDetail.aspx?App=23&amp;ReportView=4&amp;Qid=1711279&amp;Row=4841&amp;Col=1","No Title Assigned - #15269293412")</f>
        <v/>
      </c>
      <c r="B4849" s="0" t="s">
        <v>6633</v>
      </c>
      <c r="C4849" s="0" t="s">
        <v>6634</v>
      </c>
      <c r="D4849" s="0" t="s">
        <v>6634</v>
      </c>
      <c r="E4849" s="0" t="inlineStr">
        <is>
          <t xml:space="preserve">Mazda</t>
        </is>
      </c>
      <c r="F4849" s="0" t="inlineStr">
        <is>
          <t xml:space="preserve">Mazda</t>
        </is>
      </c>
      <c r="G4849" s="0" t="s">
        <v>171</v>
      </c>
      <c r="H4849" s="5">
        <v>73.795700</v>
      </c>
    </row>
    <row r="4850" spans="1:9">
      <c r="A4850" s="22" t="str">
        <f>HYPERLINK("https://app.vivvix.com/360/KMI/IntelliDrive/ApplUI/Pages/CreativePages/CustomReportCreativeDetail.aspx?App=23&amp;ReportView=4&amp;Qid=1711279&amp;Row=4842&amp;Col=1","No Title Assigned - #15269293413")</f>
        <v/>
      </c>
      <c r="B4850" s="0" t="s">
        <v>6635</v>
      </c>
      <c r="E4850" s="0" t="inlineStr">
        <is>
          <t xml:space="preserve">Mazda</t>
        </is>
      </c>
      <c r="F4850" s="0" t="inlineStr">
        <is>
          <t xml:space="preserve">Mazda</t>
        </is>
      </c>
      <c r="G4850" s="0" t="s">
        <v>171</v>
      </c>
      <c r="H4850" s="5">
        <v>260.731200</v>
      </c>
    </row>
    <row r="4851" spans="1:9">
      <c r="A4851" s="22" t="str">
        <f>HYPERLINK("https://app.vivvix.com/360/KMI/IntelliDrive/ApplUI/Pages/CreativePages/CustomReportCreativeDetail.aspx?App=23&amp;ReportView=4&amp;Qid=1711279&amp;Row=4843&amp;Col=1","No Title Assigned - #15269293415")</f>
        <v/>
      </c>
      <c r="B4851" s="0" t="s">
        <v>6636</v>
      </c>
      <c r="E4851" s="0" t="inlineStr">
        <is>
          <t xml:space="preserve">Mazda</t>
        </is>
      </c>
      <c r="F4851" s="0" t="inlineStr">
        <is>
          <t xml:space="preserve">Mazda</t>
        </is>
      </c>
      <c r="G4851" s="0" t="s">
        <v>171</v>
      </c>
      <c r="H4851" s="5">
        <v>31.181000</v>
      </c>
    </row>
    <row r="4852" spans="1:9">
      <c r="A4852" s="22" t="str">
        <f>HYPERLINK("https://app.vivvix.com/360/KMI/IntelliDrive/ApplUI/Pages/CreativePages/CustomReportCreativeDetail.aspx?App=23&amp;ReportView=4&amp;Qid=1711279&amp;Row=4844&amp;Col=1","No Title Assigned - #15269293498")</f>
        <v/>
      </c>
      <c r="B4852" s="0" t="s">
        <v>6637</v>
      </c>
      <c r="E4852" s="0" t="inlineStr">
        <is>
          <t xml:space="preserve">Mazda</t>
        </is>
      </c>
      <c r="F4852" s="0" t="inlineStr">
        <is>
          <t xml:space="preserve">Mazda</t>
        </is>
      </c>
      <c r="G4852" s="0" t="s">
        <v>171</v>
      </c>
      <c r="H4852" s="5">
        <v>444.126900</v>
      </c>
    </row>
    <row r="4853" spans="1:9">
      <c r="A4853" s="22" t="str">
        <f>HYPERLINK("https://app.vivvix.com/360/KMI/IntelliDrive/ApplUI/Pages/CreativePages/CustomReportCreativeDetail.aspx?App=23&amp;ReportView=4&amp;Qid=1711279&amp;Row=4845&amp;Col=1","No Title Assigned - #15269294311")</f>
        <v/>
      </c>
      <c r="B4853" s="0" t="s">
        <v>6638</v>
      </c>
      <c r="E4853" s="0" t="inlineStr">
        <is>
          <t xml:space="preserve">Mazda</t>
        </is>
      </c>
      <c r="F4853" s="0" t="inlineStr">
        <is>
          <t xml:space="preserve">Mazda</t>
        </is>
      </c>
      <c r="G4853" s="0" t="s">
        <v>171</v>
      </c>
      <c r="H4853" s="5">
        <v>295.529100</v>
      </c>
    </row>
    <row r="4854" spans="1:9">
      <c r="A4854" s="22" t="str">
        <f>HYPERLINK("https://app.vivvix.com/360/KMI/IntelliDrive/ApplUI/Pages/CreativePages/CustomReportCreativeDetail.aspx?App=23&amp;ReportView=4&amp;Qid=1711279&amp;Row=4846&amp;Col=1","No Title Assigned - #15269294356")</f>
        <v/>
      </c>
      <c r="B4854" s="0" t="s">
        <v>6639</v>
      </c>
      <c r="C4854" s="0" t="s">
        <v>6640</v>
      </c>
      <c r="D4854" s="0" t="s">
        <v>6640</v>
      </c>
      <c r="E4854" s="0" t="inlineStr">
        <is>
          <t xml:space="preserve">Mazda</t>
        </is>
      </c>
      <c r="F4854" s="0" t="inlineStr">
        <is>
          <t xml:space="preserve">Mazda</t>
        </is>
      </c>
      <c r="G4854" s="0" t="s">
        <v>171</v>
      </c>
      <c r="H4854" s="5">
        <v>376.597600</v>
      </c>
    </row>
    <row r="4855" spans="1:9">
      <c r="A4855" s="22" t="str">
        <f>HYPERLINK("https://app.vivvix.com/360/KMI/IntelliDrive/ApplUI/Pages/CreativePages/CustomReportCreativeDetail.aspx?App=23&amp;ReportView=4&amp;Qid=1711279&amp;Row=4847&amp;Col=1","No Title Assigned - #15269294479")</f>
        <v/>
      </c>
      <c r="B4855" s="0" t="s">
        <v>6641</v>
      </c>
      <c r="E4855" s="0" t="inlineStr">
        <is>
          <t xml:space="preserve">Mazda</t>
        </is>
      </c>
      <c r="F4855" s="0" t="inlineStr">
        <is>
          <t xml:space="preserve">Mazda</t>
        </is>
      </c>
      <c r="G4855" s="0" t="s">
        <v>171</v>
      </c>
      <c r="H4855" s="5">
        <v>341.389100</v>
      </c>
    </row>
    <row r="4856" spans="1:9">
      <c r="A4856" s="22" t="str">
        <f>HYPERLINK("https://app.vivvix.com/360/KMI/IntelliDrive/ApplUI/Pages/CreativePages/CustomReportCreativeDetail.aspx?App=23&amp;ReportView=4&amp;Qid=1711279&amp;Row=4848&amp;Col=1","No Title Assigned - #15269294479")</f>
        <v/>
      </c>
      <c r="B4856" s="0" t="s">
        <v>6641</v>
      </c>
      <c r="E4856" s="0" t="inlineStr">
        <is>
          <t xml:space="preserve">Mazda</t>
        </is>
      </c>
      <c r="F4856" s="0" t="inlineStr">
        <is>
          <t xml:space="preserve">Mazda</t>
        </is>
      </c>
      <c r="G4856" s="0" t="s">
        <v>171</v>
      </c>
      <c r="H4856" s="5">
        <v>1833.565600</v>
      </c>
    </row>
    <row r="4857" spans="1:9">
      <c r="A4857" s="22" t="str">
        <f>HYPERLINK("https://app.vivvix.com/360/KMI/IntelliDrive/ApplUI/Pages/CreativePages/CustomReportCreativeDetail.aspx?App=23&amp;ReportView=4&amp;Qid=1711279&amp;Row=4849&amp;Col=1","No Title Assigned - #15269294587")</f>
        <v/>
      </c>
      <c r="B4857" s="0" t="s">
        <v>6642</v>
      </c>
      <c r="E4857" s="0" t="inlineStr">
        <is>
          <t xml:space="preserve">Mazda</t>
        </is>
      </c>
      <c r="F4857" s="0" t="inlineStr">
        <is>
          <t xml:space="preserve">Mazda</t>
        </is>
      </c>
      <c r="G4857" s="0" t="s">
        <v>171</v>
      </c>
      <c r="H4857" s="5">
        <v>26.653000</v>
      </c>
    </row>
    <row r="4858" spans="1:9">
      <c r="A4858" s="22" t="str">
        <f>HYPERLINK("https://app.vivvix.com/360/KMI/IntelliDrive/ApplUI/Pages/CreativePages/CustomReportCreativeDetail.aspx?App=23&amp;ReportView=4&amp;Qid=1711279&amp;Row=4850&amp;Col=1","No Title Assigned - #15269294720")</f>
        <v/>
      </c>
      <c r="B4858" s="0" t="s">
        <v>6643</v>
      </c>
      <c r="E4858" s="0" t="inlineStr">
        <is>
          <t xml:space="preserve">Mazda</t>
        </is>
      </c>
      <c r="F4858" s="0" t="inlineStr">
        <is>
          <t xml:space="preserve">Mazda</t>
        </is>
      </c>
      <c r="G4858" s="0" t="s">
        <v>171</v>
      </c>
      <c r="H4858" s="5">
        <v>142.667100</v>
      </c>
    </row>
    <row r="4859" spans="1:9">
      <c r="A4859" s="22" t="str">
        <f>HYPERLINK("https://app.vivvix.com/360/KMI/IntelliDrive/ApplUI/Pages/CreativePages/CustomReportCreativeDetail.aspx?App=23&amp;ReportView=4&amp;Qid=1711279&amp;Row=4851&amp;Col=1","No Title Assigned - #15269294778")</f>
        <v/>
      </c>
      <c r="B4859" s="0" t="s">
        <v>6644</v>
      </c>
      <c r="E4859" s="0" t="inlineStr">
        <is>
          <t xml:space="preserve">Mazda</t>
        </is>
      </c>
      <c r="F4859" s="0" t="inlineStr">
        <is>
          <t xml:space="preserve">Mazda</t>
        </is>
      </c>
      <c r="G4859" s="0" t="s">
        <v>171</v>
      </c>
      <c r="H4859" s="5">
        <v>85.178800</v>
      </c>
    </row>
    <row r="4860" spans="1:9">
      <c r="A4860" s="22" t="str">
        <f>HYPERLINK("https://app.vivvix.com/360/KMI/IntelliDrive/ApplUI/Pages/CreativePages/CustomReportCreativeDetail.aspx?App=23&amp;ReportView=4&amp;Qid=1711279&amp;Row=4852&amp;Col=1","No Title Assigned - #15269294814")</f>
        <v/>
      </c>
      <c r="B4860" s="0" t="s">
        <v>6645</v>
      </c>
      <c r="C4860" s="0" t="s">
        <v>6646</v>
      </c>
      <c r="D4860" s="0" t="s">
        <v>6646</v>
      </c>
      <c r="E4860" s="0" t="inlineStr">
        <is>
          <t xml:space="preserve">Mazda</t>
        </is>
      </c>
      <c r="F4860" s="0" t="s">
        <v>28</v>
      </c>
      <c r="G4860" s="0" t="s">
        <v>29</v>
      </c>
      <c r="H4860" s="5">
        <v>12.920000</v>
      </c>
    </row>
    <row r="4861" spans="1:9">
      <c r="A4861" s="22" t="str">
        <f>HYPERLINK("https://app.vivvix.com/360/KMI/IntelliDrive/ApplUI/Pages/CreativePages/CustomReportCreativeDetail.aspx?App=23&amp;ReportView=4&amp;Qid=1711279&amp;Row=4853&amp;Col=1","No Title Assigned - #15269295193")</f>
        <v/>
      </c>
      <c r="B4861" s="0" t="s">
        <v>6647</v>
      </c>
      <c r="C4861" s="0" t="s">
        <v>6648</v>
      </c>
      <c r="D4861" s="0" t="s">
        <v>6648</v>
      </c>
      <c r="E4861" s="0" t="inlineStr">
        <is>
          <t xml:space="preserve">Mazda</t>
        </is>
      </c>
      <c r="F4861" s="0" t="s">
        <v>28</v>
      </c>
      <c r="G4861" s="0" t="s">
        <v>29</v>
      </c>
      <c r="H4861" s="5">
        <v>1927.176000</v>
      </c>
    </row>
    <row r="4862" spans="1:9">
      <c r="A4862" s="22" t="str">
        <f>HYPERLINK("https://app.vivvix.com/360/KMI/IntelliDrive/ApplUI/Pages/CreativePages/CustomReportCreativeDetail.aspx?App=23&amp;ReportView=4&amp;Qid=1711279&amp;Row=4854&amp;Col=1","No Title Assigned - #15269295248")</f>
        <v/>
      </c>
      <c r="B4862" s="0" t="s">
        <v>6649</v>
      </c>
      <c r="C4862" s="0" t="s">
        <v>6650</v>
      </c>
      <c r="D4862" s="0" t="s">
        <v>4781</v>
      </c>
      <c r="E4862" s="0" t="inlineStr">
        <is>
          <t xml:space="preserve">Mazda</t>
        </is>
      </c>
      <c r="F4862" s="0" t="s">
        <v>28</v>
      </c>
      <c r="G4862" s="0" t="s">
        <v>29</v>
      </c>
      <c r="H4862" s="5">
        <v>4.091200</v>
      </c>
    </row>
    <row r="4863" spans="1:9">
      <c r="A4863" s="22" t="str">
        <f>HYPERLINK("https://app.vivvix.com/360/KMI/IntelliDrive/ApplUI/Pages/CreativePages/CustomReportCreativeDetail.aspx?App=23&amp;ReportView=4&amp;Qid=1711279&amp;Row=4855&amp;Col=1","No Title Assigned - #15269295535")</f>
        <v/>
      </c>
      <c r="B4863" s="0" t="s">
        <v>6651</v>
      </c>
      <c r="C4863" s="0" t="s">
        <v>6652</v>
      </c>
      <c r="D4863" s="0" t="s">
        <v>6652</v>
      </c>
      <c r="E4863" s="0" t="inlineStr">
        <is>
          <t xml:space="preserve">Mazda</t>
        </is>
      </c>
      <c r="F4863" s="0" t="s">
        <v>28</v>
      </c>
      <c r="G4863" s="0" t="s">
        <v>29</v>
      </c>
      <c r="H4863" s="5">
        <v>578.115000</v>
      </c>
    </row>
    <row r="4864" spans="1:9">
      <c r="A4864" s="22" t="str">
        <f>HYPERLINK("https://app.vivvix.com/360/KMI/IntelliDrive/ApplUI/Pages/CreativePages/CustomReportCreativeDetail.aspx?App=23&amp;ReportView=4&amp;Qid=1711279&amp;Row=4856&amp;Col=1","No Title Assigned - #15269295556")</f>
        <v/>
      </c>
      <c r="B4864" s="0" t="s">
        <v>6653</v>
      </c>
      <c r="C4864" s="0" t="s">
        <v>6654</v>
      </c>
      <c r="D4864" s="0" t="s">
        <v>6654</v>
      </c>
      <c r="E4864" s="0" t="inlineStr">
        <is>
          <t xml:space="preserve">Mazda</t>
        </is>
      </c>
      <c r="F4864" s="0" t="s">
        <v>28</v>
      </c>
      <c r="G4864" s="0" t="s">
        <v>29</v>
      </c>
      <c r="H4864" s="5">
        <v>41.280300</v>
      </c>
    </row>
    <row r="4865" spans="1:9">
      <c r="A4865" s="22" t="str">
        <f>HYPERLINK("https://app.vivvix.com/360/KMI/IntelliDrive/ApplUI/Pages/CreativePages/CustomReportCreativeDetail.aspx?App=23&amp;ReportView=4&amp;Qid=1711279&amp;Row=4857&amp;Col=1","No Title Assigned - #15269295654")</f>
        <v/>
      </c>
      <c r="B4865" s="0" t="s">
        <v>6655</v>
      </c>
      <c r="C4865" s="0" t="s">
        <v>6656</v>
      </c>
      <c r="D4865" s="0" t="s">
        <v>6656</v>
      </c>
      <c r="E4865" s="0" t="inlineStr">
        <is>
          <t xml:space="preserve">Mazda</t>
        </is>
      </c>
      <c r="F4865" s="0" t="s">
        <v>28</v>
      </c>
      <c r="G4865" s="0" t="s">
        <v>29</v>
      </c>
      <c r="H4865" s="5">
        <v>31916.744900</v>
      </c>
    </row>
    <row r="4866" spans="1:9">
      <c r="A4866" s="22" t="str">
        <f>HYPERLINK("https://app.vivvix.com/360/KMI/IntelliDrive/ApplUI/Pages/CreativePages/CustomReportCreativeDetail.aspx?App=23&amp;ReportView=4&amp;Qid=1711279&amp;Row=4858&amp;Col=1","No Title Assigned - #15269295654")</f>
        <v/>
      </c>
      <c r="B4866" s="0" t="s">
        <v>6655</v>
      </c>
      <c r="E4866" s="0" t="inlineStr">
        <is>
          <t xml:space="preserve">Mazda</t>
        </is>
      </c>
      <c r="F4866" s="0" t="s">
        <v>28</v>
      </c>
      <c r="G4866" s="0" t="s">
        <v>29</v>
      </c>
      <c r="H4866" s="5">
        <v>16038.753000</v>
      </c>
    </row>
    <row r="4867" spans="1:9">
      <c r="A4867" s="22" t="str">
        <f>HYPERLINK("https://app.vivvix.com/360/KMI/IntelliDrive/ApplUI/Pages/CreativePages/CustomReportCreativeDetail.aspx?App=23&amp;ReportView=4&amp;Qid=1711279&amp;Row=4859&amp;Col=1","No Title Assigned - #15269295695")</f>
        <v/>
      </c>
      <c r="B4867" s="0" t="s">
        <v>6657</v>
      </c>
      <c r="C4867" s="0" t="s">
        <v>6658</v>
      </c>
      <c r="D4867" s="0" t="s">
        <v>6658</v>
      </c>
      <c r="E4867" s="0" t="inlineStr">
        <is>
          <t xml:space="preserve">Mazda</t>
        </is>
      </c>
      <c r="F4867" s="0" t="s">
        <v>28</v>
      </c>
      <c r="G4867" s="0" t="s">
        <v>29</v>
      </c>
      <c r="H4867" s="5">
        <v>346.588400</v>
      </c>
    </row>
    <row r="4868" spans="1:9">
      <c r="A4868" s="22" t="str">
        <f>HYPERLINK("https://app.vivvix.com/360/KMI/IntelliDrive/ApplUI/Pages/CreativePages/CustomReportCreativeDetail.aspx?App=23&amp;ReportView=4&amp;Qid=1711279&amp;Row=4860&amp;Col=1","No Title Assigned - #15269295816")</f>
        <v/>
      </c>
      <c r="B4868" s="0" t="s">
        <v>6659</v>
      </c>
      <c r="C4868" s="0" t="s">
        <v>6660</v>
      </c>
      <c r="D4868" s="0" t="s">
        <v>6660</v>
      </c>
      <c r="E4868" s="0" t="inlineStr">
        <is>
          <t xml:space="preserve">Mazda</t>
        </is>
      </c>
      <c r="F4868" s="0" t="s">
        <v>28</v>
      </c>
      <c r="G4868" s="0" t="s">
        <v>29</v>
      </c>
      <c r="H4868" s="5">
        <v>1201.467000</v>
      </c>
    </row>
    <row r="4869" spans="1:9">
      <c r="A4869" s="22" t="str">
        <f>HYPERLINK("https://app.vivvix.com/360/KMI/IntelliDrive/ApplUI/Pages/CreativePages/CustomReportCreativeDetail.aspx?App=23&amp;ReportView=4&amp;Qid=1711279&amp;Row=4861&amp;Col=1","No Title Assigned - #15269295816")</f>
        <v/>
      </c>
      <c r="B4869" s="0" t="s">
        <v>6659</v>
      </c>
      <c r="E4869" s="0" t="inlineStr">
        <is>
          <t xml:space="preserve">Mazda</t>
        </is>
      </c>
      <c r="F4869" s="0" t="s">
        <v>28</v>
      </c>
      <c r="G4869" s="0" t="s">
        <v>29</v>
      </c>
      <c r="H4869" s="5">
        <v>19064.646400</v>
      </c>
    </row>
    <row r="4870" spans="1:9">
      <c r="A4870" s="22" t="str">
        <f>HYPERLINK("https://app.vivvix.com/360/KMI/IntelliDrive/ApplUI/Pages/CreativePages/CustomReportCreativeDetail.aspx?App=23&amp;ReportView=4&amp;Qid=1711279&amp;Row=4862&amp;Col=1","No Title Assigned - #15269295957")</f>
        <v/>
      </c>
      <c r="B4870" s="0" t="s">
        <v>6661</v>
      </c>
      <c r="E4870" s="0" t="inlineStr">
        <is>
          <t xml:space="preserve">Mazda</t>
        </is>
      </c>
      <c r="F4870" s="0" t="inlineStr">
        <is>
          <t xml:space="preserve">Mazda</t>
        </is>
      </c>
      <c r="G4870" s="0" t="s">
        <v>171</v>
      </c>
      <c r="H4870" s="5">
        <v>74.656400</v>
      </c>
    </row>
    <row r="4871" spans="1:9">
      <c r="A4871" s="22" t="str">
        <f>HYPERLINK("https://app.vivvix.com/360/KMI/IntelliDrive/ApplUI/Pages/CreativePages/CustomReportCreativeDetail.aspx?App=23&amp;ReportView=4&amp;Qid=1711279&amp;Row=4863&amp;Col=1","No Title Assigned - #15269296384")</f>
        <v/>
      </c>
      <c r="B4871" s="0" t="s">
        <v>6662</v>
      </c>
      <c r="C4871" s="0" t="s">
        <v>6663</v>
      </c>
      <c r="D4871" s="0" t="s">
        <v>6663</v>
      </c>
      <c r="E4871" s="0" t="inlineStr">
        <is>
          <t xml:space="preserve">Mazda</t>
        </is>
      </c>
      <c r="F4871" s="0" t="s">
        <v>28</v>
      </c>
      <c r="G4871" s="0" t="s">
        <v>29</v>
      </c>
      <c r="H4871" s="5">
        <v>143.516700</v>
      </c>
    </row>
    <row r="4872" spans="1:9">
      <c r="A4872" s="22" t="str">
        <f>HYPERLINK("https://app.vivvix.com/360/KMI/IntelliDrive/ApplUI/Pages/CreativePages/CustomReportCreativeDetail.aspx?App=23&amp;ReportView=4&amp;Qid=1711279&amp;Row=4864&amp;Col=1","No Title Assigned - #15269296398")</f>
        <v/>
      </c>
      <c r="B4872" s="0" t="s">
        <v>6664</v>
      </c>
      <c r="C4872" s="0" t="s">
        <v>6665</v>
      </c>
      <c r="D4872" s="0" t="s">
        <v>6665</v>
      </c>
      <c r="E4872" s="0" t="inlineStr">
        <is>
          <t xml:space="preserve">Mazda</t>
        </is>
      </c>
      <c r="F4872" s="0" t="s">
        <v>28</v>
      </c>
      <c r="G4872" s="0" t="s">
        <v>29</v>
      </c>
      <c r="H4872" s="5">
        <v>495.932400</v>
      </c>
    </row>
    <row r="4873" spans="1:9">
      <c r="A4873" s="22" t="str">
        <f>HYPERLINK("https://app.vivvix.com/360/KMI/IntelliDrive/ApplUI/Pages/CreativePages/CustomReportCreativeDetail.aspx?App=23&amp;ReportView=4&amp;Qid=1711279&amp;Row=4865&amp;Col=1","No Title Assigned - #15269296401")</f>
        <v/>
      </c>
      <c r="B4873" s="0" t="s">
        <v>6666</v>
      </c>
      <c r="C4873" s="0" t="s">
        <v>6667</v>
      </c>
      <c r="D4873" s="0" t="s">
        <v>6667</v>
      </c>
      <c r="E4873" s="0" t="inlineStr">
        <is>
          <t xml:space="preserve">Mazda</t>
        </is>
      </c>
      <c r="F4873" s="0" t="s">
        <v>28</v>
      </c>
      <c r="G4873" s="0" t="s">
        <v>29</v>
      </c>
      <c r="H4873" s="5">
        <v>26.822600</v>
      </c>
    </row>
    <row r="4874" spans="1:9">
      <c r="A4874" s="22" t="str">
        <f>HYPERLINK("https://app.vivvix.com/360/KMI/IntelliDrive/ApplUI/Pages/CreativePages/CustomReportCreativeDetail.aspx?App=23&amp;ReportView=4&amp;Qid=1711279&amp;Row=4866&amp;Col=1","No Title Assigned - #15269296522")</f>
        <v/>
      </c>
      <c r="B4874" s="0" t="s">
        <v>6668</v>
      </c>
      <c r="C4874" s="0" t="s">
        <v>6669</v>
      </c>
      <c r="D4874" s="0" t="s">
        <v>6669</v>
      </c>
      <c r="E4874" s="0" t="inlineStr">
        <is>
          <t xml:space="preserve">Mazda</t>
        </is>
      </c>
      <c r="F4874" s="0" t="s">
        <v>28</v>
      </c>
      <c r="G4874" s="0" t="s">
        <v>29</v>
      </c>
      <c r="H4874" s="5">
        <v>38.026400</v>
      </c>
    </row>
    <row r="4875" spans="1:9">
      <c r="A4875" s="22" t="str">
        <f>HYPERLINK("https://app.vivvix.com/360/KMI/IntelliDrive/ApplUI/Pages/CreativePages/CustomReportCreativeDetail.aspx?App=23&amp;ReportView=4&amp;Qid=1711279&amp;Row=4867&amp;Col=1","No Title Assigned - #15269296527")</f>
        <v/>
      </c>
      <c r="B4875" s="0" t="s">
        <v>6670</v>
      </c>
      <c r="C4875" s="0" t="s">
        <v>6671</v>
      </c>
      <c r="D4875" s="0" t="s">
        <v>6079</v>
      </c>
      <c r="E4875" s="0" t="inlineStr">
        <is>
          <t xml:space="preserve">Mazda</t>
        </is>
      </c>
      <c r="F4875" s="0" t="s">
        <v>28</v>
      </c>
      <c r="G4875" s="0" t="s">
        <v>29</v>
      </c>
      <c r="H4875" s="5">
        <v>205.902500</v>
      </c>
    </row>
    <row r="4876" spans="1:9">
      <c r="A4876" s="22" t="str">
        <f>HYPERLINK("https://app.vivvix.com/360/KMI/IntelliDrive/ApplUI/Pages/CreativePages/CustomReportCreativeDetail.aspx?App=23&amp;ReportView=4&amp;Qid=1711279&amp;Row=4868&amp;Col=1","No Title Assigned - #15269296562")</f>
        <v/>
      </c>
      <c r="B4876" s="0" t="s">
        <v>6672</v>
      </c>
      <c r="E4876" s="0" t="inlineStr">
        <is>
          <t xml:space="preserve">Mazda</t>
        </is>
      </c>
      <c r="F4876" s="0" t="s">
        <v>28</v>
      </c>
      <c r="G4876" s="0" t="s">
        <v>29</v>
      </c>
      <c r="H4876" s="5">
        <v>57.845800</v>
      </c>
    </row>
    <row r="4877" spans="1:9">
      <c r="A4877" s="22" t="str">
        <f>HYPERLINK("https://app.vivvix.com/360/KMI/IntelliDrive/ApplUI/Pages/CreativePages/CustomReportCreativeDetail.aspx?App=23&amp;ReportView=4&amp;Qid=1711279&amp;Row=4869&amp;Col=1","No Title Assigned - #15269296562")</f>
        <v/>
      </c>
      <c r="B4877" s="0" t="s">
        <v>6672</v>
      </c>
      <c r="C4877" s="0" t="s">
        <v>6673</v>
      </c>
      <c r="D4877" s="0" t="s">
        <v>6673</v>
      </c>
      <c r="E4877" s="0" t="inlineStr">
        <is>
          <t xml:space="preserve">Mazda</t>
        </is>
      </c>
      <c r="F4877" s="0" t="s">
        <v>28</v>
      </c>
      <c r="G4877" s="0" t="s">
        <v>29</v>
      </c>
      <c r="H4877" s="5">
        <v>98.172300</v>
      </c>
    </row>
    <row r="4878" spans="1:9">
      <c r="A4878" s="22" t="str">
        <f>HYPERLINK("https://app.vivvix.com/360/KMI/IntelliDrive/ApplUI/Pages/CreativePages/CustomReportCreativeDetail.aspx?App=23&amp;ReportView=4&amp;Qid=1711279&amp;Row=4870&amp;Col=1","No Title Assigned - #15269296614")</f>
        <v/>
      </c>
      <c r="B4878" s="0" t="s">
        <v>6674</v>
      </c>
      <c r="C4878" s="0" t="s">
        <v>6675</v>
      </c>
      <c r="D4878" s="0" t="s">
        <v>6676</v>
      </c>
      <c r="E4878" s="0" t="inlineStr">
        <is>
          <t xml:space="preserve">Mazda</t>
        </is>
      </c>
      <c r="F4878" s="0" t="s">
        <v>28</v>
      </c>
      <c r="G4878" s="0" t="s">
        <v>29</v>
      </c>
      <c r="H4878" s="5">
        <v>5203.713600</v>
      </c>
    </row>
    <row r="4879" spans="1:9">
      <c r="A4879" s="22" t="str">
        <f>HYPERLINK("https://app.vivvix.com/360/KMI/IntelliDrive/ApplUI/Pages/CreativePages/CustomReportCreativeDetail.aspx?App=23&amp;ReportView=4&amp;Qid=1711279&amp;Row=4871&amp;Col=1","No Title Assigned - #15269296614")</f>
        <v/>
      </c>
      <c r="B4879" s="0" t="s">
        <v>6674</v>
      </c>
      <c r="E4879" s="0" t="inlineStr">
        <is>
          <t xml:space="preserve">Mazda</t>
        </is>
      </c>
      <c r="F4879" s="0" t="s">
        <v>28</v>
      </c>
      <c r="G4879" s="0" t="s">
        <v>29</v>
      </c>
      <c r="H4879" s="5">
        <v>2313.257800</v>
      </c>
    </row>
    <row r="4880" spans="1:9">
      <c r="A4880" s="22" t="str">
        <f>HYPERLINK("https://app.vivvix.com/360/KMI/IntelliDrive/ApplUI/Pages/CreativePages/CustomReportCreativeDetail.aspx?App=23&amp;ReportView=4&amp;Qid=1711279&amp;Row=4872&amp;Col=1","No Title Assigned - #15269297032")</f>
        <v/>
      </c>
      <c r="B4880" s="0" t="s">
        <v>6677</v>
      </c>
      <c r="C4880" s="0" t="s">
        <v>6678</v>
      </c>
      <c r="D4880" s="0" t="s">
        <v>6079</v>
      </c>
      <c r="E4880" s="0" t="inlineStr">
        <is>
          <t xml:space="preserve">Mazda</t>
        </is>
      </c>
      <c r="F4880" s="0" t="s">
        <v>28</v>
      </c>
      <c r="G4880" s="0" t="s">
        <v>29</v>
      </c>
      <c r="H4880" s="5">
        <v>2.897400</v>
      </c>
    </row>
    <row r="4881" spans="1:9">
      <c r="A4881" s="22" t="str">
        <f>HYPERLINK("https://app.vivvix.com/360/KMI/IntelliDrive/ApplUI/Pages/CreativePages/CustomReportCreativeDetail.aspx?App=23&amp;ReportView=4&amp;Qid=1711279&amp;Row=4873&amp;Col=1","No Title Assigned - #15269297033")</f>
        <v/>
      </c>
      <c r="B4881" s="0" t="s">
        <v>6679</v>
      </c>
      <c r="C4881" s="0" t="s">
        <v>6680</v>
      </c>
      <c r="D4881" s="0" t="s">
        <v>6681</v>
      </c>
      <c r="E4881" s="0" t="inlineStr">
        <is>
          <t xml:space="preserve">Mazda</t>
        </is>
      </c>
      <c r="F4881" s="0" t="s">
        <v>28</v>
      </c>
      <c r="G4881" s="0" t="s">
        <v>29</v>
      </c>
      <c r="H4881" s="5">
        <v>0.965800</v>
      </c>
    </row>
    <row r="4882" spans="1:9">
      <c r="A4882" s="22" t="str">
        <f>HYPERLINK("https://app.vivvix.com/360/KMI/IntelliDrive/ApplUI/Pages/CreativePages/CustomReportCreativeDetail.aspx?App=23&amp;ReportView=4&amp;Qid=1711279&amp;Row=4874&amp;Col=1","No Title Assigned - #15269297203")</f>
        <v/>
      </c>
      <c r="B4882" s="0" t="s">
        <v>6682</v>
      </c>
      <c r="C4882" s="0" t="s">
        <v>6683</v>
      </c>
      <c r="D4882" s="0" t="s">
        <v>6684</v>
      </c>
      <c r="E4882" s="0" t="inlineStr">
        <is>
          <t xml:space="preserve">Mazda</t>
        </is>
      </c>
      <c r="F4882" s="0" t="s">
        <v>28</v>
      </c>
      <c r="G4882" s="0" t="s">
        <v>29</v>
      </c>
      <c r="H4882" s="5">
        <v>27.061400</v>
      </c>
    </row>
    <row r="4883" spans="1:9">
      <c r="A4883" s="22" t="str">
        <f>HYPERLINK("https://app.vivvix.com/360/KMI/IntelliDrive/ApplUI/Pages/CreativePages/CustomReportCreativeDetail.aspx?App=23&amp;ReportView=4&amp;Qid=1711279&amp;Row=4875&amp;Col=1","No Title Assigned - #15269297402")</f>
        <v/>
      </c>
      <c r="B4883" s="0" t="s">
        <v>6685</v>
      </c>
      <c r="C4883" s="0" t="s">
        <v>6686</v>
      </c>
      <c r="D4883" s="0" t="s">
        <v>6686</v>
      </c>
      <c r="E4883" s="0" t="inlineStr">
        <is>
          <t xml:space="preserve">Mazda</t>
        </is>
      </c>
      <c r="F4883" s="0" t="s">
        <v>28</v>
      </c>
      <c r="G4883" s="0" t="s">
        <v>29</v>
      </c>
      <c r="H4883" s="5">
        <v>193.937900</v>
      </c>
    </row>
    <row r="4884" spans="1:9">
      <c r="A4884" s="22" t="str">
        <f>HYPERLINK("https://app.vivvix.com/360/KMI/IntelliDrive/ApplUI/Pages/CreativePages/CustomReportCreativeDetail.aspx?App=23&amp;ReportView=4&amp;Qid=1711279&amp;Row=4876&amp;Col=1","No Title Assigned - #15269297466")</f>
        <v/>
      </c>
      <c r="B4884" s="0" t="s">
        <v>6687</v>
      </c>
      <c r="C4884" s="0" t="s">
        <v>6688</v>
      </c>
      <c r="D4884" s="0" t="s">
        <v>4200</v>
      </c>
      <c r="E4884" s="0" t="inlineStr">
        <is>
          <t xml:space="preserve">Mazda</t>
        </is>
      </c>
      <c r="F4884" s="0" t="s">
        <v>28</v>
      </c>
      <c r="G4884" s="0" t="s">
        <v>29</v>
      </c>
      <c r="H4884" s="5">
        <v>12.571700</v>
      </c>
    </row>
    <row r="4885" spans="1:9">
      <c r="A4885" s="22" t="str">
        <f>HYPERLINK("https://app.vivvix.com/360/KMI/IntelliDrive/ApplUI/Pages/CreativePages/CustomReportCreativeDetail.aspx?App=23&amp;ReportView=4&amp;Qid=1711279&amp;Row=4877&amp;Col=1","No Title Assigned - #15269297662")</f>
        <v/>
      </c>
      <c r="B4885" s="0" t="s">
        <v>6689</v>
      </c>
      <c r="C4885" s="0" t="s">
        <v>6690</v>
      </c>
      <c r="D4885" s="0" t="s">
        <v>6691</v>
      </c>
      <c r="E4885" s="0" t="inlineStr">
        <is>
          <t xml:space="preserve">Mazda</t>
        </is>
      </c>
      <c r="F4885" s="0" t="s">
        <v>28</v>
      </c>
      <c r="G4885" s="0" t="s">
        <v>29</v>
      </c>
      <c r="H4885" s="5">
        <v>55.857300</v>
      </c>
    </row>
    <row r="4886" spans="1:9">
      <c r="A4886" s="22" t="str">
        <f>HYPERLINK("https://app.vivvix.com/360/KMI/IntelliDrive/ApplUI/Pages/CreativePages/CustomReportCreativeDetail.aspx?App=23&amp;ReportView=4&amp;Qid=1711279&amp;Row=4878&amp;Col=1","No Title Assigned - #15269298198")</f>
        <v/>
      </c>
      <c r="B4886" s="0" t="s">
        <v>6692</v>
      </c>
      <c r="C4886" s="0" t="s">
        <v>6693</v>
      </c>
      <c r="D4886" s="0" t="s">
        <v>4333</v>
      </c>
      <c r="E4886" s="0" t="inlineStr">
        <is>
          <t xml:space="preserve">Mazda</t>
        </is>
      </c>
      <c r="F4886" s="0" t="s">
        <v>28</v>
      </c>
      <c r="G4886" s="0" t="s">
        <v>29</v>
      </c>
      <c r="H4886" s="5">
        <v>8.749400</v>
      </c>
    </row>
    <row r="4887" spans="1:9">
      <c r="A4887" s="22" t="str">
        <f>HYPERLINK("https://app.vivvix.com/360/KMI/IntelliDrive/ApplUI/Pages/CreativePages/CustomReportCreativeDetail.aspx?App=23&amp;ReportView=4&amp;Qid=1711279&amp;Row=4879&amp;Col=1","No Title Assigned - #15269298849")</f>
        <v/>
      </c>
      <c r="B4887" s="0" t="s">
        <v>6694</v>
      </c>
      <c r="C4887" s="0" t="s">
        <v>6695</v>
      </c>
      <c r="D4887" s="0" t="s">
        <v>4200</v>
      </c>
      <c r="E4887" s="0" t="inlineStr">
        <is>
          <t xml:space="preserve">Mazda</t>
        </is>
      </c>
      <c r="F4887" s="0" t="s">
        <v>28</v>
      </c>
      <c r="G4887" s="0" t="s">
        <v>29</v>
      </c>
      <c r="H4887" s="5">
        <v>74.782000</v>
      </c>
    </row>
    <row r="4888" spans="1:9">
      <c r="A4888" s="22" t="str">
        <f>HYPERLINK("https://app.vivvix.com/360/KMI/IntelliDrive/ApplUI/Pages/CreativePages/CustomReportCreativeDetail.aspx?App=23&amp;ReportView=4&amp;Qid=1711279&amp;Row=4880&amp;Col=1","No Title Assigned - #15269298944")</f>
        <v/>
      </c>
      <c r="B4888" s="0" t="s">
        <v>6696</v>
      </c>
      <c r="C4888" s="0" t="s">
        <v>6697</v>
      </c>
      <c r="D4888" s="0" t="s">
        <v>4200</v>
      </c>
      <c r="E4888" s="0" t="inlineStr">
        <is>
          <t xml:space="preserve">Mazda</t>
        </is>
      </c>
      <c r="F4888" s="0" t="s">
        <v>28</v>
      </c>
      <c r="G4888" s="0" t="s">
        <v>29</v>
      </c>
      <c r="H4888" s="5">
        <v>64.235000</v>
      </c>
    </row>
    <row r="4889" spans="1:9">
      <c r="A4889" s="22" t="str">
        <f>HYPERLINK("https://app.vivvix.com/360/KMI/IntelliDrive/ApplUI/Pages/CreativePages/CustomReportCreativeDetail.aspx?App=23&amp;ReportView=4&amp;Qid=1711279&amp;Row=4881&amp;Col=1","No Title Assigned - #15269299114")</f>
        <v/>
      </c>
      <c r="B4889" s="0" t="s">
        <v>6698</v>
      </c>
      <c r="C4889" s="0" t="s">
        <v>6699</v>
      </c>
      <c r="D4889" s="0" t="s">
        <v>4333</v>
      </c>
      <c r="E4889" s="0" t="inlineStr">
        <is>
          <t xml:space="preserve">Mazda</t>
        </is>
      </c>
      <c r="F4889" s="0" t="s">
        <v>28</v>
      </c>
      <c r="G4889" s="0" t="s">
        <v>29</v>
      </c>
      <c r="H4889" s="5">
        <v>32.623000</v>
      </c>
    </row>
    <row r="4890" spans="1:9">
      <c r="A4890" s="22" t="str">
        <f>HYPERLINK("https://app.vivvix.com/360/KMI/IntelliDrive/ApplUI/Pages/CreativePages/CustomReportCreativeDetail.aspx?App=23&amp;ReportView=4&amp;Qid=1711279&amp;Row=4882&amp;Col=1","No Title Assigned - #15269299206")</f>
        <v/>
      </c>
      <c r="B4890" s="0" t="s">
        <v>6700</v>
      </c>
      <c r="C4890" s="0" t="s">
        <v>6701</v>
      </c>
      <c r="D4890" s="0" t="s">
        <v>4333</v>
      </c>
      <c r="E4890" s="0" t="inlineStr">
        <is>
          <t xml:space="preserve">Mazda</t>
        </is>
      </c>
      <c r="F4890" s="0" t="s">
        <v>28</v>
      </c>
      <c r="G4890" s="0" t="s">
        <v>29</v>
      </c>
      <c r="H4890" s="5">
        <v>11.637300</v>
      </c>
    </row>
    <row r="4891" spans="1:9">
      <c r="A4891" s="22" t="str">
        <f>HYPERLINK("https://app.vivvix.com/360/KMI/IntelliDrive/ApplUI/Pages/CreativePages/CustomReportCreativeDetail.aspx?App=23&amp;ReportView=4&amp;Qid=1711279&amp;Row=4883&amp;Col=1","No Title Assigned - #15269299438")</f>
        <v/>
      </c>
      <c r="B4891" s="0" t="s">
        <v>6702</v>
      </c>
      <c r="C4891" s="0" t="s">
        <v>6703</v>
      </c>
      <c r="D4891" s="0" t="s">
        <v>6703</v>
      </c>
      <c r="E4891" s="0" t="inlineStr">
        <is>
          <t xml:space="preserve">Mazda</t>
        </is>
      </c>
      <c r="F4891" s="0" t="s">
        <v>28</v>
      </c>
      <c r="G4891" s="0" t="s">
        <v>29</v>
      </c>
      <c r="H4891" s="5">
        <v>44.688300</v>
      </c>
    </row>
    <row r="4892" spans="1:9">
      <c r="A4892" s="22" t="str">
        <f>HYPERLINK("https://app.vivvix.com/360/KMI/IntelliDrive/ApplUI/Pages/CreativePages/CustomReportCreativeDetail.aspx?App=23&amp;ReportView=4&amp;Qid=1711279&amp;Row=4884&amp;Col=1","No Title Assigned - #15269299728")</f>
        <v/>
      </c>
      <c r="B4892" s="0" t="s">
        <v>6704</v>
      </c>
      <c r="C4892" s="0" t="s">
        <v>6705</v>
      </c>
      <c r="D4892" s="0" t="s">
        <v>6705</v>
      </c>
      <c r="E4892" s="0" t="inlineStr">
        <is>
          <t xml:space="preserve">Mazda</t>
        </is>
      </c>
      <c r="F4892" s="0" t="inlineStr">
        <is>
          <t xml:space="preserve">Mazda</t>
        </is>
      </c>
      <c r="G4892" s="0" t="s">
        <v>171</v>
      </c>
      <c r="H4892" s="5">
        <v>78.550600</v>
      </c>
    </row>
    <row r="4893" spans="1:9">
      <c r="A4893" s="22" t="str">
        <f>HYPERLINK("https://app.vivvix.com/360/KMI/IntelliDrive/ApplUI/Pages/CreativePages/CustomReportCreativeDetail.aspx?App=23&amp;ReportView=4&amp;Qid=1711279&amp;Row=4885&amp;Col=1","No Title Assigned - #15269299738")</f>
        <v/>
      </c>
      <c r="B4893" s="0" t="s">
        <v>6706</v>
      </c>
      <c r="E4893" s="0" t="inlineStr">
        <is>
          <t xml:space="preserve">Mazda</t>
        </is>
      </c>
      <c r="F4893" s="0" t="inlineStr">
        <is>
          <t xml:space="preserve">Mazda</t>
        </is>
      </c>
      <c r="G4893" s="0" t="s">
        <v>171</v>
      </c>
      <c r="H4893" s="5">
        <v>19.917600</v>
      </c>
    </row>
    <row r="4894" spans="1:9">
      <c r="A4894" s="22" t="str">
        <f>HYPERLINK("https://app.vivvix.com/360/KMI/IntelliDrive/ApplUI/Pages/CreativePages/CustomReportCreativeDetail.aspx?App=23&amp;ReportView=4&amp;Qid=1711279&amp;Row=4886&amp;Col=1","No Title Assigned - #15269299942")</f>
        <v/>
      </c>
      <c r="B4894" s="0" t="s">
        <v>6707</v>
      </c>
      <c r="E4894" s="0" t="inlineStr">
        <is>
          <t xml:space="preserve">Mazda</t>
        </is>
      </c>
      <c r="F4894" s="0" t="inlineStr">
        <is>
          <t xml:space="preserve">Mazda</t>
        </is>
      </c>
      <c r="G4894" s="0" t="s">
        <v>171</v>
      </c>
      <c r="H4894" s="5">
        <v>109.662800</v>
      </c>
    </row>
    <row r="4895" spans="1:9">
      <c r="A4895" s="22" t="str">
        <f>HYPERLINK("https://app.vivvix.com/360/KMI/IntelliDrive/ApplUI/Pages/CreativePages/CustomReportCreativeDetail.aspx?App=23&amp;ReportView=4&amp;Qid=1711279&amp;Row=4887&amp;Col=1","No Title Assigned - #15269299957")</f>
        <v/>
      </c>
      <c r="B4895" s="0" t="s">
        <v>6708</v>
      </c>
      <c r="C4895" s="0" t="s">
        <v>6709</v>
      </c>
      <c r="D4895" s="0" t="s">
        <v>6709</v>
      </c>
      <c r="E4895" s="0" t="inlineStr">
        <is>
          <t xml:space="preserve">Mazda</t>
        </is>
      </c>
      <c r="F4895" s="0" t="inlineStr">
        <is>
          <t xml:space="preserve">Mazda</t>
        </is>
      </c>
      <c r="G4895" s="0" t="s">
        <v>171</v>
      </c>
      <c r="H4895" s="5">
        <v>115.014500</v>
      </c>
    </row>
    <row r="4896" spans="1:9">
      <c r="A4896" s="22" t="str">
        <f>HYPERLINK("https://app.vivvix.com/360/KMI/IntelliDrive/ApplUI/Pages/CreativePages/CustomReportCreativeDetail.aspx?App=23&amp;ReportView=4&amp;Qid=1711279&amp;Row=4888&amp;Col=1","No Title Assigned - #15269300167")</f>
        <v/>
      </c>
      <c r="B4896" s="0" t="s">
        <v>6710</v>
      </c>
      <c r="E4896" s="0" t="inlineStr">
        <is>
          <t xml:space="preserve">Mazda</t>
        </is>
      </c>
      <c r="F4896" s="0" t="inlineStr">
        <is>
          <t xml:space="preserve">Mazda</t>
        </is>
      </c>
      <c r="G4896" s="0" t="s">
        <v>171</v>
      </c>
      <c r="H4896" s="5">
        <v>104021.731000</v>
      </c>
    </row>
    <row r="4897" spans="1:9">
      <c r="A4897" s="22" t="str">
        <f>HYPERLINK("https://app.vivvix.com/360/KMI/IntelliDrive/ApplUI/Pages/CreativePages/CustomReportCreativeDetail.aspx?App=23&amp;ReportView=4&amp;Qid=1711279&amp;Row=4889&amp;Col=1","No Title Assigned - #15269300167")</f>
        <v/>
      </c>
      <c r="B4897" s="0" t="s">
        <v>6710</v>
      </c>
      <c r="E4897" s="0" t="inlineStr">
        <is>
          <t xml:space="preserve">Mazda</t>
        </is>
      </c>
      <c r="F4897" s="0" t="inlineStr">
        <is>
          <t xml:space="preserve">Mazda</t>
        </is>
      </c>
      <c r="G4897" s="0" t="s">
        <v>171</v>
      </c>
      <c r="H4897" s="5">
        <v>9147.286200</v>
      </c>
    </row>
    <row r="4898" spans="1:9">
      <c r="A4898" s="22" t="str">
        <f>HYPERLINK("https://app.vivvix.com/360/KMI/IntelliDrive/ApplUI/Pages/CreativePages/CustomReportCreativeDetail.aspx?App=23&amp;ReportView=4&amp;Qid=1711279&amp;Row=4890&amp;Col=1","No Title Assigned - #15269300242")</f>
        <v/>
      </c>
      <c r="B4898" s="0" t="s">
        <v>6711</v>
      </c>
      <c r="E4898" s="0" t="inlineStr">
        <is>
          <t xml:space="preserve">Mazda</t>
        </is>
      </c>
      <c r="F4898" s="0" t="inlineStr">
        <is>
          <t xml:space="preserve">Mazda</t>
        </is>
      </c>
      <c r="G4898" s="0" t="s">
        <v>171</v>
      </c>
      <c r="H4898" s="5">
        <v>375.982500</v>
      </c>
    </row>
    <row r="4899" spans="1:9">
      <c r="A4899" s="22" t="str">
        <f>HYPERLINK("https://app.vivvix.com/360/KMI/IntelliDrive/ApplUI/Pages/CreativePages/CustomReportCreativeDetail.aspx?App=23&amp;ReportView=4&amp;Qid=1711279&amp;Row=4891&amp;Col=1","No Title Assigned - #15269300602")</f>
        <v/>
      </c>
      <c r="B4899" s="0" t="s">
        <v>6712</v>
      </c>
      <c r="E4899" s="0" t="inlineStr">
        <is>
          <t xml:space="preserve">Mazda</t>
        </is>
      </c>
      <c r="F4899" s="0" t="inlineStr">
        <is>
          <t xml:space="preserve">Mazda</t>
        </is>
      </c>
      <c r="G4899" s="0" t="s">
        <v>171</v>
      </c>
      <c r="H4899" s="5">
        <v>43.048700</v>
      </c>
    </row>
    <row r="4900" spans="1:9">
      <c r="A4900" s="22" t="str">
        <f>HYPERLINK("https://app.vivvix.com/360/KMI/IntelliDrive/ApplUI/Pages/CreativePages/CustomReportCreativeDetail.aspx?App=23&amp;ReportView=4&amp;Qid=1711279&amp;Row=4892&amp;Col=1","No Title Assigned - #15269300751")</f>
        <v/>
      </c>
      <c r="B4900" s="0" t="s">
        <v>6713</v>
      </c>
      <c r="E4900" s="0" t="inlineStr">
        <is>
          <t xml:space="preserve">Mazda</t>
        </is>
      </c>
      <c r="F4900" s="0" t="inlineStr">
        <is>
          <t xml:space="preserve">Mazda</t>
        </is>
      </c>
      <c r="G4900" s="0" t="s">
        <v>171</v>
      </c>
      <c r="H4900" s="5">
        <v>644.653400</v>
      </c>
    </row>
    <row r="4901" spans="1:9">
      <c r="A4901" s="22" t="str">
        <f>HYPERLINK("https://app.vivvix.com/360/KMI/IntelliDrive/ApplUI/Pages/CreativePages/CustomReportCreativeDetail.aspx?App=23&amp;ReportView=4&amp;Qid=1711279&amp;Row=4893&amp;Col=1","No Title Assigned - #15269300908")</f>
        <v/>
      </c>
      <c r="B4901" s="0" t="s">
        <v>6714</v>
      </c>
      <c r="E4901" s="0" t="inlineStr">
        <is>
          <t xml:space="preserve">Mazda</t>
        </is>
      </c>
      <c r="F4901" s="0" t="inlineStr">
        <is>
          <t xml:space="preserve">Mazda</t>
        </is>
      </c>
      <c r="G4901" s="0" t="s">
        <v>171</v>
      </c>
      <c r="H4901" s="5">
        <v>36.070500</v>
      </c>
    </row>
    <row r="4902" spans="1:9">
      <c r="A4902" s="22" t="str">
        <f>HYPERLINK("https://app.vivvix.com/360/KMI/IntelliDrive/ApplUI/Pages/CreativePages/CustomReportCreativeDetail.aspx?App=23&amp;ReportView=4&amp;Qid=1711279&amp;Row=4894&amp;Col=1","No Title Assigned - #15269301303")</f>
        <v/>
      </c>
      <c r="B4902" s="0" t="s">
        <v>6715</v>
      </c>
      <c r="E4902" s="0" t="inlineStr">
        <is>
          <t xml:space="preserve">Mazda</t>
        </is>
      </c>
      <c r="F4902" s="0" t="inlineStr">
        <is>
          <t xml:space="preserve">Mazda</t>
        </is>
      </c>
      <c r="G4902" s="0" t="s">
        <v>171</v>
      </c>
      <c r="H4902" s="5">
        <v>103.028700</v>
      </c>
    </row>
    <row r="4903" spans="1:9">
      <c r="A4903" s="22" t="str">
        <f>HYPERLINK("https://app.vivvix.com/360/KMI/IntelliDrive/ApplUI/Pages/CreativePages/CustomReportCreativeDetail.aspx?App=23&amp;ReportView=4&amp;Qid=1711279&amp;Row=4895&amp;Col=1","No Title Assigned - #15269301304")</f>
        <v/>
      </c>
      <c r="B4903" s="0" t="s">
        <v>6716</v>
      </c>
      <c r="E4903" s="0" t="inlineStr">
        <is>
          <t xml:space="preserve">Mazda</t>
        </is>
      </c>
      <c r="F4903" s="0" t="inlineStr">
        <is>
          <t xml:space="preserve">Mazda</t>
        </is>
      </c>
      <c r="G4903" s="0" t="s">
        <v>171</v>
      </c>
      <c r="H4903" s="5">
        <v>103.028700</v>
      </c>
    </row>
    <row r="4904" spans="1:9">
      <c r="A4904" s="22" t="str">
        <f>HYPERLINK("https://app.vivvix.com/360/KMI/IntelliDrive/ApplUI/Pages/CreativePages/CustomReportCreativeDetail.aspx?App=23&amp;ReportView=4&amp;Qid=1711279&amp;Row=4896&amp;Col=1","No Title Assigned - #15269302413")</f>
        <v/>
      </c>
      <c r="B4904" s="0" t="s">
        <v>6717</v>
      </c>
      <c r="E4904" s="0" t="inlineStr">
        <is>
          <t xml:space="preserve">Mazda</t>
        </is>
      </c>
      <c r="F4904" s="0" t="inlineStr">
        <is>
          <t xml:space="preserve">Mazda</t>
        </is>
      </c>
      <c r="G4904" s="0" t="s">
        <v>171</v>
      </c>
      <c r="H4904" s="5">
        <v>16.612700</v>
      </c>
    </row>
    <row r="4905" spans="1:9">
      <c r="A4905" s="22" t="str">
        <f>HYPERLINK("https://app.vivvix.com/360/KMI/IntelliDrive/ApplUI/Pages/CreativePages/CustomReportCreativeDetail.aspx?App=23&amp;ReportView=4&amp;Qid=1711279&amp;Row=4897&amp;Col=1","No Title Assigned - #15269302518")</f>
        <v/>
      </c>
      <c r="B4905" s="0" t="s">
        <v>6718</v>
      </c>
      <c r="E4905" s="0" t="inlineStr">
        <is>
          <t xml:space="preserve">Mazda</t>
        </is>
      </c>
      <c r="F4905" s="0" t="inlineStr">
        <is>
          <t xml:space="preserve">Mazda</t>
        </is>
      </c>
      <c r="G4905" s="0" t="s">
        <v>171</v>
      </c>
      <c r="H4905" s="5">
        <v>246.823500</v>
      </c>
    </row>
    <row r="4906" spans="1:9">
      <c r="A4906" s="22" t="str">
        <f>HYPERLINK("https://app.vivvix.com/360/KMI/IntelliDrive/ApplUI/Pages/CreativePages/CustomReportCreativeDetail.aspx?App=23&amp;ReportView=4&amp;Qid=1711279&amp;Row=4898&amp;Col=1","No Title Assigned - #15269302871")</f>
        <v/>
      </c>
      <c r="B4906" s="0" t="s">
        <v>6719</v>
      </c>
      <c r="E4906" s="0" t="inlineStr">
        <is>
          <t xml:space="preserve">Mazda</t>
        </is>
      </c>
      <c r="F4906" s="0" t="inlineStr">
        <is>
          <t xml:space="preserve">Mazda</t>
        </is>
      </c>
      <c r="G4906" s="0" t="s">
        <v>171</v>
      </c>
      <c r="H4906" s="5">
        <v>17.343800</v>
      </c>
    </row>
    <row r="4907" spans="1:9">
      <c r="A4907" s="22" t="str">
        <f>HYPERLINK("https://app.vivvix.com/360/KMI/IntelliDrive/ApplUI/Pages/CreativePages/CustomReportCreativeDetail.aspx?App=23&amp;ReportView=4&amp;Qid=1711279&amp;Row=4899&amp;Col=1","No Title Assigned - #15269302872")</f>
        <v/>
      </c>
      <c r="B4907" s="0" t="s">
        <v>6720</v>
      </c>
      <c r="E4907" s="0" t="inlineStr">
        <is>
          <t xml:space="preserve">Mazda</t>
        </is>
      </c>
      <c r="F4907" s="0" t="inlineStr">
        <is>
          <t xml:space="preserve">Mazda</t>
        </is>
      </c>
      <c r="G4907" s="0" t="s">
        <v>171</v>
      </c>
      <c r="H4907" s="5">
        <v>19.260400</v>
      </c>
    </row>
    <row r="4908" spans="1:9">
      <c r="A4908" s="22" t="str">
        <f>HYPERLINK("https://app.vivvix.com/360/KMI/IntelliDrive/ApplUI/Pages/CreativePages/CustomReportCreativeDetail.aspx?App=23&amp;ReportView=4&amp;Qid=1711279&amp;Row=4900&amp;Col=1","No Title Assigned - #15269303166")</f>
        <v/>
      </c>
      <c r="B4908" s="0" t="s">
        <v>6721</v>
      </c>
      <c r="E4908" s="0" t="inlineStr">
        <is>
          <t xml:space="preserve">Mazda</t>
        </is>
      </c>
      <c r="F4908" s="0" t="inlineStr">
        <is>
          <t xml:space="preserve">Mazda</t>
        </is>
      </c>
      <c r="G4908" s="0" t="s">
        <v>171</v>
      </c>
      <c r="H4908" s="5">
        <v>3694.276300</v>
      </c>
    </row>
    <row r="4909" spans="1:9">
      <c r="A4909" s="22" t="str">
        <f>HYPERLINK("https://app.vivvix.com/360/KMI/IntelliDrive/ApplUI/Pages/CreativePages/CustomReportCreativeDetail.aspx?App=23&amp;ReportView=4&amp;Qid=1711279&amp;Row=4901&amp;Col=1","No Title Assigned - #15269303491")</f>
        <v/>
      </c>
      <c r="B4909" s="0" t="s">
        <v>6722</v>
      </c>
      <c r="E4909" s="0" t="inlineStr">
        <is>
          <t xml:space="preserve">Mazda</t>
        </is>
      </c>
      <c r="F4909" s="0" t="inlineStr">
        <is>
          <t xml:space="preserve">Mazda</t>
        </is>
      </c>
      <c r="G4909" s="0" t="s">
        <v>171</v>
      </c>
      <c r="H4909" s="5">
        <v>8.777400</v>
      </c>
    </row>
    <row r="4910" spans="1:9">
      <c r="A4910" s="22" t="str">
        <f>HYPERLINK("https://app.vivvix.com/360/KMI/IntelliDrive/ApplUI/Pages/CreativePages/CustomReportCreativeDetail.aspx?App=23&amp;ReportView=4&amp;Qid=1711279&amp;Row=4902&amp;Col=1","No Title Assigned - #15269303646")</f>
        <v/>
      </c>
      <c r="B4910" s="0" t="s">
        <v>6723</v>
      </c>
      <c r="E4910" s="0" t="inlineStr">
        <is>
          <t xml:space="preserve">Mazda</t>
        </is>
      </c>
      <c r="F4910" s="0" t="inlineStr">
        <is>
          <t xml:space="preserve">Mazda</t>
        </is>
      </c>
      <c r="G4910" s="0" t="s">
        <v>171</v>
      </c>
      <c r="H4910" s="5">
        <v>272.938700</v>
      </c>
    </row>
    <row r="4911" spans="1:9">
      <c r="A4911" s="22" t="str">
        <f>HYPERLINK("https://app.vivvix.com/360/KMI/IntelliDrive/ApplUI/Pages/CreativePages/CustomReportCreativeDetail.aspx?App=23&amp;ReportView=4&amp;Qid=1711279&amp;Row=4903&amp;Col=1","No Title Assigned - #15269303967")</f>
        <v/>
      </c>
      <c r="B4911" s="0" t="s">
        <v>6724</v>
      </c>
      <c r="E4911" s="0" t="inlineStr">
        <is>
          <t xml:space="preserve">Mazda</t>
        </is>
      </c>
      <c r="F4911" s="0" t="inlineStr">
        <is>
          <t xml:space="preserve">Mazda</t>
        </is>
      </c>
      <c r="G4911" s="0" t="s">
        <v>171</v>
      </c>
      <c r="H4911" s="5">
        <v>111.670800</v>
      </c>
    </row>
    <row r="4912" spans="1:9">
      <c r="A4912" s="22" t="str">
        <f>HYPERLINK("https://app.vivvix.com/360/KMI/IntelliDrive/ApplUI/Pages/CreativePages/CustomReportCreativeDetail.aspx?App=23&amp;ReportView=4&amp;Qid=1711279&amp;Row=4904&amp;Col=1","No Title Assigned - #15269303967")</f>
        <v/>
      </c>
      <c r="B4912" s="0" t="s">
        <v>6724</v>
      </c>
      <c r="C4912" s="0" t="s">
        <v>6725</v>
      </c>
      <c r="D4912" s="0" t="s">
        <v>6725</v>
      </c>
      <c r="E4912" s="0" t="inlineStr">
        <is>
          <t xml:space="preserve">Mazda</t>
        </is>
      </c>
      <c r="F4912" s="0" t="inlineStr">
        <is>
          <t xml:space="preserve">Mazda</t>
        </is>
      </c>
      <c r="G4912" s="0" t="s">
        <v>171</v>
      </c>
      <c r="H4912" s="5">
        <v>5.641600</v>
      </c>
    </row>
    <row r="4913" spans="1:9">
      <c r="A4913" s="22" t="str">
        <f>HYPERLINK("https://app.vivvix.com/360/KMI/IntelliDrive/ApplUI/Pages/CreativePages/CustomReportCreativeDetail.aspx?App=23&amp;ReportView=4&amp;Qid=1711279&amp;Row=4905&amp;Col=1","No Title Assigned - #15269304076")</f>
        <v/>
      </c>
      <c r="B4913" s="0" t="s">
        <v>6726</v>
      </c>
      <c r="E4913" s="0" t="inlineStr">
        <is>
          <t xml:space="preserve">Mazda</t>
        </is>
      </c>
      <c r="F4913" s="0" t="inlineStr">
        <is>
          <t xml:space="preserve">Mazda</t>
        </is>
      </c>
      <c r="G4913" s="0" t="s">
        <v>171</v>
      </c>
      <c r="H4913" s="5">
        <v>144.285400</v>
      </c>
    </row>
    <row r="4914" spans="1:9">
      <c r="A4914" s="22" t="str">
        <f>HYPERLINK("https://app.vivvix.com/360/KMI/IntelliDrive/ApplUI/Pages/CreativePages/CustomReportCreativeDetail.aspx?App=23&amp;ReportView=4&amp;Qid=1711279&amp;Row=4906&amp;Col=1","No Title Assigned - #15269304138")</f>
        <v/>
      </c>
      <c r="B4914" s="0" t="s">
        <v>6727</v>
      </c>
      <c r="E4914" s="0" t="inlineStr">
        <is>
          <t xml:space="preserve">Mazda</t>
        </is>
      </c>
      <c r="F4914" s="0" t="inlineStr">
        <is>
          <t xml:space="preserve">Mazda</t>
        </is>
      </c>
      <c r="G4914" s="0" t="s">
        <v>171</v>
      </c>
      <c r="H4914" s="5">
        <v>124.141600</v>
      </c>
    </row>
    <row r="4915" spans="1:9">
      <c r="A4915" s="22" t="str">
        <f>HYPERLINK("https://app.vivvix.com/360/KMI/IntelliDrive/ApplUI/Pages/CreativePages/CustomReportCreativeDetail.aspx?App=23&amp;ReportView=4&amp;Qid=1711279&amp;Row=4907&amp;Col=1","No Title Assigned - #15269304426")</f>
        <v/>
      </c>
      <c r="B4915" s="0" t="s">
        <v>6728</v>
      </c>
      <c r="E4915" s="0" t="inlineStr">
        <is>
          <t xml:space="preserve">Mazda</t>
        </is>
      </c>
      <c r="F4915" s="0" t="s">
        <v>28</v>
      </c>
      <c r="G4915" s="0" t="s">
        <v>29</v>
      </c>
      <c r="H4915" s="5">
        <v>29.434600</v>
      </c>
    </row>
    <row r="4916" spans="1:9">
      <c r="A4916" s="22" t="str">
        <f>HYPERLINK("https://app.vivvix.com/360/KMI/IntelliDrive/ApplUI/Pages/CreativePages/CustomReportCreativeDetail.aspx?App=23&amp;ReportView=4&amp;Qid=1711279&amp;Row=4908&amp;Col=1","No Title Assigned - #15269304818")</f>
        <v/>
      </c>
      <c r="B4916" s="0" t="s">
        <v>6729</v>
      </c>
      <c r="E4916" s="0" t="inlineStr">
        <is>
          <t xml:space="preserve">Mazda</t>
        </is>
      </c>
      <c r="F4916" s="0" t="inlineStr">
        <is>
          <t xml:space="preserve">Mazda</t>
        </is>
      </c>
      <c r="G4916" s="0" t="s">
        <v>171</v>
      </c>
      <c r="H4916" s="5">
        <v>554.249600</v>
      </c>
    </row>
    <row r="4917" spans="1:9">
      <c r="A4917" s="22" t="str">
        <f>HYPERLINK("https://app.vivvix.com/360/KMI/IntelliDrive/ApplUI/Pages/CreativePages/CustomReportCreativeDetail.aspx?App=23&amp;ReportView=4&amp;Qid=1711279&amp;Row=4909&amp;Col=1","No Title Assigned - #15269304939")</f>
        <v/>
      </c>
      <c r="B4917" s="0" t="s">
        <v>6730</v>
      </c>
      <c r="E4917" s="0" t="inlineStr">
        <is>
          <t xml:space="preserve">Mazda</t>
        </is>
      </c>
      <c r="F4917" s="0" t="inlineStr">
        <is>
          <t xml:space="preserve">Mazda</t>
        </is>
      </c>
      <c r="G4917" s="0" t="s">
        <v>171</v>
      </c>
      <c r="H4917" s="5">
        <v>4.323200</v>
      </c>
    </row>
    <row r="4918" spans="1:9">
      <c r="A4918" s="22" t="str">
        <f>HYPERLINK("https://app.vivvix.com/360/KMI/IntelliDrive/ApplUI/Pages/CreativePages/CustomReportCreativeDetail.aspx?App=23&amp;ReportView=4&amp;Qid=1711279&amp;Row=4910&amp;Col=1","No Title Assigned - #15269305072")</f>
        <v/>
      </c>
      <c r="B4918" s="0" t="s">
        <v>6731</v>
      </c>
      <c r="E4918" s="0" t="inlineStr">
        <is>
          <t xml:space="preserve">Mazda</t>
        </is>
      </c>
      <c r="F4918" s="0" t="inlineStr">
        <is>
          <t xml:space="preserve">Mazda</t>
        </is>
      </c>
      <c r="G4918" s="0" t="s">
        <v>171</v>
      </c>
      <c r="H4918" s="5">
        <v>1054.545800</v>
      </c>
    </row>
    <row r="4919" spans="1:9">
      <c r="A4919" s="22" t="str">
        <f>HYPERLINK("https://app.vivvix.com/360/KMI/IntelliDrive/ApplUI/Pages/CreativePages/CustomReportCreativeDetail.aspx?App=23&amp;ReportView=4&amp;Qid=1711279&amp;Row=4911&amp;Col=1","No Title Assigned - #15269305485")</f>
        <v/>
      </c>
      <c r="B4919" s="0" t="s">
        <v>6732</v>
      </c>
      <c r="C4919" s="0" t="s">
        <v>6733</v>
      </c>
      <c r="D4919" s="0" t="s">
        <v>6733</v>
      </c>
      <c r="E4919" s="0" t="inlineStr">
        <is>
          <t xml:space="preserve">Mazda</t>
        </is>
      </c>
      <c r="F4919" s="0" t="inlineStr">
        <is>
          <t xml:space="preserve">Mazda</t>
        </is>
      </c>
      <c r="G4919" s="0" t="s">
        <v>171</v>
      </c>
      <c r="H4919" s="5">
        <v>49.838100</v>
      </c>
    </row>
    <row r="4920" spans="1:9">
      <c r="A4920" s="22" t="str">
        <f>HYPERLINK("https://app.vivvix.com/360/KMI/IntelliDrive/ApplUI/Pages/CreativePages/CustomReportCreativeDetail.aspx?App=23&amp;ReportView=4&amp;Qid=1711279&amp;Row=4912&amp;Col=1","No Title Assigned - #15269305524")</f>
        <v/>
      </c>
      <c r="B4920" s="0" t="s">
        <v>6734</v>
      </c>
      <c r="E4920" s="0" t="inlineStr">
        <is>
          <t xml:space="preserve">Mazda</t>
        </is>
      </c>
      <c r="F4920" s="0" t="inlineStr">
        <is>
          <t xml:space="preserve">Mazda</t>
        </is>
      </c>
      <c r="G4920" s="0" t="s">
        <v>171</v>
      </c>
      <c r="H4920" s="5">
        <v>13.629100</v>
      </c>
    </row>
    <row r="4921" spans="1:9">
      <c r="A4921" s="22" t="str">
        <f>HYPERLINK("https://app.vivvix.com/360/KMI/IntelliDrive/ApplUI/Pages/CreativePages/CustomReportCreativeDetail.aspx?App=23&amp;ReportView=4&amp;Qid=1711279&amp;Row=4913&amp;Col=1","No Title Assigned - #15269305579")</f>
        <v/>
      </c>
      <c r="B4921" s="0" t="s">
        <v>6735</v>
      </c>
      <c r="E4921" s="0" t="inlineStr">
        <is>
          <t xml:space="preserve">Mazda</t>
        </is>
      </c>
      <c r="F4921" s="0" t="inlineStr">
        <is>
          <t xml:space="preserve">Mazda</t>
        </is>
      </c>
      <c r="G4921" s="0" t="s">
        <v>171</v>
      </c>
      <c r="H4921" s="5">
        <v>321.299400</v>
      </c>
    </row>
    <row r="4922" spans="1:9">
      <c r="A4922" s="22" t="str">
        <f>HYPERLINK("https://app.vivvix.com/360/KMI/IntelliDrive/ApplUI/Pages/CreativePages/CustomReportCreativeDetail.aspx?App=23&amp;ReportView=4&amp;Qid=1711279&amp;Row=4914&amp;Col=1","No Title Assigned - #15269305667")</f>
        <v/>
      </c>
      <c r="B4922" s="0" t="s">
        <v>6736</v>
      </c>
      <c r="E4922" s="0" t="inlineStr">
        <is>
          <t xml:space="preserve">Mazda</t>
        </is>
      </c>
      <c r="F4922" s="0" t="inlineStr">
        <is>
          <t xml:space="preserve">Mazda</t>
        </is>
      </c>
      <c r="G4922" s="0" t="s">
        <v>171</v>
      </c>
      <c r="H4922" s="5">
        <v>23.438200</v>
      </c>
    </row>
    <row r="4923" spans="1:9">
      <c r="A4923" s="22" t="str">
        <f>HYPERLINK("https://app.vivvix.com/360/KMI/IntelliDrive/ApplUI/Pages/CreativePages/CustomReportCreativeDetail.aspx?App=23&amp;ReportView=4&amp;Qid=1711279&amp;Row=4915&amp;Col=1","No Title Assigned - #15269305832")</f>
        <v/>
      </c>
      <c r="B4923" s="0" t="s">
        <v>6737</v>
      </c>
      <c r="E4923" s="0" t="inlineStr">
        <is>
          <t xml:space="preserve">Mazda</t>
        </is>
      </c>
      <c r="F4923" s="0" t="inlineStr">
        <is>
          <t xml:space="preserve">Mazda</t>
        </is>
      </c>
      <c r="G4923" s="0" t="s">
        <v>171</v>
      </c>
      <c r="H4923" s="5">
        <v>39.669300</v>
      </c>
    </row>
    <row r="4924" spans="1:9">
      <c r="A4924" s="22" t="str">
        <f>HYPERLINK("https://app.vivvix.com/360/KMI/IntelliDrive/ApplUI/Pages/CreativePages/CustomReportCreativeDetail.aspx?App=23&amp;ReportView=4&amp;Qid=1711279&amp;Row=4916&amp;Col=1","No Title Assigned - #15269305962")</f>
        <v/>
      </c>
      <c r="B4924" s="0" t="s">
        <v>6738</v>
      </c>
      <c r="E4924" s="0" t="inlineStr">
        <is>
          <t xml:space="preserve">Mazda</t>
        </is>
      </c>
      <c r="F4924" s="0" t="inlineStr">
        <is>
          <t xml:space="preserve">Mazda</t>
        </is>
      </c>
      <c r="G4924" s="0" t="s">
        <v>171</v>
      </c>
      <c r="H4924" s="5">
        <v>518.680000</v>
      </c>
    </row>
    <row r="4925" spans="1:9">
      <c r="A4925" s="22" t="str">
        <f>HYPERLINK("https://app.vivvix.com/360/KMI/IntelliDrive/ApplUI/Pages/CreativePages/CustomReportCreativeDetail.aspx?App=23&amp;ReportView=4&amp;Qid=1711279&amp;Row=4917&amp;Col=1","No Title Assigned - #15269306144")</f>
        <v/>
      </c>
      <c r="B4925" s="0" t="s">
        <v>6739</v>
      </c>
      <c r="E4925" s="0" t="inlineStr">
        <is>
          <t xml:space="preserve">Mazda</t>
        </is>
      </c>
      <c r="F4925" s="0" t="inlineStr">
        <is>
          <t xml:space="preserve">Mazda</t>
        </is>
      </c>
      <c r="G4925" s="0" t="s">
        <v>171</v>
      </c>
      <c r="H4925" s="5">
        <v>125.173600</v>
      </c>
    </row>
    <row r="4926" spans="1:9">
      <c r="A4926" s="22" t="str">
        <f>HYPERLINK("https://app.vivvix.com/360/KMI/IntelliDrive/ApplUI/Pages/CreativePages/CustomReportCreativeDetail.aspx?App=23&amp;ReportView=4&amp;Qid=1711279&amp;Row=4918&amp;Col=1","No Title Assigned - #15269306148")</f>
        <v/>
      </c>
      <c r="B4926" s="0" t="s">
        <v>6740</v>
      </c>
      <c r="E4926" s="0" t="inlineStr">
        <is>
          <t xml:space="preserve">Mazda</t>
        </is>
      </c>
      <c r="F4926" s="0" t="inlineStr">
        <is>
          <t xml:space="preserve">Mazda</t>
        </is>
      </c>
      <c r="G4926" s="0" t="s">
        <v>171</v>
      </c>
      <c r="H4926" s="5">
        <v>1664.916000</v>
      </c>
    </row>
    <row r="4927" spans="1:9">
      <c r="A4927" s="22" t="str">
        <f>HYPERLINK("https://app.vivvix.com/360/KMI/IntelliDrive/ApplUI/Pages/CreativePages/CustomReportCreativeDetail.aspx?App=23&amp;ReportView=4&amp;Qid=1711279&amp;Row=4919&amp;Col=1","No Title Assigned - #15269306607")</f>
        <v/>
      </c>
      <c r="B4927" s="0" t="s">
        <v>6741</v>
      </c>
      <c r="C4927" s="0" t="s">
        <v>6742</v>
      </c>
      <c r="D4927" s="0" t="s">
        <v>6742</v>
      </c>
      <c r="E4927" s="0" t="inlineStr">
        <is>
          <t xml:space="preserve">Mazda</t>
        </is>
      </c>
      <c r="F4927" s="0" t="inlineStr">
        <is>
          <t xml:space="preserve">Mazda</t>
        </is>
      </c>
      <c r="G4927" s="0" t="s">
        <v>171</v>
      </c>
      <c r="H4927" s="5">
        <v>220.171500</v>
      </c>
    </row>
    <row r="4928" spans="1:9">
      <c r="A4928" s="22" t="str">
        <f>HYPERLINK("https://app.vivvix.com/360/KMI/IntelliDrive/ApplUI/Pages/CreativePages/CustomReportCreativeDetail.aspx?App=23&amp;ReportView=4&amp;Qid=1711279&amp;Row=4920&amp;Col=1","No Title Assigned - #15269306855")</f>
        <v/>
      </c>
      <c r="B4928" s="0" t="s">
        <v>6743</v>
      </c>
      <c r="E4928" s="0" t="inlineStr">
        <is>
          <t xml:space="preserve">Mazda</t>
        </is>
      </c>
      <c r="F4928" s="0" t="inlineStr">
        <is>
          <t xml:space="preserve">Mazda</t>
        </is>
      </c>
      <c r="G4928" s="0" t="s">
        <v>171</v>
      </c>
      <c r="H4928" s="5">
        <v>41.741000</v>
      </c>
    </row>
    <row r="4929" spans="1:9">
      <c r="A4929" s="22" t="str">
        <f>HYPERLINK("https://app.vivvix.com/360/KMI/IntelliDrive/ApplUI/Pages/CreativePages/CustomReportCreativeDetail.aspx?App=23&amp;ReportView=4&amp;Qid=1711279&amp;Row=4921&amp;Col=1","No Title Assigned - #15269306982")</f>
        <v/>
      </c>
      <c r="B4929" s="0" t="s">
        <v>6744</v>
      </c>
      <c r="E4929" s="0" t="inlineStr">
        <is>
          <t xml:space="preserve">Mazda</t>
        </is>
      </c>
      <c r="F4929" s="0" t="inlineStr">
        <is>
          <t xml:space="preserve">Mazda</t>
        </is>
      </c>
      <c r="G4929" s="0" t="s">
        <v>171</v>
      </c>
      <c r="H4929" s="5">
        <v>1038.125600</v>
      </c>
    </row>
    <row r="4930" spans="1:9">
      <c r="A4930" s="22" t="str">
        <f>HYPERLINK("https://app.vivvix.com/360/KMI/IntelliDrive/ApplUI/Pages/CreativePages/CustomReportCreativeDetail.aspx?App=23&amp;ReportView=4&amp;Qid=1711279&amp;Row=4922&amp;Col=1","No Title Assigned - #15269307684")</f>
        <v/>
      </c>
      <c r="B4930" s="0" t="s">
        <v>6745</v>
      </c>
      <c r="E4930" s="0" t="inlineStr">
        <is>
          <t xml:space="preserve">Mazda</t>
        </is>
      </c>
      <c r="F4930" s="0" t="inlineStr">
        <is>
          <t xml:space="preserve">Mazda</t>
        </is>
      </c>
      <c r="G4930" s="0" t="s">
        <v>171</v>
      </c>
      <c r="H4930" s="5">
        <v>3815.085400</v>
      </c>
    </row>
    <row r="4931" spans="1:9">
      <c r="A4931" s="22" t="str">
        <f>HYPERLINK("https://app.vivvix.com/360/KMI/IntelliDrive/ApplUI/Pages/CreativePages/CustomReportCreativeDetail.aspx?App=23&amp;ReportView=4&amp;Qid=1711279&amp;Row=4923&amp;Col=1","No Title Assigned - #15269307684")</f>
        <v/>
      </c>
      <c r="B4931" s="0" t="s">
        <v>6745</v>
      </c>
      <c r="E4931" s="0" t="inlineStr">
        <is>
          <t xml:space="preserve">Mazda</t>
        </is>
      </c>
      <c r="F4931" s="0" t="inlineStr">
        <is>
          <t xml:space="preserve">Mazda</t>
        </is>
      </c>
      <c r="G4931" s="0" t="s">
        <v>171</v>
      </c>
      <c r="H4931" s="5">
        <v>36.772400</v>
      </c>
    </row>
    <row r="4932" spans="1:9">
      <c r="A4932" s="22" t="str">
        <f>HYPERLINK("https://app.vivvix.com/360/KMI/IntelliDrive/ApplUI/Pages/CreativePages/CustomReportCreativeDetail.aspx?App=23&amp;ReportView=4&amp;Qid=1711279&amp;Row=4924&amp;Col=1","No Title Assigned - #15269307889")</f>
        <v/>
      </c>
      <c r="B4932" s="0" t="s">
        <v>6746</v>
      </c>
      <c r="E4932" s="0" t="inlineStr">
        <is>
          <t xml:space="preserve">Mazda</t>
        </is>
      </c>
      <c r="F4932" s="0" t="inlineStr">
        <is>
          <t xml:space="preserve">Mazda</t>
        </is>
      </c>
      <c r="G4932" s="0" t="s">
        <v>171</v>
      </c>
      <c r="H4932" s="5">
        <v>104.378400</v>
      </c>
    </row>
    <row r="4933" spans="1:9">
      <c r="A4933" s="22" t="str">
        <f>HYPERLINK("https://app.vivvix.com/360/KMI/IntelliDrive/ApplUI/Pages/CreativePages/CustomReportCreativeDetail.aspx?App=23&amp;ReportView=4&amp;Qid=1711279&amp;Row=4925&amp;Col=1","No Title Assigned - #15269307941")</f>
        <v/>
      </c>
      <c r="B4933" s="0" t="s">
        <v>6747</v>
      </c>
      <c r="C4933" s="0" t="s">
        <v>6748</v>
      </c>
      <c r="D4933" s="0" t="s">
        <v>6748</v>
      </c>
      <c r="E4933" s="0" t="inlineStr">
        <is>
          <t xml:space="preserve">Mazda</t>
        </is>
      </c>
      <c r="F4933" s="0" t="inlineStr">
        <is>
          <t xml:space="preserve">Mazda</t>
        </is>
      </c>
      <c r="G4933" s="0" t="s">
        <v>171</v>
      </c>
      <c r="H4933" s="5">
        <v>39.835200</v>
      </c>
    </row>
    <row r="4934" spans="1:9">
      <c r="A4934" s="22" t="str">
        <f>HYPERLINK("https://app.vivvix.com/360/KMI/IntelliDrive/ApplUI/Pages/CreativePages/CustomReportCreativeDetail.aspx?App=23&amp;ReportView=4&amp;Qid=1711279&amp;Row=4926&amp;Col=1","No Title Assigned - #15269308184")</f>
        <v/>
      </c>
      <c r="B4934" s="0" t="s">
        <v>6749</v>
      </c>
      <c r="E4934" s="0" t="inlineStr">
        <is>
          <t xml:space="preserve">Mazda</t>
        </is>
      </c>
      <c r="F4934" s="0" t="inlineStr">
        <is>
          <t xml:space="preserve">Mazda</t>
        </is>
      </c>
      <c r="G4934" s="0" t="s">
        <v>171</v>
      </c>
      <c r="H4934" s="5">
        <v>66.676300</v>
      </c>
    </row>
    <row r="4935" spans="1:9">
      <c r="A4935" s="22" t="str">
        <f>HYPERLINK("https://app.vivvix.com/360/KMI/IntelliDrive/ApplUI/Pages/CreativePages/CustomReportCreativeDetail.aspx?App=23&amp;ReportView=4&amp;Qid=1711279&amp;Row=4927&amp;Col=1","No Title Assigned - #15269308921")</f>
        <v/>
      </c>
      <c r="B4935" s="0" t="s">
        <v>6750</v>
      </c>
      <c r="E4935" s="0" t="inlineStr">
        <is>
          <t xml:space="preserve">Mazda</t>
        </is>
      </c>
      <c r="F4935" s="0" t="inlineStr">
        <is>
          <t xml:space="preserve">Mazda</t>
        </is>
      </c>
      <c r="G4935" s="0" t="s">
        <v>171</v>
      </c>
      <c r="H4935" s="5">
        <v>5.069100</v>
      </c>
    </row>
    <row r="4936" spans="1:9">
      <c r="A4936" s="22" t="str">
        <f>HYPERLINK("https://app.vivvix.com/360/KMI/IntelliDrive/ApplUI/Pages/CreativePages/CustomReportCreativeDetail.aspx?App=23&amp;ReportView=4&amp;Qid=1711279&amp;Row=4928&amp;Col=1","No Title Assigned - #15269309497")</f>
        <v/>
      </c>
      <c r="B4936" s="0" t="s">
        <v>6751</v>
      </c>
      <c r="E4936" s="0" t="inlineStr">
        <is>
          <t xml:space="preserve">Mazda</t>
        </is>
      </c>
      <c r="F4936" s="0" t="inlineStr">
        <is>
          <t xml:space="preserve">Mazda</t>
        </is>
      </c>
      <c r="G4936" s="0" t="s">
        <v>171</v>
      </c>
      <c r="H4936" s="5">
        <v>15.982500</v>
      </c>
    </row>
    <row r="4937" spans="1:9">
      <c r="A4937" s="22" t="str">
        <f>HYPERLINK("https://app.vivvix.com/360/KMI/IntelliDrive/ApplUI/Pages/CreativePages/CustomReportCreativeDetail.aspx?App=23&amp;ReportView=4&amp;Qid=1711279&amp;Row=4929&amp;Col=1","No Title Assigned - #15269309519")</f>
        <v/>
      </c>
      <c r="B4937" s="0" t="s">
        <v>6752</v>
      </c>
      <c r="C4937" s="0" t="s">
        <v>6753</v>
      </c>
      <c r="D4937" s="0" t="s">
        <v>6753</v>
      </c>
      <c r="E4937" s="0" t="inlineStr">
        <is>
          <t xml:space="preserve">Mazda</t>
        </is>
      </c>
      <c r="F4937" s="0" t="inlineStr">
        <is>
          <t xml:space="preserve">Mazda</t>
        </is>
      </c>
      <c r="G4937" s="0" t="s">
        <v>171</v>
      </c>
      <c r="H4937" s="5">
        <v>299.874700</v>
      </c>
    </row>
    <row r="4938" spans="1:9">
      <c r="A4938" s="22" t="str">
        <f>HYPERLINK("https://app.vivvix.com/360/KMI/IntelliDrive/ApplUI/Pages/CreativePages/CustomReportCreativeDetail.aspx?App=23&amp;ReportView=4&amp;Qid=1711279&amp;Row=4930&amp;Col=1","No Title Assigned - #15269309622")</f>
        <v/>
      </c>
      <c r="B4938" s="0" t="s">
        <v>6754</v>
      </c>
      <c r="E4938" s="0" t="inlineStr">
        <is>
          <t xml:space="preserve">Mazda</t>
        </is>
      </c>
      <c r="F4938" s="0" t="inlineStr">
        <is>
          <t xml:space="preserve">Mazda</t>
        </is>
      </c>
      <c r="G4938" s="0" t="s">
        <v>171</v>
      </c>
      <c r="H4938" s="5">
        <v>4966.160600</v>
      </c>
    </row>
    <row r="4939" spans="1:9">
      <c r="A4939" s="22" t="str">
        <f>HYPERLINK("https://app.vivvix.com/360/KMI/IntelliDrive/ApplUI/Pages/CreativePages/CustomReportCreativeDetail.aspx?App=23&amp;ReportView=4&amp;Qid=1711279&amp;Row=4931&amp;Col=1","No Title Assigned - #15269309725")</f>
        <v/>
      </c>
      <c r="B4939" s="0" t="s">
        <v>6755</v>
      </c>
      <c r="E4939" s="0" t="inlineStr">
        <is>
          <t xml:space="preserve">Mazda</t>
        </is>
      </c>
      <c r="F4939" s="0" t="inlineStr">
        <is>
          <t xml:space="preserve">Mazda</t>
        </is>
      </c>
      <c r="G4939" s="0" t="s">
        <v>171</v>
      </c>
      <c r="H4939" s="5">
        <v>1350.420800</v>
      </c>
    </row>
    <row r="4940" spans="1:9">
      <c r="A4940" s="22" t="str">
        <f>HYPERLINK("https://app.vivvix.com/360/KMI/IntelliDrive/ApplUI/Pages/CreativePages/CustomReportCreativeDetail.aspx?App=23&amp;ReportView=4&amp;Qid=1711279&amp;Row=4932&amp;Col=1","No Title Assigned - #15269309837")</f>
        <v/>
      </c>
      <c r="B4940" s="0" t="s">
        <v>6756</v>
      </c>
      <c r="E4940" s="0" t="inlineStr">
        <is>
          <t xml:space="preserve">Mazda</t>
        </is>
      </c>
      <c r="F4940" s="0" t="inlineStr">
        <is>
          <t xml:space="preserve">Mazda</t>
        </is>
      </c>
      <c r="G4940" s="0" t="s">
        <v>171</v>
      </c>
      <c r="H4940" s="5">
        <v>10.918000</v>
      </c>
    </row>
    <row r="4941" spans="1:9">
      <c r="A4941" s="22" t="str">
        <f>HYPERLINK("https://app.vivvix.com/360/KMI/IntelliDrive/ApplUI/Pages/CreativePages/CustomReportCreativeDetail.aspx?App=23&amp;ReportView=4&amp;Qid=1711279&amp;Row=4933&amp;Col=1","No Title Assigned - #15269309953")</f>
        <v/>
      </c>
      <c r="B4941" s="0" t="s">
        <v>6757</v>
      </c>
      <c r="E4941" s="0" t="inlineStr">
        <is>
          <t xml:space="preserve">Mazda</t>
        </is>
      </c>
      <c r="F4941" s="0" t="inlineStr">
        <is>
          <t xml:space="preserve">Mazda</t>
        </is>
      </c>
      <c r="G4941" s="0" t="s">
        <v>171</v>
      </c>
      <c r="H4941" s="5">
        <v>18770.443400</v>
      </c>
    </row>
    <row r="4942" spans="1:9">
      <c r="A4942" s="22" t="str">
        <f>HYPERLINK("https://app.vivvix.com/360/KMI/IntelliDrive/ApplUI/Pages/CreativePages/CustomReportCreativeDetail.aspx?App=23&amp;ReportView=4&amp;Qid=1711279&amp;Row=4934&amp;Col=1","No Title Assigned - #15269310119")</f>
        <v/>
      </c>
      <c r="B4942" s="0" t="s">
        <v>6758</v>
      </c>
      <c r="E4942" s="0" t="inlineStr">
        <is>
          <t xml:space="preserve">Mazda</t>
        </is>
      </c>
      <c r="F4942" s="0" t="inlineStr">
        <is>
          <t xml:space="preserve">Mazda</t>
        </is>
      </c>
      <c r="G4942" s="0" t="s">
        <v>171</v>
      </c>
      <c r="H4942" s="5">
        <v>215.086900</v>
      </c>
    </row>
    <row r="4943" spans="1:9">
      <c r="A4943" s="22" t="str">
        <f>HYPERLINK("https://app.vivvix.com/360/KMI/IntelliDrive/ApplUI/Pages/CreativePages/CustomReportCreativeDetail.aspx?App=23&amp;ReportView=4&amp;Qid=1711279&amp;Row=4935&amp;Col=1","No Title Assigned - #15269310324")</f>
        <v/>
      </c>
      <c r="B4943" s="0" t="s">
        <v>6759</v>
      </c>
      <c r="E4943" s="0" t="inlineStr">
        <is>
          <t xml:space="preserve">Mazda</t>
        </is>
      </c>
      <c r="F4943" s="0" t="inlineStr">
        <is>
          <t xml:space="preserve">Mazda</t>
        </is>
      </c>
      <c r="G4943" s="0" t="s">
        <v>171</v>
      </c>
      <c r="H4943" s="5">
        <v>5444.615300</v>
      </c>
    </row>
    <row r="4944" spans="1:9">
      <c r="A4944" s="22" t="str">
        <f>HYPERLINK("https://app.vivvix.com/360/KMI/IntelliDrive/ApplUI/Pages/CreativePages/CustomReportCreativeDetail.aspx?App=23&amp;ReportView=4&amp;Qid=1711279&amp;Row=4936&amp;Col=1","No Title Assigned - #15269310412")</f>
        <v/>
      </c>
      <c r="B4944" s="0" t="s">
        <v>6760</v>
      </c>
      <c r="E4944" s="0" t="inlineStr">
        <is>
          <t xml:space="preserve">Mazda</t>
        </is>
      </c>
      <c r="F4944" s="0" t="inlineStr">
        <is>
          <t xml:space="preserve">Mazda</t>
        </is>
      </c>
      <c r="G4944" s="0" t="s">
        <v>171</v>
      </c>
      <c r="H4944" s="5">
        <v>38.943600</v>
      </c>
    </row>
    <row r="4945" spans="1:9">
      <c r="A4945" s="22" t="str">
        <f>HYPERLINK("https://app.vivvix.com/360/KMI/IntelliDrive/ApplUI/Pages/CreativePages/CustomReportCreativeDetail.aspx?App=23&amp;ReportView=4&amp;Qid=1711279&amp;Row=4937&amp;Col=1","No Title Assigned - #15269310448")</f>
        <v/>
      </c>
      <c r="B4945" s="0" t="s">
        <v>6761</v>
      </c>
      <c r="E4945" s="0" t="inlineStr">
        <is>
          <t xml:space="preserve">Mazda</t>
        </is>
      </c>
      <c r="F4945" s="0" t="inlineStr">
        <is>
          <t xml:space="preserve">Mazda</t>
        </is>
      </c>
      <c r="G4945" s="0" t="s">
        <v>171</v>
      </c>
      <c r="H4945" s="5">
        <v>69.675600</v>
      </c>
    </row>
    <row r="4946" spans="1:9">
      <c r="A4946" s="22" t="str">
        <f>HYPERLINK("https://app.vivvix.com/360/KMI/IntelliDrive/ApplUI/Pages/CreativePages/CustomReportCreativeDetail.aspx?App=23&amp;ReportView=4&amp;Qid=1711279&amp;Row=4938&amp;Col=1","No Title Assigned - #15269310448")</f>
        <v/>
      </c>
      <c r="B4946" s="0" t="s">
        <v>6761</v>
      </c>
      <c r="E4946" s="0" t="inlineStr">
        <is>
          <t xml:space="preserve">Mazda</t>
        </is>
      </c>
      <c r="F4946" s="0" t="inlineStr">
        <is>
          <t xml:space="preserve">Mazda</t>
        </is>
      </c>
      <c r="G4946" s="0" t="s">
        <v>171</v>
      </c>
      <c r="H4946" s="5">
        <v>1037.513500</v>
      </c>
    </row>
    <row r="4947" spans="1:9">
      <c r="A4947" s="22" t="str">
        <f>HYPERLINK("https://app.vivvix.com/360/KMI/IntelliDrive/ApplUI/Pages/CreativePages/CustomReportCreativeDetail.aspx?App=23&amp;ReportView=4&amp;Qid=1711279&amp;Row=4939&amp;Col=1","No Title Assigned - #15269310571")</f>
        <v/>
      </c>
      <c r="B4947" s="0" t="s">
        <v>6762</v>
      </c>
      <c r="C4947" s="0" t="s">
        <v>6763</v>
      </c>
      <c r="D4947" s="0" t="s">
        <v>6763</v>
      </c>
      <c r="E4947" s="0" t="inlineStr">
        <is>
          <t xml:space="preserve">Mazda</t>
        </is>
      </c>
      <c r="F4947" s="0" t="inlineStr">
        <is>
          <t xml:space="preserve">Mazda</t>
        </is>
      </c>
      <c r="G4947" s="0" t="s">
        <v>171</v>
      </c>
      <c r="H4947" s="5">
        <v>38607.390900</v>
      </c>
    </row>
    <row r="4948" spans="1:9">
      <c r="A4948" s="22" t="str">
        <f>HYPERLINK("https://app.vivvix.com/360/KMI/IntelliDrive/ApplUI/Pages/CreativePages/CustomReportCreativeDetail.aspx?App=23&amp;ReportView=4&amp;Qid=1711279&amp;Row=4940&amp;Col=1","No Title Assigned - #15269310571")</f>
        <v/>
      </c>
      <c r="B4948" s="0" t="s">
        <v>6762</v>
      </c>
      <c r="E4948" s="0" t="inlineStr">
        <is>
          <t xml:space="preserve">Mazda</t>
        </is>
      </c>
      <c r="F4948" s="0" t="inlineStr">
        <is>
          <t xml:space="preserve">Mazda</t>
        </is>
      </c>
      <c r="G4948" s="0" t="s">
        <v>171</v>
      </c>
      <c r="H4948" s="5">
        <v>141687.029100</v>
      </c>
    </row>
    <row r="4949" spans="1:9">
      <c r="A4949" s="22" t="str">
        <f>HYPERLINK("https://app.vivvix.com/360/KMI/IntelliDrive/ApplUI/Pages/CreativePages/CustomReportCreativeDetail.aspx?App=23&amp;ReportView=4&amp;Qid=1711279&amp;Row=4941&amp;Col=1","No Title Assigned - #15269310775")</f>
        <v/>
      </c>
      <c r="B4949" s="0" t="s">
        <v>6764</v>
      </c>
      <c r="C4949" s="0" t="s">
        <v>6765</v>
      </c>
      <c r="D4949" s="0" t="s">
        <v>6765</v>
      </c>
      <c r="E4949" s="0" t="inlineStr">
        <is>
          <t xml:space="preserve">Mazda</t>
        </is>
      </c>
      <c r="F4949" s="0" t="inlineStr">
        <is>
          <t xml:space="preserve">Mazda</t>
        </is>
      </c>
      <c r="G4949" s="0" t="s">
        <v>171</v>
      </c>
      <c r="H4949" s="5">
        <v>86.732000</v>
      </c>
    </row>
    <row r="4950" spans="1:9">
      <c r="A4950" s="22" t="str">
        <f>HYPERLINK("https://app.vivvix.com/360/KMI/IntelliDrive/ApplUI/Pages/CreativePages/CustomReportCreativeDetail.aspx?App=23&amp;ReportView=4&amp;Qid=1711279&amp;Row=4942&amp;Col=1","No Title Assigned - #15269310903")</f>
        <v/>
      </c>
      <c r="B4950" s="0" t="s">
        <v>6766</v>
      </c>
      <c r="C4950" s="0" t="s">
        <v>6767</v>
      </c>
      <c r="D4950" s="0" t="s">
        <v>6767</v>
      </c>
      <c r="E4950" s="0" t="inlineStr">
        <is>
          <t xml:space="preserve">Mazda</t>
        </is>
      </c>
      <c r="F4950" s="0" t="inlineStr">
        <is>
          <t xml:space="preserve">Mazda</t>
        </is>
      </c>
      <c r="G4950" s="0" t="s">
        <v>171</v>
      </c>
      <c r="H4950" s="5">
        <v>18461.512700</v>
      </c>
    </row>
    <row r="4951" spans="1:9">
      <c r="A4951" s="22" t="str">
        <f>HYPERLINK("https://app.vivvix.com/360/KMI/IntelliDrive/ApplUI/Pages/CreativePages/CustomReportCreativeDetail.aspx?App=23&amp;ReportView=4&amp;Qid=1711279&amp;Row=4943&amp;Col=1","No Title Assigned - #15269310903")</f>
        <v/>
      </c>
      <c r="B4951" s="0" t="s">
        <v>6766</v>
      </c>
      <c r="E4951" s="0" t="inlineStr">
        <is>
          <t xml:space="preserve">Mazda</t>
        </is>
      </c>
      <c r="F4951" s="0" t="inlineStr">
        <is>
          <t xml:space="preserve">Mazda</t>
        </is>
      </c>
      <c r="G4951" s="0" t="s">
        <v>171</v>
      </c>
      <c r="H4951" s="5">
        <v>1813.291500</v>
      </c>
    </row>
    <row r="4952" spans="1:9">
      <c r="A4952" s="22" t="str">
        <f>HYPERLINK("https://app.vivvix.com/360/KMI/IntelliDrive/ApplUI/Pages/CreativePages/CustomReportCreativeDetail.aspx?App=23&amp;ReportView=4&amp;Qid=1711279&amp;Row=4944&amp;Col=1","No Title Assigned - #15269311366")</f>
        <v/>
      </c>
      <c r="B4952" s="0" t="s">
        <v>6768</v>
      </c>
      <c r="E4952" s="0" t="inlineStr">
        <is>
          <t xml:space="preserve">Mazda</t>
        </is>
      </c>
      <c r="F4952" s="0" t="inlineStr">
        <is>
          <t xml:space="preserve">Mazda</t>
        </is>
      </c>
      <c r="G4952" s="0" t="s">
        <v>171</v>
      </c>
      <c r="H4952" s="5">
        <v>31.975200</v>
      </c>
    </row>
    <row r="4953" spans="1:9">
      <c r="A4953" s="22" t="str">
        <f>HYPERLINK("https://app.vivvix.com/360/KMI/IntelliDrive/ApplUI/Pages/CreativePages/CustomReportCreativeDetail.aspx?App=23&amp;ReportView=4&amp;Qid=1711279&amp;Row=4945&amp;Col=1","No Title Assigned - #15269311831")</f>
        <v/>
      </c>
      <c r="B4953" s="0" t="s">
        <v>6769</v>
      </c>
      <c r="E4953" s="0" t="inlineStr">
        <is>
          <t xml:space="preserve">Mazda</t>
        </is>
      </c>
      <c r="F4953" s="0" t="inlineStr">
        <is>
          <t xml:space="preserve">Mazda</t>
        </is>
      </c>
      <c r="G4953" s="0" t="s">
        <v>171</v>
      </c>
      <c r="H4953" s="5">
        <v>57.691000</v>
      </c>
    </row>
    <row r="4954" spans="1:9">
      <c r="A4954" s="22" t="str">
        <f>HYPERLINK("https://app.vivvix.com/360/KMI/IntelliDrive/ApplUI/Pages/CreativePages/CustomReportCreativeDetail.aspx?App=23&amp;ReportView=4&amp;Qid=1711279&amp;Row=4946&amp;Col=1","No Title Assigned - #15269312039")</f>
        <v/>
      </c>
      <c r="B4954" s="0" t="s">
        <v>6770</v>
      </c>
      <c r="E4954" s="0" t="inlineStr">
        <is>
          <t xml:space="preserve">Mazda</t>
        </is>
      </c>
      <c r="F4954" s="0" t="inlineStr">
        <is>
          <t xml:space="preserve">Mazda</t>
        </is>
      </c>
      <c r="G4954" s="0" t="s">
        <v>171</v>
      </c>
      <c r="H4954" s="5">
        <v>30.089900</v>
      </c>
    </row>
    <row r="4955" spans="1:9">
      <c r="A4955" s="22" t="str">
        <f>HYPERLINK("https://app.vivvix.com/360/KMI/IntelliDrive/ApplUI/Pages/CreativePages/CustomReportCreativeDetail.aspx?App=23&amp;ReportView=4&amp;Qid=1711279&amp;Row=4947&amp;Col=1","No Title Assigned - #15269312091")</f>
        <v/>
      </c>
      <c r="B4955" s="0" t="s">
        <v>6771</v>
      </c>
      <c r="E4955" s="0" t="inlineStr">
        <is>
          <t xml:space="preserve">Mazda</t>
        </is>
      </c>
      <c r="F4955" s="0" t="inlineStr">
        <is>
          <t xml:space="preserve">Mazda</t>
        </is>
      </c>
      <c r="G4955" s="0" t="s">
        <v>171</v>
      </c>
      <c r="H4955" s="5">
        <v>186.619600</v>
      </c>
    </row>
    <row r="4956" spans="1:9">
      <c r="A4956" s="22" t="str">
        <f>HYPERLINK("https://app.vivvix.com/360/KMI/IntelliDrive/ApplUI/Pages/CreativePages/CustomReportCreativeDetail.aspx?App=23&amp;ReportView=4&amp;Qid=1711279&amp;Row=4948&amp;Col=1","No Title Assigned - #15269312120")</f>
        <v/>
      </c>
      <c r="B4956" s="0" t="s">
        <v>6772</v>
      </c>
      <c r="C4956" s="0" t="s">
        <v>6773</v>
      </c>
      <c r="D4956" s="0" t="s">
        <v>6676</v>
      </c>
      <c r="E4956" s="0" t="inlineStr">
        <is>
          <t xml:space="preserve">Mazda</t>
        </is>
      </c>
      <c r="F4956" s="0" t="s">
        <v>28</v>
      </c>
      <c r="G4956" s="0" t="s">
        <v>29</v>
      </c>
      <c r="H4956" s="5">
        <v>203.962800</v>
      </c>
    </row>
    <row r="4957" spans="1:9">
      <c r="A4957" s="22" t="str">
        <f>HYPERLINK("https://app.vivvix.com/360/KMI/IntelliDrive/ApplUI/Pages/CreativePages/CustomReportCreativeDetail.aspx?App=23&amp;ReportView=4&amp;Qid=1711279&amp;Row=4949&amp;Col=1","No Title Assigned - #15269312467")</f>
        <v/>
      </c>
      <c r="B4957" s="0" t="s">
        <v>6774</v>
      </c>
      <c r="C4957" s="0" t="s">
        <v>6775</v>
      </c>
      <c r="D4957" s="0" t="s">
        <v>4202</v>
      </c>
      <c r="E4957" s="0" t="inlineStr">
        <is>
          <t xml:space="preserve">Mazda</t>
        </is>
      </c>
      <c r="F4957" s="0" t="s">
        <v>28</v>
      </c>
      <c r="G4957" s="0" t="s">
        <v>29</v>
      </c>
      <c r="H4957" s="5">
        <v>339.763200</v>
      </c>
    </row>
    <row r="4958" spans="1:9">
      <c r="A4958" s="22" t="str">
        <f>HYPERLINK("https://app.vivvix.com/360/KMI/IntelliDrive/ApplUI/Pages/CreativePages/CustomReportCreativeDetail.aspx?App=23&amp;ReportView=4&amp;Qid=1711279&amp;Row=4950&amp;Col=1","No Title Assigned - #15269312741")</f>
        <v/>
      </c>
      <c r="B4958" s="0" t="s">
        <v>6776</v>
      </c>
      <c r="C4958" s="0" t="s">
        <v>6777</v>
      </c>
      <c r="D4958" s="0" t="s">
        <v>4200</v>
      </c>
      <c r="E4958" s="0" t="inlineStr">
        <is>
          <t xml:space="preserve">Mazda</t>
        </is>
      </c>
      <c r="F4958" s="0" t="s">
        <v>28</v>
      </c>
      <c r="G4958" s="0" t="s">
        <v>29</v>
      </c>
      <c r="H4958" s="5">
        <v>590.127300</v>
      </c>
    </row>
    <row r="4959" spans="1:9">
      <c r="A4959" s="22" t="str">
        <f>HYPERLINK("https://app.vivvix.com/360/KMI/IntelliDrive/ApplUI/Pages/CreativePages/CustomReportCreativeDetail.aspx?App=23&amp;ReportView=4&amp;Qid=1711279&amp;Row=4951&amp;Col=1","No Title Assigned - #15269312911")</f>
        <v/>
      </c>
      <c r="B4959" s="0" t="s">
        <v>6778</v>
      </c>
      <c r="E4959" s="0" t="inlineStr">
        <is>
          <t xml:space="preserve">Mazda</t>
        </is>
      </c>
      <c r="F4959" s="0" t="s">
        <v>28</v>
      </c>
      <c r="G4959" s="0" t="s">
        <v>29</v>
      </c>
      <c r="H4959" s="5">
        <v>5859.494900</v>
      </c>
    </row>
    <row r="4960" spans="1:9">
      <c r="A4960" s="22" t="str">
        <f>HYPERLINK("https://app.vivvix.com/360/KMI/IntelliDrive/ApplUI/Pages/CreativePages/CustomReportCreativeDetail.aspx?App=23&amp;ReportView=4&amp;Qid=1711279&amp;Row=4952&amp;Col=1","No Title Assigned - #15269312911")</f>
        <v/>
      </c>
      <c r="B4960" s="0" t="s">
        <v>6778</v>
      </c>
      <c r="C4960" s="0" t="s">
        <v>6779</v>
      </c>
      <c r="D4960" s="0" t="s">
        <v>6779</v>
      </c>
      <c r="E4960" s="0" t="inlineStr">
        <is>
          <t xml:space="preserve">Mazda</t>
        </is>
      </c>
      <c r="F4960" s="0" t="s">
        <v>28</v>
      </c>
      <c r="G4960" s="0" t="s">
        <v>29</v>
      </c>
      <c r="H4960" s="5">
        <v>813.044900</v>
      </c>
    </row>
    <row r="4961" spans="1:9">
      <c r="A4961" s="22" t="str">
        <f>HYPERLINK("https://app.vivvix.com/360/KMI/IntelliDrive/ApplUI/Pages/CreativePages/CustomReportCreativeDetail.aspx?App=23&amp;ReportView=4&amp;Qid=1711279&amp;Row=4953&amp;Col=1","No Title Assigned - #15269313106")</f>
        <v/>
      </c>
      <c r="B4961" s="0" t="s">
        <v>6780</v>
      </c>
      <c r="C4961" s="0" t="s">
        <v>6781</v>
      </c>
      <c r="D4961" s="0" t="s">
        <v>4200</v>
      </c>
      <c r="E4961" s="0" t="inlineStr">
        <is>
          <t xml:space="preserve">Mazda</t>
        </is>
      </c>
      <c r="F4961" s="0" t="s">
        <v>28</v>
      </c>
      <c r="G4961" s="0" t="s">
        <v>29</v>
      </c>
      <c r="H4961" s="5">
        <v>254.443900</v>
      </c>
    </row>
    <row r="4962" spans="1:9">
      <c r="A4962" s="22" t="str">
        <f>HYPERLINK("https://app.vivvix.com/360/KMI/IntelliDrive/ApplUI/Pages/CreativePages/CustomReportCreativeDetail.aspx?App=23&amp;ReportView=4&amp;Qid=1711279&amp;Row=4954&amp;Col=1","No Title Assigned - #15269313239")</f>
        <v/>
      </c>
      <c r="B4962" s="0" t="s">
        <v>6782</v>
      </c>
      <c r="C4962" s="0" t="s">
        <v>6783</v>
      </c>
      <c r="D4962" s="0" t="s">
        <v>4200</v>
      </c>
      <c r="E4962" s="0" t="inlineStr">
        <is>
          <t xml:space="preserve">Mazda</t>
        </is>
      </c>
      <c r="F4962" s="0" t="s">
        <v>28</v>
      </c>
      <c r="G4962" s="0" t="s">
        <v>29</v>
      </c>
      <c r="H4962" s="5">
        <v>8.749400</v>
      </c>
    </row>
    <row r="4963" spans="1:9">
      <c r="A4963" s="22" t="str">
        <f>HYPERLINK("https://app.vivvix.com/360/KMI/IntelliDrive/ApplUI/Pages/CreativePages/CustomReportCreativeDetail.aspx?App=23&amp;ReportView=4&amp;Qid=1711279&amp;Row=4955&amp;Col=1","No Title Assigned - #15269313322")</f>
        <v/>
      </c>
      <c r="B4963" s="0" t="s">
        <v>6784</v>
      </c>
      <c r="C4963" s="0" t="s">
        <v>6785</v>
      </c>
      <c r="D4963" s="0" t="s">
        <v>6785</v>
      </c>
      <c r="E4963" s="0" t="inlineStr">
        <is>
          <t xml:space="preserve">Mazda</t>
        </is>
      </c>
      <c r="F4963" s="0" t="s">
        <v>28</v>
      </c>
      <c r="G4963" s="0" t="s">
        <v>29</v>
      </c>
      <c r="H4963" s="5">
        <v>39.155800</v>
      </c>
    </row>
    <row r="4964" spans="1:9">
      <c r="A4964" s="22" t="str">
        <f>HYPERLINK("https://app.vivvix.com/360/KMI/IntelliDrive/ApplUI/Pages/CreativePages/CustomReportCreativeDetail.aspx?App=23&amp;ReportView=4&amp;Qid=1711279&amp;Row=4956&amp;Col=1","No Title Assigned - #15269313323")</f>
        <v/>
      </c>
      <c r="B4964" s="0" t="s">
        <v>6786</v>
      </c>
      <c r="C4964" s="0" t="s">
        <v>6787</v>
      </c>
      <c r="D4964" s="0" t="s">
        <v>6787</v>
      </c>
      <c r="E4964" s="0" t="inlineStr">
        <is>
          <t xml:space="preserve">Mazda</t>
        </is>
      </c>
      <c r="F4964" s="0" t="s">
        <v>28</v>
      </c>
      <c r="G4964" s="0" t="s">
        <v>29</v>
      </c>
      <c r="H4964" s="5">
        <v>39.155800</v>
      </c>
    </row>
    <row r="4965" spans="1:9">
      <c r="A4965" s="22" t="str">
        <f>HYPERLINK("https://app.vivvix.com/360/KMI/IntelliDrive/ApplUI/Pages/CreativePages/CustomReportCreativeDetail.aspx?App=23&amp;ReportView=4&amp;Qid=1711279&amp;Row=4957&amp;Col=1","No Title Assigned - #15269313555")</f>
        <v/>
      </c>
      <c r="B4965" s="0" t="s">
        <v>6788</v>
      </c>
      <c r="C4965" s="0" t="s">
        <v>6789</v>
      </c>
      <c r="D4965" s="0" t="s">
        <v>4200</v>
      </c>
      <c r="E4965" s="0" t="inlineStr">
        <is>
          <t xml:space="preserve">Mazda</t>
        </is>
      </c>
      <c r="F4965" s="0" t="s">
        <v>28</v>
      </c>
      <c r="G4965" s="0" t="s">
        <v>29</v>
      </c>
      <c r="H4965" s="5">
        <v>220.848600</v>
      </c>
    </row>
    <row r="4966" spans="1:9">
      <c r="A4966" s="22" t="str">
        <f>HYPERLINK("https://app.vivvix.com/360/KMI/IntelliDrive/ApplUI/Pages/CreativePages/CustomReportCreativeDetail.aspx?App=23&amp;ReportView=4&amp;Qid=1711279&amp;Row=4958&amp;Col=1","No Title Assigned - #15269313602")</f>
        <v/>
      </c>
      <c r="B4966" s="0" t="s">
        <v>6790</v>
      </c>
      <c r="C4966" s="0" t="s">
        <v>6791</v>
      </c>
      <c r="D4966" s="0" t="s">
        <v>6791</v>
      </c>
      <c r="E4966" s="0" t="inlineStr">
        <is>
          <t xml:space="preserve">Mazda</t>
        </is>
      </c>
      <c r="F4966" s="0" t="s">
        <v>28</v>
      </c>
      <c r="G4966" s="0" t="s">
        <v>29</v>
      </c>
      <c r="H4966" s="5">
        <v>386.840400</v>
      </c>
    </row>
    <row r="4967" spans="1:9">
      <c r="A4967" s="22" t="str">
        <f>HYPERLINK("https://app.vivvix.com/360/KMI/IntelliDrive/ApplUI/Pages/CreativePages/CustomReportCreativeDetail.aspx?App=23&amp;ReportView=4&amp;Qid=1711279&amp;Row=4959&amp;Col=1","No Title Assigned - #15269313726")</f>
        <v/>
      </c>
      <c r="B4967" s="0" t="s">
        <v>6792</v>
      </c>
      <c r="C4967" s="0" t="s">
        <v>6676</v>
      </c>
      <c r="D4967" s="0" t="s">
        <v>6676</v>
      </c>
      <c r="E4967" s="0" t="inlineStr">
        <is>
          <t xml:space="preserve">Mazda</t>
        </is>
      </c>
      <c r="F4967" s="0" t="s">
        <v>28</v>
      </c>
      <c r="G4967" s="0" t="s">
        <v>29</v>
      </c>
      <c r="H4967" s="5">
        <v>842.209000</v>
      </c>
    </row>
    <row r="4968" spans="1:9">
      <c r="A4968" s="22" t="str">
        <f>HYPERLINK("https://app.vivvix.com/360/KMI/IntelliDrive/ApplUI/Pages/CreativePages/CustomReportCreativeDetail.aspx?App=23&amp;ReportView=4&amp;Qid=1711279&amp;Row=4960&amp;Col=1","No Title Assigned - #15269313855")</f>
        <v/>
      </c>
      <c r="B4968" s="0" t="s">
        <v>6793</v>
      </c>
      <c r="C4968" s="0" t="s">
        <v>6794</v>
      </c>
      <c r="D4968" s="0" t="s">
        <v>4200</v>
      </c>
      <c r="E4968" s="0" t="inlineStr">
        <is>
          <t xml:space="preserve">Mazda</t>
        </is>
      </c>
      <c r="F4968" s="0" t="s">
        <v>28</v>
      </c>
      <c r="G4968" s="0" t="s">
        <v>29</v>
      </c>
      <c r="H4968" s="5">
        <v>2301.591900</v>
      </c>
    </row>
    <row r="4969" spans="1:9">
      <c r="A4969" s="22" t="str">
        <f>HYPERLINK("https://app.vivvix.com/360/KMI/IntelliDrive/ApplUI/Pages/CreativePages/CustomReportCreativeDetail.aspx?App=23&amp;ReportView=4&amp;Qid=1711279&amp;Row=4961&amp;Col=1","No Title Assigned - #15269314275")</f>
        <v/>
      </c>
      <c r="B4969" s="0" t="s">
        <v>6795</v>
      </c>
      <c r="C4969" s="0" t="s">
        <v>6796</v>
      </c>
      <c r="D4969" s="0" t="s">
        <v>6796</v>
      </c>
      <c r="E4969" s="0" t="inlineStr">
        <is>
          <t xml:space="preserve">Mazda</t>
        </is>
      </c>
      <c r="F4969" s="0" t="s">
        <v>28</v>
      </c>
      <c r="G4969" s="0" t="s">
        <v>29</v>
      </c>
      <c r="H4969" s="5">
        <v>25.143400</v>
      </c>
    </row>
    <row r="4970" spans="1:9">
      <c r="A4970" s="22" t="str">
        <f>HYPERLINK("https://app.vivvix.com/360/KMI/IntelliDrive/ApplUI/Pages/CreativePages/CustomReportCreativeDetail.aspx?App=23&amp;ReportView=4&amp;Qid=1711279&amp;Row=4962&amp;Col=1","No Title Assigned - #15269314378")</f>
        <v/>
      </c>
      <c r="B4970" s="0" t="s">
        <v>6797</v>
      </c>
      <c r="C4970" s="0" t="s">
        <v>6798</v>
      </c>
      <c r="D4970" s="0" t="s">
        <v>6798</v>
      </c>
      <c r="E4970" s="0" t="inlineStr">
        <is>
          <t xml:space="preserve">Mazda</t>
        </is>
      </c>
      <c r="F4970" s="0" t="s">
        <v>28</v>
      </c>
      <c r="G4970" s="0" t="s">
        <v>29</v>
      </c>
      <c r="H4970" s="5">
        <v>278.290800</v>
      </c>
    </row>
    <row r="4971" spans="1:9">
      <c r="A4971" s="22" t="str">
        <f>HYPERLINK("https://app.vivvix.com/360/KMI/IntelliDrive/ApplUI/Pages/CreativePages/CustomReportCreativeDetail.aspx?App=23&amp;ReportView=4&amp;Qid=1711279&amp;Row=4963&amp;Col=1","No Title Assigned - #15269314378")</f>
        <v/>
      </c>
      <c r="B4971" s="0" t="s">
        <v>6797</v>
      </c>
      <c r="E4971" s="0" t="inlineStr">
        <is>
          <t xml:space="preserve">Mazda</t>
        </is>
      </c>
      <c r="F4971" s="0" t="s">
        <v>28</v>
      </c>
      <c r="G4971" s="0" t="s">
        <v>29</v>
      </c>
      <c r="H4971" s="5">
        <v>6.460000</v>
      </c>
    </row>
    <row r="4972" spans="1:9">
      <c r="A4972" s="22" t="str">
        <f>HYPERLINK("https://app.vivvix.com/360/KMI/IntelliDrive/ApplUI/Pages/CreativePages/CustomReportCreativeDetail.aspx?App=23&amp;ReportView=4&amp;Qid=1711279&amp;Row=4964&amp;Col=1","No Title Assigned - #15269314827")</f>
        <v/>
      </c>
      <c r="B4972" s="0" t="s">
        <v>6799</v>
      </c>
      <c r="E4972" s="0" t="inlineStr">
        <is>
          <t xml:space="preserve">Mazda</t>
        </is>
      </c>
      <c r="F4972" s="0" t="s">
        <v>28</v>
      </c>
      <c r="G4972" s="0" t="s">
        <v>29</v>
      </c>
      <c r="H4972" s="5">
        <v>23.070200</v>
      </c>
    </row>
    <row r="4973" spans="1:9">
      <c r="A4973" s="22" t="str">
        <f>HYPERLINK("https://app.vivvix.com/360/KMI/IntelliDrive/ApplUI/Pages/CreativePages/CustomReportCreativeDetail.aspx?App=23&amp;ReportView=4&amp;Qid=1711279&amp;Row=4965&amp;Col=1","No Title Assigned - #15269314827")</f>
        <v/>
      </c>
      <c r="B4973" s="0" t="s">
        <v>6799</v>
      </c>
      <c r="C4973" s="0" t="s">
        <v>6800</v>
      </c>
      <c r="D4973" s="0" t="s">
        <v>6800</v>
      </c>
      <c r="E4973" s="0" t="inlineStr">
        <is>
          <t xml:space="preserve">Mazda</t>
        </is>
      </c>
      <c r="F4973" s="0" t="s">
        <v>28</v>
      </c>
      <c r="G4973" s="0" t="s">
        <v>29</v>
      </c>
      <c r="H4973" s="5">
        <v>92.392500</v>
      </c>
    </row>
    <row r="4974" spans="1:9">
      <c r="A4974" s="22" t="str">
        <f>HYPERLINK("https://app.vivvix.com/360/KMI/IntelliDrive/ApplUI/Pages/CreativePages/CustomReportCreativeDetail.aspx?App=23&amp;ReportView=4&amp;Qid=1711279&amp;Row=4966&amp;Col=1","No Title Assigned - #15269314898")</f>
        <v/>
      </c>
      <c r="B4974" s="0" t="s">
        <v>6801</v>
      </c>
      <c r="C4974" s="0" t="s">
        <v>6802</v>
      </c>
      <c r="D4974" s="0" t="s">
        <v>6802</v>
      </c>
      <c r="E4974" s="0" t="inlineStr">
        <is>
          <t xml:space="preserve">Mazda</t>
        </is>
      </c>
      <c r="F4974" s="0" t="s">
        <v>28</v>
      </c>
      <c r="G4974" s="0" t="s">
        <v>29</v>
      </c>
      <c r="H4974" s="5">
        <v>361.962100</v>
      </c>
    </row>
    <row r="4975" spans="1:9">
      <c r="A4975" s="22" t="str">
        <f>HYPERLINK("https://app.vivvix.com/360/KMI/IntelliDrive/ApplUI/Pages/CreativePages/CustomReportCreativeDetail.aspx?App=23&amp;ReportView=4&amp;Qid=1711279&amp;Row=4967&amp;Col=1","No Title Assigned - #15269315502")</f>
        <v/>
      </c>
      <c r="B4975" s="0" t="s">
        <v>6803</v>
      </c>
      <c r="C4975" s="0" t="s">
        <v>6804</v>
      </c>
      <c r="D4975" s="0" t="s">
        <v>4200</v>
      </c>
      <c r="E4975" s="0" t="inlineStr">
        <is>
          <t xml:space="preserve">Mazda</t>
        </is>
      </c>
      <c r="F4975" s="0" t="s">
        <v>28</v>
      </c>
      <c r="G4975" s="0" t="s">
        <v>29</v>
      </c>
      <c r="H4975" s="5">
        <v>274.304300</v>
      </c>
    </row>
    <row r="4976" spans="1:9">
      <c r="A4976" s="22" t="str">
        <f>HYPERLINK("https://app.vivvix.com/360/KMI/IntelliDrive/ApplUI/Pages/CreativePages/CustomReportCreativeDetail.aspx?App=23&amp;ReportView=4&amp;Qid=1711279&amp;Row=4968&amp;Col=1","No Title Assigned - #15269315710")</f>
        <v/>
      </c>
      <c r="B4976" s="0" t="s">
        <v>6805</v>
      </c>
      <c r="E4976" s="0" t="inlineStr">
        <is>
          <t xml:space="preserve">Mazda</t>
        </is>
      </c>
      <c r="F4976" s="0" t="inlineStr">
        <is>
          <t xml:space="preserve">Mazda</t>
        </is>
      </c>
      <c r="G4976" s="0" t="s">
        <v>171</v>
      </c>
      <c r="H4976" s="5">
        <v>98.172600</v>
      </c>
    </row>
    <row r="4977" spans="1:9">
      <c r="A4977" s="22" t="str">
        <f>HYPERLINK("https://app.vivvix.com/360/KMI/IntelliDrive/ApplUI/Pages/CreativePages/CustomReportCreativeDetail.aspx?App=23&amp;ReportView=4&amp;Qid=1711279&amp;Row=4969&amp;Col=1","No Title Assigned - #15269315809")</f>
        <v/>
      </c>
      <c r="B4977" s="0" t="s">
        <v>6806</v>
      </c>
      <c r="E4977" s="0" t="inlineStr">
        <is>
          <t xml:space="preserve">Mazda</t>
        </is>
      </c>
      <c r="F4977" s="0" t="inlineStr">
        <is>
          <t xml:space="preserve">Mazda</t>
        </is>
      </c>
      <c r="G4977" s="0" t="s">
        <v>171</v>
      </c>
      <c r="H4977" s="5">
        <v>991.978600</v>
      </c>
    </row>
    <row r="4978" spans="1:9">
      <c r="A4978" s="22" t="str">
        <f>HYPERLINK("https://app.vivvix.com/360/KMI/IntelliDrive/ApplUI/Pages/CreativePages/CustomReportCreativeDetail.aspx?App=23&amp;ReportView=4&amp;Qid=1711279&amp;Row=4970&amp;Col=1","No Title Assigned - #15269315811")</f>
        <v/>
      </c>
      <c r="B4978" s="0" t="s">
        <v>6807</v>
      </c>
      <c r="E4978" s="0" t="inlineStr">
        <is>
          <t xml:space="preserve">Mazda</t>
        </is>
      </c>
      <c r="F4978" s="0" t="inlineStr">
        <is>
          <t xml:space="preserve">Mazda</t>
        </is>
      </c>
      <c r="G4978" s="0" t="s">
        <v>171</v>
      </c>
      <c r="H4978" s="5">
        <v>77.232700</v>
      </c>
    </row>
    <row r="4979" spans="1:9">
      <c r="A4979" s="22" t="str">
        <f>HYPERLINK("https://app.vivvix.com/360/KMI/IntelliDrive/ApplUI/Pages/CreativePages/CustomReportCreativeDetail.aspx?App=23&amp;ReportView=4&amp;Qid=1711279&amp;Row=4971&amp;Col=1","No Title Assigned - #15269315849")</f>
        <v/>
      </c>
      <c r="B4979" s="0" t="s">
        <v>6808</v>
      </c>
      <c r="E4979" s="0" t="inlineStr">
        <is>
          <t xml:space="preserve">Mazda</t>
        </is>
      </c>
      <c r="F4979" s="0" t="inlineStr">
        <is>
          <t xml:space="preserve">Mazda</t>
        </is>
      </c>
      <c r="G4979" s="0" t="s">
        <v>171</v>
      </c>
      <c r="H4979" s="5">
        <v>34.926600</v>
      </c>
    </row>
    <row r="4980" spans="1:9">
      <c r="A4980" s="22" t="str">
        <f>HYPERLINK("https://app.vivvix.com/360/KMI/IntelliDrive/ApplUI/Pages/CreativePages/CustomReportCreativeDetail.aspx?App=23&amp;ReportView=4&amp;Qid=1711279&amp;Row=4972&amp;Col=1","No Title Assigned - #15269315985")</f>
        <v/>
      </c>
      <c r="B4980" s="0" t="s">
        <v>6809</v>
      </c>
      <c r="E4980" s="0" t="inlineStr">
        <is>
          <t xml:space="preserve">Mazda</t>
        </is>
      </c>
      <c r="F4980" s="0" t="s">
        <v>21</v>
      </c>
      <c r="G4980" s="0" t="s">
        <v>22</v>
      </c>
      <c r="H4980" s="5">
        <v>14.442700</v>
      </c>
    </row>
    <row r="4981" spans="1:9">
      <c r="A4981" s="22" t="str">
        <f>HYPERLINK("https://app.vivvix.com/360/KMI/IntelliDrive/ApplUI/Pages/CreativePages/CustomReportCreativeDetail.aspx?App=23&amp;ReportView=4&amp;Qid=1711279&amp;Row=4973&amp;Col=1","No Title Assigned - #15269315995")</f>
        <v/>
      </c>
      <c r="B4981" s="0" t="s">
        <v>6810</v>
      </c>
      <c r="E4981" s="0" t="inlineStr">
        <is>
          <t xml:space="preserve">Mazda</t>
        </is>
      </c>
      <c r="F4981" s="0" t="inlineStr">
        <is>
          <t xml:space="preserve">Mazda</t>
        </is>
      </c>
      <c r="G4981" s="0" t="s">
        <v>171</v>
      </c>
      <c r="H4981" s="5">
        <v>136.486400</v>
      </c>
    </row>
    <row r="4982" spans="1:9">
      <c r="A4982" s="22" t="str">
        <f>HYPERLINK("https://app.vivvix.com/360/KMI/IntelliDrive/ApplUI/Pages/CreativePages/CustomReportCreativeDetail.aspx?App=23&amp;ReportView=4&amp;Qid=1711279&amp;Row=4974&amp;Col=1","No Title Assigned - #15269316038")</f>
        <v/>
      </c>
      <c r="B4982" s="0" t="s">
        <v>6811</v>
      </c>
      <c r="E4982" s="0" t="inlineStr">
        <is>
          <t xml:space="preserve">Mazda</t>
        </is>
      </c>
      <c r="F4982" s="0" t="inlineStr">
        <is>
          <t xml:space="preserve">Mazda</t>
        </is>
      </c>
      <c r="G4982" s="0" t="s">
        <v>171</v>
      </c>
      <c r="H4982" s="5">
        <v>129.094000</v>
      </c>
    </row>
    <row r="4983" spans="1:9">
      <c r="A4983" s="22" t="str">
        <f>HYPERLINK("https://app.vivvix.com/360/KMI/IntelliDrive/ApplUI/Pages/CreativePages/CustomReportCreativeDetail.aspx?App=23&amp;ReportView=4&amp;Qid=1711279&amp;Row=4975&amp;Col=1","No Title Assigned - #15269316202")</f>
        <v/>
      </c>
      <c r="B4983" s="0" t="s">
        <v>6812</v>
      </c>
      <c r="E4983" s="0" t="inlineStr">
        <is>
          <t xml:space="preserve">Mazda</t>
        </is>
      </c>
      <c r="F4983" s="0" t="s">
        <v>28</v>
      </c>
      <c r="G4983" s="0" t="s">
        <v>29</v>
      </c>
      <c r="H4983" s="5">
        <v>104.300500</v>
      </c>
    </row>
    <row r="4984" spans="1:9">
      <c r="A4984" s="22" t="str">
        <f>HYPERLINK("https://app.vivvix.com/360/KMI/IntelliDrive/ApplUI/Pages/CreativePages/CustomReportCreativeDetail.aspx?App=23&amp;ReportView=4&amp;Qid=1711279&amp;Row=4976&amp;Col=1","No Title Assigned - #15269316565")</f>
        <v/>
      </c>
      <c r="B4984" s="0" t="s">
        <v>6813</v>
      </c>
      <c r="C4984" s="0" t="s">
        <v>6814</v>
      </c>
      <c r="D4984" s="0" t="s">
        <v>6814</v>
      </c>
      <c r="E4984" s="0" t="inlineStr">
        <is>
          <t xml:space="preserve">Mazda</t>
        </is>
      </c>
      <c r="F4984" s="0" t="inlineStr">
        <is>
          <t xml:space="preserve">Mazda</t>
        </is>
      </c>
      <c r="G4984" s="0" t="s">
        <v>171</v>
      </c>
      <c r="H4984" s="5">
        <v>106.612000</v>
      </c>
    </row>
    <row r="4985" spans="1:9">
      <c r="A4985" s="22" t="str">
        <f>HYPERLINK("https://app.vivvix.com/360/KMI/IntelliDrive/ApplUI/Pages/CreativePages/CustomReportCreativeDetail.aspx?App=23&amp;ReportView=4&amp;Qid=1711279&amp;Row=4977&amp;Col=1","No Title Assigned - #15269316585")</f>
        <v/>
      </c>
      <c r="B4985" s="0" t="s">
        <v>6815</v>
      </c>
      <c r="C4985" s="0" t="s">
        <v>6816</v>
      </c>
      <c r="D4985" s="0" t="s">
        <v>6816</v>
      </c>
      <c r="E4985" s="0" t="inlineStr">
        <is>
          <t xml:space="preserve">Mazda</t>
        </is>
      </c>
      <c r="F4985" s="0" t="inlineStr">
        <is>
          <t xml:space="preserve">Mazda</t>
        </is>
      </c>
      <c r="G4985" s="0" t="s">
        <v>171</v>
      </c>
      <c r="H4985" s="5">
        <v>246.120900</v>
      </c>
    </row>
    <row r="4986" spans="1:9">
      <c r="A4986" s="22" t="str">
        <f>HYPERLINK("https://app.vivvix.com/360/KMI/IntelliDrive/ApplUI/Pages/CreativePages/CustomReportCreativeDetail.aspx?App=23&amp;ReportView=4&amp;Qid=1711279&amp;Row=4978&amp;Col=1","No Title Assigned - #15269316585")</f>
        <v/>
      </c>
      <c r="B4986" s="0" t="s">
        <v>6815</v>
      </c>
      <c r="E4986" s="0" t="inlineStr">
        <is>
          <t xml:space="preserve">Mazda</t>
        </is>
      </c>
      <c r="F4986" s="0" t="inlineStr">
        <is>
          <t xml:space="preserve">Mazda</t>
        </is>
      </c>
      <c r="G4986" s="0" t="s">
        <v>171</v>
      </c>
      <c r="H4986" s="5">
        <v>183.503400</v>
      </c>
    </row>
    <row r="4987" spans="1:9">
      <c r="A4987" s="22" t="str">
        <f>HYPERLINK("https://app.vivvix.com/360/KMI/IntelliDrive/ApplUI/Pages/CreativePages/CustomReportCreativeDetail.aspx?App=23&amp;ReportView=4&amp;Qid=1711279&amp;Row=4979&amp;Col=1","No Title Assigned - #15269316832")</f>
        <v/>
      </c>
      <c r="B4987" s="0" t="s">
        <v>6817</v>
      </c>
      <c r="E4987" s="0" t="inlineStr">
        <is>
          <t xml:space="preserve">Mazda</t>
        </is>
      </c>
      <c r="F4987" s="0" t="inlineStr">
        <is>
          <t xml:space="preserve">Mazda</t>
        </is>
      </c>
      <c r="G4987" s="0" t="s">
        <v>171</v>
      </c>
      <c r="H4987" s="5">
        <v>17617.673800</v>
      </c>
    </row>
    <row r="4988" spans="1:9">
      <c r="A4988" s="22" t="str">
        <f>HYPERLINK("https://app.vivvix.com/360/KMI/IntelliDrive/ApplUI/Pages/CreativePages/CustomReportCreativeDetail.aspx?App=23&amp;ReportView=4&amp;Qid=1711279&amp;Row=4980&amp;Col=1","No Title Assigned - #15269316835")</f>
        <v/>
      </c>
      <c r="B4988" s="0" t="s">
        <v>6818</v>
      </c>
      <c r="E4988" s="0" t="inlineStr">
        <is>
          <t xml:space="preserve">Mazda</t>
        </is>
      </c>
      <c r="F4988" s="0" t="inlineStr">
        <is>
          <t xml:space="preserve">Mazda</t>
        </is>
      </c>
      <c r="G4988" s="0" t="s">
        <v>171</v>
      </c>
      <c r="H4988" s="5">
        <v>17617.673800</v>
      </c>
    </row>
    <row r="4989" spans="1:9">
      <c r="A4989" s="22" t="str">
        <f>HYPERLINK("https://app.vivvix.com/360/KMI/IntelliDrive/ApplUI/Pages/CreativePages/CustomReportCreativeDetail.aspx?App=23&amp;ReportView=4&amp;Qid=1711279&amp;Row=4981&amp;Col=1","No Title Assigned - #15269316856")</f>
        <v/>
      </c>
      <c r="B4989" s="0" t="s">
        <v>6819</v>
      </c>
      <c r="E4989" s="0" t="inlineStr">
        <is>
          <t xml:space="preserve">Mazda</t>
        </is>
      </c>
      <c r="F4989" s="0" t="inlineStr">
        <is>
          <t xml:space="preserve">Mazda</t>
        </is>
      </c>
      <c r="G4989" s="0" t="s">
        <v>171</v>
      </c>
      <c r="H4989" s="5">
        <v>253.065400</v>
      </c>
    </row>
    <row r="4990" spans="1:9">
      <c r="A4990" s="22" t="str">
        <f>HYPERLINK("https://app.vivvix.com/360/KMI/IntelliDrive/ApplUI/Pages/CreativePages/CustomReportCreativeDetail.aspx?App=23&amp;ReportView=4&amp;Qid=1711279&amp;Row=4982&amp;Col=1","No Title Assigned - #15269316947")</f>
        <v/>
      </c>
      <c r="B4990" s="0" t="s">
        <v>6820</v>
      </c>
      <c r="E4990" s="0" t="inlineStr">
        <is>
          <t xml:space="preserve">Mazda</t>
        </is>
      </c>
      <c r="F4990" s="0" t="inlineStr">
        <is>
          <t xml:space="preserve">Mazda</t>
        </is>
      </c>
      <c r="G4990" s="0" t="s">
        <v>171</v>
      </c>
      <c r="H4990" s="5">
        <v>381.041300</v>
      </c>
    </row>
    <row r="4991" spans="1:9">
      <c r="A4991" s="22" t="str">
        <f>HYPERLINK("https://app.vivvix.com/360/KMI/IntelliDrive/ApplUI/Pages/CreativePages/CustomReportCreativeDetail.aspx?App=23&amp;ReportView=4&amp;Qid=1711279&amp;Row=4983&amp;Col=1","No Title Assigned - #15269317141")</f>
        <v/>
      </c>
      <c r="B4991" s="0" t="s">
        <v>6821</v>
      </c>
      <c r="E4991" s="0" t="inlineStr">
        <is>
          <t xml:space="preserve">Mazda</t>
        </is>
      </c>
      <c r="F4991" s="0" t="inlineStr">
        <is>
          <t xml:space="preserve">Mazda</t>
        </is>
      </c>
      <c r="G4991" s="0" t="s">
        <v>171</v>
      </c>
      <c r="H4991" s="5">
        <v>6162.362000</v>
      </c>
    </row>
    <row r="4992" spans="1:9">
      <c r="A4992" s="22" t="str">
        <f>HYPERLINK("https://app.vivvix.com/360/KMI/IntelliDrive/ApplUI/Pages/CreativePages/CustomReportCreativeDetail.aspx?App=23&amp;ReportView=4&amp;Qid=1711279&amp;Row=4984&amp;Col=1","No Title Assigned - #15269317181")</f>
        <v/>
      </c>
      <c r="B4992" s="0" t="s">
        <v>6822</v>
      </c>
      <c r="E4992" s="0" t="inlineStr">
        <is>
          <t xml:space="preserve">Mazda</t>
        </is>
      </c>
      <c r="F4992" s="0" t="inlineStr">
        <is>
          <t xml:space="preserve">Mazda</t>
        </is>
      </c>
      <c r="G4992" s="0" t="s">
        <v>171</v>
      </c>
      <c r="H4992" s="5">
        <v>109.638900</v>
      </c>
    </row>
    <row r="4993" spans="1:9">
      <c r="A4993" s="22" t="str">
        <f>HYPERLINK("https://app.vivvix.com/360/KMI/IntelliDrive/ApplUI/Pages/CreativePages/CustomReportCreativeDetail.aspx?App=23&amp;ReportView=4&amp;Qid=1711279&amp;Row=4985&amp;Col=1","No Title Assigned - #15269317247")</f>
        <v/>
      </c>
      <c r="B4993" s="0" t="s">
        <v>6823</v>
      </c>
      <c r="E4993" s="0" t="inlineStr">
        <is>
          <t xml:space="preserve">Mazda</t>
        </is>
      </c>
      <c r="F4993" s="0" t="inlineStr">
        <is>
          <t xml:space="preserve">Mazda</t>
        </is>
      </c>
      <c r="G4993" s="0" t="s">
        <v>171</v>
      </c>
      <c r="H4993" s="5">
        <v>510.679500</v>
      </c>
    </row>
    <row r="4994" spans="1:9">
      <c r="A4994" s="22" t="str">
        <f>HYPERLINK("https://app.vivvix.com/360/KMI/IntelliDrive/ApplUI/Pages/CreativePages/CustomReportCreativeDetail.aspx?App=23&amp;ReportView=4&amp;Qid=1711279&amp;Row=4986&amp;Col=1","No Title Assigned - #15269317248")</f>
        <v/>
      </c>
      <c r="B4994" s="0" t="s">
        <v>6824</v>
      </c>
      <c r="E4994" s="0" t="inlineStr">
        <is>
          <t xml:space="preserve">Mazda</t>
        </is>
      </c>
      <c r="F4994" s="0" t="inlineStr">
        <is>
          <t xml:space="preserve">Mazda</t>
        </is>
      </c>
      <c r="G4994" s="0" t="s">
        <v>171</v>
      </c>
      <c r="H4994" s="5">
        <v>262.162800</v>
      </c>
    </row>
    <row r="4995" spans="1:9">
      <c r="A4995" s="22" t="str">
        <f>HYPERLINK("https://app.vivvix.com/360/KMI/IntelliDrive/ApplUI/Pages/CreativePages/CustomReportCreativeDetail.aspx?App=23&amp;ReportView=4&amp;Qid=1711279&amp;Row=4987&amp;Col=1","No Title Assigned - #15269317302")</f>
        <v/>
      </c>
      <c r="B4995" s="0" t="s">
        <v>6825</v>
      </c>
      <c r="C4995" s="0" t="s">
        <v>6826</v>
      </c>
      <c r="D4995" s="0" t="s">
        <v>6826</v>
      </c>
      <c r="E4995" s="0" t="inlineStr">
        <is>
          <t xml:space="preserve">Mazda</t>
        </is>
      </c>
      <c r="F4995" s="0" t="inlineStr">
        <is>
          <t xml:space="preserve">Mazda</t>
        </is>
      </c>
      <c r="G4995" s="0" t="s">
        <v>171</v>
      </c>
      <c r="H4995" s="5">
        <v>2.450400</v>
      </c>
    </row>
    <row r="4996" spans="1:9">
      <c r="A4996" s="22" t="str">
        <f>HYPERLINK("https://app.vivvix.com/360/KMI/IntelliDrive/ApplUI/Pages/CreativePages/CustomReportCreativeDetail.aspx?App=23&amp;ReportView=4&amp;Qid=1711279&amp;Row=4988&amp;Col=1","No Title Assigned - #15269317335")</f>
        <v/>
      </c>
      <c r="B4996" s="0" t="s">
        <v>6827</v>
      </c>
      <c r="E4996" s="0" t="inlineStr">
        <is>
          <t xml:space="preserve">Mazda</t>
        </is>
      </c>
      <c r="F4996" s="0" t="inlineStr">
        <is>
          <t xml:space="preserve">Mazda</t>
        </is>
      </c>
      <c r="G4996" s="0" t="s">
        <v>171</v>
      </c>
      <c r="H4996" s="5">
        <v>211.397500</v>
      </c>
    </row>
    <row r="4997" spans="1:9">
      <c r="A4997" s="22" t="str">
        <f>HYPERLINK("https://app.vivvix.com/360/KMI/IntelliDrive/ApplUI/Pages/CreativePages/CustomReportCreativeDetail.aspx?App=23&amp;ReportView=4&amp;Qid=1711279&amp;Row=4989&amp;Col=1","No Title Assigned - #15269317375")</f>
        <v/>
      </c>
      <c r="B4997" s="0" t="s">
        <v>6828</v>
      </c>
      <c r="E4997" s="0" t="inlineStr">
        <is>
          <t xml:space="preserve">Mazda</t>
        </is>
      </c>
      <c r="F4997" s="0" t="inlineStr">
        <is>
          <t xml:space="preserve">Mazda</t>
        </is>
      </c>
      <c r="G4997" s="0" t="s">
        <v>171</v>
      </c>
      <c r="H4997" s="5">
        <v>510.642600</v>
      </c>
    </row>
    <row r="4998" spans="1:9">
      <c r="A4998" s="22" t="str">
        <f>HYPERLINK("https://app.vivvix.com/360/KMI/IntelliDrive/ApplUI/Pages/CreativePages/CustomReportCreativeDetail.aspx?App=23&amp;ReportView=4&amp;Qid=1711279&amp;Row=4990&amp;Col=1","No Title Assigned - #15269317395")</f>
        <v/>
      </c>
      <c r="B4998" s="0" t="s">
        <v>6829</v>
      </c>
      <c r="E4998" s="0" t="inlineStr">
        <is>
          <t xml:space="preserve">Mazda</t>
        </is>
      </c>
      <c r="F4998" s="0" t="inlineStr">
        <is>
          <t xml:space="preserve">Mazda</t>
        </is>
      </c>
      <c r="G4998" s="0" t="s">
        <v>171</v>
      </c>
      <c r="H4998" s="5">
        <v>591.058200</v>
      </c>
    </row>
    <row r="4999" spans="1:9">
      <c r="A4999" s="22" t="str">
        <f>HYPERLINK("https://app.vivvix.com/360/KMI/IntelliDrive/ApplUI/Pages/CreativePages/CustomReportCreativeDetail.aspx?App=23&amp;ReportView=4&amp;Qid=1711279&amp;Row=4991&amp;Col=1","No Title Assigned - #15269317458")</f>
        <v/>
      </c>
      <c r="B4999" s="0" t="s">
        <v>6830</v>
      </c>
      <c r="E4999" s="0" t="inlineStr">
        <is>
          <t xml:space="preserve">Mazda</t>
        </is>
      </c>
      <c r="F4999" s="0" t="inlineStr">
        <is>
          <t xml:space="preserve">Mazda</t>
        </is>
      </c>
      <c r="G4999" s="0" t="s">
        <v>171</v>
      </c>
      <c r="H4999" s="5">
        <v>126.532700</v>
      </c>
    </row>
    <row r="5000" spans="1:9">
      <c r="A5000" s="22" t="str">
        <f>HYPERLINK("https://app.vivvix.com/360/KMI/IntelliDrive/ApplUI/Pages/CreativePages/CustomReportCreativeDetail.aspx?App=23&amp;ReportView=4&amp;Qid=1711279&amp;Row=4992&amp;Col=1","No Title Assigned - #15269317458")</f>
        <v/>
      </c>
      <c r="B5000" s="0" t="s">
        <v>6830</v>
      </c>
      <c r="E5000" s="0" t="inlineStr">
        <is>
          <t xml:space="preserve">Mazda</t>
        </is>
      </c>
      <c r="F5000" s="0" t="inlineStr">
        <is>
          <t xml:space="preserve">Mazda</t>
        </is>
      </c>
      <c r="G5000" s="0" t="s">
        <v>171</v>
      </c>
      <c r="H5000" s="5">
        <v>49.289400</v>
      </c>
    </row>
    <row r="5001" spans="1:9">
      <c r="A5001" s="22" t="str">
        <f>HYPERLINK("https://app.vivvix.com/360/KMI/IntelliDrive/ApplUI/Pages/CreativePages/CustomReportCreativeDetail.aspx?App=23&amp;ReportView=4&amp;Qid=1711279&amp;Row=4993&amp;Col=1","No Title Assigned - #15269317496")</f>
        <v/>
      </c>
      <c r="B5001" s="0" t="s">
        <v>6831</v>
      </c>
      <c r="E5001" s="0" t="inlineStr">
        <is>
          <t xml:space="preserve">Mazda</t>
        </is>
      </c>
      <c r="F5001" s="0" t="inlineStr">
        <is>
          <t xml:space="preserve">Mazda</t>
        </is>
      </c>
      <c r="G5001" s="0" t="s">
        <v>171</v>
      </c>
      <c r="H5001" s="5">
        <v>63.901500</v>
      </c>
    </row>
    <row r="5002" spans="1:9">
      <c r="A5002" s="22" t="str">
        <f>HYPERLINK("https://app.vivvix.com/360/KMI/IntelliDrive/ApplUI/Pages/CreativePages/CustomReportCreativeDetail.aspx?App=23&amp;ReportView=4&amp;Qid=1711279&amp;Row=4994&amp;Col=1","No Title Assigned - #15269317560")</f>
        <v/>
      </c>
      <c r="B5002" s="0" t="s">
        <v>6832</v>
      </c>
      <c r="E5002" s="0" t="inlineStr">
        <is>
          <t xml:space="preserve">Mazda</t>
        </is>
      </c>
      <c r="F5002" s="0" t="inlineStr">
        <is>
          <t xml:space="preserve">Mazda</t>
        </is>
      </c>
      <c r="G5002" s="0" t="s">
        <v>171</v>
      </c>
      <c r="H5002" s="5">
        <v>549.878000</v>
      </c>
    </row>
    <row r="5003" spans="1:9">
      <c r="A5003" s="22" t="str">
        <f>HYPERLINK("https://app.vivvix.com/360/KMI/IntelliDrive/ApplUI/Pages/CreativePages/CustomReportCreativeDetail.aspx?App=23&amp;ReportView=4&amp;Qid=1711279&amp;Row=4995&amp;Col=1","No Title Assigned - #15269317560")</f>
        <v/>
      </c>
      <c r="B5003" s="0" t="s">
        <v>6832</v>
      </c>
      <c r="E5003" s="0" t="inlineStr">
        <is>
          <t xml:space="preserve">Mazda</t>
        </is>
      </c>
      <c r="F5003" s="0" t="inlineStr">
        <is>
          <t xml:space="preserve">Mazda</t>
        </is>
      </c>
      <c r="G5003" s="0" t="s">
        <v>171</v>
      </c>
      <c r="H5003" s="5">
        <v>1416.599100</v>
      </c>
    </row>
    <row r="5004" spans="1:9">
      <c r="A5004" s="22" t="str">
        <f>HYPERLINK("https://app.vivvix.com/360/KMI/IntelliDrive/ApplUI/Pages/CreativePages/CustomReportCreativeDetail.aspx?App=23&amp;ReportView=4&amp;Qid=1711279&amp;Row=4996&amp;Col=1","No Title Assigned - #15269317564")</f>
        <v/>
      </c>
      <c r="B5004" s="0" t="s">
        <v>6833</v>
      </c>
      <c r="C5004" s="0" t="s">
        <v>6834</v>
      </c>
      <c r="D5004" s="0" t="s">
        <v>6834</v>
      </c>
      <c r="E5004" s="0" t="inlineStr">
        <is>
          <t xml:space="preserve">Mazda</t>
        </is>
      </c>
      <c r="F5004" s="0" t="s">
        <v>28</v>
      </c>
      <c r="G5004" s="0" t="s">
        <v>29</v>
      </c>
      <c r="H5004" s="5">
        <v>1448.784900</v>
      </c>
    </row>
    <row r="5005" spans="1:9">
      <c r="A5005" s="22" t="str">
        <f>HYPERLINK("https://app.vivvix.com/360/KMI/IntelliDrive/ApplUI/Pages/CreativePages/CustomReportCreativeDetail.aspx?App=23&amp;ReportView=4&amp;Qid=1711279&amp;Row=4997&amp;Col=1","No Title Assigned - #15269317649")</f>
        <v/>
      </c>
      <c r="B5005" s="0" t="s">
        <v>6835</v>
      </c>
      <c r="E5005" s="0" t="inlineStr">
        <is>
          <t xml:space="preserve">Mazda</t>
        </is>
      </c>
      <c r="F5005" s="0" t="inlineStr">
        <is>
          <t xml:space="preserve">Mazda</t>
        </is>
      </c>
      <c r="G5005" s="0" t="s">
        <v>171</v>
      </c>
      <c r="H5005" s="5">
        <v>32.821900</v>
      </c>
    </row>
    <row r="5006" spans="1:9">
      <c r="A5006" s="22" t="str">
        <f>HYPERLINK("https://app.vivvix.com/360/KMI/IntelliDrive/ApplUI/Pages/CreativePages/CustomReportCreativeDetail.aspx?App=23&amp;ReportView=4&amp;Qid=1711279&amp;Row=4998&amp;Col=1","No Title Assigned - #15269317650")</f>
        <v/>
      </c>
      <c r="B5006" s="0" t="s">
        <v>6836</v>
      </c>
      <c r="E5006" s="0" t="inlineStr">
        <is>
          <t xml:space="preserve">Mazda</t>
        </is>
      </c>
      <c r="F5006" s="0" t="inlineStr">
        <is>
          <t xml:space="preserve">Mazda</t>
        </is>
      </c>
      <c r="G5006" s="0" t="s">
        <v>171</v>
      </c>
      <c r="H5006" s="5">
        <v>15398.986300</v>
      </c>
    </row>
    <row r="5007" spans="1:9">
      <c r="A5007" s="22" t="str">
        <f>HYPERLINK("https://app.vivvix.com/360/KMI/IntelliDrive/ApplUI/Pages/CreativePages/CustomReportCreativeDetail.aspx?App=23&amp;ReportView=4&amp;Qid=1711279&amp;Row=4999&amp;Col=1","No Title Assigned - #15269317653")</f>
        <v/>
      </c>
      <c r="B5007" s="0" t="s">
        <v>6837</v>
      </c>
      <c r="E5007" s="0" t="inlineStr">
        <is>
          <t xml:space="preserve">Mazda</t>
        </is>
      </c>
      <c r="F5007" s="0" t="inlineStr">
        <is>
          <t xml:space="preserve">Mazda</t>
        </is>
      </c>
      <c r="G5007" s="0" t="s">
        <v>171</v>
      </c>
      <c r="H5007" s="5">
        <v>218.616000</v>
      </c>
    </row>
    <row r="5008" spans="1:9">
      <c r="A5008" s="22" t="str">
        <f>HYPERLINK("https://app.vivvix.com/360/KMI/IntelliDrive/ApplUI/Pages/CreativePages/CustomReportCreativeDetail.aspx?App=23&amp;ReportView=4&amp;Qid=1711279&amp;Row=5000&amp;Col=1","No Title Assigned - #15269317882")</f>
        <v/>
      </c>
      <c r="B5008" s="0" t="s">
        <v>6838</v>
      </c>
      <c r="E5008" s="0" t="inlineStr">
        <is>
          <t xml:space="preserve">Mazda</t>
        </is>
      </c>
      <c r="F5008" s="0" t="inlineStr">
        <is>
          <t xml:space="preserve">Mazda</t>
        </is>
      </c>
      <c r="G5008" s="0" t="s">
        <v>171</v>
      </c>
      <c r="H5008" s="5">
        <v>70.838000</v>
      </c>
    </row>
    <row r="5009" spans="1:9">
      <c r="A5009" s="22" t="str">
        <f>HYPERLINK("https://app.vivvix.com/360/KMI/IntelliDrive/ApplUI/Pages/CreativePages/CustomReportCreativeDetail.aspx?App=23&amp;ReportView=4&amp;Qid=1711279&amp;Row=5001&amp;Col=1","No Title Assigned - #15269317882")</f>
        <v/>
      </c>
      <c r="B5009" s="0" t="s">
        <v>6838</v>
      </c>
      <c r="E5009" s="0" t="inlineStr">
        <is>
          <t xml:space="preserve">Mazda</t>
        </is>
      </c>
      <c r="F5009" s="0" t="inlineStr">
        <is>
          <t xml:space="preserve">Mazda</t>
        </is>
      </c>
      <c r="G5009" s="0" t="s">
        <v>171</v>
      </c>
      <c r="H5009" s="5">
        <v>1833.565600</v>
      </c>
    </row>
    <row r="5010" spans="1:9">
      <c r="A5010" s="22" t="str">
        <f>HYPERLINK("https://app.vivvix.com/360/KMI/IntelliDrive/ApplUI/Pages/CreativePages/CustomReportCreativeDetail.aspx?App=23&amp;ReportView=4&amp;Qid=1711279&amp;Row=5002&amp;Col=1","No Title Assigned - #15269317952")</f>
        <v/>
      </c>
      <c r="B5010" s="0" t="s">
        <v>6839</v>
      </c>
      <c r="E5010" s="0" t="inlineStr">
        <is>
          <t xml:space="preserve">Mazda</t>
        </is>
      </c>
      <c r="F5010" s="0" t="inlineStr">
        <is>
          <t xml:space="preserve">Mazda</t>
        </is>
      </c>
      <c r="G5010" s="0" t="s">
        <v>171</v>
      </c>
      <c r="H5010" s="5">
        <v>9.793900</v>
      </c>
    </row>
    <row r="5011" spans="1:9">
      <c r="A5011" s="22" t="str">
        <f>HYPERLINK("https://app.vivvix.com/360/KMI/IntelliDrive/ApplUI/Pages/CreativePages/CustomReportCreativeDetail.aspx?App=23&amp;ReportView=4&amp;Qid=1711279&amp;Row=5003&amp;Col=1","No Title Assigned - #15269318274")</f>
        <v/>
      </c>
      <c r="B5011" s="0" t="s">
        <v>6840</v>
      </c>
      <c r="E5011" s="0" t="inlineStr">
        <is>
          <t xml:space="preserve">Mazda</t>
        </is>
      </c>
      <c r="F5011" s="0" t="inlineStr">
        <is>
          <t xml:space="preserve">Mazda</t>
        </is>
      </c>
      <c r="G5011" s="0" t="s">
        <v>171</v>
      </c>
      <c r="H5011" s="5">
        <v>946.897300</v>
      </c>
    </row>
    <row r="5012" spans="1:9">
      <c r="A5012" s="22" t="str">
        <f>HYPERLINK("https://app.vivvix.com/360/KMI/IntelliDrive/ApplUI/Pages/CreativePages/CustomReportCreativeDetail.aspx?App=23&amp;ReportView=4&amp;Qid=1711279&amp;Row=5004&amp;Col=1","No Title Assigned - #15269318430")</f>
        <v/>
      </c>
      <c r="B5012" s="0" t="s">
        <v>6841</v>
      </c>
      <c r="E5012" s="0" t="inlineStr">
        <is>
          <t xml:space="preserve">Mazda</t>
        </is>
      </c>
      <c r="F5012" s="0" t="inlineStr">
        <is>
          <t xml:space="preserve">Mazda</t>
        </is>
      </c>
      <c r="G5012" s="0" t="s">
        <v>171</v>
      </c>
      <c r="H5012" s="5">
        <v>8.283400</v>
      </c>
    </row>
    <row r="5013" spans="1:9">
      <c r="A5013" s="22" t="str">
        <f>HYPERLINK("https://app.vivvix.com/360/KMI/IntelliDrive/ApplUI/Pages/CreativePages/CustomReportCreativeDetail.aspx?App=23&amp;ReportView=4&amp;Qid=1711279&amp;Row=5005&amp;Col=1","No Title Assigned - #15269318431")</f>
        <v/>
      </c>
      <c r="B5013" s="0" t="s">
        <v>6842</v>
      </c>
      <c r="E5013" s="0" t="inlineStr">
        <is>
          <t xml:space="preserve">Mazda</t>
        </is>
      </c>
      <c r="F5013" s="0" t="inlineStr">
        <is>
          <t xml:space="preserve">Mazda</t>
        </is>
      </c>
      <c r="G5013" s="0" t="s">
        <v>171</v>
      </c>
      <c r="H5013" s="5">
        <v>21.286400</v>
      </c>
    </row>
    <row r="5014" spans="1:9">
      <c r="A5014" s="22" t="str">
        <f>HYPERLINK("https://app.vivvix.com/360/KMI/IntelliDrive/ApplUI/Pages/CreativePages/CustomReportCreativeDetail.aspx?App=23&amp;ReportView=4&amp;Qid=1711279&amp;Row=5006&amp;Col=1","No Title Assigned - #15269318689")</f>
        <v/>
      </c>
      <c r="B5014" s="0" t="s">
        <v>6843</v>
      </c>
      <c r="E5014" s="0" t="inlineStr">
        <is>
          <t xml:space="preserve">Mazda</t>
        </is>
      </c>
      <c r="F5014" s="0" t="inlineStr">
        <is>
          <t xml:space="preserve">Mazda</t>
        </is>
      </c>
      <c r="G5014" s="0" t="s">
        <v>171</v>
      </c>
      <c r="H5014" s="5">
        <v>53.147100</v>
      </c>
    </row>
    <row r="5015" spans="1:9">
      <c r="A5015" s="22" t="str">
        <f>HYPERLINK("https://app.vivvix.com/360/KMI/IntelliDrive/ApplUI/Pages/CreativePages/CustomReportCreativeDetail.aspx?App=23&amp;ReportView=4&amp;Qid=1711279&amp;Row=5007&amp;Col=1","No Title Assigned - #15269318916")</f>
        <v/>
      </c>
      <c r="B5015" s="0" t="s">
        <v>6844</v>
      </c>
      <c r="C5015" s="0" t="s">
        <v>6845</v>
      </c>
      <c r="D5015" s="0" t="s">
        <v>6845</v>
      </c>
      <c r="E5015" s="0" t="inlineStr">
        <is>
          <t xml:space="preserve">Mazda</t>
        </is>
      </c>
      <c r="F5015" s="0" t="s">
        <v>28</v>
      </c>
      <c r="G5015" s="0" t="s">
        <v>29</v>
      </c>
      <c r="H5015" s="5">
        <v>361.569400</v>
      </c>
    </row>
    <row r="5016" spans="1:9">
      <c r="A5016" s="22" t="str">
        <f>HYPERLINK("https://app.vivvix.com/360/KMI/IntelliDrive/ApplUI/Pages/CreativePages/CustomReportCreativeDetail.aspx?App=23&amp;ReportView=4&amp;Qid=1711279&amp;Row=5008&amp;Col=1","No Title Assigned - #15269318991")</f>
        <v/>
      </c>
      <c r="B5016" s="0" t="s">
        <v>6846</v>
      </c>
      <c r="E5016" s="0" t="inlineStr">
        <is>
          <t xml:space="preserve">Mazda</t>
        </is>
      </c>
      <c r="F5016" s="0" t="inlineStr">
        <is>
          <t xml:space="preserve">Mazda</t>
        </is>
      </c>
      <c r="G5016" s="0" t="s">
        <v>171</v>
      </c>
      <c r="H5016" s="5">
        <v>252.376800</v>
      </c>
    </row>
    <row r="5017" spans="1:9">
      <c r="A5017" s="22" t="str">
        <f>HYPERLINK("https://app.vivvix.com/360/KMI/IntelliDrive/ApplUI/Pages/CreativePages/CustomReportCreativeDetail.aspx?App=23&amp;ReportView=4&amp;Qid=1711279&amp;Row=5009&amp;Col=1","No Title Assigned - #15269319118")</f>
        <v/>
      </c>
      <c r="B5017" s="0" t="s">
        <v>6847</v>
      </c>
      <c r="E5017" s="0" t="inlineStr">
        <is>
          <t xml:space="preserve">Mazda</t>
        </is>
      </c>
      <c r="F5017" s="0" t="inlineStr">
        <is>
          <t xml:space="preserve">Mazda</t>
        </is>
      </c>
      <c r="G5017" s="0" t="s">
        <v>171</v>
      </c>
      <c r="H5017" s="5">
        <v>11.562500</v>
      </c>
    </row>
    <row r="5018" spans="1:9">
      <c r="A5018" s="22" t="str">
        <f>HYPERLINK("https://app.vivvix.com/360/KMI/IntelliDrive/ApplUI/Pages/CreativePages/CustomReportCreativeDetail.aspx?App=23&amp;ReportView=4&amp;Qid=1711279&amp;Row=5010&amp;Col=1","No Title Assigned - #15269319289")</f>
        <v/>
      </c>
      <c r="B5018" s="0" t="s">
        <v>6848</v>
      </c>
      <c r="E5018" s="0" t="inlineStr">
        <is>
          <t xml:space="preserve">Mazda</t>
        </is>
      </c>
      <c r="F5018" s="0" t="inlineStr">
        <is>
          <t xml:space="preserve">Mazda</t>
        </is>
      </c>
      <c r="G5018" s="0" t="s">
        <v>171</v>
      </c>
      <c r="H5018" s="5">
        <v>18.345900</v>
      </c>
    </row>
    <row r="5019" spans="1:9">
      <c r="A5019" s="22" t="str">
        <f>HYPERLINK("https://app.vivvix.com/360/KMI/IntelliDrive/ApplUI/Pages/CreativePages/CustomReportCreativeDetail.aspx?App=23&amp;ReportView=4&amp;Qid=1711279&amp;Row=5011&amp;Col=1","No Title Assigned - #15269319300")</f>
        <v/>
      </c>
      <c r="B5019" s="0" t="s">
        <v>6849</v>
      </c>
      <c r="E5019" s="0" t="inlineStr">
        <is>
          <t xml:space="preserve">Mazda</t>
        </is>
      </c>
      <c r="F5019" s="0" t="inlineStr">
        <is>
          <t xml:space="preserve">Mazda</t>
        </is>
      </c>
      <c r="G5019" s="0" t="s">
        <v>171</v>
      </c>
      <c r="H5019" s="5">
        <v>24.073600</v>
      </c>
    </row>
    <row r="5020" spans="1:9">
      <c r="A5020" s="22" t="str">
        <f>HYPERLINK("https://app.vivvix.com/360/KMI/IntelliDrive/ApplUI/Pages/CreativePages/CustomReportCreativeDetail.aspx?App=23&amp;ReportView=4&amp;Qid=1711279&amp;Row=5012&amp;Col=1","No Title Assigned - #15269319301")</f>
        <v/>
      </c>
      <c r="B5020" s="0" t="s">
        <v>6850</v>
      </c>
      <c r="E5020" s="0" t="inlineStr">
        <is>
          <t xml:space="preserve">Mazda</t>
        </is>
      </c>
      <c r="F5020" s="0" t="inlineStr">
        <is>
          <t xml:space="preserve">Mazda</t>
        </is>
      </c>
      <c r="G5020" s="0" t="s">
        <v>171</v>
      </c>
      <c r="H5020" s="5">
        <v>24.073600</v>
      </c>
    </row>
    <row r="5021" spans="1:9">
      <c r="A5021" s="22" t="str">
        <f>HYPERLINK("https://app.vivvix.com/360/KMI/IntelliDrive/ApplUI/Pages/CreativePages/CustomReportCreativeDetail.aspx?App=23&amp;ReportView=4&amp;Qid=1711279&amp;Row=5013&amp;Col=1","No Title Assigned - #15269319302")</f>
        <v/>
      </c>
      <c r="B5021" s="0" t="s">
        <v>6851</v>
      </c>
      <c r="E5021" s="0" t="inlineStr">
        <is>
          <t xml:space="preserve">Mazda</t>
        </is>
      </c>
      <c r="F5021" s="0" t="inlineStr">
        <is>
          <t xml:space="preserve">Mazda</t>
        </is>
      </c>
      <c r="G5021" s="0" t="s">
        <v>171</v>
      </c>
      <c r="H5021" s="5">
        <v>12.036800</v>
      </c>
    </row>
    <row r="5022" spans="1:9">
      <c r="A5022" s="22" t="str">
        <f>HYPERLINK("https://app.vivvix.com/360/KMI/IntelliDrive/ApplUI/Pages/CreativePages/CustomReportCreativeDetail.aspx?App=23&amp;ReportView=4&amp;Qid=1711279&amp;Row=5014&amp;Col=1","No Title Assigned - #15269319303")</f>
        <v/>
      </c>
      <c r="B5022" s="0" t="s">
        <v>6852</v>
      </c>
      <c r="E5022" s="0" t="inlineStr">
        <is>
          <t xml:space="preserve">Mazda</t>
        </is>
      </c>
      <c r="F5022" s="0" t="s">
        <v>28</v>
      </c>
      <c r="G5022" s="0" t="s">
        <v>29</v>
      </c>
      <c r="H5022" s="5">
        <v>44.151900</v>
      </c>
    </row>
    <row r="5023" spans="1:9">
      <c r="A5023" s="22" t="str">
        <f>HYPERLINK("https://app.vivvix.com/360/KMI/IntelliDrive/ApplUI/Pages/CreativePages/CustomReportCreativeDetail.aspx?App=23&amp;ReportView=4&amp;Qid=1711279&amp;Row=5015&amp;Col=1","No Title Assigned - #15269319449")</f>
        <v/>
      </c>
      <c r="B5023" s="0" t="s">
        <v>6853</v>
      </c>
      <c r="E5023" s="0" t="inlineStr">
        <is>
          <t xml:space="preserve">Mazda</t>
        </is>
      </c>
      <c r="F5023" s="0" t="inlineStr">
        <is>
          <t xml:space="preserve">Mazda</t>
        </is>
      </c>
      <c r="G5023" s="0" t="s">
        <v>171</v>
      </c>
      <c r="H5023" s="5">
        <v>147.132500</v>
      </c>
    </row>
    <row r="5024" spans="1:9">
      <c r="A5024" s="22" t="str">
        <f>HYPERLINK("https://app.vivvix.com/360/KMI/IntelliDrive/ApplUI/Pages/CreativePages/CustomReportCreativeDetail.aspx?App=23&amp;ReportView=4&amp;Qid=1711279&amp;Row=5016&amp;Col=1","No Title Assigned - #15269319524")</f>
        <v/>
      </c>
      <c r="B5024" s="0" t="s">
        <v>6854</v>
      </c>
      <c r="E5024" s="0" t="inlineStr">
        <is>
          <t xml:space="preserve">Mazda</t>
        </is>
      </c>
      <c r="F5024" s="0" t="inlineStr">
        <is>
          <t xml:space="preserve">Mazda</t>
        </is>
      </c>
      <c r="G5024" s="0" t="s">
        <v>171</v>
      </c>
      <c r="H5024" s="5">
        <v>59.258200</v>
      </c>
    </row>
    <row r="5025" spans="1:9">
      <c r="A5025" s="22" t="str">
        <f>HYPERLINK("https://app.vivvix.com/360/KMI/IntelliDrive/ApplUI/Pages/CreativePages/CustomReportCreativeDetail.aspx?App=23&amp;ReportView=4&amp;Qid=1711279&amp;Row=5017&amp;Col=1","No Title Assigned - #15269319624")</f>
        <v/>
      </c>
      <c r="B5025" s="0" t="s">
        <v>6855</v>
      </c>
      <c r="E5025" s="0" t="inlineStr">
        <is>
          <t xml:space="preserve">Mazda</t>
        </is>
      </c>
      <c r="F5025" s="0" t="inlineStr">
        <is>
          <t xml:space="preserve">Mazda</t>
        </is>
      </c>
      <c r="G5025" s="0" t="s">
        <v>171</v>
      </c>
      <c r="H5025" s="5">
        <v>59.922300</v>
      </c>
    </row>
    <row r="5026" spans="1:9">
      <c r="A5026" s="22" t="str">
        <f>HYPERLINK("https://app.vivvix.com/360/KMI/IntelliDrive/ApplUI/Pages/CreativePages/CustomReportCreativeDetail.aspx?App=23&amp;ReportView=4&amp;Qid=1711279&amp;Row=5018&amp;Col=1","No Title Assigned - #15269319711")</f>
        <v/>
      </c>
      <c r="B5026" s="0" t="s">
        <v>6856</v>
      </c>
      <c r="E5026" s="0" t="inlineStr">
        <is>
          <t xml:space="preserve">Mazda</t>
        </is>
      </c>
      <c r="F5026" s="0" t="inlineStr">
        <is>
          <t xml:space="preserve">Mazda</t>
        </is>
      </c>
      <c r="G5026" s="0" t="s">
        <v>171</v>
      </c>
      <c r="H5026" s="5">
        <v>295.529100</v>
      </c>
    </row>
    <row r="5027" spans="1:9">
      <c r="A5027" s="22" t="str">
        <f>HYPERLINK("https://app.vivvix.com/360/KMI/IntelliDrive/ApplUI/Pages/CreativePages/CustomReportCreativeDetail.aspx?App=23&amp;ReportView=4&amp;Qid=1711279&amp;Row=5019&amp;Col=1","No Title Assigned - #15269319718")</f>
        <v/>
      </c>
      <c r="B5027" s="0" t="s">
        <v>6857</v>
      </c>
      <c r="E5027" s="0" t="inlineStr">
        <is>
          <t xml:space="preserve">Mazda</t>
        </is>
      </c>
      <c r="F5027" s="0" t="inlineStr">
        <is>
          <t xml:space="preserve">Mazda</t>
        </is>
      </c>
      <c r="G5027" s="0" t="s">
        <v>171</v>
      </c>
      <c r="H5027" s="5">
        <v>38.358300</v>
      </c>
    </row>
    <row r="5028" spans="1:9">
      <c r="A5028" s="22" t="str">
        <f>HYPERLINK("https://app.vivvix.com/360/KMI/IntelliDrive/ApplUI/Pages/CreativePages/CustomReportCreativeDetail.aspx?App=23&amp;ReportView=4&amp;Qid=1711279&amp;Row=5020&amp;Col=1","No Title Assigned - #15269319718")</f>
        <v/>
      </c>
      <c r="B5028" s="0" t="s">
        <v>6857</v>
      </c>
      <c r="E5028" s="0" t="inlineStr">
        <is>
          <t xml:space="preserve">Mazda</t>
        </is>
      </c>
      <c r="F5028" s="0" t="inlineStr">
        <is>
          <t xml:space="preserve">Mazda</t>
        </is>
      </c>
      <c r="G5028" s="0" t="s">
        <v>171</v>
      </c>
      <c r="H5028" s="5">
        <v>249.209200</v>
      </c>
    </row>
    <row r="5029" spans="1:9">
      <c r="A5029" s="22" t="str">
        <f>HYPERLINK("https://app.vivvix.com/360/KMI/IntelliDrive/ApplUI/Pages/CreativePages/CustomReportCreativeDetail.aspx?App=23&amp;ReportView=4&amp;Qid=1711279&amp;Row=5021&amp;Col=1","No Title Assigned - #15269319769")</f>
        <v/>
      </c>
      <c r="B5029" s="0" t="s">
        <v>6858</v>
      </c>
      <c r="E5029" s="0" t="inlineStr">
        <is>
          <t xml:space="preserve">Mazda</t>
        </is>
      </c>
      <c r="F5029" s="0" t="s">
        <v>28</v>
      </c>
      <c r="G5029" s="0" t="s">
        <v>29</v>
      </c>
      <c r="H5029" s="5">
        <v>10.523700</v>
      </c>
    </row>
    <row r="5030" spans="1:9">
      <c r="A5030" s="22" t="str">
        <f>HYPERLINK("https://app.vivvix.com/360/KMI/IntelliDrive/ApplUI/Pages/CreativePages/CustomReportCreativeDetail.aspx?App=23&amp;ReportView=4&amp;Qid=1711279&amp;Row=5022&amp;Col=1","No Title Assigned - #15269320072")</f>
        <v/>
      </c>
      <c r="B5030" s="0" t="s">
        <v>6859</v>
      </c>
      <c r="C5030" s="0" t="s">
        <v>6860</v>
      </c>
      <c r="D5030" s="0" t="s">
        <v>6860</v>
      </c>
      <c r="E5030" s="0" t="inlineStr">
        <is>
          <t xml:space="preserve">Mazda</t>
        </is>
      </c>
      <c r="F5030" s="0" t="inlineStr">
        <is>
          <t xml:space="preserve">Mazda</t>
        </is>
      </c>
      <c r="G5030" s="0" t="s">
        <v>171</v>
      </c>
      <c r="H5030" s="5">
        <v>54.746800</v>
      </c>
    </row>
    <row r="5031" spans="1:9">
      <c r="A5031" s="22" t="str">
        <f>HYPERLINK("https://app.vivvix.com/360/KMI/IntelliDrive/ApplUI/Pages/CreativePages/CustomReportCreativeDetail.aspx?App=23&amp;ReportView=4&amp;Qid=1711279&amp;Row=5023&amp;Col=1","No Title Assigned - #15269320173")</f>
        <v/>
      </c>
      <c r="B5031" s="0" t="s">
        <v>6861</v>
      </c>
      <c r="E5031" s="0" t="inlineStr">
        <is>
          <t xml:space="preserve">Mazda</t>
        </is>
      </c>
      <c r="F5031" s="0" t="inlineStr">
        <is>
          <t xml:space="preserve">Mazda</t>
        </is>
      </c>
      <c r="G5031" s="0" t="s">
        <v>171</v>
      </c>
      <c r="H5031" s="5">
        <v>125.327500</v>
      </c>
    </row>
    <row r="5032" spans="1:9">
      <c r="A5032" s="22" t="str">
        <f>HYPERLINK("https://app.vivvix.com/360/KMI/IntelliDrive/ApplUI/Pages/CreativePages/CustomReportCreativeDetail.aspx?App=23&amp;ReportView=4&amp;Qid=1711279&amp;Row=5024&amp;Col=1","No Title Assigned - #15269320187")</f>
        <v/>
      </c>
      <c r="B5032" s="0" t="s">
        <v>6862</v>
      </c>
      <c r="E5032" s="0" t="inlineStr">
        <is>
          <t xml:space="preserve">Mazda</t>
        </is>
      </c>
      <c r="F5032" s="0" t="inlineStr">
        <is>
          <t xml:space="preserve">Mazda</t>
        </is>
      </c>
      <c r="G5032" s="0" t="s">
        <v>171</v>
      </c>
      <c r="H5032" s="5">
        <v>1203.620600</v>
      </c>
    </row>
    <row r="5033" spans="1:9">
      <c r="A5033" s="22" t="str">
        <f>HYPERLINK("https://app.vivvix.com/360/KMI/IntelliDrive/ApplUI/Pages/CreativePages/CustomReportCreativeDetail.aspx?App=23&amp;ReportView=4&amp;Qid=1711279&amp;Row=5025&amp;Col=1","No Title Assigned - #15269320189")</f>
        <v/>
      </c>
      <c r="B5033" s="0" t="s">
        <v>6863</v>
      </c>
      <c r="E5033" s="0" t="inlineStr">
        <is>
          <t xml:space="preserve">Mazda</t>
        </is>
      </c>
      <c r="F5033" s="0" t="inlineStr">
        <is>
          <t xml:space="preserve">Mazda</t>
        </is>
      </c>
      <c r="G5033" s="0" t="s">
        <v>171</v>
      </c>
      <c r="H5033" s="5">
        <v>3077.658500</v>
      </c>
    </row>
    <row r="5034" spans="1:9">
      <c r="A5034" s="22" t="str">
        <f>HYPERLINK("https://app.vivvix.com/360/KMI/IntelliDrive/ApplUI/Pages/CreativePages/CustomReportCreativeDetail.aspx?App=23&amp;ReportView=4&amp;Qid=1711279&amp;Row=5026&amp;Col=1","No Title Assigned - #15269320189")</f>
        <v/>
      </c>
      <c r="B5034" s="0" t="s">
        <v>6863</v>
      </c>
      <c r="E5034" s="0" t="inlineStr">
        <is>
          <t xml:space="preserve">Mazda</t>
        </is>
      </c>
      <c r="F5034" s="0" t="inlineStr">
        <is>
          <t xml:space="preserve">Mazda</t>
        </is>
      </c>
      <c r="G5034" s="0" t="s">
        <v>171</v>
      </c>
      <c r="H5034" s="5">
        <v>34238.472700</v>
      </c>
    </row>
    <row r="5035" spans="1:9">
      <c r="A5035" s="22" t="str">
        <f>HYPERLINK("https://app.vivvix.com/360/KMI/IntelliDrive/ApplUI/Pages/CreativePages/CustomReportCreativeDetail.aspx?App=23&amp;ReportView=4&amp;Qid=1711279&amp;Row=5027&amp;Col=1","No Title Assigned - #15269320190")</f>
        <v/>
      </c>
      <c r="B5035" s="0" t="s">
        <v>6864</v>
      </c>
      <c r="E5035" s="0" t="inlineStr">
        <is>
          <t xml:space="preserve">Mazda</t>
        </is>
      </c>
      <c r="F5035" s="0" t="inlineStr">
        <is>
          <t xml:space="preserve">Mazda</t>
        </is>
      </c>
      <c r="G5035" s="0" t="s">
        <v>171</v>
      </c>
      <c r="H5035" s="5">
        <v>894.593700</v>
      </c>
    </row>
    <row r="5036" spans="1:9">
      <c r="A5036" s="22" t="str">
        <f>HYPERLINK("https://app.vivvix.com/360/KMI/IntelliDrive/ApplUI/Pages/CreativePages/CustomReportCreativeDetail.aspx?App=23&amp;ReportView=4&amp;Qid=1711279&amp;Row=5028&amp;Col=1","No Title Assigned - #15269320364")</f>
        <v/>
      </c>
      <c r="B5036" s="0" t="s">
        <v>6865</v>
      </c>
      <c r="E5036" s="0" t="inlineStr">
        <is>
          <t xml:space="preserve">Mazda</t>
        </is>
      </c>
      <c r="F5036" s="0" t="inlineStr">
        <is>
          <t xml:space="preserve">Mazda</t>
        </is>
      </c>
      <c r="G5036" s="0" t="s">
        <v>171</v>
      </c>
      <c r="H5036" s="5">
        <v>7890.610200</v>
      </c>
    </row>
    <row r="5037" spans="1:9">
      <c r="A5037" s="22" t="str">
        <f>HYPERLINK("https://app.vivvix.com/360/KMI/IntelliDrive/ApplUI/Pages/CreativePages/CustomReportCreativeDetail.aspx?App=23&amp;ReportView=4&amp;Qid=1711279&amp;Row=5029&amp;Col=1","No Title Assigned - #15269320364")</f>
        <v/>
      </c>
      <c r="B5037" s="0" t="s">
        <v>6865</v>
      </c>
      <c r="E5037" s="0" t="inlineStr">
        <is>
          <t xml:space="preserve">Mazda</t>
        </is>
      </c>
      <c r="F5037" s="0" t="inlineStr">
        <is>
          <t xml:space="preserve">Mazda</t>
        </is>
      </c>
      <c r="G5037" s="0" t="s">
        <v>171</v>
      </c>
      <c r="H5037" s="5">
        <v>63.500200</v>
      </c>
    </row>
    <row r="5038" spans="1:9">
      <c r="A5038" s="22" t="str">
        <f>HYPERLINK("https://app.vivvix.com/360/KMI/IntelliDrive/ApplUI/Pages/CreativePages/CustomReportCreativeDetail.aspx?App=23&amp;ReportView=4&amp;Qid=1711279&amp;Row=5030&amp;Col=1","No Title Assigned - #15269320579")</f>
        <v/>
      </c>
      <c r="B5038" s="0" t="s">
        <v>6866</v>
      </c>
      <c r="E5038" s="0" t="inlineStr">
        <is>
          <t xml:space="preserve">Mazda</t>
        </is>
      </c>
      <c r="F5038" s="0" t="inlineStr">
        <is>
          <t xml:space="preserve">Mazda</t>
        </is>
      </c>
      <c r="G5038" s="0" t="s">
        <v>171</v>
      </c>
      <c r="H5038" s="5">
        <v>36.303400</v>
      </c>
    </row>
    <row r="5039" spans="1:9">
      <c r="A5039" s="22" t="str">
        <f>HYPERLINK("https://app.vivvix.com/360/KMI/IntelliDrive/ApplUI/Pages/CreativePages/CustomReportCreativeDetail.aspx?App=23&amp;ReportView=4&amp;Qid=1711279&amp;Row=5031&amp;Col=1","No Title Assigned - #15269320709")</f>
        <v/>
      </c>
      <c r="B5039" s="0" t="s">
        <v>6867</v>
      </c>
      <c r="E5039" s="0" t="inlineStr">
        <is>
          <t xml:space="preserve">Mazda</t>
        </is>
      </c>
      <c r="F5039" s="0" t="inlineStr">
        <is>
          <t xml:space="preserve">Mazda</t>
        </is>
      </c>
      <c r="G5039" s="0" t="s">
        <v>171</v>
      </c>
      <c r="H5039" s="5">
        <v>242.251700</v>
      </c>
    </row>
    <row r="5040" spans="1:9">
      <c r="A5040" s="22" t="str">
        <f>HYPERLINK("https://app.vivvix.com/360/KMI/IntelliDrive/ApplUI/Pages/CreativePages/CustomReportCreativeDetail.aspx?App=23&amp;ReportView=4&amp;Qid=1711279&amp;Row=5032&amp;Col=1","No Title Assigned - #15269321149")</f>
        <v/>
      </c>
      <c r="B5040" s="0" t="s">
        <v>6868</v>
      </c>
      <c r="E5040" s="0" t="inlineStr">
        <is>
          <t xml:space="preserve">Mazda</t>
        </is>
      </c>
      <c r="F5040" s="0" t="inlineStr">
        <is>
          <t xml:space="preserve">Mazda</t>
        </is>
      </c>
      <c r="G5040" s="0" t="s">
        <v>171</v>
      </c>
      <c r="H5040" s="5">
        <v>356.724700</v>
      </c>
    </row>
    <row r="5041" spans="1:9">
      <c r="A5041" s="22" t="str">
        <f>HYPERLINK("https://app.vivvix.com/360/KMI/IntelliDrive/ApplUI/Pages/CreativePages/CustomReportCreativeDetail.aspx?App=23&amp;ReportView=4&amp;Qid=1711279&amp;Row=5033&amp;Col=1","No Title Assigned - #15269321200")</f>
        <v/>
      </c>
      <c r="B5041" s="0" t="s">
        <v>6869</v>
      </c>
      <c r="E5041" s="0" t="inlineStr">
        <is>
          <t xml:space="preserve">Mazda</t>
        </is>
      </c>
      <c r="F5041" s="0" t="inlineStr">
        <is>
          <t xml:space="preserve">Mazda</t>
        </is>
      </c>
      <c r="G5041" s="0" t="s">
        <v>171</v>
      </c>
      <c r="H5041" s="5">
        <v>295.529100</v>
      </c>
    </row>
    <row r="5042" spans="1:9">
      <c r="A5042" s="22" t="str">
        <f>HYPERLINK("https://app.vivvix.com/360/KMI/IntelliDrive/ApplUI/Pages/CreativePages/CustomReportCreativeDetail.aspx?App=23&amp;ReportView=4&amp;Qid=1711279&amp;Row=5034&amp;Col=1","No Title Assigned - #15269321426")</f>
        <v/>
      </c>
      <c r="B5042" s="0" t="s">
        <v>6870</v>
      </c>
      <c r="E5042" s="0" t="inlineStr">
        <is>
          <t xml:space="preserve">Mazda</t>
        </is>
      </c>
      <c r="F5042" s="0" t="inlineStr">
        <is>
          <t xml:space="preserve">Mazda</t>
        </is>
      </c>
      <c r="G5042" s="0" t="s">
        <v>171</v>
      </c>
      <c r="H5042" s="5">
        <v>58.143600</v>
      </c>
    </row>
    <row r="5043" spans="1:9">
      <c r="A5043" s="22" t="str">
        <f>HYPERLINK("https://app.vivvix.com/360/KMI/IntelliDrive/ApplUI/Pages/CreativePages/CustomReportCreativeDetail.aspx?App=23&amp;ReportView=4&amp;Qid=1711279&amp;Row=5035&amp;Col=1","No Title Assigned - #15269321567")</f>
        <v/>
      </c>
      <c r="B5043" s="0" t="s">
        <v>6871</v>
      </c>
      <c r="E5043" s="0" t="inlineStr">
        <is>
          <t xml:space="preserve">Mazda</t>
        </is>
      </c>
      <c r="F5043" s="0" t="inlineStr">
        <is>
          <t xml:space="preserve">Mazda</t>
        </is>
      </c>
      <c r="G5043" s="0" t="s">
        <v>171</v>
      </c>
      <c r="H5043" s="5">
        <v>59.834000</v>
      </c>
    </row>
    <row r="5044" spans="1:9">
      <c r="A5044" s="22" t="str">
        <f>HYPERLINK("https://app.vivvix.com/360/KMI/IntelliDrive/ApplUI/Pages/CreativePages/CustomReportCreativeDetail.aspx?App=23&amp;ReportView=4&amp;Qid=1711279&amp;Row=5036&amp;Col=1","No Title Assigned - #15269321673")</f>
        <v/>
      </c>
      <c r="B5044" s="0" t="s">
        <v>6872</v>
      </c>
      <c r="E5044" s="0" t="inlineStr">
        <is>
          <t xml:space="preserve">Mazda</t>
        </is>
      </c>
      <c r="F5044" s="0" t="inlineStr">
        <is>
          <t xml:space="preserve">Mazda</t>
        </is>
      </c>
      <c r="G5044" s="0" t="s">
        <v>171</v>
      </c>
      <c r="H5044" s="5">
        <v>583.278900</v>
      </c>
    </row>
    <row r="5045" spans="1:9">
      <c r="A5045" s="22" t="str">
        <f>HYPERLINK("https://app.vivvix.com/360/KMI/IntelliDrive/ApplUI/Pages/CreativePages/CustomReportCreativeDetail.aspx?App=23&amp;ReportView=4&amp;Qid=1711279&amp;Row=5037&amp;Col=1","No Title Assigned - #15269321752")</f>
        <v/>
      </c>
      <c r="B5045" s="0" t="s">
        <v>6873</v>
      </c>
      <c r="C5045" s="0" t="s">
        <v>6874</v>
      </c>
      <c r="D5045" s="0" t="s">
        <v>6874</v>
      </c>
      <c r="E5045" s="0" t="inlineStr">
        <is>
          <t xml:space="preserve">Mazda</t>
        </is>
      </c>
      <c r="F5045" s="0" t="inlineStr">
        <is>
          <t xml:space="preserve">Mazda</t>
        </is>
      </c>
      <c r="G5045" s="0" t="s">
        <v>171</v>
      </c>
      <c r="H5045" s="5">
        <v>1153.698700</v>
      </c>
    </row>
    <row r="5046" spans="1:9">
      <c r="A5046" s="22" t="str">
        <f>HYPERLINK("https://app.vivvix.com/360/KMI/IntelliDrive/ApplUI/Pages/CreativePages/CustomReportCreativeDetail.aspx?App=23&amp;ReportView=4&amp;Qid=1711279&amp;Row=5038&amp;Col=1","No Title Assigned - #15269321764")</f>
        <v/>
      </c>
      <c r="B5046" s="0" t="s">
        <v>6875</v>
      </c>
      <c r="C5046" s="0" t="s">
        <v>6876</v>
      </c>
      <c r="D5046" s="0" t="s">
        <v>6876</v>
      </c>
      <c r="E5046" s="0" t="inlineStr">
        <is>
          <t xml:space="preserve">Mazda</t>
        </is>
      </c>
      <c r="F5046" s="0" t="inlineStr">
        <is>
          <t xml:space="preserve">Mazda</t>
        </is>
      </c>
      <c r="G5046" s="0" t="s">
        <v>171</v>
      </c>
      <c r="H5046" s="5">
        <v>656.186300</v>
      </c>
    </row>
    <row r="5047" spans="1:9">
      <c r="A5047" s="22" t="str">
        <f>HYPERLINK("https://app.vivvix.com/360/KMI/IntelliDrive/ApplUI/Pages/CreativePages/CustomReportCreativeDetail.aspx?App=23&amp;ReportView=4&amp;Qid=1711279&amp;Row=5039&amp;Col=1","No Title Assigned - #15269321849")</f>
        <v/>
      </c>
      <c r="B5047" s="0" t="s">
        <v>6877</v>
      </c>
      <c r="C5047" s="0" t="s">
        <v>6878</v>
      </c>
      <c r="D5047" s="0" t="s">
        <v>6878</v>
      </c>
      <c r="E5047" s="0" t="inlineStr">
        <is>
          <t xml:space="preserve">Mazda</t>
        </is>
      </c>
      <c r="F5047" s="0" t="inlineStr">
        <is>
          <t xml:space="preserve">Mazda</t>
        </is>
      </c>
      <c r="G5047" s="0" t="s">
        <v>171</v>
      </c>
      <c r="H5047" s="5">
        <v>427.947900</v>
      </c>
    </row>
    <row r="5048" spans="1:9">
      <c r="A5048" s="22" t="str">
        <f>HYPERLINK("https://app.vivvix.com/360/KMI/IntelliDrive/ApplUI/Pages/CreativePages/CustomReportCreativeDetail.aspx?App=23&amp;ReportView=4&amp;Qid=1711279&amp;Row=5040&amp;Col=1","No Title Assigned - #15269321952")</f>
        <v/>
      </c>
      <c r="B5048" s="0" t="s">
        <v>6879</v>
      </c>
      <c r="C5048" s="0" t="s">
        <v>6880</v>
      </c>
      <c r="D5048" s="0" t="s">
        <v>6880</v>
      </c>
      <c r="E5048" s="0" t="inlineStr">
        <is>
          <t xml:space="preserve">Mazda</t>
        </is>
      </c>
      <c r="F5048" s="0" t="inlineStr">
        <is>
          <t xml:space="preserve">Mazda</t>
        </is>
      </c>
      <c r="G5048" s="0" t="s">
        <v>171</v>
      </c>
      <c r="H5048" s="5">
        <v>312.340400</v>
      </c>
    </row>
    <row r="5049" spans="1:9">
      <c r="A5049" s="22" t="str">
        <f>HYPERLINK("https://app.vivvix.com/360/KMI/IntelliDrive/ApplUI/Pages/CreativePages/CustomReportCreativeDetail.aspx?App=23&amp;ReportView=4&amp;Qid=1711279&amp;Row=5041&amp;Col=1","No Title Assigned - #15269322009")</f>
        <v/>
      </c>
      <c r="B5049" s="0" t="s">
        <v>6881</v>
      </c>
      <c r="E5049" s="0" t="inlineStr">
        <is>
          <t xml:space="preserve">Mazda</t>
        </is>
      </c>
      <c r="F5049" s="0" t="inlineStr">
        <is>
          <t xml:space="preserve">Mazda</t>
        </is>
      </c>
      <c r="G5049" s="0" t="s">
        <v>171</v>
      </c>
      <c r="H5049" s="5">
        <v>1039.801200</v>
      </c>
    </row>
    <row r="5050" spans="1:9">
      <c r="A5050" s="22" t="str">
        <f>HYPERLINK("https://app.vivvix.com/360/KMI/IntelliDrive/ApplUI/Pages/CreativePages/CustomReportCreativeDetail.aspx?App=23&amp;ReportView=4&amp;Qid=1711279&amp;Row=5042&amp;Col=1","No Title Assigned - #15269322009")</f>
        <v/>
      </c>
      <c r="B5050" s="0" t="s">
        <v>6881</v>
      </c>
      <c r="E5050" s="0" t="inlineStr">
        <is>
          <t xml:space="preserve">Mazda</t>
        </is>
      </c>
      <c r="F5050" s="0" t="inlineStr">
        <is>
          <t xml:space="preserve">Mazda</t>
        </is>
      </c>
      <c r="G5050" s="0" t="s">
        <v>171</v>
      </c>
      <c r="H5050" s="5">
        <v>1808.398200</v>
      </c>
    </row>
    <row r="5051" spans="1:9">
      <c r="A5051" s="22" t="str">
        <f>HYPERLINK("https://app.vivvix.com/360/KMI/IntelliDrive/ApplUI/Pages/CreativePages/CustomReportCreativeDetail.aspx?App=23&amp;ReportView=4&amp;Qid=1711279&amp;Row=5043&amp;Col=1","No Title Assigned - #15269322126")</f>
        <v/>
      </c>
      <c r="B5051" s="0" t="s">
        <v>6882</v>
      </c>
      <c r="E5051" s="0" t="inlineStr">
        <is>
          <t xml:space="preserve">Mazda</t>
        </is>
      </c>
      <c r="F5051" s="0" t="inlineStr">
        <is>
          <t xml:space="preserve">Mazda</t>
        </is>
      </c>
      <c r="G5051" s="0" t="s">
        <v>171</v>
      </c>
      <c r="H5051" s="5">
        <v>1.711700</v>
      </c>
    </row>
    <row r="5052" spans="1:9">
      <c r="A5052" s="22" t="str">
        <f>HYPERLINK("https://app.vivvix.com/360/KMI/IntelliDrive/ApplUI/Pages/CreativePages/CustomReportCreativeDetail.aspx?App=23&amp;ReportView=4&amp;Qid=1711279&amp;Row=5044&amp;Col=1","No Title Assigned - #15269322175")</f>
        <v/>
      </c>
      <c r="B5052" s="0" t="s">
        <v>6883</v>
      </c>
      <c r="E5052" s="0" t="inlineStr">
        <is>
          <t xml:space="preserve">Mazda</t>
        </is>
      </c>
      <c r="F5052" s="0" t="inlineStr">
        <is>
          <t xml:space="preserve">Mazda</t>
        </is>
      </c>
      <c r="G5052" s="0" t="s">
        <v>171</v>
      </c>
      <c r="H5052" s="5">
        <v>12.925500</v>
      </c>
    </row>
    <row r="5053" spans="1:9">
      <c r="A5053" s="22" t="str">
        <f>HYPERLINK("https://app.vivvix.com/360/KMI/IntelliDrive/ApplUI/Pages/CreativePages/CustomReportCreativeDetail.aspx?App=23&amp;ReportView=4&amp;Qid=1711279&amp;Row=5045&amp;Col=1","No Title Assigned - #15269322232")</f>
        <v/>
      </c>
      <c r="B5053" s="0" t="s">
        <v>6884</v>
      </c>
      <c r="E5053" s="0" t="inlineStr">
        <is>
          <t xml:space="preserve">Mazda</t>
        </is>
      </c>
      <c r="F5053" s="0" t="inlineStr">
        <is>
          <t xml:space="preserve">Mazda</t>
        </is>
      </c>
      <c r="G5053" s="0" t="s">
        <v>171</v>
      </c>
      <c r="H5053" s="5">
        <v>133.536600</v>
      </c>
    </row>
    <row r="5054" spans="1:9">
      <c r="A5054" s="22" t="str">
        <f>HYPERLINK("https://app.vivvix.com/360/KMI/IntelliDrive/ApplUI/Pages/CreativePages/CustomReportCreativeDetail.aspx?App=23&amp;ReportView=4&amp;Qid=1711279&amp;Row=5046&amp;Col=1","No Title Assigned - #15269322482")</f>
        <v/>
      </c>
      <c r="B5054" s="0" t="s">
        <v>6885</v>
      </c>
      <c r="E5054" s="0" t="inlineStr">
        <is>
          <t xml:space="preserve">Mazda</t>
        </is>
      </c>
      <c r="F5054" s="0" t="inlineStr">
        <is>
          <t xml:space="preserve">Mazda</t>
        </is>
      </c>
      <c r="G5054" s="0" t="s">
        <v>171</v>
      </c>
      <c r="H5054" s="5">
        <v>60.275600</v>
      </c>
    </row>
    <row r="5055" spans="1:9">
      <c r="A5055" s="22" t="str">
        <f>HYPERLINK("https://app.vivvix.com/360/KMI/IntelliDrive/ApplUI/Pages/CreativePages/CustomReportCreativeDetail.aspx?App=23&amp;ReportView=4&amp;Qid=1711279&amp;Row=5047&amp;Col=1","No Title Assigned - #15269322515")</f>
        <v/>
      </c>
      <c r="B5055" s="0" t="s">
        <v>6886</v>
      </c>
      <c r="E5055" s="0" t="inlineStr">
        <is>
          <t xml:space="preserve">Mazda</t>
        </is>
      </c>
      <c r="F5055" s="0" t="inlineStr">
        <is>
          <t xml:space="preserve">Mazda</t>
        </is>
      </c>
      <c r="G5055" s="0" t="s">
        <v>171</v>
      </c>
      <c r="H5055" s="5">
        <v>1748.485200</v>
      </c>
    </row>
    <row r="5056" spans="1:9">
      <c r="A5056" s="22" t="str">
        <f>HYPERLINK("https://app.vivvix.com/360/KMI/IntelliDrive/ApplUI/Pages/CreativePages/CustomReportCreativeDetail.aspx?App=23&amp;ReportView=4&amp;Qid=1711279&amp;Row=5048&amp;Col=1","No Title Assigned - #15269322515")</f>
        <v/>
      </c>
      <c r="B5056" s="0" t="s">
        <v>6886</v>
      </c>
      <c r="E5056" s="0" t="inlineStr">
        <is>
          <t xml:space="preserve">Mazda</t>
        </is>
      </c>
      <c r="F5056" s="0" t="inlineStr">
        <is>
          <t xml:space="preserve">Mazda</t>
        </is>
      </c>
      <c r="G5056" s="0" t="s">
        <v>171</v>
      </c>
      <c r="H5056" s="5">
        <v>849.617800</v>
      </c>
    </row>
    <row r="5057" spans="1:9">
      <c r="A5057" s="22" t="str">
        <f>HYPERLINK("https://app.vivvix.com/360/KMI/IntelliDrive/ApplUI/Pages/CreativePages/CustomReportCreativeDetail.aspx?App=23&amp;ReportView=4&amp;Qid=1711279&amp;Row=5049&amp;Col=1","No Title Assigned - #15269322526")</f>
        <v/>
      </c>
      <c r="B5057" s="0" t="s">
        <v>6887</v>
      </c>
      <c r="C5057" s="0" t="s">
        <v>6888</v>
      </c>
      <c r="D5057" s="0" t="s">
        <v>6888</v>
      </c>
      <c r="E5057" s="0" t="inlineStr">
        <is>
          <t xml:space="preserve">Mazda</t>
        </is>
      </c>
      <c r="F5057" s="0" t="inlineStr">
        <is>
          <t xml:space="preserve">Mazda</t>
        </is>
      </c>
      <c r="G5057" s="0" t="s">
        <v>171</v>
      </c>
      <c r="H5057" s="5">
        <v>180.539400</v>
      </c>
    </row>
    <row r="5058" spans="1:9">
      <c r="A5058" s="22" t="str">
        <f>HYPERLINK("https://app.vivvix.com/360/KMI/IntelliDrive/ApplUI/Pages/CreativePages/CustomReportCreativeDetail.aspx?App=23&amp;ReportView=4&amp;Qid=1711279&amp;Row=5050&amp;Col=1","No Title Assigned - #15269322741")</f>
        <v/>
      </c>
      <c r="B5058" s="0" t="s">
        <v>6889</v>
      </c>
      <c r="E5058" s="0" t="inlineStr">
        <is>
          <t xml:space="preserve">Mazda</t>
        </is>
      </c>
      <c r="F5058" s="0" t="inlineStr">
        <is>
          <t xml:space="preserve">Mazda</t>
        </is>
      </c>
      <c r="G5058" s="0" t="s">
        <v>171</v>
      </c>
      <c r="H5058" s="5">
        <v>1137.335900</v>
      </c>
    </row>
    <row r="5059" spans="1:9">
      <c r="A5059" s="22" t="str">
        <f>HYPERLINK("https://app.vivvix.com/360/KMI/IntelliDrive/ApplUI/Pages/CreativePages/CustomReportCreativeDetail.aspx?App=23&amp;ReportView=4&amp;Qid=1711279&amp;Row=5051&amp;Col=1","No Title Assigned - #15269322765")</f>
        <v/>
      </c>
      <c r="B5059" s="0" t="s">
        <v>6890</v>
      </c>
      <c r="E5059" s="0" t="inlineStr">
        <is>
          <t xml:space="preserve">Mazda</t>
        </is>
      </c>
      <c r="F5059" s="0" t="inlineStr">
        <is>
          <t xml:space="preserve">Mazda</t>
        </is>
      </c>
      <c r="G5059" s="0" t="s">
        <v>171</v>
      </c>
      <c r="H5059" s="5">
        <v>96.868100</v>
      </c>
    </row>
    <row r="5060" spans="1:9">
      <c r="A5060" s="22" t="str">
        <f>HYPERLINK("https://app.vivvix.com/360/KMI/IntelliDrive/ApplUI/Pages/CreativePages/CustomReportCreativeDetail.aspx?App=23&amp;ReportView=4&amp;Qid=1711279&amp;Row=5052&amp;Col=1","No Title Assigned - #15269322959")</f>
        <v/>
      </c>
      <c r="B5060" s="0" t="s">
        <v>6891</v>
      </c>
      <c r="E5060" s="0" t="inlineStr">
        <is>
          <t xml:space="preserve">Mazda</t>
        </is>
      </c>
      <c r="F5060" s="0" t="s">
        <v>21</v>
      </c>
      <c r="G5060" s="0" t="s">
        <v>22</v>
      </c>
      <c r="H5060" s="5">
        <v>433.690700</v>
      </c>
    </row>
    <row r="5061" spans="1:9">
      <c r="A5061" s="22" t="str">
        <f>HYPERLINK("https://app.vivvix.com/360/KMI/IntelliDrive/ApplUI/Pages/CreativePages/CustomReportCreativeDetail.aspx?App=23&amp;ReportView=4&amp;Qid=1711279&amp;Row=5053&amp;Col=1","No Title Assigned - #15269323003")</f>
        <v/>
      </c>
      <c r="B5061" s="0" t="s">
        <v>6892</v>
      </c>
      <c r="E5061" s="0" t="inlineStr">
        <is>
          <t xml:space="preserve">Mazda</t>
        </is>
      </c>
      <c r="F5061" s="0" t="inlineStr">
        <is>
          <t xml:space="preserve">Mazda</t>
        </is>
      </c>
      <c r="G5061" s="0" t="s">
        <v>171</v>
      </c>
      <c r="H5061" s="5">
        <v>28138.564500</v>
      </c>
    </row>
    <row r="5062" spans="1:9">
      <c r="A5062" s="22" t="str">
        <f>HYPERLINK("https://app.vivvix.com/360/KMI/IntelliDrive/ApplUI/Pages/CreativePages/CustomReportCreativeDetail.aspx?App=23&amp;ReportView=4&amp;Qid=1711279&amp;Row=5054&amp;Col=1","No Title Assigned - #15269323037")</f>
        <v/>
      </c>
      <c r="B5062" s="0" t="s">
        <v>6893</v>
      </c>
      <c r="E5062" s="0" t="inlineStr">
        <is>
          <t xml:space="preserve">Mazda</t>
        </is>
      </c>
      <c r="F5062" s="0" t="inlineStr">
        <is>
          <t xml:space="preserve">Mazda</t>
        </is>
      </c>
      <c r="G5062" s="0" t="s">
        <v>171</v>
      </c>
      <c r="H5062" s="5">
        <v>61.213000</v>
      </c>
    </row>
    <row r="5063" spans="1:9">
      <c r="A5063" s="22" t="str">
        <f>HYPERLINK("https://app.vivvix.com/360/KMI/IntelliDrive/ApplUI/Pages/CreativePages/CustomReportCreativeDetail.aspx?App=23&amp;ReportView=4&amp;Qid=1711279&amp;Row=5055&amp;Col=1","No Title Assigned - #15269323215")</f>
        <v/>
      </c>
      <c r="B5063" s="0" t="s">
        <v>6894</v>
      </c>
      <c r="E5063" s="0" t="inlineStr">
        <is>
          <t xml:space="preserve">Mazda</t>
        </is>
      </c>
      <c r="F5063" s="0" t="inlineStr">
        <is>
          <t xml:space="preserve">Mazda</t>
        </is>
      </c>
      <c r="G5063" s="0" t="s">
        <v>171</v>
      </c>
      <c r="H5063" s="5">
        <v>53.016200</v>
      </c>
    </row>
    <row r="5064" spans="1:9">
      <c r="A5064" s="22" t="str">
        <f>HYPERLINK("https://app.vivvix.com/360/KMI/IntelliDrive/ApplUI/Pages/CreativePages/CustomReportCreativeDetail.aspx?App=23&amp;ReportView=4&amp;Qid=1711279&amp;Row=5056&amp;Col=1","No Title Assigned - #15269323370")</f>
        <v/>
      </c>
      <c r="B5064" s="0" t="s">
        <v>6895</v>
      </c>
      <c r="C5064" s="0" t="s">
        <v>6896</v>
      </c>
      <c r="D5064" s="0" t="s">
        <v>6896</v>
      </c>
      <c r="E5064" s="0" t="inlineStr">
        <is>
          <t xml:space="preserve">Mazda</t>
        </is>
      </c>
      <c r="F5064" s="0" t="inlineStr">
        <is>
          <t xml:space="preserve">Mazda</t>
        </is>
      </c>
      <c r="G5064" s="0" t="s">
        <v>171</v>
      </c>
      <c r="H5064" s="5">
        <v>218.383500</v>
      </c>
    </row>
    <row r="5065" spans="1:9">
      <c r="A5065" s="22" t="str">
        <f>HYPERLINK("https://app.vivvix.com/360/KMI/IntelliDrive/ApplUI/Pages/CreativePages/CustomReportCreativeDetail.aspx?App=23&amp;ReportView=4&amp;Qid=1711279&amp;Row=5057&amp;Col=1","No Title Assigned - #15269323391")</f>
        <v/>
      </c>
      <c r="B5065" s="0" t="s">
        <v>6897</v>
      </c>
      <c r="C5065" s="0" t="s">
        <v>6898</v>
      </c>
      <c r="D5065" s="0" t="s">
        <v>6898</v>
      </c>
      <c r="E5065" s="0" t="inlineStr">
        <is>
          <t xml:space="preserve">Mazda</t>
        </is>
      </c>
      <c r="F5065" s="0" t="inlineStr">
        <is>
          <t xml:space="preserve">Mazda</t>
        </is>
      </c>
      <c r="G5065" s="0" t="s">
        <v>171</v>
      </c>
      <c r="H5065" s="5">
        <v>184.750500</v>
      </c>
    </row>
    <row r="5066" spans="1:9">
      <c r="A5066" s="22" t="str">
        <f>HYPERLINK("https://app.vivvix.com/360/KMI/IntelliDrive/ApplUI/Pages/CreativePages/CustomReportCreativeDetail.aspx?App=23&amp;ReportView=4&amp;Qid=1711279&amp;Row=5058&amp;Col=1","No Title Assigned - #15269323612")</f>
        <v/>
      </c>
      <c r="B5066" s="0" t="s">
        <v>6899</v>
      </c>
      <c r="E5066" s="0" t="inlineStr">
        <is>
          <t xml:space="preserve">Mazda</t>
        </is>
      </c>
      <c r="F5066" s="0" t="inlineStr">
        <is>
          <t xml:space="preserve">Mazda</t>
        </is>
      </c>
      <c r="G5066" s="0" t="s">
        <v>171</v>
      </c>
      <c r="H5066" s="5">
        <v>25.151500</v>
      </c>
    </row>
    <row r="5067" spans="1:9">
      <c r="A5067" s="22" t="str">
        <f>HYPERLINK("https://app.vivvix.com/360/KMI/IntelliDrive/ApplUI/Pages/CreativePages/CustomReportCreativeDetail.aspx?App=23&amp;ReportView=4&amp;Qid=1711279&amp;Row=5059&amp;Col=1","No Title Assigned - #15269323905")</f>
        <v/>
      </c>
      <c r="B5067" s="0" t="s">
        <v>6900</v>
      </c>
      <c r="E5067" s="0" t="inlineStr">
        <is>
          <t xml:space="preserve">Mazda</t>
        </is>
      </c>
      <c r="F5067" s="0" t="inlineStr">
        <is>
          <t xml:space="preserve">Mazda</t>
        </is>
      </c>
      <c r="G5067" s="0" t="s">
        <v>171</v>
      </c>
      <c r="H5067" s="5">
        <v>284.238300</v>
      </c>
    </row>
    <row r="5068" spans="1:9">
      <c r="A5068" s="22" t="str">
        <f>HYPERLINK("https://app.vivvix.com/360/KMI/IntelliDrive/ApplUI/Pages/CreativePages/CustomReportCreativeDetail.aspx?App=23&amp;ReportView=4&amp;Qid=1711279&amp;Row=5060&amp;Col=1","No Title Assigned - #15269325078")</f>
        <v/>
      </c>
      <c r="B5068" s="0" t="s">
        <v>6901</v>
      </c>
      <c r="C5068" s="0" t="s">
        <v>6902</v>
      </c>
      <c r="D5068" s="0" t="s">
        <v>4333</v>
      </c>
      <c r="E5068" s="0" t="inlineStr">
        <is>
          <t xml:space="preserve">Mazda</t>
        </is>
      </c>
      <c r="F5068" s="0" t="s">
        <v>28</v>
      </c>
      <c r="G5068" s="0" t="s">
        <v>29</v>
      </c>
      <c r="H5068" s="5">
        <v>236.489700</v>
      </c>
    </row>
    <row r="5069" spans="1:9">
      <c r="A5069" s="22" t="str">
        <f>HYPERLINK("https://app.vivvix.com/360/KMI/IntelliDrive/ApplUI/Pages/CreativePages/CustomReportCreativeDetail.aspx?App=23&amp;ReportView=4&amp;Qid=1711279&amp;Row=5061&amp;Col=1","No Title Assigned - #15269325268")</f>
        <v/>
      </c>
      <c r="B5069" s="0" t="s">
        <v>6903</v>
      </c>
      <c r="C5069" s="0" t="s">
        <v>6904</v>
      </c>
      <c r="D5069" s="0" t="s">
        <v>6904</v>
      </c>
      <c r="E5069" s="0" t="inlineStr">
        <is>
          <t xml:space="preserve">Mazda</t>
        </is>
      </c>
      <c r="F5069" s="0" t="s">
        <v>28</v>
      </c>
      <c r="G5069" s="0" t="s">
        <v>29</v>
      </c>
      <c r="H5069" s="5">
        <v>1549.110600</v>
      </c>
    </row>
    <row r="5070" spans="1:9">
      <c r="A5070" s="22" t="str">
        <f>HYPERLINK("https://app.vivvix.com/360/KMI/IntelliDrive/ApplUI/Pages/CreativePages/CustomReportCreativeDetail.aspx?App=23&amp;ReportView=4&amp;Qid=1711279&amp;Row=5062&amp;Col=1","No Title Assigned - #15269325296")</f>
        <v/>
      </c>
      <c r="B5070" s="0" t="s">
        <v>6905</v>
      </c>
      <c r="C5070" s="0" t="s">
        <v>6906</v>
      </c>
      <c r="D5070" s="0" t="s">
        <v>6906</v>
      </c>
      <c r="E5070" s="0" t="inlineStr">
        <is>
          <t xml:space="preserve">Mazda</t>
        </is>
      </c>
      <c r="F5070" s="0" t="s">
        <v>28</v>
      </c>
      <c r="G5070" s="0" t="s">
        <v>29</v>
      </c>
      <c r="H5070" s="5">
        <v>3104.554400</v>
      </c>
    </row>
    <row r="5071" spans="1:9">
      <c r="A5071" s="22" t="str">
        <f>HYPERLINK("https://app.vivvix.com/360/KMI/IntelliDrive/ApplUI/Pages/CreativePages/CustomReportCreativeDetail.aspx?App=23&amp;ReportView=4&amp;Qid=1711279&amp;Row=5063&amp;Col=1","No Title Assigned - #15269325296")</f>
        <v/>
      </c>
      <c r="B5071" s="0" t="s">
        <v>6905</v>
      </c>
      <c r="E5071" s="0" t="inlineStr">
        <is>
          <t xml:space="preserve">Mazda</t>
        </is>
      </c>
      <c r="F5071" s="0" t="s">
        <v>28</v>
      </c>
      <c r="G5071" s="0" t="s">
        <v>29</v>
      </c>
      <c r="H5071" s="5">
        <v>15986.632200</v>
      </c>
    </row>
    <row r="5072" spans="1:9">
      <c r="A5072" s="22" t="str">
        <f>HYPERLINK("https://app.vivvix.com/360/KMI/IntelliDrive/ApplUI/Pages/CreativePages/CustomReportCreativeDetail.aspx?App=23&amp;ReportView=4&amp;Qid=1711279&amp;Row=5064&amp;Col=1","No Title Assigned - #15269325971")</f>
        <v/>
      </c>
      <c r="B5072" s="0" t="s">
        <v>6907</v>
      </c>
      <c r="C5072" s="0" t="s">
        <v>6908</v>
      </c>
      <c r="D5072" s="0" t="s">
        <v>6908</v>
      </c>
      <c r="E5072" s="0" t="inlineStr">
        <is>
          <t xml:space="preserve">Mazda</t>
        </is>
      </c>
      <c r="F5072" s="0" t="s">
        <v>28</v>
      </c>
      <c r="G5072" s="0" t="s">
        <v>29</v>
      </c>
      <c r="H5072" s="5">
        <v>138.408400</v>
      </c>
    </row>
    <row r="5073" spans="1:9">
      <c r="A5073" s="22" t="str">
        <f>HYPERLINK("https://app.vivvix.com/360/KMI/IntelliDrive/ApplUI/Pages/CreativePages/CustomReportCreativeDetail.aspx?App=23&amp;ReportView=4&amp;Qid=1711279&amp;Row=5065&amp;Col=1","No Title Assigned - #15269326364")</f>
        <v/>
      </c>
      <c r="B5073" s="0" t="s">
        <v>6909</v>
      </c>
      <c r="C5073" s="0" t="s">
        <v>6910</v>
      </c>
      <c r="D5073" s="0" t="s">
        <v>6910</v>
      </c>
      <c r="E5073" s="0" t="inlineStr">
        <is>
          <t xml:space="preserve">Mazda</t>
        </is>
      </c>
      <c r="F5073" s="0" t="s">
        <v>28</v>
      </c>
      <c r="G5073" s="0" t="s">
        <v>29</v>
      </c>
      <c r="H5073" s="5">
        <v>23.512200</v>
      </c>
    </row>
    <row r="5074" spans="1:9">
      <c r="A5074" s="22" t="str">
        <f>HYPERLINK("https://app.vivvix.com/360/KMI/IntelliDrive/ApplUI/Pages/CreativePages/CustomReportCreativeDetail.aspx?App=23&amp;ReportView=4&amp;Qid=1711279&amp;Row=5066&amp;Col=1","No Title Assigned - #15269326412")</f>
        <v/>
      </c>
      <c r="B5074" s="0" t="s">
        <v>6911</v>
      </c>
      <c r="C5074" s="0" t="s">
        <v>6912</v>
      </c>
      <c r="D5074" s="0" t="s">
        <v>6912</v>
      </c>
      <c r="E5074" s="0" t="inlineStr">
        <is>
          <t xml:space="preserve">Mazda</t>
        </is>
      </c>
      <c r="F5074" s="0" t="s">
        <v>28</v>
      </c>
      <c r="G5074" s="0" t="s">
        <v>29</v>
      </c>
      <c r="H5074" s="5">
        <v>185.457400</v>
      </c>
    </row>
    <row r="5075" spans="1:9">
      <c r="A5075" s="22" t="str">
        <f>HYPERLINK("https://app.vivvix.com/360/KMI/IntelliDrive/ApplUI/Pages/CreativePages/CustomReportCreativeDetail.aspx?App=23&amp;ReportView=4&amp;Qid=1711279&amp;Row=5067&amp;Col=1","No Title Assigned - #15269326458")</f>
        <v/>
      </c>
      <c r="B5075" s="0" t="s">
        <v>6913</v>
      </c>
      <c r="C5075" s="0" t="s">
        <v>6914</v>
      </c>
      <c r="D5075" s="0" t="s">
        <v>6914</v>
      </c>
      <c r="E5075" s="0" t="inlineStr">
        <is>
          <t xml:space="preserve">Mazda</t>
        </is>
      </c>
      <c r="F5075" s="0" t="s">
        <v>28</v>
      </c>
      <c r="G5075" s="0" t="s">
        <v>29</v>
      </c>
      <c r="H5075" s="5">
        <v>257.273200</v>
      </c>
    </row>
    <row r="5076" spans="1:9">
      <c r="A5076" s="22" t="str">
        <f>HYPERLINK("https://app.vivvix.com/360/KMI/IntelliDrive/ApplUI/Pages/CreativePages/CustomReportCreativeDetail.aspx?App=23&amp;ReportView=4&amp;Qid=1711279&amp;Row=5068&amp;Col=1","No Title Assigned - #15269326502")</f>
        <v/>
      </c>
      <c r="B5076" s="0" t="s">
        <v>6915</v>
      </c>
      <c r="C5076" s="0" t="s">
        <v>6916</v>
      </c>
      <c r="D5076" s="0" t="s">
        <v>6916</v>
      </c>
      <c r="E5076" s="0" t="inlineStr">
        <is>
          <t xml:space="preserve">Mazda</t>
        </is>
      </c>
      <c r="F5076" s="0" t="s">
        <v>28</v>
      </c>
      <c r="G5076" s="0" t="s">
        <v>29</v>
      </c>
      <c r="H5076" s="5">
        <v>46.983500</v>
      </c>
    </row>
    <row r="5077" spans="1:9">
      <c r="A5077" s="22" t="str">
        <f>HYPERLINK("https://app.vivvix.com/360/KMI/IntelliDrive/ApplUI/Pages/CreativePages/CustomReportCreativeDetail.aspx?App=23&amp;ReportView=4&amp;Qid=1711279&amp;Row=5069&amp;Col=1","No Title Assigned - #15269326575")</f>
        <v/>
      </c>
      <c r="B5077" s="0" t="s">
        <v>6917</v>
      </c>
      <c r="E5077" s="0" t="inlineStr">
        <is>
          <t xml:space="preserve">Mazda</t>
        </is>
      </c>
      <c r="F5077" s="0" t="s">
        <v>28</v>
      </c>
      <c r="G5077" s="0" t="s">
        <v>29</v>
      </c>
      <c r="H5077" s="5">
        <v>12895.038000</v>
      </c>
    </row>
    <row r="5078" spans="1:9">
      <c r="A5078" s="22" t="str">
        <f>HYPERLINK("https://app.vivvix.com/360/KMI/IntelliDrive/ApplUI/Pages/CreativePages/CustomReportCreativeDetail.aspx?App=23&amp;ReportView=4&amp;Qid=1711279&amp;Row=5070&amp;Col=1","No Title Assigned - #15269326575")</f>
        <v/>
      </c>
      <c r="B5078" s="0" t="s">
        <v>6917</v>
      </c>
      <c r="C5078" s="0" t="s">
        <v>6918</v>
      </c>
      <c r="D5078" s="0" t="s">
        <v>6918</v>
      </c>
      <c r="E5078" s="0" t="inlineStr">
        <is>
          <t xml:space="preserve">Mazda</t>
        </is>
      </c>
      <c r="F5078" s="0" t="s">
        <v>28</v>
      </c>
      <c r="G5078" s="0" t="s">
        <v>29</v>
      </c>
      <c r="H5078" s="5">
        <v>2834.945100</v>
      </c>
    </row>
    <row r="5079" spans="1:9">
      <c r="A5079" s="22" t="str">
        <f>HYPERLINK("https://app.vivvix.com/360/KMI/IntelliDrive/ApplUI/Pages/CreativePages/CustomReportCreativeDetail.aspx?App=23&amp;ReportView=4&amp;Qid=1711279&amp;Row=5071&amp;Col=1","No Title Assigned - #15269326667")</f>
        <v/>
      </c>
      <c r="B5079" s="0" t="s">
        <v>6919</v>
      </c>
      <c r="C5079" s="0" t="s">
        <v>6920</v>
      </c>
      <c r="D5079" s="0" t="s">
        <v>6920</v>
      </c>
      <c r="E5079" s="0" t="inlineStr">
        <is>
          <t xml:space="preserve">Mazda</t>
        </is>
      </c>
      <c r="F5079" s="0" t="s">
        <v>28</v>
      </c>
      <c r="G5079" s="0" t="s">
        <v>29</v>
      </c>
      <c r="H5079" s="5">
        <v>1780.320000</v>
      </c>
    </row>
    <row r="5080" spans="1:9">
      <c r="A5080" s="22" t="str">
        <f>HYPERLINK("https://app.vivvix.com/360/KMI/IntelliDrive/ApplUI/Pages/CreativePages/CustomReportCreativeDetail.aspx?App=23&amp;ReportView=4&amp;Qid=1711279&amp;Row=5072&amp;Col=1","No Title Assigned - #15269326873")</f>
        <v/>
      </c>
      <c r="B5080" s="0" t="s">
        <v>6921</v>
      </c>
      <c r="C5080" s="0" t="s">
        <v>6922</v>
      </c>
      <c r="D5080" s="0" t="s">
        <v>4204</v>
      </c>
      <c r="E5080" s="0" t="inlineStr">
        <is>
          <t xml:space="preserve">Mazda</t>
        </is>
      </c>
      <c r="F5080" s="0" t="s">
        <v>28</v>
      </c>
      <c r="G5080" s="0" t="s">
        <v>29</v>
      </c>
      <c r="H5080" s="5">
        <v>149.459800</v>
      </c>
    </row>
    <row r="5081" spans="1:9">
      <c r="A5081" s="22" t="str">
        <f>HYPERLINK("https://app.vivvix.com/360/KMI/IntelliDrive/ApplUI/Pages/CreativePages/CustomReportCreativeDetail.aspx?App=23&amp;ReportView=4&amp;Qid=1711279&amp;Row=5073&amp;Col=1","No Title Assigned - #15269326992")</f>
        <v/>
      </c>
      <c r="B5081" s="0" t="s">
        <v>6923</v>
      </c>
      <c r="C5081" s="0" t="s">
        <v>6924</v>
      </c>
      <c r="D5081" s="0" t="s">
        <v>6924</v>
      </c>
      <c r="E5081" s="0" t="inlineStr">
        <is>
          <t xml:space="preserve">Mazda</t>
        </is>
      </c>
      <c r="F5081" s="0" t="s">
        <v>28</v>
      </c>
      <c r="G5081" s="0" t="s">
        <v>29</v>
      </c>
      <c r="H5081" s="5">
        <v>825.084800</v>
      </c>
    </row>
    <row r="5082" spans="1:9">
      <c r="A5082" s="22" t="str">
        <f>HYPERLINK("https://app.vivvix.com/360/KMI/IntelliDrive/ApplUI/Pages/CreativePages/CustomReportCreativeDetail.aspx?App=23&amp;ReportView=4&amp;Qid=1711279&amp;Row=5074&amp;Col=1","No Title Assigned - #15269327199")</f>
        <v/>
      </c>
      <c r="B5082" s="0" t="s">
        <v>6925</v>
      </c>
      <c r="C5082" s="0" t="s">
        <v>6926</v>
      </c>
      <c r="D5082" s="0" t="s">
        <v>6926</v>
      </c>
      <c r="E5082" s="0" t="inlineStr">
        <is>
          <t xml:space="preserve">Mazda</t>
        </is>
      </c>
      <c r="F5082" s="0" t="s">
        <v>28</v>
      </c>
      <c r="G5082" s="0" t="s">
        <v>29</v>
      </c>
      <c r="H5082" s="5">
        <v>987.971300</v>
      </c>
    </row>
    <row r="5083" spans="1:9">
      <c r="A5083" s="22" t="str">
        <f>HYPERLINK("https://app.vivvix.com/360/KMI/IntelliDrive/ApplUI/Pages/CreativePages/CustomReportCreativeDetail.aspx?App=23&amp;ReportView=4&amp;Qid=1711279&amp;Row=5075&amp;Col=1","No Title Assigned - #15269327479")</f>
        <v/>
      </c>
      <c r="B5083" s="0" t="s">
        <v>6927</v>
      </c>
      <c r="C5083" s="0" t="s">
        <v>6928</v>
      </c>
      <c r="D5083" s="0" t="s">
        <v>6929</v>
      </c>
      <c r="E5083" s="0" t="inlineStr">
        <is>
          <t xml:space="preserve">Mazda</t>
        </is>
      </c>
      <c r="F5083" s="0" t="s">
        <v>28</v>
      </c>
      <c r="G5083" s="0" t="s">
        <v>29</v>
      </c>
      <c r="H5083" s="5">
        <v>84.529500</v>
      </c>
    </row>
    <row r="5084" spans="1:9">
      <c r="A5084" s="22" t="str">
        <f>HYPERLINK("https://app.vivvix.com/360/KMI/IntelliDrive/ApplUI/Pages/CreativePages/CustomReportCreativeDetail.aspx?App=23&amp;ReportView=4&amp;Qid=1711279&amp;Row=5076&amp;Col=1","No Title Assigned - #15269327480")</f>
        <v/>
      </c>
      <c r="B5084" s="0" t="s">
        <v>6930</v>
      </c>
      <c r="C5084" s="0" t="s">
        <v>6931</v>
      </c>
      <c r="D5084" s="0" t="s">
        <v>4333</v>
      </c>
      <c r="E5084" s="0" t="inlineStr">
        <is>
          <t xml:space="preserve">Mazda</t>
        </is>
      </c>
      <c r="F5084" s="0" t="s">
        <v>28</v>
      </c>
      <c r="G5084" s="0" t="s">
        <v>29</v>
      </c>
      <c r="H5084" s="5">
        <v>956.659200</v>
      </c>
    </row>
    <row r="5085" spans="1:9">
      <c r="A5085" s="22" t="str">
        <f>HYPERLINK("https://app.vivvix.com/360/KMI/IntelliDrive/ApplUI/Pages/CreativePages/CustomReportCreativeDetail.aspx?App=23&amp;ReportView=4&amp;Qid=1711279&amp;Row=5077&amp;Col=1","No Title Assigned - #15269327944")</f>
        <v/>
      </c>
      <c r="B5085" s="0" t="s">
        <v>6932</v>
      </c>
      <c r="C5085" s="0" t="s">
        <v>6933</v>
      </c>
      <c r="D5085" s="0" t="s">
        <v>6933</v>
      </c>
      <c r="E5085" s="0" t="inlineStr">
        <is>
          <t xml:space="preserve">Mazda</t>
        </is>
      </c>
      <c r="F5085" s="0" t="s">
        <v>28</v>
      </c>
      <c r="G5085" s="0" t="s">
        <v>29</v>
      </c>
      <c r="H5085" s="5">
        <v>214.895600</v>
      </c>
    </row>
    <row r="5086" spans="1:9">
      <c r="A5086" s="22" t="str">
        <f>HYPERLINK("https://app.vivvix.com/360/KMI/IntelliDrive/ApplUI/Pages/CreativePages/CustomReportCreativeDetail.aspx?App=23&amp;ReportView=4&amp;Qid=1711279&amp;Row=5078&amp;Col=1","No Title Assigned - #15269328208")</f>
        <v/>
      </c>
      <c r="B5086" s="0" t="s">
        <v>6934</v>
      </c>
      <c r="C5086" s="0" t="s">
        <v>6935</v>
      </c>
      <c r="D5086" s="0" t="s">
        <v>4200</v>
      </c>
      <c r="E5086" s="0" t="inlineStr">
        <is>
          <t xml:space="preserve">Mazda</t>
        </is>
      </c>
      <c r="F5086" s="0" t="s">
        <v>28</v>
      </c>
      <c r="G5086" s="0" t="s">
        <v>29</v>
      </c>
      <c r="H5086" s="5">
        <v>3.820600</v>
      </c>
    </row>
    <row r="5087" spans="1:9">
      <c r="A5087" s="22" t="str">
        <f>HYPERLINK("https://app.vivvix.com/360/KMI/IntelliDrive/ApplUI/Pages/CreativePages/CustomReportCreativeDetail.aspx?App=23&amp;ReportView=4&amp;Qid=1711279&amp;Row=5079&amp;Col=1","No Title Assigned - #15269328255")</f>
        <v/>
      </c>
      <c r="B5087" s="0" t="s">
        <v>6936</v>
      </c>
      <c r="C5087" s="0" t="s">
        <v>6937</v>
      </c>
      <c r="D5087" s="0" t="s">
        <v>4333</v>
      </c>
      <c r="E5087" s="0" t="inlineStr">
        <is>
          <t xml:space="preserve">Mazda</t>
        </is>
      </c>
      <c r="F5087" s="0" t="s">
        <v>28</v>
      </c>
      <c r="G5087" s="0" t="s">
        <v>29</v>
      </c>
      <c r="H5087" s="5">
        <v>12.036800</v>
      </c>
    </row>
    <row r="5088" spans="1:9">
      <c r="A5088" s="22" t="str">
        <f>HYPERLINK("https://app.vivvix.com/360/KMI/IntelliDrive/ApplUI/Pages/CreativePages/CustomReportCreativeDetail.aspx?App=23&amp;ReportView=4&amp;Qid=1711279&amp;Row=5080&amp;Col=1","No Title Assigned - #15269328447")</f>
        <v/>
      </c>
      <c r="B5088" s="0" t="s">
        <v>6938</v>
      </c>
      <c r="C5088" s="0" t="s">
        <v>6939</v>
      </c>
      <c r="D5088" s="0" t="s">
        <v>4225</v>
      </c>
      <c r="E5088" s="0" t="inlineStr">
        <is>
          <t xml:space="preserve">Mazda</t>
        </is>
      </c>
      <c r="F5088" s="0" t="s">
        <v>28</v>
      </c>
      <c r="G5088" s="0" t="s">
        <v>29</v>
      </c>
      <c r="H5088" s="5">
        <v>63.750800</v>
      </c>
    </row>
    <row r="5089" spans="1:9">
      <c r="A5089" s="22" t="str">
        <f>HYPERLINK("https://app.vivvix.com/360/KMI/IntelliDrive/ApplUI/Pages/CreativePages/CustomReportCreativeDetail.aspx?App=23&amp;ReportView=4&amp;Qid=1711279&amp;Row=5081&amp;Col=1","No Title Assigned - #15269328611")</f>
        <v/>
      </c>
      <c r="B5089" s="0" t="s">
        <v>6940</v>
      </c>
      <c r="C5089" s="0" t="s">
        <v>6941</v>
      </c>
      <c r="D5089" s="0" t="s">
        <v>4274</v>
      </c>
      <c r="E5089" s="0" t="inlineStr">
        <is>
          <t xml:space="preserve">Mazda</t>
        </is>
      </c>
      <c r="F5089" s="0" t="s">
        <v>28</v>
      </c>
      <c r="G5089" s="0" t="s">
        <v>29</v>
      </c>
      <c r="H5089" s="5">
        <v>59.918500</v>
      </c>
    </row>
    <row r="5090" spans="1:9">
      <c r="A5090" s="22" t="str">
        <f>HYPERLINK("https://app.vivvix.com/360/KMI/IntelliDrive/ApplUI/Pages/CreativePages/CustomReportCreativeDetail.aspx?App=23&amp;ReportView=4&amp;Qid=1711279&amp;Row=5082&amp;Col=1","No Title Assigned - #15269328718")</f>
        <v/>
      </c>
      <c r="B5090" s="0" t="s">
        <v>6942</v>
      </c>
      <c r="C5090" s="0" t="s">
        <v>6943</v>
      </c>
      <c r="D5090" s="0" t="s">
        <v>4333</v>
      </c>
      <c r="E5090" s="0" t="inlineStr">
        <is>
          <t xml:space="preserve">Mazda</t>
        </is>
      </c>
      <c r="F5090" s="0" t="s">
        <v>28</v>
      </c>
      <c r="G5090" s="0" t="s">
        <v>29</v>
      </c>
      <c r="H5090" s="5">
        <v>96.299900</v>
      </c>
    </row>
    <row r="5091" spans="1:9">
      <c r="A5091" s="22" t="str">
        <f>HYPERLINK("https://app.vivvix.com/360/KMI/IntelliDrive/ApplUI/Pages/CreativePages/CustomReportCreativeDetail.aspx?App=23&amp;ReportView=4&amp;Qid=1711279&amp;Row=5083&amp;Col=1","No Title Assigned - #15269328780")</f>
        <v/>
      </c>
      <c r="B5091" s="0" t="s">
        <v>6944</v>
      </c>
      <c r="C5091" s="0" t="s">
        <v>6945</v>
      </c>
      <c r="D5091" s="0" t="s">
        <v>6945</v>
      </c>
      <c r="E5091" s="0" t="inlineStr">
        <is>
          <t xml:space="preserve">Mazda</t>
        </is>
      </c>
      <c r="F5091" s="0" t="s">
        <v>28</v>
      </c>
      <c r="G5091" s="0" t="s">
        <v>29</v>
      </c>
      <c r="H5091" s="5">
        <v>678.815200</v>
      </c>
    </row>
    <row r="5092" spans="1:9">
      <c r="A5092" s="22" t="str">
        <f>HYPERLINK("https://app.vivvix.com/360/KMI/IntelliDrive/ApplUI/Pages/CreativePages/CustomReportCreativeDetail.aspx?App=23&amp;ReportView=4&amp;Qid=1711279&amp;Row=5084&amp;Col=1","No Title Assigned - #15269328783")</f>
        <v/>
      </c>
      <c r="B5092" s="0" t="s">
        <v>6946</v>
      </c>
      <c r="C5092" s="0" t="s">
        <v>6947</v>
      </c>
      <c r="D5092" s="0" t="s">
        <v>6947</v>
      </c>
      <c r="E5092" s="0" t="inlineStr">
        <is>
          <t xml:space="preserve">Mazda</t>
        </is>
      </c>
      <c r="F5092" s="0" t="s">
        <v>28</v>
      </c>
      <c r="G5092" s="0" t="s">
        <v>29</v>
      </c>
      <c r="H5092" s="5">
        <v>678.815200</v>
      </c>
    </row>
    <row r="5093" spans="1:9">
      <c r="A5093" s="22" t="str">
        <f>HYPERLINK("https://app.vivvix.com/360/KMI/IntelliDrive/ApplUI/Pages/CreativePages/CustomReportCreativeDetail.aspx?App=23&amp;ReportView=4&amp;Qid=1711279&amp;Row=5085&amp;Col=1","No Title Assigned - #15269329040")</f>
        <v/>
      </c>
      <c r="B5093" s="0" t="s">
        <v>6948</v>
      </c>
      <c r="C5093" s="0" t="s">
        <v>6949</v>
      </c>
      <c r="D5093" s="0" t="s">
        <v>6949</v>
      </c>
      <c r="E5093" s="0" t="inlineStr">
        <is>
          <t xml:space="preserve">Mazda</t>
        </is>
      </c>
      <c r="F5093" s="0" t="s">
        <v>28</v>
      </c>
      <c r="G5093" s="0" t="s">
        <v>29</v>
      </c>
      <c r="H5093" s="5">
        <v>5.589200</v>
      </c>
    </row>
    <row r="5094" spans="1:9">
      <c r="A5094" s="22" t="str">
        <f>HYPERLINK("https://app.vivvix.com/360/KMI/IntelliDrive/ApplUI/Pages/CreativePages/CustomReportCreativeDetail.aspx?App=23&amp;ReportView=4&amp;Qid=1711279&amp;Row=5086&amp;Col=1","No Title Assigned - #15269329698")</f>
        <v/>
      </c>
      <c r="B5094" s="0" t="s">
        <v>6950</v>
      </c>
      <c r="E5094" s="0" t="inlineStr">
        <is>
          <t xml:space="preserve">Mazda</t>
        </is>
      </c>
      <c r="F5094" s="0" t="inlineStr">
        <is>
          <t xml:space="preserve">Mazda</t>
        </is>
      </c>
      <c r="G5094" s="0" t="s">
        <v>171</v>
      </c>
      <c r="H5094" s="5">
        <v>3.423400</v>
      </c>
    </row>
    <row r="5095" spans="1:9">
      <c r="A5095" s="22" t="str">
        <f>HYPERLINK("https://app.vivvix.com/360/KMI/IntelliDrive/ApplUI/Pages/CreativePages/CustomReportCreativeDetail.aspx?App=23&amp;ReportView=4&amp;Qid=1711279&amp;Row=5087&amp;Col=1","No Title Assigned - #15269330050")</f>
        <v/>
      </c>
      <c r="B5095" s="0" t="s">
        <v>6951</v>
      </c>
      <c r="C5095" s="0" t="s">
        <v>6952</v>
      </c>
      <c r="D5095" s="0" t="s">
        <v>6952</v>
      </c>
      <c r="E5095" s="0" t="inlineStr">
        <is>
          <t xml:space="preserve">Mazda</t>
        </is>
      </c>
      <c r="F5095" s="0" t="inlineStr">
        <is>
          <t xml:space="preserve">Mazda</t>
        </is>
      </c>
      <c r="G5095" s="0" t="s">
        <v>171</v>
      </c>
      <c r="H5095" s="5">
        <v>47.797800</v>
      </c>
    </row>
    <row r="5096" spans="1:9">
      <c r="A5096" s="22" t="str">
        <f>HYPERLINK("https://app.vivvix.com/360/KMI/IntelliDrive/ApplUI/Pages/CreativePages/CustomReportCreativeDetail.aspx?App=23&amp;ReportView=4&amp;Qid=1711279&amp;Row=5088&amp;Col=1","No Title Assigned - #15269330192")</f>
        <v/>
      </c>
      <c r="B5096" s="0" t="s">
        <v>6953</v>
      </c>
      <c r="E5096" s="0" t="inlineStr">
        <is>
          <t xml:space="preserve">Mazda</t>
        </is>
      </c>
      <c r="F5096" s="0" t="inlineStr">
        <is>
          <t xml:space="preserve">Mazda</t>
        </is>
      </c>
      <c r="G5096" s="0" t="s">
        <v>171</v>
      </c>
      <c r="H5096" s="5">
        <v>28.796900</v>
      </c>
    </row>
    <row r="5097" spans="1:9">
      <c r="A5097" s="22" t="str">
        <f>HYPERLINK("https://app.vivvix.com/360/KMI/IntelliDrive/ApplUI/Pages/CreativePages/CustomReportCreativeDetail.aspx?App=23&amp;ReportView=4&amp;Qid=1711279&amp;Row=5089&amp;Col=1","No Title Assigned - #15269330640")</f>
        <v/>
      </c>
      <c r="B5097" s="0" t="s">
        <v>6954</v>
      </c>
      <c r="E5097" s="0" t="inlineStr">
        <is>
          <t xml:space="preserve">Mazda</t>
        </is>
      </c>
      <c r="F5097" s="0" t="inlineStr">
        <is>
          <t xml:space="preserve">Mazda</t>
        </is>
      </c>
      <c r="G5097" s="0" t="s">
        <v>171</v>
      </c>
      <c r="H5097" s="5">
        <v>713.871400</v>
      </c>
    </row>
    <row r="5098" spans="1:9">
      <c r="A5098" s="22" t="str">
        <f>HYPERLINK("https://app.vivvix.com/360/KMI/IntelliDrive/ApplUI/Pages/CreativePages/CustomReportCreativeDetail.aspx?App=23&amp;ReportView=4&amp;Qid=1711279&amp;Row=5090&amp;Col=1","No Title Assigned - #15269330799")</f>
        <v/>
      </c>
      <c r="B5098" s="0" t="s">
        <v>6955</v>
      </c>
      <c r="E5098" s="0" t="inlineStr">
        <is>
          <t xml:space="preserve">Mazda</t>
        </is>
      </c>
      <c r="F5098" s="0" t="inlineStr">
        <is>
          <t xml:space="preserve">Mazda</t>
        </is>
      </c>
      <c r="G5098" s="0" t="s">
        <v>171</v>
      </c>
      <c r="H5098" s="5">
        <v>27.791100</v>
      </c>
    </row>
    <row r="5099" spans="1:9">
      <c r="A5099" s="22" t="str">
        <f>HYPERLINK("https://app.vivvix.com/360/KMI/IntelliDrive/ApplUI/Pages/CreativePages/CustomReportCreativeDetail.aspx?App=23&amp;ReportView=4&amp;Qid=1711279&amp;Row=5091&amp;Col=1","No Title Assigned - #15269330800")</f>
        <v/>
      </c>
      <c r="B5099" s="0" t="s">
        <v>6956</v>
      </c>
      <c r="E5099" s="0" t="inlineStr">
        <is>
          <t xml:space="preserve">Mazda</t>
        </is>
      </c>
      <c r="F5099" s="0" t="inlineStr">
        <is>
          <t xml:space="preserve">Mazda</t>
        </is>
      </c>
      <c r="G5099" s="0" t="s">
        <v>171</v>
      </c>
      <c r="H5099" s="5">
        <v>12.036800</v>
      </c>
    </row>
    <row r="5100" spans="1:9">
      <c r="A5100" s="22" t="str">
        <f>HYPERLINK("https://app.vivvix.com/360/KMI/IntelliDrive/ApplUI/Pages/CreativePages/CustomReportCreativeDetail.aspx?App=23&amp;ReportView=4&amp;Qid=1711279&amp;Row=5092&amp;Col=1","No Title Assigned - #15269330801")</f>
        <v/>
      </c>
      <c r="B5100" s="0" t="s">
        <v>6957</v>
      </c>
      <c r="E5100" s="0" t="inlineStr">
        <is>
          <t xml:space="preserve">Mazda</t>
        </is>
      </c>
      <c r="F5100" s="0" t="inlineStr">
        <is>
          <t xml:space="preserve">Mazda</t>
        </is>
      </c>
      <c r="G5100" s="0" t="s">
        <v>171</v>
      </c>
      <c r="H5100" s="5">
        <v>12.036800</v>
      </c>
    </row>
    <row r="5101" spans="1:9">
      <c r="A5101" s="22" t="str">
        <f>HYPERLINK("https://app.vivvix.com/360/KMI/IntelliDrive/ApplUI/Pages/CreativePages/CustomReportCreativeDetail.aspx?App=23&amp;ReportView=4&amp;Qid=1711279&amp;Row=5093&amp;Col=1","No Title Assigned - #15269330813")</f>
        <v/>
      </c>
      <c r="B5101" s="0" t="s">
        <v>6958</v>
      </c>
      <c r="E5101" s="0" t="inlineStr">
        <is>
          <t xml:space="preserve">Mazda</t>
        </is>
      </c>
      <c r="F5101" s="0" t="inlineStr">
        <is>
          <t xml:space="preserve">Mazda</t>
        </is>
      </c>
      <c r="G5101" s="0" t="s">
        <v>171</v>
      </c>
      <c r="H5101" s="5">
        <v>15.982500</v>
      </c>
    </row>
    <row r="5102" spans="1:9">
      <c r="A5102" s="22" t="str">
        <f>HYPERLINK("https://app.vivvix.com/360/KMI/IntelliDrive/ApplUI/Pages/CreativePages/CustomReportCreativeDetail.aspx?App=23&amp;ReportView=4&amp;Qid=1711279&amp;Row=5094&amp;Col=1","No Title Assigned - #15269330876")</f>
        <v/>
      </c>
      <c r="B5102" s="0" t="s">
        <v>6959</v>
      </c>
      <c r="E5102" s="0" t="inlineStr">
        <is>
          <t xml:space="preserve">Mazda</t>
        </is>
      </c>
      <c r="F5102" s="0" t="inlineStr">
        <is>
          <t xml:space="preserve">Mazda</t>
        </is>
      </c>
      <c r="G5102" s="0" t="s">
        <v>171</v>
      </c>
      <c r="H5102" s="5">
        <v>13.084500</v>
      </c>
    </row>
    <row r="5103" spans="1:9">
      <c r="A5103" s="22" t="str">
        <f>HYPERLINK("https://app.vivvix.com/360/KMI/IntelliDrive/ApplUI/Pages/CreativePages/CustomReportCreativeDetail.aspx?App=23&amp;ReportView=4&amp;Qid=1711279&amp;Row=5095&amp;Col=1","No Title Assigned - #15269330877")</f>
        <v/>
      </c>
      <c r="B5103" s="0" t="s">
        <v>6960</v>
      </c>
      <c r="C5103" s="0" t="s">
        <v>6961</v>
      </c>
      <c r="D5103" s="0" t="s">
        <v>6961</v>
      </c>
      <c r="E5103" s="0" t="inlineStr">
        <is>
          <t xml:space="preserve">Mazda</t>
        </is>
      </c>
      <c r="F5103" s="0" t="inlineStr">
        <is>
          <t xml:space="preserve">Mazda</t>
        </is>
      </c>
      <c r="G5103" s="0" t="s">
        <v>171</v>
      </c>
      <c r="H5103" s="5">
        <v>5686.536000</v>
      </c>
    </row>
    <row r="5104" spans="1:9">
      <c r="A5104" s="22" t="str">
        <f>HYPERLINK("https://app.vivvix.com/360/KMI/IntelliDrive/ApplUI/Pages/CreativePages/CustomReportCreativeDetail.aspx?App=23&amp;ReportView=4&amp;Qid=1711279&amp;Row=5096&amp;Col=1","No Title Assigned - #15269330938")</f>
        <v/>
      </c>
      <c r="B5104" s="0" t="s">
        <v>6962</v>
      </c>
      <c r="E5104" s="0" t="inlineStr">
        <is>
          <t xml:space="preserve">Mazda</t>
        </is>
      </c>
      <c r="F5104" s="0" t="inlineStr">
        <is>
          <t xml:space="preserve">Mazda</t>
        </is>
      </c>
      <c r="G5104" s="0" t="s">
        <v>171</v>
      </c>
      <c r="H5104" s="5">
        <v>59.834000</v>
      </c>
    </row>
    <row r="5105" spans="1:9">
      <c r="A5105" s="22" t="str">
        <f>HYPERLINK("https://app.vivvix.com/360/KMI/IntelliDrive/ApplUI/Pages/CreativePages/CustomReportCreativeDetail.aspx?App=23&amp;ReportView=4&amp;Qid=1711279&amp;Row=5097&amp;Col=1","No Title Assigned - #15269331265")</f>
        <v/>
      </c>
      <c r="B5105" s="0" t="s">
        <v>6963</v>
      </c>
      <c r="E5105" s="0" t="inlineStr">
        <is>
          <t xml:space="preserve">Mazda</t>
        </is>
      </c>
      <c r="F5105" s="0" t="inlineStr">
        <is>
          <t xml:space="preserve">Mazda</t>
        </is>
      </c>
      <c r="G5105" s="0" t="s">
        <v>171</v>
      </c>
      <c r="H5105" s="5">
        <v>1125.910900</v>
      </c>
    </row>
    <row r="5106" spans="1:9">
      <c r="A5106" s="22" t="str">
        <f>HYPERLINK("https://app.vivvix.com/360/KMI/IntelliDrive/ApplUI/Pages/CreativePages/CustomReportCreativeDetail.aspx?App=23&amp;ReportView=4&amp;Qid=1711279&amp;Row=5098&amp;Col=1","No Title Assigned - #15269331265")</f>
        <v/>
      </c>
      <c r="B5106" s="0" t="s">
        <v>6963</v>
      </c>
      <c r="E5106" s="0" t="inlineStr">
        <is>
          <t xml:space="preserve">Mazda</t>
        </is>
      </c>
      <c r="F5106" s="0" t="inlineStr">
        <is>
          <t xml:space="preserve">Mazda</t>
        </is>
      </c>
      <c r="G5106" s="0" t="s">
        <v>171</v>
      </c>
      <c r="H5106" s="5">
        <v>140.558400</v>
      </c>
    </row>
    <row r="5107" spans="1:9">
      <c r="A5107" s="22" t="str">
        <f>HYPERLINK("https://app.vivvix.com/360/KMI/IntelliDrive/ApplUI/Pages/CreativePages/CustomReportCreativeDetail.aspx?App=23&amp;ReportView=4&amp;Qid=1711279&amp;Row=5099&amp;Col=1","No Title Assigned - #15269331353")</f>
        <v/>
      </c>
      <c r="B5107" s="0" t="s">
        <v>6964</v>
      </c>
      <c r="E5107" s="0" t="inlineStr">
        <is>
          <t xml:space="preserve">Mazda</t>
        </is>
      </c>
      <c r="F5107" s="0" t="inlineStr">
        <is>
          <t xml:space="preserve">Mazda</t>
        </is>
      </c>
      <c r="G5107" s="0" t="s">
        <v>171</v>
      </c>
      <c r="H5107" s="5">
        <v>39.594200</v>
      </c>
    </row>
    <row r="5108" spans="1:9">
      <c r="A5108" s="22" t="str">
        <f>HYPERLINK("https://app.vivvix.com/360/KMI/IntelliDrive/ApplUI/Pages/CreativePages/CustomReportCreativeDetail.aspx?App=23&amp;ReportView=4&amp;Qid=1711279&amp;Row=5100&amp;Col=1","No Title Assigned - #15269331404")</f>
        <v/>
      </c>
      <c r="B5108" s="0" t="s">
        <v>6965</v>
      </c>
      <c r="E5108" s="0" t="inlineStr">
        <is>
          <t xml:space="preserve">Mazda</t>
        </is>
      </c>
      <c r="F5108" s="0" t="inlineStr">
        <is>
          <t xml:space="preserve">Mazda</t>
        </is>
      </c>
      <c r="G5108" s="0" t="s">
        <v>171</v>
      </c>
      <c r="H5108" s="5">
        <v>43.672000</v>
      </c>
    </row>
    <row r="5109" spans="1:9">
      <c r="A5109" s="22" t="str">
        <f>HYPERLINK("https://app.vivvix.com/360/KMI/IntelliDrive/ApplUI/Pages/CreativePages/CustomReportCreativeDetail.aspx?App=23&amp;ReportView=4&amp;Qid=1711279&amp;Row=5101&amp;Col=1","No Title Assigned - #15269331500")</f>
        <v/>
      </c>
      <c r="B5109" s="0" t="s">
        <v>6966</v>
      </c>
      <c r="E5109" s="0" t="inlineStr">
        <is>
          <t xml:space="preserve">Mazda</t>
        </is>
      </c>
      <c r="F5109" s="0" t="inlineStr">
        <is>
          <t xml:space="preserve">Mazda</t>
        </is>
      </c>
      <c r="G5109" s="0" t="s">
        <v>171</v>
      </c>
      <c r="H5109" s="5">
        <v>13.501200</v>
      </c>
    </row>
    <row r="5110" spans="1:9">
      <c r="A5110" s="22" t="str">
        <f>HYPERLINK("https://app.vivvix.com/360/KMI/IntelliDrive/ApplUI/Pages/CreativePages/CustomReportCreativeDetail.aspx?App=23&amp;ReportView=4&amp;Qid=1711279&amp;Row=5102&amp;Col=1","No Title Assigned - #15269331517")</f>
        <v/>
      </c>
      <c r="B5110" s="0" t="s">
        <v>6967</v>
      </c>
      <c r="E5110" s="0" t="inlineStr">
        <is>
          <t xml:space="preserve">Mazda</t>
        </is>
      </c>
      <c r="F5110" s="0" t="inlineStr">
        <is>
          <t xml:space="preserve">Mazda</t>
        </is>
      </c>
      <c r="G5110" s="0" t="s">
        <v>171</v>
      </c>
      <c r="H5110" s="5">
        <v>10.918000</v>
      </c>
    </row>
    <row r="5111" spans="1:9">
      <c r="A5111" s="22" t="str">
        <f>HYPERLINK("https://app.vivvix.com/360/KMI/IntelliDrive/ApplUI/Pages/CreativePages/CustomReportCreativeDetail.aspx?App=23&amp;ReportView=4&amp;Qid=1711279&amp;Row=5103&amp;Col=1","No Title Assigned - #15269331682")</f>
        <v/>
      </c>
      <c r="B5111" s="0" t="s">
        <v>6968</v>
      </c>
      <c r="C5111" s="0" t="s">
        <v>6969</v>
      </c>
      <c r="D5111" s="0" t="s">
        <v>6969</v>
      </c>
      <c r="E5111" s="0" t="inlineStr">
        <is>
          <t xml:space="preserve">Mazda</t>
        </is>
      </c>
      <c r="F5111" s="0" t="inlineStr">
        <is>
          <t xml:space="preserve">Mazda</t>
        </is>
      </c>
      <c r="G5111" s="0" t="s">
        <v>171</v>
      </c>
      <c r="H5111" s="5">
        <v>40.645600</v>
      </c>
    </row>
    <row r="5112" spans="1:9">
      <c r="A5112" s="22" t="str">
        <f>HYPERLINK("https://app.vivvix.com/360/KMI/IntelliDrive/ApplUI/Pages/CreativePages/CustomReportCreativeDetail.aspx?App=23&amp;ReportView=4&amp;Qid=1711279&amp;Row=5104&amp;Col=1","No Title Assigned - #15269331827")</f>
        <v/>
      </c>
      <c r="B5112" s="0" t="s">
        <v>6970</v>
      </c>
      <c r="E5112" s="0" t="inlineStr">
        <is>
          <t xml:space="preserve">Mazda</t>
        </is>
      </c>
      <c r="F5112" s="0" t="inlineStr">
        <is>
          <t xml:space="preserve">Mazda</t>
        </is>
      </c>
      <c r="G5112" s="0" t="s">
        <v>171</v>
      </c>
      <c r="H5112" s="5">
        <v>38.472800</v>
      </c>
    </row>
    <row r="5113" spans="1:9">
      <c r="A5113" s="22" t="str">
        <f>HYPERLINK("https://app.vivvix.com/360/KMI/IntelliDrive/ApplUI/Pages/CreativePages/CustomReportCreativeDetail.aspx?App=23&amp;ReportView=4&amp;Qid=1711279&amp;Row=5105&amp;Col=1","No Title Assigned - #15269331860")</f>
        <v/>
      </c>
      <c r="B5113" s="0" t="s">
        <v>6971</v>
      </c>
      <c r="E5113" s="0" t="inlineStr">
        <is>
          <t xml:space="preserve">Mazda</t>
        </is>
      </c>
      <c r="F5113" s="0" t="inlineStr">
        <is>
          <t xml:space="preserve">Mazda</t>
        </is>
      </c>
      <c r="G5113" s="0" t="s">
        <v>171</v>
      </c>
      <c r="H5113" s="5">
        <v>10.918000</v>
      </c>
    </row>
    <row r="5114" spans="1:9">
      <c r="A5114" s="22" t="str">
        <f>HYPERLINK("https://app.vivvix.com/360/KMI/IntelliDrive/ApplUI/Pages/CreativePages/CustomReportCreativeDetail.aspx?App=23&amp;ReportView=4&amp;Qid=1711279&amp;Row=5106&amp;Col=1","No Title Assigned - #15269331868")</f>
        <v/>
      </c>
      <c r="B5114" s="0" t="s">
        <v>6972</v>
      </c>
      <c r="E5114" s="0" t="inlineStr">
        <is>
          <t xml:space="preserve">Mazda</t>
        </is>
      </c>
      <c r="F5114" s="0" t="inlineStr">
        <is>
          <t xml:space="preserve">Mazda</t>
        </is>
      </c>
      <c r="G5114" s="0" t="s">
        <v>171</v>
      </c>
      <c r="H5114" s="5">
        <v>82.582100</v>
      </c>
    </row>
    <row r="5115" spans="1:9">
      <c r="A5115" s="22" t="str">
        <f>HYPERLINK("https://app.vivvix.com/360/KMI/IntelliDrive/ApplUI/Pages/CreativePages/CustomReportCreativeDetail.aspx?App=23&amp;ReportView=4&amp;Qid=1711279&amp;Row=5107&amp;Col=1","No Title Assigned - #15269332027")</f>
        <v/>
      </c>
      <c r="B5115" s="0" t="s">
        <v>6973</v>
      </c>
      <c r="E5115" s="0" t="inlineStr">
        <is>
          <t xml:space="preserve">Mazda</t>
        </is>
      </c>
      <c r="F5115" s="0" t="inlineStr">
        <is>
          <t xml:space="preserve">Mazda</t>
        </is>
      </c>
      <c r="G5115" s="0" t="s">
        <v>171</v>
      </c>
      <c r="H5115" s="5">
        <v>546.668000</v>
      </c>
    </row>
    <row r="5116" spans="1:9">
      <c r="A5116" s="22" t="str">
        <f>HYPERLINK("https://app.vivvix.com/360/KMI/IntelliDrive/ApplUI/Pages/CreativePages/CustomReportCreativeDetail.aspx?App=23&amp;ReportView=4&amp;Qid=1711279&amp;Row=5108&amp;Col=1","No Title Assigned - #15269332292")</f>
        <v/>
      </c>
      <c r="B5116" s="0" t="s">
        <v>6974</v>
      </c>
      <c r="E5116" s="0" t="inlineStr">
        <is>
          <t xml:space="preserve">Mazda</t>
        </is>
      </c>
      <c r="F5116" s="0" t="inlineStr">
        <is>
          <t xml:space="preserve">Mazda</t>
        </is>
      </c>
      <c r="G5116" s="0" t="s">
        <v>171</v>
      </c>
      <c r="H5116" s="5">
        <v>191.869500</v>
      </c>
    </row>
    <row r="5117" spans="1:9">
      <c r="A5117" s="22" t="str">
        <f>HYPERLINK("https://app.vivvix.com/360/KMI/IntelliDrive/ApplUI/Pages/CreativePages/CustomReportCreativeDetail.aspx?App=23&amp;ReportView=4&amp;Qid=1711279&amp;Row=5109&amp;Col=1","No Title Assigned - #15269332525")</f>
        <v/>
      </c>
      <c r="B5117" s="0" t="s">
        <v>6975</v>
      </c>
      <c r="E5117" s="0" t="inlineStr">
        <is>
          <t xml:space="preserve">Mazda</t>
        </is>
      </c>
      <c r="F5117" s="0" t="inlineStr">
        <is>
          <t xml:space="preserve">Mazda</t>
        </is>
      </c>
      <c r="G5117" s="0" t="s">
        <v>171</v>
      </c>
      <c r="H5117" s="5">
        <v>355.597600</v>
      </c>
    </row>
    <row r="5118" spans="1:9">
      <c r="A5118" s="22" t="str">
        <f>HYPERLINK("https://app.vivvix.com/360/KMI/IntelliDrive/ApplUI/Pages/CreativePages/CustomReportCreativeDetail.aspx?App=23&amp;ReportView=4&amp;Qid=1711279&amp;Row=5110&amp;Col=1","No Title Assigned - #15269332525")</f>
        <v/>
      </c>
      <c r="B5118" s="0" t="s">
        <v>6975</v>
      </c>
      <c r="E5118" s="0" t="inlineStr">
        <is>
          <t xml:space="preserve">Mazda</t>
        </is>
      </c>
      <c r="F5118" s="0" t="inlineStr">
        <is>
          <t xml:space="preserve">Mazda</t>
        </is>
      </c>
      <c r="G5118" s="0" t="s">
        <v>171</v>
      </c>
      <c r="H5118" s="5">
        <v>684.320200</v>
      </c>
    </row>
    <row r="5119" spans="1:9">
      <c r="A5119" s="22" t="str">
        <f>HYPERLINK("https://app.vivvix.com/360/KMI/IntelliDrive/ApplUI/Pages/CreativePages/CustomReportCreativeDetail.aspx?App=23&amp;ReportView=4&amp;Qid=1711279&amp;Row=5111&amp;Col=1","No Title Assigned - #15269332767")</f>
        <v/>
      </c>
      <c r="B5119" s="0" t="s">
        <v>6976</v>
      </c>
      <c r="E5119" s="0" t="inlineStr">
        <is>
          <t xml:space="preserve">Mazda</t>
        </is>
      </c>
      <c r="F5119" s="0" t="inlineStr">
        <is>
          <t xml:space="preserve">Mazda</t>
        </is>
      </c>
      <c r="G5119" s="0" t="s">
        <v>171</v>
      </c>
      <c r="H5119" s="5">
        <v>9943.569300</v>
      </c>
    </row>
    <row r="5120" spans="1:9">
      <c r="A5120" s="22" t="str">
        <f>HYPERLINK("https://app.vivvix.com/360/KMI/IntelliDrive/ApplUI/Pages/CreativePages/CustomReportCreativeDetail.aspx?App=23&amp;ReportView=4&amp;Qid=1711279&amp;Row=5112&amp;Col=1","No Title Assigned - #15269332856")</f>
        <v/>
      </c>
      <c r="B5120" s="0" t="s">
        <v>6977</v>
      </c>
      <c r="C5120" s="0" t="s">
        <v>6978</v>
      </c>
      <c r="D5120" s="0" t="s">
        <v>6978</v>
      </c>
      <c r="E5120" s="0" t="inlineStr">
        <is>
          <t xml:space="preserve">Mazda</t>
        </is>
      </c>
      <c r="F5120" s="0" t="inlineStr">
        <is>
          <t xml:space="preserve">Mazda</t>
        </is>
      </c>
      <c r="G5120" s="0" t="s">
        <v>171</v>
      </c>
      <c r="H5120" s="5">
        <v>2782.686200</v>
      </c>
    </row>
    <row r="5121" spans="1:9">
      <c r="A5121" s="22" t="str">
        <f>HYPERLINK("https://app.vivvix.com/360/KMI/IntelliDrive/ApplUI/Pages/CreativePages/CustomReportCreativeDetail.aspx?App=23&amp;ReportView=4&amp;Qid=1711279&amp;Row=5113&amp;Col=1","No Title Assigned - #15269333213")</f>
        <v/>
      </c>
      <c r="B5121" s="0" t="s">
        <v>6979</v>
      </c>
      <c r="C5121" s="0" t="s">
        <v>6980</v>
      </c>
      <c r="D5121" s="0" t="s">
        <v>6980</v>
      </c>
      <c r="E5121" s="0" t="inlineStr">
        <is>
          <t xml:space="preserve">Mazda</t>
        </is>
      </c>
      <c r="F5121" s="0" t="inlineStr">
        <is>
          <t xml:space="preserve">Mazda</t>
        </is>
      </c>
      <c r="G5121" s="0" t="s">
        <v>171</v>
      </c>
      <c r="H5121" s="5">
        <v>73.867200</v>
      </c>
    </row>
    <row r="5122" spans="1:9">
      <c r="A5122" s="22" t="str">
        <f>HYPERLINK("https://app.vivvix.com/360/KMI/IntelliDrive/ApplUI/Pages/CreativePages/CustomReportCreativeDetail.aspx?App=23&amp;ReportView=4&amp;Qid=1711279&amp;Row=5114&amp;Col=1","No Title Assigned - #15269333318")</f>
        <v/>
      </c>
      <c r="B5122" s="0" t="s">
        <v>6981</v>
      </c>
      <c r="E5122" s="0" t="inlineStr">
        <is>
          <t xml:space="preserve">Mazda</t>
        </is>
      </c>
      <c r="F5122" s="0" t="inlineStr">
        <is>
          <t xml:space="preserve">Mazda</t>
        </is>
      </c>
      <c r="G5122" s="0" t="s">
        <v>171</v>
      </c>
      <c r="H5122" s="5">
        <v>226.432500</v>
      </c>
    </row>
    <row r="5123" spans="1:9">
      <c r="A5123" s="22" t="str">
        <f>HYPERLINK("https://app.vivvix.com/360/KMI/IntelliDrive/ApplUI/Pages/CreativePages/CustomReportCreativeDetail.aspx?App=23&amp;ReportView=4&amp;Qid=1711279&amp;Row=5115&amp;Col=1","No Title Assigned - #15269333835")</f>
        <v/>
      </c>
      <c r="B5123" s="0" t="s">
        <v>6982</v>
      </c>
      <c r="E5123" s="0" t="inlineStr">
        <is>
          <t xml:space="preserve">Mazda</t>
        </is>
      </c>
      <c r="F5123" s="0" t="inlineStr">
        <is>
          <t xml:space="preserve">Mazda</t>
        </is>
      </c>
      <c r="G5123" s="0" t="s">
        <v>171</v>
      </c>
      <c r="H5123" s="5">
        <v>22.718000</v>
      </c>
    </row>
    <row r="5124" spans="1:9">
      <c r="A5124" s="22" t="str">
        <f>HYPERLINK("https://app.vivvix.com/360/KMI/IntelliDrive/ApplUI/Pages/CreativePages/CustomReportCreativeDetail.aspx?App=23&amp;ReportView=4&amp;Qid=1711279&amp;Row=5116&amp;Col=1","No Title Assigned - #15269333836")</f>
        <v/>
      </c>
      <c r="B5124" s="0" t="s">
        <v>6983</v>
      </c>
      <c r="E5124" s="0" t="inlineStr">
        <is>
          <t xml:space="preserve">Mazda</t>
        </is>
      </c>
      <c r="F5124" s="0" t="inlineStr">
        <is>
          <t xml:space="preserve">Mazda</t>
        </is>
      </c>
      <c r="G5124" s="0" t="s">
        <v>171</v>
      </c>
      <c r="H5124" s="5">
        <v>131.339300</v>
      </c>
    </row>
    <row r="5125" spans="1:9">
      <c r="A5125" s="22" t="str">
        <f>HYPERLINK("https://app.vivvix.com/360/KMI/IntelliDrive/ApplUI/Pages/CreativePages/CustomReportCreativeDetail.aspx?App=23&amp;ReportView=4&amp;Qid=1711279&amp;Row=5117&amp;Col=1","No Title Assigned - #15269334040")</f>
        <v/>
      </c>
      <c r="B5125" s="0" t="s">
        <v>6984</v>
      </c>
      <c r="C5125" s="0" t="s">
        <v>6985</v>
      </c>
      <c r="D5125" s="0" t="s">
        <v>6985</v>
      </c>
      <c r="E5125" s="0" t="inlineStr">
        <is>
          <t xml:space="preserve">Mazda</t>
        </is>
      </c>
      <c r="F5125" s="0" t="inlineStr">
        <is>
          <t xml:space="preserve">Mazda</t>
        </is>
      </c>
      <c r="G5125" s="0" t="s">
        <v>171</v>
      </c>
      <c r="H5125" s="5">
        <v>36.303400</v>
      </c>
    </row>
    <row r="5126" spans="1:9">
      <c r="A5126" s="22" t="str">
        <f>HYPERLINK("https://app.vivvix.com/360/KMI/IntelliDrive/ApplUI/Pages/CreativePages/CustomReportCreativeDetail.aspx?App=23&amp;ReportView=4&amp;Qid=1711279&amp;Row=5118&amp;Col=1","No Title Assigned - #15269334041")</f>
        <v/>
      </c>
      <c r="B5126" s="0" t="s">
        <v>6986</v>
      </c>
      <c r="C5126" s="0" t="s">
        <v>6987</v>
      </c>
      <c r="D5126" s="0" t="s">
        <v>6987</v>
      </c>
      <c r="E5126" s="0" t="inlineStr">
        <is>
          <t xml:space="preserve">Mazda</t>
        </is>
      </c>
      <c r="F5126" s="0" t="inlineStr">
        <is>
          <t xml:space="preserve">Mazda</t>
        </is>
      </c>
      <c r="G5126" s="0" t="s">
        <v>171</v>
      </c>
      <c r="H5126" s="5">
        <v>97.537700</v>
      </c>
    </row>
    <row r="5127" spans="1:9">
      <c r="A5127" s="22" t="str">
        <f>HYPERLINK("https://app.vivvix.com/360/KMI/IntelliDrive/ApplUI/Pages/CreativePages/CustomReportCreativeDetail.aspx?App=23&amp;ReportView=4&amp;Qid=1711279&amp;Row=5119&amp;Col=1","No Title Assigned - #15269334042")</f>
        <v/>
      </c>
      <c r="B5127" s="0" t="s">
        <v>6988</v>
      </c>
      <c r="C5127" s="0" t="s">
        <v>6989</v>
      </c>
      <c r="D5127" s="0" t="s">
        <v>6989</v>
      </c>
      <c r="E5127" s="0" t="inlineStr">
        <is>
          <t xml:space="preserve">Mazda</t>
        </is>
      </c>
      <c r="F5127" s="0" t="inlineStr">
        <is>
          <t xml:space="preserve">Mazda</t>
        </is>
      </c>
      <c r="G5127" s="0" t="s">
        <v>171</v>
      </c>
      <c r="H5127" s="5">
        <v>36.303400</v>
      </c>
    </row>
    <row r="5128" spans="1:9">
      <c r="A5128" s="22" t="str">
        <f>HYPERLINK("https://app.vivvix.com/360/KMI/IntelliDrive/ApplUI/Pages/CreativePages/CustomReportCreativeDetail.aspx?App=23&amp;ReportView=4&amp;Qid=1711279&amp;Row=5120&amp;Col=1","No Title Assigned - #15269334079")</f>
        <v/>
      </c>
      <c r="B5128" s="0" t="s">
        <v>6990</v>
      </c>
      <c r="E5128" s="0" t="inlineStr">
        <is>
          <t xml:space="preserve">Mazda</t>
        </is>
      </c>
      <c r="F5128" s="0" t="inlineStr">
        <is>
          <t xml:space="preserve">Mazda</t>
        </is>
      </c>
      <c r="G5128" s="0" t="s">
        <v>171</v>
      </c>
      <c r="H5128" s="5">
        <v>90.788400</v>
      </c>
    </row>
    <row r="5129" spans="1:9">
      <c r="A5129" s="22" t="str">
        <f>HYPERLINK("https://app.vivvix.com/360/KMI/IntelliDrive/ApplUI/Pages/CreativePages/CustomReportCreativeDetail.aspx?App=23&amp;ReportView=4&amp;Qid=1711279&amp;Row=5121&amp;Col=1","No Title Assigned - #15269334159")</f>
        <v/>
      </c>
      <c r="B5129" s="0" t="s">
        <v>6991</v>
      </c>
      <c r="E5129" s="0" t="inlineStr">
        <is>
          <t xml:space="preserve">Mazda</t>
        </is>
      </c>
      <c r="F5129" s="0" t="inlineStr">
        <is>
          <t xml:space="preserve">Mazda</t>
        </is>
      </c>
      <c r="G5129" s="0" t="s">
        <v>171</v>
      </c>
      <c r="H5129" s="5">
        <v>623.108600</v>
      </c>
    </row>
    <row r="5130" spans="1:9">
      <c r="A5130" s="22" t="str">
        <f>HYPERLINK("https://app.vivvix.com/360/KMI/IntelliDrive/ApplUI/Pages/CreativePages/CustomReportCreativeDetail.aspx?App=23&amp;ReportView=4&amp;Qid=1711279&amp;Row=5122&amp;Col=1","No Title Assigned - #15269334159")</f>
        <v/>
      </c>
      <c r="B5130" s="0" t="s">
        <v>6991</v>
      </c>
      <c r="C5130" s="0" t="s">
        <v>6992</v>
      </c>
      <c r="D5130" s="0" t="s">
        <v>6992</v>
      </c>
      <c r="E5130" s="0" t="inlineStr">
        <is>
          <t xml:space="preserve">Mazda</t>
        </is>
      </c>
      <c r="F5130" s="0" t="inlineStr">
        <is>
          <t xml:space="preserve">Mazda</t>
        </is>
      </c>
      <c r="G5130" s="0" t="s">
        <v>171</v>
      </c>
      <c r="H5130" s="5">
        <v>730.816700</v>
      </c>
    </row>
    <row r="5131" spans="1:9">
      <c r="A5131" s="22" t="str">
        <f>HYPERLINK("https://app.vivvix.com/360/KMI/IntelliDrive/ApplUI/Pages/CreativePages/CustomReportCreativeDetail.aspx?App=23&amp;ReportView=4&amp;Qid=1711279&amp;Row=5123&amp;Col=1","No Title Assigned - #15269334160")</f>
        <v/>
      </c>
      <c r="B5131" s="0" t="s">
        <v>6993</v>
      </c>
      <c r="E5131" s="0" t="inlineStr">
        <is>
          <t xml:space="preserve">Mazda</t>
        </is>
      </c>
      <c r="F5131" s="0" t="inlineStr">
        <is>
          <t xml:space="preserve">Mazda</t>
        </is>
      </c>
      <c r="G5131" s="0" t="s">
        <v>171</v>
      </c>
      <c r="H5131" s="5">
        <v>34.755000</v>
      </c>
    </row>
    <row r="5132" spans="1:9">
      <c r="A5132" s="22" t="str">
        <f>HYPERLINK("https://app.vivvix.com/360/KMI/IntelliDrive/ApplUI/Pages/CreativePages/CustomReportCreativeDetail.aspx?App=23&amp;ReportView=4&amp;Qid=1711279&amp;Row=5124&amp;Col=1","No Title Assigned - #15269334178")</f>
        <v/>
      </c>
      <c r="B5132" s="0" t="s">
        <v>6994</v>
      </c>
      <c r="E5132" s="0" t="inlineStr">
        <is>
          <t xml:space="preserve">Mazda</t>
        </is>
      </c>
      <c r="F5132" s="0" t="inlineStr">
        <is>
          <t xml:space="preserve">Mazda</t>
        </is>
      </c>
      <c r="G5132" s="0" t="s">
        <v>171</v>
      </c>
      <c r="H5132" s="5">
        <v>125.849000</v>
      </c>
    </row>
    <row r="5133" spans="1:9">
      <c r="A5133" s="22" t="str">
        <f>HYPERLINK("https://app.vivvix.com/360/KMI/IntelliDrive/ApplUI/Pages/CreativePages/CustomReportCreativeDetail.aspx?App=23&amp;ReportView=4&amp;Qid=1711279&amp;Row=5125&amp;Col=1","No Title Assigned - #15269334559")</f>
        <v/>
      </c>
      <c r="B5133" s="0" t="s">
        <v>6995</v>
      </c>
      <c r="E5133" s="0" t="inlineStr">
        <is>
          <t xml:space="preserve">Mazda</t>
        </is>
      </c>
      <c r="F5133" s="0" t="inlineStr">
        <is>
          <t xml:space="preserve">Mazda</t>
        </is>
      </c>
      <c r="G5133" s="0" t="s">
        <v>171</v>
      </c>
      <c r="H5133" s="5">
        <v>832.458000</v>
      </c>
    </row>
    <row r="5134" spans="1:9">
      <c r="A5134" s="22" t="str">
        <f>HYPERLINK("https://app.vivvix.com/360/KMI/IntelliDrive/ApplUI/Pages/CreativePages/CustomReportCreativeDetail.aspx?App=23&amp;ReportView=4&amp;Qid=1711279&amp;Row=5126&amp;Col=1","No Title Assigned - #15269334690")</f>
        <v/>
      </c>
      <c r="B5134" s="0" t="s">
        <v>6996</v>
      </c>
      <c r="C5134" s="0" t="s">
        <v>6997</v>
      </c>
      <c r="D5134" s="0" t="s">
        <v>6997</v>
      </c>
      <c r="E5134" s="0" t="inlineStr">
        <is>
          <t xml:space="preserve">Mazda</t>
        </is>
      </c>
      <c r="F5134" s="0" t="inlineStr">
        <is>
          <t xml:space="preserve">Mazda</t>
        </is>
      </c>
      <c r="G5134" s="0" t="s">
        <v>171</v>
      </c>
      <c r="H5134" s="5">
        <v>223.123600</v>
      </c>
    </row>
    <row r="5135" spans="1:9">
      <c r="A5135" s="22" t="str">
        <f>HYPERLINK("https://app.vivvix.com/360/KMI/IntelliDrive/ApplUI/Pages/CreativePages/CustomReportCreativeDetail.aspx?App=23&amp;ReportView=4&amp;Qid=1711279&amp;Row=5127&amp;Col=1","No Title Assigned - #15269335072")</f>
        <v/>
      </c>
      <c r="B5135" s="0" t="s">
        <v>6998</v>
      </c>
      <c r="E5135" s="0" t="inlineStr">
        <is>
          <t xml:space="preserve">Mazda</t>
        </is>
      </c>
      <c r="F5135" s="0" t="inlineStr">
        <is>
          <t xml:space="preserve">Mazda</t>
        </is>
      </c>
      <c r="G5135" s="0" t="s">
        <v>171</v>
      </c>
      <c r="H5135" s="5">
        <v>33.225400</v>
      </c>
    </row>
    <row r="5136" spans="1:9">
      <c r="A5136" s="22" t="str">
        <f>HYPERLINK("https://app.vivvix.com/360/KMI/IntelliDrive/ApplUI/Pages/CreativePages/CustomReportCreativeDetail.aspx?App=23&amp;ReportView=4&amp;Qid=1711279&amp;Row=5128&amp;Col=1","No Title Assigned - #15269335267")</f>
        <v/>
      </c>
      <c r="B5136" s="0" t="s">
        <v>6999</v>
      </c>
      <c r="E5136" s="0" t="inlineStr">
        <is>
          <t xml:space="preserve">Mazda</t>
        </is>
      </c>
      <c r="F5136" s="0" t="inlineStr">
        <is>
          <t xml:space="preserve">Mazda</t>
        </is>
      </c>
      <c r="G5136" s="0" t="s">
        <v>171</v>
      </c>
      <c r="H5136" s="5">
        <v>227.994200</v>
      </c>
    </row>
    <row r="5137" spans="1:9">
      <c r="A5137" s="22" t="str">
        <f>HYPERLINK("https://app.vivvix.com/360/KMI/IntelliDrive/ApplUI/Pages/CreativePages/CustomReportCreativeDetail.aspx?App=23&amp;ReportView=4&amp;Qid=1711279&amp;Row=5129&amp;Col=1","No Title Assigned - #15269335399")</f>
        <v/>
      </c>
      <c r="B5137" s="0" t="s">
        <v>7000</v>
      </c>
      <c r="C5137" s="0" t="s">
        <v>7001</v>
      </c>
      <c r="D5137" s="0" t="s">
        <v>7001</v>
      </c>
      <c r="E5137" s="0" t="inlineStr">
        <is>
          <t xml:space="preserve">Mazda</t>
        </is>
      </c>
      <c r="F5137" s="0" t="s">
        <v>13</v>
      </c>
      <c r="G5137" s="0" t="s">
        <v>49</v>
      </c>
      <c r="H5137" s="5">
        <v>5949.881000</v>
      </c>
    </row>
    <row r="5138" spans="1:9">
      <c r="A5138" s="22" t="str">
        <f>HYPERLINK("https://app.vivvix.com/360/KMI/IntelliDrive/ApplUI/Pages/CreativePages/CustomReportCreativeDetail.aspx?App=23&amp;ReportView=4&amp;Qid=1711279&amp;Row=5130&amp;Col=1","No Title Assigned - #15269335422")</f>
        <v/>
      </c>
      <c r="B5138" s="0" t="s">
        <v>7002</v>
      </c>
      <c r="C5138" s="0" t="s">
        <v>7003</v>
      </c>
      <c r="D5138" s="0" t="s">
        <v>4208</v>
      </c>
      <c r="E5138" s="0" t="inlineStr">
        <is>
          <t xml:space="preserve">Mazda</t>
        </is>
      </c>
      <c r="F5138" s="0" t="s">
        <v>28</v>
      </c>
      <c r="G5138" s="0" t="s">
        <v>29</v>
      </c>
      <c r="H5138" s="5">
        <v>231.670300</v>
      </c>
    </row>
    <row r="5139" spans="1:9">
      <c r="A5139" s="22" t="str">
        <f>HYPERLINK("https://app.vivvix.com/360/KMI/IntelliDrive/ApplUI/Pages/CreativePages/CustomReportCreativeDetail.aspx?App=23&amp;ReportView=4&amp;Qid=1711279&amp;Row=5131&amp;Col=1","No Title Assigned - #15269335575")</f>
        <v/>
      </c>
      <c r="B5139" s="0" t="s">
        <v>7004</v>
      </c>
      <c r="E5139" s="0" t="inlineStr">
        <is>
          <t xml:space="preserve">Mazda</t>
        </is>
      </c>
      <c r="F5139" s="0" t="inlineStr">
        <is>
          <t xml:space="preserve">Mazda</t>
        </is>
      </c>
      <c r="G5139" s="0" t="s">
        <v>171</v>
      </c>
      <c r="H5139" s="5">
        <v>2521.971000</v>
      </c>
    </row>
    <row r="5140" spans="1:9">
      <c r="A5140" s="22" t="str">
        <f>HYPERLINK("https://app.vivvix.com/360/KMI/IntelliDrive/ApplUI/Pages/CreativePages/CustomReportCreativeDetail.aspx?App=23&amp;ReportView=4&amp;Qid=1711279&amp;Row=5132&amp;Col=1","No Title Assigned - #15269335575")</f>
        <v/>
      </c>
      <c r="B5140" s="0" t="s">
        <v>7004</v>
      </c>
      <c r="E5140" s="0" t="inlineStr">
        <is>
          <t xml:space="preserve">Mazda</t>
        </is>
      </c>
      <c r="F5140" s="0" t="inlineStr">
        <is>
          <t xml:space="preserve">Mazda</t>
        </is>
      </c>
      <c r="G5140" s="0" t="s">
        <v>171</v>
      </c>
      <c r="H5140" s="5">
        <v>41954.421200</v>
      </c>
    </row>
    <row r="5141" spans="1:9">
      <c r="A5141" s="22" t="str">
        <f>HYPERLINK("https://app.vivvix.com/360/KMI/IntelliDrive/ApplUI/Pages/CreativePages/CustomReportCreativeDetail.aspx?App=23&amp;ReportView=4&amp;Qid=1711279&amp;Row=5133&amp;Col=1","No Title Assigned - #15269335584")</f>
        <v/>
      </c>
      <c r="B5141" s="0" t="s">
        <v>7005</v>
      </c>
      <c r="C5141" s="0" t="s">
        <v>7006</v>
      </c>
      <c r="D5141" s="0" t="s">
        <v>7006</v>
      </c>
      <c r="E5141" s="0" t="inlineStr">
        <is>
          <t xml:space="preserve">Mazda</t>
        </is>
      </c>
      <c r="F5141" s="0" t="inlineStr">
        <is>
          <t xml:space="preserve">Mazda</t>
        </is>
      </c>
      <c r="G5141" s="0" t="s">
        <v>171</v>
      </c>
      <c r="H5141" s="5">
        <v>2580.618500</v>
      </c>
    </row>
    <row r="5142" spans="1:9">
      <c r="A5142" s="22" t="str">
        <f>HYPERLINK("https://app.vivvix.com/360/KMI/IntelliDrive/ApplUI/Pages/CreativePages/CustomReportCreativeDetail.aspx?App=23&amp;ReportView=4&amp;Qid=1711279&amp;Row=5134&amp;Col=1","No Title Assigned - #15269335738")</f>
        <v/>
      </c>
      <c r="B5142" s="0" t="s">
        <v>7007</v>
      </c>
      <c r="E5142" s="0" t="inlineStr">
        <is>
          <t xml:space="preserve">Mazda</t>
        </is>
      </c>
      <c r="F5142" s="0" t="inlineStr">
        <is>
          <t xml:space="preserve">Mazda</t>
        </is>
      </c>
      <c r="G5142" s="0" t="s">
        <v>171</v>
      </c>
      <c r="H5142" s="5">
        <v>273.273400</v>
      </c>
    </row>
    <row r="5143" spans="1:9">
      <c r="A5143" s="22" t="str">
        <f>HYPERLINK("https://app.vivvix.com/360/KMI/IntelliDrive/ApplUI/Pages/CreativePages/CustomReportCreativeDetail.aspx?App=23&amp;ReportView=4&amp;Qid=1711279&amp;Row=5135&amp;Col=1","No Title Assigned - #15269336608")</f>
        <v/>
      </c>
      <c r="B5143" s="0" t="s">
        <v>7008</v>
      </c>
      <c r="E5143" s="0" t="inlineStr">
        <is>
          <t xml:space="preserve">Mazda</t>
        </is>
      </c>
      <c r="F5143" s="0" t="inlineStr">
        <is>
          <t xml:space="preserve">Mazda</t>
        </is>
      </c>
      <c r="G5143" s="0" t="s">
        <v>171</v>
      </c>
      <c r="H5143" s="5">
        <v>27.222200</v>
      </c>
    </row>
    <row r="5144" spans="1:9">
      <c r="A5144" s="22" t="str">
        <f>HYPERLINK("https://app.vivvix.com/360/KMI/IntelliDrive/ApplUI/Pages/CreativePages/CustomReportCreativeDetail.aspx?App=23&amp;ReportView=4&amp;Qid=1711279&amp;Row=5136&amp;Col=1","No Title Assigned - #15269336761")</f>
        <v/>
      </c>
      <c r="B5144" s="0" t="s">
        <v>7009</v>
      </c>
      <c r="E5144" s="0" t="inlineStr">
        <is>
          <t xml:space="preserve">Mazda</t>
        </is>
      </c>
      <c r="F5144" s="0" t="inlineStr">
        <is>
          <t xml:space="preserve">Mazda</t>
        </is>
      </c>
      <c r="G5144" s="0" t="s">
        <v>171</v>
      </c>
      <c r="H5144" s="5">
        <v>52.835600</v>
      </c>
    </row>
    <row r="5145" spans="1:9">
      <c r="A5145" s="22" t="str">
        <f>HYPERLINK("https://app.vivvix.com/360/KMI/IntelliDrive/ApplUI/Pages/CreativePages/CustomReportCreativeDetail.aspx?App=23&amp;ReportView=4&amp;Qid=1711279&amp;Row=5137&amp;Col=1","No Title Assigned - #15269336761")</f>
        <v/>
      </c>
      <c r="B5145" s="0" t="s">
        <v>7009</v>
      </c>
      <c r="E5145" s="0" t="inlineStr">
        <is>
          <t xml:space="preserve">Mazda</t>
        </is>
      </c>
      <c r="F5145" s="0" t="inlineStr">
        <is>
          <t xml:space="preserve">Mazda</t>
        </is>
      </c>
      <c r="G5145" s="0" t="s">
        <v>171</v>
      </c>
      <c r="H5145" s="5">
        <v>131.081400</v>
      </c>
    </row>
    <row r="5146" spans="1:9">
      <c r="A5146" s="22" t="str">
        <f>HYPERLINK("https://app.vivvix.com/360/KMI/IntelliDrive/ApplUI/Pages/CreativePages/CustomReportCreativeDetail.aspx?App=23&amp;ReportView=4&amp;Qid=1711279&amp;Row=5138&amp;Col=1","No Title Assigned - #15269336965")</f>
        <v/>
      </c>
      <c r="B5146" s="0" t="s">
        <v>7010</v>
      </c>
      <c r="C5146" s="0" t="s">
        <v>7011</v>
      </c>
      <c r="D5146" s="0" t="s">
        <v>7011</v>
      </c>
      <c r="E5146" s="0" t="inlineStr">
        <is>
          <t xml:space="preserve">Mazda</t>
        </is>
      </c>
      <c r="F5146" s="0" t="inlineStr">
        <is>
          <t xml:space="preserve">Mazda</t>
        </is>
      </c>
      <c r="G5146" s="0" t="s">
        <v>171</v>
      </c>
      <c r="H5146" s="5">
        <v>154.970800</v>
      </c>
    </row>
    <row r="5147" spans="1:9">
      <c r="A5147" s="22" t="str">
        <f>HYPERLINK("https://app.vivvix.com/360/KMI/IntelliDrive/ApplUI/Pages/CreativePages/CustomReportCreativeDetail.aspx?App=23&amp;ReportView=4&amp;Qid=1711279&amp;Row=5139&amp;Col=1","No Title Assigned - #15269337084")</f>
        <v/>
      </c>
      <c r="B5147" s="0" t="s">
        <v>7012</v>
      </c>
      <c r="E5147" s="0" t="inlineStr">
        <is>
          <t xml:space="preserve">Mazda</t>
        </is>
      </c>
      <c r="F5147" s="0" t="inlineStr">
        <is>
          <t xml:space="preserve">Mazda</t>
        </is>
      </c>
      <c r="G5147" s="0" t="s">
        <v>171</v>
      </c>
      <c r="H5147" s="5">
        <v>100.844600</v>
      </c>
    </row>
    <row r="5148" spans="1:9">
      <c r="A5148" s="22" t="str">
        <f>HYPERLINK("https://app.vivvix.com/360/KMI/IntelliDrive/ApplUI/Pages/CreativePages/CustomReportCreativeDetail.aspx?App=23&amp;ReportView=4&amp;Qid=1711279&amp;Row=5140&amp;Col=1","No Title Assigned - #15269337139")</f>
        <v/>
      </c>
      <c r="B5148" s="0" t="s">
        <v>7013</v>
      </c>
      <c r="E5148" s="0" t="inlineStr">
        <is>
          <t xml:space="preserve">Mazda</t>
        </is>
      </c>
      <c r="F5148" s="0" t="inlineStr">
        <is>
          <t xml:space="preserve">Mazda</t>
        </is>
      </c>
      <c r="G5148" s="0" t="s">
        <v>171</v>
      </c>
      <c r="H5148" s="5">
        <v>43507.956100</v>
      </c>
    </row>
    <row r="5149" spans="1:9">
      <c r="A5149" s="22" t="str">
        <f>HYPERLINK("https://app.vivvix.com/360/KMI/IntelliDrive/ApplUI/Pages/CreativePages/CustomReportCreativeDetail.aspx?App=23&amp;ReportView=4&amp;Qid=1711279&amp;Row=5141&amp;Col=1","No Title Assigned - #15269337139")</f>
        <v/>
      </c>
      <c r="B5149" s="0" t="s">
        <v>7013</v>
      </c>
      <c r="E5149" s="0" t="inlineStr">
        <is>
          <t xml:space="preserve">Mazda</t>
        </is>
      </c>
      <c r="F5149" s="0" t="inlineStr">
        <is>
          <t xml:space="preserve">Mazda</t>
        </is>
      </c>
      <c r="G5149" s="0" t="s">
        <v>171</v>
      </c>
      <c r="H5149" s="5">
        <v>513.397200</v>
      </c>
    </row>
    <row r="5150" spans="1:9">
      <c r="A5150" s="22" t="str">
        <f>HYPERLINK("https://app.vivvix.com/360/KMI/IntelliDrive/ApplUI/Pages/CreativePages/CustomReportCreativeDetail.aspx?App=23&amp;ReportView=4&amp;Qid=1711279&amp;Row=5142&amp;Col=1","No Title Assigned - #15269337422")</f>
        <v/>
      </c>
      <c r="B5150" s="0" t="s">
        <v>7014</v>
      </c>
      <c r="E5150" s="0" t="inlineStr">
        <is>
          <t xml:space="preserve">Mazda</t>
        </is>
      </c>
      <c r="F5150" s="0" t="inlineStr">
        <is>
          <t xml:space="preserve">Mazda</t>
        </is>
      </c>
      <c r="G5150" s="0" t="s">
        <v>171</v>
      </c>
      <c r="H5150" s="5">
        <v>38.026400</v>
      </c>
    </row>
    <row r="5151" spans="1:9">
      <c r="A5151" s="22" t="str">
        <f>HYPERLINK("https://app.vivvix.com/360/KMI/IntelliDrive/ApplUI/Pages/CreativePages/CustomReportCreativeDetail.aspx?App=23&amp;ReportView=4&amp;Qid=1711279&amp;Row=5143&amp;Col=1","No Title Assigned - #15269337778")</f>
        <v/>
      </c>
      <c r="B5151" s="0" t="s">
        <v>7015</v>
      </c>
      <c r="E5151" s="0" t="inlineStr">
        <is>
          <t xml:space="preserve">Mazda</t>
        </is>
      </c>
      <c r="F5151" s="0" t="inlineStr">
        <is>
          <t xml:space="preserve">Mazda</t>
        </is>
      </c>
      <c r="G5151" s="0" t="s">
        <v>171</v>
      </c>
      <c r="H5151" s="5">
        <v>121.080000</v>
      </c>
    </row>
    <row r="5152" spans="1:9">
      <c r="A5152" s="22" t="str">
        <f>HYPERLINK("https://app.vivvix.com/360/KMI/IntelliDrive/ApplUI/Pages/CreativePages/CustomReportCreativeDetail.aspx?App=23&amp;ReportView=4&amp;Qid=1711279&amp;Row=5144&amp;Col=1","No Title Assigned - #15269337831")</f>
        <v/>
      </c>
      <c r="B5152" s="0" t="s">
        <v>7016</v>
      </c>
      <c r="E5152" s="0" t="inlineStr">
        <is>
          <t xml:space="preserve">Mazda</t>
        </is>
      </c>
      <c r="F5152" s="0" t="inlineStr">
        <is>
          <t xml:space="preserve">Mazda</t>
        </is>
      </c>
      <c r="G5152" s="0" t="s">
        <v>171</v>
      </c>
      <c r="H5152" s="5">
        <v>258.645300</v>
      </c>
    </row>
    <row r="5153" spans="1:9">
      <c r="A5153" s="22" t="str">
        <f>HYPERLINK("https://app.vivvix.com/360/KMI/IntelliDrive/ApplUI/Pages/CreativePages/CustomReportCreativeDetail.aspx?App=23&amp;ReportView=4&amp;Qid=1711279&amp;Row=5145&amp;Col=1","No Title Assigned - #15269338485")</f>
        <v/>
      </c>
      <c r="B5153" s="0" t="s">
        <v>7017</v>
      </c>
      <c r="E5153" s="0" t="inlineStr">
        <is>
          <t xml:space="preserve">Mazda</t>
        </is>
      </c>
      <c r="F5153" s="0" t="inlineStr">
        <is>
          <t xml:space="preserve">Mazda</t>
        </is>
      </c>
      <c r="G5153" s="0" t="s">
        <v>171</v>
      </c>
      <c r="H5153" s="5">
        <v>3153.987700</v>
      </c>
    </row>
    <row r="5154" spans="1:9">
      <c r="A5154" s="22" t="str">
        <f>HYPERLINK("https://app.vivvix.com/360/KMI/IntelliDrive/ApplUI/Pages/CreativePages/CustomReportCreativeDetail.aspx?App=23&amp;ReportView=4&amp;Qid=1711279&amp;Row=5146&amp;Col=1","No Title Assigned - #15269338609")</f>
        <v/>
      </c>
      <c r="B5154" s="0" t="s">
        <v>7018</v>
      </c>
      <c r="E5154" s="0" t="inlineStr">
        <is>
          <t xml:space="preserve">Mazda</t>
        </is>
      </c>
      <c r="F5154" s="0" t="inlineStr">
        <is>
          <t xml:space="preserve">Mazda</t>
        </is>
      </c>
      <c r="G5154" s="0" t="s">
        <v>171</v>
      </c>
      <c r="H5154" s="5">
        <v>158.308300</v>
      </c>
    </row>
    <row r="5155" spans="1:9">
      <c r="A5155" s="22" t="str">
        <f>HYPERLINK("https://app.vivvix.com/360/KMI/IntelliDrive/ApplUI/Pages/CreativePages/CustomReportCreativeDetail.aspx?App=23&amp;ReportView=4&amp;Qid=1711279&amp;Row=5147&amp;Col=1","No Title Assigned - #15269338751")</f>
        <v/>
      </c>
      <c r="B5155" s="0" t="s">
        <v>7019</v>
      </c>
      <c r="C5155" s="0" t="s">
        <v>7020</v>
      </c>
      <c r="D5155" s="0" t="s">
        <v>7020</v>
      </c>
      <c r="E5155" s="0" t="inlineStr">
        <is>
          <t xml:space="preserve">Mazda</t>
        </is>
      </c>
      <c r="F5155" s="0" t="inlineStr">
        <is>
          <t xml:space="preserve">Mazda</t>
        </is>
      </c>
      <c r="G5155" s="0" t="s">
        <v>171</v>
      </c>
      <c r="H5155" s="5">
        <v>5.008000</v>
      </c>
    </row>
    <row r="5156" spans="1:9">
      <c r="A5156" s="22" t="str">
        <f>HYPERLINK("https://app.vivvix.com/360/KMI/IntelliDrive/ApplUI/Pages/CreativePages/CustomReportCreativeDetail.aspx?App=23&amp;ReportView=4&amp;Qid=1711279&amp;Row=5148&amp;Col=1","No Title Assigned - #15269338751")</f>
        <v/>
      </c>
      <c r="B5156" s="0" t="s">
        <v>7019</v>
      </c>
      <c r="E5156" s="0" t="inlineStr">
        <is>
          <t xml:space="preserve">Mazda</t>
        </is>
      </c>
      <c r="F5156" s="0" t="inlineStr">
        <is>
          <t xml:space="preserve">Mazda</t>
        </is>
      </c>
      <c r="G5156" s="0" t="s">
        <v>171</v>
      </c>
      <c r="H5156" s="5">
        <v>505.946100</v>
      </c>
    </row>
    <row r="5157" spans="1:9">
      <c r="A5157" s="22" t="str">
        <f>HYPERLINK("https://app.vivvix.com/360/KMI/IntelliDrive/ApplUI/Pages/CreativePages/CustomReportCreativeDetail.aspx?App=23&amp;ReportView=4&amp;Qid=1711279&amp;Row=5149&amp;Col=1","No Title Assigned - #15269338775")</f>
        <v/>
      </c>
      <c r="B5157" s="0" t="s">
        <v>7021</v>
      </c>
      <c r="E5157" s="0" t="inlineStr">
        <is>
          <t xml:space="preserve">Mazda</t>
        </is>
      </c>
      <c r="F5157" s="0" t="inlineStr">
        <is>
          <t xml:space="preserve">Mazda</t>
        </is>
      </c>
      <c r="G5157" s="0" t="s">
        <v>171</v>
      </c>
      <c r="H5157" s="5">
        <v>0.952900</v>
      </c>
    </row>
    <row r="5158" spans="1:9">
      <c r="A5158" s="22" t="str">
        <f>HYPERLINK("https://app.vivvix.com/360/KMI/IntelliDrive/ApplUI/Pages/CreativePages/CustomReportCreativeDetail.aspx?App=23&amp;ReportView=4&amp;Qid=1711279&amp;Row=5150&amp;Col=1","No Title Assigned - #15269338806")</f>
        <v/>
      </c>
      <c r="B5158" s="0" t="s">
        <v>7022</v>
      </c>
      <c r="E5158" s="0" t="inlineStr">
        <is>
          <t xml:space="preserve">Mazda</t>
        </is>
      </c>
      <c r="F5158" s="0" t="inlineStr">
        <is>
          <t xml:space="preserve">Mazda</t>
        </is>
      </c>
      <c r="G5158" s="0" t="s">
        <v>171</v>
      </c>
      <c r="H5158" s="5">
        <v>182.934300</v>
      </c>
    </row>
    <row r="5159" spans="1:9">
      <c r="A5159" s="22" t="str">
        <f>HYPERLINK("https://app.vivvix.com/360/KMI/IntelliDrive/ApplUI/Pages/CreativePages/CustomReportCreativeDetail.aspx?App=23&amp;ReportView=4&amp;Qid=1711279&amp;Row=5151&amp;Col=1","No Title Assigned - #15269339238")</f>
        <v/>
      </c>
      <c r="B5159" s="0" t="s">
        <v>7023</v>
      </c>
      <c r="E5159" s="0" t="inlineStr">
        <is>
          <t xml:space="preserve">Mazda</t>
        </is>
      </c>
      <c r="F5159" s="0" t="inlineStr">
        <is>
          <t xml:space="preserve">Mazda</t>
        </is>
      </c>
      <c r="G5159" s="0" t="s">
        <v>171</v>
      </c>
      <c r="H5159" s="5">
        <v>941.217000</v>
      </c>
    </row>
    <row r="5160" spans="1:9">
      <c r="A5160" s="22" t="str">
        <f>HYPERLINK("https://app.vivvix.com/360/KMI/IntelliDrive/ApplUI/Pages/CreativePages/CustomReportCreativeDetail.aspx?App=23&amp;ReportView=4&amp;Qid=1711279&amp;Row=5152&amp;Col=1","No Title Assigned - #15269339271")</f>
        <v/>
      </c>
      <c r="B5160" s="0" t="s">
        <v>7024</v>
      </c>
      <c r="E5160" s="0" t="inlineStr">
        <is>
          <t xml:space="preserve">Mazda</t>
        </is>
      </c>
      <c r="F5160" s="0" t="inlineStr">
        <is>
          <t xml:space="preserve">Mazda</t>
        </is>
      </c>
      <c r="G5160" s="0" t="s">
        <v>171</v>
      </c>
      <c r="H5160" s="5">
        <v>32.140300</v>
      </c>
    </row>
    <row r="5161" spans="1:9">
      <c r="A5161" s="22" t="str">
        <f>HYPERLINK("https://app.vivvix.com/360/KMI/IntelliDrive/ApplUI/Pages/CreativePages/CustomReportCreativeDetail.aspx?App=23&amp;ReportView=4&amp;Qid=1711279&amp;Row=5153&amp;Col=1","No Title Assigned - #15269340309")</f>
        <v/>
      </c>
      <c r="B5161" s="0" t="s">
        <v>7025</v>
      </c>
      <c r="E5161" s="0" t="inlineStr">
        <is>
          <t xml:space="preserve">Mazda</t>
        </is>
      </c>
      <c r="F5161" s="0" t="inlineStr">
        <is>
          <t xml:space="preserve">Mazda</t>
        </is>
      </c>
      <c r="G5161" s="0" t="s">
        <v>171</v>
      </c>
      <c r="H5161" s="5">
        <v>30.543000</v>
      </c>
    </row>
    <row r="5162" spans="1:9">
      <c r="A5162" s="22" t="str">
        <f>HYPERLINK("https://app.vivvix.com/360/KMI/IntelliDrive/ApplUI/Pages/CreativePages/CustomReportCreativeDetail.aspx?App=23&amp;ReportView=4&amp;Qid=1711279&amp;Row=5154&amp;Col=1","No Title Assigned - #15269342335")</f>
        <v/>
      </c>
      <c r="B5162" s="0" t="s">
        <v>7026</v>
      </c>
      <c r="E5162" s="0" t="inlineStr">
        <is>
          <t xml:space="preserve">Mazda</t>
        </is>
      </c>
      <c r="F5162" s="0" t="inlineStr">
        <is>
          <t xml:space="preserve">Mazda</t>
        </is>
      </c>
      <c r="G5162" s="0" t="s">
        <v>171</v>
      </c>
      <c r="H5162" s="5">
        <v>114.671600</v>
      </c>
    </row>
    <row r="5163" spans="1:9">
      <c r="A5163" s="22" t="str">
        <f>HYPERLINK("https://app.vivvix.com/360/KMI/IntelliDrive/ApplUI/Pages/CreativePages/CustomReportCreativeDetail.aspx?App=23&amp;ReportView=4&amp;Qid=1711279&amp;Row=5155&amp;Col=1","No Title Assigned - #15269342335")</f>
        <v/>
      </c>
      <c r="B5163" s="0" t="s">
        <v>7026</v>
      </c>
      <c r="E5163" s="0" t="inlineStr">
        <is>
          <t xml:space="preserve">Mazda</t>
        </is>
      </c>
      <c r="F5163" s="0" t="inlineStr">
        <is>
          <t xml:space="preserve">Mazda</t>
        </is>
      </c>
      <c r="G5163" s="0" t="s">
        <v>171</v>
      </c>
      <c r="H5163" s="5">
        <v>95.126600</v>
      </c>
    </row>
    <row r="5164" spans="1:9">
      <c r="A5164" s="22" t="str">
        <f>HYPERLINK("https://app.vivvix.com/360/KMI/IntelliDrive/ApplUI/Pages/CreativePages/CustomReportCreativeDetail.aspx?App=23&amp;ReportView=4&amp;Qid=1711279&amp;Row=5156&amp;Col=1","No Title Assigned - #15269342527")</f>
        <v/>
      </c>
      <c r="B5164" s="0" t="s">
        <v>7027</v>
      </c>
      <c r="E5164" s="0" t="inlineStr">
        <is>
          <t xml:space="preserve">Mazda</t>
        </is>
      </c>
      <c r="F5164" s="0" t="inlineStr">
        <is>
          <t xml:space="preserve">Mazda</t>
        </is>
      </c>
      <c r="G5164" s="0" t="s">
        <v>171</v>
      </c>
      <c r="H5164" s="5">
        <v>528.040800</v>
      </c>
    </row>
    <row r="5165" spans="1:9">
      <c r="A5165" s="22" t="str">
        <f>HYPERLINK("https://app.vivvix.com/360/KMI/IntelliDrive/ApplUI/Pages/CreativePages/CustomReportCreativeDetail.aspx?App=23&amp;ReportView=4&amp;Qid=1711279&amp;Row=5157&amp;Col=1","No Title Assigned - #15269342772")</f>
        <v/>
      </c>
      <c r="B5165" s="0" t="s">
        <v>7028</v>
      </c>
      <c r="C5165" s="0" t="s">
        <v>7029</v>
      </c>
      <c r="D5165" s="0" t="s">
        <v>7029</v>
      </c>
      <c r="E5165" s="0" t="inlineStr">
        <is>
          <t xml:space="preserve">Mazda</t>
        </is>
      </c>
      <c r="F5165" s="0" t="inlineStr">
        <is>
          <t xml:space="preserve">Mazda</t>
        </is>
      </c>
      <c r="G5165" s="0" t="s">
        <v>171</v>
      </c>
      <c r="H5165" s="5">
        <v>59.418200</v>
      </c>
    </row>
    <row r="5166" spans="1:9">
      <c r="A5166" s="22" t="str">
        <f>HYPERLINK("https://app.vivvix.com/360/KMI/IntelliDrive/ApplUI/Pages/CreativePages/CustomReportCreativeDetail.aspx?App=23&amp;ReportView=4&amp;Qid=1711279&amp;Row=5158&amp;Col=1","No Title Assigned - #15269342772")</f>
        <v/>
      </c>
      <c r="B5166" s="0" t="s">
        <v>7028</v>
      </c>
      <c r="E5166" s="0" t="inlineStr">
        <is>
          <t xml:space="preserve">Mazda</t>
        </is>
      </c>
      <c r="F5166" s="0" t="inlineStr">
        <is>
          <t xml:space="preserve">Mazda</t>
        </is>
      </c>
      <c r="G5166" s="0" t="s">
        <v>171</v>
      </c>
      <c r="H5166" s="5">
        <v>153.492900</v>
      </c>
    </row>
    <row r="5167" spans="1:9">
      <c r="A5167" s="22" t="str">
        <f>HYPERLINK("https://app.vivvix.com/360/KMI/IntelliDrive/ApplUI/Pages/CreativePages/CustomReportCreativeDetail.aspx?App=23&amp;ReportView=4&amp;Qid=1711279&amp;Row=5159&amp;Col=1","No Title Assigned - #15269345501")</f>
        <v/>
      </c>
      <c r="B5167" s="0" t="s">
        <v>7030</v>
      </c>
      <c r="E5167" s="0" t="inlineStr">
        <is>
          <t xml:space="preserve">Mazda</t>
        </is>
      </c>
      <c r="F5167" s="0" t="inlineStr">
        <is>
          <t xml:space="preserve">Mazda</t>
        </is>
      </c>
      <c r="G5167" s="0" t="s">
        <v>171</v>
      </c>
      <c r="H5167" s="5">
        <v>48.422400</v>
      </c>
    </row>
    <row r="5168" spans="1:9">
      <c r="A5168" s="22" t="str">
        <f>HYPERLINK("https://app.vivvix.com/360/KMI/IntelliDrive/ApplUI/Pages/CreativePages/CustomReportCreativeDetail.aspx?App=23&amp;ReportView=4&amp;Qid=1711279&amp;Row=5160&amp;Col=1","No Title Assigned - #15269345501")</f>
        <v/>
      </c>
      <c r="B5168" s="0" t="s">
        <v>7030</v>
      </c>
      <c r="E5168" s="0" t="inlineStr">
        <is>
          <t xml:space="preserve">Mazda</t>
        </is>
      </c>
      <c r="F5168" s="0" t="inlineStr">
        <is>
          <t xml:space="preserve">Mazda</t>
        </is>
      </c>
      <c r="G5168" s="0" t="s">
        <v>171</v>
      </c>
      <c r="H5168" s="5">
        <v>986.867000</v>
      </c>
    </row>
    <row r="5169" spans="1:9">
      <c r="A5169" s="22" t="str">
        <f>HYPERLINK("https://app.vivvix.com/360/KMI/IntelliDrive/ApplUI/Pages/CreativePages/CustomReportCreativeDetail.aspx?App=23&amp;ReportView=4&amp;Qid=1711279&amp;Row=5161&amp;Col=1","No Title Assigned - #15269347854")</f>
        <v/>
      </c>
      <c r="B5169" s="0" t="s">
        <v>7031</v>
      </c>
      <c r="E5169" s="0" t="inlineStr">
        <is>
          <t xml:space="preserve">Mazda</t>
        </is>
      </c>
      <c r="F5169" s="0" t="inlineStr">
        <is>
          <t xml:space="preserve">Mazda</t>
        </is>
      </c>
      <c r="G5169" s="0" t="s">
        <v>171</v>
      </c>
      <c r="H5169" s="5">
        <v>30.006500</v>
      </c>
    </row>
    <row r="5170" spans="1:9">
      <c r="A5170" s="22" t="str">
        <f>HYPERLINK("https://app.vivvix.com/360/KMI/IntelliDrive/ApplUI/Pages/CreativePages/CustomReportCreativeDetail.aspx?App=23&amp;ReportView=4&amp;Qid=1711279&amp;Row=5162&amp;Col=1","No Title Assigned - #15269348691")</f>
        <v/>
      </c>
      <c r="B5170" s="0" t="s">
        <v>7032</v>
      </c>
      <c r="E5170" s="0" t="inlineStr">
        <is>
          <t xml:space="preserve">Mazda</t>
        </is>
      </c>
      <c r="F5170" s="0" t="inlineStr">
        <is>
          <t xml:space="preserve">Mazda</t>
        </is>
      </c>
      <c r="G5170" s="0" t="s">
        <v>171</v>
      </c>
      <c r="H5170" s="5">
        <v>45.400200</v>
      </c>
    </row>
    <row r="5171" spans="1:9">
      <c r="A5171" s="22" t="str">
        <f>HYPERLINK("https://app.vivvix.com/360/KMI/IntelliDrive/ApplUI/Pages/CreativePages/CustomReportCreativeDetail.aspx?App=23&amp;ReportView=4&amp;Qid=1711279&amp;Row=5163&amp;Col=1","No Title Assigned - #15269351912")</f>
        <v/>
      </c>
      <c r="B5171" s="0" t="s">
        <v>7033</v>
      </c>
      <c r="E5171" s="0" t="inlineStr">
        <is>
          <t xml:space="preserve">Mazda</t>
        </is>
      </c>
      <c r="F5171" s="0" t="inlineStr">
        <is>
          <t xml:space="preserve">Mazda</t>
        </is>
      </c>
      <c r="G5171" s="0" t="s">
        <v>171</v>
      </c>
      <c r="H5171" s="5">
        <v>78.519800</v>
      </c>
    </row>
    <row r="5172" spans="1:9">
      <c r="A5172" s="22" t="str">
        <f>HYPERLINK("https://app.vivvix.com/360/KMI/IntelliDrive/ApplUI/Pages/CreativePages/CustomReportCreativeDetail.aspx?App=23&amp;ReportView=4&amp;Qid=1711279&amp;Row=5164&amp;Col=1","No Title Assigned - #15269355693")</f>
        <v/>
      </c>
      <c r="B5172" s="0" t="s">
        <v>7034</v>
      </c>
      <c r="E5172" s="0" t="inlineStr">
        <is>
          <t xml:space="preserve">Mazda</t>
        </is>
      </c>
      <c r="F5172" s="0" t="inlineStr">
        <is>
          <t xml:space="preserve">Mazda</t>
        </is>
      </c>
      <c r="G5172" s="0" t="s">
        <v>171</v>
      </c>
      <c r="H5172" s="5">
        <v>718.560800</v>
      </c>
    </row>
    <row r="5173" spans="1:9">
      <c r="A5173" s="22" t="str">
        <f>HYPERLINK("https://app.vivvix.com/360/KMI/IntelliDrive/ApplUI/Pages/CreativePages/CustomReportCreativeDetail.aspx?App=23&amp;ReportView=4&amp;Qid=1711279&amp;Row=5165&amp;Col=1","No Title Assigned - #15269356358")</f>
        <v/>
      </c>
      <c r="B5173" s="0" t="s">
        <v>7035</v>
      </c>
      <c r="E5173" s="0" t="inlineStr">
        <is>
          <t xml:space="preserve">Mazda</t>
        </is>
      </c>
      <c r="F5173" s="0" t="inlineStr">
        <is>
          <t xml:space="preserve">Mazda</t>
        </is>
      </c>
      <c r="G5173" s="0" t="s">
        <v>171</v>
      </c>
      <c r="H5173" s="5">
        <v>222454.866800</v>
      </c>
    </row>
    <row r="5174" spans="1:9">
      <c r="A5174" s="22" t="str">
        <f>HYPERLINK("https://app.vivvix.com/360/KMI/IntelliDrive/ApplUI/Pages/CreativePages/CustomReportCreativeDetail.aspx?App=23&amp;ReportView=4&amp;Qid=1711279&amp;Row=5166&amp;Col=1","No Title Assigned - #15269356358")</f>
        <v/>
      </c>
      <c r="B5174" s="0" t="s">
        <v>7035</v>
      </c>
      <c r="E5174" s="0" t="inlineStr">
        <is>
          <t xml:space="preserve">Mazda</t>
        </is>
      </c>
      <c r="F5174" s="0" t="inlineStr">
        <is>
          <t xml:space="preserve">Mazda</t>
        </is>
      </c>
      <c r="G5174" s="0" t="s">
        <v>171</v>
      </c>
      <c r="H5174" s="5">
        <v>156958.323800</v>
      </c>
    </row>
    <row r="5175" spans="1:9">
      <c r="A5175" s="22" t="str">
        <f>HYPERLINK("https://app.vivvix.com/360/KMI/IntelliDrive/ApplUI/Pages/CreativePages/CustomReportCreativeDetail.aspx?App=23&amp;ReportView=4&amp;Qid=1711279&amp;Row=5167&amp;Col=1","No Title Assigned - #15269356927")</f>
        <v/>
      </c>
      <c r="B5175" s="0" t="s">
        <v>7036</v>
      </c>
      <c r="C5175" s="0" t="s">
        <v>7037</v>
      </c>
      <c r="D5175" s="0" t="s">
        <v>7037</v>
      </c>
      <c r="E5175" s="0" t="inlineStr">
        <is>
          <t xml:space="preserve">Mazda</t>
        </is>
      </c>
      <c r="F5175" s="0" t="inlineStr">
        <is>
          <t xml:space="preserve">Mazda</t>
        </is>
      </c>
      <c r="G5175" s="0" t="s">
        <v>171</v>
      </c>
      <c r="H5175" s="5">
        <v>12303.197000</v>
      </c>
    </row>
    <row r="5176" spans="1:9">
      <c r="A5176" s="22" t="str">
        <f>HYPERLINK("https://app.vivvix.com/360/KMI/IntelliDrive/ApplUI/Pages/CreativePages/CustomReportCreativeDetail.aspx?App=23&amp;ReportView=4&amp;Qid=1711279&amp;Row=5168&amp;Col=1","No Title Assigned - #15269357124")</f>
        <v/>
      </c>
      <c r="B5176" s="0" t="s">
        <v>7038</v>
      </c>
      <c r="E5176" s="0" t="inlineStr">
        <is>
          <t xml:space="preserve">Mazda</t>
        </is>
      </c>
      <c r="F5176" s="0" t="inlineStr">
        <is>
          <t xml:space="preserve">Mazda</t>
        </is>
      </c>
      <c r="G5176" s="0" t="s">
        <v>171</v>
      </c>
      <c r="H5176" s="5">
        <v>948.024400</v>
      </c>
    </row>
    <row r="5177" spans="1:9">
      <c r="A5177" s="22" t="str">
        <f>HYPERLINK("https://app.vivvix.com/360/KMI/IntelliDrive/ApplUI/Pages/CreativePages/CustomReportCreativeDetail.aspx?App=23&amp;ReportView=4&amp;Qid=1711279&amp;Row=5169&amp;Col=1","No Title Assigned - #15269370237")</f>
        <v/>
      </c>
      <c r="B5177" s="0" t="s">
        <v>7039</v>
      </c>
      <c r="E5177" s="0" t="inlineStr">
        <is>
          <t xml:space="preserve">Mazda</t>
        </is>
      </c>
      <c r="F5177" s="0" t="inlineStr">
        <is>
          <t xml:space="preserve">Mazda</t>
        </is>
      </c>
      <c r="G5177" s="0" t="s">
        <v>171</v>
      </c>
      <c r="H5177" s="5">
        <v>5533.376500</v>
      </c>
    </row>
    <row r="5178" spans="1:9">
      <c r="A5178" s="22" t="str">
        <f>HYPERLINK("https://app.vivvix.com/360/KMI/IntelliDrive/ApplUI/Pages/CreativePages/CustomReportCreativeDetail.aspx?App=23&amp;ReportView=4&amp;Qid=1711279&amp;Row=5170&amp;Col=1","No Title Assigned - #15269372820")</f>
        <v/>
      </c>
      <c r="B5178" s="0" t="s">
        <v>7040</v>
      </c>
      <c r="C5178" s="0" t="s">
        <v>7041</v>
      </c>
      <c r="D5178" s="0" t="s">
        <v>7041</v>
      </c>
      <c r="E5178" s="0" t="inlineStr">
        <is>
          <t xml:space="preserve">Mazda</t>
        </is>
      </c>
      <c r="F5178" s="0" t="inlineStr">
        <is>
          <t xml:space="preserve">Mazda</t>
        </is>
      </c>
      <c r="G5178" s="0" t="s">
        <v>1992</v>
      </c>
      <c r="H5178" s="5">
        <v>897.501400</v>
      </c>
    </row>
    <row r="5179" spans="1:9">
      <c r="A5179" s="22" t="str">
        <f>HYPERLINK("https://app.vivvix.com/360/KMI/IntelliDrive/ApplUI/Pages/CreativePages/CustomReportCreativeDetail.aspx?App=23&amp;ReportView=4&amp;Qid=1711279&amp;Row=5171&amp;Col=1","No Title Assigned - #15269376286")</f>
        <v/>
      </c>
      <c r="B5179" s="0" t="s">
        <v>7042</v>
      </c>
      <c r="E5179" s="0" t="inlineStr">
        <is>
          <t xml:space="preserve">Mazda</t>
        </is>
      </c>
      <c r="F5179" s="0" t="inlineStr">
        <is>
          <t xml:space="preserve">Mazda</t>
        </is>
      </c>
      <c r="G5179" s="0" t="s">
        <v>171</v>
      </c>
      <c r="H5179" s="5">
        <v>1533.418100</v>
      </c>
    </row>
    <row r="5180" spans="1:9">
      <c r="A5180" s="22" t="str">
        <f>HYPERLINK("https://app.vivvix.com/360/KMI/IntelliDrive/ApplUI/Pages/CreativePages/CustomReportCreativeDetail.aspx?App=23&amp;ReportView=4&amp;Qid=1711279&amp;Row=5172&amp;Col=1","No Title Assigned - #15269376715")</f>
        <v/>
      </c>
      <c r="B5180" s="0" t="s">
        <v>7043</v>
      </c>
      <c r="C5180" s="0" t="s">
        <v>7044</v>
      </c>
      <c r="D5180" s="0" t="s">
        <v>7044</v>
      </c>
      <c r="E5180" s="0" t="inlineStr">
        <is>
          <t xml:space="preserve">Mazda</t>
        </is>
      </c>
      <c r="F5180" s="0" t="inlineStr">
        <is>
          <t xml:space="preserve">Mazda</t>
        </is>
      </c>
      <c r="G5180" s="0" t="s">
        <v>171</v>
      </c>
      <c r="H5180" s="5">
        <v>221.229100</v>
      </c>
    </row>
    <row r="5181" spans="1:9">
      <c r="A5181" s="22" t="str">
        <f>HYPERLINK("https://app.vivvix.com/360/KMI/IntelliDrive/ApplUI/Pages/CreativePages/CustomReportCreativeDetail.aspx?App=23&amp;ReportView=4&amp;Qid=1711279&amp;Row=5173&amp;Col=1","No Title Assigned - #15269376946")</f>
        <v/>
      </c>
      <c r="B5181" s="0" t="s">
        <v>7045</v>
      </c>
      <c r="E5181" s="0" t="inlineStr">
        <is>
          <t xml:space="preserve">Mazda</t>
        </is>
      </c>
      <c r="F5181" s="0" t="inlineStr">
        <is>
          <t xml:space="preserve">Mazda</t>
        </is>
      </c>
      <c r="G5181" s="0" t="s">
        <v>171</v>
      </c>
      <c r="H5181" s="5">
        <v>1667.762900</v>
      </c>
    </row>
    <row r="5182" spans="1:9">
      <c r="A5182" s="22" t="str">
        <f>HYPERLINK("https://app.vivvix.com/360/KMI/IntelliDrive/ApplUI/Pages/CreativePages/CustomReportCreativeDetail.aspx?App=23&amp;ReportView=4&amp;Qid=1711279&amp;Row=5174&amp;Col=1","No Title Assigned - #15269377866")</f>
        <v/>
      </c>
      <c r="B5182" s="0" t="s">
        <v>7046</v>
      </c>
      <c r="E5182" s="0" t="inlineStr">
        <is>
          <t xml:space="preserve">Mazda</t>
        </is>
      </c>
      <c r="F5182" s="0" t="inlineStr">
        <is>
          <t xml:space="preserve">Mazda</t>
        </is>
      </c>
      <c r="G5182" s="0" t="s">
        <v>171</v>
      </c>
      <c r="H5182" s="5">
        <v>547.266400</v>
      </c>
    </row>
    <row r="5183" spans="1:9">
      <c r="A5183" s="22" t="str">
        <f>HYPERLINK("https://app.vivvix.com/360/KMI/IntelliDrive/ApplUI/Pages/CreativePages/CustomReportCreativeDetail.aspx?App=23&amp;ReportView=4&amp;Qid=1711279&amp;Row=5175&amp;Col=1","No Title Assigned - #15269377866")</f>
        <v/>
      </c>
      <c r="B5183" s="0" t="s">
        <v>7046</v>
      </c>
      <c r="E5183" s="0" t="inlineStr">
        <is>
          <t xml:space="preserve">Mazda</t>
        </is>
      </c>
      <c r="F5183" s="0" t="inlineStr">
        <is>
          <t xml:space="preserve">Mazda</t>
        </is>
      </c>
      <c r="G5183" s="0" t="s">
        <v>171</v>
      </c>
      <c r="H5183" s="5">
        <v>92.671100</v>
      </c>
    </row>
    <row r="5184" spans="1:9">
      <c r="A5184" s="22" t="str">
        <f>HYPERLINK("https://app.vivvix.com/360/KMI/IntelliDrive/ApplUI/Pages/CreativePages/CustomReportCreativeDetail.aspx?App=23&amp;ReportView=4&amp;Qid=1711279&amp;Row=5176&amp;Col=1","No Title Assigned - #15269377998")</f>
        <v/>
      </c>
      <c r="B5184" s="0" t="s">
        <v>7047</v>
      </c>
      <c r="E5184" s="0" t="inlineStr">
        <is>
          <t xml:space="preserve">Mazda</t>
        </is>
      </c>
      <c r="F5184" s="0" t="inlineStr">
        <is>
          <t xml:space="preserve">Mazda</t>
        </is>
      </c>
      <c r="G5184" s="0" t="s">
        <v>171</v>
      </c>
      <c r="H5184" s="5">
        <v>350.748400</v>
      </c>
    </row>
    <row r="5185" spans="1:9">
      <c r="A5185" s="22" t="str">
        <f>HYPERLINK("https://app.vivvix.com/360/KMI/IntelliDrive/ApplUI/Pages/CreativePages/CustomReportCreativeDetail.aspx?App=23&amp;ReportView=4&amp;Qid=1711279&amp;Row=5177&amp;Col=1","No Title Assigned - #15269379235")</f>
        <v/>
      </c>
      <c r="B5185" s="0" t="s">
        <v>7048</v>
      </c>
      <c r="E5185" s="0" t="inlineStr">
        <is>
          <t xml:space="preserve">Mazda</t>
        </is>
      </c>
      <c r="F5185" s="0" t="inlineStr">
        <is>
          <t xml:space="preserve">Mazda</t>
        </is>
      </c>
      <c r="G5185" s="0" t="s">
        <v>171</v>
      </c>
      <c r="H5185" s="5">
        <v>2782.130500</v>
      </c>
    </row>
    <row r="5186" spans="1:9">
      <c r="A5186" s="22" t="str">
        <f>HYPERLINK("https://app.vivvix.com/360/KMI/IntelliDrive/ApplUI/Pages/CreativePages/CustomReportCreativeDetail.aspx?App=23&amp;ReportView=4&amp;Qid=1711279&amp;Row=5178&amp;Col=1","No Title Assigned - #15269379587")</f>
        <v/>
      </c>
      <c r="B5186" s="0" t="s">
        <v>7049</v>
      </c>
      <c r="E5186" s="0" t="inlineStr">
        <is>
          <t xml:space="preserve">Mazda</t>
        </is>
      </c>
      <c r="F5186" s="0" t="inlineStr">
        <is>
          <t xml:space="preserve">Mazda</t>
        </is>
      </c>
      <c r="G5186" s="0" t="s">
        <v>171</v>
      </c>
      <c r="H5186" s="5">
        <v>37.855500</v>
      </c>
    </row>
    <row r="5187" spans="1:9">
      <c r="A5187" s="22" t="str">
        <f>HYPERLINK("https://app.vivvix.com/360/KMI/IntelliDrive/ApplUI/Pages/CreativePages/CustomReportCreativeDetail.aspx?App=23&amp;ReportView=4&amp;Qid=1711279&amp;Row=5179&amp;Col=1","No Title Assigned - #15269379717")</f>
        <v/>
      </c>
      <c r="B5187" s="0" t="s">
        <v>7050</v>
      </c>
      <c r="E5187" s="0" t="inlineStr">
        <is>
          <t xml:space="preserve">Mazda</t>
        </is>
      </c>
      <c r="F5187" s="0" t="inlineStr">
        <is>
          <t xml:space="preserve">Mazda</t>
        </is>
      </c>
      <c r="G5187" s="0" t="s">
        <v>171</v>
      </c>
      <c r="H5187" s="5">
        <v>259.340000</v>
      </c>
    </row>
    <row r="5188" spans="1:9">
      <c r="A5188" s="22" t="str">
        <f>HYPERLINK("https://app.vivvix.com/360/KMI/IntelliDrive/ApplUI/Pages/CreativePages/CustomReportCreativeDetail.aspx?App=23&amp;ReportView=4&amp;Qid=1711279&amp;Row=5180&amp;Col=1","No Title Assigned - #15269379902")</f>
        <v/>
      </c>
      <c r="B5188" s="0" t="s">
        <v>7051</v>
      </c>
      <c r="E5188" s="0" t="inlineStr">
        <is>
          <t xml:space="preserve">Mazda</t>
        </is>
      </c>
      <c r="F5188" s="0" t="inlineStr">
        <is>
          <t xml:space="preserve">Mazda</t>
        </is>
      </c>
      <c r="G5188" s="0" t="s">
        <v>171</v>
      </c>
      <c r="H5188" s="5">
        <v>300.002300</v>
      </c>
    </row>
    <row r="5189" spans="1:9">
      <c r="A5189" s="22" t="str">
        <f>HYPERLINK("https://app.vivvix.com/360/KMI/IntelliDrive/ApplUI/Pages/CreativePages/CustomReportCreativeDetail.aspx?App=23&amp;ReportView=4&amp;Qid=1711279&amp;Row=5181&amp;Col=1","No Title Assigned - #15269381580")</f>
        <v/>
      </c>
      <c r="B5189" s="0" t="s">
        <v>7052</v>
      </c>
      <c r="E5189" s="0" t="inlineStr">
        <is>
          <t xml:space="preserve">Mazda</t>
        </is>
      </c>
      <c r="F5189" s="0" t="inlineStr">
        <is>
          <t xml:space="preserve">Mazda</t>
        </is>
      </c>
      <c r="G5189" s="0" t="s">
        <v>171</v>
      </c>
      <c r="H5189" s="5">
        <v>377.254600</v>
      </c>
    </row>
    <row r="5190" spans="1:9">
      <c r="A5190" s="22" t="str">
        <f>HYPERLINK("https://app.vivvix.com/360/KMI/IntelliDrive/ApplUI/Pages/CreativePages/CustomReportCreativeDetail.aspx?App=23&amp;ReportView=4&amp;Qid=1711279&amp;Row=5182&amp;Col=1","No Title Assigned - #15269384085")</f>
        <v/>
      </c>
      <c r="B5190" s="0" t="s">
        <v>7053</v>
      </c>
      <c r="E5190" s="0" t="inlineStr">
        <is>
          <t xml:space="preserve">Mazda</t>
        </is>
      </c>
      <c r="F5190" s="0" t="inlineStr">
        <is>
          <t xml:space="preserve">Mazda</t>
        </is>
      </c>
      <c r="G5190" s="0" t="s">
        <v>171</v>
      </c>
      <c r="H5190" s="5">
        <v>804.657500</v>
      </c>
    </row>
    <row r="5191" spans="1:9">
      <c r="A5191" s="22" t="str">
        <f>HYPERLINK("https://app.vivvix.com/360/KMI/IntelliDrive/ApplUI/Pages/CreativePages/CustomReportCreativeDetail.aspx?App=23&amp;ReportView=4&amp;Qid=1711279&amp;Row=5183&amp;Col=1","No Title Assigned - #15269384271")</f>
        <v/>
      </c>
      <c r="B5191" s="0" t="s">
        <v>7054</v>
      </c>
      <c r="E5191" s="0" t="inlineStr">
        <is>
          <t xml:space="preserve">Mazda</t>
        </is>
      </c>
      <c r="F5191" s="0" t="inlineStr">
        <is>
          <t xml:space="preserve">Mazda</t>
        </is>
      </c>
      <c r="G5191" s="0" t="s">
        <v>171</v>
      </c>
      <c r="H5191" s="5">
        <v>99.328800</v>
      </c>
    </row>
    <row r="5192" spans="1:9">
      <c r="A5192" s="22" t="str">
        <f>HYPERLINK("https://app.vivvix.com/360/KMI/IntelliDrive/ApplUI/Pages/CreativePages/CustomReportCreativeDetail.aspx?App=23&amp;ReportView=4&amp;Qid=1711279&amp;Row=5184&amp;Col=1","No Title Assigned - #15269384818")</f>
        <v/>
      </c>
      <c r="B5192" s="0" t="s">
        <v>7055</v>
      </c>
      <c r="C5192" s="0" t="s">
        <v>7056</v>
      </c>
      <c r="D5192" s="0" t="s">
        <v>7056</v>
      </c>
      <c r="E5192" s="0" t="inlineStr">
        <is>
          <t xml:space="preserve">Mazda</t>
        </is>
      </c>
      <c r="F5192" s="0" t="inlineStr">
        <is>
          <t xml:space="preserve">Mazda</t>
        </is>
      </c>
      <c r="G5192" s="0" t="s">
        <v>171</v>
      </c>
      <c r="H5192" s="5">
        <v>57905.775500</v>
      </c>
    </row>
    <row r="5193" spans="1:9">
      <c r="A5193" s="22" t="str">
        <f>HYPERLINK("https://app.vivvix.com/360/KMI/IntelliDrive/ApplUI/Pages/CreativePages/CustomReportCreativeDetail.aspx?App=23&amp;ReportView=4&amp;Qid=1711279&amp;Row=5185&amp;Col=1","No Title Assigned - #15269384818")</f>
        <v/>
      </c>
      <c r="B5193" s="0" t="s">
        <v>7055</v>
      </c>
      <c r="E5193" s="0" t="inlineStr">
        <is>
          <t xml:space="preserve">Mazda</t>
        </is>
      </c>
      <c r="F5193" s="0" t="inlineStr">
        <is>
          <t xml:space="preserve">Mazda</t>
        </is>
      </c>
      <c r="G5193" s="0" t="s">
        <v>171</v>
      </c>
      <c r="H5193" s="5">
        <v>42067.185200</v>
      </c>
    </row>
    <row r="5194" spans="1:9">
      <c r="A5194" s="22" t="str">
        <f>HYPERLINK("https://app.vivvix.com/360/KMI/IntelliDrive/ApplUI/Pages/CreativePages/CustomReportCreativeDetail.aspx?App=23&amp;ReportView=4&amp;Qid=1711279&amp;Row=5186&amp;Col=1","No Title Assigned - #15269390479")</f>
        <v/>
      </c>
      <c r="B5194" s="0" t="s">
        <v>7057</v>
      </c>
      <c r="E5194" s="0" t="inlineStr">
        <is>
          <t xml:space="preserve">Mazda</t>
        </is>
      </c>
      <c r="F5194" s="0" t="inlineStr">
        <is>
          <t xml:space="preserve">Mazda</t>
        </is>
      </c>
      <c r="G5194" s="0" t="s">
        <v>171</v>
      </c>
      <c r="H5194" s="5">
        <v>36.676300</v>
      </c>
    </row>
    <row r="5195" spans="1:9">
      <c r="A5195" s="22" t="str">
        <f>HYPERLINK("https://app.vivvix.com/360/KMI/IntelliDrive/ApplUI/Pages/CreativePages/CustomReportCreativeDetail.aspx?App=23&amp;ReportView=4&amp;Qid=1711279&amp;Row=5187&amp;Col=1","No Title Assigned - #15269390843")</f>
        <v/>
      </c>
      <c r="B5195" s="0" t="s">
        <v>7058</v>
      </c>
      <c r="C5195" s="0" t="s">
        <v>7059</v>
      </c>
      <c r="D5195" s="0" t="s">
        <v>7059</v>
      </c>
      <c r="E5195" s="0" t="inlineStr">
        <is>
          <t xml:space="preserve">Mazda</t>
        </is>
      </c>
      <c r="F5195" s="0" t="s">
        <v>13</v>
      </c>
      <c r="G5195" s="0" t="s">
        <v>49</v>
      </c>
      <c r="H5195" s="5">
        <v>2364.184600</v>
      </c>
    </row>
    <row r="5196" spans="1:9">
      <c r="A5196" s="22" t="str">
        <f>HYPERLINK("https://app.vivvix.com/360/KMI/IntelliDrive/ApplUI/Pages/CreativePages/CustomReportCreativeDetail.aspx?App=23&amp;ReportView=4&amp;Qid=1711279&amp;Row=5188&amp;Col=1","No Title Assigned - #15269390843")</f>
        <v/>
      </c>
      <c r="B5196" s="0" t="s">
        <v>7058</v>
      </c>
      <c r="C5196" s="0" t="s">
        <v>7060</v>
      </c>
      <c r="D5196" s="0" t="s">
        <v>7060</v>
      </c>
      <c r="E5196" s="0" t="inlineStr">
        <is>
          <t xml:space="preserve">Mazda</t>
        </is>
      </c>
      <c r="F5196" s="0" t="s">
        <v>13</v>
      </c>
      <c r="G5196" s="0" t="s">
        <v>49</v>
      </c>
      <c r="H5196" s="5">
        <v>20.060400</v>
      </c>
    </row>
    <row r="5197" spans="1:9">
      <c r="A5197" s="22" t="str">
        <f>HYPERLINK("https://app.vivvix.com/360/KMI/IntelliDrive/ApplUI/Pages/CreativePages/CustomReportCreativeDetail.aspx?App=23&amp;ReportView=4&amp;Qid=1711279&amp;Row=5189&amp;Col=1","No Title Assigned - #15269392312")</f>
        <v/>
      </c>
      <c r="B5197" s="0" t="s">
        <v>7061</v>
      </c>
      <c r="C5197" s="0" t="s">
        <v>7062</v>
      </c>
      <c r="D5197" s="0" t="s">
        <v>6691</v>
      </c>
      <c r="E5197" s="0" t="inlineStr">
        <is>
          <t xml:space="preserve">Mazda</t>
        </is>
      </c>
      <c r="F5197" s="0" t="s">
        <v>28</v>
      </c>
      <c r="G5197" s="0" t="s">
        <v>29</v>
      </c>
      <c r="H5197" s="5">
        <v>143.059100</v>
      </c>
    </row>
    <row r="5198" spans="1:9">
      <c r="A5198" s="22" t="str">
        <f>HYPERLINK("https://app.vivvix.com/360/KMI/IntelliDrive/ApplUI/Pages/CreativePages/CustomReportCreativeDetail.aspx?App=23&amp;ReportView=4&amp;Qid=1711279&amp;Row=5190&amp;Col=1","No Title Assigned - #15269394654")</f>
        <v/>
      </c>
      <c r="B5198" s="0" t="s">
        <v>7063</v>
      </c>
      <c r="C5198" s="0" t="s">
        <v>7064</v>
      </c>
      <c r="D5198" s="0" t="s">
        <v>7064</v>
      </c>
      <c r="E5198" s="0" t="inlineStr">
        <is>
          <t xml:space="preserve">Mazda</t>
        </is>
      </c>
      <c r="F5198" s="0" t="s">
        <v>28</v>
      </c>
      <c r="G5198" s="0" t="s">
        <v>29</v>
      </c>
      <c r="H5198" s="5">
        <v>204.914800</v>
      </c>
    </row>
    <row r="5199" spans="1:9">
      <c r="A5199" s="22" t="str">
        <f>HYPERLINK("https://app.vivvix.com/360/KMI/IntelliDrive/ApplUI/Pages/CreativePages/CustomReportCreativeDetail.aspx?App=23&amp;ReportView=4&amp;Qid=1711279&amp;Row=5191&amp;Col=1","No Title Assigned - #15269396371")</f>
        <v/>
      </c>
      <c r="B5199" s="0" t="s">
        <v>7065</v>
      </c>
      <c r="C5199" s="0" t="s">
        <v>7066</v>
      </c>
      <c r="D5199" s="0" t="s">
        <v>4333</v>
      </c>
      <c r="E5199" s="0" t="inlineStr">
        <is>
          <t xml:space="preserve">Mazda</t>
        </is>
      </c>
      <c r="F5199" s="0" t="s">
        <v>28</v>
      </c>
      <c r="G5199" s="0" t="s">
        <v>29</v>
      </c>
      <c r="H5199" s="5">
        <v>10.112700</v>
      </c>
    </row>
    <row r="5200" spans="1:9">
      <c r="A5200" s="22" t="str">
        <f>HYPERLINK("https://app.vivvix.com/360/KMI/IntelliDrive/ApplUI/Pages/CreativePages/CustomReportCreativeDetail.aspx?App=23&amp;ReportView=4&amp;Qid=1711279&amp;Row=5192&amp;Col=1","No Title Assigned - #15269396588")</f>
        <v/>
      </c>
      <c r="B5200" s="0" t="s">
        <v>7067</v>
      </c>
      <c r="C5200" s="0" t="s">
        <v>7068</v>
      </c>
      <c r="D5200" s="0" t="s">
        <v>7068</v>
      </c>
      <c r="E5200" s="0" t="inlineStr">
        <is>
          <t xml:space="preserve">Mazda</t>
        </is>
      </c>
      <c r="F5200" s="0" t="s">
        <v>13</v>
      </c>
      <c r="G5200" s="0" t="s">
        <v>49</v>
      </c>
      <c r="H5200" s="5">
        <v>824.167600</v>
      </c>
    </row>
    <row r="5201" spans="1:9">
      <c r="A5201" s="22" t="str">
        <f>HYPERLINK("https://app.vivvix.com/360/KMI/IntelliDrive/ApplUI/Pages/CreativePages/CustomReportCreativeDetail.aspx?App=23&amp;ReportView=4&amp;Qid=1711279&amp;Row=5193&amp;Col=1","No Title Assigned - #15269397472")</f>
        <v/>
      </c>
      <c r="B5201" s="0" t="s">
        <v>7069</v>
      </c>
      <c r="C5201" s="0" t="s">
        <v>7070</v>
      </c>
      <c r="D5201" s="0" t="s">
        <v>7070</v>
      </c>
      <c r="E5201" s="0" t="inlineStr">
        <is>
          <t xml:space="preserve">Mazda</t>
        </is>
      </c>
      <c r="F5201" s="0" t="s">
        <v>28</v>
      </c>
      <c r="G5201" s="0" t="s">
        <v>29</v>
      </c>
      <c r="H5201" s="5">
        <v>821.568900</v>
      </c>
    </row>
    <row r="5202" spans="1:9">
      <c r="A5202" s="22" t="str">
        <f>HYPERLINK("https://app.vivvix.com/360/KMI/IntelliDrive/ApplUI/Pages/CreativePages/CustomReportCreativeDetail.aspx?App=23&amp;ReportView=4&amp;Qid=1711279&amp;Row=5194&amp;Col=1","No Title Assigned - #15269398657")</f>
        <v/>
      </c>
      <c r="B5202" s="0" t="s">
        <v>7071</v>
      </c>
      <c r="C5202" s="0" t="s">
        <v>7072</v>
      </c>
      <c r="D5202" s="0" t="s">
        <v>7072</v>
      </c>
      <c r="E5202" s="0" t="inlineStr">
        <is>
          <t xml:space="preserve">Mazda</t>
        </is>
      </c>
      <c r="F5202" s="0" t="s">
        <v>13</v>
      </c>
      <c r="G5202" s="0" t="s">
        <v>49</v>
      </c>
      <c r="H5202" s="5">
        <v>1006.495800</v>
      </c>
    </row>
    <row r="5203" spans="1:9">
      <c r="A5203" s="22" t="str">
        <f>HYPERLINK("https://app.vivvix.com/360/KMI/IntelliDrive/ApplUI/Pages/CreativePages/CustomReportCreativeDetail.aspx?App=23&amp;ReportView=4&amp;Qid=1711279&amp;Row=5195&amp;Col=1","No Title Assigned - #15269398657")</f>
        <v/>
      </c>
      <c r="B5203" s="0" t="s">
        <v>7071</v>
      </c>
      <c r="E5203" s="0" t="inlineStr">
        <is>
          <t xml:space="preserve">Mazda</t>
        </is>
      </c>
      <c r="F5203" s="0" t="s">
        <v>13</v>
      </c>
      <c r="G5203" s="0" t="s">
        <v>49</v>
      </c>
      <c r="H5203" s="5">
        <v>648.424600</v>
      </c>
    </row>
    <row r="5204" spans="1:9">
      <c r="A5204" s="22" t="str">
        <f>HYPERLINK("https://app.vivvix.com/360/KMI/IntelliDrive/ApplUI/Pages/CreativePages/CustomReportCreativeDetail.aspx?App=23&amp;ReportView=4&amp;Qid=1711279&amp;Row=5196&amp;Col=1","No Title Assigned - #15269399824")</f>
        <v/>
      </c>
      <c r="B5204" s="0" t="s">
        <v>7073</v>
      </c>
      <c r="C5204" s="0" t="s">
        <v>7074</v>
      </c>
      <c r="D5204" s="0" t="s">
        <v>7074</v>
      </c>
      <c r="E5204" s="0" t="inlineStr">
        <is>
          <t xml:space="preserve">Mazda</t>
        </is>
      </c>
      <c r="F5204" s="0" t="s">
        <v>17</v>
      </c>
      <c r="G5204" s="0" t="s">
        <v>33</v>
      </c>
      <c r="H5204" s="5">
        <v>1272.669000</v>
      </c>
    </row>
    <row r="5205" spans="1:9">
      <c r="A5205" s="22" t="str">
        <f>HYPERLINK("https://app.vivvix.com/360/KMI/IntelliDrive/ApplUI/Pages/CreativePages/CustomReportCreativeDetail.aspx?App=23&amp;ReportView=4&amp;Qid=1711279&amp;Row=5197&amp;Col=1","No Title Assigned - #15269399992")</f>
        <v/>
      </c>
      <c r="B5205" s="0" t="s">
        <v>7075</v>
      </c>
      <c r="C5205" s="0" t="s">
        <v>7076</v>
      </c>
      <c r="D5205" s="0" t="s">
        <v>4202</v>
      </c>
      <c r="E5205" s="0" t="inlineStr">
        <is>
          <t xml:space="preserve">Mazda</t>
        </is>
      </c>
      <c r="F5205" s="0" t="s">
        <v>28</v>
      </c>
      <c r="G5205" s="0" t="s">
        <v>29</v>
      </c>
      <c r="H5205" s="5">
        <v>15.386800</v>
      </c>
    </row>
    <row r="5206" spans="1:9">
      <c r="A5206" s="22" t="str">
        <f>HYPERLINK("https://app.vivvix.com/360/KMI/IntelliDrive/ApplUI/Pages/CreativePages/CustomReportCreativeDetail.aspx?App=23&amp;ReportView=4&amp;Qid=1711279&amp;Row=5198&amp;Col=1","No Title Assigned - #15269401211")</f>
        <v/>
      </c>
      <c r="B5206" s="0" t="s">
        <v>7077</v>
      </c>
      <c r="C5206" s="0" t="s">
        <v>7078</v>
      </c>
      <c r="D5206" s="0" t="s">
        <v>7078</v>
      </c>
      <c r="E5206" s="0" t="inlineStr">
        <is>
          <t xml:space="preserve">Mazda</t>
        </is>
      </c>
      <c r="F5206" s="0" t="inlineStr">
        <is>
          <t xml:space="preserve">Mazda</t>
        </is>
      </c>
      <c r="G5206" s="0" t="s">
        <v>171</v>
      </c>
      <c r="H5206" s="5">
        <v>44.794000</v>
      </c>
    </row>
    <row r="5207" spans="1:9">
      <c r="A5207" s="22" t="str">
        <f>HYPERLINK("https://app.vivvix.com/360/KMI/IntelliDrive/ApplUI/Pages/CreativePages/CustomReportCreativeDetail.aspx?App=23&amp;ReportView=4&amp;Qid=1711279&amp;Row=5199&amp;Col=1","No Title Assigned - #15269401211")</f>
        <v/>
      </c>
      <c r="B5207" s="0" t="s">
        <v>7077</v>
      </c>
      <c r="E5207" s="0" t="inlineStr">
        <is>
          <t xml:space="preserve">Mazda</t>
        </is>
      </c>
      <c r="F5207" s="0" t="inlineStr">
        <is>
          <t xml:space="preserve">Mazda</t>
        </is>
      </c>
      <c r="G5207" s="0" t="s">
        <v>171</v>
      </c>
      <c r="H5207" s="5">
        <v>34.926600</v>
      </c>
    </row>
    <row r="5208" spans="1:9">
      <c r="A5208" s="22" t="str">
        <f>HYPERLINK("https://app.vivvix.com/360/KMI/IntelliDrive/ApplUI/Pages/CreativePages/CustomReportCreativeDetail.aspx?App=23&amp;ReportView=4&amp;Qid=1711279&amp;Row=5200&amp;Col=1","No Title Assigned - #15269401954")</f>
        <v/>
      </c>
      <c r="B5208" s="0" t="s">
        <v>7079</v>
      </c>
      <c r="E5208" s="0" t="inlineStr">
        <is>
          <t xml:space="preserve">Mazda</t>
        </is>
      </c>
      <c r="F5208" s="0" t="inlineStr">
        <is>
          <t xml:space="preserve">Mazda</t>
        </is>
      </c>
      <c r="G5208" s="0" t="s">
        <v>171</v>
      </c>
      <c r="H5208" s="5">
        <v>566.870800</v>
      </c>
    </row>
    <row r="5209" spans="1:9">
      <c r="A5209" s="22" t="str">
        <f>HYPERLINK("https://app.vivvix.com/360/KMI/IntelliDrive/ApplUI/Pages/CreativePages/CustomReportCreativeDetail.aspx?App=23&amp;ReportView=4&amp;Qid=1711279&amp;Row=5201&amp;Col=1","No Title Assigned - #15269402125")</f>
        <v/>
      </c>
      <c r="B5209" s="0" t="s">
        <v>7080</v>
      </c>
      <c r="E5209" s="0" t="inlineStr">
        <is>
          <t xml:space="preserve">Mazda</t>
        </is>
      </c>
      <c r="F5209" s="0" t="s">
        <v>13</v>
      </c>
      <c r="G5209" s="0" t="s">
        <v>49</v>
      </c>
      <c r="H5209" s="5">
        <v>119.389400</v>
      </c>
    </row>
    <row r="5210" spans="1:9">
      <c r="A5210" s="22" t="str">
        <f>HYPERLINK("https://app.vivvix.com/360/KMI/IntelliDrive/ApplUI/Pages/CreativePages/CustomReportCreativeDetail.aspx?App=23&amp;ReportView=4&amp;Qid=1711279&amp;Row=5202&amp;Col=1","No Title Assigned - #15269402125")</f>
        <v/>
      </c>
      <c r="B5210" s="0" t="s">
        <v>7080</v>
      </c>
      <c r="C5210" s="0" t="s">
        <v>7081</v>
      </c>
      <c r="D5210" s="0" t="s">
        <v>7081</v>
      </c>
      <c r="E5210" s="0" t="inlineStr">
        <is>
          <t xml:space="preserve">Mazda</t>
        </is>
      </c>
      <c r="F5210" s="0" t="s">
        <v>13</v>
      </c>
      <c r="G5210" s="0" t="s">
        <v>49</v>
      </c>
      <c r="H5210" s="5">
        <v>27187.541400</v>
      </c>
    </row>
    <row r="5211" spans="1:9">
      <c r="A5211" s="22" t="str">
        <f>HYPERLINK("https://app.vivvix.com/360/KMI/IntelliDrive/ApplUI/Pages/CreativePages/CustomReportCreativeDetail.aspx?App=23&amp;ReportView=4&amp;Qid=1711279&amp;Row=5203&amp;Col=1","No Title Assigned - #15269402884")</f>
        <v/>
      </c>
      <c r="B5211" s="0" t="s">
        <v>7082</v>
      </c>
      <c r="C5211" s="0" t="s">
        <v>7083</v>
      </c>
      <c r="D5211" s="0" t="s">
        <v>7083</v>
      </c>
      <c r="E5211" s="0" t="inlineStr">
        <is>
          <t xml:space="preserve">Mazda</t>
        </is>
      </c>
      <c r="F5211" s="0" t="s">
        <v>28</v>
      </c>
      <c r="G5211" s="0" t="s">
        <v>29</v>
      </c>
      <c r="H5211" s="5">
        <v>817.146100</v>
      </c>
    </row>
    <row r="5212" spans="1:9">
      <c r="A5212" s="22" t="str">
        <f>HYPERLINK("https://app.vivvix.com/360/KMI/IntelliDrive/ApplUI/Pages/CreativePages/CustomReportCreativeDetail.aspx?App=23&amp;ReportView=4&amp;Qid=1711279&amp;Row=5204&amp;Col=1","No Title Assigned - #15269403081")</f>
        <v/>
      </c>
      <c r="B5212" s="0" t="s">
        <v>7084</v>
      </c>
      <c r="C5212" s="0" t="s">
        <v>7085</v>
      </c>
      <c r="D5212" s="0" t="s">
        <v>7085</v>
      </c>
      <c r="E5212" s="0" t="inlineStr">
        <is>
          <t xml:space="preserve">Mazda</t>
        </is>
      </c>
      <c r="F5212" s="0" t="s">
        <v>28</v>
      </c>
      <c r="G5212" s="0" t="s">
        <v>29</v>
      </c>
      <c r="H5212" s="5">
        <v>829.575600</v>
      </c>
    </row>
    <row r="5213" spans="1:9">
      <c r="A5213" s="22" t="str">
        <f>HYPERLINK("https://app.vivvix.com/360/KMI/IntelliDrive/ApplUI/Pages/CreativePages/CustomReportCreativeDetail.aspx?App=23&amp;ReportView=4&amp;Qid=1711279&amp;Row=5205&amp;Col=1","No Title Assigned - #15269403081")</f>
        <v/>
      </c>
      <c r="B5213" s="0" t="s">
        <v>7084</v>
      </c>
      <c r="E5213" s="0" t="inlineStr">
        <is>
          <t xml:space="preserve">Mazda</t>
        </is>
      </c>
      <c r="F5213" s="0" t="s">
        <v>28</v>
      </c>
      <c r="G5213" s="0" t="s">
        <v>29</v>
      </c>
      <c r="H5213" s="5">
        <v>85.208100</v>
      </c>
    </row>
    <row r="5214" spans="1:9">
      <c r="A5214" s="22" t="str">
        <f>HYPERLINK("https://app.vivvix.com/360/KMI/IntelliDrive/ApplUI/Pages/CreativePages/CustomReportCreativeDetail.aspx?App=23&amp;ReportView=4&amp;Qid=1711279&amp;Row=5206&amp;Col=1","No Title Assigned - #15269403237")</f>
        <v/>
      </c>
      <c r="B5214" s="0" t="s">
        <v>7086</v>
      </c>
      <c r="E5214" s="0" t="inlineStr">
        <is>
          <t xml:space="preserve">Mazda</t>
        </is>
      </c>
      <c r="F5214" s="0" t="s">
        <v>28</v>
      </c>
      <c r="G5214" s="0" t="s">
        <v>29</v>
      </c>
      <c r="H5214" s="5">
        <v>1128.418100</v>
      </c>
    </row>
    <row r="5215" spans="1:9">
      <c r="A5215" s="22" t="str">
        <f>HYPERLINK("https://app.vivvix.com/360/KMI/IntelliDrive/ApplUI/Pages/CreativePages/CustomReportCreativeDetail.aspx?App=23&amp;ReportView=4&amp;Qid=1711279&amp;Row=5207&amp;Col=1","No Title Assigned - #15269403418")</f>
        <v/>
      </c>
      <c r="B5215" s="0" t="s">
        <v>7087</v>
      </c>
      <c r="C5215" s="0" t="s">
        <v>7088</v>
      </c>
      <c r="D5215" s="0" t="s">
        <v>7088</v>
      </c>
      <c r="E5215" s="0" t="inlineStr">
        <is>
          <t xml:space="preserve">Mazda</t>
        </is>
      </c>
      <c r="F5215" s="0" t="s">
        <v>13</v>
      </c>
      <c r="G5215" s="0" t="s">
        <v>49</v>
      </c>
      <c r="H5215" s="5">
        <v>86.560200</v>
      </c>
    </row>
    <row r="5216" spans="1:9">
      <c r="A5216" s="22" t="str">
        <f>HYPERLINK("https://app.vivvix.com/360/KMI/IntelliDrive/ApplUI/Pages/CreativePages/CustomReportCreativeDetail.aspx?App=23&amp;ReportView=4&amp;Qid=1711279&amp;Row=5208&amp;Col=1","No Title Assigned - #15269403700")</f>
        <v/>
      </c>
      <c r="B5216" s="0" t="s">
        <v>7089</v>
      </c>
      <c r="E5216" s="0" t="inlineStr">
        <is>
          <t xml:space="preserve">Mazda</t>
        </is>
      </c>
      <c r="F5216" s="0" t="s">
        <v>28</v>
      </c>
      <c r="G5216" s="0" t="s">
        <v>29</v>
      </c>
      <c r="H5216" s="5">
        <v>10.711000</v>
      </c>
    </row>
    <row r="5217" spans="1:9">
      <c r="A5217" s="22" t="str">
        <f>HYPERLINK("https://app.vivvix.com/360/KMI/IntelliDrive/ApplUI/Pages/CreativePages/CustomReportCreativeDetail.aspx?App=23&amp;ReportView=4&amp;Qid=1711279&amp;Row=5209&amp;Col=1","No Title Assigned - #15269403932")</f>
        <v/>
      </c>
      <c r="B5217" s="0" t="s">
        <v>7090</v>
      </c>
      <c r="E5217" s="0" t="inlineStr">
        <is>
          <t xml:space="preserve">Mazda</t>
        </is>
      </c>
      <c r="F5217" s="0" t="s">
        <v>28</v>
      </c>
      <c r="G5217" s="0" t="s">
        <v>29</v>
      </c>
      <c r="H5217" s="5">
        <v>15251.135200</v>
      </c>
    </row>
    <row r="5218" spans="1:9">
      <c r="A5218" s="22" t="str">
        <f>HYPERLINK("https://app.vivvix.com/360/KMI/IntelliDrive/ApplUI/Pages/CreativePages/CustomReportCreativeDetail.aspx?App=23&amp;ReportView=4&amp;Qid=1711279&amp;Row=5210&amp;Col=1","No Title Assigned - #15269403932")</f>
        <v/>
      </c>
      <c r="B5218" s="0" t="s">
        <v>7090</v>
      </c>
      <c r="E5218" s="0" t="inlineStr">
        <is>
          <t xml:space="preserve">Mazda</t>
        </is>
      </c>
      <c r="F5218" s="0" t="s">
        <v>28</v>
      </c>
      <c r="G5218" s="0" t="s">
        <v>29</v>
      </c>
      <c r="H5218" s="5">
        <v>18.226700</v>
      </c>
    </row>
    <row r="5219" spans="1:9">
      <c r="A5219" s="22" t="str">
        <f>HYPERLINK("https://app.vivvix.com/360/KMI/IntelliDrive/ApplUI/Pages/CreativePages/CustomReportCreativeDetail.aspx?App=23&amp;ReportView=4&amp;Qid=1711279&amp;Row=5211&amp;Col=1","No Title Assigned - #15269404275")</f>
        <v/>
      </c>
      <c r="B5219" s="0" t="s">
        <v>7091</v>
      </c>
      <c r="E5219" s="0" t="inlineStr">
        <is>
          <t xml:space="preserve">Mazda</t>
        </is>
      </c>
      <c r="F5219" s="0" t="inlineStr">
        <is>
          <t xml:space="preserve">Mazda</t>
        </is>
      </c>
      <c r="G5219" s="0" t="s">
        <v>171</v>
      </c>
      <c r="H5219" s="5">
        <v>13.290700</v>
      </c>
    </row>
    <row r="5220" spans="1:9">
      <c r="A5220" s="22" t="str">
        <f>HYPERLINK("https://app.vivvix.com/360/KMI/IntelliDrive/ApplUI/Pages/CreativePages/CustomReportCreativeDetail.aspx?App=23&amp;ReportView=4&amp;Qid=1711279&amp;Row=5212&amp;Col=1","No Title Assigned - #15269404363")</f>
        <v/>
      </c>
      <c r="B5220" s="0" t="s">
        <v>7092</v>
      </c>
      <c r="E5220" s="0" t="inlineStr">
        <is>
          <t xml:space="preserve">Mazda</t>
        </is>
      </c>
      <c r="F5220" s="0" t="inlineStr">
        <is>
          <t xml:space="preserve">Mazda</t>
        </is>
      </c>
      <c r="G5220" s="0" t="s">
        <v>171</v>
      </c>
      <c r="H5220" s="5">
        <v>16.917800</v>
      </c>
    </row>
    <row r="5221" spans="1:9">
      <c r="A5221" s="22" t="str">
        <f>HYPERLINK("https://app.vivvix.com/360/KMI/IntelliDrive/ApplUI/Pages/CreativePages/CustomReportCreativeDetail.aspx?App=23&amp;ReportView=4&amp;Qid=1711279&amp;Row=5213&amp;Col=1","No Title Assigned - #15269404460")</f>
        <v/>
      </c>
      <c r="B5221" s="0" t="s">
        <v>7093</v>
      </c>
      <c r="E5221" s="0" t="inlineStr">
        <is>
          <t xml:space="preserve">Mazda</t>
        </is>
      </c>
      <c r="F5221" s="0" t="s">
        <v>28</v>
      </c>
      <c r="G5221" s="0" t="s">
        <v>29</v>
      </c>
      <c r="H5221" s="5">
        <v>15.534200</v>
      </c>
    </row>
    <row r="5222" spans="1:9">
      <c r="A5222" s="22" t="str">
        <f>HYPERLINK("https://app.vivvix.com/360/KMI/IntelliDrive/ApplUI/Pages/CreativePages/CustomReportCreativeDetail.aspx?App=23&amp;ReportView=4&amp;Qid=1711279&amp;Row=5214&amp;Col=1","No Title Assigned - #15269404779")</f>
        <v/>
      </c>
      <c r="B5222" s="0" t="s">
        <v>7094</v>
      </c>
      <c r="C5222" s="0" t="s">
        <v>7095</v>
      </c>
      <c r="D5222" s="0" t="s">
        <v>7095</v>
      </c>
      <c r="E5222" s="0" t="inlineStr">
        <is>
          <t xml:space="preserve">Mazda</t>
        </is>
      </c>
      <c r="F5222" s="0" t="s">
        <v>28</v>
      </c>
      <c r="G5222" s="0" t="s">
        <v>29</v>
      </c>
      <c r="H5222" s="5">
        <v>130.896400</v>
      </c>
    </row>
    <row r="5223" spans="1:9">
      <c r="A5223" s="22" t="str">
        <f>HYPERLINK("https://app.vivvix.com/360/KMI/IntelliDrive/ApplUI/Pages/CreativePages/CustomReportCreativeDetail.aspx?App=23&amp;ReportView=4&amp;Qid=1711279&amp;Row=5215&amp;Col=1","No Title Assigned - #15269404806")</f>
        <v/>
      </c>
      <c r="B5223" s="0" t="s">
        <v>7096</v>
      </c>
      <c r="C5223" s="0" t="s">
        <v>7097</v>
      </c>
      <c r="D5223" s="0" t="s">
        <v>7097</v>
      </c>
      <c r="E5223" s="0" t="inlineStr">
        <is>
          <t xml:space="preserve">Mazda</t>
        </is>
      </c>
      <c r="F5223" s="0" t="s">
        <v>28</v>
      </c>
      <c r="G5223" s="0" t="s">
        <v>29</v>
      </c>
      <c r="H5223" s="5">
        <v>193.937900</v>
      </c>
    </row>
    <row r="5224" spans="1:9">
      <c r="A5224" s="22" t="str">
        <f>HYPERLINK("https://app.vivvix.com/360/KMI/IntelliDrive/ApplUI/Pages/CreativePages/CustomReportCreativeDetail.aspx?App=23&amp;ReportView=4&amp;Qid=1711279&amp;Row=5216&amp;Col=1","No Title Assigned - #15269404807")</f>
        <v/>
      </c>
      <c r="B5224" s="0" t="s">
        <v>7098</v>
      </c>
      <c r="C5224" s="0" t="s">
        <v>7099</v>
      </c>
      <c r="D5224" s="0" t="s">
        <v>7099</v>
      </c>
      <c r="E5224" s="0" t="inlineStr">
        <is>
          <t xml:space="preserve">Mazda</t>
        </is>
      </c>
      <c r="F5224" s="0" t="s">
        <v>28</v>
      </c>
      <c r="G5224" s="0" t="s">
        <v>29</v>
      </c>
      <c r="H5224" s="5">
        <v>193.937900</v>
      </c>
    </row>
    <row r="5225" spans="1:9">
      <c r="A5225" s="22" t="str">
        <f>HYPERLINK("https://app.vivvix.com/360/KMI/IntelliDrive/ApplUI/Pages/CreativePages/CustomReportCreativeDetail.aspx?App=23&amp;ReportView=4&amp;Qid=1711279&amp;Row=5217&amp;Col=1","No Title Assigned - #15269405009")</f>
        <v/>
      </c>
      <c r="B5225" s="0" t="s">
        <v>7100</v>
      </c>
      <c r="C5225" s="0" t="s">
        <v>7101</v>
      </c>
      <c r="D5225" s="0" t="s">
        <v>7101</v>
      </c>
      <c r="E5225" s="0" t="inlineStr">
        <is>
          <t xml:space="preserve">Mazda</t>
        </is>
      </c>
      <c r="F5225" s="0" t="s">
        <v>28</v>
      </c>
      <c r="G5225" s="0" t="s">
        <v>29</v>
      </c>
      <c r="H5225" s="5">
        <v>72.906800</v>
      </c>
    </row>
    <row r="5226" spans="1:9">
      <c r="A5226" s="22" t="str">
        <f>HYPERLINK("https://app.vivvix.com/360/KMI/IntelliDrive/ApplUI/Pages/CreativePages/CustomReportCreativeDetail.aspx?App=23&amp;ReportView=4&amp;Qid=1711279&amp;Row=5218&amp;Col=1","No Title Assigned - #15269405048")</f>
        <v/>
      </c>
      <c r="B5226" s="0" t="s">
        <v>7102</v>
      </c>
      <c r="C5226" s="0" t="s">
        <v>7103</v>
      </c>
      <c r="D5226" s="0" t="s">
        <v>4200</v>
      </c>
      <c r="E5226" s="0" t="inlineStr">
        <is>
          <t xml:space="preserve">Mazda</t>
        </is>
      </c>
      <c r="F5226" s="0" t="s">
        <v>28</v>
      </c>
      <c r="G5226" s="0" t="s">
        <v>29</v>
      </c>
      <c r="H5226" s="5">
        <v>138.667800</v>
      </c>
    </row>
    <row r="5227" spans="1:9">
      <c r="A5227" s="22" t="str">
        <f>HYPERLINK("https://app.vivvix.com/360/KMI/IntelliDrive/ApplUI/Pages/CreativePages/CustomReportCreativeDetail.aspx?App=23&amp;ReportView=4&amp;Qid=1711279&amp;Row=5219&amp;Col=1","No Title Assigned - #15269405180")</f>
        <v/>
      </c>
      <c r="B5227" s="0" t="s">
        <v>7104</v>
      </c>
      <c r="E5227" s="0" t="inlineStr">
        <is>
          <t xml:space="preserve">Mazda</t>
        </is>
      </c>
      <c r="F5227" s="0" t="s">
        <v>28</v>
      </c>
      <c r="G5227" s="0" t="s">
        <v>29</v>
      </c>
      <c r="H5227" s="5">
        <v>507.042200</v>
      </c>
    </row>
    <row r="5228" spans="1:9">
      <c r="A5228" s="22" t="str">
        <f>HYPERLINK("https://app.vivvix.com/360/KMI/IntelliDrive/ApplUI/Pages/CreativePages/CustomReportCreativeDetail.aspx?App=23&amp;ReportView=4&amp;Qid=1711279&amp;Row=5220&amp;Col=1","No Title Assigned - #15269405190")</f>
        <v/>
      </c>
      <c r="B5228" s="0" t="s">
        <v>7105</v>
      </c>
      <c r="C5228" s="0" t="s">
        <v>7106</v>
      </c>
      <c r="D5228" s="0" t="s">
        <v>7106</v>
      </c>
      <c r="E5228" s="0" t="inlineStr">
        <is>
          <t xml:space="preserve">Mazda</t>
        </is>
      </c>
      <c r="F5228" s="0" t="s">
        <v>13</v>
      </c>
      <c r="G5228" s="0" t="s">
        <v>49</v>
      </c>
      <c r="H5228" s="5">
        <v>86.560200</v>
      </c>
    </row>
    <row r="5229" spans="1:9">
      <c r="A5229" s="22" t="str">
        <f>HYPERLINK("https://app.vivvix.com/360/KMI/IntelliDrive/ApplUI/Pages/CreativePages/CustomReportCreativeDetail.aspx?App=23&amp;ReportView=4&amp;Qid=1711279&amp;Row=5221&amp;Col=1","No Title Assigned - #15269405586")</f>
        <v/>
      </c>
      <c r="B5229" s="0" t="s">
        <v>7107</v>
      </c>
      <c r="E5229" s="0" t="inlineStr">
        <is>
          <t xml:space="preserve">Mazda</t>
        </is>
      </c>
      <c r="F5229" s="0" t="s">
        <v>28</v>
      </c>
      <c r="G5229" s="0" t="s">
        <v>29</v>
      </c>
      <c r="H5229" s="5">
        <v>230.858200</v>
      </c>
    </row>
    <row r="5230" spans="1:9">
      <c r="A5230" s="22" t="str">
        <f>HYPERLINK("https://app.vivvix.com/360/KMI/IntelliDrive/ApplUI/Pages/CreativePages/CustomReportCreativeDetail.aspx?App=23&amp;ReportView=4&amp;Qid=1711279&amp;Row=5222&amp;Col=1","No Title Assigned - #15269406214")</f>
        <v/>
      </c>
      <c r="B5230" s="0" t="s">
        <v>7108</v>
      </c>
      <c r="E5230" s="0" t="inlineStr">
        <is>
          <t xml:space="preserve">Mazda</t>
        </is>
      </c>
      <c r="F5230" s="0" t="inlineStr">
        <is>
          <t xml:space="preserve">Mazda</t>
        </is>
      </c>
      <c r="G5230" s="0" t="s">
        <v>171</v>
      </c>
      <c r="H5230" s="5">
        <v>122.243100</v>
      </c>
    </row>
    <row r="5231" spans="1:9">
      <c r="A5231" s="22" t="str">
        <f>HYPERLINK("https://app.vivvix.com/360/KMI/IntelliDrive/ApplUI/Pages/CreativePages/CustomReportCreativeDetail.aspx?App=23&amp;ReportView=4&amp;Qid=1711279&amp;Row=5223&amp;Col=1","No Title Assigned - #15269406310")</f>
        <v/>
      </c>
      <c r="B5231" s="0" t="s">
        <v>7109</v>
      </c>
      <c r="E5231" s="0" t="inlineStr">
        <is>
          <t xml:space="preserve">Mazda</t>
        </is>
      </c>
      <c r="F5231" s="0" t="inlineStr">
        <is>
          <t xml:space="preserve">Mazda</t>
        </is>
      </c>
      <c r="G5231" s="0" t="s">
        <v>171</v>
      </c>
      <c r="H5231" s="5">
        <v>24.554900</v>
      </c>
    </row>
    <row r="5232" spans="1:9">
      <c r="A5232" s="22" t="str">
        <f>HYPERLINK("https://app.vivvix.com/360/KMI/IntelliDrive/ApplUI/Pages/CreativePages/CustomReportCreativeDetail.aspx?App=23&amp;ReportView=4&amp;Qid=1711279&amp;Row=5224&amp;Col=1","No Title Assigned - #15269406334")</f>
        <v/>
      </c>
      <c r="B5232" s="0" t="s">
        <v>7110</v>
      </c>
      <c r="E5232" s="0" t="inlineStr">
        <is>
          <t xml:space="preserve">Mazda</t>
        </is>
      </c>
      <c r="F5232" s="0" t="inlineStr">
        <is>
          <t xml:space="preserve">Mazda</t>
        </is>
      </c>
      <c r="G5232" s="0" t="s">
        <v>171</v>
      </c>
      <c r="H5232" s="5">
        <v>11.347300</v>
      </c>
    </row>
    <row r="5233" spans="1:9">
      <c r="A5233" s="22" t="str">
        <f>HYPERLINK("https://app.vivvix.com/360/KMI/IntelliDrive/ApplUI/Pages/CreativePages/CustomReportCreativeDetail.aspx?App=23&amp;ReportView=4&amp;Qid=1711279&amp;Row=5225&amp;Col=1","No Title Assigned - #15269407080")</f>
        <v/>
      </c>
      <c r="B5233" s="0" t="s">
        <v>7111</v>
      </c>
      <c r="E5233" s="0" t="inlineStr">
        <is>
          <t xml:space="preserve">Mazda</t>
        </is>
      </c>
      <c r="F5233" s="0" t="inlineStr">
        <is>
          <t xml:space="preserve">Mazda</t>
        </is>
      </c>
      <c r="G5233" s="0" t="s">
        <v>171</v>
      </c>
      <c r="H5233" s="5">
        <v>157.169700</v>
      </c>
    </row>
    <row r="5234" spans="1:9">
      <c r="A5234" s="22" t="str">
        <f>HYPERLINK("https://app.vivvix.com/360/KMI/IntelliDrive/ApplUI/Pages/CreativePages/CustomReportCreativeDetail.aspx?App=23&amp;ReportView=4&amp;Qid=1711279&amp;Row=5226&amp;Col=1","No Title Assigned - #15269407166")</f>
        <v/>
      </c>
      <c r="B5234" s="0" t="s">
        <v>7112</v>
      </c>
      <c r="E5234" s="0" t="inlineStr">
        <is>
          <t xml:space="preserve">Mazda</t>
        </is>
      </c>
      <c r="F5234" s="0" t="inlineStr">
        <is>
          <t xml:space="preserve">Mazda</t>
        </is>
      </c>
      <c r="G5234" s="0" t="s">
        <v>171</v>
      </c>
      <c r="H5234" s="5">
        <v>17.463300</v>
      </c>
    </row>
    <row r="5235" spans="1:9">
      <c r="A5235" s="22" t="str">
        <f>HYPERLINK("https://app.vivvix.com/360/KMI/IntelliDrive/ApplUI/Pages/CreativePages/CustomReportCreativeDetail.aspx?App=23&amp;ReportView=4&amp;Qid=1711279&amp;Row=5227&amp;Col=1","No Title Assigned - #15269407527")</f>
        <v/>
      </c>
      <c r="B5235" s="0" t="s">
        <v>7113</v>
      </c>
      <c r="E5235" s="0" t="inlineStr">
        <is>
          <t xml:space="preserve">Mazda</t>
        </is>
      </c>
      <c r="F5235" s="0" t="inlineStr">
        <is>
          <t xml:space="preserve">Mazda</t>
        </is>
      </c>
      <c r="G5235" s="0" t="s">
        <v>171</v>
      </c>
      <c r="H5235" s="5">
        <v>528.401700</v>
      </c>
    </row>
    <row r="5236" spans="1:9">
      <c r="A5236" s="22" t="str">
        <f>HYPERLINK("https://app.vivvix.com/360/KMI/IntelliDrive/ApplUI/Pages/CreativePages/CustomReportCreativeDetail.aspx?App=23&amp;ReportView=4&amp;Qid=1711279&amp;Row=5228&amp;Col=1","No Title Assigned - #15269408442")</f>
        <v/>
      </c>
      <c r="B5236" s="0" t="s">
        <v>7114</v>
      </c>
      <c r="E5236" s="0" t="inlineStr">
        <is>
          <t xml:space="preserve">Mazda</t>
        </is>
      </c>
      <c r="F5236" s="0" t="inlineStr">
        <is>
          <t xml:space="preserve">Mazda</t>
        </is>
      </c>
      <c r="G5236" s="0" t="s">
        <v>171</v>
      </c>
      <c r="H5236" s="5">
        <v>30.726700</v>
      </c>
    </row>
    <row r="5237" spans="1:9">
      <c r="A5237" s="22" t="str">
        <f>HYPERLINK("https://app.vivvix.com/360/KMI/IntelliDrive/ApplUI/Pages/CreativePages/CustomReportCreativeDetail.aspx?App=23&amp;ReportView=4&amp;Qid=1711279&amp;Row=5229&amp;Col=1","No Title Assigned - #15269408641")</f>
        <v/>
      </c>
      <c r="B5237" s="0" t="s">
        <v>7115</v>
      </c>
      <c r="E5237" s="0" t="inlineStr">
        <is>
          <t xml:space="preserve">Mazda</t>
        </is>
      </c>
      <c r="F5237" s="0" t="inlineStr">
        <is>
          <t xml:space="preserve">Mazda</t>
        </is>
      </c>
      <c r="G5237" s="0" t="s">
        <v>171</v>
      </c>
      <c r="H5237" s="5">
        <v>17.305100</v>
      </c>
    </row>
    <row r="5238" spans="1:9">
      <c r="A5238" s="22" t="str">
        <f>HYPERLINK("https://app.vivvix.com/360/KMI/IntelliDrive/ApplUI/Pages/CreativePages/CustomReportCreativeDetail.aspx?App=23&amp;ReportView=4&amp;Qid=1711279&amp;Row=5230&amp;Col=1","No Title Assigned - #15269408712")</f>
        <v/>
      </c>
      <c r="B5238" s="0" t="s">
        <v>7116</v>
      </c>
      <c r="E5238" s="0" t="inlineStr">
        <is>
          <t xml:space="preserve">Mazda</t>
        </is>
      </c>
      <c r="F5238" s="0" t="inlineStr">
        <is>
          <t xml:space="preserve">Mazda</t>
        </is>
      </c>
      <c r="G5238" s="0" t="s">
        <v>171</v>
      </c>
      <c r="H5238" s="5">
        <v>8.558200</v>
      </c>
    </row>
    <row r="5239" spans="1:9">
      <c r="A5239" s="22" t="str">
        <f>HYPERLINK("https://app.vivvix.com/360/KMI/IntelliDrive/ApplUI/Pages/CreativePages/CustomReportCreativeDetail.aspx?App=23&amp;ReportView=4&amp;Qid=1711279&amp;Row=5231&amp;Col=1","No Title Assigned - #15269409182")</f>
        <v/>
      </c>
      <c r="B5239" s="0" t="s">
        <v>7117</v>
      </c>
      <c r="E5239" s="0" t="inlineStr">
        <is>
          <t xml:space="preserve">Mazda</t>
        </is>
      </c>
      <c r="F5239" s="0" t="inlineStr">
        <is>
          <t xml:space="preserve">Mazda</t>
        </is>
      </c>
      <c r="G5239" s="0" t="s">
        <v>171</v>
      </c>
      <c r="H5239" s="5">
        <v>879.061600</v>
      </c>
    </row>
    <row r="5240" spans="1:9">
      <c r="A5240" s="22" t="str">
        <f>HYPERLINK("https://app.vivvix.com/360/KMI/IntelliDrive/ApplUI/Pages/CreativePages/CustomReportCreativeDetail.aspx?App=23&amp;ReportView=4&amp;Qid=1711279&amp;Row=5232&amp;Col=1","No Title Assigned - #15269409667")</f>
        <v/>
      </c>
      <c r="B5240" s="0" t="s">
        <v>7118</v>
      </c>
      <c r="E5240" s="0" t="inlineStr">
        <is>
          <t xml:space="preserve">Mazda</t>
        </is>
      </c>
      <c r="F5240" s="0" t="inlineStr">
        <is>
          <t xml:space="preserve">Mazda</t>
        </is>
      </c>
      <c r="G5240" s="0" t="s">
        <v>171</v>
      </c>
      <c r="H5240" s="5">
        <v>1680.843900</v>
      </c>
    </row>
    <row r="5241" spans="1:9">
      <c r="A5241" s="22" t="str">
        <f>HYPERLINK("https://app.vivvix.com/360/KMI/IntelliDrive/ApplUI/Pages/CreativePages/CustomReportCreativeDetail.aspx?App=23&amp;ReportView=4&amp;Qid=1711279&amp;Row=5233&amp;Col=1","No Title Assigned - #15269409749")</f>
        <v/>
      </c>
      <c r="B5241" s="0" t="s">
        <v>7119</v>
      </c>
      <c r="E5241" s="0" t="inlineStr">
        <is>
          <t xml:space="preserve">Mazda</t>
        </is>
      </c>
      <c r="F5241" s="0" t="inlineStr">
        <is>
          <t xml:space="preserve">Mazda</t>
        </is>
      </c>
      <c r="G5241" s="0" t="s">
        <v>171</v>
      </c>
      <c r="H5241" s="5">
        <v>17.463300</v>
      </c>
    </row>
    <row r="5242" spans="1:9">
      <c r="A5242" s="22" t="str">
        <f>HYPERLINK("https://app.vivvix.com/360/KMI/IntelliDrive/ApplUI/Pages/CreativePages/CustomReportCreativeDetail.aspx?App=23&amp;ReportView=4&amp;Qid=1711279&amp;Row=5234&amp;Col=1","No Title Assigned - #15269410002")</f>
        <v/>
      </c>
      <c r="B5242" s="0" t="s">
        <v>7120</v>
      </c>
      <c r="E5242" s="0" t="inlineStr">
        <is>
          <t xml:space="preserve">Mazda</t>
        </is>
      </c>
      <c r="F5242" s="0" t="inlineStr">
        <is>
          <t xml:space="preserve">Mazda</t>
        </is>
      </c>
      <c r="G5242" s="0" t="s">
        <v>171</v>
      </c>
      <c r="H5242" s="5">
        <v>2812.950000</v>
      </c>
    </row>
    <row r="5243" spans="1:9">
      <c r="A5243" s="22" t="str">
        <f>HYPERLINK("https://app.vivvix.com/360/KMI/IntelliDrive/ApplUI/Pages/CreativePages/CustomReportCreativeDetail.aspx?App=23&amp;ReportView=4&amp;Qid=1711279&amp;Row=5235&amp;Col=1","No Title Assigned - #15269410265")</f>
        <v/>
      </c>
      <c r="B5243" s="0" t="s">
        <v>7121</v>
      </c>
      <c r="C5243" s="0" t="s">
        <v>7122</v>
      </c>
      <c r="D5243" s="0" t="s">
        <v>4200</v>
      </c>
      <c r="E5243" s="0" t="inlineStr">
        <is>
          <t xml:space="preserve">Mazda</t>
        </is>
      </c>
      <c r="F5243" s="0" t="s">
        <v>28</v>
      </c>
      <c r="G5243" s="0" t="s">
        <v>29</v>
      </c>
      <c r="H5243" s="5">
        <v>37.853700</v>
      </c>
    </row>
    <row r="5244" spans="1:9">
      <c r="A5244" s="22" t="str">
        <f>HYPERLINK("https://app.vivvix.com/360/KMI/IntelliDrive/ApplUI/Pages/CreativePages/CustomReportCreativeDetail.aspx?App=23&amp;ReportView=4&amp;Qid=1711279&amp;Row=5236&amp;Col=1","No Title Assigned - #15269410308")</f>
        <v/>
      </c>
      <c r="B5244" s="0" t="s">
        <v>7123</v>
      </c>
      <c r="E5244" s="0" t="inlineStr">
        <is>
          <t xml:space="preserve">Mazda</t>
        </is>
      </c>
      <c r="F5244" s="0" t="inlineStr">
        <is>
          <t xml:space="preserve">Mazda</t>
        </is>
      </c>
      <c r="G5244" s="0" t="s">
        <v>171</v>
      </c>
      <c r="H5244" s="5">
        <v>21.704400</v>
      </c>
    </row>
    <row r="5245" spans="1:9">
      <c r="A5245" s="22" t="str">
        <f>HYPERLINK("https://app.vivvix.com/360/KMI/IntelliDrive/ApplUI/Pages/CreativePages/CustomReportCreativeDetail.aspx?App=23&amp;ReportView=4&amp;Qid=1711279&amp;Row=5237&amp;Col=1","No Title Assigned - #15269410309")</f>
        <v/>
      </c>
      <c r="B5245" s="0" t="s">
        <v>7124</v>
      </c>
      <c r="C5245" s="0" t="s">
        <v>7125</v>
      </c>
      <c r="D5245" s="0" t="s">
        <v>7125</v>
      </c>
      <c r="E5245" s="0" t="inlineStr">
        <is>
          <t xml:space="preserve">Mazda</t>
        </is>
      </c>
      <c r="F5245" s="0" t="inlineStr">
        <is>
          <t xml:space="preserve">Mazda</t>
        </is>
      </c>
      <c r="G5245" s="0" t="s">
        <v>171</v>
      </c>
      <c r="H5245" s="5">
        <v>59805.883000</v>
      </c>
    </row>
    <row r="5246" spans="1:9">
      <c r="A5246" s="22" t="str">
        <f>HYPERLINK("https://app.vivvix.com/360/KMI/IntelliDrive/ApplUI/Pages/CreativePages/CustomReportCreativeDetail.aspx?App=23&amp;ReportView=4&amp;Qid=1711279&amp;Row=5238&amp;Col=1","No Title Assigned - #15269410309")</f>
        <v/>
      </c>
      <c r="B5246" s="0" t="s">
        <v>7124</v>
      </c>
      <c r="E5246" s="0" t="inlineStr">
        <is>
          <t xml:space="preserve">Mazda</t>
        </is>
      </c>
      <c r="F5246" s="0" t="inlineStr">
        <is>
          <t xml:space="preserve">Mazda</t>
        </is>
      </c>
      <c r="G5246" s="0" t="s">
        <v>171</v>
      </c>
      <c r="H5246" s="5">
        <v>5376.947100</v>
      </c>
    </row>
    <row r="5247" spans="1:9">
      <c r="A5247" s="22" t="str">
        <f>HYPERLINK("https://app.vivvix.com/360/KMI/IntelliDrive/ApplUI/Pages/CreativePages/CustomReportCreativeDetail.aspx?App=23&amp;ReportView=4&amp;Qid=1711279&amp;Row=5239&amp;Col=1","No Title Assigned - #15269410522")</f>
        <v/>
      </c>
      <c r="B5247" s="0" t="s">
        <v>7126</v>
      </c>
      <c r="E5247" s="0" t="inlineStr">
        <is>
          <t xml:space="preserve">Mazda</t>
        </is>
      </c>
      <c r="F5247" s="0" t="inlineStr">
        <is>
          <t xml:space="preserve">Mazda</t>
        </is>
      </c>
      <c r="G5247" s="0" t="s">
        <v>171</v>
      </c>
      <c r="H5247" s="5">
        <v>1638.216200</v>
      </c>
    </row>
    <row r="5248" spans="1:9">
      <c r="A5248" s="22" t="str">
        <f>HYPERLINK("https://app.vivvix.com/360/KMI/IntelliDrive/ApplUI/Pages/CreativePages/CustomReportCreativeDetail.aspx?App=23&amp;ReportView=4&amp;Qid=1711279&amp;Row=5240&amp;Col=1","No Title Assigned - #15269410545")</f>
        <v/>
      </c>
      <c r="B5248" s="0" t="s">
        <v>7127</v>
      </c>
      <c r="E5248" s="0" t="inlineStr">
        <is>
          <t xml:space="preserve">Mazda</t>
        </is>
      </c>
      <c r="F5248" s="0" t="inlineStr">
        <is>
          <t xml:space="preserve">Mazda</t>
        </is>
      </c>
      <c r="G5248" s="0" t="s">
        <v>171</v>
      </c>
      <c r="H5248" s="5">
        <v>244.956500</v>
      </c>
    </row>
    <row r="5249" spans="1:9">
      <c r="A5249" s="22" t="str">
        <f>HYPERLINK("https://app.vivvix.com/360/KMI/IntelliDrive/ApplUI/Pages/CreativePages/CustomReportCreativeDetail.aspx?App=23&amp;ReportView=4&amp;Qid=1711279&amp;Row=5241&amp;Col=1","No Title Assigned - #15269410644")</f>
        <v/>
      </c>
      <c r="B5249" s="0" t="s">
        <v>7128</v>
      </c>
      <c r="C5249" s="0" t="s">
        <v>7129</v>
      </c>
      <c r="D5249" s="0" t="s">
        <v>7129</v>
      </c>
      <c r="E5249" s="0" t="inlineStr">
        <is>
          <t xml:space="preserve">Mazda</t>
        </is>
      </c>
      <c r="F5249" s="0" t="inlineStr">
        <is>
          <t xml:space="preserve">Mazda</t>
        </is>
      </c>
      <c r="G5249" s="0" t="s">
        <v>171</v>
      </c>
      <c r="H5249" s="5">
        <v>25271.470100</v>
      </c>
    </row>
    <row r="5250" spans="1:9">
      <c r="A5250" s="22" t="str">
        <f>HYPERLINK("https://app.vivvix.com/360/KMI/IntelliDrive/ApplUI/Pages/CreativePages/CustomReportCreativeDetail.aspx?App=23&amp;ReportView=4&amp;Qid=1711279&amp;Row=5242&amp;Col=1","No Title Assigned - #15269410644")</f>
        <v/>
      </c>
      <c r="B5250" s="0" t="s">
        <v>7128</v>
      </c>
      <c r="E5250" s="0" t="inlineStr">
        <is>
          <t xml:space="preserve">Mazda</t>
        </is>
      </c>
      <c r="F5250" s="0" t="inlineStr">
        <is>
          <t xml:space="preserve">Mazda</t>
        </is>
      </c>
      <c r="G5250" s="0" t="s">
        <v>171</v>
      </c>
      <c r="H5250" s="5">
        <v>5141.561400</v>
      </c>
    </row>
    <row r="5251" spans="1:9">
      <c r="A5251" s="22" t="str">
        <f>HYPERLINK("https://app.vivvix.com/360/KMI/IntelliDrive/ApplUI/Pages/CreativePages/CustomReportCreativeDetail.aspx?App=23&amp;ReportView=4&amp;Qid=1711279&amp;Row=5243&amp;Col=1","No Title Assigned - #15269410920")</f>
        <v/>
      </c>
      <c r="B5251" s="0" t="s">
        <v>7130</v>
      </c>
      <c r="E5251" s="0" t="inlineStr">
        <is>
          <t xml:space="preserve">Mazda</t>
        </is>
      </c>
      <c r="F5251" s="0" t="inlineStr">
        <is>
          <t xml:space="preserve">Mazda</t>
        </is>
      </c>
      <c r="G5251" s="0" t="s">
        <v>171</v>
      </c>
      <c r="H5251" s="5">
        <v>986.700700</v>
      </c>
    </row>
    <row r="5252" spans="1:9">
      <c r="A5252" s="22" t="str">
        <f>HYPERLINK("https://app.vivvix.com/360/KMI/IntelliDrive/ApplUI/Pages/CreativePages/CustomReportCreativeDetail.aspx?App=23&amp;ReportView=4&amp;Qid=1711279&amp;Row=5244&amp;Col=1","No Title Assigned - #15269411312")</f>
        <v/>
      </c>
      <c r="B5252" s="0" t="s">
        <v>7131</v>
      </c>
      <c r="E5252" s="0" t="inlineStr">
        <is>
          <t xml:space="preserve">Mazda</t>
        </is>
      </c>
      <c r="F5252" s="0" t="inlineStr">
        <is>
          <t xml:space="preserve">Mazda</t>
        </is>
      </c>
      <c r="G5252" s="0" t="s">
        <v>171</v>
      </c>
      <c r="H5252" s="5">
        <v>1249.553400</v>
      </c>
    </row>
    <row r="5253" spans="1:9">
      <c r="A5253" s="22" t="str">
        <f>HYPERLINK("https://app.vivvix.com/360/KMI/IntelliDrive/ApplUI/Pages/CreativePages/CustomReportCreativeDetail.aspx?App=23&amp;ReportView=4&amp;Qid=1711279&amp;Row=5245&amp;Col=1","No Title Assigned - #15269411517")</f>
        <v/>
      </c>
      <c r="B5253" s="0" t="s">
        <v>7132</v>
      </c>
      <c r="E5253" s="0" t="inlineStr">
        <is>
          <t xml:space="preserve">Mazda</t>
        </is>
      </c>
      <c r="F5253" s="0" t="inlineStr">
        <is>
          <t xml:space="preserve">Mazda</t>
        </is>
      </c>
      <c r="G5253" s="0" t="s">
        <v>171</v>
      </c>
      <c r="H5253" s="5">
        <v>13.532400</v>
      </c>
    </row>
    <row r="5254" spans="1:9">
      <c r="A5254" s="22" t="str">
        <f>HYPERLINK("https://app.vivvix.com/360/KMI/IntelliDrive/ApplUI/Pages/CreativePages/CustomReportCreativeDetail.aspx?App=23&amp;ReportView=4&amp;Qid=1711279&amp;Row=5246&amp;Col=1","No Title Assigned - #15269411535")</f>
        <v/>
      </c>
      <c r="B5254" s="0" t="s">
        <v>7133</v>
      </c>
      <c r="E5254" s="0" t="inlineStr">
        <is>
          <t xml:space="preserve">Mazda</t>
        </is>
      </c>
      <c r="F5254" s="0" t="inlineStr">
        <is>
          <t xml:space="preserve">Mazda</t>
        </is>
      </c>
      <c r="G5254" s="0" t="s">
        <v>171</v>
      </c>
      <c r="H5254" s="5">
        <v>7.009900</v>
      </c>
    </row>
    <row r="5255" spans="1:9">
      <c r="A5255" s="22" t="str">
        <f>HYPERLINK("https://app.vivvix.com/360/KMI/IntelliDrive/ApplUI/Pages/CreativePages/CustomReportCreativeDetail.aspx?App=23&amp;ReportView=4&amp;Qid=1711279&amp;Row=5247&amp;Col=1","No Title Assigned - #15269411589")</f>
        <v/>
      </c>
      <c r="B5255" s="0" t="s">
        <v>7134</v>
      </c>
      <c r="E5255" s="0" t="inlineStr">
        <is>
          <t xml:space="preserve">Mazda</t>
        </is>
      </c>
      <c r="F5255" s="0" t="inlineStr">
        <is>
          <t xml:space="preserve">Mazda</t>
        </is>
      </c>
      <c r="G5255" s="0" t="s">
        <v>171</v>
      </c>
      <c r="H5255" s="5">
        <v>9.844000</v>
      </c>
    </row>
    <row r="5256" spans="1:9">
      <c r="A5256" s="22" t="str">
        <f>HYPERLINK("https://app.vivvix.com/360/KMI/IntelliDrive/ApplUI/Pages/CreativePages/CustomReportCreativeDetail.aspx?App=23&amp;ReportView=4&amp;Qid=1711279&amp;Row=5248&amp;Col=1","No Title Assigned - #15269411799")</f>
        <v/>
      </c>
      <c r="B5256" s="0" t="s">
        <v>7135</v>
      </c>
      <c r="C5256" s="0" t="s">
        <v>7136</v>
      </c>
      <c r="D5256" s="0" t="s">
        <v>7136</v>
      </c>
      <c r="E5256" s="0" t="inlineStr">
        <is>
          <t xml:space="preserve">Mazda</t>
        </is>
      </c>
      <c r="F5256" s="0" t="inlineStr">
        <is>
          <t xml:space="preserve">Mazda</t>
        </is>
      </c>
      <c r="G5256" s="0" t="s">
        <v>171</v>
      </c>
      <c r="H5256" s="5">
        <v>69.031700</v>
      </c>
    </row>
    <row r="5257" spans="1:9">
      <c r="A5257" s="22" t="str">
        <f>HYPERLINK("https://app.vivvix.com/360/KMI/IntelliDrive/ApplUI/Pages/CreativePages/CustomReportCreativeDetail.aspx?App=23&amp;ReportView=4&amp;Qid=1711279&amp;Row=5249&amp;Col=1","No Title Assigned - #15269411821")</f>
        <v/>
      </c>
      <c r="B5257" s="0" t="s">
        <v>7137</v>
      </c>
      <c r="E5257" s="0" t="inlineStr">
        <is>
          <t xml:space="preserve">Mazda</t>
        </is>
      </c>
      <c r="F5257" s="0" t="inlineStr">
        <is>
          <t xml:space="preserve">Mazda</t>
        </is>
      </c>
      <c r="G5257" s="0" t="s">
        <v>171</v>
      </c>
      <c r="H5257" s="5">
        <v>2816.224600</v>
      </c>
    </row>
    <row r="5258" spans="1:9">
      <c r="A5258" s="22" t="str">
        <f>HYPERLINK("https://app.vivvix.com/360/KMI/IntelliDrive/ApplUI/Pages/CreativePages/CustomReportCreativeDetail.aspx?App=23&amp;ReportView=4&amp;Qid=1711279&amp;Row=5250&amp;Col=1","No Title Assigned - #15269411828")</f>
        <v/>
      </c>
      <c r="B5258" s="0" t="s">
        <v>7138</v>
      </c>
      <c r="E5258" s="0" t="inlineStr">
        <is>
          <t xml:space="preserve">Mazda</t>
        </is>
      </c>
      <c r="F5258" s="0" t="inlineStr">
        <is>
          <t xml:space="preserve">Mazda</t>
        </is>
      </c>
      <c r="G5258" s="0" t="s">
        <v>171</v>
      </c>
      <c r="H5258" s="5">
        <v>233.454300</v>
      </c>
    </row>
    <row r="5259" spans="1:9">
      <c r="A5259" s="22" t="str">
        <f>HYPERLINK("https://app.vivvix.com/360/KMI/IntelliDrive/ApplUI/Pages/CreativePages/CustomReportCreativeDetail.aspx?App=23&amp;ReportView=4&amp;Qid=1711279&amp;Row=5251&amp;Col=1","No Title Assigned - #15269412104")</f>
        <v/>
      </c>
      <c r="B5259" s="0" t="s">
        <v>7139</v>
      </c>
      <c r="E5259" s="0" t="inlineStr">
        <is>
          <t xml:space="preserve">Mazda</t>
        </is>
      </c>
      <c r="F5259" s="0" t="inlineStr">
        <is>
          <t xml:space="preserve">Mazda</t>
        </is>
      </c>
      <c r="G5259" s="0" t="s">
        <v>171</v>
      </c>
      <c r="H5259" s="5">
        <v>157.333700</v>
      </c>
    </row>
    <row r="5260" spans="1:9">
      <c r="A5260" s="22" t="str">
        <f>HYPERLINK("https://app.vivvix.com/360/KMI/IntelliDrive/ApplUI/Pages/CreativePages/CustomReportCreativeDetail.aspx?App=23&amp;ReportView=4&amp;Qid=1711279&amp;Row=5252&amp;Col=1","No Title Assigned - #15269412455")</f>
        <v/>
      </c>
      <c r="B5260" s="0" t="s">
        <v>7140</v>
      </c>
      <c r="E5260" s="0" t="inlineStr">
        <is>
          <t xml:space="preserve">Mazda</t>
        </is>
      </c>
      <c r="F5260" s="0" t="inlineStr">
        <is>
          <t xml:space="preserve">Mazda</t>
        </is>
      </c>
      <c r="G5260" s="0" t="s">
        <v>171</v>
      </c>
      <c r="H5260" s="5">
        <v>591.505600</v>
      </c>
    </row>
    <row r="5261" spans="1:9">
      <c r="A5261" s="22" t="str">
        <f>HYPERLINK("https://app.vivvix.com/360/KMI/IntelliDrive/ApplUI/Pages/CreativePages/CustomReportCreativeDetail.aspx?App=23&amp;ReportView=4&amp;Qid=1711279&amp;Row=5253&amp;Col=1","No Title Assigned - #15269412705")</f>
        <v/>
      </c>
      <c r="B5261" s="0" t="s">
        <v>7141</v>
      </c>
      <c r="E5261" s="0" t="inlineStr">
        <is>
          <t xml:space="preserve">Mazda</t>
        </is>
      </c>
      <c r="F5261" s="0" t="inlineStr">
        <is>
          <t xml:space="preserve">Mazda</t>
        </is>
      </c>
      <c r="G5261" s="0" t="s">
        <v>171</v>
      </c>
      <c r="H5261" s="5">
        <v>45.957600</v>
      </c>
    </row>
    <row r="5262" spans="1:9">
      <c r="A5262" s="22" t="str">
        <f>HYPERLINK("https://app.vivvix.com/360/KMI/IntelliDrive/ApplUI/Pages/CreativePages/CustomReportCreativeDetail.aspx?App=23&amp;ReportView=4&amp;Qid=1711279&amp;Row=5254&amp;Col=1","No Title Assigned - #15269412957")</f>
        <v/>
      </c>
      <c r="B5262" s="0" t="s">
        <v>7142</v>
      </c>
      <c r="C5262" s="0" t="s">
        <v>7143</v>
      </c>
      <c r="D5262" s="0" t="s">
        <v>7143</v>
      </c>
      <c r="E5262" s="0" t="inlineStr">
        <is>
          <t xml:space="preserve">Mazda</t>
        </is>
      </c>
      <c r="F5262" s="0" t="inlineStr">
        <is>
          <t xml:space="preserve">Mazda</t>
        </is>
      </c>
      <c r="G5262" s="0" t="s">
        <v>171</v>
      </c>
      <c r="H5262" s="5">
        <v>196.206100</v>
      </c>
    </row>
    <row r="5263" spans="1:9">
      <c r="A5263" s="22" t="str">
        <f>HYPERLINK("https://app.vivvix.com/360/KMI/IntelliDrive/ApplUI/Pages/CreativePages/CustomReportCreativeDetail.aspx?App=23&amp;ReportView=4&amp;Qid=1711279&amp;Row=5255&amp;Col=1","No Title Assigned - #15269412957")</f>
        <v/>
      </c>
      <c r="B5263" s="0" t="s">
        <v>7142</v>
      </c>
      <c r="E5263" s="0" t="inlineStr">
        <is>
          <t xml:space="preserve">Mazda</t>
        </is>
      </c>
      <c r="F5263" s="0" t="inlineStr">
        <is>
          <t xml:space="preserve">Mazda</t>
        </is>
      </c>
      <c r="G5263" s="0" t="s">
        <v>171</v>
      </c>
      <c r="H5263" s="5">
        <v>2324.519100</v>
      </c>
    </row>
    <row r="5264" spans="1:9">
      <c r="A5264" s="22" t="str">
        <f>HYPERLINK("https://app.vivvix.com/360/KMI/IntelliDrive/ApplUI/Pages/CreativePages/CustomReportCreativeDetail.aspx?App=23&amp;ReportView=4&amp;Qid=1711279&amp;Row=5256&amp;Col=1","No Title Assigned - #15269413019")</f>
        <v/>
      </c>
      <c r="B5264" s="0" t="s">
        <v>7144</v>
      </c>
      <c r="C5264" s="0" t="s">
        <v>7145</v>
      </c>
      <c r="D5264" s="0" t="s">
        <v>7145</v>
      </c>
      <c r="E5264" s="0" t="inlineStr">
        <is>
          <t xml:space="preserve">Mazda</t>
        </is>
      </c>
      <c r="F5264" s="0" t="inlineStr">
        <is>
          <t xml:space="preserve">Mazda</t>
        </is>
      </c>
      <c r="G5264" s="0" t="s">
        <v>171</v>
      </c>
      <c r="H5264" s="5">
        <v>297.267700</v>
      </c>
    </row>
    <row r="5265" spans="1:9">
      <c r="A5265" s="22" t="str">
        <f>HYPERLINK("https://app.vivvix.com/360/KMI/IntelliDrive/ApplUI/Pages/CreativePages/CustomReportCreativeDetail.aspx?App=23&amp;ReportView=4&amp;Qid=1711279&amp;Row=5257&amp;Col=1","No Title Assigned - #15269413019")</f>
        <v/>
      </c>
      <c r="B5265" s="0" t="s">
        <v>7144</v>
      </c>
      <c r="E5265" s="0" t="inlineStr">
        <is>
          <t xml:space="preserve">Mazda</t>
        </is>
      </c>
      <c r="F5265" s="0" t="inlineStr">
        <is>
          <t xml:space="preserve">Mazda</t>
        </is>
      </c>
      <c r="G5265" s="0" t="s">
        <v>171</v>
      </c>
      <c r="H5265" s="5">
        <v>131.357900</v>
      </c>
    </row>
    <row r="5266" spans="1:9">
      <c r="A5266" s="22" t="str">
        <f>HYPERLINK("https://app.vivvix.com/360/KMI/IntelliDrive/ApplUI/Pages/CreativePages/CustomReportCreativeDetail.aspx?App=23&amp;ReportView=4&amp;Qid=1711279&amp;Row=5258&amp;Col=1","No Title Assigned - #15269413619")</f>
        <v/>
      </c>
      <c r="B5266" s="0" t="s">
        <v>7146</v>
      </c>
      <c r="E5266" s="0" t="inlineStr">
        <is>
          <t xml:space="preserve">Mazda</t>
        </is>
      </c>
      <c r="F5266" s="0" t="inlineStr">
        <is>
          <t xml:space="preserve">Mazda</t>
        </is>
      </c>
      <c r="G5266" s="0" t="s">
        <v>171</v>
      </c>
      <c r="H5266" s="5">
        <v>21.559600</v>
      </c>
    </row>
    <row r="5267" spans="1:9">
      <c r="A5267" s="22" t="str">
        <f>HYPERLINK("https://app.vivvix.com/360/KMI/IntelliDrive/ApplUI/Pages/CreativePages/CustomReportCreativeDetail.aspx?App=23&amp;ReportView=4&amp;Qid=1711279&amp;Row=5259&amp;Col=1","No Title Assigned - #15269413880")</f>
        <v/>
      </c>
      <c r="B5267" s="0" t="s">
        <v>7147</v>
      </c>
      <c r="E5267" s="0" t="inlineStr">
        <is>
          <t xml:space="preserve">Mazda</t>
        </is>
      </c>
      <c r="F5267" s="0" t="inlineStr">
        <is>
          <t xml:space="preserve">Mazda</t>
        </is>
      </c>
      <c r="G5267" s="0" t="s">
        <v>171</v>
      </c>
      <c r="H5267" s="5">
        <v>3423.265500</v>
      </c>
    </row>
    <row r="5268" spans="1:9">
      <c r="A5268" s="22" t="str">
        <f>HYPERLINK("https://app.vivvix.com/360/KMI/IntelliDrive/ApplUI/Pages/CreativePages/CustomReportCreativeDetail.aspx?App=23&amp;ReportView=4&amp;Qid=1711279&amp;Row=5260&amp;Col=1","No Title Assigned - #15269413931")</f>
        <v/>
      </c>
      <c r="B5268" s="0" t="s">
        <v>7148</v>
      </c>
      <c r="E5268" s="0" t="inlineStr">
        <is>
          <t xml:space="preserve">Mazda</t>
        </is>
      </c>
      <c r="F5268" s="0" t="inlineStr">
        <is>
          <t xml:space="preserve">Mazda</t>
        </is>
      </c>
      <c r="G5268" s="0" t="s">
        <v>171</v>
      </c>
      <c r="H5268" s="5">
        <v>2968.070300</v>
      </c>
    </row>
    <row r="5269" spans="1:9">
      <c r="A5269" s="22" t="str">
        <f>HYPERLINK("https://app.vivvix.com/360/KMI/IntelliDrive/ApplUI/Pages/CreativePages/CustomReportCreativeDetail.aspx?App=23&amp;ReportView=4&amp;Qid=1711279&amp;Row=5261&amp;Col=1","No Title Assigned - #15269413931")</f>
        <v/>
      </c>
      <c r="B5269" s="0" t="s">
        <v>7148</v>
      </c>
      <c r="E5269" s="0" t="inlineStr">
        <is>
          <t xml:space="preserve">Mazda</t>
        </is>
      </c>
      <c r="F5269" s="0" t="inlineStr">
        <is>
          <t xml:space="preserve">Mazda</t>
        </is>
      </c>
      <c r="G5269" s="0" t="s">
        <v>171</v>
      </c>
      <c r="H5269" s="5">
        <v>83.742000</v>
      </c>
    </row>
    <row r="5270" spans="1:9">
      <c r="A5270" s="22" t="str">
        <f>HYPERLINK("https://app.vivvix.com/360/KMI/IntelliDrive/ApplUI/Pages/CreativePages/CustomReportCreativeDetail.aspx?App=23&amp;ReportView=4&amp;Qid=1711279&amp;Row=5262&amp;Col=1","No Title Assigned - #15269414091")</f>
        <v/>
      </c>
      <c r="B5270" s="0" t="s">
        <v>7149</v>
      </c>
      <c r="E5270" s="0" t="inlineStr">
        <is>
          <t xml:space="preserve">Mazda</t>
        </is>
      </c>
      <c r="F5270" s="0" t="inlineStr">
        <is>
          <t xml:space="preserve">Mazda</t>
        </is>
      </c>
      <c r="G5270" s="0" t="s">
        <v>171</v>
      </c>
      <c r="H5270" s="5">
        <v>10864.643000</v>
      </c>
    </row>
    <row r="5271" spans="1:9">
      <c r="A5271" s="22" t="str">
        <f>HYPERLINK("https://app.vivvix.com/360/KMI/IntelliDrive/ApplUI/Pages/CreativePages/CustomReportCreativeDetail.aspx?App=23&amp;ReportView=4&amp;Qid=1711279&amp;Row=5263&amp;Col=1","No Title Assigned - #15269414091")</f>
        <v/>
      </c>
      <c r="B5271" s="0" t="s">
        <v>7149</v>
      </c>
      <c r="E5271" s="0" t="inlineStr">
        <is>
          <t xml:space="preserve">Mazda</t>
        </is>
      </c>
      <c r="F5271" s="0" t="inlineStr">
        <is>
          <t xml:space="preserve">Mazda</t>
        </is>
      </c>
      <c r="G5271" s="0" t="s">
        <v>171</v>
      </c>
      <c r="H5271" s="5">
        <v>15.864700</v>
      </c>
    </row>
    <row r="5272" spans="1:9">
      <c r="A5272" s="22" t="str">
        <f>HYPERLINK("https://app.vivvix.com/360/KMI/IntelliDrive/ApplUI/Pages/CreativePages/CustomReportCreativeDetail.aspx?App=23&amp;ReportView=4&amp;Qid=1711279&amp;Row=5264&amp;Col=1","No Title Assigned - #15269414512")</f>
        <v/>
      </c>
      <c r="B5272" s="0" t="s">
        <v>7150</v>
      </c>
      <c r="E5272" s="0" t="inlineStr">
        <is>
          <t xml:space="preserve">Mazda</t>
        </is>
      </c>
      <c r="F5272" s="0" t="inlineStr">
        <is>
          <t xml:space="preserve">Mazda</t>
        </is>
      </c>
      <c r="G5272" s="0" t="s">
        <v>171</v>
      </c>
      <c r="H5272" s="5">
        <v>15275.171700</v>
      </c>
    </row>
    <row r="5273" spans="1:9">
      <c r="A5273" s="22" t="str">
        <f>HYPERLINK("https://app.vivvix.com/360/KMI/IntelliDrive/ApplUI/Pages/CreativePages/CustomReportCreativeDetail.aspx?App=23&amp;ReportView=4&amp;Qid=1711279&amp;Row=5265&amp;Col=1","No Title Assigned - #15269414512")</f>
        <v/>
      </c>
      <c r="B5273" s="0" t="s">
        <v>7150</v>
      </c>
      <c r="E5273" s="0" t="inlineStr">
        <is>
          <t xml:space="preserve">Mazda</t>
        </is>
      </c>
      <c r="F5273" s="0" t="inlineStr">
        <is>
          <t xml:space="preserve">Mazda</t>
        </is>
      </c>
      <c r="G5273" s="0" t="s">
        <v>171</v>
      </c>
      <c r="H5273" s="5">
        <v>138.916100</v>
      </c>
    </row>
    <row r="5274" spans="1:9">
      <c r="A5274" s="22" t="str">
        <f>HYPERLINK("https://app.vivvix.com/360/KMI/IntelliDrive/ApplUI/Pages/CreativePages/CustomReportCreativeDetail.aspx?App=23&amp;ReportView=4&amp;Qid=1711279&amp;Row=5266&amp;Col=1","No Title Assigned - #15269414528")</f>
        <v/>
      </c>
      <c r="B5274" s="0" t="s">
        <v>7151</v>
      </c>
      <c r="E5274" s="0" t="inlineStr">
        <is>
          <t xml:space="preserve">Mazda</t>
        </is>
      </c>
      <c r="F5274" s="0" t="inlineStr">
        <is>
          <t xml:space="preserve">Mazda</t>
        </is>
      </c>
      <c r="G5274" s="0" t="s">
        <v>171</v>
      </c>
      <c r="H5274" s="5">
        <v>76.357500</v>
      </c>
    </row>
    <row r="5275" spans="1:9">
      <c r="A5275" s="22" t="str">
        <f>HYPERLINK("https://app.vivvix.com/360/KMI/IntelliDrive/ApplUI/Pages/CreativePages/CustomReportCreativeDetail.aspx?App=23&amp;ReportView=4&amp;Qid=1711279&amp;Row=5267&amp;Col=1","No Title Assigned - #15269414629")</f>
        <v/>
      </c>
      <c r="B5275" s="0" t="s">
        <v>7152</v>
      </c>
      <c r="E5275" s="0" t="inlineStr">
        <is>
          <t xml:space="preserve">Mazda</t>
        </is>
      </c>
      <c r="F5275" s="0" t="inlineStr">
        <is>
          <t xml:space="preserve">Mazda</t>
        </is>
      </c>
      <c r="G5275" s="0" t="s">
        <v>171</v>
      </c>
      <c r="H5275" s="5">
        <v>3.241700</v>
      </c>
    </row>
    <row r="5276" spans="1:9">
      <c r="A5276" s="22" t="str">
        <f>HYPERLINK("https://app.vivvix.com/360/KMI/IntelliDrive/ApplUI/Pages/CreativePages/CustomReportCreativeDetail.aspx?App=23&amp;ReportView=4&amp;Qid=1711279&amp;Row=5268&amp;Col=1","No Title Assigned - #15269414630")</f>
        <v/>
      </c>
      <c r="B5276" s="0" t="s">
        <v>7153</v>
      </c>
      <c r="E5276" s="0" t="inlineStr">
        <is>
          <t xml:space="preserve">Mazda</t>
        </is>
      </c>
      <c r="F5276" s="0" t="inlineStr">
        <is>
          <t xml:space="preserve">Mazda</t>
        </is>
      </c>
      <c r="G5276" s="0" t="s">
        <v>171</v>
      </c>
      <c r="H5276" s="5">
        <v>3.241700</v>
      </c>
    </row>
    <row r="5277" spans="1:9">
      <c r="A5277" s="22" t="str">
        <f>HYPERLINK("https://app.vivvix.com/360/KMI/IntelliDrive/ApplUI/Pages/CreativePages/CustomReportCreativeDetail.aspx?App=23&amp;ReportView=4&amp;Qid=1711279&amp;Row=5269&amp;Col=1","No Title Assigned - #15269414674")</f>
        <v/>
      </c>
      <c r="B5277" s="0" t="s">
        <v>7154</v>
      </c>
      <c r="E5277" s="0" t="inlineStr">
        <is>
          <t xml:space="preserve">Mazda</t>
        </is>
      </c>
      <c r="F5277" s="0" t="inlineStr">
        <is>
          <t xml:space="preserve">Mazda</t>
        </is>
      </c>
      <c r="G5277" s="0" t="s">
        <v>171</v>
      </c>
      <c r="H5277" s="5">
        <v>10.825700</v>
      </c>
    </row>
    <row r="5278" spans="1:9">
      <c r="A5278" s="22" t="str">
        <f>HYPERLINK("https://app.vivvix.com/360/KMI/IntelliDrive/ApplUI/Pages/CreativePages/CustomReportCreativeDetail.aspx?App=23&amp;ReportView=4&amp;Qid=1711279&amp;Row=5270&amp;Col=1","No Title Assigned - #15269414963")</f>
        <v/>
      </c>
      <c r="B5278" s="0" t="s">
        <v>7155</v>
      </c>
      <c r="E5278" s="0" t="inlineStr">
        <is>
          <t xml:space="preserve">Mazda</t>
        </is>
      </c>
      <c r="F5278" s="0" t="inlineStr">
        <is>
          <t xml:space="preserve">Mazda</t>
        </is>
      </c>
      <c r="G5278" s="0" t="s">
        <v>171</v>
      </c>
      <c r="H5278" s="5">
        <v>45.957600</v>
      </c>
    </row>
    <row r="5279" spans="1:9">
      <c r="A5279" s="22" t="str">
        <f>HYPERLINK("https://app.vivvix.com/360/KMI/IntelliDrive/ApplUI/Pages/CreativePages/CustomReportCreativeDetail.aspx?App=23&amp;ReportView=4&amp;Qid=1711279&amp;Row=5271&amp;Col=1","No Title Assigned - #15269415581")</f>
        <v/>
      </c>
      <c r="B5279" s="0" t="s">
        <v>7156</v>
      </c>
      <c r="E5279" s="0" t="inlineStr">
        <is>
          <t xml:space="preserve">Mazda</t>
        </is>
      </c>
      <c r="F5279" s="0" t="inlineStr">
        <is>
          <t xml:space="preserve">Mazda</t>
        </is>
      </c>
      <c r="G5279" s="0" t="s">
        <v>171</v>
      </c>
      <c r="H5279" s="5">
        <v>117.760500</v>
      </c>
    </row>
    <row r="5280" spans="1:9">
      <c r="A5280" s="22" t="str">
        <f>HYPERLINK("https://app.vivvix.com/360/KMI/IntelliDrive/ApplUI/Pages/CreativePages/CustomReportCreativeDetail.aspx?App=23&amp;ReportView=4&amp;Qid=1711279&amp;Row=5272&amp;Col=1","No Title Assigned - #15269415945")</f>
        <v/>
      </c>
      <c r="B5280" s="0" t="s">
        <v>7157</v>
      </c>
      <c r="E5280" s="0" t="inlineStr">
        <is>
          <t xml:space="preserve">Mazda</t>
        </is>
      </c>
      <c r="F5280" s="0" t="inlineStr">
        <is>
          <t xml:space="preserve">Mazda</t>
        </is>
      </c>
      <c r="G5280" s="0" t="s">
        <v>171</v>
      </c>
      <c r="H5280" s="5">
        <v>36.604200</v>
      </c>
    </row>
    <row r="5281" spans="1:9">
      <c r="A5281" s="22" t="str">
        <f>HYPERLINK("https://app.vivvix.com/360/KMI/IntelliDrive/ApplUI/Pages/CreativePages/CustomReportCreativeDetail.aspx?App=23&amp;ReportView=4&amp;Qid=1711279&amp;Row=5273&amp;Col=1","No Title Assigned - #15269415970")</f>
        <v/>
      </c>
      <c r="B5281" s="0" t="s">
        <v>7158</v>
      </c>
      <c r="E5281" s="0" t="inlineStr">
        <is>
          <t xml:space="preserve">Mazda</t>
        </is>
      </c>
      <c r="F5281" s="0" t="inlineStr">
        <is>
          <t xml:space="preserve">Mazda</t>
        </is>
      </c>
      <c r="G5281" s="0" t="s">
        <v>171</v>
      </c>
      <c r="H5281" s="5">
        <v>8.359700</v>
      </c>
    </row>
    <row r="5282" spans="1:9">
      <c r="A5282" s="22" t="str">
        <f>HYPERLINK("https://app.vivvix.com/360/KMI/IntelliDrive/ApplUI/Pages/CreativePages/CustomReportCreativeDetail.aspx?App=23&amp;ReportView=4&amp;Qid=1711279&amp;Row=5274&amp;Col=1","No Title Assigned - #15269416166")</f>
        <v/>
      </c>
      <c r="B5282" s="0" t="s">
        <v>7159</v>
      </c>
      <c r="E5282" s="0" t="inlineStr">
        <is>
          <t xml:space="preserve">Mazda</t>
        </is>
      </c>
      <c r="F5282" s="0" t="inlineStr">
        <is>
          <t xml:space="preserve">Mazda</t>
        </is>
      </c>
      <c r="G5282" s="0" t="s">
        <v>171</v>
      </c>
      <c r="H5282" s="5">
        <v>48529.457000</v>
      </c>
    </row>
    <row r="5283" spans="1:9">
      <c r="A5283" s="22" t="str">
        <f>HYPERLINK("https://app.vivvix.com/360/KMI/IntelliDrive/ApplUI/Pages/CreativePages/CustomReportCreativeDetail.aspx?App=23&amp;ReportView=4&amp;Qid=1711279&amp;Row=5275&amp;Col=1","No Title Assigned - #15269416172")</f>
        <v/>
      </c>
      <c r="B5283" s="0" t="s">
        <v>7160</v>
      </c>
      <c r="E5283" s="0" t="inlineStr">
        <is>
          <t xml:space="preserve">Mazda</t>
        </is>
      </c>
      <c r="F5283" s="0" t="inlineStr">
        <is>
          <t xml:space="preserve">Mazda</t>
        </is>
      </c>
      <c r="G5283" s="0" t="s">
        <v>171</v>
      </c>
      <c r="H5283" s="5">
        <v>4447.503900</v>
      </c>
    </row>
    <row r="5284" spans="1:9">
      <c r="A5284" s="22" t="str">
        <f>HYPERLINK("https://app.vivvix.com/360/KMI/IntelliDrive/ApplUI/Pages/CreativePages/CustomReportCreativeDetail.aspx?App=23&amp;ReportView=4&amp;Qid=1711279&amp;Row=5276&amp;Col=1","No Title Assigned - #15269416172")</f>
        <v/>
      </c>
      <c r="B5284" s="0" t="s">
        <v>7160</v>
      </c>
      <c r="E5284" s="0" t="inlineStr">
        <is>
          <t xml:space="preserve">Mazda</t>
        </is>
      </c>
      <c r="F5284" s="0" t="inlineStr">
        <is>
          <t xml:space="preserve">Mazda</t>
        </is>
      </c>
      <c r="G5284" s="0" t="s">
        <v>171</v>
      </c>
      <c r="H5284" s="5">
        <v>616.452000</v>
      </c>
    </row>
    <row r="5285" spans="1:9">
      <c r="A5285" s="22" t="str">
        <f>HYPERLINK("https://app.vivvix.com/360/KMI/IntelliDrive/ApplUI/Pages/CreativePages/CustomReportCreativeDetail.aspx?App=23&amp;ReportView=4&amp;Qid=1711279&amp;Row=5277&amp;Col=1","No Title Assigned - #15269416240")</f>
        <v/>
      </c>
      <c r="B5285" s="0" t="s">
        <v>7161</v>
      </c>
      <c r="C5285" s="0" t="s">
        <v>7162</v>
      </c>
      <c r="D5285" s="0" t="s">
        <v>7162</v>
      </c>
      <c r="E5285" s="0" t="inlineStr">
        <is>
          <t xml:space="preserve">Mazda</t>
        </is>
      </c>
      <c r="F5285" s="0" t="inlineStr">
        <is>
          <t xml:space="preserve">Mazda</t>
        </is>
      </c>
      <c r="G5285" s="0" t="s">
        <v>171</v>
      </c>
      <c r="H5285" s="5">
        <v>195.595500</v>
      </c>
    </row>
    <row r="5286" spans="1:9">
      <c r="A5286" s="22" t="str">
        <f>HYPERLINK("https://app.vivvix.com/360/KMI/IntelliDrive/ApplUI/Pages/CreativePages/CustomReportCreativeDetail.aspx?App=23&amp;ReportView=4&amp;Qid=1711279&amp;Row=5278&amp;Col=1","No Title Assigned - #15269416439")</f>
        <v/>
      </c>
      <c r="B5286" s="0" t="s">
        <v>7163</v>
      </c>
      <c r="E5286" s="0" t="inlineStr">
        <is>
          <t xml:space="preserve">Mazda</t>
        </is>
      </c>
      <c r="F5286" s="0" t="inlineStr">
        <is>
          <t xml:space="preserve">Mazda</t>
        </is>
      </c>
      <c r="G5286" s="0" t="s">
        <v>171</v>
      </c>
      <c r="H5286" s="5">
        <v>14.264600</v>
      </c>
    </row>
    <row r="5287" spans="1:9">
      <c r="A5287" s="22" t="str">
        <f>HYPERLINK("https://app.vivvix.com/360/KMI/IntelliDrive/ApplUI/Pages/CreativePages/CustomReportCreativeDetail.aspx?App=23&amp;ReportView=4&amp;Qid=1711279&amp;Row=5279&amp;Col=1","No Title Assigned - #15269416749")</f>
        <v/>
      </c>
      <c r="B5287" s="0" t="s">
        <v>7164</v>
      </c>
      <c r="C5287" s="0" t="s">
        <v>7165</v>
      </c>
      <c r="D5287" s="0" t="s">
        <v>7165</v>
      </c>
      <c r="E5287" s="0" t="inlineStr">
        <is>
          <t xml:space="preserve">Mazda</t>
        </is>
      </c>
      <c r="F5287" s="0" t="inlineStr">
        <is>
          <t xml:space="preserve">Mazda</t>
        </is>
      </c>
      <c r="G5287" s="0" t="s">
        <v>171</v>
      </c>
      <c r="H5287" s="5">
        <v>143.056600</v>
      </c>
    </row>
    <row r="5288" spans="1:9">
      <c r="A5288" s="22" t="str">
        <f>HYPERLINK("https://app.vivvix.com/360/KMI/IntelliDrive/ApplUI/Pages/CreativePages/CustomReportCreativeDetail.aspx?App=23&amp;ReportView=4&amp;Qid=1711279&amp;Row=5280&amp;Col=1","No Title Assigned - #15269416781")</f>
        <v/>
      </c>
      <c r="B5288" s="0" t="s">
        <v>7166</v>
      </c>
      <c r="E5288" s="0" t="inlineStr">
        <is>
          <t xml:space="preserve">Mazda</t>
        </is>
      </c>
      <c r="F5288" s="0" t="inlineStr">
        <is>
          <t xml:space="preserve">Mazda</t>
        </is>
      </c>
      <c r="G5288" s="0" t="s">
        <v>171</v>
      </c>
      <c r="H5288" s="5">
        <v>730.651000</v>
      </c>
    </row>
    <row r="5289" spans="1:9">
      <c r="A5289" s="22" t="str">
        <f>HYPERLINK("https://app.vivvix.com/360/KMI/IntelliDrive/ApplUI/Pages/CreativePages/CustomReportCreativeDetail.aspx?App=23&amp;ReportView=4&amp;Qid=1711279&amp;Row=5281&amp;Col=1","No Title Assigned - #15269416882")</f>
        <v/>
      </c>
      <c r="B5289" s="0" t="s">
        <v>7167</v>
      </c>
      <c r="E5289" s="0" t="inlineStr">
        <is>
          <t xml:space="preserve">Mazda</t>
        </is>
      </c>
      <c r="F5289" s="0" t="inlineStr">
        <is>
          <t xml:space="preserve">Mazda</t>
        </is>
      </c>
      <c r="G5289" s="0" t="s">
        <v>171</v>
      </c>
      <c r="H5289" s="5">
        <v>8669.799800</v>
      </c>
    </row>
    <row r="5290" spans="1:9">
      <c r="A5290" s="22" t="str">
        <f>HYPERLINK("https://app.vivvix.com/360/KMI/IntelliDrive/ApplUI/Pages/CreativePages/CustomReportCreativeDetail.aspx?App=23&amp;ReportView=4&amp;Qid=1711279&amp;Row=5282&amp;Col=1","No Title Assigned - #15269416891")</f>
        <v/>
      </c>
      <c r="B5290" s="0" t="s">
        <v>7168</v>
      </c>
      <c r="E5290" s="0" t="inlineStr">
        <is>
          <t xml:space="preserve">Mazda</t>
        </is>
      </c>
      <c r="F5290" s="0" t="inlineStr">
        <is>
          <t xml:space="preserve">Mazda</t>
        </is>
      </c>
      <c r="G5290" s="0" t="s">
        <v>171</v>
      </c>
      <c r="H5290" s="5">
        <v>24.499700</v>
      </c>
    </row>
    <row r="5291" spans="1:9">
      <c r="A5291" s="22" t="str">
        <f>HYPERLINK("https://app.vivvix.com/360/KMI/IntelliDrive/ApplUI/Pages/CreativePages/CustomReportCreativeDetail.aspx?App=23&amp;ReportView=4&amp;Qid=1711279&amp;Row=5283&amp;Col=1","No Title Assigned - #15269416926")</f>
        <v/>
      </c>
      <c r="B5291" s="0" t="s">
        <v>7169</v>
      </c>
      <c r="E5291" s="0" t="inlineStr">
        <is>
          <t xml:space="preserve">Mazda</t>
        </is>
      </c>
      <c r="F5291" s="0" t="inlineStr">
        <is>
          <t xml:space="preserve">Mazda</t>
        </is>
      </c>
      <c r="G5291" s="0" t="s">
        <v>171</v>
      </c>
      <c r="H5291" s="5">
        <v>242.771100</v>
      </c>
    </row>
    <row r="5292" spans="1:9">
      <c r="A5292" s="22" t="str">
        <f>HYPERLINK("https://app.vivvix.com/360/KMI/IntelliDrive/ApplUI/Pages/CreativePages/CustomReportCreativeDetail.aspx?App=23&amp;ReportView=4&amp;Qid=1711279&amp;Row=5284&amp;Col=1","No Title Assigned - #15269416974")</f>
        <v/>
      </c>
      <c r="B5292" s="0" t="s">
        <v>7170</v>
      </c>
      <c r="E5292" s="0" t="inlineStr">
        <is>
          <t xml:space="preserve">Mazda</t>
        </is>
      </c>
      <c r="F5292" s="0" t="inlineStr">
        <is>
          <t xml:space="preserve">Mazda</t>
        </is>
      </c>
      <c r="G5292" s="0" t="s">
        <v>171</v>
      </c>
      <c r="H5292" s="5">
        <v>407.196500</v>
      </c>
    </row>
    <row r="5293" spans="1:9">
      <c r="A5293" s="22" t="str">
        <f>HYPERLINK("https://app.vivvix.com/360/KMI/IntelliDrive/ApplUI/Pages/CreativePages/CustomReportCreativeDetail.aspx?App=23&amp;ReportView=4&amp;Qid=1711279&amp;Row=5285&amp;Col=1","No Title Assigned - #15269417107")</f>
        <v/>
      </c>
      <c r="B5293" s="0" t="s">
        <v>7171</v>
      </c>
      <c r="E5293" s="0" t="inlineStr">
        <is>
          <t xml:space="preserve">Mazda</t>
        </is>
      </c>
      <c r="F5293" s="0" t="inlineStr">
        <is>
          <t xml:space="preserve">Mazda</t>
        </is>
      </c>
      <c r="G5293" s="0" t="s">
        <v>171</v>
      </c>
      <c r="H5293" s="5">
        <v>93.883200</v>
      </c>
    </row>
    <row r="5294" spans="1:9">
      <c r="A5294" s="22" t="str">
        <f>HYPERLINK("https://app.vivvix.com/360/KMI/IntelliDrive/ApplUI/Pages/CreativePages/CustomReportCreativeDetail.aspx?App=23&amp;ReportView=4&amp;Qid=1711279&amp;Row=5286&amp;Col=1","No Title Assigned - #15269417108")</f>
        <v/>
      </c>
      <c r="B5294" s="0" t="s">
        <v>7172</v>
      </c>
      <c r="E5294" s="0" t="inlineStr">
        <is>
          <t xml:space="preserve">Mazda</t>
        </is>
      </c>
      <c r="F5294" s="0" t="inlineStr">
        <is>
          <t xml:space="preserve">Mazda</t>
        </is>
      </c>
      <c r="G5294" s="0" t="s">
        <v>171</v>
      </c>
      <c r="H5294" s="5">
        <v>58.288900</v>
      </c>
    </row>
    <row r="5295" spans="1:9">
      <c r="A5295" s="22" t="str">
        <f>HYPERLINK("https://app.vivvix.com/360/KMI/IntelliDrive/ApplUI/Pages/CreativePages/CustomReportCreativeDetail.aspx?App=23&amp;ReportView=4&amp;Qid=1711279&amp;Row=5287&amp;Col=1","No Title Assigned - #15269417412")</f>
        <v/>
      </c>
      <c r="B5295" s="0" t="s">
        <v>7173</v>
      </c>
      <c r="E5295" s="0" t="inlineStr">
        <is>
          <t xml:space="preserve">Mazda</t>
        </is>
      </c>
      <c r="F5295" s="0" t="inlineStr">
        <is>
          <t xml:space="preserve">Mazda</t>
        </is>
      </c>
      <c r="G5295" s="0" t="s">
        <v>171</v>
      </c>
      <c r="H5295" s="5">
        <v>12.925500</v>
      </c>
    </row>
    <row r="5296" spans="1:9">
      <c r="A5296" s="22" t="str">
        <f>HYPERLINK("https://app.vivvix.com/360/KMI/IntelliDrive/ApplUI/Pages/CreativePages/CustomReportCreativeDetail.aspx?App=23&amp;ReportView=4&amp;Qid=1711279&amp;Row=5288&amp;Col=1","No Title Assigned - #15269417518")</f>
        <v/>
      </c>
      <c r="B5296" s="0" t="s">
        <v>7174</v>
      </c>
      <c r="E5296" s="0" t="inlineStr">
        <is>
          <t xml:space="preserve">Mazda</t>
        </is>
      </c>
      <c r="F5296" s="0" t="inlineStr">
        <is>
          <t xml:space="preserve">Mazda</t>
        </is>
      </c>
      <c r="G5296" s="0" t="s">
        <v>171</v>
      </c>
      <c r="H5296" s="5">
        <v>11.562500</v>
      </c>
    </row>
    <row r="5297" spans="1:9">
      <c r="A5297" s="22" t="str">
        <f>HYPERLINK("https://app.vivvix.com/360/KMI/IntelliDrive/ApplUI/Pages/CreativePages/CustomReportCreativeDetail.aspx?App=23&amp;ReportView=4&amp;Qid=1711279&amp;Row=5289&amp;Col=1","No Title Assigned - #15269418305")</f>
        <v/>
      </c>
      <c r="B5297" s="0" t="s">
        <v>7175</v>
      </c>
      <c r="E5297" s="0" t="inlineStr">
        <is>
          <t xml:space="preserve">Mazda</t>
        </is>
      </c>
      <c r="F5297" s="0" t="inlineStr">
        <is>
          <t xml:space="preserve">Mazda</t>
        </is>
      </c>
      <c r="G5297" s="0" t="s">
        <v>171</v>
      </c>
      <c r="H5297" s="5">
        <v>80.331800</v>
      </c>
    </row>
    <row r="5298" spans="1:9">
      <c r="A5298" s="22" t="str">
        <f>HYPERLINK("https://app.vivvix.com/360/KMI/IntelliDrive/ApplUI/Pages/CreativePages/CustomReportCreativeDetail.aspx?App=23&amp;ReportView=4&amp;Qid=1711279&amp;Row=5290&amp;Col=1","No Title Assigned - #15269418368")</f>
        <v/>
      </c>
      <c r="B5298" s="0" t="s">
        <v>7176</v>
      </c>
      <c r="E5298" s="0" t="inlineStr">
        <is>
          <t xml:space="preserve">Mazda</t>
        </is>
      </c>
      <c r="F5298" s="0" t="inlineStr">
        <is>
          <t xml:space="preserve">Mazda</t>
        </is>
      </c>
      <c r="G5298" s="0" t="s">
        <v>171</v>
      </c>
      <c r="H5298" s="5">
        <v>155.444600</v>
      </c>
    </row>
    <row r="5299" spans="1:9">
      <c r="A5299" s="22" t="str">
        <f>HYPERLINK("https://app.vivvix.com/360/KMI/IntelliDrive/ApplUI/Pages/CreativePages/CustomReportCreativeDetail.aspx?App=23&amp;ReportView=4&amp;Qid=1711279&amp;Row=5291&amp;Col=1","No Title Assigned - #15269418407")</f>
        <v/>
      </c>
      <c r="B5299" s="0" t="s">
        <v>7177</v>
      </c>
      <c r="E5299" s="0" t="inlineStr">
        <is>
          <t xml:space="preserve">Mazda</t>
        </is>
      </c>
      <c r="F5299" s="0" t="inlineStr">
        <is>
          <t xml:space="preserve">Mazda</t>
        </is>
      </c>
      <c r="G5299" s="0" t="s">
        <v>171</v>
      </c>
      <c r="H5299" s="5">
        <v>259.340000</v>
      </c>
    </row>
    <row r="5300" spans="1:9">
      <c r="A5300" s="22" t="str">
        <f>HYPERLINK("https://app.vivvix.com/360/KMI/IntelliDrive/ApplUI/Pages/CreativePages/CustomReportCreativeDetail.aspx?App=23&amp;ReportView=4&amp;Qid=1711279&amp;Row=5292&amp;Col=1","No Title Assigned - #15269418438")</f>
        <v/>
      </c>
      <c r="B5300" s="0" t="s">
        <v>7178</v>
      </c>
      <c r="E5300" s="0" t="inlineStr">
        <is>
          <t xml:space="preserve">Mazda</t>
        </is>
      </c>
      <c r="F5300" s="0" t="inlineStr">
        <is>
          <t xml:space="preserve">Mazda</t>
        </is>
      </c>
      <c r="G5300" s="0" t="s">
        <v>171</v>
      </c>
      <c r="H5300" s="5">
        <v>12.925500</v>
      </c>
    </row>
    <row r="5301" spans="1:9">
      <c r="A5301" s="22" t="str">
        <f>HYPERLINK("https://app.vivvix.com/360/KMI/IntelliDrive/ApplUI/Pages/CreativePages/CustomReportCreativeDetail.aspx?App=23&amp;ReportView=4&amp;Qid=1711279&amp;Row=5293&amp;Col=1","No Title Assigned - #15269418475")</f>
        <v/>
      </c>
      <c r="B5301" s="0" t="s">
        <v>7179</v>
      </c>
      <c r="E5301" s="0" t="inlineStr">
        <is>
          <t xml:space="preserve">Mazda</t>
        </is>
      </c>
      <c r="F5301" s="0" t="inlineStr">
        <is>
          <t xml:space="preserve">Mazda</t>
        </is>
      </c>
      <c r="G5301" s="0" t="s">
        <v>171</v>
      </c>
      <c r="H5301" s="5">
        <v>15.590500</v>
      </c>
    </row>
    <row r="5302" spans="1:9">
      <c r="A5302" s="22" t="str">
        <f>HYPERLINK("https://app.vivvix.com/360/KMI/IntelliDrive/ApplUI/Pages/CreativePages/CustomReportCreativeDetail.aspx?App=23&amp;ReportView=4&amp;Qid=1711279&amp;Row=5294&amp;Col=1","No Title Assigned - #15269418504")</f>
        <v/>
      </c>
      <c r="B5302" s="0" t="s">
        <v>7180</v>
      </c>
      <c r="E5302" s="0" t="inlineStr">
        <is>
          <t xml:space="preserve">Mazda</t>
        </is>
      </c>
      <c r="F5302" s="0" t="inlineStr">
        <is>
          <t xml:space="preserve">Mazda</t>
        </is>
      </c>
      <c r="G5302" s="0" t="s">
        <v>171</v>
      </c>
      <c r="H5302" s="5">
        <v>1174.588300</v>
      </c>
    </row>
    <row r="5303" spans="1:9">
      <c r="A5303" s="22" t="str">
        <f>HYPERLINK("https://app.vivvix.com/360/KMI/IntelliDrive/ApplUI/Pages/CreativePages/CustomReportCreativeDetail.aspx?App=23&amp;ReportView=4&amp;Qid=1711279&amp;Row=5295&amp;Col=1","No Title Assigned - #15269419122")</f>
        <v/>
      </c>
      <c r="B5303" s="0" t="s">
        <v>7181</v>
      </c>
      <c r="E5303" s="0" t="inlineStr">
        <is>
          <t xml:space="preserve">Mazda</t>
        </is>
      </c>
      <c r="F5303" s="0" t="inlineStr">
        <is>
          <t xml:space="preserve">Mazda</t>
        </is>
      </c>
      <c r="G5303" s="0" t="s">
        <v>171</v>
      </c>
      <c r="H5303" s="5">
        <v>11872.945300</v>
      </c>
    </row>
    <row r="5304" spans="1:9">
      <c r="A5304" s="22" t="str">
        <f>HYPERLINK("https://app.vivvix.com/360/KMI/IntelliDrive/ApplUI/Pages/CreativePages/CustomReportCreativeDetail.aspx?App=23&amp;ReportView=4&amp;Qid=1711279&amp;Row=5296&amp;Col=1","No Title Assigned - #15269419288")</f>
        <v/>
      </c>
      <c r="B5304" s="0" t="s">
        <v>7182</v>
      </c>
      <c r="C5304" s="0" t="s">
        <v>7183</v>
      </c>
      <c r="D5304" s="0" t="s">
        <v>7183</v>
      </c>
      <c r="E5304" s="0" t="inlineStr">
        <is>
          <t xml:space="preserve">Mazda</t>
        </is>
      </c>
      <c r="F5304" s="0" t="inlineStr">
        <is>
          <t xml:space="preserve">Mazda</t>
        </is>
      </c>
      <c r="G5304" s="0" t="s">
        <v>171</v>
      </c>
      <c r="H5304" s="5">
        <v>487.353400</v>
      </c>
    </row>
    <row r="5305" spans="1:9">
      <c r="A5305" s="22" t="str">
        <f>HYPERLINK("https://app.vivvix.com/360/KMI/IntelliDrive/ApplUI/Pages/CreativePages/CustomReportCreativeDetail.aspx?App=23&amp;ReportView=4&amp;Qid=1711279&amp;Row=5297&amp;Col=1","No Title Assigned - #15269420402")</f>
        <v/>
      </c>
      <c r="B5305" s="0" t="s">
        <v>7184</v>
      </c>
      <c r="E5305" s="0" t="inlineStr">
        <is>
          <t xml:space="preserve">Mazda</t>
        </is>
      </c>
      <c r="F5305" s="0" t="inlineStr">
        <is>
          <t xml:space="preserve">Mazda</t>
        </is>
      </c>
      <c r="G5305" s="0" t="s">
        <v>171</v>
      </c>
      <c r="H5305" s="5">
        <v>109.242700</v>
      </c>
    </row>
    <row r="5306" spans="1:9">
      <c r="A5306" s="22" t="str">
        <f>HYPERLINK("https://app.vivvix.com/360/KMI/IntelliDrive/ApplUI/Pages/CreativePages/CustomReportCreativeDetail.aspx?App=23&amp;ReportView=4&amp;Qid=1711279&amp;Row=5298&amp;Col=1","No Title Assigned - #15269421943")</f>
        <v/>
      </c>
      <c r="B5306" s="0" t="s">
        <v>7185</v>
      </c>
      <c r="E5306" s="0" t="inlineStr">
        <is>
          <t xml:space="preserve">Mazda</t>
        </is>
      </c>
      <c r="F5306" s="0" t="inlineStr">
        <is>
          <t xml:space="preserve">Mazda</t>
        </is>
      </c>
      <c r="G5306" s="0" t="s">
        <v>171</v>
      </c>
      <c r="H5306" s="5">
        <v>98.625500</v>
      </c>
    </row>
    <row r="5307" spans="1:9">
      <c r="A5307" s="22" t="str">
        <f>HYPERLINK("https://app.vivvix.com/360/KMI/IntelliDrive/ApplUI/Pages/CreativePages/CustomReportCreativeDetail.aspx?App=23&amp;ReportView=4&amp;Qid=1711279&amp;Row=5299&amp;Col=1","No Title Assigned - #15269422169")</f>
        <v/>
      </c>
      <c r="B5307" s="0" t="s">
        <v>7186</v>
      </c>
      <c r="E5307" s="0" t="inlineStr">
        <is>
          <t xml:space="preserve">Mazda</t>
        </is>
      </c>
      <c r="F5307" s="0" t="inlineStr">
        <is>
          <t xml:space="preserve">Mazda</t>
        </is>
      </c>
      <c r="G5307" s="0" t="s">
        <v>171</v>
      </c>
      <c r="H5307" s="5">
        <v>886.587300</v>
      </c>
    </row>
    <row r="5308" spans="1:9">
      <c r="A5308" s="22" t="str">
        <f>HYPERLINK("https://app.vivvix.com/360/KMI/IntelliDrive/ApplUI/Pages/CreativePages/CustomReportCreativeDetail.aspx?App=23&amp;ReportView=4&amp;Qid=1711279&amp;Row=5300&amp;Col=1","No Title Assigned - #15269422201")</f>
        <v/>
      </c>
      <c r="B5308" s="0" t="s">
        <v>7187</v>
      </c>
      <c r="C5308" s="0" t="s">
        <v>7188</v>
      </c>
      <c r="D5308" s="0" t="s">
        <v>7188</v>
      </c>
      <c r="E5308" s="0" t="inlineStr">
        <is>
          <t xml:space="preserve">Mazda</t>
        </is>
      </c>
      <c r="F5308" s="0" t="inlineStr">
        <is>
          <t xml:space="preserve">Mazda</t>
        </is>
      </c>
      <c r="G5308" s="0" t="s">
        <v>171</v>
      </c>
      <c r="H5308" s="5">
        <v>6.177900</v>
      </c>
    </row>
    <row r="5309" spans="1:9">
      <c r="A5309" s="22" t="str">
        <f>HYPERLINK("https://app.vivvix.com/360/KMI/IntelliDrive/ApplUI/Pages/CreativePages/CustomReportCreativeDetail.aspx?App=23&amp;ReportView=4&amp;Qid=1711279&amp;Row=5301&amp;Col=1","No Title Assigned - #15269422622")</f>
        <v/>
      </c>
      <c r="B5309" s="0" t="s">
        <v>7189</v>
      </c>
      <c r="E5309" s="0" t="inlineStr">
        <is>
          <t xml:space="preserve">Mazda</t>
        </is>
      </c>
      <c r="F5309" s="0" t="inlineStr">
        <is>
          <t xml:space="preserve">Mazda</t>
        </is>
      </c>
      <c r="G5309" s="0" t="s">
        <v>171</v>
      </c>
      <c r="H5309" s="5">
        <v>2021.049200</v>
      </c>
    </row>
    <row r="5310" spans="1:9">
      <c r="A5310" s="22" t="str">
        <f>HYPERLINK("https://app.vivvix.com/360/KMI/IntelliDrive/ApplUI/Pages/CreativePages/CustomReportCreativeDetail.aspx?App=23&amp;ReportView=4&amp;Qid=1711279&amp;Row=5302&amp;Col=1","No Title Assigned - #15269422702")</f>
        <v/>
      </c>
      <c r="B5310" s="0" t="s">
        <v>7190</v>
      </c>
      <c r="E5310" s="0" t="inlineStr">
        <is>
          <t xml:space="preserve">Mazda</t>
        </is>
      </c>
      <c r="F5310" s="0" t="inlineStr">
        <is>
          <t xml:space="preserve">Mazda</t>
        </is>
      </c>
      <c r="G5310" s="0" t="s">
        <v>171</v>
      </c>
      <c r="H5310" s="5">
        <v>96.454600</v>
      </c>
    </row>
    <row r="5311" spans="1:9">
      <c r="A5311" s="22" t="str">
        <f>HYPERLINK("https://app.vivvix.com/360/KMI/IntelliDrive/ApplUI/Pages/CreativePages/CustomReportCreativeDetail.aspx?App=23&amp;ReportView=4&amp;Qid=1711279&amp;Row=5303&amp;Col=1","No Title Assigned - #15269422725")</f>
        <v/>
      </c>
      <c r="B5311" s="0" t="s">
        <v>7191</v>
      </c>
      <c r="E5311" s="0" t="inlineStr">
        <is>
          <t xml:space="preserve">Mazda</t>
        </is>
      </c>
      <c r="F5311" s="0" t="inlineStr">
        <is>
          <t xml:space="preserve">Mazda</t>
        </is>
      </c>
      <c r="G5311" s="0" t="s">
        <v>171</v>
      </c>
      <c r="H5311" s="5">
        <v>429.850300</v>
      </c>
    </row>
    <row r="5312" spans="1:9">
      <c r="A5312" s="22" t="str">
        <f>HYPERLINK("https://app.vivvix.com/360/KMI/IntelliDrive/ApplUI/Pages/CreativePages/CustomReportCreativeDetail.aspx?App=23&amp;ReportView=4&amp;Qid=1711279&amp;Row=5304&amp;Col=1","No Title Assigned - #15269422936")</f>
        <v/>
      </c>
      <c r="B5312" s="0" t="s">
        <v>7192</v>
      </c>
      <c r="E5312" s="0" t="inlineStr">
        <is>
          <t xml:space="preserve">Mazda</t>
        </is>
      </c>
      <c r="F5312" s="0" t="s">
        <v>28</v>
      </c>
      <c r="G5312" s="0" t="s">
        <v>29</v>
      </c>
      <c r="H5312" s="5">
        <v>2.872900</v>
      </c>
    </row>
    <row r="5313" spans="1:9">
      <c r="A5313" s="22" t="str">
        <f>HYPERLINK("https://app.vivvix.com/360/KMI/IntelliDrive/ApplUI/Pages/CreativePages/CustomReportCreativeDetail.aspx?App=23&amp;ReportView=4&amp;Qid=1711279&amp;Row=5305&amp;Col=1","No Title Assigned - #15269426609")</f>
        <v/>
      </c>
      <c r="B5313" s="0" t="s">
        <v>7193</v>
      </c>
      <c r="E5313" s="0" t="inlineStr">
        <is>
          <t xml:space="preserve">Mazda</t>
        </is>
      </c>
      <c r="F5313" s="0" t="inlineStr">
        <is>
          <t xml:space="preserve">Mazda</t>
        </is>
      </c>
      <c r="G5313" s="0" t="s">
        <v>171</v>
      </c>
      <c r="H5313" s="5">
        <v>1291.235100</v>
      </c>
    </row>
    <row r="5314" spans="1:9">
      <c r="A5314" s="22" t="str">
        <f>HYPERLINK("https://app.vivvix.com/360/KMI/IntelliDrive/ApplUI/Pages/CreativePages/CustomReportCreativeDetail.aspx?App=23&amp;ReportView=4&amp;Qid=1711279&amp;Row=5306&amp;Col=1","No Title Assigned - #15269444419")</f>
        <v/>
      </c>
      <c r="B5314" s="0" t="s">
        <v>7194</v>
      </c>
      <c r="E5314" s="0" t="inlineStr">
        <is>
          <t xml:space="preserve">Mazda</t>
        </is>
      </c>
      <c r="F5314" s="0" t="inlineStr">
        <is>
          <t xml:space="preserve">Mazda</t>
        </is>
      </c>
      <c r="G5314" s="0" t="s">
        <v>171</v>
      </c>
      <c r="H5314" s="5">
        <v>66.067000</v>
      </c>
    </row>
    <row r="5315" spans="1:9">
      <c r="A5315" s="22" t="str">
        <f>HYPERLINK("https://app.vivvix.com/360/KMI/IntelliDrive/ApplUI/Pages/CreativePages/CustomReportCreativeDetail.aspx?App=23&amp;ReportView=4&amp;Qid=1711279&amp;Row=5307&amp;Col=1","No Title Assigned - #15269445740")</f>
        <v/>
      </c>
      <c r="B5315" s="0" t="s">
        <v>7195</v>
      </c>
      <c r="E5315" s="0" t="inlineStr">
        <is>
          <t xml:space="preserve">Mazda</t>
        </is>
      </c>
      <c r="F5315" s="0" t="inlineStr">
        <is>
          <t xml:space="preserve">Mazda</t>
        </is>
      </c>
      <c r="G5315" s="0" t="s">
        <v>171</v>
      </c>
      <c r="H5315" s="5">
        <v>401.715600</v>
      </c>
    </row>
    <row r="5316" spans="1:9">
      <c r="A5316" s="22" t="str">
        <f>HYPERLINK("https://app.vivvix.com/360/KMI/IntelliDrive/ApplUI/Pages/CreativePages/CustomReportCreativeDetail.aspx?App=23&amp;ReportView=4&amp;Qid=1711279&amp;Row=5308&amp;Col=1","No Title Assigned - #15269448921")</f>
        <v/>
      </c>
      <c r="B5316" s="0" t="s">
        <v>7196</v>
      </c>
      <c r="E5316" s="0" t="inlineStr">
        <is>
          <t xml:space="preserve">Mazda</t>
        </is>
      </c>
      <c r="F5316" s="0" t="inlineStr">
        <is>
          <t xml:space="preserve">Mazda</t>
        </is>
      </c>
      <c r="G5316" s="0" t="s">
        <v>171</v>
      </c>
      <c r="H5316" s="5">
        <v>3.241700</v>
      </c>
    </row>
    <row r="5317" spans="1:9">
      <c r="A5317" s="22" t="str">
        <f>HYPERLINK("https://app.vivvix.com/360/KMI/IntelliDrive/ApplUI/Pages/CreativePages/CustomReportCreativeDetail.aspx?App=23&amp;ReportView=4&amp;Qid=1711279&amp;Row=5309&amp;Col=1","No Title Assigned - #15269451182")</f>
        <v/>
      </c>
      <c r="B5317" s="0" t="s">
        <v>7197</v>
      </c>
      <c r="E5317" s="0" t="inlineStr">
        <is>
          <t xml:space="preserve">Mazda</t>
        </is>
      </c>
      <c r="F5317" s="0" t="inlineStr">
        <is>
          <t xml:space="preserve">Mazda</t>
        </is>
      </c>
      <c r="G5317" s="0" t="s">
        <v>171</v>
      </c>
      <c r="H5317" s="5">
        <v>69.981700</v>
      </c>
    </row>
    <row r="5318" spans="1:9">
      <c r="A5318" s="22" t="str">
        <f>HYPERLINK("https://app.vivvix.com/360/KMI/IntelliDrive/ApplUI/Pages/CreativePages/CustomReportCreativeDetail.aspx?App=23&amp;ReportView=4&amp;Qid=1711279&amp;Row=5310&amp;Col=1","No Title Assigned - #15269452910")</f>
        <v/>
      </c>
      <c r="B5318" s="0" t="s">
        <v>7198</v>
      </c>
      <c r="E5318" s="0" t="inlineStr">
        <is>
          <t xml:space="preserve">Mazda</t>
        </is>
      </c>
      <c r="F5318" s="0" t="inlineStr">
        <is>
          <t xml:space="preserve">Mazda</t>
        </is>
      </c>
      <c r="G5318" s="0" t="s">
        <v>171</v>
      </c>
      <c r="H5318" s="5">
        <v>76.713500</v>
      </c>
    </row>
    <row r="5319" spans="1:9">
      <c r="A5319" s="22" t="str">
        <f>HYPERLINK("https://app.vivvix.com/360/KMI/IntelliDrive/ApplUI/Pages/CreativePages/CustomReportCreativeDetail.aspx?App=23&amp;ReportView=4&amp;Qid=1711279&amp;Row=5311&amp;Col=1","No Title Assigned - #15269453508")</f>
        <v/>
      </c>
      <c r="B5319" s="0" t="s">
        <v>7199</v>
      </c>
      <c r="E5319" s="0" t="inlineStr">
        <is>
          <t xml:space="preserve">Mazda</t>
        </is>
      </c>
      <c r="F5319" s="0" t="inlineStr">
        <is>
          <t xml:space="preserve">Mazda</t>
        </is>
      </c>
      <c r="G5319" s="0" t="s">
        <v>171</v>
      </c>
      <c r="H5319" s="5">
        <v>171.255800</v>
      </c>
    </row>
    <row r="5320" spans="1:9">
      <c r="A5320" s="22" t="str">
        <f>HYPERLINK("https://app.vivvix.com/360/KMI/IntelliDrive/ApplUI/Pages/CreativePages/CustomReportCreativeDetail.aspx?App=23&amp;ReportView=4&amp;Qid=1711279&amp;Row=5312&amp;Col=1","No Title Assigned - #15269453710")</f>
        <v/>
      </c>
      <c r="B5320" s="0" t="s">
        <v>7200</v>
      </c>
      <c r="E5320" s="0" t="inlineStr">
        <is>
          <t xml:space="preserve">Mazda</t>
        </is>
      </c>
      <c r="F5320" s="0" t="inlineStr">
        <is>
          <t xml:space="preserve">Mazda</t>
        </is>
      </c>
      <c r="G5320" s="0" t="s">
        <v>171</v>
      </c>
      <c r="H5320" s="5">
        <v>9350.470500</v>
      </c>
    </row>
    <row r="5321" spans="1:9">
      <c r="A5321" s="22" t="str">
        <f>HYPERLINK("https://app.vivvix.com/360/KMI/IntelliDrive/ApplUI/Pages/CreativePages/CustomReportCreativeDetail.aspx?App=23&amp;ReportView=4&amp;Qid=1711279&amp;Row=5313&amp;Col=1","No Title Assigned - #15269454861")</f>
        <v/>
      </c>
      <c r="B5321" s="0" t="s">
        <v>7201</v>
      </c>
      <c r="E5321" s="0" t="inlineStr">
        <is>
          <t xml:space="preserve">Mazda</t>
        </is>
      </c>
      <c r="F5321" s="0" t="inlineStr">
        <is>
          <t xml:space="preserve">Mazda</t>
        </is>
      </c>
      <c r="G5321" s="0" t="s">
        <v>171</v>
      </c>
      <c r="H5321" s="5">
        <v>876.536700</v>
      </c>
    </row>
    <row r="5322" spans="1:9">
      <c r="A5322" s="22" t="str">
        <f>HYPERLINK("https://app.vivvix.com/360/KMI/IntelliDrive/ApplUI/Pages/CreativePages/CustomReportCreativeDetail.aspx?App=23&amp;ReportView=4&amp;Qid=1711279&amp;Row=5314&amp;Col=1","No Title Assigned - #15269455679")</f>
        <v/>
      </c>
      <c r="B5322" s="0" t="s">
        <v>7202</v>
      </c>
      <c r="E5322" s="0" t="inlineStr">
        <is>
          <t xml:space="preserve">Mazda</t>
        </is>
      </c>
      <c r="F5322" s="0" t="inlineStr">
        <is>
          <t xml:space="preserve">Mazda</t>
        </is>
      </c>
      <c r="G5322" s="0" t="s">
        <v>171</v>
      </c>
      <c r="H5322" s="5">
        <v>2597.106700</v>
      </c>
    </row>
    <row r="5323" spans="1:9">
      <c r="A5323" s="22" t="str">
        <f>HYPERLINK("https://app.vivvix.com/360/KMI/IntelliDrive/ApplUI/Pages/CreativePages/CustomReportCreativeDetail.aspx?App=23&amp;ReportView=4&amp;Qid=1711279&amp;Row=5315&amp;Col=1","No Title Assigned - #15269457089")</f>
        <v/>
      </c>
      <c r="B5323" s="0" t="s">
        <v>7203</v>
      </c>
      <c r="E5323" s="0" t="inlineStr">
        <is>
          <t xml:space="preserve">Mazda</t>
        </is>
      </c>
      <c r="F5323" s="0" t="inlineStr">
        <is>
          <t xml:space="preserve">Mazda</t>
        </is>
      </c>
      <c r="G5323" s="0" t="s">
        <v>171</v>
      </c>
      <c r="H5323" s="5">
        <v>44.512200</v>
      </c>
    </row>
    <row r="5324" spans="1:9">
      <c r="A5324" s="22" t="str">
        <f>HYPERLINK("https://app.vivvix.com/360/KMI/IntelliDrive/ApplUI/Pages/CreativePages/CustomReportCreativeDetail.aspx?App=23&amp;ReportView=4&amp;Qid=1711279&amp;Row=5316&amp;Col=1","No Title Assigned - #15269458867")</f>
        <v/>
      </c>
      <c r="B5324" s="0" t="s">
        <v>7204</v>
      </c>
      <c r="E5324" s="0" t="inlineStr">
        <is>
          <t xml:space="preserve">Mazda</t>
        </is>
      </c>
      <c r="F5324" s="0" t="inlineStr">
        <is>
          <t xml:space="preserve">Mazda</t>
        </is>
      </c>
      <c r="G5324" s="0" t="s">
        <v>171</v>
      </c>
      <c r="H5324" s="5">
        <v>50.422300</v>
      </c>
    </row>
    <row r="5325" spans="1:9">
      <c r="A5325" s="22" t="str">
        <f>HYPERLINK("https://app.vivvix.com/360/KMI/IntelliDrive/ApplUI/Pages/CreativePages/CustomReportCreativeDetail.aspx?App=23&amp;ReportView=4&amp;Qid=1711279&amp;Row=5317&amp;Col=1","No Title Assigned - #15269459175")</f>
        <v/>
      </c>
      <c r="B5325" s="0" t="s">
        <v>7205</v>
      </c>
      <c r="E5325" s="0" t="inlineStr">
        <is>
          <t xml:space="preserve">Mazda</t>
        </is>
      </c>
      <c r="F5325" s="0" t="inlineStr">
        <is>
          <t xml:space="preserve">Mazda</t>
        </is>
      </c>
      <c r="G5325" s="0" t="s">
        <v>171</v>
      </c>
      <c r="H5325" s="5">
        <v>458.945700</v>
      </c>
    </row>
    <row r="5326" spans="1:9">
      <c r="A5326" s="22" t="str">
        <f>HYPERLINK("https://app.vivvix.com/360/KMI/IntelliDrive/ApplUI/Pages/CreativePages/CustomReportCreativeDetail.aspx?App=23&amp;ReportView=4&amp;Qid=1711279&amp;Row=5318&amp;Col=1","No Title Assigned - #15269459431")</f>
        <v/>
      </c>
      <c r="B5326" s="0" t="s">
        <v>7206</v>
      </c>
      <c r="E5326" s="0" t="inlineStr">
        <is>
          <t xml:space="preserve">Mazda</t>
        </is>
      </c>
      <c r="F5326" s="0" t="inlineStr">
        <is>
          <t xml:space="preserve">Mazda</t>
        </is>
      </c>
      <c r="G5326" s="0" t="s">
        <v>171</v>
      </c>
      <c r="H5326" s="5">
        <v>43.048700</v>
      </c>
    </row>
    <row r="5327" spans="1:9">
      <c r="A5327" s="22" t="str">
        <f>HYPERLINK("https://app.vivvix.com/360/KMI/IntelliDrive/ApplUI/Pages/CreativePages/CustomReportCreativeDetail.aspx?App=23&amp;ReportView=4&amp;Qid=1711279&amp;Row=5319&amp;Col=1","No Title Assigned - #15269460048")</f>
        <v/>
      </c>
      <c r="B5327" s="0" t="s">
        <v>7207</v>
      </c>
      <c r="C5327" s="0" t="s">
        <v>7208</v>
      </c>
      <c r="D5327" s="0" t="s">
        <v>7208</v>
      </c>
      <c r="E5327" s="0" t="inlineStr">
        <is>
          <t xml:space="preserve">Mazda</t>
        </is>
      </c>
      <c r="F5327" s="0" t="s">
        <v>13</v>
      </c>
      <c r="G5327" s="0" t="s">
        <v>49</v>
      </c>
      <c r="H5327" s="5">
        <v>1037.272100</v>
      </c>
    </row>
    <row r="5328" spans="1:9">
      <c r="A5328" s="22" t="str">
        <f>HYPERLINK("https://app.vivvix.com/360/KMI/IntelliDrive/ApplUI/Pages/CreativePages/CustomReportCreativeDetail.aspx?App=23&amp;ReportView=4&amp;Qid=1711279&amp;Row=5320&amp;Col=1","No Title Assigned - #15269460728")</f>
        <v/>
      </c>
      <c r="B5328" s="0" t="s">
        <v>7209</v>
      </c>
      <c r="C5328" s="0" t="s">
        <v>7210</v>
      </c>
      <c r="D5328" s="0" t="s">
        <v>7210</v>
      </c>
      <c r="E5328" s="0" t="inlineStr">
        <is>
          <t xml:space="preserve">Mazda</t>
        </is>
      </c>
      <c r="F5328" s="0" t="s">
        <v>28</v>
      </c>
      <c r="G5328" s="0" t="s">
        <v>29</v>
      </c>
      <c r="H5328" s="5">
        <v>16.263800</v>
      </c>
    </row>
    <row r="5329" spans="1:9">
      <c r="A5329" s="22" t="str">
        <f>HYPERLINK("https://app.vivvix.com/360/KMI/IntelliDrive/ApplUI/Pages/CreativePages/CustomReportCreativeDetail.aspx?App=23&amp;ReportView=4&amp;Qid=1711279&amp;Row=5321&amp;Col=1","No Title Assigned - #15269460918")</f>
        <v/>
      </c>
      <c r="B5329" s="0" t="s">
        <v>7211</v>
      </c>
      <c r="C5329" s="0" t="s">
        <v>7212</v>
      </c>
      <c r="D5329" s="0" t="s">
        <v>7212</v>
      </c>
      <c r="E5329" s="0" t="inlineStr">
        <is>
          <t xml:space="preserve">Mazda</t>
        </is>
      </c>
      <c r="F5329" s="0" t="s">
        <v>13</v>
      </c>
      <c r="G5329" s="0" t="s">
        <v>49</v>
      </c>
      <c r="H5329" s="5">
        <v>433.782400</v>
      </c>
    </row>
    <row r="5330" spans="1:9">
      <c r="A5330" s="22" t="str">
        <f>HYPERLINK("https://app.vivvix.com/360/KMI/IntelliDrive/ApplUI/Pages/CreativePages/CustomReportCreativeDetail.aspx?App=23&amp;ReportView=4&amp;Qid=1711279&amp;Row=5322&amp;Col=1","No Title Assigned - #15269460922")</f>
        <v/>
      </c>
      <c r="B5330" s="0" t="s">
        <v>7213</v>
      </c>
      <c r="C5330" s="0" t="s">
        <v>7214</v>
      </c>
      <c r="D5330" s="0" t="s">
        <v>7214</v>
      </c>
      <c r="E5330" s="0" t="inlineStr">
        <is>
          <t xml:space="preserve">Mazda</t>
        </is>
      </c>
      <c r="F5330" s="0" t="s">
        <v>28</v>
      </c>
      <c r="G5330" s="0" t="s">
        <v>29</v>
      </c>
      <c r="H5330" s="5">
        <v>390.992700</v>
      </c>
    </row>
    <row r="5331" spans="1:9">
      <c r="A5331" s="22" t="str">
        <f>HYPERLINK("https://app.vivvix.com/360/KMI/IntelliDrive/ApplUI/Pages/CreativePages/CustomReportCreativeDetail.aspx?App=23&amp;ReportView=4&amp;Qid=1711279&amp;Row=5323&amp;Col=1","No Title Assigned - #15269461647")</f>
        <v/>
      </c>
      <c r="B5331" s="0" t="s">
        <v>7215</v>
      </c>
      <c r="C5331" s="0" t="s">
        <v>7216</v>
      </c>
      <c r="D5331" s="0" t="s">
        <v>7216</v>
      </c>
      <c r="E5331" s="0" t="inlineStr">
        <is>
          <t xml:space="preserve">Mazda</t>
        </is>
      </c>
      <c r="F5331" s="0" t="s">
        <v>17</v>
      </c>
      <c r="G5331" s="0" t="s">
        <v>33</v>
      </c>
      <c r="H5331" s="5">
        <v>177.155600</v>
      </c>
    </row>
    <row r="5332" spans="1:9">
      <c r="A5332" s="22" t="str">
        <f>HYPERLINK("https://app.vivvix.com/360/KMI/IntelliDrive/ApplUI/Pages/CreativePages/CustomReportCreativeDetail.aspx?App=23&amp;ReportView=4&amp;Qid=1711279&amp;Row=5324&amp;Col=1","No Title Assigned - #15269462813")</f>
        <v/>
      </c>
      <c r="B5332" s="0" t="s">
        <v>7217</v>
      </c>
      <c r="E5332" s="0" t="inlineStr">
        <is>
          <t xml:space="preserve">Mazda</t>
        </is>
      </c>
      <c r="F5332" s="0" t="inlineStr">
        <is>
          <t xml:space="preserve">Mazda</t>
        </is>
      </c>
      <c r="G5332" s="0" t="s">
        <v>171</v>
      </c>
      <c r="H5332" s="5">
        <v>154.248200</v>
      </c>
    </row>
    <row r="5333" spans="1:9">
      <c r="A5333" s="22" t="str">
        <f>HYPERLINK("https://app.vivvix.com/360/KMI/IntelliDrive/ApplUI/Pages/CreativePages/CustomReportCreativeDetail.aspx?App=23&amp;ReportView=4&amp;Qid=1711279&amp;Row=5325&amp;Col=1","No Title Assigned - #15269464683")</f>
        <v/>
      </c>
      <c r="B5333" s="0" t="s">
        <v>7218</v>
      </c>
      <c r="E5333" s="0" t="inlineStr">
        <is>
          <t xml:space="preserve">Mazda</t>
        </is>
      </c>
      <c r="F5333" s="0" t="s">
        <v>28</v>
      </c>
      <c r="G5333" s="0" t="s">
        <v>29</v>
      </c>
      <c r="H5333" s="5">
        <v>1364.149200</v>
      </c>
    </row>
    <row r="5334" spans="1:9">
      <c r="A5334" s="22" t="str">
        <f>HYPERLINK("https://app.vivvix.com/360/KMI/IntelliDrive/ApplUI/Pages/CreativePages/CustomReportCreativeDetail.aspx?App=23&amp;ReportView=4&amp;Qid=1711279&amp;Row=5326&amp;Col=1","No Title Assigned - #15269464683")</f>
        <v/>
      </c>
      <c r="B5334" s="0" t="s">
        <v>7218</v>
      </c>
      <c r="C5334" s="0" t="s">
        <v>7219</v>
      </c>
      <c r="D5334" s="0" t="s">
        <v>7219</v>
      </c>
      <c r="E5334" s="0" t="inlineStr">
        <is>
          <t xml:space="preserve">Mazda</t>
        </is>
      </c>
      <c r="F5334" s="0" t="s">
        <v>28</v>
      </c>
      <c r="G5334" s="0" t="s">
        <v>29</v>
      </c>
      <c r="H5334" s="5">
        <v>431.232000</v>
      </c>
    </row>
    <row r="5335" spans="1:9">
      <c r="A5335" s="22" t="str">
        <f>HYPERLINK("https://app.vivvix.com/360/KMI/IntelliDrive/ApplUI/Pages/CreativePages/CustomReportCreativeDetail.aspx?App=23&amp;ReportView=4&amp;Qid=1711279&amp;Row=5327&amp;Col=1","No Title Assigned - #15269465195")</f>
        <v/>
      </c>
      <c r="B5335" s="0" t="s">
        <v>7220</v>
      </c>
      <c r="C5335" s="0" t="s">
        <v>7221</v>
      </c>
      <c r="D5335" s="0" t="s">
        <v>4202</v>
      </c>
      <c r="E5335" s="0" t="inlineStr">
        <is>
          <t xml:space="preserve">Mazda</t>
        </is>
      </c>
      <c r="F5335" s="0" t="s">
        <v>28</v>
      </c>
      <c r="G5335" s="0" t="s">
        <v>29</v>
      </c>
      <c r="H5335" s="5">
        <v>14.165400</v>
      </c>
    </row>
    <row r="5336" spans="1:9">
      <c r="A5336" s="22" t="str">
        <f>HYPERLINK("https://app.vivvix.com/360/KMI/IntelliDrive/ApplUI/Pages/CreativePages/CustomReportCreativeDetail.aspx?App=23&amp;ReportView=4&amp;Qid=1711279&amp;Row=5328&amp;Col=1","No Title Assigned - #15269465395")</f>
        <v/>
      </c>
      <c r="B5336" s="0" t="s">
        <v>7222</v>
      </c>
      <c r="E5336" s="0" t="inlineStr">
        <is>
          <t xml:space="preserve">Mazda</t>
        </is>
      </c>
      <c r="F5336" s="0" t="inlineStr">
        <is>
          <t xml:space="preserve">Mazda</t>
        </is>
      </c>
      <c r="G5336" s="0" t="s">
        <v>171</v>
      </c>
      <c r="H5336" s="5">
        <v>80.414900</v>
      </c>
    </row>
    <row r="5337" spans="1:9">
      <c r="A5337" s="22" t="str">
        <f>HYPERLINK("https://app.vivvix.com/360/KMI/IntelliDrive/ApplUI/Pages/CreativePages/CustomReportCreativeDetail.aspx?App=23&amp;ReportView=4&amp;Qid=1711279&amp;Row=5329&amp;Col=1","No Title Assigned - #15269465849")</f>
        <v/>
      </c>
      <c r="B5337" s="0" t="s">
        <v>7223</v>
      </c>
      <c r="E5337" s="0" t="inlineStr">
        <is>
          <t xml:space="preserve">Mazda</t>
        </is>
      </c>
      <c r="F5337" s="0" t="inlineStr">
        <is>
          <t xml:space="preserve">Mazda</t>
        </is>
      </c>
      <c r="G5337" s="0" t="s">
        <v>171</v>
      </c>
      <c r="H5337" s="5">
        <v>59.130700</v>
      </c>
    </row>
    <row r="5338" spans="1:9">
      <c r="A5338" s="22" t="str">
        <f>HYPERLINK("https://app.vivvix.com/360/KMI/IntelliDrive/ApplUI/Pages/CreativePages/CustomReportCreativeDetail.aspx?App=23&amp;ReportView=4&amp;Qid=1711279&amp;Row=5330&amp;Col=1","No Title Assigned - #15269466281")</f>
        <v/>
      </c>
      <c r="B5338" s="0" t="s">
        <v>7224</v>
      </c>
      <c r="E5338" s="0" t="inlineStr">
        <is>
          <t xml:space="preserve">Mazda</t>
        </is>
      </c>
      <c r="F5338" s="0" t="inlineStr">
        <is>
          <t xml:space="preserve">Mazda</t>
        </is>
      </c>
      <c r="G5338" s="0" t="s">
        <v>171</v>
      </c>
      <c r="H5338" s="5">
        <v>22.481800</v>
      </c>
    </row>
    <row r="5339" spans="1:9">
      <c r="A5339" s="22" t="str">
        <f>HYPERLINK("https://app.vivvix.com/360/KMI/IntelliDrive/ApplUI/Pages/CreativePages/CustomReportCreativeDetail.aspx?App=23&amp;ReportView=4&amp;Qid=1711279&amp;Row=5331&amp;Col=1","No Title Assigned - #15269467080")</f>
        <v/>
      </c>
      <c r="B5339" s="0" t="s">
        <v>7225</v>
      </c>
      <c r="E5339" s="0" t="inlineStr">
        <is>
          <t xml:space="preserve">Mazda</t>
        </is>
      </c>
      <c r="F5339" s="0" t="inlineStr">
        <is>
          <t xml:space="preserve">Mazda</t>
        </is>
      </c>
      <c r="G5339" s="0" t="s">
        <v>171</v>
      </c>
      <c r="H5339" s="5">
        <v>11.149700</v>
      </c>
    </row>
    <row r="5340" spans="1:9">
      <c r="A5340" s="22" t="str">
        <f>HYPERLINK("https://app.vivvix.com/360/KMI/IntelliDrive/ApplUI/Pages/CreativePages/CustomReportCreativeDetail.aspx?App=23&amp;ReportView=4&amp;Qid=1711279&amp;Row=5332&amp;Col=1","No Title Assigned - #15269468875")</f>
        <v/>
      </c>
      <c r="B5340" s="0" t="s">
        <v>7226</v>
      </c>
      <c r="C5340" s="0" t="s">
        <v>7227</v>
      </c>
      <c r="D5340" s="0" t="s">
        <v>7227</v>
      </c>
      <c r="E5340" s="0" t="inlineStr">
        <is>
          <t xml:space="preserve">Mazda</t>
        </is>
      </c>
      <c r="F5340" s="0" t="inlineStr">
        <is>
          <t xml:space="preserve">Mazda</t>
        </is>
      </c>
      <c r="G5340" s="0" t="s">
        <v>171</v>
      </c>
      <c r="H5340" s="5">
        <v>187.760400</v>
      </c>
    </row>
    <row r="5341" spans="1:9">
      <c r="A5341" s="22" t="str">
        <f>HYPERLINK("https://app.vivvix.com/360/KMI/IntelliDrive/ApplUI/Pages/CreativePages/CustomReportCreativeDetail.aspx?App=23&amp;ReportView=4&amp;Qid=1711279&amp;Row=5333&amp;Col=1","No Title Assigned - #15269469230")</f>
        <v/>
      </c>
      <c r="B5341" s="0" t="s">
        <v>7228</v>
      </c>
      <c r="E5341" s="0" t="inlineStr">
        <is>
          <t xml:space="preserve">Mazda</t>
        </is>
      </c>
      <c r="F5341" s="0" t="inlineStr">
        <is>
          <t xml:space="preserve">Mazda</t>
        </is>
      </c>
      <c r="G5341" s="0" t="s">
        <v>171</v>
      </c>
      <c r="H5341" s="5">
        <v>236.348300</v>
      </c>
    </row>
    <row r="5342" spans="1:9">
      <c r="A5342" s="22" t="str">
        <f>HYPERLINK("https://app.vivvix.com/360/KMI/IntelliDrive/ApplUI/Pages/CreativePages/CustomReportCreativeDetail.aspx?App=23&amp;ReportView=4&amp;Qid=1711279&amp;Row=5334&amp;Col=1","No Title Assigned - #15269469392")</f>
        <v/>
      </c>
      <c r="B5342" s="0" t="s">
        <v>7229</v>
      </c>
      <c r="E5342" s="0" t="inlineStr">
        <is>
          <t xml:space="preserve">Mazda</t>
        </is>
      </c>
      <c r="F5342" s="0" t="inlineStr">
        <is>
          <t xml:space="preserve">Mazda</t>
        </is>
      </c>
      <c r="G5342" s="0" t="s">
        <v>171</v>
      </c>
      <c r="H5342" s="5">
        <v>304.729000</v>
      </c>
    </row>
    <row r="5343" spans="1:9">
      <c r="A5343" s="22" t="str">
        <f>HYPERLINK("https://app.vivvix.com/360/KMI/IntelliDrive/ApplUI/Pages/CreativePages/CustomReportCreativeDetail.aspx?App=23&amp;ReportView=4&amp;Qid=1711279&amp;Row=5335&amp;Col=1","No Title Assigned - #15269469922")</f>
        <v/>
      </c>
      <c r="B5343" s="0" t="s">
        <v>7230</v>
      </c>
      <c r="E5343" s="0" t="inlineStr">
        <is>
          <t xml:space="preserve">Mazda</t>
        </is>
      </c>
      <c r="F5343" s="0" t="inlineStr">
        <is>
          <t xml:space="preserve">Mazda</t>
        </is>
      </c>
      <c r="G5343" s="0" t="s">
        <v>171</v>
      </c>
      <c r="H5343" s="5">
        <v>77.085600</v>
      </c>
    </row>
    <row r="5344" spans="1:9">
      <c r="A5344" s="22" t="str">
        <f>HYPERLINK("https://app.vivvix.com/360/KMI/IntelliDrive/ApplUI/Pages/CreativePages/CustomReportCreativeDetail.aspx?App=23&amp;ReportView=4&amp;Qid=1711279&amp;Row=5336&amp;Col=1","No Title Assigned - #15269469922")</f>
        <v/>
      </c>
      <c r="B5344" s="0" t="s">
        <v>7230</v>
      </c>
      <c r="E5344" s="0" t="inlineStr">
        <is>
          <t xml:space="preserve">Mazda</t>
        </is>
      </c>
      <c r="F5344" s="0" t="inlineStr">
        <is>
          <t xml:space="preserve">Mazda</t>
        </is>
      </c>
      <c r="G5344" s="0" t="s">
        <v>171</v>
      </c>
      <c r="H5344" s="5">
        <v>883.194500</v>
      </c>
    </row>
    <row r="5345" spans="1:9">
      <c r="A5345" s="22" t="str">
        <f>HYPERLINK("https://app.vivvix.com/360/KMI/IntelliDrive/ApplUI/Pages/CreativePages/CustomReportCreativeDetail.aspx?App=23&amp;ReportView=4&amp;Qid=1711279&amp;Row=5337&amp;Col=1","No Title Assigned - #15269470131")</f>
        <v/>
      </c>
      <c r="B5345" s="0" t="s">
        <v>7231</v>
      </c>
      <c r="E5345" s="0" t="inlineStr">
        <is>
          <t xml:space="preserve">Mazda</t>
        </is>
      </c>
      <c r="F5345" s="0" t="inlineStr">
        <is>
          <t xml:space="preserve">Mazda</t>
        </is>
      </c>
      <c r="G5345" s="0" t="s">
        <v>171</v>
      </c>
      <c r="H5345" s="5">
        <v>78.236400</v>
      </c>
    </row>
    <row r="5346" spans="1:9">
      <c r="A5346" s="22" t="str">
        <f>HYPERLINK("https://app.vivvix.com/360/KMI/IntelliDrive/ApplUI/Pages/CreativePages/CustomReportCreativeDetail.aspx?App=23&amp;ReportView=4&amp;Qid=1711279&amp;Row=5338&amp;Col=1","No Title Assigned - #15269470131")</f>
        <v/>
      </c>
      <c r="B5346" s="0" t="s">
        <v>7231</v>
      </c>
      <c r="E5346" s="0" t="inlineStr">
        <is>
          <t xml:space="preserve">Mazda</t>
        </is>
      </c>
      <c r="F5346" s="0" t="inlineStr">
        <is>
          <t xml:space="preserve">Mazda</t>
        </is>
      </c>
      <c r="G5346" s="0" t="s">
        <v>171</v>
      </c>
      <c r="H5346" s="5">
        <v>4485.744600</v>
      </c>
    </row>
    <row r="5347" spans="1:9">
      <c r="A5347" s="22" t="str">
        <f>HYPERLINK("https://app.vivvix.com/360/KMI/IntelliDrive/ApplUI/Pages/CreativePages/CustomReportCreativeDetail.aspx?App=23&amp;ReportView=4&amp;Qid=1711279&amp;Row=5339&amp;Col=1","No Title Assigned - #15269470529")</f>
        <v/>
      </c>
      <c r="B5347" s="0" t="s">
        <v>7232</v>
      </c>
      <c r="E5347" s="0" t="inlineStr">
        <is>
          <t xml:space="preserve">Mazda</t>
        </is>
      </c>
      <c r="F5347" s="0" t="inlineStr">
        <is>
          <t xml:space="preserve">Mazda</t>
        </is>
      </c>
      <c r="G5347" s="0" t="s">
        <v>171</v>
      </c>
      <c r="H5347" s="5">
        <v>22.700100</v>
      </c>
    </row>
    <row r="5348" spans="1:9">
      <c r="A5348" s="22" t="str">
        <f>HYPERLINK("https://app.vivvix.com/360/KMI/IntelliDrive/ApplUI/Pages/CreativePages/CustomReportCreativeDetail.aspx?App=23&amp;ReportView=4&amp;Qid=1711279&amp;Row=5340&amp;Col=1","No Title Assigned - #15269470529")</f>
        <v/>
      </c>
      <c r="B5348" s="0" t="s">
        <v>7232</v>
      </c>
      <c r="E5348" s="0" t="inlineStr">
        <is>
          <t xml:space="preserve">Mazda</t>
        </is>
      </c>
      <c r="F5348" s="0" t="inlineStr">
        <is>
          <t xml:space="preserve">Mazda</t>
        </is>
      </c>
      <c r="G5348" s="0" t="s">
        <v>171</v>
      </c>
      <c r="H5348" s="5">
        <v>139.614800</v>
      </c>
    </row>
    <row r="5349" spans="1:9">
      <c r="A5349" s="22" t="str">
        <f>HYPERLINK("https://app.vivvix.com/360/KMI/IntelliDrive/ApplUI/Pages/CreativePages/CustomReportCreativeDetail.aspx?App=23&amp;ReportView=4&amp;Qid=1711279&amp;Row=5341&amp;Col=1","No Title Assigned - #15269470913")</f>
        <v/>
      </c>
      <c r="B5349" s="0" t="s">
        <v>7233</v>
      </c>
      <c r="E5349" s="0" t="inlineStr">
        <is>
          <t xml:space="preserve">Mazda</t>
        </is>
      </c>
      <c r="F5349" s="0" t="inlineStr">
        <is>
          <t xml:space="preserve">Mazda</t>
        </is>
      </c>
      <c r="G5349" s="0" t="s">
        <v>171</v>
      </c>
      <c r="H5349" s="5">
        <v>15.271500</v>
      </c>
    </row>
    <row r="5350" spans="1:9">
      <c r="A5350" s="22" t="str">
        <f>HYPERLINK("https://app.vivvix.com/360/KMI/IntelliDrive/ApplUI/Pages/CreativePages/CustomReportCreativeDetail.aspx?App=23&amp;ReportView=4&amp;Qid=1711279&amp;Row=5342&amp;Col=1","No Title Assigned - #15269474390")</f>
        <v/>
      </c>
      <c r="B5350" s="0" t="s">
        <v>7234</v>
      </c>
      <c r="E5350" s="0" t="inlineStr">
        <is>
          <t xml:space="preserve">Mazda</t>
        </is>
      </c>
      <c r="F5350" s="0" t="s">
        <v>28</v>
      </c>
      <c r="G5350" s="0" t="s">
        <v>29</v>
      </c>
      <c r="H5350" s="5">
        <v>20.920200</v>
      </c>
    </row>
    <row r="5351" spans="1:9">
      <c r="A5351" s="22" t="str">
        <f>HYPERLINK("https://app.vivvix.com/360/KMI/IntelliDrive/ApplUI/Pages/CreativePages/CustomReportCreativeDetail.aspx?App=23&amp;ReportView=4&amp;Qid=1711279&amp;Row=5343&amp;Col=1","No Title Assigned - #15269474390")</f>
        <v/>
      </c>
      <c r="B5351" s="0" t="s">
        <v>7234</v>
      </c>
      <c r="C5351" s="0" t="s">
        <v>7235</v>
      </c>
      <c r="D5351" s="0" t="s">
        <v>7235</v>
      </c>
      <c r="E5351" s="0" t="inlineStr">
        <is>
          <t xml:space="preserve">Mazda</t>
        </is>
      </c>
      <c r="F5351" s="0" t="s">
        <v>28</v>
      </c>
      <c r="G5351" s="0" t="s">
        <v>29</v>
      </c>
      <c r="H5351" s="5">
        <v>13864.466500</v>
      </c>
    </row>
    <row r="5352" spans="1:9">
      <c r="A5352" s="22" t="str">
        <f>HYPERLINK("https://app.vivvix.com/360/KMI/IntelliDrive/ApplUI/Pages/CreativePages/CustomReportCreativeDetail.aspx?App=23&amp;ReportView=4&amp;Qid=1711279&amp;Row=5344&amp;Col=1","No Title Assigned - #15269475248")</f>
        <v/>
      </c>
      <c r="B5352" s="0" t="s">
        <v>7236</v>
      </c>
      <c r="C5352" s="0" t="s">
        <v>7237</v>
      </c>
      <c r="D5352" s="0" t="s">
        <v>7237</v>
      </c>
      <c r="E5352" s="0" t="inlineStr">
        <is>
          <t xml:space="preserve">Mazda</t>
        </is>
      </c>
      <c r="F5352" s="0" t="inlineStr">
        <is>
          <t xml:space="preserve">Mazda</t>
        </is>
      </c>
      <c r="G5352" s="0" t="s">
        <v>171</v>
      </c>
      <c r="H5352" s="5">
        <v>97.654800</v>
      </c>
    </row>
    <row r="5353" spans="1:9">
      <c r="A5353" s="22" t="str">
        <f>HYPERLINK("https://app.vivvix.com/360/KMI/IntelliDrive/ApplUI/Pages/CreativePages/CustomReportCreativeDetail.aspx?App=23&amp;ReportView=4&amp;Qid=1711279&amp;Row=5345&amp;Col=1","No Title Assigned - #15269476229")</f>
        <v/>
      </c>
      <c r="B5353" s="0" t="s">
        <v>7238</v>
      </c>
      <c r="C5353" s="0" t="s">
        <v>7239</v>
      </c>
      <c r="D5353" s="0" t="s">
        <v>7239</v>
      </c>
      <c r="E5353" s="0" t="inlineStr">
        <is>
          <t xml:space="preserve">Mazda</t>
        </is>
      </c>
      <c r="F5353" s="0" t="s">
        <v>28</v>
      </c>
      <c r="G5353" s="0" t="s">
        <v>29</v>
      </c>
      <c r="H5353" s="5">
        <v>74.089200</v>
      </c>
    </row>
    <row r="5354" spans="1:9">
      <c r="A5354" s="22" t="str">
        <f>HYPERLINK("https://app.vivvix.com/360/KMI/IntelliDrive/ApplUI/Pages/CreativePages/CustomReportCreativeDetail.aspx?App=23&amp;ReportView=4&amp;Qid=1711279&amp;Row=5346&amp;Col=1","No Title Assigned - #15269477569")</f>
        <v/>
      </c>
      <c r="B5354" s="0" t="s">
        <v>7240</v>
      </c>
      <c r="C5354" s="0" t="s">
        <v>7241</v>
      </c>
      <c r="D5354" s="0" t="s">
        <v>7241</v>
      </c>
      <c r="E5354" s="0" t="inlineStr">
        <is>
          <t xml:space="preserve">Mazda</t>
        </is>
      </c>
      <c r="F5354" s="0" t="s">
        <v>28</v>
      </c>
      <c r="G5354" s="0" t="s">
        <v>29</v>
      </c>
      <c r="H5354" s="5">
        <v>192099.375000</v>
      </c>
    </row>
    <row r="5355" spans="1:9">
      <c r="A5355" s="22" t="str">
        <f>HYPERLINK("https://app.vivvix.com/360/KMI/IntelliDrive/ApplUI/Pages/CreativePages/CustomReportCreativeDetail.aspx?App=23&amp;ReportView=4&amp;Qid=1711279&amp;Row=5347&amp;Col=1","No Title Assigned - #15269477877")</f>
        <v/>
      </c>
      <c r="B5355" s="0" t="s">
        <v>7242</v>
      </c>
      <c r="C5355" s="0" t="s">
        <v>7243</v>
      </c>
      <c r="D5355" s="0" t="s">
        <v>4200</v>
      </c>
      <c r="E5355" s="0" t="inlineStr">
        <is>
          <t xml:space="preserve">Mazda</t>
        </is>
      </c>
      <c r="F5355" s="0" t="s">
        <v>28</v>
      </c>
      <c r="G5355" s="0" t="s">
        <v>29</v>
      </c>
      <c r="H5355" s="5">
        <v>27.119400</v>
      </c>
    </row>
    <row r="5356" spans="1:9">
      <c r="A5356" s="22" t="str">
        <f>HYPERLINK("https://app.vivvix.com/360/KMI/IntelliDrive/ApplUI/Pages/CreativePages/CustomReportCreativeDetail.aspx?App=23&amp;ReportView=4&amp;Qid=1711279&amp;Row=5348&amp;Col=1","No Title Assigned - #15269478134")</f>
        <v/>
      </c>
      <c r="B5356" s="0" t="s">
        <v>7244</v>
      </c>
      <c r="E5356" s="0" t="inlineStr">
        <is>
          <t xml:space="preserve">Mazda</t>
        </is>
      </c>
      <c r="F5356" s="0" t="inlineStr">
        <is>
          <t xml:space="preserve">Mazda</t>
        </is>
      </c>
      <c r="G5356" s="0" t="s">
        <v>171</v>
      </c>
      <c r="H5356" s="5">
        <v>15.614300</v>
      </c>
    </row>
    <row r="5357" spans="1:9">
      <c r="A5357" s="22" t="str">
        <f>HYPERLINK("https://app.vivvix.com/360/KMI/IntelliDrive/ApplUI/Pages/CreativePages/CustomReportCreativeDetail.aspx?App=23&amp;ReportView=4&amp;Qid=1711279&amp;Row=5349&amp;Col=1","No Title Assigned - #15269478143")</f>
        <v/>
      </c>
      <c r="B5357" s="0" t="s">
        <v>7245</v>
      </c>
      <c r="E5357" s="0" t="inlineStr">
        <is>
          <t xml:space="preserve">Mazda</t>
        </is>
      </c>
      <c r="F5357" s="0" t="inlineStr">
        <is>
          <t xml:space="preserve">Mazda</t>
        </is>
      </c>
      <c r="G5357" s="0" t="s">
        <v>171</v>
      </c>
      <c r="H5357" s="5">
        <v>252.067600</v>
      </c>
    </row>
    <row r="5358" spans="1:9">
      <c r="A5358" s="22" t="str">
        <f>HYPERLINK("https://app.vivvix.com/360/KMI/IntelliDrive/ApplUI/Pages/CreativePages/CustomReportCreativeDetail.aspx?App=23&amp;ReportView=4&amp;Qid=1711279&amp;Row=5350&amp;Col=1","No Title Assigned - #15269479571")</f>
        <v/>
      </c>
      <c r="B5358" s="0" t="s">
        <v>7246</v>
      </c>
      <c r="C5358" s="0" t="s">
        <v>7247</v>
      </c>
      <c r="D5358" s="0" t="s">
        <v>6153</v>
      </c>
      <c r="E5358" s="0" t="inlineStr">
        <is>
          <t xml:space="preserve">Mazda</t>
        </is>
      </c>
      <c r="F5358" s="0" t="s">
        <v>28</v>
      </c>
      <c r="G5358" s="0" t="s">
        <v>29</v>
      </c>
      <c r="H5358" s="5">
        <v>107.534400</v>
      </c>
    </row>
    <row r="5359" spans="1:9">
      <c r="A5359" s="22" t="str">
        <f>HYPERLINK("https://app.vivvix.com/360/KMI/IntelliDrive/ApplUI/Pages/CreativePages/CustomReportCreativeDetail.aspx?App=23&amp;ReportView=4&amp;Qid=1711279&amp;Row=5351&amp;Col=1","No Title Assigned - #15269480057")</f>
        <v/>
      </c>
      <c r="B5359" s="0" t="s">
        <v>7248</v>
      </c>
      <c r="E5359" s="0" t="inlineStr">
        <is>
          <t xml:space="preserve">Mazda</t>
        </is>
      </c>
      <c r="F5359" s="0" t="inlineStr">
        <is>
          <t xml:space="preserve">Mazda</t>
        </is>
      </c>
      <c r="G5359" s="0" t="s">
        <v>171</v>
      </c>
      <c r="H5359" s="5">
        <v>18628.534400</v>
      </c>
    </row>
    <row r="5360" spans="1:9">
      <c r="A5360" s="22" t="str">
        <f>HYPERLINK("https://app.vivvix.com/360/KMI/IntelliDrive/ApplUI/Pages/CreativePages/CustomReportCreativeDetail.aspx?App=23&amp;ReportView=4&amp;Qid=1711279&amp;Row=5352&amp;Col=1","No Title Assigned - #15269480057")</f>
        <v/>
      </c>
      <c r="B5360" s="0" t="s">
        <v>7248</v>
      </c>
      <c r="E5360" s="0" t="inlineStr">
        <is>
          <t xml:space="preserve">Mazda</t>
        </is>
      </c>
      <c r="F5360" s="0" t="inlineStr">
        <is>
          <t xml:space="preserve">Mazda</t>
        </is>
      </c>
      <c r="G5360" s="0" t="s">
        <v>171</v>
      </c>
      <c r="H5360" s="5">
        <v>743.673700</v>
      </c>
    </row>
    <row r="5361" spans="1:9">
      <c r="A5361" s="22" t="str">
        <f>HYPERLINK("https://app.vivvix.com/360/KMI/IntelliDrive/ApplUI/Pages/CreativePages/CustomReportCreativeDetail.aspx?App=23&amp;ReportView=4&amp;Qid=1711279&amp;Row=5353&amp;Col=1","No Title Assigned - #15269480659")</f>
        <v/>
      </c>
      <c r="B5361" s="0" t="s">
        <v>7249</v>
      </c>
      <c r="E5361" s="0" t="inlineStr">
        <is>
          <t xml:space="preserve">Mazda</t>
        </is>
      </c>
      <c r="F5361" s="0" t="inlineStr">
        <is>
          <t xml:space="preserve">Mazda</t>
        </is>
      </c>
      <c r="G5361" s="0" t="s">
        <v>171</v>
      </c>
      <c r="H5361" s="5">
        <v>15757.005900</v>
      </c>
    </row>
    <row r="5362" spans="1:9">
      <c r="A5362" s="22" t="str">
        <f>HYPERLINK("https://app.vivvix.com/360/KMI/IntelliDrive/ApplUI/Pages/CreativePages/CustomReportCreativeDetail.aspx?App=23&amp;ReportView=4&amp;Qid=1711279&amp;Row=5354&amp;Col=1","No Title Assigned - #15269480973")</f>
        <v/>
      </c>
      <c r="B5362" s="0" t="s">
        <v>7250</v>
      </c>
      <c r="E5362" s="0" t="inlineStr">
        <is>
          <t xml:space="preserve">Mazda</t>
        </is>
      </c>
      <c r="F5362" s="0" t="inlineStr">
        <is>
          <t xml:space="preserve">Mazda</t>
        </is>
      </c>
      <c r="G5362" s="0" t="s">
        <v>171</v>
      </c>
      <c r="H5362" s="5">
        <v>4.701400</v>
      </c>
    </row>
    <row r="5363" spans="1:9">
      <c r="A5363" s="22" t="str">
        <f>HYPERLINK("https://app.vivvix.com/360/KMI/IntelliDrive/ApplUI/Pages/CreativePages/CustomReportCreativeDetail.aspx?App=23&amp;ReportView=4&amp;Qid=1711279&amp;Row=5355&amp;Col=1","No Title Assigned - #15269481036")</f>
        <v/>
      </c>
      <c r="B5363" s="0" t="s">
        <v>7251</v>
      </c>
      <c r="E5363" s="0" t="inlineStr">
        <is>
          <t xml:space="preserve">Mazda</t>
        </is>
      </c>
      <c r="F5363" s="0" t="inlineStr">
        <is>
          <t xml:space="preserve">Mazda</t>
        </is>
      </c>
      <c r="G5363" s="0" t="s">
        <v>171</v>
      </c>
      <c r="H5363" s="5">
        <v>308.250700</v>
      </c>
    </row>
    <row r="5364" spans="1:9">
      <c r="A5364" s="22" t="str">
        <f>HYPERLINK("https://app.vivvix.com/360/KMI/IntelliDrive/ApplUI/Pages/CreativePages/CustomReportCreativeDetail.aspx?App=23&amp;ReportView=4&amp;Qid=1711279&amp;Row=5356&amp;Col=1","No Title Assigned - #15269481036")</f>
        <v/>
      </c>
      <c r="B5364" s="0" t="s">
        <v>7251</v>
      </c>
      <c r="E5364" s="0" t="inlineStr">
        <is>
          <t xml:space="preserve">Mazda</t>
        </is>
      </c>
      <c r="F5364" s="0" t="inlineStr">
        <is>
          <t xml:space="preserve">Mazda</t>
        </is>
      </c>
      <c r="G5364" s="0" t="s">
        <v>171</v>
      </c>
      <c r="H5364" s="5">
        <v>180.645800</v>
      </c>
    </row>
    <row r="5365" spans="1:9">
      <c r="A5365" s="22" t="str">
        <f>HYPERLINK("https://app.vivvix.com/360/KMI/IntelliDrive/ApplUI/Pages/CreativePages/CustomReportCreativeDetail.aspx?App=23&amp;ReportView=4&amp;Qid=1711279&amp;Row=5357&amp;Col=1","No Title Assigned - #15269481218")</f>
        <v/>
      </c>
      <c r="B5365" s="0" t="s">
        <v>7252</v>
      </c>
      <c r="E5365" s="0" t="inlineStr">
        <is>
          <t xml:space="preserve">Mazda</t>
        </is>
      </c>
      <c r="F5365" s="0" t="inlineStr">
        <is>
          <t xml:space="preserve">Mazda</t>
        </is>
      </c>
      <c r="G5365" s="0" t="s">
        <v>171</v>
      </c>
      <c r="H5365" s="5">
        <v>7.216700</v>
      </c>
    </row>
    <row r="5366" spans="1:9">
      <c r="A5366" s="22" t="str">
        <f>HYPERLINK("https://app.vivvix.com/360/KMI/IntelliDrive/ApplUI/Pages/CreativePages/CustomReportCreativeDetail.aspx?App=23&amp;ReportView=4&amp;Qid=1711279&amp;Row=5358&amp;Col=1","No Title Assigned - #15269482042")</f>
        <v/>
      </c>
      <c r="B5366" s="0" t="s">
        <v>7253</v>
      </c>
      <c r="E5366" s="0" t="inlineStr">
        <is>
          <t xml:space="preserve">Mazda</t>
        </is>
      </c>
      <c r="F5366" s="0" t="inlineStr">
        <is>
          <t xml:space="preserve">Mazda</t>
        </is>
      </c>
      <c r="G5366" s="0" t="s">
        <v>171</v>
      </c>
      <c r="H5366" s="5">
        <v>26.471000</v>
      </c>
    </row>
    <row r="5367" spans="1:9">
      <c r="A5367" s="22" t="str">
        <f>HYPERLINK("https://app.vivvix.com/360/KMI/IntelliDrive/ApplUI/Pages/CreativePages/CustomReportCreativeDetail.aspx?App=23&amp;ReportView=4&amp;Qid=1711279&amp;Row=5359&amp;Col=1","No Title Assigned - #15269482291")</f>
        <v/>
      </c>
      <c r="B5367" s="0" t="s">
        <v>7254</v>
      </c>
      <c r="C5367" s="0" t="s">
        <v>7255</v>
      </c>
      <c r="D5367" s="0" t="s">
        <v>7255</v>
      </c>
      <c r="E5367" s="0" t="inlineStr">
        <is>
          <t xml:space="preserve">Mazda</t>
        </is>
      </c>
      <c r="F5367" s="0" t="inlineStr">
        <is>
          <t xml:space="preserve">Mazda</t>
        </is>
      </c>
      <c r="G5367" s="0" t="s">
        <v>171</v>
      </c>
      <c r="H5367" s="5">
        <v>4.900800</v>
      </c>
    </row>
    <row r="5368" spans="1:9">
      <c r="A5368" s="22" t="str">
        <f>HYPERLINK("https://app.vivvix.com/360/KMI/IntelliDrive/ApplUI/Pages/CreativePages/CustomReportCreativeDetail.aspx?App=23&amp;ReportView=4&amp;Qid=1711279&amp;Row=5360&amp;Col=1","No Title Assigned - #15269482814")</f>
        <v/>
      </c>
      <c r="B5368" s="0" t="s">
        <v>7256</v>
      </c>
      <c r="E5368" s="0" t="inlineStr">
        <is>
          <t xml:space="preserve">Mazda</t>
        </is>
      </c>
      <c r="F5368" s="0" t="inlineStr">
        <is>
          <t xml:space="preserve">Mazda</t>
        </is>
      </c>
      <c r="G5368" s="0" t="s">
        <v>171</v>
      </c>
      <c r="H5368" s="5">
        <v>12.157100</v>
      </c>
    </row>
    <row r="5369" spans="1:9">
      <c r="A5369" s="22" t="str">
        <f>HYPERLINK("https://app.vivvix.com/360/KMI/IntelliDrive/ApplUI/Pages/CreativePages/CustomReportCreativeDetail.aspx?App=23&amp;ReportView=4&amp;Qid=1711279&amp;Row=5361&amp;Col=1","No Title Assigned - #15269483410")</f>
        <v/>
      </c>
      <c r="B5369" s="0" t="s">
        <v>7257</v>
      </c>
      <c r="E5369" s="0" t="inlineStr">
        <is>
          <t xml:space="preserve">Mazda</t>
        </is>
      </c>
      <c r="F5369" s="0" t="inlineStr">
        <is>
          <t xml:space="preserve">Mazda</t>
        </is>
      </c>
      <c r="G5369" s="0" t="s">
        <v>171</v>
      </c>
      <c r="H5369" s="5">
        <v>23745.890600</v>
      </c>
    </row>
    <row r="5370" spans="1:9">
      <c r="A5370" s="22" t="str">
        <f>HYPERLINK("https://app.vivvix.com/360/KMI/IntelliDrive/ApplUI/Pages/CreativePages/CustomReportCreativeDetail.aspx?App=23&amp;ReportView=4&amp;Qid=1711279&amp;Row=5362&amp;Col=1","No Title Assigned - #15269483455")</f>
        <v/>
      </c>
      <c r="B5370" s="0" t="s">
        <v>7258</v>
      </c>
      <c r="E5370" s="0" t="inlineStr">
        <is>
          <t xml:space="preserve">Mazda</t>
        </is>
      </c>
      <c r="F5370" s="0" t="inlineStr">
        <is>
          <t xml:space="preserve">Mazda</t>
        </is>
      </c>
      <c r="G5370" s="0" t="s">
        <v>171</v>
      </c>
      <c r="H5370" s="5">
        <v>36.888900</v>
      </c>
    </row>
    <row r="5371" spans="1:9">
      <c r="A5371" s="22" t="str">
        <f>HYPERLINK("https://app.vivvix.com/360/KMI/IntelliDrive/ApplUI/Pages/CreativePages/CustomReportCreativeDetail.aspx?App=23&amp;ReportView=4&amp;Qid=1711279&amp;Row=5363&amp;Col=1","No Title Assigned - #15269483570")</f>
        <v/>
      </c>
      <c r="B5371" s="0" t="s">
        <v>7259</v>
      </c>
      <c r="E5371" s="0" t="inlineStr">
        <is>
          <t xml:space="preserve">Mazda</t>
        </is>
      </c>
      <c r="F5371" s="0" t="inlineStr">
        <is>
          <t xml:space="preserve">Mazda</t>
        </is>
      </c>
      <c r="G5371" s="0" t="s">
        <v>171</v>
      </c>
      <c r="H5371" s="5">
        <v>122.466400</v>
      </c>
    </row>
    <row r="5372" spans="1:9">
      <c r="A5372" s="22" t="str">
        <f>HYPERLINK("https://app.vivvix.com/360/KMI/IntelliDrive/ApplUI/Pages/CreativePages/CustomReportCreativeDetail.aspx?App=23&amp;ReportView=4&amp;Qid=1711279&amp;Row=5364&amp;Col=1","No Title Assigned - #15269483580")</f>
        <v/>
      </c>
      <c r="B5372" s="0" t="s">
        <v>7260</v>
      </c>
      <c r="E5372" s="0" t="inlineStr">
        <is>
          <t xml:space="preserve">Mazda</t>
        </is>
      </c>
      <c r="F5372" s="0" t="inlineStr">
        <is>
          <t xml:space="preserve">Mazda</t>
        </is>
      </c>
      <c r="G5372" s="0" t="s">
        <v>171</v>
      </c>
      <c r="H5372" s="5">
        <v>78.825900</v>
      </c>
    </row>
    <row r="5373" spans="1:9">
      <c r="A5373" s="22" t="str">
        <f>HYPERLINK("https://app.vivvix.com/360/KMI/IntelliDrive/ApplUI/Pages/CreativePages/CustomReportCreativeDetail.aspx?App=23&amp;ReportView=4&amp;Qid=1711279&amp;Row=5365&amp;Col=1","No Title Assigned - #15269483966")</f>
        <v/>
      </c>
      <c r="B5373" s="0" t="s">
        <v>7261</v>
      </c>
      <c r="E5373" s="0" t="inlineStr">
        <is>
          <t xml:space="preserve">Mazda</t>
        </is>
      </c>
      <c r="F5373" s="0" t="inlineStr">
        <is>
          <t xml:space="preserve">Mazda</t>
        </is>
      </c>
      <c r="G5373" s="0" t="s">
        <v>171</v>
      </c>
      <c r="H5373" s="5">
        <v>68.161000</v>
      </c>
    </row>
    <row r="5374" spans="1:9">
      <c r="A5374" s="22" t="str">
        <f>HYPERLINK("https://app.vivvix.com/360/KMI/IntelliDrive/ApplUI/Pages/CreativePages/CustomReportCreativeDetail.aspx?App=23&amp;ReportView=4&amp;Qid=1711279&amp;Row=5366&amp;Col=1","No Title Assigned - #15269484371")</f>
        <v/>
      </c>
      <c r="B5374" s="0" t="s">
        <v>7262</v>
      </c>
      <c r="E5374" s="0" t="inlineStr">
        <is>
          <t xml:space="preserve">Mazda</t>
        </is>
      </c>
      <c r="F5374" s="0" t="s">
        <v>21</v>
      </c>
      <c r="G5374" s="0" t="s">
        <v>22</v>
      </c>
      <c r="H5374" s="5">
        <v>405.383500</v>
      </c>
    </row>
    <row r="5375" spans="1:9">
      <c r="A5375" s="22" t="str">
        <f>HYPERLINK("https://app.vivvix.com/360/KMI/IntelliDrive/ApplUI/Pages/CreativePages/CustomReportCreativeDetail.aspx?App=23&amp;ReportView=4&amp;Qid=1711279&amp;Row=5367&amp;Col=1","No Title Assigned - #15269485023")</f>
        <v/>
      </c>
      <c r="B5375" s="0" t="s">
        <v>7263</v>
      </c>
      <c r="E5375" s="0" t="inlineStr">
        <is>
          <t xml:space="preserve">Mazda</t>
        </is>
      </c>
      <c r="F5375" s="0" t="inlineStr">
        <is>
          <t xml:space="preserve">Mazda</t>
        </is>
      </c>
      <c r="G5375" s="0" t="s">
        <v>171</v>
      </c>
      <c r="H5375" s="5">
        <v>895.534400</v>
      </c>
    </row>
    <row r="5376" spans="1:9">
      <c r="A5376" s="22" t="str">
        <f>HYPERLINK("https://app.vivvix.com/360/KMI/IntelliDrive/ApplUI/Pages/CreativePages/CustomReportCreativeDetail.aspx?App=23&amp;ReportView=4&amp;Qid=1711279&amp;Row=5368&amp;Col=1","No Title Assigned - #15269485210")</f>
        <v/>
      </c>
      <c r="B5376" s="0" t="s">
        <v>7264</v>
      </c>
      <c r="E5376" s="0" t="inlineStr">
        <is>
          <t xml:space="preserve">Mazda</t>
        </is>
      </c>
      <c r="F5376" s="0" t="inlineStr">
        <is>
          <t xml:space="preserve">Mazda</t>
        </is>
      </c>
      <c r="G5376" s="0" t="s">
        <v>171</v>
      </c>
      <c r="H5376" s="5">
        <v>74.729900</v>
      </c>
    </row>
    <row r="5377" spans="1:9">
      <c r="A5377" s="22" t="str">
        <f>HYPERLINK("https://app.vivvix.com/360/KMI/IntelliDrive/ApplUI/Pages/CreativePages/CustomReportCreativeDetail.aspx?App=23&amp;ReportView=4&amp;Qid=1711279&amp;Row=5369&amp;Col=1","No Title Assigned - #15269485387")</f>
        <v/>
      </c>
      <c r="B5377" s="0" t="s">
        <v>7265</v>
      </c>
      <c r="E5377" s="0" t="inlineStr">
        <is>
          <t xml:space="preserve">Mazda</t>
        </is>
      </c>
      <c r="F5377" s="0" t="inlineStr">
        <is>
          <t xml:space="preserve">Mazda</t>
        </is>
      </c>
      <c r="G5377" s="0" t="s">
        <v>171</v>
      </c>
      <c r="H5377" s="5">
        <v>213.940600</v>
      </c>
    </row>
    <row r="5378" spans="1:9">
      <c r="A5378" s="22" t="str">
        <f>HYPERLINK("https://app.vivvix.com/360/KMI/IntelliDrive/ApplUI/Pages/CreativePages/CustomReportCreativeDetail.aspx?App=23&amp;ReportView=4&amp;Qid=1711279&amp;Row=5370&amp;Col=1","No Title Assigned - #15269485753")</f>
        <v/>
      </c>
      <c r="B5378" s="0" t="s">
        <v>7266</v>
      </c>
      <c r="E5378" s="0" t="inlineStr">
        <is>
          <t xml:space="preserve">Mazda</t>
        </is>
      </c>
      <c r="F5378" s="0" t="inlineStr">
        <is>
          <t xml:space="preserve">Mazda</t>
        </is>
      </c>
      <c r="G5378" s="0" t="s">
        <v>171</v>
      </c>
      <c r="H5378" s="5">
        <v>3619.358200</v>
      </c>
    </row>
    <row r="5379" spans="1:9">
      <c r="A5379" s="22" t="str">
        <f>HYPERLINK("https://app.vivvix.com/360/KMI/IntelliDrive/ApplUI/Pages/CreativePages/CustomReportCreativeDetail.aspx?App=23&amp;ReportView=4&amp;Qid=1711279&amp;Row=5371&amp;Col=1","No Title Assigned - #15269485801")</f>
        <v/>
      </c>
      <c r="B5379" s="0" t="s">
        <v>7267</v>
      </c>
      <c r="C5379" s="0" t="s">
        <v>7268</v>
      </c>
      <c r="D5379" s="0" t="s">
        <v>7268</v>
      </c>
      <c r="E5379" s="0" t="inlineStr">
        <is>
          <t xml:space="preserve">Mazda</t>
        </is>
      </c>
      <c r="F5379" s="0" t="inlineStr">
        <is>
          <t xml:space="preserve">Mazda</t>
        </is>
      </c>
      <c r="G5379" s="0" t="s">
        <v>171</v>
      </c>
      <c r="H5379" s="5">
        <v>1.711700</v>
      </c>
    </row>
    <row r="5380" spans="1:9">
      <c r="A5380" s="22" t="str">
        <f>HYPERLINK("https://app.vivvix.com/360/KMI/IntelliDrive/ApplUI/Pages/CreativePages/CustomReportCreativeDetail.aspx?App=23&amp;ReportView=4&amp;Qid=1711279&amp;Row=5372&amp;Col=1","No Title Assigned - #15269485831")</f>
        <v/>
      </c>
      <c r="B5380" s="0" t="s">
        <v>7269</v>
      </c>
      <c r="E5380" s="0" t="inlineStr">
        <is>
          <t xml:space="preserve">Mazda</t>
        </is>
      </c>
      <c r="F5380" s="0" t="inlineStr">
        <is>
          <t xml:space="preserve">Mazda</t>
        </is>
      </c>
      <c r="G5380" s="0" t="s">
        <v>171</v>
      </c>
      <c r="H5380" s="5">
        <v>5.734600</v>
      </c>
    </row>
    <row r="5381" spans="1:9">
      <c r="A5381" s="22" t="str">
        <f>HYPERLINK("https://app.vivvix.com/360/KMI/IntelliDrive/ApplUI/Pages/CreativePages/CustomReportCreativeDetail.aspx?App=23&amp;ReportView=4&amp;Qid=1711279&amp;Row=5373&amp;Col=1","No Title Assigned - #15269486540")</f>
        <v/>
      </c>
      <c r="B5381" s="0" t="s">
        <v>7270</v>
      </c>
      <c r="E5381" s="0" t="inlineStr">
        <is>
          <t xml:space="preserve">Mazda</t>
        </is>
      </c>
      <c r="F5381" s="0" t="inlineStr">
        <is>
          <t xml:space="preserve">Mazda</t>
        </is>
      </c>
      <c r="G5381" s="0" t="s">
        <v>171</v>
      </c>
      <c r="H5381" s="5">
        <v>41.191600</v>
      </c>
    </row>
    <row r="5382" spans="1:9">
      <c r="A5382" s="22" t="str">
        <f>HYPERLINK("https://app.vivvix.com/360/KMI/IntelliDrive/ApplUI/Pages/CreativePages/CustomReportCreativeDetail.aspx?App=23&amp;ReportView=4&amp;Qid=1711279&amp;Row=5374&amp;Col=1","No Title Assigned - #15269486679")</f>
        <v/>
      </c>
      <c r="B5382" s="0" t="s">
        <v>7271</v>
      </c>
      <c r="E5382" s="0" t="inlineStr">
        <is>
          <t xml:space="preserve">Mazda</t>
        </is>
      </c>
      <c r="F5382" s="0" t="inlineStr">
        <is>
          <t xml:space="preserve">Mazda</t>
        </is>
      </c>
      <c r="G5382" s="0" t="s">
        <v>171</v>
      </c>
      <c r="H5382" s="5">
        <v>18.345900</v>
      </c>
    </row>
    <row r="5383" spans="1:9">
      <c r="A5383" s="22" t="str">
        <f>HYPERLINK("https://app.vivvix.com/360/KMI/IntelliDrive/ApplUI/Pages/CreativePages/CustomReportCreativeDetail.aspx?App=23&amp;ReportView=4&amp;Qid=1711279&amp;Row=5375&amp;Col=1","No Title Assigned - #15269486846")</f>
        <v/>
      </c>
      <c r="B5383" s="0" t="s">
        <v>7272</v>
      </c>
      <c r="C5383" s="0" t="s">
        <v>7273</v>
      </c>
      <c r="D5383" s="0" t="s">
        <v>7273</v>
      </c>
      <c r="E5383" s="0" t="inlineStr">
        <is>
          <t xml:space="preserve">Mazda</t>
        </is>
      </c>
      <c r="F5383" s="0" t="inlineStr">
        <is>
          <t xml:space="preserve">Mazda</t>
        </is>
      </c>
      <c r="G5383" s="0" t="s">
        <v>171</v>
      </c>
      <c r="H5383" s="5">
        <v>120.190000</v>
      </c>
    </row>
    <row r="5384" spans="1:9">
      <c r="A5384" s="22" t="str">
        <f>HYPERLINK("https://app.vivvix.com/360/KMI/IntelliDrive/ApplUI/Pages/CreativePages/CustomReportCreativeDetail.aspx?App=23&amp;ReportView=4&amp;Qid=1711279&amp;Row=5376&amp;Col=1","No Title Assigned - #15269486960")</f>
        <v/>
      </c>
      <c r="B5384" s="0" t="s">
        <v>7274</v>
      </c>
      <c r="E5384" s="0" t="inlineStr">
        <is>
          <t xml:space="preserve">Mazda</t>
        </is>
      </c>
      <c r="F5384" s="0" t="inlineStr">
        <is>
          <t xml:space="preserve">Mazda</t>
        </is>
      </c>
      <c r="G5384" s="0" t="s">
        <v>171</v>
      </c>
      <c r="H5384" s="5">
        <v>32.754000</v>
      </c>
    </row>
    <row r="5385" spans="1:9">
      <c r="A5385" s="22" t="str">
        <f>HYPERLINK("https://app.vivvix.com/360/KMI/IntelliDrive/ApplUI/Pages/CreativePages/CustomReportCreativeDetail.aspx?App=23&amp;ReportView=4&amp;Qid=1711279&amp;Row=5377&amp;Col=1","No Title Assigned - #15269486962")</f>
        <v/>
      </c>
      <c r="B5385" s="0" t="s">
        <v>7275</v>
      </c>
      <c r="E5385" s="0" t="inlineStr">
        <is>
          <t xml:space="preserve">Mazda</t>
        </is>
      </c>
      <c r="F5385" s="0" t="inlineStr">
        <is>
          <t xml:space="preserve">Mazda</t>
        </is>
      </c>
      <c r="G5385" s="0" t="s">
        <v>171</v>
      </c>
      <c r="H5385" s="5">
        <v>10.918000</v>
      </c>
    </row>
    <row r="5386" spans="1:9">
      <c r="A5386" s="22" t="str">
        <f>HYPERLINK("https://app.vivvix.com/360/KMI/IntelliDrive/ApplUI/Pages/CreativePages/CustomReportCreativeDetail.aspx?App=23&amp;ReportView=4&amp;Qid=1711279&amp;Row=5378&amp;Col=1","No Title Assigned - #15269487936")</f>
        <v/>
      </c>
      <c r="B5386" s="0" t="s">
        <v>7276</v>
      </c>
      <c r="C5386" s="0" t="s">
        <v>7277</v>
      </c>
      <c r="D5386" s="0" t="s">
        <v>7277</v>
      </c>
      <c r="E5386" s="0" t="inlineStr">
        <is>
          <t xml:space="preserve">Mazda</t>
        </is>
      </c>
      <c r="F5386" s="0" t="s">
        <v>13</v>
      </c>
      <c r="G5386" s="0" t="s">
        <v>49</v>
      </c>
      <c r="H5386" s="5">
        <v>963.945700</v>
      </c>
    </row>
    <row r="5387" spans="1:9">
      <c r="A5387" s="22" t="str">
        <f>HYPERLINK("https://app.vivvix.com/360/KMI/IntelliDrive/ApplUI/Pages/CreativePages/CustomReportCreativeDetail.aspx?App=23&amp;ReportView=4&amp;Qid=1711279&amp;Row=5379&amp;Col=1","No Title Assigned - #15269488003")</f>
        <v/>
      </c>
      <c r="B5387" s="0" t="s">
        <v>7278</v>
      </c>
      <c r="C5387" s="0" t="s">
        <v>7279</v>
      </c>
      <c r="D5387" s="0" t="s">
        <v>7279</v>
      </c>
      <c r="E5387" s="0" t="inlineStr">
        <is>
          <t xml:space="preserve">Mazda</t>
        </is>
      </c>
      <c r="F5387" s="0" t="s">
        <v>28</v>
      </c>
      <c r="G5387" s="0" t="s">
        <v>29</v>
      </c>
      <c r="H5387" s="5">
        <v>229.125700</v>
      </c>
    </row>
    <row r="5388" spans="1:9">
      <c r="A5388" s="22" t="str">
        <f>HYPERLINK("https://app.vivvix.com/360/KMI/IntelliDrive/ApplUI/Pages/CreativePages/CustomReportCreativeDetail.aspx?App=23&amp;ReportView=4&amp;Qid=1711279&amp;Row=5380&amp;Col=1","No Title Assigned - #15269488468")</f>
        <v/>
      </c>
      <c r="B5388" s="0" t="s">
        <v>7280</v>
      </c>
      <c r="E5388" s="0" t="inlineStr">
        <is>
          <t xml:space="preserve">Mazda</t>
        </is>
      </c>
      <c r="F5388" s="0" t="inlineStr">
        <is>
          <t xml:space="preserve">Mazda</t>
        </is>
      </c>
      <c r="G5388" s="0" t="s">
        <v>171</v>
      </c>
      <c r="H5388" s="5">
        <v>109.662800</v>
      </c>
    </row>
    <row r="5389" spans="1:9">
      <c r="A5389" s="22" t="str">
        <f>HYPERLINK("https://app.vivvix.com/360/KMI/IntelliDrive/ApplUI/Pages/CreativePages/CustomReportCreativeDetail.aspx?App=23&amp;ReportView=4&amp;Qid=1711279&amp;Row=5381&amp;Col=1","No Title Assigned - #15269488485")</f>
        <v/>
      </c>
      <c r="B5389" s="0" t="s">
        <v>7281</v>
      </c>
      <c r="C5389" s="0" t="s">
        <v>7282</v>
      </c>
      <c r="D5389" s="0" t="s">
        <v>7282</v>
      </c>
      <c r="E5389" s="0" t="inlineStr">
        <is>
          <t xml:space="preserve">Mazda</t>
        </is>
      </c>
      <c r="F5389" s="0" t="inlineStr">
        <is>
          <t xml:space="preserve">Mazda</t>
        </is>
      </c>
      <c r="G5389" s="0" t="s">
        <v>171</v>
      </c>
      <c r="H5389" s="5">
        <v>49.109800</v>
      </c>
    </row>
    <row r="5390" spans="1:9">
      <c r="A5390" s="22" t="str">
        <f>HYPERLINK("https://app.vivvix.com/360/KMI/IntelliDrive/ApplUI/Pages/CreativePages/CustomReportCreativeDetail.aspx?App=23&amp;ReportView=4&amp;Qid=1711279&amp;Row=5382&amp;Col=1","No Title Assigned - #15269488564")</f>
        <v/>
      </c>
      <c r="B5390" s="0" t="s">
        <v>7283</v>
      </c>
      <c r="E5390" s="0" t="inlineStr">
        <is>
          <t xml:space="preserve">Mazda</t>
        </is>
      </c>
      <c r="F5390" s="0" t="inlineStr">
        <is>
          <t xml:space="preserve">Mazda</t>
        </is>
      </c>
      <c r="G5390" s="0" t="s">
        <v>171</v>
      </c>
      <c r="H5390" s="5">
        <v>66.107000</v>
      </c>
    </row>
    <row r="5391" spans="1:9">
      <c r="A5391" s="22" t="str">
        <f>HYPERLINK("https://app.vivvix.com/360/KMI/IntelliDrive/ApplUI/Pages/CreativePages/CustomReportCreativeDetail.aspx?App=23&amp;ReportView=4&amp;Qid=1711279&amp;Row=5383&amp;Col=1","No Title Assigned - #15269488676")</f>
        <v/>
      </c>
      <c r="B5391" s="0" t="s">
        <v>7284</v>
      </c>
      <c r="E5391" s="0" t="inlineStr">
        <is>
          <t xml:space="preserve">Mazda</t>
        </is>
      </c>
      <c r="F5391" s="0" t="inlineStr">
        <is>
          <t xml:space="preserve">Mazda</t>
        </is>
      </c>
      <c r="G5391" s="0" t="s">
        <v>171</v>
      </c>
      <c r="H5391" s="5">
        <v>121.270800</v>
      </c>
    </row>
    <row r="5392" spans="1:9">
      <c r="A5392" s="22" t="str">
        <f>HYPERLINK("https://app.vivvix.com/360/KMI/IntelliDrive/ApplUI/Pages/CreativePages/CustomReportCreativeDetail.aspx?App=23&amp;ReportView=4&amp;Qid=1711279&amp;Row=5384&amp;Col=1","No Title Assigned - #15269488700")</f>
        <v/>
      </c>
      <c r="B5392" s="0" t="s">
        <v>7285</v>
      </c>
      <c r="C5392" s="0" t="s">
        <v>7286</v>
      </c>
      <c r="D5392" s="0" t="s">
        <v>7286</v>
      </c>
      <c r="E5392" s="0" t="inlineStr">
        <is>
          <t xml:space="preserve">Mazda</t>
        </is>
      </c>
      <c r="F5392" s="0" t="inlineStr">
        <is>
          <t xml:space="preserve">Mazda</t>
        </is>
      </c>
      <c r="G5392" s="0" t="s">
        <v>171</v>
      </c>
      <c r="H5392" s="5">
        <v>18.843300</v>
      </c>
    </row>
    <row r="5393" spans="1:9">
      <c r="A5393" s="22" t="str">
        <f>HYPERLINK("https://app.vivvix.com/360/KMI/IntelliDrive/ApplUI/Pages/CreativePages/CustomReportCreativeDetail.aspx?App=23&amp;ReportView=4&amp;Qid=1711279&amp;Row=5385&amp;Col=1","No Title Assigned - #15269488771")</f>
        <v/>
      </c>
      <c r="B5393" s="0" t="s">
        <v>7287</v>
      </c>
      <c r="E5393" s="0" t="inlineStr">
        <is>
          <t xml:space="preserve">Mazda</t>
        </is>
      </c>
      <c r="F5393" s="0" t="inlineStr">
        <is>
          <t xml:space="preserve">Mazda</t>
        </is>
      </c>
      <c r="G5393" s="0" t="s">
        <v>171</v>
      </c>
      <c r="H5393" s="5">
        <v>80.320100</v>
      </c>
    </row>
    <row r="5394" spans="1:9">
      <c r="A5394" s="22" t="str">
        <f>HYPERLINK("https://app.vivvix.com/360/KMI/IntelliDrive/ApplUI/Pages/CreativePages/CustomReportCreativeDetail.aspx?App=23&amp;ReportView=4&amp;Qid=1711279&amp;Row=5386&amp;Col=1","No Title Assigned - #15269489046")</f>
        <v/>
      </c>
      <c r="B5394" s="0" t="s">
        <v>7288</v>
      </c>
      <c r="E5394" s="0" t="inlineStr">
        <is>
          <t xml:space="preserve">Mazda</t>
        </is>
      </c>
      <c r="F5394" s="0" t="inlineStr">
        <is>
          <t xml:space="preserve">Mazda</t>
        </is>
      </c>
      <c r="G5394" s="0" t="s">
        <v>171</v>
      </c>
      <c r="H5394" s="5">
        <v>478.611800</v>
      </c>
    </row>
    <row r="5395" spans="1:9">
      <c r="A5395" s="22" t="str">
        <f>HYPERLINK("https://app.vivvix.com/360/KMI/IntelliDrive/ApplUI/Pages/CreativePages/CustomReportCreativeDetail.aspx?App=23&amp;ReportView=4&amp;Qid=1711279&amp;Row=5387&amp;Col=1","No Title Assigned - #15269489089")</f>
        <v/>
      </c>
      <c r="B5395" s="0" t="s">
        <v>7289</v>
      </c>
      <c r="E5395" s="0" t="inlineStr">
        <is>
          <t xml:space="preserve">Mazda</t>
        </is>
      </c>
      <c r="F5395" s="0" t="inlineStr">
        <is>
          <t xml:space="preserve">Mazda</t>
        </is>
      </c>
      <c r="G5395" s="0" t="s">
        <v>171</v>
      </c>
      <c r="H5395" s="5">
        <v>45.957600</v>
      </c>
    </row>
    <row r="5396" spans="1:9">
      <c r="A5396" s="22" t="str">
        <f>HYPERLINK("https://app.vivvix.com/360/KMI/IntelliDrive/ApplUI/Pages/CreativePages/CustomReportCreativeDetail.aspx?App=23&amp;ReportView=4&amp;Qid=1711279&amp;Row=5388&amp;Col=1","No Title Assigned - #15269489158")</f>
        <v/>
      </c>
      <c r="B5396" s="0" t="s">
        <v>7290</v>
      </c>
      <c r="C5396" s="0" t="s">
        <v>7291</v>
      </c>
      <c r="D5396" s="0" t="s">
        <v>7291</v>
      </c>
      <c r="E5396" s="0" t="inlineStr">
        <is>
          <t xml:space="preserve">Mazda</t>
        </is>
      </c>
      <c r="F5396" s="0" t="inlineStr">
        <is>
          <t xml:space="preserve">Mazda</t>
        </is>
      </c>
      <c r="G5396" s="0" t="s">
        <v>171</v>
      </c>
      <c r="H5396" s="5">
        <v>102.218500</v>
      </c>
    </row>
    <row r="5397" spans="1:9">
      <c r="A5397" s="22" t="str">
        <f>HYPERLINK("https://app.vivvix.com/360/KMI/IntelliDrive/ApplUI/Pages/CreativePages/CustomReportCreativeDetail.aspx?App=23&amp;ReportView=4&amp;Qid=1711279&amp;Row=5389&amp;Col=1","No Title Assigned - #15269489658")</f>
        <v/>
      </c>
      <c r="B5397" s="0" t="s">
        <v>7292</v>
      </c>
      <c r="C5397" s="0" t="s">
        <v>7293</v>
      </c>
      <c r="D5397" s="0" t="s">
        <v>7293</v>
      </c>
      <c r="E5397" s="0" t="inlineStr">
        <is>
          <t xml:space="preserve">Mazda</t>
        </is>
      </c>
      <c r="F5397" s="0" t="inlineStr">
        <is>
          <t xml:space="preserve">Mazda</t>
        </is>
      </c>
      <c r="G5397" s="0" t="s">
        <v>171</v>
      </c>
      <c r="H5397" s="5">
        <v>100.902200</v>
      </c>
    </row>
    <row r="5398" spans="1:9">
      <c r="A5398" s="22" t="str">
        <f>HYPERLINK("https://app.vivvix.com/360/KMI/IntelliDrive/ApplUI/Pages/CreativePages/CustomReportCreativeDetail.aspx?App=23&amp;ReportView=4&amp;Qid=1711279&amp;Row=5390&amp;Col=1","No Title Assigned - #15269489728")</f>
        <v/>
      </c>
      <c r="B5398" s="0" t="s">
        <v>7294</v>
      </c>
      <c r="E5398" s="0" t="inlineStr">
        <is>
          <t xml:space="preserve">Mazda</t>
        </is>
      </c>
      <c r="F5398" s="0" t="inlineStr">
        <is>
          <t xml:space="preserve">Mazda</t>
        </is>
      </c>
      <c r="G5398" s="0" t="s">
        <v>171</v>
      </c>
      <c r="H5398" s="5">
        <v>37.830100</v>
      </c>
    </row>
    <row r="5399" spans="1:9">
      <c r="A5399" s="22" t="str">
        <f>HYPERLINK("https://app.vivvix.com/360/KMI/IntelliDrive/ApplUI/Pages/CreativePages/CustomReportCreativeDetail.aspx?App=23&amp;ReportView=4&amp;Qid=1711279&amp;Row=5391&amp;Col=1","No Title Assigned - #15269490155")</f>
        <v/>
      </c>
      <c r="B5399" s="0" t="s">
        <v>7295</v>
      </c>
      <c r="E5399" s="0" t="inlineStr">
        <is>
          <t xml:space="preserve">Mazda</t>
        </is>
      </c>
      <c r="F5399" s="0" t="inlineStr">
        <is>
          <t xml:space="preserve">Mazda</t>
        </is>
      </c>
      <c r="G5399" s="0" t="s">
        <v>171</v>
      </c>
      <c r="H5399" s="5">
        <v>10047.026600</v>
      </c>
    </row>
    <row r="5400" spans="1:9">
      <c r="A5400" s="22" t="str">
        <f>HYPERLINK("https://app.vivvix.com/360/KMI/IntelliDrive/ApplUI/Pages/CreativePages/CustomReportCreativeDetail.aspx?App=23&amp;ReportView=4&amp;Qid=1711279&amp;Row=5392&amp;Col=1","No Title Assigned - #15269490155")</f>
        <v/>
      </c>
      <c r="B5400" s="0" t="s">
        <v>7295</v>
      </c>
      <c r="E5400" s="0" t="inlineStr">
        <is>
          <t xml:space="preserve">Mazda</t>
        </is>
      </c>
      <c r="F5400" s="0" t="inlineStr">
        <is>
          <t xml:space="preserve">Mazda</t>
        </is>
      </c>
      <c r="G5400" s="0" t="s">
        <v>171</v>
      </c>
      <c r="H5400" s="5">
        <v>12309.443700</v>
      </c>
    </row>
    <row r="5401" spans="1:9">
      <c r="A5401" s="22" t="str">
        <f>HYPERLINK("https://app.vivvix.com/360/KMI/IntelliDrive/ApplUI/Pages/CreativePages/CustomReportCreativeDetail.aspx?App=23&amp;ReportView=4&amp;Qid=1711279&amp;Row=5393&amp;Col=1","No Title Assigned - #15269490238")</f>
        <v/>
      </c>
      <c r="B5401" s="0" t="s">
        <v>7296</v>
      </c>
      <c r="E5401" s="0" t="inlineStr">
        <is>
          <t xml:space="preserve">Mazda</t>
        </is>
      </c>
      <c r="F5401" s="0" t="inlineStr">
        <is>
          <t xml:space="preserve">Mazda</t>
        </is>
      </c>
      <c r="G5401" s="0" t="s">
        <v>171</v>
      </c>
      <c r="H5401" s="5">
        <v>28.201700</v>
      </c>
    </row>
    <row r="5402" spans="1:9">
      <c r="A5402" s="22" t="str">
        <f>HYPERLINK("https://app.vivvix.com/360/KMI/IntelliDrive/ApplUI/Pages/CreativePages/CustomReportCreativeDetail.aspx?App=23&amp;ReportView=4&amp;Qid=1711279&amp;Row=5394&amp;Col=1","No Title Assigned - #15269490539")</f>
        <v/>
      </c>
      <c r="B5402" s="0" t="s">
        <v>7297</v>
      </c>
      <c r="C5402" s="0" t="s">
        <v>7298</v>
      </c>
      <c r="D5402" s="0" t="s">
        <v>7298</v>
      </c>
      <c r="E5402" s="0" t="inlineStr">
        <is>
          <t xml:space="preserve">Mazda</t>
        </is>
      </c>
      <c r="F5402" s="0" t="inlineStr">
        <is>
          <t xml:space="preserve">Mazda</t>
        </is>
      </c>
      <c r="G5402" s="0" t="s">
        <v>171</v>
      </c>
      <c r="H5402" s="5">
        <v>24.554900</v>
      </c>
    </row>
    <row r="5403" spans="1:9">
      <c r="A5403" s="22" t="str">
        <f>HYPERLINK("https://app.vivvix.com/360/KMI/IntelliDrive/ApplUI/Pages/CreativePages/CustomReportCreativeDetail.aspx?App=23&amp;ReportView=4&amp;Qid=1711279&amp;Row=5395&amp;Col=1","No Title Assigned - #15269490831")</f>
        <v/>
      </c>
      <c r="B5403" s="0" t="s">
        <v>7299</v>
      </c>
      <c r="E5403" s="0" t="inlineStr">
        <is>
          <t xml:space="preserve">Mazda</t>
        </is>
      </c>
      <c r="F5403" s="0" t="inlineStr">
        <is>
          <t xml:space="preserve">Mazda</t>
        </is>
      </c>
      <c r="G5403" s="0" t="s">
        <v>171</v>
      </c>
      <c r="H5403" s="5">
        <v>25.440400</v>
      </c>
    </row>
    <row r="5404" spans="1:9">
      <c r="A5404" s="22" t="str">
        <f>HYPERLINK("https://app.vivvix.com/360/KMI/IntelliDrive/ApplUI/Pages/CreativePages/CustomReportCreativeDetail.aspx?App=23&amp;ReportView=4&amp;Qid=1711279&amp;Row=5396&amp;Col=1","No Title Assigned - #15269490857")</f>
        <v/>
      </c>
      <c r="B5404" s="0" t="s">
        <v>7300</v>
      </c>
      <c r="E5404" s="0" t="inlineStr">
        <is>
          <t xml:space="preserve">Mazda</t>
        </is>
      </c>
      <c r="F5404" s="0" t="inlineStr">
        <is>
          <t xml:space="preserve">Mazda</t>
        </is>
      </c>
      <c r="G5404" s="0" t="s">
        <v>171</v>
      </c>
      <c r="H5404" s="5">
        <v>200.289200</v>
      </c>
    </row>
    <row r="5405" spans="1:9">
      <c r="A5405" s="22" t="str">
        <f>HYPERLINK("https://app.vivvix.com/360/KMI/IntelliDrive/ApplUI/Pages/CreativePages/CustomReportCreativeDetail.aspx?App=23&amp;ReportView=4&amp;Qid=1711279&amp;Row=5397&amp;Col=1","No Title Assigned - #15269490869")</f>
        <v/>
      </c>
      <c r="B5405" s="0" t="s">
        <v>7301</v>
      </c>
      <c r="E5405" s="0" t="inlineStr">
        <is>
          <t xml:space="preserve">Mazda</t>
        </is>
      </c>
      <c r="F5405" s="0" t="inlineStr">
        <is>
          <t xml:space="preserve">Mazda</t>
        </is>
      </c>
      <c r="G5405" s="0" t="s">
        <v>171</v>
      </c>
      <c r="H5405" s="5">
        <v>16270.017600</v>
      </c>
    </row>
    <row r="5406" spans="1:9">
      <c r="A5406" s="22" t="str">
        <f>HYPERLINK("https://app.vivvix.com/360/KMI/IntelliDrive/ApplUI/Pages/CreativePages/CustomReportCreativeDetail.aspx?App=23&amp;ReportView=4&amp;Qid=1711279&amp;Row=5398&amp;Col=1","No Title Assigned - #15269490905")</f>
        <v/>
      </c>
      <c r="B5406" s="0" t="s">
        <v>7302</v>
      </c>
      <c r="E5406" s="0" t="inlineStr">
        <is>
          <t xml:space="preserve">Mazda</t>
        </is>
      </c>
      <c r="F5406" s="0" t="inlineStr">
        <is>
          <t xml:space="preserve">Mazda</t>
        </is>
      </c>
      <c r="G5406" s="0" t="s">
        <v>171</v>
      </c>
      <c r="H5406" s="5">
        <v>251.670600</v>
      </c>
    </row>
    <row r="5407" spans="1:9">
      <c r="A5407" s="22" t="str">
        <f>HYPERLINK("https://app.vivvix.com/360/KMI/IntelliDrive/ApplUI/Pages/CreativePages/CustomReportCreativeDetail.aspx?App=23&amp;ReportView=4&amp;Qid=1711279&amp;Row=5399&amp;Col=1","No Title Assigned - #15269490906")</f>
        <v/>
      </c>
      <c r="B5407" s="0" t="s">
        <v>7303</v>
      </c>
      <c r="C5407" s="0" t="s">
        <v>7304</v>
      </c>
      <c r="D5407" s="0" t="s">
        <v>7304</v>
      </c>
      <c r="E5407" s="0" t="inlineStr">
        <is>
          <t xml:space="preserve">Mazda</t>
        </is>
      </c>
      <c r="F5407" s="0" t="s">
        <v>13</v>
      </c>
      <c r="G5407" s="0" t="s">
        <v>49</v>
      </c>
      <c r="H5407" s="5">
        <v>41645.123600</v>
      </c>
    </row>
    <row r="5408" spans="1:9">
      <c r="A5408" s="22" t="str">
        <f>HYPERLINK("https://app.vivvix.com/360/KMI/IntelliDrive/ApplUI/Pages/CreativePages/CustomReportCreativeDetail.aspx?App=23&amp;ReportView=4&amp;Qid=1711279&amp;Row=5400&amp;Col=1","No Title Assigned - #15269490906")</f>
        <v/>
      </c>
      <c r="B5408" s="0" t="s">
        <v>7303</v>
      </c>
      <c r="E5408" s="0" t="inlineStr">
        <is>
          <t xml:space="preserve">Mazda</t>
        </is>
      </c>
      <c r="F5408" s="0" t="s">
        <v>13</v>
      </c>
      <c r="G5408" s="0" t="s">
        <v>49</v>
      </c>
      <c r="H5408" s="5">
        <v>72826.086100</v>
      </c>
    </row>
    <row r="5409" spans="1:9">
      <c r="A5409" s="22" t="str">
        <f>HYPERLINK("https://app.vivvix.com/360/KMI/IntelliDrive/ApplUI/Pages/CreativePages/CustomReportCreativeDetail.aspx?App=23&amp;ReportView=4&amp;Qid=1711279&amp;Row=5401&amp;Col=1","No Title Assigned - #15269491142")</f>
        <v/>
      </c>
      <c r="B5409" s="0" t="s">
        <v>7305</v>
      </c>
      <c r="E5409" s="0" t="inlineStr">
        <is>
          <t xml:space="preserve">Mazda</t>
        </is>
      </c>
      <c r="F5409" s="0" t="inlineStr">
        <is>
          <t xml:space="preserve">Mazda</t>
        </is>
      </c>
      <c r="G5409" s="0" t="s">
        <v>171</v>
      </c>
      <c r="H5409" s="5">
        <v>618.101200</v>
      </c>
    </row>
    <row r="5410" spans="1:9">
      <c r="A5410" s="22" t="str">
        <f>HYPERLINK("https://app.vivvix.com/360/KMI/IntelliDrive/ApplUI/Pages/CreativePages/CustomReportCreativeDetail.aspx?App=23&amp;ReportView=4&amp;Qid=1711279&amp;Row=5402&amp;Col=1","No Title Assigned - #15269491328")</f>
        <v/>
      </c>
      <c r="B5410" s="0" t="s">
        <v>7306</v>
      </c>
      <c r="E5410" s="0" t="inlineStr">
        <is>
          <t xml:space="preserve">Mazda</t>
        </is>
      </c>
      <c r="F5410" s="0" t="inlineStr">
        <is>
          <t xml:space="preserve">Mazda</t>
        </is>
      </c>
      <c r="G5410" s="0" t="s">
        <v>171</v>
      </c>
      <c r="H5410" s="5">
        <v>1295.633600</v>
      </c>
    </row>
    <row r="5411" spans="1:9">
      <c r="A5411" s="22" t="str">
        <f>HYPERLINK("https://app.vivvix.com/360/KMI/IntelliDrive/ApplUI/Pages/CreativePages/CustomReportCreativeDetail.aspx?App=23&amp;ReportView=4&amp;Qid=1711279&amp;Row=5403&amp;Col=1","No Title Assigned - #15269491328")</f>
        <v/>
      </c>
      <c r="B5411" s="0" t="s">
        <v>7306</v>
      </c>
      <c r="E5411" s="0" t="inlineStr">
        <is>
          <t xml:space="preserve">Mazda</t>
        </is>
      </c>
      <c r="F5411" s="0" t="inlineStr">
        <is>
          <t xml:space="preserve">Mazda</t>
        </is>
      </c>
      <c r="G5411" s="0" t="s">
        <v>171</v>
      </c>
      <c r="H5411" s="5">
        <v>6416.534800</v>
      </c>
    </row>
    <row r="5412" spans="1:9">
      <c r="A5412" s="22" t="str">
        <f>HYPERLINK("https://app.vivvix.com/360/KMI/IntelliDrive/ApplUI/Pages/CreativePages/CustomReportCreativeDetail.aspx?App=23&amp;ReportView=4&amp;Qid=1711279&amp;Row=5404&amp;Col=1","No Title Assigned - #15269491395")</f>
        <v/>
      </c>
      <c r="B5412" s="0" t="s">
        <v>7307</v>
      </c>
      <c r="C5412" s="0" t="s">
        <v>7308</v>
      </c>
      <c r="D5412" s="0" t="s">
        <v>7308</v>
      </c>
      <c r="E5412" s="0" t="inlineStr">
        <is>
          <t xml:space="preserve">Mazda</t>
        </is>
      </c>
      <c r="F5412" s="0" t="inlineStr">
        <is>
          <t xml:space="preserve">Mazda</t>
        </is>
      </c>
      <c r="G5412" s="0" t="s">
        <v>171</v>
      </c>
      <c r="H5412" s="5">
        <v>584.881200</v>
      </c>
    </row>
    <row r="5413" spans="1:9">
      <c r="A5413" s="22" t="str">
        <f>HYPERLINK("https://app.vivvix.com/360/KMI/IntelliDrive/ApplUI/Pages/CreativePages/CustomReportCreativeDetail.aspx?App=23&amp;ReportView=4&amp;Qid=1711279&amp;Row=5405&amp;Col=1","No Title Assigned - #15269491599")</f>
        <v/>
      </c>
      <c r="B5413" s="0" t="s">
        <v>7309</v>
      </c>
      <c r="E5413" s="0" t="inlineStr">
        <is>
          <t xml:space="preserve">Mazda</t>
        </is>
      </c>
      <c r="F5413" s="0" t="inlineStr">
        <is>
          <t xml:space="preserve">Mazda</t>
        </is>
      </c>
      <c r="G5413" s="0" t="s">
        <v>171</v>
      </c>
      <c r="H5413" s="5">
        <v>12138.029300</v>
      </c>
    </row>
    <row r="5414" spans="1:9">
      <c r="A5414" s="22" t="str">
        <f>HYPERLINK("https://app.vivvix.com/360/KMI/IntelliDrive/ApplUI/Pages/CreativePages/CustomReportCreativeDetail.aspx?App=23&amp;ReportView=4&amp;Qid=1711279&amp;Row=5406&amp;Col=1","No Title Assigned - #15269491932")</f>
        <v/>
      </c>
      <c r="B5414" s="0" t="s">
        <v>7310</v>
      </c>
      <c r="C5414" s="0" t="s">
        <v>7311</v>
      </c>
      <c r="D5414" s="0" t="s">
        <v>7311</v>
      </c>
      <c r="E5414" s="0" t="inlineStr">
        <is>
          <t xml:space="preserve">Mazda</t>
        </is>
      </c>
      <c r="F5414" s="0" t="inlineStr">
        <is>
          <t xml:space="preserve">Mazda</t>
        </is>
      </c>
      <c r="G5414" s="0" t="s">
        <v>171</v>
      </c>
      <c r="H5414" s="5">
        <v>1583.049000</v>
      </c>
    </row>
    <row r="5415" spans="1:9">
      <c r="A5415" s="22" t="str">
        <f>HYPERLINK("https://app.vivvix.com/360/KMI/IntelliDrive/ApplUI/Pages/CreativePages/CustomReportCreativeDetail.aspx?App=23&amp;ReportView=4&amp;Qid=1711279&amp;Row=5407&amp;Col=1","No Title Assigned - #15269492066")</f>
        <v/>
      </c>
      <c r="B5415" s="0" t="s">
        <v>7312</v>
      </c>
      <c r="E5415" s="0" t="inlineStr">
        <is>
          <t xml:space="preserve">Mazda</t>
        </is>
      </c>
      <c r="F5415" s="0" t="inlineStr">
        <is>
          <t xml:space="preserve">Mazda</t>
        </is>
      </c>
      <c r="G5415" s="0" t="s">
        <v>171</v>
      </c>
      <c r="H5415" s="5">
        <v>1334.602200</v>
      </c>
    </row>
    <row r="5416" spans="1:9">
      <c r="A5416" s="22" t="str">
        <f>HYPERLINK("https://app.vivvix.com/360/KMI/IntelliDrive/ApplUI/Pages/CreativePages/CustomReportCreativeDetail.aspx?App=23&amp;ReportView=4&amp;Qid=1711279&amp;Row=5408&amp;Col=1","No Title Assigned - #15269492110")</f>
        <v/>
      </c>
      <c r="B5416" s="0" t="s">
        <v>7313</v>
      </c>
      <c r="E5416" s="0" t="inlineStr">
        <is>
          <t xml:space="preserve">Mazda</t>
        </is>
      </c>
      <c r="F5416" s="0" t="inlineStr">
        <is>
          <t xml:space="preserve">Mazda</t>
        </is>
      </c>
      <c r="G5416" s="0" t="s">
        <v>171</v>
      </c>
      <c r="H5416" s="5">
        <v>1110.821000</v>
      </c>
    </row>
    <row r="5417" spans="1:9">
      <c r="A5417" s="22" t="str">
        <f>HYPERLINK("https://app.vivvix.com/360/KMI/IntelliDrive/ApplUI/Pages/CreativePages/CustomReportCreativeDetail.aspx?App=23&amp;ReportView=4&amp;Qid=1711279&amp;Row=5409&amp;Col=1","No Title Assigned - #15269492301")</f>
        <v/>
      </c>
      <c r="B5417" s="0" t="s">
        <v>7314</v>
      </c>
      <c r="E5417" s="0" t="inlineStr">
        <is>
          <t xml:space="preserve">Mazda</t>
        </is>
      </c>
      <c r="F5417" s="0" t="inlineStr">
        <is>
          <t xml:space="preserve">Mazda</t>
        </is>
      </c>
      <c r="G5417" s="0" t="s">
        <v>171</v>
      </c>
      <c r="H5417" s="5">
        <v>269.924900</v>
      </c>
    </row>
    <row r="5418" spans="1:9">
      <c r="A5418" s="22" t="str">
        <f>HYPERLINK("https://app.vivvix.com/360/KMI/IntelliDrive/ApplUI/Pages/CreativePages/CustomReportCreativeDetail.aspx?App=23&amp;ReportView=4&amp;Qid=1711279&amp;Row=5410&amp;Col=1","No Title Assigned - #15269492301")</f>
        <v/>
      </c>
      <c r="B5418" s="0" t="s">
        <v>7314</v>
      </c>
      <c r="E5418" s="0" t="inlineStr">
        <is>
          <t xml:space="preserve">Mazda</t>
        </is>
      </c>
      <c r="F5418" s="0" t="inlineStr">
        <is>
          <t xml:space="preserve">Mazda</t>
        </is>
      </c>
      <c r="G5418" s="0" t="s">
        <v>171</v>
      </c>
      <c r="H5418" s="5">
        <v>767.915900</v>
      </c>
    </row>
    <row r="5419" spans="1:9">
      <c r="A5419" s="22" t="str">
        <f>HYPERLINK("https://app.vivvix.com/360/KMI/IntelliDrive/ApplUI/Pages/CreativePages/CustomReportCreativeDetail.aspx?App=23&amp;ReportView=4&amp;Qid=1711279&amp;Row=5411&amp;Col=1","No Title Assigned - #15269492442")</f>
        <v/>
      </c>
      <c r="B5419" s="0" t="s">
        <v>7315</v>
      </c>
      <c r="E5419" s="0" t="inlineStr">
        <is>
          <t xml:space="preserve">Mazda</t>
        </is>
      </c>
      <c r="F5419" s="0" t="inlineStr">
        <is>
          <t xml:space="preserve">Mazda</t>
        </is>
      </c>
      <c r="G5419" s="0" t="s">
        <v>171</v>
      </c>
      <c r="H5419" s="5">
        <v>282.660000</v>
      </c>
    </row>
    <row r="5420" spans="1:9">
      <c r="A5420" s="22" t="str">
        <f>HYPERLINK("https://app.vivvix.com/360/KMI/IntelliDrive/ApplUI/Pages/CreativePages/CustomReportCreativeDetail.aspx?App=23&amp;ReportView=4&amp;Qid=1711279&amp;Row=5412&amp;Col=1","No Title Assigned - #15269493465")</f>
        <v/>
      </c>
      <c r="B5420" s="0" t="s">
        <v>7316</v>
      </c>
      <c r="E5420" s="0" t="inlineStr">
        <is>
          <t xml:space="preserve">Mazda</t>
        </is>
      </c>
      <c r="F5420" s="0" t="inlineStr">
        <is>
          <t xml:space="preserve">Mazda</t>
        </is>
      </c>
      <c r="G5420" s="0" t="s">
        <v>171</v>
      </c>
      <c r="H5420" s="5">
        <v>4829.781300</v>
      </c>
    </row>
    <row r="5421" spans="1:9">
      <c r="A5421" s="22" t="str">
        <f>HYPERLINK("https://app.vivvix.com/360/KMI/IntelliDrive/ApplUI/Pages/CreativePages/CustomReportCreativeDetail.aspx?App=23&amp;ReportView=4&amp;Qid=1711279&amp;Row=5413&amp;Col=1","No Title Assigned - #15269494024")</f>
        <v/>
      </c>
      <c r="B5421" s="0" t="s">
        <v>7317</v>
      </c>
      <c r="E5421" s="0" t="inlineStr">
        <is>
          <t xml:space="preserve">Mazda</t>
        </is>
      </c>
      <c r="F5421" s="0" t="inlineStr">
        <is>
          <t xml:space="preserve">Mazda</t>
        </is>
      </c>
      <c r="G5421" s="0" t="s">
        <v>171</v>
      </c>
      <c r="H5421" s="5">
        <v>133.974500</v>
      </c>
    </row>
    <row r="5422" spans="1:9">
      <c r="A5422" s="22" t="str">
        <f>HYPERLINK("https://app.vivvix.com/360/KMI/IntelliDrive/ApplUI/Pages/CreativePages/CustomReportCreativeDetail.aspx?App=23&amp;ReportView=4&amp;Qid=1711279&amp;Row=5414&amp;Col=1","No Title Assigned - #15269494040")</f>
        <v/>
      </c>
      <c r="B5422" s="0" t="s">
        <v>7318</v>
      </c>
      <c r="C5422" s="0" t="s">
        <v>7319</v>
      </c>
      <c r="D5422" s="0" t="s">
        <v>7319</v>
      </c>
      <c r="E5422" s="0" t="inlineStr">
        <is>
          <t xml:space="preserve">Mazda</t>
        </is>
      </c>
      <c r="F5422" s="0" t="inlineStr">
        <is>
          <t xml:space="preserve">Mazda</t>
        </is>
      </c>
      <c r="G5422" s="0" t="s">
        <v>171</v>
      </c>
      <c r="H5422" s="5">
        <v>149.459800</v>
      </c>
    </row>
    <row r="5423" spans="1:9">
      <c r="A5423" s="22" t="str">
        <f>HYPERLINK("https://app.vivvix.com/360/KMI/IntelliDrive/ApplUI/Pages/CreativePages/CustomReportCreativeDetail.aspx?App=23&amp;ReportView=4&amp;Qid=1711279&amp;Row=5415&amp;Col=1","No Title Assigned - #15269494276")</f>
        <v/>
      </c>
      <c r="B5423" s="0" t="s">
        <v>7320</v>
      </c>
      <c r="E5423" s="0" t="inlineStr">
        <is>
          <t xml:space="preserve">Mazda</t>
        </is>
      </c>
      <c r="F5423" s="0" t="inlineStr">
        <is>
          <t xml:space="preserve">Mazda</t>
        </is>
      </c>
      <c r="G5423" s="0" t="s">
        <v>171</v>
      </c>
      <c r="H5423" s="5">
        <v>10.116300</v>
      </c>
    </row>
    <row r="5424" spans="1:9">
      <c r="A5424" s="22" t="str">
        <f>HYPERLINK("https://app.vivvix.com/360/KMI/IntelliDrive/ApplUI/Pages/CreativePages/CustomReportCreativeDetail.aspx?App=23&amp;ReportView=4&amp;Qid=1711279&amp;Row=5416&amp;Col=1","No Title Assigned - #15269494440")</f>
        <v/>
      </c>
      <c r="B5424" s="0" t="s">
        <v>7321</v>
      </c>
      <c r="E5424" s="0" t="inlineStr">
        <is>
          <t xml:space="preserve">Mazda</t>
        </is>
      </c>
      <c r="F5424" s="0" t="inlineStr">
        <is>
          <t xml:space="preserve">Mazda</t>
        </is>
      </c>
      <c r="G5424" s="0" t="s">
        <v>171</v>
      </c>
      <c r="H5424" s="5">
        <v>542.638500</v>
      </c>
    </row>
    <row r="5425" spans="1:9">
      <c r="A5425" s="22" t="str">
        <f>HYPERLINK("https://app.vivvix.com/360/KMI/IntelliDrive/ApplUI/Pages/CreativePages/CustomReportCreativeDetail.aspx?App=23&amp;ReportView=4&amp;Qid=1711279&amp;Row=5417&amp;Col=1","No Title Assigned - #15269494529")</f>
        <v/>
      </c>
      <c r="B5425" s="0" t="s">
        <v>7322</v>
      </c>
      <c r="E5425" s="0" t="inlineStr">
        <is>
          <t xml:space="preserve">Mazda</t>
        </is>
      </c>
      <c r="F5425" s="0" t="inlineStr">
        <is>
          <t xml:space="preserve">Mazda</t>
        </is>
      </c>
      <c r="G5425" s="0" t="s">
        <v>171</v>
      </c>
      <c r="H5425" s="5">
        <v>23.260800</v>
      </c>
    </row>
    <row r="5426" spans="1:9">
      <c r="A5426" s="22" t="str">
        <f>HYPERLINK("https://app.vivvix.com/360/KMI/IntelliDrive/ApplUI/Pages/CreativePages/CustomReportCreativeDetail.aspx?App=23&amp;ReportView=4&amp;Qid=1711279&amp;Row=5418&amp;Col=1","No Title Assigned - #15269495984")</f>
        <v/>
      </c>
      <c r="B5426" s="0" t="s">
        <v>7323</v>
      </c>
      <c r="E5426" s="0" t="inlineStr">
        <is>
          <t xml:space="preserve">Mazda</t>
        </is>
      </c>
      <c r="F5426" s="0" t="inlineStr">
        <is>
          <t xml:space="preserve">Mazda</t>
        </is>
      </c>
      <c r="G5426" s="0" t="s">
        <v>171</v>
      </c>
      <c r="H5426" s="5">
        <v>54.576400</v>
      </c>
    </row>
    <row r="5427" spans="1:9">
      <c r="A5427" s="22" t="str">
        <f>HYPERLINK("https://app.vivvix.com/360/KMI/IntelliDrive/ApplUI/Pages/CreativePages/CustomReportCreativeDetail.aspx?App=23&amp;ReportView=4&amp;Qid=1711279&amp;Row=5419&amp;Col=1","No Title Assigned - #15269495984")</f>
        <v/>
      </c>
      <c r="B5427" s="0" t="s">
        <v>7323</v>
      </c>
      <c r="E5427" s="0" t="inlineStr">
        <is>
          <t xml:space="preserve">Mazda</t>
        </is>
      </c>
      <c r="F5427" s="0" t="inlineStr">
        <is>
          <t xml:space="preserve">Mazda</t>
        </is>
      </c>
      <c r="G5427" s="0" t="s">
        <v>171</v>
      </c>
      <c r="H5427" s="5">
        <v>12195.910700</v>
      </c>
    </row>
    <row r="5428" spans="1:9">
      <c r="A5428" s="22" t="str">
        <f>HYPERLINK("https://app.vivvix.com/360/KMI/IntelliDrive/ApplUI/Pages/CreativePages/CustomReportCreativeDetail.aspx?App=23&amp;ReportView=4&amp;Qid=1711279&amp;Row=5420&amp;Col=1","No Title Assigned - #15269496481")</f>
        <v/>
      </c>
      <c r="B5428" s="0" t="s">
        <v>7324</v>
      </c>
      <c r="E5428" s="0" t="inlineStr">
        <is>
          <t xml:space="preserve">Mazda</t>
        </is>
      </c>
      <c r="F5428" s="0" t="inlineStr">
        <is>
          <t xml:space="preserve">Mazda</t>
        </is>
      </c>
      <c r="G5428" s="0" t="s">
        <v>171</v>
      </c>
      <c r="H5428" s="5">
        <v>50.422300</v>
      </c>
    </row>
    <row r="5429" spans="1:9">
      <c r="A5429" s="22" t="str">
        <f>HYPERLINK("https://app.vivvix.com/360/KMI/IntelliDrive/ApplUI/Pages/CreativePages/CustomReportCreativeDetail.aspx?App=23&amp;ReportView=4&amp;Qid=1711279&amp;Row=5421&amp;Col=1","No Title Assigned - #15269496878")</f>
        <v/>
      </c>
      <c r="B5429" s="0" t="s">
        <v>7325</v>
      </c>
      <c r="E5429" s="0" t="inlineStr">
        <is>
          <t xml:space="preserve">Mazda</t>
        </is>
      </c>
      <c r="F5429" s="0" t="inlineStr">
        <is>
          <t xml:space="preserve">Mazda</t>
        </is>
      </c>
      <c r="G5429" s="0" t="s">
        <v>171</v>
      </c>
      <c r="H5429" s="5">
        <v>24087.922700</v>
      </c>
    </row>
    <row r="5430" spans="1:9">
      <c r="A5430" s="22" t="str">
        <f>HYPERLINK("https://app.vivvix.com/360/KMI/IntelliDrive/ApplUI/Pages/CreativePages/CustomReportCreativeDetail.aspx?App=23&amp;ReportView=4&amp;Qid=1711279&amp;Row=5422&amp;Col=1","No Title Assigned - #15269496878")</f>
        <v/>
      </c>
      <c r="B5430" s="0" t="s">
        <v>7325</v>
      </c>
      <c r="E5430" s="0" t="inlineStr">
        <is>
          <t xml:space="preserve">Mazda</t>
        </is>
      </c>
      <c r="F5430" s="0" t="inlineStr">
        <is>
          <t xml:space="preserve">Mazda</t>
        </is>
      </c>
      <c r="G5430" s="0" t="s">
        <v>171</v>
      </c>
      <c r="H5430" s="5">
        <v>3320.238900</v>
      </c>
    </row>
    <row r="5431" spans="1:9">
      <c r="A5431" s="22" t="str">
        <f>HYPERLINK("https://app.vivvix.com/360/KMI/IntelliDrive/ApplUI/Pages/CreativePages/CustomReportCreativeDetail.aspx?App=23&amp;ReportView=4&amp;Qid=1711279&amp;Row=5423&amp;Col=1","No Title Assigned - #15269498053")</f>
        <v/>
      </c>
      <c r="B5431" s="0" t="s">
        <v>7326</v>
      </c>
      <c r="E5431" s="0" t="inlineStr">
        <is>
          <t xml:space="preserve">Mazda</t>
        </is>
      </c>
      <c r="F5431" s="0" t="inlineStr">
        <is>
          <t xml:space="preserve">Mazda</t>
        </is>
      </c>
      <c r="G5431" s="0" t="s">
        <v>171</v>
      </c>
      <c r="H5431" s="5">
        <v>110.402000</v>
      </c>
    </row>
    <row r="5432" spans="1:9">
      <c r="A5432" s="22" t="str">
        <f>HYPERLINK("https://app.vivvix.com/360/KMI/IntelliDrive/ApplUI/Pages/CreativePages/CustomReportCreativeDetail.aspx?App=23&amp;ReportView=4&amp;Qid=1711279&amp;Row=5424&amp;Col=1","No Title Assigned - #15269498195")</f>
        <v/>
      </c>
      <c r="B5432" s="0" t="s">
        <v>7327</v>
      </c>
      <c r="E5432" s="0" t="inlineStr">
        <is>
          <t xml:space="preserve">Mazda</t>
        </is>
      </c>
      <c r="F5432" s="0" t="inlineStr">
        <is>
          <t xml:space="preserve">Mazda</t>
        </is>
      </c>
      <c r="G5432" s="0" t="s">
        <v>171</v>
      </c>
      <c r="H5432" s="5">
        <v>71.285900</v>
      </c>
    </row>
    <row r="5433" spans="1:9">
      <c r="A5433" s="22" t="str">
        <f>HYPERLINK("https://app.vivvix.com/360/KMI/IntelliDrive/ApplUI/Pages/CreativePages/CustomReportCreativeDetail.aspx?App=23&amp;ReportView=4&amp;Qid=1711279&amp;Row=5425&amp;Col=1","No Title Assigned - #15269498463")</f>
        <v/>
      </c>
      <c r="B5433" s="0" t="s">
        <v>7328</v>
      </c>
      <c r="E5433" s="0" t="inlineStr">
        <is>
          <t xml:space="preserve">Mazda</t>
        </is>
      </c>
      <c r="F5433" s="0" t="inlineStr">
        <is>
          <t xml:space="preserve">Mazda</t>
        </is>
      </c>
      <c r="G5433" s="0" t="s">
        <v>171</v>
      </c>
      <c r="H5433" s="5">
        <v>26.737200</v>
      </c>
    </row>
    <row r="5434" spans="1:9">
      <c r="A5434" s="22" t="str">
        <f>HYPERLINK("https://app.vivvix.com/360/KMI/IntelliDrive/ApplUI/Pages/CreativePages/CustomReportCreativeDetail.aspx?App=23&amp;ReportView=4&amp;Qid=1711279&amp;Row=5426&amp;Col=1","No Title Assigned - #15269499264")</f>
        <v/>
      </c>
      <c r="B5434" s="0" t="s">
        <v>7329</v>
      </c>
      <c r="E5434" s="0" t="inlineStr">
        <is>
          <t xml:space="preserve">Mazda</t>
        </is>
      </c>
      <c r="F5434" s="0" t="inlineStr">
        <is>
          <t xml:space="preserve">Mazda</t>
        </is>
      </c>
      <c r="G5434" s="0" t="s">
        <v>171</v>
      </c>
      <c r="H5434" s="5">
        <v>178.840800</v>
      </c>
    </row>
    <row r="5435" spans="1:9">
      <c r="A5435" s="22" t="str">
        <f>HYPERLINK("https://app.vivvix.com/360/KMI/IntelliDrive/ApplUI/Pages/CreativePages/CustomReportCreativeDetail.aspx?App=23&amp;ReportView=4&amp;Qid=1711279&amp;Row=5427&amp;Col=1","No Title Assigned - #15269499895")</f>
        <v/>
      </c>
      <c r="B5435" s="0" t="s">
        <v>7330</v>
      </c>
      <c r="E5435" s="0" t="inlineStr">
        <is>
          <t xml:space="preserve">Mazda</t>
        </is>
      </c>
      <c r="F5435" s="0" t="inlineStr">
        <is>
          <t xml:space="preserve">Mazda</t>
        </is>
      </c>
      <c r="G5435" s="0" t="s">
        <v>171</v>
      </c>
      <c r="H5435" s="5">
        <v>19.917600</v>
      </c>
    </row>
    <row r="5436" spans="1:9">
      <c r="A5436" s="22" t="str">
        <f>HYPERLINK("https://app.vivvix.com/360/KMI/IntelliDrive/ApplUI/Pages/CreativePages/CustomReportCreativeDetail.aspx?App=23&amp;ReportView=4&amp;Qid=1711279&amp;Row=5428&amp;Col=1","No Title Assigned - #15269500345")</f>
        <v/>
      </c>
      <c r="B5436" s="0" t="s">
        <v>7331</v>
      </c>
      <c r="E5436" s="0" t="inlineStr">
        <is>
          <t xml:space="preserve">Mazda</t>
        </is>
      </c>
      <c r="F5436" s="0" t="inlineStr">
        <is>
          <t xml:space="preserve">Mazda</t>
        </is>
      </c>
      <c r="G5436" s="0" t="s">
        <v>171</v>
      </c>
      <c r="H5436" s="5">
        <v>8.391200</v>
      </c>
    </row>
    <row r="5437" spans="1:9">
      <c r="A5437" s="22" t="str">
        <f>HYPERLINK("https://app.vivvix.com/360/KMI/IntelliDrive/ApplUI/Pages/CreativePages/CustomReportCreativeDetail.aspx?App=23&amp;ReportView=4&amp;Qid=1711279&amp;Row=5429&amp;Col=1","No Title Assigned - #15269503446")</f>
        <v/>
      </c>
      <c r="B5437" s="0" t="s">
        <v>7332</v>
      </c>
      <c r="E5437" s="0" t="inlineStr">
        <is>
          <t xml:space="preserve">Mazda</t>
        </is>
      </c>
      <c r="F5437" s="0" t="inlineStr">
        <is>
          <t xml:space="preserve">Mazda</t>
        </is>
      </c>
      <c r="G5437" s="0" t="s">
        <v>171</v>
      </c>
      <c r="H5437" s="5">
        <v>22.881500</v>
      </c>
    </row>
    <row r="5438" spans="1:9">
      <c r="A5438" s="22" t="str">
        <f>HYPERLINK("https://app.vivvix.com/360/KMI/IntelliDrive/ApplUI/Pages/CreativePages/CustomReportCreativeDetail.aspx?App=23&amp;ReportView=4&amp;Qid=1711279&amp;Row=5430&amp;Col=1","No Title Assigned - #15269503517")</f>
        <v/>
      </c>
      <c r="B5438" s="0" t="s">
        <v>7333</v>
      </c>
      <c r="E5438" s="0" t="inlineStr">
        <is>
          <t xml:space="preserve">Mazda</t>
        </is>
      </c>
      <c r="F5438" s="0" t="inlineStr">
        <is>
          <t xml:space="preserve">Mazda</t>
        </is>
      </c>
      <c r="G5438" s="0" t="s">
        <v>171</v>
      </c>
      <c r="H5438" s="5">
        <v>1.781900</v>
      </c>
    </row>
    <row r="5439" spans="1:9">
      <c r="A5439" s="22" t="str">
        <f>HYPERLINK("https://app.vivvix.com/360/KMI/IntelliDrive/ApplUI/Pages/CreativePages/CustomReportCreativeDetail.aspx?App=23&amp;ReportView=4&amp;Qid=1711279&amp;Row=5431&amp;Col=1","No Title Assigned - #15269503839")</f>
        <v/>
      </c>
      <c r="B5439" s="0" t="s">
        <v>7334</v>
      </c>
      <c r="E5439" s="0" t="inlineStr">
        <is>
          <t xml:space="preserve">Mazda</t>
        </is>
      </c>
      <c r="F5439" s="0" t="inlineStr">
        <is>
          <t xml:space="preserve">Mazda</t>
        </is>
      </c>
      <c r="G5439" s="0" t="s">
        <v>171</v>
      </c>
      <c r="H5439" s="5">
        <v>124.141600</v>
      </c>
    </row>
    <row r="5440" spans="1:9">
      <c r="A5440" s="22" t="str">
        <f>HYPERLINK("https://app.vivvix.com/360/KMI/IntelliDrive/ApplUI/Pages/CreativePages/CustomReportCreativeDetail.aspx?App=23&amp;ReportView=4&amp;Qid=1711279&amp;Row=5432&amp;Col=1","No Title Assigned - #15269505083")</f>
        <v/>
      </c>
      <c r="B5440" s="0" t="s">
        <v>7335</v>
      </c>
      <c r="E5440" s="0" t="inlineStr">
        <is>
          <t xml:space="preserve">Mazda</t>
        </is>
      </c>
      <c r="F5440" s="0" t="inlineStr">
        <is>
          <t xml:space="preserve">Mazda</t>
        </is>
      </c>
      <c r="G5440" s="0" t="s">
        <v>171</v>
      </c>
      <c r="H5440" s="5">
        <v>120.190000</v>
      </c>
    </row>
    <row r="5441" spans="1:9">
      <c r="A5441" s="22" t="str">
        <f>HYPERLINK("https://app.vivvix.com/360/KMI/IntelliDrive/ApplUI/Pages/CreativePages/CustomReportCreativeDetail.aspx?App=23&amp;ReportView=4&amp;Qid=1711279&amp;Row=5433&amp;Col=1","No Title Assigned - #15269505687")</f>
        <v/>
      </c>
      <c r="B5441" s="0" t="s">
        <v>7336</v>
      </c>
      <c r="C5441" s="0" t="s">
        <v>7337</v>
      </c>
      <c r="D5441" s="0" t="s">
        <v>7337</v>
      </c>
      <c r="E5441" s="0" t="inlineStr">
        <is>
          <t xml:space="preserve">Mazda</t>
        </is>
      </c>
      <c r="F5441" s="0" t="inlineStr">
        <is>
          <t xml:space="preserve">Mazda</t>
        </is>
      </c>
      <c r="G5441" s="0" t="s">
        <v>171</v>
      </c>
      <c r="H5441" s="5">
        <v>41.574200</v>
      </c>
    </row>
    <row r="5442" spans="1:9">
      <c r="A5442" s="22" t="str">
        <f>HYPERLINK("https://app.vivvix.com/360/KMI/IntelliDrive/ApplUI/Pages/CreativePages/CustomReportCreativeDetail.aspx?App=23&amp;ReportView=4&amp;Qid=1711279&amp;Row=5434&amp;Col=1","No Title Assigned - #15269507084")</f>
        <v/>
      </c>
      <c r="B5442" s="0" t="s">
        <v>7338</v>
      </c>
      <c r="E5442" s="0" t="inlineStr">
        <is>
          <t xml:space="preserve">Mazda</t>
        </is>
      </c>
      <c r="F5442" s="0" t="inlineStr">
        <is>
          <t xml:space="preserve">Mazda</t>
        </is>
      </c>
      <c r="G5442" s="0" t="s">
        <v>171</v>
      </c>
      <c r="H5442" s="5">
        <v>38.902600</v>
      </c>
    </row>
    <row r="5443" spans="1:9">
      <c r="A5443" s="22" t="str">
        <f>HYPERLINK("https://app.vivvix.com/360/KMI/IntelliDrive/ApplUI/Pages/CreativePages/CustomReportCreativeDetail.aspx?App=23&amp;ReportView=4&amp;Qid=1711279&amp;Row=5435&amp;Col=1","No Title Assigned - #15269507327")</f>
        <v/>
      </c>
      <c r="B5443" s="0" t="s">
        <v>7339</v>
      </c>
      <c r="E5443" s="0" t="inlineStr">
        <is>
          <t xml:space="preserve">Mazda</t>
        </is>
      </c>
      <c r="F5443" s="0" t="inlineStr">
        <is>
          <t xml:space="preserve">Mazda</t>
        </is>
      </c>
      <c r="G5443" s="0" t="s">
        <v>171</v>
      </c>
      <c r="H5443" s="5">
        <v>5.080700</v>
      </c>
    </row>
    <row r="5444" spans="1:9">
      <c r="A5444" s="22" t="str">
        <f>HYPERLINK("https://app.vivvix.com/360/KMI/IntelliDrive/ApplUI/Pages/CreativePages/CustomReportCreativeDetail.aspx?App=23&amp;ReportView=4&amp;Qid=1711279&amp;Row=5436&amp;Col=1","No Title Assigned - #15269508001")</f>
        <v/>
      </c>
      <c r="B5444" s="0" t="s">
        <v>7340</v>
      </c>
      <c r="E5444" s="0" t="inlineStr">
        <is>
          <t xml:space="preserve">Mazda</t>
        </is>
      </c>
      <c r="F5444" s="0" t="inlineStr">
        <is>
          <t xml:space="preserve">Mazda</t>
        </is>
      </c>
      <c r="G5444" s="0" t="s">
        <v>171</v>
      </c>
      <c r="H5444" s="5">
        <v>17.295300</v>
      </c>
    </row>
    <row r="5445" spans="1:9">
      <c r="A5445" s="22" t="str">
        <f>HYPERLINK("https://app.vivvix.com/360/KMI/IntelliDrive/ApplUI/Pages/CreativePages/CustomReportCreativeDetail.aspx?App=23&amp;ReportView=4&amp;Qid=1711279&amp;Row=5437&amp;Col=1","No Title Assigned - #15269508170")</f>
        <v/>
      </c>
      <c r="B5445" s="0" t="s">
        <v>7341</v>
      </c>
      <c r="E5445" s="0" t="inlineStr">
        <is>
          <t xml:space="preserve">Mazda</t>
        </is>
      </c>
      <c r="F5445" s="0" t="inlineStr">
        <is>
          <t xml:space="preserve">Mazda</t>
        </is>
      </c>
      <c r="G5445" s="0" t="s">
        <v>171</v>
      </c>
      <c r="H5445" s="5">
        <v>56.977000</v>
      </c>
    </row>
    <row r="5446" spans="1:9">
      <c r="A5446" s="22" t="str">
        <f>HYPERLINK("https://app.vivvix.com/360/KMI/IntelliDrive/ApplUI/Pages/CreativePages/CustomReportCreativeDetail.aspx?App=23&amp;ReportView=4&amp;Qid=1711279&amp;Row=5438&amp;Col=1","No Title Assigned - #15269509839")</f>
        <v/>
      </c>
      <c r="B5446" s="0" t="s">
        <v>7342</v>
      </c>
      <c r="E5446" s="0" t="inlineStr">
        <is>
          <t xml:space="preserve">Mazda</t>
        </is>
      </c>
      <c r="F5446" s="0" t="inlineStr">
        <is>
          <t xml:space="preserve">Mazda</t>
        </is>
      </c>
      <c r="G5446" s="0" t="s">
        <v>171</v>
      </c>
      <c r="H5446" s="5">
        <v>64.730700</v>
      </c>
    </row>
    <row r="5447" spans="1:9">
      <c r="A5447" s="22" t="str">
        <f>HYPERLINK("https://app.vivvix.com/360/KMI/IntelliDrive/ApplUI/Pages/CreativePages/CustomReportCreativeDetail.aspx?App=23&amp;ReportView=4&amp;Qid=1711279&amp;Row=5439&amp;Col=1","No Title Assigned - #15269510316")</f>
        <v/>
      </c>
      <c r="B5447" s="0" t="s">
        <v>7343</v>
      </c>
      <c r="E5447" s="0" t="inlineStr">
        <is>
          <t xml:space="preserve">Mazda</t>
        </is>
      </c>
      <c r="F5447" s="0" t="inlineStr">
        <is>
          <t xml:space="preserve">Mazda</t>
        </is>
      </c>
      <c r="G5447" s="0" t="s">
        <v>171</v>
      </c>
      <c r="H5447" s="5">
        <v>14.343000</v>
      </c>
    </row>
    <row r="5448" spans="1:9">
      <c r="A5448" s="22" t="str">
        <f>HYPERLINK("https://app.vivvix.com/360/KMI/IntelliDrive/ApplUI/Pages/CreativePages/CustomReportCreativeDetail.aspx?App=23&amp;ReportView=4&amp;Qid=1711279&amp;Row=5440&amp;Col=1","No Title Assigned - #15269511574")</f>
        <v/>
      </c>
      <c r="B5448" s="0" t="s">
        <v>7344</v>
      </c>
      <c r="E5448" s="0" t="inlineStr">
        <is>
          <t xml:space="preserve">Mazda</t>
        </is>
      </c>
      <c r="F5448" s="0" t="inlineStr">
        <is>
          <t xml:space="preserve">Mazda</t>
        </is>
      </c>
      <c r="G5448" s="0" t="s">
        <v>171</v>
      </c>
      <c r="H5448" s="5">
        <v>151.266900</v>
      </c>
    </row>
    <row r="5449" spans="1:9">
      <c r="A5449" s="22" t="str">
        <f>HYPERLINK("https://app.vivvix.com/360/KMI/IntelliDrive/ApplUI/Pages/CreativePages/CustomReportCreativeDetail.aspx?App=23&amp;ReportView=4&amp;Qid=1711279&amp;Row=5441&amp;Col=1","No Title Assigned - #15269523173")</f>
        <v/>
      </c>
      <c r="B5449" s="0" t="s">
        <v>7345</v>
      </c>
      <c r="C5449" s="0" t="s">
        <v>7346</v>
      </c>
      <c r="D5449" s="0" t="s">
        <v>7279</v>
      </c>
      <c r="E5449" s="0" t="inlineStr">
        <is>
          <t xml:space="preserve">Mazda</t>
        </is>
      </c>
      <c r="F5449" s="0" t="s">
        <v>28</v>
      </c>
      <c r="G5449" s="0" t="s">
        <v>29</v>
      </c>
      <c r="H5449" s="5">
        <v>73.807700</v>
      </c>
    </row>
    <row r="5450" spans="1:9">
      <c r="A5450" s="22" t="str">
        <f>HYPERLINK("https://app.vivvix.com/360/KMI/IntelliDrive/ApplUI/Pages/CreativePages/CustomReportCreativeDetail.aspx?App=23&amp;ReportView=4&amp;Qid=1711279&amp;Row=5442&amp;Col=1","No Title Assigned - #15269523174")</f>
        <v/>
      </c>
      <c r="B5450" s="0" t="s">
        <v>7347</v>
      </c>
      <c r="C5450" s="0" t="s">
        <v>6691</v>
      </c>
      <c r="D5450" s="0" t="s">
        <v>6691</v>
      </c>
      <c r="E5450" s="0" t="inlineStr">
        <is>
          <t xml:space="preserve">Mazda</t>
        </is>
      </c>
      <c r="F5450" s="0" t="s">
        <v>28</v>
      </c>
      <c r="G5450" s="0" t="s">
        <v>29</v>
      </c>
      <c r="H5450" s="5">
        <v>2184.552300</v>
      </c>
    </row>
    <row r="5451" spans="1:9">
      <c r="A5451" s="22" t="str">
        <f>HYPERLINK("https://app.vivvix.com/360/KMI/IntelliDrive/ApplUI/Pages/CreativePages/CustomReportCreativeDetail.aspx?App=23&amp;ReportView=4&amp;Qid=1711279&amp;Row=5443&amp;Col=1","No Title Assigned - #15269524183")</f>
        <v/>
      </c>
      <c r="B5451" s="0" t="s">
        <v>7348</v>
      </c>
      <c r="C5451" s="0" t="s">
        <v>6684</v>
      </c>
      <c r="D5451" s="0" t="s">
        <v>6684</v>
      </c>
      <c r="E5451" s="0" t="inlineStr">
        <is>
          <t xml:space="preserve">Mazda</t>
        </is>
      </c>
      <c r="F5451" s="0" t="s">
        <v>28</v>
      </c>
      <c r="G5451" s="0" t="s">
        <v>29</v>
      </c>
      <c r="H5451" s="5">
        <v>14.027200</v>
      </c>
    </row>
    <row r="5452" spans="1:9">
      <c r="A5452" s="22" t="str">
        <f>HYPERLINK("https://app.vivvix.com/360/KMI/IntelliDrive/ApplUI/Pages/CreativePages/CustomReportCreativeDetail.aspx?App=23&amp;ReportView=4&amp;Qid=1711279&amp;Row=5444&amp;Col=1","No Title Assigned - #15269525684")</f>
        <v/>
      </c>
      <c r="B5452" s="0" t="s">
        <v>7349</v>
      </c>
      <c r="C5452" s="0" t="s">
        <v>7350</v>
      </c>
      <c r="D5452" s="0" t="s">
        <v>7350</v>
      </c>
      <c r="E5452" s="0" t="inlineStr">
        <is>
          <t xml:space="preserve">Mazda</t>
        </is>
      </c>
      <c r="F5452" s="0" t="inlineStr">
        <is>
          <t xml:space="preserve">Mazda</t>
        </is>
      </c>
      <c r="G5452" s="0" t="s">
        <v>171</v>
      </c>
      <c r="H5452" s="5">
        <v>63.144300</v>
      </c>
    </row>
    <row r="5453" spans="1:9">
      <c r="A5453" s="22" t="str">
        <f>HYPERLINK("https://app.vivvix.com/360/KMI/IntelliDrive/ApplUI/Pages/CreativePages/CustomReportCreativeDetail.aspx?App=23&amp;ReportView=4&amp;Qid=1711279&amp;Row=5445&amp;Col=1","No Title Assigned - #15269525973")</f>
        <v/>
      </c>
      <c r="B5453" s="0" t="s">
        <v>7351</v>
      </c>
      <c r="E5453" s="0" t="inlineStr">
        <is>
          <t xml:space="preserve">Mazda</t>
        </is>
      </c>
      <c r="F5453" s="0" t="inlineStr">
        <is>
          <t xml:space="preserve">Mazda</t>
        </is>
      </c>
      <c r="G5453" s="0" t="s">
        <v>171</v>
      </c>
      <c r="H5453" s="5">
        <v>949.101400</v>
      </c>
    </row>
    <row r="5454" spans="1:9">
      <c r="A5454" s="22" t="str">
        <f>HYPERLINK("https://app.vivvix.com/360/KMI/IntelliDrive/ApplUI/Pages/CreativePages/CustomReportCreativeDetail.aspx?App=23&amp;ReportView=4&amp;Qid=1711279&amp;Row=5446&amp;Col=1","No Title Assigned - #15269527008")</f>
        <v/>
      </c>
      <c r="B5454" s="0" t="s">
        <v>7352</v>
      </c>
      <c r="E5454" s="0" t="inlineStr">
        <is>
          <t xml:space="preserve">Mazda</t>
        </is>
      </c>
      <c r="F5454" s="0" t="inlineStr">
        <is>
          <t xml:space="preserve">Mazda</t>
        </is>
      </c>
      <c r="G5454" s="0" t="s">
        <v>171</v>
      </c>
      <c r="H5454" s="5">
        <v>80.720000</v>
      </c>
    </row>
    <row r="5455" spans="1:9">
      <c r="A5455" s="22" t="str">
        <f>HYPERLINK("https://app.vivvix.com/360/KMI/IntelliDrive/ApplUI/Pages/CreativePages/CustomReportCreativeDetail.aspx?App=23&amp;ReportView=4&amp;Qid=1711279&amp;Row=5447&amp;Col=1","No Title Assigned - #15269528015")</f>
        <v/>
      </c>
      <c r="B5455" s="0" t="s">
        <v>7353</v>
      </c>
      <c r="E5455" s="0" t="inlineStr">
        <is>
          <t xml:space="preserve">Mazda</t>
        </is>
      </c>
      <c r="F5455" s="0" t="inlineStr">
        <is>
          <t xml:space="preserve">Mazda</t>
        </is>
      </c>
      <c r="G5455" s="0" t="s">
        <v>171</v>
      </c>
      <c r="H5455" s="5">
        <v>102.747900</v>
      </c>
    </row>
    <row r="5456" spans="1:9">
      <c r="A5456" s="22" t="str">
        <f>HYPERLINK("https://app.vivvix.com/360/KMI/IntelliDrive/ApplUI/Pages/CreativePages/CustomReportCreativeDetail.aspx?App=23&amp;ReportView=4&amp;Qid=1711279&amp;Row=5448&amp;Col=1","No Title Assigned - #15269528220")</f>
        <v/>
      </c>
      <c r="B5456" s="0" t="s">
        <v>7354</v>
      </c>
      <c r="E5456" s="0" t="inlineStr">
        <is>
          <t xml:space="preserve">Mazda</t>
        </is>
      </c>
      <c r="F5456" s="0" t="inlineStr">
        <is>
          <t xml:space="preserve">Mazda</t>
        </is>
      </c>
      <c r="G5456" s="0" t="s">
        <v>171</v>
      </c>
      <c r="H5456" s="5">
        <v>713.871400</v>
      </c>
    </row>
    <row r="5457" spans="1:9">
      <c r="A5457" s="22" t="str">
        <f>HYPERLINK("https://app.vivvix.com/360/KMI/IntelliDrive/ApplUI/Pages/CreativePages/CustomReportCreativeDetail.aspx?App=23&amp;ReportView=4&amp;Qid=1711279&amp;Row=5449&amp;Col=1","No Title Assigned - #15269529783")</f>
        <v/>
      </c>
      <c r="B5457" s="0" t="s">
        <v>7355</v>
      </c>
      <c r="E5457" s="0" t="inlineStr">
        <is>
          <t xml:space="preserve">Mazda</t>
        </is>
      </c>
      <c r="F5457" s="0" t="inlineStr">
        <is>
          <t xml:space="preserve">Mazda</t>
        </is>
      </c>
      <c r="G5457" s="0" t="s">
        <v>171</v>
      </c>
      <c r="H5457" s="5">
        <v>57.691000</v>
      </c>
    </row>
    <row r="5458" spans="1:9">
      <c r="A5458" s="22" t="str">
        <f>HYPERLINK("https://app.vivvix.com/360/KMI/IntelliDrive/ApplUI/Pages/CreativePages/CustomReportCreativeDetail.aspx?App=23&amp;ReportView=4&amp;Qid=1711279&amp;Row=5450&amp;Col=1","No Title Assigned - #15269531289")</f>
        <v/>
      </c>
      <c r="B5458" s="0" t="s">
        <v>7356</v>
      </c>
      <c r="E5458" s="0" t="inlineStr">
        <is>
          <t xml:space="preserve">Mazda</t>
        </is>
      </c>
      <c r="F5458" s="0" t="inlineStr">
        <is>
          <t xml:space="preserve">Mazda</t>
        </is>
      </c>
      <c r="G5458" s="0" t="s">
        <v>171</v>
      </c>
      <c r="H5458" s="5">
        <v>28.075300</v>
      </c>
    </row>
    <row r="5459" spans="1:9">
      <c r="A5459" s="22" t="str">
        <f>HYPERLINK("https://app.vivvix.com/360/KMI/IntelliDrive/ApplUI/Pages/CreativePages/CustomReportCreativeDetail.aspx?App=23&amp;ReportView=4&amp;Qid=1711279&amp;Row=5451&amp;Col=1","No Title Assigned - #15269531456")</f>
        <v/>
      </c>
      <c r="B5459" s="0" t="s">
        <v>7357</v>
      </c>
      <c r="E5459" s="0" t="inlineStr">
        <is>
          <t xml:space="preserve">Mazda</t>
        </is>
      </c>
      <c r="F5459" s="0" t="inlineStr">
        <is>
          <t xml:space="preserve">Mazda</t>
        </is>
      </c>
      <c r="G5459" s="0" t="s">
        <v>171</v>
      </c>
      <c r="H5459" s="5">
        <v>16.992100</v>
      </c>
    </row>
    <row r="5460" spans="1:9">
      <c r="A5460" s="22" t="str">
        <f>HYPERLINK("https://app.vivvix.com/360/KMI/IntelliDrive/ApplUI/Pages/CreativePages/CustomReportCreativeDetail.aspx?App=23&amp;ReportView=4&amp;Qid=1711279&amp;Row=5452&amp;Col=1","No Title Assigned - #15269531646")</f>
        <v/>
      </c>
      <c r="B5460" s="0" t="s">
        <v>7358</v>
      </c>
      <c r="E5460" s="0" t="inlineStr">
        <is>
          <t xml:space="preserve">Mazda</t>
        </is>
      </c>
      <c r="F5460" s="0" t="inlineStr">
        <is>
          <t xml:space="preserve">Mazda</t>
        </is>
      </c>
      <c r="G5460" s="0" t="s">
        <v>171</v>
      </c>
      <c r="H5460" s="5">
        <v>77.102600</v>
      </c>
    </row>
    <row r="5461" spans="1:9">
      <c r="A5461" s="22" t="str">
        <f>HYPERLINK("https://app.vivvix.com/360/KMI/IntelliDrive/ApplUI/Pages/CreativePages/CustomReportCreativeDetail.aspx?App=23&amp;ReportView=4&amp;Qid=1711279&amp;Row=5453&amp;Col=1","No Title Assigned - #15269532156")</f>
        <v/>
      </c>
      <c r="B5461" s="0" t="s">
        <v>7359</v>
      </c>
      <c r="E5461" s="0" t="inlineStr">
        <is>
          <t xml:space="preserve">Mazda</t>
        </is>
      </c>
      <c r="F5461" s="0" t="inlineStr">
        <is>
          <t xml:space="preserve">Mazda</t>
        </is>
      </c>
      <c r="G5461" s="0" t="s">
        <v>171</v>
      </c>
      <c r="H5461" s="5">
        <v>28.580800</v>
      </c>
    </row>
    <row r="5462" spans="1:9">
      <c r="A5462" s="22" t="str">
        <f>HYPERLINK("https://app.vivvix.com/360/KMI/IntelliDrive/ApplUI/Pages/CreativePages/CustomReportCreativeDetail.aspx?App=23&amp;ReportView=4&amp;Qid=1711279&amp;Row=5454&amp;Col=1","No Title Assigned - #15269532925")</f>
        <v/>
      </c>
      <c r="B5462" s="0" t="s">
        <v>7360</v>
      </c>
      <c r="E5462" s="0" t="inlineStr">
        <is>
          <t xml:space="preserve">Mazda</t>
        </is>
      </c>
      <c r="F5462" s="0" t="inlineStr">
        <is>
          <t xml:space="preserve">Mazda</t>
        </is>
      </c>
      <c r="G5462" s="0" t="s">
        <v>171</v>
      </c>
      <c r="H5462" s="5">
        <v>254.258400</v>
      </c>
    </row>
    <row r="5463" spans="1:9">
      <c r="A5463" s="22" t="str">
        <f>HYPERLINK("https://app.vivvix.com/360/KMI/IntelliDrive/ApplUI/Pages/CreativePages/CustomReportCreativeDetail.aspx?App=23&amp;ReportView=4&amp;Qid=1711279&amp;Row=5455&amp;Col=1","No Title Assigned - #15269533610")</f>
        <v/>
      </c>
      <c r="B5463" s="0" t="s">
        <v>7361</v>
      </c>
      <c r="E5463" s="0" t="inlineStr">
        <is>
          <t xml:space="preserve">Mazda</t>
        </is>
      </c>
      <c r="F5463" s="0" t="inlineStr">
        <is>
          <t xml:space="preserve">Mazda</t>
        </is>
      </c>
      <c r="G5463" s="0" t="s">
        <v>171</v>
      </c>
      <c r="H5463" s="5">
        <v>13.737900</v>
      </c>
    </row>
    <row r="5464" spans="1:9">
      <c r="A5464" s="22" t="str">
        <f>HYPERLINK("https://app.vivvix.com/360/KMI/IntelliDrive/ApplUI/Pages/CreativePages/CustomReportCreativeDetail.aspx?App=23&amp;ReportView=4&amp;Qid=1711279&amp;Row=5456&amp;Col=1","No Title Assigned - #15269534364")</f>
        <v/>
      </c>
      <c r="B5464" s="0" t="s">
        <v>7362</v>
      </c>
      <c r="E5464" s="0" t="inlineStr">
        <is>
          <t xml:space="preserve">Mazda</t>
        </is>
      </c>
      <c r="F5464" s="0" t="inlineStr">
        <is>
          <t xml:space="preserve">Mazda</t>
        </is>
      </c>
      <c r="G5464" s="0" t="s">
        <v>171</v>
      </c>
      <c r="H5464" s="5">
        <v>58.840100</v>
      </c>
    </row>
    <row r="5465" spans="1:9">
      <c r="A5465" s="22" t="str">
        <f>HYPERLINK("https://app.vivvix.com/360/KMI/IntelliDrive/ApplUI/Pages/CreativePages/CustomReportCreativeDetail.aspx?App=23&amp;ReportView=4&amp;Qid=1711279&amp;Row=5457&amp;Col=1","No Title Assigned - #15269534565")</f>
        <v/>
      </c>
      <c r="B5465" s="0" t="s">
        <v>7363</v>
      </c>
      <c r="E5465" s="0" t="inlineStr">
        <is>
          <t xml:space="preserve">Mazda</t>
        </is>
      </c>
      <c r="F5465" s="0" t="inlineStr">
        <is>
          <t xml:space="preserve">Mazda</t>
        </is>
      </c>
      <c r="G5465" s="0" t="s">
        <v>171</v>
      </c>
      <c r="H5465" s="5">
        <v>112.161400</v>
      </c>
    </row>
    <row r="5466" spans="1:9">
      <c r="A5466" s="22" t="str">
        <f>HYPERLINK("https://app.vivvix.com/360/KMI/IntelliDrive/ApplUI/Pages/CreativePages/CustomReportCreativeDetail.aspx?App=23&amp;ReportView=4&amp;Qid=1711279&amp;Row=5458&amp;Col=1","No Title Assigned - #15269534630")</f>
        <v/>
      </c>
      <c r="B5466" s="0" t="s">
        <v>7364</v>
      </c>
      <c r="C5466" s="0" t="s">
        <v>7365</v>
      </c>
      <c r="D5466" s="0" t="s">
        <v>7365</v>
      </c>
      <c r="E5466" s="0" t="inlineStr">
        <is>
          <t xml:space="preserve">Mazda</t>
        </is>
      </c>
      <c r="F5466" s="0" t="inlineStr">
        <is>
          <t xml:space="preserve">Mazda</t>
        </is>
      </c>
      <c r="G5466" s="0" t="s">
        <v>171</v>
      </c>
      <c r="H5466" s="5">
        <v>1201.900000</v>
      </c>
    </row>
    <row r="5467" spans="1:9">
      <c r="A5467" s="22" t="str">
        <f>HYPERLINK("https://app.vivvix.com/360/KMI/IntelliDrive/ApplUI/Pages/CreativePages/CustomReportCreativeDetail.aspx?App=23&amp;ReportView=4&amp;Qid=1711279&amp;Row=5459&amp;Col=1","No Title Assigned - #15269534818")</f>
        <v/>
      </c>
      <c r="B5467" s="0" t="s">
        <v>7366</v>
      </c>
      <c r="E5467" s="0" t="inlineStr">
        <is>
          <t xml:space="preserve">Mazda</t>
        </is>
      </c>
      <c r="F5467" s="0" t="inlineStr">
        <is>
          <t xml:space="preserve">Mazda</t>
        </is>
      </c>
      <c r="G5467" s="0" t="s">
        <v>171</v>
      </c>
      <c r="H5467" s="5">
        <v>240.380000</v>
      </c>
    </row>
    <row r="5468" spans="1:9">
      <c r="A5468" s="22" t="str">
        <f>HYPERLINK("https://app.vivvix.com/360/KMI/IntelliDrive/ApplUI/Pages/CreativePages/CustomReportCreativeDetail.aspx?App=23&amp;ReportView=4&amp;Qid=1711279&amp;Row=5460&amp;Col=1","No Title Assigned - #15269535954")</f>
        <v/>
      </c>
      <c r="B5468" s="0" t="s">
        <v>7367</v>
      </c>
      <c r="E5468" s="0" t="inlineStr">
        <is>
          <t xml:space="preserve">Mazda</t>
        </is>
      </c>
      <c r="F5468" s="0" t="inlineStr">
        <is>
          <t xml:space="preserve">Mazda</t>
        </is>
      </c>
      <c r="G5468" s="0" t="s">
        <v>171</v>
      </c>
      <c r="H5468" s="5">
        <v>20.274200</v>
      </c>
    </row>
    <row r="5469" spans="1:9">
      <c r="A5469" s="22" t="str">
        <f>HYPERLINK("https://app.vivvix.com/360/KMI/IntelliDrive/ApplUI/Pages/CreativePages/CustomReportCreativeDetail.aspx?App=23&amp;ReportView=4&amp;Qid=1711279&amp;Row=5461&amp;Col=1","No Title Assigned - #15269536443")</f>
        <v/>
      </c>
      <c r="B5469" s="0" t="s">
        <v>7368</v>
      </c>
      <c r="E5469" s="0" t="inlineStr">
        <is>
          <t xml:space="preserve">Mazda</t>
        </is>
      </c>
      <c r="F5469" s="0" t="inlineStr">
        <is>
          <t xml:space="preserve">Mazda</t>
        </is>
      </c>
      <c r="G5469" s="0" t="s">
        <v>171</v>
      </c>
      <c r="H5469" s="5">
        <v>34.687500</v>
      </c>
    </row>
    <row r="5470" spans="1:9">
      <c r="A5470" s="22" t="str">
        <f>HYPERLINK("https://app.vivvix.com/360/KMI/IntelliDrive/ApplUI/Pages/CreativePages/CustomReportCreativeDetail.aspx?App=23&amp;ReportView=4&amp;Qid=1711279&amp;Row=5462&amp;Col=1","No Title Assigned - #15269536444")</f>
        <v/>
      </c>
      <c r="B5470" s="0" t="s">
        <v>7369</v>
      </c>
      <c r="E5470" s="0" t="inlineStr">
        <is>
          <t xml:space="preserve">Mazda</t>
        </is>
      </c>
      <c r="F5470" s="0" t="inlineStr">
        <is>
          <t xml:space="preserve">Mazda</t>
        </is>
      </c>
      <c r="G5470" s="0" t="s">
        <v>171</v>
      </c>
      <c r="H5470" s="5">
        <v>11.562500</v>
      </c>
    </row>
    <row r="5471" spans="1:9">
      <c r="A5471" s="22" t="str">
        <f>HYPERLINK("https://app.vivvix.com/360/KMI/IntelliDrive/ApplUI/Pages/CreativePages/CustomReportCreativeDetail.aspx?App=23&amp;ReportView=4&amp;Qid=1711279&amp;Row=5463&amp;Col=1","No Title Assigned - #15269536783")</f>
        <v/>
      </c>
      <c r="B5471" s="0" t="s">
        <v>7370</v>
      </c>
      <c r="E5471" s="0" t="inlineStr">
        <is>
          <t xml:space="preserve">Mazda</t>
        </is>
      </c>
      <c r="F5471" s="0" t="inlineStr">
        <is>
          <t xml:space="preserve">Mazda</t>
        </is>
      </c>
      <c r="G5471" s="0" t="s">
        <v>171</v>
      </c>
      <c r="H5471" s="5">
        <v>72.502100</v>
      </c>
    </row>
    <row r="5472" spans="1:9">
      <c r="A5472" s="22" t="str">
        <f>HYPERLINK("https://app.vivvix.com/360/KMI/IntelliDrive/ApplUI/Pages/CreativePages/CustomReportCreativeDetail.aspx?App=23&amp;ReportView=4&amp;Qid=1711279&amp;Row=5464&amp;Col=1","No Title Assigned - #15269536836")</f>
        <v/>
      </c>
      <c r="B5472" s="0" t="s">
        <v>7371</v>
      </c>
      <c r="E5472" s="0" t="inlineStr">
        <is>
          <t xml:space="preserve">Mazda</t>
        </is>
      </c>
      <c r="F5472" s="0" t="inlineStr">
        <is>
          <t xml:space="preserve">Mazda</t>
        </is>
      </c>
      <c r="G5472" s="0" t="s">
        <v>171</v>
      </c>
      <c r="H5472" s="5">
        <v>116.831300</v>
      </c>
    </row>
    <row r="5473" spans="1:9">
      <c r="A5473" s="22" t="str">
        <f>HYPERLINK("https://app.vivvix.com/360/KMI/IntelliDrive/ApplUI/Pages/CreativePages/CustomReportCreativeDetail.aspx?App=23&amp;ReportView=4&amp;Qid=1711279&amp;Row=5465&amp;Col=1","No Title Assigned - #15269537091")</f>
        <v/>
      </c>
      <c r="B5473" s="0" t="s">
        <v>7372</v>
      </c>
      <c r="E5473" s="0" t="inlineStr">
        <is>
          <t xml:space="preserve">Mazda</t>
        </is>
      </c>
      <c r="F5473" s="0" t="inlineStr">
        <is>
          <t xml:space="preserve">Mazda</t>
        </is>
      </c>
      <c r="G5473" s="0" t="s">
        <v>171</v>
      </c>
      <c r="H5473" s="5">
        <v>4872.072500</v>
      </c>
    </row>
    <row r="5474" spans="1:9">
      <c r="A5474" s="22" t="str">
        <f>HYPERLINK("https://app.vivvix.com/360/KMI/IntelliDrive/ApplUI/Pages/CreativePages/CustomReportCreativeDetail.aspx?App=23&amp;ReportView=4&amp;Qid=1711279&amp;Row=5466&amp;Col=1","No Title Assigned - #15269537122")</f>
        <v/>
      </c>
      <c r="B5474" s="0" t="s">
        <v>7373</v>
      </c>
      <c r="E5474" s="0" t="inlineStr">
        <is>
          <t xml:space="preserve">Mazda</t>
        </is>
      </c>
      <c r="F5474" s="0" t="inlineStr">
        <is>
          <t xml:space="preserve">Mazda</t>
        </is>
      </c>
      <c r="G5474" s="0" t="s">
        <v>171</v>
      </c>
      <c r="H5474" s="5">
        <v>271.060900</v>
      </c>
    </row>
    <row r="5475" spans="1:9">
      <c r="A5475" s="22" t="str">
        <f>HYPERLINK("https://app.vivvix.com/360/KMI/IntelliDrive/ApplUI/Pages/CreativePages/CustomReportCreativeDetail.aspx?App=23&amp;ReportView=4&amp;Qid=1711279&amp;Row=5467&amp;Col=1","No Title Assigned - #15269537123")</f>
        <v/>
      </c>
      <c r="B5475" s="0" t="s">
        <v>7374</v>
      </c>
      <c r="E5475" s="0" t="inlineStr">
        <is>
          <t xml:space="preserve">Mazda</t>
        </is>
      </c>
      <c r="F5475" s="0" t="inlineStr">
        <is>
          <t xml:space="preserve">Mazda</t>
        </is>
      </c>
      <c r="G5475" s="0" t="s">
        <v>171</v>
      </c>
      <c r="H5475" s="5">
        <v>51.350900</v>
      </c>
    </row>
    <row r="5476" spans="1:9">
      <c r="A5476" s="22" t="str">
        <f>HYPERLINK("https://app.vivvix.com/360/KMI/IntelliDrive/ApplUI/Pages/CreativePages/CustomReportCreativeDetail.aspx?App=23&amp;ReportView=4&amp;Qid=1711279&amp;Row=5468&amp;Col=1","No Title Assigned - #15269537194")</f>
        <v/>
      </c>
      <c r="B5476" s="0" t="s">
        <v>7375</v>
      </c>
      <c r="E5476" s="0" t="inlineStr">
        <is>
          <t xml:space="preserve">Mazda</t>
        </is>
      </c>
      <c r="F5476" s="0" t="inlineStr">
        <is>
          <t xml:space="preserve">Mazda</t>
        </is>
      </c>
      <c r="G5476" s="0" t="s">
        <v>171</v>
      </c>
      <c r="H5476" s="5">
        <v>22.700100</v>
      </c>
    </row>
    <row r="5477" spans="1:9">
      <c r="A5477" s="22" t="str">
        <f>HYPERLINK("https://app.vivvix.com/360/KMI/IntelliDrive/ApplUI/Pages/CreativePages/CustomReportCreativeDetail.aspx?App=23&amp;ReportView=4&amp;Qid=1711279&amp;Row=5469&amp;Col=1","No Title Assigned - #15269537258")</f>
        <v/>
      </c>
      <c r="B5477" s="0" t="s">
        <v>7376</v>
      </c>
      <c r="E5477" s="0" t="inlineStr">
        <is>
          <t xml:space="preserve">Mazda</t>
        </is>
      </c>
      <c r="F5477" s="0" t="inlineStr">
        <is>
          <t xml:space="preserve">Mazda</t>
        </is>
      </c>
      <c r="G5477" s="0" t="s">
        <v>171</v>
      </c>
      <c r="H5477" s="5">
        <v>1482.914700</v>
      </c>
    </row>
    <row r="5478" spans="1:9">
      <c r="A5478" s="22" t="str">
        <f>HYPERLINK("https://app.vivvix.com/360/KMI/IntelliDrive/ApplUI/Pages/CreativePages/CustomReportCreativeDetail.aspx?App=23&amp;ReportView=4&amp;Qid=1711279&amp;Row=5470&amp;Col=1","No Title Assigned - #15269538975")</f>
        <v/>
      </c>
      <c r="B5478" s="0" t="s">
        <v>7377</v>
      </c>
      <c r="C5478" s="0" t="s">
        <v>7378</v>
      </c>
      <c r="D5478" s="0" t="s">
        <v>7378</v>
      </c>
      <c r="E5478" s="0" t="inlineStr">
        <is>
          <t xml:space="preserve">Mazda</t>
        </is>
      </c>
      <c r="F5478" s="0" t="s">
        <v>28</v>
      </c>
      <c r="G5478" s="0" t="s">
        <v>29</v>
      </c>
      <c r="H5478" s="5">
        <v>658.842600</v>
      </c>
    </row>
    <row r="5479" spans="1:9">
      <c r="A5479" s="22" t="str">
        <f>HYPERLINK("https://app.vivvix.com/360/KMI/IntelliDrive/ApplUI/Pages/CreativePages/CustomReportCreativeDetail.aspx?App=23&amp;ReportView=4&amp;Qid=1711279&amp;Row=5471&amp;Col=1","No Title Assigned - #15269538975")</f>
        <v/>
      </c>
      <c r="B5479" s="0" t="s">
        <v>7377</v>
      </c>
      <c r="E5479" s="0" t="inlineStr">
        <is>
          <t xml:space="preserve">Mazda</t>
        </is>
      </c>
      <c r="F5479" s="0" t="s">
        <v>28</v>
      </c>
      <c r="G5479" s="0" t="s">
        <v>29</v>
      </c>
      <c r="H5479" s="5">
        <v>85.458300</v>
      </c>
    </row>
    <row r="5480" spans="1:9">
      <c r="A5480" s="22" t="str">
        <f>HYPERLINK("https://app.vivvix.com/360/KMI/IntelliDrive/ApplUI/Pages/CreativePages/CustomReportCreativeDetail.aspx?App=23&amp;ReportView=4&amp;Qid=1711279&amp;Row=5472&amp;Col=1","No Title Assigned - #15269539148")</f>
        <v/>
      </c>
      <c r="B5480" s="0" t="s">
        <v>7379</v>
      </c>
      <c r="C5480" s="0" t="s">
        <v>7380</v>
      </c>
      <c r="D5480" s="0" t="s">
        <v>7381</v>
      </c>
      <c r="E5480" s="0" t="inlineStr">
        <is>
          <t xml:space="preserve">Mazda</t>
        </is>
      </c>
      <c r="F5480" s="0" t="s">
        <v>28</v>
      </c>
      <c r="G5480" s="0" t="s">
        <v>29</v>
      </c>
      <c r="H5480" s="5">
        <v>25.105600</v>
      </c>
    </row>
    <row r="5481" spans="1:9">
      <c r="A5481" s="22" t="str">
        <f>HYPERLINK("https://app.vivvix.com/360/KMI/IntelliDrive/ApplUI/Pages/CreativePages/CustomReportCreativeDetail.aspx?App=23&amp;ReportView=4&amp;Qid=1711279&amp;Row=5473&amp;Col=1","No Title Assigned - #15269539175")</f>
        <v/>
      </c>
      <c r="B5481" s="0" t="s">
        <v>7382</v>
      </c>
      <c r="C5481" s="0" t="s">
        <v>7383</v>
      </c>
      <c r="D5481" s="0" t="s">
        <v>4204</v>
      </c>
      <c r="E5481" s="0" t="inlineStr">
        <is>
          <t xml:space="preserve">Mazda</t>
        </is>
      </c>
      <c r="F5481" s="0" t="s">
        <v>28</v>
      </c>
      <c r="G5481" s="0" t="s">
        <v>29</v>
      </c>
      <c r="H5481" s="5">
        <v>4.170700</v>
      </c>
    </row>
    <row r="5482" spans="1:9">
      <c r="A5482" s="22" t="str">
        <f>HYPERLINK("https://app.vivvix.com/360/KMI/IntelliDrive/ApplUI/Pages/CreativePages/CustomReportCreativeDetail.aspx?App=23&amp;ReportView=4&amp;Qid=1711279&amp;Row=5474&amp;Col=1","No Title Assigned - #15269539850")</f>
        <v/>
      </c>
      <c r="B5482" s="0" t="s">
        <v>7384</v>
      </c>
      <c r="C5482" s="0" t="s">
        <v>7385</v>
      </c>
      <c r="D5482" s="0" t="s">
        <v>7385</v>
      </c>
      <c r="E5482" s="0" t="inlineStr">
        <is>
          <t xml:space="preserve">Mazda</t>
        </is>
      </c>
      <c r="F5482" s="0" t="s">
        <v>28</v>
      </c>
      <c r="G5482" s="0" t="s">
        <v>29</v>
      </c>
      <c r="H5482" s="5">
        <v>118.984000</v>
      </c>
    </row>
    <row r="5483" spans="1:9">
      <c r="A5483" s="22" t="str">
        <f>HYPERLINK("https://app.vivvix.com/360/KMI/IntelliDrive/ApplUI/Pages/CreativePages/CustomReportCreativeDetail.aspx?App=23&amp;ReportView=4&amp;Qid=1711279&amp;Row=5475&amp;Col=1","No Title Assigned - #15269539851")</f>
        <v/>
      </c>
      <c r="B5483" s="0" t="s">
        <v>7386</v>
      </c>
      <c r="C5483" s="0" t="s">
        <v>6079</v>
      </c>
      <c r="D5483" s="0" t="s">
        <v>6079</v>
      </c>
      <c r="E5483" s="0" t="inlineStr">
        <is>
          <t xml:space="preserve">Mazda</t>
        </is>
      </c>
      <c r="F5483" s="0" t="s">
        <v>28</v>
      </c>
      <c r="G5483" s="0" t="s">
        <v>29</v>
      </c>
      <c r="H5483" s="5">
        <v>118.984000</v>
      </c>
    </row>
    <row r="5484" spans="1:9">
      <c r="A5484" s="22" t="str">
        <f>HYPERLINK("https://app.vivvix.com/360/KMI/IntelliDrive/ApplUI/Pages/CreativePages/CustomReportCreativeDetail.aspx?App=23&amp;ReportView=4&amp;Qid=1711279&amp;Row=5476&amp;Col=1","No Title Assigned - #15269540196")</f>
        <v/>
      </c>
      <c r="B5484" s="0" t="s">
        <v>7387</v>
      </c>
      <c r="C5484" s="0" t="s">
        <v>7388</v>
      </c>
      <c r="D5484" s="0" t="s">
        <v>6339</v>
      </c>
      <c r="E5484" s="0" t="inlineStr">
        <is>
          <t xml:space="preserve">Mazda</t>
        </is>
      </c>
      <c r="F5484" s="0" t="s">
        <v>28</v>
      </c>
      <c r="G5484" s="0" t="s">
        <v>29</v>
      </c>
      <c r="H5484" s="5">
        <v>38.026400</v>
      </c>
    </row>
    <row r="5485" spans="1:9">
      <c r="A5485" s="22" t="str">
        <f>HYPERLINK("https://app.vivvix.com/360/KMI/IntelliDrive/ApplUI/Pages/CreativePages/CustomReportCreativeDetail.aspx?App=23&amp;ReportView=4&amp;Qid=1711279&amp;Row=5477&amp;Col=1","No Title Assigned - #15269540338")</f>
        <v/>
      </c>
      <c r="B5485" s="0" t="s">
        <v>7389</v>
      </c>
      <c r="C5485" s="0" t="s">
        <v>7390</v>
      </c>
      <c r="D5485" s="0" t="s">
        <v>7390</v>
      </c>
      <c r="E5485" s="0" t="inlineStr">
        <is>
          <t xml:space="preserve">Mazda</t>
        </is>
      </c>
      <c r="F5485" s="0" t="s">
        <v>28</v>
      </c>
      <c r="G5485" s="0" t="s">
        <v>29</v>
      </c>
      <c r="H5485" s="5">
        <v>72911.970800</v>
      </c>
    </row>
    <row r="5486" spans="1:9">
      <c r="A5486" s="22" t="str">
        <f>HYPERLINK("https://app.vivvix.com/360/KMI/IntelliDrive/ApplUI/Pages/CreativePages/CustomReportCreativeDetail.aspx?App=23&amp;ReportView=4&amp;Qid=1711279&amp;Row=5478&amp;Col=1","No Title Assigned - #15269540612")</f>
        <v/>
      </c>
      <c r="B5486" s="0" t="s">
        <v>7391</v>
      </c>
      <c r="C5486" s="0" t="s">
        <v>7392</v>
      </c>
      <c r="D5486" s="0" t="s">
        <v>7392</v>
      </c>
      <c r="E5486" s="0" t="inlineStr">
        <is>
          <t xml:space="preserve">Mazda</t>
        </is>
      </c>
      <c r="F5486" s="0" t="s">
        <v>28</v>
      </c>
      <c r="G5486" s="0" t="s">
        <v>29</v>
      </c>
      <c r="H5486" s="5">
        <v>100.258400</v>
      </c>
    </row>
    <row r="5487" spans="1:9">
      <c r="A5487" s="22" t="str">
        <f>HYPERLINK("https://app.vivvix.com/360/KMI/IntelliDrive/ApplUI/Pages/CreativePages/CustomReportCreativeDetail.aspx?App=23&amp;ReportView=4&amp;Qid=1711279&amp;Row=5479&amp;Col=1","No Title Assigned - #15269541046")</f>
        <v/>
      </c>
      <c r="B5487" s="0" t="s">
        <v>7393</v>
      </c>
      <c r="C5487" s="0" t="s">
        <v>7394</v>
      </c>
      <c r="D5487" s="0" t="s">
        <v>7394</v>
      </c>
      <c r="E5487" s="0" t="inlineStr">
        <is>
          <t xml:space="preserve">Mazda</t>
        </is>
      </c>
      <c r="F5487" s="0" t="s">
        <v>13</v>
      </c>
      <c r="G5487" s="0" t="s">
        <v>49</v>
      </c>
      <c r="H5487" s="5">
        <v>127259.601600</v>
      </c>
    </row>
    <row r="5488" spans="1:9">
      <c r="A5488" s="22" t="str">
        <f>HYPERLINK("https://app.vivvix.com/360/KMI/IntelliDrive/ApplUI/Pages/CreativePages/CustomReportCreativeDetail.aspx?App=23&amp;ReportView=4&amp;Qid=1711279&amp;Row=5480&amp;Col=1","No Title Assigned - #15269542117")</f>
        <v/>
      </c>
      <c r="B5488" s="0" t="s">
        <v>7395</v>
      </c>
      <c r="C5488" s="0" t="s">
        <v>7396</v>
      </c>
      <c r="D5488" s="0" t="s">
        <v>7396</v>
      </c>
      <c r="E5488" s="0" t="inlineStr">
        <is>
          <t xml:space="preserve">Mazda</t>
        </is>
      </c>
      <c r="F5488" s="0" t="s">
        <v>13</v>
      </c>
      <c r="G5488" s="0" t="s">
        <v>49</v>
      </c>
      <c r="H5488" s="5">
        <v>33950.772000</v>
      </c>
    </row>
    <row r="5489" spans="1:9">
      <c r="A5489" s="22" t="str">
        <f>HYPERLINK("https://app.vivvix.com/360/KMI/IntelliDrive/ApplUI/Pages/CreativePages/CustomReportCreativeDetail.aspx?App=23&amp;ReportView=4&amp;Qid=1711279&amp;Row=5481&amp;Col=1","No Title Assigned - #15269542117")</f>
        <v/>
      </c>
      <c r="B5489" s="0" t="s">
        <v>7395</v>
      </c>
      <c r="E5489" s="0" t="inlineStr">
        <is>
          <t xml:space="preserve">Mazda</t>
        </is>
      </c>
      <c r="F5489" s="0" t="s">
        <v>13</v>
      </c>
      <c r="G5489" s="0" t="s">
        <v>49</v>
      </c>
      <c r="H5489" s="5">
        <v>863.585000</v>
      </c>
    </row>
    <row r="5490" spans="1:9">
      <c r="A5490" s="22" t="str">
        <f>HYPERLINK("https://app.vivvix.com/360/KMI/IntelliDrive/ApplUI/Pages/CreativePages/CustomReportCreativeDetail.aspx?App=23&amp;ReportView=4&amp;Qid=1711279&amp;Row=5482&amp;Col=1","No Title Assigned - #15269542580")</f>
        <v/>
      </c>
      <c r="B5490" s="0" t="s">
        <v>7397</v>
      </c>
      <c r="E5490" s="0" t="inlineStr">
        <is>
          <t xml:space="preserve">Mazda</t>
        </is>
      </c>
      <c r="F5490" s="0" t="inlineStr">
        <is>
          <t xml:space="preserve">Mazda</t>
        </is>
      </c>
      <c r="G5490" s="0" t="s">
        <v>171</v>
      </c>
      <c r="H5490" s="5">
        <v>45.957600</v>
      </c>
    </row>
    <row r="5491" spans="1:9">
      <c r="A5491" s="22" t="str">
        <f>HYPERLINK("https://app.vivvix.com/360/KMI/IntelliDrive/ApplUI/Pages/CreativePages/CustomReportCreativeDetail.aspx?App=23&amp;ReportView=4&amp;Qid=1711279&amp;Row=5483&amp;Col=1","No Title Assigned - #15269543988")</f>
        <v/>
      </c>
      <c r="B5491" s="0" t="s">
        <v>7398</v>
      </c>
      <c r="C5491" s="0" t="s">
        <v>7399</v>
      </c>
      <c r="D5491" s="0" t="s">
        <v>7399</v>
      </c>
      <c r="E5491" s="0" t="inlineStr">
        <is>
          <t xml:space="preserve">Mazda</t>
        </is>
      </c>
      <c r="F5491" s="0" t="s">
        <v>13</v>
      </c>
      <c r="G5491" s="0" t="s">
        <v>49</v>
      </c>
      <c r="H5491" s="5">
        <v>14204.249500</v>
      </c>
    </row>
    <row r="5492" spans="1:9">
      <c r="A5492" s="22" t="str">
        <f>HYPERLINK("https://app.vivvix.com/360/KMI/IntelliDrive/ApplUI/Pages/CreativePages/CustomReportCreativeDetail.aspx?App=23&amp;ReportView=4&amp;Qid=1711279&amp;Row=5484&amp;Col=1","No Title Assigned - #15269543988")</f>
        <v/>
      </c>
      <c r="B5492" s="0" t="s">
        <v>7398</v>
      </c>
      <c r="E5492" s="0" t="inlineStr">
        <is>
          <t xml:space="preserve">Mazda</t>
        </is>
      </c>
      <c r="F5492" s="0" t="s">
        <v>13</v>
      </c>
      <c r="G5492" s="0" t="s">
        <v>49</v>
      </c>
      <c r="H5492" s="5">
        <v>21959.025300</v>
      </c>
    </row>
    <row r="5493" spans="1:9">
      <c r="A5493" s="22" t="str">
        <f>HYPERLINK("https://app.vivvix.com/360/KMI/IntelliDrive/ApplUI/Pages/CreativePages/CustomReportCreativeDetail.aspx?App=23&amp;ReportView=4&amp;Qid=1711279&amp;Row=5485&amp;Col=1","No Title Assigned - #15269543992")</f>
        <v/>
      </c>
      <c r="B5493" s="0" t="s">
        <v>7400</v>
      </c>
      <c r="C5493" s="0" t="s">
        <v>7401</v>
      </c>
      <c r="D5493" s="0" t="s">
        <v>6144</v>
      </c>
      <c r="E5493" s="0" t="inlineStr">
        <is>
          <t xml:space="preserve">Mazda</t>
        </is>
      </c>
      <c r="F5493" s="0" t="s">
        <v>28</v>
      </c>
      <c r="G5493" s="0" t="s">
        <v>29</v>
      </c>
      <c r="H5493" s="5">
        <v>349.316600</v>
      </c>
    </row>
    <row r="5494" spans="1:9">
      <c r="A5494" s="22" t="str">
        <f>HYPERLINK("https://app.vivvix.com/360/KMI/IntelliDrive/ApplUI/Pages/CreativePages/CustomReportCreativeDetail.aspx?App=23&amp;ReportView=4&amp;Qid=1711279&amp;Row=5486&amp;Col=1","No Title Assigned - #15269544008")</f>
        <v/>
      </c>
      <c r="B5494" s="0" t="s">
        <v>7402</v>
      </c>
      <c r="C5494" s="0" t="s">
        <v>6681</v>
      </c>
      <c r="D5494" s="0" t="s">
        <v>6681</v>
      </c>
      <c r="E5494" s="0" t="inlineStr">
        <is>
          <t xml:space="preserve">Mazda</t>
        </is>
      </c>
      <c r="F5494" s="0" t="s">
        <v>28</v>
      </c>
      <c r="G5494" s="0" t="s">
        <v>29</v>
      </c>
      <c r="H5494" s="5">
        <v>6059.039500</v>
      </c>
    </row>
    <row r="5495" spans="1:9">
      <c r="A5495" s="22" t="str">
        <f>HYPERLINK("https://app.vivvix.com/360/KMI/IntelliDrive/ApplUI/Pages/CreativePages/CustomReportCreativeDetail.aspx?App=23&amp;ReportView=4&amp;Qid=1711279&amp;Row=5487&amp;Col=1","No Title Assigned - #15269544008")</f>
        <v/>
      </c>
      <c r="B5495" s="0" t="s">
        <v>7402</v>
      </c>
      <c r="E5495" s="0" t="inlineStr">
        <is>
          <t xml:space="preserve">Mazda</t>
        </is>
      </c>
      <c r="F5495" s="0" t="s">
        <v>28</v>
      </c>
      <c r="G5495" s="0" t="s">
        <v>29</v>
      </c>
      <c r="H5495" s="5">
        <v>18.226700</v>
      </c>
    </row>
    <row r="5496" spans="1:9">
      <c r="A5496" s="22" t="str">
        <f>HYPERLINK("https://app.vivvix.com/360/KMI/IntelliDrive/ApplUI/Pages/CreativePages/CustomReportCreativeDetail.aspx?App=23&amp;ReportView=4&amp;Qid=1711279&amp;Row=5488&amp;Col=1","No Title Assigned - #15269544148")</f>
        <v/>
      </c>
      <c r="B5496" s="0" t="s">
        <v>7403</v>
      </c>
      <c r="C5496" s="0" t="s">
        <v>7381</v>
      </c>
      <c r="D5496" s="0" t="s">
        <v>7381</v>
      </c>
      <c r="E5496" s="0" t="inlineStr">
        <is>
          <t xml:space="preserve">Mazda</t>
        </is>
      </c>
      <c r="F5496" s="0" t="s">
        <v>28</v>
      </c>
      <c r="G5496" s="0" t="s">
        <v>29</v>
      </c>
      <c r="H5496" s="5">
        <v>11.608600</v>
      </c>
    </row>
    <row r="5497" spans="1:9">
      <c r="A5497" s="22" t="str">
        <f>HYPERLINK("https://app.vivvix.com/360/KMI/IntelliDrive/ApplUI/Pages/CreativePages/CustomReportCreativeDetail.aspx?App=23&amp;ReportView=4&amp;Qid=1711279&amp;Row=5489&amp;Col=1","No Title Assigned - #15269544840")</f>
        <v/>
      </c>
      <c r="B5497" s="0" t="s">
        <v>7404</v>
      </c>
      <c r="C5497" s="0" t="s">
        <v>7405</v>
      </c>
      <c r="D5497" s="0" t="s">
        <v>6144</v>
      </c>
      <c r="E5497" s="0" t="inlineStr">
        <is>
          <t xml:space="preserve">Mazda</t>
        </is>
      </c>
      <c r="F5497" s="0" t="s">
        <v>28</v>
      </c>
      <c r="G5497" s="0" t="s">
        <v>29</v>
      </c>
      <c r="H5497" s="5">
        <v>26.256400</v>
      </c>
    </row>
    <row r="5498" spans="1:9">
      <c r="A5498" s="22" t="str">
        <f>HYPERLINK("https://app.vivvix.com/360/KMI/IntelliDrive/ApplUI/Pages/CreativePages/CustomReportCreativeDetail.aspx?App=23&amp;ReportView=4&amp;Qid=1711279&amp;Row=5490&amp;Col=1","No Title Assigned - #15269544842")</f>
        <v/>
      </c>
      <c r="B5498" s="0" t="s">
        <v>7406</v>
      </c>
      <c r="C5498" s="0" t="s">
        <v>7407</v>
      </c>
      <c r="D5498" s="0" t="s">
        <v>4200</v>
      </c>
      <c r="E5498" s="0" t="inlineStr">
        <is>
          <t xml:space="preserve">Mazda</t>
        </is>
      </c>
      <c r="F5498" s="0" t="s">
        <v>28</v>
      </c>
      <c r="G5498" s="0" t="s">
        <v>29</v>
      </c>
      <c r="H5498" s="5">
        <v>6.564100</v>
      </c>
    </row>
    <row r="5499" spans="1:9">
      <c r="A5499" s="22" t="str">
        <f>HYPERLINK("https://app.vivvix.com/360/KMI/IntelliDrive/ApplUI/Pages/CreativePages/CustomReportCreativeDetail.aspx?App=23&amp;ReportView=4&amp;Qid=1711279&amp;Row=5491&amp;Col=1","No Title Assigned - #15269545332")</f>
        <v/>
      </c>
      <c r="B5499" s="0" t="s">
        <v>7408</v>
      </c>
      <c r="E5499" s="0" t="inlineStr">
        <is>
          <t xml:space="preserve">Mazda</t>
        </is>
      </c>
      <c r="F5499" s="0" t="inlineStr">
        <is>
          <t xml:space="preserve">Mazda</t>
        </is>
      </c>
      <c r="G5499" s="0" t="s">
        <v>171</v>
      </c>
      <c r="H5499" s="5">
        <v>398.819100</v>
      </c>
    </row>
    <row r="5500" spans="1:9">
      <c r="A5500" s="22" t="str">
        <f>HYPERLINK("https://app.vivvix.com/360/KMI/IntelliDrive/ApplUI/Pages/CreativePages/CustomReportCreativeDetail.aspx?App=23&amp;ReportView=4&amp;Qid=1711279&amp;Row=5492&amp;Col=1","No Title Assigned - #15269545431")</f>
        <v/>
      </c>
      <c r="B5500" s="0" t="s">
        <v>7409</v>
      </c>
      <c r="C5500" s="0" t="s">
        <v>7410</v>
      </c>
      <c r="D5500" s="0" t="s">
        <v>7410</v>
      </c>
      <c r="E5500" s="0" t="inlineStr">
        <is>
          <t xml:space="preserve">Mazda</t>
        </is>
      </c>
      <c r="F5500" s="0" t="inlineStr">
        <is>
          <t xml:space="preserve">Mazda</t>
        </is>
      </c>
      <c r="G5500" s="0" t="s">
        <v>171</v>
      </c>
      <c r="H5500" s="5">
        <v>93.241000</v>
      </c>
    </row>
    <row r="5501" spans="1:9">
      <c r="A5501" s="22" t="str">
        <f>HYPERLINK("https://app.vivvix.com/360/KMI/IntelliDrive/ApplUI/Pages/CreativePages/CustomReportCreativeDetail.aspx?App=23&amp;ReportView=4&amp;Qid=1711279&amp;Row=5493&amp;Col=1","No Title Assigned - #15269545485")</f>
        <v/>
      </c>
      <c r="B5501" s="0" t="s">
        <v>7411</v>
      </c>
      <c r="E5501" s="0" t="inlineStr">
        <is>
          <t xml:space="preserve">Mazda</t>
        </is>
      </c>
      <c r="F5501" s="0" t="inlineStr">
        <is>
          <t xml:space="preserve">Mazda</t>
        </is>
      </c>
      <c r="G5501" s="0" t="s">
        <v>171</v>
      </c>
      <c r="H5501" s="5">
        <v>1282.675500</v>
      </c>
    </row>
    <row r="5502" spans="1:9">
      <c r="A5502" s="22" t="str">
        <f>HYPERLINK("https://app.vivvix.com/360/KMI/IntelliDrive/ApplUI/Pages/CreativePages/CustomReportCreativeDetail.aspx?App=23&amp;ReportView=4&amp;Qid=1711279&amp;Row=5494&amp;Col=1","No Title Assigned - #15269546983")</f>
        <v/>
      </c>
      <c r="B5502" s="0" t="s">
        <v>7412</v>
      </c>
      <c r="E5502" s="0" t="inlineStr">
        <is>
          <t xml:space="preserve">Mazda</t>
        </is>
      </c>
      <c r="F5502" s="0" t="inlineStr">
        <is>
          <t xml:space="preserve">Mazda</t>
        </is>
      </c>
      <c r="G5502" s="0" t="s">
        <v>171</v>
      </c>
      <c r="H5502" s="5">
        <v>12.138000</v>
      </c>
    </row>
    <row r="5503" spans="1:9">
      <c r="A5503" s="22" t="str">
        <f>HYPERLINK("https://app.vivvix.com/360/KMI/IntelliDrive/ApplUI/Pages/CreativePages/CustomReportCreativeDetail.aspx?App=23&amp;ReportView=4&amp;Qid=1711279&amp;Row=5495&amp;Col=1","No Title Assigned - #15269548538")</f>
        <v/>
      </c>
      <c r="B5503" s="0" t="s">
        <v>7413</v>
      </c>
      <c r="E5503" s="0" t="inlineStr">
        <is>
          <t xml:space="preserve">Mazda</t>
        </is>
      </c>
      <c r="F5503" s="0" t="inlineStr">
        <is>
          <t xml:space="preserve">Mazda</t>
        </is>
      </c>
      <c r="G5503" s="0" t="s">
        <v>171</v>
      </c>
      <c r="H5503" s="5">
        <v>30.484200</v>
      </c>
    </row>
    <row r="5504" spans="1:9">
      <c r="A5504" s="22" t="str">
        <f>HYPERLINK("https://app.vivvix.com/360/KMI/IntelliDrive/ApplUI/Pages/CreativePages/CustomReportCreativeDetail.aspx?App=23&amp;ReportView=4&amp;Qid=1711279&amp;Row=5496&amp;Col=1","No Title Assigned - #15269548883")</f>
        <v/>
      </c>
      <c r="B5504" s="0" t="s">
        <v>7414</v>
      </c>
      <c r="C5504" s="0" t="s">
        <v>7415</v>
      </c>
      <c r="D5504" s="0" t="s">
        <v>4200</v>
      </c>
      <c r="E5504" s="0" t="inlineStr">
        <is>
          <t xml:space="preserve">Mazda</t>
        </is>
      </c>
      <c r="F5504" s="0" t="s">
        <v>28</v>
      </c>
      <c r="G5504" s="0" t="s">
        <v>29</v>
      </c>
      <c r="H5504" s="5">
        <v>382.637800</v>
      </c>
    </row>
    <row r="5505" spans="1:9">
      <c r="A5505" s="22" t="str">
        <f>HYPERLINK("https://app.vivvix.com/360/KMI/IntelliDrive/ApplUI/Pages/CreativePages/CustomReportCreativeDetail.aspx?App=23&amp;ReportView=4&amp;Qid=1711279&amp;Row=5497&amp;Col=1","No Title Assigned - #15269550029")</f>
        <v/>
      </c>
      <c r="B5505" s="0" t="s">
        <v>7416</v>
      </c>
      <c r="C5505" s="0" t="s">
        <v>7417</v>
      </c>
      <c r="D5505" s="0" t="s">
        <v>7417</v>
      </c>
      <c r="E5505" s="0" t="inlineStr">
        <is>
          <t xml:space="preserve">Mazda</t>
        </is>
      </c>
      <c r="F5505" s="0" t="s">
        <v>28</v>
      </c>
      <c r="G5505" s="0" t="s">
        <v>29</v>
      </c>
      <c r="H5505" s="5">
        <v>222.078700</v>
      </c>
    </row>
    <row r="5506" spans="1:9">
      <c r="A5506" s="22" t="str">
        <f>HYPERLINK("https://app.vivvix.com/360/KMI/IntelliDrive/ApplUI/Pages/CreativePages/CustomReportCreativeDetail.aspx?App=23&amp;ReportView=4&amp;Qid=1711279&amp;Row=5498&amp;Col=1","No Title Assigned - #15269550343")</f>
        <v/>
      </c>
      <c r="B5506" s="0" t="s">
        <v>7418</v>
      </c>
      <c r="C5506" s="0" t="s">
        <v>7419</v>
      </c>
      <c r="D5506" s="0" t="s">
        <v>4200</v>
      </c>
      <c r="E5506" s="0" t="inlineStr">
        <is>
          <t xml:space="preserve">Mazda</t>
        </is>
      </c>
      <c r="F5506" s="0" t="s">
        <v>28</v>
      </c>
      <c r="G5506" s="0" t="s">
        <v>29</v>
      </c>
      <c r="H5506" s="5">
        <v>183.475500</v>
      </c>
    </row>
    <row r="5507" spans="1:9">
      <c r="A5507" s="22" t="str">
        <f>HYPERLINK("https://app.vivvix.com/360/KMI/IntelliDrive/ApplUI/Pages/CreativePages/CustomReportCreativeDetail.aspx?App=23&amp;ReportView=4&amp;Qid=1711279&amp;Row=5499&amp;Col=1","No Title Assigned - #15269550697")</f>
        <v/>
      </c>
      <c r="B5507" s="0" t="s">
        <v>7420</v>
      </c>
      <c r="C5507" s="0" t="s">
        <v>7421</v>
      </c>
      <c r="D5507" s="0" t="s">
        <v>7421</v>
      </c>
      <c r="E5507" s="0" t="inlineStr">
        <is>
          <t xml:space="preserve">Mazda</t>
        </is>
      </c>
      <c r="F5507" s="0" t="s">
        <v>28</v>
      </c>
      <c r="G5507" s="0" t="s">
        <v>29</v>
      </c>
      <c r="H5507" s="5">
        <v>142.382400</v>
      </c>
    </row>
    <row r="5508" spans="1:9">
      <c r="A5508" s="22" t="str">
        <f>HYPERLINK("https://app.vivvix.com/360/KMI/IntelliDrive/ApplUI/Pages/CreativePages/CustomReportCreativeDetail.aspx?App=23&amp;ReportView=4&amp;Qid=1711279&amp;Row=5500&amp;Col=1","No Title Assigned - #15269550824")</f>
        <v/>
      </c>
      <c r="B5508" s="0" t="s">
        <v>7422</v>
      </c>
      <c r="C5508" s="0" t="s">
        <v>7423</v>
      </c>
      <c r="D5508" s="0" t="s">
        <v>7423</v>
      </c>
      <c r="E5508" s="0" t="inlineStr">
        <is>
          <t xml:space="preserve">Mazda</t>
        </is>
      </c>
      <c r="F5508" s="0" t="s">
        <v>28</v>
      </c>
      <c r="G5508" s="0" t="s">
        <v>29</v>
      </c>
      <c r="H5508" s="5">
        <v>2.211600</v>
      </c>
    </row>
    <row r="5509" spans="1:9">
      <c r="A5509" s="22" t="str">
        <f>HYPERLINK("https://app.vivvix.com/360/KMI/IntelliDrive/ApplUI/Pages/CreativePages/CustomReportCreativeDetail.aspx?App=23&amp;ReportView=4&amp;Qid=1711279&amp;Row=5501&amp;Col=1","No Title Assigned - #15269550929")</f>
        <v/>
      </c>
      <c r="B5509" s="0" t="s">
        <v>7424</v>
      </c>
      <c r="C5509" s="0" t="s">
        <v>7425</v>
      </c>
      <c r="D5509" s="0" t="s">
        <v>7425</v>
      </c>
      <c r="E5509" s="0" t="inlineStr">
        <is>
          <t xml:space="preserve">Mazda</t>
        </is>
      </c>
      <c r="F5509" s="0" t="s">
        <v>28</v>
      </c>
      <c r="G5509" s="0" t="s">
        <v>29</v>
      </c>
      <c r="H5509" s="5">
        <v>233.917500</v>
      </c>
    </row>
    <row r="5510" spans="1:9">
      <c r="A5510" s="22" t="str">
        <f>HYPERLINK("https://app.vivvix.com/360/KMI/IntelliDrive/ApplUI/Pages/CreativePages/CustomReportCreativeDetail.aspx?App=23&amp;ReportView=4&amp;Qid=1711279&amp;Row=5502&amp;Col=1","No Title Assigned - #15269550929")</f>
        <v/>
      </c>
      <c r="B5510" s="0" t="s">
        <v>7424</v>
      </c>
      <c r="E5510" s="0" t="inlineStr">
        <is>
          <t xml:space="preserve">Mazda</t>
        </is>
      </c>
      <c r="F5510" s="0" t="s">
        <v>28</v>
      </c>
      <c r="G5510" s="0" t="s">
        <v>29</v>
      </c>
      <c r="H5510" s="5">
        <v>629.169900</v>
      </c>
    </row>
    <row r="5511" spans="1:9">
      <c r="A5511" s="22" t="str">
        <f>HYPERLINK("https://app.vivvix.com/360/KMI/IntelliDrive/ApplUI/Pages/CreativePages/CustomReportCreativeDetail.aspx?App=23&amp;ReportView=4&amp;Qid=1711279&amp;Row=5503&amp;Col=1","No Title Assigned - #15269551644")</f>
        <v/>
      </c>
      <c r="B5511" s="0" t="s">
        <v>7426</v>
      </c>
      <c r="C5511" s="0" t="s">
        <v>7427</v>
      </c>
      <c r="D5511" s="0" t="s">
        <v>7427</v>
      </c>
      <c r="E5511" s="0" t="inlineStr">
        <is>
          <t xml:space="preserve">Mazda</t>
        </is>
      </c>
      <c r="F5511" s="0" t="s">
        <v>28</v>
      </c>
      <c r="G5511" s="0" t="s">
        <v>29</v>
      </c>
      <c r="H5511" s="5">
        <v>26.019600</v>
      </c>
    </row>
    <row r="5512" spans="1:9">
      <c r="A5512" s="22" t="str">
        <f>HYPERLINK("https://app.vivvix.com/360/KMI/IntelliDrive/ApplUI/Pages/CreativePages/CustomReportCreativeDetail.aspx?App=23&amp;ReportView=4&amp;Qid=1711279&amp;Row=5504&amp;Col=1","No Title Assigned - #15269551950")</f>
        <v/>
      </c>
      <c r="B5512" s="0" t="s">
        <v>7428</v>
      </c>
      <c r="C5512" s="0" t="s">
        <v>7429</v>
      </c>
      <c r="D5512" s="0" t="s">
        <v>7429</v>
      </c>
      <c r="E5512" s="0" t="inlineStr">
        <is>
          <t xml:space="preserve">Mazda</t>
        </is>
      </c>
      <c r="F5512" s="0" t="s">
        <v>28</v>
      </c>
      <c r="G5512" s="0" t="s">
        <v>29</v>
      </c>
      <c r="H5512" s="5">
        <v>277.403400</v>
      </c>
    </row>
    <row r="5513" spans="1:9">
      <c r="A5513" s="22" t="str">
        <f>HYPERLINK("https://app.vivvix.com/360/KMI/IntelliDrive/ApplUI/Pages/CreativePages/CustomReportCreativeDetail.aspx?App=23&amp;ReportView=4&amp;Qid=1711279&amp;Row=5505&amp;Col=1","No Title Assigned - #15269552093")</f>
        <v/>
      </c>
      <c r="B5513" s="0" t="s">
        <v>7430</v>
      </c>
      <c r="E5513" s="0" t="inlineStr">
        <is>
          <t xml:space="preserve">Mazda</t>
        </is>
      </c>
      <c r="F5513" s="0" t="inlineStr">
        <is>
          <t xml:space="preserve">Mazda</t>
        </is>
      </c>
      <c r="G5513" s="0" t="s">
        <v>171</v>
      </c>
      <c r="H5513" s="5">
        <v>3.091500</v>
      </c>
    </row>
    <row r="5514" spans="1:9">
      <c r="A5514" s="22" t="str">
        <f>HYPERLINK("https://app.vivvix.com/360/KMI/IntelliDrive/ApplUI/Pages/CreativePages/CustomReportCreativeDetail.aspx?App=23&amp;ReportView=4&amp;Qid=1711279&amp;Row=5506&amp;Col=1","No Title Assigned - #15269552093")</f>
        <v/>
      </c>
      <c r="B5514" s="0" t="s">
        <v>7430</v>
      </c>
      <c r="E5514" s="0" t="inlineStr">
        <is>
          <t xml:space="preserve">Mazda</t>
        </is>
      </c>
      <c r="F5514" s="0" t="inlineStr">
        <is>
          <t xml:space="preserve">Mazda</t>
        </is>
      </c>
      <c r="G5514" s="0" t="s">
        <v>171</v>
      </c>
      <c r="H5514" s="5">
        <v>1331.034800</v>
      </c>
    </row>
    <row r="5515" spans="1:9">
      <c r="A5515" s="22" t="str">
        <f>HYPERLINK("https://app.vivvix.com/360/KMI/IntelliDrive/ApplUI/Pages/CreativePages/CustomReportCreativeDetail.aspx?App=23&amp;ReportView=4&amp;Qid=1711279&amp;Row=5507&amp;Col=1","No Title Assigned - #15269552305")</f>
        <v/>
      </c>
      <c r="B5515" s="0" t="s">
        <v>7431</v>
      </c>
      <c r="C5515" s="0" t="s">
        <v>7432</v>
      </c>
      <c r="D5515" s="0" t="s">
        <v>7432</v>
      </c>
      <c r="E5515" s="0" t="inlineStr">
        <is>
          <t xml:space="preserve">Mazda</t>
        </is>
      </c>
      <c r="F5515" s="0" t="s">
        <v>13</v>
      </c>
      <c r="G5515" s="0" t="s">
        <v>49</v>
      </c>
      <c r="H5515" s="5">
        <v>764.459700</v>
      </c>
    </row>
    <row r="5516" spans="1:9">
      <c r="A5516" s="22" t="str">
        <f>HYPERLINK("https://app.vivvix.com/360/KMI/IntelliDrive/ApplUI/Pages/CreativePages/CustomReportCreativeDetail.aspx?App=23&amp;ReportView=4&amp;Qid=1711279&amp;Row=5508&amp;Col=1","No Title Assigned - #15269553387")</f>
        <v/>
      </c>
      <c r="B5516" s="0" t="s">
        <v>7433</v>
      </c>
      <c r="C5516" s="0" t="s">
        <v>7434</v>
      </c>
      <c r="D5516" s="0" t="s">
        <v>7434</v>
      </c>
      <c r="E5516" s="0" t="inlineStr">
        <is>
          <t xml:space="preserve">Mazda</t>
        </is>
      </c>
      <c r="F5516" s="0" t="s">
        <v>28</v>
      </c>
      <c r="G5516" s="0" t="s">
        <v>29</v>
      </c>
      <c r="H5516" s="5">
        <v>4.676900</v>
      </c>
    </row>
    <row r="5517" spans="1:9">
      <c r="A5517" s="22" t="str">
        <f>HYPERLINK("https://app.vivvix.com/360/KMI/IntelliDrive/ApplUI/Pages/CreativePages/CustomReportCreativeDetail.aspx?App=23&amp;ReportView=4&amp;Qid=1711279&amp;Row=5509&amp;Col=1","No Title Assigned - #15269553682")</f>
        <v/>
      </c>
      <c r="B5517" s="0" t="s">
        <v>7435</v>
      </c>
      <c r="E5517" s="0" t="inlineStr">
        <is>
          <t xml:space="preserve">Mazda</t>
        </is>
      </c>
      <c r="F5517" s="0" t="inlineStr">
        <is>
          <t xml:space="preserve">Mazda</t>
        </is>
      </c>
      <c r="G5517" s="0" t="s">
        <v>171</v>
      </c>
      <c r="H5517" s="5">
        <v>3.445700</v>
      </c>
    </row>
    <row r="5518" spans="1:9">
      <c r="A5518" s="22" t="str">
        <f>HYPERLINK("https://app.vivvix.com/360/KMI/IntelliDrive/ApplUI/Pages/CreativePages/CustomReportCreativeDetail.aspx?App=23&amp;ReportView=4&amp;Qid=1711279&amp;Row=5510&amp;Col=1","No Title Assigned - #15269553738")</f>
        <v/>
      </c>
      <c r="B5518" s="0" t="s">
        <v>7436</v>
      </c>
      <c r="E5518" s="0" t="inlineStr">
        <is>
          <t xml:space="preserve">Mazda</t>
        </is>
      </c>
      <c r="F5518" s="0" t="inlineStr">
        <is>
          <t xml:space="preserve">Mazda</t>
        </is>
      </c>
      <c r="G5518" s="0" t="s">
        <v>171</v>
      </c>
      <c r="H5518" s="5">
        <v>274.549600</v>
      </c>
    </row>
    <row r="5519" spans="1:9">
      <c r="A5519" s="22" t="str">
        <f>HYPERLINK("https://app.vivvix.com/360/KMI/IntelliDrive/ApplUI/Pages/CreativePages/CustomReportCreativeDetail.aspx?App=23&amp;ReportView=4&amp;Qid=1711279&amp;Row=5511&amp;Col=1","No Title Assigned - #15269556247")</f>
        <v/>
      </c>
      <c r="B5519" s="0" t="s">
        <v>7437</v>
      </c>
      <c r="E5519" s="0" t="inlineStr">
        <is>
          <t xml:space="preserve">Mazda</t>
        </is>
      </c>
      <c r="F5519" s="0" t="inlineStr">
        <is>
          <t xml:space="preserve">Mazda</t>
        </is>
      </c>
      <c r="G5519" s="0" t="s">
        <v>171</v>
      </c>
      <c r="H5519" s="5">
        <v>1324.529500</v>
      </c>
    </row>
    <row r="5520" spans="1:9">
      <c r="A5520" s="22" t="str">
        <f>HYPERLINK("https://app.vivvix.com/360/KMI/IntelliDrive/ApplUI/Pages/CreativePages/CustomReportCreativeDetail.aspx?App=23&amp;ReportView=4&amp;Qid=1711279&amp;Row=5512&amp;Col=1","No Title Assigned - #15269557220")</f>
        <v/>
      </c>
      <c r="B5520" s="0" t="s">
        <v>7438</v>
      </c>
      <c r="E5520" s="0" t="inlineStr">
        <is>
          <t xml:space="preserve">Mazda</t>
        </is>
      </c>
      <c r="F5520" s="0" t="inlineStr">
        <is>
          <t xml:space="preserve">Mazda</t>
        </is>
      </c>
      <c r="G5520" s="0" t="s">
        <v>171</v>
      </c>
      <c r="H5520" s="5">
        <v>24.499700</v>
      </c>
    </row>
    <row r="5521" spans="1:9">
      <c r="A5521" s="22" t="str">
        <f>HYPERLINK("https://app.vivvix.com/360/KMI/IntelliDrive/ApplUI/Pages/CreativePages/CustomReportCreativeDetail.aspx?App=23&amp;ReportView=4&amp;Qid=1711279&amp;Row=5513&amp;Col=1","No Title Assigned - #15269557352")</f>
        <v/>
      </c>
      <c r="B5521" s="0" t="s">
        <v>7439</v>
      </c>
      <c r="E5521" s="0" t="inlineStr">
        <is>
          <t xml:space="preserve">Mazda</t>
        </is>
      </c>
      <c r="F5521" s="0" t="inlineStr">
        <is>
          <t xml:space="preserve">Mazda</t>
        </is>
      </c>
      <c r="G5521" s="0" t="s">
        <v>171</v>
      </c>
      <c r="H5521" s="5">
        <v>66.676300</v>
      </c>
    </row>
    <row r="5522" spans="1:9">
      <c r="A5522" s="22" t="str">
        <f>HYPERLINK("https://app.vivvix.com/360/KMI/IntelliDrive/ApplUI/Pages/CreativePages/CustomReportCreativeDetail.aspx?App=23&amp;ReportView=4&amp;Qid=1711279&amp;Row=5514&amp;Col=1","No Title Assigned - #15269558474")</f>
        <v/>
      </c>
      <c r="B5522" s="0" t="s">
        <v>7440</v>
      </c>
      <c r="E5522" s="0" t="inlineStr">
        <is>
          <t xml:space="preserve">Mazda</t>
        </is>
      </c>
      <c r="F5522" s="0" t="inlineStr">
        <is>
          <t xml:space="preserve">Mazda</t>
        </is>
      </c>
      <c r="G5522" s="0" t="s">
        <v>171</v>
      </c>
      <c r="H5522" s="5">
        <v>38.768600</v>
      </c>
    </row>
    <row r="5523" spans="1:9">
      <c r="A5523" s="22" t="str">
        <f>HYPERLINK("https://app.vivvix.com/360/KMI/IntelliDrive/ApplUI/Pages/CreativePages/CustomReportCreativeDetail.aspx?App=23&amp;ReportView=4&amp;Qid=1711279&amp;Row=5515&amp;Col=1","No Title Assigned - #15269558866")</f>
        <v/>
      </c>
      <c r="B5523" s="0" t="s">
        <v>7441</v>
      </c>
      <c r="E5523" s="0" t="inlineStr">
        <is>
          <t xml:space="preserve">Mazda</t>
        </is>
      </c>
      <c r="F5523" s="0" t="inlineStr">
        <is>
          <t xml:space="preserve">Mazda</t>
        </is>
      </c>
      <c r="G5523" s="0" t="s">
        <v>171</v>
      </c>
      <c r="H5523" s="5">
        <v>176.447100</v>
      </c>
    </row>
    <row r="5524" spans="1:9">
      <c r="A5524" s="22" t="str">
        <f>HYPERLINK("https://app.vivvix.com/360/KMI/IntelliDrive/ApplUI/Pages/CreativePages/CustomReportCreativeDetail.aspx?App=23&amp;ReportView=4&amp;Qid=1711279&amp;Row=5516&amp;Col=1","No Title Assigned - #15269559361")</f>
        <v/>
      </c>
      <c r="B5524" s="0" t="s">
        <v>7442</v>
      </c>
      <c r="E5524" s="0" t="inlineStr">
        <is>
          <t xml:space="preserve">Mazda</t>
        </is>
      </c>
      <c r="F5524" s="0" t="inlineStr">
        <is>
          <t xml:space="preserve">Mazda</t>
        </is>
      </c>
      <c r="G5524" s="0" t="s">
        <v>171</v>
      </c>
      <c r="H5524" s="5">
        <v>235.965900</v>
      </c>
    </row>
    <row r="5525" spans="1:9">
      <c r="A5525" s="22" t="str">
        <f>HYPERLINK("https://app.vivvix.com/360/KMI/IntelliDrive/ApplUI/Pages/CreativePages/CustomReportCreativeDetail.aspx?App=23&amp;ReportView=4&amp;Qid=1711279&amp;Row=5517&amp;Col=1","No Title Assigned - #15269559401")</f>
        <v/>
      </c>
      <c r="B5525" s="0" t="s">
        <v>7443</v>
      </c>
      <c r="C5525" s="0" t="s">
        <v>7444</v>
      </c>
      <c r="D5525" s="0" t="s">
        <v>4208</v>
      </c>
      <c r="E5525" s="0" t="inlineStr">
        <is>
          <t xml:space="preserve">Mazda</t>
        </is>
      </c>
      <c r="F5525" s="0" t="s">
        <v>28</v>
      </c>
      <c r="G5525" s="0" t="s">
        <v>29</v>
      </c>
      <c r="H5525" s="5">
        <v>37.966200</v>
      </c>
    </row>
    <row r="5526" spans="1:9">
      <c r="A5526" s="22" t="str">
        <f>HYPERLINK("https://app.vivvix.com/360/KMI/IntelliDrive/ApplUI/Pages/CreativePages/CustomReportCreativeDetail.aspx?App=23&amp;ReportView=4&amp;Qid=1711279&amp;Row=5518&amp;Col=1","No Title Assigned - #15269559427")</f>
        <v/>
      </c>
      <c r="B5526" s="0" t="s">
        <v>7445</v>
      </c>
      <c r="E5526" s="0" t="inlineStr">
        <is>
          <t xml:space="preserve">Mazda</t>
        </is>
      </c>
      <c r="F5526" s="0" t="inlineStr">
        <is>
          <t xml:space="preserve">Mazda</t>
        </is>
      </c>
      <c r="G5526" s="0" t="s">
        <v>171</v>
      </c>
      <c r="H5526" s="5">
        <v>13.532400</v>
      </c>
    </row>
    <row r="5527" spans="1:9">
      <c r="A5527" s="22" t="str">
        <f>HYPERLINK("https://app.vivvix.com/360/KMI/IntelliDrive/ApplUI/Pages/CreativePages/CustomReportCreativeDetail.aspx?App=23&amp;ReportView=4&amp;Qid=1711279&amp;Row=5519&amp;Col=1","No Title Assigned - #15269560274")</f>
        <v/>
      </c>
      <c r="B5527" s="0" t="s">
        <v>7446</v>
      </c>
      <c r="E5527" s="0" t="inlineStr">
        <is>
          <t xml:space="preserve">Mazda</t>
        </is>
      </c>
      <c r="F5527" s="0" t="inlineStr">
        <is>
          <t xml:space="preserve">Mazda</t>
        </is>
      </c>
      <c r="G5527" s="0" t="s">
        <v>171</v>
      </c>
      <c r="H5527" s="5">
        <v>132.681300</v>
      </c>
    </row>
    <row r="5528" spans="1:9">
      <c r="A5528" s="22" t="str">
        <f>HYPERLINK("https://app.vivvix.com/360/KMI/IntelliDrive/ApplUI/Pages/CreativePages/CustomReportCreativeDetail.aspx?App=23&amp;ReportView=4&amp;Qid=1711279&amp;Row=5520&amp;Col=1","No Title Assigned - #15269560695")</f>
        <v/>
      </c>
      <c r="B5528" s="0" t="s">
        <v>7447</v>
      </c>
      <c r="C5528" s="0" t="s">
        <v>7448</v>
      </c>
      <c r="D5528" s="0" t="s">
        <v>7448</v>
      </c>
      <c r="E5528" s="0" t="inlineStr">
        <is>
          <t xml:space="preserve">Mazda</t>
        </is>
      </c>
      <c r="F5528" s="0" t="inlineStr">
        <is>
          <t xml:space="preserve">Mazda</t>
        </is>
      </c>
      <c r="G5528" s="0" t="s">
        <v>171</v>
      </c>
      <c r="H5528" s="5">
        <v>43018.455900</v>
      </c>
    </row>
    <row r="5529" spans="1:9">
      <c r="A5529" s="22" t="str">
        <f>HYPERLINK("https://app.vivvix.com/360/KMI/IntelliDrive/ApplUI/Pages/CreativePages/CustomReportCreativeDetail.aspx?App=23&amp;ReportView=4&amp;Qid=1711279&amp;Row=5521&amp;Col=1","No Title Assigned - #15269560695")</f>
        <v/>
      </c>
      <c r="B5529" s="0" t="s">
        <v>7447</v>
      </c>
      <c r="E5529" s="0" t="inlineStr">
        <is>
          <t xml:space="preserve">Mazda</t>
        </is>
      </c>
      <c r="F5529" s="0" t="inlineStr">
        <is>
          <t xml:space="preserve">Mazda</t>
        </is>
      </c>
      <c r="G5529" s="0" t="s">
        <v>171</v>
      </c>
      <c r="H5529" s="5">
        <v>952.663500</v>
      </c>
    </row>
    <row r="5530" spans="1:9">
      <c r="A5530" s="22" t="str">
        <f>HYPERLINK("https://app.vivvix.com/360/KMI/IntelliDrive/ApplUI/Pages/CreativePages/CustomReportCreativeDetail.aspx?App=23&amp;ReportView=4&amp;Qid=1711279&amp;Row=5522&amp;Col=1","No Title Assigned - #15269561687")</f>
        <v/>
      </c>
      <c r="B5530" s="0" t="s">
        <v>7449</v>
      </c>
      <c r="E5530" s="0" t="inlineStr">
        <is>
          <t xml:space="preserve">Mazda</t>
        </is>
      </c>
      <c r="F5530" s="0" t="inlineStr">
        <is>
          <t xml:space="preserve">Mazda</t>
        </is>
      </c>
      <c r="G5530" s="0" t="s">
        <v>171</v>
      </c>
      <c r="H5530" s="5">
        <v>32.225400</v>
      </c>
    </row>
    <row r="5531" spans="1:9">
      <c r="A5531" s="22" t="str">
        <f>HYPERLINK("https://app.vivvix.com/360/KMI/IntelliDrive/ApplUI/Pages/CreativePages/CustomReportCreativeDetail.aspx?App=23&amp;ReportView=4&amp;Qid=1711279&amp;Row=5523&amp;Col=1","No Title Assigned - #15269562278")</f>
        <v/>
      </c>
      <c r="B5531" s="0" t="s">
        <v>7450</v>
      </c>
      <c r="E5531" s="0" t="inlineStr">
        <is>
          <t xml:space="preserve">Mazda</t>
        </is>
      </c>
      <c r="F5531" s="0" t="inlineStr">
        <is>
          <t xml:space="preserve">Mazda</t>
        </is>
      </c>
      <c r="G5531" s="0" t="s">
        <v>171</v>
      </c>
      <c r="H5531" s="5">
        <v>1240.162700</v>
      </c>
    </row>
    <row r="5532" spans="1:9">
      <c r="A5532" s="22" t="str">
        <f>HYPERLINK("https://app.vivvix.com/360/KMI/IntelliDrive/ApplUI/Pages/CreativePages/CustomReportCreativeDetail.aspx?App=23&amp;ReportView=4&amp;Qid=1711279&amp;Row=5524&amp;Col=1","No Title Assigned - #15269562290")</f>
        <v/>
      </c>
      <c r="B5532" s="0" t="s">
        <v>7451</v>
      </c>
      <c r="E5532" s="0" t="inlineStr">
        <is>
          <t xml:space="preserve">Mazda</t>
        </is>
      </c>
      <c r="F5532" s="0" t="inlineStr">
        <is>
          <t xml:space="preserve">Mazda</t>
        </is>
      </c>
      <c r="G5532" s="0" t="s">
        <v>171</v>
      </c>
      <c r="H5532" s="5">
        <v>56.381900</v>
      </c>
    </row>
    <row r="5533" spans="1:9">
      <c r="A5533" s="22" t="str">
        <f>HYPERLINK("https://app.vivvix.com/360/KMI/IntelliDrive/ApplUI/Pages/CreativePages/CustomReportCreativeDetail.aspx?App=23&amp;ReportView=4&amp;Qid=1711279&amp;Row=5525&amp;Col=1","No Title Assigned - #15269562365")</f>
        <v/>
      </c>
      <c r="B5533" s="0" t="s">
        <v>7452</v>
      </c>
      <c r="C5533" s="0" t="s">
        <v>7453</v>
      </c>
      <c r="D5533" s="0" t="s">
        <v>7453</v>
      </c>
      <c r="E5533" s="0" t="inlineStr">
        <is>
          <t xml:space="preserve">Mazda</t>
        </is>
      </c>
      <c r="F5533" s="0" t="inlineStr">
        <is>
          <t xml:space="preserve">Mazda</t>
        </is>
      </c>
      <c r="G5533" s="0" t="s">
        <v>171</v>
      </c>
      <c r="H5533" s="5">
        <v>402.021400</v>
      </c>
    </row>
    <row r="5534" spans="1:9">
      <c r="A5534" s="22" t="str">
        <f>HYPERLINK("https://app.vivvix.com/360/KMI/IntelliDrive/ApplUI/Pages/CreativePages/CustomReportCreativeDetail.aspx?App=23&amp;ReportView=4&amp;Qid=1711279&amp;Row=5526&amp;Col=1","No Title Assigned - #15269562365")</f>
        <v/>
      </c>
      <c r="B5534" s="0" t="s">
        <v>7452</v>
      </c>
      <c r="E5534" s="0" t="inlineStr">
        <is>
          <t xml:space="preserve">Mazda</t>
        </is>
      </c>
      <c r="F5534" s="0" t="inlineStr">
        <is>
          <t xml:space="preserve">Mazda</t>
        </is>
      </c>
      <c r="G5534" s="0" t="s">
        <v>171</v>
      </c>
      <c r="H5534" s="5">
        <v>105.741500</v>
      </c>
    </row>
    <row r="5535" spans="1:9">
      <c r="A5535" s="22" t="str">
        <f>HYPERLINK("https://app.vivvix.com/360/KMI/IntelliDrive/ApplUI/Pages/CreativePages/CustomReportCreativeDetail.aspx?App=23&amp;ReportView=4&amp;Qid=1711279&amp;Row=5527&amp;Col=1","No Title Assigned - #15269562668")</f>
        <v/>
      </c>
      <c r="B5535" s="0" t="s">
        <v>7454</v>
      </c>
      <c r="C5535" s="0" t="s">
        <v>7455</v>
      </c>
      <c r="D5535" s="0" t="s">
        <v>7455</v>
      </c>
      <c r="E5535" s="0" t="inlineStr">
        <is>
          <t xml:space="preserve">Mazda</t>
        </is>
      </c>
      <c r="F5535" s="0" t="inlineStr">
        <is>
          <t xml:space="preserve">Mazda</t>
        </is>
      </c>
      <c r="G5535" s="0" t="s">
        <v>171</v>
      </c>
      <c r="H5535" s="5">
        <v>2335.987900</v>
      </c>
    </row>
    <row r="5536" spans="1:9">
      <c r="A5536" s="22" t="str">
        <f>HYPERLINK("https://app.vivvix.com/360/KMI/IntelliDrive/ApplUI/Pages/CreativePages/CustomReportCreativeDetail.aspx?App=23&amp;ReportView=4&amp;Qid=1711279&amp;Row=5528&amp;Col=1","No Title Assigned - #15269564034")</f>
        <v/>
      </c>
      <c r="B5536" s="0" t="s">
        <v>7456</v>
      </c>
      <c r="E5536" s="0" t="inlineStr">
        <is>
          <t xml:space="preserve">Mazda</t>
        </is>
      </c>
      <c r="F5536" s="0" t="inlineStr">
        <is>
          <t xml:space="preserve">Mazda</t>
        </is>
      </c>
      <c r="G5536" s="0" t="s">
        <v>171</v>
      </c>
      <c r="H5536" s="5">
        <v>38504.296100</v>
      </c>
    </row>
    <row r="5537" spans="1:9">
      <c r="A5537" s="22" t="str">
        <f>HYPERLINK("https://app.vivvix.com/360/KMI/IntelliDrive/ApplUI/Pages/CreativePages/CustomReportCreativeDetail.aspx?App=23&amp;ReportView=4&amp;Qid=1711279&amp;Row=5529&amp;Col=1","No Title Assigned - #15269564127")</f>
        <v/>
      </c>
      <c r="B5537" s="0" t="s">
        <v>7457</v>
      </c>
      <c r="E5537" s="0" t="inlineStr">
        <is>
          <t xml:space="preserve">Mazda</t>
        </is>
      </c>
      <c r="F5537" s="0" t="inlineStr">
        <is>
          <t xml:space="preserve">Mazda</t>
        </is>
      </c>
      <c r="G5537" s="0" t="s">
        <v>171</v>
      </c>
      <c r="H5537" s="5">
        <v>35.370600</v>
      </c>
    </row>
    <row r="5538" spans="1:9">
      <c r="A5538" s="22" t="str">
        <f>HYPERLINK("https://app.vivvix.com/360/KMI/IntelliDrive/ApplUI/Pages/CreativePages/CustomReportCreativeDetail.aspx?App=23&amp;ReportView=4&amp;Qid=1711279&amp;Row=5530&amp;Col=1","No Title Assigned - #15269564712")</f>
        <v/>
      </c>
      <c r="B5538" s="0" t="s">
        <v>7458</v>
      </c>
      <c r="E5538" s="0" t="inlineStr">
        <is>
          <t xml:space="preserve">Mazda</t>
        </is>
      </c>
      <c r="F5538" s="0" t="inlineStr">
        <is>
          <t xml:space="preserve">Mazda</t>
        </is>
      </c>
      <c r="G5538" s="0" t="s">
        <v>171</v>
      </c>
      <c r="H5538" s="5">
        <v>2226.312300</v>
      </c>
    </row>
    <row r="5539" spans="1:9">
      <c r="A5539" s="22" t="str">
        <f>HYPERLINK("https://app.vivvix.com/360/KMI/IntelliDrive/ApplUI/Pages/CreativePages/CustomReportCreativeDetail.aspx?App=23&amp;ReportView=4&amp;Qid=1711279&amp;Row=5531&amp;Col=1","No Title Assigned - #15269565271")</f>
        <v/>
      </c>
      <c r="B5539" s="0" t="s">
        <v>7459</v>
      </c>
      <c r="E5539" s="0" t="inlineStr">
        <is>
          <t xml:space="preserve">Mazda</t>
        </is>
      </c>
      <c r="F5539" s="0" t="inlineStr">
        <is>
          <t xml:space="preserve">Mazda</t>
        </is>
      </c>
      <c r="G5539" s="0" t="s">
        <v>171</v>
      </c>
      <c r="H5539" s="5">
        <v>74.450500</v>
      </c>
    </row>
    <row r="5540" spans="1:9">
      <c r="A5540" s="22" t="str">
        <f>HYPERLINK("https://app.vivvix.com/360/KMI/IntelliDrive/ApplUI/Pages/CreativePages/CustomReportCreativeDetail.aspx?App=23&amp;ReportView=4&amp;Qid=1711279&amp;Row=5532&amp;Col=1","No Title Assigned - #15269565755")</f>
        <v/>
      </c>
      <c r="B5540" s="0" t="s">
        <v>7460</v>
      </c>
      <c r="E5540" s="0" t="inlineStr">
        <is>
          <t xml:space="preserve">Mazda</t>
        </is>
      </c>
      <c r="F5540" s="0" t="inlineStr">
        <is>
          <t xml:space="preserve">Mazda</t>
        </is>
      </c>
      <c r="G5540" s="0" t="s">
        <v>171</v>
      </c>
      <c r="H5540" s="5">
        <v>15007.410200</v>
      </c>
    </row>
    <row r="5541" spans="1:9">
      <c r="A5541" s="22" t="str">
        <f>HYPERLINK("https://app.vivvix.com/360/KMI/IntelliDrive/ApplUI/Pages/CreativePages/CustomReportCreativeDetail.aspx?App=23&amp;ReportView=4&amp;Qid=1711279&amp;Row=5533&amp;Col=1","No Title Assigned - #15269566084")</f>
        <v/>
      </c>
      <c r="B5541" s="0" t="s">
        <v>7461</v>
      </c>
      <c r="E5541" s="0" t="inlineStr">
        <is>
          <t xml:space="preserve">Mazda</t>
        </is>
      </c>
      <c r="F5541" s="0" t="inlineStr">
        <is>
          <t xml:space="preserve">Mazda</t>
        </is>
      </c>
      <c r="G5541" s="0" t="s">
        <v>171</v>
      </c>
      <c r="H5541" s="5">
        <v>44.619100</v>
      </c>
    </row>
    <row r="5542" spans="1:9">
      <c r="A5542" s="22" t="str">
        <f>HYPERLINK("https://app.vivvix.com/360/KMI/IntelliDrive/ApplUI/Pages/CreativePages/CustomReportCreativeDetail.aspx?App=23&amp;ReportView=4&amp;Qid=1711279&amp;Row=5534&amp;Col=1","No Title Assigned - #15269566113")</f>
        <v/>
      </c>
      <c r="B5542" s="0" t="s">
        <v>7462</v>
      </c>
      <c r="E5542" s="0" t="inlineStr">
        <is>
          <t xml:space="preserve">Mazda</t>
        </is>
      </c>
      <c r="F5542" s="0" t="inlineStr">
        <is>
          <t xml:space="preserve">Mazda</t>
        </is>
      </c>
      <c r="G5542" s="0" t="s">
        <v>171</v>
      </c>
      <c r="H5542" s="5">
        <v>15.590500</v>
      </c>
    </row>
    <row r="5543" spans="1:9">
      <c r="A5543" s="22" t="str">
        <f>HYPERLINK("https://app.vivvix.com/360/KMI/IntelliDrive/ApplUI/Pages/CreativePages/CustomReportCreativeDetail.aspx?App=23&amp;ReportView=4&amp;Qid=1711279&amp;Row=5535&amp;Col=1","No Title Assigned - #15269567490")</f>
        <v/>
      </c>
      <c r="B5543" s="0" t="s">
        <v>7463</v>
      </c>
      <c r="E5543" s="0" t="inlineStr">
        <is>
          <t xml:space="preserve">Mazda</t>
        </is>
      </c>
      <c r="F5543" s="0" t="inlineStr">
        <is>
          <t xml:space="preserve">Mazda</t>
        </is>
      </c>
      <c r="G5543" s="0" t="s">
        <v>171</v>
      </c>
      <c r="H5543" s="5">
        <v>25.864100</v>
      </c>
    </row>
    <row r="5544" spans="1:9">
      <c r="A5544" s="22" t="str">
        <f>HYPERLINK("https://app.vivvix.com/360/KMI/IntelliDrive/ApplUI/Pages/CreativePages/CustomReportCreativeDetail.aspx?App=23&amp;ReportView=4&amp;Qid=1711279&amp;Row=5536&amp;Col=1","No Title Assigned - #15269567490")</f>
        <v/>
      </c>
      <c r="B5544" s="0" t="s">
        <v>7463</v>
      </c>
      <c r="E5544" s="0" t="inlineStr">
        <is>
          <t xml:space="preserve">Mazda</t>
        </is>
      </c>
      <c r="F5544" s="0" t="inlineStr">
        <is>
          <t xml:space="preserve">Mazda</t>
        </is>
      </c>
      <c r="G5544" s="0" t="s">
        <v>171</v>
      </c>
      <c r="H5544" s="5">
        <v>109.837400</v>
      </c>
    </row>
    <row r="5545" spans="1:9">
      <c r="A5545" s="22" t="str">
        <f>HYPERLINK("https://app.vivvix.com/360/KMI/IntelliDrive/ApplUI/Pages/CreativePages/CustomReportCreativeDetail.aspx?App=23&amp;ReportView=4&amp;Qid=1711279&amp;Row=5537&amp;Col=1","No Title Assigned - #15269570011")</f>
        <v/>
      </c>
      <c r="B5545" s="0" t="s">
        <v>7464</v>
      </c>
      <c r="E5545" s="0" t="inlineStr">
        <is>
          <t xml:space="preserve">Mazda</t>
        </is>
      </c>
      <c r="F5545" s="0" t="inlineStr">
        <is>
          <t xml:space="preserve">Mazda</t>
        </is>
      </c>
      <c r="G5545" s="0" t="s">
        <v>171</v>
      </c>
      <c r="H5545" s="5">
        <v>29.023700</v>
      </c>
    </row>
    <row r="5546" spans="1:9">
      <c r="A5546" s="22" t="str">
        <f>HYPERLINK("https://app.vivvix.com/360/KMI/IntelliDrive/ApplUI/Pages/CreativePages/CustomReportCreativeDetail.aspx?App=23&amp;ReportView=4&amp;Qid=1711279&amp;Row=5538&amp;Col=1","No Title Assigned - #15269573533")</f>
        <v/>
      </c>
      <c r="B5546" s="0" t="s">
        <v>7465</v>
      </c>
      <c r="E5546" s="0" t="inlineStr">
        <is>
          <t xml:space="preserve">Mazda</t>
        </is>
      </c>
      <c r="F5546" s="0" t="inlineStr">
        <is>
          <t xml:space="preserve">Mazda</t>
        </is>
      </c>
      <c r="G5546" s="0" t="s">
        <v>171</v>
      </c>
      <c r="H5546" s="5">
        <v>3064.033300</v>
      </c>
    </row>
    <row r="5547" spans="1:9">
      <c r="A5547" s="22" t="str">
        <f>HYPERLINK("https://app.vivvix.com/360/KMI/IntelliDrive/ApplUI/Pages/CreativePages/CustomReportCreativeDetail.aspx?App=23&amp;ReportView=4&amp;Qid=1711279&amp;Row=5539&amp;Col=1","No Title Assigned - #15269574927")</f>
        <v/>
      </c>
      <c r="B5547" s="0" t="s">
        <v>7466</v>
      </c>
      <c r="E5547" s="0" t="inlineStr">
        <is>
          <t xml:space="preserve">Mazda</t>
        </is>
      </c>
      <c r="F5547" s="0" t="inlineStr">
        <is>
          <t xml:space="preserve">Mazda</t>
        </is>
      </c>
      <c r="G5547" s="0" t="s">
        <v>171</v>
      </c>
      <c r="H5547" s="5">
        <v>7205.651900</v>
      </c>
    </row>
    <row r="5548" spans="1:9">
      <c r="A5548" s="22" t="str">
        <f>HYPERLINK("https://app.vivvix.com/360/KMI/IntelliDrive/ApplUI/Pages/CreativePages/CustomReportCreativeDetail.aspx?App=23&amp;ReportView=4&amp;Qid=1711279&amp;Row=5540&amp;Col=1","No Title Assigned - #15269580335")</f>
        <v/>
      </c>
      <c r="B5548" s="0" t="s">
        <v>7467</v>
      </c>
      <c r="E5548" s="0" t="inlineStr">
        <is>
          <t xml:space="preserve">Mazda</t>
        </is>
      </c>
      <c r="F5548" s="0" t="inlineStr">
        <is>
          <t xml:space="preserve">Mazda</t>
        </is>
      </c>
      <c r="G5548" s="0" t="s">
        <v>171</v>
      </c>
      <c r="H5548" s="5">
        <v>155384.312500</v>
      </c>
    </row>
    <row r="5549" spans="1:9">
      <c r="A5549" s="22" t="str">
        <f>HYPERLINK("https://app.vivvix.com/360/KMI/IntelliDrive/ApplUI/Pages/CreativePages/CustomReportCreativeDetail.aspx?App=23&amp;ReportView=4&amp;Qid=1711279&amp;Row=5541&amp;Col=1","No Title Assigned - #15269585489")</f>
        <v/>
      </c>
      <c r="B5549" s="0" t="s">
        <v>7468</v>
      </c>
      <c r="E5549" s="0" t="inlineStr">
        <is>
          <t xml:space="preserve">Mazda</t>
        </is>
      </c>
      <c r="F5549" s="0" t="inlineStr">
        <is>
          <t xml:space="preserve">Mazda</t>
        </is>
      </c>
      <c r="G5549" s="0" t="s">
        <v>171</v>
      </c>
      <c r="H5549" s="5">
        <v>53.485800</v>
      </c>
    </row>
    <row r="5550" spans="1:9">
      <c r="A5550" s="22" t="str">
        <f>HYPERLINK("https://app.vivvix.com/360/KMI/IntelliDrive/ApplUI/Pages/CreativePages/CustomReportCreativeDetail.aspx?App=23&amp;ReportView=4&amp;Qid=1711279&amp;Row=5542&amp;Col=1","No Title Assigned - #15269587287")</f>
        <v/>
      </c>
      <c r="B5550" s="0" t="s">
        <v>7469</v>
      </c>
      <c r="C5550" s="0" t="s">
        <v>7470</v>
      </c>
      <c r="D5550" s="0" t="s">
        <v>7470</v>
      </c>
      <c r="E5550" s="0" t="inlineStr">
        <is>
          <t xml:space="preserve">Mazda</t>
        </is>
      </c>
      <c r="F5550" s="0" t="s">
        <v>28</v>
      </c>
      <c r="G5550" s="0" t="s">
        <v>29</v>
      </c>
      <c r="H5550" s="5">
        <v>647.262600</v>
      </c>
    </row>
    <row r="5551" spans="1:9">
      <c r="A5551" s="22" t="str">
        <f>HYPERLINK("https://app.vivvix.com/360/KMI/IntelliDrive/ApplUI/Pages/CreativePages/CustomReportCreativeDetail.aspx?App=23&amp;ReportView=4&amp;Qid=1711279&amp;Row=5543&amp;Col=1","No Title Assigned - #15269588643")</f>
        <v/>
      </c>
      <c r="B5551" s="0" t="s">
        <v>7471</v>
      </c>
      <c r="C5551" s="0" t="s">
        <v>7472</v>
      </c>
      <c r="D5551" s="0" t="s">
        <v>7472</v>
      </c>
      <c r="E5551" s="0" t="inlineStr">
        <is>
          <t xml:space="preserve">Mazda</t>
        </is>
      </c>
      <c r="F5551" s="0" t="s">
        <v>28</v>
      </c>
      <c r="G5551" s="0" t="s">
        <v>29</v>
      </c>
      <c r="H5551" s="5">
        <v>215.841800</v>
      </c>
    </row>
    <row r="5552" spans="1:9">
      <c r="A5552" s="22" t="str">
        <f>HYPERLINK("https://app.vivvix.com/360/KMI/IntelliDrive/ApplUI/Pages/CreativePages/CustomReportCreativeDetail.aspx?App=23&amp;ReportView=4&amp;Qid=1711279&amp;Row=5544&amp;Col=1","No Title Assigned - #15269588644")</f>
        <v/>
      </c>
      <c r="B5552" s="0" t="s">
        <v>7473</v>
      </c>
      <c r="C5552" s="0" t="s">
        <v>7474</v>
      </c>
      <c r="D5552" s="0" t="s">
        <v>7474</v>
      </c>
      <c r="E5552" s="0" t="inlineStr">
        <is>
          <t xml:space="preserve">Mazda</t>
        </is>
      </c>
      <c r="F5552" s="0" t="s">
        <v>28</v>
      </c>
      <c r="G5552" s="0" t="s">
        <v>29</v>
      </c>
      <c r="H5552" s="5">
        <v>18.878000</v>
      </c>
    </row>
    <row r="5553" spans="1:9">
      <c r="A5553" s="22" t="str">
        <f>HYPERLINK("https://app.vivvix.com/360/KMI/IntelliDrive/ApplUI/Pages/CreativePages/CustomReportCreativeDetail.aspx?App=23&amp;ReportView=4&amp;Qid=1711279&amp;Row=5545&amp;Col=1","No Title Assigned - #15269588645")</f>
        <v/>
      </c>
      <c r="B5553" s="0" t="s">
        <v>7475</v>
      </c>
      <c r="C5553" s="0" t="s">
        <v>7476</v>
      </c>
      <c r="D5553" s="0" t="s">
        <v>4781</v>
      </c>
      <c r="E5553" s="0" t="inlineStr">
        <is>
          <t xml:space="preserve">Mazda</t>
        </is>
      </c>
      <c r="F5553" s="0" t="s">
        <v>28</v>
      </c>
      <c r="G5553" s="0" t="s">
        <v>29</v>
      </c>
      <c r="H5553" s="5">
        <v>18.878000</v>
      </c>
    </row>
    <row r="5554" spans="1:9">
      <c r="A5554" s="22" t="str">
        <f>HYPERLINK("https://app.vivvix.com/360/KMI/IntelliDrive/ApplUI/Pages/CreativePages/CustomReportCreativeDetail.aspx?App=23&amp;ReportView=4&amp;Qid=1711279&amp;Row=5546&amp;Col=1","No Title Assigned - #15269590131")</f>
        <v/>
      </c>
      <c r="B5554" s="0" t="s">
        <v>7477</v>
      </c>
      <c r="E5554" s="0" t="inlineStr">
        <is>
          <t xml:space="preserve">Mazda</t>
        </is>
      </c>
      <c r="F5554" s="0" t="inlineStr">
        <is>
          <t xml:space="preserve">Mazda</t>
        </is>
      </c>
      <c r="G5554" s="0" t="s">
        <v>171</v>
      </c>
      <c r="H5554" s="5">
        <v>17.273800</v>
      </c>
    </row>
    <row r="5555" spans="1:9">
      <c r="A5555" s="22" t="str">
        <f>HYPERLINK("https://app.vivvix.com/360/KMI/IntelliDrive/ApplUI/Pages/CreativePages/CustomReportCreativeDetail.aspx?App=23&amp;ReportView=4&amp;Qid=1711279&amp;Row=5547&amp;Col=1","No Title Assigned - #15269590310")</f>
        <v/>
      </c>
      <c r="B5555" s="0" t="s">
        <v>7478</v>
      </c>
      <c r="E5555" s="0" t="inlineStr">
        <is>
          <t xml:space="preserve">Mazda</t>
        </is>
      </c>
      <c r="F5555" s="0" t="inlineStr">
        <is>
          <t xml:space="preserve">Mazda</t>
        </is>
      </c>
      <c r="G5555" s="0" t="s">
        <v>171</v>
      </c>
      <c r="H5555" s="5">
        <v>30.757900</v>
      </c>
    </row>
    <row r="5556" spans="1:9">
      <c r="A5556" s="22" t="str">
        <f>HYPERLINK("https://app.vivvix.com/360/KMI/IntelliDrive/ApplUI/Pages/CreativePages/CustomReportCreativeDetail.aspx?App=23&amp;ReportView=4&amp;Qid=1711279&amp;Row=5548&amp;Col=1","No Title Assigned - #15269601767")</f>
        <v/>
      </c>
      <c r="B5556" s="0" t="s">
        <v>7479</v>
      </c>
      <c r="E5556" s="0" t="inlineStr">
        <is>
          <t xml:space="preserve">Mazda</t>
        </is>
      </c>
      <c r="F5556" s="0" t="inlineStr">
        <is>
          <t xml:space="preserve">Mazda</t>
        </is>
      </c>
      <c r="G5556" s="0" t="s">
        <v>171</v>
      </c>
      <c r="H5556" s="5">
        <v>15.590500</v>
      </c>
    </row>
    <row r="5557" spans="1:9">
      <c r="A5557" s="22" t="str">
        <f>HYPERLINK("https://app.vivvix.com/360/KMI/IntelliDrive/ApplUI/Pages/CreativePages/CustomReportCreativeDetail.aspx?App=23&amp;ReportView=4&amp;Qid=1711279&amp;Row=5549&amp;Col=1","No Title Assigned - #15269604686")</f>
        <v/>
      </c>
      <c r="B5557" s="0" t="s">
        <v>7480</v>
      </c>
      <c r="E5557" s="0" t="inlineStr">
        <is>
          <t xml:space="preserve">Mazda</t>
        </is>
      </c>
      <c r="F5557" s="0" t="inlineStr">
        <is>
          <t xml:space="preserve">Mazda</t>
        </is>
      </c>
      <c r="G5557" s="0" t="s">
        <v>171</v>
      </c>
      <c r="H5557" s="5">
        <v>53.496600</v>
      </c>
    </row>
    <row r="5558" spans="1:9">
      <c r="A5558" s="22" t="str">
        <f>HYPERLINK("https://app.vivvix.com/360/KMI/IntelliDrive/ApplUI/Pages/CreativePages/CustomReportCreativeDetail.aspx?App=23&amp;ReportView=4&amp;Qid=1711279&amp;Row=5550&amp;Col=1","No Title Assigned - #15269604686")</f>
        <v/>
      </c>
      <c r="B5558" s="0" t="s">
        <v>7480</v>
      </c>
      <c r="E5558" s="0" t="inlineStr">
        <is>
          <t xml:space="preserve">Mazda</t>
        </is>
      </c>
      <c r="F5558" s="0" t="inlineStr">
        <is>
          <t xml:space="preserve">Mazda</t>
        </is>
      </c>
      <c r="G5558" s="0" t="s">
        <v>171</v>
      </c>
      <c r="H5558" s="5">
        <v>2247.247800</v>
      </c>
    </row>
    <row r="5559" spans="1:9">
      <c r="A5559" s="22" t="str">
        <f>HYPERLINK("https://app.vivvix.com/360/KMI/IntelliDrive/ApplUI/Pages/CreativePages/CustomReportCreativeDetail.aspx?App=23&amp;ReportView=4&amp;Qid=1711279&amp;Row=5551&amp;Col=1","No Title Assigned - #15269605106")</f>
        <v/>
      </c>
      <c r="B5559" s="0" t="s">
        <v>7481</v>
      </c>
      <c r="C5559" s="0" t="s">
        <v>7482</v>
      </c>
      <c r="D5559" s="0" t="s">
        <v>7482</v>
      </c>
      <c r="E5559" s="0" t="inlineStr">
        <is>
          <t xml:space="preserve">Mazda</t>
        </is>
      </c>
      <c r="F5559" s="0" t="inlineStr">
        <is>
          <t xml:space="preserve">Mazda</t>
        </is>
      </c>
      <c r="G5559" s="0" t="s">
        <v>171</v>
      </c>
      <c r="H5559" s="5">
        <v>103272.098900</v>
      </c>
    </row>
    <row r="5560" spans="1:9">
      <c r="A5560" s="22" t="str">
        <f>HYPERLINK("https://app.vivvix.com/360/KMI/IntelliDrive/ApplUI/Pages/CreativePages/CustomReportCreativeDetail.aspx?App=23&amp;ReportView=4&amp;Qid=1711279&amp;Row=5552&amp;Col=1","No Title Assigned - #15269605106")</f>
        <v/>
      </c>
      <c r="B5560" s="0" t="s">
        <v>7481</v>
      </c>
      <c r="E5560" s="0" t="inlineStr">
        <is>
          <t xml:space="preserve">Mazda</t>
        </is>
      </c>
      <c r="F5560" s="0" t="inlineStr">
        <is>
          <t xml:space="preserve">Mazda</t>
        </is>
      </c>
      <c r="G5560" s="0" t="s">
        <v>171</v>
      </c>
      <c r="H5560" s="5">
        <v>83784.965500</v>
      </c>
    </row>
    <row r="5561" spans="1:9">
      <c r="A5561" s="22" t="str">
        <f>HYPERLINK("https://app.vivvix.com/360/KMI/IntelliDrive/ApplUI/Pages/CreativePages/CustomReportCreativeDetail.aspx?App=23&amp;ReportView=4&amp;Qid=1711279&amp;Row=5553&amp;Col=1","No Title Assigned - #15269605768")</f>
        <v/>
      </c>
      <c r="B5561" s="0" t="s">
        <v>7483</v>
      </c>
      <c r="E5561" s="0" t="inlineStr">
        <is>
          <t xml:space="preserve">Mazda</t>
        </is>
      </c>
      <c r="F5561" s="0" t="inlineStr">
        <is>
          <t xml:space="preserve">Mazda</t>
        </is>
      </c>
      <c r="G5561" s="0" t="s">
        <v>171</v>
      </c>
      <c r="H5561" s="5">
        <v>7300.473700</v>
      </c>
    </row>
    <row r="5562" spans="1:9">
      <c r="A5562" s="22" t="str">
        <f>HYPERLINK("https://app.vivvix.com/360/KMI/IntelliDrive/ApplUI/Pages/CreativePages/CustomReportCreativeDetail.aspx?App=23&amp;ReportView=4&amp;Qid=1711279&amp;Row=5554&amp;Col=1","No Title Assigned - #15269606080")</f>
        <v/>
      </c>
      <c r="B5562" s="0" t="s">
        <v>7484</v>
      </c>
      <c r="E5562" s="0" t="inlineStr">
        <is>
          <t xml:space="preserve">Mazda</t>
        </is>
      </c>
      <c r="F5562" s="0" t="inlineStr">
        <is>
          <t xml:space="preserve">Mazda</t>
        </is>
      </c>
      <c r="G5562" s="0" t="s">
        <v>171</v>
      </c>
      <c r="H5562" s="5">
        <v>3290.426800</v>
      </c>
    </row>
    <row r="5563" spans="1:9">
      <c r="A5563" s="22" t="str">
        <f>HYPERLINK("https://app.vivvix.com/360/KMI/IntelliDrive/ApplUI/Pages/CreativePages/CustomReportCreativeDetail.aspx?App=23&amp;ReportView=4&amp;Qid=1711279&amp;Row=5555&amp;Col=1","No Title Assigned - #15269607647")</f>
        <v/>
      </c>
      <c r="B5563" s="0" t="s">
        <v>7485</v>
      </c>
      <c r="E5563" s="0" t="inlineStr">
        <is>
          <t xml:space="preserve">Mazda</t>
        </is>
      </c>
      <c r="F5563" s="0" t="inlineStr">
        <is>
          <t xml:space="preserve">Mazda</t>
        </is>
      </c>
      <c r="G5563" s="0" t="s">
        <v>171</v>
      </c>
      <c r="H5563" s="5">
        <v>28.201700</v>
      </c>
    </row>
    <row r="5564" spans="1:9">
      <c r="A5564" s="22" t="str">
        <f>HYPERLINK("https://app.vivvix.com/360/KMI/IntelliDrive/ApplUI/Pages/CreativePages/CustomReportCreativeDetail.aspx?App=23&amp;ReportView=4&amp;Qid=1711279&amp;Row=5556&amp;Col=1","No Title Assigned - #15269608376")</f>
        <v/>
      </c>
      <c r="B5564" s="0" t="s">
        <v>7486</v>
      </c>
      <c r="C5564" s="0" t="s">
        <v>7487</v>
      </c>
      <c r="D5564" s="0" t="s">
        <v>4333</v>
      </c>
      <c r="E5564" s="0" t="inlineStr">
        <is>
          <t xml:space="preserve">Mazda</t>
        </is>
      </c>
      <c r="F5564" s="0" t="s">
        <v>28</v>
      </c>
      <c r="G5564" s="0" t="s">
        <v>29</v>
      </c>
      <c r="H5564" s="5">
        <v>125.360100</v>
      </c>
    </row>
    <row r="5565" spans="1:9">
      <c r="A5565" s="22" t="str">
        <f>HYPERLINK("https://app.vivvix.com/360/KMI/IntelliDrive/ApplUI/Pages/CreativePages/CustomReportCreativeDetail.aspx?App=23&amp;ReportView=4&amp;Qid=1711279&amp;Row=5557&amp;Col=1","No Title Assigned - #15269611507")</f>
        <v/>
      </c>
      <c r="B5565" s="0" t="s">
        <v>7488</v>
      </c>
      <c r="C5565" s="0" t="s">
        <v>7489</v>
      </c>
      <c r="D5565" s="0" t="s">
        <v>4333</v>
      </c>
      <c r="E5565" s="0" t="inlineStr">
        <is>
          <t xml:space="preserve">Mazda</t>
        </is>
      </c>
      <c r="F5565" s="0" t="s">
        <v>28</v>
      </c>
      <c r="G5565" s="0" t="s">
        <v>29</v>
      </c>
      <c r="H5565" s="5">
        <v>98.255500</v>
      </c>
    </row>
    <row r="5566" spans="1:9">
      <c r="A5566" s="22" t="str">
        <f>HYPERLINK("https://app.vivvix.com/360/KMI/IntelliDrive/ApplUI/Pages/CreativePages/CustomReportCreativeDetail.aspx?App=23&amp;ReportView=4&amp;Qid=1711279&amp;Row=5558&amp;Col=1","No Title Assigned - #15269612135")</f>
        <v/>
      </c>
      <c r="B5566" s="0" t="s">
        <v>7490</v>
      </c>
      <c r="C5566" s="0" t="s">
        <v>7491</v>
      </c>
      <c r="D5566" s="0" t="s">
        <v>4204</v>
      </c>
      <c r="E5566" s="0" t="inlineStr">
        <is>
          <t xml:space="preserve">Mazda</t>
        </is>
      </c>
      <c r="F5566" s="0" t="s">
        <v>28</v>
      </c>
      <c r="G5566" s="0" t="s">
        <v>29</v>
      </c>
      <c r="H5566" s="5">
        <v>74.048900</v>
      </c>
    </row>
    <row r="5567" spans="1:9">
      <c r="A5567" s="22" t="str">
        <f>HYPERLINK("https://app.vivvix.com/360/KMI/IntelliDrive/ApplUI/Pages/CreativePages/CustomReportCreativeDetail.aspx?App=23&amp;ReportView=4&amp;Qid=1711279&amp;Row=5559&amp;Col=1","No Title Assigned - #15269612136")</f>
        <v/>
      </c>
      <c r="B5567" s="0" t="s">
        <v>7492</v>
      </c>
      <c r="C5567" s="0" t="s">
        <v>7493</v>
      </c>
      <c r="D5567" s="0" t="s">
        <v>4200</v>
      </c>
      <c r="E5567" s="0" t="inlineStr">
        <is>
          <t xml:space="preserve">Mazda</t>
        </is>
      </c>
      <c r="F5567" s="0" t="s">
        <v>28</v>
      </c>
      <c r="G5567" s="0" t="s">
        <v>29</v>
      </c>
      <c r="H5567" s="5">
        <v>249.447100</v>
      </c>
    </row>
    <row r="5568" spans="1:9">
      <c r="A5568" s="22" t="str">
        <f>HYPERLINK("https://app.vivvix.com/360/KMI/IntelliDrive/ApplUI/Pages/CreativePages/CustomReportCreativeDetail.aspx?App=23&amp;ReportView=4&amp;Qid=1711279&amp;Row=5560&amp;Col=1","No Title Assigned - #15269612139")</f>
        <v/>
      </c>
      <c r="B5568" s="0" t="s">
        <v>7494</v>
      </c>
      <c r="C5568" s="0" t="s">
        <v>7495</v>
      </c>
      <c r="D5568" s="0" t="s">
        <v>4200</v>
      </c>
      <c r="E5568" s="0" t="inlineStr">
        <is>
          <t xml:space="preserve">Mazda</t>
        </is>
      </c>
      <c r="F5568" s="0" t="s">
        <v>28</v>
      </c>
      <c r="G5568" s="0" t="s">
        <v>29</v>
      </c>
      <c r="H5568" s="5">
        <v>59.450500</v>
      </c>
    </row>
    <row r="5569" spans="1:9">
      <c r="A5569" s="22" t="str">
        <f>HYPERLINK("https://app.vivvix.com/360/KMI/IntelliDrive/ApplUI/Pages/CreativePages/CustomReportCreativeDetail.aspx?App=23&amp;ReportView=4&amp;Qid=1711279&amp;Row=5561&amp;Col=1","No Title Assigned - #15269613107")</f>
        <v/>
      </c>
      <c r="B5569" s="0" t="s">
        <v>7496</v>
      </c>
      <c r="C5569" s="0" t="s">
        <v>7497</v>
      </c>
      <c r="D5569" s="0" t="s">
        <v>7497</v>
      </c>
      <c r="E5569" s="0" t="inlineStr">
        <is>
          <t xml:space="preserve">Mazda</t>
        </is>
      </c>
      <c r="F5569" s="0" t="s">
        <v>28</v>
      </c>
      <c r="G5569" s="0" t="s">
        <v>29</v>
      </c>
      <c r="H5569" s="5">
        <v>66.753100</v>
      </c>
    </row>
    <row r="5570" spans="1:9">
      <c r="A5570" s="22" t="str">
        <f>HYPERLINK("https://app.vivvix.com/360/KMI/IntelliDrive/ApplUI/Pages/CreativePages/CustomReportCreativeDetail.aspx?App=23&amp;ReportView=4&amp;Qid=1711279&amp;Row=5562&amp;Col=1","No Title Assigned - #15269613691")</f>
        <v/>
      </c>
      <c r="B5570" s="0" t="s">
        <v>7498</v>
      </c>
      <c r="E5570" s="0" t="inlineStr">
        <is>
          <t xml:space="preserve">Mazda</t>
        </is>
      </c>
      <c r="F5570" s="0" t="inlineStr">
        <is>
          <t xml:space="preserve">Mazda</t>
        </is>
      </c>
      <c r="G5570" s="0" t="s">
        <v>171</v>
      </c>
      <c r="H5570" s="5">
        <v>28.580800</v>
      </c>
    </row>
    <row r="5571" spans="1:9">
      <c r="A5571" s="22" t="str">
        <f>HYPERLINK("https://app.vivvix.com/360/KMI/IntelliDrive/ApplUI/Pages/CreativePages/CustomReportCreativeDetail.aspx?App=23&amp;ReportView=4&amp;Qid=1711279&amp;Row=5563&amp;Col=1","No Title Assigned - #15269614768")</f>
        <v/>
      </c>
      <c r="B5571" s="0" t="s">
        <v>7499</v>
      </c>
      <c r="C5571" s="0" t="s">
        <v>7500</v>
      </c>
      <c r="D5571" s="0" t="s">
        <v>7500</v>
      </c>
      <c r="E5571" s="0" t="inlineStr">
        <is>
          <t xml:space="preserve">Mazda</t>
        </is>
      </c>
      <c r="F5571" s="0" t="inlineStr">
        <is>
          <t xml:space="preserve">Mazda</t>
        </is>
      </c>
      <c r="G5571" s="0" t="s">
        <v>171</v>
      </c>
      <c r="H5571" s="5">
        <v>56686.886900</v>
      </c>
    </row>
    <row r="5572" spans="1:9">
      <c r="A5572" s="22" t="str">
        <f>HYPERLINK("https://app.vivvix.com/360/KMI/IntelliDrive/ApplUI/Pages/CreativePages/CustomReportCreativeDetail.aspx?App=23&amp;ReportView=4&amp;Qid=1711279&amp;Row=5564&amp;Col=1","No Title Assigned - #15269615843")</f>
        <v/>
      </c>
      <c r="B5572" s="0" t="s">
        <v>7501</v>
      </c>
      <c r="E5572" s="0" t="inlineStr">
        <is>
          <t xml:space="preserve">Mazda</t>
        </is>
      </c>
      <c r="F5572" s="0" t="inlineStr">
        <is>
          <t xml:space="preserve">Mazda</t>
        </is>
      </c>
      <c r="G5572" s="0" t="s">
        <v>171</v>
      </c>
      <c r="H5572" s="5">
        <v>2120.494200</v>
      </c>
    </row>
    <row r="5573" spans="1:9">
      <c r="A5573" s="22" t="str">
        <f>HYPERLINK("https://app.vivvix.com/360/KMI/IntelliDrive/ApplUI/Pages/CreativePages/CustomReportCreativeDetail.aspx?App=23&amp;ReportView=4&amp;Qid=1711279&amp;Row=5565&amp;Col=1","No Title Assigned - #15269615843")</f>
        <v/>
      </c>
      <c r="B5573" s="0" t="s">
        <v>7501</v>
      </c>
      <c r="E5573" s="0" t="inlineStr">
        <is>
          <t xml:space="preserve">Mazda</t>
        </is>
      </c>
      <c r="F5573" s="0" t="inlineStr">
        <is>
          <t xml:space="preserve">Mazda</t>
        </is>
      </c>
      <c r="G5573" s="0" t="s">
        <v>171</v>
      </c>
      <c r="H5573" s="5">
        <v>23619.572300</v>
      </c>
    </row>
    <row r="5574" spans="1:9">
      <c r="A5574" s="22" t="str">
        <f>HYPERLINK("https://app.vivvix.com/360/KMI/IntelliDrive/ApplUI/Pages/CreativePages/CustomReportCreativeDetail.aspx?App=23&amp;ReportView=4&amp;Qid=1711279&amp;Row=5566&amp;Col=1","No Title Assigned - #15269615994")</f>
        <v/>
      </c>
      <c r="B5574" s="0" t="s">
        <v>7502</v>
      </c>
      <c r="E5574" s="0" t="inlineStr">
        <is>
          <t xml:space="preserve">Mazda</t>
        </is>
      </c>
      <c r="F5574" s="0" t="inlineStr">
        <is>
          <t xml:space="preserve">Mazda</t>
        </is>
      </c>
      <c r="G5574" s="0" t="s">
        <v>171</v>
      </c>
      <c r="H5574" s="5">
        <v>6.663800</v>
      </c>
    </row>
    <row r="5575" spans="1:9">
      <c r="A5575" s="22" t="str">
        <f>HYPERLINK("https://app.vivvix.com/360/KMI/IntelliDrive/ApplUI/Pages/CreativePages/CustomReportCreativeDetail.aspx?App=23&amp;ReportView=4&amp;Qid=1711279&amp;Row=5567&amp;Col=1","No Title Assigned - #15269616475")</f>
        <v/>
      </c>
      <c r="B5575" s="0" t="s">
        <v>7503</v>
      </c>
      <c r="E5575" s="0" t="inlineStr">
        <is>
          <t xml:space="preserve">Mazda</t>
        </is>
      </c>
      <c r="F5575" s="0" t="inlineStr">
        <is>
          <t xml:space="preserve">Mazda</t>
        </is>
      </c>
      <c r="G5575" s="0" t="s">
        <v>171</v>
      </c>
      <c r="H5575" s="5">
        <v>430.103000</v>
      </c>
    </row>
    <row r="5576" spans="1:9">
      <c r="A5576" s="22" t="str">
        <f>HYPERLINK("https://app.vivvix.com/360/KMI/IntelliDrive/ApplUI/Pages/CreativePages/CustomReportCreativeDetail.aspx?App=23&amp;ReportView=4&amp;Qid=1711279&amp;Row=5568&amp;Col=1","No Title Assigned - #15269616800")</f>
        <v/>
      </c>
      <c r="B5576" s="0" t="s">
        <v>7504</v>
      </c>
      <c r="E5576" s="0" t="inlineStr">
        <is>
          <t xml:space="preserve">Mazda</t>
        </is>
      </c>
      <c r="F5576" s="0" t="inlineStr">
        <is>
          <t xml:space="preserve">Mazda</t>
        </is>
      </c>
      <c r="G5576" s="0" t="s">
        <v>171</v>
      </c>
      <c r="H5576" s="5">
        <v>219.688300</v>
      </c>
    </row>
    <row r="5577" spans="1:9">
      <c r="A5577" s="22" t="str">
        <f>HYPERLINK("https://app.vivvix.com/360/KMI/IntelliDrive/ApplUI/Pages/CreativePages/CustomReportCreativeDetail.aspx?App=23&amp;ReportView=4&amp;Qid=1711279&amp;Row=5569&amp;Col=1","No Title Assigned - #15269618614")</f>
        <v/>
      </c>
      <c r="B5577" s="0" t="s">
        <v>7505</v>
      </c>
      <c r="C5577" s="0" t="s">
        <v>7506</v>
      </c>
      <c r="D5577" s="0" t="s">
        <v>7506</v>
      </c>
      <c r="E5577" s="0" t="inlineStr">
        <is>
          <t xml:space="preserve">Mazda</t>
        </is>
      </c>
      <c r="F5577" s="0" t="s">
        <v>28</v>
      </c>
      <c r="G5577" s="0" t="s">
        <v>29</v>
      </c>
      <c r="H5577" s="5">
        <v>12.754400</v>
      </c>
    </row>
    <row r="5578" spans="1:9">
      <c r="A5578" s="22" t="str">
        <f>HYPERLINK("https://app.vivvix.com/360/KMI/IntelliDrive/ApplUI/Pages/CreativePages/CustomReportCreativeDetail.aspx?App=23&amp;ReportView=4&amp;Qid=1711279&amp;Row=5570&amp;Col=1","No Title Assigned - #15269619084")</f>
        <v/>
      </c>
      <c r="B5578" s="0" t="s">
        <v>7507</v>
      </c>
      <c r="C5578" s="0" t="s">
        <v>7508</v>
      </c>
      <c r="D5578" s="0" t="s">
        <v>7508</v>
      </c>
      <c r="E5578" s="0" t="inlineStr">
        <is>
          <t xml:space="preserve">Mazda</t>
        </is>
      </c>
      <c r="F5578" s="0" t="s">
        <v>28</v>
      </c>
      <c r="G5578" s="0" t="s">
        <v>29</v>
      </c>
      <c r="H5578" s="5">
        <v>84.202000</v>
      </c>
    </row>
    <row r="5579" spans="1:9">
      <c r="A5579" s="22" t="str">
        <f>HYPERLINK("https://app.vivvix.com/360/KMI/IntelliDrive/ApplUI/Pages/CreativePages/CustomReportCreativeDetail.aspx?App=23&amp;ReportView=4&amp;Qid=1711279&amp;Row=5571&amp;Col=1","No Title Assigned - #15269619509")</f>
        <v/>
      </c>
      <c r="B5579" s="0" t="s">
        <v>7509</v>
      </c>
      <c r="E5579" s="0" t="inlineStr">
        <is>
          <t xml:space="preserve">Mazda</t>
        </is>
      </c>
      <c r="F5579" s="0" t="inlineStr">
        <is>
          <t xml:space="preserve">Mazda</t>
        </is>
      </c>
      <c r="G5579" s="0" t="s">
        <v>171</v>
      </c>
      <c r="H5579" s="5">
        <v>126.532700</v>
      </c>
    </row>
    <row r="5580" spans="1:9">
      <c r="A5580" s="22" t="str">
        <f>HYPERLINK("https://app.vivvix.com/360/KMI/IntelliDrive/ApplUI/Pages/CreativePages/CustomReportCreativeDetail.aspx?App=23&amp;ReportView=4&amp;Qid=1711279&amp;Row=5572&amp;Col=1","No Title Assigned - #15269619654")</f>
        <v/>
      </c>
      <c r="B5580" s="0" t="s">
        <v>7510</v>
      </c>
      <c r="E5580" s="0" t="inlineStr">
        <is>
          <t xml:space="preserve">Mazda</t>
        </is>
      </c>
      <c r="F5580" s="0" t="inlineStr">
        <is>
          <t xml:space="preserve">Mazda</t>
        </is>
      </c>
      <c r="G5580" s="0" t="s">
        <v>171</v>
      </c>
      <c r="H5580" s="5">
        <v>11.575800</v>
      </c>
    </row>
    <row r="5581" spans="1:9">
      <c r="A5581" s="22" t="str">
        <f>HYPERLINK("https://app.vivvix.com/360/KMI/IntelliDrive/ApplUI/Pages/CreativePages/CustomReportCreativeDetail.aspx?App=23&amp;ReportView=4&amp;Qid=1711279&amp;Row=5573&amp;Col=1","No Title Assigned - #15269620173")</f>
        <v/>
      </c>
      <c r="B5581" s="0" t="s">
        <v>7511</v>
      </c>
      <c r="E5581" s="0" t="inlineStr">
        <is>
          <t xml:space="preserve">Mazda</t>
        </is>
      </c>
      <c r="F5581" s="0" t="inlineStr">
        <is>
          <t xml:space="preserve">Mazda</t>
        </is>
      </c>
      <c r="G5581" s="0" t="s">
        <v>171</v>
      </c>
      <c r="H5581" s="5">
        <v>18294.572400</v>
      </c>
    </row>
    <row r="5582" spans="1:9">
      <c r="A5582" s="22" t="str">
        <f>HYPERLINK("https://app.vivvix.com/360/KMI/IntelliDrive/ApplUI/Pages/CreativePages/CustomReportCreativeDetail.aspx?App=23&amp;ReportView=4&amp;Qid=1711279&amp;Row=5574&amp;Col=1","No Title Assigned - #15269621003")</f>
        <v/>
      </c>
      <c r="B5582" s="0" t="s">
        <v>7512</v>
      </c>
      <c r="E5582" s="0" t="inlineStr">
        <is>
          <t xml:space="preserve">Mazda</t>
        </is>
      </c>
      <c r="F5582" s="0" t="inlineStr">
        <is>
          <t xml:space="preserve">Mazda</t>
        </is>
      </c>
      <c r="G5582" s="0" t="s">
        <v>171</v>
      </c>
      <c r="H5582" s="5">
        <v>26.504300</v>
      </c>
    </row>
    <row r="5583" spans="1:9">
      <c r="A5583" s="22" t="str">
        <f>HYPERLINK("https://app.vivvix.com/360/KMI/IntelliDrive/ApplUI/Pages/CreativePages/CustomReportCreativeDetail.aspx?App=23&amp;ReportView=4&amp;Qid=1711279&amp;Row=5575&amp;Col=1","No Title Assigned - #15269621070")</f>
        <v/>
      </c>
      <c r="B5583" s="0" t="s">
        <v>7513</v>
      </c>
      <c r="E5583" s="0" t="inlineStr">
        <is>
          <t xml:space="preserve">Mazda</t>
        </is>
      </c>
      <c r="F5583" s="0" t="inlineStr">
        <is>
          <t xml:space="preserve">Mazda</t>
        </is>
      </c>
      <c r="G5583" s="0" t="s">
        <v>171</v>
      </c>
      <c r="H5583" s="5">
        <v>393.487900</v>
      </c>
    </row>
    <row r="5584" spans="1:9">
      <c r="A5584" s="22" t="str">
        <f>HYPERLINK("https://app.vivvix.com/360/KMI/IntelliDrive/ApplUI/Pages/CreativePages/CustomReportCreativeDetail.aspx?App=23&amp;ReportView=4&amp;Qid=1711279&amp;Row=5576&amp;Col=1","No Title Assigned - #15269621276")</f>
        <v/>
      </c>
      <c r="B5584" s="0" t="s">
        <v>7514</v>
      </c>
      <c r="E5584" s="0" t="inlineStr">
        <is>
          <t xml:space="preserve">Mazda</t>
        </is>
      </c>
      <c r="F5584" s="0" t="inlineStr">
        <is>
          <t xml:space="preserve">Mazda</t>
        </is>
      </c>
      <c r="G5584" s="0" t="s">
        <v>171</v>
      </c>
      <c r="H5584" s="5">
        <v>9.436400</v>
      </c>
    </row>
    <row r="5585" spans="1:9">
      <c r="A5585" s="22" t="str">
        <f>HYPERLINK("https://app.vivvix.com/360/KMI/IntelliDrive/ApplUI/Pages/CreativePages/CustomReportCreativeDetail.aspx?App=23&amp;ReportView=4&amp;Qid=1711279&amp;Row=5577&amp;Col=1","No Title Assigned - #15269621653")</f>
        <v/>
      </c>
      <c r="B5585" s="0" t="s">
        <v>7515</v>
      </c>
      <c r="E5585" s="0" t="inlineStr">
        <is>
          <t xml:space="preserve">Mazda</t>
        </is>
      </c>
      <c r="F5585" s="0" t="inlineStr">
        <is>
          <t xml:space="preserve">Mazda</t>
        </is>
      </c>
      <c r="G5585" s="0" t="s">
        <v>171</v>
      </c>
      <c r="H5585" s="5">
        <v>39.126000</v>
      </c>
    </row>
    <row r="5586" spans="1:9">
      <c r="A5586" s="22" t="str">
        <f>HYPERLINK("https://app.vivvix.com/360/KMI/IntelliDrive/ApplUI/Pages/CreativePages/CustomReportCreativeDetail.aspx?App=23&amp;ReportView=4&amp;Qid=1711279&amp;Row=5578&amp;Col=1","No Title Assigned - #15269622438")</f>
        <v/>
      </c>
      <c r="B5586" s="0" t="s">
        <v>7516</v>
      </c>
      <c r="C5586" s="0" t="s">
        <v>7517</v>
      </c>
      <c r="D5586" s="0" t="s">
        <v>7517</v>
      </c>
      <c r="E5586" s="0" t="inlineStr">
        <is>
          <t xml:space="preserve">Mazda</t>
        </is>
      </c>
      <c r="F5586" s="0" t="inlineStr">
        <is>
          <t xml:space="preserve">Mazda</t>
        </is>
      </c>
      <c r="G5586" s="0" t="s">
        <v>171</v>
      </c>
      <c r="H5586" s="5">
        <v>44.308200</v>
      </c>
    </row>
    <row r="5587" spans="1:9">
      <c r="A5587" s="22" t="str">
        <f>HYPERLINK("https://app.vivvix.com/360/KMI/IntelliDrive/ApplUI/Pages/CreativePages/CustomReportCreativeDetail.aspx?App=23&amp;ReportView=4&amp;Qid=1711279&amp;Row=5579&amp;Col=1","No Title Assigned - #15269623064")</f>
        <v/>
      </c>
      <c r="B5587" s="0" t="s">
        <v>7518</v>
      </c>
      <c r="E5587" s="0" t="inlineStr">
        <is>
          <t xml:space="preserve">Mazda</t>
        </is>
      </c>
      <c r="F5587" s="0" t="inlineStr">
        <is>
          <t xml:space="preserve">Mazda</t>
        </is>
      </c>
      <c r="G5587" s="0" t="s">
        <v>171</v>
      </c>
      <c r="H5587" s="5">
        <v>5235.814700</v>
      </c>
    </row>
    <row r="5588" spans="1:9">
      <c r="A5588" s="22" t="str">
        <f>HYPERLINK("https://app.vivvix.com/360/KMI/IntelliDrive/ApplUI/Pages/CreativePages/CustomReportCreativeDetail.aspx?App=23&amp;ReportView=4&amp;Qid=1711279&amp;Row=5580&amp;Col=1","No Title Assigned - #15269623064")</f>
        <v/>
      </c>
      <c r="B5588" s="0" t="s">
        <v>7518</v>
      </c>
      <c r="E5588" s="0" t="inlineStr">
        <is>
          <t xml:space="preserve">Mazda</t>
        </is>
      </c>
      <c r="F5588" s="0" t="inlineStr">
        <is>
          <t xml:space="preserve">Mazda</t>
        </is>
      </c>
      <c r="G5588" s="0" t="s">
        <v>171</v>
      </c>
      <c r="H5588" s="5">
        <v>61843.531300</v>
      </c>
    </row>
    <row r="5589" spans="1:9">
      <c r="A5589" s="22" t="str">
        <f>HYPERLINK("https://app.vivvix.com/360/KMI/IntelliDrive/ApplUI/Pages/CreativePages/CustomReportCreativeDetail.aspx?App=23&amp;ReportView=4&amp;Qid=1711279&amp;Row=5581&amp;Col=1","No Title Assigned - #15269623273")</f>
        <v/>
      </c>
      <c r="B5589" s="0" t="s">
        <v>7519</v>
      </c>
      <c r="E5589" s="0" t="inlineStr">
        <is>
          <t xml:space="preserve">Mazda</t>
        </is>
      </c>
      <c r="F5589" s="0" t="inlineStr">
        <is>
          <t xml:space="preserve">Mazda</t>
        </is>
      </c>
      <c r="G5589" s="0" t="s">
        <v>171</v>
      </c>
      <c r="H5589" s="5">
        <v>353.042600</v>
      </c>
    </row>
    <row r="5590" spans="1:9">
      <c r="A5590" s="22" t="str">
        <f>HYPERLINK("https://app.vivvix.com/360/KMI/IntelliDrive/ApplUI/Pages/CreativePages/CustomReportCreativeDetail.aspx?App=23&amp;ReportView=4&amp;Qid=1711279&amp;Row=5582&amp;Col=1","No Title Assigned - #15269624764")</f>
        <v/>
      </c>
      <c r="B5590" s="0" t="s">
        <v>7520</v>
      </c>
      <c r="E5590" s="0" t="inlineStr">
        <is>
          <t xml:space="preserve">Mazda</t>
        </is>
      </c>
      <c r="F5590" s="0" t="inlineStr">
        <is>
          <t xml:space="preserve">Mazda</t>
        </is>
      </c>
      <c r="G5590" s="0" t="s">
        <v>171</v>
      </c>
      <c r="H5590" s="5">
        <v>1472.245500</v>
      </c>
    </row>
    <row r="5591" spans="1:9">
      <c r="A5591" s="22" t="str">
        <f>HYPERLINK("https://app.vivvix.com/360/KMI/IntelliDrive/ApplUI/Pages/CreativePages/CustomReportCreativeDetail.aspx?App=23&amp;ReportView=4&amp;Qid=1711279&amp;Row=5583&amp;Col=1","No Title Assigned - #15269625122")</f>
        <v/>
      </c>
      <c r="B5591" s="0" t="s">
        <v>7521</v>
      </c>
      <c r="E5591" s="0" t="inlineStr">
        <is>
          <t xml:space="preserve">Mazda</t>
        </is>
      </c>
      <c r="F5591" s="0" t="inlineStr">
        <is>
          <t xml:space="preserve">Mazda</t>
        </is>
      </c>
      <c r="G5591" s="0" t="s">
        <v>171</v>
      </c>
      <c r="H5591" s="5">
        <v>57.954900</v>
      </c>
    </row>
    <row r="5592" spans="1:9">
      <c r="A5592" s="22" t="str">
        <f>HYPERLINK("https://app.vivvix.com/360/KMI/IntelliDrive/ApplUI/Pages/CreativePages/CustomReportCreativeDetail.aspx?App=23&amp;ReportView=4&amp;Qid=1711279&amp;Row=5584&amp;Col=1","No Title Assigned - #15269625215")</f>
        <v/>
      </c>
      <c r="B5592" s="0" t="s">
        <v>7522</v>
      </c>
      <c r="E5592" s="0" t="inlineStr">
        <is>
          <t xml:space="preserve">Mazda</t>
        </is>
      </c>
      <c r="F5592" s="0" t="inlineStr">
        <is>
          <t xml:space="preserve">Mazda</t>
        </is>
      </c>
      <c r="G5592" s="0" t="s">
        <v>171</v>
      </c>
      <c r="H5592" s="5">
        <v>11.149700</v>
      </c>
    </row>
    <row r="5593" spans="1:9">
      <c r="A5593" s="22" t="str">
        <f>HYPERLINK("https://app.vivvix.com/360/KMI/IntelliDrive/ApplUI/Pages/CreativePages/CustomReportCreativeDetail.aspx?App=23&amp;ReportView=4&amp;Qid=1711279&amp;Row=5585&amp;Col=1","No Title Assigned - #15269625662")</f>
        <v/>
      </c>
      <c r="B5593" s="0" t="s">
        <v>7523</v>
      </c>
      <c r="E5593" s="0" t="inlineStr">
        <is>
          <t xml:space="preserve">Mazda</t>
        </is>
      </c>
      <c r="F5593" s="0" t="inlineStr">
        <is>
          <t xml:space="preserve">Mazda</t>
        </is>
      </c>
      <c r="G5593" s="0" t="s">
        <v>171</v>
      </c>
      <c r="H5593" s="5">
        <v>59.151500</v>
      </c>
    </row>
    <row r="5594" spans="1:9">
      <c r="A5594" s="22" t="str">
        <f>HYPERLINK("https://app.vivvix.com/360/KMI/IntelliDrive/ApplUI/Pages/CreativePages/CustomReportCreativeDetail.aspx?App=23&amp;ReportView=4&amp;Qid=1711279&amp;Row=5586&amp;Col=1","No Title Assigned - #15269625792")</f>
        <v/>
      </c>
      <c r="B5594" s="0" t="s">
        <v>7524</v>
      </c>
      <c r="C5594" s="0" t="s">
        <v>7525</v>
      </c>
      <c r="D5594" s="0" t="s">
        <v>7525</v>
      </c>
      <c r="E5594" s="0" t="inlineStr">
        <is>
          <t xml:space="preserve">Mazda</t>
        </is>
      </c>
      <c r="F5594" s="0" t="s">
        <v>13</v>
      </c>
      <c r="G5594" s="0" t="s">
        <v>49</v>
      </c>
      <c r="H5594" s="5">
        <v>5344.464000</v>
      </c>
    </row>
    <row r="5595" spans="1:9">
      <c r="A5595" s="22" t="str">
        <f>HYPERLINK("https://app.vivvix.com/360/KMI/IntelliDrive/ApplUI/Pages/CreativePages/CustomReportCreativeDetail.aspx?App=23&amp;ReportView=4&amp;Qid=1711279&amp;Row=5587&amp;Col=1","No Title Assigned - #15269626105")</f>
        <v/>
      </c>
      <c r="B5595" s="0" t="s">
        <v>7526</v>
      </c>
      <c r="E5595" s="0" t="inlineStr">
        <is>
          <t xml:space="preserve">Mazda</t>
        </is>
      </c>
      <c r="F5595" s="0" t="inlineStr">
        <is>
          <t xml:space="preserve">Mazda</t>
        </is>
      </c>
      <c r="G5595" s="0" t="s">
        <v>171</v>
      </c>
      <c r="H5595" s="5">
        <v>12.355800</v>
      </c>
    </row>
    <row r="5596" spans="1:9">
      <c r="A5596" s="22" t="str">
        <f>HYPERLINK("https://app.vivvix.com/360/KMI/IntelliDrive/ApplUI/Pages/CreativePages/CustomReportCreativeDetail.aspx?App=23&amp;ReportView=4&amp;Qid=1711279&amp;Row=5588&amp;Col=1","No Title Assigned - #15269626344")</f>
        <v/>
      </c>
      <c r="B5596" s="0" t="s">
        <v>7527</v>
      </c>
      <c r="E5596" s="0" t="inlineStr">
        <is>
          <t xml:space="preserve">Mazda</t>
        </is>
      </c>
      <c r="F5596" s="0" t="inlineStr">
        <is>
          <t xml:space="preserve">Mazda</t>
        </is>
      </c>
      <c r="G5596" s="0" t="s">
        <v>171</v>
      </c>
      <c r="H5596" s="5">
        <v>31.975200</v>
      </c>
    </row>
    <row r="5597" spans="1:9">
      <c r="A5597" s="22" t="str">
        <f>HYPERLINK("https://app.vivvix.com/360/KMI/IntelliDrive/ApplUI/Pages/CreativePages/CustomReportCreativeDetail.aspx?App=23&amp;ReportView=4&amp;Qid=1711279&amp;Row=5589&amp;Col=1","No Title Assigned - #15269626552")</f>
        <v/>
      </c>
      <c r="B5597" s="0" t="s">
        <v>7528</v>
      </c>
      <c r="E5597" s="0" t="inlineStr">
        <is>
          <t xml:space="preserve">Mazda</t>
        </is>
      </c>
      <c r="F5597" s="0" t="inlineStr">
        <is>
          <t xml:space="preserve">Mazda</t>
        </is>
      </c>
      <c r="G5597" s="0" t="s">
        <v>171</v>
      </c>
      <c r="H5597" s="5">
        <v>122.161100</v>
      </c>
    </row>
    <row r="5598" spans="1:9">
      <c r="A5598" s="22" t="str">
        <f>HYPERLINK("https://app.vivvix.com/360/KMI/IntelliDrive/ApplUI/Pages/CreativePages/CustomReportCreativeDetail.aspx?App=23&amp;ReportView=4&amp;Qid=1711279&amp;Row=5590&amp;Col=1","No Title Assigned - #15269626956")</f>
        <v/>
      </c>
      <c r="B5598" s="0" t="s">
        <v>7529</v>
      </c>
      <c r="E5598" s="0" t="inlineStr">
        <is>
          <t xml:space="preserve">Mazda</t>
        </is>
      </c>
      <c r="F5598" s="0" t="s">
        <v>21</v>
      </c>
      <c r="G5598" s="0" t="s">
        <v>22</v>
      </c>
      <c r="H5598" s="5">
        <v>167.272000</v>
      </c>
    </row>
    <row r="5599" spans="1:9">
      <c r="A5599" s="22" t="str">
        <f>HYPERLINK("https://app.vivvix.com/360/KMI/IntelliDrive/ApplUI/Pages/CreativePages/CustomReportCreativeDetail.aspx?App=23&amp;ReportView=4&amp;Qid=1711279&amp;Row=5591&amp;Col=1","No Title Assigned - #15269626957")</f>
        <v/>
      </c>
      <c r="B5599" s="0" t="s">
        <v>7530</v>
      </c>
      <c r="E5599" s="0" t="inlineStr">
        <is>
          <t xml:space="preserve">Mazda</t>
        </is>
      </c>
      <c r="F5599" s="0" t="inlineStr">
        <is>
          <t xml:space="preserve">Mazda</t>
        </is>
      </c>
      <c r="G5599" s="0" t="s">
        <v>171</v>
      </c>
      <c r="H5599" s="5">
        <v>69.230500</v>
      </c>
    </row>
    <row r="5600" spans="1:9">
      <c r="A5600" s="22" t="str">
        <f>HYPERLINK("https://app.vivvix.com/360/KMI/IntelliDrive/ApplUI/Pages/CreativePages/CustomReportCreativeDetail.aspx?App=23&amp;ReportView=4&amp;Qid=1711279&amp;Row=5592&amp;Col=1","No Title Assigned - #15269627762")</f>
        <v/>
      </c>
      <c r="B5600" s="0" t="s">
        <v>7531</v>
      </c>
      <c r="E5600" s="0" t="inlineStr">
        <is>
          <t xml:space="preserve">Mazda</t>
        </is>
      </c>
      <c r="F5600" s="0" t="inlineStr">
        <is>
          <t xml:space="preserve">Mazda</t>
        </is>
      </c>
      <c r="G5600" s="0" t="s">
        <v>171</v>
      </c>
      <c r="H5600" s="5">
        <v>67.120400</v>
      </c>
    </row>
    <row r="5601" spans="1:9">
      <c r="A5601" s="22" t="str">
        <f>HYPERLINK("https://app.vivvix.com/360/KMI/IntelliDrive/ApplUI/Pages/CreativePages/CustomReportCreativeDetail.aspx?App=23&amp;ReportView=4&amp;Qid=1711279&amp;Row=5593&amp;Col=1","No Title Assigned - #15269627967")</f>
        <v/>
      </c>
      <c r="B5601" s="0" t="s">
        <v>7532</v>
      </c>
      <c r="C5601" s="0" t="s">
        <v>7533</v>
      </c>
      <c r="D5601" s="0" t="s">
        <v>7533</v>
      </c>
      <c r="E5601" s="0" t="inlineStr">
        <is>
          <t xml:space="preserve">Mazda</t>
        </is>
      </c>
      <c r="F5601" s="0" t="inlineStr">
        <is>
          <t xml:space="preserve">Mazda</t>
        </is>
      </c>
      <c r="G5601" s="0" t="s">
        <v>2413</v>
      </c>
      <c r="H5601" s="5">
        <v>7615.195300</v>
      </c>
    </row>
    <row r="5602" spans="1:9">
      <c r="A5602" s="22" t="str">
        <f>HYPERLINK("https://app.vivvix.com/360/KMI/IntelliDrive/ApplUI/Pages/CreativePages/CustomReportCreativeDetail.aspx?App=23&amp;ReportView=4&amp;Qid=1711279&amp;Row=5594&amp;Col=1","No Title Assigned - #15269628262")</f>
        <v/>
      </c>
      <c r="B5602" s="0" t="s">
        <v>7534</v>
      </c>
      <c r="E5602" s="0" t="inlineStr">
        <is>
          <t xml:space="preserve">Mazda</t>
        </is>
      </c>
      <c r="F5602" s="0" t="inlineStr">
        <is>
          <t xml:space="preserve">Mazda</t>
        </is>
      </c>
      <c r="G5602" s="0" t="s">
        <v>171</v>
      </c>
      <c r="H5602" s="5">
        <v>5.712000</v>
      </c>
    </row>
    <row r="5603" spans="1:9">
      <c r="A5603" s="22" t="str">
        <f>HYPERLINK("https://app.vivvix.com/360/KMI/IntelliDrive/ApplUI/Pages/CreativePages/CustomReportCreativeDetail.aspx?App=23&amp;ReportView=4&amp;Qid=1711279&amp;Row=5595&amp;Col=1","No Title Assigned - #15269631168")</f>
        <v/>
      </c>
      <c r="B5603" s="0" t="s">
        <v>7535</v>
      </c>
      <c r="C5603" s="0" t="s">
        <v>7536</v>
      </c>
      <c r="D5603" s="0" t="s">
        <v>7536</v>
      </c>
      <c r="E5603" s="0" t="inlineStr">
        <is>
          <t xml:space="preserve">Mazda</t>
        </is>
      </c>
      <c r="F5603" s="0" t="inlineStr">
        <is>
          <t xml:space="preserve">Mazda</t>
        </is>
      </c>
      <c r="G5603" s="0" t="s">
        <v>171</v>
      </c>
      <c r="H5603" s="5">
        <v>15.534200</v>
      </c>
    </row>
    <row r="5604" spans="1:9">
      <c r="A5604" s="22" t="str">
        <f>HYPERLINK("https://app.vivvix.com/360/KMI/IntelliDrive/ApplUI/Pages/CreativePages/CustomReportCreativeDetail.aspx?App=23&amp;ReportView=4&amp;Qid=1711279&amp;Row=5596&amp;Col=1","No Title Assigned - #15269631217")</f>
        <v/>
      </c>
      <c r="B5604" s="0" t="s">
        <v>7537</v>
      </c>
      <c r="E5604" s="0" t="inlineStr">
        <is>
          <t xml:space="preserve">Mazda</t>
        </is>
      </c>
      <c r="F5604" s="0" t="inlineStr">
        <is>
          <t xml:space="preserve">Mazda</t>
        </is>
      </c>
      <c r="G5604" s="0" t="s">
        <v>171</v>
      </c>
      <c r="H5604" s="5">
        <v>126.532700</v>
      </c>
    </row>
    <row r="5605" spans="1:9">
      <c r="A5605" s="22" t="str">
        <f>HYPERLINK("https://app.vivvix.com/360/KMI/IntelliDrive/ApplUI/Pages/CreativePages/CustomReportCreativeDetail.aspx?App=23&amp;ReportView=4&amp;Qid=1711279&amp;Row=5597&amp;Col=1","No Title Assigned - #15269631217")</f>
        <v/>
      </c>
      <c r="B5605" s="0" t="s">
        <v>7537</v>
      </c>
      <c r="E5605" s="0" t="inlineStr">
        <is>
          <t xml:space="preserve">Mazda</t>
        </is>
      </c>
      <c r="F5605" s="0" t="inlineStr">
        <is>
          <t xml:space="preserve">Mazda</t>
        </is>
      </c>
      <c r="G5605" s="0" t="s">
        <v>171</v>
      </c>
      <c r="H5605" s="5">
        <v>31.975200</v>
      </c>
    </row>
    <row r="5606" spans="1:9">
      <c r="A5606" s="22" t="str">
        <f>HYPERLINK("https://app.vivvix.com/360/KMI/IntelliDrive/ApplUI/Pages/CreativePages/CustomReportCreativeDetail.aspx?App=23&amp;ReportView=4&amp;Qid=1711279&amp;Row=5598&amp;Col=1","No Title Assigned - #15269631305")</f>
        <v/>
      </c>
      <c r="B5606" s="0" t="s">
        <v>7538</v>
      </c>
      <c r="C5606" s="0" t="s">
        <v>7539</v>
      </c>
      <c r="D5606" s="0" t="s">
        <v>7539</v>
      </c>
      <c r="E5606" s="0" t="inlineStr">
        <is>
          <t xml:space="preserve">Mazda</t>
        </is>
      </c>
      <c r="F5606" s="0" t="inlineStr">
        <is>
          <t xml:space="preserve">Mazda</t>
        </is>
      </c>
      <c r="G5606" s="0" t="s">
        <v>171</v>
      </c>
      <c r="H5606" s="5">
        <v>265.208200</v>
      </c>
    </row>
    <row r="5607" spans="1:9">
      <c r="A5607" s="22" t="str">
        <f>HYPERLINK("https://app.vivvix.com/360/KMI/IntelliDrive/ApplUI/Pages/CreativePages/CustomReportCreativeDetail.aspx?App=23&amp;ReportView=4&amp;Qid=1711279&amp;Row=5599&amp;Col=1","No Title Assigned - #15269631566")</f>
        <v/>
      </c>
      <c r="B5607" s="0" t="s">
        <v>7540</v>
      </c>
      <c r="E5607" s="0" t="inlineStr">
        <is>
          <t xml:space="preserve">Mazda</t>
        </is>
      </c>
      <c r="F5607" s="0" t="inlineStr">
        <is>
          <t xml:space="preserve">Mazda</t>
        </is>
      </c>
      <c r="G5607" s="0" t="s">
        <v>171</v>
      </c>
      <c r="H5607" s="5">
        <v>278.602500</v>
      </c>
    </row>
    <row r="5608" spans="1:9">
      <c r="A5608" s="22" t="str">
        <f>HYPERLINK("https://app.vivvix.com/360/KMI/IntelliDrive/ApplUI/Pages/CreativePages/CustomReportCreativeDetail.aspx?App=23&amp;ReportView=4&amp;Qid=1711279&amp;Row=5600&amp;Col=1","No Title Assigned - #15269631628")</f>
        <v/>
      </c>
      <c r="B5608" s="0" t="s">
        <v>7541</v>
      </c>
      <c r="E5608" s="0" t="inlineStr">
        <is>
          <t xml:space="preserve">Mazda</t>
        </is>
      </c>
      <c r="F5608" s="0" t="inlineStr">
        <is>
          <t xml:space="preserve">Mazda</t>
        </is>
      </c>
      <c r="G5608" s="0" t="s">
        <v>171</v>
      </c>
      <c r="H5608" s="5">
        <v>875.154800</v>
      </c>
    </row>
    <row r="5609" spans="1:9">
      <c r="A5609" s="22" t="str">
        <f>HYPERLINK("https://app.vivvix.com/360/KMI/IntelliDrive/ApplUI/Pages/CreativePages/CustomReportCreativeDetail.aspx?App=23&amp;ReportView=4&amp;Qid=1711279&amp;Row=5601&amp;Col=1","No Title Assigned - #15269631646")</f>
        <v/>
      </c>
      <c r="B5609" s="0" t="s">
        <v>7542</v>
      </c>
      <c r="E5609" s="0" t="inlineStr">
        <is>
          <t xml:space="preserve">Mazda</t>
        </is>
      </c>
      <c r="F5609" s="0" t="inlineStr">
        <is>
          <t xml:space="preserve">Mazda</t>
        </is>
      </c>
      <c r="G5609" s="0" t="s">
        <v>171</v>
      </c>
      <c r="H5609" s="5">
        <v>36.002800</v>
      </c>
    </row>
    <row r="5610" spans="1:9">
      <c r="A5610" s="22" t="str">
        <f>HYPERLINK("https://app.vivvix.com/360/KMI/IntelliDrive/ApplUI/Pages/CreativePages/CustomReportCreativeDetail.aspx?App=23&amp;ReportView=4&amp;Qid=1711279&amp;Row=5602&amp;Col=1","No Title Assigned - #15269632344")</f>
        <v/>
      </c>
      <c r="B5610" s="0" t="s">
        <v>7543</v>
      </c>
      <c r="E5610" s="0" t="inlineStr">
        <is>
          <t xml:space="preserve">Mazda</t>
        </is>
      </c>
      <c r="F5610" s="0" t="inlineStr">
        <is>
          <t xml:space="preserve">Mazda</t>
        </is>
      </c>
      <c r="G5610" s="0" t="s">
        <v>171</v>
      </c>
      <c r="H5610" s="5">
        <v>4944.280600</v>
      </c>
    </row>
    <row r="5611" spans="1:9">
      <c r="A5611" s="22" t="str">
        <f>HYPERLINK("https://app.vivvix.com/360/KMI/IntelliDrive/ApplUI/Pages/CreativePages/CustomReportCreativeDetail.aspx?App=23&amp;ReportView=4&amp;Qid=1711279&amp;Row=5603&amp;Col=1","No Title Assigned - #15269632585")</f>
        <v/>
      </c>
      <c r="B5611" s="0" t="s">
        <v>7544</v>
      </c>
      <c r="E5611" s="0" t="inlineStr">
        <is>
          <t xml:space="preserve">Mazda</t>
        </is>
      </c>
      <c r="F5611" s="0" t="inlineStr">
        <is>
          <t xml:space="preserve">Mazda</t>
        </is>
      </c>
      <c r="G5611" s="0" t="s">
        <v>171</v>
      </c>
      <c r="H5611" s="5">
        <v>16.612700</v>
      </c>
    </row>
    <row r="5612" spans="1:9">
      <c r="A5612" s="22" t="str">
        <f>HYPERLINK("https://app.vivvix.com/360/KMI/IntelliDrive/ApplUI/Pages/CreativePages/CustomReportCreativeDetail.aspx?App=23&amp;ReportView=4&amp;Qid=1711279&amp;Row=5604&amp;Col=1","No Title Assigned - #15269634944")</f>
        <v/>
      </c>
      <c r="B5612" s="0" t="s">
        <v>7545</v>
      </c>
      <c r="E5612" s="0" t="inlineStr">
        <is>
          <t xml:space="preserve">Mazda</t>
        </is>
      </c>
      <c r="F5612" s="0" t="inlineStr">
        <is>
          <t xml:space="preserve">Mazda</t>
        </is>
      </c>
      <c r="G5612" s="0" t="s">
        <v>171</v>
      </c>
      <c r="H5612" s="5">
        <v>78.535400</v>
      </c>
    </row>
    <row r="5613" spans="1:9">
      <c r="A5613" s="22" t="str">
        <f>HYPERLINK("https://app.vivvix.com/360/KMI/IntelliDrive/ApplUI/Pages/CreativePages/CustomReportCreativeDetail.aspx?App=23&amp;ReportView=4&amp;Qid=1711279&amp;Row=5605&amp;Col=1","No Title Assigned - #15269635823")</f>
        <v/>
      </c>
      <c r="B5613" s="0" t="s">
        <v>7546</v>
      </c>
      <c r="E5613" s="0" t="inlineStr">
        <is>
          <t xml:space="preserve">Mazda</t>
        </is>
      </c>
      <c r="F5613" s="0" t="inlineStr">
        <is>
          <t xml:space="preserve">Mazda</t>
        </is>
      </c>
      <c r="G5613" s="0" t="s">
        <v>171</v>
      </c>
      <c r="H5613" s="5">
        <v>354.959700</v>
      </c>
    </row>
    <row r="5614" spans="1:9">
      <c r="A5614" s="22" t="str">
        <f>HYPERLINK("https://app.vivvix.com/360/KMI/IntelliDrive/ApplUI/Pages/CreativePages/CustomReportCreativeDetail.aspx?App=23&amp;ReportView=4&amp;Qid=1711279&amp;Row=5606&amp;Col=1","No Title Assigned - #15269636139")</f>
        <v/>
      </c>
      <c r="B5614" s="0" t="s">
        <v>7547</v>
      </c>
      <c r="E5614" s="0" t="inlineStr">
        <is>
          <t xml:space="preserve">Mazda</t>
        </is>
      </c>
      <c r="F5614" s="0" t="inlineStr">
        <is>
          <t xml:space="preserve">Mazda</t>
        </is>
      </c>
      <c r="G5614" s="0" t="s">
        <v>171</v>
      </c>
      <c r="H5614" s="5">
        <v>30.089900</v>
      </c>
    </row>
    <row r="5615" spans="1:9">
      <c r="A5615" s="22" t="str">
        <f>HYPERLINK("https://app.vivvix.com/360/KMI/IntelliDrive/ApplUI/Pages/CreativePages/CustomReportCreativeDetail.aspx?App=23&amp;ReportView=4&amp;Qid=1711279&amp;Row=5607&amp;Col=1","No Title Assigned - #15269636738")</f>
        <v/>
      </c>
      <c r="B5615" s="0" t="s">
        <v>7548</v>
      </c>
      <c r="E5615" s="0" t="inlineStr">
        <is>
          <t xml:space="preserve">Mazda</t>
        </is>
      </c>
      <c r="F5615" s="0" t="inlineStr">
        <is>
          <t xml:space="preserve">Mazda</t>
        </is>
      </c>
      <c r="G5615" s="0" t="s">
        <v>171</v>
      </c>
      <c r="H5615" s="5">
        <v>2389.490500</v>
      </c>
    </row>
    <row r="5616" spans="1:9">
      <c r="A5616" s="22" t="str">
        <f>HYPERLINK("https://app.vivvix.com/360/KMI/IntelliDrive/ApplUI/Pages/CreativePages/CustomReportCreativeDetail.aspx?App=23&amp;ReportView=4&amp;Qid=1711279&amp;Row=5608&amp;Col=1","No Title Assigned - #15269637625")</f>
        <v/>
      </c>
      <c r="B5616" s="0" t="s">
        <v>7549</v>
      </c>
      <c r="E5616" s="0" t="inlineStr">
        <is>
          <t xml:space="preserve">Mazda</t>
        </is>
      </c>
      <c r="F5616" s="0" t="inlineStr">
        <is>
          <t xml:space="preserve">Mazda</t>
        </is>
      </c>
      <c r="G5616" s="0" t="s">
        <v>171</v>
      </c>
      <c r="H5616" s="5">
        <v>17.554800</v>
      </c>
    </row>
    <row r="5617" spans="1:9">
      <c r="A5617" s="22" t="str">
        <f>HYPERLINK("https://app.vivvix.com/360/KMI/IntelliDrive/ApplUI/Pages/CreativePages/CustomReportCreativeDetail.aspx?App=23&amp;ReportView=4&amp;Qid=1711279&amp;Row=5609&amp;Col=1","No Title Assigned - #15269638549")</f>
        <v/>
      </c>
      <c r="B5617" s="0" t="s">
        <v>7550</v>
      </c>
      <c r="E5617" s="0" t="inlineStr">
        <is>
          <t xml:space="preserve">Mazda</t>
        </is>
      </c>
      <c r="F5617" s="0" t="inlineStr">
        <is>
          <t xml:space="preserve">Mazda</t>
        </is>
      </c>
      <c r="G5617" s="0" t="s">
        <v>171</v>
      </c>
      <c r="H5617" s="5">
        <v>178.840800</v>
      </c>
    </row>
    <row r="5618" spans="1:9">
      <c r="A5618" s="22" t="str">
        <f>HYPERLINK("https://app.vivvix.com/360/KMI/IntelliDrive/ApplUI/Pages/CreativePages/CustomReportCreativeDetail.aspx?App=23&amp;ReportView=4&amp;Qid=1711279&amp;Row=5610&amp;Col=1","No Title Assigned - #15269639569")</f>
        <v/>
      </c>
      <c r="B5618" s="0" t="s">
        <v>7551</v>
      </c>
      <c r="E5618" s="0" t="inlineStr">
        <is>
          <t xml:space="preserve">Mazda</t>
        </is>
      </c>
      <c r="F5618" s="0" t="inlineStr">
        <is>
          <t xml:space="preserve">Mazda</t>
        </is>
      </c>
      <c r="G5618" s="0" t="s">
        <v>171</v>
      </c>
      <c r="H5618" s="5">
        <v>12.543200</v>
      </c>
    </row>
    <row r="5619" spans="1:9">
      <c r="A5619" s="22" t="str">
        <f>HYPERLINK("https://app.vivvix.com/360/KMI/IntelliDrive/ApplUI/Pages/CreativePages/CustomReportCreativeDetail.aspx?App=23&amp;ReportView=4&amp;Qid=1711279&amp;Row=5611&amp;Col=1","No Title Assigned - #15269640164")</f>
        <v/>
      </c>
      <c r="B5619" s="0" t="s">
        <v>7552</v>
      </c>
      <c r="E5619" s="0" t="inlineStr">
        <is>
          <t xml:space="preserve">Mazda</t>
        </is>
      </c>
      <c r="F5619" s="0" t="inlineStr">
        <is>
          <t xml:space="preserve">Mazda</t>
        </is>
      </c>
      <c r="G5619" s="0" t="s">
        <v>171</v>
      </c>
      <c r="H5619" s="5">
        <v>109.016500</v>
      </c>
    </row>
    <row r="5620" spans="1:9">
      <c r="A5620" s="22" t="str">
        <f>HYPERLINK("https://app.vivvix.com/360/KMI/IntelliDrive/ApplUI/Pages/CreativePages/CustomReportCreativeDetail.aspx?App=23&amp;ReportView=4&amp;Qid=1711279&amp;Row=5612&amp;Col=1","No Title Assigned - #15269640258")</f>
        <v/>
      </c>
      <c r="B5620" s="0" t="s">
        <v>7553</v>
      </c>
      <c r="E5620" s="0" t="inlineStr">
        <is>
          <t xml:space="preserve">Mazda</t>
        </is>
      </c>
      <c r="F5620" s="0" t="inlineStr">
        <is>
          <t xml:space="preserve">Mazda</t>
        </is>
      </c>
      <c r="G5620" s="0" t="s">
        <v>171</v>
      </c>
      <c r="H5620" s="5">
        <v>5195.083100</v>
      </c>
    </row>
    <row r="5621" spans="1:9">
      <c r="A5621" s="22" t="str">
        <f>HYPERLINK("https://app.vivvix.com/360/KMI/IntelliDrive/ApplUI/Pages/CreativePages/CustomReportCreativeDetail.aspx?App=23&amp;ReportView=4&amp;Qid=1711279&amp;Row=5613&amp;Col=1","No Title Assigned - #15269640437")</f>
        <v/>
      </c>
      <c r="B5621" s="0" t="s">
        <v>7554</v>
      </c>
      <c r="E5621" s="0" t="inlineStr">
        <is>
          <t xml:space="preserve">Mazda</t>
        </is>
      </c>
      <c r="F5621" s="0" t="inlineStr">
        <is>
          <t xml:space="preserve">Mazda</t>
        </is>
      </c>
      <c r="G5621" s="0" t="s">
        <v>171</v>
      </c>
      <c r="H5621" s="5">
        <v>18.254700</v>
      </c>
    </row>
    <row r="5622" spans="1:9">
      <c r="A5622" s="22" t="str">
        <f>HYPERLINK("https://app.vivvix.com/360/KMI/IntelliDrive/ApplUI/Pages/CreativePages/CustomReportCreativeDetail.aspx?App=23&amp;ReportView=4&amp;Qid=1711279&amp;Row=5614&amp;Col=1","No Title Assigned - #15269640638")</f>
        <v/>
      </c>
      <c r="B5622" s="0" t="s">
        <v>7555</v>
      </c>
      <c r="E5622" s="0" t="inlineStr">
        <is>
          <t xml:space="preserve">Mazda</t>
        </is>
      </c>
      <c r="F5622" s="0" t="inlineStr">
        <is>
          <t xml:space="preserve">Mazda</t>
        </is>
      </c>
      <c r="G5622" s="0" t="s">
        <v>171</v>
      </c>
      <c r="H5622" s="5">
        <v>84.639800</v>
      </c>
    </row>
    <row r="5623" spans="1:9">
      <c r="A5623" s="22" t="str">
        <f>HYPERLINK("https://app.vivvix.com/360/KMI/IntelliDrive/ApplUI/Pages/CreativePages/CustomReportCreativeDetail.aspx?App=23&amp;ReportView=4&amp;Qid=1711279&amp;Row=5615&amp;Col=1","No Title Assigned - #15269641336")</f>
        <v/>
      </c>
      <c r="B5623" s="0" t="s">
        <v>7556</v>
      </c>
      <c r="E5623" s="0" t="inlineStr">
        <is>
          <t xml:space="preserve">Mazda</t>
        </is>
      </c>
      <c r="F5623" s="0" t="inlineStr">
        <is>
          <t xml:space="preserve">Mazda</t>
        </is>
      </c>
      <c r="G5623" s="0" t="s">
        <v>171</v>
      </c>
      <c r="H5623" s="5">
        <v>4.323200</v>
      </c>
    </row>
    <row r="5624" spans="1:9">
      <c r="A5624" s="22" t="str">
        <f>HYPERLINK("https://app.vivvix.com/360/KMI/IntelliDrive/ApplUI/Pages/CreativePages/CustomReportCreativeDetail.aspx?App=23&amp;ReportView=4&amp;Qid=1711279&amp;Row=5616&amp;Col=1","No Title Assigned - #15269642127")</f>
        <v/>
      </c>
      <c r="B5624" s="0" t="s">
        <v>7557</v>
      </c>
      <c r="E5624" s="0" t="inlineStr">
        <is>
          <t xml:space="preserve">Mazda</t>
        </is>
      </c>
      <c r="F5624" s="0" t="inlineStr">
        <is>
          <t xml:space="preserve">Mazda</t>
        </is>
      </c>
      <c r="G5624" s="0" t="s">
        <v>171</v>
      </c>
      <c r="H5624" s="5">
        <v>312.340400</v>
      </c>
    </row>
    <row r="5625" spans="1:9">
      <c r="A5625" s="22" t="str">
        <f>HYPERLINK("https://app.vivvix.com/360/KMI/IntelliDrive/ApplUI/Pages/CreativePages/CustomReportCreativeDetail.aspx?App=23&amp;ReportView=4&amp;Qid=1711279&amp;Row=5617&amp;Col=1","No Title Assigned - #15269642146")</f>
        <v/>
      </c>
      <c r="B5625" s="0" t="s">
        <v>7558</v>
      </c>
      <c r="E5625" s="0" t="inlineStr">
        <is>
          <t xml:space="preserve">Mazda</t>
        </is>
      </c>
      <c r="F5625" s="0" t="inlineStr">
        <is>
          <t xml:space="preserve">Mazda</t>
        </is>
      </c>
      <c r="G5625" s="0" t="s">
        <v>171</v>
      </c>
      <c r="H5625" s="5">
        <v>465.981200</v>
      </c>
    </row>
    <row r="5626" spans="1:9">
      <c r="A5626" s="22" t="str">
        <f>HYPERLINK("https://app.vivvix.com/360/KMI/IntelliDrive/ApplUI/Pages/CreativePages/CustomReportCreativeDetail.aspx?App=23&amp;ReportView=4&amp;Qid=1711279&amp;Row=5618&amp;Col=1","No Title Assigned - #15269649676")</f>
        <v/>
      </c>
      <c r="B5626" s="0" t="s">
        <v>7559</v>
      </c>
      <c r="E5626" s="0" t="inlineStr">
        <is>
          <t xml:space="preserve">Mazda</t>
        </is>
      </c>
      <c r="F5626" s="0" t="inlineStr">
        <is>
          <t xml:space="preserve">Mazda</t>
        </is>
      </c>
      <c r="G5626" s="0" t="s">
        <v>171</v>
      </c>
      <c r="H5626" s="5">
        <v>8.777400</v>
      </c>
    </row>
    <row r="5627" spans="1:9">
      <c r="A5627" s="22" t="str">
        <f>HYPERLINK("https://app.vivvix.com/360/KMI/IntelliDrive/ApplUI/Pages/CreativePages/CustomReportCreativeDetail.aspx?App=23&amp;ReportView=4&amp;Qid=1711279&amp;Row=5619&amp;Col=1","No Title Assigned - #15269650395")</f>
        <v/>
      </c>
      <c r="B5627" s="0" t="s">
        <v>7560</v>
      </c>
      <c r="C5627" s="0" t="s">
        <v>7561</v>
      </c>
      <c r="D5627" s="0" t="s">
        <v>7561</v>
      </c>
      <c r="E5627" s="0" t="inlineStr">
        <is>
          <t xml:space="preserve">Mazda</t>
        </is>
      </c>
      <c r="F5627" s="0" t="inlineStr">
        <is>
          <t xml:space="preserve">Mazda</t>
        </is>
      </c>
      <c r="G5627" s="0" t="s">
        <v>171</v>
      </c>
      <c r="H5627" s="5">
        <v>19.329500</v>
      </c>
    </row>
    <row r="5628" spans="1:9">
      <c r="A5628" s="22" t="str">
        <f>HYPERLINK("https://app.vivvix.com/360/KMI/IntelliDrive/ApplUI/Pages/CreativePages/CustomReportCreativeDetail.aspx?App=23&amp;ReportView=4&amp;Qid=1711279&amp;Row=5620&amp;Col=1","No Title Assigned - #15269650730")</f>
        <v/>
      </c>
      <c r="B5628" s="0" t="s">
        <v>7562</v>
      </c>
      <c r="E5628" s="0" t="inlineStr">
        <is>
          <t xml:space="preserve">Mazda</t>
        </is>
      </c>
      <c r="F5628" s="0" t="inlineStr">
        <is>
          <t xml:space="preserve">Mazda</t>
        </is>
      </c>
      <c r="G5628" s="0" t="s">
        <v>171</v>
      </c>
      <c r="H5628" s="5">
        <v>55852.414600</v>
      </c>
    </row>
    <row r="5629" spans="1:9">
      <c r="A5629" s="22" t="str">
        <f>HYPERLINK("https://app.vivvix.com/360/KMI/IntelliDrive/ApplUI/Pages/CreativePages/CustomReportCreativeDetail.aspx?App=23&amp;ReportView=4&amp;Qid=1711279&amp;Row=5621&amp;Col=1","No Title Assigned - #15269651610")</f>
        <v/>
      </c>
      <c r="B5629" s="0" t="s">
        <v>7563</v>
      </c>
      <c r="E5629" s="0" t="inlineStr">
        <is>
          <t xml:space="preserve">Mazda</t>
        </is>
      </c>
      <c r="F5629" s="0" t="inlineStr">
        <is>
          <t xml:space="preserve">Mazda</t>
        </is>
      </c>
      <c r="G5629" s="0" t="s">
        <v>171</v>
      </c>
      <c r="H5629" s="5">
        <v>253.065400</v>
      </c>
    </row>
    <row r="5630" spans="1:9">
      <c r="A5630" s="22" t="str">
        <f>HYPERLINK("https://app.vivvix.com/360/KMI/IntelliDrive/ApplUI/Pages/CreativePages/CustomReportCreativeDetail.aspx?App=23&amp;ReportView=4&amp;Qid=1711279&amp;Row=5622&amp;Col=1","No Title Assigned - #15269652899")</f>
        <v/>
      </c>
      <c r="B5630" s="0" t="s">
        <v>7564</v>
      </c>
      <c r="E5630" s="0" t="inlineStr">
        <is>
          <t xml:space="preserve">Mazda</t>
        </is>
      </c>
      <c r="F5630" s="0" t="inlineStr">
        <is>
          <t xml:space="preserve">Mazda</t>
        </is>
      </c>
      <c r="G5630" s="0" t="s">
        <v>171</v>
      </c>
      <c r="H5630" s="5">
        <v>12.720200</v>
      </c>
    </row>
    <row r="5631" spans="1:9">
      <c r="A5631" s="22" t="str">
        <f>HYPERLINK("https://app.vivvix.com/360/KMI/IntelliDrive/ApplUI/Pages/CreativePages/CustomReportCreativeDetail.aspx?App=23&amp;ReportView=4&amp;Qid=1711279&amp;Row=5623&amp;Col=1","No Title Assigned - #15269653043")</f>
        <v/>
      </c>
      <c r="B5631" s="0" t="s">
        <v>7565</v>
      </c>
      <c r="E5631" s="0" t="inlineStr">
        <is>
          <t xml:space="preserve">Mazda</t>
        </is>
      </c>
      <c r="F5631" s="0" t="inlineStr">
        <is>
          <t xml:space="preserve">Mazda</t>
        </is>
      </c>
      <c r="G5631" s="0" t="s">
        <v>171</v>
      </c>
      <c r="H5631" s="5">
        <v>9.793900</v>
      </c>
    </row>
    <row r="5632" spans="1:9">
      <c r="A5632" s="22" t="str">
        <f>HYPERLINK("https://app.vivvix.com/360/KMI/IntelliDrive/ApplUI/Pages/CreativePages/CustomReportCreativeDetail.aspx?App=23&amp;ReportView=4&amp;Qid=1711279&amp;Row=5624&amp;Col=1","No Title Assigned - #15269653290")</f>
        <v/>
      </c>
      <c r="B5632" s="0" t="s">
        <v>7566</v>
      </c>
      <c r="C5632" s="0" t="s">
        <v>7567</v>
      </c>
      <c r="D5632" s="0" t="s">
        <v>7567</v>
      </c>
      <c r="E5632" s="0" t="inlineStr">
        <is>
          <t xml:space="preserve">Mazda</t>
        </is>
      </c>
      <c r="F5632" s="0" t="inlineStr">
        <is>
          <t xml:space="preserve">Mazda</t>
        </is>
      </c>
      <c r="G5632" s="0" t="s">
        <v>171</v>
      </c>
      <c r="H5632" s="5">
        <v>6.787700</v>
      </c>
    </row>
    <row r="5633" spans="1:9">
      <c r="A5633" s="22" t="str">
        <f>HYPERLINK("https://app.vivvix.com/360/KMI/IntelliDrive/ApplUI/Pages/CreativePages/CustomReportCreativeDetail.aspx?App=23&amp;ReportView=4&amp;Qid=1711279&amp;Row=5625&amp;Col=1","No Title Assigned - #15269661915")</f>
        <v/>
      </c>
      <c r="B5633" s="0" t="s">
        <v>7568</v>
      </c>
      <c r="C5633" s="0" t="s">
        <v>7569</v>
      </c>
      <c r="D5633" s="0" t="s">
        <v>7508</v>
      </c>
      <c r="E5633" s="0" t="inlineStr">
        <is>
          <t xml:space="preserve">Mazda</t>
        </is>
      </c>
      <c r="F5633" s="0" t="s">
        <v>28</v>
      </c>
      <c r="G5633" s="0" t="s">
        <v>29</v>
      </c>
      <c r="H5633" s="5">
        <v>12.036800</v>
      </c>
    </row>
    <row r="5634" spans="1:9">
      <c r="A5634" s="22" t="str">
        <f>HYPERLINK("https://app.vivvix.com/360/KMI/IntelliDrive/ApplUI/Pages/CreativePages/CustomReportCreativeDetail.aspx?App=23&amp;ReportView=4&amp;Qid=1711279&amp;Row=5626&amp;Col=1","No Title Assigned - #15269663860")</f>
        <v/>
      </c>
      <c r="B5634" s="0" t="s">
        <v>7570</v>
      </c>
      <c r="E5634" s="0" t="inlineStr">
        <is>
          <t xml:space="preserve">Mazda</t>
        </is>
      </c>
      <c r="F5634" s="0" t="s">
        <v>28</v>
      </c>
      <c r="G5634" s="0" t="s">
        <v>29</v>
      </c>
      <c r="H5634" s="5">
        <v>187.524800</v>
      </c>
    </row>
    <row r="5635" spans="1:9">
      <c r="A5635" s="22" t="str">
        <f>HYPERLINK("https://app.vivvix.com/360/KMI/IntelliDrive/ApplUI/Pages/CreativePages/CustomReportCreativeDetail.aspx?App=23&amp;ReportView=4&amp;Qid=1711279&amp;Row=5627&amp;Col=1","No Title Assigned - #15269664356")</f>
        <v/>
      </c>
      <c r="B5635" s="0" t="s">
        <v>7571</v>
      </c>
      <c r="E5635" s="0" t="inlineStr">
        <is>
          <t xml:space="preserve">Mazda</t>
        </is>
      </c>
      <c r="F5635" s="0" t="s">
        <v>28</v>
      </c>
      <c r="G5635" s="0" t="s">
        <v>29</v>
      </c>
      <c r="H5635" s="5">
        <v>675.287800</v>
      </c>
    </row>
    <row r="5636" spans="1:9">
      <c r="A5636" s="22" t="str">
        <f>HYPERLINK("https://app.vivvix.com/360/KMI/IntelliDrive/ApplUI/Pages/CreativePages/CustomReportCreativeDetail.aspx?App=23&amp;ReportView=4&amp;Qid=1711279&amp;Row=5628&amp;Col=1","No Title Assigned - #15269665068")</f>
        <v/>
      </c>
      <c r="B5636" s="0" t="s">
        <v>7572</v>
      </c>
      <c r="E5636" s="0" t="inlineStr">
        <is>
          <t xml:space="preserve">Mazda</t>
        </is>
      </c>
      <c r="F5636" s="0" t="inlineStr">
        <is>
          <t xml:space="preserve">Mazda</t>
        </is>
      </c>
      <c r="G5636" s="0" t="s">
        <v>171</v>
      </c>
      <c r="H5636" s="5">
        <v>138.063400</v>
      </c>
    </row>
    <row r="5637" spans="1:9">
      <c r="A5637" s="22" t="str">
        <f>HYPERLINK("https://app.vivvix.com/360/KMI/IntelliDrive/ApplUI/Pages/CreativePages/CustomReportCreativeDetail.aspx?App=23&amp;ReportView=4&amp;Qid=1711279&amp;Row=5629&amp;Col=1","No Title Assigned - #15269665114")</f>
        <v/>
      </c>
      <c r="B5637" s="0" t="s">
        <v>7573</v>
      </c>
      <c r="C5637" s="0" t="s">
        <v>7574</v>
      </c>
      <c r="D5637" s="0" t="s">
        <v>7574</v>
      </c>
      <c r="E5637" s="0" t="inlineStr">
        <is>
          <t xml:space="preserve">Mazda</t>
        </is>
      </c>
      <c r="F5637" s="0" t="inlineStr">
        <is>
          <t xml:space="preserve">Mazda</t>
        </is>
      </c>
      <c r="G5637" s="0" t="s">
        <v>2413</v>
      </c>
      <c r="H5637" s="5">
        <v>860.761000</v>
      </c>
    </row>
    <row r="5638" spans="1:9">
      <c r="A5638" s="22" t="str">
        <f>HYPERLINK("https://app.vivvix.com/360/KMI/IntelliDrive/ApplUI/Pages/CreativePages/CustomReportCreativeDetail.aspx?App=23&amp;ReportView=4&amp;Qid=1711279&amp;Row=5630&amp;Col=1","No Title Assigned - #15269666116")</f>
        <v/>
      </c>
      <c r="B5638" s="0" t="s">
        <v>7575</v>
      </c>
      <c r="E5638" s="0" t="inlineStr">
        <is>
          <t xml:space="preserve">Mazda</t>
        </is>
      </c>
      <c r="F5638" s="0" t="inlineStr">
        <is>
          <t xml:space="preserve">Mazda</t>
        </is>
      </c>
      <c r="G5638" s="0" t="s">
        <v>171</v>
      </c>
      <c r="H5638" s="5">
        <v>4.780700</v>
      </c>
    </row>
    <row r="5639" spans="1:9">
      <c r="A5639" s="22" t="str">
        <f>HYPERLINK("https://app.vivvix.com/360/KMI/IntelliDrive/ApplUI/Pages/CreativePages/CustomReportCreativeDetail.aspx?App=23&amp;ReportView=4&amp;Qid=1711279&amp;Row=5631&amp;Col=1","No Title Assigned - #15269667560")</f>
        <v/>
      </c>
      <c r="B5639" s="0" t="s">
        <v>7576</v>
      </c>
      <c r="C5639" s="0" t="s">
        <v>7577</v>
      </c>
      <c r="D5639" s="0" t="s">
        <v>7577</v>
      </c>
      <c r="E5639" s="0" t="inlineStr">
        <is>
          <t xml:space="preserve">Mazda</t>
        </is>
      </c>
      <c r="F5639" s="0" t="inlineStr">
        <is>
          <t xml:space="preserve">Mazda</t>
        </is>
      </c>
      <c r="G5639" s="0" t="s">
        <v>171</v>
      </c>
      <c r="H5639" s="5">
        <v>83.597200</v>
      </c>
    </row>
    <row r="5640" spans="1:9">
      <c r="A5640" s="22" t="str">
        <f>HYPERLINK("https://app.vivvix.com/360/KMI/IntelliDrive/ApplUI/Pages/CreativePages/CustomReportCreativeDetail.aspx?App=23&amp;ReportView=4&amp;Qid=1711279&amp;Row=5632&amp;Col=1","No Title Assigned - #15269667665")</f>
        <v/>
      </c>
      <c r="B5640" s="0" t="s">
        <v>7578</v>
      </c>
      <c r="E5640" s="0" t="inlineStr">
        <is>
          <t xml:space="preserve">Mazda</t>
        </is>
      </c>
      <c r="F5640" s="0" t="inlineStr">
        <is>
          <t xml:space="preserve">Mazda</t>
        </is>
      </c>
      <c r="G5640" s="0" t="s">
        <v>171</v>
      </c>
      <c r="H5640" s="5">
        <v>3620.952700</v>
      </c>
    </row>
    <row r="5641" spans="1:9">
      <c r="A5641" s="22" t="str">
        <f>HYPERLINK("https://app.vivvix.com/360/KMI/IntelliDrive/ApplUI/Pages/CreativePages/CustomReportCreativeDetail.aspx?App=23&amp;ReportView=4&amp;Qid=1711279&amp;Row=5633&amp;Col=1","No Title Assigned - #15269670102")</f>
        <v/>
      </c>
      <c r="B5641" s="0" t="s">
        <v>7579</v>
      </c>
      <c r="E5641" s="0" t="inlineStr">
        <is>
          <t xml:space="preserve">Mazda</t>
        </is>
      </c>
      <c r="F5641" s="0" t="inlineStr">
        <is>
          <t xml:space="preserve">Mazda</t>
        </is>
      </c>
      <c r="G5641" s="0" t="s">
        <v>171</v>
      </c>
      <c r="H5641" s="5">
        <v>580.994300</v>
      </c>
    </row>
    <row r="5642" spans="1:9">
      <c r="A5642" s="22" t="str">
        <f>HYPERLINK("https://app.vivvix.com/360/KMI/IntelliDrive/ApplUI/Pages/CreativePages/CustomReportCreativeDetail.aspx?App=23&amp;ReportView=4&amp;Qid=1711279&amp;Row=5634&amp;Col=1","No Title Assigned - #15269671481")</f>
        <v/>
      </c>
      <c r="B5642" s="0" t="s">
        <v>7580</v>
      </c>
      <c r="E5642" s="0" t="inlineStr">
        <is>
          <t xml:space="preserve">Mazda</t>
        </is>
      </c>
      <c r="F5642" s="0" t="inlineStr">
        <is>
          <t xml:space="preserve">Mazda</t>
        </is>
      </c>
      <c r="G5642" s="0" t="s">
        <v>171</v>
      </c>
      <c r="H5642" s="5">
        <v>19092.925700</v>
      </c>
    </row>
    <row r="5643" spans="1:9">
      <c r="A5643" s="22" t="str">
        <f>HYPERLINK("https://app.vivvix.com/360/KMI/IntelliDrive/ApplUI/Pages/CreativePages/CustomReportCreativeDetail.aspx?App=23&amp;ReportView=4&amp;Qid=1711279&amp;Row=5635&amp;Col=1","No Title Assigned - #15269671481")</f>
        <v/>
      </c>
      <c r="B5643" s="0" t="s">
        <v>7580</v>
      </c>
      <c r="E5643" s="0" t="inlineStr">
        <is>
          <t xml:space="preserve">Mazda</t>
        </is>
      </c>
      <c r="F5643" s="0" t="inlineStr">
        <is>
          <t xml:space="preserve">Mazda</t>
        </is>
      </c>
      <c r="G5643" s="0" t="s">
        <v>171</v>
      </c>
      <c r="H5643" s="5">
        <v>35086.833800</v>
      </c>
    </row>
    <row r="5644" spans="1:9">
      <c r="A5644" s="22" t="str">
        <f>HYPERLINK("https://app.vivvix.com/360/KMI/IntelliDrive/ApplUI/Pages/CreativePages/CustomReportCreativeDetail.aspx?App=23&amp;ReportView=4&amp;Qid=1711279&amp;Row=5636&amp;Col=1","No Title Assigned - #15269671482")</f>
        <v/>
      </c>
      <c r="B5644" s="0" t="s">
        <v>7581</v>
      </c>
      <c r="E5644" s="0" t="inlineStr">
        <is>
          <t xml:space="preserve">Mazda</t>
        </is>
      </c>
      <c r="F5644" s="0" t="inlineStr">
        <is>
          <t xml:space="preserve">Mazda</t>
        </is>
      </c>
      <c r="G5644" s="0" t="s">
        <v>171</v>
      </c>
      <c r="H5644" s="5">
        <v>26.737200</v>
      </c>
    </row>
    <row r="5645" spans="1:9">
      <c r="A5645" s="22" t="str">
        <f>HYPERLINK("https://app.vivvix.com/360/KMI/IntelliDrive/ApplUI/Pages/CreativePages/CustomReportCreativeDetail.aspx?App=23&amp;ReportView=4&amp;Qid=1711279&amp;Row=5637&amp;Col=1","No Title Assigned - #15269671683")</f>
        <v/>
      </c>
      <c r="B5645" s="0" t="s">
        <v>7582</v>
      </c>
      <c r="C5645" s="0" t="s">
        <v>7583</v>
      </c>
      <c r="D5645" s="0" t="s">
        <v>7583</v>
      </c>
      <c r="E5645" s="0" t="inlineStr">
        <is>
          <t xml:space="preserve">Mazda</t>
        </is>
      </c>
      <c r="F5645" s="0" t="inlineStr">
        <is>
          <t xml:space="preserve">Mazda</t>
        </is>
      </c>
      <c r="G5645" s="0" t="s">
        <v>171</v>
      </c>
      <c r="H5645" s="5">
        <v>83.597200</v>
      </c>
    </row>
    <row r="5646" spans="1:9">
      <c r="A5646" s="22" t="str">
        <f>HYPERLINK("https://app.vivvix.com/360/KMI/IntelliDrive/ApplUI/Pages/CreativePages/CustomReportCreativeDetail.aspx?App=23&amp;ReportView=4&amp;Qid=1711279&amp;Row=5638&amp;Col=1","No Title Assigned - #15269671860")</f>
        <v/>
      </c>
      <c r="B5646" s="0" t="s">
        <v>7584</v>
      </c>
      <c r="C5646" s="0" t="s">
        <v>7585</v>
      </c>
      <c r="D5646" s="0" t="s">
        <v>7585</v>
      </c>
      <c r="E5646" s="0" t="inlineStr">
        <is>
          <t xml:space="preserve">Mazda</t>
        </is>
      </c>
      <c r="F5646" s="0" t="inlineStr">
        <is>
          <t xml:space="preserve">Mazda</t>
        </is>
      </c>
      <c r="G5646" s="0" t="s">
        <v>171</v>
      </c>
      <c r="H5646" s="5">
        <v>83.597200</v>
      </c>
    </row>
    <row r="5647" spans="1:9">
      <c r="A5647" s="22" t="str">
        <f>HYPERLINK("https://app.vivvix.com/360/KMI/IntelliDrive/ApplUI/Pages/CreativePages/CustomReportCreativeDetail.aspx?App=23&amp;ReportView=4&amp;Qid=1711279&amp;Row=5639&amp;Col=1","No Title Assigned - #15269674254")</f>
        <v/>
      </c>
      <c r="B5647" s="0" t="s">
        <v>7586</v>
      </c>
      <c r="E5647" s="0" t="inlineStr">
        <is>
          <t xml:space="preserve">Mazda</t>
        </is>
      </c>
      <c r="F5647" s="0" t="inlineStr">
        <is>
          <t xml:space="preserve">Mazda</t>
        </is>
      </c>
      <c r="G5647" s="0" t="s">
        <v>171</v>
      </c>
      <c r="H5647" s="5">
        <v>19.917600</v>
      </c>
    </row>
    <row r="5648" spans="1:9">
      <c r="A5648" s="22" t="str">
        <f>HYPERLINK("https://app.vivvix.com/360/KMI/IntelliDrive/ApplUI/Pages/CreativePages/CustomReportCreativeDetail.aspx?App=23&amp;ReportView=4&amp;Qid=1711279&amp;Row=5640&amp;Col=1","No Title Assigned - #15269674881")</f>
        <v/>
      </c>
      <c r="B5648" s="0" t="s">
        <v>7587</v>
      </c>
      <c r="E5648" s="0" t="inlineStr">
        <is>
          <t xml:space="preserve">Mazda</t>
        </is>
      </c>
      <c r="F5648" s="0" t="inlineStr">
        <is>
          <t xml:space="preserve">Mazda</t>
        </is>
      </c>
      <c r="G5648" s="0" t="s">
        <v>171</v>
      </c>
      <c r="H5648" s="5">
        <v>372.125200</v>
      </c>
    </row>
    <row r="5649" spans="1:9">
      <c r="A5649" s="22" t="str">
        <f>HYPERLINK("https://app.vivvix.com/360/KMI/IntelliDrive/ApplUI/Pages/CreativePages/CustomReportCreativeDetail.aspx?App=23&amp;ReportView=4&amp;Qid=1711279&amp;Row=5641&amp;Col=1","No Title Assigned - #15269674881")</f>
        <v/>
      </c>
      <c r="B5649" s="0" t="s">
        <v>7587</v>
      </c>
      <c r="E5649" s="0" t="inlineStr">
        <is>
          <t xml:space="preserve">Mazda</t>
        </is>
      </c>
      <c r="F5649" s="0" t="inlineStr">
        <is>
          <t xml:space="preserve">Mazda</t>
        </is>
      </c>
      <c r="G5649" s="0" t="s">
        <v>171</v>
      </c>
      <c r="H5649" s="5">
        <v>19.170100</v>
      </c>
    </row>
    <row r="5650" spans="1:9">
      <c r="A5650" s="22" t="str">
        <f>HYPERLINK("https://app.vivvix.com/360/KMI/IntelliDrive/ApplUI/Pages/CreativePages/CustomReportCreativeDetail.aspx?App=23&amp;ReportView=4&amp;Qid=1711279&amp;Row=5642&amp;Col=1","No Title Assigned - #15269677887")</f>
        <v/>
      </c>
      <c r="B5650" s="0" t="s">
        <v>7588</v>
      </c>
      <c r="C5650" s="0" t="s">
        <v>7589</v>
      </c>
      <c r="D5650" s="0" t="s">
        <v>7589</v>
      </c>
      <c r="E5650" s="0" t="inlineStr">
        <is>
          <t xml:space="preserve">Mazda</t>
        </is>
      </c>
      <c r="F5650" s="0" t="s">
        <v>28</v>
      </c>
      <c r="G5650" s="0" t="s">
        <v>29</v>
      </c>
      <c r="H5650" s="5">
        <v>45.857000</v>
      </c>
    </row>
    <row r="5651" spans="1:9">
      <c r="A5651" s="22" t="str">
        <f>HYPERLINK("https://app.vivvix.com/360/KMI/IntelliDrive/ApplUI/Pages/CreativePages/CustomReportCreativeDetail.aspx?App=23&amp;ReportView=4&amp;Qid=1711279&amp;Row=5643&amp;Col=1","No Title Assigned - #15269679301")</f>
        <v/>
      </c>
      <c r="B5651" s="0" t="s">
        <v>7590</v>
      </c>
      <c r="C5651" s="0" t="s">
        <v>7591</v>
      </c>
      <c r="D5651" s="0" t="s">
        <v>7591</v>
      </c>
      <c r="E5651" s="0" t="inlineStr">
        <is>
          <t xml:space="preserve">Mazda</t>
        </is>
      </c>
      <c r="F5651" s="0" t="s">
        <v>28</v>
      </c>
      <c r="G5651" s="0" t="s">
        <v>29</v>
      </c>
      <c r="H5651" s="5">
        <v>82.573100</v>
      </c>
    </row>
    <row r="5652" spans="1:9">
      <c r="A5652" s="22" t="str">
        <f>HYPERLINK("https://app.vivvix.com/360/KMI/IntelliDrive/ApplUI/Pages/CreativePages/CustomReportCreativeDetail.aspx?App=23&amp;ReportView=4&amp;Qid=1711279&amp;Row=5644&amp;Col=1","No Title Assigned - #15269679301")</f>
        <v/>
      </c>
      <c r="B5652" s="0" t="s">
        <v>7590</v>
      </c>
      <c r="E5652" s="0" t="inlineStr">
        <is>
          <t xml:space="preserve">Mazda</t>
        </is>
      </c>
      <c r="F5652" s="0" t="s">
        <v>28</v>
      </c>
      <c r="G5652" s="0" t="s">
        <v>29</v>
      </c>
      <c r="H5652" s="5">
        <v>440.791200</v>
      </c>
    </row>
    <row r="5653" spans="1:9">
      <c r="A5653" s="22" t="str">
        <f>HYPERLINK("https://app.vivvix.com/360/KMI/IntelliDrive/ApplUI/Pages/CreativePages/CustomReportCreativeDetail.aspx?App=23&amp;ReportView=4&amp;Qid=1711279&amp;Row=5645&amp;Col=1","No Title Assigned - #15269681374")</f>
        <v/>
      </c>
      <c r="B5653" s="0" t="s">
        <v>7592</v>
      </c>
      <c r="E5653" s="0" t="inlineStr">
        <is>
          <t xml:space="preserve">Mazda</t>
        </is>
      </c>
      <c r="F5653" s="0" t="inlineStr">
        <is>
          <t xml:space="preserve">Mazda</t>
        </is>
      </c>
      <c r="G5653" s="0" t="s">
        <v>171</v>
      </c>
      <c r="H5653" s="5">
        <v>1450.159100</v>
      </c>
    </row>
    <row r="5654" spans="1:9">
      <c r="A5654" s="22" t="str">
        <f>HYPERLINK("https://app.vivvix.com/360/KMI/IntelliDrive/ApplUI/Pages/CreativePages/CustomReportCreativeDetail.aspx?App=23&amp;ReportView=4&amp;Qid=1711279&amp;Row=5646&amp;Col=1","No Title Assigned - #15269684095")</f>
        <v/>
      </c>
      <c r="B5654" s="0" t="s">
        <v>7593</v>
      </c>
      <c r="E5654" s="0" t="inlineStr">
        <is>
          <t xml:space="preserve">Mazda</t>
        </is>
      </c>
      <c r="F5654" s="0" t="inlineStr">
        <is>
          <t xml:space="preserve">Mazda</t>
        </is>
      </c>
      <c r="G5654" s="0" t="s">
        <v>171</v>
      </c>
      <c r="H5654" s="5">
        <v>10.918000</v>
      </c>
    </row>
    <row r="5655" spans="1:9">
      <c r="A5655" s="22" t="str">
        <f>HYPERLINK("https://app.vivvix.com/360/KMI/IntelliDrive/ApplUI/Pages/CreativePages/CustomReportCreativeDetail.aspx?App=23&amp;ReportView=4&amp;Qid=1711279&amp;Row=5647&amp;Col=1","No Title Assigned - #15269685014")</f>
        <v/>
      </c>
      <c r="B5655" s="0" t="s">
        <v>7594</v>
      </c>
      <c r="E5655" s="0" t="inlineStr">
        <is>
          <t xml:space="preserve">Mazda</t>
        </is>
      </c>
      <c r="F5655" s="0" t="inlineStr">
        <is>
          <t xml:space="preserve">Mazda</t>
        </is>
      </c>
      <c r="G5655" s="0" t="s">
        <v>171</v>
      </c>
      <c r="H5655" s="5">
        <v>1422.251300</v>
      </c>
    </row>
    <row r="5656" spans="1:9">
      <c r="A5656" s="22" t="str">
        <f>HYPERLINK("https://app.vivvix.com/360/KMI/IntelliDrive/ApplUI/Pages/CreativePages/CustomReportCreativeDetail.aspx?App=23&amp;ReportView=4&amp;Qid=1711279&amp;Row=5648&amp;Col=1","No Title Assigned - #15269687637")</f>
        <v/>
      </c>
      <c r="B5656" s="0" t="s">
        <v>7595</v>
      </c>
      <c r="E5656" s="0" t="inlineStr">
        <is>
          <t xml:space="preserve">Mazda</t>
        </is>
      </c>
      <c r="F5656" s="0" t="inlineStr">
        <is>
          <t xml:space="preserve">Mazda</t>
        </is>
      </c>
      <c r="G5656" s="0" t="s">
        <v>171</v>
      </c>
      <c r="H5656" s="5">
        <v>7.216700</v>
      </c>
    </row>
    <row r="5657" spans="1:9">
      <c r="A5657" s="22" t="str">
        <f>HYPERLINK("https://app.vivvix.com/360/KMI/IntelliDrive/ApplUI/Pages/CreativePages/CustomReportCreativeDetail.aspx?App=23&amp;ReportView=4&amp;Qid=1711279&amp;Row=5649&amp;Col=1","No Title Assigned - #15269687807")</f>
        <v/>
      </c>
      <c r="B5657" s="0" t="s">
        <v>7596</v>
      </c>
      <c r="E5657" s="0" t="inlineStr">
        <is>
          <t xml:space="preserve">Mazda</t>
        </is>
      </c>
      <c r="F5657" s="0" t="inlineStr">
        <is>
          <t xml:space="preserve">Mazda</t>
        </is>
      </c>
      <c r="G5657" s="0" t="s">
        <v>171</v>
      </c>
      <c r="H5657" s="5">
        <v>26.793400</v>
      </c>
    </row>
    <row r="5658" spans="1:9">
      <c r="A5658" s="22" t="str">
        <f>HYPERLINK("https://app.vivvix.com/360/KMI/IntelliDrive/ApplUI/Pages/CreativePages/CustomReportCreativeDetail.aspx?App=23&amp;ReportView=4&amp;Qid=1711279&amp;Row=5650&amp;Col=1","No Title Assigned - #15269689508")</f>
        <v/>
      </c>
      <c r="B5658" s="0" t="s">
        <v>7597</v>
      </c>
      <c r="C5658" s="0" t="s">
        <v>7598</v>
      </c>
      <c r="D5658" s="0" t="s">
        <v>7598</v>
      </c>
      <c r="E5658" s="0" t="inlineStr">
        <is>
          <t xml:space="preserve">Mazda</t>
        </is>
      </c>
      <c r="F5658" s="0" t="inlineStr">
        <is>
          <t xml:space="preserve">Mazda</t>
        </is>
      </c>
      <c r="G5658" s="0" t="s">
        <v>171</v>
      </c>
      <c r="H5658" s="5">
        <v>397.297400</v>
      </c>
    </row>
    <row r="5659" spans="1:9">
      <c r="A5659" s="22" t="str">
        <f>HYPERLINK("https://app.vivvix.com/360/KMI/IntelliDrive/ApplUI/Pages/CreativePages/CustomReportCreativeDetail.aspx?App=23&amp;ReportView=4&amp;Qid=1711279&amp;Row=5651&amp;Col=1","No Title Assigned - #15269690247")</f>
        <v/>
      </c>
      <c r="B5659" s="0" t="s">
        <v>7599</v>
      </c>
      <c r="E5659" s="0" t="inlineStr">
        <is>
          <t xml:space="preserve">Mazda</t>
        </is>
      </c>
      <c r="F5659" s="0" t="inlineStr">
        <is>
          <t xml:space="preserve">Mazda</t>
        </is>
      </c>
      <c r="G5659" s="0" t="s">
        <v>171</v>
      </c>
      <c r="H5659" s="5">
        <v>4950.700700</v>
      </c>
    </row>
    <row r="5660" spans="1:9">
      <c r="A5660" s="22" t="str">
        <f>HYPERLINK("https://app.vivvix.com/360/KMI/IntelliDrive/ApplUI/Pages/CreativePages/CustomReportCreativeDetail.aspx?App=23&amp;ReportView=4&amp;Qid=1711279&amp;Row=5652&amp;Col=1","No Title Assigned - #15269690735")</f>
        <v/>
      </c>
      <c r="B5660" s="0" t="s">
        <v>7600</v>
      </c>
      <c r="E5660" s="0" t="inlineStr">
        <is>
          <t xml:space="preserve">Mazda</t>
        </is>
      </c>
      <c r="F5660" s="0" t="s">
        <v>13</v>
      </c>
      <c r="G5660" s="0" t="s">
        <v>49</v>
      </c>
      <c r="H5660" s="5">
        <v>44.459400</v>
      </c>
    </row>
    <row r="5661" spans="1:9">
      <c r="A5661" s="22" t="str">
        <f>HYPERLINK("https://app.vivvix.com/360/KMI/IntelliDrive/ApplUI/Pages/CreativePages/CustomReportCreativeDetail.aspx?App=23&amp;ReportView=4&amp;Qid=1711279&amp;Row=5653&amp;Col=1","No Title Assigned - #15269690735")</f>
        <v/>
      </c>
      <c r="B5661" s="0" t="s">
        <v>7600</v>
      </c>
      <c r="C5661" s="0" t="s">
        <v>7601</v>
      </c>
      <c r="D5661" s="0" t="s">
        <v>7601</v>
      </c>
      <c r="E5661" s="0" t="inlineStr">
        <is>
          <t xml:space="preserve">Mazda</t>
        </is>
      </c>
      <c r="F5661" s="0" t="s">
        <v>13</v>
      </c>
      <c r="G5661" s="0" t="s">
        <v>49</v>
      </c>
      <c r="H5661" s="5">
        <v>2101.541700</v>
      </c>
    </row>
    <row r="5662" spans="1:9">
      <c r="A5662" s="22" t="str">
        <f>HYPERLINK("https://app.vivvix.com/360/KMI/IntelliDrive/ApplUI/Pages/CreativePages/CustomReportCreativeDetail.aspx?App=23&amp;ReportView=4&amp;Qid=1711279&amp;Row=5654&amp;Col=1","No Title Assigned - #15269692932")</f>
        <v/>
      </c>
      <c r="B5662" s="0" t="s">
        <v>7602</v>
      </c>
      <c r="E5662" s="0" t="inlineStr">
        <is>
          <t xml:space="preserve">Mazda</t>
        </is>
      </c>
      <c r="F5662" s="0" t="inlineStr">
        <is>
          <t xml:space="preserve">Mazda</t>
        </is>
      </c>
      <c r="G5662" s="0" t="s">
        <v>171</v>
      </c>
      <c r="H5662" s="5">
        <v>37.391200</v>
      </c>
    </row>
    <row r="5663" spans="1:9">
      <c r="A5663" s="22" t="str">
        <f>HYPERLINK("https://app.vivvix.com/360/KMI/IntelliDrive/ApplUI/Pages/CreativePages/CustomReportCreativeDetail.aspx?App=23&amp;ReportView=4&amp;Qid=1711279&amp;Row=5655&amp;Col=1","No Title Assigned - #15269692994")</f>
        <v/>
      </c>
      <c r="B5663" s="0" t="s">
        <v>7603</v>
      </c>
      <c r="E5663" s="0" t="inlineStr">
        <is>
          <t xml:space="preserve">Mazda</t>
        </is>
      </c>
      <c r="F5663" s="0" t="inlineStr">
        <is>
          <t xml:space="preserve">Mazda</t>
        </is>
      </c>
      <c r="G5663" s="0" t="s">
        <v>171</v>
      </c>
      <c r="H5663" s="5">
        <v>2.077100</v>
      </c>
    </row>
    <row r="5664" spans="1:9">
      <c r="A5664" s="22" t="str">
        <f>HYPERLINK("https://app.vivvix.com/360/KMI/IntelliDrive/ApplUI/Pages/CreativePages/CustomReportCreativeDetail.aspx?App=23&amp;ReportView=4&amp;Qid=1711279&amp;Row=5656&amp;Col=1","No Title Assigned - #15269692994")</f>
        <v/>
      </c>
      <c r="B5664" s="0" t="s">
        <v>7603</v>
      </c>
      <c r="E5664" s="0" t="inlineStr">
        <is>
          <t xml:space="preserve">Mazda</t>
        </is>
      </c>
      <c r="F5664" s="0" t="inlineStr">
        <is>
          <t xml:space="preserve">Mazda</t>
        </is>
      </c>
      <c r="G5664" s="0" t="s">
        <v>171</v>
      </c>
      <c r="H5664" s="5">
        <v>283.949700</v>
      </c>
    </row>
    <row r="5665" spans="1:9">
      <c r="A5665" s="22" t="str">
        <f>HYPERLINK("https://app.vivvix.com/360/KMI/IntelliDrive/ApplUI/Pages/CreativePages/CustomReportCreativeDetail.aspx?App=23&amp;ReportView=4&amp;Qid=1711279&amp;Row=5657&amp;Col=1","No Title Assigned - #15269693946")</f>
        <v/>
      </c>
      <c r="B5665" s="0" t="s">
        <v>7604</v>
      </c>
      <c r="E5665" s="0" t="inlineStr">
        <is>
          <t xml:space="preserve">Mazda</t>
        </is>
      </c>
      <c r="F5665" s="0" t="inlineStr">
        <is>
          <t xml:space="preserve">Mazda</t>
        </is>
      </c>
      <c r="G5665" s="0" t="s">
        <v>171</v>
      </c>
      <c r="H5665" s="5">
        <v>74.516700</v>
      </c>
    </row>
    <row r="5666" spans="1:9">
      <c r="A5666" s="22" t="str">
        <f>HYPERLINK("https://app.vivvix.com/360/KMI/IntelliDrive/ApplUI/Pages/CreativePages/CustomReportCreativeDetail.aspx?App=23&amp;ReportView=4&amp;Qid=1711279&amp;Row=5658&amp;Col=1","No Title Assigned - #15269693947")</f>
        <v/>
      </c>
      <c r="B5666" s="0" t="s">
        <v>7605</v>
      </c>
      <c r="E5666" s="0" t="inlineStr">
        <is>
          <t xml:space="preserve">Mazda</t>
        </is>
      </c>
      <c r="F5666" s="0" t="inlineStr">
        <is>
          <t xml:space="preserve">Mazda</t>
        </is>
      </c>
      <c r="G5666" s="0" t="s">
        <v>171</v>
      </c>
      <c r="H5666" s="5">
        <v>6.177900</v>
      </c>
    </row>
    <row r="5667" spans="1:9">
      <c r="A5667" s="22" t="str">
        <f>HYPERLINK("https://app.vivvix.com/360/KMI/IntelliDrive/ApplUI/Pages/CreativePages/CustomReportCreativeDetail.aspx?App=23&amp;ReportView=4&amp;Qid=1711279&amp;Row=5659&amp;Col=1","No Title Assigned - #15269693948")</f>
        <v/>
      </c>
      <c r="B5667" s="0" t="s">
        <v>7606</v>
      </c>
      <c r="E5667" s="0" t="inlineStr">
        <is>
          <t xml:space="preserve">Mazda</t>
        </is>
      </c>
      <c r="F5667" s="0" t="inlineStr">
        <is>
          <t xml:space="preserve">Mazda</t>
        </is>
      </c>
      <c r="G5667" s="0" t="s">
        <v>171</v>
      </c>
      <c r="H5667" s="5">
        <v>16.534400</v>
      </c>
    </row>
    <row r="5668" spans="1:9">
      <c r="A5668" s="22" t="str">
        <f>HYPERLINK("https://app.vivvix.com/360/KMI/IntelliDrive/ApplUI/Pages/CreativePages/CustomReportCreativeDetail.aspx?App=23&amp;ReportView=4&amp;Qid=1711279&amp;Row=5660&amp;Col=1","No Title Assigned - #15269693949")</f>
        <v/>
      </c>
      <c r="B5668" s="0" t="s">
        <v>7607</v>
      </c>
      <c r="C5668" s="0" t="s">
        <v>7608</v>
      </c>
      <c r="D5668" s="0" t="s">
        <v>7608</v>
      </c>
      <c r="E5668" s="0" t="inlineStr">
        <is>
          <t xml:space="preserve">Mazda</t>
        </is>
      </c>
      <c r="F5668" s="0" t="inlineStr">
        <is>
          <t xml:space="preserve">Mazda</t>
        </is>
      </c>
      <c r="G5668" s="0" t="s">
        <v>171</v>
      </c>
      <c r="H5668" s="5">
        <v>16.943700</v>
      </c>
    </row>
    <row r="5669" spans="1:9">
      <c r="A5669" s="22" t="str">
        <f>HYPERLINK("https://app.vivvix.com/360/KMI/IntelliDrive/ApplUI/Pages/CreativePages/CustomReportCreativeDetail.aspx?App=23&amp;ReportView=4&amp;Qid=1711279&amp;Row=5661&amp;Col=1","No Title Assigned - #15269694102")</f>
        <v/>
      </c>
      <c r="B5669" s="0" t="s">
        <v>7609</v>
      </c>
      <c r="E5669" s="0" t="inlineStr">
        <is>
          <t xml:space="preserve">Mazda</t>
        </is>
      </c>
      <c r="F5669" s="0" t="inlineStr">
        <is>
          <t xml:space="preserve">Mazda</t>
        </is>
      </c>
      <c r="G5669" s="0" t="s">
        <v>171</v>
      </c>
      <c r="H5669" s="5">
        <v>54.831400</v>
      </c>
    </row>
    <row r="5670" spans="1:9">
      <c r="A5670" s="22" t="str">
        <f>HYPERLINK("https://app.vivvix.com/360/KMI/IntelliDrive/ApplUI/Pages/CreativePages/CustomReportCreativeDetail.aspx?App=23&amp;ReportView=4&amp;Qid=1711279&amp;Row=5662&amp;Col=1","No Title Assigned - #15269694803")</f>
        <v/>
      </c>
      <c r="B5670" s="0" t="s">
        <v>7610</v>
      </c>
      <c r="E5670" s="0" t="inlineStr">
        <is>
          <t xml:space="preserve">Mazda</t>
        </is>
      </c>
      <c r="F5670" s="0" t="inlineStr">
        <is>
          <t xml:space="preserve">Mazda</t>
        </is>
      </c>
      <c r="G5670" s="0" t="s">
        <v>171</v>
      </c>
      <c r="H5670" s="5">
        <v>42.661100</v>
      </c>
    </row>
    <row r="5671" spans="1:9">
      <c r="A5671" s="22" t="str">
        <f>HYPERLINK("https://app.vivvix.com/360/KMI/IntelliDrive/ApplUI/Pages/CreativePages/CustomReportCreativeDetail.aspx?App=23&amp;ReportView=4&amp;Qid=1711279&amp;Row=5663&amp;Col=1","No Title Assigned - #15269695964")</f>
        <v/>
      </c>
      <c r="B5671" s="0" t="s">
        <v>7611</v>
      </c>
      <c r="E5671" s="0" t="inlineStr">
        <is>
          <t xml:space="preserve">Mazda</t>
        </is>
      </c>
      <c r="F5671" s="0" t="inlineStr">
        <is>
          <t xml:space="preserve">Mazda</t>
        </is>
      </c>
      <c r="G5671" s="0" t="s">
        <v>171</v>
      </c>
      <c r="H5671" s="5">
        <v>70.838000</v>
      </c>
    </row>
    <row r="5672" spans="1:9">
      <c r="A5672" s="22" t="str">
        <f>HYPERLINK("https://app.vivvix.com/360/KMI/IntelliDrive/ApplUI/Pages/CreativePages/CustomReportCreativeDetail.aspx?App=23&amp;ReportView=4&amp;Qid=1711279&amp;Row=5664&amp;Col=1","No Title Assigned - #15269697240")</f>
        <v/>
      </c>
      <c r="B5672" s="0" t="s">
        <v>7612</v>
      </c>
      <c r="E5672" s="0" t="inlineStr">
        <is>
          <t xml:space="preserve">Mazda</t>
        </is>
      </c>
      <c r="F5672" s="0" t="inlineStr">
        <is>
          <t xml:space="preserve">Mazda</t>
        </is>
      </c>
      <c r="G5672" s="0" t="s">
        <v>171</v>
      </c>
      <c r="H5672" s="5">
        <v>156.892800</v>
      </c>
    </row>
    <row r="5673" spans="1:9">
      <c r="A5673" s="22" t="str">
        <f>HYPERLINK("https://app.vivvix.com/360/KMI/IntelliDrive/ApplUI/Pages/CreativePages/CustomReportCreativeDetail.aspx?App=23&amp;ReportView=4&amp;Qid=1711279&amp;Row=5665&amp;Col=1","No Title Assigned - #15269697551")</f>
        <v/>
      </c>
      <c r="B5673" s="0" t="s">
        <v>7613</v>
      </c>
      <c r="E5673" s="0" t="inlineStr">
        <is>
          <t xml:space="preserve">Mazda</t>
        </is>
      </c>
      <c r="F5673" s="0" t="inlineStr">
        <is>
          <t xml:space="preserve">Mazda</t>
        </is>
      </c>
      <c r="G5673" s="0" t="s">
        <v>171</v>
      </c>
      <c r="H5673" s="5">
        <v>6.177900</v>
      </c>
    </row>
    <row r="5674" spans="1:9">
      <c r="A5674" s="22" t="str">
        <f>HYPERLINK("https://app.vivvix.com/360/KMI/IntelliDrive/ApplUI/Pages/CreativePages/CustomReportCreativeDetail.aspx?App=23&amp;ReportView=4&amp;Qid=1711279&amp;Row=5666&amp;Col=1","No Title Assigned - #15269699421")</f>
        <v/>
      </c>
      <c r="B5674" s="0" t="s">
        <v>7614</v>
      </c>
      <c r="E5674" s="0" t="inlineStr">
        <is>
          <t xml:space="preserve">Mazda</t>
        </is>
      </c>
      <c r="F5674" s="0" t="inlineStr">
        <is>
          <t xml:space="preserve">Mazda</t>
        </is>
      </c>
      <c r="G5674" s="0" t="s">
        <v>171</v>
      </c>
      <c r="H5674" s="5">
        <v>2272.453500</v>
      </c>
    </row>
    <row r="5675" spans="1:9">
      <c r="A5675" s="22" t="str">
        <f>HYPERLINK("https://app.vivvix.com/360/KMI/IntelliDrive/ApplUI/Pages/CreativePages/CustomReportCreativeDetail.aspx?App=23&amp;ReportView=4&amp;Qid=1711279&amp;Row=5667&amp;Col=1","No Title Assigned - #15269699421")</f>
        <v/>
      </c>
      <c r="B5675" s="0" t="s">
        <v>7614</v>
      </c>
      <c r="E5675" s="0" t="inlineStr">
        <is>
          <t xml:space="preserve">Mazda</t>
        </is>
      </c>
      <c r="F5675" s="0" t="inlineStr">
        <is>
          <t xml:space="preserve">Mazda</t>
        </is>
      </c>
      <c r="G5675" s="0" t="s">
        <v>171</v>
      </c>
      <c r="H5675" s="5">
        <v>1249.535200</v>
      </c>
    </row>
    <row r="5676" spans="1:9">
      <c r="A5676" s="22" t="str">
        <f>HYPERLINK("https://app.vivvix.com/360/KMI/IntelliDrive/ApplUI/Pages/CreativePages/CustomReportCreativeDetail.aspx?App=23&amp;ReportView=4&amp;Qid=1711279&amp;Row=5668&amp;Col=1","No Title Assigned - #15269699455")</f>
        <v/>
      </c>
      <c r="B5676" s="0" t="s">
        <v>7615</v>
      </c>
      <c r="E5676" s="0" t="inlineStr">
        <is>
          <t xml:space="preserve">Mazda</t>
        </is>
      </c>
      <c r="F5676" s="0" t="inlineStr">
        <is>
          <t xml:space="preserve">Mazda</t>
        </is>
      </c>
      <c r="G5676" s="0" t="s">
        <v>171</v>
      </c>
      <c r="H5676" s="5">
        <v>407.357600</v>
      </c>
    </row>
    <row r="5677" spans="1:9">
      <c r="A5677" s="22" t="str">
        <f>HYPERLINK("https://app.vivvix.com/360/KMI/IntelliDrive/ApplUI/Pages/CreativePages/CustomReportCreativeDetail.aspx?App=23&amp;ReportView=4&amp;Qid=1711279&amp;Row=5669&amp;Col=1","No Title Assigned - #15269700019")</f>
        <v/>
      </c>
      <c r="B5677" s="0" t="s">
        <v>7616</v>
      </c>
      <c r="E5677" s="0" t="inlineStr">
        <is>
          <t xml:space="preserve">Mazda</t>
        </is>
      </c>
      <c r="F5677" s="0" t="inlineStr">
        <is>
          <t xml:space="preserve">Mazda</t>
        </is>
      </c>
      <c r="G5677" s="0" t="s">
        <v>171</v>
      </c>
      <c r="H5677" s="5">
        <v>163.296100</v>
      </c>
    </row>
    <row r="5678" spans="1:9">
      <c r="A5678" s="22" t="str">
        <f>HYPERLINK("https://app.vivvix.com/360/KMI/IntelliDrive/ApplUI/Pages/CreativePages/CustomReportCreativeDetail.aspx?App=23&amp;ReportView=4&amp;Qid=1711279&amp;Row=5670&amp;Col=1","No Title Assigned - #15269700604")</f>
        <v/>
      </c>
      <c r="B5678" s="0" t="s">
        <v>7617</v>
      </c>
      <c r="E5678" s="0" t="inlineStr">
        <is>
          <t xml:space="preserve">Mazda</t>
        </is>
      </c>
      <c r="F5678" s="0" t="inlineStr">
        <is>
          <t xml:space="preserve">Mazda</t>
        </is>
      </c>
      <c r="G5678" s="0" t="s">
        <v>171</v>
      </c>
      <c r="H5678" s="5">
        <v>786.808800</v>
      </c>
    </row>
    <row r="5679" spans="1:9">
      <c r="A5679" s="22" t="str">
        <f>HYPERLINK("https://app.vivvix.com/360/KMI/IntelliDrive/ApplUI/Pages/CreativePages/CustomReportCreativeDetail.aspx?App=23&amp;ReportView=4&amp;Qid=1711279&amp;Row=5671&amp;Col=1","No Title Assigned - #15269700714")</f>
        <v/>
      </c>
      <c r="B5679" s="0" t="s">
        <v>7618</v>
      </c>
      <c r="C5679" s="0" t="s">
        <v>7619</v>
      </c>
      <c r="D5679" s="0" t="s">
        <v>7619</v>
      </c>
      <c r="E5679" s="0" t="inlineStr">
        <is>
          <t xml:space="preserve">Mazda</t>
        </is>
      </c>
      <c r="F5679" s="0" t="inlineStr">
        <is>
          <t xml:space="preserve">Mazda</t>
        </is>
      </c>
      <c r="G5679" s="0" t="s">
        <v>171</v>
      </c>
      <c r="H5679" s="5">
        <v>154.970800</v>
      </c>
    </row>
    <row r="5680" spans="1:9">
      <c r="A5680" s="22" t="str">
        <f>HYPERLINK("https://app.vivvix.com/360/KMI/IntelliDrive/ApplUI/Pages/CreativePages/CustomReportCreativeDetail.aspx?App=23&amp;ReportView=4&amp;Qid=1711279&amp;Row=5672&amp;Col=1","No Title Assigned - #15269700978")</f>
        <v/>
      </c>
      <c r="B5680" s="0" t="s">
        <v>7620</v>
      </c>
      <c r="E5680" s="0" t="inlineStr">
        <is>
          <t xml:space="preserve">Mazda</t>
        </is>
      </c>
      <c r="F5680" s="0" t="inlineStr">
        <is>
          <t xml:space="preserve">Mazda</t>
        </is>
      </c>
      <c r="G5680" s="0" t="s">
        <v>171</v>
      </c>
      <c r="H5680" s="5">
        <v>78.618700</v>
      </c>
    </row>
    <row r="5681" spans="1:9">
      <c r="A5681" s="22" t="str">
        <f>HYPERLINK("https://app.vivvix.com/360/KMI/IntelliDrive/ApplUI/Pages/CreativePages/CustomReportCreativeDetail.aspx?App=23&amp;ReportView=4&amp;Qid=1711279&amp;Row=5673&amp;Col=1","No Title Assigned - #15269701262")</f>
        <v/>
      </c>
      <c r="B5681" s="0" t="s">
        <v>7621</v>
      </c>
      <c r="E5681" s="0" t="inlineStr">
        <is>
          <t xml:space="preserve">Mazda</t>
        </is>
      </c>
      <c r="F5681" s="0" t="inlineStr">
        <is>
          <t xml:space="preserve">Mazda</t>
        </is>
      </c>
      <c r="G5681" s="0" t="s">
        <v>171</v>
      </c>
      <c r="H5681" s="5">
        <v>714.452300</v>
      </c>
    </row>
    <row r="5682" spans="1:9">
      <c r="A5682" s="22" t="str">
        <f>HYPERLINK("https://app.vivvix.com/360/KMI/IntelliDrive/ApplUI/Pages/CreativePages/CustomReportCreativeDetail.aspx?App=23&amp;ReportView=4&amp;Qid=1711279&amp;Row=5674&amp;Col=1","No Title Assigned - #15269701432")</f>
        <v/>
      </c>
      <c r="B5682" s="0" t="s">
        <v>7622</v>
      </c>
      <c r="E5682" s="0" t="inlineStr">
        <is>
          <t xml:space="preserve">Mazda</t>
        </is>
      </c>
      <c r="F5682" s="0" t="inlineStr">
        <is>
          <t xml:space="preserve">Mazda</t>
        </is>
      </c>
      <c r="G5682" s="0" t="s">
        <v>171</v>
      </c>
      <c r="H5682" s="5">
        <v>40.564200</v>
      </c>
    </row>
    <row r="5683" spans="1:9">
      <c r="A5683" s="22" t="str">
        <f>HYPERLINK("https://app.vivvix.com/360/KMI/IntelliDrive/ApplUI/Pages/CreativePages/CustomReportCreativeDetail.aspx?App=23&amp;ReportView=4&amp;Qid=1711279&amp;Row=5675&amp;Col=1","No Title Assigned - #15269701585")</f>
        <v/>
      </c>
      <c r="B5683" s="0" t="s">
        <v>7623</v>
      </c>
      <c r="E5683" s="0" t="inlineStr">
        <is>
          <t xml:space="preserve">Mazda</t>
        </is>
      </c>
      <c r="F5683" s="0" t="inlineStr">
        <is>
          <t xml:space="preserve">Mazda</t>
        </is>
      </c>
      <c r="G5683" s="0" t="s">
        <v>171</v>
      </c>
      <c r="H5683" s="5">
        <v>21.836000</v>
      </c>
    </row>
    <row r="5684" spans="1:9">
      <c r="A5684" s="22" t="str">
        <f>HYPERLINK("https://app.vivvix.com/360/KMI/IntelliDrive/ApplUI/Pages/CreativePages/CustomReportCreativeDetail.aspx?App=23&amp;ReportView=4&amp;Qid=1711279&amp;Row=5676&amp;Col=1","No Title Assigned - #15269701710")</f>
        <v/>
      </c>
      <c r="B5684" s="0" t="s">
        <v>7624</v>
      </c>
      <c r="C5684" s="0" t="s">
        <v>7625</v>
      </c>
      <c r="D5684" s="0" t="s">
        <v>4200</v>
      </c>
      <c r="E5684" s="0" t="inlineStr">
        <is>
          <t xml:space="preserve">Mazda</t>
        </is>
      </c>
      <c r="F5684" s="0" t="s">
        <v>28</v>
      </c>
      <c r="G5684" s="0" t="s">
        <v>29</v>
      </c>
      <c r="H5684" s="5">
        <v>26.371200</v>
      </c>
    </row>
    <row r="5685" spans="1:9">
      <c r="A5685" s="22" t="str">
        <f>HYPERLINK("https://app.vivvix.com/360/KMI/IntelliDrive/ApplUI/Pages/CreativePages/CustomReportCreativeDetail.aspx?App=23&amp;ReportView=4&amp;Qid=1711279&amp;Row=5677&amp;Col=1","No Title Assigned - #15269701777")</f>
        <v/>
      </c>
      <c r="B5685" s="0" t="s">
        <v>7626</v>
      </c>
      <c r="E5685" s="0" t="inlineStr">
        <is>
          <t xml:space="preserve">Mazda</t>
        </is>
      </c>
      <c r="F5685" s="0" t="inlineStr">
        <is>
          <t xml:space="preserve">Mazda</t>
        </is>
      </c>
      <c r="G5685" s="0" t="s">
        <v>171</v>
      </c>
      <c r="H5685" s="5">
        <v>142.379500</v>
      </c>
    </row>
    <row r="5686" spans="1:9">
      <c r="A5686" s="22" t="str">
        <f>HYPERLINK("https://app.vivvix.com/360/KMI/IntelliDrive/ApplUI/Pages/CreativePages/CustomReportCreativeDetail.aspx?App=23&amp;ReportView=4&amp;Qid=1711279&amp;Row=5678&amp;Col=1","No Title Assigned - #15269702073")</f>
        <v/>
      </c>
      <c r="B5686" s="0" t="s">
        <v>7627</v>
      </c>
      <c r="E5686" s="0" t="inlineStr">
        <is>
          <t xml:space="preserve">Mazda</t>
        </is>
      </c>
      <c r="F5686" s="0" t="s">
        <v>28</v>
      </c>
      <c r="G5686" s="0" t="s">
        <v>29</v>
      </c>
      <c r="H5686" s="5">
        <v>29.267000</v>
      </c>
    </row>
    <row r="5687" spans="1:9">
      <c r="A5687" s="22" t="str">
        <f>HYPERLINK("https://app.vivvix.com/360/KMI/IntelliDrive/ApplUI/Pages/CreativePages/CustomReportCreativeDetail.aspx?App=23&amp;ReportView=4&amp;Qid=1711279&amp;Row=5679&amp;Col=1","No Title Assigned - #15269702251")</f>
        <v/>
      </c>
      <c r="B5687" s="0" t="s">
        <v>7628</v>
      </c>
      <c r="E5687" s="0" t="inlineStr">
        <is>
          <t xml:space="preserve">Mazda</t>
        </is>
      </c>
      <c r="F5687" s="0" t="inlineStr">
        <is>
          <t xml:space="preserve">Mazda</t>
        </is>
      </c>
      <c r="G5687" s="0" t="s">
        <v>171</v>
      </c>
      <c r="H5687" s="5">
        <v>141.057400</v>
      </c>
    </row>
    <row r="5688" spans="1:9">
      <c r="A5688" s="22" t="str">
        <f>HYPERLINK("https://app.vivvix.com/360/KMI/IntelliDrive/ApplUI/Pages/CreativePages/CustomReportCreativeDetail.aspx?App=23&amp;ReportView=4&amp;Qid=1711279&amp;Row=5680&amp;Col=1","No Title Assigned - #15269702251")</f>
        <v/>
      </c>
      <c r="B5688" s="0" t="s">
        <v>7628</v>
      </c>
      <c r="E5688" s="0" t="inlineStr">
        <is>
          <t xml:space="preserve">Mazda</t>
        </is>
      </c>
      <c r="F5688" s="0" t="inlineStr">
        <is>
          <t xml:space="preserve">Mazda</t>
        </is>
      </c>
      <c r="G5688" s="0" t="s">
        <v>171</v>
      </c>
      <c r="H5688" s="5">
        <v>6066.907200</v>
      </c>
    </row>
    <row r="5689" spans="1:9">
      <c r="A5689" s="22" t="str">
        <f>HYPERLINK("https://app.vivvix.com/360/KMI/IntelliDrive/ApplUI/Pages/CreativePages/CustomReportCreativeDetail.aspx?App=23&amp;ReportView=4&amp;Qid=1711279&amp;Row=5681&amp;Col=1","No Title Assigned - #15269702267")</f>
        <v/>
      </c>
      <c r="B5689" s="0" t="s">
        <v>7629</v>
      </c>
      <c r="E5689" s="0" t="inlineStr">
        <is>
          <t xml:space="preserve">Mazda</t>
        </is>
      </c>
      <c r="F5689" s="0" t="inlineStr">
        <is>
          <t xml:space="preserve">Mazda</t>
        </is>
      </c>
      <c r="G5689" s="0" t="s">
        <v>171</v>
      </c>
      <c r="H5689" s="5">
        <v>231.420300</v>
      </c>
    </row>
    <row r="5690" spans="1:9">
      <c r="A5690" s="22" t="str">
        <f>HYPERLINK("https://app.vivvix.com/360/KMI/IntelliDrive/ApplUI/Pages/CreativePages/CustomReportCreativeDetail.aspx?App=23&amp;ReportView=4&amp;Qid=1711279&amp;Row=5682&amp;Col=1","No Title Assigned - #15269703864")</f>
        <v/>
      </c>
      <c r="B5690" s="0" t="s">
        <v>7630</v>
      </c>
      <c r="E5690" s="0" t="inlineStr">
        <is>
          <t xml:space="preserve">Mazda</t>
        </is>
      </c>
      <c r="F5690" s="0" t="inlineStr">
        <is>
          <t xml:space="preserve">Mazda</t>
        </is>
      </c>
      <c r="G5690" s="0" t="s">
        <v>171</v>
      </c>
      <c r="H5690" s="5">
        <v>1243.307200</v>
      </c>
    </row>
    <row r="5691" spans="1:9">
      <c r="A5691" s="22" t="str">
        <f>HYPERLINK("https://app.vivvix.com/360/KMI/IntelliDrive/ApplUI/Pages/CreativePages/CustomReportCreativeDetail.aspx?App=23&amp;ReportView=4&amp;Qid=1711279&amp;Row=5683&amp;Col=1","No Title Assigned - #15269703942")</f>
        <v/>
      </c>
      <c r="B5691" s="0" t="s">
        <v>7631</v>
      </c>
      <c r="C5691" s="0" t="s">
        <v>7632</v>
      </c>
      <c r="D5691" s="0" t="s">
        <v>7632</v>
      </c>
      <c r="E5691" s="0" t="inlineStr">
        <is>
          <t xml:space="preserve">Mazda</t>
        </is>
      </c>
      <c r="F5691" s="0" t="inlineStr">
        <is>
          <t xml:space="preserve">Mazda</t>
        </is>
      </c>
      <c r="G5691" s="0" t="s">
        <v>171</v>
      </c>
      <c r="H5691" s="5">
        <v>42.635000</v>
      </c>
    </row>
    <row r="5692" spans="1:9">
      <c r="A5692" s="22" t="str">
        <f>HYPERLINK("https://app.vivvix.com/360/KMI/IntelliDrive/ApplUI/Pages/CreativePages/CustomReportCreativeDetail.aspx?App=23&amp;ReportView=4&amp;Qid=1711279&amp;Row=5684&amp;Col=1","No Title Assigned - #15269705225")</f>
        <v/>
      </c>
      <c r="B5692" s="0" t="s">
        <v>7633</v>
      </c>
      <c r="E5692" s="0" t="inlineStr">
        <is>
          <t xml:space="preserve">Mazda</t>
        </is>
      </c>
      <c r="F5692" s="0" t="inlineStr">
        <is>
          <t xml:space="preserve">Mazda</t>
        </is>
      </c>
      <c r="G5692" s="0" t="s">
        <v>171</v>
      </c>
      <c r="H5692" s="5">
        <v>4219.663900</v>
      </c>
    </row>
    <row r="5693" spans="1:9">
      <c r="A5693" s="22" t="str">
        <f>HYPERLINK("https://app.vivvix.com/360/KMI/IntelliDrive/ApplUI/Pages/CreativePages/CustomReportCreativeDetail.aspx?App=23&amp;ReportView=4&amp;Qid=1711279&amp;Row=5685&amp;Col=1","No Title Assigned - #15269705225")</f>
        <v/>
      </c>
      <c r="B5693" s="0" t="s">
        <v>7633</v>
      </c>
      <c r="E5693" s="0" t="inlineStr">
        <is>
          <t xml:space="preserve">Mazda</t>
        </is>
      </c>
      <c r="F5693" s="0" t="inlineStr">
        <is>
          <t xml:space="preserve">Mazda</t>
        </is>
      </c>
      <c r="G5693" s="0" t="s">
        <v>171</v>
      </c>
      <c r="H5693" s="5">
        <v>129.670500</v>
      </c>
    </row>
    <row r="5694" spans="1:9">
      <c r="A5694" s="22" t="str">
        <f>HYPERLINK("https://app.vivvix.com/360/KMI/IntelliDrive/ApplUI/Pages/CreativePages/CustomReportCreativeDetail.aspx?App=23&amp;ReportView=4&amp;Qid=1711279&amp;Row=5686&amp;Col=1","No Title Assigned - #15269705562")</f>
        <v/>
      </c>
      <c r="B5694" s="0" t="s">
        <v>7634</v>
      </c>
      <c r="E5694" s="0" t="inlineStr">
        <is>
          <t xml:space="preserve">Mazda</t>
        </is>
      </c>
      <c r="F5694" s="0" t="inlineStr">
        <is>
          <t xml:space="preserve">Mazda</t>
        </is>
      </c>
      <c r="G5694" s="0" t="s">
        <v>171</v>
      </c>
      <c r="H5694" s="5">
        <v>273.459100</v>
      </c>
    </row>
    <row r="5695" spans="1:9">
      <c r="A5695" s="22" t="str">
        <f>HYPERLINK("https://app.vivvix.com/360/KMI/IntelliDrive/ApplUI/Pages/CreativePages/CustomReportCreativeDetail.aspx?App=23&amp;ReportView=4&amp;Qid=1711279&amp;Row=5687&amp;Col=1","No Title Assigned - #15269706023")</f>
        <v/>
      </c>
      <c r="B5695" s="0" t="s">
        <v>7635</v>
      </c>
      <c r="E5695" s="0" t="inlineStr">
        <is>
          <t xml:space="preserve">Mazda</t>
        </is>
      </c>
      <c r="F5695" s="0" t="inlineStr">
        <is>
          <t xml:space="preserve">Mazda</t>
        </is>
      </c>
      <c r="G5695" s="0" t="s">
        <v>171</v>
      </c>
      <c r="H5695" s="5">
        <v>80.211600</v>
      </c>
    </row>
    <row r="5696" spans="1:9">
      <c r="A5696" s="22" t="str">
        <f>HYPERLINK("https://app.vivvix.com/360/KMI/IntelliDrive/ApplUI/Pages/CreativePages/CustomReportCreativeDetail.aspx?App=23&amp;ReportView=4&amp;Qid=1711279&amp;Row=5688&amp;Col=1","No Title Assigned - #15269706066")</f>
        <v/>
      </c>
      <c r="B5696" s="0" t="s">
        <v>7636</v>
      </c>
      <c r="E5696" s="0" t="inlineStr">
        <is>
          <t xml:space="preserve">Mazda</t>
        </is>
      </c>
      <c r="F5696" s="0" t="inlineStr">
        <is>
          <t xml:space="preserve">Mazda</t>
        </is>
      </c>
      <c r="G5696" s="0" t="s">
        <v>171</v>
      </c>
      <c r="H5696" s="5">
        <v>15.123400</v>
      </c>
    </row>
    <row r="5697" spans="1:9">
      <c r="A5697" s="22" t="str">
        <f>HYPERLINK("https://app.vivvix.com/360/KMI/IntelliDrive/ApplUI/Pages/CreativePages/CustomReportCreativeDetail.aspx?App=23&amp;ReportView=4&amp;Qid=1711279&amp;Row=5689&amp;Col=1","No Title Assigned - #15269706261")</f>
        <v/>
      </c>
      <c r="B5697" s="0" t="s">
        <v>7637</v>
      </c>
      <c r="E5697" s="0" t="inlineStr">
        <is>
          <t xml:space="preserve">Mazda</t>
        </is>
      </c>
      <c r="F5697" s="0" t="inlineStr">
        <is>
          <t xml:space="preserve">Mazda</t>
        </is>
      </c>
      <c r="G5697" s="0" t="s">
        <v>171</v>
      </c>
      <c r="H5697" s="5">
        <v>3118.134800</v>
      </c>
    </row>
    <row r="5698" spans="1:9">
      <c r="A5698" s="22" t="str">
        <f>HYPERLINK("https://app.vivvix.com/360/KMI/IntelliDrive/ApplUI/Pages/CreativePages/CustomReportCreativeDetail.aspx?App=23&amp;ReportView=4&amp;Qid=1711279&amp;Row=5690&amp;Col=1","No Title Assigned - #15269706261")</f>
        <v/>
      </c>
      <c r="B5698" s="0" t="s">
        <v>7637</v>
      </c>
      <c r="E5698" s="0" t="inlineStr">
        <is>
          <t xml:space="preserve">Mazda</t>
        </is>
      </c>
      <c r="F5698" s="0" t="inlineStr">
        <is>
          <t xml:space="preserve">Mazda</t>
        </is>
      </c>
      <c r="G5698" s="0" t="s">
        <v>171</v>
      </c>
      <c r="H5698" s="5">
        <v>1694.274800</v>
      </c>
    </row>
    <row r="5699" spans="1:9">
      <c r="A5699" s="22" t="str">
        <f>HYPERLINK("https://app.vivvix.com/360/KMI/IntelliDrive/ApplUI/Pages/CreativePages/CustomReportCreativeDetail.aspx?App=23&amp;ReportView=4&amp;Qid=1711279&amp;Row=5691&amp;Col=1","No Title Assigned - #15269706402")</f>
        <v/>
      </c>
      <c r="B5699" s="0" t="s">
        <v>7638</v>
      </c>
      <c r="E5699" s="0" t="inlineStr">
        <is>
          <t xml:space="preserve">Mazda</t>
        </is>
      </c>
      <c r="F5699" s="0" t="inlineStr">
        <is>
          <t xml:space="preserve">Mazda</t>
        </is>
      </c>
      <c r="G5699" s="0" t="s">
        <v>171</v>
      </c>
      <c r="H5699" s="5">
        <v>2081.262600</v>
      </c>
    </row>
    <row r="5700" spans="1:9">
      <c r="A5700" s="22" t="str">
        <f>HYPERLINK("https://app.vivvix.com/360/KMI/IntelliDrive/ApplUI/Pages/CreativePages/CustomReportCreativeDetail.aspx?App=23&amp;ReportView=4&amp;Qid=1711279&amp;Row=5692&amp;Col=1","No Title Assigned - #15269706462")</f>
        <v/>
      </c>
      <c r="B5700" s="0" t="s">
        <v>7639</v>
      </c>
      <c r="E5700" s="0" t="inlineStr">
        <is>
          <t xml:space="preserve">Mazda</t>
        </is>
      </c>
      <c r="F5700" s="0" t="inlineStr">
        <is>
          <t xml:space="preserve">Mazda</t>
        </is>
      </c>
      <c r="G5700" s="0" t="s">
        <v>171</v>
      </c>
      <c r="H5700" s="5">
        <v>181.618600</v>
      </c>
    </row>
    <row r="5701" spans="1:9">
      <c r="A5701" s="22" t="str">
        <f>HYPERLINK("https://app.vivvix.com/360/KMI/IntelliDrive/ApplUI/Pages/CreativePages/CustomReportCreativeDetail.aspx?App=23&amp;ReportView=4&amp;Qid=1711279&amp;Row=5693&amp;Col=1","No Title Assigned - #15269706463")</f>
        <v/>
      </c>
      <c r="B5701" s="0" t="s">
        <v>7640</v>
      </c>
      <c r="E5701" s="0" t="inlineStr">
        <is>
          <t xml:space="preserve">Mazda</t>
        </is>
      </c>
      <c r="F5701" s="0" t="inlineStr">
        <is>
          <t xml:space="preserve">Mazda</t>
        </is>
      </c>
      <c r="G5701" s="0" t="s">
        <v>171</v>
      </c>
      <c r="H5701" s="5">
        <v>181.618600</v>
      </c>
    </row>
    <row r="5702" spans="1:9">
      <c r="A5702" s="22" t="str">
        <f>HYPERLINK("https://app.vivvix.com/360/KMI/IntelliDrive/ApplUI/Pages/CreativePages/CustomReportCreativeDetail.aspx?App=23&amp;ReportView=4&amp;Qid=1711279&amp;Row=5694&amp;Col=1","No Title Assigned - #15269707139")</f>
        <v/>
      </c>
      <c r="B5702" s="0" t="s">
        <v>7641</v>
      </c>
      <c r="E5702" s="0" t="inlineStr">
        <is>
          <t xml:space="preserve">Mazda</t>
        </is>
      </c>
      <c r="F5702" s="0" t="inlineStr">
        <is>
          <t xml:space="preserve">Mazda</t>
        </is>
      </c>
      <c r="G5702" s="0" t="s">
        <v>171</v>
      </c>
      <c r="H5702" s="5">
        <v>96.007000</v>
      </c>
    </row>
    <row r="5703" spans="1:9">
      <c r="A5703" s="22" t="str">
        <f>HYPERLINK("https://app.vivvix.com/360/KMI/IntelliDrive/ApplUI/Pages/CreativePages/CustomReportCreativeDetail.aspx?App=23&amp;ReportView=4&amp;Qid=1711279&amp;Row=5695&amp;Col=1","No Title Assigned - #15269707222")</f>
        <v/>
      </c>
      <c r="B5703" s="0" t="s">
        <v>7642</v>
      </c>
      <c r="E5703" s="0" t="inlineStr">
        <is>
          <t xml:space="preserve">Mazda</t>
        </is>
      </c>
      <c r="F5703" s="0" t="inlineStr">
        <is>
          <t xml:space="preserve">Mazda</t>
        </is>
      </c>
      <c r="G5703" s="0" t="s">
        <v>171</v>
      </c>
      <c r="H5703" s="5">
        <v>136.039400</v>
      </c>
    </row>
    <row r="5704" spans="1:9">
      <c r="A5704" s="22" t="str">
        <f>HYPERLINK("https://app.vivvix.com/360/KMI/IntelliDrive/ApplUI/Pages/CreativePages/CustomReportCreativeDetail.aspx?App=23&amp;ReportView=4&amp;Qid=1711279&amp;Row=5696&amp;Col=1","No Title Assigned - #15269707244")</f>
        <v/>
      </c>
      <c r="B5704" s="0" t="s">
        <v>7643</v>
      </c>
      <c r="E5704" s="0" t="inlineStr">
        <is>
          <t xml:space="preserve">Mazda</t>
        </is>
      </c>
      <c r="F5704" s="0" t="inlineStr">
        <is>
          <t xml:space="preserve">Mazda</t>
        </is>
      </c>
      <c r="G5704" s="0" t="s">
        <v>171</v>
      </c>
      <c r="H5704" s="5">
        <v>59.728600</v>
      </c>
    </row>
    <row r="5705" spans="1:9">
      <c r="A5705" s="22" t="str">
        <f>HYPERLINK("https://app.vivvix.com/360/KMI/IntelliDrive/ApplUI/Pages/CreativePages/CustomReportCreativeDetail.aspx?App=23&amp;ReportView=4&amp;Qid=1711279&amp;Row=5697&amp;Col=1","No Title Assigned - #15269707517")</f>
        <v/>
      </c>
      <c r="B5705" s="0" t="s">
        <v>7644</v>
      </c>
      <c r="E5705" s="0" t="inlineStr">
        <is>
          <t xml:space="preserve">Mazda</t>
        </is>
      </c>
      <c r="F5705" s="0" t="inlineStr">
        <is>
          <t xml:space="preserve">Mazda</t>
        </is>
      </c>
      <c r="G5705" s="0" t="s">
        <v>171</v>
      </c>
      <c r="H5705" s="5">
        <v>161.727600</v>
      </c>
    </row>
    <row r="5706" spans="1:9">
      <c r="A5706" s="22" t="str">
        <f>HYPERLINK("https://app.vivvix.com/360/KMI/IntelliDrive/ApplUI/Pages/CreativePages/CustomReportCreativeDetail.aspx?App=23&amp;ReportView=4&amp;Qid=1711279&amp;Row=5698&amp;Col=1","No Title Assigned - #15269707517")</f>
        <v/>
      </c>
      <c r="B5706" s="0" t="s">
        <v>7644</v>
      </c>
      <c r="E5706" s="0" t="inlineStr">
        <is>
          <t xml:space="preserve">Mazda</t>
        </is>
      </c>
      <c r="F5706" s="0" t="inlineStr">
        <is>
          <t xml:space="preserve">Mazda</t>
        </is>
      </c>
      <c r="G5706" s="0" t="s">
        <v>171</v>
      </c>
      <c r="H5706" s="5">
        <v>165.408400</v>
      </c>
    </row>
    <row r="5707" spans="1:9">
      <c r="A5707" s="22" t="str">
        <f>HYPERLINK("https://app.vivvix.com/360/KMI/IntelliDrive/ApplUI/Pages/CreativePages/CustomReportCreativeDetail.aspx?App=23&amp;ReportView=4&amp;Qid=1711279&amp;Row=5699&amp;Col=1","No Title Assigned - #15269707854")</f>
        <v/>
      </c>
      <c r="B5707" s="0" t="s">
        <v>7645</v>
      </c>
      <c r="E5707" s="0" t="inlineStr">
        <is>
          <t xml:space="preserve">Mazda</t>
        </is>
      </c>
      <c r="F5707" s="0" t="inlineStr">
        <is>
          <t xml:space="preserve">Mazda</t>
        </is>
      </c>
      <c r="G5707" s="0" t="s">
        <v>171</v>
      </c>
      <c r="H5707" s="5">
        <v>5071.728300</v>
      </c>
    </row>
    <row r="5708" spans="1:9">
      <c r="A5708" s="22" t="str">
        <f>HYPERLINK("https://app.vivvix.com/360/KMI/IntelliDrive/ApplUI/Pages/CreativePages/CustomReportCreativeDetail.aspx?App=23&amp;ReportView=4&amp;Qid=1711279&amp;Row=5700&amp;Col=1","No Title Assigned - #15269707854")</f>
        <v/>
      </c>
      <c r="B5708" s="0" t="s">
        <v>7645</v>
      </c>
      <c r="E5708" s="0" t="inlineStr">
        <is>
          <t xml:space="preserve">Mazda</t>
        </is>
      </c>
      <c r="F5708" s="0" t="inlineStr">
        <is>
          <t xml:space="preserve">Mazda</t>
        </is>
      </c>
      <c r="G5708" s="0" t="s">
        <v>171</v>
      </c>
      <c r="H5708" s="5">
        <v>80.414900</v>
      </c>
    </row>
    <row r="5709" spans="1:9">
      <c r="A5709" s="22" t="str">
        <f>HYPERLINK("https://app.vivvix.com/360/KMI/IntelliDrive/ApplUI/Pages/CreativePages/CustomReportCreativeDetail.aspx?App=23&amp;ReportView=4&amp;Qid=1711279&amp;Row=5701&amp;Col=1","No Title Assigned - #15269707855")</f>
        <v/>
      </c>
      <c r="B5709" s="0" t="s">
        <v>7646</v>
      </c>
      <c r="E5709" s="0" t="inlineStr">
        <is>
          <t xml:space="preserve">Mazda</t>
        </is>
      </c>
      <c r="F5709" s="0" t="inlineStr">
        <is>
          <t xml:space="preserve">Mazda</t>
        </is>
      </c>
      <c r="G5709" s="0" t="s">
        <v>171</v>
      </c>
      <c r="H5709" s="5">
        <v>3990.399400</v>
      </c>
    </row>
    <row r="5710" spans="1:9">
      <c r="A5710" s="22" t="str">
        <f>HYPERLINK("https://app.vivvix.com/360/KMI/IntelliDrive/ApplUI/Pages/CreativePages/CustomReportCreativeDetail.aspx?App=23&amp;ReportView=4&amp;Qid=1711279&amp;Row=5702&amp;Col=1","No Title Assigned - #15269708158")</f>
        <v/>
      </c>
      <c r="B5710" s="0" t="s">
        <v>7647</v>
      </c>
      <c r="E5710" s="0" t="inlineStr">
        <is>
          <t xml:space="preserve">Mazda</t>
        </is>
      </c>
      <c r="F5710" s="0" t="inlineStr">
        <is>
          <t xml:space="preserve">Mazda</t>
        </is>
      </c>
      <c r="G5710" s="0" t="s">
        <v>171</v>
      </c>
      <c r="H5710" s="5">
        <v>66.809200</v>
      </c>
    </row>
    <row r="5711" spans="1:9">
      <c r="A5711" s="22" t="str">
        <f>HYPERLINK("https://app.vivvix.com/360/KMI/IntelliDrive/ApplUI/Pages/CreativePages/CustomReportCreativeDetail.aspx?App=23&amp;ReportView=4&amp;Qid=1711279&amp;Row=5703&amp;Col=1","No Title Assigned - #15269708520")</f>
        <v/>
      </c>
      <c r="B5711" s="0" t="s">
        <v>7648</v>
      </c>
      <c r="E5711" s="0" t="inlineStr">
        <is>
          <t xml:space="preserve">Mazda</t>
        </is>
      </c>
      <c r="F5711" s="0" t="inlineStr">
        <is>
          <t xml:space="preserve">Mazda</t>
        </is>
      </c>
      <c r="G5711" s="0" t="s">
        <v>171</v>
      </c>
      <c r="H5711" s="5">
        <v>1233.105600</v>
      </c>
    </row>
    <row r="5712" spans="1:9">
      <c r="A5712" s="22" t="str">
        <f>HYPERLINK("https://app.vivvix.com/360/KMI/IntelliDrive/ApplUI/Pages/CreativePages/CustomReportCreativeDetail.aspx?App=23&amp;ReportView=4&amp;Qid=1711279&amp;Row=5704&amp;Col=1","No Title Assigned - #15269708520")</f>
        <v/>
      </c>
      <c r="B5712" s="0" t="s">
        <v>7648</v>
      </c>
      <c r="E5712" s="0" t="inlineStr">
        <is>
          <t xml:space="preserve">Mazda</t>
        </is>
      </c>
      <c r="F5712" s="0" t="inlineStr">
        <is>
          <t xml:space="preserve">Mazda</t>
        </is>
      </c>
      <c r="G5712" s="0" t="s">
        <v>171</v>
      </c>
      <c r="H5712" s="5">
        <v>26.736400</v>
      </c>
    </row>
    <row r="5713" spans="1:9">
      <c r="A5713" s="22" t="str">
        <f>HYPERLINK("https://app.vivvix.com/360/KMI/IntelliDrive/ApplUI/Pages/CreativePages/CustomReportCreativeDetail.aspx?App=23&amp;ReportView=4&amp;Qid=1711279&amp;Row=5705&amp;Col=1","No Title Assigned - #15269708666")</f>
        <v/>
      </c>
      <c r="B5713" s="0" t="s">
        <v>7649</v>
      </c>
      <c r="E5713" s="0" t="inlineStr">
        <is>
          <t xml:space="preserve">Mazda</t>
        </is>
      </c>
      <c r="F5713" s="0" t="inlineStr">
        <is>
          <t xml:space="preserve">Mazda</t>
        </is>
      </c>
      <c r="G5713" s="0" t="s">
        <v>171</v>
      </c>
      <c r="H5713" s="5">
        <v>648.619700</v>
      </c>
    </row>
    <row r="5714" spans="1:9">
      <c r="A5714" s="22" t="str">
        <f>HYPERLINK("https://app.vivvix.com/360/KMI/IntelliDrive/ApplUI/Pages/CreativePages/CustomReportCreativeDetail.aspx?App=23&amp;ReportView=4&amp;Qid=1711279&amp;Row=5706&amp;Col=1","No Title Assigned - #15269708730")</f>
        <v/>
      </c>
      <c r="B5714" s="0" t="s">
        <v>7650</v>
      </c>
      <c r="E5714" s="0" t="inlineStr">
        <is>
          <t xml:space="preserve">Mazda</t>
        </is>
      </c>
      <c r="F5714" s="0" t="inlineStr">
        <is>
          <t xml:space="preserve">Mazda</t>
        </is>
      </c>
      <c r="G5714" s="0" t="s">
        <v>171</v>
      </c>
      <c r="H5714" s="5">
        <v>181.618600</v>
      </c>
    </row>
    <row r="5715" spans="1:9">
      <c r="A5715" s="22" t="str">
        <f>HYPERLINK("https://app.vivvix.com/360/KMI/IntelliDrive/ApplUI/Pages/CreativePages/CustomReportCreativeDetail.aspx?App=23&amp;ReportView=4&amp;Qid=1711279&amp;Row=5707&amp;Col=1","No Title Assigned - #15269709297")</f>
        <v/>
      </c>
      <c r="B5715" s="0" t="s">
        <v>7651</v>
      </c>
      <c r="C5715" s="0" t="s">
        <v>7652</v>
      </c>
      <c r="D5715" s="0" t="s">
        <v>7652</v>
      </c>
      <c r="E5715" s="0" t="inlineStr">
        <is>
          <t xml:space="preserve">Mazda</t>
        </is>
      </c>
      <c r="F5715" s="0" t="inlineStr">
        <is>
          <t xml:space="preserve">Mazda</t>
        </is>
      </c>
      <c r="G5715" s="0" t="s">
        <v>171</v>
      </c>
      <c r="H5715" s="5">
        <v>132.216000</v>
      </c>
    </row>
    <row r="5716" spans="1:9">
      <c r="A5716" s="22" t="str">
        <f>HYPERLINK("https://app.vivvix.com/360/KMI/IntelliDrive/ApplUI/Pages/CreativePages/CustomReportCreativeDetail.aspx?App=23&amp;ReportView=4&amp;Qid=1711279&amp;Row=5708&amp;Col=1","No Title Assigned - #15269709361")</f>
        <v/>
      </c>
      <c r="B5716" s="0" t="s">
        <v>7653</v>
      </c>
      <c r="E5716" s="0" t="inlineStr">
        <is>
          <t xml:space="preserve">Mazda</t>
        </is>
      </c>
      <c r="F5716" s="0" t="inlineStr">
        <is>
          <t xml:space="preserve">Mazda</t>
        </is>
      </c>
      <c r="G5716" s="0" t="s">
        <v>171</v>
      </c>
      <c r="H5716" s="5">
        <v>77.952500</v>
      </c>
    </row>
    <row r="5717" spans="1:9">
      <c r="A5717" s="22" t="str">
        <f>HYPERLINK("https://app.vivvix.com/360/KMI/IntelliDrive/ApplUI/Pages/CreativePages/CustomReportCreativeDetail.aspx?App=23&amp;ReportView=4&amp;Qid=1711279&amp;Row=5709&amp;Col=1","No Title Assigned - #15269709555")</f>
        <v/>
      </c>
      <c r="B5717" s="0" t="s">
        <v>7654</v>
      </c>
      <c r="E5717" s="0" t="inlineStr">
        <is>
          <t xml:space="preserve">Mazda</t>
        </is>
      </c>
      <c r="F5717" s="0" t="inlineStr">
        <is>
          <t xml:space="preserve">Mazda</t>
        </is>
      </c>
      <c r="G5717" s="0" t="s">
        <v>171</v>
      </c>
      <c r="H5717" s="5">
        <v>21.751100</v>
      </c>
    </row>
    <row r="5718" spans="1:9">
      <c r="A5718" s="22" t="str">
        <f>HYPERLINK("https://app.vivvix.com/360/KMI/IntelliDrive/ApplUI/Pages/CreativePages/CustomReportCreativeDetail.aspx?App=23&amp;ReportView=4&amp;Qid=1711279&amp;Row=5710&amp;Col=1","No Title Assigned - #15269711117")</f>
        <v/>
      </c>
      <c r="B5718" s="0" t="s">
        <v>7655</v>
      </c>
      <c r="E5718" s="0" t="inlineStr">
        <is>
          <t xml:space="preserve">Mazda</t>
        </is>
      </c>
      <c r="F5718" s="0" t="inlineStr">
        <is>
          <t xml:space="preserve">Mazda</t>
        </is>
      </c>
      <c r="G5718" s="0" t="s">
        <v>171</v>
      </c>
      <c r="H5718" s="5">
        <v>38.985500</v>
      </c>
    </row>
    <row r="5719" spans="1:9">
      <c r="A5719" s="22" t="str">
        <f>HYPERLINK("https://app.vivvix.com/360/KMI/IntelliDrive/ApplUI/Pages/CreativePages/CustomReportCreativeDetail.aspx?App=23&amp;ReportView=4&amp;Qid=1711279&amp;Row=5711&amp;Col=1","No Title Assigned - #15269714598")</f>
        <v/>
      </c>
      <c r="B5719" s="0" t="s">
        <v>7656</v>
      </c>
      <c r="E5719" s="0" t="inlineStr">
        <is>
          <t xml:space="preserve">Mazda</t>
        </is>
      </c>
      <c r="F5719" s="0" t="inlineStr">
        <is>
          <t xml:space="preserve">Mazda</t>
        </is>
      </c>
      <c r="G5719" s="0" t="s">
        <v>171</v>
      </c>
      <c r="H5719" s="5">
        <v>53.626600</v>
      </c>
    </row>
    <row r="5720" spans="1:9">
      <c r="A5720" s="22" t="str">
        <f>HYPERLINK("https://app.vivvix.com/360/KMI/IntelliDrive/ApplUI/Pages/CreativePages/CustomReportCreativeDetail.aspx?App=23&amp;ReportView=4&amp;Qid=1711279&amp;Row=5712&amp;Col=1","No Title Assigned - #15269715257")</f>
        <v/>
      </c>
      <c r="B5720" s="0" t="s">
        <v>7657</v>
      </c>
      <c r="E5720" s="0" t="inlineStr">
        <is>
          <t xml:space="preserve">Mazda</t>
        </is>
      </c>
      <c r="F5720" s="0" t="inlineStr">
        <is>
          <t xml:space="preserve">Mazda</t>
        </is>
      </c>
      <c r="G5720" s="0" t="s">
        <v>171</v>
      </c>
      <c r="H5720" s="5">
        <v>95.153200</v>
      </c>
    </row>
    <row r="5721" spans="1:9">
      <c r="A5721" s="22" t="str">
        <f>HYPERLINK("https://app.vivvix.com/360/KMI/IntelliDrive/ApplUI/Pages/CreativePages/CustomReportCreativeDetail.aspx?App=23&amp;ReportView=4&amp;Qid=1711279&amp;Row=5713&amp;Col=1","No Title Assigned - #15269715617")</f>
        <v/>
      </c>
      <c r="B5721" s="0" t="s">
        <v>7658</v>
      </c>
      <c r="E5721" s="0" t="inlineStr">
        <is>
          <t xml:space="preserve">Mazda</t>
        </is>
      </c>
      <c r="F5721" s="0" t="inlineStr">
        <is>
          <t xml:space="preserve">Mazda</t>
        </is>
      </c>
      <c r="G5721" s="0" t="s">
        <v>171</v>
      </c>
      <c r="H5721" s="5">
        <v>337.821300</v>
      </c>
    </row>
    <row r="5722" spans="1:9">
      <c r="A5722" s="22" t="str">
        <f>HYPERLINK("https://app.vivvix.com/360/KMI/IntelliDrive/ApplUI/Pages/CreativePages/CustomReportCreativeDetail.aspx?App=23&amp;ReportView=4&amp;Qid=1711279&amp;Row=5714&amp;Col=1","No Title Assigned - #15269716833")</f>
        <v/>
      </c>
      <c r="B5722" s="0" t="s">
        <v>7659</v>
      </c>
      <c r="E5722" s="0" t="inlineStr">
        <is>
          <t xml:space="preserve">Mazda</t>
        </is>
      </c>
      <c r="F5722" s="0" t="inlineStr">
        <is>
          <t xml:space="preserve">Mazda</t>
        </is>
      </c>
      <c r="G5722" s="0" t="s">
        <v>171</v>
      </c>
      <c r="H5722" s="5">
        <v>347.748300</v>
      </c>
    </row>
    <row r="5723" spans="1:9">
      <c r="A5723" s="22" t="str">
        <f>HYPERLINK("https://app.vivvix.com/360/KMI/IntelliDrive/ApplUI/Pages/CreativePages/CustomReportCreativeDetail.aspx?App=23&amp;ReportView=4&amp;Qid=1711279&amp;Row=5715&amp;Col=1","No Title Assigned - #15269723582")</f>
        <v/>
      </c>
      <c r="B5723" s="0" t="s">
        <v>7660</v>
      </c>
      <c r="E5723" s="0" t="inlineStr">
        <is>
          <t xml:space="preserve">Mazda</t>
        </is>
      </c>
      <c r="F5723" s="0" t="inlineStr">
        <is>
          <t xml:space="preserve">Mazda</t>
        </is>
      </c>
      <c r="G5723" s="0" t="s">
        <v>171</v>
      </c>
      <c r="H5723" s="5">
        <v>2434.872600</v>
      </c>
    </row>
    <row r="5724" spans="1:9">
      <c r="A5724" s="22" t="str">
        <f>HYPERLINK("https://app.vivvix.com/360/KMI/IntelliDrive/ApplUI/Pages/CreativePages/CustomReportCreativeDetail.aspx?App=23&amp;ReportView=4&amp;Qid=1711279&amp;Row=5716&amp;Col=1","No Title Assigned - #15269724038")</f>
        <v/>
      </c>
      <c r="B5724" s="0" t="s">
        <v>7661</v>
      </c>
      <c r="E5724" s="0" t="inlineStr">
        <is>
          <t xml:space="preserve">Mazda</t>
        </is>
      </c>
      <c r="F5724" s="0" t="inlineStr">
        <is>
          <t xml:space="preserve">Mazda</t>
        </is>
      </c>
      <c r="G5724" s="0" t="s">
        <v>171</v>
      </c>
      <c r="H5724" s="5">
        <v>200.032600</v>
      </c>
    </row>
    <row r="5725" spans="1:9">
      <c r="A5725" s="22" t="str">
        <f>HYPERLINK("https://app.vivvix.com/360/KMI/IntelliDrive/ApplUI/Pages/CreativePages/CustomReportCreativeDetail.aspx?App=23&amp;ReportView=4&amp;Qid=1711279&amp;Row=5717&amp;Col=1","No Title Assigned - #15269726424")</f>
        <v/>
      </c>
      <c r="B5725" s="0" t="s">
        <v>7662</v>
      </c>
      <c r="E5725" s="0" t="inlineStr">
        <is>
          <t xml:space="preserve">Mazda</t>
        </is>
      </c>
      <c r="F5725" s="0" t="inlineStr">
        <is>
          <t xml:space="preserve">Mazda</t>
        </is>
      </c>
      <c r="G5725" s="0" t="s">
        <v>171</v>
      </c>
      <c r="H5725" s="5">
        <v>104.689800</v>
      </c>
    </row>
    <row r="5726" spans="1:9">
      <c r="A5726" s="22" t="str">
        <f>HYPERLINK("https://app.vivvix.com/360/KMI/IntelliDrive/ApplUI/Pages/CreativePages/CustomReportCreativeDetail.aspx?App=23&amp;ReportView=4&amp;Qid=1711279&amp;Row=5718&amp;Col=1","No Title Assigned - #15269729019")</f>
        <v/>
      </c>
      <c r="B5726" s="0" t="s">
        <v>7663</v>
      </c>
      <c r="E5726" s="0" t="inlineStr">
        <is>
          <t xml:space="preserve">Mazda</t>
        </is>
      </c>
      <c r="F5726" s="0" t="inlineStr">
        <is>
          <t xml:space="preserve">Mazda</t>
        </is>
      </c>
      <c r="G5726" s="0" t="s">
        <v>171</v>
      </c>
      <c r="H5726" s="5">
        <v>43.500700</v>
      </c>
    </row>
    <row r="5727" spans="1:9">
      <c r="A5727" s="22" t="str">
        <f>HYPERLINK("https://app.vivvix.com/360/KMI/IntelliDrive/ApplUI/Pages/CreativePages/CustomReportCreativeDetail.aspx?App=23&amp;ReportView=4&amp;Qid=1711279&amp;Row=5719&amp;Col=1","No Title Assigned - #15269731528")</f>
        <v/>
      </c>
      <c r="B5727" s="0" t="s">
        <v>7664</v>
      </c>
      <c r="E5727" s="0" t="inlineStr">
        <is>
          <t xml:space="preserve">Mazda</t>
        </is>
      </c>
      <c r="F5727" s="0" t="inlineStr">
        <is>
          <t xml:space="preserve">Mazda</t>
        </is>
      </c>
      <c r="G5727" s="0" t="s">
        <v>171</v>
      </c>
      <c r="H5727" s="5">
        <v>10.285300</v>
      </c>
    </row>
    <row r="5728" spans="1:9">
      <c r="A5728" s="22" t="str">
        <f>HYPERLINK("https://app.vivvix.com/360/KMI/IntelliDrive/ApplUI/Pages/CreativePages/CustomReportCreativeDetail.aspx?App=23&amp;ReportView=4&amp;Qid=1711279&amp;Row=5720&amp;Col=1","No Title Assigned - #15269731894")</f>
        <v/>
      </c>
      <c r="B5728" s="0" t="s">
        <v>7665</v>
      </c>
      <c r="E5728" s="0" t="inlineStr">
        <is>
          <t xml:space="preserve">Mazda</t>
        </is>
      </c>
      <c r="F5728" s="0" t="inlineStr">
        <is>
          <t xml:space="preserve">Mazda</t>
        </is>
      </c>
      <c r="G5728" s="0" t="s">
        <v>171</v>
      </c>
      <c r="H5728" s="5">
        <v>52.344900</v>
      </c>
    </row>
    <row r="5729" spans="1:9">
      <c r="A5729" s="22" t="str">
        <f>HYPERLINK("https://app.vivvix.com/360/KMI/IntelliDrive/ApplUI/Pages/CreativePages/CustomReportCreativeDetail.aspx?App=23&amp;ReportView=4&amp;Qid=1711279&amp;Row=5721&amp;Col=1","No Title Assigned - #15269732320")</f>
        <v/>
      </c>
      <c r="B5729" s="0" t="s">
        <v>7666</v>
      </c>
      <c r="C5729" s="0" t="s">
        <v>7667</v>
      </c>
      <c r="D5729" s="0" t="s">
        <v>7667</v>
      </c>
      <c r="E5729" s="0" t="inlineStr">
        <is>
          <t xml:space="preserve">Mazda</t>
        </is>
      </c>
      <c r="F5729" s="0" t="inlineStr">
        <is>
          <t xml:space="preserve">Mazda</t>
        </is>
      </c>
      <c r="G5729" s="0" t="s">
        <v>171</v>
      </c>
      <c r="H5729" s="5">
        <v>5068.488000</v>
      </c>
    </row>
    <row r="5730" spans="1:9">
      <c r="A5730" s="22" t="str">
        <f>HYPERLINK("https://app.vivvix.com/360/KMI/IntelliDrive/ApplUI/Pages/CreativePages/CustomReportCreativeDetail.aspx?App=23&amp;ReportView=4&amp;Qid=1711279&amp;Row=5722&amp;Col=1","No Title Assigned - #15269732320")</f>
        <v/>
      </c>
      <c r="B5730" s="0" t="s">
        <v>7666</v>
      </c>
      <c r="E5730" s="0" t="inlineStr">
        <is>
          <t xml:space="preserve">Mazda</t>
        </is>
      </c>
      <c r="F5730" s="0" t="inlineStr">
        <is>
          <t xml:space="preserve">Mazda</t>
        </is>
      </c>
      <c r="G5730" s="0" t="s">
        <v>171</v>
      </c>
      <c r="H5730" s="5">
        <v>43.028200</v>
      </c>
    </row>
    <row r="5731" spans="1:9">
      <c r="A5731" s="22" t="str">
        <f>HYPERLINK("https://app.vivvix.com/360/KMI/IntelliDrive/ApplUI/Pages/CreativePages/CustomReportCreativeDetail.aspx?App=23&amp;ReportView=4&amp;Qid=1711279&amp;Row=5723&amp;Col=1","No Title Assigned - #15269732406")</f>
        <v/>
      </c>
      <c r="B5731" s="0" t="s">
        <v>7668</v>
      </c>
      <c r="C5731" s="0" t="s">
        <v>7669</v>
      </c>
      <c r="D5731" s="0" t="s">
        <v>7669</v>
      </c>
      <c r="E5731" s="0" t="inlineStr">
        <is>
          <t xml:space="preserve">Mazda</t>
        </is>
      </c>
      <c r="F5731" s="0" t="inlineStr">
        <is>
          <t xml:space="preserve">Mazda</t>
        </is>
      </c>
      <c r="G5731" s="0" t="s">
        <v>171</v>
      </c>
      <c r="H5731" s="5">
        <v>74.780500</v>
      </c>
    </row>
    <row r="5732" spans="1:9">
      <c r="A5732" s="22" t="str">
        <f>HYPERLINK("https://app.vivvix.com/360/KMI/IntelliDrive/ApplUI/Pages/CreativePages/CustomReportCreativeDetail.aspx?App=23&amp;ReportView=4&amp;Qid=1711279&amp;Row=5724&amp;Col=1","No Title Assigned - #15269733440")</f>
        <v/>
      </c>
      <c r="B5732" s="0" t="s">
        <v>7670</v>
      </c>
      <c r="C5732" s="0" t="s">
        <v>7671</v>
      </c>
      <c r="D5732" s="0" t="s">
        <v>7671</v>
      </c>
      <c r="E5732" s="0" t="inlineStr">
        <is>
          <t xml:space="preserve">Mazda</t>
        </is>
      </c>
      <c r="F5732" s="0" t="inlineStr">
        <is>
          <t xml:space="preserve">Mazda</t>
        </is>
      </c>
      <c r="G5732" s="0" t="s">
        <v>171</v>
      </c>
      <c r="H5732" s="5">
        <v>63594.505700</v>
      </c>
    </row>
    <row r="5733" spans="1:9">
      <c r="A5733" s="22" t="str">
        <f>HYPERLINK("https://app.vivvix.com/360/KMI/IntelliDrive/ApplUI/Pages/CreativePages/CustomReportCreativeDetail.aspx?App=23&amp;ReportView=4&amp;Qid=1711279&amp;Row=5725&amp;Col=1","No Title Assigned - #15269733440")</f>
        <v/>
      </c>
      <c r="B5733" s="0" t="s">
        <v>7670</v>
      </c>
      <c r="E5733" s="0" t="inlineStr">
        <is>
          <t xml:space="preserve">Mazda</t>
        </is>
      </c>
      <c r="F5733" s="0" t="inlineStr">
        <is>
          <t xml:space="preserve">Mazda</t>
        </is>
      </c>
      <c r="G5733" s="0" t="s">
        <v>171</v>
      </c>
      <c r="H5733" s="5">
        <v>578.479300</v>
      </c>
    </row>
    <row r="5734" spans="1:9">
      <c r="A5734" s="22" t="str">
        <f>HYPERLINK("https://app.vivvix.com/360/KMI/IntelliDrive/ApplUI/Pages/CreativePages/CustomReportCreativeDetail.aspx?App=23&amp;ReportView=4&amp;Qid=1711279&amp;Row=5726&amp;Col=1","No Title Assigned - #15269734926")</f>
        <v/>
      </c>
      <c r="B5734" s="0" t="s">
        <v>7672</v>
      </c>
      <c r="E5734" s="0" t="inlineStr">
        <is>
          <t xml:space="preserve">Mazda</t>
        </is>
      </c>
      <c r="F5734" s="0" t="inlineStr">
        <is>
          <t xml:space="preserve">Mazda</t>
        </is>
      </c>
      <c r="G5734" s="0" t="s">
        <v>171</v>
      </c>
      <c r="H5734" s="5">
        <v>14.598100</v>
      </c>
    </row>
    <row r="5735" spans="1:9">
      <c r="A5735" s="22" t="str">
        <f>HYPERLINK("https://app.vivvix.com/360/KMI/IntelliDrive/ApplUI/Pages/CreativePages/CustomReportCreativeDetail.aspx?App=23&amp;ReportView=4&amp;Qid=1711279&amp;Row=5727&amp;Col=1","No Title Assigned - #15269737390")</f>
        <v/>
      </c>
      <c r="B5735" s="0" t="s">
        <v>7673</v>
      </c>
      <c r="E5735" s="0" t="inlineStr">
        <is>
          <t xml:space="preserve">Mazda</t>
        </is>
      </c>
      <c r="F5735" s="0" t="s">
        <v>28</v>
      </c>
      <c r="G5735" s="0" t="s">
        <v>29</v>
      </c>
      <c r="H5735" s="5">
        <v>719.896700</v>
      </c>
    </row>
    <row r="5736" spans="1:9">
      <c r="A5736" s="22" t="str">
        <f>HYPERLINK("https://app.vivvix.com/360/KMI/IntelliDrive/ApplUI/Pages/CreativePages/CustomReportCreativeDetail.aspx?App=23&amp;ReportView=4&amp;Qid=1711279&amp;Row=5728&amp;Col=1","No Title Assigned - #15269739205")</f>
        <v/>
      </c>
      <c r="B5736" s="0" t="s">
        <v>7674</v>
      </c>
      <c r="E5736" s="0" t="inlineStr">
        <is>
          <t xml:space="preserve">Mazda</t>
        </is>
      </c>
      <c r="F5736" s="0" t="s">
        <v>13</v>
      </c>
      <c r="G5736" s="0" t="s">
        <v>49</v>
      </c>
      <c r="H5736" s="5">
        <v>156.172700</v>
      </c>
    </row>
    <row r="5737" spans="1:9">
      <c r="A5737" s="22" t="str">
        <f>HYPERLINK("https://app.vivvix.com/360/KMI/IntelliDrive/ApplUI/Pages/CreativePages/CustomReportCreativeDetail.aspx?App=23&amp;ReportView=4&amp;Qid=1711279&amp;Row=5729&amp;Col=1","No Title Assigned - #15269739205")</f>
        <v/>
      </c>
      <c r="B5737" s="0" t="s">
        <v>7674</v>
      </c>
      <c r="C5737" s="0" t="s">
        <v>7675</v>
      </c>
      <c r="D5737" s="0" t="s">
        <v>7675</v>
      </c>
      <c r="E5737" s="0" t="inlineStr">
        <is>
          <t xml:space="preserve">Mazda</t>
        </is>
      </c>
      <c r="F5737" s="0" t="s">
        <v>13</v>
      </c>
      <c r="G5737" s="0" t="s">
        <v>49</v>
      </c>
      <c r="H5737" s="5">
        <v>585.754100</v>
      </c>
    </row>
    <row r="5738" spans="1:9">
      <c r="A5738" s="22" t="str">
        <f>HYPERLINK("https://app.vivvix.com/360/KMI/IntelliDrive/ApplUI/Pages/CreativePages/CustomReportCreativeDetail.aspx?App=23&amp;ReportView=4&amp;Qid=1711279&amp;Row=5730&amp;Col=1","No Title Assigned - #15269739490")</f>
        <v/>
      </c>
      <c r="B5738" s="0" t="s">
        <v>7676</v>
      </c>
      <c r="E5738" s="0" t="inlineStr">
        <is>
          <t xml:space="preserve">Mazda</t>
        </is>
      </c>
      <c r="F5738" s="0" t="s">
        <v>28</v>
      </c>
      <c r="G5738" s="0" t="s">
        <v>29</v>
      </c>
      <c r="H5738" s="5">
        <v>31.976300</v>
      </c>
    </row>
    <row r="5739" spans="1:9">
      <c r="A5739" s="22" t="str">
        <f>HYPERLINK("https://app.vivvix.com/360/KMI/IntelliDrive/ApplUI/Pages/CreativePages/CustomReportCreativeDetail.aspx?App=23&amp;ReportView=4&amp;Qid=1711279&amp;Row=5731&amp;Col=1","No Title Assigned - #15269739696")</f>
        <v/>
      </c>
      <c r="B5739" s="0" t="s">
        <v>7677</v>
      </c>
      <c r="C5739" s="0" t="s">
        <v>7678</v>
      </c>
      <c r="D5739" s="0" t="s">
        <v>7678</v>
      </c>
      <c r="E5739" s="0" t="inlineStr">
        <is>
          <t xml:space="preserve">Mazda</t>
        </is>
      </c>
      <c r="F5739" s="0" t="s">
        <v>13</v>
      </c>
      <c r="G5739" s="0" t="s">
        <v>49</v>
      </c>
      <c r="H5739" s="5">
        <v>3769.074000</v>
      </c>
    </row>
    <row r="5740" spans="1:9">
      <c r="A5740" s="22" t="str">
        <f>HYPERLINK("https://app.vivvix.com/360/KMI/IntelliDrive/ApplUI/Pages/CreativePages/CustomReportCreativeDetail.aspx?App=23&amp;ReportView=4&amp;Qid=1711279&amp;Row=5732&amp;Col=1","No Title Assigned - #15269741368")</f>
        <v/>
      </c>
      <c r="B5740" s="0" t="s">
        <v>7679</v>
      </c>
      <c r="E5740" s="0" t="inlineStr">
        <is>
          <t xml:space="preserve">Mazda</t>
        </is>
      </c>
      <c r="F5740" s="0" t="inlineStr">
        <is>
          <t xml:space="preserve">Mazda</t>
        </is>
      </c>
      <c r="G5740" s="0" t="s">
        <v>171</v>
      </c>
      <c r="H5740" s="5">
        <v>4950.700700</v>
      </c>
    </row>
    <row r="5741" spans="1:9">
      <c r="A5741" s="22" t="str">
        <f>HYPERLINK("https://app.vivvix.com/360/KMI/IntelliDrive/ApplUI/Pages/CreativePages/CustomReportCreativeDetail.aspx?App=23&amp;ReportView=4&amp;Qid=1711279&amp;Row=5733&amp;Col=1","No Title Assigned - #15269741558")</f>
        <v/>
      </c>
      <c r="B5741" s="0" t="s">
        <v>7680</v>
      </c>
      <c r="E5741" s="0" t="inlineStr">
        <is>
          <t xml:space="preserve">Mazda</t>
        </is>
      </c>
      <c r="F5741" s="0" t="inlineStr">
        <is>
          <t xml:space="preserve">Mazda</t>
        </is>
      </c>
      <c r="G5741" s="0" t="s">
        <v>171</v>
      </c>
      <c r="H5741" s="5">
        <v>39940.425700</v>
      </c>
    </row>
    <row r="5742" spans="1:9">
      <c r="A5742" s="22" t="str">
        <f>HYPERLINK("https://app.vivvix.com/360/KMI/IntelliDrive/ApplUI/Pages/CreativePages/CustomReportCreativeDetail.aspx?App=23&amp;ReportView=4&amp;Qid=1711279&amp;Row=5734&amp;Col=1","No Title Assigned - #15269741558")</f>
        <v/>
      </c>
      <c r="B5742" s="0" t="s">
        <v>7680</v>
      </c>
      <c r="E5742" s="0" t="inlineStr">
        <is>
          <t xml:space="preserve">Mazda</t>
        </is>
      </c>
      <c r="F5742" s="0" t="inlineStr">
        <is>
          <t xml:space="preserve">Mazda</t>
        </is>
      </c>
      <c r="G5742" s="0" t="s">
        <v>171</v>
      </c>
      <c r="H5742" s="5">
        <v>13767.421700</v>
      </c>
    </row>
    <row r="5743" spans="1:9">
      <c r="A5743" s="22" t="str">
        <f>HYPERLINK("https://app.vivvix.com/360/KMI/IntelliDrive/ApplUI/Pages/CreativePages/CustomReportCreativeDetail.aspx?App=23&amp;ReportView=4&amp;Qid=1711279&amp;Row=5735&amp;Col=1","No Title Assigned - #15269741769")</f>
        <v/>
      </c>
      <c r="B5743" s="0" t="s">
        <v>7681</v>
      </c>
      <c r="E5743" s="0" t="inlineStr">
        <is>
          <t xml:space="preserve">Mazda</t>
        </is>
      </c>
      <c r="F5743" s="0" t="inlineStr">
        <is>
          <t xml:space="preserve">Mazda</t>
        </is>
      </c>
      <c r="G5743" s="0" t="s">
        <v>171</v>
      </c>
      <c r="H5743" s="5">
        <v>17.923900</v>
      </c>
    </row>
    <row r="5744" spans="1:9">
      <c r="A5744" s="22" t="str">
        <f>HYPERLINK("https://app.vivvix.com/360/KMI/IntelliDrive/ApplUI/Pages/CreativePages/CustomReportCreativeDetail.aspx?App=23&amp;ReportView=4&amp;Qid=1711279&amp;Row=5736&amp;Col=1","No Title Assigned - #15269741805")</f>
        <v/>
      </c>
      <c r="B5744" s="0" t="s">
        <v>7682</v>
      </c>
      <c r="E5744" s="0" t="inlineStr">
        <is>
          <t xml:space="preserve">Mazda</t>
        </is>
      </c>
      <c r="F5744" s="0" t="inlineStr">
        <is>
          <t xml:space="preserve">Mazda</t>
        </is>
      </c>
      <c r="G5744" s="0" t="s">
        <v>171</v>
      </c>
      <c r="H5744" s="5">
        <v>72.420400</v>
      </c>
    </row>
    <row r="5745" spans="1:9">
      <c r="A5745" s="22" t="str">
        <f>HYPERLINK("https://app.vivvix.com/360/KMI/IntelliDrive/ApplUI/Pages/CreativePages/CustomReportCreativeDetail.aspx?App=23&amp;ReportView=4&amp;Qid=1711279&amp;Row=5737&amp;Col=1","No Title Assigned - #15269742747")</f>
        <v/>
      </c>
      <c r="B5745" s="0" t="s">
        <v>7683</v>
      </c>
      <c r="E5745" s="0" t="inlineStr">
        <is>
          <t xml:space="preserve">Mazda</t>
        </is>
      </c>
      <c r="F5745" s="0" t="inlineStr">
        <is>
          <t xml:space="preserve">Mazda</t>
        </is>
      </c>
      <c r="G5745" s="0" t="s">
        <v>171</v>
      </c>
      <c r="H5745" s="5">
        <v>423.073500</v>
      </c>
    </row>
    <row r="5746" spans="1:9">
      <c r="A5746" s="22" t="str">
        <f>HYPERLINK("https://app.vivvix.com/360/KMI/IntelliDrive/ApplUI/Pages/CreativePages/CustomReportCreativeDetail.aspx?App=23&amp;ReportView=4&amp;Qid=1711279&amp;Row=5738&amp;Col=1","No Title Assigned - #15269743386")</f>
        <v/>
      </c>
      <c r="B5746" s="0" t="s">
        <v>7684</v>
      </c>
      <c r="E5746" s="0" t="inlineStr">
        <is>
          <t xml:space="preserve">Mazda</t>
        </is>
      </c>
      <c r="F5746" s="0" t="inlineStr">
        <is>
          <t xml:space="preserve">Mazda</t>
        </is>
      </c>
      <c r="G5746" s="0" t="s">
        <v>171</v>
      </c>
      <c r="H5746" s="5">
        <v>74.333500</v>
      </c>
    </row>
    <row r="5747" spans="1:9">
      <c r="A5747" s="22" t="str">
        <f>HYPERLINK("https://app.vivvix.com/360/KMI/IntelliDrive/ApplUI/Pages/CreativePages/CustomReportCreativeDetail.aspx?App=23&amp;ReportView=4&amp;Qid=1711279&amp;Row=5739&amp;Col=1","No Title Assigned - #15269743432")</f>
        <v/>
      </c>
      <c r="B5747" s="0" t="s">
        <v>7685</v>
      </c>
      <c r="C5747" s="0" t="s">
        <v>7686</v>
      </c>
      <c r="D5747" s="0" t="s">
        <v>7686</v>
      </c>
      <c r="E5747" s="0" t="inlineStr">
        <is>
          <t xml:space="preserve">Mazda</t>
        </is>
      </c>
      <c r="F5747" s="0" t="inlineStr">
        <is>
          <t xml:space="preserve">Mazda</t>
        </is>
      </c>
      <c r="G5747" s="0" t="s">
        <v>171</v>
      </c>
      <c r="H5747" s="5">
        <v>193.447300</v>
      </c>
    </row>
    <row r="5748" spans="1:9">
      <c r="A5748" s="22" t="str">
        <f>HYPERLINK("https://app.vivvix.com/360/KMI/IntelliDrive/ApplUI/Pages/CreativePages/CustomReportCreativeDetail.aspx?App=23&amp;ReportView=4&amp;Qid=1711279&amp;Row=5740&amp;Col=1","No Title Assigned - #15269744151")</f>
        <v/>
      </c>
      <c r="B5748" s="0" t="s">
        <v>7687</v>
      </c>
      <c r="E5748" s="0" t="inlineStr">
        <is>
          <t xml:space="preserve">Mazda</t>
        </is>
      </c>
      <c r="F5748" s="0" t="inlineStr">
        <is>
          <t xml:space="preserve">Mazda</t>
        </is>
      </c>
      <c r="G5748" s="0" t="s">
        <v>171</v>
      </c>
      <c r="H5748" s="5">
        <v>9.995700</v>
      </c>
    </row>
    <row r="5749" spans="1:9">
      <c r="A5749" s="22" t="str">
        <f>HYPERLINK("https://app.vivvix.com/360/KMI/IntelliDrive/ApplUI/Pages/CreativePages/CustomReportCreativeDetail.aspx?App=23&amp;ReportView=4&amp;Qid=1711279&amp;Row=5741&amp;Col=1","No Title Assigned - #15269744209")</f>
        <v/>
      </c>
      <c r="B5749" s="0" t="s">
        <v>7688</v>
      </c>
      <c r="E5749" s="0" t="inlineStr">
        <is>
          <t xml:space="preserve">Mazda</t>
        </is>
      </c>
      <c r="F5749" s="0" t="inlineStr">
        <is>
          <t xml:space="preserve">Mazda</t>
        </is>
      </c>
      <c r="G5749" s="0" t="s">
        <v>171</v>
      </c>
      <c r="H5749" s="5">
        <v>302.031300</v>
      </c>
    </row>
    <row r="5750" spans="1:9">
      <c r="A5750" s="22" t="str">
        <f>HYPERLINK("https://app.vivvix.com/360/KMI/IntelliDrive/ApplUI/Pages/CreativePages/CustomReportCreativeDetail.aspx?App=23&amp;ReportView=4&amp;Qid=1711279&amp;Row=5742&amp;Col=1","No Title Assigned - #15269755989")</f>
        <v/>
      </c>
      <c r="B5750" s="0" t="s">
        <v>7689</v>
      </c>
      <c r="E5750" s="0" t="inlineStr">
        <is>
          <t xml:space="preserve">Mazda</t>
        </is>
      </c>
      <c r="F5750" s="0" t="inlineStr">
        <is>
          <t xml:space="preserve">Mazda</t>
        </is>
      </c>
      <c r="G5750" s="0" t="s">
        <v>171</v>
      </c>
      <c r="H5750" s="5">
        <v>4.323200</v>
      </c>
    </row>
    <row r="5751" spans="1:9">
      <c r="A5751" s="22" t="str">
        <f>HYPERLINK("https://app.vivvix.com/360/KMI/IntelliDrive/ApplUI/Pages/CreativePages/CustomReportCreativeDetail.aspx?App=23&amp;ReportView=4&amp;Qid=1711279&amp;Row=5743&amp;Col=1","No Title Assigned - #15269756045")</f>
        <v/>
      </c>
      <c r="B5751" s="0" t="s">
        <v>7690</v>
      </c>
      <c r="E5751" s="0" t="inlineStr">
        <is>
          <t xml:space="preserve">Mazda</t>
        </is>
      </c>
      <c r="F5751" s="0" t="inlineStr">
        <is>
          <t xml:space="preserve">Mazda</t>
        </is>
      </c>
      <c r="G5751" s="0" t="s">
        <v>171</v>
      </c>
      <c r="H5751" s="5">
        <v>177.767700</v>
      </c>
    </row>
    <row r="5752" spans="1:9">
      <c r="A5752" s="22" t="str">
        <f>HYPERLINK("https://app.vivvix.com/360/KMI/IntelliDrive/ApplUI/Pages/CreativePages/CustomReportCreativeDetail.aspx?App=23&amp;ReportView=4&amp;Qid=1711279&amp;Row=5744&amp;Col=1","No Title Assigned - #15269757090")</f>
        <v/>
      </c>
      <c r="B5752" s="0" t="s">
        <v>7691</v>
      </c>
      <c r="E5752" s="0" t="inlineStr">
        <is>
          <t xml:space="preserve">Mazda</t>
        </is>
      </c>
      <c r="F5752" s="0" t="inlineStr">
        <is>
          <t xml:space="preserve">Mazda</t>
        </is>
      </c>
      <c r="G5752" s="0" t="s">
        <v>171</v>
      </c>
      <c r="H5752" s="5">
        <v>3799.067200</v>
      </c>
    </row>
    <row r="5753" spans="1:9">
      <c r="A5753" s="22" t="str">
        <f>HYPERLINK("https://app.vivvix.com/360/KMI/IntelliDrive/ApplUI/Pages/CreativePages/CustomReportCreativeDetail.aspx?App=23&amp;ReportView=4&amp;Qid=1711279&amp;Row=5745&amp;Col=1","No Title Assigned - #15269757116")</f>
        <v/>
      </c>
      <c r="B5753" s="0" t="s">
        <v>7692</v>
      </c>
      <c r="E5753" s="0" t="inlineStr">
        <is>
          <t xml:space="preserve">Mazda</t>
        </is>
      </c>
      <c r="F5753" s="0" t="inlineStr">
        <is>
          <t xml:space="preserve">Mazda</t>
        </is>
      </c>
      <c r="G5753" s="0" t="s">
        <v>171</v>
      </c>
      <c r="H5753" s="5">
        <v>105.746900</v>
      </c>
    </row>
    <row r="5754" spans="1:9">
      <c r="A5754" s="22" t="str">
        <f>HYPERLINK("https://app.vivvix.com/360/KMI/IntelliDrive/ApplUI/Pages/CreativePages/CustomReportCreativeDetail.aspx?App=23&amp;ReportView=4&amp;Qid=1711279&amp;Row=5746&amp;Col=1","No Title Assigned - #15269757301")</f>
        <v/>
      </c>
      <c r="B5754" s="0" t="s">
        <v>7693</v>
      </c>
      <c r="E5754" s="0" t="inlineStr">
        <is>
          <t xml:space="preserve">Mazda</t>
        </is>
      </c>
      <c r="F5754" s="0" t="inlineStr">
        <is>
          <t xml:space="preserve">Mazda</t>
        </is>
      </c>
      <c r="G5754" s="0" t="s">
        <v>171</v>
      </c>
      <c r="H5754" s="5">
        <v>5906.646500</v>
      </c>
    </row>
    <row r="5755" spans="1:9">
      <c r="A5755" s="22" t="str">
        <f>HYPERLINK("https://app.vivvix.com/360/KMI/IntelliDrive/ApplUI/Pages/CreativePages/CustomReportCreativeDetail.aspx?App=23&amp;ReportView=4&amp;Qid=1711279&amp;Row=5747&amp;Col=1","No Title Assigned - #15269757685")</f>
        <v/>
      </c>
      <c r="B5755" s="0" t="s">
        <v>7694</v>
      </c>
      <c r="C5755" s="0" t="s">
        <v>7695</v>
      </c>
      <c r="D5755" s="0" t="s">
        <v>7695</v>
      </c>
      <c r="E5755" s="0" t="inlineStr">
        <is>
          <t xml:space="preserve">Mazda</t>
        </is>
      </c>
      <c r="F5755" s="0" t="inlineStr">
        <is>
          <t xml:space="preserve">Mazda</t>
        </is>
      </c>
      <c r="G5755" s="0" t="s">
        <v>171</v>
      </c>
      <c r="H5755" s="5">
        <v>89.777900</v>
      </c>
    </row>
    <row r="5756" spans="1:9">
      <c r="A5756" s="22" t="str">
        <f>HYPERLINK("https://app.vivvix.com/360/KMI/IntelliDrive/ApplUI/Pages/CreativePages/CustomReportCreativeDetail.aspx?App=23&amp;ReportView=4&amp;Qid=1711279&amp;Row=5748&amp;Col=1","No Title Assigned - #15269757787")</f>
        <v/>
      </c>
      <c r="B5756" s="0" t="s">
        <v>7696</v>
      </c>
      <c r="E5756" s="0" t="inlineStr">
        <is>
          <t xml:space="preserve">Mazda</t>
        </is>
      </c>
      <c r="F5756" s="0" t="inlineStr">
        <is>
          <t xml:space="preserve">Mazda</t>
        </is>
      </c>
      <c r="G5756" s="0" t="s">
        <v>171</v>
      </c>
      <c r="H5756" s="5">
        <v>22.700100</v>
      </c>
    </row>
    <row r="5757" spans="1:9">
      <c r="A5757" s="22" t="str">
        <f>HYPERLINK("https://app.vivvix.com/360/KMI/IntelliDrive/ApplUI/Pages/CreativePages/CustomReportCreativeDetail.aspx?App=23&amp;ReportView=4&amp;Qid=1711279&amp;Row=5749&amp;Col=1","No Title Assigned - #15269758569")</f>
        <v/>
      </c>
      <c r="B5757" s="0" t="s">
        <v>7697</v>
      </c>
      <c r="C5757" s="0" t="s">
        <v>7698</v>
      </c>
      <c r="D5757" s="0" t="s">
        <v>7698</v>
      </c>
      <c r="E5757" s="0" t="inlineStr">
        <is>
          <t xml:space="preserve">Mazda</t>
        </is>
      </c>
      <c r="F5757" s="0" t="inlineStr">
        <is>
          <t xml:space="preserve">Mazda</t>
        </is>
      </c>
      <c r="G5757" s="0" t="s">
        <v>171</v>
      </c>
      <c r="H5757" s="5">
        <v>367.090900</v>
      </c>
    </row>
    <row r="5758" spans="1:9">
      <c r="A5758" s="22" t="str">
        <f>HYPERLINK("https://app.vivvix.com/360/KMI/IntelliDrive/ApplUI/Pages/CreativePages/CustomReportCreativeDetail.aspx?App=23&amp;ReportView=4&amp;Qid=1711279&amp;Row=5750&amp;Col=1","No Title Assigned - #15269758570")</f>
        <v/>
      </c>
      <c r="B5758" s="0" t="s">
        <v>7699</v>
      </c>
      <c r="E5758" s="0" t="inlineStr">
        <is>
          <t xml:space="preserve">Mazda</t>
        </is>
      </c>
      <c r="F5758" s="0" t="inlineStr">
        <is>
          <t xml:space="preserve">Mazda</t>
        </is>
      </c>
      <c r="G5758" s="0" t="s">
        <v>171</v>
      </c>
      <c r="H5758" s="5">
        <v>69.039800</v>
      </c>
    </row>
    <row r="5759" spans="1:9">
      <c r="A5759" s="22" t="str">
        <f>HYPERLINK("https://app.vivvix.com/360/KMI/IntelliDrive/ApplUI/Pages/CreativePages/CustomReportCreativeDetail.aspx?App=23&amp;ReportView=4&amp;Qid=1711279&amp;Row=5751&amp;Col=1","No Title Assigned - #15269758840")</f>
        <v/>
      </c>
      <c r="B5759" s="0" t="s">
        <v>7700</v>
      </c>
      <c r="E5759" s="0" t="inlineStr">
        <is>
          <t xml:space="preserve">Mazda</t>
        </is>
      </c>
      <c r="F5759" s="0" t="inlineStr">
        <is>
          <t xml:space="preserve">Mazda</t>
        </is>
      </c>
      <c r="G5759" s="0" t="s">
        <v>171</v>
      </c>
      <c r="H5759" s="5">
        <v>254.258400</v>
      </c>
    </row>
    <row r="5760" spans="1:9">
      <c r="A5760" s="22" t="str">
        <f>HYPERLINK("https://app.vivvix.com/360/KMI/IntelliDrive/ApplUI/Pages/CreativePages/CustomReportCreativeDetail.aspx?App=23&amp;ReportView=4&amp;Qid=1711279&amp;Row=5752&amp;Col=1","No Title Assigned - #15269759718")</f>
        <v/>
      </c>
      <c r="B5760" s="0" t="s">
        <v>7701</v>
      </c>
      <c r="E5760" s="0" t="inlineStr">
        <is>
          <t xml:space="preserve">Mazda</t>
        </is>
      </c>
      <c r="F5760" s="0" t="inlineStr">
        <is>
          <t xml:space="preserve">Mazda</t>
        </is>
      </c>
      <c r="G5760" s="0" t="s">
        <v>171</v>
      </c>
      <c r="H5760" s="5">
        <v>472.106700</v>
      </c>
    </row>
    <row r="5761" spans="1:9">
      <c r="A5761" s="22" t="str">
        <f>HYPERLINK("https://app.vivvix.com/360/KMI/IntelliDrive/ApplUI/Pages/CreativePages/CustomReportCreativeDetail.aspx?App=23&amp;ReportView=4&amp;Qid=1711279&amp;Row=5753&amp;Col=1","No Title Assigned - #15269761406")</f>
        <v/>
      </c>
      <c r="B5761" s="0" t="s">
        <v>7702</v>
      </c>
      <c r="E5761" s="0" t="inlineStr">
        <is>
          <t xml:space="preserve">Mazda</t>
        </is>
      </c>
      <c r="F5761" s="0" t="s">
        <v>28</v>
      </c>
      <c r="G5761" s="0" t="s">
        <v>29</v>
      </c>
      <c r="H5761" s="5">
        <v>50.216200</v>
      </c>
    </row>
    <row r="5762" spans="1:9">
      <c r="A5762" s="22" t="str">
        <f>HYPERLINK("https://app.vivvix.com/360/KMI/IntelliDrive/ApplUI/Pages/CreativePages/CustomReportCreativeDetail.aspx?App=23&amp;ReportView=4&amp;Qid=1711279&amp;Row=5754&amp;Col=1","No Title Assigned - #15269761492")</f>
        <v/>
      </c>
      <c r="B5762" s="0" t="s">
        <v>7703</v>
      </c>
      <c r="E5762" s="0" t="inlineStr">
        <is>
          <t xml:space="preserve">Mazda</t>
        </is>
      </c>
      <c r="F5762" s="0" t="inlineStr">
        <is>
          <t xml:space="preserve">Mazda</t>
        </is>
      </c>
      <c r="G5762" s="0" t="s">
        <v>171</v>
      </c>
      <c r="H5762" s="5">
        <v>134.297100</v>
      </c>
    </row>
    <row r="5763" spans="1:9">
      <c r="A5763" s="22" t="str">
        <f>HYPERLINK("https://app.vivvix.com/360/KMI/IntelliDrive/ApplUI/Pages/CreativePages/CustomReportCreativeDetail.aspx?App=23&amp;ReportView=4&amp;Qid=1711279&amp;Row=5755&amp;Col=1","No Title Assigned - #15269761547")</f>
        <v/>
      </c>
      <c r="B5763" s="0" t="s">
        <v>7704</v>
      </c>
      <c r="E5763" s="0" t="inlineStr">
        <is>
          <t xml:space="preserve">Mazda</t>
        </is>
      </c>
      <c r="F5763" s="0" t="inlineStr">
        <is>
          <t xml:space="preserve">Mazda</t>
        </is>
      </c>
      <c r="G5763" s="0" t="s">
        <v>171</v>
      </c>
      <c r="H5763" s="5">
        <v>10.918000</v>
      </c>
    </row>
    <row r="5764" spans="1:9">
      <c r="A5764" s="22" t="str">
        <f>HYPERLINK("https://app.vivvix.com/360/KMI/IntelliDrive/ApplUI/Pages/CreativePages/CustomReportCreativeDetail.aspx?App=23&amp;ReportView=4&amp;Qid=1711279&amp;Row=5756&amp;Col=1","No Title Assigned - #15269762598")</f>
        <v/>
      </c>
      <c r="B5764" s="0" t="s">
        <v>7705</v>
      </c>
      <c r="E5764" s="0" t="inlineStr">
        <is>
          <t xml:space="preserve">Mazda</t>
        </is>
      </c>
      <c r="F5764" s="0" t="inlineStr">
        <is>
          <t xml:space="preserve">Mazda</t>
        </is>
      </c>
      <c r="G5764" s="0" t="s">
        <v>171</v>
      </c>
      <c r="H5764" s="5">
        <v>10.918000</v>
      </c>
    </row>
    <row r="5765" spans="1:9">
      <c r="A5765" s="22" t="str">
        <f>HYPERLINK("https://app.vivvix.com/360/KMI/IntelliDrive/ApplUI/Pages/CreativePages/CustomReportCreativeDetail.aspx?App=23&amp;ReportView=4&amp;Qid=1711279&amp;Row=5757&amp;Col=1","No Title Assigned - #15269762600")</f>
        <v/>
      </c>
      <c r="B5765" s="0" t="s">
        <v>7706</v>
      </c>
      <c r="E5765" s="0" t="inlineStr">
        <is>
          <t xml:space="preserve">Mazda</t>
        </is>
      </c>
      <c r="F5765" s="0" t="inlineStr">
        <is>
          <t xml:space="preserve">Mazda</t>
        </is>
      </c>
      <c r="G5765" s="0" t="s">
        <v>171</v>
      </c>
      <c r="H5765" s="5">
        <v>10.918000</v>
      </c>
    </row>
    <row r="5766" spans="1:9">
      <c r="A5766" s="22" t="str">
        <f>HYPERLINK("https://app.vivvix.com/360/KMI/IntelliDrive/ApplUI/Pages/CreativePages/CustomReportCreativeDetail.aspx?App=23&amp;ReportView=4&amp;Qid=1711279&amp;Row=5758&amp;Col=1","No Title Assigned - #15269762601")</f>
        <v/>
      </c>
      <c r="B5766" s="0" t="s">
        <v>7707</v>
      </c>
      <c r="E5766" s="0" t="inlineStr">
        <is>
          <t xml:space="preserve">Mazda</t>
        </is>
      </c>
      <c r="F5766" s="0" t="inlineStr">
        <is>
          <t xml:space="preserve">Mazda</t>
        </is>
      </c>
      <c r="G5766" s="0" t="s">
        <v>171</v>
      </c>
      <c r="H5766" s="5">
        <v>10.918000</v>
      </c>
    </row>
    <row r="5767" spans="1:9">
      <c r="A5767" s="22" t="str">
        <f>HYPERLINK("https://app.vivvix.com/360/KMI/IntelliDrive/ApplUI/Pages/CreativePages/CustomReportCreativeDetail.aspx?App=23&amp;ReportView=4&amp;Qid=1711279&amp;Row=5759&amp;Col=1","No Title Assigned - #15269762683")</f>
        <v/>
      </c>
      <c r="B5767" s="0" t="s">
        <v>7708</v>
      </c>
      <c r="E5767" s="0" t="inlineStr">
        <is>
          <t xml:space="preserve">Mazda</t>
        </is>
      </c>
      <c r="F5767" s="0" t="s">
        <v>28</v>
      </c>
      <c r="G5767" s="0" t="s">
        <v>29</v>
      </c>
      <c r="H5767" s="5">
        <v>22.257300</v>
      </c>
    </row>
    <row r="5768" spans="1:9">
      <c r="A5768" s="22" t="str">
        <f>HYPERLINK("https://app.vivvix.com/360/KMI/IntelliDrive/ApplUI/Pages/CreativePages/CustomReportCreativeDetail.aspx?App=23&amp;ReportView=4&amp;Qid=1711279&amp;Row=5760&amp;Col=1","No Title Assigned - #15269762792")</f>
        <v/>
      </c>
      <c r="B5768" s="0" t="s">
        <v>7709</v>
      </c>
      <c r="E5768" s="0" t="inlineStr">
        <is>
          <t xml:space="preserve">Mazda</t>
        </is>
      </c>
      <c r="F5768" s="0" t="inlineStr">
        <is>
          <t xml:space="preserve">Mazda</t>
        </is>
      </c>
      <c r="G5768" s="0" t="s">
        <v>171</v>
      </c>
      <c r="H5768" s="5">
        <v>2625.865800</v>
      </c>
    </row>
    <row r="5769" spans="1:9">
      <c r="A5769" s="22" t="str">
        <f>HYPERLINK("https://app.vivvix.com/360/KMI/IntelliDrive/ApplUI/Pages/CreativePages/CustomReportCreativeDetail.aspx?App=23&amp;ReportView=4&amp;Qid=1711279&amp;Row=5761&amp;Col=1","No Title Assigned - #15269762793")</f>
        <v/>
      </c>
      <c r="B5769" s="0" t="s">
        <v>7710</v>
      </c>
      <c r="E5769" s="0" t="inlineStr">
        <is>
          <t xml:space="preserve">Mazda</t>
        </is>
      </c>
      <c r="F5769" s="0" t="inlineStr">
        <is>
          <t xml:space="preserve">Mazda</t>
        </is>
      </c>
      <c r="G5769" s="0" t="s">
        <v>171</v>
      </c>
      <c r="H5769" s="5">
        <v>116.151100</v>
      </c>
    </row>
    <row r="5770" spans="1:9">
      <c r="A5770" s="22" t="str">
        <f>HYPERLINK("https://app.vivvix.com/360/KMI/IntelliDrive/ApplUI/Pages/CreativePages/CustomReportCreativeDetail.aspx?App=23&amp;ReportView=4&amp;Qid=1711279&amp;Row=5762&amp;Col=1","No Title Assigned - #15269762793")</f>
        <v/>
      </c>
      <c r="B5770" s="0" t="s">
        <v>7710</v>
      </c>
      <c r="E5770" s="0" t="inlineStr">
        <is>
          <t xml:space="preserve">Mazda</t>
        </is>
      </c>
      <c r="F5770" s="0" t="inlineStr">
        <is>
          <t xml:space="preserve">Mazda</t>
        </is>
      </c>
      <c r="G5770" s="0" t="s">
        <v>171</v>
      </c>
      <c r="H5770" s="5">
        <v>1312.932900</v>
      </c>
    </row>
    <row r="5771" spans="1:9">
      <c r="A5771" s="22" t="str">
        <f>HYPERLINK("https://app.vivvix.com/360/KMI/IntelliDrive/ApplUI/Pages/CreativePages/CustomReportCreativeDetail.aspx?App=23&amp;ReportView=4&amp;Qid=1711279&amp;Row=5763&amp;Col=1","No Title Assigned - #15269765442")</f>
        <v/>
      </c>
      <c r="B5771" s="0" t="s">
        <v>7711</v>
      </c>
      <c r="C5771" s="0" t="s">
        <v>7712</v>
      </c>
      <c r="D5771" s="0" t="s">
        <v>7712</v>
      </c>
      <c r="E5771" s="0" t="inlineStr">
        <is>
          <t xml:space="preserve">Mazda</t>
        </is>
      </c>
      <c r="F5771" s="0" t="s">
        <v>13</v>
      </c>
      <c r="G5771" s="0" t="s">
        <v>49</v>
      </c>
      <c r="H5771" s="5">
        <v>398.118600</v>
      </c>
    </row>
    <row r="5772" spans="1:9">
      <c r="A5772" s="22" t="str">
        <f>HYPERLINK("https://app.vivvix.com/360/KMI/IntelliDrive/ApplUI/Pages/CreativePages/CustomReportCreativeDetail.aspx?App=23&amp;ReportView=4&amp;Qid=1711279&amp;Row=5764&amp;Col=1","No Title Assigned - #15269765706")</f>
        <v/>
      </c>
      <c r="B5772" s="0" t="s">
        <v>7713</v>
      </c>
      <c r="E5772" s="0" t="inlineStr">
        <is>
          <t xml:space="preserve">Mazda</t>
        </is>
      </c>
      <c r="F5772" s="0" t="s">
        <v>28</v>
      </c>
      <c r="G5772" s="0" t="s">
        <v>29</v>
      </c>
      <c r="H5772" s="5">
        <v>135.330600</v>
      </c>
    </row>
    <row r="5773" spans="1:9">
      <c r="A5773" s="22" t="str">
        <f>HYPERLINK("https://app.vivvix.com/360/KMI/IntelliDrive/ApplUI/Pages/CreativePages/CustomReportCreativeDetail.aspx?App=23&amp;ReportView=4&amp;Qid=1711279&amp;Row=5765&amp;Col=1","No Title Assigned - #15269765764")</f>
        <v/>
      </c>
      <c r="B5773" s="0" t="s">
        <v>7714</v>
      </c>
      <c r="E5773" s="0" t="inlineStr">
        <is>
          <t xml:space="preserve">Mazda</t>
        </is>
      </c>
      <c r="F5773" s="0" t="s">
        <v>13</v>
      </c>
      <c r="G5773" s="0" t="s">
        <v>49</v>
      </c>
      <c r="H5773" s="5">
        <v>1850.772600</v>
      </c>
    </row>
    <row r="5774" spans="1:9">
      <c r="A5774" s="22" t="str">
        <f>HYPERLINK("https://app.vivvix.com/360/KMI/IntelliDrive/ApplUI/Pages/CreativePages/CustomReportCreativeDetail.aspx?App=23&amp;ReportView=4&amp;Qid=1711279&amp;Row=5766&amp;Col=1","No Title Assigned - #15269765764")</f>
        <v/>
      </c>
      <c r="B5774" s="0" t="s">
        <v>7714</v>
      </c>
      <c r="C5774" s="0" t="s">
        <v>7715</v>
      </c>
      <c r="D5774" s="0" t="s">
        <v>7715</v>
      </c>
      <c r="E5774" s="0" t="inlineStr">
        <is>
          <t xml:space="preserve">Mazda</t>
        </is>
      </c>
      <c r="F5774" s="0" t="s">
        <v>13</v>
      </c>
      <c r="G5774" s="0" t="s">
        <v>49</v>
      </c>
      <c r="H5774" s="5">
        <v>428.084100</v>
      </c>
    </row>
    <row r="5775" spans="1:9">
      <c r="A5775" s="22" t="str">
        <f>HYPERLINK("https://app.vivvix.com/360/KMI/IntelliDrive/ApplUI/Pages/CreativePages/CustomReportCreativeDetail.aspx?App=23&amp;ReportView=4&amp;Qid=1711279&amp;Row=5767&amp;Col=1","No Title Assigned - #15269766219")</f>
        <v/>
      </c>
      <c r="B5775" s="0" t="s">
        <v>7716</v>
      </c>
      <c r="E5775" s="0" t="inlineStr">
        <is>
          <t xml:space="preserve">Mazda</t>
        </is>
      </c>
      <c r="F5775" s="0" t="s">
        <v>28</v>
      </c>
      <c r="G5775" s="0" t="s">
        <v>29</v>
      </c>
      <c r="H5775" s="5">
        <v>142.868100</v>
      </c>
    </row>
    <row r="5776" spans="1:9">
      <c r="A5776" s="22" t="str">
        <f>HYPERLINK("https://app.vivvix.com/360/KMI/IntelliDrive/ApplUI/Pages/CreativePages/CustomReportCreativeDetail.aspx?App=23&amp;ReportView=4&amp;Qid=1711279&amp;Row=5768&amp;Col=1","No Title Assigned - #15269766337")</f>
        <v/>
      </c>
      <c r="B5776" s="0" t="s">
        <v>7717</v>
      </c>
      <c r="E5776" s="0" t="inlineStr">
        <is>
          <t xml:space="preserve">Mazda</t>
        </is>
      </c>
      <c r="F5776" s="0" t="s">
        <v>28</v>
      </c>
      <c r="G5776" s="0" t="s">
        <v>29</v>
      </c>
      <c r="H5776" s="5">
        <v>27.952900</v>
      </c>
    </row>
    <row r="5777" spans="1:9">
      <c r="A5777" s="22" t="str">
        <f>HYPERLINK("https://app.vivvix.com/360/KMI/IntelliDrive/ApplUI/Pages/CreativePages/CustomReportCreativeDetail.aspx?App=23&amp;ReportView=4&amp;Qid=1711279&amp;Row=5769&amp;Col=1","No Title Assigned - #15269766456")</f>
        <v/>
      </c>
      <c r="B5777" s="0" t="s">
        <v>7718</v>
      </c>
      <c r="E5777" s="0" t="inlineStr">
        <is>
          <t xml:space="preserve">Mazda</t>
        </is>
      </c>
      <c r="F5777" s="0" t="s">
        <v>28</v>
      </c>
      <c r="G5777" s="0" t="s">
        <v>29</v>
      </c>
      <c r="H5777" s="5">
        <v>230.055700</v>
      </c>
    </row>
    <row r="5778" spans="1:9">
      <c r="A5778" s="22" t="str">
        <f>HYPERLINK("https://app.vivvix.com/360/KMI/IntelliDrive/ApplUI/Pages/CreativePages/CustomReportCreativeDetail.aspx?App=23&amp;ReportView=4&amp;Qid=1711279&amp;Row=5770&amp;Col=1","No Title Assigned - #15269766456")</f>
        <v/>
      </c>
      <c r="B5778" s="0" t="s">
        <v>7718</v>
      </c>
      <c r="E5778" s="0" t="inlineStr">
        <is>
          <t xml:space="preserve">Mazda</t>
        </is>
      </c>
      <c r="F5778" s="0" t="s">
        <v>28</v>
      </c>
      <c r="G5778" s="0" t="s">
        <v>29</v>
      </c>
      <c r="H5778" s="5">
        <v>7780.204900</v>
      </c>
    </row>
    <row r="5779" spans="1:9">
      <c r="A5779" s="22" t="str">
        <f>HYPERLINK("https://app.vivvix.com/360/KMI/IntelliDrive/ApplUI/Pages/CreativePages/CustomReportCreativeDetail.aspx?App=23&amp;ReportView=4&amp;Qid=1711279&amp;Row=5771&amp;Col=1","No Title Assigned - #15269766560")</f>
        <v/>
      </c>
      <c r="B5779" s="0" t="s">
        <v>7719</v>
      </c>
      <c r="C5779" s="0" t="s">
        <v>7720</v>
      </c>
      <c r="D5779" s="0" t="s">
        <v>7720</v>
      </c>
      <c r="E5779" s="0" t="inlineStr">
        <is>
          <t xml:space="preserve">Mazda</t>
        </is>
      </c>
      <c r="F5779" s="0" t="s">
        <v>13</v>
      </c>
      <c r="G5779" s="0" t="s">
        <v>49</v>
      </c>
      <c r="H5779" s="5">
        <v>674.259700</v>
      </c>
    </row>
    <row r="5780" spans="1:9">
      <c r="A5780" s="22" t="str">
        <f>HYPERLINK("https://app.vivvix.com/360/KMI/IntelliDrive/ApplUI/Pages/CreativePages/CustomReportCreativeDetail.aspx?App=23&amp;ReportView=4&amp;Qid=1711279&amp;Row=5772&amp;Col=1","No Title Assigned - #15269766564")</f>
        <v/>
      </c>
      <c r="B5780" s="0" t="s">
        <v>7721</v>
      </c>
      <c r="E5780" s="0" t="inlineStr">
        <is>
          <t xml:space="preserve">Mazda</t>
        </is>
      </c>
      <c r="F5780" s="0" t="s">
        <v>28</v>
      </c>
      <c r="G5780" s="0" t="s">
        <v>29</v>
      </c>
      <c r="H5780" s="5">
        <v>38.026400</v>
      </c>
    </row>
    <row r="5781" spans="1:9">
      <c r="A5781" s="22" t="str">
        <f>HYPERLINK("https://app.vivvix.com/360/KMI/IntelliDrive/ApplUI/Pages/CreativePages/CustomReportCreativeDetail.aspx?App=23&amp;ReportView=4&amp;Qid=1711279&amp;Row=5773&amp;Col=1","No Title Assigned - #15269766807")</f>
        <v/>
      </c>
      <c r="B5781" s="0" t="s">
        <v>7722</v>
      </c>
      <c r="C5781" s="0" t="s">
        <v>7723</v>
      </c>
      <c r="D5781" s="0" t="s">
        <v>7723</v>
      </c>
      <c r="E5781" s="0" t="inlineStr">
        <is>
          <t xml:space="preserve">Mazda</t>
        </is>
      </c>
      <c r="F5781" s="0" t="s">
        <v>13</v>
      </c>
      <c r="G5781" s="0" t="s">
        <v>49</v>
      </c>
      <c r="H5781" s="5">
        <v>33.226600</v>
      </c>
    </row>
    <row r="5782" spans="1:9">
      <c r="A5782" s="22" t="str">
        <f>HYPERLINK("https://app.vivvix.com/360/KMI/IntelliDrive/ApplUI/Pages/CreativePages/CustomReportCreativeDetail.aspx?App=23&amp;ReportView=4&amp;Qid=1711279&amp;Row=5774&amp;Col=1","No Title Assigned - #15269766901")</f>
        <v/>
      </c>
      <c r="B5782" s="0" t="s">
        <v>7724</v>
      </c>
      <c r="E5782" s="0" t="inlineStr">
        <is>
          <t xml:space="preserve">Mazda</t>
        </is>
      </c>
      <c r="F5782" s="0" t="s">
        <v>28</v>
      </c>
      <c r="G5782" s="0" t="s">
        <v>29</v>
      </c>
      <c r="H5782" s="5">
        <v>441.465800</v>
      </c>
    </row>
    <row r="5783" spans="1:9">
      <c r="A5783" s="22" t="str">
        <f>HYPERLINK("https://app.vivvix.com/360/KMI/IntelliDrive/ApplUI/Pages/CreativePages/CustomReportCreativeDetail.aspx?App=23&amp;ReportView=4&amp;Qid=1711279&amp;Row=5775&amp;Col=1","No Title Assigned - #15269766913")</f>
        <v/>
      </c>
      <c r="B5783" s="0" t="s">
        <v>7725</v>
      </c>
      <c r="C5783" s="0" t="s">
        <v>7726</v>
      </c>
      <c r="D5783" s="0" t="s">
        <v>7726</v>
      </c>
      <c r="E5783" s="0" t="inlineStr">
        <is>
          <t xml:space="preserve">Mazda</t>
        </is>
      </c>
      <c r="F5783" s="0" t="s">
        <v>13</v>
      </c>
      <c r="G5783" s="0" t="s">
        <v>49</v>
      </c>
      <c r="H5783" s="5">
        <v>442.595400</v>
      </c>
    </row>
    <row r="5784" spans="1:9">
      <c r="A5784" s="22" t="str">
        <f>HYPERLINK("https://app.vivvix.com/360/KMI/IntelliDrive/ApplUI/Pages/CreativePages/CustomReportCreativeDetail.aspx?App=23&amp;ReportView=4&amp;Qid=1711279&amp;Row=5776&amp;Col=1","No Title Assigned - #15269767116")</f>
        <v/>
      </c>
      <c r="B5784" s="0" t="s">
        <v>7727</v>
      </c>
      <c r="E5784" s="0" t="inlineStr">
        <is>
          <t xml:space="preserve">Mazda</t>
        </is>
      </c>
      <c r="F5784" s="0" t="inlineStr">
        <is>
          <t xml:space="preserve">Mazda</t>
        </is>
      </c>
      <c r="G5784" s="0" t="s">
        <v>171</v>
      </c>
      <c r="H5784" s="5">
        <v>38.472800</v>
      </c>
    </row>
    <row r="5785" spans="1:9">
      <c r="A5785" s="22" t="str">
        <f>HYPERLINK("https://app.vivvix.com/360/KMI/IntelliDrive/ApplUI/Pages/CreativePages/CustomReportCreativeDetail.aspx?App=23&amp;ReportView=4&amp;Qid=1711279&amp;Row=5777&amp;Col=1","No Title Assigned - #15269767215")</f>
        <v/>
      </c>
      <c r="B5785" s="0" t="s">
        <v>7728</v>
      </c>
      <c r="C5785" s="0" t="s">
        <v>7729</v>
      </c>
      <c r="D5785" s="0" t="s">
        <v>7729</v>
      </c>
      <c r="E5785" s="0" t="inlineStr">
        <is>
          <t xml:space="preserve">Mazda</t>
        </is>
      </c>
      <c r="F5785" s="0" t="inlineStr">
        <is>
          <t xml:space="preserve">Mazda</t>
        </is>
      </c>
      <c r="G5785" s="0" t="s">
        <v>171</v>
      </c>
      <c r="H5785" s="5">
        <v>1383.329300</v>
      </c>
    </row>
    <row r="5786" spans="1:9">
      <c r="A5786" s="22" t="str">
        <f>HYPERLINK("https://app.vivvix.com/360/KMI/IntelliDrive/ApplUI/Pages/CreativePages/CustomReportCreativeDetail.aspx?App=23&amp;ReportView=4&amp;Qid=1711279&amp;Row=5778&amp;Col=1","No Title Assigned - #15269767295")</f>
        <v/>
      </c>
      <c r="B5786" s="0" t="s">
        <v>7730</v>
      </c>
      <c r="E5786" s="0" t="inlineStr">
        <is>
          <t xml:space="preserve">Mazda</t>
        </is>
      </c>
      <c r="F5786" s="0" t="inlineStr">
        <is>
          <t xml:space="preserve">Mazda</t>
        </is>
      </c>
      <c r="G5786" s="0" t="s">
        <v>171</v>
      </c>
      <c r="H5786" s="5">
        <v>1445.920700</v>
      </c>
    </row>
    <row r="5787" spans="1:9">
      <c r="A5787" s="22" t="str">
        <f>HYPERLINK("https://app.vivvix.com/360/KMI/IntelliDrive/ApplUI/Pages/CreativePages/CustomReportCreativeDetail.aspx?App=23&amp;ReportView=4&amp;Qid=1711279&amp;Row=5779&amp;Col=1","No Title Assigned - #15269767362")</f>
        <v/>
      </c>
      <c r="B5787" s="0" t="s">
        <v>7731</v>
      </c>
      <c r="E5787" s="0" t="inlineStr">
        <is>
          <t xml:space="preserve">Mazda</t>
        </is>
      </c>
      <c r="F5787" s="0" t="inlineStr">
        <is>
          <t xml:space="preserve">Mazda</t>
        </is>
      </c>
      <c r="G5787" s="0" t="s">
        <v>171</v>
      </c>
      <c r="H5787" s="5">
        <v>294.265000</v>
      </c>
    </row>
    <row r="5788" spans="1:9">
      <c r="A5788" s="22" t="str">
        <f>HYPERLINK("https://app.vivvix.com/360/KMI/IntelliDrive/ApplUI/Pages/CreativePages/CustomReportCreativeDetail.aspx?App=23&amp;ReportView=4&amp;Qid=1711279&amp;Row=5780&amp;Col=1","No Title Assigned - #15269767587")</f>
        <v/>
      </c>
      <c r="B5788" s="0" t="s">
        <v>7732</v>
      </c>
      <c r="C5788" s="0" t="s">
        <v>7733</v>
      </c>
      <c r="D5788" s="0" t="s">
        <v>7733</v>
      </c>
      <c r="E5788" s="0" t="inlineStr">
        <is>
          <t xml:space="preserve">Mazda</t>
        </is>
      </c>
      <c r="F5788" s="0" t="s">
        <v>13</v>
      </c>
      <c r="G5788" s="0" t="s">
        <v>49</v>
      </c>
      <c r="H5788" s="5">
        <v>7436.549500</v>
      </c>
    </row>
    <row r="5789" spans="1:9">
      <c r="A5789" s="22" t="str">
        <f>HYPERLINK("https://app.vivvix.com/360/KMI/IntelliDrive/ApplUI/Pages/CreativePages/CustomReportCreativeDetail.aspx?App=23&amp;ReportView=4&amp;Qid=1711279&amp;Row=5781&amp;Col=1","No Title Assigned - #15269767785")</f>
        <v/>
      </c>
      <c r="B5789" s="0" t="s">
        <v>7734</v>
      </c>
      <c r="C5789" s="0" t="s">
        <v>7735</v>
      </c>
      <c r="D5789" s="0" t="s">
        <v>7735</v>
      </c>
      <c r="E5789" s="0" t="inlineStr">
        <is>
          <t xml:space="preserve">Mazda</t>
        </is>
      </c>
      <c r="F5789" s="0" t="inlineStr">
        <is>
          <t xml:space="preserve">Mazda</t>
        </is>
      </c>
      <c r="G5789" s="0" t="s">
        <v>171</v>
      </c>
      <c r="H5789" s="5">
        <v>1366.395300</v>
      </c>
    </row>
    <row r="5790" spans="1:9">
      <c r="A5790" s="22" t="str">
        <f>HYPERLINK("https://app.vivvix.com/360/KMI/IntelliDrive/ApplUI/Pages/CreativePages/CustomReportCreativeDetail.aspx?App=23&amp;ReportView=4&amp;Qid=1711279&amp;Row=5782&amp;Col=1","No Title Assigned - #15269767785")</f>
        <v/>
      </c>
      <c r="B5790" s="0" t="s">
        <v>7734</v>
      </c>
      <c r="E5790" s="0" t="inlineStr">
        <is>
          <t xml:space="preserve">Mazda</t>
        </is>
      </c>
      <c r="F5790" s="0" t="inlineStr">
        <is>
          <t xml:space="preserve">Mazda</t>
        </is>
      </c>
      <c r="G5790" s="0" t="s">
        <v>171</v>
      </c>
      <c r="H5790" s="5">
        <v>345.797200</v>
      </c>
    </row>
    <row r="5791" spans="1:9">
      <c r="A5791" s="22" t="str">
        <f>HYPERLINK("https://app.vivvix.com/360/KMI/IntelliDrive/ApplUI/Pages/CreativePages/CustomReportCreativeDetail.aspx?App=23&amp;ReportView=4&amp;Qid=1711279&amp;Row=5783&amp;Col=1","No Title Assigned - #15269767809")</f>
        <v/>
      </c>
      <c r="B5791" s="0" t="s">
        <v>7736</v>
      </c>
      <c r="E5791" s="0" t="inlineStr">
        <is>
          <t xml:space="preserve">Mazda</t>
        </is>
      </c>
      <c r="F5791" s="0" t="inlineStr">
        <is>
          <t xml:space="preserve">Mazda</t>
        </is>
      </c>
      <c r="G5791" s="0" t="s">
        <v>171</v>
      </c>
      <c r="H5791" s="5">
        <v>16.235400</v>
      </c>
    </row>
    <row r="5792" spans="1:9">
      <c r="A5792" s="22" t="str">
        <f>HYPERLINK("https://app.vivvix.com/360/KMI/IntelliDrive/ApplUI/Pages/CreativePages/CustomReportCreativeDetail.aspx?App=23&amp;ReportView=4&amp;Qid=1711279&amp;Row=5784&amp;Col=1","No Title Assigned - #15269767813")</f>
        <v/>
      </c>
      <c r="B5792" s="0" t="s">
        <v>7737</v>
      </c>
      <c r="E5792" s="0" t="inlineStr">
        <is>
          <t xml:space="preserve">Mazda</t>
        </is>
      </c>
      <c r="F5792" s="0" t="s">
        <v>28</v>
      </c>
      <c r="G5792" s="0" t="s">
        <v>29</v>
      </c>
      <c r="H5792" s="5">
        <v>3.033100</v>
      </c>
    </row>
    <row r="5793" spans="1:9">
      <c r="A5793" s="22" t="str">
        <f>HYPERLINK("https://app.vivvix.com/360/KMI/IntelliDrive/ApplUI/Pages/CreativePages/CustomReportCreativeDetail.aspx?App=23&amp;ReportView=4&amp;Qid=1711279&amp;Row=5785&amp;Col=1","No Title Assigned - #15269767832")</f>
        <v/>
      </c>
      <c r="B5793" s="0" t="s">
        <v>7738</v>
      </c>
      <c r="E5793" s="0" t="inlineStr">
        <is>
          <t xml:space="preserve">Mazda</t>
        </is>
      </c>
      <c r="F5793" s="0" t="inlineStr">
        <is>
          <t xml:space="preserve">Mazda</t>
        </is>
      </c>
      <c r="G5793" s="0" t="s">
        <v>171</v>
      </c>
      <c r="H5793" s="5">
        <v>223.816000</v>
      </c>
    </row>
    <row r="5794" spans="1:9">
      <c r="A5794" s="22" t="str">
        <f>HYPERLINK("https://app.vivvix.com/360/KMI/IntelliDrive/ApplUI/Pages/CreativePages/CustomReportCreativeDetail.aspx?App=23&amp;ReportView=4&amp;Qid=1711279&amp;Row=5786&amp;Col=1","No Title Assigned - #15269767832")</f>
        <v/>
      </c>
      <c r="B5794" s="0" t="s">
        <v>7738</v>
      </c>
      <c r="E5794" s="0" t="inlineStr">
        <is>
          <t xml:space="preserve">Mazda</t>
        </is>
      </c>
      <c r="F5794" s="0" t="inlineStr">
        <is>
          <t xml:space="preserve">Mazda</t>
        </is>
      </c>
      <c r="G5794" s="0" t="s">
        <v>171</v>
      </c>
      <c r="H5794" s="5">
        <v>12.543200</v>
      </c>
    </row>
    <row r="5795" spans="1:9">
      <c r="A5795" s="22" t="str">
        <f>HYPERLINK("https://app.vivvix.com/360/KMI/IntelliDrive/ApplUI/Pages/CreativePages/CustomReportCreativeDetail.aspx?App=23&amp;ReportView=4&amp;Qid=1711279&amp;Row=5787&amp;Col=1","No Title Assigned - #15269767968")</f>
        <v/>
      </c>
      <c r="B5795" s="0" t="s">
        <v>7739</v>
      </c>
      <c r="E5795" s="0" t="inlineStr">
        <is>
          <t xml:space="preserve">Mazda</t>
        </is>
      </c>
      <c r="F5795" s="0" t="inlineStr">
        <is>
          <t xml:space="preserve">Mazda</t>
        </is>
      </c>
      <c r="G5795" s="0" t="s">
        <v>171</v>
      </c>
      <c r="H5795" s="5">
        <v>69.544500</v>
      </c>
    </row>
    <row r="5796" spans="1:9">
      <c r="A5796" s="22" t="str">
        <f>HYPERLINK("https://app.vivvix.com/360/KMI/IntelliDrive/ApplUI/Pages/CreativePages/CustomReportCreativeDetail.aspx?App=23&amp;ReportView=4&amp;Qid=1711279&amp;Row=5788&amp;Col=1","No Title Assigned - #15269768125")</f>
        <v/>
      </c>
      <c r="B5796" s="0" t="s">
        <v>7740</v>
      </c>
      <c r="E5796" s="0" t="inlineStr">
        <is>
          <t xml:space="preserve">Mazda</t>
        </is>
      </c>
      <c r="F5796" s="0" t="inlineStr">
        <is>
          <t xml:space="preserve">Mazda</t>
        </is>
      </c>
      <c r="G5796" s="0" t="s">
        <v>171</v>
      </c>
      <c r="H5796" s="5">
        <v>16.863000</v>
      </c>
    </row>
    <row r="5797" spans="1:9">
      <c r="A5797" s="22" t="str">
        <f>HYPERLINK("https://app.vivvix.com/360/KMI/IntelliDrive/ApplUI/Pages/CreativePages/CustomReportCreativeDetail.aspx?App=23&amp;ReportView=4&amp;Qid=1711279&amp;Row=5789&amp;Col=1","No Title Assigned - #15269768784")</f>
        <v/>
      </c>
      <c r="B5797" s="0" t="s">
        <v>7741</v>
      </c>
      <c r="E5797" s="0" t="inlineStr">
        <is>
          <t xml:space="preserve">Mazda</t>
        </is>
      </c>
      <c r="F5797" s="0" t="inlineStr">
        <is>
          <t xml:space="preserve">Mazda</t>
        </is>
      </c>
      <c r="G5797" s="0" t="s">
        <v>171</v>
      </c>
      <c r="H5797" s="5">
        <v>37.328200</v>
      </c>
    </row>
    <row r="5798" spans="1:9">
      <c r="A5798" s="22" t="str">
        <f>HYPERLINK("https://app.vivvix.com/360/KMI/IntelliDrive/ApplUI/Pages/CreativePages/CustomReportCreativeDetail.aspx?App=23&amp;ReportView=4&amp;Qid=1711279&amp;Row=5790&amp;Col=1","No Title Assigned - #15269768873")</f>
        <v/>
      </c>
      <c r="B5798" s="0" t="s">
        <v>7742</v>
      </c>
      <c r="E5798" s="0" t="inlineStr">
        <is>
          <t xml:space="preserve">Mazda</t>
        </is>
      </c>
      <c r="F5798" s="0" t="inlineStr">
        <is>
          <t xml:space="preserve">Mazda</t>
        </is>
      </c>
      <c r="G5798" s="0" t="s">
        <v>171</v>
      </c>
      <c r="H5798" s="5">
        <v>627.428400</v>
      </c>
    </row>
    <row r="5799" spans="1:9">
      <c r="A5799" s="22" t="str">
        <f>HYPERLINK("https://app.vivvix.com/360/KMI/IntelliDrive/ApplUI/Pages/CreativePages/CustomReportCreativeDetail.aspx?App=23&amp;ReportView=4&amp;Qid=1711279&amp;Row=5791&amp;Col=1","No Title Assigned - #15269768932")</f>
        <v/>
      </c>
      <c r="B5799" s="0" t="s">
        <v>7743</v>
      </c>
      <c r="C5799" s="0" t="s">
        <v>7744</v>
      </c>
      <c r="D5799" s="0" t="s">
        <v>7744</v>
      </c>
      <c r="E5799" s="0" t="inlineStr">
        <is>
          <t xml:space="preserve">Mazda</t>
        </is>
      </c>
      <c r="F5799" s="0" t="inlineStr">
        <is>
          <t xml:space="preserve">Mazda</t>
        </is>
      </c>
      <c r="G5799" s="0" t="s">
        <v>171</v>
      </c>
      <c r="H5799" s="5">
        <v>37.514200</v>
      </c>
    </row>
    <row r="5800" spans="1:9">
      <c r="A5800" s="22" t="str">
        <f>HYPERLINK("https://app.vivvix.com/360/KMI/IntelliDrive/ApplUI/Pages/CreativePages/CustomReportCreativeDetail.aspx?App=23&amp;ReportView=4&amp;Qid=1711279&amp;Row=5792&amp;Col=1","No Title Assigned - #15269769334")</f>
        <v/>
      </c>
      <c r="B5800" s="0" t="s">
        <v>7745</v>
      </c>
      <c r="E5800" s="0" t="inlineStr">
        <is>
          <t xml:space="preserve">Mazda</t>
        </is>
      </c>
      <c r="F5800" s="0" t="inlineStr">
        <is>
          <t xml:space="preserve">Mazda</t>
        </is>
      </c>
      <c r="G5800" s="0" t="s">
        <v>171</v>
      </c>
      <c r="H5800" s="5">
        <v>5166.999600</v>
      </c>
    </row>
    <row r="5801" spans="1:9">
      <c r="A5801" s="22" t="str">
        <f>HYPERLINK("https://app.vivvix.com/360/KMI/IntelliDrive/ApplUI/Pages/CreativePages/CustomReportCreativeDetail.aspx?App=23&amp;ReportView=4&amp;Qid=1711279&amp;Row=5793&amp;Col=1","No Title Assigned - #15269769334")</f>
        <v/>
      </c>
      <c r="B5801" s="0" t="s">
        <v>7745</v>
      </c>
      <c r="C5801" s="0" t="s">
        <v>7746</v>
      </c>
      <c r="D5801" s="0" t="s">
        <v>7746</v>
      </c>
      <c r="E5801" s="0" t="inlineStr">
        <is>
          <t xml:space="preserve">Mazda</t>
        </is>
      </c>
      <c r="F5801" s="0" t="inlineStr">
        <is>
          <t xml:space="preserve">Mazda</t>
        </is>
      </c>
      <c r="G5801" s="0" t="s">
        <v>171</v>
      </c>
      <c r="H5801" s="5">
        <v>120.190000</v>
      </c>
    </row>
    <row r="5802" spans="1:9">
      <c r="A5802" s="22" t="str">
        <f>HYPERLINK("https://app.vivvix.com/360/KMI/IntelliDrive/ApplUI/Pages/CreativePages/CustomReportCreativeDetail.aspx?App=23&amp;ReportView=4&amp;Qid=1711279&amp;Row=5794&amp;Col=1","No Title Assigned - #15269769409")</f>
        <v/>
      </c>
      <c r="B5802" s="0" t="s">
        <v>7747</v>
      </c>
      <c r="E5802" s="0" t="inlineStr">
        <is>
          <t xml:space="preserve">Mazda</t>
        </is>
      </c>
      <c r="F5802" s="0" t="inlineStr">
        <is>
          <t xml:space="preserve">Mazda</t>
        </is>
      </c>
      <c r="G5802" s="0" t="s">
        <v>171</v>
      </c>
      <c r="H5802" s="5">
        <v>495.543900</v>
      </c>
    </row>
    <row r="5803" spans="1:9">
      <c r="A5803" s="22" t="str">
        <f>HYPERLINK("https://app.vivvix.com/360/KMI/IntelliDrive/ApplUI/Pages/CreativePages/CustomReportCreativeDetail.aspx?App=23&amp;ReportView=4&amp;Qid=1711279&amp;Row=5795&amp;Col=1","No Title Assigned - #15269769775")</f>
        <v/>
      </c>
      <c r="B5803" s="0" t="s">
        <v>7748</v>
      </c>
      <c r="E5803" s="0" t="inlineStr">
        <is>
          <t xml:space="preserve">Mazda</t>
        </is>
      </c>
      <c r="F5803" s="0" t="inlineStr">
        <is>
          <t xml:space="preserve">Mazda</t>
        </is>
      </c>
      <c r="G5803" s="0" t="s">
        <v>171</v>
      </c>
      <c r="H5803" s="5">
        <v>74.729900</v>
      </c>
    </row>
    <row r="5804" spans="1:9">
      <c r="A5804" s="22" t="str">
        <f>HYPERLINK("https://app.vivvix.com/360/KMI/IntelliDrive/ApplUI/Pages/CreativePages/CustomReportCreativeDetail.aspx?App=23&amp;ReportView=4&amp;Qid=1711279&amp;Row=5796&amp;Col=1","No Title Assigned - #15269769916")</f>
        <v/>
      </c>
      <c r="B5804" s="0" t="s">
        <v>7749</v>
      </c>
      <c r="E5804" s="0" t="inlineStr">
        <is>
          <t xml:space="preserve">Mazda</t>
        </is>
      </c>
      <c r="F5804" s="0" t="inlineStr">
        <is>
          <t xml:space="preserve">Mazda</t>
        </is>
      </c>
      <c r="G5804" s="0" t="s">
        <v>171</v>
      </c>
      <c r="H5804" s="5">
        <v>377.740900</v>
      </c>
    </row>
    <row r="5805" spans="1:9">
      <c r="A5805" s="22" t="str">
        <f>HYPERLINK("https://app.vivvix.com/360/KMI/IntelliDrive/ApplUI/Pages/CreativePages/CustomReportCreativeDetail.aspx?App=23&amp;ReportView=4&amp;Qid=1711279&amp;Row=5797&amp;Col=1","No Title Assigned - #15269770122")</f>
        <v/>
      </c>
      <c r="B5805" s="0" t="s">
        <v>7750</v>
      </c>
      <c r="E5805" s="0" t="inlineStr">
        <is>
          <t xml:space="preserve">Mazda</t>
        </is>
      </c>
      <c r="F5805" s="0" t="inlineStr">
        <is>
          <t xml:space="preserve">Mazda</t>
        </is>
      </c>
      <c r="G5805" s="0" t="s">
        <v>171</v>
      </c>
      <c r="H5805" s="5">
        <v>40.548400</v>
      </c>
    </row>
    <row r="5806" spans="1:9">
      <c r="A5806" s="22" t="str">
        <f>HYPERLINK("https://app.vivvix.com/360/KMI/IntelliDrive/ApplUI/Pages/CreativePages/CustomReportCreativeDetail.aspx?App=23&amp;ReportView=4&amp;Qid=1711279&amp;Row=5798&amp;Col=1","No Title Assigned - #15269770502")</f>
        <v/>
      </c>
      <c r="B5806" s="0" t="s">
        <v>7751</v>
      </c>
      <c r="E5806" s="0" t="inlineStr">
        <is>
          <t xml:space="preserve">Mazda</t>
        </is>
      </c>
      <c r="F5806" s="0" t="inlineStr">
        <is>
          <t xml:space="preserve">Mazda</t>
        </is>
      </c>
      <c r="G5806" s="0" t="s">
        <v>171</v>
      </c>
      <c r="H5806" s="5">
        <v>831.428000</v>
      </c>
    </row>
    <row r="5807" spans="1:9">
      <c r="A5807" s="22" t="str">
        <f>HYPERLINK("https://app.vivvix.com/360/KMI/IntelliDrive/ApplUI/Pages/CreativePages/CustomReportCreativeDetail.aspx?App=23&amp;ReportView=4&amp;Qid=1711279&amp;Row=5799&amp;Col=1","No Title Assigned - #15269770502")</f>
        <v/>
      </c>
      <c r="B5807" s="0" t="s">
        <v>7751</v>
      </c>
      <c r="E5807" s="0" t="inlineStr">
        <is>
          <t xml:space="preserve">Mazda</t>
        </is>
      </c>
      <c r="F5807" s="0" t="inlineStr">
        <is>
          <t xml:space="preserve">Mazda</t>
        </is>
      </c>
      <c r="G5807" s="0" t="s">
        <v>171</v>
      </c>
      <c r="H5807" s="5">
        <v>428.952200</v>
      </c>
    </row>
    <row r="5808" spans="1:9">
      <c r="A5808" s="22" t="str">
        <f>HYPERLINK("https://app.vivvix.com/360/KMI/IntelliDrive/ApplUI/Pages/CreativePages/CustomReportCreativeDetail.aspx?App=23&amp;ReportView=4&amp;Qid=1711279&amp;Row=5800&amp;Col=1","No Title Assigned - #15269770516")</f>
        <v/>
      </c>
      <c r="B5808" s="0" t="s">
        <v>7752</v>
      </c>
      <c r="E5808" s="0" t="inlineStr">
        <is>
          <t xml:space="preserve">Mazda</t>
        </is>
      </c>
      <c r="F5808" s="0" t="inlineStr">
        <is>
          <t xml:space="preserve">Mazda</t>
        </is>
      </c>
      <c r="G5808" s="0" t="s">
        <v>171</v>
      </c>
      <c r="H5808" s="5">
        <v>1899.949400</v>
      </c>
    </row>
    <row r="5809" spans="1:9">
      <c r="A5809" s="22" t="str">
        <f>HYPERLINK("https://app.vivvix.com/360/KMI/IntelliDrive/ApplUI/Pages/CreativePages/CustomReportCreativeDetail.aspx?App=23&amp;ReportView=4&amp;Qid=1711279&amp;Row=5801&amp;Col=1","No Title Assigned - #15269770675")</f>
        <v/>
      </c>
      <c r="B5809" s="0" t="s">
        <v>7753</v>
      </c>
      <c r="E5809" s="0" t="inlineStr">
        <is>
          <t xml:space="preserve">Mazda</t>
        </is>
      </c>
      <c r="F5809" s="0" t="inlineStr">
        <is>
          <t xml:space="preserve">Mazda</t>
        </is>
      </c>
      <c r="G5809" s="0" t="s">
        <v>171</v>
      </c>
      <c r="H5809" s="5">
        <v>12.543200</v>
      </c>
    </row>
    <row r="5810" spans="1:9">
      <c r="A5810" s="22" t="str">
        <f>HYPERLINK("https://app.vivvix.com/360/KMI/IntelliDrive/ApplUI/Pages/CreativePages/CustomReportCreativeDetail.aspx?App=23&amp;ReportView=4&amp;Qid=1711279&amp;Row=5802&amp;Col=1","No Title Assigned - #15269770744")</f>
        <v/>
      </c>
      <c r="B5810" s="0" t="s">
        <v>7754</v>
      </c>
      <c r="E5810" s="0" t="inlineStr">
        <is>
          <t xml:space="preserve">Mazda</t>
        </is>
      </c>
      <c r="F5810" s="0" t="inlineStr">
        <is>
          <t xml:space="preserve">Mazda</t>
        </is>
      </c>
      <c r="G5810" s="0" t="s">
        <v>171</v>
      </c>
      <c r="H5810" s="5">
        <v>70.192200</v>
      </c>
    </row>
    <row r="5811" spans="1:9">
      <c r="A5811" s="22" t="str">
        <f>HYPERLINK("https://app.vivvix.com/360/KMI/IntelliDrive/ApplUI/Pages/CreativePages/CustomReportCreativeDetail.aspx?App=23&amp;ReportView=4&amp;Qid=1711279&amp;Row=5803&amp;Col=1","No Title Assigned - #15269771220")</f>
        <v/>
      </c>
      <c r="B5811" s="0" t="s">
        <v>7755</v>
      </c>
      <c r="E5811" s="0" t="inlineStr">
        <is>
          <t xml:space="preserve">Mazda</t>
        </is>
      </c>
      <c r="F5811" s="0" t="inlineStr">
        <is>
          <t xml:space="preserve">Mazda</t>
        </is>
      </c>
      <c r="G5811" s="0" t="s">
        <v>171</v>
      </c>
      <c r="H5811" s="5">
        <v>1471.561400</v>
      </c>
    </row>
    <row r="5812" spans="1:9">
      <c r="A5812" s="22" t="str">
        <f>HYPERLINK("https://app.vivvix.com/360/KMI/IntelliDrive/ApplUI/Pages/CreativePages/CustomReportCreativeDetail.aspx?App=23&amp;ReportView=4&amp;Qid=1711279&amp;Row=5804&amp;Col=1","No Title Assigned - #15269771299")</f>
        <v/>
      </c>
      <c r="B5812" s="0" t="s">
        <v>7756</v>
      </c>
      <c r="E5812" s="0" t="inlineStr">
        <is>
          <t xml:space="preserve">Mazda</t>
        </is>
      </c>
      <c r="F5812" s="0" t="inlineStr">
        <is>
          <t xml:space="preserve">Mazda</t>
        </is>
      </c>
      <c r="G5812" s="0" t="s">
        <v>171</v>
      </c>
      <c r="H5812" s="5">
        <v>10.918000</v>
      </c>
    </row>
    <row r="5813" spans="1:9">
      <c r="A5813" s="22" t="str">
        <f>HYPERLINK("https://app.vivvix.com/360/KMI/IntelliDrive/ApplUI/Pages/CreativePages/CustomReportCreativeDetail.aspx?App=23&amp;ReportView=4&amp;Qid=1711279&amp;Row=5805&amp;Col=1","No Title Assigned - #15269771327")</f>
        <v/>
      </c>
      <c r="B5813" s="0" t="s">
        <v>7757</v>
      </c>
      <c r="C5813" s="0" t="s">
        <v>7758</v>
      </c>
      <c r="D5813" s="0" t="s">
        <v>7758</v>
      </c>
      <c r="E5813" s="0" t="inlineStr">
        <is>
          <t xml:space="preserve">Mazda</t>
        </is>
      </c>
      <c r="F5813" s="0" t="inlineStr">
        <is>
          <t xml:space="preserve">Mazda</t>
        </is>
      </c>
      <c r="G5813" s="0" t="s">
        <v>171</v>
      </c>
      <c r="H5813" s="5">
        <v>64.431700</v>
      </c>
    </row>
    <row r="5814" spans="1:9">
      <c r="A5814" s="22" t="str">
        <f>HYPERLINK("https://app.vivvix.com/360/KMI/IntelliDrive/ApplUI/Pages/CreativePages/CustomReportCreativeDetail.aspx?App=23&amp;ReportView=4&amp;Qid=1711279&amp;Row=5806&amp;Col=1","No Title Assigned - #15269771351")</f>
        <v/>
      </c>
      <c r="B5814" s="0" t="s">
        <v>7759</v>
      </c>
      <c r="E5814" s="0" t="inlineStr">
        <is>
          <t xml:space="preserve">Mazda</t>
        </is>
      </c>
      <c r="F5814" s="0" t="inlineStr">
        <is>
          <t xml:space="preserve">Mazda</t>
        </is>
      </c>
      <c r="G5814" s="0" t="s">
        <v>171</v>
      </c>
      <c r="H5814" s="5">
        <v>4735.864700</v>
      </c>
    </row>
    <row r="5815" spans="1:9">
      <c r="A5815" s="22" t="str">
        <f>HYPERLINK("https://app.vivvix.com/360/KMI/IntelliDrive/ApplUI/Pages/CreativePages/CustomReportCreativeDetail.aspx?App=23&amp;ReportView=4&amp;Qid=1711279&amp;Row=5807&amp;Col=1","No Title Assigned - #15269771367")</f>
        <v/>
      </c>
      <c r="B5815" s="0" t="s">
        <v>7760</v>
      </c>
      <c r="E5815" s="0" t="inlineStr">
        <is>
          <t xml:space="preserve">Mazda</t>
        </is>
      </c>
      <c r="F5815" s="0" t="inlineStr">
        <is>
          <t xml:space="preserve">Mazda</t>
        </is>
      </c>
      <c r="G5815" s="0" t="s">
        <v>171</v>
      </c>
      <c r="H5815" s="5">
        <v>3685.924700</v>
      </c>
    </row>
    <row r="5816" spans="1:9">
      <c r="A5816" s="22" t="str">
        <f>HYPERLINK("https://app.vivvix.com/360/KMI/IntelliDrive/ApplUI/Pages/CreativePages/CustomReportCreativeDetail.aspx?App=23&amp;ReportView=4&amp;Qid=1711279&amp;Row=5808&amp;Col=1","No Title Assigned - #15269771675")</f>
        <v/>
      </c>
      <c r="B5816" s="0" t="s">
        <v>7761</v>
      </c>
      <c r="E5816" s="0" t="inlineStr">
        <is>
          <t xml:space="preserve">Mazda</t>
        </is>
      </c>
      <c r="F5816" s="0" t="inlineStr">
        <is>
          <t xml:space="preserve">Mazda</t>
        </is>
      </c>
      <c r="G5816" s="0" t="s">
        <v>171</v>
      </c>
      <c r="H5816" s="5">
        <v>385.020200</v>
      </c>
    </row>
    <row r="5817" spans="1:9">
      <c r="A5817" s="22" t="str">
        <f>HYPERLINK("https://app.vivvix.com/360/KMI/IntelliDrive/ApplUI/Pages/CreativePages/CustomReportCreativeDetail.aspx?App=23&amp;ReportView=4&amp;Qid=1711279&amp;Row=5809&amp;Col=1","No Title Assigned - #15269771733")</f>
        <v/>
      </c>
      <c r="B5817" s="0" t="s">
        <v>7762</v>
      </c>
      <c r="E5817" s="0" t="inlineStr">
        <is>
          <t xml:space="preserve">Mazda</t>
        </is>
      </c>
      <c r="F5817" s="0" t="inlineStr">
        <is>
          <t xml:space="preserve">Mazda</t>
        </is>
      </c>
      <c r="G5817" s="0" t="s">
        <v>171</v>
      </c>
      <c r="H5817" s="5">
        <v>173.217000</v>
      </c>
    </row>
    <row r="5818" spans="1:9">
      <c r="A5818" s="22" t="str">
        <f>HYPERLINK("https://app.vivvix.com/360/KMI/IntelliDrive/ApplUI/Pages/CreativePages/CustomReportCreativeDetail.aspx?App=23&amp;ReportView=4&amp;Qid=1711279&amp;Row=5810&amp;Col=1","No Title Assigned - #15269771790")</f>
        <v/>
      </c>
      <c r="B5818" s="0" t="s">
        <v>7763</v>
      </c>
      <c r="E5818" s="0" t="inlineStr">
        <is>
          <t xml:space="preserve">Mazda</t>
        </is>
      </c>
      <c r="F5818" s="0" t="inlineStr">
        <is>
          <t xml:space="preserve">Mazda</t>
        </is>
      </c>
      <c r="G5818" s="0" t="s">
        <v>171</v>
      </c>
      <c r="H5818" s="5">
        <v>135.559800</v>
      </c>
    </row>
    <row r="5819" spans="1:9">
      <c r="A5819" s="22" t="str">
        <f>HYPERLINK("https://app.vivvix.com/360/KMI/IntelliDrive/ApplUI/Pages/CreativePages/CustomReportCreativeDetail.aspx?App=23&amp;ReportView=4&amp;Qid=1711279&amp;Row=5811&amp;Col=1","No Title Assigned - #15269771994")</f>
        <v/>
      </c>
      <c r="B5819" s="0" t="s">
        <v>7764</v>
      </c>
      <c r="E5819" s="0" t="inlineStr">
        <is>
          <t xml:space="preserve">Mazda</t>
        </is>
      </c>
      <c r="F5819" s="0" t="inlineStr">
        <is>
          <t xml:space="preserve">Mazda</t>
        </is>
      </c>
      <c r="G5819" s="0" t="s">
        <v>171</v>
      </c>
      <c r="H5819" s="5">
        <v>6.281100</v>
      </c>
    </row>
    <row r="5820" spans="1:9">
      <c r="A5820" s="22" t="str">
        <f>HYPERLINK("https://app.vivvix.com/360/KMI/IntelliDrive/ApplUI/Pages/CreativePages/CustomReportCreativeDetail.aspx?App=23&amp;ReportView=4&amp;Qid=1711279&amp;Row=5812&amp;Col=1","No Title Assigned - #15269772143")</f>
        <v/>
      </c>
      <c r="B5820" s="0" t="s">
        <v>7765</v>
      </c>
      <c r="E5820" s="0" t="inlineStr">
        <is>
          <t xml:space="preserve">Mazda</t>
        </is>
      </c>
      <c r="F5820" s="0" t="inlineStr">
        <is>
          <t xml:space="preserve">Mazda</t>
        </is>
      </c>
      <c r="G5820" s="0" t="s">
        <v>171</v>
      </c>
      <c r="H5820" s="5">
        <v>176.521300</v>
      </c>
    </row>
    <row r="5821" spans="1:9">
      <c r="A5821" s="22" t="str">
        <f>HYPERLINK("https://app.vivvix.com/360/KMI/IntelliDrive/ApplUI/Pages/CreativePages/CustomReportCreativeDetail.aspx?App=23&amp;ReportView=4&amp;Qid=1711279&amp;Row=5813&amp;Col=1","No Title Assigned - #15269772150")</f>
        <v/>
      </c>
      <c r="B5821" s="0" t="s">
        <v>7766</v>
      </c>
      <c r="E5821" s="0" t="inlineStr">
        <is>
          <t xml:space="preserve">Mazda</t>
        </is>
      </c>
      <c r="F5821" s="0" t="inlineStr">
        <is>
          <t xml:space="preserve">Mazda</t>
        </is>
      </c>
      <c r="G5821" s="0" t="s">
        <v>171</v>
      </c>
      <c r="H5821" s="5">
        <v>79.869000</v>
      </c>
    </row>
    <row r="5822" spans="1:9">
      <c r="A5822" s="22" t="str">
        <f>HYPERLINK("https://app.vivvix.com/360/KMI/IntelliDrive/ApplUI/Pages/CreativePages/CustomReportCreativeDetail.aspx?App=23&amp;ReportView=4&amp;Qid=1711279&amp;Row=5814&amp;Col=1","No Title Assigned - #15269772224")</f>
        <v/>
      </c>
      <c r="B5822" s="0" t="s">
        <v>7767</v>
      </c>
      <c r="C5822" s="0" t="s">
        <v>7768</v>
      </c>
      <c r="D5822" s="0" t="s">
        <v>7768</v>
      </c>
      <c r="E5822" s="0" t="inlineStr">
        <is>
          <t xml:space="preserve">Mazda</t>
        </is>
      </c>
      <c r="F5822" s="0" t="inlineStr">
        <is>
          <t xml:space="preserve">Mazda</t>
        </is>
      </c>
      <c r="G5822" s="0" t="s">
        <v>171</v>
      </c>
      <c r="H5822" s="5">
        <v>2833.918600</v>
      </c>
    </row>
    <row r="5823" spans="1:9">
      <c r="A5823" s="22" t="str">
        <f>HYPERLINK("https://app.vivvix.com/360/KMI/IntelliDrive/ApplUI/Pages/CreativePages/CustomReportCreativeDetail.aspx?App=23&amp;ReportView=4&amp;Qid=1711279&amp;Row=5815&amp;Col=1","No Title Assigned - #15269772224")</f>
        <v/>
      </c>
      <c r="B5823" s="0" t="s">
        <v>7767</v>
      </c>
      <c r="E5823" s="0" t="inlineStr">
        <is>
          <t xml:space="preserve">Mazda</t>
        </is>
      </c>
      <c r="F5823" s="0" t="inlineStr">
        <is>
          <t xml:space="preserve">Mazda</t>
        </is>
      </c>
      <c r="G5823" s="0" t="s">
        <v>171</v>
      </c>
      <c r="H5823" s="5">
        <v>4126.234800</v>
      </c>
    </row>
    <row r="5824" spans="1:9">
      <c r="A5824" s="22" t="str">
        <f>HYPERLINK("https://app.vivvix.com/360/KMI/IntelliDrive/ApplUI/Pages/CreativePages/CustomReportCreativeDetail.aspx?App=23&amp;ReportView=4&amp;Qid=1711279&amp;Row=5816&amp;Col=1","No Title Assigned - #15269772277")</f>
        <v/>
      </c>
      <c r="B5824" s="0" t="s">
        <v>7769</v>
      </c>
      <c r="C5824" s="0" t="s">
        <v>7770</v>
      </c>
      <c r="D5824" s="0" t="s">
        <v>7770</v>
      </c>
      <c r="E5824" s="0" t="inlineStr">
        <is>
          <t xml:space="preserve">Mazda</t>
        </is>
      </c>
      <c r="F5824" s="0" t="inlineStr">
        <is>
          <t xml:space="preserve">Mazda</t>
        </is>
      </c>
      <c r="G5824" s="0" t="s">
        <v>171</v>
      </c>
      <c r="H5824" s="5">
        <v>772.953900</v>
      </c>
    </row>
    <row r="5825" spans="1:9">
      <c r="A5825" s="22" t="str">
        <f>HYPERLINK("https://app.vivvix.com/360/KMI/IntelliDrive/ApplUI/Pages/CreativePages/CustomReportCreativeDetail.aspx?App=23&amp;ReportView=4&amp;Qid=1711279&amp;Row=5817&amp;Col=1","No Title Assigned - #15269772277")</f>
        <v/>
      </c>
      <c r="B5825" s="0" t="s">
        <v>7769</v>
      </c>
      <c r="E5825" s="0" t="inlineStr">
        <is>
          <t xml:space="preserve">Mazda</t>
        </is>
      </c>
      <c r="F5825" s="0" t="inlineStr">
        <is>
          <t xml:space="preserve">Mazda</t>
        </is>
      </c>
      <c r="G5825" s="0" t="s">
        <v>171</v>
      </c>
      <c r="H5825" s="5">
        <v>5929.753500</v>
      </c>
    </row>
    <row r="5826" spans="1:9">
      <c r="A5826" s="22" t="str">
        <f>HYPERLINK("https://app.vivvix.com/360/KMI/IntelliDrive/ApplUI/Pages/CreativePages/CustomReportCreativeDetail.aspx?App=23&amp;ReportView=4&amp;Qid=1711279&amp;Row=5818&amp;Col=1","No Title Assigned - #15269772343")</f>
        <v/>
      </c>
      <c r="B5826" s="0" t="s">
        <v>7771</v>
      </c>
      <c r="E5826" s="0" t="inlineStr">
        <is>
          <t xml:space="preserve">Mazda</t>
        </is>
      </c>
      <c r="F5826" s="0" t="inlineStr">
        <is>
          <t xml:space="preserve">Mazda</t>
        </is>
      </c>
      <c r="G5826" s="0" t="s">
        <v>171</v>
      </c>
      <c r="H5826" s="5">
        <v>4.701400</v>
      </c>
    </row>
    <row r="5827" spans="1:9">
      <c r="A5827" s="22" t="str">
        <f>HYPERLINK("https://app.vivvix.com/360/KMI/IntelliDrive/ApplUI/Pages/CreativePages/CustomReportCreativeDetail.aspx?App=23&amp;ReportView=4&amp;Qid=1711279&amp;Row=5819&amp;Col=1","No Title Assigned - #15269772431")</f>
        <v/>
      </c>
      <c r="B5827" s="0" t="s">
        <v>7772</v>
      </c>
      <c r="E5827" s="0" t="inlineStr">
        <is>
          <t xml:space="preserve">Mazda</t>
        </is>
      </c>
      <c r="F5827" s="0" t="inlineStr">
        <is>
          <t xml:space="preserve">Mazda</t>
        </is>
      </c>
      <c r="G5827" s="0" t="s">
        <v>171</v>
      </c>
      <c r="H5827" s="5">
        <v>8.973800</v>
      </c>
    </row>
    <row r="5828" spans="1:9">
      <c r="A5828" s="22" t="str">
        <f>HYPERLINK("https://app.vivvix.com/360/KMI/IntelliDrive/ApplUI/Pages/CreativePages/CustomReportCreativeDetail.aspx?App=23&amp;ReportView=4&amp;Qid=1711279&amp;Row=5820&amp;Col=1","No Title Assigned - #15269772581")</f>
        <v/>
      </c>
      <c r="B5828" s="0" t="s">
        <v>7773</v>
      </c>
      <c r="E5828" s="0" t="inlineStr">
        <is>
          <t xml:space="preserve">Mazda</t>
        </is>
      </c>
      <c r="F5828" s="0" t="inlineStr">
        <is>
          <t xml:space="preserve">Mazda</t>
        </is>
      </c>
      <c r="G5828" s="0" t="s">
        <v>171</v>
      </c>
      <c r="H5828" s="5">
        <v>37.328200</v>
      </c>
    </row>
    <row r="5829" spans="1:9">
      <c r="A5829" s="22" t="str">
        <f>HYPERLINK("https://app.vivvix.com/360/KMI/IntelliDrive/ApplUI/Pages/CreativePages/CustomReportCreativeDetail.aspx?App=23&amp;ReportView=4&amp;Qid=1711279&amp;Row=5821&amp;Col=1","No Title Assigned - #15269772631")</f>
        <v/>
      </c>
      <c r="B5829" s="0" t="s">
        <v>7774</v>
      </c>
      <c r="E5829" s="0" t="inlineStr">
        <is>
          <t xml:space="preserve">Mazda</t>
        </is>
      </c>
      <c r="F5829" s="0" t="inlineStr">
        <is>
          <t xml:space="preserve">Mazda</t>
        </is>
      </c>
      <c r="G5829" s="0" t="s">
        <v>171</v>
      </c>
      <c r="H5829" s="5">
        <v>30.246800</v>
      </c>
    </row>
    <row r="5830" spans="1:9">
      <c r="A5830" s="22" t="str">
        <f>HYPERLINK("https://app.vivvix.com/360/KMI/IntelliDrive/ApplUI/Pages/CreativePages/CustomReportCreativeDetail.aspx?App=23&amp;ReportView=4&amp;Qid=1711279&amp;Row=5822&amp;Col=1","No Title Assigned - #15269772841")</f>
        <v/>
      </c>
      <c r="B5830" s="0" t="s">
        <v>7775</v>
      </c>
      <c r="E5830" s="0" t="inlineStr">
        <is>
          <t xml:space="preserve">Mazda</t>
        </is>
      </c>
      <c r="F5830" s="0" t="inlineStr">
        <is>
          <t xml:space="preserve">Mazda</t>
        </is>
      </c>
      <c r="G5830" s="0" t="s">
        <v>171</v>
      </c>
      <c r="H5830" s="5">
        <v>178.750800</v>
      </c>
    </row>
    <row r="5831" spans="1:9">
      <c r="A5831" s="22" t="str">
        <f>HYPERLINK("https://app.vivvix.com/360/KMI/IntelliDrive/ApplUI/Pages/CreativePages/CustomReportCreativeDetail.aspx?App=23&amp;ReportView=4&amp;Qid=1711279&amp;Row=5823&amp;Col=1","No Title Assigned - #15269773011")</f>
        <v/>
      </c>
      <c r="B5831" s="0" t="s">
        <v>7776</v>
      </c>
      <c r="C5831" s="0" t="s">
        <v>7777</v>
      </c>
      <c r="D5831" s="0" t="s">
        <v>7777</v>
      </c>
      <c r="E5831" s="0" t="inlineStr">
        <is>
          <t xml:space="preserve">Mazda</t>
        </is>
      </c>
      <c r="F5831" s="0" t="inlineStr">
        <is>
          <t xml:space="preserve">Mazda</t>
        </is>
      </c>
      <c r="G5831" s="0" t="s">
        <v>171</v>
      </c>
      <c r="H5831" s="5">
        <v>265.234100</v>
      </c>
    </row>
    <row r="5832" spans="1:9">
      <c r="A5832" s="22" t="str">
        <f>HYPERLINK("https://app.vivvix.com/360/KMI/IntelliDrive/ApplUI/Pages/CreativePages/CustomReportCreativeDetail.aspx?App=23&amp;ReportView=4&amp;Qid=1711279&amp;Row=5824&amp;Col=1","No Title Assigned - #15269773033")</f>
        <v/>
      </c>
      <c r="B5832" s="0" t="s">
        <v>7778</v>
      </c>
      <c r="E5832" s="0" t="inlineStr">
        <is>
          <t xml:space="preserve">Mazda</t>
        </is>
      </c>
      <c r="F5832" s="0" t="inlineStr">
        <is>
          <t xml:space="preserve">Mazda</t>
        </is>
      </c>
      <c r="G5832" s="0" t="s">
        <v>171</v>
      </c>
      <c r="H5832" s="5">
        <v>5.135100</v>
      </c>
    </row>
    <row r="5833" spans="1:9">
      <c r="A5833" s="22" t="str">
        <f>HYPERLINK("https://app.vivvix.com/360/KMI/IntelliDrive/ApplUI/Pages/CreativePages/CustomReportCreativeDetail.aspx?App=23&amp;ReportView=4&amp;Qid=1711279&amp;Row=5825&amp;Col=1","No Title Assigned - #15269773225")</f>
        <v/>
      </c>
      <c r="B5833" s="0" t="s">
        <v>7779</v>
      </c>
      <c r="E5833" s="0" t="inlineStr">
        <is>
          <t xml:space="preserve">Mazda</t>
        </is>
      </c>
      <c r="F5833" s="0" t="inlineStr">
        <is>
          <t xml:space="preserve">Mazda</t>
        </is>
      </c>
      <c r="G5833" s="0" t="s">
        <v>171</v>
      </c>
      <c r="H5833" s="5">
        <v>103.966100</v>
      </c>
    </row>
    <row r="5834" spans="1:9">
      <c r="A5834" s="22" t="str">
        <f>HYPERLINK("https://app.vivvix.com/360/KMI/IntelliDrive/ApplUI/Pages/CreativePages/CustomReportCreativeDetail.aspx?App=23&amp;ReportView=4&amp;Qid=1711279&amp;Row=5826&amp;Col=1","No Title Assigned - #15269773587")</f>
        <v/>
      </c>
      <c r="B5834" s="0" t="s">
        <v>7780</v>
      </c>
      <c r="E5834" s="0" t="inlineStr">
        <is>
          <t xml:space="preserve">Mazda</t>
        </is>
      </c>
      <c r="F5834" s="0" t="inlineStr">
        <is>
          <t xml:space="preserve">Mazda</t>
        </is>
      </c>
      <c r="G5834" s="0" t="s">
        <v>171</v>
      </c>
      <c r="H5834" s="5">
        <v>88.866200</v>
      </c>
    </row>
    <row r="5835" spans="1:9">
      <c r="A5835" s="22" t="str">
        <f>HYPERLINK("https://app.vivvix.com/360/KMI/IntelliDrive/ApplUI/Pages/CreativePages/CustomReportCreativeDetail.aspx?App=23&amp;ReportView=4&amp;Qid=1711279&amp;Row=5827&amp;Col=1","No Title Assigned - #15269773648")</f>
        <v/>
      </c>
      <c r="B5835" s="0" t="s">
        <v>7781</v>
      </c>
      <c r="E5835" s="0" t="inlineStr">
        <is>
          <t xml:space="preserve">Mazda</t>
        </is>
      </c>
      <c r="F5835" s="0" t="inlineStr">
        <is>
          <t xml:space="preserve">Mazda</t>
        </is>
      </c>
      <c r="G5835" s="0" t="s">
        <v>171</v>
      </c>
      <c r="H5835" s="5">
        <v>4180.288600</v>
      </c>
    </row>
    <row r="5836" spans="1:9">
      <c r="A5836" s="22" t="str">
        <f>HYPERLINK("https://app.vivvix.com/360/KMI/IntelliDrive/ApplUI/Pages/CreativePages/CustomReportCreativeDetail.aspx?App=23&amp;ReportView=4&amp;Qid=1711279&amp;Row=5828&amp;Col=1","No Title Assigned - #15269773648")</f>
        <v/>
      </c>
      <c r="B5836" s="0" t="s">
        <v>7781</v>
      </c>
      <c r="E5836" s="0" t="inlineStr">
        <is>
          <t xml:space="preserve">Mazda</t>
        </is>
      </c>
      <c r="F5836" s="0" t="inlineStr">
        <is>
          <t xml:space="preserve">Mazda</t>
        </is>
      </c>
      <c r="G5836" s="0" t="s">
        <v>171</v>
      </c>
      <c r="H5836" s="5">
        <v>64807.404200</v>
      </c>
    </row>
    <row r="5837" spans="1:9">
      <c r="A5837" s="22" t="str">
        <f>HYPERLINK("https://app.vivvix.com/360/KMI/IntelliDrive/ApplUI/Pages/CreativePages/CustomReportCreativeDetail.aspx?App=23&amp;ReportView=4&amp;Qid=1711279&amp;Row=5829&amp;Col=1","No Title Assigned - #15269774205")</f>
        <v/>
      </c>
      <c r="B5837" s="0" t="s">
        <v>7782</v>
      </c>
      <c r="E5837" s="0" t="inlineStr">
        <is>
          <t xml:space="preserve">Mazda</t>
        </is>
      </c>
      <c r="F5837" s="0" t="inlineStr">
        <is>
          <t xml:space="preserve">Mazda</t>
        </is>
      </c>
      <c r="G5837" s="0" t="s">
        <v>171</v>
      </c>
      <c r="H5837" s="5">
        <v>287.952600</v>
      </c>
    </row>
    <row r="5838" spans="1:9">
      <c r="A5838" s="22" t="str">
        <f>HYPERLINK("https://app.vivvix.com/360/KMI/IntelliDrive/ApplUI/Pages/CreativePages/CustomReportCreativeDetail.aspx?App=23&amp;ReportView=4&amp;Qid=1711279&amp;Row=5830&amp;Col=1","No Title Assigned - #15269774221")</f>
        <v/>
      </c>
      <c r="B5838" s="0" t="s">
        <v>7783</v>
      </c>
      <c r="C5838" s="0" t="s">
        <v>7784</v>
      </c>
      <c r="D5838" s="0" t="s">
        <v>7784</v>
      </c>
      <c r="E5838" s="0" t="inlineStr">
        <is>
          <t xml:space="preserve">Mazda</t>
        </is>
      </c>
      <c r="F5838" s="0" t="inlineStr">
        <is>
          <t xml:space="preserve">Mazda</t>
        </is>
      </c>
      <c r="G5838" s="0" t="s">
        <v>171</v>
      </c>
      <c r="H5838" s="5">
        <v>53.306000</v>
      </c>
    </row>
    <row r="5839" spans="1:9">
      <c r="A5839" s="22" t="str">
        <f>HYPERLINK("https://app.vivvix.com/360/KMI/IntelliDrive/ApplUI/Pages/CreativePages/CustomReportCreativeDetail.aspx?App=23&amp;ReportView=4&amp;Qid=1711279&amp;Row=5831&amp;Col=1","No Title Assigned - #15269774625")</f>
        <v/>
      </c>
      <c r="B5839" s="0" t="s">
        <v>7785</v>
      </c>
      <c r="E5839" s="0" t="inlineStr">
        <is>
          <t xml:space="preserve">Mazda</t>
        </is>
      </c>
      <c r="F5839" s="0" t="inlineStr">
        <is>
          <t xml:space="preserve">Mazda</t>
        </is>
      </c>
      <c r="G5839" s="0" t="s">
        <v>171</v>
      </c>
      <c r="H5839" s="5">
        <v>456.321000</v>
      </c>
    </row>
    <row r="5840" spans="1:9">
      <c r="A5840" s="22" t="str">
        <f>HYPERLINK("https://app.vivvix.com/360/KMI/IntelliDrive/ApplUI/Pages/CreativePages/CustomReportCreativeDetail.aspx?App=23&amp;ReportView=4&amp;Qid=1711279&amp;Row=5832&amp;Col=1","No Title Assigned - #15269774880")</f>
        <v/>
      </c>
      <c r="B5840" s="0" t="s">
        <v>7786</v>
      </c>
      <c r="E5840" s="0" t="inlineStr">
        <is>
          <t xml:space="preserve">Mazda</t>
        </is>
      </c>
      <c r="F5840" s="0" t="inlineStr">
        <is>
          <t xml:space="preserve">Mazda</t>
        </is>
      </c>
      <c r="G5840" s="0" t="s">
        <v>171</v>
      </c>
      <c r="H5840" s="5">
        <v>113.997100</v>
      </c>
    </row>
    <row r="5841" spans="1:9">
      <c r="A5841" s="22" t="str">
        <f>HYPERLINK("https://app.vivvix.com/360/KMI/IntelliDrive/ApplUI/Pages/CreativePages/CustomReportCreativeDetail.aspx?App=23&amp;ReportView=4&amp;Qid=1711279&amp;Row=5833&amp;Col=1","No Title Assigned - #15269774895")</f>
        <v/>
      </c>
      <c r="B5841" s="0" t="s">
        <v>7787</v>
      </c>
      <c r="E5841" s="0" t="inlineStr">
        <is>
          <t xml:space="preserve">Mazda</t>
        </is>
      </c>
      <c r="F5841" s="0" t="s">
        <v>28</v>
      </c>
      <c r="G5841" s="0" t="s">
        <v>29</v>
      </c>
      <c r="H5841" s="5">
        <v>22.003300</v>
      </c>
    </row>
    <row r="5842" spans="1:9">
      <c r="A5842" s="22" t="str">
        <f>HYPERLINK("https://app.vivvix.com/360/KMI/IntelliDrive/ApplUI/Pages/CreativePages/CustomReportCreativeDetail.aspx?App=23&amp;ReportView=4&amp;Qid=1711279&amp;Row=5834&amp;Col=1","No Title Assigned - #15269774930")</f>
        <v/>
      </c>
      <c r="B5842" s="0" t="s">
        <v>7788</v>
      </c>
      <c r="E5842" s="0" t="inlineStr">
        <is>
          <t xml:space="preserve">Mazda</t>
        </is>
      </c>
      <c r="F5842" s="0" t="inlineStr">
        <is>
          <t xml:space="preserve">Mazda</t>
        </is>
      </c>
      <c r="G5842" s="0" t="s">
        <v>171</v>
      </c>
      <c r="H5842" s="5">
        <v>3.331900</v>
      </c>
    </row>
    <row r="5843" spans="1:9">
      <c r="A5843" s="22" t="str">
        <f>HYPERLINK("https://app.vivvix.com/360/KMI/IntelliDrive/ApplUI/Pages/CreativePages/CustomReportCreativeDetail.aspx?App=23&amp;ReportView=4&amp;Qid=1711279&amp;Row=5835&amp;Col=1","No Title Assigned - #15269774954")</f>
        <v/>
      </c>
      <c r="B5843" s="0" t="s">
        <v>7789</v>
      </c>
      <c r="E5843" s="0" t="inlineStr">
        <is>
          <t xml:space="preserve">Mazda</t>
        </is>
      </c>
      <c r="F5843" s="0" t="inlineStr">
        <is>
          <t xml:space="preserve">Mazda</t>
        </is>
      </c>
      <c r="G5843" s="0" t="s">
        <v>171</v>
      </c>
      <c r="H5843" s="5">
        <v>16.875400</v>
      </c>
    </row>
    <row r="5844" spans="1:9">
      <c r="A5844" s="22" t="str">
        <f>HYPERLINK("https://app.vivvix.com/360/KMI/IntelliDrive/ApplUI/Pages/CreativePages/CustomReportCreativeDetail.aspx?App=23&amp;ReportView=4&amp;Qid=1711279&amp;Row=5836&amp;Col=1","No Title Assigned - #15269775075")</f>
        <v/>
      </c>
      <c r="B5844" s="0" t="s">
        <v>7790</v>
      </c>
      <c r="E5844" s="0" t="inlineStr">
        <is>
          <t xml:space="preserve">Mazda</t>
        </is>
      </c>
      <c r="F5844" s="0" t="inlineStr">
        <is>
          <t xml:space="preserve">Mazda</t>
        </is>
      </c>
      <c r="G5844" s="0" t="s">
        <v>171</v>
      </c>
      <c r="H5844" s="5">
        <v>330.285100</v>
      </c>
    </row>
    <row r="5845" spans="1:9">
      <c r="A5845" s="22" t="str">
        <f>HYPERLINK("https://app.vivvix.com/360/KMI/IntelliDrive/ApplUI/Pages/CreativePages/CustomReportCreativeDetail.aspx?App=23&amp;ReportView=4&amp;Qid=1711279&amp;Row=5837&amp;Col=1","No Title Assigned - #15269775136")</f>
        <v/>
      </c>
      <c r="B5845" s="0" t="s">
        <v>7791</v>
      </c>
      <c r="E5845" s="0" t="inlineStr">
        <is>
          <t xml:space="preserve">Mazda</t>
        </is>
      </c>
      <c r="F5845" s="0" t="inlineStr">
        <is>
          <t xml:space="preserve">Mazda</t>
        </is>
      </c>
      <c r="G5845" s="0" t="s">
        <v>171</v>
      </c>
      <c r="H5845" s="5">
        <v>1324.526000</v>
      </c>
    </row>
    <row r="5846" spans="1:9">
      <c r="A5846" s="22" t="str">
        <f>HYPERLINK("https://app.vivvix.com/360/KMI/IntelliDrive/ApplUI/Pages/CreativePages/CustomReportCreativeDetail.aspx?App=23&amp;ReportView=4&amp;Qid=1711279&amp;Row=5838&amp;Col=1","No Title Assigned - #15269775136")</f>
        <v/>
      </c>
      <c r="B5846" s="0" t="s">
        <v>7791</v>
      </c>
      <c r="E5846" s="0" t="inlineStr">
        <is>
          <t xml:space="preserve">Mazda</t>
        </is>
      </c>
      <c r="F5846" s="0" t="inlineStr">
        <is>
          <t xml:space="preserve">Mazda</t>
        </is>
      </c>
      <c r="G5846" s="0" t="s">
        <v>171</v>
      </c>
      <c r="H5846" s="5">
        <v>197.948300</v>
      </c>
    </row>
    <row r="5847" spans="1:9">
      <c r="A5847" s="22" t="str">
        <f>HYPERLINK("https://app.vivvix.com/360/KMI/IntelliDrive/ApplUI/Pages/CreativePages/CustomReportCreativeDetail.aspx?App=23&amp;ReportView=4&amp;Qid=1711279&amp;Row=5839&amp;Col=1","No Title Assigned - #15269775181")</f>
        <v/>
      </c>
      <c r="B5847" s="0" t="s">
        <v>7792</v>
      </c>
      <c r="C5847" s="0" t="s">
        <v>7793</v>
      </c>
      <c r="D5847" s="0" t="s">
        <v>7793</v>
      </c>
      <c r="E5847" s="0" t="inlineStr">
        <is>
          <t xml:space="preserve">Mazda</t>
        </is>
      </c>
      <c r="F5847" s="0" t="s">
        <v>13</v>
      </c>
      <c r="G5847" s="0" t="s">
        <v>49</v>
      </c>
      <c r="H5847" s="5">
        <v>1002.993400</v>
      </c>
    </row>
    <row r="5848" spans="1:9">
      <c r="A5848" s="22" t="str">
        <f>HYPERLINK("https://app.vivvix.com/360/KMI/IntelliDrive/ApplUI/Pages/CreativePages/CustomReportCreativeDetail.aspx?App=23&amp;ReportView=4&amp;Qid=1711279&amp;Row=5840&amp;Col=1","No Title Assigned - #15269775289")</f>
        <v/>
      </c>
      <c r="B5848" s="0" t="s">
        <v>7794</v>
      </c>
      <c r="E5848" s="0" t="inlineStr">
        <is>
          <t xml:space="preserve">Mazda</t>
        </is>
      </c>
      <c r="F5848" s="0" t="inlineStr">
        <is>
          <t xml:space="preserve">Mazda</t>
        </is>
      </c>
      <c r="G5848" s="0" t="s">
        <v>171</v>
      </c>
      <c r="H5848" s="5">
        <v>126.532700</v>
      </c>
    </row>
    <row r="5849" spans="1:9">
      <c r="A5849" s="22" t="str">
        <f>HYPERLINK("https://app.vivvix.com/360/KMI/IntelliDrive/ApplUI/Pages/CreativePages/CustomReportCreativeDetail.aspx?App=23&amp;ReportView=4&amp;Qid=1711279&amp;Row=5841&amp;Col=1","No Title Assigned - #15269775354")</f>
        <v/>
      </c>
      <c r="B5849" s="0" t="s">
        <v>7795</v>
      </c>
      <c r="E5849" s="0" t="inlineStr">
        <is>
          <t xml:space="preserve">Mazda</t>
        </is>
      </c>
      <c r="F5849" s="0" t="s">
        <v>13</v>
      </c>
      <c r="G5849" s="0" t="s">
        <v>49</v>
      </c>
      <c r="H5849" s="5">
        <v>4738.720600</v>
      </c>
    </row>
    <row r="5850" spans="1:9">
      <c r="A5850" s="22" t="str">
        <f>HYPERLINK("https://app.vivvix.com/360/KMI/IntelliDrive/ApplUI/Pages/CreativePages/CustomReportCreativeDetail.aspx?App=23&amp;ReportView=4&amp;Qid=1711279&amp;Row=5842&amp;Col=1","No Title Assigned - #15269775354")</f>
        <v/>
      </c>
      <c r="B5850" s="0" t="s">
        <v>7795</v>
      </c>
      <c r="C5850" s="0" t="s">
        <v>7796</v>
      </c>
      <c r="D5850" s="0" t="s">
        <v>7796</v>
      </c>
      <c r="E5850" s="0" t="inlineStr">
        <is>
          <t xml:space="preserve">Mazda</t>
        </is>
      </c>
      <c r="F5850" s="0" t="s">
        <v>13</v>
      </c>
      <c r="G5850" s="0" t="s">
        <v>49</v>
      </c>
      <c r="H5850" s="5">
        <v>5122.146200</v>
      </c>
    </row>
    <row r="5851" spans="1:9">
      <c r="A5851" s="22" t="str">
        <f>HYPERLINK("https://app.vivvix.com/360/KMI/IntelliDrive/ApplUI/Pages/CreativePages/CustomReportCreativeDetail.aspx?App=23&amp;ReportView=4&amp;Qid=1711279&amp;Row=5843&amp;Col=1","No Title Assigned - #15269775369")</f>
        <v/>
      </c>
      <c r="B5851" s="0" t="s">
        <v>7797</v>
      </c>
      <c r="E5851" s="0" t="inlineStr">
        <is>
          <t xml:space="preserve">Mazda</t>
        </is>
      </c>
      <c r="F5851" s="0" t="inlineStr">
        <is>
          <t xml:space="preserve">Mazda</t>
        </is>
      </c>
      <c r="G5851" s="0" t="s">
        <v>171</v>
      </c>
      <c r="H5851" s="5">
        <v>47.360000</v>
      </c>
    </row>
    <row r="5852" spans="1:9">
      <c r="A5852" s="22" t="str">
        <f>HYPERLINK("https://app.vivvix.com/360/KMI/IntelliDrive/ApplUI/Pages/CreativePages/CustomReportCreativeDetail.aspx?App=23&amp;ReportView=4&amp;Qid=1711279&amp;Row=5844&amp;Col=1","No Title Assigned - #15269775371")</f>
        <v/>
      </c>
      <c r="B5852" s="0" t="s">
        <v>7798</v>
      </c>
      <c r="E5852" s="0" t="inlineStr">
        <is>
          <t xml:space="preserve">Mazda</t>
        </is>
      </c>
      <c r="F5852" s="0" t="inlineStr">
        <is>
          <t xml:space="preserve">Mazda</t>
        </is>
      </c>
      <c r="G5852" s="0" t="s">
        <v>171</v>
      </c>
      <c r="H5852" s="5">
        <v>74.180800</v>
      </c>
    </row>
    <row r="5853" spans="1:9">
      <c r="A5853" s="22" t="str">
        <f>HYPERLINK("https://app.vivvix.com/360/KMI/IntelliDrive/ApplUI/Pages/CreativePages/CustomReportCreativeDetail.aspx?App=23&amp;ReportView=4&amp;Qid=1711279&amp;Row=5845&amp;Col=1","No Title Assigned - #15269775957")</f>
        <v/>
      </c>
      <c r="B5853" s="0" t="s">
        <v>7799</v>
      </c>
      <c r="E5853" s="0" t="inlineStr">
        <is>
          <t xml:space="preserve">Mazda</t>
        </is>
      </c>
      <c r="F5853" s="0" t="inlineStr">
        <is>
          <t xml:space="preserve">Mazda</t>
        </is>
      </c>
      <c r="G5853" s="0" t="s">
        <v>171</v>
      </c>
      <c r="H5853" s="5">
        <v>70.908200</v>
      </c>
    </row>
    <row r="5854" spans="1:9">
      <c r="A5854" s="22" t="str">
        <f>HYPERLINK("https://app.vivvix.com/360/KMI/IntelliDrive/ApplUI/Pages/CreativePages/CustomReportCreativeDetail.aspx?App=23&amp;ReportView=4&amp;Qid=1711279&amp;Row=5846&amp;Col=1","No Title Assigned - #15269776183")</f>
        <v/>
      </c>
      <c r="B5854" s="0" t="s">
        <v>7800</v>
      </c>
      <c r="E5854" s="0" t="inlineStr">
        <is>
          <t xml:space="preserve">Mazda</t>
        </is>
      </c>
      <c r="F5854" s="0" t="inlineStr">
        <is>
          <t xml:space="preserve">Mazda</t>
        </is>
      </c>
      <c r="G5854" s="0" t="s">
        <v>171</v>
      </c>
      <c r="H5854" s="5">
        <v>324.047100</v>
      </c>
    </row>
    <row r="5855" spans="1:9">
      <c r="A5855" s="22" t="str">
        <f>HYPERLINK("https://app.vivvix.com/360/KMI/IntelliDrive/ApplUI/Pages/CreativePages/CustomReportCreativeDetail.aspx?App=23&amp;ReportView=4&amp;Qid=1711279&amp;Row=5847&amp;Col=1","No Title Assigned - #15269776389")</f>
        <v/>
      </c>
      <c r="B5855" s="0" t="s">
        <v>7801</v>
      </c>
      <c r="E5855" s="0" t="inlineStr">
        <is>
          <t xml:space="preserve">Mazda</t>
        </is>
      </c>
      <c r="F5855" s="0" t="inlineStr">
        <is>
          <t xml:space="preserve">Mazda</t>
        </is>
      </c>
      <c r="G5855" s="0" t="s">
        <v>171</v>
      </c>
      <c r="H5855" s="5">
        <v>924.093800</v>
      </c>
    </row>
    <row r="5856" spans="1:9">
      <c r="A5856" s="22" t="str">
        <f>HYPERLINK("https://app.vivvix.com/360/KMI/IntelliDrive/ApplUI/Pages/CreativePages/CustomReportCreativeDetail.aspx?App=23&amp;ReportView=4&amp;Qid=1711279&amp;Row=5848&amp;Col=1","No Title Assigned - #15269776460")</f>
        <v/>
      </c>
      <c r="B5856" s="0" t="s">
        <v>7802</v>
      </c>
      <c r="E5856" s="0" t="inlineStr">
        <is>
          <t xml:space="preserve">Mazda</t>
        </is>
      </c>
      <c r="F5856" s="0" t="inlineStr">
        <is>
          <t xml:space="preserve">Mazda</t>
        </is>
      </c>
      <c r="G5856" s="0" t="s">
        <v>171</v>
      </c>
      <c r="H5856" s="5">
        <v>6.177900</v>
      </c>
    </row>
    <row r="5857" spans="1:9">
      <c r="A5857" s="22" t="str">
        <f>HYPERLINK("https://app.vivvix.com/360/KMI/IntelliDrive/ApplUI/Pages/CreativePages/CustomReportCreativeDetail.aspx?App=23&amp;ReportView=4&amp;Qid=1711279&amp;Row=5849&amp;Col=1","No Title Assigned - #15269777330")</f>
        <v/>
      </c>
      <c r="B5857" s="0" t="s">
        <v>7803</v>
      </c>
      <c r="E5857" s="0" t="inlineStr">
        <is>
          <t xml:space="preserve">Mazda</t>
        </is>
      </c>
      <c r="F5857" s="0" t="inlineStr">
        <is>
          <t xml:space="preserve">Mazda</t>
        </is>
      </c>
      <c r="G5857" s="0" t="s">
        <v>171</v>
      </c>
      <c r="H5857" s="5">
        <v>806.616700</v>
      </c>
    </row>
    <row r="5858" spans="1:9">
      <c r="A5858" s="22" t="str">
        <f>HYPERLINK("https://app.vivvix.com/360/KMI/IntelliDrive/ApplUI/Pages/CreativePages/CustomReportCreativeDetail.aspx?App=23&amp;ReportView=4&amp;Qid=1711279&amp;Row=5850&amp;Col=1","No Title Assigned - #15269777839")</f>
        <v/>
      </c>
      <c r="B5858" s="0" t="s">
        <v>7804</v>
      </c>
      <c r="E5858" s="0" t="inlineStr">
        <is>
          <t xml:space="preserve">Mazda</t>
        </is>
      </c>
      <c r="F5858" s="0" t="s">
        <v>13</v>
      </c>
      <c r="G5858" s="0" t="s">
        <v>49</v>
      </c>
      <c r="H5858" s="5">
        <v>113.603500</v>
      </c>
    </row>
    <row r="5859" spans="1:9">
      <c r="A5859" s="22" t="str">
        <f>HYPERLINK("https://app.vivvix.com/360/KMI/IntelliDrive/ApplUI/Pages/CreativePages/CustomReportCreativeDetail.aspx?App=23&amp;ReportView=4&amp;Qid=1711279&amp;Row=5851&amp;Col=1","No Title Assigned - #15269777839")</f>
        <v/>
      </c>
      <c r="B5859" s="0" t="s">
        <v>7804</v>
      </c>
      <c r="C5859" s="0" t="s">
        <v>7805</v>
      </c>
      <c r="D5859" s="0" t="s">
        <v>7805</v>
      </c>
      <c r="E5859" s="0" t="inlineStr">
        <is>
          <t xml:space="preserve">Mazda</t>
        </is>
      </c>
      <c r="F5859" s="0" t="s">
        <v>13</v>
      </c>
      <c r="G5859" s="0" t="s">
        <v>49</v>
      </c>
      <c r="H5859" s="5">
        <v>64.105600</v>
      </c>
    </row>
    <row r="5860" spans="1:9">
      <c r="A5860" s="22" t="str">
        <f>HYPERLINK("https://app.vivvix.com/360/KMI/IntelliDrive/ApplUI/Pages/CreativePages/CustomReportCreativeDetail.aspx?App=23&amp;ReportView=4&amp;Qid=1711279&amp;Row=5852&amp;Col=1","No Title Assigned - #15269778063")</f>
        <v/>
      </c>
      <c r="B5860" s="0" t="s">
        <v>7806</v>
      </c>
      <c r="E5860" s="0" t="inlineStr">
        <is>
          <t xml:space="preserve">Mazda</t>
        </is>
      </c>
      <c r="F5860" s="0" t="inlineStr">
        <is>
          <t xml:space="preserve">Mazda</t>
        </is>
      </c>
      <c r="G5860" s="0" t="s">
        <v>171</v>
      </c>
      <c r="H5860" s="5">
        <v>563.278300</v>
      </c>
    </row>
    <row r="5861" spans="1:9">
      <c r="A5861" s="22" t="str">
        <f>HYPERLINK("https://app.vivvix.com/360/KMI/IntelliDrive/ApplUI/Pages/CreativePages/CustomReportCreativeDetail.aspx?App=23&amp;ReportView=4&amp;Qid=1711279&amp;Row=5853&amp;Col=1","No Title Assigned - #15269778063")</f>
        <v/>
      </c>
      <c r="B5861" s="0" t="s">
        <v>7806</v>
      </c>
      <c r="C5861" s="0" t="s">
        <v>7807</v>
      </c>
      <c r="D5861" s="0" t="s">
        <v>7807</v>
      </c>
      <c r="E5861" s="0" t="inlineStr">
        <is>
          <t xml:space="preserve">Mazda</t>
        </is>
      </c>
      <c r="F5861" s="0" t="inlineStr">
        <is>
          <t xml:space="preserve">Mazda</t>
        </is>
      </c>
      <c r="G5861" s="0" t="s">
        <v>171</v>
      </c>
      <c r="H5861" s="5">
        <v>7942.499800</v>
      </c>
    </row>
    <row r="5862" spans="1:9">
      <c r="A5862" s="22" t="str">
        <f>HYPERLINK("https://app.vivvix.com/360/KMI/IntelliDrive/ApplUI/Pages/CreativePages/CustomReportCreativeDetail.aspx?App=23&amp;ReportView=4&amp;Qid=1711279&amp;Row=5854&amp;Col=1","No Title Assigned - #15269778096")</f>
        <v/>
      </c>
      <c r="B5862" s="0" t="s">
        <v>7808</v>
      </c>
      <c r="E5862" s="0" t="inlineStr">
        <is>
          <t xml:space="preserve">Mazda</t>
        </is>
      </c>
      <c r="F5862" s="0" t="inlineStr">
        <is>
          <t xml:space="preserve">Mazda</t>
        </is>
      </c>
      <c r="G5862" s="0" t="s">
        <v>171</v>
      </c>
      <c r="H5862" s="5">
        <v>2360.893000</v>
      </c>
    </row>
    <row r="5863" spans="1:9">
      <c r="A5863" s="22" t="str">
        <f>HYPERLINK("https://app.vivvix.com/360/KMI/IntelliDrive/ApplUI/Pages/CreativePages/CustomReportCreativeDetail.aspx?App=23&amp;ReportView=4&amp;Qid=1711279&amp;Row=5855&amp;Col=1","No Title Assigned - #15269778096")</f>
        <v/>
      </c>
      <c r="B5863" s="0" t="s">
        <v>7808</v>
      </c>
      <c r="E5863" s="0" t="inlineStr">
        <is>
          <t xml:space="preserve">Mazda</t>
        </is>
      </c>
      <c r="F5863" s="0" t="inlineStr">
        <is>
          <t xml:space="preserve">Mazda</t>
        </is>
      </c>
      <c r="G5863" s="0" t="s">
        <v>171</v>
      </c>
      <c r="H5863" s="5">
        <v>5395.205100</v>
      </c>
    </row>
    <row r="5864" spans="1:9">
      <c r="A5864" s="22" t="str">
        <f>HYPERLINK("https://app.vivvix.com/360/KMI/IntelliDrive/ApplUI/Pages/CreativePages/CustomReportCreativeDetail.aspx?App=23&amp;ReportView=4&amp;Qid=1711279&amp;Row=5856&amp;Col=1","No Title Assigned - #15269778270")</f>
        <v/>
      </c>
      <c r="B5864" s="0" t="s">
        <v>7809</v>
      </c>
      <c r="E5864" s="0" t="inlineStr">
        <is>
          <t xml:space="preserve">Mazda</t>
        </is>
      </c>
      <c r="F5864" s="0" t="inlineStr">
        <is>
          <t xml:space="preserve">Mazda</t>
        </is>
      </c>
      <c r="G5864" s="0" t="s">
        <v>171</v>
      </c>
      <c r="H5864" s="5">
        <v>49.352700</v>
      </c>
    </row>
    <row r="5865" spans="1:9">
      <c r="A5865" s="22" t="str">
        <f>HYPERLINK("https://app.vivvix.com/360/KMI/IntelliDrive/ApplUI/Pages/CreativePages/CustomReportCreativeDetail.aspx?App=23&amp;ReportView=4&amp;Qid=1711279&amp;Row=5857&amp;Col=1","No Title Assigned - #15269778391")</f>
        <v/>
      </c>
      <c r="B5865" s="0" t="s">
        <v>7810</v>
      </c>
      <c r="E5865" s="0" t="inlineStr">
        <is>
          <t xml:space="preserve">Mazda</t>
        </is>
      </c>
      <c r="F5865" s="0" t="inlineStr">
        <is>
          <t xml:space="preserve">Mazda</t>
        </is>
      </c>
      <c r="G5865" s="0" t="s">
        <v>171</v>
      </c>
      <c r="H5865" s="5">
        <v>70.992600</v>
      </c>
    </row>
    <row r="5866" spans="1:9">
      <c r="A5866" s="22" t="str">
        <f>HYPERLINK("https://app.vivvix.com/360/KMI/IntelliDrive/ApplUI/Pages/CreativePages/CustomReportCreativeDetail.aspx?App=23&amp;ReportView=4&amp;Qid=1711279&amp;Row=5858&amp;Col=1","No Title Assigned - #15269778652")</f>
        <v/>
      </c>
      <c r="B5866" s="0" t="s">
        <v>7811</v>
      </c>
      <c r="E5866" s="0" t="inlineStr">
        <is>
          <t xml:space="preserve">Mazda</t>
        </is>
      </c>
      <c r="F5866" s="0" t="inlineStr">
        <is>
          <t xml:space="preserve">Mazda</t>
        </is>
      </c>
      <c r="G5866" s="0" t="s">
        <v>171</v>
      </c>
      <c r="H5866" s="5">
        <v>30.006500</v>
      </c>
    </row>
    <row r="5867" spans="1:9">
      <c r="A5867" s="22" t="str">
        <f>HYPERLINK("https://app.vivvix.com/360/KMI/IntelliDrive/ApplUI/Pages/CreativePages/CustomReportCreativeDetail.aspx?App=23&amp;ReportView=4&amp;Qid=1711279&amp;Row=5859&amp;Col=1","No Title Assigned - #15269778720")</f>
        <v/>
      </c>
      <c r="B5867" s="0" t="s">
        <v>7812</v>
      </c>
      <c r="E5867" s="0" t="inlineStr">
        <is>
          <t xml:space="preserve">Mazda</t>
        </is>
      </c>
      <c r="F5867" s="0" t="inlineStr">
        <is>
          <t xml:space="preserve">Mazda</t>
        </is>
      </c>
      <c r="G5867" s="0" t="s">
        <v>171</v>
      </c>
      <c r="H5867" s="5">
        <v>18.001400</v>
      </c>
    </row>
    <row r="5868" spans="1:9">
      <c r="A5868" s="22" t="str">
        <f>HYPERLINK("https://app.vivvix.com/360/KMI/IntelliDrive/ApplUI/Pages/CreativePages/CustomReportCreativeDetail.aspx?App=23&amp;ReportView=4&amp;Qid=1711279&amp;Row=5860&amp;Col=1","No Title Assigned - #15269778891")</f>
        <v/>
      </c>
      <c r="B5868" s="0" t="s">
        <v>7813</v>
      </c>
      <c r="E5868" s="0" t="inlineStr">
        <is>
          <t xml:space="preserve">Mazda</t>
        </is>
      </c>
      <c r="F5868" s="0" t="inlineStr">
        <is>
          <t xml:space="preserve">Mazda</t>
        </is>
      </c>
      <c r="G5868" s="0" t="s">
        <v>171</v>
      </c>
      <c r="H5868" s="5">
        <v>36.894700</v>
      </c>
    </row>
    <row r="5869" spans="1:9">
      <c r="A5869" s="22" t="str">
        <f>HYPERLINK("https://app.vivvix.com/360/KMI/IntelliDrive/ApplUI/Pages/CreativePages/CustomReportCreativeDetail.aspx?App=23&amp;ReportView=4&amp;Qid=1711279&amp;Row=5861&amp;Col=1","No Title Assigned - #15269779512")</f>
        <v/>
      </c>
      <c r="B5869" s="0" t="s">
        <v>7814</v>
      </c>
      <c r="E5869" s="0" t="inlineStr">
        <is>
          <t xml:space="preserve">Mazda</t>
        </is>
      </c>
      <c r="F5869" s="0" t="inlineStr">
        <is>
          <t xml:space="preserve">Mazda</t>
        </is>
      </c>
      <c r="G5869" s="0" t="s">
        <v>171</v>
      </c>
      <c r="H5869" s="5">
        <v>151.488500</v>
      </c>
    </row>
    <row r="5870" spans="1:9">
      <c r="A5870" s="22" t="str">
        <f>HYPERLINK("https://app.vivvix.com/360/KMI/IntelliDrive/ApplUI/Pages/CreativePages/CustomReportCreativeDetail.aspx?App=23&amp;ReportView=4&amp;Qid=1711279&amp;Row=5862&amp;Col=1","No Title Assigned - #15269779921")</f>
        <v/>
      </c>
      <c r="B5870" s="0" t="s">
        <v>7815</v>
      </c>
      <c r="E5870" s="0" t="inlineStr">
        <is>
          <t xml:space="preserve">Mazda</t>
        </is>
      </c>
      <c r="F5870" s="0" t="inlineStr">
        <is>
          <t xml:space="preserve">Mazda</t>
        </is>
      </c>
      <c r="G5870" s="0" t="s">
        <v>171</v>
      </c>
      <c r="H5870" s="5">
        <v>130.337000</v>
      </c>
    </row>
    <row r="5871" spans="1:9">
      <c r="A5871" s="22" t="str">
        <f>HYPERLINK("https://app.vivvix.com/360/KMI/IntelliDrive/ApplUI/Pages/CreativePages/CustomReportCreativeDetail.aspx?App=23&amp;ReportView=4&amp;Qid=1711279&amp;Row=5863&amp;Col=1","No Title Assigned - #15269780122")</f>
        <v/>
      </c>
      <c r="B5871" s="0" t="s">
        <v>7816</v>
      </c>
      <c r="E5871" s="0" t="inlineStr">
        <is>
          <t xml:space="preserve">Mazda</t>
        </is>
      </c>
      <c r="F5871" s="0" t="inlineStr">
        <is>
          <t xml:space="preserve">Mazda</t>
        </is>
      </c>
      <c r="G5871" s="0" t="s">
        <v>171</v>
      </c>
      <c r="H5871" s="5">
        <v>16.207700</v>
      </c>
    </row>
    <row r="5872" spans="1:9">
      <c r="A5872" s="22" t="str">
        <f>HYPERLINK("https://app.vivvix.com/360/KMI/IntelliDrive/ApplUI/Pages/CreativePages/CustomReportCreativeDetail.aspx?App=23&amp;ReportView=4&amp;Qid=1711279&amp;Row=5864&amp;Col=1","No Title Assigned - #15269780242")</f>
        <v/>
      </c>
      <c r="B5872" s="0" t="s">
        <v>7817</v>
      </c>
      <c r="E5872" s="0" t="inlineStr">
        <is>
          <t xml:space="preserve">Mazda</t>
        </is>
      </c>
      <c r="F5872" s="0" t="inlineStr">
        <is>
          <t xml:space="preserve">Mazda</t>
        </is>
      </c>
      <c r="G5872" s="0" t="s">
        <v>171</v>
      </c>
      <c r="H5872" s="5">
        <v>315.071300</v>
      </c>
    </row>
    <row r="5873" spans="1:9">
      <c r="A5873" s="22" t="str">
        <f>HYPERLINK("https://app.vivvix.com/360/KMI/IntelliDrive/ApplUI/Pages/CreativePages/CustomReportCreativeDetail.aspx?App=23&amp;ReportView=4&amp;Qid=1711279&amp;Row=5865&amp;Col=1","No Title Assigned - #15269780274")</f>
        <v/>
      </c>
      <c r="B5873" s="0" t="s">
        <v>7818</v>
      </c>
      <c r="E5873" s="0" t="inlineStr">
        <is>
          <t xml:space="preserve">Mazda</t>
        </is>
      </c>
      <c r="F5873" s="0" t="inlineStr">
        <is>
          <t xml:space="preserve">Mazda</t>
        </is>
      </c>
      <c r="G5873" s="0" t="s">
        <v>171</v>
      </c>
      <c r="H5873" s="5">
        <v>39.927000</v>
      </c>
    </row>
    <row r="5874" spans="1:9">
      <c r="A5874" s="22" t="str">
        <f>HYPERLINK("https://app.vivvix.com/360/KMI/IntelliDrive/ApplUI/Pages/CreativePages/CustomReportCreativeDetail.aspx?App=23&amp;ReportView=4&amp;Qid=1711279&amp;Row=5866&amp;Col=1","No Title Assigned - #15269780319")</f>
        <v/>
      </c>
      <c r="B5874" s="0" t="s">
        <v>7819</v>
      </c>
      <c r="E5874" s="0" t="inlineStr">
        <is>
          <t xml:space="preserve">Mazda</t>
        </is>
      </c>
      <c r="F5874" s="0" t="inlineStr">
        <is>
          <t xml:space="preserve">Mazda</t>
        </is>
      </c>
      <c r="G5874" s="0" t="s">
        <v>171</v>
      </c>
      <c r="H5874" s="5">
        <v>12.157100</v>
      </c>
    </row>
    <row r="5875" spans="1:9">
      <c r="A5875" s="22" t="str">
        <f>HYPERLINK("https://app.vivvix.com/360/KMI/IntelliDrive/ApplUI/Pages/CreativePages/CustomReportCreativeDetail.aspx?App=23&amp;ReportView=4&amp;Qid=1711279&amp;Row=5867&amp;Col=1","No Title Assigned - #15269780834")</f>
        <v/>
      </c>
      <c r="B5875" s="0" t="s">
        <v>7820</v>
      </c>
      <c r="E5875" s="0" t="inlineStr">
        <is>
          <t xml:space="preserve">Mazda</t>
        </is>
      </c>
      <c r="F5875" s="0" t="inlineStr">
        <is>
          <t xml:space="preserve">Mazda</t>
        </is>
      </c>
      <c r="G5875" s="0" t="s">
        <v>171</v>
      </c>
      <c r="H5875" s="5">
        <v>15.911500</v>
      </c>
    </row>
    <row r="5876" spans="1:9">
      <c r="A5876" s="22" t="str">
        <f>HYPERLINK("https://app.vivvix.com/360/KMI/IntelliDrive/ApplUI/Pages/CreativePages/CustomReportCreativeDetail.aspx?App=23&amp;ReportView=4&amp;Qid=1711279&amp;Row=5868&amp;Col=1","No Title Assigned - #15269781135")</f>
        <v/>
      </c>
      <c r="B5876" s="0" t="s">
        <v>7821</v>
      </c>
      <c r="C5876" s="0" t="s">
        <v>7822</v>
      </c>
      <c r="D5876" s="0" t="s">
        <v>7822</v>
      </c>
      <c r="E5876" s="0" t="inlineStr">
        <is>
          <t xml:space="preserve">Mazda</t>
        </is>
      </c>
      <c r="F5876" s="0" t="inlineStr">
        <is>
          <t xml:space="preserve">Mazda</t>
        </is>
      </c>
      <c r="G5876" s="0" t="s">
        <v>171</v>
      </c>
      <c r="H5876" s="5">
        <v>45.942500</v>
      </c>
    </row>
    <row r="5877" spans="1:9">
      <c r="A5877" s="22" t="str">
        <f>HYPERLINK("https://app.vivvix.com/360/KMI/IntelliDrive/ApplUI/Pages/CreativePages/CustomReportCreativeDetail.aspx?App=23&amp;ReportView=4&amp;Qid=1711279&amp;Row=5869&amp;Col=1","No Title Assigned - #15269781256")</f>
        <v/>
      </c>
      <c r="B5877" s="0" t="s">
        <v>7823</v>
      </c>
      <c r="E5877" s="0" t="inlineStr">
        <is>
          <t xml:space="preserve">Mazda</t>
        </is>
      </c>
      <c r="F5877" s="0" t="inlineStr">
        <is>
          <t xml:space="preserve">Mazda</t>
        </is>
      </c>
      <c r="G5877" s="0" t="s">
        <v>171</v>
      </c>
      <c r="H5877" s="5">
        <v>55.542100</v>
      </c>
    </row>
    <row r="5878" spans="1:9">
      <c r="A5878" s="22" t="str">
        <f>HYPERLINK("https://app.vivvix.com/360/KMI/IntelliDrive/ApplUI/Pages/CreativePages/CustomReportCreativeDetail.aspx?App=23&amp;ReportView=4&amp;Qid=1711279&amp;Row=5870&amp;Col=1","No Title Assigned - #15269781257")</f>
        <v/>
      </c>
      <c r="B5878" s="0" t="s">
        <v>7824</v>
      </c>
      <c r="E5878" s="0" t="inlineStr">
        <is>
          <t xml:space="preserve">Mazda</t>
        </is>
      </c>
      <c r="F5878" s="0" t="inlineStr">
        <is>
          <t xml:space="preserve">Mazda</t>
        </is>
      </c>
      <c r="G5878" s="0" t="s">
        <v>171</v>
      </c>
      <c r="H5878" s="5">
        <v>31.975200</v>
      </c>
    </row>
    <row r="5879" spans="1:9">
      <c r="A5879" s="22" t="str">
        <f>HYPERLINK("https://app.vivvix.com/360/KMI/IntelliDrive/ApplUI/Pages/CreativePages/CustomReportCreativeDetail.aspx?App=23&amp;ReportView=4&amp;Qid=1711279&amp;Row=5871&amp;Col=1","No Title Assigned - #15269781398")</f>
        <v/>
      </c>
      <c r="B5879" s="0" t="s">
        <v>7825</v>
      </c>
      <c r="E5879" s="0" t="inlineStr">
        <is>
          <t xml:space="preserve">Mazda</t>
        </is>
      </c>
      <c r="F5879" s="0" t="inlineStr">
        <is>
          <t xml:space="preserve">Mazda</t>
        </is>
      </c>
      <c r="G5879" s="0" t="s">
        <v>171</v>
      </c>
      <c r="H5879" s="5">
        <v>288.954700</v>
      </c>
    </row>
    <row r="5880" spans="1:9">
      <c r="A5880" s="22" t="str">
        <f>HYPERLINK("https://app.vivvix.com/360/KMI/IntelliDrive/ApplUI/Pages/CreativePages/CustomReportCreativeDetail.aspx?App=23&amp;ReportView=4&amp;Qid=1711279&amp;Row=5872&amp;Col=1","No Title Assigned - #15269781398")</f>
        <v/>
      </c>
      <c r="B5880" s="0" t="s">
        <v>7825</v>
      </c>
      <c r="E5880" s="0" t="inlineStr">
        <is>
          <t xml:space="preserve">Mazda</t>
        </is>
      </c>
      <c r="F5880" s="0" t="inlineStr">
        <is>
          <t xml:space="preserve">Mazda</t>
        </is>
      </c>
      <c r="G5880" s="0" t="s">
        <v>171</v>
      </c>
      <c r="H5880" s="5">
        <v>296.621500</v>
      </c>
    </row>
    <row r="5881" spans="1:9">
      <c r="A5881" s="22" t="str">
        <f>HYPERLINK("https://app.vivvix.com/360/KMI/IntelliDrive/ApplUI/Pages/CreativePages/CustomReportCreativeDetail.aspx?App=23&amp;ReportView=4&amp;Qid=1711279&amp;Row=5873&amp;Col=1","No Title Assigned - #15269781659")</f>
        <v/>
      </c>
      <c r="B5881" s="0" t="s">
        <v>7826</v>
      </c>
      <c r="E5881" s="0" t="inlineStr">
        <is>
          <t xml:space="preserve">Mazda</t>
        </is>
      </c>
      <c r="F5881" s="0" t="inlineStr">
        <is>
          <t xml:space="preserve">Mazda</t>
        </is>
      </c>
      <c r="G5881" s="0" t="s">
        <v>171</v>
      </c>
      <c r="H5881" s="5">
        <v>237.823500</v>
      </c>
    </row>
    <row r="5882" spans="1:9">
      <c r="A5882" s="22" t="str">
        <f>HYPERLINK("https://app.vivvix.com/360/KMI/IntelliDrive/ApplUI/Pages/CreativePages/CustomReportCreativeDetail.aspx?App=23&amp;ReportView=4&amp;Qid=1711279&amp;Row=5874&amp;Col=1","No Title Assigned - #15269781689")</f>
        <v/>
      </c>
      <c r="B5882" s="0" t="s">
        <v>7827</v>
      </c>
      <c r="E5882" s="0" t="inlineStr">
        <is>
          <t xml:space="preserve">Mazda</t>
        </is>
      </c>
      <c r="F5882" s="0" t="inlineStr">
        <is>
          <t xml:space="preserve">Mazda</t>
        </is>
      </c>
      <c r="G5882" s="0" t="s">
        <v>171</v>
      </c>
      <c r="H5882" s="5">
        <v>346.201900</v>
      </c>
    </row>
    <row r="5883" spans="1:9">
      <c r="A5883" s="22" t="str">
        <f>HYPERLINK("https://app.vivvix.com/360/KMI/IntelliDrive/ApplUI/Pages/CreativePages/CustomReportCreativeDetail.aspx?App=23&amp;ReportView=4&amp;Qid=1711279&amp;Row=5875&amp;Col=1","No Title Assigned - #15269781689")</f>
        <v/>
      </c>
      <c r="B5883" s="0" t="s">
        <v>7827</v>
      </c>
      <c r="E5883" s="0" t="inlineStr">
        <is>
          <t xml:space="preserve">Mazda</t>
        </is>
      </c>
      <c r="F5883" s="0" t="inlineStr">
        <is>
          <t xml:space="preserve">Mazda</t>
        </is>
      </c>
      <c r="G5883" s="0" t="s">
        <v>171</v>
      </c>
      <c r="H5883" s="5">
        <v>151.003500</v>
      </c>
    </row>
    <row r="5884" spans="1:9">
      <c r="A5884" s="22" t="str">
        <f>HYPERLINK("https://app.vivvix.com/360/KMI/IntelliDrive/ApplUI/Pages/CreativePages/CustomReportCreativeDetail.aspx?App=23&amp;ReportView=4&amp;Qid=1711279&amp;Row=5876&amp;Col=1","No Title Assigned - #15269781967")</f>
        <v/>
      </c>
      <c r="B5884" s="0" t="s">
        <v>7828</v>
      </c>
      <c r="E5884" s="0" t="inlineStr">
        <is>
          <t xml:space="preserve">Mazda</t>
        </is>
      </c>
      <c r="F5884" s="0" t="inlineStr">
        <is>
          <t xml:space="preserve">Mazda</t>
        </is>
      </c>
      <c r="G5884" s="0" t="s">
        <v>171</v>
      </c>
      <c r="H5884" s="5">
        <v>30.912800</v>
      </c>
    </row>
    <row r="5885" spans="1:9">
      <c r="A5885" s="22" t="str">
        <f>HYPERLINK("https://app.vivvix.com/360/KMI/IntelliDrive/ApplUI/Pages/CreativePages/CustomReportCreativeDetail.aspx?App=23&amp;ReportView=4&amp;Qid=1711279&amp;Row=5877&amp;Col=1","No Title Assigned - #15269781968")</f>
        <v/>
      </c>
      <c r="B5885" s="0" t="s">
        <v>7829</v>
      </c>
      <c r="E5885" s="0" t="inlineStr">
        <is>
          <t xml:space="preserve">Mazda</t>
        </is>
      </c>
      <c r="F5885" s="0" t="inlineStr">
        <is>
          <t xml:space="preserve">Mazda</t>
        </is>
      </c>
      <c r="G5885" s="0" t="s">
        <v>171</v>
      </c>
      <c r="H5885" s="5">
        <v>125.030500</v>
      </c>
    </row>
    <row r="5886" spans="1:9">
      <c r="A5886" s="22" t="str">
        <f>HYPERLINK("https://app.vivvix.com/360/KMI/IntelliDrive/ApplUI/Pages/CreativePages/CustomReportCreativeDetail.aspx?App=23&amp;ReportView=4&amp;Qid=1711279&amp;Row=5878&amp;Col=1","No Title Assigned - #15269782064")</f>
        <v/>
      </c>
      <c r="B5886" s="0" t="s">
        <v>7830</v>
      </c>
      <c r="E5886" s="0" t="inlineStr">
        <is>
          <t xml:space="preserve">Mazda</t>
        </is>
      </c>
      <c r="F5886" s="0" t="inlineStr">
        <is>
          <t xml:space="preserve">Mazda</t>
        </is>
      </c>
      <c r="G5886" s="0" t="s">
        <v>171</v>
      </c>
      <c r="H5886" s="5">
        <v>57.346000</v>
      </c>
    </row>
    <row r="5887" spans="1:9">
      <c r="A5887" s="22" t="str">
        <f>HYPERLINK("https://app.vivvix.com/360/KMI/IntelliDrive/ApplUI/Pages/CreativePages/CustomReportCreativeDetail.aspx?App=23&amp;ReportView=4&amp;Qid=1711279&amp;Row=5879&amp;Col=1","No Title Assigned - #15269782190")</f>
        <v/>
      </c>
      <c r="B5887" s="0" t="s">
        <v>7831</v>
      </c>
      <c r="E5887" s="0" t="inlineStr">
        <is>
          <t xml:space="preserve">Mazda</t>
        </is>
      </c>
      <c r="F5887" s="0" t="inlineStr">
        <is>
          <t xml:space="preserve">Mazda</t>
        </is>
      </c>
      <c r="G5887" s="0" t="s">
        <v>171</v>
      </c>
      <c r="H5887" s="5">
        <v>20.322800</v>
      </c>
    </row>
    <row r="5888" spans="1:9">
      <c r="A5888" s="22" t="str">
        <f>HYPERLINK("https://app.vivvix.com/360/KMI/IntelliDrive/ApplUI/Pages/CreativePages/CustomReportCreativeDetail.aspx?App=23&amp;ReportView=4&amp;Qid=1711279&amp;Row=5880&amp;Col=1","No Title Assigned - #15269782271")</f>
        <v/>
      </c>
      <c r="B5888" s="0" t="s">
        <v>7832</v>
      </c>
      <c r="E5888" s="0" t="inlineStr">
        <is>
          <t xml:space="preserve">Mazda</t>
        </is>
      </c>
      <c r="F5888" s="0" t="inlineStr">
        <is>
          <t xml:space="preserve">Mazda</t>
        </is>
      </c>
      <c r="G5888" s="0" t="s">
        <v>171</v>
      </c>
      <c r="H5888" s="5">
        <v>28.953000</v>
      </c>
    </row>
    <row r="5889" spans="1:9">
      <c r="A5889" s="22" t="str">
        <f>HYPERLINK("https://app.vivvix.com/360/KMI/IntelliDrive/ApplUI/Pages/CreativePages/CustomReportCreativeDetail.aspx?App=23&amp;ReportView=4&amp;Qid=1711279&amp;Row=5881&amp;Col=1","No Title Assigned - #15269782901")</f>
        <v/>
      </c>
      <c r="B5889" s="0" t="s">
        <v>7833</v>
      </c>
      <c r="E5889" s="0" t="inlineStr">
        <is>
          <t xml:space="preserve">Mazda</t>
        </is>
      </c>
      <c r="F5889" s="0" t="inlineStr">
        <is>
          <t xml:space="preserve">Mazda</t>
        </is>
      </c>
      <c r="G5889" s="0" t="s">
        <v>171</v>
      </c>
      <c r="H5889" s="5">
        <v>393.523300</v>
      </c>
    </row>
    <row r="5890" spans="1:9">
      <c r="A5890" s="22" t="str">
        <f>HYPERLINK("https://app.vivvix.com/360/KMI/IntelliDrive/ApplUI/Pages/CreativePages/CustomReportCreativeDetail.aspx?App=23&amp;ReportView=4&amp;Qid=1711279&amp;Row=5882&amp;Col=1","No Title Assigned - #15269782901")</f>
        <v/>
      </c>
      <c r="B5890" s="0" t="s">
        <v>7833</v>
      </c>
      <c r="E5890" s="0" t="inlineStr">
        <is>
          <t xml:space="preserve">Mazda</t>
        </is>
      </c>
      <c r="F5890" s="0" t="inlineStr">
        <is>
          <t xml:space="preserve">Mazda</t>
        </is>
      </c>
      <c r="G5890" s="0" t="s">
        <v>171</v>
      </c>
      <c r="H5890" s="5">
        <v>785.731600</v>
      </c>
    </row>
    <row r="5891" spans="1:9">
      <c r="A5891" s="22" t="str">
        <f>HYPERLINK("https://app.vivvix.com/360/KMI/IntelliDrive/ApplUI/Pages/CreativePages/CustomReportCreativeDetail.aspx?App=23&amp;ReportView=4&amp;Qid=1711279&amp;Row=5883&amp;Col=1","No Title Assigned - #15269783430")</f>
        <v/>
      </c>
      <c r="B5891" s="0" t="s">
        <v>7834</v>
      </c>
      <c r="C5891" s="0" t="s">
        <v>7835</v>
      </c>
      <c r="D5891" s="0" t="s">
        <v>7835</v>
      </c>
      <c r="E5891" s="0" t="inlineStr">
        <is>
          <t xml:space="preserve">Mazda</t>
        </is>
      </c>
      <c r="F5891" s="0" t="inlineStr">
        <is>
          <t xml:space="preserve">Mazda</t>
        </is>
      </c>
      <c r="G5891" s="0" t="s">
        <v>171</v>
      </c>
      <c r="H5891" s="5">
        <v>1920.689200</v>
      </c>
    </row>
    <row r="5892" spans="1:9">
      <c r="A5892" s="22" t="str">
        <f>HYPERLINK("https://app.vivvix.com/360/KMI/IntelliDrive/ApplUI/Pages/CreativePages/CustomReportCreativeDetail.aspx?App=23&amp;ReportView=4&amp;Qid=1711279&amp;Row=5884&amp;Col=1","No Title Assigned - #15269783516")</f>
        <v/>
      </c>
      <c r="B5892" s="0" t="s">
        <v>7836</v>
      </c>
      <c r="E5892" s="0" t="inlineStr">
        <is>
          <t xml:space="preserve">Mazda</t>
        </is>
      </c>
      <c r="F5892" s="0" t="inlineStr">
        <is>
          <t xml:space="preserve">Mazda</t>
        </is>
      </c>
      <c r="G5892" s="0" t="s">
        <v>171</v>
      </c>
      <c r="H5892" s="5">
        <v>173.620400</v>
      </c>
    </row>
    <row r="5893" spans="1:9">
      <c r="A5893" s="22" t="str">
        <f>HYPERLINK("https://app.vivvix.com/360/KMI/IntelliDrive/ApplUI/Pages/CreativePages/CustomReportCreativeDetail.aspx?App=23&amp;ReportView=4&amp;Qid=1711279&amp;Row=5885&amp;Col=1","No Title Assigned - #15269783723")</f>
        <v/>
      </c>
      <c r="B5893" s="0" t="s">
        <v>7837</v>
      </c>
      <c r="E5893" s="0" t="inlineStr">
        <is>
          <t xml:space="preserve">Mazda</t>
        </is>
      </c>
      <c r="F5893" s="0" t="inlineStr">
        <is>
          <t xml:space="preserve">Mazda</t>
        </is>
      </c>
      <c r="G5893" s="0" t="s">
        <v>171</v>
      </c>
      <c r="H5893" s="5">
        <v>57.328900</v>
      </c>
    </row>
    <row r="5894" spans="1:9">
      <c r="A5894" s="22" t="str">
        <f>HYPERLINK("https://app.vivvix.com/360/KMI/IntelliDrive/ApplUI/Pages/CreativePages/CustomReportCreativeDetail.aspx?App=23&amp;ReportView=4&amp;Qid=1711279&amp;Row=5886&amp;Col=1","No Title Assigned - #15269783723")</f>
        <v/>
      </c>
      <c r="B5894" s="0" t="s">
        <v>7837</v>
      </c>
      <c r="E5894" s="0" t="inlineStr">
        <is>
          <t xml:space="preserve">Mazda</t>
        </is>
      </c>
      <c r="F5894" s="0" t="inlineStr">
        <is>
          <t xml:space="preserve">Mazda</t>
        </is>
      </c>
      <c r="G5894" s="0" t="s">
        <v>171</v>
      </c>
      <c r="H5894" s="5">
        <v>1297.948600</v>
      </c>
    </row>
    <row r="5895" spans="1:9">
      <c r="A5895" s="22" t="str">
        <f>HYPERLINK("https://app.vivvix.com/360/KMI/IntelliDrive/ApplUI/Pages/CreativePages/CustomReportCreativeDetail.aspx?App=23&amp;ReportView=4&amp;Qid=1711279&amp;Row=5887&amp;Col=1","No Title Assigned - #15269783826")</f>
        <v/>
      </c>
      <c r="B5895" s="0" t="s">
        <v>7838</v>
      </c>
      <c r="E5895" s="0" t="inlineStr">
        <is>
          <t xml:space="preserve">Mazda</t>
        </is>
      </c>
      <c r="F5895" s="0" t="inlineStr">
        <is>
          <t xml:space="preserve">Mazda</t>
        </is>
      </c>
      <c r="G5895" s="0" t="s">
        <v>171</v>
      </c>
      <c r="H5895" s="5">
        <v>704.176700</v>
      </c>
    </row>
    <row r="5896" spans="1:9">
      <c r="A5896" s="22" t="str">
        <f>HYPERLINK("https://app.vivvix.com/360/KMI/IntelliDrive/ApplUI/Pages/CreativePages/CustomReportCreativeDetail.aspx?App=23&amp;ReportView=4&amp;Qid=1711279&amp;Row=5888&amp;Col=1","No Title Assigned - #15269783833")</f>
        <v/>
      </c>
      <c r="B5896" s="0" t="s">
        <v>7839</v>
      </c>
      <c r="E5896" s="0" t="inlineStr">
        <is>
          <t xml:space="preserve">Mazda</t>
        </is>
      </c>
      <c r="F5896" s="0" t="inlineStr">
        <is>
          <t xml:space="preserve">Mazda</t>
        </is>
      </c>
      <c r="G5896" s="0" t="s">
        <v>171</v>
      </c>
      <c r="H5896" s="5">
        <v>48.641000</v>
      </c>
    </row>
    <row r="5897" spans="1:9">
      <c r="A5897" s="22" t="str">
        <f>HYPERLINK("https://app.vivvix.com/360/KMI/IntelliDrive/ApplUI/Pages/CreativePages/CustomReportCreativeDetail.aspx?App=23&amp;ReportView=4&amp;Qid=1711279&amp;Row=5889&amp;Col=1","No Title Assigned - #15269784432")</f>
        <v/>
      </c>
      <c r="B5897" s="0" t="s">
        <v>7840</v>
      </c>
      <c r="E5897" s="0" t="inlineStr">
        <is>
          <t xml:space="preserve">Mazda</t>
        </is>
      </c>
      <c r="F5897" s="0" t="inlineStr">
        <is>
          <t xml:space="preserve">Mazda</t>
        </is>
      </c>
      <c r="G5897" s="0" t="s">
        <v>171</v>
      </c>
      <c r="H5897" s="5">
        <v>3.423400</v>
      </c>
    </row>
    <row r="5898" spans="1:9">
      <c r="A5898" s="22" t="str">
        <f>HYPERLINK("https://app.vivvix.com/360/KMI/IntelliDrive/ApplUI/Pages/CreativePages/CustomReportCreativeDetail.aspx?App=23&amp;ReportView=4&amp;Qid=1711279&amp;Row=5890&amp;Col=1","No Title Assigned - #15269786426")</f>
        <v/>
      </c>
      <c r="B5898" s="0" t="s">
        <v>7841</v>
      </c>
      <c r="E5898" s="0" t="inlineStr">
        <is>
          <t xml:space="preserve">Mazda</t>
        </is>
      </c>
      <c r="F5898" s="0" t="inlineStr">
        <is>
          <t xml:space="preserve">Mazda</t>
        </is>
      </c>
      <c r="G5898" s="0" t="s">
        <v>171</v>
      </c>
      <c r="H5898" s="5">
        <v>149.955100</v>
      </c>
    </row>
    <row r="5899" spans="1:9">
      <c r="A5899" s="22" t="str">
        <f>HYPERLINK("https://app.vivvix.com/360/KMI/IntelliDrive/ApplUI/Pages/CreativePages/CustomReportCreativeDetail.aspx?App=23&amp;ReportView=4&amp;Qid=1711279&amp;Row=5891&amp;Col=1","No Title Assigned - #15269786866")</f>
        <v/>
      </c>
      <c r="B5899" s="0" t="s">
        <v>7842</v>
      </c>
      <c r="E5899" s="0" t="inlineStr">
        <is>
          <t xml:space="preserve">Mazda</t>
        </is>
      </c>
      <c r="F5899" s="0" t="inlineStr">
        <is>
          <t xml:space="preserve">Mazda</t>
        </is>
      </c>
      <c r="G5899" s="0" t="s">
        <v>171</v>
      </c>
      <c r="H5899" s="5">
        <v>438.701900</v>
      </c>
    </row>
    <row r="5900" spans="1:9">
      <c r="A5900" s="22" t="str">
        <f>HYPERLINK("https://app.vivvix.com/360/KMI/IntelliDrive/ApplUI/Pages/CreativePages/CustomReportCreativeDetail.aspx?App=23&amp;ReportView=4&amp;Qid=1711279&amp;Row=5892&amp;Col=1","No Title Assigned - #15269786991")</f>
        <v/>
      </c>
      <c r="B5900" s="0" t="s">
        <v>7843</v>
      </c>
      <c r="E5900" s="0" t="inlineStr">
        <is>
          <t xml:space="preserve">Mazda</t>
        </is>
      </c>
      <c r="F5900" s="0" t="inlineStr">
        <is>
          <t xml:space="preserve">Mazda</t>
        </is>
      </c>
      <c r="G5900" s="0" t="s">
        <v>171</v>
      </c>
      <c r="H5900" s="5">
        <v>52.739800</v>
      </c>
    </row>
    <row r="5901" spans="1:9">
      <c r="A5901" s="22" t="str">
        <f>HYPERLINK("https://app.vivvix.com/360/KMI/IntelliDrive/ApplUI/Pages/CreativePages/CustomReportCreativeDetail.aspx?App=23&amp;ReportView=4&amp;Qid=1711279&amp;Row=5893&amp;Col=1","No Title Assigned - #15269788558")</f>
        <v/>
      </c>
      <c r="B5901" s="0" t="s">
        <v>7844</v>
      </c>
      <c r="E5901" s="0" t="inlineStr">
        <is>
          <t xml:space="preserve">Mazda</t>
        </is>
      </c>
      <c r="F5901" s="0" t="inlineStr">
        <is>
          <t xml:space="preserve">Mazda</t>
        </is>
      </c>
      <c r="G5901" s="0" t="s">
        <v>171</v>
      </c>
      <c r="H5901" s="5">
        <v>19.917600</v>
      </c>
    </row>
    <row r="5902" spans="1:9">
      <c r="A5902" s="22" t="str">
        <f>HYPERLINK("https://app.vivvix.com/360/KMI/IntelliDrive/ApplUI/Pages/CreativePages/CustomReportCreativeDetail.aspx?App=23&amp;ReportView=4&amp;Qid=1711279&amp;Row=5894&amp;Col=1","No Title Assigned - #15269788928")</f>
        <v/>
      </c>
      <c r="B5902" s="0" t="s">
        <v>7845</v>
      </c>
      <c r="E5902" s="0" t="inlineStr">
        <is>
          <t xml:space="preserve">Mazda</t>
        </is>
      </c>
      <c r="F5902" s="0" t="inlineStr">
        <is>
          <t xml:space="preserve">Mazda</t>
        </is>
      </c>
      <c r="G5902" s="0" t="s">
        <v>171</v>
      </c>
      <c r="H5902" s="5">
        <v>544.436300</v>
      </c>
    </row>
    <row r="5903" spans="1:9">
      <c r="A5903" s="22" t="str">
        <f>HYPERLINK("https://app.vivvix.com/360/KMI/IntelliDrive/ApplUI/Pages/CreativePages/CustomReportCreativeDetail.aspx?App=23&amp;ReportView=4&amp;Qid=1711279&amp;Row=5895&amp;Col=1","No Title Assigned - #15269790603")</f>
        <v/>
      </c>
      <c r="B5903" s="0" t="s">
        <v>7846</v>
      </c>
      <c r="E5903" s="0" t="inlineStr">
        <is>
          <t xml:space="preserve">Mazda</t>
        </is>
      </c>
      <c r="F5903" s="0" t="inlineStr">
        <is>
          <t xml:space="preserve">Mazda</t>
        </is>
      </c>
      <c r="G5903" s="0" t="s">
        <v>171</v>
      </c>
      <c r="H5903" s="5">
        <v>15.123400</v>
      </c>
    </row>
    <row r="5904" spans="1:9">
      <c r="A5904" s="22" t="str">
        <f>HYPERLINK("https://app.vivvix.com/360/KMI/IntelliDrive/ApplUI/Pages/CreativePages/CustomReportCreativeDetail.aspx?App=23&amp;ReportView=4&amp;Qid=1711279&amp;Row=5896&amp;Col=1","No Title Assigned - #15269790603")</f>
        <v/>
      </c>
      <c r="B5904" s="0" t="s">
        <v>7846</v>
      </c>
      <c r="E5904" s="0" t="inlineStr">
        <is>
          <t xml:space="preserve">Mazda</t>
        </is>
      </c>
      <c r="F5904" s="0" t="inlineStr">
        <is>
          <t xml:space="preserve">Mazda</t>
        </is>
      </c>
      <c r="G5904" s="0" t="s">
        <v>171</v>
      </c>
      <c r="H5904" s="5">
        <v>72.584000</v>
      </c>
    </row>
    <row r="5905" spans="1:9">
      <c r="A5905" s="22" t="str">
        <f>HYPERLINK("https://app.vivvix.com/360/KMI/IntelliDrive/ApplUI/Pages/CreativePages/CustomReportCreativeDetail.aspx?App=23&amp;ReportView=4&amp;Qid=1711279&amp;Row=5897&amp;Col=1","No Title Assigned - #15269802501")</f>
        <v/>
      </c>
      <c r="B5905" s="0" t="s">
        <v>7847</v>
      </c>
      <c r="E5905" s="0" t="inlineStr">
        <is>
          <t xml:space="preserve">Mazda</t>
        </is>
      </c>
      <c r="F5905" s="0" t="inlineStr">
        <is>
          <t xml:space="preserve">Mazda</t>
        </is>
      </c>
      <c r="G5905" s="0" t="s">
        <v>171</v>
      </c>
      <c r="H5905" s="5">
        <v>23.260800</v>
      </c>
    </row>
    <row r="5906" spans="1:9">
      <c r="A5906" s="22" t="str">
        <f>HYPERLINK("https://app.vivvix.com/360/KMI/IntelliDrive/ApplUI/Pages/CreativePages/CustomReportCreativeDetail.aspx?App=23&amp;ReportView=4&amp;Qid=1711279&amp;Row=5898&amp;Col=1","No Title Assigned - #15269804006")</f>
        <v/>
      </c>
      <c r="B5906" s="0" t="s">
        <v>7848</v>
      </c>
      <c r="E5906" s="0" t="inlineStr">
        <is>
          <t xml:space="preserve">Mazda</t>
        </is>
      </c>
      <c r="F5906" s="0" t="inlineStr">
        <is>
          <t xml:space="preserve">Mazda</t>
        </is>
      </c>
      <c r="G5906" s="0" t="s">
        <v>171</v>
      </c>
      <c r="H5906" s="5">
        <v>4118.721900</v>
      </c>
    </row>
    <row r="5907" spans="1:9">
      <c r="A5907" s="22" t="str">
        <f>HYPERLINK("https://app.vivvix.com/360/KMI/IntelliDrive/ApplUI/Pages/CreativePages/CustomReportCreativeDetail.aspx?App=23&amp;ReportView=4&amp;Qid=1711279&amp;Row=5899&amp;Col=1","No Title Assigned - #15269804759")</f>
        <v/>
      </c>
      <c r="B5907" s="0" t="s">
        <v>7849</v>
      </c>
      <c r="E5907" s="0" t="inlineStr">
        <is>
          <t xml:space="preserve">Mazda</t>
        </is>
      </c>
      <c r="F5907" s="0" t="inlineStr">
        <is>
          <t xml:space="preserve">Mazda</t>
        </is>
      </c>
      <c r="G5907" s="0" t="s">
        <v>171</v>
      </c>
      <c r="H5907" s="5">
        <v>152.230800</v>
      </c>
    </row>
    <row r="5908" spans="1:9">
      <c r="A5908" s="22" t="str">
        <f>HYPERLINK("https://app.vivvix.com/360/KMI/IntelliDrive/ApplUI/Pages/CreativePages/CustomReportCreativeDetail.aspx?App=23&amp;ReportView=4&amp;Qid=1711279&amp;Row=5900&amp;Col=1","No Title Assigned - #15269804811")</f>
        <v/>
      </c>
      <c r="B5908" s="0" t="s">
        <v>7850</v>
      </c>
      <c r="E5908" s="0" t="inlineStr">
        <is>
          <t xml:space="preserve">Mazda</t>
        </is>
      </c>
      <c r="F5908" s="0" t="inlineStr">
        <is>
          <t xml:space="preserve">Mazda</t>
        </is>
      </c>
      <c r="G5908" s="0" t="s">
        <v>171</v>
      </c>
      <c r="H5908" s="5">
        <v>49.915800</v>
      </c>
    </row>
    <row r="5909" spans="1:9">
      <c r="A5909" s="22" t="str">
        <f>HYPERLINK("https://app.vivvix.com/360/KMI/IntelliDrive/ApplUI/Pages/CreativePages/CustomReportCreativeDetail.aspx?App=23&amp;ReportView=4&amp;Qid=1711279&amp;Row=5901&amp;Col=1","No Title Assigned - #15269805760")</f>
        <v/>
      </c>
      <c r="B5909" s="0" t="s">
        <v>7851</v>
      </c>
      <c r="C5909" s="0" t="s">
        <v>6929</v>
      </c>
      <c r="D5909" s="0" t="s">
        <v>6929</v>
      </c>
      <c r="E5909" s="0" t="inlineStr">
        <is>
          <t xml:space="preserve">Mazda</t>
        </is>
      </c>
      <c r="F5909" s="0" t="s">
        <v>28</v>
      </c>
      <c r="G5909" s="0" t="s">
        <v>29</v>
      </c>
      <c r="H5909" s="5">
        <v>6.265000</v>
      </c>
    </row>
    <row r="5910" spans="1:9">
      <c r="A5910" s="22" t="str">
        <f>HYPERLINK("https://app.vivvix.com/360/KMI/IntelliDrive/ApplUI/Pages/CreativePages/CustomReportCreativeDetail.aspx?App=23&amp;ReportView=4&amp;Qid=1711279&amp;Row=5902&amp;Col=1","No Title Assigned - #15269807209")</f>
        <v/>
      </c>
      <c r="B5910" s="0" t="s">
        <v>7852</v>
      </c>
      <c r="E5910" s="0" t="inlineStr">
        <is>
          <t xml:space="preserve">Mazda</t>
        </is>
      </c>
      <c r="F5910" s="0" t="inlineStr">
        <is>
          <t xml:space="preserve">Mazda</t>
        </is>
      </c>
      <c r="G5910" s="0" t="s">
        <v>171</v>
      </c>
      <c r="H5910" s="5">
        <v>103.454400</v>
      </c>
    </row>
    <row r="5911" spans="1:9">
      <c r="A5911" s="22" t="str">
        <f>HYPERLINK("https://app.vivvix.com/360/KMI/IntelliDrive/ApplUI/Pages/CreativePages/CustomReportCreativeDetail.aspx?App=23&amp;ReportView=4&amp;Qid=1711279&amp;Row=5903&amp;Col=1","No Title Assigned - #15269808425")</f>
        <v/>
      </c>
      <c r="B5911" s="0" t="s">
        <v>7853</v>
      </c>
      <c r="C5911" s="0" t="s">
        <v>7854</v>
      </c>
      <c r="D5911" s="0" t="s">
        <v>7854</v>
      </c>
      <c r="E5911" s="0" t="inlineStr">
        <is>
          <t xml:space="preserve">Mazda</t>
        </is>
      </c>
      <c r="F5911" s="0" t="inlineStr">
        <is>
          <t xml:space="preserve">Mazda</t>
        </is>
      </c>
      <c r="G5911" s="0" t="s">
        <v>171</v>
      </c>
      <c r="H5911" s="5">
        <v>52.079600</v>
      </c>
    </row>
    <row r="5912" spans="1:9">
      <c r="A5912" s="22" t="str">
        <f>HYPERLINK("https://app.vivvix.com/360/KMI/IntelliDrive/ApplUI/Pages/CreativePages/CustomReportCreativeDetail.aspx?App=23&amp;ReportView=4&amp;Qid=1711279&amp;Row=5904&amp;Col=1","No Title Assigned - #15269808735")</f>
        <v/>
      </c>
      <c r="B5912" s="0" t="s">
        <v>7855</v>
      </c>
      <c r="E5912" s="0" t="inlineStr">
        <is>
          <t xml:space="preserve">Mazda</t>
        </is>
      </c>
      <c r="F5912" s="0" t="inlineStr">
        <is>
          <t xml:space="preserve">Mazda</t>
        </is>
      </c>
      <c r="G5912" s="0" t="s">
        <v>171</v>
      </c>
      <c r="H5912" s="5">
        <v>832.825500</v>
      </c>
    </row>
    <row r="5913" spans="1:9">
      <c r="A5913" s="22" t="str">
        <f>HYPERLINK("https://app.vivvix.com/360/KMI/IntelliDrive/ApplUI/Pages/CreativePages/CustomReportCreativeDetail.aspx?App=23&amp;ReportView=4&amp;Qid=1711279&amp;Row=5905&amp;Col=1","No Title Assigned - #15269808779")</f>
        <v/>
      </c>
      <c r="B5913" s="0" t="s">
        <v>7856</v>
      </c>
      <c r="E5913" s="0" t="inlineStr">
        <is>
          <t xml:space="preserve">Mazda</t>
        </is>
      </c>
      <c r="F5913" s="0" t="inlineStr">
        <is>
          <t xml:space="preserve">Mazda</t>
        </is>
      </c>
      <c r="G5913" s="0" t="s">
        <v>171</v>
      </c>
      <c r="H5913" s="5">
        <v>44.837400</v>
      </c>
    </row>
    <row r="5914" spans="1:9">
      <c r="A5914" s="22" t="str">
        <f>HYPERLINK("https://app.vivvix.com/360/KMI/IntelliDrive/ApplUI/Pages/CreativePages/CustomReportCreativeDetail.aspx?App=23&amp;ReportView=4&amp;Qid=1711279&amp;Row=5906&amp;Col=1","No Title Assigned - #15269809293")</f>
        <v/>
      </c>
      <c r="B5914" s="0" t="s">
        <v>7857</v>
      </c>
      <c r="E5914" s="0" t="inlineStr">
        <is>
          <t xml:space="preserve">Mazda</t>
        </is>
      </c>
      <c r="F5914" s="0" t="inlineStr">
        <is>
          <t xml:space="preserve">Mazda</t>
        </is>
      </c>
      <c r="G5914" s="0" t="s">
        <v>171</v>
      </c>
      <c r="H5914" s="5">
        <v>92.380700</v>
      </c>
    </row>
    <row r="5915" spans="1:9">
      <c r="A5915" s="22" t="str">
        <f>HYPERLINK("https://app.vivvix.com/360/KMI/IntelliDrive/ApplUI/Pages/CreativePages/CustomReportCreativeDetail.aspx?App=23&amp;ReportView=4&amp;Qid=1711279&amp;Row=5907&amp;Col=1","No Title Assigned - #15269810357")</f>
        <v/>
      </c>
      <c r="B5915" s="0" t="s">
        <v>7858</v>
      </c>
      <c r="E5915" s="0" t="inlineStr">
        <is>
          <t xml:space="preserve">Mazda</t>
        </is>
      </c>
      <c r="F5915" s="0" t="inlineStr">
        <is>
          <t xml:space="preserve">Mazda</t>
        </is>
      </c>
      <c r="G5915" s="0" t="s">
        <v>171</v>
      </c>
      <c r="H5915" s="5">
        <v>110.371800</v>
      </c>
    </row>
    <row r="5916" spans="1:9">
      <c r="A5916" s="22" t="str">
        <f>HYPERLINK("https://app.vivvix.com/360/KMI/IntelliDrive/ApplUI/Pages/CreativePages/CustomReportCreativeDetail.aspx?App=23&amp;ReportView=4&amp;Qid=1711279&amp;Row=5908&amp;Col=1","No Title Assigned - #15269818714")</f>
        <v/>
      </c>
      <c r="B5916" s="0" t="s">
        <v>7859</v>
      </c>
      <c r="E5916" s="0" t="inlineStr">
        <is>
          <t xml:space="preserve">Mazda</t>
        </is>
      </c>
      <c r="F5916" s="0" t="inlineStr">
        <is>
          <t xml:space="preserve">Mazda</t>
        </is>
      </c>
      <c r="G5916" s="0" t="s">
        <v>171</v>
      </c>
      <c r="H5916" s="5">
        <v>173.217000</v>
      </c>
    </row>
    <row r="5917" spans="1:9">
      <c r="A5917" s="22" t="str">
        <f>HYPERLINK("https://app.vivvix.com/360/KMI/IntelliDrive/ApplUI/Pages/CreativePages/CustomReportCreativeDetail.aspx?App=23&amp;ReportView=4&amp;Qid=1711279&amp;Row=5909&amp;Col=1","No Title Assigned - #15269818734")</f>
        <v/>
      </c>
      <c r="B5917" s="0" t="s">
        <v>7860</v>
      </c>
      <c r="E5917" s="0" t="inlineStr">
        <is>
          <t xml:space="preserve">Mazda</t>
        </is>
      </c>
      <c r="F5917" s="0" t="inlineStr">
        <is>
          <t xml:space="preserve">Mazda</t>
        </is>
      </c>
      <c r="G5917" s="0" t="s">
        <v>171</v>
      </c>
      <c r="H5917" s="5">
        <v>1041.790400</v>
      </c>
    </row>
    <row r="5918" spans="1:9">
      <c r="A5918" s="22" t="str">
        <f>HYPERLINK("https://app.vivvix.com/360/KMI/IntelliDrive/ApplUI/Pages/CreativePages/CustomReportCreativeDetail.aspx?App=23&amp;ReportView=4&amp;Qid=1711279&amp;Row=5910&amp;Col=1","No Title Assigned - #15269819014")</f>
        <v/>
      </c>
      <c r="B5918" s="0" t="s">
        <v>7861</v>
      </c>
      <c r="C5918" s="0" t="s">
        <v>7862</v>
      </c>
      <c r="D5918" s="0" t="s">
        <v>7862</v>
      </c>
      <c r="E5918" s="0" t="inlineStr">
        <is>
          <t xml:space="preserve">Mazda</t>
        </is>
      </c>
      <c r="F5918" s="0" t="inlineStr">
        <is>
          <t xml:space="preserve">Mazda</t>
        </is>
      </c>
      <c r="G5918" s="0" t="s">
        <v>171</v>
      </c>
      <c r="H5918" s="5">
        <v>15866.740200</v>
      </c>
    </row>
    <row r="5919" spans="1:9">
      <c r="A5919" s="22" t="str">
        <f>HYPERLINK("https://app.vivvix.com/360/KMI/IntelliDrive/ApplUI/Pages/CreativePages/CustomReportCreativeDetail.aspx?App=23&amp;ReportView=4&amp;Qid=1711279&amp;Row=5911&amp;Col=1","No Title Assigned - #15269819232")</f>
        <v/>
      </c>
      <c r="B5919" s="0" t="s">
        <v>7863</v>
      </c>
      <c r="E5919" s="0" t="inlineStr">
        <is>
          <t xml:space="preserve">Mazda</t>
        </is>
      </c>
      <c r="F5919" s="0" t="inlineStr">
        <is>
          <t xml:space="preserve">Mazda</t>
        </is>
      </c>
      <c r="G5919" s="0" t="s">
        <v>171</v>
      </c>
      <c r="H5919" s="5">
        <v>37.974500</v>
      </c>
    </row>
    <row r="5920" spans="1:9">
      <c r="A5920" s="22" t="str">
        <f>HYPERLINK("https://app.vivvix.com/360/KMI/IntelliDrive/ApplUI/Pages/CreativePages/CustomReportCreativeDetail.aspx?App=23&amp;ReportView=4&amp;Qid=1711279&amp;Row=5912&amp;Col=1","No Title Assigned - #15269820328")</f>
        <v/>
      </c>
      <c r="B5920" s="0" t="s">
        <v>7864</v>
      </c>
      <c r="C5920" s="0" t="s">
        <v>7865</v>
      </c>
      <c r="D5920" s="0" t="s">
        <v>7865</v>
      </c>
      <c r="E5920" s="0" t="inlineStr">
        <is>
          <t xml:space="preserve">Mazda</t>
        </is>
      </c>
      <c r="F5920" s="0" t="inlineStr">
        <is>
          <t xml:space="preserve">Mazda</t>
        </is>
      </c>
      <c r="G5920" s="0" t="s">
        <v>171</v>
      </c>
      <c r="H5920" s="5">
        <v>40.107600</v>
      </c>
    </row>
    <row r="5921" spans="1:9">
      <c r="A5921" s="22" t="str">
        <f>HYPERLINK("https://app.vivvix.com/360/KMI/IntelliDrive/ApplUI/Pages/CreativePages/CustomReportCreativeDetail.aspx?App=23&amp;ReportView=4&amp;Qid=1711279&amp;Row=5913&amp;Col=1","No Title Assigned - #15269820792")</f>
        <v/>
      </c>
      <c r="B5921" s="0" t="s">
        <v>7866</v>
      </c>
      <c r="E5921" s="0" t="inlineStr">
        <is>
          <t xml:space="preserve">Mazda</t>
        </is>
      </c>
      <c r="F5921" s="0" t="s">
        <v>204</v>
      </c>
      <c r="G5921" s="0" t="s">
        <v>205</v>
      </c>
      <c r="H5921" s="5">
        <v>314.304000</v>
      </c>
    </row>
    <row r="5922" spans="1:9">
      <c r="A5922" s="22" t="str">
        <f>HYPERLINK("https://app.vivvix.com/360/KMI/IntelliDrive/ApplUI/Pages/CreativePages/CustomReportCreativeDetail.aspx?App=23&amp;ReportView=4&amp;Qid=1711279&amp;Row=5914&amp;Col=1","No Title Assigned - #15269821708")</f>
        <v/>
      </c>
      <c r="B5922" s="0" t="s">
        <v>7867</v>
      </c>
      <c r="E5922" s="0" t="inlineStr">
        <is>
          <t xml:space="preserve">Mazda</t>
        </is>
      </c>
      <c r="F5922" s="0" t="inlineStr">
        <is>
          <t xml:space="preserve">Mazda</t>
        </is>
      </c>
      <c r="G5922" s="0" t="s">
        <v>171</v>
      </c>
      <c r="H5922" s="5">
        <v>381.068000</v>
      </c>
    </row>
    <row r="5923" spans="1:9">
      <c r="A5923" s="22" t="str">
        <f>HYPERLINK("https://app.vivvix.com/360/KMI/IntelliDrive/ApplUI/Pages/CreativePages/CustomReportCreativeDetail.aspx?App=23&amp;ReportView=4&amp;Qid=1711279&amp;Row=5915&amp;Col=1","No Title Assigned - #15269821816")</f>
        <v/>
      </c>
      <c r="B5923" s="0" t="s">
        <v>7868</v>
      </c>
      <c r="E5923" s="0" t="inlineStr">
        <is>
          <t xml:space="preserve">Mazda</t>
        </is>
      </c>
      <c r="F5923" s="0" t="inlineStr">
        <is>
          <t xml:space="preserve">Mazda</t>
        </is>
      </c>
      <c r="G5923" s="0" t="s">
        <v>171</v>
      </c>
      <c r="H5923" s="5">
        <v>9.075000</v>
      </c>
    </row>
    <row r="5924" spans="1:9">
      <c r="A5924" s="22" t="str">
        <f>HYPERLINK("https://app.vivvix.com/360/KMI/IntelliDrive/ApplUI/Pages/CreativePages/CustomReportCreativeDetail.aspx?App=23&amp;ReportView=4&amp;Qid=1711279&amp;Row=5916&amp;Col=1","No Title Assigned - #15269821911")</f>
        <v/>
      </c>
      <c r="B5924" s="0" t="s">
        <v>7869</v>
      </c>
      <c r="E5924" s="0" t="inlineStr">
        <is>
          <t xml:space="preserve">Mazda</t>
        </is>
      </c>
      <c r="F5924" s="0" t="inlineStr">
        <is>
          <t xml:space="preserve">Mazda</t>
        </is>
      </c>
      <c r="G5924" s="0" t="s">
        <v>171</v>
      </c>
      <c r="H5924" s="5">
        <v>189.289900</v>
      </c>
    </row>
    <row r="5925" spans="1:9">
      <c r="A5925" s="22" t="str">
        <f>HYPERLINK("https://app.vivvix.com/360/KMI/IntelliDrive/ApplUI/Pages/CreativePages/CustomReportCreativeDetail.aspx?App=23&amp;ReportView=4&amp;Qid=1711279&amp;Row=5917&amp;Col=1","No Title Assigned - #15269821912")</f>
        <v/>
      </c>
      <c r="B5925" s="0" t="s">
        <v>7870</v>
      </c>
      <c r="E5925" s="0" t="inlineStr">
        <is>
          <t xml:space="preserve">Mazda</t>
        </is>
      </c>
      <c r="F5925" s="0" t="inlineStr">
        <is>
          <t xml:space="preserve">Mazda</t>
        </is>
      </c>
      <c r="G5925" s="0" t="s">
        <v>171</v>
      </c>
      <c r="H5925" s="5">
        <v>25.141600</v>
      </c>
    </row>
    <row r="5926" spans="1:9">
      <c r="A5926" s="22" t="str">
        <f>HYPERLINK("https://app.vivvix.com/360/KMI/IntelliDrive/ApplUI/Pages/CreativePages/CustomReportCreativeDetail.aspx?App=23&amp;ReportView=4&amp;Qid=1711279&amp;Row=5918&amp;Col=1","No Title Assigned - #15269822997")</f>
        <v/>
      </c>
      <c r="B5926" s="0" t="s">
        <v>7871</v>
      </c>
      <c r="C5926" s="0" t="s">
        <v>7872</v>
      </c>
      <c r="D5926" s="0" t="s">
        <v>7872</v>
      </c>
      <c r="E5926" s="0" t="inlineStr">
        <is>
          <t xml:space="preserve">Mazda</t>
        </is>
      </c>
      <c r="F5926" s="0" t="inlineStr">
        <is>
          <t xml:space="preserve">Mazda</t>
        </is>
      </c>
      <c r="G5926" s="0" t="s">
        <v>171</v>
      </c>
      <c r="H5926" s="5">
        <v>1050.461100</v>
      </c>
    </row>
    <row r="5927" spans="1:9">
      <c r="A5927" s="22" t="str">
        <f>HYPERLINK("https://app.vivvix.com/360/KMI/IntelliDrive/ApplUI/Pages/CreativePages/CustomReportCreativeDetail.aspx?App=23&amp;ReportView=4&amp;Qid=1711279&amp;Row=5919&amp;Col=1","No Title Assigned - #15269823024")</f>
        <v/>
      </c>
      <c r="B5927" s="0" t="s">
        <v>7873</v>
      </c>
      <c r="E5927" s="0" t="inlineStr">
        <is>
          <t xml:space="preserve">Mazda</t>
        </is>
      </c>
      <c r="F5927" s="0" t="inlineStr">
        <is>
          <t xml:space="preserve">Mazda</t>
        </is>
      </c>
      <c r="G5927" s="0" t="s">
        <v>171</v>
      </c>
      <c r="H5927" s="5">
        <v>1249.535200</v>
      </c>
    </row>
    <row r="5928" spans="1:9">
      <c r="A5928" s="22" t="str">
        <f>HYPERLINK("https://app.vivvix.com/360/KMI/IntelliDrive/ApplUI/Pages/CreativePages/CustomReportCreativeDetail.aspx?App=23&amp;ReportView=4&amp;Qid=1711279&amp;Row=5920&amp;Col=1","No Title Assigned - #15269823502")</f>
        <v/>
      </c>
      <c r="B5928" s="0" t="s">
        <v>7874</v>
      </c>
      <c r="E5928" s="0" t="inlineStr">
        <is>
          <t xml:space="preserve">Mazda</t>
        </is>
      </c>
      <c r="F5928" s="0" t="inlineStr">
        <is>
          <t xml:space="preserve">Mazda</t>
        </is>
      </c>
      <c r="G5928" s="0" t="s">
        <v>171</v>
      </c>
      <c r="H5928" s="5">
        <v>9.100000</v>
      </c>
    </row>
    <row r="5929" spans="1:9">
      <c r="A5929" s="22" t="str">
        <f>HYPERLINK("https://app.vivvix.com/360/KMI/IntelliDrive/ApplUI/Pages/CreativePages/CustomReportCreativeDetail.aspx?App=23&amp;ReportView=4&amp;Qid=1711279&amp;Row=5921&amp;Col=1","No Title Assigned - #15269823874")</f>
        <v/>
      </c>
      <c r="B5929" s="0" t="s">
        <v>7875</v>
      </c>
      <c r="E5929" s="0" t="inlineStr">
        <is>
          <t xml:space="preserve">Mazda</t>
        </is>
      </c>
      <c r="F5929" s="0" t="s">
        <v>21</v>
      </c>
      <c r="G5929" s="0" t="s">
        <v>22</v>
      </c>
      <c r="H5929" s="5">
        <v>518.813800</v>
      </c>
    </row>
    <row r="5930" spans="1:9">
      <c r="A5930" s="22" t="str">
        <f>HYPERLINK("https://app.vivvix.com/360/KMI/IntelliDrive/ApplUI/Pages/CreativePages/CustomReportCreativeDetail.aspx?App=23&amp;ReportView=4&amp;Qid=1711279&amp;Row=5922&amp;Col=1","No Title Assigned - #15269824349")</f>
        <v/>
      </c>
      <c r="B5930" s="0" t="s">
        <v>7876</v>
      </c>
      <c r="E5930" s="0" t="inlineStr">
        <is>
          <t xml:space="preserve">Mazda</t>
        </is>
      </c>
      <c r="F5930" s="0" t="inlineStr">
        <is>
          <t xml:space="preserve">Mazda</t>
        </is>
      </c>
      <c r="G5930" s="0" t="s">
        <v>171</v>
      </c>
      <c r="H5930" s="5">
        <v>5154.681600</v>
      </c>
    </row>
    <row r="5931" spans="1:9">
      <c r="A5931" s="22" t="str">
        <f>HYPERLINK("https://app.vivvix.com/360/KMI/IntelliDrive/ApplUI/Pages/CreativePages/CustomReportCreativeDetail.aspx?App=23&amp;ReportView=4&amp;Qid=1711279&amp;Row=5923&amp;Col=1","No Title Assigned - #15269825680")</f>
        <v/>
      </c>
      <c r="B5931" s="0" t="s">
        <v>7877</v>
      </c>
      <c r="E5931" s="0" t="inlineStr">
        <is>
          <t xml:space="preserve">Mazda</t>
        </is>
      </c>
      <c r="F5931" s="0" t="inlineStr">
        <is>
          <t xml:space="preserve">Mazda</t>
        </is>
      </c>
      <c r="G5931" s="0" t="s">
        <v>171</v>
      </c>
      <c r="H5931" s="5">
        <v>125.766500</v>
      </c>
    </row>
    <row r="5932" spans="1:9">
      <c r="A5932" s="22" t="str">
        <f>HYPERLINK("https://app.vivvix.com/360/KMI/IntelliDrive/ApplUI/Pages/CreativePages/CustomReportCreativeDetail.aspx?App=23&amp;ReportView=4&amp;Qid=1711279&amp;Row=5924&amp;Col=1","No Title Assigned - #15269825709")</f>
        <v/>
      </c>
      <c r="B5932" s="0" t="s">
        <v>7878</v>
      </c>
      <c r="E5932" s="0" t="inlineStr">
        <is>
          <t xml:space="preserve">Mazda</t>
        </is>
      </c>
      <c r="F5932" s="0" t="inlineStr">
        <is>
          <t xml:space="preserve">Mazda</t>
        </is>
      </c>
      <c r="G5932" s="0" t="s">
        <v>171</v>
      </c>
      <c r="H5932" s="5">
        <v>124.397000</v>
      </c>
    </row>
    <row r="5933" spans="1:9">
      <c r="A5933" s="22" t="str">
        <f>HYPERLINK("https://app.vivvix.com/360/KMI/IntelliDrive/ApplUI/Pages/CreativePages/CustomReportCreativeDetail.aspx?App=23&amp;ReportView=4&amp;Qid=1711279&amp;Row=5925&amp;Col=1","No Title Assigned - #15269825709")</f>
        <v/>
      </c>
      <c r="B5933" s="0" t="s">
        <v>7878</v>
      </c>
      <c r="E5933" s="0" t="inlineStr">
        <is>
          <t xml:space="preserve">Mazda</t>
        </is>
      </c>
      <c r="F5933" s="0" t="inlineStr">
        <is>
          <t xml:space="preserve">Mazda</t>
        </is>
      </c>
      <c r="G5933" s="0" t="s">
        <v>171</v>
      </c>
      <c r="H5933" s="5">
        <v>14383.166200</v>
      </c>
    </row>
    <row r="5934" spans="1:9">
      <c r="A5934" s="22" t="str">
        <f>HYPERLINK("https://app.vivvix.com/360/KMI/IntelliDrive/ApplUI/Pages/CreativePages/CustomReportCreativeDetail.aspx?App=23&amp;ReportView=4&amp;Qid=1711279&amp;Row=5926&amp;Col=1","No Title Assigned - #15269825784")</f>
        <v/>
      </c>
      <c r="B5934" s="0" t="s">
        <v>7879</v>
      </c>
      <c r="E5934" s="0" t="inlineStr">
        <is>
          <t xml:space="preserve">Mazda</t>
        </is>
      </c>
      <c r="F5934" s="0" t="inlineStr">
        <is>
          <t xml:space="preserve">Mazda</t>
        </is>
      </c>
      <c r="G5934" s="0" t="s">
        <v>171</v>
      </c>
      <c r="H5934" s="5">
        <v>954.677800</v>
      </c>
    </row>
    <row r="5935" spans="1:9">
      <c r="A5935" s="22" t="str">
        <f>HYPERLINK("https://app.vivvix.com/360/KMI/IntelliDrive/ApplUI/Pages/CreativePages/CustomReportCreativeDetail.aspx?App=23&amp;ReportView=4&amp;Qid=1711279&amp;Row=5927&amp;Col=1","No Title Assigned - #15269825784")</f>
        <v/>
      </c>
      <c r="B5935" s="0" t="s">
        <v>7879</v>
      </c>
      <c r="E5935" s="0" t="inlineStr">
        <is>
          <t xml:space="preserve">Mazda</t>
        </is>
      </c>
      <c r="F5935" s="0" t="inlineStr">
        <is>
          <t xml:space="preserve">Mazda</t>
        </is>
      </c>
      <c r="G5935" s="0" t="s">
        <v>171</v>
      </c>
      <c r="H5935" s="5">
        <v>3475.033700</v>
      </c>
    </row>
    <row r="5936" spans="1:9">
      <c r="A5936" s="22" t="str">
        <f>HYPERLINK("https://app.vivvix.com/360/KMI/IntelliDrive/ApplUI/Pages/CreativePages/CustomReportCreativeDetail.aspx?App=23&amp;ReportView=4&amp;Qid=1711279&amp;Row=5928&amp;Col=1","No Title Assigned - #15269825860")</f>
        <v/>
      </c>
      <c r="B5936" s="0" t="s">
        <v>7880</v>
      </c>
      <c r="E5936" s="0" t="inlineStr">
        <is>
          <t xml:space="preserve">Mazda</t>
        </is>
      </c>
      <c r="F5936" s="0" t="inlineStr">
        <is>
          <t xml:space="preserve">Mazda</t>
        </is>
      </c>
      <c r="G5936" s="0" t="s">
        <v>171</v>
      </c>
      <c r="H5936" s="5">
        <v>0.952900</v>
      </c>
    </row>
    <row r="5937" spans="1:9">
      <c r="A5937" s="22" t="str">
        <f>HYPERLINK("https://app.vivvix.com/360/KMI/IntelliDrive/ApplUI/Pages/CreativePages/CustomReportCreativeDetail.aspx?App=23&amp;ReportView=4&amp;Qid=1711279&amp;Row=5929&amp;Col=1","No Title Assigned - #15269825894")</f>
        <v/>
      </c>
      <c r="B5937" s="0" t="s">
        <v>7881</v>
      </c>
      <c r="E5937" s="0" t="inlineStr">
        <is>
          <t xml:space="preserve">Mazda</t>
        </is>
      </c>
      <c r="F5937" s="0" t="inlineStr">
        <is>
          <t xml:space="preserve">Mazda</t>
        </is>
      </c>
      <c r="G5937" s="0" t="s">
        <v>171</v>
      </c>
      <c r="H5937" s="5">
        <v>2.292000</v>
      </c>
    </row>
    <row r="5938" spans="1:9">
      <c r="A5938" s="22" t="str">
        <f>HYPERLINK("https://app.vivvix.com/360/KMI/IntelliDrive/ApplUI/Pages/CreativePages/CustomReportCreativeDetail.aspx?App=23&amp;ReportView=4&amp;Qid=1711279&amp;Row=5930&amp;Col=1","No Title Assigned - #15269826120")</f>
        <v/>
      </c>
      <c r="B5938" s="0" t="s">
        <v>7882</v>
      </c>
      <c r="E5938" s="0" t="inlineStr">
        <is>
          <t xml:space="preserve">Mazda</t>
        </is>
      </c>
      <c r="F5938" s="0" t="inlineStr">
        <is>
          <t xml:space="preserve">Mazda</t>
        </is>
      </c>
      <c r="G5938" s="0" t="s">
        <v>171</v>
      </c>
      <c r="H5938" s="5">
        <v>11.240900</v>
      </c>
    </row>
    <row r="5939" spans="1:9">
      <c r="A5939" s="22" t="str">
        <f>HYPERLINK("https://app.vivvix.com/360/KMI/IntelliDrive/ApplUI/Pages/CreativePages/CustomReportCreativeDetail.aspx?App=23&amp;ReportView=4&amp;Qid=1711279&amp;Row=5931&amp;Col=1","No Title Assigned - #15269826432")</f>
        <v/>
      </c>
      <c r="B5939" s="0" t="s">
        <v>7883</v>
      </c>
      <c r="E5939" s="0" t="inlineStr">
        <is>
          <t xml:space="preserve">Mazda</t>
        </is>
      </c>
      <c r="F5939" s="0" t="inlineStr">
        <is>
          <t xml:space="preserve">Mazda</t>
        </is>
      </c>
      <c r="G5939" s="0" t="s">
        <v>171</v>
      </c>
      <c r="H5939" s="5">
        <v>43.084500</v>
      </c>
    </row>
    <row r="5940" spans="1:9">
      <c r="A5940" s="22" t="str">
        <f>HYPERLINK("https://app.vivvix.com/360/KMI/IntelliDrive/ApplUI/Pages/CreativePages/CustomReportCreativeDetail.aspx?App=23&amp;ReportView=4&amp;Qid=1711279&amp;Row=5932&amp;Col=1","No Title Assigned - #15269826642")</f>
        <v/>
      </c>
      <c r="B5940" s="0" t="s">
        <v>7884</v>
      </c>
      <c r="E5940" s="0" t="inlineStr">
        <is>
          <t xml:space="preserve">Mazda</t>
        </is>
      </c>
      <c r="F5940" s="0" t="inlineStr">
        <is>
          <t xml:space="preserve">Mazda</t>
        </is>
      </c>
      <c r="G5940" s="0" t="s">
        <v>171</v>
      </c>
      <c r="H5940" s="5">
        <v>243.094700</v>
      </c>
    </row>
    <row r="5941" spans="1:9">
      <c r="A5941" s="22" t="str">
        <f>HYPERLINK("https://app.vivvix.com/360/KMI/IntelliDrive/ApplUI/Pages/CreativePages/CustomReportCreativeDetail.aspx?App=23&amp;ReportView=4&amp;Qid=1711279&amp;Row=5933&amp;Col=1","No Title Assigned - #15269826643")</f>
        <v/>
      </c>
      <c r="B5941" s="0" t="s">
        <v>7885</v>
      </c>
      <c r="E5941" s="0" t="inlineStr">
        <is>
          <t xml:space="preserve">Mazda</t>
        </is>
      </c>
      <c r="F5941" s="0" t="inlineStr">
        <is>
          <t xml:space="preserve">Mazda</t>
        </is>
      </c>
      <c r="G5941" s="0" t="s">
        <v>171</v>
      </c>
      <c r="H5941" s="5">
        <v>200.701500</v>
      </c>
    </row>
    <row r="5942" spans="1:9">
      <c r="A5942" s="22" t="str">
        <f>HYPERLINK("https://app.vivvix.com/360/KMI/IntelliDrive/ApplUI/Pages/CreativePages/CustomReportCreativeDetail.aspx?App=23&amp;ReportView=4&amp;Qid=1711279&amp;Row=5934&amp;Col=1","No Title Assigned - #15269826741")</f>
        <v/>
      </c>
      <c r="B5942" s="0" t="s">
        <v>7886</v>
      </c>
      <c r="E5942" s="0" t="inlineStr">
        <is>
          <t xml:space="preserve">Mazda</t>
        </is>
      </c>
      <c r="F5942" s="0" t="s">
        <v>204</v>
      </c>
      <c r="G5942" s="0" t="s">
        <v>205</v>
      </c>
      <c r="H5942" s="5">
        <v>555.855500</v>
      </c>
    </row>
    <row r="5943" spans="1:9">
      <c r="A5943" s="22" t="str">
        <f>HYPERLINK("https://app.vivvix.com/360/KMI/IntelliDrive/ApplUI/Pages/CreativePages/CustomReportCreativeDetail.aspx?App=23&amp;ReportView=4&amp;Qid=1711279&amp;Row=5935&amp;Col=1","No Title Assigned - #15269826751")</f>
        <v/>
      </c>
      <c r="B5943" s="0" t="s">
        <v>7887</v>
      </c>
      <c r="E5943" s="0" t="inlineStr">
        <is>
          <t xml:space="preserve">Mazda</t>
        </is>
      </c>
      <c r="F5943" s="0" t="inlineStr">
        <is>
          <t xml:space="preserve">Mazda</t>
        </is>
      </c>
      <c r="G5943" s="0" t="s">
        <v>171</v>
      </c>
      <c r="H5943" s="5">
        <v>4388.539600</v>
      </c>
    </row>
    <row r="5944" spans="1:9">
      <c r="A5944" s="22" t="str">
        <f>HYPERLINK("https://app.vivvix.com/360/KMI/IntelliDrive/ApplUI/Pages/CreativePages/CustomReportCreativeDetail.aspx?App=23&amp;ReportView=4&amp;Qid=1711279&amp;Row=5936&amp;Col=1","No Title Assigned - #15269827892")</f>
        <v/>
      </c>
      <c r="B5944" s="0" t="s">
        <v>7888</v>
      </c>
      <c r="E5944" s="0" t="inlineStr">
        <is>
          <t xml:space="preserve">Mazda</t>
        </is>
      </c>
      <c r="F5944" s="0" t="inlineStr">
        <is>
          <t xml:space="preserve">Mazda</t>
        </is>
      </c>
      <c r="G5944" s="0" t="s">
        <v>171</v>
      </c>
      <c r="H5944" s="5">
        <v>196.338100</v>
      </c>
    </row>
    <row r="5945" spans="1:9">
      <c r="A5945" s="22" t="str">
        <f>HYPERLINK("https://app.vivvix.com/360/KMI/IntelliDrive/ApplUI/Pages/CreativePages/CustomReportCreativeDetail.aspx?App=23&amp;ReportView=4&amp;Qid=1711279&amp;Row=5937&amp;Col=1","No Title Assigned - #15269827892")</f>
        <v/>
      </c>
      <c r="B5945" s="0" t="s">
        <v>7888</v>
      </c>
      <c r="E5945" s="0" t="inlineStr">
        <is>
          <t xml:space="preserve">Mazda</t>
        </is>
      </c>
      <c r="F5945" s="0" t="inlineStr">
        <is>
          <t xml:space="preserve">Mazda</t>
        </is>
      </c>
      <c r="G5945" s="0" t="s">
        <v>171</v>
      </c>
      <c r="H5945" s="5">
        <v>661.891700</v>
      </c>
    </row>
    <row r="5946" spans="1:9">
      <c r="A5946" s="22" t="str">
        <f>HYPERLINK("https://app.vivvix.com/360/KMI/IntelliDrive/ApplUI/Pages/CreativePages/CustomReportCreativeDetail.aspx?App=23&amp;ReportView=4&amp;Qid=1711279&amp;Row=5938&amp;Col=1","No Title Assigned - #15269828346")</f>
        <v/>
      </c>
      <c r="B5946" s="0" t="s">
        <v>7889</v>
      </c>
      <c r="E5946" s="0" t="inlineStr">
        <is>
          <t xml:space="preserve">Mazda</t>
        </is>
      </c>
      <c r="F5946" s="0" t="inlineStr">
        <is>
          <t xml:space="preserve">Mazda</t>
        </is>
      </c>
      <c r="G5946" s="0" t="s">
        <v>171</v>
      </c>
      <c r="H5946" s="5">
        <v>13761.275400</v>
      </c>
    </row>
    <row r="5947" spans="1:9">
      <c r="A5947" s="22" t="str">
        <f>HYPERLINK("https://app.vivvix.com/360/KMI/IntelliDrive/ApplUI/Pages/CreativePages/CustomReportCreativeDetail.aspx?App=23&amp;ReportView=4&amp;Qid=1711279&amp;Row=5939&amp;Col=1","No Title Assigned - #15269828985")</f>
        <v/>
      </c>
      <c r="B5947" s="0" t="s">
        <v>7890</v>
      </c>
      <c r="E5947" s="0" t="inlineStr">
        <is>
          <t xml:space="preserve">Mazda</t>
        </is>
      </c>
      <c r="F5947" s="0" t="inlineStr">
        <is>
          <t xml:space="preserve">Mazda</t>
        </is>
      </c>
      <c r="G5947" s="0" t="s">
        <v>171</v>
      </c>
      <c r="H5947" s="5">
        <v>5.198300</v>
      </c>
    </row>
    <row r="5948" spans="1:9">
      <c r="A5948" s="22" t="str">
        <f>HYPERLINK("https://app.vivvix.com/360/KMI/IntelliDrive/ApplUI/Pages/CreativePages/CustomReportCreativeDetail.aspx?App=23&amp;ReportView=4&amp;Qid=1711279&amp;Row=5940&amp;Col=1","No Title Assigned - #15269830813")</f>
        <v/>
      </c>
      <c r="B5948" s="0" t="s">
        <v>7891</v>
      </c>
      <c r="E5948" s="0" t="inlineStr">
        <is>
          <t xml:space="preserve">Mazda</t>
        </is>
      </c>
      <c r="F5948" s="0" t="inlineStr">
        <is>
          <t xml:space="preserve">Mazda</t>
        </is>
      </c>
      <c r="G5948" s="0" t="s">
        <v>171</v>
      </c>
      <c r="H5948" s="5">
        <v>320.793100</v>
      </c>
    </row>
    <row r="5949" spans="1:9">
      <c r="A5949" s="22" t="str">
        <f>HYPERLINK("https://app.vivvix.com/360/KMI/IntelliDrive/ApplUI/Pages/CreativePages/CustomReportCreativeDetail.aspx?App=23&amp;ReportView=4&amp;Qid=1711279&amp;Row=5941&amp;Col=1","No Title Assigned - #15269830834")</f>
        <v/>
      </c>
      <c r="B5949" s="0" t="s">
        <v>7892</v>
      </c>
      <c r="E5949" s="0" t="inlineStr">
        <is>
          <t xml:space="preserve">Mazda</t>
        </is>
      </c>
      <c r="F5949" s="0" t="inlineStr">
        <is>
          <t xml:space="preserve">Mazda</t>
        </is>
      </c>
      <c r="G5949" s="0" t="s">
        <v>171</v>
      </c>
      <c r="H5949" s="5">
        <v>243.021600</v>
      </c>
    </row>
    <row r="5950" spans="1:9">
      <c r="A5950" s="22" t="str">
        <f>HYPERLINK("https://app.vivvix.com/360/KMI/IntelliDrive/ApplUI/Pages/CreativePages/CustomReportCreativeDetail.aspx?App=23&amp;ReportView=4&amp;Qid=1711279&amp;Row=5942&amp;Col=1","No Title Assigned - #15269831239")</f>
        <v/>
      </c>
      <c r="B5950" s="0" t="s">
        <v>7893</v>
      </c>
      <c r="E5950" s="0" t="inlineStr">
        <is>
          <t xml:space="preserve">Mazda</t>
        </is>
      </c>
      <c r="F5950" s="0" t="inlineStr">
        <is>
          <t xml:space="preserve">Mazda</t>
        </is>
      </c>
      <c r="G5950" s="0" t="s">
        <v>171</v>
      </c>
      <c r="H5950" s="5">
        <v>8.973800</v>
      </c>
    </row>
    <row r="5951" spans="1:9">
      <c r="A5951" s="22" t="str">
        <f>HYPERLINK("https://app.vivvix.com/360/KMI/IntelliDrive/ApplUI/Pages/CreativePages/CustomReportCreativeDetail.aspx?App=23&amp;ReportView=4&amp;Qid=1711279&amp;Row=5943&amp;Col=1","No Title Assigned - #15269831271")</f>
        <v/>
      </c>
      <c r="B5951" s="0" t="s">
        <v>7894</v>
      </c>
      <c r="C5951" s="0" t="s">
        <v>7895</v>
      </c>
      <c r="D5951" s="0" t="s">
        <v>7895</v>
      </c>
      <c r="E5951" s="0" t="inlineStr">
        <is>
          <t xml:space="preserve">Mazda</t>
        </is>
      </c>
      <c r="F5951" s="0" t="inlineStr">
        <is>
          <t xml:space="preserve">Mazda</t>
        </is>
      </c>
      <c r="G5951" s="0" t="s">
        <v>171</v>
      </c>
      <c r="H5951" s="5">
        <v>21119.182600</v>
      </c>
    </row>
    <row r="5952" spans="1:9">
      <c r="A5952" s="22" t="str">
        <f>HYPERLINK("https://app.vivvix.com/360/KMI/IntelliDrive/ApplUI/Pages/CreativePages/CustomReportCreativeDetail.aspx?App=23&amp;ReportView=4&amp;Qid=1711279&amp;Row=5944&amp;Col=1","No Title Assigned - #15269831271")</f>
        <v/>
      </c>
      <c r="B5952" s="0" t="s">
        <v>7894</v>
      </c>
      <c r="E5952" s="0" t="inlineStr">
        <is>
          <t xml:space="preserve">Mazda</t>
        </is>
      </c>
      <c r="F5952" s="0" t="inlineStr">
        <is>
          <t xml:space="preserve">Mazda</t>
        </is>
      </c>
      <c r="G5952" s="0" t="s">
        <v>171</v>
      </c>
      <c r="H5952" s="5">
        <v>10952.359500</v>
      </c>
    </row>
    <row r="5953" spans="1:9">
      <c r="A5953" s="22" t="str">
        <f>HYPERLINK("https://app.vivvix.com/360/KMI/IntelliDrive/ApplUI/Pages/CreativePages/CustomReportCreativeDetail.aspx?App=23&amp;ReportView=4&amp;Qid=1711279&amp;Row=5945&amp;Col=1","No Title Assigned - #15269831686")</f>
        <v/>
      </c>
      <c r="B5953" s="0" t="s">
        <v>7896</v>
      </c>
      <c r="E5953" s="0" t="inlineStr">
        <is>
          <t xml:space="preserve">Mazda</t>
        </is>
      </c>
      <c r="F5953" s="0" t="inlineStr">
        <is>
          <t xml:space="preserve">Mazda</t>
        </is>
      </c>
      <c r="G5953" s="0" t="s">
        <v>171</v>
      </c>
      <c r="H5953" s="5">
        <v>762.595800</v>
      </c>
    </row>
    <row r="5954" spans="1:9">
      <c r="A5954" s="22" t="str">
        <f>HYPERLINK("https://app.vivvix.com/360/KMI/IntelliDrive/ApplUI/Pages/CreativePages/CustomReportCreativeDetail.aspx?App=23&amp;ReportView=4&amp;Qid=1711279&amp;Row=5946&amp;Col=1","No Title Assigned - #15269831874")</f>
        <v/>
      </c>
      <c r="B5954" s="0" t="s">
        <v>7897</v>
      </c>
      <c r="E5954" s="0" t="inlineStr">
        <is>
          <t xml:space="preserve">Mazda</t>
        </is>
      </c>
      <c r="F5954" s="0" t="inlineStr">
        <is>
          <t xml:space="preserve">Mazda</t>
        </is>
      </c>
      <c r="G5954" s="0" t="s">
        <v>171</v>
      </c>
      <c r="H5954" s="5">
        <v>340.052500</v>
      </c>
    </row>
    <row r="5955" spans="1:9">
      <c r="A5955" s="22" t="str">
        <f>HYPERLINK("https://app.vivvix.com/360/KMI/IntelliDrive/ApplUI/Pages/CreativePages/CustomReportCreativeDetail.aspx?App=23&amp;ReportView=4&amp;Qid=1711279&amp;Row=5947&amp;Col=1","No Title Assigned - #15269832135")</f>
        <v/>
      </c>
      <c r="B5955" s="0" t="s">
        <v>7898</v>
      </c>
      <c r="E5955" s="0" t="inlineStr">
        <is>
          <t xml:space="preserve">Mazda</t>
        </is>
      </c>
      <c r="F5955" s="0" t="inlineStr">
        <is>
          <t xml:space="preserve">Mazda</t>
        </is>
      </c>
      <c r="G5955" s="0" t="s">
        <v>171</v>
      </c>
      <c r="H5955" s="5">
        <v>6.177900</v>
      </c>
    </row>
    <row r="5956" spans="1:9">
      <c r="A5956" s="22" t="str">
        <f>HYPERLINK("https://app.vivvix.com/360/KMI/IntelliDrive/ApplUI/Pages/CreativePages/CustomReportCreativeDetail.aspx?App=23&amp;ReportView=4&amp;Qid=1711279&amp;Row=5948&amp;Col=1","No Title Assigned - #15269835199")</f>
        <v/>
      </c>
      <c r="B5956" s="0" t="s">
        <v>7899</v>
      </c>
      <c r="E5956" s="0" t="inlineStr">
        <is>
          <t xml:space="preserve">Mazda</t>
        </is>
      </c>
      <c r="F5956" s="0" t="inlineStr">
        <is>
          <t xml:space="preserve">Mazda</t>
        </is>
      </c>
      <c r="G5956" s="0" t="s">
        <v>171</v>
      </c>
      <c r="H5956" s="5">
        <v>801.289800</v>
      </c>
    </row>
    <row r="5957" spans="1:9">
      <c r="A5957" s="22" t="str">
        <f>HYPERLINK("https://app.vivvix.com/360/KMI/IntelliDrive/ApplUI/Pages/CreativePages/CustomReportCreativeDetail.aspx?App=23&amp;ReportView=4&amp;Qid=1711279&amp;Row=5949&amp;Col=1","No Title Assigned - #15269835463")</f>
        <v/>
      </c>
      <c r="B5957" s="0" t="s">
        <v>7900</v>
      </c>
      <c r="E5957" s="0" t="inlineStr">
        <is>
          <t xml:space="preserve">Mazda</t>
        </is>
      </c>
      <c r="F5957" s="0" t="inlineStr">
        <is>
          <t xml:space="preserve">Mazda</t>
        </is>
      </c>
      <c r="G5957" s="0" t="s">
        <v>171</v>
      </c>
      <c r="H5957" s="5">
        <v>1271.502000</v>
      </c>
    </row>
    <row r="5958" spans="1:9">
      <c r="A5958" s="22" t="str">
        <f>HYPERLINK("https://app.vivvix.com/360/KMI/IntelliDrive/ApplUI/Pages/CreativePages/CustomReportCreativeDetail.aspx?App=23&amp;ReportView=4&amp;Qid=1711279&amp;Row=5950&amp;Col=1","No Title Assigned - #15269835463")</f>
        <v/>
      </c>
      <c r="B5958" s="0" t="s">
        <v>7900</v>
      </c>
      <c r="E5958" s="0" t="inlineStr">
        <is>
          <t xml:space="preserve">Mazda</t>
        </is>
      </c>
      <c r="F5958" s="0" t="inlineStr">
        <is>
          <t xml:space="preserve">Mazda</t>
        </is>
      </c>
      <c r="G5958" s="0" t="s">
        <v>171</v>
      </c>
      <c r="H5958" s="5">
        <v>554.350000</v>
      </c>
    </row>
    <row r="5959" spans="1:9">
      <c r="A5959" s="22" t="str">
        <f>HYPERLINK("https://app.vivvix.com/360/KMI/IntelliDrive/ApplUI/Pages/CreativePages/CustomReportCreativeDetail.aspx?App=23&amp;ReportView=4&amp;Qid=1711279&amp;Row=5951&amp;Col=1","No Title Assigned - #15269835599")</f>
        <v/>
      </c>
      <c r="B5959" s="0" t="s">
        <v>7901</v>
      </c>
      <c r="E5959" s="0" t="inlineStr">
        <is>
          <t xml:space="preserve">Mazda</t>
        </is>
      </c>
      <c r="F5959" s="0" t="inlineStr">
        <is>
          <t xml:space="preserve">Mazda</t>
        </is>
      </c>
      <c r="G5959" s="0" t="s">
        <v>171</v>
      </c>
      <c r="H5959" s="5">
        <v>30.006500</v>
      </c>
    </row>
    <row r="5960" spans="1:9">
      <c r="A5960" s="22" t="str">
        <f>HYPERLINK("https://app.vivvix.com/360/KMI/IntelliDrive/ApplUI/Pages/CreativePages/CustomReportCreativeDetail.aspx?App=23&amp;ReportView=4&amp;Qid=1711279&amp;Row=5952&amp;Col=1","No Title Assigned - #15269837348")</f>
        <v/>
      </c>
      <c r="B5960" s="0" t="s">
        <v>7902</v>
      </c>
      <c r="E5960" s="0" t="inlineStr">
        <is>
          <t xml:space="preserve">Mazda</t>
        </is>
      </c>
      <c r="F5960" s="0" t="inlineStr">
        <is>
          <t xml:space="preserve">Mazda</t>
        </is>
      </c>
      <c r="G5960" s="0" t="s">
        <v>171</v>
      </c>
      <c r="H5960" s="5">
        <v>1119.891400</v>
      </c>
    </row>
    <row r="5961" spans="1:9">
      <c r="A5961" s="22" t="str">
        <f>HYPERLINK("https://app.vivvix.com/360/KMI/IntelliDrive/ApplUI/Pages/CreativePages/CustomReportCreativeDetail.aspx?App=23&amp;ReportView=4&amp;Qid=1711279&amp;Row=5953&amp;Col=1","No Title Assigned - #15269837916")</f>
        <v/>
      </c>
      <c r="B5961" s="0" t="s">
        <v>7903</v>
      </c>
      <c r="E5961" s="0" t="inlineStr">
        <is>
          <t xml:space="preserve">Mazda</t>
        </is>
      </c>
      <c r="F5961" s="0" t="inlineStr">
        <is>
          <t xml:space="preserve">Mazda</t>
        </is>
      </c>
      <c r="G5961" s="0" t="s">
        <v>171</v>
      </c>
      <c r="H5961" s="5">
        <v>882.017700</v>
      </c>
    </row>
    <row r="5962" spans="1:9">
      <c r="A5962" s="22" t="str">
        <f>HYPERLINK("https://app.vivvix.com/360/KMI/IntelliDrive/ApplUI/Pages/CreativePages/CustomReportCreativeDetail.aspx?App=23&amp;ReportView=4&amp;Qid=1711279&amp;Row=5954&amp;Col=1","No Title Assigned - #15269838428")</f>
        <v/>
      </c>
      <c r="B5962" s="0" t="s">
        <v>7904</v>
      </c>
      <c r="E5962" s="0" t="inlineStr">
        <is>
          <t xml:space="preserve">Mazda</t>
        </is>
      </c>
      <c r="F5962" s="0" t="inlineStr">
        <is>
          <t xml:space="preserve">Mazda</t>
        </is>
      </c>
      <c r="G5962" s="0" t="s">
        <v>171</v>
      </c>
      <c r="H5962" s="5">
        <v>35.813500</v>
      </c>
    </row>
    <row r="5963" spans="1:9">
      <c r="A5963" s="22" t="str">
        <f>HYPERLINK("https://app.vivvix.com/360/KMI/IntelliDrive/ApplUI/Pages/CreativePages/CustomReportCreativeDetail.aspx?App=23&amp;ReportView=4&amp;Qid=1711279&amp;Row=5955&amp;Col=1","No Title Assigned - #15269838581")</f>
        <v/>
      </c>
      <c r="B5963" s="0" t="s">
        <v>7905</v>
      </c>
      <c r="E5963" s="0" t="inlineStr">
        <is>
          <t xml:space="preserve">Mazda</t>
        </is>
      </c>
      <c r="F5963" s="0" t="inlineStr">
        <is>
          <t xml:space="preserve">Mazda</t>
        </is>
      </c>
      <c r="G5963" s="0" t="s">
        <v>171</v>
      </c>
      <c r="H5963" s="5">
        <v>57.056900</v>
      </c>
    </row>
    <row r="5964" spans="1:9">
      <c r="A5964" s="22" t="str">
        <f>HYPERLINK("https://app.vivvix.com/360/KMI/IntelliDrive/ApplUI/Pages/CreativePages/CustomReportCreativeDetail.aspx?App=23&amp;ReportView=4&amp;Qid=1711279&amp;Row=5956&amp;Col=1","No Title Assigned - #15269838583")</f>
        <v/>
      </c>
      <c r="B5964" s="0" t="s">
        <v>7906</v>
      </c>
      <c r="E5964" s="0" t="inlineStr">
        <is>
          <t xml:space="preserve">Mazda</t>
        </is>
      </c>
      <c r="F5964" s="0" t="inlineStr">
        <is>
          <t xml:space="preserve">Mazda</t>
        </is>
      </c>
      <c r="G5964" s="0" t="s">
        <v>171</v>
      </c>
      <c r="H5964" s="5">
        <v>31.508600</v>
      </c>
    </row>
    <row r="5965" spans="1:9">
      <c r="A5965" s="22" t="str">
        <f>HYPERLINK("https://app.vivvix.com/360/KMI/IntelliDrive/ApplUI/Pages/CreativePages/CustomReportCreativeDetail.aspx?App=23&amp;ReportView=4&amp;Qid=1711279&amp;Row=5957&amp;Col=1","No Title Assigned - #15269838592")</f>
        <v/>
      </c>
      <c r="B5965" s="0" t="s">
        <v>7907</v>
      </c>
      <c r="C5965" s="0" t="s">
        <v>7908</v>
      </c>
      <c r="D5965" s="0" t="s">
        <v>7908</v>
      </c>
      <c r="E5965" s="0" t="inlineStr">
        <is>
          <t xml:space="preserve">Mazda</t>
        </is>
      </c>
      <c r="F5965" s="0" t="inlineStr">
        <is>
          <t xml:space="preserve">Mazda</t>
        </is>
      </c>
      <c r="G5965" s="0" t="s">
        <v>171</v>
      </c>
      <c r="H5965" s="5">
        <v>3138.943300</v>
      </c>
    </row>
    <row r="5966" spans="1:9">
      <c r="A5966" s="22" t="str">
        <f>HYPERLINK("https://app.vivvix.com/360/KMI/IntelliDrive/ApplUI/Pages/CreativePages/CustomReportCreativeDetail.aspx?App=23&amp;ReportView=4&amp;Qid=1711279&amp;Row=5958&amp;Col=1","No Title Assigned - #15269838755")</f>
        <v/>
      </c>
      <c r="B5966" s="0" t="s">
        <v>7909</v>
      </c>
      <c r="C5966" s="0" t="s">
        <v>7910</v>
      </c>
      <c r="D5966" s="0" t="s">
        <v>7910</v>
      </c>
      <c r="E5966" s="0" t="inlineStr">
        <is>
          <t xml:space="preserve">Mazda</t>
        </is>
      </c>
      <c r="F5966" s="0" t="inlineStr">
        <is>
          <t xml:space="preserve">Mazda</t>
        </is>
      </c>
      <c r="G5966" s="0" t="s">
        <v>171</v>
      </c>
      <c r="H5966" s="5">
        <v>53.016200</v>
      </c>
    </row>
    <row r="5967" spans="1:9">
      <c r="A5967" s="22" t="str">
        <f>HYPERLINK("https://app.vivvix.com/360/KMI/IntelliDrive/ApplUI/Pages/CreativePages/CustomReportCreativeDetail.aspx?App=23&amp;ReportView=4&amp;Qid=1711279&amp;Row=5959&amp;Col=1","No Title Assigned - #15269839985")</f>
        <v/>
      </c>
      <c r="B5967" s="0" t="s">
        <v>7911</v>
      </c>
      <c r="C5967" s="0" t="s">
        <v>7912</v>
      </c>
      <c r="D5967" s="0" t="s">
        <v>7912</v>
      </c>
      <c r="E5967" s="0" t="inlineStr">
        <is>
          <t xml:space="preserve">Mazda</t>
        </is>
      </c>
      <c r="F5967" s="0" t="s">
        <v>13</v>
      </c>
      <c r="G5967" s="0" t="s">
        <v>49</v>
      </c>
      <c r="H5967" s="5">
        <v>764.459700</v>
      </c>
    </row>
    <row r="5968" spans="1:9">
      <c r="A5968" s="22" t="str">
        <f>HYPERLINK("https://app.vivvix.com/360/KMI/IntelliDrive/ApplUI/Pages/CreativePages/CustomReportCreativeDetail.aspx?App=23&amp;ReportView=4&amp;Qid=1711279&amp;Row=5960&amp;Col=1","No Title Assigned - #15269840028")</f>
        <v/>
      </c>
      <c r="B5968" s="0" t="s">
        <v>7913</v>
      </c>
      <c r="E5968" s="0" t="inlineStr">
        <is>
          <t xml:space="preserve">Mazda</t>
        </is>
      </c>
      <c r="F5968" s="0" t="inlineStr">
        <is>
          <t xml:space="preserve">Mazda</t>
        </is>
      </c>
      <c r="G5968" s="0" t="s">
        <v>171</v>
      </c>
      <c r="H5968" s="5">
        <v>37695.971300</v>
      </c>
    </row>
    <row r="5969" spans="1:9">
      <c r="A5969" s="22" t="str">
        <f>HYPERLINK("https://app.vivvix.com/360/KMI/IntelliDrive/ApplUI/Pages/CreativePages/CustomReportCreativeDetail.aspx?App=23&amp;ReportView=4&amp;Qid=1711279&amp;Row=5961&amp;Col=1","No Title Assigned - #15269840028")</f>
        <v/>
      </c>
      <c r="B5969" s="0" t="s">
        <v>7913</v>
      </c>
      <c r="E5969" s="0" t="inlineStr">
        <is>
          <t xml:space="preserve">Mazda</t>
        </is>
      </c>
      <c r="F5969" s="0" t="inlineStr">
        <is>
          <t xml:space="preserve">Mazda</t>
        </is>
      </c>
      <c r="G5969" s="0" t="s">
        <v>171</v>
      </c>
      <c r="H5969" s="5">
        <v>11418.831100</v>
      </c>
    </row>
    <row r="5970" spans="1:9">
      <c r="A5970" s="22" t="str">
        <f>HYPERLINK("https://app.vivvix.com/360/KMI/IntelliDrive/ApplUI/Pages/CreativePages/CustomReportCreativeDetail.aspx?App=23&amp;ReportView=4&amp;Qid=1711279&amp;Row=5962&amp;Col=1","No Title Assigned - #15269840099")</f>
        <v/>
      </c>
      <c r="B5970" s="0" t="s">
        <v>7914</v>
      </c>
      <c r="E5970" s="0" t="inlineStr">
        <is>
          <t xml:space="preserve">Mazda</t>
        </is>
      </c>
      <c r="F5970" s="0" t="s">
        <v>28</v>
      </c>
      <c r="G5970" s="0" t="s">
        <v>29</v>
      </c>
      <c r="H5970" s="5">
        <v>401.492200</v>
      </c>
    </row>
    <row r="5971" spans="1:9">
      <c r="A5971" s="22" t="str">
        <f>HYPERLINK("https://app.vivvix.com/360/KMI/IntelliDrive/ApplUI/Pages/CreativePages/CustomReportCreativeDetail.aspx?App=23&amp;ReportView=4&amp;Qid=1711279&amp;Row=5963&amp;Col=1","No Title Assigned - #15269840990")</f>
        <v/>
      </c>
      <c r="B5971" s="0" t="s">
        <v>7915</v>
      </c>
      <c r="E5971" s="0" t="inlineStr">
        <is>
          <t xml:space="preserve">Mazda</t>
        </is>
      </c>
      <c r="F5971" s="0" t="s">
        <v>56</v>
      </c>
      <c r="G5971" s="0" t="s">
        <v>57</v>
      </c>
      <c r="H5971" s="5">
        <v>555.855500</v>
      </c>
    </row>
    <row r="5972" spans="1:9">
      <c r="A5972" s="22" t="str">
        <f>HYPERLINK("https://app.vivvix.com/360/KMI/IntelliDrive/ApplUI/Pages/CreativePages/CustomReportCreativeDetail.aspx?App=23&amp;ReportView=4&amp;Qid=1711279&amp;Row=5964&amp;Col=1","No Title Assigned - #15269841792")</f>
        <v/>
      </c>
      <c r="B5972" s="0" t="s">
        <v>7916</v>
      </c>
      <c r="E5972" s="0" t="inlineStr">
        <is>
          <t xml:space="preserve">Mazda</t>
        </is>
      </c>
      <c r="F5972" s="0" t="s">
        <v>28</v>
      </c>
      <c r="G5972" s="0" t="s">
        <v>29</v>
      </c>
      <c r="H5972" s="5">
        <v>895.835200</v>
      </c>
    </row>
    <row r="5973" spans="1:9">
      <c r="A5973" s="22" t="str">
        <f>HYPERLINK("https://app.vivvix.com/360/KMI/IntelliDrive/ApplUI/Pages/CreativePages/CustomReportCreativeDetail.aspx?App=23&amp;ReportView=4&amp;Qid=1711279&amp;Row=5965&amp;Col=1","No Title Assigned - #15269841792")</f>
        <v/>
      </c>
      <c r="B5973" s="0" t="s">
        <v>7916</v>
      </c>
      <c r="E5973" s="0" t="inlineStr">
        <is>
          <t xml:space="preserve">Mazda</t>
        </is>
      </c>
      <c r="F5973" s="0" t="s">
        <v>28</v>
      </c>
      <c r="G5973" s="0" t="s">
        <v>29</v>
      </c>
      <c r="H5973" s="5">
        <v>12236.838900</v>
      </c>
    </row>
    <row r="5974" spans="1:9">
      <c r="A5974" s="22" t="str">
        <f>HYPERLINK("https://app.vivvix.com/360/KMI/IntelliDrive/ApplUI/Pages/CreativePages/CustomReportCreativeDetail.aspx?App=23&amp;ReportView=4&amp;Qid=1711279&amp;Row=5966&amp;Col=1","No Title Assigned - #15269842338")</f>
        <v/>
      </c>
      <c r="B5974" s="0" t="s">
        <v>7917</v>
      </c>
      <c r="C5974" s="0" t="s">
        <v>7918</v>
      </c>
      <c r="D5974" s="0" t="s">
        <v>7918</v>
      </c>
      <c r="E5974" s="0" t="inlineStr">
        <is>
          <t xml:space="preserve">Mazda</t>
        </is>
      </c>
      <c r="F5974" s="0" t="s">
        <v>13</v>
      </c>
      <c r="G5974" s="0" t="s">
        <v>49</v>
      </c>
      <c r="H5974" s="5">
        <v>173.390800</v>
      </c>
    </row>
    <row r="5975" spans="1:9">
      <c r="A5975" s="22" t="str">
        <f>HYPERLINK("https://app.vivvix.com/360/KMI/IntelliDrive/ApplUI/Pages/CreativePages/CustomReportCreativeDetail.aspx?App=23&amp;ReportView=4&amp;Qid=1711279&amp;Row=5967&amp;Col=1","No Title Assigned - #15269842666")</f>
        <v/>
      </c>
      <c r="B5975" s="0" t="s">
        <v>7919</v>
      </c>
      <c r="C5975" s="0" t="s">
        <v>7920</v>
      </c>
      <c r="D5975" s="0" t="s">
        <v>7920</v>
      </c>
      <c r="E5975" s="0" t="inlineStr">
        <is>
          <t xml:space="preserve">Mazda</t>
        </is>
      </c>
      <c r="F5975" s="0" t="s">
        <v>28</v>
      </c>
      <c r="G5975" s="0" t="s">
        <v>29</v>
      </c>
      <c r="H5975" s="5">
        <v>3613.479800</v>
      </c>
    </row>
    <row r="5976" spans="1:9">
      <c r="A5976" s="22" t="str">
        <f>HYPERLINK("https://app.vivvix.com/360/KMI/IntelliDrive/ApplUI/Pages/CreativePages/CustomReportCreativeDetail.aspx?App=23&amp;ReportView=4&amp;Qid=1711279&amp;Row=5968&amp;Col=1","No Title Assigned - #15269842666")</f>
        <v/>
      </c>
      <c r="B5976" s="0" t="s">
        <v>7919</v>
      </c>
      <c r="E5976" s="0" t="inlineStr">
        <is>
          <t xml:space="preserve">Mazda</t>
        </is>
      </c>
      <c r="F5976" s="0" t="s">
        <v>28</v>
      </c>
      <c r="G5976" s="0" t="s">
        <v>29</v>
      </c>
      <c r="H5976" s="5">
        <v>1397.429600</v>
      </c>
    </row>
    <row r="5977" spans="1:9">
      <c r="A5977" s="22" t="str">
        <f>HYPERLINK("https://app.vivvix.com/360/KMI/IntelliDrive/ApplUI/Pages/CreativePages/CustomReportCreativeDetail.aspx?App=23&amp;ReportView=4&amp;Qid=1711279&amp;Row=5969&amp;Col=1","No Title Assigned - #15269843066")</f>
        <v/>
      </c>
      <c r="B5977" s="0" t="s">
        <v>7921</v>
      </c>
      <c r="C5977" s="0" t="s">
        <v>7922</v>
      </c>
      <c r="D5977" s="0" t="s">
        <v>7922</v>
      </c>
      <c r="E5977" s="0" t="inlineStr">
        <is>
          <t xml:space="preserve">Mazda</t>
        </is>
      </c>
      <c r="F5977" s="0" t="s">
        <v>13</v>
      </c>
      <c r="G5977" s="0" t="s">
        <v>49</v>
      </c>
      <c r="H5977" s="5">
        <v>372.754400</v>
      </c>
    </row>
    <row r="5978" spans="1:9">
      <c r="A5978" s="22" t="str">
        <f>HYPERLINK("https://app.vivvix.com/360/KMI/IntelliDrive/ApplUI/Pages/CreativePages/CustomReportCreativeDetail.aspx?App=23&amp;ReportView=4&amp;Qid=1711279&amp;Row=5970&amp;Col=1","No Title Assigned - #15269843066")</f>
        <v/>
      </c>
      <c r="B5978" s="0" t="s">
        <v>7921</v>
      </c>
      <c r="E5978" s="0" t="inlineStr">
        <is>
          <t xml:space="preserve">Mazda</t>
        </is>
      </c>
      <c r="F5978" s="0" t="s">
        <v>13</v>
      </c>
      <c r="G5978" s="0" t="s">
        <v>49</v>
      </c>
      <c r="H5978" s="5">
        <v>137.850400</v>
      </c>
    </row>
    <row r="5979" spans="1:9">
      <c r="A5979" s="22" t="str">
        <f>HYPERLINK("https://app.vivvix.com/360/KMI/IntelliDrive/ApplUI/Pages/CreativePages/CustomReportCreativeDetail.aspx?App=23&amp;ReportView=4&amp;Qid=1711279&amp;Row=5971&amp;Col=1","No Title Assigned - #15269843566")</f>
        <v/>
      </c>
      <c r="B5979" s="0" t="s">
        <v>7923</v>
      </c>
      <c r="E5979" s="0" t="inlineStr">
        <is>
          <t xml:space="preserve">Mazda</t>
        </is>
      </c>
      <c r="F5979" s="0" t="inlineStr">
        <is>
          <t xml:space="preserve">Mazda</t>
        </is>
      </c>
      <c r="G5979" s="0" t="s">
        <v>171</v>
      </c>
      <c r="H5979" s="5">
        <v>34.368500</v>
      </c>
    </row>
    <row r="5980" spans="1:9">
      <c r="A5980" s="22" t="str">
        <f>HYPERLINK("https://app.vivvix.com/360/KMI/IntelliDrive/ApplUI/Pages/CreativePages/CustomReportCreativeDetail.aspx?App=23&amp;ReportView=4&amp;Qid=1711279&amp;Row=5972&amp;Col=1","No Title Assigned - #15269843993")</f>
        <v/>
      </c>
      <c r="B5980" s="0" t="s">
        <v>7924</v>
      </c>
      <c r="E5980" s="0" t="inlineStr">
        <is>
          <t xml:space="preserve">Mazda</t>
        </is>
      </c>
      <c r="F5980" s="0" t="inlineStr">
        <is>
          <t xml:space="preserve">Mazda</t>
        </is>
      </c>
      <c r="G5980" s="0" t="s">
        <v>171</v>
      </c>
      <c r="H5980" s="5">
        <v>543.766400</v>
      </c>
    </row>
    <row r="5981" spans="1:9">
      <c r="A5981" s="22" t="str">
        <f>HYPERLINK("https://app.vivvix.com/360/KMI/IntelliDrive/ApplUI/Pages/CreativePages/CustomReportCreativeDetail.aspx?App=23&amp;ReportView=4&amp;Qid=1711279&amp;Row=5973&amp;Col=1","No Title Assigned - #15269844066")</f>
        <v/>
      </c>
      <c r="B5981" s="0" t="s">
        <v>7925</v>
      </c>
      <c r="E5981" s="0" t="inlineStr">
        <is>
          <t xml:space="preserve">Mazda</t>
        </is>
      </c>
      <c r="F5981" s="0" t="inlineStr">
        <is>
          <t xml:space="preserve">Mazda</t>
        </is>
      </c>
      <c r="G5981" s="0" t="s">
        <v>171</v>
      </c>
      <c r="H5981" s="5">
        <v>8.973800</v>
      </c>
    </row>
    <row r="5982" spans="1:9">
      <c r="A5982" s="22" t="str">
        <f>HYPERLINK("https://app.vivvix.com/360/KMI/IntelliDrive/ApplUI/Pages/CreativePages/CustomReportCreativeDetail.aspx?App=23&amp;ReportView=4&amp;Qid=1711279&amp;Row=5974&amp;Col=1","No Title Assigned - #15269844434")</f>
        <v/>
      </c>
      <c r="B5982" s="0" t="s">
        <v>7926</v>
      </c>
      <c r="E5982" s="0" t="inlineStr">
        <is>
          <t xml:space="preserve">Mazda</t>
        </is>
      </c>
      <c r="F5982" s="0" t="inlineStr">
        <is>
          <t xml:space="preserve">Mazda</t>
        </is>
      </c>
      <c r="G5982" s="0" t="s">
        <v>171</v>
      </c>
      <c r="H5982" s="5">
        <v>22.481800</v>
      </c>
    </row>
    <row r="5983" spans="1:9">
      <c r="A5983" s="22" t="str">
        <f>HYPERLINK("https://app.vivvix.com/360/KMI/IntelliDrive/ApplUI/Pages/CreativePages/CustomReportCreativeDetail.aspx?App=23&amp;ReportView=4&amp;Qid=1711279&amp;Row=5975&amp;Col=1","No Title Assigned - #15269845086")</f>
        <v/>
      </c>
      <c r="B5983" s="0" t="s">
        <v>7927</v>
      </c>
      <c r="E5983" s="0" t="inlineStr">
        <is>
          <t xml:space="preserve">Mazda</t>
        </is>
      </c>
      <c r="F5983" s="0" t="inlineStr">
        <is>
          <t xml:space="preserve">Mazda</t>
        </is>
      </c>
      <c r="G5983" s="0" t="s">
        <v>171</v>
      </c>
      <c r="H5983" s="5">
        <v>12.036800</v>
      </c>
    </row>
    <row r="5984" spans="1:9">
      <c r="A5984" s="22" t="str">
        <f>HYPERLINK("https://app.vivvix.com/360/KMI/IntelliDrive/ApplUI/Pages/CreativePages/CustomReportCreativeDetail.aspx?App=23&amp;ReportView=4&amp;Qid=1711279&amp;Row=5976&amp;Col=1","No Title Assigned - #15269845349")</f>
        <v/>
      </c>
      <c r="B5984" s="0" t="s">
        <v>7928</v>
      </c>
      <c r="E5984" s="0" t="inlineStr">
        <is>
          <t xml:space="preserve">Mazda</t>
        </is>
      </c>
      <c r="F5984" s="0" t="inlineStr">
        <is>
          <t xml:space="preserve">Mazda</t>
        </is>
      </c>
      <c r="G5984" s="0" t="s">
        <v>171</v>
      </c>
      <c r="H5984" s="5">
        <v>20.178800</v>
      </c>
    </row>
    <row r="5985" spans="1:9">
      <c r="A5985" s="22" t="str">
        <f>HYPERLINK("https://app.vivvix.com/360/KMI/IntelliDrive/ApplUI/Pages/CreativePages/CustomReportCreativeDetail.aspx?App=23&amp;ReportView=4&amp;Qid=1711279&amp;Row=5977&amp;Col=1","No Title Assigned - #15269845913")</f>
        <v/>
      </c>
      <c r="B5985" s="0" t="s">
        <v>7929</v>
      </c>
      <c r="E5985" s="0" t="inlineStr">
        <is>
          <t xml:space="preserve">Mazda</t>
        </is>
      </c>
      <c r="F5985" s="0" t="inlineStr">
        <is>
          <t xml:space="preserve">Mazda</t>
        </is>
      </c>
      <c r="G5985" s="0" t="s">
        <v>171</v>
      </c>
      <c r="H5985" s="5">
        <v>45.957600</v>
      </c>
    </row>
    <row r="5986" spans="1:9">
      <c r="A5986" s="22" t="str">
        <f>HYPERLINK("https://app.vivvix.com/360/KMI/IntelliDrive/ApplUI/Pages/CreativePages/CustomReportCreativeDetail.aspx?App=23&amp;ReportView=4&amp;Qid=1711279&amp;Row=5978&amp;Col=1","No Title Assigned - #15269846066")</f>
        <v/>
      </c>
      <c r="B5986" s="0" t="s">
        <v>7930</v>
      </c>
      <c r="E5986" s="0" t="inlineStr">
        <is>
          <t xml:space="preserve">Mazda</t>
        </is>
      </c>
      <c r="F5986" s="0" t="inlineStr">
        <is>
          <t xml:space="preserve">Mazda</t>
        </is>
      </c>
      <c r="G5986" s="0" t="s">
        <v>171</v>
      </c>
      <c r="H5986" s="5">
        <v>394.506700</v>
      </c>
    </row>
    <row r="5987" spans="1:9">
      <c r="A5987" s="22" t="str">
        <f>HYPERLINK("https://app.vivvix.com/360/KMI/IntelliDrive/ApplUI/Pages/CreativePages/CustomReportCreativeDetail.aspx?App=23&amp;ReportView=4&amp;Qid=1711279&amp;Row=5979&amp;Col=1","No Title Assigned - #15269846248")</f>
        <v/>
      </c>
      <c r="B5987" s="0" t="s">
        <v>7931</v>
      </c>
      <c r="E5987" s="0" t="inlineStr">
        <is>
          <t xml:space="preserve">Mazda</t>
        </is>
      </c>
      <c r="F5987" s="0" t="inlineStr">
        <is>
          <t xml:space="preserve">Mazda</t>
        </is>
      </c>
      <c r="G5987" s="0" t="s">
        <v>171</v>
      </c>
      <c r="H5987" s="5">
        <v>37.404500</v>
      </c>
    </row>
    <row r="5988" spans="1:9">
      <c r="A5988" s="22" t="str">
        <f>HYPERLINK("https://app.vivvix.com/360/KMI/IntelliDrive/ApplUI/Pages/CreativePages/CustomReportCreativeDetail.aspx?App=23&amp;ReportView=4&amp;Qid=1711279&amp;Row=5980&amp;Col=1","No Title Assigned - #15269846262")</f>
        <v/>
      </c>
      <c r="B5988" s="0" t="s">
        <v>7932</v>
      </c>
      <c r="E5988" s="0" t="inlineStr">
        <is>
          <t xml:space="preserve">Mazda</t>
        </is>
      </c>
      <c r="F5988" s="0" t="inlineStr">
        <is>
          <t xml:space="preserve">Mazda</t>
        </is>
      </c>
      <c r="G5988" s="0" t="s">
        <v>171</v>
      </c>
      <c r="H5988" s="5">
        <v>19.522700</v>
      </c>
    </row>
    <row r="5989" spans="1:9">
      <c r="A5989" s="22" t="str">
        <f>HYPERLINK("https://app.vivvix.com/360/KMI/IntelliDrive/ApplUI/Pages/CreativePages/CustomReportCreativeDetail.aspx?App=23&amp;ReportView=4&amp;Qid=1711279&amp;Row=5981&amp;Col=1","No Title Assigned - #15269846289")</f>
        <v/>
      </c>
      <c r="B5989" s="0" t="s">
        <v>7933</v>
      </c>
      <c r="E5989" s="0" t="inlineStr">
        <is>
          <t xml:space="preserve">Mazda</t>
        </is>
      </c>
      <c r="F5989" s="0" t="inlineStr">
        <is>
          <t xml:space="preserve">Mazda</t>
        </is>
      </c>
      <c r="G5989" s="0" t="s">
        <v>171</v>
      </c>
      <c r="H5989" s="5">
        <v>151.266900</v>
      </c>
    </row>
    <row r="5990" spans="1:9">
      <c r="A5990" s="22" t="str">
        <f>HYPERLINK("https://app.vivvix.com/360/KMI/IntelliDrive/ApplUI/Pages/CreativePages/CustomReportCreativeDetail.aspx?App=23&amp;ReportView=4&amp;Qid=1711279&amp;Row=5982&amp;Col=1","No Title Assigned - #15269846395")</f>
        <v/>
      </c>
      <c r="B5990" s="0" t="s">
        <v>7934</v>
      </c>
      <c r="E5990" s="0" t="inlineStr">
        <is>
          <t xml:space="preserve">Mazda</t>
        </is>
      </c>
      <c r="F5990" s="0" t="inlineStr">
        <is>
          <t xml:space="preserve">Mazda</t>
        </is>
      </c>
      <c r="G5990" s="0" t="s">
        <v>171</v>
      </c>
      <c r="H5990" s="5">
        <v>87.941100</v>
      </c>
    </row>
    <row r="5991" spans="1:9">
      <c r="A5991" s="22" t="str">
        <f>HYPERLINK("https://app.vivvix.com/360/KMI/IntelliDrive/ApplUI/Pages/CreativePages/CustomReportCreativeDetail.aspx?App=23&amp;ReportView=4&amp;Qid=1711279&amp;Row=5983&amp;Col=1","No Title Assigned - #15269846452")</f>
        <v/>
      </c>
      <c r="B5991" s="0" t="s">
        <v>7935</v>
      </c>
      <c r="C5991" s="0" t="s">
        <v>7936</v>
      </c>
      <c r="D5991" s="0" t="s">
        <v>7936</v>
      </c>
      <c r="E5991" s="0" t="inlineStr">
        <is>
          <t xml:space="preserve">Mazda</t>
        </is>
      </c>
      <c r="F5991" s="0" t="s">
        <v>28</v>
      </c>
      <c r="G5991" s="0" t="s">
        <v>29</v>
      </c>
      <c r="H5991" s="5">
        <v>13.185600</v>
      </c>
    </row>
    <row r="5992" spans="1:9">
      <c r="A5992" s="22" t="str">
        <f>HYPERLINK("https://app.vivvix.com/360/KMI/IntelliDrive/ApplUI/Pages/CreativePages/CustomReportCreativeDetail.aspx?App=23&amp;ReportView=4&amp;Qid=1711279&amp;Row=5984&amp;Col=1","No Title Assigned - #15269846775")</f>
        <v/>
      </c>
      <c r="B5992" s="0" t="s">
        <v>7937</v>
      </c>
      <c r="E5992" s="0" t="inlineStr">
        <is>
          <t xml:space="preserve">Mazda</t>
        </is>
      </c>
      <c r="F5992" s="0" t="inlineStr">
        <is>
          <t xml:space="preserve">Mazda</t>
        </is>
      </c>
      <c r="G5992" s="0" t="s">
        <v>171</v>
      </c>
      <c r="H5992" s="5">
        <v>236.348300</v>
      </c>
    </row>
    <row r="5993" spans="1:9">
      <c r="A5993" s="22" t="str">
        <f>HYPERLINK("https://app.vivvix.com/360/KMI/IntelliDrive/ApplUI/Pages/CreativePages/CustomReportCreativeDetail.aspx?App=23&amp;ReportView=4&amp;Qid=1711279&amp;Row=5985&amp;Col=1","No Title Assigned - #15269847136")</f>
        <v/>
      </c>
      <c r="B5993" s="0" t="s">
        <v>7938</v>
      </c>
      <c r="E5993" s="0" t="inlineStr">
        <is>
          <t xml:space="preserve">Mazda</t>
        </is>
      </c>
      <c r="F5993" s="0" t="inlineStr">
        <is>
          <t xml:space="preserve">Mazda</t>
        </is>
      </c>
      <c r="G5993" s="0" t="s">
        <v>171</v>
      </c>
      <c r="H5993" s="5">
        <v>3.331900</v>
      </c>
    </row>
    <row r="5994" spans="1:9">
      <c r="A5994" s="22" t="str">
        <f>HYPERLINK("https://app.vivvix.com/360/KMI/IntelliDrive/ApplUI/Pages/CreativePages/CustomReportCreativeDetail.aspx?App=23&amp;ReportView=4&amp;Qid=1711279&amp;Row=5986&amp;Col=1","No Title Assigned - #15269847172")</f>
        <v/>
      </c>
      <c r="B5994" s="0" t="s">
        <v>7939</v>
      </c>
      <c r="E5994" s="0" t="inlineStr">
        <is>
          <t xml:space="preserve">Mazda</t>
        </is>
      </c>
      <c r="F5994" s="0" t="inlineStr">
        <is>
          <t xml:space="preserve">Mazda</t>
        </is>
      </c>
      <c r="G5994" s="0" t="s">
        <v>171</v>
      </c>
      <c r="H5994" s="5">
        <v>4.323200</v>
      </c>
    </row>
    <row r="5995" spans="1:9">
      <c r="A5995" s="22" t="str">
        <f>HYPERLINK("https://app.vivvix.com/360/KMI/IntelliDrive/ApplUI/Pages/CreativePages/CustomReportCreativeDetail.aspx?App=23&amp;ReportView=4&amp;Qid=1711279&amp;Row=5987&amp;Col=1","No Title Assigned - #15269847366")</f>
        <v/>
      </c>
      <c r="B5995" s="0" t="s">
        <v>7940</v>
      </c>
      <c r="E5995" s="0" t="inlineStr">
        <is>
          <t xml:space="preserve">Mazda</t>
        </is>
      </c>
      <c r="F5995" s="0" t="inlineStr">
        <is>
          <t xml:space="preserve">Mazda</t>
        </is>
      </c>
      <c r="G5995" s="0" t="s">
        <v>171</v>
      </c>
      <c r="H5995" s="5">
        <v>545.728500</v>
      </c>
    </row>
    <row r="5996" spans="1:9">
      <c r="A5996" s="22" t="str">
        <f>HYPERLINK("https://app.vivvix.com/360/KMI/IntelliDrive/ApplUI/Pages/CreativePages/CustomReportCreativeDetail.aspx?App=23&amp;ReportView=4&amp;Qid=1711279&amp;Row=5988&amp;Col=1","No Title Assigned - #15269847394")</f>
        <v/>
      </c>
      <c r="B5996" s="0" t="s">
        <v>7941</v>
      </c>
      <c r="C5996" s="0" t="s">
        <v>7942</v>
      </c>
      <c r="D5996" s="0" t="s">
        <v>7942</v>
      </c>
      <c r="E5996" s="0" t="inlineStr">
        <is>
          <t xml:space="preserve">Mazda</t>
        </is>
      </c>
      <c r="F5996" s="0" t="inlineStr">
        <is>
          <t xml:space="preserve">Mazda</t>
        </is>
      </c>
      <c r="G5996" s="0" t="s">
        <v>171</v>
      </c>
      <c r="H5996" s="5">
        <v>1193.462200</v>
      </c>
    </row>
    <row r="5997" spans="1:9">
      <c r="A5997" s="22" t="str">
        <f>HYPERLINK("https://app.vivvix.com/360/KMI/IntelliDrive/ApplUI/Pages/CreativePages/CustomReportCreativeDetail.aspx?App=23&amp;ReportView=4&amp;Qid=1711279&amp;Row=5989&amp;Col=1","No Title Assigned - #15269847395")</f>
        <v/>
      </c>
      <c r="B5997" s="0" t="s">
        <v>7943</v>
      </c>
      <c r="E5997" s="0" t="inlineStr">
        <is>
          <t xml:space="preserve">Mazda</t>
        </is>
      </c>
      <c r="F5997" s="0" t="inlineStr">
        <is>
          <t xml:space="preserve">Mazda</t>
        </is>
      </c>
      <c r="G5997" s="0" t="s">
        <v>171</v>
      </c>
      <c r="H5997" s="5">
        <v>265.362600</v>
      </c>
    </row>
    <row r="5998" spans="1:9">
      <c r="A5998" s="22" t="str">
        <f>HYPERLINK("https://app.vivvix.com/360/KMI/IntelliDrive/ApplUI/Pages/CreativePages/CustomReportCreativeDetail.aspx?App=23&amp;ReportView=4&amp;Qid=1711279&amp;Row=5990&amp;Col=1","No Title Assigned - #15269847533")</f>
        <v/>
      </c>
      <c r="B5998" s="0" t="s">
        <v>7944</v>
      </c>
      <c r="E5998" s="0" t="inlineStr">
        <is>
          <t xml:space="preserve">Mazda</t>
        </is>
      </c>
      <c r="F5998" s="0" t="inlineStr">
        <is>
          <t xml:space="preserve">Mazda</t>
        </is>
      </c>
      <c r="G5998" s="0" t="s">
        <v>171</v>
      </c>
      <c r="H5998" s="5">
        <v>12.962100</v>
      </c>
    </row>
    <row r="5999" spans="1:9">
      <c r="A5999" s="22" t="str">
        <f>HYPERLINK("https://app.vivvix.com/360/KMI/IntelliDrive/ApplUI/Pages/CreativePages/CustomReportCreativeDetail.aspx?App=23&amp;ReportView=4&amp;Qid=1711279&amp;Row=5991&amp;Col=1","No Title Assigned - #15269848048")</f>
        <v/>
      </c>
      <c r="B5999" s="0" t="s">
        <v>7945</v>
      </c>
      <c r="E5999" s="0" t="inlineStr">
        <is>
          <t xml:space="preserve">Mazda</t>
        </is>
      </c>
      <c r="F5999" s="0" t="inlineStr">
        <is>
          <t xml:space="preserve">Mazda</t>
        </is>
      </c>
      <c r="G5999" s="0" t="s">
        <v>171</v>
      </c>
      <c r="H5999" s="5">
        <v>77.244900</v>
      </c>
    </row>
    <row r="6000" spans="1:9">
      <c r="A6000" s="22" t="str">
        <f>HYPERLINK("https://app.vivvix.com/360/KMI/IntelliDrive/ApplUI/Pages/CreativePages/CustomReportCreativeDetail.aspx?App=23&amp;ReportView=4&amp;Qid=1711279&amp;Row=5992&amp;Col=1","No Title Assigned - #15269848099")</f>
        <v/>
      </c>
      <c r="B6000" s="0" t="s">
        <v>7946</v>
      </c>
      <c r="E6000" s="0" t="inlineStr">
        <is>
          <t xml:space="preserve">Mazda</t>
        </is>
      </c>
      <c r="F6000" s="0" t="inlineStr">
        <is>
          <t xml:space="preserve">Mazda</t>
        </is>
      </c>
      <c r="G6000" s="0" t="s">
        <v>171</v>
      </c>
      <c r="H6000" s="5">
        <v>182.257600</v>
      </c>
    </row>
    <row r="6001" spans="1:9">
      <c r="A6001" s="22" t="str">
        <f>HYPERLINK("https://app.vivvix.com/360/KMI/IntelliDrive/ApplUI/Pages/CreativePages/CustomReportCreativeDetail.aspx?App=23&amp;ReportView=4&amp;Qid=1711279&amp;Row=5993&amp;Col=1","No Title Assigned - #15269848100")</f>
        <v/>
      </c>
      <c r="B6001" s="0" t="s">
        <v>7947</v>
      </c>
      <c r="E6001" s="0" t="inlineStr">
        <is>
          <t xml:space="preserve">Mazda</t>
        </is>
      </c>
      <c r="F6001" s="0" t="inlineStr">
        <is>
          <t xml:space="preserve">Mazda</t>
        </is>
      </c>
      <c r="G6001" s="0" t="s">
        <v>171</v>
      </c>
      <c r="H6001" s="5">
        <v>10.722000</v>
      </c>
    </row>
    <row r="6002" spans="1:9">
      <c r="A6002" s="22" t="str">
        <f>HYPERLINK("https://app.vivvix.com/360/KMI/IntelliDrive/ApplUI/Pages/CreativePages/CustomReportCreativeDetail.aspx?App=23&amp;ReportView=4&amp;Qid=1711279&amp;Row=5994&amp;Col=1","No Title Assigned - #15269848175")</f>
        <v/>
      </c>
      <c r="B6002" s="0" t="s">
        <v>7948</v>
      </c>
      <c r="C6002" s="0" t="s">
        <v>7949</v>
      </c>
      <c r="D6002" s="0" t="s">
        <v>7949</v>
      </c>
      <c r="E6002" s="0" t="inlineStr">
        <is>
          <t xml:space="preserve">Mazda</t>
        </is>
      </c>
      <c r="F6002" s="0" t="inlineStr">
        <is>
          <t xml:space="preserve">Mazda</t>
        </is>
      </c>
      <c r="G6002" s="0" t="s">
        <v>171</v>
      </c>
      <c r="H6002" s="5">
        <v>8488.723600</v>
      </c>
    </row>
    <row r="6003" spans="1:9">
      <c r="A6003" s="22" t="str">
        <f>HYPERLINK("https://app.vivvix.com/360/KMI/IntelliDrive/ApplUI/Pages/CreativePages/CustomReportCreativeDetail.aspx?App=23&amp;ReportView=4&amp;Qid=1711279&amp;Row=5995&amp;Col=1","No Title Assigned - #15269848175")</f>
        <v/>
      </c>
      <c r="B6003" s="0" t="s">
        <v>7948</v>
      </c>
      <c r="E6003" s="0" t="inlineStr">
        <is>
          <t xml:space="preserve">Mazda</t>
        </is>
      </c>
      <c r="F6003" s="0" t="inlineStr">
        <is>
          <t xml:space="preserve">Mazda</t>
        </is>
      </c>
      <c r="G6003" s="0" t="s">
        <v>171</v>
      </c>
      <c r="H6003" s="5">
        <v>591.068000</v>
      </c>
    </row>
    <row r="6004" spans="1:9">
      <c r="A6004" s="22" t="str">
        <f>HYPERLINK("https://app.vivvix.com/360/KMI/IntelliDrive/ApplUI/Pages/CreativePages/CustomReportCreativeDetail.aspx?App=23&amp;ReportView=4&amp;Qid=1711279&amp;Row=5996&amp;Col=1","No Title Assigned - #15269848419")</f>
        <v/>
      </c>
      <c r="B6004" s="0" t="s">
        <v>7950</v>
      </c>
      <c r="E6004" s="0" t="inlineStr">
        <is>
          <t xml:space="preserve">Mazda</t>
        </is>
      </c>
      <c r="F6004" s="0" t="inlineStr">
        <is>
          <t xml:space="preserve">Mazda</t>
        </is>
      </c>
      <c r="G6004" s="0" t="s">
        <v>171</v>
      </c>
      <c r="H6004" s="5">
        <v>158.308300</v>
      </c>
    </row>
    <row r="6005" spans="1:9">
      <c r="A6005" s="22" t="str">
        <f>HYPERLINK("https://app.vivvix.com/360/KMI/IntelliDrive/ApplUI/Pages/CreativePages/CustomReportCreativeDetail.aspx?App=23&amp;ReportView=4&amp;Qid=1711279&amp;Row=5997&amp;Col=1","No Title Assigned - #15269848583")</f>
        <v/>
      </c>
      <c r="B6005" s="0" t="s">
        <v>7951</v>
      </c>
      <c r="E6005" s="0" t="inlineStr">
        <is>
          <t xml:space="preserve">Mazda</t>
        </is>
      </c>
      <c r="F6005" s="0" t="inlineStr">
        <is>
          <t xml:space="preserve">Mazda</t>
        </is>
      </c>
      <c r="G6005" s="0" t="s">
        <v>171</v>
      </c>
      <c r="H6005" s="5">
        <v>9.561400</v>
      </c>
    </row>
    <row r="6006" spans="1:9">
      <c r="A6006" s="22" t="str">
        <f>HYPERLINK("https://app.vivvix.com/360/KMI/IntelliDrive/ApplUI/Pages/CreativePages/CustomReportCreativeDetail.aspx?App=23&amp;ReportView=4&amp;Qid=1711279&amp;Row=5998&amp;Col=1","No Title Assigned - #15269848636")</f>
        <v/>
      </c>
      <c r="B6006" s="0" t="s">
        <v>7952</v>
      </c>
      <c r="E6006" s="0" t="inlineStr">
        <is>
          <t xml:space="preserve">Mazda</t>
        </is>
      </c>
      <c r="F6006" s="0" t="inlineStr">
        <is>
          <t xml:space="preserve">Mazda</t>
        </is>
      </c>
      <c r="G6006" s="0" t="s">
        <v>171</v>
      </c>
      <c r="H6006" s="5">
        <v>11872.945300</v>
      </c>
    </row>
    <row r="6007" spans="1:9">
      <c r="A6007" s="22" t="str">
        <f>HYPERLINK("https://app.vivvix.com/360/KMI/IntelliDrive/ApplUI/Pages/CreativePages/CustomReportCreativeDetail.aspx?App=23&amp;ReportView=4&amp;Qid=1711279&amp;Row=5999&amp;Col=1","No Title Assigned - #15269848842")</f>
        <v/>
      </c>
      <c r="B6007" s="0" t="s">
        <v>7953</v>
      </c>
      <c r="E6007" s="0" t="inlineStr">
        <is>
          <t xml:space="preserve">Mazda</t>
        </is>
      </c>
      <c r="F6007" s="0" t="inlineStr">
        <is>
          <t xml:space="preserve">Mazda</t>
        </is>
      </c>
      <c r="G6007" s="0" t="s">
        <v>171</v>
      </c>
      <c r="H6007" s="5">
        <v>21.836000</v>
      </c>
    </row>
    <row r="6008" spans="1:9">
      <c r="A6008" s="22" t="str">
        <f>HYPERLINK("https://app.vivvix.com/360/KMI/IntelliDrive/ApplUI/Pages/CreativePages/CustomReportCreativeDetail.aspx?App=23&amp;ReportView=4&amp;Qid=1711279&amp;Row=6000&amp;Col=1","No Title Assigned - #15269848843")</f>
        <v/>
      </c>
      <c r="B6008" s="0" t="s">
        <v>7954</v>
      </c>
      <c r="E6008" s="0" t="inlineStr">
        <is>
          <t xml:space="preserve">Mazda</t>
        </is>
      </c>
      <c r="F6008" s="0" t="inlineStr">
        <is>
          <t xml:space="preserve">Mazda</t>
        </is>
      </c>
      <c r="G6008" s="0" t="s">
        <v>171</v>
      </c>
      <c r="H6008" s="5">
        <v>10.918000</v>
      </c>
    </row>
    <row r="6009" spans="1:9">
      <c r="A6009" s="22" t="str">
        <f>HYPERLINK("https://app.vivvix.com/360/KMI/IntelliDrive/ApplUI/Pages/CreativePages/CustomReportCreativeDetail.aspx?App=23&amp;ReportView=4&amp;Qid=1711279&amp;Row=6001&amp;Col=1","No Title Assigned - #15269849254")</f>
        <v/>
      </c>
      <c r="B6009" s="0" t="s">
        <v>7955</v>
      </c>
      <c r="E6009" s="0" t="inlineStr">
        <is>
          <t xml:space="preserve">Mazda</t>
        </is>
      </c>
      <c r="F6009" s="0" t="inlineStr">
        <is>
          <t xml:space="preserve">Mazda</t>
        </is>
      </c>
      <c r="G6009" s="0" t="s">
        <v>171</v>
      </c>
      <c r="H6009" s="5">
        <v>249.444700</v>
      </c>
    </row>
    <row r="6010" spans="1:9">
      <c r="A6010" s="22" t="str">
        <f>HYPERLINK("https://app.vivvix.com/360/KMI/IntelliDrive/ApplUI/Pages/CreativePages/CustomReportCreativeDetail.aspx?App=23&amp;ReportView=4&amp;Qid=1711279&amp;Row=6002&amp;Col=1","No Title Assigned - #15269849327")</f>
        <v/>
      </c>
      <c r="B6010" s="0" t="s">
        <v>7956</v>
      </c>
      <c r="E6010" s="0" t="inlineStr">
        <is>
          <t xml:space="preserve">Mazda</t>
        </is>
      </c>
      <c r="F6010" s="0" t="s">
        <v>3108</v>
      </c>
      <c r="G6010" s="0" t="s">
        <v>7957</v>
      </c>
      <c r="H6010" s="5">
        <v>418.656600</v>
      </c>
    </row>
    <row r="6011" spans="1:9">
      <c r="A6011" s="22" t="str">
        <f>HYPERLINK("https://app.vivvix.com/360/KMI/IntelliDrive/ApplUI/Pages/CreativePages/CustomReportCreativeDetail.aspx?App=23&amp;ReportView=4&amp;Qid=1711279&amp;Row=6003&amp;Col=1","No Title Assigned - #15269852429")</f>
        <v/>
      </c>
      <c r="B6011" s="0" t="s">
        <v>7958</v>
      </c>
      <c r="E6011" s="0" t="inlineStr">
        <is>
          <t xml:space="preserve">Mazda</t>
        </is>
      </c>
      <c r="F6011" s="0" t="s">
        <v>28</v>
      </c>
      <c r="G6011" s="0" t="s">
        <v>29</v>
      </c>
      <c r="H6011" s="5">
        <v>30.172500</v>
      </c>
    </row>
    <row r="6012" spans="1:9">
      <c r="A6012" s="22" t="str">
        <f>HYPERLINK("https://app.vivvix.com/360/KMI/IntelliDrive/ApplUI/Pages/CreativePages/CustomReportCreativeDetail.aspx?App=23&amp;ReportView=4&amp;Qid=1711279&amp;Row=6004&amp;Col=1","No Title Assigned - #15269852998")</f>
        <v/>
      </c>
      <c r="B6012" s="0" t="s">
        <v>7959</v>
      </c>
      <c r="E6012" s="0" t="inlineStr">
        <is>
          <t xml:space="preserve">Mazda</t>
        </is>
      </c>
      <c r="F6012" s="0" t="s">
        <v>28</v>
      </c>
      <c r="G6012" s="0" t="s">
        <v>29</v>
      </c>
      <c r="H6012" s="5">
        <v>213.768800</v>
      </c>
    </row>
    <row r="6013" spans="1:9">
      <c r="A6013" s="22" t="str">
        <f>HYPERLINK("https://app.vivvix.com/360/KMI/IntelliDrive/ApplUI/Pages/CreativePages/CustomReportCreativeDetail.aspx?App=23&amp;ReportView=4&amp;Qid=1711279&amp;Row=6005&amp;Col=1","No Title Assigned - #15269853099")</f>
        <v/>
      </c>
      <c r="B6013" s="0" t="s">
        <v>7960</v>
      </c>
      <c r="E6013" s="0" t="inlineStr">
        <is>
          <t xml:space="preserve">Mazda</t>
        </is>
      </c>
      <c r="F6013" s="0" t="s">
        <v>28</v>
      </c>
      <c r="G6013" s="0" t="s">
        <v>29</v>
      </c>
      <c r="H6013" s="5">
        <v>351.055100</v>
      </c>
    </row>
    <row r="6014" spans="1:9">
      <c r="A6014" s="22" t="str">
        <f>HYPERLINK("https://app.vivvix.com/360/KMI/IntelliDrive/ApplUI/Pages/CreativePages/CustomReportCreativeDetail.aspx?App=23&amp;ReportView=4&amp;Qid=1711279&amp;Row=6006&amp;Col=1","No Title Assigned - #15269853245")</f>
        <v/>
      </c>
      <c r="B6014" s="0" t="s">
        <v>7961</v>
      </c>
      <c r="E6014" s="0" t="inlineStr">
        <is>
          <t xml:space="preserve">Mazda</t>
        </is>
      </c>
      <c r="F6014" s="0" t="s">
        <v>28</v>
      </c>
      <c r="G6014" s="0" t="s">
        <v>29</v>
      </c>
      <c r="H6014" s="5">
        <v>18.878000</v>
      </c>
    </row>
    <row r="6015" spans="1:9">
      <c r="A6015" s="22" t="str">
        <f>HYPERLINK("https://app.vivvix.com/360/KMI/IntelliDrive/ApplUI/Pages/CreativePages/CustomReportCreativeDetail.aspx?App=23&amp;ReportView=4&amp;Qid=1711279&amp;Row=6007&amp;Col=1","No Title Assigned - #15269853550")</f>
        <v/>
      </c>
      <c r="B6015" s="0" t="s">
        <v>7962</v>
      </c>
      <c r="E6015" s="0" t="inlineStr">
        <is>
          <t xml:space="preserve">Mazda</t>
        </is>
      </c>
      <c r="F6015" s="0" t="s">
        <v>28</v>
      </c>
      <c r="G6015" s="0" t="s">
        <v>29</v>
      </c>
      <c r="H6015" s="5">
        <v>85.462400</v>
      </c>
    </row>
    <row r="6016" spans="1:9">
      <c r="A6016" s="22" t="str">
        <f>HYPERLINK("https://app.vivvix.com/360/KMI/IntelliDrive/ApplUI/Pages/CreativePages/CustomReportCreativeDetail.aspx?App=23&amp;ReportView=4&amp;Qid=1711279&amp;Row=6008&amp;Col=1","No Title Assigned - #15269853552")</f>
        <v/>
      </c>
      <c r="B6016" s="0" t="s">
        <v>7963</v>
      </c>
      <c r="E6016" s="0" t="inlineStr">
        <is>
          <t xml:space="preserve">Mazda</t>
        </is>
      </c>
      <c r="F6016" s="0" t="s">
        <v>28</v>
      </c>
      <c r="G6016" s="0" t="s">
        <v>29</v>
      </c>
      <c r="H6016" s="5">
        <v>42.731200</v>
      </c>
    </row>
    <row r="6017" spans="1:9">
      <c r="A6017" s="22" t="str">
        <f>HYPERLINK("https://app.vivvix.com/360/KMI/IntelliDrive/ApplUI/Pages/CreativePages/CustomReportCreativeDetail.aspx?App=23&amp;ReportView=4&amp;Qid=1711279&amp;Row=6009&amp;Col=1","No Title Assigned - #15269853553")</f>
        <v/>
      </c>
      <c r="B6017" s="0" t="s">
        <v>7964</v>
      </c>
      <c r="E6017" s="0" t="inlineStr">
        <is>
          <t xml:space="preserve">Mazda</t>
        </is>
      </c>
      <c r="F6017" s="0" t="s">
        <v>28</v>
      </c>
      <c r="G6017" s="0" t="s">
        <v>29</v>
      </c>
      <c r="H6017" s="5">
        <v>2129.098400</v>
      </c>
    </row>
    <row r="6018" spans="1:9">
      <c r="A6018" s="22" t="str">
        <f>HYPERLINK("https://app.vivvix.com/360/KMI/IntelliDrive/ApplUI/Pages/CreativePages/CustomReportCreativeDetail.aspx?App=23&amp;ReportView=4&amp;Qid=1711279&amp;Row=6010&amp;Col=1","No Title Assigned - #15269853609")</f>
        <v/>
      </c>
      <c r="B6018" s="0" t="s">
        <v>7965</v>
      </c>
      <c r="C6018" s="0" t="s">
        <v>7966</v>
      </c>
      <c r="D6018" s="0" t="s">
        <v>7966</v>
      </c>
      <c r="E6018" s="0" t="inlineStr">
        <is>
          <t xml:space="preserve">Mazda</t>
        </is>
      </c>
      <c r="F6018" s="0" t="s">
        <v>13</v>
      </c>
      <c r="G6018" s="0" t="s">
        <v>49</v>
      </c>
      <c r="H6018" s="5">
        <v>6576.792900</v>
      </c>
    </row>
    <row r="6019" spans="1:9">
      <c r="A6019" s="22" t="str">
        <f>HYPERLINK("https://app.vivvix.com/360/KMI/IntelliDrive/ApplUI/Pages/CreativePages/CustomReportCreativeDetail.aspx?App=23&amp;ReportView=4&amp;Qid=1711279&amp;Row=6011&amp;Col=1","No Title Assigned - #15269854007")</f>
        <v/>
      </c>
      <c r="B6019" s="0" t="s">
        <v>7967</v>
      </c>
      <c r="E6019" s="0" t="inlineStr">
        <is>
          <t xml:space="preserve">Mazda</t>
        </is>
      </c>
      <c r="F6019" s="0" t="s">
        <v>28</v>
      </c>
      <c r="G6019" s="0" t="s">
        <v>29</v>
      </c>
      <c r="H6019" s="5">
        <v>929.925200</v>
      </c>
    </row>
    <row r="6020" spans="1:9">
      <c r="A6020" s="22" t="str">
        <f>HYPERLINK("https://app.vivvix.com/360/KMI/IntelliDrive/ApplUI/Pages/CreativePages/CustomReportCreativeDetail.aspx?App=23&amp;ReportView=4&amp;Qid=1711279&amp;Row=6012&amp;Col=1","No Title Assigned - #15269854064")</f>
        <v/>
      </c>
      <c r="B6020" s="0" t="s">
        <v>7968</v>
      </c>
      <c r="C6020" s="0" t="s">
        <v>7969</v>
      </c>
      <c r="D6020" s="0" t="s">
        <v>7969</v>
      </c>
      <c r="E6020" s="0" t="inlineStr">
        <is>
          <t xml:space="preserve">Mazda</t>
        </is>
      </c>
      <c r="F6020" s="0" t="s">
        <v>13</v>
      </c>
      <c r="G6020" s="0" t="s">
        <v>49</v>
      </c>
      <c r="H6020" s="5">
        <v>2787.542200</v>
      </c>
    </row>
    <row r="6021" spans="1:9">
      <c r="A6021" s="22" t="str">
        <f>HYPERLINK("https://app.vivvix.com/360/KMI/IntelliDrive/ApplUI/Pages/CreativePages/CustomReportCreativeDetail.aspx?App=23&amp;ReportView=4&amp;Qid=1711279&amp;Row=6013&amp;Col=1","No Title Assigned - #15269854064")</f>
        <v/>
      </c>
      <c r="B6021" s="0" t="s">
        <v>7968</v>
      </c>
      <c r="E6021" s="0" t="inlineStr">
        <is>
          <t xml:space="preserve">Mazda</t>
        </is>
      </c>
      <c r="F6021" s="0" t="s">
        <v>13</v>
      </c>
      <c r="G6021" s="0" t="s">
        <v>49</v>
      </c>
      <c r="H6021" s="5">
        <v>33.435300</v>
      </c>
    </row>
    <row r="6022" spans="1:9">
      <c r="A6022" s="22" t="str">
        <f>HYPERLINK("https://app.vivvix.com/360/KMI/IntelliDrive/ApplUI/Pages/CreativePages/CustomReportCreativeDetail.aspx?App=23&amp;ReportView=4&amp;Qid=1711279&amp;Row=6014&amp;Col=1","No Title Assigned - #15269854089")</f>
        <v/>
      </c>
      <c r="B6022" s="0" t="s">
        <v>7970</v>
      </c>
      <c r="E6022" s="0" t="inlineStr">
        <is>
          <t xml:space="preserve">Mazda</t>
        </is>
      </c>
      <c r="F6022" s="0" t="inlineStr">
        <is>
          <t xml:space="preserve">Mazda</t>
        </is>
      </c>
      <c r="G6022" s="0" t="s">
        <v>171</v>
      </c>
      <c r="H6022" s="5">
        <v>10.918000</v>
      </c>
    </row>
    <row r="6023" spans="1:9">
      <c r="A6023" s="22" t="str">
        <f>HYPERLINK("https://app.vivvix.com/360/KMI/IntelliDrive/ApplUI/Pages/CreativePages/CustomReportCreativeDetail.aspx?App=23&amp;ReportView=4&amp;Qid=1711279&amp;Row=6015&amp;Col=1","No Title Assigned - #15269854754")</f>
        <v/>
      </c>
      <c r="B6023" s="0" t="s">
        <v>7971</v>
      </c>
      <c r="E6023" s="0" t="inlineStr">
        <is>
          <t xml:space="preserve">Mazda</t>
        </is>
      </c>
      <c r="F6023" s="0" t="inlineStr">
        <is>
          <t xml:space="preserve">Mazda</t>
        </is>
      </c>
      <c r="G6023" s="0" t="s">
        <v>171</v>
      </c>
      <c r="H6023" s="5">
        <v>124.141600</v>
      </c>
    </row>
    <row r="6024" spans="1:9">
      <c r="A6024" s="22" t="str">
        <f>HYPERLINK("https://app.vivvix.com/360/KMI/IntelliDrive/ApplUI/Pages/CreativePages/CustomReportCreativeDetail.aspx?App=23&amp;ReportView=4&amp;Qid=1711279&amp;Row=6016&amp;Col=1","No Title Assigned - #15269854786")</f>
        <v/>
      </c>
      <c r="B6024" s="0" t="s">
        <v>7972</v>
      </c>
      <c r="E6024" s="0" t="inlineStr">
        <is>
          <t xml:space="preserve">Mazda</t>
        </is>
      </c>
      <c r="F6024" s="0" t="inlineStr">
        <is>
          <t xml:space="preserve">Mazda</t>
        </is>
      </c>
      <c r="G6024" s="0" t="s">
        <v>171</v>
      </c>
      <c r="H6024" s="5">
        <v>136.741600</v>
      </c>
    </row>
    <row r="6025" spans="1:9">
      <c r="A6025" s="22" t="str">
        <f>HYPERLINK("https://app.vivvix.com/360/KMI/IntelliDrive/ApplUI/Pages/CreativePages/CustomReportCreativeDetail.aspx?App=23&amp;ReportView=4&amp;Qid=1711279&amp;Row=6017&amp;Col=1","No Title Assigned - #15269854854")</f>
        <v/>
      </c>
      <c r="B6025" s="0" t="s">
        <v>7973</v>
      </c>
      <c r="E6025" s="0" t="inlineStr">
        <is>
          <t xml:space="preserve">Mazda</t>
        </is>
      </c>
      <c r="F6025" s="0" t="inlineStr">
        <is>
          <t xml:space="preserve">Mazda</t>
        </is>
      </c>
      <c r="G6025" s="0" t="s">
        <v>171</v>
      </c>
      <c r="H6025" s="5">
        <v>23.982000</v>
      </c>
    </row>
    <row r="6026" spans="1:9">
      <c r="A6026" s="22" t="str">
        <f>HYPERLINK("https://app.vivvix.com/360/KMI/IntelliDrive/ApplUI/Pages/CreativePages/CustomReportCreativeDetail.aspx?App=23&amp;ReportView=4&amp;Qid=1711279&amp;Row=6018&amp;Col=1","No Title Assigned - #15269854854")</f>
        <v/>
      </c>
      <c r="B6026" s="0" t="s">
        <v>7973</v>
      </c>
      <c r="E6026" s="0" t="inlineStr">
        <is>
          <t xml:space="preserve">Mazda</t>
        </is>
      </c>
      <c r="F6026" s="0" t="inlineStr">
        <is>
          <t xml:space="preserve">Mazda</t>
        </is>
      </c>
      <c r="G6026" s="0" t="s">
        <v>171</v>
      </c>
      <c r="H6026" s="5">
        <v>924.093800</v>
      </c>
    </row>
    <row r="6027" spans="1:9">
      <c r="A6027" s="22" t="str">
        <f>HYPERLINK("https://app.vivvix.com/360/KMI/IntelliDrive/ApplUI/Pages/CreativePages/CustomReportCreativeDetail.aspx?App=23&amp;ReportView=4&amp;Qid=1711279&amp;Row=6019&amp;Col=1","No Title Assigned - #15269855266")</f>
        <v/>
      </c>
      <c r="B6027" s="0" t="s">
        <v>7974</v>
      </c>
      <c r="E6027" s="0" t="inlineStr">
        <is>
          <t xml:space="preserve">Mazda</t>
        </is>
      </c>
      <c r="F6027" s="0" t="inlineStr">
        <is>
          <t xml:space="preserve">Mazda</t>
        </is>
      </c>
      <c r="G6027" s="0" t="s">
        <v>171</v>
      </c>
      <c r="H6027" s="5">
        <v>461.569500</v>
      </c>
    </row>
    <row r="6028" spans="1:9">
      <c r="A6028" s="22" t="str">
        <f>HYPERLINK("https://app.vivvix.com/360/KMI/IntelliDrive/ApplUI/Pages/CreativePages/CustomReportCreativeDetail.aspx?App=23&amp;ReportView=4&amp;Qid=1711279&amp;Row=6020&amp;Col=1","No Title Assigned - #15269855580")</f>
        <v/>
      </c>
      <c r="B6028" s="0" t="s">
        <v>7975</v>
      </c>
      <c r="E6028" s="0" t="inlineStr">
        <is>
          <t xml:space="preserve">Mazda</t>
        </is>
      </c>
      <c r="F6028" s="0" t="inlineStr">
        <is>
          <t xml:space="preserve">Mazda</t>
        </is>
      </c>
      <c r="G6028" s="0" t="s">
        <v>171</v>
      </c>
      <c r="H6028" s="5">
        <v>17.463300</v>
      </c>
    </row>
    <row r="6029" spans="1:9">
      <c r="A6029" s="22" t="str">
        <f>HYPERLINK("https://app.vivvix.com/360/KMI/IntelliDrive/ApplUI/Pages/CreativePages/CustomReportCreativeDetail.aspx?App=23&amp;ReportView=4&amp;Qid=1711279&amp;Row=6021&amp;Col=1","No Title Assigned - #15269856220")</f>
        <v/>
      </c>
      <c r="B6029" s="0" t="s">
        <v>7976</v>
      </c>
      <c r="C6029" s="0" t="s">
        <v>7977</v>
      </c>
      <c r="D6029" s="0" t="s">
        <v>7977</v>
      </c>
      <c r="E6029" s="0" t="inlineStr">
        <is>
          <t xml:space="preserve">Mazda</t>
        </is>
      </c>
      <c r="F6029" s="0" t="inlineStr">
        <is>
          <t xml:space="preserve">Mazda</t>
        </is>
      </c>
      <c r="G6029" s="0" t="s">
        <v>171</v>
      </c>
      <c r="H6029" s="5">
        <v>558.177700</v>
      </c>
    </row>
    <row r="6030" spans="1:9">
      <c r="A6030" s="22" t="str">
        <f>HYPERLINK("https://app.vivvix.com/360/KMI/IntelliDrive/ApplUI/Pages/CreativePages/CustomReportCreativeDetail.aspx?App=23&amp;ReportView=4&amp;Qid=1711279&amp;Row=6022&amp;Col=1","No Title Assigned - #15269856370")</f>
        <v/>
      </c>
      <c r="B6030" s="0" t="s">
        <v>7978</v>
      </c>
      <c r="E6030" s="0" t="inlineStr">
        <is>
          <t xml:space="preserve">Mazda</t>
        </is>
      </c>
      <c r="F6030" s="0" t="inlineStr">
        <is>
          <t xml:space="preserve">Mazda</t>
        </is>
      </c>
      <c r="G6030" s="0" t="s">
        <v>171</v>
      </c>
      <c r="H6030" s="5">
        <v>150.379900</v>
      </c>
    </row>
    <row r="6031" spans="1:9">
      <c r="A6031" s="22" t="str">
        <f>HYPERLINK("https://app.vivvix.com/360/KMI/IntelliDrive/ApplUI/Pages/CreativePages/CustomReportCreativeDetail.aspx?App=23&amp;ReportView=4&amp;Qid=1711279&amp;Row=6023&amp;Col=1","No Title Assigned - #15269856701")</f>
        <v/>
      </c>
      <c r="B6031" s="0" t="s">
        <v>7979</v>
      </c>
      <c r="E6031" s="0" t="inlineStr">
        <is>
          <t xml:space="preserve">Mazda</t>
        </is>
      </c>
      <c r="F6031" s="0" t="inlineStr">
        <is>
          <t xml:space="preserve">Mazda</t>
        </is>
      </c>
      <c r="G6031" s="0" t="s">
        <v>171</v>
      </c>
      <c r="H6031" s="5">
        <v>6580.853600</v>
      </c>
    </row>
    <row r="6032" spans="1:9">
      <c r="A6032" s="22" t="str">
        <f>HYPERLINK("https://app.vivvix.com/360/KMI/IntelliDrive/ApplUI/Pages/CreativePages/CustomReportCreativeDetail.aspx?App=23&amp;ReportView=4&amp;Qid=1711279&amp;Row=6024&amp;Col=1","No Title Assigned - #15269856701")</f>
        <v/>
      </c>
      <c r="B6032" s="0" t="s">
        <v>7979</v>
      </c>
      <c r="C6032" s="0" t="s">
        <v>7980</v>
      </c>
      <c r="D6032" s="0" t="s">
        <v>7980</v>
      </c>
      <c r="E6032" s="0" t="inlineStr">
        <is>
          <t xml:space="preserve">Mazda</t>
        </is>
      </c>
      <c r="F6032" s="0" t="inlineStr">
        <is>
          <t xml:space="preserve">Mazda</t>
        </is>
      </c>
      <c r="G6032" s="0" t="s">
        <v>171</v>
      </c>
      <c r="H6032" s="5">
        <v>218.616000</v>
      </c>
    </row>
    <row r="6033" spans="1:9">
      <c r="A6033" s="22" t="str">
        <f>HYPERLINK("https://app.vivvix.com/360/KMI/IntelliDrive/ApplUI/Pages/CreativePages/CustomReportCreativeDetail.aspx?App=23&amp;ReportView=4&amp;Qid=1711279&amp;Row=6025&amp;Col=1","No Title Assigned - #15269857009")</f>
        <v/>
      </c>
      <c r="B6033" s="0" t="s">
        <v>7981</v>
      </c>
      <c r="E6033" s="0" t="inlineStr">
        <is>
          <t xml:space="preserve">Mazda</t>
        </is>
      </c>
      <c r="F6033" s="0" t="inlineStr">
        <is>
          <t xml:space="preserve">Mazda</t>
        </is>
      </c>
      <c r="G6033" s="0" t="s">
        <v>171</v>
      </c>
      <c r="H6033" s="5">
        <v>101.790700</v>
      </c>
    </row>
    <row r="6034" spans="1:9">
      <c r="A6034" s="22" t="str">
        <f>HYPERLINK("https://app.vivvix.com/360/KMI/IntelliDrive/ApplUI/Pages/CreativePages/CustomReportCreativeDetail.aspx?App=23&amp;ReportView=4&amp;Qid=1711279&amp;Row=6026&amp;Col=1","No Title Assigned - #15269857210")</f>
        <v/>
      </c>
      <c r="B6034" s="0" t="s">
        <v>7982</v>
      </c>
      <c r="E6034" s="0" t="inlineStr">
        <is>
          <t xml:space="preserve">Mazda</t>
        </is>
      </c>
      <c r="F6034" s="0" t="inlineStr">
        <is>
          <t xml:space="preserve">Mazda</t>
        </is>
      </c>
      <c r="G6034" s="0" t="s">
        <v>171</v>
      </c>
      <c r="H6034" s="5">
        <v>59.258200</v>
      </c>
    </row>
    <row r="6035" spans="1:9">
      <c r="A6035" s="22" t="str">
        <f>HYPERLINK("https://app.vivvix.com/360/KMI/IntelliDrive/ApplUI/Pages/CreativePages/CustomReportCreativeDetail.aspx?App=23&amp;ReportView=4&amp;Qid=1711279&amp;Row=6027&amp;Col=1","No Title Assigned - #15269857212")</f>
        <v/>
      </c>
      <c r="B6035" s="0" t="s">
        <v>7983</v>
      </c>
      <c r="C6035" s="0" t="s">
        <v>7984</v>
      </c>
      <c r="D6035" s="0" t="s">
        <v>7984</v>
      </c>
      <c r="E6035" s="0" t="inlineStr">
        <is>
          <t xml:space="preserve">Mazda</t>
        </is>
      </c>
      <c r="F6035" s="0" t="inlineStr">
        <is>
          <t xml:space="preserve">Mazda</t>
        </is>
      </c>
      <c r="G6035" s="0" t="s">
        <v>171</v>
      </c>
      <c r="H6035" s="5">
        <v>59.258200</v>
      </c>
    </row>
    <row r="6036" spans="1:9">
      <c r="A6036" s="22" t="str">
        <f>HYPERLINK("https://app.vivvix.com/360/KMI/IntelliDrive/ApplUI/Pages/CreativePages/CustomReportCreativeDetail.aspx?App=23&amp;ReportView=4&amp;Qid=1711279&amp;Row=6028&amp;Col=1","No Title Assigned - #15269857318")</f>
        <v/>
      </c>
      <c r="B6036" s="0" t="s">
        <v>7985</v>
      </c>
      <c r="E6036" s="0" t="inlineStr">
        <is>
          <t xml:space="preserve">Mazda</t>
        </is>
      </c>
      <c r="F6036" s="0" t="inlineStr">
        <is>
          <t xml:space="preserve">Mazda</t>
        </is>
      </c>
      <c r="G6036" s="0" t="s">
        <v>171</v>
      </c>
      <c r="H6036" s="5">
        <v>6.177900</v>
      </c>
    </row>
    <row r="6037" spans="1:9">
      <c r="A6037" s="22" t="str">
        <f>HYPERLINK("https://app.vivvix.com/360/KMI/IntelliDrive/ApplUI/Pages/CreativePages/CustomReportCreativeDetail.aspx?App=23&amp;ReportView=4&amp;Qid=1711279&amp;Row=6029&amp;Col=1","No Title Assigned - #15269858184")</f>
        <v/>
      </c>
      <c r="B6037" s="0" t="s">
        <v>7986</v>
      </c>
      <c r="E6037" s="0" t="inlineStr">
        <is>
          <t xml:space="preserve">Mazda</t>
        </is>
      </c>
      <c r="F6037" s="0" t="inlineStr">
        <is>
          <t xml:space="preserve">Mazda</t>
        </is>
      </c>
      <c r="G6037" s="0" t="s">
        <v>171</v>
      </c>
      <c r="H6037" s="5">
        <v>49.548600</v>
      </c>
    </row>
    <row r="6038" spans="1:9">
      <c r="A6038" s="22" t="str">
        <f>HYPERLINK("https://app.vivvix.com/360/KMI/IntelliDrive/ApplUI/Pages/CreativePages/CustomReportCreativeDetail.aspx?App=23&amp;ReportView=4&amp;Qid=1711279&amp;Row=6030&amp;Col=1","No Title Assigned - #15269858290")</f>
        <v/>
      </c>
      <c r="B6038" s="0" t="s">
        <v>7987</v>
      </c>
      <c r="E6038" s="0" t="inlineStr">
        <is>
          <t xml:space="preserve">Mazda</t>
        </is>
      </c>
      <c r="F6038" s="0" t="inlineStr">
        <is>
          <t xml:space="preserve">Mazda</t>
        </is>
      </c>
      <c r="G6038" s="0" t="s">
        <v>171</v>
      </c>
      <c r="H6038" s="5">
        <v>214.315000</v>
      </c>
    </row>
    <row r="6039" spans="1:9">
      <c r="A6039" s="22" t="str">
        <f>HYPERLINK("https://app.vivvix.com/360/KMI/IntelliDrive/ApplUI/Pages/CreativePages/CustomReportCreativeDetail.aspx?App=23&amp;ReportView=4&amp;Qid=1711279&amp;Row=6031&amp;Col=1","No Title Assigned - #15269858590")</f>
        <v/>
      </c>
      <c r="B6039" s="0" t="s">
        <v>7988</v>
      </c>
      <c r="E6039" s="0" t="inlineStr">
        <is>
          <t xml:space="preserve">Mazda</t>
        </is>
      </c>
      <c r="F6039" s="0" t="inlineStr">
        <is>
          <t xml:space="preserve">Mazda</t>
        </is>
      </c>
      <c r="G6039" s="0" t="s">
        <v>171</v>
      </c>
      <c r="H6039" s="5">
        <v>603.606800</v>
      </c>
    </row>
    <row r="6040" spans="1:9">
      <c r="A6040" s="22" t="str">
        <f>HYPERLINK("https://app.vivvix.com/360/KMI/IntelliDrive/ApplUI/Pages/CreativePages/CustomReportCreativeDetail.aspx?App=23&amp;ReportView=4&amp;Qid=1711279&amp;Row=6032&amp;Col=1","No Title Assigned - #15269858590")</f>
        <v/>
      </c>
      <c r="B6040" s="0" t="s">
        <v>7988</v>
      </c>
      <c r="E6040" s="0" t="inlineStr">
        <is>
          <t xml:space="preserve">Mazda</t>
        </is>
      </c>
      <c r="F6040" s="0" t="inlineStr">
        <is>
          <t xml:space="preserve">Mazda</t>
        </is>
      </c>
      <c r="G6040" s="0" t="s">
        <v>171</v>
      </c>
      <c r="H6040" s="5">
        <v>16541.525100</v>
      </c>
    </row>
    <row r="6041" spans="1:9">
      <c r="A6041" s="22" t="str">
        <f>HYPERLINK("https://app.vivvix.com/360/KMI/IntelliDrive/ApplUI/Pages/CreativePages/CustomReportCreativeDetail.aspx?App=23&amp;ReportView=4&amp;Qid=1711279&amp;Row=6033&amp;Col=1","No Title Assigned - #15269858667")</f>
        <v/>
      </c>
      <c r="B6041" s="0" t="s">
        <v>7989</v>
      </c>
      <c r="C6041" s="0" t="s">
        <v>7990</v>
      </c>
      <c r="D6041" s="0" t="s">
        <v>7990</v>
      </c>
      <c r="E6041" s="0" t="inlineStr">
        <is>
          <t xml:space="preserve">Mazda</t>
        </is>
      </c>
      <c r="F6041" s="0" t="inlineStr">
        <is>
          <t xml:space="preserve">Mazda</t>
        </is>
      </c>
      <c r="G6041" s="0" t="s">
        <v>171</v>
      </c>
      <c r="H6041" s="5">
        <v>2183.686100</v>
      </c>
    </row>
    <row r="6042" spans="1:9">
      <c r="A6042" s="22" t="str">
        <f>HYPERLINK("https://app.vivvix.com/360/KMI/IntelliDrive/ApplUI/Pages/CreativePages/CustomReportCreativeDetail.aspx?App=23&amp;ReportView=4&amp;Qid=1711279&amp;Row=6034&amp;Col=1","No Title Assigned - #15269858889")</f>
        <v/>
      </c>
      <c r="B6042" s="0" t="s">
        <v>7991</v>
      </c>
      <c r="E6042" s="0" t="inlineStr">
        <is>
          <t xml:space="preserve">Mazda</t>
        </is>
      </c>
      <c r="F6042" s="0" t="inlineStr">
        <is>
          <t xml:space="preserve">Mazda</t>
        </is>
      </c>
      <c r="G6042" s="0" t="s">
        <v>171</v>
      </c>
      <c r="H6042" s="5">
        <v>485.082200</v>
      </c>
    </row>
    <row r="6043" spans="1:9">
      <c r="A6043" s="22" t="str">
        <f>HYPERLINK("https://app.vivvix.com/360/KMI/IntelliDrive/ApplUI/Pages/CreativePages/CustomReportCreativeDetail.aspx?App=23&amp;ReportView=4&amp;Qid=1711279&amp;Row=6035&amp;Col=1","No Title Assigned - #15269859293")</f>
        <v/>
      </c>
      <c r="B6043" s="0" t="s">
        <v>7992</v>
      </c>
      <c r="E6043" s="0" t="inlineStr">
        <is>
          <t xml:space="preserve">Mazda</t>
        </is>
      </c>
      <c r="F6043" s="0" t="inlineStr">
        <is>
          <t xml:space="preserve">Mazda</t>
        </is>
      </c>
      <c r="G6043" s="0" t="s">
        <v>171</v>
      </c>
      <c r="H6043" s="5">
        <v>12.925500</v>
      </c>
    </row>
    <row r="6044" spans="1:9">
      <c r="A6044" s="22" t="str">
        <f>HYPERLINK("https://app.vivvix.com/360/KMI/IntelliDrive/ApplUI/Pages/CreativePages/CustomReportCreativeDetail.aspx?App=23&amp;ReportView=4&amp;Qid=1711279&amp;Row=6036&amp;Col=1","No Title Assigned - #15269859294")</f>
        <v/>
      </c>
      <c r="B6044" s="0" t="s">
        <v>7993</v>
      </c>
      <c r="E6044" s="0" t="inlineStr">
        <is>
          <t xml:space="preserve">Mazda</t>
        </is>
      </c>
      <c r="F6044" s="0" t="inlineStr">
        <is>
          <t xml:space="preserve">Mazda</t>
        </is>
      </c>
      <c r="G6044" s="0" t="s">
        <v>171</v>
      </c>
      <c r="H6044" s="5">
        <v>74.105100</v>
      </c>
    </row>
    <row r="6045" spans="1:9">
      <c r="A6045" s="22" t="str">
        <f>HYPERLINK("https://app.vivvix.com/360/KMI/IntelliDrive/ApplUI/Pages/CreativePages/CustomReportCreativeDetail.aspx?App=23&amp;ReportView=4&amp;Qid=1711279&amp;Row=6037&amp;Col=1","No Title Assigned - #15269859738")</f>
        <v/>
      </c>
      <c r="B6045" s="0" t="s">
        <v>7994</v>
      </c>
      <c r="E6045" s="0" t="inlineStr">
        <is>
          <t xml:space="preserve">Mazda</t>
        </is>
      </c>
      <c r="F6045" s="0" t="inlineStr">
        <is>
          <t xml:space="preserve">Mazda</t>
        </is>
      </c>
      <c r="G6045" s="0" t="s">
        <v>171</v>
      </c>
      <c r="H6045" s="5">
        <v>11872.945300</v>
      </c>
    </row>
    <row r="6046" spans="1:9">
      <c r="A6046" s="22" t="str">
        <f>HYPERLINK("https://app.vivvix.com/360/KMI/IntelliDrive/ApplUI/Pages/CreativePages/CustomReportCreativeDetail.aspx?App=23&amp;ReportView=4&amp;Qid=1711279&amp;Row=6038&amp;Col=1","No Title Assigned - #15269859797")</f>
        <v/>
      </c>
      <c r="B6046" s="0" t="s">
        <v>7995</v>
      </c>
      <c r="E6046" s="0" t="inlineStr">
        <is>
          <t xml:space="preserve">Mazda</t>
        </is>
      </c>
      <c r="F6046" s="0" t="inlineStr">
        <is>
          <t xml:space="preserve">Mazda</t>
        </is>
      </c>
      <c r="G6046" s="0" t="s">
        <v>171</v>
      </c>
      <c r="H6046" s="5">
        <v>11872.945300</v>
      </c>
    </row>
    <row r="6047" spans="1:9">
      <c r="A6047" s="22" t="str">
        <f>HYPERLINK("https://app.vivvix.com/360/KMI/IntelliDrive/ApplUI/Pages/CreativePages/CustomReportCreativeDetail.aspx?App=23&amp;ReportView=4&amp;Qid=1711279&amp;Row=6039&amp;Col=1","No Title Assigned - #15269860301")</f>
        <v/>
      </c>
      <c r="B6047" s="0" t="s">
        <v>7996</v>
      </c>
      <c r="E6047" s="0" t="inlineStr">
        <is>
          <t xml:space="preserve">Mazda</t>
        </is>
      </c>
      <c r="F6047" s="0" t="inlineStr">
        <is>
          <t xml:space="preserve">Mazda</t>
        </is>
      </c>
      <c r="G6047" s="0" t="s">
        <v>171</v>
      </c>
      <c r="H6047" s="5">
        <v>1176.314300</v>
      </c>
    </row>
    <row r="6048" spans="1:9">
      <c r="A6048" s="22" t="str">
        <f>HYPERLINK("https://app.vivvix.com/360/KMI/IntelliDrive/ApplUI/Pages/CreativePages/CustomReportCreativeDetail.aspx?App=23&amp;ReportView=4&amp;Qid=1711279&amp;Row=6040&amp;Col=1","No Title Assigned - #15269860301")</f>
        <v/>
      </c>
      <c r="B6048" s="0" t="s">
        <v>7996</v>
      </c>
      <c r="E6048" s="0" t="inlineStr">
        <is>
          <t xml:space="preserve">Mazda</t>
        </is>
      </c>
      <c r="F6048" s="0" t="inlineStr">
        <is>
          <t xml:space="preserve">Mazda</t>
        </is>
      </c>
      <c r="G6048" s="0" t="s">
        <v>171</v>
      </c>
      <c r="H6048" s="5">
        <v>167054.203100</v>
      </c>
    </row>
    <row r="6049" spans="1:9">
      <c r="A6049" s="22" t="str">
        <f>HYPERLINK("https://app.vivvix.com/360/KMI/IntelliDrive/ApplUI/Pages/CreativePages/CustomReportCreativeDetail.aspx?App=23&amp;ReportView=4&amp;Qid=1711279&amp;Row=6041&amp;Col=1","No Title Assigned - #15269862337")</f>
        <v/>
      </c>
      <c r="B6049" s="0" t="s">
        <v>7997</v>
      </c>
      <c r="E6049" s="0" t="inlineStr">
        <is>
          <t xml:space="preserve">Mazda</t>
        </is>
      </c>
      <c r="F6049" s="0" t="inlineStr">
        <is>
          <t xml:space="preserve">Mazda</t>
        </is>
      </c>
      <c r="G6049" s="0" t="s">
        <v>171</v>
      </c>
      <c r="H6049" s="5">
        <v>104.676000</v>
      </c>
    </row>
    <row r="6050" spans="1:9">
      <c r="A6050" s="22" t="str">
        <f>HYPERLINK("https://app.vivvix.com/360/KMI/IntelliDrive/ApplUI/Pages/CreativePages/CustomReportCreativeDetail.aspx?App=23&amp;ReportView=4&amp;Qid=1711279&amp;Row=6042&amp;Col=1","No Title Assigned - #15269862441")</f>
        <v/>
      </c>
      <c r="B6050" s="0" t="s">
        <v>7998</v>
      </c>
      <c r="E6050" s="0" t="inlineStr">
        <is>
          <t xml:space="preserve">Mazda</t>
        </is>
      </c>
      <c r="F6050" s="0" t="s">
        <v>28</v>
      </c>
      <c r="G6050" s="0" t="s">
        <v>29</v>
      </c>
      <c r="H6050" s="5">
        <v>112.942800</v>
      </c>
    </row>
    <row r="6051" spans="1:9">
      <c r="A6051" s="22" t="str">
        <f>HYPERLINK("https://app.vivvix.com/360/KMI/IntelliDrive/ApplUI/Pages/CreativePages/CustomReportCreativeDetail.aspx?App=23&amp;ReportView=4&amp;Qid=1711279&amp;Row=6043&amp;Col=1","No Title Assigned - #15269862582")</f>
        <v/>
      </c>
      <c r="B6051" s="0" t="s">
        <v>7999</v>
      </c>
      <c r="E6051" s="0" t="inlineStr">
        <is>
          <t xml:space="preserve">Mazda</t>
        </is>
      </c>
      <c r="F6051" s="0" t="s">
        <v>28</v>
      </c>
      <c r="G6051" s="0" t="s">
        <v>29</v>
      </c>
      <c r="H6051" s="5">
        <v>162.732900</v>
      </c>
    </row>
    <row r="6052" spans="1:9">
      <c r="A6052" s="22" t="str">
        <f>HYPERLINK("https://app.vivvix.com/360/KMI/IntelliDrive/ApplUI/Pages/CreativePages/CustomReportCreativeDetail.aspx?App=23&amp;ReportView=4&amp;Qid=1711279&amp;Row=6044&amp;Col=1","No Title Assigned - #15269862637")</f>
        <v/>
      </c>
      <c r="B6052" s="0" t="s">
        <v>8000</v>
      </c>
      <c r="C6052" s="0" t="s">
        <v>8001</v>
      </c>
      <c r="D6052" s="0" t="s">
        <v>8001</v>
      </c>
      <c r="E6052" s="0" t="inlineStr">
        <is>
          <t xml:space="preserve">Mazda</t>
        </is>
      </c>
      <c r="F6052" s="0" t="s">
        <v>13</v>
      </c>
      <c r="G6052" s="0" t="s">
        <v>49</v>
      </c>
      <c r="H6052" s="5">
        <v>319.295100</v>
      </c>
    </row>
    <row r="6053" spans="1:9">
      <c r="A6053" s="22" t="str">
        <f>HYPERLINK("https://app.vivvix.com/360/KMI/IntelliDrive/ApplUI/Pages/CreativePages/CustomReportCreativeDetail.aspx?App=23&amp;ReportView=4&amp;Qid=1711279&amp;Row=6045&amp;Col=1","No Title Assigned - #15269862637")</f>
        <v/>
      </c>
      <c r="B6053" s="0" t="s">
        <v>8000</v>
      </c>
      <c r="C6053" s="0" t="s">
        <v>8002</v>
      </c>
      <c r="D6053" s="0" t="s">
        <v>8002</v>
      </c>
      <c r="E6053" s="0" t="inlineStr">
        <is>
          <t xml:space="preserve">Mazda</t>
        </is>
      </c>
      <c r="F6053" s="0" t="s">
        <v>13</v>
      </c>
      <c r="G6053" s="0" t="s">
        <v>49</v>
      </c>
      <c r="H6053" s="5">
        <v>300.744200</v>
      </c>
    </row>
    <row r="6054" spans="1:9">
      <c r="A6054" s="22" t="str">
        <f>HYPERLINK("https://app.vivvix.com/360/KMI/IntelliDrive/ApplUI/Pages/CreativePages/CustomReportCreativeDetail.aspx?App=23&amp;ReportView=4&amp;Qid=1711279&amp;Row=6046&amp;Col=1","No Title Assigned - #15269862663")</f>
        <v/>
      </c>
      <c r="B6054" s="0" t="s">
        <v>8003</v>
      </c>
      <c r="E6054" s="0" t="inlineStr">
        <is>
          <t xml:space="preserve">Mazda</t>
        </is>
      </c>
      <c r="F6054" s="0" t="s">
        <v>28</v>
      </c>
      <c r="G6054" s="0" t="s">
        <v>29</v>
      </c>
      <c r="H6054" s="5">
        <v>111.051300</v>
      </c>
    </row>
    <row r="6055" spans="1:9">
      <c r="A6055" s="22" t="str">
        <f>HYPERLINK("https://app.vivvix.com/360/KMI/IntelliDrive/ApplUI/Pages/CreativePages/CustomReportCreativeDetail.aspx?App=23&amp;ReportView=4&amp;Qid=1711279&amp;Row=6047&amp;Col=1","No Title Assigned - #15269862681")</f>
        <v/>
      </c>
      <c r="B6055" s="0" t="s">
        <v>8004</v>
      </c>
      <c r="E6055" s="0" t="inlineStr">
        <is>
          <t xml:space="preserve">Mazda</t>
        </is>
      </c>
      <c r="F6055" s="0" t="s">
        <v>28</v>
      </c>
      <c r="G6055" s="0" t="s">
        <v>29</v>
      </c>
      <c r="H6055" s="5">
        <v>73.795900</v>
      </c>
    </row>
    <row r="6056" spans="1:9">
      <c r="A6056" s="22" t="str">
        <f>HYPERLINK("https://app.vivvix.com/360/KMI/IntelliDrive/ApplUI/Pages/CreativePages/CustomReportCreativeDetail.aspx?App=23&amp;ReportView=4&amp;Qid=1711279&amp;Row=6048&amp;Col=1","No Title Assigned - #15269862784")</f>
        <v/>
      </c>
      <c r="B6056" s="0" t="s">
        <v>8005</v>
      </c>
      <c r="C6056" s="0" t="s">
        <v>8006</v>
      </c>
      <c r="D6056" s="0" t="s">
        <v>8006</v>
      </c>
      <c r="E6056" s="0" t="inlineStr">
        <is>
          <t xml:space="preserve">Mazda</t>
        </is>
      </c>
      <c r="F6056" s="0" t="s">
        <v>13</v>
      </c>
      <c r="G6056" s="0" t="s">
        <v>49</v>
      </c>
      <c r="H6056" s="5">
        <v>12098.929400</v>
      </c>
    </row>
    <row r="6057" spans="1:9">
      <c r="A6057" s="22" t="str">
        <f>HYPERLINK("https://app.vivvix.com/360/KMI/IntelliDrive/ApplUI/Pages/CreativePages/CustomReportCreativeDetail.aspx?App=23&amp;ReportView=4&amp;Qid=1711279&amp;Row=6049&amp;Col=1","No Title Assigned - #15269862784")</f>
        <v/>
      </c>
      <c r="B6057" s="0" t="s">
        <v>8005</v>
      </c>
      <c r="E6057" s="0" t="inlineStr">
        <is>
          <t xml:space="preserve">Mazda</t>
        </is>
      </c>
      <c r="F6057" s="0" t="s">
        <v>13</v>
      </c>
      <c r="G6057" s="0" t="s">
        <v>49</v>
      </c>
      <c r="H6057" s="5">
        <v>59.694700</v>
      </c>
    </row>
    <row r="6058" spans="1:9">
      <c r="A6058" s="22" t="str">
        <f>HYPERLINK("https://app.vivvix.com/360/KMI/IntelliDrive/ApplUI/Pages/CreativePages/CustomReportCreativeDetail.aspx?App=23&amp;ReportView=4&amp;Qid=1711279&amp;Row=6050&amp;Col=1","No Title Assigned - #15269862905")</f>
        <v/>
      </c>
      <c r="B6058" s="0" t="s">
        <v>8007</v>
      </c>
      <c r="C6058" s="0" t="s">
        <v>8008</v>
      </c>
      <c r="D6058" s="0" t="s">
        <v>8008</v>
      </c>
      <c r="E6058" s="0" t="inlineStr">
        <is>
          <t xml:space="preserve">Mazda</t>
        </is>
      </c>
      <c r="F6058" s="0" t="s">
        <v>13</v>
      </c>
      <c r="G6058" s="0" t="s">
        <v>49</v>
      </c>
      <c r="H6058" s="5">
        <v>623.383600</v>
      </c>
    </row>
    <row r="6059" spans="1:9">
      <c r="A6059" s="22" t="str">
        <f>HYPERLINK("https://app.vivvix.com/360/KMI/IntelliDrive/ApplUI/Pages/CreativePages/CustomReportCreativeDetail.aspx?App=23&amp;ReportView=4&amp;Qid=1711279&amp;Row=6051&amp;Col=1","No Title Assigned - #15269863153")</f>
        <v/>
      </c>
      <c r="B6059" s="0" t="s">
        <v>8009</v>
      </c>
      <c r="E6059" s="0" t="inlineStr">
        <is>
          <t xml:space="preserve">Mazda</t>
        </is>
      </c>
      <c r="F6059" s="0" t="inlineStr">
        <is>
          <t xml:space="preserve">Mazda</t>
        </is>
      </c>
      <c r="G6059" s="0" t="s">
        <v>171</v>
      </c>
      <c r="H6059" s="5">
        <v>168.302900</v>
      </c>
    </row>
    <row r="6060" spans="1:9">
      <c r="A6060" s="22" t="str">
        <f>HYPERLINK("https://app.vivvix.com/360/KMI/IntelliDrive/ApplUI/Pages/CreativePages/CustomReportCreativeDetail.aspx?App=23&amp;ReportView=4&amp;Qid=1711279&amp;Row=6052&amp;Col=1","No Title Assigned - #15269863358")</f>
        <v/>
      </c>
      <c r="B6060" s="0" t="s">
        <v>8010</v>
      </c>
      <c r="E6060" s="0" t="inlineStr">
        <is>
          <t xml:space="preserve">Mazda</t>
        </is>
      </c>
      <c r="F6060" s="0" t="inlineStr">
        <is>
          <t xml:space="preserve">Mazda</t>
        </is>
      </c>
      <c r="G6060" s="0" t="s">
        <v>171</v>
      </c>
      <c r="H6060" s="5">
        <v>31.975200</v>
      </c>
    </row>
    <row r="6061" spans="1:9">
      <c r="A6061" s="22" t="str">
        <f>HYPERLINK("https://app.vivvix.com/360/KMI/IntelliDrive/ApplUI/Pages/CreativePages/CustomReportCreativeDetail.aspx?App=23&amp;ReportView=4&amp;Qid=1711279&amp;Row=6053&amp;Col=1","No Title Assigned - #15269863471")</f>
        <v/>
      </c>
      <c r="B6061" s="0" t="s">
        <v>8011</v>
      </c>
      <c r="E6061" s="0" t="inlineStr">
        <is>
          <t xml:space="preserve">Mazda</t>
        </is>
      </c>
      <c r="F6061" s="0" t="inlineStr">
        <is>
          <t xml:space="preserve">Mazda</t>
        </is>
      </c>
      <c r="G6061" s="0" t="s">
        <v>171</v>
      </c>
      <c r="H6061" s="5">
        <v>78.535400</v>
      </c>
    </row>
    <row r="6062" spans="1:9">
      <c r="A6062" s="22" t="str">
        <f>HYPERLINK("https://app.vivvix.com/360/KMI/IntelliDrive/ApplUI/Pages/CreativePages/CustomReportCreativeDetail.aspx?App=23&amp;ReportView=4&amp;Qid=1711279&amp;Row=6054&amp;Col=1","No Title Assigned - #15269863491")</f>
        <v/>
      </c>
      <c r="B6062" s="0" t="s">
        <v>8012</v>
      </c>
      <c r="E6062" s="0" t="inlineStr">
        <is>
          <t xml:space="preserve">Mazda</t>
        </is>
      </c>
      <c r="F6062" s="0" t="inlineStr">
        <is>
          <t xml:space="preserve">Mazda</t>
        </is>
      </c>
      <c r="G6062" s="0" t="s">
        <v>171</v>
      </c>
      <c r="H6062" s="5">
        <v>2335.856300</v>
      </c>
    </row>
    <row r="6063" spans="1:9">
      <c r="A6063" s="22" t="str">
        <f>HYPERLINK("https://app.vivvix.com/360/KMI/IntelliDrive/ApplUI/Pages/CreativePages/CustomReportCreativeDetail.aspx?App=23&amp;ReportView=4&amp;Qid=1711279&amp;Row=6055&amp;Col=1","No Title Assigned - #15269863540")</f>
        <v/>
      </c>
      <c r="B6063" s="0" t="s">
        <v>8013</v>
      </c>
      <c r="E6063" s="0" t="inlineStr">
        <is>
          <t xml:space="preserve">Mazda</t>
        </is>
      </c>
      <c r="F6063" s="0" t="inlineStr">
        <is>
          <t xml:space="preserve">Mazda</t>
        </is>
      </c>
      <c r="G6063" s="0" t="s">
        <v>171</v>
      </c>
      <c r="H6063" s="5">
        <v>1839.042000</v>
      </c>
    </row>
    <row r="6064" spans="1:9">
      <c r="A6064" s="22" t="str">
        <f>HYPERLINK("https://app.vivvix.com/360/KMI/IntelliDrive/ApplUI/Pages/CreativePages/CustomReportCreativeDetail.aspx?App=23&amp;ReportView=4&amp;Qid=1711279&amp;Row=6056&amp;Col=1","No Title Assigned - #15269863601")</f>
        <v/>
      </c>
      <c r="B6064" s="0" t="s">
        <v>8014</v>
      </c>
      <c r="E6064" s="0" t="inlineStr">
        <is>
          <t xml:space="preserve">Mazda</t>
        </is>
      </c>
      <c r="F6064" s="0" t="inlineStr">
        <is>
          <t xml:space="preserve">Mazda</t>
        </is>
      </c>
      <c r="G6064" s="0" t="s">
        <v>171</v>
      </c>
      <c r="H6064" s="5">
        <v>63.601000</v>
      </c>
    </row>
    <row r="6065" spans="1:9">
      <c r="A6065" s="22" t="str">
        <f>HYPERLINK("https://app.vivvix.com/360/KMI/IntelliDrive/ApplUI/Pages/CreativePages/CustomReportCreativeDetail.aspx?App=23&amp;ReportView=4&amp;Qid=1711279&amp;Row=6057&amp;Col=1","No Title Assigned - #15269863689")</f>
        <v/>
      </c>
      <c r="B6065" s="0" t="s">
        <v>8015</v>
      </c>
      <c r="E6065" s="0" t="inlineStr">
        <is>
          <t xml:space="preserve">Mazda</t>
        </is>
      </c>
      <c r="F6065" s="0" t="inlineStr">
        <is>
          <t xml:space="preserve">Mazda</t>
        </is>
      </c>
      <c r="G6065" s="0" t="s">
        <v>171</v>
      </c>
      <c r="H6065" s="5">
        <v>156.560900</v>
      </c>
    </row>
    <row r="6066" spans="1:9">
      <c r="A6066" s="22" t="str">
        <f>HYPERLINK("https://app.vivvix.com/360/KMI/IntelliDrive/ApplUI/Pages/CreativePages/CustomReportCreativeDetail.aspx?App=23&amp;ReportView=4&amp;Qid=1711279&amp;Row=6058&amp;Col=1","No Title Assigned - #15269863760")</f>
        <v/>
      </c>
      <c r="B6066" s="0" t="s">
        <v>8016</v>
      </c>
      <c r="C6066" s="0" t="s">
        <v>8017</v>
      </c>
      <c r="D6066" s="0" t="s">
        <v>8017</v>
      </c>
      <c r="E6066" s="0" t="inlineStr">
        <is>
          <t xml:space="preserve">Mazda</t>
        </is>
      </c>
      <c r="F6066" s="0" t="inlineStr">
        <is>
          <t xml:space="preserve">Mazda</t>
        </is>
      </c>
      <c r="G6066" s="0" t="s">
        <v>171</v>
      </c>
      <c r="H6066" s="5">
        <v>544.666300</v>
      </c>
    </row>
    <row r="6067" spans="1:9">
      <c r="A6067" s="22" t="str">
        <f>HYPERLINK("https://app.vivvix.com/360/KMI/IntelliDrive/ApplUI/Pages/CreativePages/CustomReportCreativeDetail.aspx?App=23&amp;ReportView=4&amp;Qid=1711279&amp;Row=6059&amp;Col=1","No Title Assigned - #15269863761")</f>
        <v/>
      </c>
      <c r="B6067" s="0" t="s">
        <v>8018</v>
      </c>
      <c r="E6067" s="0" t="inlineStr">
        <is>
          <t xml:space="preserve">Mazda</t>
        </is>
      </c>
      <c r="F6067" s="0" t="inlineStr">
        <is>
          <t xml:space="preserve">Mazda</t>
        </is>
      </c>
      <c r="G6067" s="0" t="s">
        <v>171</v>
      </c>
      <c r="H6067" s="5">
        <v>123.403000</v>
      </c>
    </row>
    <row r="6068" spans="1:9">
      <c r="A6068" s="22" t="str">
        <f>HYPERLINK("https://app.vivvix.com/360/KMI/IntelliDrive/ApplUI/Pages/CreativePages/CustomReportCreativeDetail.aspx?App=23&amp;ReportView=4&amp;Qid=1711279&amp;Row=6060&amp;Col=1","No Title Assigned - #15269863988")</f>
        <v/>
      </c>
      <c r="B6068" s="0" t="s">
        <v>8019</v>
      </c>
      <c r="C6068" s="0" t="s">
        <v>8020</v>
      </c>
      <c r="D6068" s="0" t="s">
        <v>8020</v>
      </c>
      <c r="E6068" s="0" t="inlineStr">
        <is>
          <t xml:space="preserve">Mazda</t>
        </is>
      </c>
      <c r="F6068" s="0" t="inlineStr">
        <is>
          <t xml:space="preserve">Mazda</t>
        </is>
      </c>
      <c r="G6068" s="0" t="s">
        <v>171</v>
      </c>
      <c r="H6068" s="5">
        <v>11556.947700</v>
      </c>
    </row>
    <row r="6069" spans="1:9">
      <c r="A6069" s="22" t="str">
        <f>HYPERLINK("https://app.vivvix.com/360/KMI/IntelliDrive/ApplUI/Pages/CreativePages/CustomReportCreativeDetail.aspx?App=23&amp;ReportView=4&amp;Qid=1711279&amp;Row=6061&amp;Col=1","No Title Assigned - #15269864150")</f>
        <v/>
      </c>
      <c r="B6069" s="0" t="s">
        <v>8021</v>
      </c>
      <c r="E6069" s="0" t="inlineStr">
        <is>
          <t xml:space="preserve">Mazda</t>
        </is>
      </c>
      <c r="F6069" s="0" t="inlineStr">
        <is>
          <t xml:space="preserve">Mazda</t>
        </is>
      </c>
      <c r="G6069" s="0" t="s">
        <v>171</v>
      </c>
      <c r="H6069" s="5">
        <v>3.445700</v>
      </c>
    </row>
    <row r="6070" spans="1:9">
      <c r="A6070" s="22" t="str">
        <f>HYPERLINK("https://app.vivvix.com/360/KMI/IntelliDrive/ApplUI/Pages/CreativePages/CustomReportCreativeDetail.aspx?App=23&amp;ReportView=4&amp;Qid=1711279&amp;Row=6062&amp;Col=1","No Title Assigned - #15269864315")</f>
        <v/>
      </c>
      <c r="B6070" s="0" t="s">
        <v>8022</v>
      </c>
      <c r="E6070" s="0" t="inlineStr">
        <is>
          <t xml:space="preserve">Mazda</t>
        </is>
      </c>
      <c r="F6070" s="0" t="inlineStr">
        <is>
          <t xml:space="preserve">Mazda</t>
        </is>
      </c>
      <c r="G6070" s="0" t="s">
        <v>171</v>
      </c>
      <c r="H6070" s="5">
        <v>12.925500</v>
      </c>
    </row>
    <row r="6071" spans="1:9">
      <c r="A6071" s="22" t="str">
        <f>HYPERLINK("https://app.vivvix.com/360/KMI/IntelliDrive/ApplUI/Pages/CreativePages/CustomReportCreativeDetail.aspx?App=23&amp;ReportView=4&amp;Qid=1711279&amp;Row=6063&amp;Col=1","No Title Assigned - #15269864325")</f>
        <v/>
      </c>
      <c r="B6071" s="0" t="s">
        <v>8023</v>
      </c>
      <c r="C6071" s="0" t="s">
        <v>8024</v>
      </c>
      <c r="D6071" s="0" t="s">
        <v>8024</v>
      </c>
      <c r="E6071" s="0" t="inlineStr">
        <is>
          <t xml:space="preserve">Mazda</t>
        </is>
      </c>
      <c r="F6071" s="0" t="inlineStr">
        <is>
          <t xml:space="preserve">Mazda</t>
        </is>
      </c>
      <c r="G6071" s="0" t="s">
        <v>171</v>
      </c>
      <c r="H6071" s="5">
        <v>1047.092100</v>
      </c>
    </row>
    <row r="6072" spans="1:9">
      <c r="A6072" s="22" t="str">
        <f>HYPERLINK("https://app.vivvix.com/360/KMI/IntelliDrive/ApplUI/Pages/CreativePages/CustomReportCreativeDetail.aspx?App=23&amp;ReportView=4&amp;Qid=1711279&amp;Row=6064&amp;Col=1","No Title Assigned - #15269864677")</f>
        <v/>
      </c>
      <c r="B6072" s="0" t="s">
        <v>8025</v>
      </c>
      <c r="E6072" s="0" t="inlineStr">
        <is>
          <t xml:space="preserve">Mazda</t>
        </is>
      </c>
      <c r="F6072" s="0" t="inlineStr">
        <is>
          <t xml:space="preserve">Mazda</t>
        </is>
      </c>
      <c r="G6072" s="0" t="s">
        <v>171</v>
      </c>
      <c r="H6072" s="5">
        <v>159.284200</v>
      </c>
    </row>
    <row r="6073" spans="1:9">
      <c r="A6073" s="22" t="str">
        <f>HYPERLINK("https://app.vivvix.com/360/KMI/IntelliDrive/ApplUI/Pages/CreativePages/CustomReportCreativeDetail.aspx?App=23&amp;ReportView=4&amp;Qid=1711279&amp;Row=6065&amp;Col=1","No Title Assigned - #15269864928")</f>
        <v/>
      </c>
      <c r="B6073" s="0" t="s">
        <v>8026</v>
      </c>
      <c r="C6073" s="0" t="s">
        <v>8027</v>
      </c>
      <c r="D6073" s="0" t="s">
        <v>8027</v>
      </c>
      <c r="E6073" s="0" t="inlineStr">
        <is>
          <t xml:space="preserve">Mazda</t>
        </is>
      </c>
      <c r="F6073" s="0" t="inlineStr">
        <is>
          <t xml:space="preserve">Mazda</t>
        </is>
      </c>
      <c r="G6073" s="0" t="s">
        <v>171</v>
      </c>
      <c r="H6073" s="5">
        <v>314.659400</v>
      </c>
    </row>
    <row r="6074" spans="1:9">
      <c r="A6074" s="22" t="str">
        <f>HYPERLINK("https://app.vivvix.com/360/KMI/IntelliDrive/ApplUI/Pages/CreativePages/CustomReportCreativeDetail.aspx?App=23&amp;ReportView=4&amp;Qid=1711279&amp;Row=6066&amp;Col=1","No Title Assigned - #15269864995")</f>
        <v/>
      </c>
      <c r="B6074" s="0" t="s">
        <v>8028</v>
      </c>
      <c r="E6074" s="0" t="inlineStr">
        <is>
          <t xml:space="preserve">Mazda</t>
        </is>
      </c>
      <c r="F6074" s="0" t="inlineStr">
        <is>
          <t xml:space="preserve">Mazda</t>
        </is>
      </c>
      <c r="G6074" s="0" t="s">
        <v>171</v>
      </c>
      <c r="H6074" s="5">
        <v>135.559800</v>
      </c>
    </row>
    <row r="6075" spans="1:9">
      <c r="A6075" s="22" t="str">
        <f>HYPERLINK("https://app.vivvix.com/360/KMI/IntelliDrive/ApplUI/Pages/CreativePages/CustomReportCreativeDetail.aspx?App=23&amp;ReportView=4&amp;Qid=1711279&amp;Row=6067&amp;Col=1","No Title Assigned - #15269864998")</f>
        <v/>
      </c>
      <c r="B6075" s="0" t="s">
        <v>8029</v>
      </c>
      <c r="E6075" s="0" t="inlineStr">
        <is>
          <t xml:space="preserve">Mazda</t>
        </is>
      </c>
      <c r="F6075" s="0" t="inlineStr">
        <is>
          <t xml:space="preserve">Mazda</t>
        </is>
      </c>
      <c r="G6075" s="0" t="s">
        <v>171</v>
      </c>
      <c r="H6075" s="5">
        <v>51.639900</v>
      </c>
    </row>
    <row r="6076" spans="1:9">
      <c r="A6076" s="22" t="str">
        <f>HYPERLINK("https://app.vivvix.com/360/KMI/IntelliDrive/ApplUI/Pages/CreativePages/CustomReportCreativeDetail.aspx?App=23&amp;ReportView=4&amp;Qid=1711279&amp;Row=6068&amp;Col=1","No Title Assigned - #15269865274")</f>
        <v/>
      </c>
      <c r="B6076" s="0" t="s">
        <v>8030</v>
      </c>
      <c r="E6076" s="0" t="inlineStr">
        <is>
          <t xml:space="preserve">Mazda</t>
        </is>
      </c>
      <c r="F6076" s="0" t="inlineStr">
        <is>
          <t xml:space="preserve">Mazda</t>
        </is>
      </c>
      <c r="G6076" s="0" t="s">
        <v>171</v>
      </c>
      <c r="H6076" s="5">
        <v>21.300100</v>
      </c>
    </row>
    <row r="6077" spans="1:9">
      <c r="A6077" s="22" t="str">
        <f>HYPERLINK("https://app.vivvix.com/360/KMI/IntelliDrive/ApplUI/Pages/CreativePages/CustomReportCreativeDetail.aspx?App=23&amp;ReportView=4&amp;Qid=1711279&amp;Row=6069&amp;Col=1","No Title Assigned - #15269865582")</f>
        <v/>
      </c>
      <c r="B6077" s="0" t="s">
        <v>8031</v>
      </c>
      <c r="E6077" s="0" t="inlineStr">
        <is>
          <t xml:space="preserve">Mazda</t>
        </is>
      </c>
      <c r="F6077" s="0" t="inlineStr">
        <is>
          <t xml:space="preserve">Mazda</t>
        </is>
      </c>
      <c r="G6077" s="0" t="s">
        <v>171</v>
      </c>
      <c r="H6077" s="5">
        <v>23.437200</v>
      </c>
    </row>
    <row r="6078" spans="1:9">
      <c r="A6078" s="22" t="str">
        <f>HYPERLINK("https://app.vivvix.com/360/KMI/IntelliDrive/ApplUI/Pages/CreativePages/CustomReportCreativeDetail.aspx?App=23&amp;ReportView=4&amp;Qid=1711279&amp;Row=6070&amp;Col=1","No Title Assigned - #15269865672")</f>
        <v/>
      </c>
      <c r="B6078" s="0" t="s">
        <v>8032</v>
      </c>
      <c r="E6078" s="0" t="inlineStr">
        <is>
          <t xml:space="preserve">Mazda</t>
        </is>
      </c>
      <c r="F6078" s="0" t="inlineStr">
        <is>
          <t xml:space="preserve">Mazda</t>
        </is>
      </c>
      <c r="G6078" s="0" t="s">
        <v>171</v>
      </c>
      <c r="H6078" s="5">
        <v>1473.878700</v>
      </c>
    </row>
    <row r="6079" spans="1:9">
      <c r="A6079" s="22" t="str">
        <f>HYPERLINK("https://app.vivvix.com/360/KMI/IntelliDrive/ApplUI/Pages/CreativePages/CustomReportCreativeDetail.aspx?App=23&amp;ReportView=4&amp;Qid=1711279&amp;Row=6071&amp;Col=1","No Title Assigned - #15269865921")</f>
        <v/>
      </c>
      <c r="B6079" s="0" t="s">
        <v>8033</v>
      </c>
      <c r="E6079" s="0" t="inlineStr">
        <is>
          <t xml:space="preserve">Mazda</t>
        </is>
      </c>
      <c r="F6079" s="0" t="inlineStr">
        <is>
          <t xml:space="preserve">Mazda</t>
        </is>
      </c>
      <c r="G6079" s="0" t="s">
        <v>171</v>
      </c>
      <c r="H6079" s="5">
        <v>34.952900</v>
      </c>
    </row>
    <row r="6080" spans="1:9">
      <c r="A6080" s="22" t="str">
        <f>HYPERLINK("https://app.vivvix.com/360/KMI/IntelliDrive/ApplUI/Pages/CreativePages/CustomReportCreativeDetail.aspx?App=23&amp;ReportView=4&amp;Qid=1711279&amp;Row=6072&amp;Col=1","No Title Assigned - #15269866375")</f>
        <v/>
      </c>
      <c r="B6080" s="0" t="s">
        <v>8034</v>
      </c>
      <c r="E6080" s="0" t="inlineStr">
        <is>
          <t xml:space="preserve">Mazda</t>
        </is>
      </c>
      <c r="F6080" s="0" t="inlineStr">
        <is>
          <t xml:space="preserve">Mazda</t>
        </is>
      </c>
      <c r="G6080" s="0" t="s">
        <v>171</v>
      </c>
      <c r="H6080" s="5">
        <v>92.445800</v>
      </c>
    </row>
    <row r="6081" spans="1:9">
      <c r="A6081" s="22" t="str">
        <f>HYPERLINK("https://app.vivvix.com/360/KMI/IntelliDrive/ApplUI/Pages/CreativePages/CustomReportCreativeDetail.aspx?App=23&amp;ReportView=4&amp;Qid=1711279&amp;Row=6073&amp;Col=1","No Title Assigned - #15269866415")</f>
        <v/>
      </c>
      <c r="B6081" s="0" t="s">
        <v>8035</v>
      </c>
      <c r="E6081" s="0" t="inlineStr">
        <is>
          <t xml:space="preserve">Mazda</t>
        </is>
      </c>
      <c r="F6081" s="0" t="inlineStr">
        <is>
          <t xml:space="preserve">Mazda</t>
        </is>
      </c>
      <c r="G6081" s="0" t="s">
        <v>171</v>
      </c>
      <c r="H6081" s="5">
        <v>227.514500</v>
      </c>
    </row>
    <row r="6082" spans="1:9">
      <c r="A6082" s="22" t="str">
        <f>HYPERLINK("https://app.vivvix.com/360/KMI/IntelliDrive/ApplUI/Pages/CreativePages/CustomReportCreativeDetail.aspx?App=23&amp;ReportView=4&amp;Qid=1711279&amp;Row=6074&amp;Col=1","No Title Assigned - #15269866615")</f>
        <v/>
      </c>
      <c r="B6082" s="0" t="s">
        <v>8036</v>
      </c>
      <c r="E6082" s="0" t="inlineStr">
        <is>
          <t xml:space="preserve">Mazda</t>
        </is>
      </c>
      <c r="F6082" s="0" t="inlineStr">
        <is>
          <t xml:space="preserve">Mazda</t>
        </is>
      </c>
      <c r="G6082" s="0" t="s">
        <v>171</v>
      </c>
      <c r="H6082" s="5">
        <v>17.343800</v>
      </c>
    </row>
    <row r="6083" spans="1:9">
      <c r="A6083" s="22" t="str">
        <f>HYPERLINK("https://app.vivvix.com/360/KMI/IntelliDrive/ApplUI/Pages/CreativePages/CustomReportCreativeDetail.aspx?App=23&amp;ReportView=4&amp;Qid=1711279&amp;Row=6075&amp;Col=1","No Title Assigned - #15269866675")</f>
        <v/>
      </c>
      <c r="B6083" s="0" t="s">
        <v>8037</v>
      </c>
      <c r="E6083" s="0" t="inlineStr">
        <is>
          <t xml:space="preserve">Mazda</t>
        </is>
      </c>
      <c r="F6083" s="0" t="inlineStr">
        <is>
          <t xml:space="preserve">Mazda</t>
        </is>
      </c>
      <c r="G6083" s="0" t="s">
        <v>171</v>
      </c>
      <c r="H6083" s="5">
        <v>292.032000</v>
      </c>
    </row>
    <row r="6084" spans="1:9">
      <c r="A6084" s="22" t="str">
        <f>HYPERLINK("https://app.vivvix.com/360/KMI/IntelliDrive/ApplUI/Pages/CreativePages/CustomReportCreativeDetail.aspx?App=23&amp;ReportView=4&amp;Qid=1711279&amp;Row=6076&amp;Col=1","No Title Assigned - #15269866808")</f>
        <v/>
      </c>
      <c r="B6084" s="0" t="s">
        <v>8038</v>
      </c>
      <c r="E6084" s="0" t="inlineStr">
        <is>
          <t xml:space="preserve">Mazda</t>
        </is>
      </c>
      <c r="F6084" s="0" t="inlineStr">
        <is>
          <t xml:space="preserve">Mazda</t>
        </is>
      </c>
      <c r="G6084" s="0" t="s">
        <v>171</v>
      </c>
      <c r="H6084" s="5">
        <v>79.538900</v>
      </c>
    </row>
    <row r="6085" spans="1:9">
      <c r="A6085" s="22" t="str">
        <f>HYPERLINK("https://app.vivvix.com/360/KMI/IntelliDrive/ApplUI/Pages/CreativePages/CustomReportCreativeDetail.aspx?App=23&amp;ReportView=4&amp;Qid=1711279&amp;Row=6077&amp;Col=1","No Title Assigned - #15269866837")</f>
        <v/>
      </c>
      <c r="B6085" s="0" t="s">
        <v>8039</v>
      </c>
      <c r="E6085" s="0" t="inlineStr">
        <is>
          <t xml:space="preserve">Mazda</t>
        </is>
      </c>
      <c r="F6085" s="0" t="inlineStr">
        <is>
          <t xml:space="preserve">Mazda</t>
        </is>
      </c>
      <c r="G6085" s="0" t="s">
        <v>171</v>
      </c>
      <c r="H6085" s="5">
        <v>8884.064500</v>
      </c>
    </row>
    <row r="6086" spans="1:9">
      <c r="A6086" s="22" t="str">
        <f>HYPERLINK("https://app.vivvix.com/360/KMI/IntelliDrive/ApplUI/Pages/CreativePages/CustomReportCreativeDetail.aspx?App=23&amp;ReportView=4&amp;Qid=1711279&amp;Row=6078&amp;Col=1","No Title Assigned - #15269867176")</f>
        <v/>
      </c>
      <c r="B6086" s="0" t="s">
        <v>8040</v>
      </c>
      <c r="E6086" s="0" t="inlineStr">
        <is>
          <t xml:space="preserve">Mazda</t>
        </is>
      </c>
      <c r="F6086" s="0" t="inlineStr">
        <is>
          <t xml:space="preserve">Mazda</t>
        </is>
      </c>
      <c r="G6086" s="0" t="s">
        <v>171</v>
      </c>
      <c r="H6086" s="5">
        <v>200.289200</v>
      </c>
    </row>
    <row r="6087" spans="1:9">
      <c r="A6087" s="22" t="str">
        <f>HYPERLINK("https://app.vivvix.com/360/KMI/IntelliDrive/ApplUI/Pages/CreativePages/CustomReportCreativeDetail.aspx?App=23&amp;ReportView=4&amp;Qid=1711279&amp;Row=6079&amp;Col=1","No Title Assigned - #15269867253")</f>
        <v/>
      </c>
      <c r="B6087" s="0" t="s">
        <v>8041</v>
      </c>
      <c r="E6087" s="0" t="inlineStr">
        <is>
          <t xml:space="preserve">Mazda</t>
        </is>
      </c>
      <c r="F6087" s="0" t="inlineStr">
        <is>
          <t xml:space="preserve">Mazda</t>
        </is>
      </c>
      <c r="G6087" s="0" t="s">
        <v>171</v>
      </c>
      <c r="H6087" s="5">
        <v>6.281100</v>
      </c>
    </row>
    <row r="6088" spans="1:9">
      <c r="A6088" s="22" t="str">
        <f>HYPERLINK("https://app.vivvix.com/360/KMI/IntelliDrive/ApplUI/Pages/CreativePages/CustomReportCreativeDetail.aspx?App=23&amp;ReportView=4&amp;Qid=1711279&amp;Row=6080&amp;Col=1","No Title Assigned - #15269867626")</f>
        <v/>
      </c>
      <c r="B6088" s="0" t="s">
        <v>8042</v>
      </c>
      <c r="E6088" s="0" t="inlineStr">
        <is>
          <t xml:space="preserve">Mazda</t>
        </is>
      </c>
      <c r="F6088" s="0" t="inlineStr">
        <is>
          <t xml:space="preserve">Mazda</t>
        </is>
      </c>
      <c r="G6088" s="0" t="s">
        <v>171</v>
      </c>
      <c r="H6088" s="5">
        <v>149.181200</v>
      </c>
    </row>
    <row r="6089" spans="1:9">
      <c r="A6089" s="22" t="str">
        <f>HYPERLINK("https://app.vivvix.com/360/KMI/IntelliDrive/ApplUI/Pages/CreativePages/CustomReportCreativeDetail.aspx?App=23&amp;ReportView=4&amp;Qid=1711279&amp;Row=6081&amp;Col=1","No Title Assigned - #15269867626")</f>
        <v/>
      </c>
      <c r="B6089" s="0" t="s">
        <v>8042</v>
      </c>
      <c r="E6089" s="0" t="inlineStr">
        <is>
          <t xml:space="preserve">Mazda</t>
        </is>
      </c>
      <c r="F6089" s="0" t="inlineStr">
        <is>
          <t xml:space="preserve">Mazda</t>
        </is>
      </c>
      <c r="G6089" s="0" t="s">
        <v>171</v>
      </c>
      <c r="H6089" s="5">
        <v>2019.744000</v>
      </c>
    </row>
    <row r="6090" spans="1:9">
      <c r="A6090" s="22" t="str">
        <f>HYPERLINK("https://app.vivvix.com/360/KMI/IntelliDrive/ApplUI/Pages/CreativePages/CustomReportCreativeDetail.aspx?App=23&amp;ReportView=4&amp;Qid=1711279&amp;Row=6082&amp;Col=1","No Title Assigned - #15269867679")</f>
        <v/>
      </c>
      <c r="B6090" s="0" t="s">
        <v>8043</v>
      </c>
      <c r="E6090" s="0" t="inlineStr">
        <is>
          <t xml:space="preserve">Mazda</t>
        </is>
      </c>
      <c r="F6090" s="0" t="inlineStr">
        <is>
          <t xml:space="preserve">Mazda</t>
        </is>
      </c>
      <c r="G6090" s="0" t="s">
        <v>171</v>
      </c>
      <c r="H6090" s="5">
        <v>15.534200</v>
      </c>
    </row>
    <row r="6091" spans="1:9">
      <c r="A6091" s="22" t="str">
        <f>HYPERLINK("https://app.vivvix.com/360/KMI/IntelliDrive/ApplUI/Pages/CreativePages/CustomReportCreativeDetail.aspx?App=23&amp;ReportView=4&amp;Qid=1711279&amp;Row=6083&amp;Col=1","No Title Assigned - #15269867836")</f>
        <v/>
      </c>
      <c r="B6091" s="0" t="s">
        <v>8044</v>
      </c>
      <c r="E6091" s="0" t="inlineStr">
        <is>
          <t xml:space="preserve">Mazda</t>
        </is>
      </c>
      <c r="F6091" s="0" t="inlineStr">
        <is>
          <t xml:space="preserve">Mazda</t>
        </is>
      </c>
      <c r="G6091" s="0" t="s">
        <v>171</v>
      </c>
      <c r="H6091" s="5">
        <v>214.698100</v>
      </c>
    </row>
    <row r="6092" spans="1:9">
      <c r="A6092" s="22" t="str">
        <f>HYPERLINK("https://app.vivvix.com/360/KMI/IntelliDrive/ApplUI/Pages/CreativePages/CustomReportCreativeDetail.aspx?App=23&amp;ReportView=4&amp;Qid=1711279&amp;Row=6084&amp;Col=1","No Title Assigned - #15269867848")</f>
        <v/>
      </c>
      <c r="B6092" s="0" t="s">
        <v>8045</v>
      </c>
      <c r="E6092" s="0" t="inlineStr">
        <is>
          <t xml:space="preserve">Mazda</t>
        </is>
      </c>
      <c r="F6092" s="0" t="inlineStr">
        <is>
          <t xml:space="preserve">Mazda</t>
        </is>
      </c>
      <c r="G6092" s="0" t="s">
        <v>171</v>
      </c>
      <c r="H6092" s="5">
        <v>214.698100</v>
      </c>
    </row>
    <row r="6093" spans="1:9">
      <c r="A6093" s="22" t="str">
        <f>HYPERLINK("https://app.vivvix.com/360/KMI/IntelliDrive/ApplUI/Pages/CreativePages/CustomReportCreativeDetail.aspx?App=23&amp;ReportView=4&amp;Qid=1711279&amp;Row=6085&amp;Col=1","No Title Assigned - #15269868244")</f>
        <v/>
      </c>
      <c r="B6093" s="0" t="s">
        <v>8046</v>
      </c>
      <c r="E6093" s="0" t="inlineStr">
        <is>
          <t xml:space="preserve">Mazda</t>
        </is>
      </c>
      <c r="F6093" s="0" t="inlineStr">
        <is>
          <t xml:space="preserve">Mazda</t>
        </is>
      </c>
      <c r="G6093" s="0" t="s">
        <v>171</v>
      </c>
      <c r="H6093" s="5">
        <v>312.737800</v>
      </c>
    </row>
    <row r="6094" spans="1:9">
      <c r="A6094" s="22" t="str">
        <f>HYPERLINK("https://app.vivvix.com/360/KMI/IntelliDrive/ApplUI/Pages/CreativePages/CustomReportCreativeDetail.aspx?App=23&amp;ReportView=4&amp;Qid=1711279&amp;Row=6086&amp;Col=1","No Title Assigned - #15269868360")</f>
        <v/>
      </c>
      <c r="B6094" s="0" t="s">
        <v>8047</v>
      </c>
      <c r="E6094" s="0" t="inlineStr">
        <is>
          <t xml:space="preserve">Mazda</t>
        </is>
      </c>
      <c r="F6094" s="0" t="inlineStr">
        <is>
          <t xml:space="preserve">Mazda</t>
        </is>
      </c>
      <c r="G6094" s="0" t="s">
        <v>171</v>
      </c>
      <c r="H6094" s="5">
        <v>924.152000</v>
      </c>
    </row>
    <row r="6095" spans="1:9">
      <c r="A6095" s="22" t="str">
        <f>HYPERLINK("https://app.vivvix.com/360/KMI/IntelliDrive/ApplUI/Pages/CreativePages/CustomReportCreativeDetail.aspx?App=23&amp;ReportView=4&amp;Qid=1711279&amp;Row=6087&amp;Col=1","No Title Assigned - #15269868485")</f>
        <v/>
      </c>
      <c r="B6095" s="0" t="s">
        <v>8048</v>
      </c>
      <c r="E6095" s="0" t="inlineStr">
        <is>
          <t xml:space="preserve">Mazda</t>
        </is>
      </c>
      <c r="F6095" s="0" t="inlineStr">
        <is>
          <t xml:space="preserve">Mazda</t>
        </is>
      </c>
      <c r="G6095" s="0" t="s">
        <v>171</v>
      </c>
      <c r="H6095" s="5">
        <v>88.975400</v>
      </c>
    </row>
    <row r="6096" spans="1:9">
      <c r="A6096" s="22" t="str">
        <f>HYPERLINK("https://app.vivvix.com/360/KMI/IntelliDrive/ApplUI/Pages/CreativePages/CustomReportCreativeDetail.aspx?App=23&amp;ReportView=4&amp;Qid=1711279&amp;Row=6088&amp;Col=1","No Title Assigned - #15269868485")</f>
        <v/>
      </c>
      <c r="B6096" s="0" t="s">
        <v>8048</v>
      </c>
      <c r="E6096" s="0" t="inlineStr">
        <is>
          <t xml:space="preserve">Mazda</t>
        </is>
      </c>
      <c r="F6096" s="0" t="inlineStr">
        <is>
          <t xml:space="preserve">Mazda</t>
        </is>
      </c>
      <c r="G6096" s="0" t="s">
        <v>171</v>
      </c>
      <c r="H6096" s="5">
        <v>126.532700</v>
      </c>
    </row>
    <row r="6097" spans="1:9">
      <c r="A6097" s="22" t="str">
        <f>HYPERLINK("https://app.vivvix.com/360/KMI/IntelliDrive/ApplUI/Pages/CreativePages/CustomReportCreativeDetail.aspx?App=23&amp;ReportView=4&amp;Qid=1711279&amp;Row=6089&amp;Col=1","No Title Assigned - #15269868608")</f>
        <v/>
      </c>
      <c r="B6097" s="0" t="s">
        <v>8049</v>
      </c>
      <c r="C6097" s="0" t="s">
        <v>8050</v>
      </c>
      <c r="D6097" s="0" t="s">
        <v>8050</v>
      </c>
      <c r="E6097" s="0" t="inlineStr">
        <is>
          <t xml:space="preserve">Mazda</t>
        </is>
      </c>
      <c r="F6097" s="0" t="s">
        <v>28</v>
      </c>
      <c r="G6097" s="0" t="s">
        <v>29</v>
      </c>
      <c r="H6097" s="5">
        <v>30961.004900</v>
      </c>
    </row>
    <row r="6098" spans="1:9">
      <c r="A6098" s="22" t="str">
        <f>HYPERLINK("https://app.vivvix.com/360/KMI/IntelliDrive/ApplUI/Pages/CreativePages/CustomReportCreativeDetail.aspx?App=23&amp;ReportView=4&amp;Qid=1711279&amp;Row=6090&amp;Col=1","No Title Assigned - #15269868634")</f>
        <v/>
      </c>
      <c r="B6098" s="0" t="s">
        <v>8051</v>
      </c>
      <c r="E6098" s="0" t="inlineStr">
        <is>
          <t xml:space="preserve">Mazda</t>
        </is>
      </c>
      <c r="F6098" s="0" t="inlineStr">
        <is>
          <t xml:space="preserve">Mazda</t>
        </is>
      </c>
      <c r="G6098" s="0" t="s">
        <v>171</v>
      </c>
      <c r="H6098" s="5">
        <v>326.412100</v>
      </c>
    </row>
    <row r="6099" spans="1:9">
      <c r="A6099" s="22" t="str">
        <f>HYPERLINK("https://app.vivvix.com/360/KMI/IntelliDrive/ApplUI/Pages/CreativePages/CustomReportCreativeDetail.aspx?App=23&amp;ReportView=4&amp;Qid=1711279&amp;Row=6091&amp;Col=1","No Title Assigned - #15269868735")</f>
        <v/>
      </c>
      <c r="B6099" s="0" t="s">
        <v>8052</v>
      </c>
      <c r="E6099" s="0" t="inlineStr">
        <is>
          <t xml:space="preserve">Mazda</t>
        </is>
      </c>
      <c r="F6099" s="0" t="inlineStr">
        <is>
          <t xml:space="preserve">Mazda</t>
        </is>
      </c>
      <c r="G6099" s="0" t="s">
        <v>171</v>
      </c>
      <c r="H6099" s="5">
        <v>30685.000000</v>
      </c>
    </row>
    <row r="6100" spans="1:9">
      <c r="A6100" s="22" t="str">
        <f>HYPERLINK("https://app.vivvix.com/360/KMI/IntelliDrive/ApplUI/Pages/CreativePages/CustomReportCreativeDetail.aspx?App=23&amp;ReportView=4&amp;Qid=1711279&amp;Row=6092&amp;Col=1","No Title Assigned - #15269868760")</f>
        <v/>
      </c>
      <c r="B6100" s="0" t="s">
        <v>8053</v>
      </c>
      <c r="E6100" s="0" t="inlineStr">
        <is>
          <t xml:space="preserve">Mazda</t>
        </is>
      </c>
      <c r="F6100" s="0" t="inlineStr">
        <is>
          <t xml:space="preserve">Mazda</t>
        </is>
      </c>
      <c r="G6100" s="0" t="s">
        <v>171</v>
      </c>
      <c r="H6100" s="5">
        <v>32.387300</v>
      </c>
    </row>
    <row r="6101" spans="1:9">
      <c r="A6101" s="22" t="str">
        <f>HYPERLINK("https://app.vivvix.com/360/KMI/IntelliDrive/ApplUI/Pages/CreativePages/CustomReportCreativeDetail.aspx?App=23&amp;ReportView=4&amp;Qid=1711279&amp;Row=6093&amp;Col=1","No Title Assigned - #15269868933")</f>
        <v/>
      </c>
      <c r="B6101" s="0" t="s">
        <v>8054</v>
      </c>
      <c r="E6101" s="0" t="inlineStr">
        <is>
          <t xml:space="preserve">Mazda</t>
        </is>
      </c>
      <c r="F6101" s="0" t="inlineStr">
        <is>
          <t xml:space="preserve">Mazda</t>
        </is>
      </c>
      <c r="G6101" s="0" t="s">
        <v>171</v>
      </c>
      <c r="H6101" s="5">
        <v>195.595500</v>
      </c>
    </row>
    <row r="6102" spans="1:9">
      <c r="A6102" s="22" t="str">
        <f>HYPERLINK("https://app.vivvix.com/360/KMI/IntelliDrive/ApplUI/Pages/CreativePages/CustomReportCreativeDetail.aspx?App=23&amp;ReportView=4&amp;Qid=1711279&amp;Row=6094&amp;Col=1","No Title Assigned - #15269868999")</f>
        <v/>
      </c>
      <c r="B6102" s="0" t="s">
        <v>8055</v>
      </c>
      <c r="C6102" s="0" t="s">
        <v>8056</v>
      </c>
      <c r="D6102" s="0" t="s">
        <v>8056</v>
      </c>
      <c r="E6102" s="0" t="inlineStr">
        <is>
          <t xml:space="preserve">Mazda</t>
        </is>
      </c>
      <c r="F6102" s="0" t="inlineStr">
        <is>
          <t xml:space="preserve">Mazda</t>
        </is>
      </c>
      <c r="G6102" s="0" t="s">
        <v>171</v>
      </c>
      <c r="H6102" s="5">
        <v>2172.598300</v>
      </c>
    </row>
    <row r="6103" spans="1:9">
      <c r="A6103" s="22" t="str">
        <f>HYPERLINK("https://app.vivvix.com/360/KMI/IntelliDrive/ApplUI/Pages/CreativePages/CustomReportCreativeDetail.aspx?App=23&amp;ReportView=4&amp;Qid=1711279&amp;Row=6095&amp;Col=1","No Title Assigned - #15269869284")</f>
        <v/>
      </c>
      <c r="B6103" s="0" t="s">
        <v>8057</v>
      </c>
      <c r="E6103" s="0" t="inlineStr">
        <is>
          <t xml:space="preserve">Mazda</t>
        </is>
      </c>
      <c r="F6103" s="0" t="inlineStr">
        <is>
          <t xml:space="preserve">Mazda</t>
        </is>
      </c>
      <c r="G6103" s="0" t="s">
        <v>171</v>
      </c>
      <c r="H6103" s="5">
        <v>38.026400</v>
      </c>
    </row>
    <row r="6104" spans="1:9">
      <c r="A6104" s="22" t="str">
        <f>HYPERLINK("https://app.vivvix.com/360/KMI/IntelliDrive/ApplUI/Pages/CreativePages/CustomReportCreativeDetail.aspx?App=23&amp;ReportView=4&amp;Qid=1711279&amp;Row=6096&amp;Col=1","No Title Assigned - #15269869285")</f>
        <v/>
      </c>
      <c r="B6104" s="0" t="s">
        <v>8058</v>
      </c>
      <c r="E6104" s="0" t="inlineStr">
        <is>
          <t xml:space="preserve">Mazda</t>
        </is>
      </c>
      <c r="F6104" s="0" t="inlineStr">
        <is>
          <t xml:space="preserve">Mazda</t>
        </is>
      </c>
      <c r="G6104" s="0" t="s">
        <v>171</v>
      </c>
      <c r="H6104" s="5">
        <v>38.026400</v>
      </c>
    </row>
    <row r="6105" spans="1:9">
      <c r="A6105" s="22" t="str">
        <f>HYPERLINK("https://app.vivvix.com/360/KMI/IntelliDrive/ApplUI/Pages/CreativePages/CustomReportCreativeDetail.aspx?App=23&amp;ReportView=4&amp;Qid=1711279&amp;Row=6097&amp;Col=1","No Title Assigned - #15269869657")</f>
        <v/>
      </c>
      <c r="B6105" s="0" t="s">
        <v>8059</v>
      </c>
      <c r="E6105" s="0" t="inlineStr">
        <is>
          <t xml:space="preserve">Mazda</t>
        </is>
      </c>
      <c r="F6105" s="0" t="inlineStr">
        <is>
          <t xml:space="preserve">Mazda</t>
        </is>
      </c>
      <c r="G6105" s="0" t="s">
        <v>171</v>
      </c>
      <c r="H6105" s="5">
        <v>278.865500</v>
      </c>
    </row>
    <row r="6106" spans="1:9">
      <c r="A6106" s="22" t="str">
        <f>HYPERLINK("https://app.vivvix.com/360/KMI/IntelliDrive/ApplUI/Pages/CreativePages/CustomReportCreativeDetail.aspx?App=23&amp;ReportView=4&amp;Qid=1711279&amp;Row=6098&amp;Col=1","No Title Assigned - #15269869711")</f>
        <v/>
      </c>
      <c r="B6106" s="0" t="s">
        <v>8060</v>
      </c>
      <c r="E6106" s="0" t="inlineStr">
        <is>
          <t xml:space="preserve">Mazda</t>
        </is>
      </c>
      <c r="F6106" s="0" t="inlineStr">
        <is>
          <t xml:space="preserve">Mazda</t>
        </is>
      </c>
      <c r="G6106" s="0" t="s">
        <v>171</v>
      </c>
      <c r="H6106" s="5">
        <v>38.472800</v>
      </c>
    </row>
    <row r="6107" spans="1:9">
      <c r="A6107" s="22" t="str">
        <f>HYPERLINK("https://app.vivvix.com/360/KMI/IntelliDrive/ApplUI/Pages/CreativePages/CustomReportCreativeDetail.aspx?App=23&amp;ReportView=4&amp;Qid=1711279&amp;Row=6099&amp;Col=1","No Title Assigned - #15269869913")</f>
        <v/>
      </c>
      <c r="B6107" s="0" t="s">
        <v>8061</v>
      </c>
      <c r="E6107" s="0" t="inlineStr">
        <is>
          <t xml:space="preserve">Mazda</t>
        </is>
      </c>
      <c r="F6107" s="0" t="inlineStr">
        <is>
          <t xml:space="preserve">Mazda</t>
        </is>
      </c>
      <c r="G6107" s="0" t="s">
        <v>171</v>
      </c>
      <c r="H6107" s="5">
        <v>150.828000</v>
      </c>
    </row>
    <row r="6108" spans="1:9">
      <c r="A6108" s="22" t="str">
        <f>HYPERLINK("https://app.vivvix.com/360/KMI/IntelliDrive/ApplUI/Pages/CreativePages/CustomReportCreativeDetail.aspx?App=23&amp;ReportView=4&amp;Qid=1711279&amp;Row=6100&amp;Col=1","No Title Assigned - #15269870084")</f>
        <v/>
      </c>
      <c r="B6108" s="0" t="s">
        <v>8062</v>
      </c>
      <c r="E6108" s="0" t="inlineStr">
        <is>
          <t xml:space="preserve">Mazda</t>
        </is>
      </c>
      <c r="F6108" s="0" t="inlineStr">
        <is>
          <t xml:space="preserve">Mazda</t>
        </is>
      </c>
      <c r="G6108" s="0" t="s">
        <v>171</v>
      </c>
      <c r="H6108" s="5">
        <v>477.865900</v>
      </c>
    </row>
    <row r="6109" spans="1:9">
      <c r="A6109" s="22" t="str">
        <f>HYPERLINK("https://app.vivvix.com/360/KMI/IntelliDrive/ApplUI/Pages/CreativePages/CustomReportCreativeDetail.aspx?App=23&amp;ReportView=4&amp;Qid=1711279&amp;Row=6101&amp;Col=1","No Title Assigned - #15269870084")</f>
        <v/>
      </c>
      <c r="B6109" s="0" t="s">
        <v>8062</v>
      </c>
      <c r="E6109" s="0" t="inlineStr">
        <is>
          <t xml:space="preserve">Mazda</t>
        </is>
      </c>
      <c r="F6109" s="0" t="inlineStr">
        <is>
          <t xml:space="preserve">Mazda</t>
        </is>
      </c>
      <c r="G6109" s="0" t="s">
        <v>171</v>
      </c>
      <c r="H6109" s="5">
        <v>410.007200</v>
      </c>
    </row>
    <row r="6110" spans="1:9">
      <c r="A6110" s="22" t="str">
        <f>HYPERLINK("https://app.vivvix.com/360/KMI/IntelliDrive/ApplUI/Pages/CreativePages/CustomReportCreativeDetail.aspx?App=23&amp;ReportView=4&amp;Qid=1711279&amp;Row=6102&amp;Col=1","No Title Assigned - #15269870160")</f>
        <v/>
      </c>
      <c r="B6110" s="0" t="s">
        <v>8063</v>
      </c>
      <c r="C6110" s="0" t="s">
        <v>8064</v>
      </c>
      <c r="D6110" s="0" t="s">
        <v>8064</v>
      </c>
      <c r="E6110" s="0" t="inlineStr">
        <is>
          <t xml:space="preserve">Mazda</t>
        </is>
      </c>
      <c r="F6110" s="0" t="inlineStr">
        <is>
          <t xml:space="preserve">Mazda</t>
        </is>
      </c>
      <c r="G6110" s="0" t="s">
        <v>171</v>
      </c>
      <c r="H6110" s="5">
        <v>1489.925600</v>
      </c>
    </row>
    <row r="6111" spans="1:9">
      <c r="A6111" s="22" t="str">
        <f>HYPERLINK("https://app.vivvix.com/360/KMI/IntelliDrive/ApplUI/Pages/CreativePages/CustomReportCreativeDetail.aspx?App=23&amp;ReportView=4&amp;Qid=1711279&amp;Row=6103&amp;Col=1","No Title Assigned - #15269870160")</f>
        <v/>
      </c>
      <c r="B6111" s="0" t="s">
        <v>8063</v>
      </c>
      <c r="E6111" s="0" t="inlineStr">
        <is>
          <t xml:space="preserve">Mazda</t>
        </is>
      </c>
      <c r="F6111" s="0" t="inlineStr">
        <is>
          <t xml:space="preserve">Mazda</t>
        </is>
      </c>
      <c r="G6111" s="0" t="s">
        <v>171</v>
      </c>
      <c r="H6111" s="5">
        <v>14591.072800</v>
      </c>
    </row>
    <row r="6112" spans="1:9">
      <c r="A6112" s="22" t="str">
        <f>HYPERLINK("https://app.vivvix.com/360/KMI/IntelliDrive/ApplUI/Pages/CreativePages/CustomReportCreativeDetail.aspx?App=23&amp;ReportView=4&amp;Qid=1711279&amp;Row=6104&amp;Col=1","No Title Assigned - #15269870179")</f>
        <v/>
      </c>
      <c r="B6112" s="0" t="s">
        <v>8065</v>
      </c>
      <c r="E6112" s="0" t="inlineStr">
        <is>
          <t xml:space="preserve">Mazda</t>
        </is>
      </c>
      <c r="F6112" s="0" t="inlineStr">
        <is>
          <t xml:space="preserve">Mazda</t>
        </is>
      </c>
      <c r="G6112" s="0" t="s">
        <v>171</v>
      </c>
      <c r="H6112" s="5">
        <v>29.071800</v>
      </c>
    </row>
    <row r="6113" spans="1:9">
      <c r="A6113" s="22" t="str">
        <f>HYPERLINK("https://app.vivvix.com/360/KMI/IntelliDrive/ApplUI/Pages/CreativePages/CustomReportCreativeDetail.aspx?App=23&amp;ReportView=4&amp;Qid=1711279&amp;Row=6105&amp;Col=1","No Title Assigned - #15269870282")</f>
        <v/>
      </c>
      <c r="B6113" s="0" t="s">
        <v>8066</v>
      </c>
      <c r="E6113" s="0" t="inlineStr">
        <is>
          <t xml:space="preserve">Mazda</t>
        </is>
      </c>
      <c r="F6113" s="0" t="inlineStr">
        <is>
          <t xml:space="preserve">Mazda</t>
        </is>
      </c>
      <c r="G6113" s="0" t="s">
        <v>171</v>
      </c>
      <c r="H6113" s="5">
        <v>154.248200</v>
      </c>
    </row>
    <row r="6114" spans="1:9">
      <c r="A6114" s="22" t="str">
        <f>HYPERLINK("https://app.vivvix.com/360/KMI/IntelliDrive/ApplUI/Pages/CreativePages/CustomReportCreativeDetail.aspx?App=23&amp;ReportView=4&amp;Qid=1711279&amp;Row=6106&amp;Col=1","No Title Assigned - #15269870375")</f>
        <v/>
      </c>
      <c r="B6114" s="0" t="s">
        <v>8067</v>
      </c>
      <c r="C6114" s="0" t="s">
        <v>8068</v>
      </c>
      <c r="D6114" s="0" t="s">
        <v>8068</v>
      </c>
      <c r="E6114" s="0" t="inlineStr">
        <is>
          <t xml:space="preserve">Mazda</t>
        </is>
      </c>
      <c r="F6114" s="0" t="inlineStr">
        <is>
          <t xml:space="preserve">Mazda</t>
        </is>
      </c>
      <c r="G6114" s="0" t="s">
        <v>171</v>
      </c>
      <c r="H6114" s="5">
        <v>18.379500</v>
      </c>
    </row>
    <row r="6115" spans="1:9">
      <c r="A6115" s="22" t="str">
        <f>HYPERLINK("https://app.vivvix.com/360/KMI/IntelliDrive/ApplUI/Pages/CreativePages/CustomReportCreativeDetail.aspx?App=23&amp;ReportView=4&amp;Qid=1711279&amp;Row=6107&amp;Col=1","No Title Assigned - #15269870517")</f>
        <v/>
      </c>
      <c r="B6115" s="0" t="s">
        <v>8069</v>
      </c>
      <c r="E6115" s="0" t="inlineStr">
        <is>
          <t xml:space="preserve">Mazda</t>
        </is>
      </c>
      <c r="F6115" s="0" t="inlineStr">
        <is>
          <t xml:space="preserve">Mazda</t>
        </is>
      </c>
      <c r="G6115" s="0" t="s">
        <v>171</v>
      </c>
      <c r="H6115" s="5">
        <v>801.156800</v>
      </c>
    </row>
    <row r="6116" spans="1:9">
      <c r="A6116" s="22" t="str">
        <f>HYPERLINK("https://app.vivvix.com/360/KMI/IntelliDrive/ApplUI/Pages/CreativePages/CustomReportCreativeDetail.aspx?App=23&amp;ReportView=4&amp;Qid=1711279&amp;Row=6108&amp;Col=1","No Title Assigned - #15269870531")</f>
        <v/>
      </c>
      <c r="B6116" s="0" t="s">
        <v>8070</v>
      </c>
      <c r="E6116" s="0" t="inlineStr">
        <is>
          <t xml:space="preserve">Mazda</t>
        </is>
      </c>
      <c r="F6116" s="0" t="s">
        <v>204</v>
      </c>
      <c r="G6116" s="0" t="s">
        <v>205</v>
      </c>
      <c r="H6116" s="5">
        <v>437.048200</v>
      </c>
    </row>
    <row r="6117" spans="1:9">
      <c r="A6117" s="22" t="str">
        <f>HYPERLINK("https://app.vivvix.com/360/KMI/IntelliDrive/ApplUI/Pages/CreativePages/CustomReportCreativeDetail.aspx?App=23&amp;ReportView=4&amp;Qid=1711279&amp;Row=6109&amp;Col=1","No Title Assigned - #15269870596")</f>
        <v/>
      </c>
      <c r="B6117" s="0" t="s">
        <v>8071</v>
      </c>
      <c r="E6117" s="0" t="inlineStr">
        <is>
          <t xml:space="preserve">Mazda</t>
        </is>
      </c>
      <c r="F6117" s="0" t="inlineStr">
        <is>
          <t xml:space="preserve">Mazda</t>
        </is>
      </c>
      <c r="G6117" s="0" t="s">
        <v>171</v>
      </c>
      <c r="H6117" s="5">
        <v>33.141400</v>
      </c>
    </row>
    <row r="6118" spans="1:9">
      <c r="A6118" s="22" t="str">
        <f>HYPERLINK("https://app.vivvix.com/360/KMI/IntelliDrive/ApplUI/Pages/CreativePages/CustomReportCreativeDetail.aspx?App=23&amp;ReportView=4&amp;Qid=1711279&amp;Row=6110&amp;Col=1","No Title Assigned - #15269870727")</f>
        <v/>
      </c>
      <c r="B6118" s="0" t="s">
        <v>8072</v>
      </c>
      <c r="C6118" s="0" t="s">
        <v>8073</v>
      </c>
      <c r="D6118" s="0" t="s">
        <v>8073</v>
      </c>
      <c r="E6118" s="0" t="inlineStr">
        <is>
          <t xml:space="preserve">Mazda</t>
        </is>
      </c>
      <c r="F6118" s="0" t="inlineStr">
        <is>
          <t xml:space="preserve">Mazda</t>
        </is>
      </c>
      <c r="G6118" s="0" t="s">
        <v>171</v>
      </c>
      <c r="H6118" s="5">
        <v>1052.397600</v>
      </c>
    </row>
    <row r="6119" spans="1:9">
      <c r="A6119" s="22" t="str">
        <f>HYPERLINK("https://app.vivvix.com/360/KMI/IntelliDrive/ApplUI/Pages/CreativePages/CustomReportCreativeDetail.aspx?App=23&amp;ReportView=4&amp;Qid=1711279&amp;Row=6111&amp;Col=1","No Title Assigned - #15269870874")</f>
        <v/>
      </c>
      <c r="B6119" s="0" t="s">
        <v>8074</v>
      </c>
      <c r="C6119" s="0" t="s">
        <v>8075</v>
      </c>
      <c r="D6119" s="0" t="s">
        <v>8075</v>
      </c>
      <c r="E6119" s="0" t="inlineStr">
        <is>
          <t xml:space="preserve">Mazda</t>
        </is>
      </c>
      <c r="F6119" s="0" t="inlineStr">
        <is>
          <t xml:space="preserve">Mazda</t>
        </is>
      </c>
      <c r="G6119" s="0" t="s">
        <v>171</v>
      </c>
      <c r="H6119" s="5">
        <v>109.647500</v>
      </c>
    </row>
    <row r="6120" spans="1:9">
      <c r="A6120" s="22" t="str">
        <f>HYPERLINK("https://app.vivvix.com/360/KMI/IntelliDrive/ApplUI/Pages/CreativePages/CustomReportCreativeDetail.aspx?App=23&amp;ReportView=4&amp;Qid=1711279&amp;Row=6112&amp;Col=1","No Title Assigned - #15269871047")</f>
        <v/>
      </c>
      <c r="B6120" s="0" t="s">
        <v>8076</v>
      </c>
      <c r="E6120" s="0" t="inlineStr">
        <is>
          <t xml:space="preserve">Mazda</t>
        </is>
      </c>
      <c r="F6120" s="0" t="inlineStr">
        <is>
          <t xml:space="preserve">Mazda</t>
        </is>
      </c>
      <c r="G6120" s="0" t="s">
        <v>171</v>
      </c>
      <c r="H6120" s="5">
        <v>6.742500</v>
      </c>
    </row>
    <row r="6121" spans="1:9">
      <c r="A6121" s="22" t="str">
        <f>HYPERLINK("https://app.vivvix.com/360/KMI/IntelliDrive/ApplUI/Pages/CreativePages/CustomReportCreativeDetail.aspx?App=23&amp;ReportView=4&amp;Qid=1711279&amp;Row=6113&amp;Col=1","No Title Assigned - #15269871192")</f>
        <v/>
      </c>
      <c r="B6121" s="0" t="s">
        <v>8077</v>
      </c>
      <c r="E6121" s="0" t="inlineStr">
        <is>
          <t xml:space="preserve">Mazda</t>
        </is>
      </c>
      <c r="F6121" s="0" t="inlineStr">
        <is>
          <t xml:space="preserve">Mazda</t>
        </is>
      </c>
      <c r="G6121" s="0" t="s">
        <v>171</v>
      </c>
      <c r="H6121" s="5">
        <v>1487.979900</v>
      </c>
    </row>
    <row r="6122" spans="1:9">
      <c r="A6122" s="22" t="str">
        <f>HYPERLINK("https://app.vivvix.com/360/KMI/IntelliDrive/ApplUI/Pages/CreativePages/CustomReportCreativeDetail.aspx?App=23&amp;ReportView=4&amp;Qid=1711279&amp;Row=6114&amp;Col=1","No Title Assigned - #15269871374")</f>
        <v/>
      </c>
      <c r="B6122" s="0" t="s">
        <v>8078</v>
      </c>
      <c r="E6122" s="0" t="inlineStr">
        <is>
          <t xml:space="preserve">Mazda</t>
        </is>
      </c>
      <c r="F6122" s="0" t="inlineStr">
        <is>
          <t xml:space="preserve">Mazda</t>
        </is>
      </c>
      <c r="G6122" s="0" t="s">
        <v>171</v>
      </c>
      <c r="H6122" s="5">
        <v>117.429300</v>
      </c>
    </row>
    <row r="6123" spans="1:9">
      <c r="A6123" s="22" t="str">
        <f>HYPERLINK("https://app.vivvix.com/360/KMI/IntelliDrive/ApplUI/Pages/CreativePages/CustomReportCreativeDetail.aspx?App=23&amp;ReportView=4&amp;Qid=1711279&amp;Row=6115&amp;Col=1","No Title Assigned - #15269871403")</f>
        <v/>
      </c>
      <c r="B6123" s="0" t="s">
        <v>8079</v>
      </c>
      <c r="E6123" s="0" t="inlineStr">
        <is>
          <t xml:space="preserve">Mazda</t>
        </is>
      </c>
      <c r="F6123" s="0" t="inlineStr">
        <is>
          <t xml:space="preserve">Mazda</t>
        </is>
      </c>
      <c r="G6123" s="0" t="s">
        <v>171</v>
      </c>
      <c r="H6123" s="5">
        <v>299.874700</v>
      </c>
    </row>
    <row r="6124" spans="1:9">
      <c r="A6124" s="22" t="str">
        <f>HYPERLINK("https://app.vivvix.com/360/KMI/IntelliDrive/ApplUI/Pages/CreativePages/CustomReportCreativeDetail.aspx?App=23&amp;ReportView=4&amp;Qid=1711279&amp;Row=6116&amp;Col=1","No Title Assigned - #15269871418")</f>
        <v/>
      </c>
      <c r="B6124" s="0" t="s">
        <v>8080</v>
      </c>
      <c r="C6124" s="0" t="s">
        <v>8081</v>
      </c>
      <c r="D6124" s="0" t="s">
        <v>8081</v>
      </c>
      <c r="E6124" s="0" t="inlineStr">
        <is>
          <t xml:space="preserve">Mazda</t>
        </is>
      </c>
      <c r="F6124" s="0" t="inlineStr">
        <is>
          <t xml:space="preserve">Mazda</t>
        </is>
      </c>
      <c r="G6124" s="0" t="s">
        <v>171</v>
      </c>
      <c r="H6124" s="5">
        <v>311.702100</v>
      </c>
    </row>
    <row r="6125" spans="1:9">
      <c r="A6125" s="22" t="str">
        <f>HYPERLINK("https://app.vivvix.com/360/KMI/IntelliDrive/ApplUI/Pages/CreativePages/CustomReportCreativeDetail.aspx?App=23&amp;ReportView=4&amp;Qid=1711279&amp;Row=6117&amp;Col=1","No Title Assigned - #15269871419")</f>
        <v/>
      </c>
      <c r="B6125" s="0" t="s">
        <v>8082</v>
      </c>
      <c r="E6125" s="0" t="inlineStr">
        <is>
          <t xml:space="preserve">Mazda</t>
        </is>
      </c>
      <c r="F6125" s="0" t="inlineStr">
        <is>
          <t xml:space="preserve">Mazda</t>
        </is>
      </c>
      <c r="G6125" s="0" t="s">
        <v>171</v>
      </c>
      <c r="H6125" s="5">
        <v>12.925500</v>
      </c>
    </row>
    <row r="6126" spans="1:9">
      <c r="A6126" s="22" t="str">
        <f>HYPERLINK("https://app.vivvix.com/360/KMI/IntelliDrive/ApplUI/Pages/CreativePages/CustomReportCreativeDetail.aspx?App=23&amp;ReportView=4&amp;Qid=1711279&amp;Row=6118&amp;Col=1","No Title Assigned - #15269871498")</f>
        <v/>
      </c>
      <c r="B6126" s="0" t="s">
        <v>8083</v>
      </c>
      <c r="E6126" s="0" t="inlineStr">
        <is>
          <t xml:space="preserve">Mazda</t>
        </is>
      </c>
      <c r="F6126" s="0" t="inlineStr">
        <is>
          <t xml:space="preserve">Mazda</t>
        </is>
      </c>
      <c r="G6126" s="0" t="s">
        <v>171</v>
      </c>
      <c r="H6126" s="5">
        <v>126.532700</v>
      </c>
    </row>
    <row r="6127" spans="1:9">
      <c r="A6127" s="22" t="str">
        <f>HYPERLINK("https://app.vivvix.com/360/KMI/IntelliDrive/ApplUI/Pages/CreativePages/CustomReportCreativeDetail.aspx?App=23&amp;ReportView=4&amp;Qid=1711279&amp;Row=6119&amp;Col=1","No Title Assigned - #15269871513")</f>
        <v/>
      </c>
      <c r="B6127" s="0" t="s">
        <v>8084</v>
      </c>
      <c r="C6127" s="0" t="s">
        <v>8085</v>
      </c>
      <c r="D6127" s="0" t="s">
        <v>8085</v>
      </c>
      <c r="E6127" s="0" t="inlineStr">
        <is>
          <t xml:space="preserve">Mazda</t>
        </is>
      </c>
      <c r="F6127" s="0" t="inlineStr">
        <is>
          <t xml:space="preserve">Mazda</t>
        </is>
      </c>
      <c r="G6127" s="0" t="s">
        <v>171</v>
      </c>
      <c r="H6127" s="5">
        <v>53.017800</v>
      </c>
    </row>
    <row r="6128" spans="1:9">
      <c r="A6128" s="22" t="str">
        <f>HYPERLINK("https://app.vivvix.com/360/KMI/IntelliDrive/ApplUI/Pages/CreativePages/CustomReportCreativeDetail.aspx?App=23&amp;ReportView=4&amp;Qid=1711279&amp;Row=6120&amp;Col=1","No Title Assigned - #15269871534")</f>
        <v/>
      </c>
      <c r="B6128" s="0" t="s">
        <v>8086</v>
      </c>
      <c r="E6128" s="0" t="inlineStr">
        <is>
          <t xml:space="preserve">Mazda</t>
        </is>
      </c>
      <c r="F6128" s="0" t="inlineStr">
        <is>
          <t xml:space="preserve">Mazda</t>
        </is>
      </c>
      <c r="G6128" s="0" t="s">
        <v>171</v>
      </c>
      <c r="H6128" s="5">
        <v>766.822400</v>
      </c>
    </row>
    <row r="6129" spans="1:9">
      <c r="A6129" s="22" t="str">
        <f>HYPERLINK("https://app.vivvix.com/360/KMI/IntelliDrive/ApplUI/Pages/CreativePages/CustomReportCreativeDetail.aspx?App=23&amp;ReportView=4&amp;Qid=1711279&amp;Row=6121&amp;Col=1","No Title Assigned - #15269871835")</f>
        <v/>
      </c>
      <c r="B6129" s="0" t="s">
        <v>8087</v>
      </c>
      <c r="E6129" s="0" t="inlineStr">
        <is>
          <t xml:space="preserve">Mazda</t>
        </is>
      </c>
      <c r="F6129" s="0" t="inlineStr">
        <is>
          <t xml:space="preserve">Mazda</t>
        </is>
      </c>
      <c r="G6129" s="0" t="s">
        <v>171</v>
      </c>
      <c r="H6129" s="5">
        <v>56.609700</v>
      </c>
    </row>
    <row r="6130" spans="1:9">
      <c r="A6130" s="22" t="str">
        <f>HYPERLINK("https://app.vivvix.com/360/KMI/IntelliDrive/ApplUI/Pages/CreativePages/CustomReportCreativeDetail.aspx?App=23&amp;ReportView=4&amp;Qid=1711279&amp;Row=6122&amp;Col=1","No Title Assigned - #15269871876")</f>
        <v/>
      </c>
      <c r="B6130" s="0" t="s">
        <v>8088</v>
      </c>
      <c r="C6130" s="0" t="s">
        <v>8089</v>
      </c>
      <c r="D6130" s="0" t="s">
        <v>8089</v>
      </c>
      <c r="E6130" s="0" t="inlineStr">
        <is>
          <t xml:space="preserve">Mazda</t>
        </is>
      </c>
      <c r="F6130" s="0" t="inlineStr">
        <is>
          <t xml:space="preserve">Mazda</t>
        </is>
      </c>
      <c r="G6130" s="0" t="s">
        <v>171</v>
      </c>
      <c r="H6130" s="5">
        <v>3441.600300</v>
      </c>
    </row>
    <row r="6131" spans="1:9">
      <c r="A6131" s="22" t="str">
        <f>HYPERLINK("https://app.vivvix.com/360/KMI/IntelliDrive/ApplUI/Pages/CreativePages/CustomReportCreativeDetail.aspx?App=23&amp;ReportView=4&amp;Qid=1711279&amp;Row=6123&amp;Col=1","No Title Assigned - #15269871878")</f>
        <v/>
      </c>
      <c r="B6131" s="0" t="s">
        <v>8090</v>
      </c>
      <c r="E6131" s="0" t="inlineStr">
        <is>
          <t xml:space="preserve">Mazda</t>
        </is>
      </c>
      <c r="F6131" s="0" t="inlineStr">
        <is>
          <t xml:space="preserve">Mazda</t>
        </is>
      </c>
      <c r="G6131" s="0" t="s">
        <v>171</v>
      </c>
      <c r="H6131" s="5">
        <v>161.479800</v>
      </c>
    </row>
    <row r="6132" spans="1:9">
      <c r="A6132" s="22" t="str">
        <f>HYPERLINK("https://app.vivvix.com/360/KMI/IntelliDrive/ApplUI/Pages/CreativePages/CustomReportCreativeDetail.aspx?App=23&amp;ReportView=4&amp;Qid=1711279&amp;Row=6124&amp;Col=1","No Title Assigned - #15269872024")</f>
        <v/>
      </c>
      <c r="B6132" s="0" t="s">
        <v>8091</v>
      </c>
      <c r="E6132" s="0" t="inlineStr">
        <is>
          <t xml:space="preserve">Mazda</t>
        </is>
      </c>
      <c r="F6132" s="0" t="inlineStr">
        <is>
          <t xml:space="preserve">Mazda</t>
        </is>
      </c>
      <c r="G6132" s="0" t="s">
        <v>171</v>
      </c>
      <c r="H6132" s="5">
        <v>120.181800</v>
      </c>
    </row>
    <row r="6133" spans="1:9">
      <c r="A6133" s="22" t="str">
        <f>HYPERLINK("https://app.vivvix.com/360/KMI/IntelliDrive/ApplUI/Pages/CreativePages/CustomReportCreativeDetail.aspx?App=23&amp;ReportView=4&amp;Qid=1711279&amp;Row=6125&amp;Col=1","No Title Assigned - #15269872362")</f>
        <v/>
      </c>
      <c r="B6133" s="0" t="s">
        <v>8092</v>
      </c>
      <c r="E6133" s="0" t="inlineStr">
        <is>
          <t xml:space="preserve">Mazda</t>
        </is>
      </c>
      <c r="F6133" s="0" t="inlineStr">
        <is>
          <t xml:space="preserve">Mazda</t>
        </is>
      </c>
      <c r="G6133" s="0" t="s">
        <v>171</v>
      </c>
      <c r="H6133" s="5">
        <v>339.153500</v>
      </c>
    </row>
    <row r="6134" spans="1:9">
      <c r="A6134" s="22" t="str">
        <f>HYPERLINK("https://app.vivvix.com/360/KMI/IntelliDrive/ApplUI/Pages/CreativePages/CustomReportCreativeDetail.aspx?App=23&amp;ReportView=4&amp;Qid=1711279&amp;Row=6126&amp;Col=1","No Title Assigned - #15269872363")</f>
        <v/>
      </c>
      <c r="B6134" s="0" t="s">
        <v>8093</v>
      </c>
      <c r="C6134" s="0" t="s">
        <v>8094</v>
      </c>
      <c r="D6134" s="0" t="s">
        <v>8094</v>
      </c>
      <c r="E6134" s="0" t="inlineStr">
        <is>
          <t xml:space="preserve">Mazda</t>
        </is>
      </c>
      <c r="F6134" s="0" t="inlineStr">
        <is>
          <t xml:space="preserve">Mazda</t>
        </is>
      </c>
      <c r="G6134" s="0" t="s">
        <v>171</v>
      </c>
      <c r="H6134" s="5">
        <v>458.596000</v>
      </c>
    </row>
    <row r="6135" spans="1:9">
      <c r="A6135" s="22" t="str">
        <f>HYPERLINK("https://app.vivvix.com/360/KMI/IntelliDrive/ApplUI/Pages/CreativePages/CustomReportCreativeDetail.aspx?App=23&amp;ReportView=4&amp;Qid=1711279&amp;Row=6127&amp;Col=1","No Title Assigned - #15269872582")</f>
        <v/>
      </c>
      <c r="B6135" s="0" t="s">
        <v>8095</v>
      </c>
      <c r="E6135" s="0" t="inlineStr">
        <is>
          <t xml:space="preserve">Mazda</t>
        </is>
      </c>
      <c r="F6135" s="0" t="inlineStr">
        <is>
          <t xml:space="preserve">Mazda</t>
        </is>
      </c>
      <c r="G6135" s="0" t="s">
        <v>171</v>
      </c>
      <c r="H6135" s="5">
        <v>46.725500</v>
      </c>
    </row>
    <row r="6136" spans="1:9">
      <c r="A6136" s="22" t="str">
        <f>HYPERLINK("https://app.vivvix.com/360/KMI/IntelliDrive/ApplUI/Pages/CreativePages/CustomReportCreativeDetail.aspx?App=23&amp;ReportView=4&amp;Qid=1711279&amp;Row=6128&amp;Col=1","No Title Assigned - #15269872665")</f>
        <v/>
      </c>
      <c r="B6136" s="0" t="s">
        <v>8096</v>
      </c>
      <c r="E6136" s="0" t="inlineStr">
        <is>
          <t xml:space="preserve">Mazda</t>
        </is>
      </c>
      <c r="F6136" s="0" t="inlineStr">
        <is>
          <t xml:space="preserve">Mazda</t>
        </is>
      </c>
      <c r="G6136" s="0" t="s">
        <v>171</v>
      </c>
      <c r="H6136" s="5">
        <v>43.672000</v>
      </c>
    </row>
    <row r="6137" spans="1:9">
      <c r="A6137" s="22" t="str">
        <f>HYPERLINK("https://app.vivvix.com/360/KMI/IntelliDrive/ApplUI/Pages/CreativePages/CustomReportCreativeDetail.aspx?App=23&amp;ReportView=4&amp;Qid=1711279&amp;Row=6129&amp;Col=1","No Title Assigned - #15269872736")</f>
        <v/>
      </c>
      <c r="B6137" s="0" t="s">
        <v>8097</v>
      </c>
      <c r="E6137" s="0" t="inlineStr">
        <is>
          <t xml:space="preserve">Mazda</t>
        </is>
      </c>
      <c r="F6137" s="0" t="inlineStr">
        <is>
          <t xml:space="preserve">Mazda</t>
        </is>
      </c>
      <c r="G6137" s="0" t="s">
        <v>171</v>
      </c>
      <c r="H6137" s="5">
        <v>560.128400</v>
      </c>
    </row>
    <row r="6138" spans="1:9">
      <c r="A6138" s="22" t="str">
        <f>HYPERLINK("https://app.vivvix.com/360/KMI/IntelliDrive/ApplUI/Pages/CreativePages/CustomReportCreativeDetail.aspx?App=23&amp;ReportView=4&amp;Qid=1711279&amp;Row=6130&amp;Col=1","No Title Assigned - #15269872810")</f>
        <v/>
      </c>
      <c r="B6138" s="0" t="s">
        <v>8098</v>
      </c>
      <c r="E6138" s="0" t="inlineStr">
        <is>
          <t xml:space="preserve">Mazda</t>
        </is>
      </c>
      <c r="F6138" s="0" t="inlineStr">
        <is>
          <t xml:space="preserve">Mazda</t>
        </is>
      </c>
      <c r="G6138" s="0" t="s">
        <v>171</v>
      </c>
      <c r="H6138" s="5">
        <v>2405.229800</v>
      </c>
    </row>
    <row r="6139" spans="1:9">
      <c r="A6139" s="22" t="str">
        <f>HYPERLINK("https://app.vivvix.com/360/KMI/IntelliDrive/ApplUI/Pages/CreativePages/CustomReportCreativeDetail.aspx?App=23&amp;ReportView=4&amp;Qid=1711279&amp;Row=6131&amp;Col=1","No Title Assigned - #15269873283")</f>
        <v/>
      </c>
      <c r="B6139" s="0" t="s">
        <v>8099</v>
      </c>
      <c r="E6139" s="0" t="inlineStr">
        <is>
          <t xml:space="preserve">Mazda</t>
        </is>
      </c>
      <c r="F6139" s="0" t="inlineStr">
        <is>
          <t xml:space="preserve">Mazda</t>
        </is>
      </c>
      <c r="G6139" s="0" t="s">
        <v>171</v>
      </c>
      <c r="H6139" s="5">
        <v>44.188000</v>
      </c>
    </row>
    <row r="6140" spans="1:9">
      <c r="A6140" s="22" t="str">
        <f>HYPERLINK("https://app.vivvix.com/360/KMI/IntelliDrive/ApplUI/Pages/CreativePages/CustomReportCreativeDetail.aspx?App=23&amp;ReportView=4&amp;Qid=1711279&amp;Row=6132&amp;Col=1","No Title Assigned - #15269873749")</f>
        <v/>
      </c>
      <c r="B6140" s="0" t="s">
        <v>8100</v>
      </c>
      <c r="E6140" s="0" t="inlineStr">
        <is>
          <t xml:space="preserve">Mazda</t>
        </is>
      </c>
      <c r="F6140" s="0" t="inlineStr">
        <is>
          <t xml:space="preserve">Mazda</t>
        </is>
      </c>
      <c r="G6140" s="0" t="s">
        <v>171</v>
      </c>
      <c r="H6140" s="5">
        <v>12.962100</v>
      </c>
    </row>
    <row r="6141" spans="1:9">
      <c r="A6141" s="22" t="str">
        <f>HYPERLINK("https://app.vivvix.com/360/KMI/IntelliDrive/ApplUI/Pages/CreativePages/CustomReportCreativeDetail.aspx?App=23&amp;ReportView=4&amp;Qid=1711279&amp;Row=6133&amp;Col=1","No Title Assigned - #15269873782")</f>
        <v/>
      </c>
      <c r="B6141" s="0" t="s">
        <v>8101</v>
      </c>
      <c r="E6141" s="0" t="inlineStr">
        <is>
          <t xml:space="preserve">Mazda</t>
        </is>
      </c>
      <c r="F6141" s="0" t="s">
        <v>21</v>
      </c>
      <c r="G6141" s="0" t="s">
        <v>22</v>
      </c>
      <c r="H6141" s="5">
        <v>765.110500</v>
      </c>
    </row>
    <row r="6142" spans="1:9">
      <c r="A6142" s="22" t="str">
        <f>HYPERLINK("https://app.vivvix.com/360/KMI/IntelliDrive/ApplUI/Pages/CreativePages/CustomReportCreativeDetail.aspx?App=23&amp;ReportView=4&amp;Qid=1711279&amp;Row=6134&amp;Col=1","No Title Assigned - #15269873799")</f>
        <v/>
      </c>
      <c r="B6142" s="0" t="s">
        <v>8102</v>
      </c>
      <c r="E6142" s="0" t="inlineStr">
        <is>
          <t xml:space="preserve">Mazda</t>
        </is>
      </c>
      <c r="F6142" s="0" t="inlineStr">
        <is>
          <t xml:space="preserve">Mazda</t>
        </is>
      </c>
      <c r="G6142" s="0" t="s">
        <v>171</v>
      </c>
      <c r="H6142" s="5">
        <v>39.126000</v>
      </c>
    </row>
    <row r="6143" spans="1:9">
      <c r="A6143" s="22" t="str">
        <f>HYPERLINK("https://app.vivvix.com/360/KMI/IntelliDrive/ApplUI/Pages/CreativePages/CustomReportCreativeDetail.aspx?App=23&amp;ReportView=4&amp;Qid=1711279&amp;Row=6135&amp;Col=1","No Title Assigned - #15269874815")</f>
        <v/>
      </c>
      <c r="B6143" s="0" t="s">
        <v>8103</v>
      </c>
      <c r="E6143" s="0" t="inlineStr">
        <is>
          <t xml:space="preserve">Mazda</t>
        </is>
      </c>
      <c r="F6143" s="0" t="inlineStr">
        <is>
          <t xml:space="preserve">Mazda</t>
        </is>
      </c>
      <c r="G6143" s="0" t="s">
        <v>171</v>
      </c>
      <c r="H6143" s="5">
        <v>814.610900</v>
      </c>
    </row>
    <row r="6144" spans="1:9">
      <c r="A6144" s="22" t="str">
        <f>HYPERLINK("https://app.vivvix.com/360/KMI/IntelliDrive/ApplUI/Pages/CreativePages/CustomReportCreativeDetail.aspx?App=23&amp;ReportView=4&amp;Qid=1711279&amp;Row=6136&amp;Col=1","No Title Assigned - #15269877318")</f>
        <v/>
      </c>
      <c r="B6144" s="0" t="s">
        <v>8104</v>
      </c>
      <c r="C6144" s="0" t="s">
        <v>8105</v>
      </c>
      <c r="D6144" s="0" t="s">
        <v>8105</v>
      </c>
      <c r="E6144" s="0" t="inlineStr">
        <is>
          <t xml:space="preserve">Mazda</t>
        </is>
      </c>
      <c r="F6144" s="0" t="inlineStr">
        <is>
          <t xml:space="preserve">Mazda</t>
        </is>
      </c>
      <c r="G6144" s="0" t="s">
        <v>171</v>
      </c>
      <c r="H6144" s="5">
        <v>86.202700</v>
      </c>
    </row>
    <row r="6145" spans="1:9">
      <c r="A6145" s="22" t="str">
        <f>HYPERLINK("https://app.vivvix.com/360/KMI/IntelliDrive/ApplUI/Pages/CreativePages/CustomReportCreativeDetail.aspx?App=23&amp;ReportView=4&amp;Qid=1711279&amp;Row=6137&amp;Col=1","No Title Assigned - #15269877621")</f>
        <v/>
      </c>
      <c r="B6145" s="0" t="s">
        <v>8106</v>
      </c>
      <c r="E6145" s="0" t="inlineStr">
        <is>
          <t xml:space="preserve">Mazda</t>
        </is>
      </c>
      <c r="F6145" s="0" t="inlineStr">
        <is>
          <t xml:space="preserve">Mazda</t>
        </is>
      </c>
      <c r="G6145" s="0" t="s">
        <v>171</v>
      </c>
      <c r="H6145" s="5">
        <v>99.328800</v>
      </c>
    </row>
    <row r="6146" spans="1:9">
      <c r="A6146" s="22" t="str">
        <f>HYPERLINK("https://app.vivvix.com/360/KMI/IntelliDrive/ApplUI/Pages/CreativePages/CustomReportCreativeDetail.aspx?App=23&amp;ReportView=4&amp;Qid=1711279&amp;Row=6138&amp;Col=1","No Title Assigned - #15269877839")</f>
        <v/>
      </c>
      <c r="B6146" s="0" t="s">
        <v>8107</v>
      </c>
      <c r="E6146" s="0" t="inlineStr">
        <is>
          <t xml:space="preserve">Mazda</t>
        </is>
      </c>
      <c r="F6146" s="0" t="inlineStr">
        <is>
          <t xml:space="preserve">Mazda</t>
        </is>
      </c>
      <c r="G6146" s="0" t="s">
        <v>171</v>
      </c>
      <c r="H6146" s="5">
        <v>178.840800</v>
      </c>
    </row>
    <row r="6147" spans="1:9">
      <c r="A6147" s="22" t="str">
        <f>HYPERLINK("https://app.vivvix.com/360/KMI/IntelliDrive/ApplUI/Pages/CreativePages/CustomReportCreativeDetail.aspx?App=23&amp;ReportView=4&amp;Qid=1711279&amp;Row=6139&amp;Col=1","No Title Assigned - #15269877839")</f>
        <v/>
      </c>
      <c r="B6147" s="0" t="s">
        <v>8107</v>
      </c>
      <c r="E6147" s="0" t="inlineStr">
        <is>
          <t xml:space="preserve">Mazda</t>
        </is>
      </c>
      <c r="F6147" s="0" t="inlineStr">
        <is>
          <t xml:space="preserve">Mazda</t>
        </is>
      </c>
      <c r="G6147" s="0" t="s">
        <v>171</v>
      </c>
      <c r="H6147" s="5">
        <v>34.270800</v>
      </c>
    </row>
    <row r="6148" spans="1:9">
      <c r="A6148" s="22" t="str">
        <f>HYPERLINK("https://app.vivvix.com/360/KMI/IntelliDrive/ApplUI/Pages/CreativePages/CustomReportCreativeDetail.aspx?App=23&amp;ReportView=4&amp;Qid=1711279&amp;Row=6140&amp;Col=1","No Title Assigned - #15269878612")</f>
        <v/>
      </c>
      <c r="B6148" s="0" t="s">
        <v>8108</v>
      </c>
      <c r="C6148" s="0" t="s">
        <v>8109</v>
      </c>
      <c r="D6148" s="0" t="s">
        <v>8109</v>
      </c>
      <c r="E6148" s="0" t="inlineStr">
        <is>
          <t xml:space="preserve">Mazda</t>
        </is>
      </c>
      <c r="F6148" s="0" t="inlineStr">
        <is>
          <t xml:space="preserve">Mazda</t>
        </is>
      </c>
      <c r="G6148" s="0" t="s">
        <v>171</v>
      </c>
      <c r="H6148" s="5">
        <v>4411.644000</v>
      </c>
    </row>
    <row r="6149" spans="1:9">
      <c r="A6149" s="22" t="str">
        <f>HYPERLINK("https://app.vivvix.com/360/KMI/IntelliDrive/ApplUI/Pages/CreativePages/CustomReportCreativeDetail.aspx?App=23&amp;ReportView=4&amp;Qid=1711279&amp;Row=6141&amp;Col=1","No Title Assigned - #15269878763")</f>
        <v/>
      </c>
      <c r="B6149" s="0" t="s">
        <v>8110</v>
      </c>
      <c r="E6149" s="0" t="inlineStr">
        <is>
          <t xml:space="preserve">Mazda</t>
        </is>
      </c>
      <c r="F6149" s="0" t="inlineStr">
        <is>
          <t xml:space="preserve">Mazda</t>
        </is>
      </c>
      <c r="G6149" s="0" t="s">
        <v>171</v>
      </c>
      <c r="H6149" s="5">
        <v>12.925500</v>
      </c>
    </row>
    <row r="6150" spans="1:9">
      <c r="A6150" s="22" t="str">
        <f>HYPERLINK("https://app.vivvix.com/360/KMI/IntelliDrive/ApplUI/Pages/CreativePages/CustomReportCreativeDetail.aspx?App=23&amp;ReportView=4&amp;Qid=1711279&amp;Row=6142&amp;Col=1","No Title Assigned - #15269879770")</f>
        <v/>
      </c>
      <c r="B6150" s="0" t="s">
        <v>8111</v>
      </c>
      <c r="E6150" s="0" t="inlineStr">
        <is>
          <t xml:space="preserve">Mazda</t>
        </is>
      </c>
      <c r="F6150" s="0" t="inlineStr">
        <is>
          <t xml:space="preserve">Mazda</t>
        </is>
      </c>
      <c r="G6150" s="0" t="s">
        <v>171</v>
      </c>
      <c r="H6150" s="5">
        <v>96.660800</v>
      </c>
    </row>
    <row r="6151" spans="1:9">
      <c r="A6151" s="22" t="str">
        <f>HYPERLINK("https://app.vivvix.com/360/KMI/IntelliDrive/ApplUI/Pages/CreativePages/CustomReportCreativeDetail.aspx?App=23&amp;ReportView=4&amp;Qid=1711279&amp;Row=6143&amp;Col=1","No Title Assigned - #15269881503")</f>
        <v/>
      </c>
      <c r="B6151" s="0" t="s">
        <v>8112</v>
      </c>
      <c r="E6151" s="0" t="inlineStr">
        <is>
          <t xml:space="preserve">Mazda</t>
        </is>
      </c>
      <c r="F6151" s="0" t="inlineStr">
        <is>
          <t xml:space="preserve">Mazda</t>
        </is>
      </c>
      <c r="G6151" s="0" t="s">
        <v>171</v>
      </c>
      <c r="H6151" s="5">
        <v>144.492600</v>
      </c>
    </row>
    <row r="6152" spans="1:9">
      <c r="A6152" s="22" t="str">
        <f>HYPERLINK("https://app.vivvix.com/360/KMI/IntelliDrive/ApplUI/Pages/CreativePages/CustomReportCreativeDetail.aspx?App=23&amp;ReportView=4&amp;Qid=1711279&amp;Row=6144&amp;Col=1","No Title Assigned - #15269882966")</f>
        <v/>
      </c>
      <c r="B6152" s="0" t="s">
        <v>8113</v>
      </c>
      <c r="E6152" s="0" t="inlineStr">
        <is>
          <t xml:space="preserve">Mazda</t>
        </is>
      </c>
      <c r="F6152" s="0" t="inlineStr">
        <is>
          <t xml:space="preserve">Mazda</t>
        </is>
      </c>
      <c r="G6152" s="0" t="s">
        <v>171</v>
      </c>
      <c r="H6152" s="5">
        <v>8.391200</v>
      </c>
    </row>
    <row r="6153" spans="1:9">
      <c r="A6153" s="22" t="str">
        <f>HYPERLINK("https://app.vivvix.com/360/KMI/IntelliDrive/ApplUI/Pages/CreativePages/CustomReportCreativeDetail.aspx?App=23&amp;ReportView=4&amp;Qid=1711279&amp;Row=6145&amp;Col=1","No Title Assigned - #15269883105")</f>
        <v/>
      </c>
      <c r="B6153" s="0" t="s">
        <v>8114</v>
      </c>
      <c r="E6153" s="0" t="inlineStr">
        <is>
          <t xml:space="preserve">Mazda</t>
        </is>
      </c>
      <c r="F6153" s="0" t="inlineStr">
        <is>
          <t xml:space="preserve">Mazda</t>
        </is>
      </c>
      <c r="G6153" s="0" t="s">
        <v>171</v>
      </c>
      <c r="H6153" s="5">
        <v>12.562200</v>
      </c>
    </row>
    <row r="6154" spans="1:9">
      <c r="A6154" s="22" t="str">
        <f>HYPERLINK("https://app.vivvix.com/360/KMI/IntelliDrive/ApplUI/Pages/CreativePages/CustomReportCreativeDetail.aspx?App=23&amp;ReportView=4&amp;Qid=1711279&amp;Row=6146&amp;Col=1","No Title Assigned - #15269883429")</f>
        <v/>
      </c>
      <c r="B6154" s="0" t="s">
        <v>8115</v>
      </c>
      <c r="C6154" s="0" t="s">
        <v>8116</v>
      </c>
      <c r="D6154" s="0" t="s">
        <v>8116</v>
      </c>
      <c r="E6154" s="0" t="inlineStr">
        <is>
          <t xml:space="preserve">Mazda</t>
        </is>
      </c>
      <c r="F6154" s="0" t="inlineStr">
        <is>
          <t xml:space="preserve">Mazda</t>
        </is>
      </c>
      <c r="G6154" s="0" t="s">
        <v>171</v>
      </c>
      <c r="H6154" s="5">
        <v>466.998900</v>
      </c>
    </row>
    <row r="6155" spans="1:9">
      <c r="A6155" s="22" t="str">
        <f>HYPERLINK("https://app.vivvix.com/360/KMI/IntelliDrive/ApplUI/Pages/CreativePages/CustomReportCreativeDetail.aspx?App=23&amp;ReportView=4&amp;Qid=1711279&amp;Row=6147&amp;Col=1","No Title Assigned - #15269883448")</f>
        <v/>
      </c>
      <c r="B6155" s="0" t="s">
        <v>8117</v>
      </c>
      <c r="E6155" s="0" t="inlineStr">
        <is>
          <t xml:space="preserve">Mazda</t>
        </is>
      </c>
      <c r="F6155" s="0" t="inlineStr">
        <is>
          <t xml:space="preserve">Mazda</t>
        </is>
      </c>
      <c r="G6155" s="0" t="s">
        <v>171</v>
      </c>
      <c r="H6155" s="5">
        <v>120.190000</v>
      </c>
    </row>
    <row r="6156" spans="1:9">
      <c r="A6156" s="22" t="str">
        <f>HYPERLINK("https://app.vivvix.com/360/KMI/IntelliDrive/ApplUI/Pages/CreativePages/CustomReportCreativeDetail.aspx?App=23&amp;ReportView=4&amp;Qid=1711279&amp;Row=6148&amp;Col=1","No Title Assigned - #15269884441")</f>
        <v/>
      </c>
      <c r="B6156" s="0" t="s">
        <v>8118</v>
      </c>
      <c r="E6156" s="0" t="inlineStr">
        <is>
          <t xml:space="preserve">Mazda</t>
        </is>
      </c>
      <c r="F6156" s="0" t="inlineStr">
        <is>
          <t xml:space="preserve">Mazda</t>
        </is>
      </c>
      <c r="G6156" s="0" t="s">
        <v>171</v>
      </c>
      <c r="H6156" s="5">
        <v>2349.578100</v>
      </c>
    </row>
    <row r="6157" spans="1:9">
      <c r="A6157" s="22" t="str">
        <f>HYPERLINK("https://app.vivvix.com/360/KMI/IntelliDrive/ApplUI/Pages/CreativePages/CustomReportCreativeDetail.aspx?App=23&amp;ReportView=4&amp;Qid=1711279&amp;Row=6149&amp;Col=1","No Title Assigned - #15269886725")</f>
        <v/>
      </c>
      <c r="B6157" s="0" t="s">
        <v>8119</v>
      </c>
      <c r="E6157" s="0" t="inlineStr">
        <is>
          <t xml:space="preserve">Mazda</t>
        </is>
      </c>
      <c r="F6157" s="0" t="inlineStr">
        <is>
          <t xml:space="preserve">Mazda</t>
        </is>
      </c>
      <c r="G6157" s="0" t="s">
        <v>171</v>
      </c>
      <c r="H6157" s="5">
        <v>20.914400</v>
      </c>
    </row>
    <row r="6158" spans="1:9">
      <c r="A6158" s="22" t="str">
        <f>HYPERLINK("https://app.vivvix.com/360/KMI/IntelliDrive/ApplUI/Pages/CreativePages/CustomReportCreativeDetail.aspx?App=23&amp;ReportView=4&amp;Qid=1711279&amp;Row=6150&amp;Col=1","No Title Assigned - #15269887440")</f>
        <v/>
      </c>
      <c r="B6158" s="0" t="s">
        <v>8120</v>
      </c>
      <c r="E6158" s="0" t="inlineStr">
        <is>
          <t xml:space="preserve">Mazda</t>
        </is>
      </c>
      <c r="F6158" s="0" t="inlineStr">
        <is>
          <t xml:space="preserve">Mazda</t>
        </is>
      </c>
      <c r="G6158" s="0" t="s">
        <v>171</v>
      </c>
      <c r="H6158" s="5">
        <v>133.682000</v>
      </c>
    </row>
    <row r="6159" spans="1:9">
      <c r="A6159" s="22" t="str">
        <f>HYPERLINK("https://app.vivvix.com/360/KMI/IntelliDrive/ApplUI/Pages/CreativePages/CustomReportCreativeDetail.aspx?App=23&amp;ReportView=4&amp;Qid=1711279&amp;Row=6151&amp;Col=1","No Title Assigned - #15269888328")</f>
        <v/>
      </c>
      <c r="B6159" s="0" t="s">
        <v>8121</v>
      </c>
      <c r="E6159" s="0" t="inlineStr">
        <is>
          <t xml:space="preserve">Mazda</t>
        </is>
      </c>
      <c r="F6159" s="0" t="inlineStr">
        <is>
          <t xml:space="preserve">Mazda</t>
        </is>
      </c>
      <c r="G6159" s="0" t="s">
        <v>171</v>
      </c>
      <c r="H6159" s="5">
        <v>191.143100</v>
      </c>
    </row>
    <row r="6160" spans="1:9">
      <c r="A6160" s="22" t="str">
        <f>HYPERLINK("https://app.vivvix.com/360/KMI/IntelliDrive/ApplUI/Pages/CreativePages/CustomReportCreativeDetail.aspx?App=23&amp;ReportView=4&amp;Qid=1711279&amp;Row=6152&amp;Col=1","No Title Assigned - #15269888328")</f>
        <v/>
      </c>
      <c r="B6160" s="0" t="s">
        <v>8121</v>
      </c>
      <c r="E6160" s="0" t="inlineStr">
        <is>
          <t xml:space="preserve">Mazda</t>
        </is>
      </c>
      <c r="F6160" s="0" t="inlineStr">
        <is>
          <t xml:space="preserve">Mazda</t>
        </is>
      </c>
      <c r="G6160" s="0" t="s">
        <v>171</v>
      </c>
      <c r="H6160" s="5">
        <v>6127.294900</v>
      </c>
    </row>
    <row r="6161" spans="1:9">
      <c r="A6161" s="22" t="str">
        <f>HYPERLINK("https://app.vivvix.com/360/KMI/IntelliDrive/ApplUI/Pages/CreativePages/CustomReportCreativeDetail.aspx?App=23&amp;ReportView=4&amp;Qid=1711279&amp;Row=6153&amp;Col=1","No Title Assigned - #15269888565")</f>
        <v/>
      </c>
      <c r="B6161" s="0" t="s">
        <v>8122</v>
      </c>
      <c r="E6161" s="0" t="inlineStr">
        <is>
          <t xml:space="preserve">Mazda</t>
        </is>
      </c>
      <c r="F6161" s="0" t="inlineStr">
        <is>
          <t xml:space="preserve">Mazda</t>
        </is>
      </c>
      <c r="G6161" s="0" t="s">
        <v>171</v>
      </c>
      <c r="H6161" s="5">
        <v>46.941600</v>
      </c>
    </row>
    <row r="6162" spans="1:9">
      <c r="A6162" s="22" t="str">
        <f>HYPERLINK("https://app.vivvix.com/360/KMI/IntelliDrive/ApplUI/Pages/CreativePages/CustomReportCreativeDetail.aspx?App=23&amp;ReportView=4&amp;Qid=1711279&amp;Row=6154&amp;Col=1","No Title Assigned - #15269888566")</f>
        <v/>
      </c>
      <c r="B6162" s="0" t="s">
        <v>8123</v>
      </c>
      <c r="E6162" s="0" t="inlineStr">
        <is>
          <t xml:space="preserve">Mazda</t>
        </is>
      </c>
      <c r="F6162" s="0" t="inlineStr">
        <is>
          <t xml:space="preserve">Mazda</t>
        </is>
      </c>
      <c r="G6162" s="0" t="s">
        <v>171</v>
      </c>
      <c r="H6162" s="5">
        <v>122.238200</v>
      </c>
    </row>
    <row r="6163" spans="1:9">
      <c r="A6163" s="22" t="str">
        <f>HYPERLINK("https://app.vivvix.com/360/KMI/IntelliDrive/ApplUI/Pages/CreativePages/CustomReportCreativeDetail.aspx?App=23&amp;ReportView=4&amp;Qid=1711279&amp;Row=6155&amp;Col=1","No Title Assigned - #15269888568")</f>
        <v/>
      </c>
      <c r="B6163" s="0" t="s">
        <v>8124</v>
      </c>
      <c r="E6163" s="0" t="inlineStr">
        <is>
          <t xml:space="preserve">Mazda</t>
        </is>
      </c>
      <c r="F6163" s="0" t="inlineStr">
        <is>
          <t xml:space="preserve">Mazda</t>
        </is>
      </c>
      <c r="G6163" s="0" t="s">
        <v>171</v>
      </c>
      <c r="H6163" s="5">
        <v>46.941600</v>
      </c>
    </row>
    <row r="6164" spans="1:9">
      <c r="A6164" s="22" t="str">
        <f>HYPERLINK("https://app.vivvix.com/360/KMI/IntelliDrive/ApplUI/Pages/CreativePages/CustomReportCreativeDetail.aspx?App=23&amp;ReportView=4&amp;Qid=1711279&amp;Row=6156&amp;Col=1","No Title Assigned - #15269889024")</f>
        <v/>
      </c>
      <c r="B6164" s="0" t="s">
        <v>8125</v>
      </c>
      <c r="E6164" s="0" t="inlineStr">
        <is>
          <t xml:space="preserve">Mazda</t>
        </is>
      </c>
      <c r="F6164" s="0" t="inlineStr">
        <is>
          <t xml:space="preserve">Mazda</t>
        </is>
      </c>
      <c r="G6164" s="0" t="s">
        <v>171</v>
      </c>
      <c r="H6164" s="5">
        <v>528.694900</v>
      </c>
    </row>
    <row r="6165" spans="1:9">
      <c r="A6165" s="22" t="str">
        <f>HYPERLINK("https://app.vivvix.com/360/KMI/IntelliDrive/ApplUI/Pages/CreativePages/CustomReportCreativeDetail.aspx?App=23&amp;ReportView=4&amp;Qid=1711279&amp;Row=6157&amp;Col=1","No Title Assigned - #15269889024")</f>
        <v/>
      </c>
      <c r="B6165" s="0" t="s">
        <v>8125</v>
      </c>
      <c r="E6165" s="0" t="inlineStr">
        <is>
          <t xml:space="preserve">Mazda</t>
        </is>
      </c>
      <c r="F6165" s="0" t="inlineStr">
        <is>
          <t xml:space="preserve">Mazda</t>
        </is>
      </c>
      <c r="G6165" s="0" t="s">
        <v>171</v>
      </c>
      <c r="H6165" s="5">
        <v>684.157400</v>
      </c>
    </row>
    <row r="6166" spans="1:9">
      <c r="A6166" s="22" t="str">
        <f>HYPERLINK("https://app.vivvix.com/360/KMI/IntelliDrive/ApplUI/Pages/CreativePages/CustomReportCreativeDetail.aspx?App=23&amp;ReportView=4&amp;Qid=1711279&amp;Row=6158&amp;Col=1","No Title Assigned - #15269899822")</f>
        <v/>
      </c>
      <c r="B6166" s="0" t="s">
        <v>8126</v>
      </c>
      <c r="E6166" s="0" t="inlineStr">
        <is>
          <t xml:space="preserve">Mazda</t>
        </is>
      </c>
      <c r="F6166" s="0" t="inlineStr">
        <is>
          <t xml:space="preserve">Mazda</t>
        </is>
      </c>
      <c r="G6166" s="0" t="s">
        <v>171</v>
      </c>
      <c r="H6166" s="5">
        <v>206.908800</v>
      </c>
    </row>
    <row r="6167" spans="1:9">
      <c r="A6167" s="22" t="str">
        <f>HYPERLINK("https://app.vivvix.com/360/KMI/IntelliDrive/ApplUI/Pages/CreativePages/CustomReportCreativeDetail.aspx?App=23&amp;ReportView=4&amp;Qid=1711279&amp;Row=6159&amp;Col=1","No Title Assigned - #15269900191")</f>
        <v/>
      </c>
      <c r="B6167" s="0" t="s">
        <v>8127</v>
      </c>
      <c r="E6167" s="0" t="inlineStr">
        <is>
          <t xml:space="preserve">Mazda</t>
        </is>
      </c>
      <c r="F6167" s="0" t="inlineStr">
        <is>
          <t xml:space="preserve">Mazda</t>
        </is>
      </c>
      <c r="G6167" s="0" t="s">
        <v>171</v>
      </c>
      <c r="H6167" s="5">
        <v>58.898100</v>
      </c>
    </row>
    <row r="6168" spans="1:9">
      <c r="A6168" s="22" t="str">
        <f>HYPERLINK("https://app.vivvix.com/360/KMI/IntelliDrive/ApplUI/Pages/CreativePages/CustomReportCreativeDetail.aspx?App=23&amp;ReportView=4&amp;Qid=1711279&amp;Row=6160&amp;Col=1","No Title Assigned - #15269900326")</f>
        <v/>
      </c>
      <c r="B6168" s="0" t="s">
        <v>8128</v>
      </c>
      <c r="E6168" s="0" t="inlineStr">
        <is>
          <t xml:space="preserve">Mazda</t>
        </is>
      </c>
      <c r="F6168" s="0" t="inlineStr">
        <is>
          <t xml:space="preserve">Mazda</t>
        </is>
      </c>
      <c r="G6168" s="0" t="s">
        <v>171</v>
      </c>
      <c r="H6168" s="5">
        <v>15.242100</v>
      </c>
    </row>
    <row r="6169" spans="1:9">
      <c r="A6169" s="22" t="str">
        <f>HYPERLINK("https://app.vivvix.com/360/KMI/IntelliDrive/ApplUI/Pages/CreativePages/CustomReportCreativeDetail.aspx?App=23&amp;ReportView=4&amp;Qid=1711279&amp;Row=6161&amp;Col=1","No Title Assigned - #15269900329")</f>
        <v/>
      </c>
      <c r="B6169" s="0" t="s">
        <v>8129</v>
      </c>
      <c r="E6169" s="0" t="inlineStr">
        <is>
          <t xml:space="preserve">Mazda</t>
        </is>
      </c>
      <c r="F6169" s="0" t="inlineStr">
        <is>
          <t xml:space="preserve">Mazda</t>
        </is>
      </c>
      <c r="G6169" s="0" t="s">
        <v>171</v>
      </c>
      <c r="H6169" s="5">
        <v>5.080700</v>
      </c>
    </row>
    <row r="6170" spans="1:9">
      <c r="A6170" s="22" t="str">
        <f>HYPERLINK("https://app.vivvix.com/360/KMI/IntelliDrive/ApplUI/Pages/CreativePages/CustomReportCreativeDetail.aspx?App=23&amp;ReportView=4&amp;Qid=1711279&amp;Row=6162&amp;Col=1","No Title Assigned - #15269900703")</f>
        <v/>
      </c>
      <c r="B6170" s="0" t="s">
        <v>8130</v>
      </c>
      <c r="E6170" s="0" t="inlineStr">
        <is>
          <t xml:space="preserve">Mazda</t>
        </is>
      </c>
      <c r="F6170" s="0" t="inlineStr">
        <is>
          <t xml:space="preserve">Mazda</t>
        </is>
      </c>
      <c r="G6170" s="0" t="s">
        <v>171</v>
      </c>
      <c r="H6170" s="5">
        <v>12.355800</v>
      </c>
    </row>
    <row r="6171" spans="1:9">
      <c r="A6171" s="22" t="str">
        <f>HYPERLINK("https://app.vivvix.com/360/KMI/IntelliDrive/ApplUI/Pages/CreativePages/CustomReportCreativeDetail.aspx?App=23&amp;ReportView=4&amp;Qid=1711279&amp;Row=6163&amp;Col=1","No Title Assigned - #15269901370")</f>
        <v/>
      </c>
      <c r="B6171" s="0" t="s">
        <v>8131</v>
      </c>
      <c r="E6171" s="0" t="inlineStr">
        <is>
          <t xml:space="preserve">Mazda</t>
        </is>
      </c>
      <c r="F6171" s="0" t="inlineStr">
        <is>
          <t xml:space="preserve">Mazda</t>
        </is>
      </c>
      <c r="G6171" s="0" t="s">
        <v>171</v>
      </c>
      <c r="H6171" s="5">
        <v>22.277400</v>
      </c>
    </row>
    <row r="6172" spans="1:9">
      <c r="A6172" s="22" t="str">
        <f>HYPERLINK("https://app.vivvix.com/360/KMI/IntelliDrive/ApplUI/Pages/CreativePages/CustomReportCreativeDetail.aspx?App=23&amp;ReportView=4&amp;Qid=1711279&amp;Row=6164&amp;Col=1","No Title Assigned - #15269901531")</f>
        <v/>
      </c>
      <c r="B6172" s="0" t="s">
        <v>8132</v>
      </c>
      <c r="E6172" s="0" t="inlineStr">
        <is>
          <t xml:space="preserve">Mazda</t>
        </is>
      </c>
      <c r="F6172" s="0" t="inlineStr">
        <is>
          <t xml:space="preserve">Mazda</t>
        </is>
      </c>
      <c r="G6172" s="0" t="s">
        <v>171</v>
      </c>
      <c r="H6172" s="5">
        <v>493.453600</v>
      </c>
    </row>
    <row r="6173" spans="1:9">
      <c r="A6173" s="22" t="str">
        <f>HYPERLINK("https://app.vivvix.com/360/KMI/IntelliDrive/ApplUI/Pages/CreativePages/CustomReportCreativeDetail.aspx?App=23&amp;ReportView=4&amp;Qid=1711279&amp;Row=6165&amp;Col=1","No Title Assigned - #15269901545")</f>
        <v/>
      </c>
      <c r="B6173" s="0" t="s">
        <v>8133</v>
      </c>
      <c r="E6173" s="0" t="inlineStr">
        <is>
          <t xml:space="preserve">Mazda</t>
        </is>
      </c>
      <c r="F6173" s="0" t="inlineStr">
        <is>
          <t xml:space="preserve">Mazda</t>
        </is>
      </c>
      <c r="G6173" s="0" t="s">
        <v>171</v>
      </c>
      <c r="H6173" s="5">
        <v>1348.423900</v>
      </c>
    </row>
    <row r="6174" spans="1:9">
      <c r="A6174" s="22" t="str">
        <f>HYPERLINK("https://app.vivvix.com/360/KMI/IntelliDrive/ApplUI/Pages/CreativePages/CustomReportCreativeDetail.aspx?App=23&amp;ReportView=4&amp;Qid=1711279&amp;Row=6166&amp;Col=1","No Title Assigned - #15269910038")</f>
        <v/>
      </c>
      <c r="B6174" s="0" t="s">
        <v>8134</v>
      </c>
      <c r="E6174" s="0" t="inlineStr">
        <is>
          <t xml:space="preserve">Mazda</t>
        </is>
      </c>
      <c r="F6174" s="0" t="inlineStr">
        <is>
          <t xml:space="preserve">Mazda</t>
        </is>
      </c>
      <c r="G6174" s="0" t="s">
        <v>171</v>
      </c>
      <c r="H6174" s="5">
        <v>400.669400</v>
      </c>
    </row>
    <row r="6175" spans="1:9">
      <c r="A6175" s="22" t="str">
        <f>HYPERLINK("https://app.vivvix.com/360/KMI/IntelliDrive/ApplUI/Pages/CreativePages/CustomReportCreativeDetail.aspx?App=23&amp;ReportView=4&amp;Qid=1711279&amp;Row=6167&amp;Col=1","No Title Assigned - #15269910050")</f>
        <v/>
      </c>
      <c r="B6175" s="0" t="s">
        <v>8135</v>
      </c>
      <c r="C6175" s="0" t="s">
        <v>8136</v>
      </c>
      <c r="D6175" s="0" t="s">
        <v>8136</v>
      </c>
      <c r="E6175" s="0" t="inlineStr">
        <is>
          <t xml:space="preserve">Mazda</t>
        </is>
      </c>
      <c r="F6175" s="0" t="s">
        <v>52</v>
      </c>
      <c r="G6175" s="0" t="s">
        <v>325</v>
      </c>
      <c r="H6175" s="5">
        <v>5343.786500</v>
      </c>
    </row>
    <row r="6176" spans="1:9">
      <c r="A6176" s="22" t="str">
        <f>HYPERLINK("https://app.vivvix.com/360/KMI/IntelliDrive/ApplUI/Pages/CreativePages/CustomReportCreativeDetail.aspx?App=23&amp;ReportView=4&amp;Qid=1711279&amp;Row=6168&amp;Col=1","No Title Assigned - #15269910107")</f>
        <v/>
      </c>
      <c r="B6176" s="0" t="s">
        <v>8137</v>
      </c>
      <c r="C6176" s="0" t="s">
        <v>8138</v>
      </c>
      <c r="D6176" s="0" t="s">
        <v>8138</v>
      </c>
      <c r="E6176" s="0" t="inlineStr">
        <is>
          <t xml:space="preserve">Mazda</t>
        </is>
      </c>
      <c r="F6176" s="0" t="s">
        <v>52</v>
      </c>
      <c r="G6176" s="0" t="s">
        <v>325</v>
      </c>
      <c r="H6176" s="5">
        <v>1057.065100</v>
      </c>
    </row>
    <row r="6177" spans="1:9">
      <c r="A6177" s="22" t="str">
        <f>HYPERLINK("https://app.vivvix.com/360/KMI/IntelliDrive/ApplUI/Pages/CreativePages/CustomReportCreativeDetail.aspx?App=23&amp;ReportView=4&amp;Qid=1711279&amp;Row=6169&amp;Col=1","No Title Assigned - #15269910213")</f>
        <v/>
      </c>
      <c r="B6177" s="0" t="s">
        <v>8139</v>
      </c>
      <c r="C6177" s="0" t="s">
        <v>8140</v>
      </c>
      <c r="D6177" s="0" t="s">
        <v>8140</v>
      </c>
      <c r="E6177" s="0" t="inlineStr">
        <is>
          <t xml:space="preserve">Mazda</t>
        </is>
      </c>
      <c r="F6177" s="0" t="s">
        <v>52</v>
      </c>
      <c r="G6177" s="0" t="s">
        <v>325</v>
      </c>
      <c r="H6177" s="5">
        <v>1314.782000</v>
      </c>
    </row>
    <row r="6178" spans="1:9">
      <c r="A6178" s="22" t="str">
        <f>HYPERLINK("https://app.vivvix.com/360/KMI/IntelliDrive/ApplUI/Pages/CreativePages/CustomReportCreativeDetail.aspx?App=23&amp;ReportView=4&amp;Qid=1711279&amp;Row=6170&amp;Col=1","No Title Assigned - #15269911243")</f>
        <v/>
      </c>
      <c r="B6178" s="0" t="s">
        <v>8141</v>
      </c>
      <c r="C6178" s="0" t="s">
        <v>8142</v>
      </c>
      <c r="D6178" s="0" t="s">
        <v>8142</v>
      </c>
      <c r="E6178" s="0" t="inlineStr">
        <is>
          <t xml:space="preserve">Mazda</t>
        </is>
      </c>
      <c r="F6178" s="0" t="s">
        <v>52</v>
      </c>
      <c r="G6178" s="0" t="s">
        <v>325</v>
      </c>
      <c r="H6178" s="5">
        <v>426.100000</v>
      </c>
    </row>
    <row r="6179" spans="1:9">
      <c r="A6179" s="22" t="str">
        <f>HYPERLINK("https://app.vivvix.com/360/KMI/IntelliDrive/ApplUI/Pages/CreativePages/CustomReportCreativeDetail.aspx?App=23&amp;ReportView=4&amp;Qid=1711279&amp;Row=6171&amp;Col=1","No Title Assigned - #15269911967")</f>
        <v/>
      </c>
      <c r="B6179" s="0" t="s">
        <v>8143</v>
      </c>
      <c r="C6179" s="0" t="s">
        <v>8144</v>
      </c>
      <c r="D6179" s="0" t="s">
        <v>4586</v>
      </c>
      <c r="E6179" s="0" t="inlineStr">
        <is>
          <t xml:space="preserve">Mazda</t>
        </is>
      </c>
      <c r="F6179" s="0" t="s">
        <v>28</v>
      </c>
      <c r="G6179" s="0" t="s">
        <v>29</v>
      </c>
      <c r="H6179" s="5">
        <v>132496.761500</v>
      </c>
    </row>
    <row r="6180" spans="1:9">
      <c r="A6180" s="22" t="str">
        <f>HYPERLINK("https://app.vivvix.com/360/KMI/IntelliDrive/ApplUI/Pages/CreativePages/CustomReportCreativeDetail.aspx?App=23&amp;ReportView=4&amp;Qid=1711279&amp;Row=6172&amp;Col=1","No Title Assigned - #15269911967")</f>
        <v/>
      </c>
      <c r="B6180" s="0" t="s">
        <v>8143</v>
      </c>
      <c r="E6180" s="0" t="inlineStr">
        <is>
          <t xml:space="preserve">Mazda</t>
        </is>
      </c>
      <c r="F6180" s="0" t="s">
        <v>28</v>
      </c>
      <c r="G6180" s="0" t="s">
        <v>29</v>
      </c>
      <c r="H6180" s="5">
        <v>28528.127400</v>
      </c>
    </row>
    <row r="6181" spans="1:9">
      <c r="A6181" s="22" t="str">
        <f>HYPERLINK("https://app.vivvix.com/360/KMI/IntelliDrive/ApplUI/Pages/CreativePages/CustomReportCreativeDetail.aspx?App=23&amp;ReportView=4&amp;Qid=1711279&amp;Row=6173&amp;Col=1","No Title Assigned - #15269912515")</f>
        <v/>
      </c>
      <c r="B6181" s="0" t="s">
        <v>8145</v>
      </c>
      <c r="C6181" s="0" t="s">
        <v>8146</v>
      </c>
      <c r="D6181" s="0" t="s">
        <v>8146</v>
      </c>
      <c r="E6181" s="0" t="inlineStr">
        <is>
          <t xml:space="preserve">Mazda</t>
        </is>
      </c>
      <c r="F6181" s="0" t="s">
        <v>17</v>
      </c>
      <c r="G6181" s="0" t="s">
        <v>33</v>
      </c>
      <c r="H6181" s="5">
        <v>1073.834600</v>
      </c>
    </row>
    <row r="6182" spans="1:9">
      <c r="A6182" s="22" t="str">
        <f>HYPERLINK("https://app.vivvix.com/360/KMI/IntelliDrive/ApplUI/Pages/CreativePages/CustomReportCreativeDetail.aspx?App=23&amp;ReportView=4&amp;Qid=1711279&amp;Row=6174&amp;Col=1","No Title Assigned - #15269919257")</f>
        <v/>
      </c>
      <c r="B6182" s="0" t="s">
        <v>8147</v>
      </c>
      <c r="E6182" s="0" t="inlineStr">
        <is>
          <t xml:space="preserve">Mazda</t>
        </is>
      </c>
      <c r="F6182" s="0" t="s">
        <v>28</v>
      </c>
      <c r="G6182" s="0" t="s">
        <v>29</v>
      </c>
      <c r="H6182" s="5">
        <v>297.270900</v>
      </c>
    </row>
    <row r="6183" spans="1:9">
      <c r="A6183" s="22" t="str">
        <f>HYPERLINK("https://app.vivvix.com/360/KMI/IntelliDrive/ApplUI/Pages/CreativePages/CustomReportCreativeDetail.aspx?App=23&amp;ReportView=4&amp;Qid=1711279&amp;Row=6175&amp;Col=1","No Title Assigned - #15269919342")</f>
        <v/>
      </c>
      <c r="B6183" s="0" t="s">
        <v>8148</v>
      </c>
      <c r="C6183" s="0" t="s">
        <v>8149</v>
      </c>
      <c r="D6183" s="0" t="s">
        <v>6791</v>
      </c>
      <c r="E6183" s="0" t="inlineStr">
        <is>
          <t xml:space="preserve">Mazda</t>
        </is>
      </c>
      <c r="F6183" s="0" t="s">
        <v>28</v>
      </c>
      <c r="G6183" s="0" t="s">
        <v>29</v>
      </c>
      <c r="H6183" s="5">
        <v>11.535100</v>
      </c>
    </row>
    <row r="6184" spans="1:9">
      <c r="A6184" s="22" t="str">
        <f>HYPERLINK("https://app.vivvix.com/360/KMI/IntelliDrive/ApplUI/Pages/CreativePages/CustomReportCreativeDetail.aspx?App=23&amp;ReportView=4&amp;Qid=1711279&amp;Row=6176&amp;Col=1","No Title Assigned - #15269919435")</f>
        <v/>
      </c>
      <c r="B6184" s="0" t="s">
        <v>8150</v>
      </c>
      <c r="E6184" s="0" t="inlineStr">
        <is>
          <t xml:space="preserve">Mazda</t>
        </is>
      </c>
      <c r="F6184" s="0" t="s">
        <v>28</v>
      </c>
      <c r="G6184" s="0" t="s">
        <v>29</v>
      </c>
      <c r="H6184" s="5">
        <v>2099.018100</v>
      </c>
    </row>
    <row r="6185" spans="1:9">
      <c r="A6185" s="22" t="str">
        <f>HYPERLINK("https://app.vivvix.com/360/KMI/IntelliDrive/ApplUI/Pages/CreativePages/CustomReportCreativeDetail.aspx?App=23&amp;ReportView=4&amp;Qid=1711279&amp;Row=6177&amp;Col=1","No Title Assigned - #15269919757")</f>
        <v/>
      </c>
      <c r="B6185" s="0" t="s">
        <v>8151</v>
      </c>
      <c r="C6185" s="0" t="s">
        <v>8152</v>
      </c>
      <c r="D6185" s="0" t="s">
        <v>8152</v>
      </c>
      <c r="E6185" s="0" t="inlineStr">
        <is>
          <t xml:space="preserve">Mazda</t>
        </is>
      </c>
      <c r="F6185" s="0" t="s">
        <v>13</v>
      </c>
      <c r="G6185" s="0" t="s">
        <v>49</v>
      </c>
      <c r="H6185" s="5">
        <v>319.295100</v>
      </c>
    </row>
    <row r="6186" spans="1:9">
      <c r="A6186" s="22" t="str">
        <f>HYPERLINK("https://app.vivvix.com/360/KMI/IntelliDrive/ApplUI/Pages/CreativePages/CustomReportCreativeDetail.aspx?App=23&amp;ReportView=4&amp;Qid=1711279&amp;Row=6178&amp;Col=1","No Title Assigned - #15269920170")</f>
        <v/>
      </c>
      <c r="B6186" s="0" t="s">
        <v>8153</v>
      </c>
      <c r="C6186" s="0" t="s">
        <v>8154</v>
      </c>
      <c r="D6186" s="0" t="s">
        <v>8154</v>
      </c>
      <c r="E6186" s="0" t="inlineStr">
        <is>
          <t xml:space="preserve">Mazda</t>
        </is>
      </c>
      <c r="F6186" s="0" t="s">
        <v>13</v>
      </c>
      <c r="G6186" s="0" t="s">
        <v>49</v>
      </c>
      <c r="H6186" s="5">
        <v>488.524900</v>
      </c>
    </row>
    <row r="6187" spans="1:9">
      <c r="A6187" s="22" t="str">
        <f>HYPERLINK("https://app.vivvix.com/360/KMI/IntelliDrive/ApplUI/Pages/CreativePages/CustomReportCreativeDetail.aspx?App=23&amp;ReportView=4&amp;Qid=1711279&amp;Row=6179&amp;Col=1","No Title Assigned - #15269920278")</f>
        <v/>
      </c>
      <c r="B6187" s="0" t="s">
        <v>8155</v>
      </c>
      <c r="C6187" s="0" t="s">
        <v>8156</v>
      </c>
      <c r="D6187" s="0" t="s">
        <v>8156</v>
      </c>
      <c r="E6187" s="0" t="inlineStr">
        <is>
          <t xml:space="preserve">Mazda</t>
        </is>
      </c>
      <c r="F6187" s="0" t="s">
        <v>13</v>
      </c>
      <c r="G6187" s="0" t="s">
        <v>49</v>
      </c>
      <c r="H6187" s="5">
        <v>51324.714800</v>
      </c>
    </row>
    <row r="6188" spans="1:9">
      <c r="A6188" s="22" t="str">
        <f>HYPERLINK("https://app.vivvix.com/360/KMI/IntelliDrive/ApplUI/Pages/CreativePages/CustomReportCreativeDetail.aspx?App=23&amp;ReportView=4&amp;Qid=1711279&amp;Row=6180&amp;Col=1","No Title Assigned - #15269921175")</f>
        <v/>
      </c>
      <c r="B6188" s="0" t="s">
        <v>8157</v>
      </c>
      <c r="C6188" s="0" t="s">
        <v>8158</v>
      </c>
      <c r="D6188" s="0" t="s">
        <v>8158</v>
      </c>
      <c r="E6188" s="0" t="inlineStr">
        <is>
          <t xml:space="preserve">Mazda</t>
        </is>
      </c>
      <c r="F6188" s="0" t="s">
        <v>28</v>
      </c>
      <c r="G6188" s="0" t="s">
        <v>29</v>
      </c>
      <c r="H6188" s="5">
        <v>26.371200</v>
      </c>
    </row>
    <row r="6189" spans="1:9">
      <c r="A6189" s="22" t="str">
        <f>HYPERLINK("https://app.vivvix.com/360/KMI/IntelliDrive/ApplUI/Pages/CreativePages/CustomReportCreativeDetail.aspx?App=23&amp;ReportView=4&amp;Qid=1711279&amp;Row=6181&amp;Col=1","No Title Assigned - #15269921202")</f>
        <v/>
      </c>
      <c r="B6189" s="0" t="s">
        <v>8159</v>
      </c>
      <c r="E6189" s="0" t="inlineStr">
        <is>
          <t xml:space="preserve">Mazda</t>
        </is>
      </c>
      <c r="F6189" s="0" t="inlineStr">
        <is>
          <t xml:space="preserve">Mazda</t>
        </is>
      </c>
      <c r="G6189" s="0" t="s">
        <v>171</v>
      </c>
      <c r="H6189" s="5">
        <v>12.036800</v>
      </c>
    </row>
    <row r="6190" spans="1:9">
      <c r="A6190" s="22" t="str">
        <f>HYPERLINK("https://app.vivvix.com/360/KMI/IntelliDrive/ApplUI/Pages/CreativePages/CustomReportCreativeDetail.aspx?App=23&amp;ReportView=4&amp;Qid=1711279&amp;Row=6182&amp;Col=1","No Title Assigned - #15269921224")</f>
        <v/>
      </c>
      <c r="B6190" s="0" t="s">
        <v>8160</v>
      </c>
      <c r="E6190" s="0" t="inlineStr">
        <is>
          <t xml:space="preserve">Mazda</t>
        </is>
      </c>
      <c r="F6190" s="0" t="inlineStr">
        <is>
          <t xml:space="preserve">Mazda</t>
        </is>
      </c>
      <c r="G6190" s="0" t="s">
        <v>171</v>
      </c>
      <c r="H6190" s="5">
        <v>12.962100</v>
      </c>
    </row>
    <row r="6191" spans="1:9">
      <c r="A6191" s="22" t="str">
        <f>HYPERLINK("https://app.vivvix.com/360/KMI/IntelliDrive/ApplUI/Pages/CreativePages/CustomReportCreativeDetail.aspx?App=23&amp;ReportView=4&amp;Qid=1711279&amp;Row=6183&amp;Col=1","No Title Assigned - #15269921295")</f>
        <v/>
      </c>
      <c r="B6191" s="0" t="s">
        <v>8161</v>
      </c>
      <c r="C6191" s="0" t="s">
        <v>8162</v>
      </c>
      <c r="D6191" s="0" t="s">
        <v>6676</v>
      </c>
      <c r="E6191" s="0" t="inlineStr">
        <is>
          <t xml:space="preserve">Mazda</t>
        </is>
      </c>
      <c r="F6191" s="0" t="s">
        <v>28</v>
      </c>
      <c r="G6191" s="0" t="s">
        <v>29</v>
      </c>
      <c r="H6191" s="5">
        <v>41.677700</v>
      </c>
    </row>
    <row r="6192" spans="1:9">
      <c r="A6192" s="22" t="str">
        <f>HYPERLINK("https://app.vivvix.com/360/KMI/IntelliDrive/ApplUI/Pages/CreativePages/CustomReportCreativeDetail.aspx?App=23&amp;ReportView=4&amp;Qid=1711279&amp;Row=6184&amp;Col=1","No Title Assigned - #15269923875")</f>
        <v/>
      </c>
      <c r="B6192" s="0" t="s">
        <v>8163</v>
      </c>
      <c r="C6192" s="0" t="s">
        <v>8164</v>
      </c>
      <c r="D6192" s="0" t="s">
        <v>8164</v>
      </c>
      <c r="E6192" s="0" t="inlineStr">
        <is>
          <t xml:space="preserve">Mazda</t>
        </is>
      </c>
      <c r="F6192" s="0" t="s">
        <v>13</v>
      </c>
      <c r="G6192" s="0" t="s">
        <v>49</v>
      </c>
      <c r="H6192" s="5">
        <v>9792.431600</v>
      </c>
    </row>
    <row r="6193" spans="1:9">
      <c r="A6193" s="22" t="str">
        <f>HYPERLINK("https://app.vivvix.com/360/KMI/IntelliDrive/ApplUI/Pages/CreativePages/CustomReportCreativeDetail.aspx?App=23&amp;ReportView=4&amp;Qid=1711279&amp;Row=6185&amp;Col=1","No Title Assigned - #15269924623")</f>
        <v/>
      </c>
      <c r="B6193" s="0" t="s">
        <v>8165</v>
      </c>
      <c r="E6193" s="0" t="inlineStr">
        <is>
          <t xml:space="preserve">Mazda</t>
        </is>
      </c>
      <c r="F6193" s="0" t="inlineStr">
        <is>
          <t xml:space="preserve">Mazda</t>
        </is>
      </c>
      <c r="G6193" s="0" t="s">
        <v>171</v>
      </c>
      <c r="H6193" s="5">
        <v>102.380500</v>
      </c>
    </row>
    <row r="6194" spans="1:9">
      <c r="A6194" s="22" t="str">
        <f>HYPERLINK("https://app.vivvix.com/360/KMI/IntelliDrive/ApplUI/Pages/CreativePages/CustomReportCreativeDetail.aspx?App=23&amp;ReportView=4&amp;Qid=1711279&amp;Row=6186&amp;Col=1","No Title Assigned - #15269924754")</f>
        <v/>
      </c>
      <c r="B6194" s="0" t="s">
        <v>8166</v>
      </c>
      <c r="E6194" s="0" t="inlineStr">
        <is>
          <t xml:space="preserve">Mazda</t>
        </is>
      </c>
      <c r="F6194" s="0" t="inlineStr">
        <is>
          <t xml:space="preserve">Mazda</t>
        </is>
      </c>
      <c r="G6194" s="0" t="s">
        <v>171</v>
      </c>
      <c r="H6194" s="5">
        <v>851.231700</v>
      </c>
    </row>
    <row r="6195" spans="1:9">
      <c r="A6195" s="22" t="str">
        <f>HYPERLINK("https://app.vivvix.com/360/KMI/IntelliDrive/ApplUI/Pages/CreativePages/CustomReportCreativeDetail.aspx?App=23&amp;ReportView=4&amp;Qid=1711279&amp;Row=6187&amp;Col=1","No Title Assigned - #15269924887")</f>
        <v/>
      </c>
      <c r="B6195" s="0" t="s">
        <v>8167</v>
      </c>
      <c r="E6195" s="0" t="inlineStr">
        <is>
          <t xml:space="preserve">Mazda</t>
        </is>
      </c>
      <c r="F6195" s="0" t="inlineStr">
        <is>
          <t xml:space="preserve">Mazda</t>
        </is>
      </c>
      <c r="G6195" s="0" t="s">
        <v>171</v>
      </c>
      <c r="H6195" s="5">
        <v>11872.945300</v>
      </c>
    </row>
    <row r="6196" spans="1:9">
      <c r="A6196" s="22" t="str">
        <f>HYPERLINK("https://app.vivvix.com/360/KMI/IntelliDrive/ApplUI/Pages/CreativePages/CustomReportCreativeDetail.aspx?App=23&amp;ReportView=4&amp;Qid=1711279&amp;Row=6188&amp;Col=1","No Title Assigned - #15269925498")</f>
        <v/>
      </c>
      <c r="B6196" s="0" t="s">
        <v>8168</v>
      </c>
      <c r="E6196" s="0" t="inlineStr">
        <is>
          <t xml:space="preserve">Mazda</t>
        </is>
      </c>
      <c r="F6196" s="0" t="inlineStr">
        <is>
          <t xml:space="preserve">Mazda</t>
        </is>
      </c>
      <c r="G6196" s="0" t="s">
        <v>171</v>
      </c>
      <c r="H6196" s="5">
        <v>34.253500</v>
      </c>
    </row>
    <row r="6197" spans="1:9">
      <c r="A6197" s="22" t="str">
        <f>HYPERLINK("https://app.vivvix.com/360/KMI/IntelliDrive/ApplUI/Pages/CreativePages/CustomReportCreativeDetail.aspx?App=23&amp;ReportView=4&amp;Qid=1711279&amp;Row=6189&amp;Col=1","No Title Assigned - #15269926500")</f>
        <v/>
      </c>
      <c r="B6197" s="0" t="s">
        <v>8169</v>
      </c>
      <c r="E6197" s="0" t="inlineStr">
        <is>
          <t xml:space="preserve">Mazda</t>
        </is>
      </c>
      <c r="F6197" s="0" t="inlineStr">
        <is>
          <t xml:space="preserve">Mazda</t>
        </is>
      </c>
      <c r="G6197" s="0" t="s">
        <v>171</v>
      </c>
      <c r="H6197" s="5">
        <v>166.054800</v>
      </c>
    </row>
    <row r="6198" spans="1:9">
      <c r="A6198" s="22" t="str">
        <f>HYPERLINK("https://app.vivvix.com/360/KMI/IntelliDrive/ApplUI/Pages/CreativePages/CustomReportCreativeDetail.aspx?App=23&amp;ReportView=4&amp;Qid=1711279&amp;Row=6190&amp;Col=1","No Title Assigned - #15269926643")</f>
        <v/>
      </c>
      <c r="B6198" s="0" t="s">
        <v>8170</v>
      </c>
      <c r="E6198" s="0" t="inlineStr">
        <is>
          <t xml:space="preserve">Mazda</t>
        </is>
      </c>
      <c r="F6198" s="0" t="inlineStr">
        <is>
          <t xml:space="preserve">Mazda</t>
        </is>
      </c>
      <c r="G6198" s="0" t="s">
        <v>171</v>
      </c>
      <c r="H6198" s="5">
        <v>48.628400</v>
      </c>
    </row>
    <row r="6199" spans="1:9">
      <c r="A6199" s="22" t="str">
        <f>HYPERLINK("https://app.vivvix.com/360/KMI/IntelliDrive/ApplUI/Pages/CreativePages/CustomReportCreativeDetail.aspx?App=23&amp;ReportView=4&amp;Qid=1711279&amp;Row=6191&amp;Col=1","No Title Assigned - #15269927387")</f>
        <v/>
      </c>
      <c r="B6199" s="0" t="s">
        <v>8171</v>
      </c>
      <c r="E6199" s="0" t="inlineStr">
        <is>
          <t xml:space="preserve">Mazda</t>
        </is>
      </c>
      <c r="F6199" s="0" t="inlineStr">
        <is>
          <t xml:space="preserve">Mazda</t>
        </is>
      </c>
      <c r="G6199" s="0" t="s">
        <v>171</v>
      </c>
      <c r="H6199" s="5">
        <v>38.902600</v>
      </c>
    </row>
    <row r="6200" spans="1:9">
      <c r="A6200" s="22" t="str">
        <f>HYPERLINK("https://app.vivvix.com/360/KMI/IntelliDrive/ApplUI/Pages/CreativePages/CustomReportCreativeDetail.aspx?App=23&amp;ReportView=4&amp;Qid=1711279&amp;Row=6192&amp;Col=1","No Title Assigned - #15269927388")</f>
        <v/>
      </c>
      <c r="B6200" s="0" t="s">
        <v>8172</v>
      </c>
      <c r="E6200" s="0" t="inlineStr">
        <is>
          <t xml:space="preserve">Mazda</t>
        </is>
      </c>
      <c r="F6200" s="0" t="inlineStr">
        <is>
          <t xml:space="preserve">Mazda</t>
        </is>
      </c>
      <c r="G6200" s="0" t="s">
        <v>171</v>
      </c>
      <c r="H6200" s="5">
        <v>19.451300</v>
      </c>
    </row>
    <row r="6201" spans="1:9">
      <c r="A6201" s="22" t="str">
        <f>HYPERLINK("https://app.vivvix.com/360/KMI/IntelliDrive/ApplUI/Pages/CreativePages/CustomReportCreativeDetail.aspx?App=23&amp;ReportView=4&amp;Qid=1711279&amp;Row=6193&amp;Col=1","No Title Assigned - #15269927420")</f>
        <v/>
      </c>
      <c r="B6201" s="0" t="s">
        <v>8173</v>
      </c>
      <c r="E6201" s="0" t="inlineStr">
        <is>
          <t xml:space="preserve">Mazda</t>
        </is>
      </c>
      <c r="F6201" s="0" t="inlineStr">
        <is>
          <t xml:space="preserve">Mazda</t>
        </is>
      </c>
      <c r="G6201" s="0" t="s">
        <v>171</v>
      </c>
      <c r="H6201" s="5">
        <v>24.554900</v>
      </c>
    </row>
    <row r="6202" spans="1:9">
      <c r="A6202" s="22" t="str">
        <f>HYPERLINK("https://app.vivvix.com/360/KMI/IntelliDrive/ApplUI/Pages/CreativePages/CustomReportCreativeDetail.aspx?App=23&amp;ReportView=4&amp;Qid=1711279&amp;Row=6194&amp;Col=1","No Title Assigned - #15269927424")</f>
        <v/>
      </c>
      <c r="B6202" s="0" t="s">
        <v>8174</v>
      </c>
      <c r="C6202" s="0" t="s">
        <v>8175</v>
      </c>
      <c r="D6202" s="0" t="s">
        <v>8175</v>
      </c>
      <c r="E6202" s="0" t="inlineStr">
        <is>
          <t xml:space="preserve">Mazda</t>
        </is>
      </c>
      <c r="F6202" s="0" t="inlineStr">
        <is>
          <t xml:space="preserve">Mazda</t>
        </is>
      </c>
      <c r="G6202" s="0" t="s">
        <v>171</v>
      </c>
      <c r="H6202" s="5">
        <v>111.446600</v>
      </c>
    </row>
    <row r="6203" spans="1:9">
      <c r="A6203" s="22" t="str">
        <f>HYPERLINK("https://app.vivvix.com/360/KMI/IntelliDrive/ApplUI/Pages/CreativePages/CustomReportCreativeDetail.aspx?App=23&amp;ReportView=4&amp;Qid=1711279&amp;Row=6195&amp;Col=1","No Title Assigned - #15269927814")</f>
        <v/>
      </c>
      <c r="B6203" s="0" t="s">
        <v>8176</v>
      </c>
      <c r="E6203" s="0" t="inlineStr">
        <is>
          <t xml:space="preserve">Mazda</t>
        </is>
      </c>
      <c r="F6203" s="0" t="inlineStr">
        <is>
          <t xml:space="preserve">Mazda</t>
        </is>
      </c>
      <c r="G6203" s="0" t="s">
        <v>171</v>
      </c>
      <c r="H6203" s="5">
        <v>1039.917200</v>
      </c>
    </row>
    <row r="6204" spans="1:9">
      <c r="A6204" s="22" t="str">
        <f>HYPERLINK("https://app.vivvix.com/360/KMI/IntelliDrive/ApplUI/Pages/CreativePages/CustomReportCreativeDetail.aspx?App=23&amp;ReportView=4&amp;Qid=1711279&amp;Row=6196&amp;Col=1","No Title Assigned - #15269928453")</f>
        <v/>
      </c>
      <c r="B6204" s="0" t="s">
        <v>8177</v>
      </c>
      <c r="E6204" s="0" t="inlineStr">
        <is>
          <t xml:space="preserve">Mazda</t>
        </is>
      </c>
      <c r="F6204" s="0" t="inlineStr">
        <is>
          <t xml:space="preserve">Mazda</t>
        </is>
      </c>
      <c r="G6204" s="0" t="s">
        <v>171</v>
      </c>
      <c r="H6204" s="5">
        <v>1269.838300</v>
      </c>
    </row>
    <row r="6205" spans="1:9">
      <c r="A6205" s="22" t="str">
        <f>HYPERLINK("https://app.vivvix.com/360/KMI/IntelliDrive/ApplUI/Pages/CreativePages/CustomReportCreativeDetail.aspx?App=23&amp;ReportView=4&amp;Qid=1711279&amp;Row=6197&amp;Col=1","No Title Assigned - #15269928756")</f>
        <v/>
      </c>
      <c r="B6205" s="0" t="s">
        <v>8178</v>
      </c>
      <c r="E6205" s="0" t="inlineStr">
        <is>
          <t xml:space="preserve">Mazda</t>
        </is>
      </c>
      <c r="F6205" s="0" t="inlineStr">
        <is>
          <t xml:space="preserve">Mazda</t>
        </is>
      </c>
      <c r="G6205" s="0" t="s">
        <v>171</v>
      </c>
      <c r="H6205" s="5">
        <v>2815.793500</v>
      </c>
    </row>
    <row r="6206" spans="1:9">
      <c r="A6206" s="22" t="str">
        <f>HYPERLINK("https://app.vivvix.com/360/KMI/IntelliDrive/ApplUI/Pages/CreativePages/CustomReportCreativeDetail.aspx?App=23&amp;ReportView=4&amp;Qid=1711279&amp;Row=6198&amp;Col=1","No Title Assigned - #15269928775")</f>
        <v/>
      </c>
      <c r="B6206" s="0" t="s">
        <v>8179</v>
      </c>
      <c r="E6206" s="0" t="inlineStr">
        <is>
          <t xml:space="preserve">Mazda</t>
        </is>
      </c>
      <c r="F6206" s="0" t="inlineStr">
        <is>
          <t xml:space="preserve">Mazda</t>
        </is>
      </c>
      <c r="G6206" s="0" t="s">
        <v>171</v>
      </c>
      <c r="H6206" s="5">
        <v>27.342600</v>
      </c>
    </row>
    <row r="6207" spans="1:9">
      <c r="A6207" s="22" t="str">
        <f>HYPERLINK("https://app.vivvix.com/360/KMI/IntelliDrive/ApplUI/Pages/CreativePages/CustomReportCreativeDetail.aspx?App=23&amp;ReportView=4&amp;Qid=1711279&amp;Row=6199&amp;Col=1","No Title Assigned - #15269929028")</f>
        <v/>
      </c>
      <c r="B6207" s="0" t="s">
        <v>8180</v>
      </c>
      <c r="E6207" s="0" t="inlineStr">
        <is>
          <t xml:space="preserve">Mazda</t>
        </is>
      </c>
      <c r="F6207" s="0" t="inlineStr">
        <is>
          <t xml:space="preserve">Mazda</t>
        </is>
      </c>
      <c r="G6207" s="0" t="s">
        <v>171</v>
      </c>
      <c r="H6207" s="5">
        <v>39.368500</v>
      </c>
    </row>
    <row r="6208" spans="1:9">
      <c r="A6208" s="22" t="str">
        <f>HYPERLINK("https://app.vivvix.com/360/KMI/IntelliDrive/ApplUI/Pages/CreativePages/CustomReportCreativeDetail.aspx?App=23&amp;ReportView=4&amp;Qid=1711279&amp;Row=6200&amp;Col=1","No Title Assigned - #15269929150")</f>
        <v/>
      </c>
      <c r="B6208" s="0" t="s">
        <v>8181</v>
      </c>
      <c r="E6208" s="0" t="inlineStr">
        <is>
          <t xml:space="preserve">Mazda</t>
        </is>
      </c>
      <c r="F6208" s="0" t="inlineStr">
        <is>
          <t xml:space="preserve">Mazda</t>
        </is>
      </c>
      <c r="G6208" s="0" t="s">
        <v>171</v>
      </c>
      <c r="H6208" s="5">
        <v>1720.412000</v>
      </c>
    </row>
    <row r="6209" spans="1:9">
      <c r="A6209" s="22" t="str">
        <f>HYPERLINK("https://app.vivvix.com/360/KMI/IntelliDrive/ApplUI/Pages/CreativePages/CustomReportCreativeDetail.aspx?App=23&amp;ReportView=4&amp;Qid=1711279&amp;Row=6201&amp;Col=1","No Title Assigned - #15269929271")</f>
        <v/>
      </c>
      <c r="B6209" s="0" t="s">
        <v>8182</v>
      </c>
      <c r="E6209" s="0" t="inlineStr">
        <is>
          <t xml:space="preserve">Mazda</t>
        </is>
      </c>
      <c r="F6209" s="0" t="inlineStr">
        <is>
          <t xml:space="preserve">Mazda</t>
        </is>
      </c>
      <c r="G6209" s="0" t="s">
        <v>171</v>
      </c>
      <c r="H6209" s="5">
        <v>17.463300</v>
      </c>
    </row>
    <row r="6210" spans="1:9">
      <c r="A6210" s="22" t="str">
        <f>HYPERLINK("https://app.vivvix.com/360/KMI/IntelliDrive/ApplUI/Pages/CreativePages/CustomReportCreativeDetail.aspx?App=23&amp;ReportView=4&amp;Qid=1711279&amp;Row=6202&amp;Col=1","No Title Assigned - #15269930425")</f>
        <v/>
      </c>
      <c r="B6210" s="0" t="s">
        <v>8183</v>
      </c>
      <c r="E6210" s="0" t="inlineStr">
        <is>
          <t xml:space="preserve">Mazda</t>
        </is>
      </c>
      <c r="F6210" s="0" t="s">
        <v>204</v>
      </c>
      <c r="G6210" s="0" t="s">
        <v>205</v>
      </c>
      <c r="H6210" s="5">
        <v>2024.719200</v>
      </c>
    </row>
    <row r="6211" spans="1:9">
      <c r="A6211" s="22" t="str">
        <f>HYPERLINK("https://app.vivvix.com/360/KMI/IntelliDrive/ApplUI/Pages/CreativePages/CustomReportCreativeDetail.aspx?App=23&amp;ReportView=4&amp;Qid=1711279&amp;Row=6203&amp;Col=1","No Title Assigned - #15269931922")</f>
        <v/>
      </c>
      <c r="B6211" s="0" t="s">
        <v>8184</v>
      </c>
      <c r="C6211" s="0" t="s">
        <v>8185</v>
      </c>
      <c r="D6211" s="0" t="s">
        <v>8185</v>
      </c>
      <c r="E6211" s="0" t="inlineStr">
        <is>
          <t xml:space="preserve">Mazda</t>
        </is>
      </c>
      <c r="F6211" s="0" t="inlineStr">
        <is>
          <t xml:space="preserve">Mazda</t>
        </is>
      </c>
      <c r="G6211" s="0" t="s">
        <v>171</v>
      </c>
      <c r="H6211" s="5">
        <v>341.774500</v>
      </c>
    </row>
    <row r="6212" spans="1:9">
      <c r="A6212" s="22" t="str">
        <f>HYPERLINK("https://app.vivvix.com/360/KMI/IntelliDrive/ApplUI/Pages/CreativePages/CustomReportCreativeDetail.aspx?App=23&amp;ReportView=4&amp;Qid=1711279&amp;Row=6204&amp;Col=1","No Title Assigned - #15269932579")</f>
        <v/>
      </c>
      <c r="B6212" s="0" t="s">
        <v>8186</v>
      </c>
      <c r="E6212" s="0" t="inlineStr">
        <is>
          <t xml:space="preserve">Mazda</t>
        </is>
      </c>
      <c r="F6212" s="0" t="inlineStr">
        <is>
          <t xml:space="preserve">Mazda</t>
        </is>
      </c>
      <c r="G6212" s="0" t="s">
        <v>171</v>
      </c>
      <c r="H6212" s="5">
        <v>111.200900</v>
      </c>
    </row>
    <row r="6213" spans="1:9">
      <c r="A6213" s="22" t="str">
        <f>HYPERLINK("https://app.vivvix.com/360/KMI/IntelliDrive/ApplUI/Pages/CreativePages/CustomReportCreativeDetail.aspx?App=23&amp;ReportView=4&amp;Qid=1711279&amp;Row=6205&amp;Col=1","No Title Assigned - #15269933288")</f>
        <v/>
      </c>
      <c r="B6213" s="0" t="s">
        <v>8187</v>
      </c>
      <c r="E6213" s="0" t="inlineStr">
        <is>
          <t xml:space="preserve">Mazda</t>
        </is>
      </c>
      <c r="F6213" s="0" t="inlineStr">
        <is>
          <t xml:space="preserve">Mazda</t>
        </is>
      </c>
      <c r="G6213" s="0" t="s">
        <v>171</v>
      </c>
      <c r="H6213" s="5">
        <v>68.055700</v>
      </c>
    </row>
    <row r="6214" spans="1:9">
      <c r="A6214" s="22" t="str">
        <f>HYPERLINK("https://app.vivvix.com/360/KMI/IntelliDrive/ApplUI/Pages/CreativePages/CustomReportCreativeDetail.aspx?App=23&amp;ReportView=4&amp;Qid=1711279&amp;Row=6206&amp;Col=1","No Title Assigned - #15269933723")</f>
        <v/>
      </c>
      <c r="B6214" s="0" t="s">
        <v>8188</v>
      </c>
      <c r="C6214" s="0" t="s">
        <v>8189</v>
      </c>
      <c r="D6214" s="0" t="s">
        <v>8189</v>
      </c>
      <c r="E6214" s="0" t="inlineStr">
        <is>
          <t xml:space="preserve">Mazda</t>
        </is>
      </c>
      <c r="F6214" s="0" t="s">
        <v>28</v>
      </c>
      <c r="G6214" s="0" t="s">
        <v>29</v>
      </c>
      <c r="H6214" s="5">
        <v>464.755700</v>
      </c>
    </row>
    <row r="6215" spans="1:9">
      <c r="A6215" s="22" t="str">
        <f>HYPERLINK("https://app.vivvix.com/360/KMI/IntelliDrive/ApplUI/Pages/CreativePages/CustomReportCreativeDetail.aspx?App=23&amp;ReportView=4&amp;Qid=1711279&amp;Row=6207&amp;Col=1","No Title Assigned - #15269933723")</f>
        <v/>
      </c>
      <c r="B6215" s="0" t="s">
        <v>8188</v>
      </c>
      <c r="E6215" s="0" t="inlineStr">
        <is>
          <t xml:space="preserve">Mazda</t>
        </is>
      </c>
      <c r="F6215" s="0" t="s">
        <v>28</v>
      </c>
      <c r="G6215" s="0" t="s">
        <v>29</v>
      </c>
      <c r="H6215" s="5">
        <v>216.417300</v>
      </c>
    </row>
    <row r="6216" spans="1:9">
      <c r="A6216" s="22" t="str">
        <f>HYPERLINK("https://app.vivvix.com/360/KMI/IntelliDrive/ApplUI/Pages/CreativePages/CustomReportCreativeDetail.aspx?App=23&amp;ReportView=4&amp;Qid=1711279&amp;Row=6208&amp;Col=1","No Title Assigned - #15269933766")</f>
        <v/>
      </c>
      <c r="B6216" s="0" t="s">
        <v>8190</v>
      </c>
      <c r="E6216" s="0" t="inlineStr">
        <is>
          <t xml:space="preserve">Mazda</t>
        </is>
      </c>
      <c r="F6216" s="0" t="inlineStr">
        <is>
          <t xml:space="preserve">Mazda</t>
        </is>
      </c>
      <c r="G6216" s="0" t="s">
        <v>171</v>
      </c>
      <c r="H6216" s="5">
        <v>115.418400</v>
      </c>
    </row>
    <row r="6217" spans="1:9">
      <c r="A6217" s="22" t="str">
        <f>HYPERLINK("https://app.vivvix.com/360/KMI/IntelliDrive/ApplUI/Pages/CreativePages/CustomReportCreativeDetail.aspx?App=23&amp;ReportView=4&amp;Qid=1711279&amp;Row=6209&amp;Col=1","No Title Assigned - #15269933899")</f>
        <v/>
      </c>
      <c r="B6217" s="0" t="s">
        <v>8191</v>
      </c>
      <c r="E6217" s="0" t="inlineStr">
        <is>
          <t xml:space="preserve">Mazda</t>
        </is>
      </c>
      <c r="F6217" s="0" t="inlineStr">
        <is>
          <t xml:space="preserve">Mazda</t>
        </is>
      </c>
      <c r="G6217" s="0" t="s">
        <v>171</v>
      </c>
      <c r="H6217" s="5">
        <v>74.656400</v>
      </c>
    </row>
    <row r="6218" spans="1:9">
      <c r="A6218" s="22" t="str">
        <f>HYPERLINK("https://app.vivvix.com/360/KMI/IntelliDrive/ApplUI/Pages/CreativePages/CustomReportCreativeDetail.aspx?App=23&amp;ReportView=4&amp;Qid=1711279&amp;Row=6210&amp;Col=1","No Title Assigned - #15269934405")</f>
        <v/>
      </c>
      <c r="B6218" s="0" t="s">
        <v>8192</v>
      </c>
      <c r="C6218" s="0" t="s">
        <v>8193</v>
      </c>
      <c r="D6218" s="0" t="s">
        <v>8193</v>
      </c>
      <c r="E6218" s="0" t="inlineStr">
        <is>
          <t xml:space="preserve">Mazda</t>
        </is>
      </c>
      <c r="F6218" s="0" t="inlineStr">
        <is>
          <t xml:space="preserve">Mazda</t>
        </is>
      </c>
      <c r="G6218" s="0" t="s">
        <v>171</v>
      </c>
      <c r="H6218" s="5">
        <v>405.318600</v>
      </c>
    </row>
    <row r="6219" spans="1:9">
      <c r="A6219" s="22" t="str">
        <f>HYPERLINK("https://app.vivvix.com/360/KMI/IntelliDrive/ApplUI/Pages/CreativePages/CustomReportCreativeDetail.aspx?App=23&amp;ReportView=4&amp;Qid=1711279&amp;Row=6211&amp;Col=1","No Title Assigned - #15269934957")</f>
        <v/>
      </c>
      <c r="B6219" s="0" t="s">
        <v>8194</v>
      </c>
      <c r="E6219" s="0" t="inlineStr">
        <is>
          <t xml:space="preserve">Mazda</t>
        </is>
      </c>
      <c r="F6219" s="0" t="inlineStr">
        <is>
          <t xml:space="preserve">Mazda</t>
        </is>
      </c>
      <c r="G6219" s="0" t="s">
        <v>171</v>
      </c>
      <c r="H6219" s="5">
        <v>278.602500</v>
      </c>
    </row>
    <row r="6220" spans="1:9">
      <c r="A6220" s="22" t="str">
        <f>HYPERLINK("https://app.vivvix.com/360/KMI/IntelliDrive/ApplUI/Pages/CreativePages/CustomReportCreativeDetail.aspx?App=23&amp;ReportView=4&amp;Qid=1711279&amp;Row=6212&amp;Col=1","No Title Assigned - #15269935589")</f>
        <v/>
      </c>
      <c r="B6220" s="0" t="s">
        <v>8195</v>
      </c>
      <c r="C6220" s="0" t="s">
        <v>8196</v>
      </c>
      <c r="D6220" s="0" t="s">
        <v>4204</v>
      </c>
      <c r="E6220" s="0" t="inlineStr">
        <is>
          <t xml:space="preserve">Mazda</t>
        </is>
      </c>
      <c r="F6220" s="0" t="s">
        <v>28</v>
      </c>
      <c r="G6220" s="0" t="s">
        <v>29</v>
      </c>
      <c r="H6220" s="5">
        <v>1013.943500</v>
      </c>
    </row>
    <row r="6221" spans="1:9">
      <c r="A6221" s="22" t="str">
        <f>HYPERLINK("https://app.vivvix.com/360/KMI/IntelliDrive/ApplUI/Pages/CreativePages/CustomReportCreativeDetail.aspx?App=23&amp;ReportView=4&amp;Qid=1711279&amp;Row=6213&amp;Col=1","No Title Assigned - #15269935589")</f>
        <v/>
      </c>
      <c r="B6221" s="0" t="s">
        <v>8195</v>
      </c>
      <c r="E6221" s="0" t="inlineStr">
        <is>
          <t xml:space="preserve">Mazda</t>
        </is>
      </c>
      <c r="F6221" s="0" t="s">
        <v>28</v>
      </c>
      <c r="G6221" s="0" t="s">
        <v>29</v>
      </c>
      <c r="H6221" s="5">
        <v>485.548400</v>
      </c>
    </row>
    <row r="6222" spans="1:9">
      <c r="A6222" s="22" t="str">
        <f>HYPERLINK("https://app.vivvix.com/360/KMI/IntelliDrive/ApplUI/Pages/CreativePages/CustomReportCreativeDetail.aspx?App=23&amp;ReportView=4&amp;Qid=1711279&amp;Row=6214&amp;Col=1","No Title Assigned - #15269935710")</f>
        <v/>
      </c>
      <c r="B6222" s="0" t="s">
        <v>8197</v>
      </c>
      <c r="C6222" s="0" t="s">
        <v>8198</v>
      </c>
      <c r="D6222" s="0" t="s">
        <v>8198</v>
      </c>
      <c r="E6222" s="0" t="inlineStr">
        <is>
          <t xml:space="preserve">Mazda</t>
        </is>
      </c>
      <c r="F6222" s="0" t="inlineStr">
        <is>
          <t xml:space="preserve">Mazda</t>
        </is>
      </c>
      <c r="G6222" s="0" t="s">
        <v>171</v>
      </c>
      <c r="H6222" s="5">
        <v>32.821900</v>
      </c>
    </row>
    <row r="6223" spans="1:9">
      <c r="A6223" s="22" t="str">
        <f>HYPERLINK("https://app.vivvix.com/360/KMI/IntelliDrive/ApplUI/Pages/CreativePages/CustomReportCreativeDetail.aspx?App=23&amp;ReportView=4&amp;Qid=1711279&amp;Row=6215&amp;Col=1","No Title Assigned - #15269936315")</f>
        <v/>
      </c>
      <c r="B6223" s="0" t="s">
        <v>8199</v>
      </c>
      <c r="E6223" s="0" t="inlineStr">
        <is>
          <t xml:space="preserve">Mazda</t>
        </is>
      </c>
      <c r="F6223" s="0" t="inlineStr">
        <is>
          <t xml:space="preserve">Mazda</t>
        </is>
      </c>
      <c r="G6223" s="0" t="s">
        <v>171</v>
      </c>
      <c r="H6223" s="5">
        <v>13.084500</v>
      </c>
    </row>
    <row r="6224" spans="1:9">
      <c r="A6224" s="22" t="str">
        <f>HYPERLINK("https://app.vivvix.com/360/KMI/IntelliDrive/ApplUI/Pages/CreativePages/CustomReportCreativeDetail.aspx?App=23&amp;ReportView=4&amp;Qid=1711279&amp;Row=6216&amp;Col=1","No Title Assigned - #15269936648")</f>
        <v/>
      </c>
      <c r="B6224" s="0" t="s">
        <v>8200</v>
      </c>
      <c r="E6224" s="0" t="inlineStr">
        <is>
          <t xml:space="preserve">Mazda</t>
        </is>
      </c>
      <c r="F6224" s="0" t="inlineStr">
        <is>
          <t xml:space="preserve">Mazda</t>
        </is>
      </c>
      <c r="G6224" s="0" t="s">
        <v>171</v>
      </c>
      <c r="H6224" s="5">
        <v>1466.704200</v>
      </c>
    </row>
    <row r="6225" spans="1:9">
      <c r="A6225" s="22" t="str">
        <f>HYPERLINK("https://app.vivvix.com/360/KMI/IntelliDrive/ApplUI/Pages/CreativePages/CustomReportCreativeDetail.aspx?App=23&amp;ReportView=4&amp;Qid=1711279&amp;Row=6217&amp;Col=1","No Title Assigned - #15269936904")</f>
        <v/>
      </c>
      <c r="B6225" s="0" t="s">
        <v>8201</v>
      </c>
      <c r="C6225" s="0" t="s">
        <v>8202</v>
      </c>
      <c r="D6225" s="0" t="s">
        <v>8203</v>
      </c>
      <c r="E6225" s="0" t="inlineStr">
        <is>
          <t xml:space="preserve">Mazda</t>
        </is>
      </c>
      <c r="F6225" s="0" t="s">
        <v>28</v>
      </c>
      <c r="G6225" s="0" t="s">
        <v>29</v>
      </c>
      <c r="H6225" s="5">
        <v>627.879700</v>
      </c>
    </row>
    <row r="6226" spans="1:9">
      <c r="A6226" s="22" t="str">
        <f>HYPERLINK("https://app.vivvix.com/360/KMI/IntelliDrive/ApplUI/Pages/CreativePages/CustomReportCreativeDetail.aspx?App=23&amp;ReportView=4&amp;Qid=1711279&amp;Row=6218&amp;Col=1","No Title Assigned - #15269937050")</f>
        <v/>
      </c>
      <c r="B6226" s="0" t="s">
        <v>8204</v>
      </c>
      <c r="E6226" s="0" t="inlineStr">
        <is>
          <t xml:space="preserve">Mazda</t>
        </is>
      </c>
      <c r="F6226" s="0" t="inlineStr">
        <is>
          <t xml:space="preserve">Mazda</t>
        </is>
      </c>
      <c r="G6226" s="0" t="s">
        <v>171</v>
      </c>
      <c r="H6226" s="5">
        <v>54.087100</v>
      </c>
    </row>
    <row r="6227" spans="1:9">
      <c r="A6227" s="22" t="str">
        <f>HYPERLINK("https://app.vivvix.com/360/KMI/IntelliDrive/ApplUI/Pages/CreativePages/CustomReportCreativeDetail.aspx?App=23&amp;ReportView=4&amp;Qid=1711279&amp;Row=6219&amp;Col=1","No Title Assigned - #15269938371")</f>
        <v/>
      </c>
      <c r="B6227" s="0" t="s">
        <v>8205</v>
      </c>
      <c r="C6227" s="0" t="s">
        <v>8206</v>
      </c>
      <c r="D6227" s="0" t="s">
        <v>8206</v>
      </c>
      <c r="E6227" s="0" t="inlineStr">
        <is>
          <t xml:space="preserve">Mazda</t>
        </is>
      </c>
      <c r="F6227" s="0" t="s">
        <v>28</v>
      </c>
      <c r="G6227" s="0" t="s">
        <v>29</v>
      </c>
      <c r="H6227" s="5">
        <v>352.076500</v>
      </c>
    </row>
    <row r="6228" spans="1:9">
      <c r="A6228" s="22" t="str">
        <f>HYPERLINK("https://app.vivvix.com/360/KMI/IntelliDrive/ApplUI/Pages/CreativePages/CustomReportCreativeDetail.aspx?App=23&amp;ReportView=4&amp;Qid=1711279&amp;Row=6220&amp;Col=1","No Title Assigned - #15269938579")</f>
        <v/>
      </c>
      <c r="B6228" s="0" t="s">
        <v>8207</v>
      </c>
      <c r="C6228" s="0" t="s">
        <v>8208</v>
      </c>
      <c r="D6228" s="0" t="s">
        <v>8208</v>
      </c>
      <c r="E6228" s="0" t="inlineStr">
        <is>
          <t xml:space="preserve">Mazda</t>
        </is>
      </c>
      <c r="F6228" s="0" t="inlineStr">
        <is>
          <t xml:space="preserve">Mazda</t>
        </is>
      </c>
      <c r="G6228" s="0" t="s">
        <v>171</v>
      </c>
      <c r="H6228" s="5">
        <v>73.967500</v>
      </c>
    </row>
    <row r="6229" spans="1:9">
      <c r="A6229" s="22" t="str">
        <f>HYPERLINK("https://app.vivvix.com/360/KMI/IntelliDrive/ApplUI/Pages/CreativePages/CustomReportCreativeDetail.aspx?App=23&amp;ReportView=4&amp;Qid=1711279&amp;Row=6221&amp;Col=1","No Title Assigned - #15269938744")</f>
        <v/>
      </c>
      <c r="B6229" s="0" t="s">
        <v>8209</v>
      </c>
      <c r="E6229" s="0" t="inlineStr">
        <is>
          <t xml:space="preserve">Mazda</t>
        </is>
      </c>
      <c r="F6229" s="0" t="inlineStr">
        <is>
          <t xml:space="preserve">Mazda</t>
        </is>
      </c>
      <c r="G6229" s="0" t="s">
        <v>171</v>
      </c>
      <c r="H6229" s="5">
        <v>24.499700</v>
      </c>
    </row>
    <row r="6230" spans="1:9">
      <c r="A6230" s="22" t="str">
        <f>HYPERLINK("https://app.vivvix.com/360/KMI/IntelliDrive/ApplUI/Pages/CreativePages/CustomReportCreativeDetail.aspx?App=23&amp;ReportView=4&amp;Qid=1711279&amp;Row=6222&amp;Col=1","No Title Assigned - #15269938856")</f>
        <v/>
      </c>
      <c r="B6230" s="0" t="s">
        <v>8210</v>
      </c>
      <c r="E6230" s="0" t="inlineStr">
        <is>
          <t xml:space="preserve">Mazda</t>
        </is>
      </c>
      <c r="F6230" s="0" t="inlineStr">
        <is>
          <t xml:space="preserve">Mazda</t>
        </is>
      </c>
      <c r="G6230" s="0" t="s">
        <v>171</v>
      </c>
      <c r="H6230" s="5">
        <v>51670.343500</v>
      </c>
    </row>
    <row r="6231" spans="1:9">
      <c r="A6231" s="22" t="str">
        <f>HYPERLINK("https://app.vivvix.com/360/KMI/IntelliDrive/ApplUI/Pages/CreativePages/CustomReportCreativeDetail.aspx?App=23&amp;ReportView=4&amp;Qid=1711279&amp;Row=6223&amp;Col=1","No Title Assigned - #15269939925")</f>
        <v/>
      </c>
      <c r="B6231" s="0" t="s">
        <v>8211</v>
      </c>
      <c r="C6231" s="0" t="s">
        <v>8212</v>
      </c>
      <c r="D6231" s="0" t="s">
        <v>8212</v>
      </c>
      <c r="E6231" s="0" t="inlineStr">
        <is>
          <t xml:space="preserve">Mazda</t>
        </is>
      </c>
      <c r="F6231" s="0" t="s">
        <v>28</v>
      </c>
      <c r="G6231" s="0" t="s">
        <v>29</v>
      </c>
      <c r="H6231" s="5">
        <v>161.541600</v>
      </c>
    </row>
    <row r="6232" spans="1:9">
      <c r="A6232" s="22" t="str">
        <f>HYPERLINK("https://app.vivvix.com/360/KMI/IntelliDrive/ApplUI/Pages/CreativePages/CustomReportCreativeDetail.aspx?App=23&amp;ReportView=4&amp;Qid=1711279&amp;Row=6224&amp;Col=1","No Title Assigned - #15269940003")</f>
        <v/>
      </c>
      <c r="B6232" s="0" t="s">
        <v>8213</v>
      </c>
      <c r="E6232" s="0" t="inlineStr">
        <is>
          <t xml:space="preserve">Mazda</t>
        </is>
      </c>
      <c r="F6232" s="0" t="inlineStr">
        <is>
          <t xml:space="preserve">Mazda</t>
        </is>
      </c>
      <c r="G6232" s="0" t="s">
        <v>171</v>
      </c>
      <c r="H6232" s="5">
        <v>26.245000</v>
      </c>
    </row>
    <row r="6233" spans="1:9">
      <c r="A6233" s="22" t="str">
        <f>HYPERLINK("https://app.vivvix.com/360/KMI/IntelliDrive/ApplUI/Pages/CreativePages/CustomReportCreativeDetail.aspx?App=23&amp;ReportView=4&amp;Qid=1711279&amp;Row=6225&amp;Col=1","No Title Assigned - #15269940176")</f>
        <v/>
      </c>
      <c r="B6233" s="0" t="s">
        <v>8214</v>
      </c>
      <c r="C6233" s="0" t="s">
        <v>8215</v>
      </c>
      <c r="D6233" s="0" t="s">
        <v>8215</v>
      </c>
      <c r="E6233" s="0" t="inlineStr">
        <is>
          <t xml:space="preserve">Mazda</t>
        </is>
      </c>
      <c r="F6233" s="0" t="inlineStr">
        <is>
          <t xml:space="preserve">Mazda</t>
        </is>
      </c>
      <c r="G6233" s="0" t="s">
        <v>171</v>
      </c>
      <c r="H6233" s="5">
        <v>36.284300</v>
      </c>
    </row>
    <row r="6234" spans="1:9">
      <c r="A6234" s="22" t="str">
        <f>HYPERLINK("https://app.vivvix.com/360/KMI/IntelliDrive/ApplUI/Pages/CreativePages/CustomReportCreativeDetail.aspx?App=23&amp;ReportView=4&amp;Qid=1711279&amp;Row=6226&amp;Col=1","No Title Assigned - #15269940310")</f>
        <v/>
      </c>
      <c r="B6234" s="0" t="s">
        <v>8216</v>
      </c>
      <c r="E6234" s="0" t="inlineStr">
        <is>
          <t xml:space="preserve">Mazda</t>
        </is>
      </c>
      <c r="F6234" s="0" t="inlineStr">
        <is>
          <t xml:space="preserve">Mazda</t>
        </is>
      </c>
      <c r="G6234" s="0" t="s">
        <v>171</v>
      </c>
      <c r="H6234" s="5">
        <v>18.080100</v>
      </c>
    </row>
    <row r="6235" spans="1:9">
      <c r="A6235" s="22" t="str">
        <f>HYPERLINK("https://app.vivvix.com/360/KMI/IntelliDrive/ApplUI/Pages/CreativePages/CustomReportCreativeDetail.aspx?App=23&amp;ReportView=4&amp;Qid=1711279&amp;Row=6227&amp;Col=1","No Title Assigned - #15269940427")</f>
        <v/>
      </c>
      <c r="B6235" s="0" t="s">
        <v>8217</v>
      </c>
      <c r="E6235" s="0" t="inlineStr">
        <is>
          <t xml:space="preserve">Mazda</t>
        </is>
      </c>
      <c r="F6235" s="0" t="inlineStr">
        <is>
          <t xml:space="preserve">Mazda</t>
        </is>
      </c>
      <c r="G6235" s="0" t="s">
        <v>171</v>
      </c>
      <c r="H6235" s="5">
        <v>6509.646800</v>
      </c>
    </row>
    <row r="6236" spans="1:9">
      <c r="A6236" s="22" t="str">
        <f>HYPERLINK("https://app.vivvix.com/360/KMI/IntelliDrive/ApplUI/Pages/CreativePages/CustomReportCreativeDetail.aspx?App=23&amp;ReportView=4&amp;Qid=1711279&amp;Row=6228&amp;Col=1","No Title Assigned - #15269940427")</f>
        <v/>
      </c>
      <c r="B6236" s="0" t="s">
        <v>8217</v>
      </c>
      <c r="E6236" s="0" t="inlineStr">
        <is>
          <t xml:space="preserve">Mazda</t>
        </is>
      </c>
      <c r="F6236" s="0" t="inlineStr">
        <is>
          <t xml:space="preserve">Mazda</t>
        </is>
      </c>
      <c r="G6236" s="0" t="s">
        <v>171</v>
      </c>
      <c r="H6236" s="5">
        <v>124915.540000</v>
      </c>
    </row>
    <row r="6237" spans="1:9">
      <c r="A6237" s="22" t="str">
        <f>HYPERLINK("https://app.vivvix.com/360/KMI/IntelliDrive/ApplUI/Pages/CreativePages/CustomReportCreativeDetail.aspx?App=23&amp;ReportView=4&amp;Qid=1711279&amp;Row=6229&amp;Col=1","No Title Assigned - #15269940671")</f>
        <v/>
      </c>
      <c r="B6237" s="0" t="s">
        <v>8218</v>
      </c>
      <c r="C6237" s="0" t="s">
        <v>8219</v>
      </c>
      <c r="D6237" s="0" t="s">
        <v>8219</v>
      </c>
      <c r="E6237" s="0" t="inlineStr">
        <is>
          <t xml:space="preserve">Mazda</t>
        </is>
      </c>
      <c r="F6237" s="0" t="s">
        <v>28</v>
      </c>
      <c r="G6237" s="0" t="s">
        <v>29</v>
      </c>
      <c r="H6237" s="5">
        <v>1458.495300</v>
      </c>
    </row>
    <row r="6238" spans="1:9">
      <c r="A6238" s="22" t="str">
        <f>HYPERLINK("https://app.vivvix.com/360/KMI/IntelliDrive/ApplUI/Pages/CreativePages/CustomReportCreativeDetail.aspx?App=23&amp;ReportView=4&amp;Qid=1711279&amp;Row=6230&amp;Col=1","No Title Assigned - #15269940671")</f>
        <v/>
      </c>
      <c r="B6238" s="0" t="s">
        <v>8218</v>
      </c>
      <c r="E6238" s="0" t="inlineStr">
        <is>
          <t xml:space="preserve">Mazda</t>
        </is>
      </c>
      <c r="F6238" s="0" t="s">
        <v>28</v>
      </c>
      <c r="G6238" s="0" t="s">
        <v>29</v>
      </c>
      <c r="H6238" s="5">
        <v>140.113900</v>
      </c>
    </row>
    <row r="6239" spans="1:9">
      <c r="A6239" s="22" t="str">
        <f>HYPERLINK("https://app.vivvix.com/360/KMI/IntelliDrive/ApplUI/Pages/CreativePages/CustomReportCreativeDetail.aspx?App=23&amp;ReportView=4&amp;Qid=1711279&amp;Row=6231&amp;Col=1","No Title Assigned - #15269940911")</f>
        <v/>
      </c>
      <c r="B6239" s="0" t="s">
        <v>8220</v>
      </c>
      <c r="E6239" s="0" t="inlineStr">
        <is>
          <t xml:space="preserve">Mazda</t>
        </is>
      </c>
      <c r="F6239" s="0" t="inlineStr">
        <is>
          <t xml:space="preserve">Mazda</t>
        </is>
      </c>
      <c r="G6239" s="0" t="s">
        <v>171</v>
      </c>
      <c r="H6239" s="5">
        <v>32.821900</v>
      </c>
    </row>
    <row r="6240" spans="1:9">
      <c r="A6240" s="22" t="str">
        <f>HYPERLINK("https://app.vivvix.com/360/KMI/IntelliDrive/ApplUI/Pages/CreativePages/CustomReportCreativeDetail.aspx?App=23&amp;ReportView=4&amp;Qid=1711279&amp;Row=6232&amp;Col=1","No Title Assigned - #15269940944")</f>
        <v/>
      </c>
      <c r="B6240" s="0" t="s">
        <v>8221</v>
      </c>
      <c r="C6240" s="0" t="s">
        <v>8222</v>
      </c>
      <c r="D6240" s="0" t="s">
        <v>8222</v>
      </c>
      <c r="E6240" s="0" t="inlineStr">
        <is>
          <t xml:space="preserve">Mazda</t>
        </is>
      </c>
      <c r="F6240" s="0" t="s">
        <v>28</v>
      </c>
      <c r="G6240" s="0" t="s">
        <v>29</v>
      </c>
      <c r="H6240" s="5">
        <v>981.064300</v>
      </c>
    </row>
    <row r="6241" spans="1:9">
      <c r="A6241" s="22" t="str">
        <f>HYPERLINK("https://app.vivvix.com/360/KMI/IntelliDrive/ApplUI/Pages/CreativePages/CustomReportCreativeDetail.aspx?App=23&amp;ReportView=4&amp;Qid=1711279&amp;Row=6233&amp;Col=1","No Title Assigned - #15269941463")</f>
        <v/>
      </c>
      <c r="B6241" s="0" t="s">
        <v>8223</v>
      </c>
      <c r="E6241" s="0" t="inlineStr">
        <is>
          <t xml:space="preserve">Mazda</t>
        </is>
      </c>
      <c r="F6241" s="0" t="inlineStr">
        <is>
          <t xml:space="preserve">Mazda</t>
        </is>
      </c>
      <c r="G6241" s="0" t="s">
        <v>171</v>
      </c>
      <c r="H6241" s="5">
        <v>47.360000</v>
      </c>
    </row>
    <row r="6242" spans="1:9">
      <c r="A6242" s="22" t="str">
        <f>HYPERLINK("https://app.vivvix.com/360/KMI/IntelliDrive/ApplUI/Pages/CreativePages/CustomReportCreativeDetail.aspx?App=23&amp;ReportView=4&amp;Qid=1711279&amp;Row=6234&amp;Col=1","No Title Assigned - #15269941586")</f>
        <v/>
      </c>
      <c r="B6242" s="0" t="s">
        <v>8224</v>
      </c>
      <c r="E6242" s="0" t="inlineStr">
        <is>
          <t xml:space="preserve">Mazda</t>
        </is>
      </c>
      <c r="F6242" s="0" t="inlineStr">
        <is>
          <t xml:space="preserve">Mazda</t>
        </is>
      </c>
      <c r="G6242" s="0" t="s">
        <v>171</v>
      </c>
      <c r="H6242" s="5">
        <v>294.005900</v>
      </c>
    </row>
    <row r="6243" spans="1:9">
      <c r="A6243" s="22" t="str">
        <f>HYPERLINK("https://app.vivvix.com/360/KMI/IntelliDrive/ApplUI/Pages/CreativePages/CustomReportCreativeDetail.aspx?App=23&amp;ReportView=4&amp;Qid=1711279&amp;Row=6235&amp;Col=1","No Title Assigned - #15269941727")</f>
        <v/>
      </c>
      <c r="B6243" s="0" t="s">
        <v>8225</v>
      </c>
      <c r="E6243" s="0" t="inlineStr">
        <is>
          <t xml:space="preserve">Mazda</t>
        </is>
      </c>
      <c r="F6243" s="0" t="inlineStr">
        <is>
          <t xml:space="preserve">Mazda</t>
        </is>
      </c>
      <c r="G6243" s="0" t="s">
        <v>171</v>
      </c>
      <c r="H6243" s="5">
        <v>28.077000</v>
      </c>
    </row>
    <row r="6244" spans="1:9">
      <c r="A6244" s="22" t="str">
        <f>HYPERLINK("https://app.vivvix.com/360/KMI/IntelliDrive/ApplUI/Pages/CreativePages/CustomReportCreativeDetail.aspx?App=23&amp;ReportView=4&amp;Qid=1711279&amp;Row=6236&amp;Col=1","No Title Assigned - #15269942268")</f>
        <v/>
      </c>
      <c r="B6244" s="0" t="s">
        <v>8226</v>
      </c>
      <c r="E6244" s="0" t="inlineStr">
        <is>
          <t xml:space="preserve">Mazda</t>
        </is>
      </c>
      <c r="F6244" s="0" t="inlineStr">
        <is>
          <t xml:space="preserve">Mazda</t>
        </is>
      </c>
      <c r="G6244" s="0" t="s">
        <v>171</v>
      </c>
      <c r="H6244" s="5">
        <v>22.700100</v>
      </c>
    </row>
    <row r="6245" spans="1:9">
      <c r="A6245" s="22" t="str">
        <f>HYPERLINK("https://app.vivvix.com/360/KMI/IntelliDrive/ApplUI/Pages/CreativePages/CustomReportCreativeDetail.aspx?App=23&amp;ReportView=4&amp;Qid=1711279&amp;Row=6237&amp;Col=1","No Title Assigned - #15269942350")</f>
        <v/>
      </c>
      <c r="B6245" s="0" t="s">
        <v>8227</v>
      </c>
      <c r="E6245" s="0" t="inlineStr">
        <is>
          <t xml:space="preserve">Mazda</t>
        </is>
      </c>
      <c r="F6245" s="0" t="inlineStr">
        <is>
          <t xml:space="preserve">Mazda</t>
        </is>
      </c>
      <c r="G6245" s="0" t="s">
        <v>171</v>
      </c>
      <c r="H6245" s="5">
        <v>162.894800</v>
      </c>
    </row>
    <row r="6246" spans="1:9">
      <c r="A6246" s="22" t="str">
        <f>HYPERLINK("https://app.vivvix.com/360/KMI/IntelliDrive/ApplUI/Pages/CreativePages/CustomReportCreativeDetail.aspx?App=23&amp;ReportView=4&amp;Qid=1711279&amp;Row=6238&amp;Col=1","No Title Assigned - #15269942393")</f>
        <v/>
      </c>
      <c r="B6246" s="0" t="s">
        <v>8228</v>
      </c>
      <c r="E6246" s="0" t="inlineStr">
        <is>
          <t xml:space="preserve">Mazda</t>
        </is>
      </c>
      <c r="F6246" s="0" t="inlineStr">
        <is>
          <t xml:space="preserve">Mazda</t>
        </is>
      </c>
      <c r="G6246" s="0" t="s">
        <v>171</v>
      </c>
      <c r="H6246" s="5">
        <v>792.675200</v>
      </c>
    </row>
    <row r="6247" spans="1:9">
      <c r="A6247" s="22" t="str">
        <f>HYPERLINK("https://app.vivvix.com/360/KMI/IntelliDrive/ApplUI/Pages/CreativePages/CustomReportCreativeDetail.aspx?App=23&amp;ReportView=4&amp;Qid=1711279&amp;Row=6239&amp;Col=1","No Title Assigned - #15269942444")</f>
        <v/>
      </c>
      <c r="B6247" s="0" t="s">
        <v>8229</v>
      </c>
      <c r="E6247" s="0" t="inlineStr">
        <is>
          <t xml:space="preserve">Mazda</t>
        </is>
      </c>
      <c r="F6247" s="0" t="inlineStr">
        <is>
          <t xml:space="preserve">Mazda</t>
        </is>
      </c>
      <c r="G6247" s="0" t="s">
        <v>171</v>
      </c>
      <c r="H6247" s="5">
        <v>1540.590500</v>
      </c>
    </row>
    <row r="6248" spans="1:9">
      <c r="A6248" s="22" t="str">
        <f>HYPERLINK("https://app.vivvix.com/360/KMI/IntelliDrive/ApplUI/Pages/CreativePages/CustomReportCreativeDetail.aspx?App=23&amp;ReportView=4&amp;Qid=1711279&amp;Row=6240&amp;Col=1","No Title Assigned - #15269942545")</f>
        <v/>
      </c>
      <c r="B6248" s="0" t="s">
        <v>8230</v>
      </c>
      <c r="E6248" s="0" t="inlineStr">
        <is>
          <t xml:space="preserve">Mazda</t>
        </is>
      </c>
      <c r="F6248" s="0" t="inlineStr">
        <is>
          <t xml:space="preserve">Mazda</t>
        </is>
      </c>
      <c r="G6248" s="0" t="s">
        <v>171</v>
      </c>
      <c r="H6248" s="5">
        <v>110.693800</v>
      </c>
    </row>
    <row r="6249" spans="1:9">
      <c r="A6249" s="22" t="str">
        <f>HYPERLINK("https://app.vivvix.com/360/KMI/IntelliDrive/ApplUI/Pages/CreativePages/CustomReportCreativeDetail.aspx?App=23&amp;ReportView=4&amp;Qid=1711279&amp;Row=6241&amp;Col=1","No Title Assigned - #15269942590")</f>
        <v/>
      </c>
      <c r="B6249" s="0" t="s">
        <v>8231</v>
      </c>
      <c r="E6249" s="0" t="inlineStr">
        <is>
          <t xml:space="preserve">Mazda</t>
        </is>
      </c>
      <c r="F6249" s="0" t="inlineStr">
        <is>
          <t xml:space="preserve">Mazda</t>
        </is>
      </c>
      <c r="G6249" s="0" t="s">
        <v>171</v>
      </c>
      <c r="H6249" s="5">
        <v>42.416600</v>
      </c>
    </row>
    <row r="6250" spans="1:9">
      <c r="A6250" s="22" t="str">
        <f>HYPERLINK("https://app.vivvix.com/360/KMI/IntelliDrive/ApplUI/Pages/CreativePages/CustomReportCreativeDetail.aspx?App=23&amp;ReportView=4&amp;Qid=1711279&amp;Row=6242&amp;Col=1","No Title Assigned - #15269942848")</f>
        <v/>
      </c>
      <c r="B6250" s="0" t="s">
        <v>8232</v>
      </c>
      <c r="C6250" s="0" t="s">
        <v>8233</v>
      </c>
      <c r="D6250" s="0" t="s">
        <v>8233</v>
      </c>
      <c r="E6250" s="0" t="inlineStr">
        <is>
          <t xml:space="preserve">Mazda</t>
        </is>
      </c>
      <c r="F6250" s="0" t="inlineStr">
        <is>
          <t xml:space="preserve">Mazda</t>
        </is>
      </c>
      <c r="G6250" s="0" t="s">
        <v>171</v>
      </c>
      <c r="H6250" s="5">
        <v>14.956100</v>
      </c>
    </row>
    <row r="6251" spans="1:9">
      <c r="A6251" s="22" t="str">
        <f>HYPERLINK("https://app.vivvix.com/360/KMI/IntelliDrive/ApplUI/Pages/CreativePages/CustomReportCreativeDetail.aspx?App=23&amp;ReportView=4&amp;Qid=1711279&amp;Row=6243&amp;Col=1","No Title Assigned - #15269943089")</f>
        <v/>
      </c>
      <c r="B6251" s="0" t="s">
        <v>8234</v>
      </c>
      <c r="E6251" s="0" t="inlineStr">
        <is>
          <t xml:space="preserve">Mazda</t>
        </is>
      </c>
      <c r="F6251" s="0" t="s">
        <v>13</v>
      </c>
      <c r="G6251" s="0" t="s">
        <v>49</v>
      </c>
      <c r="H6251" s="5">
        <v>86.233400</v>
      </c>
    </row>
    <row r="6252" spans="1:9">
      <c r="A6252" s="22" t="str">
        <f>HYPERLINK("https://app.vivvix.com/360/KMI/IntelliDrive/ApplUI/Pages/CreativePages/CustomReportCreativeDetail.aspx?App=23&amp;ReportView=4&amp;Qid=1711279&amp;Row=6244&amp;Col=1","No Title Assigned - #15269943089")</f>
        <v/>
      </c>
      <c r="B6252" s="0" t="s">
        <v>8234</v>
      </c>
      <c r="C6252" s="0" t="s">
        <v>8235</v>
      </c>
      <c r="D6252" s="0" t="s">
        <v>8235</v>
      </c>
      <c r="E6252" s="0" t="inlineStr">
        <is>
          <t xml:space="preserve">Mazda</t>
        </is>
      </c>
      <c r="F6252" s="0" t="s">
        <v>13</v>
      </c>
      <c r="G6252" s="0" t="s">
        <v>49</v>
      </c>
      <c r="H6252" s="5">
        <v>31608.832000</v>
      </c>
    </row>
    <row r="6253" spans="1:9">
      <c r="A6253" s="22" t="str">
        <f>HYPERLINK("https://app.vivvix.com/360/KMI/IntelliDrive/ApplUI/Pages/CreativePages/CustomReportCreativeDetail.aspx?App=23&amp;ReportView=4&amp;Qid=1711279&amp;Row=6245&amp;Col=1","No Title Assigned - #15269943489")</f>
        <v/>
      </c>
      <c r="B6253" s="0" t="s">
        <v>8236</v>
      </c>
      <c r="E6253" s="0" t="inlineStr">
        <is>
          <t xml:space="preserve">Mazda</t>
        </is>
      </c>
      <c r="F6253" s="0" t="inlineStr">
        <is>
          <t xml:space="preserve">Mazda</t>
        </is>
      </c>
      <c r="G6253" s="0" t="s">
        <v>171</v>
      </c>
      <c r="H6253" s="5">
        <v>14.692500</v>
      </c>
    </row>
    <row r="6254" spans="1:9">
      <c r="A6254" s="22" t="str">
        <f>HYPERLINK("https://app.vivvix.com/360/KMI/IntelliDrive/ApplUI/Pages/CreativePages/CustomReportCreativeDetail.aspx?App=23&amp;ReportView=4&amp;Qid=1711279&amp;Row=6246&amp;Col=1","No Title Assigned - #15269943560")</f>
        <v/>
      </c>
      <c r="B6254" s="0" t="s">
        <v>8237</v>
      </c>
      <c r="E6254" s="0" t="inlineStr">
        <is>
          <t xml:space="preserve">Mazda</t>
        </is>
      </c>
      <c r="F6254" s="0" t="inlineStr">
        <is>
          <t xml:space="preserve">Mazda</t>
        </is>
      </c>
      <c r="G6254" s="0" t="s">
        <v>171</v>
      </c>
      <c r="H6254" s="5">
        <v>1170.224100</v>
      </c>
    </row>
    <row r="6255" spans="1:9">
      <c r="A6255" s="22" t="str">
        <f>HYPERLINK("https://app.vivvix.com/360/KMI/IntelliDrive/ApplUI/Pages/CreativePages/CustomReportCreativeDetail.aspx?App=23&amp;ReportView=4&amp;Qid=1711279&amp;Row=6247&amp;Col=1","No Title Assigned - #15269944277")</f>
        <v/>
      </c>
      <c r="B6255" s="0" t="s">
        <v>8238</v>
      </c>
      <c r="E6255" s="0" t="inlineStr">
        <is>
          <t xml:space="preserve">Mazda</t>
        </is>
      </c>
      <c r="F6255" s="0" t="inlineStr">
        <is>
          <t xml:space="preserve">Mazda</t>
        </is>
      </c>
      <c r="G6255" s="0" t="s">
        <v>171</v>
      </c>
      <c r="H6255" s="5">
        <v>98.172600</v>
      </c>
    </row>
    <row r="6256" spans="1:9">
      <c r="A6256" s="22" t="str">
        <f>HYPERLINK("https://app.vivvix.com/360/KMI/IntelliDrive/ApplUI/Pages/CreativePages/CustomReportCreativeDetail.aspx?App=23&amp;ReportView=4&amp;Qid=1711279&amp;Row=6248&amp;Col=1","No Title Assigned - #15269945119")</f>
        <v/>
      </c>
      <c r="B6256" s="0" t="s">
        <v>8239</v>
      </c>
      <c r="E6256" s="0" t="inlineStr">
        <is>
          <t xml:space="preserve">Mazda</t>
        </is>
      </c>
      <c r="F6256" s="0" t="inlineStr">
        <is>
          <t xml:space="preserve">Mazda</t>
        </is>
      </c>
      <c r="G6256" s="0" t="s">
        <v>171</v>
      </c>
      <c r="H6256" s="5">
        <v>31.513800</v>
      </c>
    </row>
    <row r="6257" spans="1:9">
      <c r="A6257" s="22" t="str">
        <f>HYPERLINK("https://app.vivvix.com/360/KMI/IntelliDrive/ApplUI/Pages/CreativePages/CustomReportCreativeDetail.aspx?App=23&amp;ReportView=4&amp;Qid=1711279&amp;Row=6249&amp;Col=1","No Title Assigned - #15269945435")</f>
        <v/>
      </c>
      <c r="B6257" s="0" t="s">
        <v>8240</v>
      </c>
      <c r="E6257" s="0" t="inlineStr">
        <is>
          <t xml:space="preserve">Mazda</t>
        </is>
      </c>
      <c r="F6257" s="0" t="inlineStr">
        <is>
          <t xml:space="preserve">Mazda</t>
        </is>
      </c>
      <c r="G6257" s="0" t="s">
        <v>171</v>
      </c>
      <c r="H6257" s="5">
        <v>205.384800</v>
      </c>
    </row>
    <row r="6258" spans="1:9">
      <c r="A6258" s="22" t="str">
        <f>HYPERLINK("https://app.vivvix.com/360/KMI/IntelliDrive/ApplUI/Pages/CreativePages/CustomReportCreativeDetail.aspx?App=23&amp;ReportView=4&amp;Qid=1711279&amp;Row=6250&amp;Col=1","No Title Assigned - #15269945526")</f>
        <v/>
      </c>
      <c r="B6258" s="0" t="s">
        <v>8241</v>
      </c>
      <c r="E6258" s="0" t="inlineStr">
        <is>
          <t xml:space="preserve">Mazda</t>
        </is>
      </c>
      <c r="F6258" s="0" t="inlineStr">
        <is>
          <t xml:space="preserve">Mazda</t>
        </is>
      </c>
      <c r="G6258" s="0" t="s">
        <v>171</v>
      </c>
      <c r="H6258" s="5">
        <v>108.640500</v>
      </c>
    </row>
    <row r="6259" spans="1:9">
      <c r="A6259" s="22" t="str">
        <f>HYPERLINK("https://app.vivvix.com/360/KMI/IntelliDrive/ApplUI/Pages/CreativePages/CustomReportCreativeDetail.aspx?App=23&amp;ReportView=4&amp;Qid=1711279&amp;Row=6251&amp;Col=1","No Title Assigned - #15269945613")</f>
        <v/>
      </c>
      <c r="B6259" s="0" t="s">
        <v>8242</v>
      </c>
      <c r="C6259" s="0" t="s">
        <v>8243</v>
      </c>
      <c r="D6259" s="0" t="s">
        <v>8243</v>
      </c>
      <c r="E6259" s="0" t="inlineStr">
        <is>
          <t xml:space="preserve">Mazda</t>
        </is>
      </c>
      <c r="F6259" s="0" t="inlineStr">
        <is>
          <t xml:space="preserve">Mazda</t>
        </is>
      </c>
      <c r="G6259" s="0" t="s">
        <v>171</v>
      </c>
      <c r="H6259" s="5">
        <v>1444.327400</v>
      </c>
    </row>
    <row r="6260" spans="1:9">
      <c r="A6260" s="22" t="str">
        <f>HYPERLINK("https://app.vivvix.com/360/KMI/IntelliDrive/ApplUI/Pages/CreativePages/CustomReportCreativeDetail.aspx?App=23&amp;ReportView=4&amp;Qid=1711279&amp;Row=6252&amp;Col=1","No Title Assigned - #15269945767")</f>
        <v/>
      </c>
      <c r="B6260" s="0" t="s">
        <v>8244</v>
      </c>
      <c r="E6260" s="0" t="inlineStr">
        <is>
          <t xml:space="preserve">Mazda</t>
        </is>
      </c>
      <c r="F6260" s="0" t="inlineStr">
        <is>
          <t xml:space="preserve">Mazda</t>
        </is>
      </c>
      <c r="G6260" s="0" t="s">
        <v>171</v>
      </c>
      <c r="H6260" s="5">
        <v>87512.149000</v>
      </c>
    </row>
    <row r="6261" spans="1:9">
      <c r="A6261" s="22" t="str">
        <f>HYPERLINK("https://app.vivvix.com/360/KMI/IntelliDrive/ApplUI/Pages/CreativePages/CustomReportCreativeDetail.aspx?App=23&amp;ReportView=4&amp;Qid=1711279&amp;Row=6253&amp;Col=1","No Title Assigned - #15269945767")</f>
        <v/>
      </c>
      <c r="B6261" s="0" t="s">
        <v>8244</v>
      </c>
      <c r="E6261" s="0" t="inlineStr">
        <is>
          <t xml:space="preserve">Mazda</t>
        </is>
      </c>
      <c r="F6261" s="0" t="inlineStr">
        <is>
          <t xml:space="preserve">Mazda</t>
        </is>
      </c>
      <c r="G6261" s="0" t="s">
        <v>171</v>
      </c>
      <c r="H6261" s="5">
        <v>371317.886100</v>
      </c>
    </row>
    <row r="6262" spans="1:9">
      <c r="A6262" s="22" t="str">
        <f>HYPERLINK("https://app.vivvix.com/360/KMI/IntelliDrive/ApplUI/Pages/CreativePages/CustomReportCreativeDetail.aspx?App=23&amp;ReportView=4&amp;Qid=1711279&amp;Row=6254&amp;Col=1","No Title Assigned - #15269946116")</f>
        <v/>
      </c>
      <c r="B6262" s="0" t="s">
        <v>8245</v>
      </c>
      <c r="E6262" s="0" t="inlineStr">
        <is>
          <t xml:space="preserve">Mazda</t>
        </is>
      </c>
      <c r="F6262" s="0" t="inlineStr">
        <is>
          <t xml:space="preserve">Mazda</t>
        </is>
      </c>
      <c r="G6262" s="0" t="s">
        <v>171</v>
      </c>
      <c r="H6262" s="5">
        <v>18.001400</v>
      </c>
    </row>
    <row r="6263" spans="1:9">
      <c r="A6263" s="22" t="str">
        <f>HYPERLINK("https://app.vivvix.com/360/KMI/IntelliDrive/ApplUI/Pages/CreativePages/CustomReportCreativeDetail.aspx?App=23&amp;ReportView=4&amp;Qid=1711279&amp;Row=6255&amp;Col=1","No Title Assigned - #15269946270")</f>
        <v/>
      </c>
      <c r="B6263" s="0" t="s">
        <v>8246</v>
      </c>
      <c r="E6263" s="0" t="inlineStr">
        <is>
          <t xml:space="preserve">Mazda</t>
        </is>
      </c>
      <c r="F6263" s="0" t="inlineStr">
        <is>
          <t xml:space="preserve">Mazda</t>
        </is>
      </c>
      <c r="G6263" s="0" t="s">
        <v>171</v>
      </c>
      <c r="H6263" s="5">
        <v>163.701200</v>
      </c>
    </row>
    <row r="6264" spans="1:9">
      <c r="A6264" s="22" t="str">
        <f>HYPERLINK("https://app.vivvix.com/360/KMI/IntelliDrive/ApplUI/Pages/CreativePages/CustomReportCreativeDetail.aspx?App=23&amp;ReportView=4&amp;Qid=1711279&amp;Row=6256&amp;Col=1","No Title Assigned - #15269947137")</f>
        <v/>
      </c>
      <c r="B6264" s="0" t="s">
        <v>8247</v>
      </c>
      <c r="E6264" s="0" t="inlineStr">
        <is>
          <t xml:space="preserve">Mazda</t>
        </is>
      </c>
      <c r="F6264" s="0" t="inlineStr">
        <is>
          <t xml:space="preserve">Mazda</t>
        </is>
      </c>
      <c r="G6264" s="0" t="s">
        <v>171</v>
      </c>
      <c r="H6264" s="5">
        <v>80.547800</v>
      </c>
    </row>
    <row r="6265" spans="1:9">
      <c r="A6265" s="22" t="str">
        <f>HYPERLINK("https://app.vivvix.com/360/KMI/IntelliDrive/ApplUI/Pages/CreativePages/CustomReportCreativeDetail.aspx?App=23&amp;ReportView=4&amp;Qid=1711279&amp;Row=6257&amp;Col=1","No Title Assigned - #15269947256")</f>
        <v/>
      </c>
      <c r="B6265" s="0" t="s">
        <v>8248</v>
      </c>
      <c r="E6265" s="0" t="inlineStr">
        <is>
          <t xml:space="preserve">Mazda</t>
        </is>
      </c>
      <c r="F6265" s="0" t="inlineStr">
        <is>
          <t xml:space="preserve">Mazda</t>
        </is>
      </c>
      <c r="G6265" s="0" t="s">
        <v>171</v>
      </c>
      <c r="H6265" s="5">
        <v>145.128300</v>
      </c>
    </row>
    <row r="6266" spans="1:9">
      <c r="A6266" s="22" t="str">
        <f>HYPERLINK("https://app.vivvix.com/360/KMI/IntelliDrive/ApplUI/Pages/CreativePages/CustomReportCreativeDetail.aspx?App=23&amp;ReportView=4&amp;Qid=1711279&amp;Row=6258&amp;Col=1","No Title Assigned - #15269947446")</f>
        <v/>
      </c>
      <c r="B6266" s="0" t="s">
        <v>8249</v>
      </c>
      <c r="E6266" s="0" t="inlineStr">
        <is>
          <t xml:space="preserve">Mazda</t>
        </is>
      </c>
      <c r="F6266" s="0" t="inlineStr">
        <is>
          <t xml:space="preserve">Mazda</t>
        </is>
      </c>
      <c r="G6266" s="0" t="s">
        <v>171</v>
      </c>
      <c r="H6266" s="5">
        <v>2664.015200</v>
      </c>
    </row>
    <row r="6267" spans="1:9">
      <c r="A6267" s="22" t="str">
        <f>HYPERLINK("https://app.vivvix.com/360/KMI/IntelliDrive/ApplUI/Pages/CreativePages/CustomReportCreativeDetail.aspx?App=23&amp;ReportView=4&amp;Qid=1711279&amp;Row=6259&amp;Col=1","No Title Assigned - #15269947453")</f>
        <v/>
      </c>
      <c r="B6267" s="0" t="s">
        <v>8250</v>
      </c>
      <c r="E6267" s="0" t="inlineStr">
        <is>
          <t xml:space="preserve">Mazda</t>
        </is>
      </c>
      <c r="F6267" s="0" t="inlineStr">
        <is>
          <t xml:space="preserve">Mazda</t>
        </is>
      </c>
      <c r="G6267" s="0" t="s">
        <v>171</v>
      </c>
      <c r="H6267" s="5">
        <v>287.325200</v>
      </c>
    </row>
    <row r="6268" spans="1:9">
      <c r="A6268" s="22" t="str">
        <f>HYPERLINK("https://app.vivvix.com/360/KMI/IntelliDrive/ApplUI/Pages/CreativePages/CustomReportCreativeDetail.aspx?App=23&amp;ReportView=4&amp;Qid=1711279&amp;Row=6260&amp;Col=1","No Title Assigned - #15269948046")</f>
        <v/>
      </c>
      <c r="B6268" s="0" t="s">
        <v>8251</v>
      </c>
      <c r="E6268" s="0" t="inlineStr">
        <is>
          <t xml:space="preserve">Mazda</t>
        </is>
      </c>
      <c r="F6268" s="0" t="inlineStr">
        <is>
          <t xml:space="preserve">Mazda</t>
        </is>
      </c>
      <c r="G6268" s="0" t="s">
        <v>171</v>
      </c>
      <c r="H6268" s="5">
        <v>21.530800</v>
      </c>
    </row>
    <row r="6269" spans="1:9">
      <c r="A6269" s="22" t="str">
        <f>HYPERLINK("https://app.vivvix.com/360/KMI/IntelliDrive/ApplUI/Pages/CreativePages/CustomReportCreativeDetail.aspx?App=23&amp;ReportView=4&amp;Qid=1711279&amp;Row=6261&amp;Col=1","No Title Assigned - #15269948046")</f>
        <v/>
      </c>
      <c r="B6269" s="0" t="s">
        <v>8251</v>
      </c>
      <c r="E6269" s="0" t="inlineStr">
        <is>
          <t xml:space="preserve">Mazda</t>
        </is>
      </c>
      <c r="F6269" s="0" t="inlineStr">
        <is>
          <t xml:space="preserve">Mazda</t>
        </is>
      </c>
      <c r="G6269" s="0" t="s">
        <v>171</v>
      </c>
      <c r="H6269" s="5">
        <v>1249.535200</v>
      </c>
    </row>
    <row r="6270" spans="1:9">
      <c r="A6270" s="22" t="str">
        <f>HYPERLINK("https://app.vivvix.com/360/KMI/IntelliDrive/ApplUI/Pages/CreativePages/CustomReportCreativeDetail.aspx?App=23&amp;ReportView=4&amp;Qid=1711279&amp;Row=6262&amp;Col=1","No Title Assigned - #15269948149")</f>
        <v/>
      </c>
      <c r="B6270" s="0" t="s">
        <v>8252</v>
      </c>
      <c r="E6270" s="0" t="inlineStr">
        <is>
          <t xml:space="preserve">Mazda</t>
        </is>
      </c>
      <c r="F6270" s="0" t="inlineStr">
        <is>
          <t xml:space="preserve">Mazda</t>
        </is>
      </c>
      <c r="G6270" s="0" t="s">
        <v>171</v>
      </c>
      <c r="H6270" s="5">
        <v>39.927000</v>
      </c>
    </row>
    <row r="6271" spans="1:9">
      <c r="A6271" s="22" t="str">
        <f>HYPERLINK("https://app.vivvix.com/360/KMI/IntelliDrive/ApplUI/Pages/CreativePages/CustomReportCreativeDetail.aspx?App=23&amp;ReportView=4&amp;Qid=1711279&amp;Row=6263&amp;Col=1","No Title Assigned - #15269948290")</f>
        <v/>
      </c>
      <c r="B6271" s="0" t="s">
        <v>8253</v>
      </c>
      <c r="E6271" s="0" t="inlineStr">
        <is>
          <t xml:space="preserve">Mazda</t>
        </is>
      </c>
      <c r="F6271" s="0" t="inlineStr">
        <is>
          <t xml:space="preserve">Mazda</t>
        </is>
      </c>
      <c r="G6271" s="0" t="s">
        <v>171</v>
      </c>
      <c r="H6271" s="5">
        <v>939.982500</v>
      </c>
    </row>
    <row r="6272" spans="1:9">
      <c r="A6272" s="22" t="str">
        <f>HYPERLINK("https://app.vivvix.com/360/KMI/IntelliDrive/ApplUI/Pages/CreativePages/CustomReportCreativeDetail.aspx?App=23&amp;ReportView=4&amp;Qid=1711279&amp;Row=6264&amp;Col=1","No Title Assigned - #15269948314")</f>
        <v/>
      </c>
      <c r="B6272" s="0" t="s">
        <v>8254</v>
      </c>
      <c r="E6272" s="0" t="inlineStr">
        <is>
          <t xml:space="preserve">Mazda</t>
        </is>
      </c>
      <c r="F6272" s="0" t="inlineStr">
        <is>
          <t xml:space="preserve">Mazda</t>
        </is>
      </c>
      <c r="G6272" s="0" t="s">
        <v>171</v>
      </c>
      <c r="H6272" s="5">
        <v>18.345900</v>
      </c>
    </row>
    <row r="6273" spans="1:9">
      <c r="A6273" s="22" t="str">
        <f>HYPERLINK("https://app.vivvix.com/360/KMI/IntelliDrive/ApplUI/Pages/CreativePages/CustomReportCreativeDetail.aspx?App=23&amp;ReportView=4&amp;Qid=1711279&amp;Row=6265&amp;Col=1","No Title Assigned - #15269948420")</f>
        <v/>
      </c>
      <c r="B6273" s="0" t="s">
        <v>8255</v>
      </c>
      <c r="E6273" s="0" t="inlineStr">
        <is>
          <t xml:space="preserve">Mazda</t>
        </is>
      </c>
      <c r="F6273" s="0" t="inlineStr">
        <is>
          <t xml:space="preserve">Mazda</t>
        </is>
      </c>
      <c r="G6273" s="0" t="s">
        <v>171</v>
      </c>
      <c r="H6273" s="5">
        <v>120.190000</v>
      </c>
    </row>
    <row r="6274" spans="1:9">
      <c r="A6274" s="22" t="str">
        <f>HYPERLINK("https://app.vivvix.com/360/KMI/IntelliDrive/ApplUI/Pages/CreativePages/CustomReportCreativeDetail.aspx?App=23&amp;ReportView=4&amp;Qid=1711279&amp;Row=6266&amp;Col=1","No Title Assigned - #15269949874")</f>
        <v/>
      </c>
      <c r="B6274" s="0" t="s">
        <v>8256</v>
      </c>
      <c r="C6274" s="0" t="s">
        <v>8257</v>
      </c>
      <c r="D6274" s="0" t="s">
        <v>8257</v>
      </c>
      <c r="E6274" s="0" t="inlineStr">
        <is>
          <t xml:space="preserve">Mazda</t>
        </is>
      </c>
      <c r="F6274" s="0" t="inlineStr">
        <is>
          <t xml:space="preserve">Mazda</t>
        </is>
      </c>
      <c r="G6274" s="0" t="s">
        <v>171</v>
      </c>
      <c r="H6274" s="5">
        <v>76.321200</v>
      </c>
    </row>
    <row r="6275" spans="1:9">
      <c r="A6275" s="22" t="str">
        <f>HYPERLINK("https://app.vivvix.com/360/KMI/IntelliDrive/ApplUI/Pages/CreativePages/CustomReportCreativeDetail.aspx?App=23&amp;ReportView=4&amp;Qid=1711279&amp;Row=6267&amp;Col=1","No Title Assigned - #15269950560")</f>
        <v/>
      </c>
      <c r="B6275" s="0" t="s">
        <v>8258</v>
      </c>
      <c r="E6275" s="0" t="inlineStr">
        <is>
          <t xml:space="preserve">Mazda</t>
        </is>
      </c>
      <c r="F6275" s="0" t="inlineStr">
        <is>
          <t xml:space="preserve">Mazda</t>
        </is>
      </c>
      <c r="G6275" s="0" t="s">
        <v>171</v>
      </c>
      <c r="H6275" s="5">
        <v>38.776500</v>
      </c>
    </row>
    <row r="6276" spans="1:9">
      <c r="A6276" s="22" t="str">
        <f>HYPERLINK("https://app.vivvix.com/360/KMI/IntelliDrive/ApplUI/Pages/CreativePages/CustomReportCreativeDetail.aspx?App=23&amp;ReportView=4&amp;Qid=1711279&amp;Row=6268&amp;Col=1","No Title Assigned - #15269950629")</f>
        <v/>
      </c>
      <c r="B6276" s="0" t="s">
        <v>8259</v>
      </c>
      <c r="E6276" s="0" t="inlineStr">
        <is>
          <t xml:space="preserve">Mazda</t>
        </is>
      </c>
      <c r="F6276" s="0" t="inlineStr">
        <is>
          <t xml:space="preserve">Mazda</t>
        </is>
      </c>
      <c r="G6276" s="0" t="s">
        <v>171</v>
      </c>
      <c r="H6276" s="5">
        <v>1989.356100</v>
      </c>
    </row>
    <row r="6277" spans="1:9">
      <c r="A6277" s="22" t="str">
        <f>HYPERLINK("https://app.vivvix.com/360/KMI/IntelliDrive/ApplUI/Pages/CreativePages/CustomReportCreativeDetail.aspx?App=23&amp;ReportView=4&amp;Qid=1711279&amp;Row=6269&amp;Col=1","No Title Assigned - #15269950629")</f>
        <v/>
      </c>
      <c r="B6277" s="0" t="s">
        <v>8259</v>
      </c>
      <c r="E6277" s="0" t="inlineStr">
        <is>
          <t xml:space="preserve">Mazda</t>
        </is>
      </c>
      <c r="F6277" s="0" t="inlineStr">
        <is>
          <t xml:space="preserve">Mazda</t>
        </is>
      </c>
      <c r="G6277" s="0" t="s">
        <v>171</v>
      </c>
      <c r="H6277" s="5">
        <v>503.062400</v>
      </c>
    </row>
    <row r="6278" spans="1:9">
      <c r="A6278" s="22" t="str">
        <f>HYPERLINK("https://app.vivvix.com/360/KMI/IntelliDrive/ApplUI/Pages/CreativePages/CustomReportCreativeDetail.aspx?App=23&amp;ReportView=4&amp;Qid=1711279&amp;Row=6270&amp;Col=1","No Title Assigned - #15269950816")</f>
        <v/>
      </c>
      <c r="B6278" s="0" t="s">
        <v>8260</v>
      </c>
      <c r="E6278" s="0" t="inlineStr">
        <is>
          <t xml:space="preserve">Mazda</t>
        </is>
      </c>
      <c r="F6278" s="0" t="inlineStr">
        <is>
          <t xml:space="preserve">Mazda</t>
        </is>
      </c>
      <c r="G6278" s="0" t="s">
        <v>171</v>
      </c>
      <c r="H6278" s="5">
        <v>91.729500</v>
      </c>
    </row>
    <row r="6279" spans="1:9">
      <c r="A6279" s="22" t="str">
        <f>HYPERLINK("https://app.vivvix.com/360/KMI/IntelliDrive/ApplUI/Pages/CreativePages/CustomReportCreativeDetail.aspx?App=23&amp;ReportView=4&amp;Qid=1711279&amp;Row=6271&amp;Col=1","No Title Assigned - #15269950964")</f>
        <v/>
      </c>
      <c r="B6279" s="0" t="s">
        <v>8261</v>
      </c>
      <c r="E6279" s="0" t="inlineStr">
        <is>
          <t xml:space="preserve">Mazda</t>
        </is>
      </c>
      <c r="F6279" s="0" t="inlineStr">
        <is>
          <t xml:space="preserve">Mazda</t>
        </is>
      </c>
      <c r="G6279" s="0" t="s">
        <v>171</v>
      </c>
      <c r="H6279" s="5">
        <v>867.886700</v>
      </c>
    </row>
    <row r="6280" spans="1:9">
      <c r="A6280" s="22" t="str">
        <f>HYPERLINK("https://app.vivvix.com/360/KMI/IntelliDrive/ApplUI/Pages/CreativePages/CustomReportCreativeDetail.aspx?App=23&amp;ReportView=4&amp;Qid=1711279&amp;Row=6272&amp;Col=1","No Title Assigned - #15269951109")</f>
        <v/>
      </c>
      <c r="B6280" s="0" t="s">
        <v>8262</v>
      </c>
      <c r="E6280" s="0" t="inlineStr">
        <is>
          <t xml:space="preserve">Mazda</t>
        </is>
      </c>
      <c r="F6280" s="0" t="s">
        <v>21</v>
      </c>
      <c r="G6280" s="0" t="s">
        <v>22</v>
      </c>
      <c r="H6280" s="5">
        <v>865.272900</v>
      </c>
    </row>
    <row r="6281" spans="1:9">
      <c r="A6281" s="22" t="str">
        <f>HYPERLINK("https://app.vivvix.com/360/KMI/IntelliDrive/ApplUI/Pages/CreativePages/CustomReportCreativeDetail.aspx?App=23&amp;ReportView=4&amp;Qid=1711279&amp;Row=6273&amp;Col=1","No Title Assigned - #15269951582")</f>
        <v/>
      </c>
      <c r="B6281" s="0" t="s">
        <v>8263</v>
      </c>
      <c r="E6281" s="0" t="inlineStr">
        <is>
          <t xml:space="preserve">Mazda</t>
        </is>
      </c>
      <c r="F6281" s="0" t="inlineStr">
        <is>
          <t xml:space="preserve">Mazda</t>
        </is>
      </c>
      <c r="G6281" s="0" t="s">
        <v>171</v>
      </c>
      <c r="H6281" s="5">
        <v>263.131400</v>
      </c>
    </row>
    <row r="6282" spans="1:9">
      <c r="A6282" s="22" t="str">
        <f>HYPERLINK("https://app.vivvix.com/360/KMI/IntelliDrive/ApplUI/Pages/CreativePages/CustomReportCreativeDetail.aspx?App=23&amp;ReportView=4&amp;Qid=1711279&amp;Row=6274&amp;Col=1","No Title Assigned - #15269951688")</f>
        <v/>
      </c>
      <c r="B6282" s="0" t="s">
        <v>8264</v>
      </c>
      <c r="C6282" s="0" t="s">
        <v>8265</v>
      </c>
      <c r="D6282" s="0" t="s">
        <v>8265</v>
      </c>
      <c r="E6282" s="0" t="inlineStr">
        <is>
          <t xml:space="preserve">Mazda</t>
        </is>
      </c>
      <c r="F6282" s="0" t="inlineStr">
        <is>
          <t xml:space="preserve">Mazda</t>
        </is>
      </c>
      <c r="G6282" s="0" t="s">
        <v>171</v>
      </c>
      <c r="H6282" s="5">
        <v>117.087200</v>
      </c>
    </row>
    <row r="6283" spans="1:9">
      <c r="A6283" s="22" t="str">
        <f>HYPERLINK("https://app.vivvix.com/360/KMI/IntelliDrive/ApplUI/Pages/CreativePages/CustomReportCreativeDetail.aspx?App=23&amp;ReportView=4&amp;Qid=1711279&amp;Row=6275&amp;Col=1","No Title Assigned - #15269952163")</f>
        <v/>
      </c>
      <c r="B6283" s="0" t="s">
        <v>8266</v>
      </c>
      <c r="E6283" s="0" t="inlineStr">
        <is>
          <t xml:space="preserve">Mazda</t>
        </is>
      </c>
      <c r="F6283" s="0" t="inlineStr">
        <is>
          <t xml:space="preserve">Mazda</t>
        </is>
      </c>
      <c r="G6283" s="0" t="s">
        <v>171</v>
      </c>
      <c r="H6283" s="5">
        <v>1175.962500</v>
      </c>
    </row>
    <row r="6284" spans="1:9">
      <c r="A6284" s="22" t="str">
        <f>HYPERLINK("https://app.vivvix.com/360/KMI/IntelliDrive/ApplUI/Pages/CreativePages/CustomReportCreativeDetail.aspx?App=23&amp;ReportView=4&amp;Qid=1711279&amp;Row=6276&amp;Col=1","No Title Assigned - #15269952424")</f>
        <v/>
      </c>
      <c r="B6284" s="0" t="s">
        <v>8267</v>
      </c>
      <c r="E6284" s="0" t="inlineStr">
        <is>
          <t xml:space="preserve">Mazda</t>
        </is>
      </c>
      <c r="F6284" s="0" t="inlineStr">
        <is>
          <t xml:space="preserve">Mazda</t>
        </is>
      </c>
      <c r="G6284" s="0" t="s">
        <v>171</v>
      </c>
      <c r="H6284" s="5">
        <v>63.885600</v>
      </c>
    </row>
    <row r="6285" spans="1:9">
      <c r="A6285" s="22" t="str">
        <f>HYPERLINK("https://app.vivvix.com/360/KMI/IntelliDrive/ApplUI/Pages/CreativePages/CustomReportCreativeDetail.aspx?App=23&amp;ReportView=4&amp;Qid=1711279&amp;Row=6277&amp;Col=1","No Title Assigned - #15269952572")</f>
        <v/>
      </c>
      <c r="B6285" s="0" t="s">
        <v>8268</v>
      </c>
      <c r="E6285" s="0" t="inlineStr">
        <is>
          <t xml:space="preserve">Mazda</t>
        </is>
      </c>
      <c r="F6285" s="0" t="inlineStr">
        <is>
          <t xml:space="preserve">Mazda</t>
        </is>
      </c>
      <c r="G6285" s="0" t="s">
        <v>171</v>
      </c>
      <c r="H6285" s="5">
        <v>38.934600</v>
      </c>
    </row>
    <row r="6286" spans="1:9">
      <c r="A6286" s="22" t="str">
        <f>HYPERLINK("https://app.vivvix.com/360/KMI/IntelliDrive/ApplUI/Pages/CreativePages/CustomReportCreativeDetail.aspx?App=23&amp;ReportView=4&amp;Qid=1711279&amp;Row=6278&amp;Col=1","No Title Assigned - #15269952815")</f>
        <v/>
      </c>
      <c r="B6286" s="0" t="s">
        <v>8269</v>
      </c>
      <c r="E6286" s="0" t="inlineStr">
        <is>
          <t xml:space="preserve">Mazda</t>
        </is>
      </c>
      <c r="F6286" s="0" t="inlineStr">
        <is>
          <t xml:space="preserve">Mazda</t>
        </is>
      </c>
      <c r="G6286" s="0" t="s">
        <v>171</v>
      </c>
      <c r="H6286" s="5">
        <v>32.821900</v>
      </c>
    </row>
    <row r="6287" spans="1:9">
      <c r="A6287" s="22" t="str">
        <f>HYPERLINK("https://app.vivvix.com/360/KMI/IntelliDrive/ApplUI/Pages/CreativePages/CustomReportCreativeDetail.aspx?App=23&amp;ReportView=4&amp;Qid=1711279&amp;Row=6279&amp;Col=1","No Title Assigned - #15269952965")</f>
        <v/>
      </c>
      <c r="B6287" s="0" t="s">
        <v>8270</v>
      </c>
      <c r="C6287" s="0" t="s">
        <v>8271</v>
      </c>
      <c r="D6287" s="0" t="s">
        <v>8271</v>
      </c>
      <c r="E6287" s="0" t="inlineStr">
        <is>
          <t xml:space="preserve">Mazda</t>
        </is>
      </c>
      <c r="F6287" s="0" t="inlineStr">
        <is>
          <t xml:space="preserve">Mazda</t>
        </is>
      </c>
      <c r="G6287" s="0" t="s">
        <v>171</v>
      </c>
      <c r="H6287" s="5">
        <v>4393.320200</v>
      </c>
    </row>
    <row r="6288" spans="1:9">
      <c r="A6288" s="22" t="str">
        <f>HYPERLINK("https://app.vivvix.com/360/KMI/IntelliDrive/ApplUI/Pages/CreativePages/CustomReportCreativeDetail.aspx?App=23&amp;ReportView=4&amp;Qid=1711279&amp;Row=6280&amp;Col=1","No Title Assigned - #15269952965")</f>
        <v/>
      </c>
      <c r="B6288" s="0" t="s">
        <v>8270</v>
      </c>
      <c r="E6288" s="0" t="inlineStr">
        <is>
          <t xml:space="preserve">Mazda</t>
        </is>
      </c>
      <c r="F6288" s="0" t="inlineStr">
        <is>
          <t xml:space="preserve">Mazda</t>
        </is>
      </c>
      <c r="G6288" s="0" t="s">
        <v>171</v>
      </c>
      <c r="H6288" s="5">
        <v>100553.115700</v>
      </c>
    </row>
    <row r="6289" spans="1:9">
      <c r="A6289" s="22" t="str">
        <f>HYPERLINK("https://app.vivvix.com/360/KMI/IntelliDrive/ApplUI/Pages/CreativePages/CustomReportCreativeDetail.aspx?App=23&amp;ReportView=4&amp;Qid=1711279&amp;Row=6281&amp;Col=1","No Title Assigned - #15269952966")</f>
        <v/>
      </c>
      <c r="B6289" s="0" t="s">
        <v>8272</v>
      </c>
      <c r="E6289" s="0" t="inlineStr">
        <is>
          <t xml:space="preserve">Mazda</t>
        </is>
      </c>
      <c r="F6289" s="0" t="inlineStr">
        <is>
          <t xml:space="preserve">Mazda</t>
        </is>
      </c>
      <c r="G6289" s="0" t="s">
        <v>171</v>
      </c>
      <c r="H6289" s="5">
        <v>932.772700</v>
      </c>
    </row>
    <row r="6290" spans="1:9">
      <c r="A6290" s="22" t="str">
        <f>HYPERLINK("https://app.vivvix.com/360/KMI/IntelliDrive/ApplUI/Pages/CreativePages/CustomReportCreativeDetail.aspx?App=23&amp;ReportView=4&amp;Qid=1711279&amp;Row=6282&amp;Col=1","No Title Assigned - #15269953421")</f>
        <v/>
      </c>
      <c r="B6290" s="0" t="s">
        <v>8273</v>
      </c>
      <c r="E6290" s="0" t="inlineStr">
        <is>
          <t xml:space="preserve">Mazda</t>
        </is>
      </c>
      <c r="F6290" s="0" t="inlineStr">
        <is>
          <t xml:space="preserve">Mazda</t>
        </is>
      </c>
      <c r="G6290" s="0" t="s">
        <v>171</v>
      </c>
      <c r="H6290" s="5">
        <v>19.917600</v>
      </c>
    </row>
    <row r="6291" spans="1:9">
      <c r="A6291" s="22" t="str">
        <f>HYPERLINK("https://app.vivvix.com/360/KMI/IntelliDrive/ApplUI/Pages/CreativePages/CustomReportCreativeDetail.aspx?App=23&amp;ReportView=4&amp;Qid=1711279&amp;Row=6283&amp;Col=1","No Title Assigned - #15269953834")</f>
        <v/>
      </c>
      <c r="B6291" s="0" t="s">
        <v>8274</v>
      </c>
      <c r="C6291" s="0" t="s">
        <v>8275</v>
      </c>
      <c r="D6291" s="0" t="s">
        <v>8275</v>
      </c>
      <c r="E6291" s="0" t="inlineStr">
        <is>
          <t xml:space="preserve">Mazda</t>
        </is>
      </c>
      <c r="F6291" s="0" t="inlineStr">
        <is>
          <t xml:space="preserve">Mazda</t>
        </is>
      </c>
      <c r="G6291" s="0" t="s">
        <v>171</v>
      </c>
      <c r="H6291" s="5">
        <v>46.771500</v>
      </c>
    </row>
    <row r="6292" spans="1:9">
      <c r="A6292" s="22" t="str">
        <f>HYPERLINK("https://app.vivvix.com/360/KMI/IntelliDrive/ApplUI/Pages/CreativePages/CustomReportCreativeDetail.aspx?App=23&amp;ReportView=4&amp;Qid=1711279&amp;Row=6284&amp;Col=1","No Title Assigned - #15269953948")</f>
        <v/>
      </c>
      <c r="B6292" s="0" t="s">
        <v>8276</v>
      </c>
      <c r="E6292" s="0" t="inlineStr">
        <is>
          <t xml:space="preserve">Mazda</t>
        </is>
      </c>
      <c r="F6292" s="0" t="inlineStr">
        <is>
          <t xml:space="preserve">Mazda</t>
        </is>
      </c>
      <c r="G6292" s="0" t="s">
        <v>171</v>
      </c>
      <c r="H6292" s="5">
        <v>25.086400</v>
      </c>
    </row>
    <row r="6293" spans="1:9">
      <c r="A6293" s="22" t="str">
        <f>HYPERLINK("https://app.vivvix.com/360/KMI/IntelliDrive/ApplUI/Pages/CreativePages/CustomReportCreativeDetail.aspx?App=23&amp;ReportView=4&amp;Qid=1711279&amp;Row=6285&amp;Col=1","No Title Assigned - #15269954003")</f>
        <v/>
      </c>
      <c r="B6293" s="0" t="s">
        <v>8277</v>
      </c>
      <c r="E6293" s="0" t="inlineStr">
        <is>
          <t xml:space="preserve">Mazda</t>
        </is>
      </c>
      <c r="F6293" s="0" t="inlineStr">
        <is>
          <t xml:space="preserve">Mazda</t>
        </is>
      </c>
      <c r="G6293" s="0" t="s">
        <v>171</v>
      </c>
      <c r="H6293" s="5">
        <v>51.743300</v>
      </c>
    </row>
    <row r="6294" spans="1:9">
      <c r="A6294" s="22" t="str">
        <f>HYPERLINK("https://app.vivvix.com/360/KMI/IntelliDrive/ApplUI/Pages/CreativePages/CustomReportCreativeDetail.aspx?App=23&amp;ReportView=4&amp;Qid=1711279&amp;Row=6286&amp;Col=1","No Title Assigned - #15269954056")</f>
        <v/>
      </c>
      <c r="B6294" s="0" t="s">
        <v>8278</v>
      </c>
      <c r="C6294" s="0" t="s">
        <v>8279</v>
      </c>
      <c r="D6294" s="0" t="s">
        <v>8279</v>
      </c>
      <c r="E6294" s="0" t="inlineStr">
        <is>
          <t xml:space="preserve">Mazda</t>
        </is>
      </c>
      <c r="F6294" s="0" t="inlineStr">
        <is>
          <t xml:space="preserve">Mazda</t>
        </is>
      </c>
      <c r="G6294" s="0" t="s">
        <v>171</v>
      </c>
      <c r="H6294" s="5">
        <v>5665.985700</v>
      </c>
    </row>
    <row r="6295" spans="1:9">
      <c r="A6295" s="22" t="str">
        <f>HYPERLINK("https://app.vivvix.com/360/KMI/IntelliDrive/ApplUI/Pages/CreativePages/CustomReportCreativeDetail.aspx?App=23&amp;ReportView=4&amp;Qid=1711279&amp;Row=6287&amp;Col=1","No Title Assigned - #15269954056")</f>
        <v/>
      </c>
      <c r="B6295" s="0" t="s">
        <v>8278</v>
      </c>
      <c r="E6295" s="0" t="inlineStr">
        <is>
          <t xml:space="preserve">Mazda</t>
        </is>
      </c>
      <c r="F6295" s="0" t="inlineStr">
        <is>
          <t xml:space="preserve">Mazda</t>
        </is>
      </c>
      <c r="G6295" s="0" t="s">
        <v>171</v>
      </c>
      <c r="H6295" s="5">
        <v>50.599200</v>
      </c>
    </row>
    <row r="6296" spans="1:9">
      <c r="A6296" s="22" t="str">
        <f>HYPERLINK("https://app.vivvix.com/360/KMI/IntelliDrive/ApplUI/Pages/CreativePages/CustomReportCreativeDetail.aspx?App=23&amp;ReportView=4&amp;Qid=1711279&amp;Row=6288&amp;Col=1","No Title Assigned - #15269954126")</f>
        <v/>
      </c>
      <c r="B6296" s="0" t="s">
        <v>8280</v>
      </c>
      <c r="C6296" s="0" t="s">
        <v>8281</v>
      </c>
      <c r="D6296" s="0" t="s">
        <v>8281</v>
      </c>
      <c r="E6296" s="0" t="inlineStr">
        <is>
          <t xml:space="preserve">Mazda</t>
        </is>
      </c>
      <c r="F6296" s="0" t="inlineStr">
        <is>
          <t xml:space="preserve">Mazda</t>
        </is>
      </c>
      <c r="G6296" s="0" t="s">
        <v>171</v>
      </c>
      <c r="H6296" s="5">
        <v>39.306900</v>
      </c>
    </row>
    <row r="6297" spans="1:9">
      <c r="A6297" s="22" t="str">
        <f>HYPERLINK("https://app.vivvix.com/360/KMI/IntelliDrive/ApplUI/Pages/CreativePages/CustomReportCreativeDetail.aspx?App=23&amp;ReportView=4&amp;Qid=1711279&amp;Row=6289&amp;Col=1","No Title Assigned - #15269954551")</f>
        <v/>
      </c>
      <c r="B6297" s="0" t="s">
        <v>8282</v>
      </c>
      <c r="E6297" s="0" t="inlineStr">
        <is>
          <t xml:space="preserve">Mazda</t>
        </is>
      </c>
      <c r="F6297" s="0" t="inlineStr">
        <is>
          <t xml:space="preserve">Mazda</t>
        </is>
      </c>
      <c r="G6297" s="0" t="s">
        <v>171</v>
      </c>
      <c r="H6297" s="5">
        <v>86.465500</v>
      </c>
    </row>
    <row r="6298" spans="1:9">
      <c r="A6298" s="22" t="str">
        <f>HYPERLINK("https://app.vivvix.com/360/KMI/IntelliDrive/ApplUI/Pages/CreativePages/CustomReportCreativeDetail.aspx?App=23&amp;ReportView=4&amp;Qid=1711279&amp;Row=6290&amp;Col=1","No Title Assigned - #15269954778")</f>
        <v/>
      </c>
      <c r="B6298" s="0" t="s">
        <v>8283</v>
      </c>
      <c r="E6298" s="0" t="inlineStr">
        <is>
          <t xml:space="preserve">Mazda</t>
        </is>
      </c>
      <c r="F6298" s="0" t="inlineStr">
        <is>
          <t xml:space="preserve">Mazda</t>
        </is>
      </c>
      <c r="G6298" s="0" t="s">
        <v>171</v>
      </c>
      <c r="H6298" s="5">
        <v>87718.074200</v>
      </c>
    </row>
    <row r="6299" spans="1:9">
      <c r="A6299" s="22" t="str">
        <f>HYPERLINK("https://app.vivvix.com/360/KMI/IntelliDrive/ApplUI/Pages/CreativePages/CustomReportCreativeDetail.aspx?App=23&amp;ReportView=4&amp;Qid=1711279&amp;Row=6291&amp;Col=1","No Title Assigned - #15269954804")</f>
        <v/>
      </c>
      <c r="B6299" s="0" t="s">
        <v>8284</v>
      </c>
      <c r="E6299" s="0" t="inlineStr">
        <is>
          <t xml:space="preserve">Mazda</t>
        </is>
      </c>
      <c r="F6299" s="0" t="inlineStr">
        <is>
          <t xml:space="preserve">Mazda</t>
        </is>
      </c>
      <c r="G6299" s="0" t="s">
        <v>171</v>
      </c>
      <c r="H6299" s="5">
        <v>182.934300</v>
      </c>
    </row>
    <row r="6300" spans="1:9">
      <c r="A6300" s="22" t="str">
        <f>HYPERLINK("https://app.vivvix.com/360/KMI/IntelliDrive/ApplUI/Pages/CreativePages/CustomReportCreativeDetail.aspx?App=23&amp;ReportView=4&amp;Qid=1711279&amp;Row=6292&amp;Col=1","No Title Assigned - #15269954968")</f>
        <v/>
      </c>
      <c r="B6300" s="0" t="s">
        <v>8285</v>
      </c>
      <c r="E6300" s="0" t="inlineStr">
        <is>
          <t xml:space="preserve">Mazda</t>
        </is>
      </c>
      <c r="F6300" s="0" t="inlineStr">
        <is>
          <t xml:space="preserve">Mazda</t>
        </is>
      </c>
      <c r="G6300" s="0" t="s">
        <v>171</v>
      </c>
      <c r="H6300" s="5">
        <v>11.009300</v>
      </c>
    </row>
    <row r="6301" spans="1:9">
      <c r="A6301" s="22" t="str">
        <f>HYPERLINK("https://app.vivvix.com/360/KMI/IntelliDrive/ApplUI/Pages/CreativePages/CustomReportCreativeDetail.aspx?App=23&amp;ReportView=4&amp;Qid=1711279&amp;Row=6293&amp;Col=1","No Title Assigned - #15269954996")</f>
        <v/>
      </c>
      <c r="B6301" s="0" t="s">
        <v>8286</v>
      </c>
      <c r="E6301" s="0" t="inlineStr">
        <is>
          <t xml:space="preserve">Mazda</t>
        </is>
      </c>
      <c r="F6301" s="0" t="inlineStr">
        <is>
          <t xml:space="preserve">Mazda</t>
        </is>
      </c>
      <c r="G6301" s="0" t="s">
        <v>171</v>
      </c>
      <c r="H6301" s="5">
        <v>249.444700</v>
      </c>
    </row>
    <row r="6302" spans="1:9">
      <c r="A6302" s="22" t="str">
        <f>HYPERLINK("https://app.vivvix.com/360/KMI/IntelliDrive/ApplUI/Pages/CreativePages/CustomReportCreativeDetail.aspx?App=23&amp;ReportView=4&amp;Qid=1711279&amp;Row=6294&amp;Col=1","No Title Assigned - #15269955129")</f>
        <v/>
      </c>
      <c r="B6302" s="0" t="s">
        <v>8287</v>
      </c>
      <c r="E6302" s="0" t="inlineStr">
        <is>
          <t xml:space="preserve">Mazda</t>
        </is>
      </c>
      <c r="F6302" s="0" t="inlineStr">
        <is>
          <t xml:space="preserve">Mazda</t>
        </is>
      </c>
      <c r="G6302" s="0" t="s">
        <v>171</v>
      </c>
      <c r="H6302" s="5">
        <v>12652.390000</v>
      </c>
    </row>
    <row r="6303" spans="1:9">
      <c r="A6303" s="22" t="str">
        <f>HYPERLINK("https://app.vivvix.com/360/KMI/IntelliDrive/ApplUI/Pages/CreativePages/CustomReportCreativeDetail.aspx?App=23&amp;ReportView=4&amp;Qid=1711279&amp;Row=6295&amp;Col=1","No Title Assigned - #15269955150")</f>
        <v/>
      </c>
      <c r="B6303" s="0" t="s">
        <v>8288</v>
      </c>
      <c r="C6303" s="0" t="s">
        <v>8289</v>
      </c>
      <c r="D6303" s="0" t="s">
        <v>8289</v>
      </c>
      <c r="E6303" s="0" t="inlineStr">
        <is>
          <t xml:space="preserve">Mazda</t>
        </is>
      </c>
      <c r="F6303" s="0" t="inlineStr">
        <is>
          <t xml:space="preserve">Mazda</t>
        </is>
      </c>
      <c r="G6303" s="0" t="s">
        <v>171</v>
      </c>
      <c r="H6303" s="5">
        <v>249.444700</v>
      </c>
    </row>
    <row r="6304" spans="1:9">
      <c r="A6304" s="22" t="str">
        <f>HYPERLINK("https://app.vivvix.com/360/KMI/IntelliDrive/ApplUI/Pages/CreativePages/CustomReportCreativeDetail.aspx?App=23&amp;ReportView=4&amp;Qid=1711279&amp;Row=6296&amp;Col=1","No Title Assigned - #15269955162")</f>
        <v/>
      </c>
      <c r="B6304" s="0" t="s">
        <v>8290</v>
      </c>
      <c r="E6304" s="0" t="inlineStr">
        <is>
          <t xml:space="preserve">Mazda</t>
        </is>
      </c>
      <c r="F6304" s="0" t="inlineStr">
        <is>
          <t xml:space="preserve">Mazda</t>
        </is>
      </c>
      <c r="G6304" s="0" t="s">
        <v>171</v>
      </c>
      <c r="H6304" s="5">
        <v>932.793300</v>
      </c>
    </row>
    <row r="6305" spans="1:9">
      <c r="A6305" s="22" t="str">
        <f>HYPERLINK("https://app.vivvix.com/360/KMI/IntelliDrive/ApplUI/Pages/CreativePages/CustomReportCreativeDetail.aspx?App=23&amp;ReportView=4&amp;Qid=1711279&amp;Row=6297&amp;Col=1","No Title Assigned - #15269955162")</f>
        <v/>
      </c>
      <c r="B6305" s="0" t="s">
        <v>8290</v>
      </c>
      <c r="E6305" s="0" t="inlineStr">
        <is>
          <t xml:space="preserve">Mazda</t>
        </is>
      </c>
      <c r="F6305" s="0" t="inlineStr">
        <is>
          <t xml:space="preserve">Mazda</t>
        </is>
      </c>
      <c r="G6305" s="0" t="s">
        <v>171</v>
      </c>
      <c r="H6305" s="5">
        <v>14.164600</v>
      </c>
    </row>
    <row r="6306" spans="1:9">
      <c r="A6306" s="22" t="str">
        <f>HYPERLINK("https://app.vivvix.com/360/KMI/IntelliDrive/ApplUI/Pages/CreativePages/CustomReportCreativeDetail.aspx?App=23&amp;ReportView=4&amp;Qid=1711279&amp;Row=6298&amp;Col=1","No Title Assigned - #15269955254")</f>
        <v/>
      </c>
      <c r="B6306" s="0" t="s">
        <v>8291</v>
      </c>
      <c r="E6306" s="0" t="inlineStr">
        <is>
          <t xml:space="preserve">Mazda</t>
        </is>
      </c>
      <c r="F6306" s="0" t="inlineStr">
        <is>
          <t xml:space="preserve">Mazda</t>
        </is>
      </c>
      <c r="G6306" s="0" t="s">
        <v>171</v>
      </c>
      <c r="H6306" s="5">
        <v>8.964700</v>
      </c>
    </row>
    <row r="6307" spans="1:9">
      <c r="A6307" s="22" t="str">
        <f>HYPERLINK("https://app.vivvix.com/360/KMI/IntelliDrive/ApplUI/Pages/CreativePages/CustomReportCreativeDetail.aspx?App=23&amp;ReportView=4&amp;Qid=1711279&amp;Row=6299&amp;Col=1","No Title Assigned - #15269955436")</f>
        <v/>
      </c>
      <c r="B6307" s="0" t="s">
        <v>8292</v>
      </c>
      <c r="E6307" s="0" t="inlineStr">
        <is>
          <t xml:space="preserve">Mazda</t>
        </is>
      </c>
      <c r="F6307" s="0" t="inlineStr">
        <is>
          <t xml:space="preserve">Mazda</t>
        </is>
      </c>
      <c r="G6307" s="0" t="s">
        <v>171</v>
      </c>
      <c r="H6307" s="5">
        <v>402.074500</v>
      </c>
    </row>
    <row r="6308" spans="1:9">
      <c r="A6308" s="22" t="str">
        <f>HYPERLINK("https://app.vivvix.com/360/KMI/IntelliDrive/ApplUI/Pages/CreativePages/CustomReportCreativeDetail.aspx?App=23&amp;ReportView=4&amp;Qid=1711279&amp;Row=6300&amp;Col=1","No Title Assigned - #15269955646")</f>
        <v/>
      </c>
      <c r="B6308" s="0" t="s">
        <v>8293</v>
      </c>
      <c r="E6308" s="0" t="inlineStr">
        <is>
          <t xml:space="preserve">Mazda</t>
        </is>
      </c>
      <c r="F6308" s="0" t="inlineStr">
        <is>
          <t xml:space="preserve">Mazda</t>
        </is>
      </c>
      <c r="G6308" s="0" t="s">
        <v>171</v>
      </c>
      <c r="H6308" s="5">
        <v>3.873400</v>
      </c>
    </row>
    <row r="6309" spans="1:9">
      <c r="A6309" s="22" t="str">
        <f>HYPERLINK("https://app.vivvix.com/360/KMI/IntelliDrive/ApplUI/Pages/CreativePages/CustomReportCreativeDetail.aspx?App=23&amp;ReportView=4&amp;Qid=1711279&amp;Row=6301&amp;Col=1","No Title Assigned - #15269956193")</f>
        <v/>
      </c>
      <c r="B6309" s="0" t="s">
        <v>8294</v>
      </c>
      <c r="E6309" s="0" t="inlineStr">
        <is>
          <t xml:space="preserve">Mazda</t>
        </is>
      </c>
      <c r="F6309" s="0" t="inlineStr">
        <is>
          <t xml:space="preserve">Mazda</t>
        </is>
      </c>
      <c r="G6309" s="0" t="s">
        <v>171</v>
      </c>
      <c r="H6309" s="5">
        <v>1869.649300</v>
      </c>
    </row>
    <row r="6310" spans="1:9">
      <c r="A6310" s="22" t="str">
        <f>HYPERLINK("https://app.vivvix.com/360/KMI/IntelliDrive/ApplUI/Pages/CreativePages/CustomReportCreativeDetail.aspx?App=23&amp;ReportView=4&amp;Qid=1711279&amp;Row=6302&amp;Col=1","No Title Assigned - #15269956193")</f>
        <v/>
      </c>
      <c r="B6310" s="0" t="s">
        <v>8294</v>
      </c>
      <c r="E6310" s="0" t="inlineStr">
        <is>
          <t xml:space="preserve">Mazda</t>
        </is>
      </c>
      <c r="F6310" s="0" t="inlineStr">
        <is>
          <t xml:space="preserve">Mazda</t>
        </is>
      </c>
      <c r="G6310" s="0" t="s">
        <v>171</v>
      </c>
      <c r="H6310" s="5">
        <v>4628.400000</v>
      </c>
    </row>
    <row r="6311" spans="1:9">
      <c r="A6311" s="22" t="str">
        <f>HYPERLINK("https://app.vivvix.com/360/KMI/IntelliDrive/ApplUI/Pages/CreativePages/CustomReportCreativeDetail.aspx?App=23&amp;ReportView=4&amp;Qid=1711279&amp;Row=6303&amp;Col=1","No Title Assigned - #15269956308")</f>
        <v/>
      </c>
      <c r="B6311" s="0" t="s">
        <v>8295</v>
      </c>
      <c r="E6311" s="0" t="inlineStr">
        <is>
          <t xml:space="preserve">Mazda</t>
        </is>
      </c>
      <c r="F6311" s="0" t="inlineStr">
        <is>
          <t xml:space="preserve">Mazda</t>
        </is>
      </c>
      <c r="G6311" s="0" t="s">
        <v>171</v>
      </c>
      <c r="H6311" s="5">
        <v>322.959600</v>
      </c>
    </row>
    <row r="6312" spans="1:9">
      <c r="A6312" s="22" t="str">
        <f>HYPERLINK("https://app.vivvix.com/360/KMI/IntelliDrive/ApplUI/Pages/CreativePages/CustomReportCreativeDetail.aspx?App=23&amp;ReportView=4&amp;Qid=1711279&amp;Row=6304&amp;Col=1","No Title Assigned - #15269956330")</f>
        <v/>
      </c>
      <c r="B6312" s="0" t="s">
        <v>8296</v>
      </c>
      <c r="E6312" s="0" t="inlineStr">
        <is>
          <t xml:space="preserve">Mazda</t>
        </is>
      </c>
      <c r="F6312" s="0" t="inlineStr">
        <is>
          <t xml:space="preserve">Mazda</t>
        </is>
      </c>
      <c r="G6312" s="0" t="s">
        <v>171</v>
      </c>
      <c r="H6312" s="5">
        <v>19.917600</v>
      </c>
    </row>
    <row r="6313" spans="1:9">
      <c r="A6313" s="22" t="str">
        <f>HYPERLINK("https://app.vivvix.com/360/KMI/IntelliDrive/ApplUI/Pages/CreativePages/CustomReportCreativeDetail.aspx?App=23&amp;ReportView=4&amp;Qid=1711279&amp;Row=6305&amp;Col=1","No Title Assigned - #15269956355")</f>
        <v/>
      </c>
      <c r="B6313" s="0" t="s">
        <v>8297</v>
      </c>
      <c r="E6313" s="0" t="inlineStr">
        <is>
          <t xml:space="preserve">Mazda</t>
        </is>
      </c>
      <c r="F6313" s="0" t="inlineStr">
        <is>
          <t xml:space="preserve">Mazda</t>
        </is>
      </c>
      <c r="G6313" s="0" t="s">
        <v>171</v>
      </c>
      <c r="H6313" s="5">
        <v>560.772500</v>
      </c>
    </row>
    <row r="6314" spans="1:9">
      <c r="A6314" s="22" t="str">
        <f>HYPERLINK("https://app.vivvix.com/360/KMI/IntelliDrive/ApplUI/Pages/CreativePages/CustomReportCreativeDetail.aspx?App=23&amp;ReportView=4&amp;Qid=1711279&amp;Row=6306&amp;Col=1","No Title Assigned - #15269956850")</f>
        <v/>
      </c>
      <c r="B6314" s="0" t="s">
        <v>8298</v>
      </c>
      <c r="E6314" s="0" t="inlineStr">
        <is>
          <t xml:space="preserve">Mazda</t>
        </is>
      </c>
      <c r="F6314" s="0" t="inlineStr">
        <is>
          <t xml:space="preserve">Mazda</t>
        </is>
      </c>
      <c r="G6314" s="0" t="s">
        <v>171</v>
      </c>
      <c r="H6314" s="5">
        <v>41.219100</v>
      </c>
    </row>
    <row r="6315" spans="1:9">
      <c r="A6315" s="22" t="str">
        <f>HYPERLINK("https://app.vivvix.com/360/KMI/IntelliDrive/ApplUI/Pages/CreativePages/CustomReportCreativeDetail.aspx?App=23&amp;ReportView=4&amp;Qid=1711279&amp;Row=6307&amp;Col=1","No Title Assigned - #15269957085")</f>
        <v/>
      </c>
      <c r="B6315" s="0" t="s">
        <v>8299</v>
      </c>
      <c r="C6315" s="0" t="s">
        <v>8300</v>
      </c>
      <c r="D6315" s="0" t="s">
        <v>8300</v>
      </c>
      <c r="E6315" s="0" t="inlineStr">
        <is>
          <t xml:space="preserve">Mazda</t>
        </is>
      </c>
      <c r="F6315" s="0" t="inlineStr">
        <is>
          <t xml:space="preserve">Mazda</t>
        </is>
      </c>
      <c r="G6315" s="0" t="s">
        <v>171</v>
      </c>
      <c r="H6315" s="5">
        <v>5.080700</v>
      </c>
    </row>
    <row r="6316" spans="1:9">
      <c r="A6316" s="22" t="str">
        <f>HYPERLINK("https://app.vivvix.com/360/KMI/IntelliDrive/ApplUI/Pages/CreativePages/CustomReportCreativeDetail.aspx?App=23&amp;ReportView=4&amp;Qid=1711279&amp;Row=6308&amp;Col=1","No Title Assigned - #15269957416")</f>
        <v/>
      </c>
      <c r="B6316" s="0" t="s">
        <v>8301</v>
      </c>
      <c r="E6316" s="0" t="inlineStr">
        <is>
          <t xml:space="preserve">Mazda</t>
        </is>
      </c>
      <c r="F6316" s="0" t="inlineStr">
        <is>
          <t xml:space="preserve">Mazda</t>
        </is>
      </c>
      <c r="G6316" s="0" t="s">
        <v>171</v>
      </c>
      <c r="H6316" s="5">
        <v>2130.977900</v>
      </c>
    </row>
    <row r="6317" spans="1:9">
      <c r="A6317" s="22" t="str">
        <f>HYPERLINK("https://app.vivvix.com/360/KMI/IntelliDrive/ApplUI/Pages/CreativePages/CustomReportCreativeDetail.aspx?App=23&amp;ReportView=4&amp;Qid=1711279&amp;Row=6309&amp;Col=1","No Title Assigned - #15269957416")</f>
        <v/>
      </c>
      <c r="B6317" s="0" t="s">
        <v>8301</v>
      </c>
      <c r="E6317" s="0" t="inlineStr">
        <is>
          <t xml:space="preserve">Mazda</t>
        </is>
      </c>
      <c r="F6317" s="0" t="inlineStr">
        <is>
          <t xml:space="preserve">Mazda</t>
        </is>
      </c>
      <c r="G6317" s="0" t="s">
        <v>171</v>
      </c>
      <c r="H6317" s="5">
        <v>3274.969200</v>
      </c>
    </row>
    <row r="6318" spans="1:9">
      <c r="A6318" s="22" t="str">
        <f>HYPERLINK("https://app.vivvix.com/360/KMI/IntelliDrive/ApplUI/Pages/CreativePages/CustomReportCreativeDetail.aspx?App=23&amp;ReportView=4&amp;Qid=1711279&amp;Row=6310&amp;Col=1","No Title Assigned - #15269957869")</f>
        <v/>
      </c>
      <c r="B6318" s="0" t="s">
        <v>8302</v>
      </c>
      <c r="E6318" s="0" t="inlineStr">
        <is>
          <t xml:space="preserve">Mazda</t>
        </is>
      </c>
      <c r="F6318" s="0" t="inlineStr">
        <is>
          <t xml:space="preserve">Mazda</t>
        </is>
      </c>
      <c r="G6318" s="0" t="s">
        <v>171</v>
      </c>
      <c r="H6318" s="5">
        <v>32.821900</v>
      </c>
    </row>
    <row r="6319" spans="1:9">
      <c r="A6319" s="22" t="str">
        <f>HYPERLINK("https://app.vivvix.com/360/KMI/IntelliDrive/ApplUI/Pages/CreativePages/CustomReportCreativeDetail.aspx?App=23&amp;ReportView=4&amp;Qid=1711279&amp;Row=6311&amp;Col=1","No Title Assigned - #15269957890")</f>
        <v/>
      </c>
      <c r="B6319" s="0" t="s">
        <v>8303</v>
      </c>
      <c r="C6319" s="0" t="s">
        <v>8304</v>
      </c>
      <c r="D6319" s="0" t="s">
        <v>8304</v>
      </c>
      <c r="E6319" s="0" t="inlineStr">
        <is>
          <t xml:space="preserve">Mazda</t>
        </is>
      </c>
      <c r="F6319" s="0" t="inlineStr">
        <is>
          <t xml:space="preserve">Mazda</t>
        </is>
      </c>
      <c r="G6319" s="0" t="s">
        <v>171</v>
      </c>
      <c r="H6319" s="5">
        <v>73.679100</v>
      </c>
    </row>
    <row r="6320" spans="1:9">
      <c r="A6320" s="22" t="str">
        <f>HYPERLINK("https://app.vivvix.com/360/KMI/IntelliDrive/ApplUI/Pages/CreativePages/CustomReportCreativeDetail.aspx?App=23&amp;ReportView=4&amp;Qid=1711279&amp;Row=6312&amp;Col=1","No Title Assigned - #15269958032")</f>
        <v/>
      </c>
      <c r="B6320" s="0" t="s">
        <v>8305</v>
      </c>
      <c r="E6320" s="0" t="inlineStr">
        <is>
          <t xml:space="preserve">Mazda</t>
        </is>
      </c>
      <c r="F6320" s="0" t="inlineStr">
        <is>
          <t xml:space="preserve">Mazda</t>
        </is>
      </c>
      <c r="G6320" s="0" t="s">
        <v>171</v>
      </c>
      <c r="H6320" s="5">
        <v>20.178800</v>
      </c>
    </row>
    <row r="6321" spans="1:9">
      <c r="A6321" s="22" t="str">
        <f>HYPERLINK("https://app.vivvix.com/360/KMI/IntelliDrive/ApplUI/Pages/CreativePages/CustomReportCreativeDetail.aspx?App=23&amp;ReportView=4&amp;Qid=1711279&amp;Row=6313&amp;Col=1","No Title Assigned - #15269958040")</f>
        <v/>
      </c>
      <c r="B6321" s="0" t="s">
        <v>8306</v>
      </c>
      <c r="E6321" s="0" t="inlineStr">
        <is>
          <t xml:space="preserve">Mazda</t>
        </is>
      </c>
      <c r="F6321" s="0" t="inlineStr">
        <is>
          <t xml:space="preserve">Mazda</t>
        </is>
      </c>
      <c r="G6321" s="0" t="s">
        <v>171</v>
      </c>
      <c r="H6321" s="5">
        <v>22.340100</v>
      </c>
    </row>
    <row r="6322" spans="1:9">
      <c r="A6322" s="22" t="str">
        <f>HYPERLINK("https://app.vivvix.com/360/KMI/IntelliDrive/ApplUI/Pages/CreativePages/CustomReportCreativeDetail.aspx?App=23&amp;ReportView=4&amp;Qid=1711279&amp;Row=6314&amp;Col=1","No Title Assigned - #15269958041")</f>
        <v/>
      </c>
      <c r="B6322" s="0" t="s">
        <v>8307</v>
      </c>
      <c r="E6322" s="0" t="inlineStr">
        <is>
          <t xml:space="preserve">Mazda</t>
        </is>
      </c>
      <c r="F6322" s="0" t="inlineStr">
        <is>
          <t xml:space="preserve">Mazda</t>
        </is>
      </c>
      <c r="G6322" s="0" t="s">
        <v>171</v>
      </c>
      <c r="H6322" s="5">
        <v>623.687000</v>
      </c>
    </row>
    <row r="6323" spans="1:9">
      <c r="A6323" s="22" t="str">
        <f>HYPERLINK("https://app.vivvix.com/360/KMI/IntelliDrive/ApplUI/Pages/CreativePages/CustomReportCreativeDetail.aspx?App=23&amp;ReportView=4&amp;Qid=1711279&amp;Row=6315&amp;Col=1","No Title Assigned - #15269958116")</f>
        <v/>
      </c>
      <c r="B6323" s="0" t="s">
        <v>8308</v>
      </c>
      <c r="E6323" s="0" t="inlineStr">
        <is>
          <t xml:space="preserve">Mazda</t>
        </is>
      </c>
      <c r="F6323" s="0" t="inlineStr">
        <is>
          <t xml:space="preserve">Mazda</t>
        </is>
      </c>
      <c r="G6323" s="0" t="s">
        <v>171</v>
      </c>
      <c r="H6323" s="5">
        <v>468.186400</v>
      </c>
    </row>
    <row r="6324" spans="1:9">
      <c r="A6324" s="22" t="str">
        <f>HYPERLINK("https://app.vivvix.com/360/KMI/IntelliDrive/ApplUI/Pages/CreativePages/CustomReportCreativeDetail.aspx?App=23&amp;ReportView=4&amp;Qid=1711279&amp;Row=6316&amp;Col=1","No Title Assigned - #15269958281")</f>
        <v/>
      </c>
      <c r="B6324" s="0" t="s">
        <v>8309</v>
      </c>
      <c r="E6324" s="0" t="inlineStr">
        <is>
          <t xml:space="preserve">Mazda</t>
        </is>
      </c>
      <c r="F6324" s="0" t="inlineStr">
        <is>
          <t xml:space="preserve">Mazda</t>
        </is>
      </c>
      <c r="G6324" s="0" t="s">
        <v>171</v>
      </c>
      <c r="H6324" s="5">
        <v>1694.574200</v>
      </c>
    </row>
    <row r="6325" spans="1:9">
      <c r="A6325" s="22" t="str">
        <f>HYPERLINK("https://app.vivvix.com/360/KMI/IntelliDrive/ApplUI/Pages/CreativePages/CustomReportCreativeDetail.aspx?App=23&amp;ReportView=4&amp;Qid=1711279&amp;Row=6317&amp;Col=1","No Title Assigned - #15269958499")</f>
        <v/>
      </c>
      <c r="B6325" s="0" t="s">
        <v>8310</v>
      </c>
      <c r="E6325" s="0" t="inlineStr">
        <is>
          <t xml:space="preserve">Mazda</t>
        </is>
      </c>
      <c r="F6325" s="0" t="inlineStr">
        <is>
          <t xml:space="preserve">Mazda</t>
        </is>
      </c>
      <c r="G6325" s="0" t="s">
        <v>171</v>
      </c>
      <c r="H6325" s="5">
        <v>81.228300</v>
      </c>
    </row>
    <row r="6326" spans="1:9">
      <c r="A6326" s="22" t="str">
        <f>HYPERLINK("https://app.vivvix.com/360/KMI/IntelliDrive/ApplUI/Pages/CreativePages/CustomReportCreativeDetail.aspx?App=23&amp;ReportView=4&amp;Qid=1711279&amp;Row=6318&amp;Col=1","No Title Assigned - #15269958684")</f>
        <v/>
      </c>
      <c r="B6326" s="0" t="s">
        <v>8311</v>
      </c>
      <c r="C6326" s="0" t="s">
        <v>8312</v>
      </c>
      <c r="D6326" s="0" t="s">
        <v>8312</v>
      </c>
      <c r="E6326" s="0" t="inlineStr">
        <is>
          <t xml:space="preserve">Mazda</t>
        </is>
      </c>
      <c r="F6326" s="0" t="inlineStr">
        <is>
          <t xml:space="preserve">Mazda</t>
        </is>
      </c>
      <c r="G6326" s="0" t="s">
        <v>171</v>
      </c>
      <c r="H6326" s="5">
        <v>33.341500</v>
      </c>
    </row>
    <row r="6327" spans="1:9">
      <c r="A6327" s="22" t="str">
        <f>HYPERLINK("https://app.vivvix.com/360/KMI/IntelliDrive/ApplUI/Pages/CreativePages/CustomReportCreativeDetail.aspx?App=23&amp;ReportView=4&amp;Qid=1711279&amp;Row=6319&amp;Col=1","No Title Assigned - #15269958684")</f>
        <v/>
      </c>
      <c r="B6327" s="0" t="s">
        <v>8311</v>
      </c>
      <c r="E6327" s="0" t="inlineStr">
        <is>
          <t xml:space="preserve">Mazda</t>
        </is>
      </c>
      <c r="F6327" s="0" t="inlineStr">
        <is>
          <t xml:space="preserve">Mazda</t>
        </is>
      </c>
      <c r="G6327" s="0" t="s">
        <v>171</v>
      </c>
      <c r="H6327" s="5">
        <v>6794.362800</v>
      </c>
    </row>
    <row r="6328" spans="1:9">
      <c r="A6328" s="22" t="str">
        <f>HYPERLINK("https://app.vivvix.com/360/KMI/IntelliDrive/ApplUI/Pages/CreativePages/CustomReportCreativeDetail.aspx?App=23&amp;ReportView=4&amp;Qid=1711279&amp;Row=6320&amp;Col=1","No Title Assigned - #15269959036")</f>
        <v/>
      </c>
      <c r="B6328" s="0" t="s">
        <v>8313</v>
      </c>
      <c r="E6328" s="0" t="inlineStr">
        <is>
          <t xml:space="preserve">Mazda</t>
        </is>
      </c>
      <c r="F6328" s="0" t="inlineStr">
        <is>
          <t xml:space="preserve">Mazda</t>
        </is>
      </c>
      <c r="G6328" s="0" t="s">
        <v>171</v>
      </c>
      <c r="H6328" s="5">
        <v>56.471600</v>
      </c>
    </row>
    <row r="6329" spans="1:9">
      <c r="A6329" s="22" t="str">
        <f>HYPERLINK("https://app.vivvix.com/360/KMI/IntelliDrive/ApplUI/Pages/CreativePages/CustomReportCreativeDetail.aspx?App=23&amp;ReportView=4&amp;Qid=1711279&amp;Row=6321&amp;Col=1","No Title Assigned - #15269959320")</f>
        <v/>
      </c>
      <c r="B6329" s="0" t="s">
        <v>8314</v>
      </c>
      <c r="E6329" s="0" t="inlineStr">
        <is>
          <t xml:space="preserve">Mazda</t>
        </is>
      </c>
      <c r="F6329" s="0" t="inlineStr">
        <is>
          <t xml:space="preserve">Mazda</t>
        </is>
      </c>
      <c r="G6329" s="0" t="s">
        <v>171</v>
      </c>
      <c r="H6329" s="5">
        <v>403.693300</v>
      </c>
    </row>
    <row r="6330" spans="1:9">
      <c r="A6330" s="22" t="str">
        <f>HYPERLINK("https://app.vivvix.com/360/KMI/IntelliDrive/ApplUI/Pages/CreativePages/CustomReportCreativeDetail.aspx?App=23&amp;ReportView=4&amp;Qid=1711279&amp;Row=6322&amp;Col=1","No Title Assigned - #15269959575")</f>
        <v/>
      </c>
      <c r="B6330" s="0" t="s">
        <v>8315</v>
      </c>
      <c r="E6330" s="0" t="inlineStr">
        <is>
          <t xml:space="preserve">Mazda</t>
        </is>
      </c>
      <c r="F6330" s="0" t="inlineStr">
        <is>
          <t xml:space="preserve">Mazda</t>
        </is>
      </c>
      <c r="G6330" s="0" t="s">
        <v>171</v>
      </c>
      <c r="H6330" s="5">
        <v>316.874800</v>
      </c>
    </row>
    <row r="6331" spans="1:9">
      <c r="A6331" s="22" t="str">
        <f>HYPERLINK("https://app.vivvix.com/360/KMI/IntelliDrive/ApplUI/Pages/CreativePages/CustomReportCreativeDetail.aspx?App=23&amp;ReportView=4&amp;Qid=1711279&amp;Row=6323&amp;Col=1","No Title Assigned - #15269959636")</f>
        <v/>
      </c>
      <c r="B6331" s="0" t="s">
        <v>8316</v>
      </c>
      <c r="E6331" s="0" t="inlineStr">
        <is>
          <t xml:space="preserve">Mazda</t>
        </is>
      </c>
      <c r="F6331" s="0" t="inlineStr">
        <is>
          <t xml:space="preserve">Mazda</t>
        </is>
      </c>
      <c r="G6331" s="0" t="s">
        <v>171</v>
      </c>
      <c r="H6331" s="5">
        <v>5.734600</v>
      </c>
    </row>
    <row r="6332" spans="1:9">
      <c r="A6332" s="22" t="str">
        <f>HYPERLINK("https://app.vivvix.com/360/KMI/IntelliDrive/ApplUI/Pages/CreativePages/CustomReportCreativeDetail.aspx?App=23&amp;ReportView=4&amp;Qid=1711279&amp;Row=6324&amp;Col=1","No Title Assigned - #15269959684")</f>
        <v/>
      </c>
      <c r="B6332" s="0" t="s">
        <v>8317</v>
      </c>
      <c r="E6332" s="0" t="inlineStr">
        <is>
          <t xml:space="preserve">Mazda</t>
        </is>
      </c>
      <c r="F6332" s="0" t="inlineStr">
        <is>
          <t xml:space="preserve">Mazda</t>
        </is>
      </c>
      <c r="G6332" s="0" t="s">
        <v>171</v>
      </c>
      <c r="H6332" s="5">
        <v>6.177900</v>
      </c>
    </row>
    <row r="6333" spans="1:9">
      <c r="A6333" s="22" t="str">
        <f>HYPERLINK("https://app.vivvix.com/360/KMI/IntelliDrive/ApplUI/Pages/CreativePages/CustomReportCreativeDetail.aspx?App=23&amp;ReportView=4&amp;Qid=1711279&amp;Row=6325&amp;Col=1","No Title Assigned - #15269960012")</f>
        <v/>
      </c>
      <c r="B6333" s="0" t="s">
        <v>8318</v>
      </c>
      <c r="C6333" s="0" t="s">
        <v>8319</v>
      </c>
      <c r="D6333" s="0" t="s">
        <v>8319</v>
      </c>
      <c r="E6333" s="0" t="inlineStr">
        <is>
          <t xml:space="preserve">Mazda</t>
        </is>
      </c>
      <c r="F6333" s="0" t="inlineStr">
        <is>
          <t xml:space="preserve">Mazda</t>
        </is>
      </c>
      <c r="G6333" s="0" t="s">
        <v>171</v>
      </c>
      <c r="H6333" s="5">
        <v>399.588100</v>
      </c>
    </row>
    <row r="6334" spans="1:9">
      <c r="A6334" s="22" t="str">
        <f>HYPERLINK("https://app.vivvix.com/360/KMI/IntelliDrive/ApplUI/Pages/CreativePages/CustomReportCreativeDetail.aspx?App=23&amp;ReportView=4&amp;Qid=1711279&amp;Row=6326&amp;Col=1","No Title Assigned - #15269960012")</f>
        <v/>
      </c>
      <c r="B6334" s="0" t="s">
        <v>8318</v>
      </c>
      <c r="E6334" s="0" t="inlineStr">
        <is>
          <t xml:space="preserve">Mazda</t>
        </is>
      </c>
      <c r="F6334" s="0" t="inlineStr">
        <is>
          <t xml:space="preserve">Mazda</t>
        </is>
      </c>
      <c r="G6334" s="0" t="s">
        <v>171</v>
      </c>
      <c r="H6334" s="5">
        <v>1368.640400</v>
      </c>
    </row>
    <row r="6335" spans="1:9">
      <c r="A6335" s="22" t="str">
        <f>HYPERLINK("https://app.vivvix.com/360/KMI/IntelliDrive/ApplUI/Pages/CreativePages/CustomReportCreativeDetail.aspx?App=23&amp;ReportView=4&amp;Qid=1711279&amp;Row=6327&amp;Col=1","No Title Assigned - #15269960035")</f>
        <v/>
      </c>
      <c r="B6335" s="0" t="s">
        <v>8320</v>
      </c>
      <c r="E6335" s="0" t="inlineStr">
        <is>
          <t xml:space="preserve">Mazda</t>
        </is>
      </c>
      <c r="F6335" s="0" t="inlineStr">
        <is>
          <t xml:space="preserve">Mazda</t>
        </is>
      </c>
      <c r="G6335" s="0" t="s">
        <v>171</v>
      </c>
      <c r="H6335" s="5">
        <v>192.626500</v>
      </c>
    </row>
    <row r="6336" spans="1:9">
      <c r="A6336" s="22" t="str">
        <f>HYPERLINK("https://app.vivvix.com/360/KMI/IntelliDrive/ApplUI/Pages/CreativePages/CustomReportCreativeDetail.aspx?App=23&amp;ReportView=4&amp;Qid=1711279&amp;Row=6328&amp;Col=1","No Title Assigned - #15269960472")</f>
        <v/>
      </c>
      <c r="B6336" s="0" t="s">
        <v>8321</v>
      </c>
      <c r="E6336" s="0" t="inlineStr">
        <is>
          <t xml:space="preserve">Mazda</t>
        </is>
      </c>
      <c r="F6336" s="0" t="inlineStr">
        <is>
          <t xml:space="preserve">Mazda</t>
        </is>
      </c>
      <c r="G6336" s="0" t="s">
        <v>171</v>
      </c>
      <c r="H6336" s="5">
        <v>932.004600</v>
      </c>
    </row>
    <row r="6337" spans="1:9">
      <c r="A6337" s="22" t="str">
        <f>HYPERLINK("https://app.vivvix.com/360/KMI/IntelliDrive/ApplUI/Pages/CreativePages/CustomReportCreativeDetail.aspx?App=23&amp;ReportView=4&amp;Qid=1711279&amp;Row=6329&amp;Col=1","No Title Assigned - #15269960511")</f>
        <v/>
      </c>
      <c r="B6337" s="0" t="s">
        <v>8322</v>
      </c>
      <c r="E6337" s="0" t="inlineStr">
        <is>
          <t xml:space="preserve">Mazda</t>
        </is>
      </c>
      <c r="F6337" s="0" t="inlineStr">
        <is>
          <t xml:space="preserve">Mazda</t>
        </is>
      </c>
      <c r="G6337" s="0" t="s">
        <v>171</v>
      </c>
      <c r="H6337" s="5">
        <v>12.720200</v>
      </c>
    </row>
    <row r="6338" spans="1:9">
      <c r="A6338" s="22" t="str">
        <f>HYPERLINK("https://app.vivvix.com/360/KMI/IntelliDrive/ApplUI/Pages/CreativePages/CustomReportCreativeDetail.aspx?App=23&amp;ReportView=4&amp;Qid=1711279&amp;Row=6330&amp;Col=1","No Title Assigned - #15269960730")</f>
        <v/>
      </c>
      <c r="B6338" s="0" t="s">
        <v>8323</v>
      </c>
      <c r="E6338" s="0" t="inlineStr">
        <is>
          <t xml:space="preserve">Mazda</t>
        </is>
      </c>
      <c r="F6338" s="0" t="inlineStr">
        <is>
          <t xml:space="preserve">Mazda</t>
        </is>
      </c>
      <c r="G6338" s="0" t="s">
        <v>171</v>
      </c>
      <c r="H6338" s="5">
        <v>36.471300</v>
      </c>
    </row>
    <row r="6339" spans="1:9">
      <c r="A6339" s="22" t="str">
        <f>HYPERLINK("https://app.vivvix.com/360/KMI/IntelliDrive/ApplUI/Pages/CreativePages/CustomReportCreativeDetail.aspx?App=23&amp;ReportView=4&amp;Qid=1711279&amp;Row=6331&amp;Col=1","No Title Assigned - #15269961070")</f>
        <v/>
      </c>
      <c r="B6339" s="0" t="s">
        <v>8324</v>
      </c>
      <c r="E6339" s="0" t="inlineStr">
        <is>
          <t xml:space="preserve">Mazda</t>
        </is>
      </c>
      <c r="F6339" s="0" t="inlineStr">
        <is>
          <t xml:space="preserve">Mazda</t>
        </is>
      </c>
      <c r="G6339" s="0" t="s">
        <v>171</v>
      </c>
      <c r="H6339" s="5">
        <v>792.307200</v>
      </c>
    </row>
    <row r="6340" spans="1:9">
      <c r="A6340" s="22" t="str">
        <f>HYPERLINK("https://app.vivvix.com/360/KMI/IntelliDrive/ApplUI/Pages/CreativePages/CustomReportCreativeDetail.aspx?App=23&amp;ReportView=4&amp;Qid=1711279&amp;Row=6332&amp;Col=1","No Title Assigned - #15269961272")</f>
        <v/>
      </c>
      <c r="B6340" s="0" t="s">
        <v>8325</v>
      </c>
      <c r="E6340" s="0" t="inlineStr">
        <is>
          <t xml:space="preserve">Mazda</t>
        </is>
      </c>
      <c r="F6340" s="0" t="inlineStr">
        <is>
          <t xml:space="preserve">Mazda</t>
        </is>
      </c>
      <c r="G6340" s="0" t="s">
        <v>171</v>
      </c>
      <c r="H6340" s="5">
        <v>154.970800</v>
      </c>
    </row>
    <row r="6341" spans="1:9">
      <c r="A6341" s="22" t="str">
        <f>HYPERLINK("https://app.vivvix.com/360/KMI/IntelliDrive/ApplUI/Pages/CreativePages/CustomReportCreativeDetail.aspx?App=23&amp;ReportView=4&amp;Qid=1711279&amp;Row=6333&amp;Col=1","No Title Assigned - #15269961526")</f>
        <v/>
      </c>
      <c r="B6341" s="0" t="s">
        <v>8326</v>
      </c>
      <c r="E6341" s="0" t="inlineStr">
        <is>
          <t xml:space="preserve">Mazda</t>
        </is>
      </c>
      <c r="F6341" s="0" t="inlineStr">
        <is>
          <t xml:space="preserve">Mazda</t>
        </is>
      </c>
      <c r="G6341" s="0" t="s">
        <v>171</v>
      </c>
      <c r="H6341" s="5">
        <v>235.181200</v>
      </c>
    </row>
    <row r="6342" spans="1:9">
      <c r="A6342" s="22" t="str">
        <f>HYPERLINK("https://app.vivvix.com/360/KMI/IntelliDrive/ApplUI/Pages/CreativePages/CustomReportCreativeDetail.aspx?App=23&amp;ReportView=4&amp;Qid=1711279&amp;Row=6334&amp;Col=1","No Title Assigned - #15269961635")</f>
        <v/>
      </c>
      <c r="B6342" s="0" t="s">
        <v>8327</v>
      </c>
      <c r="E6342" s="0" t="inlineStr">
        <is>
          <t xml:space="preserve">Mazda</t>
        </is>
      </c>
      <c r="F6342" s="0" t="inlineStr">
        <is>
          <t xml:space="preserve">Mazda</t>
        </is>
      </c>
      <c r="G6342" s="0" t="s">
        <v>171</v>
      </c>
      <c r="H6342" s="5">
        <v>39.927000</v>
      </c>
    </row>
    <row r="6343" spans="1:9">
      <c r="A6343" s="22" t="str">
        <f>HYPERLINK("https://app.vivvix.com/360/KMI/IntelliDrive/ApplUI/Pages/CreativePages/CustomReportCreativeDetail.aspx?App=23&amp;ReportView=4&amp;Qid=1711279&amp;Row=6335&amp;Col=1","No Title Assigned - #15269961644")</f>
        <v/>
      </c>
      <c r="B6343" s="0" t="s">
        <v>8328</v>
      </c>
      <c r="E6343" s="0" t="inlineStr">
        <is>
          <t xml:space="preserve">Mazda</t>
        </is>
      </c>
      <c r="F6343" s="0" t="inlineStr">
        <is>
          <t xml:space="preserve">Mazda</t>
        </is>
      </c>
      <c r="G6343" s="0" t="s">
        <v>171</v>
      </c>
      <c r="H6343" s="5">
        <v>81.038500</v>
      </c>
    </row>
    <row r="6344" spans="1:9">
      <c r="A6344" s="22" t="str">
        <f>HYPERLINK("https://app.vivvix.com/360/KMI/IntelliDrive/ApplUI/Pages/CreativePages/CustomReportCreativeDetail.aspx?App=23&amp;ReportView=4&amp;Qid=1711279&amp;Row=6336&amp;Col=1","No Title Assigned - #15269962540")</f>
        <v/>
      </c>
      <c r="B6344" s="0" t="s">
        <v>8329</v>
      </c>
      <c r="E6344" s="0" t="inlineStr">
        <is>
          <t xml:space="preserve">Mazda</t>
        </is>
      </c>
      <c r="F6344" s="0" t="inlineStr">
        <is>
          <t xml:space="preserve">Mazda</t>
        </is>
      </c>
      <c r="G6344" s="0" t="s">
        <v>171</v>
      </c>
      <c r="H6344" s="5">
        <v>6580.853600</v>
      </c>
    </row>
    <row r="6345" spans="1:9">
      <c r="A6345" s="22" t="str">
        <f>HYPERLINK("https://app.vivvix.com/360/KMI/IntelliDrive/ApplUI/Pages/CreativePages/CustomReportCreativeDetail.aspx?App=23&amp;ReportView=4&amp;Qid=1711279&amp;Row=6337&amp;Col=1","No Title Assigned - #15269962764")</f>
        <v/>
      </c>
      <c r="B6345" s="0" t="s">
        <v>8330</v>
      </c>
      <c r="E6345" s="0" t="inlineStr">
        <is>
          <t xml:space="preserve">Mazda</t>
        </is>
      </c>
      <c r="F6345" s="0" t="inlineStr">
        <is>
          <t xml:space="preserve">Mazda</t>
        </is>
      </c>
      <c r="G6345" s="0" t="s">
        <v>171</v>
      </c>
      <c r="H6345" s="5">
        <v>66.450800</v>
      </c>
    </row>
    <row r="6346" spans="1:9">
      <c r="A6346" s="22" t="str">
        <f>HYPERLINK("https://app.vivvix.com/360/KMI/IntelliDrive/ApplUI/Pages/CreativePages/CustomReportCreativeDetail.aspx?App=23&amp;ReportView=4&amp;Qid=1711279&amp;Row=6338&amp;Col=1","No Title Assigned - #15269963097")</f>
        <v/>
      </c>
      <c r="B6346" s="0" t="s">
        <v>8331</v>
      </c>
      <c r="E6346" s="0" t="inlineStr">
        <is>
          <t xml:space="preserve">Mazda</t>
        </is>
      </c>
      <c r="F6346" s="0" t="inlineStr">
        <is>
          <t xml:space="preserve">Mazda</t>
        </is>
      </c>
      <c r="G6346" s="0" t="s">
        <v>171</v>
      </c>
      <c r="H6346" s="5">
        <v>430.103000</v>
      </c>
    </row>
    <row r="6347" spans="1:9">
      <c r="A6347" s="22" t="str">
        <f>HYPERLINK("https://app.vivvix.com/360/KMI/IntelliDrive/ApplUI/Pages/CreativePages/CustomReportCreativeDetail.aspx?App=23&amp;ReportView=4&amp;Qid=1711279&amp;Row=6339&amp;Col=1","No Title Assigned - #15269963215")</f>
        <v/>
      </c>
      <c r="B6347" s="0" t="s">
        <v>8332</v>
      </c>
      <c r="E6347" s="0" t="inlineStr">
        <is>
          <t xml:space="preserve">Mazda</t>
        </is>
      </c>
      <c r="F6347" s="0" t="inlineStr">
        <is>
          <t xml:space="preserve">Mazda</t>
        </is>
      </c>
      <c r="G6347" s="0" t="s">
        <v>171</v>
      </c>
      <c r="H6347" s="5">
        <v>63.579800</v>
      </c>
    </row>
    <row r="6348" spans="1:9">
      <c r="A6348" s="22" t="str">
        <f>HYPERLINK("https://app.vivvix.com/360/KMI/IntelliDrive/ApplUI/Pages/CreativePages/CustomReportCreativeDetail.aspx?App=23&amp;ReportView=4&amp;Qid=1711279&amp;Row=6340&amp;Col=1","No Title Assigned - #15269963385")</f>
        <v/>
      </c>
      <c r="B6348" s="0" t="s">
        <v>8333</v>
      </c>
      <c r="E6348" s="0" t="inlineStr">
        <is>
          <t xml:space="preserve">Mazda</t>
        </is>
      </c>
      <c r="F6348" s="0" t="inlineStr">
        <is>
          <t xml:space="preserve">Mazda</t>
        </is>
      </c>
      <c r="G6348" s="0" t="s">
        <v>171</v>
      </c>
      <c r="H6348" s="5">
        <v>316.874800</v>
      </c>
    </row>
    <row r="6349" spans="1:9">
      <c r="A6349" s="22" t="str">
        <f>HYPERLINK("https://app.vivvix.com/360/KMI/IntelliDrive/ApplUI/Pages/CreativePages/CustomReportCreativeDetail.aspx?App=23&amp;ReportView=4&amp;Qid=1711279&amp;Row=6341&amp;Col=1","No Title Assigned - #15269963517")</f>
        <v/>
      </c>
      <c r="B6349" s="0" t="s">
        <v>8334</v>
      </c>
      <c r="C6349" s="0" t="s">
        <v>8335</v>
      </c>
      <c r="D6349" s="0" t="s">
        <v>8335</v>
      </c>
      <c r="E6349" s="0" t="inlineStr">
        <is>
          <t xml:space="preserve">Mazda</t>
        </is>
      </c>
      <c r="F6349" s="0" t="inlineStr">
        <is>
          <t xml:space="preserve">Mazda</t>
        </is>
      </c>
      <c r="G6349" s="0" t="s">
        <v>171</v>
      </c>
      <c r="H6349" s="5">
        <v>431.805500</v>
      </c>
    </row>
    <row r="6350" spans="1:9">
      <c r="A6350" s="22" t="str">
        <f>HYPERLINK("https://app.vivvix.com/360/KMI/IntelliDrive/ApplUI/Pages/CreativePages/CustomReportCreativeDetail.aspx?App=23&amp;ReportView=4&amp;Qid=1711279&amp;Row=6342&amp;Col=1","No Title Assigned - #15269963595")</f>
        <v/>
      </c>
      <c r="B6350" s="0" t="s">
        <v>8336</v>
      </c>
      <c r="E6350" s="0" t="inlineStr">
        <is>
          <t xml:space="preserve">Mazda</t>
        </is>
      </c>
      <c r="F6350" s="0" t="inlineStr">
        <is>
          <t xml:space="preserve">Mazda</t>
        </is>
      </c>
      <c r="G6350" s="0" t="s">
        <v>171</v>
      </c>
      <c r="H6350" s="5">
        <v>27.311700</v>
      </c>
    </row>
    <row r="6351" spans="1:9">
      <c r="A6351" s="22" t="str">
        <f>HYPERLINK("https://app.vivvix.com/360/KMI/IntelliDrive/ApplUI/Pages/CreativePages/CustomReportCreativeDetail.aspx?App=23&amp;ReportView=4&amp;Qid=1711279&amp;Row=6343&amp;Col=1","No Title Assigned - #15269963661")</f>
        <v/>
      </c>
      <c r="B6351" s="0" t="s">
        <v>8337</v>
      </c>
      <c r="E6351" s="0" t="inlineStr">
        <is>
          <t xml:space="preserve">Mazda</t>
        </is>
      </c>
      <c r="F6351" s="0" t="inlineStr">
        <is>
          <t xml:space="preserve">Mazda</t>
        </is>
      </c>
      <c r="G6351" s="0" t="s">
        <v>171</v>
      </c>
      <c r="H6351" s="5">
        <v>619.590500</v>
      </c>
    </row>
    <row r="6352" spans="1:9">
      <c r="A6352" s="22" t="str">
        <f>HYPERLINK("https://app.vivvix.com/360/KMI/IntelliDrive/ApplUI/Pages/CreativePages/CustomReportCreativeDetail.aspx?App=23&amp;ReportView=4&amp;Qid=1711279&amp;Row=6344&amp;Col=1","No Title Assigned - #15269963671")</f>
        <v/>
      </c>
      <c r="B6352" s="0" t="s">
        <v>8338</v>
      </c>
      <c r="C6352" s="0" t="s">
        <v>8339</v>
      </c>
      <c r="D6352" s="0" t="s">
        <v>8339</v>
      </c>
      <c r="E6352" s="0" t="inlineStr">
        <is>
          <t xml:space="preserve">Mazda</t>
        </is>
      </c>
      <c r="F6352" s="0" t="inlineStr">
        <is>
          <t xml:space="preserve">Mazda</t>
        </is>
      </c>
      <c r="G6352" s="0" t="s">
        <v>171</v>
      </c>
      <c r="H6352" s="5">
        <v>73.008000</v>
      </c>
    </row>
    <row r="6353" spans="1:9">
      <c r="A6353" s="22" t="str">
        <f>HYPERLINK("https://app.vivvix.com/360/KMI/IntelliDrive/ApplUI/Pages/CreativePages/CustomReportCreativeDetail.aspx?App=23&amp;ReportView=4&amp;Qid=1711279&amp;Row=6345&amp;Col=1","No Title Assigned - #15269963765")</f>
        <v/>
      </c>
      <c r="B6353" s="0" t="s">
        <v>8340</v>
      </c>
      <c r="E6353" s="0" t="inlineStr">
        <is>
          <t xml:space="preserve">Mazda</t>
        </is>
      </c>
      <c r="F6353" s="0" t="inlineStr">
        <is>
          <t xml:space="preserve">Mazda</t>
        </is>
      </c>
      <c r="G6353" s="0" t="s">
        <v>171</v>
      </c>
      <c r="H6353" s="5">
        <v>3162.481600</v>
      </c>
    </row>
    <row r="6354" spans="1:9">
      <c r="A6354" s="22" t="str">
        <f>HYPERLINK("https://app.vivvix.com/360/KMI/IntelliDrive/ApplUI/Pages/CreativePages/CustomReportCreativeDetail.aspx?App=23&amp;ReportView=4&amp;Qid=1711279&amp;Row=6346&amp;Col=1","No Title Assigned - #15269963961")</f>
        <v/>
      </c>
      <c r="B6354" s="0" t="s">
        <v>8341</v>
      </c>
      <c r="E6354" s="0" t="inlineStr">
        <is>
          <t xml:space="preserve">Mazda</t>
        </is>
      </c>
      <c r="F6354" s="0" t="inlineStr">
        <is>
          <t xml:space="preserve">Mazda</t>
        </is>
      </c>
      <c r="G6354" s="0" t="s">
        <v>171</v>
      </c>
      <c r="H6354" s="5">
        <v>27017.334000</v>
      </c>
    </row>
    <row r="6355" spans="1:9">
      <c r="A6355" s="22" t="str">
        <f>HYPERLINK("https://app.vivvix.com/360/KMI/IntelliDrive/ApplUI/Pages/CreativePages/CustomReportCreativeDetail.aspx?App=23&amp;ReportView=4&amp;Qid=1711279&amp;Row=6347&amp;Col=1","No Title Assigned - #15269964556")</f>
        <v/>
      </c>
      <c r="B6355" s="0" t="s">
        <v>8342</v>
      </c>
      <c r="C6355" s="0" t="s">
        <v>8343</v>
      </c>
      <c r="D6355" s="0" t="s">
        <v>8343</v>
      </c>
      <c r="E6355" s="0" t="inlineStr">
        <is>
          <t xml:space="preserve">Mazda</t>
        </is>
      </c>
      <c r="F6355" s="0" t="s">
        <v>13</v>
      </c>
      <c r="G6355" s="0" t="s">
        <v>49</v>
      </c>
      <c r="H6355" s="5">
        <v>1496.830700</v>
      </c>
    </row>
    <row r="6356" spans="1:9">
      <c r="A6356" s="22" t="str">
        <f>HYPERLINK("https://app.vivvix.com/360/KMI/IntelliDrive/ApplUI/Pages/CreativePages/CustomReportCreativeDetail.aspx?App=23&amp;ReportView=4&amp;Qid=1711279&amp;Row=6348&amp;Col=1","No Title Assigned - #15269964556")</f>
        <v/>
      </c>
      <c r="B6356" s="0" t="s">
        <v>8342</v>
      </c>
      <c r="E6356" s="0" t="inlineStr">
        <is>
          <t xml:space="preserve">Mazda</t>
        </is>
      </c>
      <c r="F6356" s="0" t="s">
        <v>13</v>
      </c>
      <c r="G6356" s="0" t="s">
        <v>49</v>
      </c>
      <c r="H6356" s="5">
        <v>1305.817500</v>
      </c>
    </row>
    <row r="6357" spans="1:9">
      <c r="A6357" s="22" t="str">
        <f>HYPERLINK("https://app.vivvix.com/360/KMI/IntelliDrive/ApplUI/Pages/CreativePages/CustomReportCreativeDetail.aspx?App=23&amp;ReportView=4&amp;Qid=1711279&amp;Row=6349&amp;Col=1","No Title Assigned - #15269964804")</f>
        <v/>
      </c>
      <c r="B6357" s="0" t="s">
        <v>8344</v>
      </c>
      <c r="E6357" s="0" t="inlineStr">
        <is>
          <t xml:space="preserve">Mazda</t>
        </is>
      </c>
      <c r="F6357" s="0" t="inlineStr">
        <is>
          <t xml:space="preserve">Mazda</t>
        </is>
      </c>
      <c r="G6357" s="0" t="s">
        <v>171</v>
      </c>
      <c r="H6357" s="5">
        <v>20716.265200</v>
      </c>
    </row>
    <row r="6358" spans="1:9">
      <c r="A6358" s="22" t="str">
        <f>HYPERLINK("https://app.vivvix.com/360/KMI/IntelliDrive/ApplUI/Pages/CreativePages/CustomReportCreativeDetail.aspx?App=23&amp;ReportView=4&amp;Qid=1711279&amp;Row=6350&amp;Col=1","No Title Assigned - #15269965127")</f>
        <v/>
      </c>
      <c r="B6358" s="0" t="s">
        <v>8345</v>
      </c>
      <c r="E6358" s="0" t="inlineStr">
        <is>
          <t xml:space="preserve">Mazda</t>
        </is>
      </c>
      <c r="F6358" s="0" t="inlineStr">
        <is>
          <t xml:space="preserve">Mazda</t>
        </is>
      </c>
      <c r="G6358" s="0" t="s">
        <v>171</v>
      </c>
      <c r="H6358" s="5">
        <v>858.068000</v>
      </c>
    </row>
    <row r="6359" spans="1:9">
      <c r="A6359" s="22" t="str">
        <f>HYPERLINK("https://app.vivvix.com/360/KMI/IntelliDrive/ApplUI/Pages/CreativePages/CustomReportCreativeDetail.aspx?App=23&amp;ReportView=4&amp;Qid=1711279&amp;Row=6351&amp;Col=1","No Title Assigned - #15269965336")</f>
        <v/>
      </c>
      <c r="B6359" s="0" t="s">
        <v>8346</v>
      </c>
      <c r="E6359" s="0" t="inlineStr">
        <is>
          <t xml:space="preserve">Mazda</t>
        </is>
      </c>
      <c r="F6359" s="0" t="inlineStr">
        <is>
          <t xml:space="preserve">Mazda</t>
        </is>
      </c>
      <c r="G6359" s="0" t="s">
        <v>171</v>
      </c>
      <c r="H6359" s="5">
        <v>8.211000</v>
      </c>
    </row>
    <row r="6360" spans="1:9">
      <c r="A6360" s="22" t="str">
        <f>HYPERLINK("https://app.vivvix.com/360/KMI/IntelliDrive/ApplUI/Pages/CreativePages/CustomReportCreativeDetail.aspx?App=23&amp;ReportView=4&amp;Qid=1711279&amp;Row=6352&amp;Col=1","No Title Assigned - #15269965427")</f>
        <v/>
      </c>
      <c r="B6360" s="0" t="s">
        <v>8347</v>
      </c>
      <c r="E6360" s="0" t="inlineStr">
        <is>
          <t xml:space="preserve">Mazda</t>
        </is>
      </c>
      <c r="F6360" s="0" t="inlineStr">
        <is>
          <t xml:space="preserve">Mazda</t>
        </is>
      </c>
      <c r="G6360" s="0" t="s">
        <v>171</v>
      </c>
      <c r="H6360" s="5">
        <v>220.025900</v>
      </c>
    </row>
    <row r="6361" spans="1:9">
      <c r="A6361" s="22" t="str">
        <f>HYPERLINK("https://app.vivvix.com/360/KMI/IntelliDrive/ApplUI/Pages/CreativePages/CustomReportCreativeDetail.aspx?App=23&amp;ReportView=4&amp;Qid=1711279&amp;Row=6353&amp;Col=1","No Title Assigned - #15269965455")</f>
        <v/>
      </c>
      <c r="B6361" s="0" t="s">
        <v>8348</v>
      </c>
      <c r="C6361" s="0" t="s">
        <v>8349</v>
      </c>
      <c r="D6361" s="0" t="s">
        <v>8349</v>
      </c>
      <c r="E6361" s="0" t="inlineStr">
        <is>
          <t xml:space="preserve">Mazda</t>
        </is>
      </c>
      <c r="F6361" s="0" t="inlineStr">
        <is>
          <t xml:space="preserve">Mazda</t>
        </is>
      </c>
      <c r="G6361" s="0" t="s">
        <v>171</v>
      </c>
      <c r="H6361" s="5">
        <v>83.732400</v>
      </c>
    </row>
    <row r="6362" spans="1:9">
      <c r="A6362" s="22" t="str">
        <f>HYPERLINK("https://app.vivvix.com/360/KMI/IntelliDrive/ApplUI/Pages/CreativePages/CustomReportCreativeDetail.aspx?App=23&amp;ReportView=4&amp;Qid=1711279&amp;Row=6354&amp;Col=1","No Title Assigned - #15269965659")</f>
        <v/>
      </c>
      <c r="B6362" s="0" t="s">
        <v>8350</v>
      </c>
      <c r="E6362" s="0" t="inlineStr">
        <is>
          <t xml:space="preserve">Mazda</t>
        </is>
      </c>
      <c r="F6362" s="0" t="inlineStr">
        <is>
          <t xml:space="preserve">Mazda</t>
        </is>
      </c>
      <c r="G6362" s="0" t="s">
        <v>171</v>
      </c>
      <c r="H6362" s="5">
        <v>1214.346400</v>
      </c>
    </row>
    <row r="6363" spans="1:9">
      <c r="A6363" s="22" t="str">
        <f>HYPERLINK("https://app.vivvix.com/360/KMI/IntelliDrive/ApplUI/Pages/CreativePages/CustomReportCreativeDetail.aspx?App=23&amp;ReportView=4&amp;Qid=1711279&amp;Row=6355&amp;Col=1","No Title Assigned - #15269965687")</f>
        <v/>
      </c>
      <c r="B6363" s="0" t="s">
        <v>8351</v>
      </c>
      <c r="E6363" s="0" t="inlineStr">
        <is>
          <t xml:space="preserve">Mazda</t>
        </is>
      </c>
      <c r="F6363" s="0" t="inlineStr">
        <is>
          <t xml:space="preserve">Mazda</t>
        </is>
      </c>
      <c r="G6363" s="0" t="s">
        <v>171</v>
      </c>
      <c r="H6363" s="5">
        <v>1249.535200</v>
      </c>
    </row>
    <row r="6364" spans="1:9">
      <c r="A6364" s="22" t="str">
        <f>HYPERLINK("https://app.vivvix.com/360/KMI/IntelliDrive/ApplUI/Pages/CreativePages/CustomReportCreativeDetail.aspx?App=23&amp;ReportView=4&amp;Qid=1711279&amp;Row=6356&amp;Col=1","No Title Assigned - #15269965724")</f>
        <v/>
      </c>
      <c r="B6364" s="0" t="s">
        <v>8352</v>
      </c>
      <c r="E6364" s="0" t="inlineStr">
        <is>
          <t xml:space="preserve">Mazda</t>
        </is>
      </c>
      <c r="F6364" s="0" t="inlineStr">
        <is>
          <t xml:space="preserve">Mazda</t>
        </is>
      </c>
      <c r="G6364" s="0" t="s">
        <v>171</v>
      </c>
      <c r="H6364" s="5">
        <v>21.208300</v>
      </c>
    </row>
    <row r="6365" spans="1:9">
      <c r="A6365" s="22" t="str">
        <f>HYPERLINK("https://app.vivvix.com/360/KMI/IntelliDrive/ApplUI/Pages/CreativePages/CustomReportCreativeDetail.aspx?App=23&amp;ReportView=4&amp;Qid=1711279&amp;Row=6357&amp;Col=1","No Title Assigned - #15269966030")</f>
        <v/>
      </c>
      <c r="B6365" s="0" t="s">
        <v>8353</v>
      </c>
      <c r="E6365" s="0" t="inlineStr">
        <is>
          <t xml:space="preserve">Mazda</t>
        </is>
      </c>
      <c r="F6365" s="0" t="inlineStr">
        <is>
          <t xml:space="preserve">Mazda</t>
        </is>
      </c>
      <c r="G6365" s="0" t="s">
        <v>171</v>
      </c>
      <c r="H6365" s="5">
        <v>159.284200</v>
      </c>
    </row>
    <row r="6366" spans="1:9">
      <c r="A6366" s="22" t="str">
        <f>HYPERLINK("https://app.vivvix.com/360/KMI/IntelliDrive/ApplUI/Pages/CreativePages/CustomReportCreativeDetail.aspx?App=23&amp;ReportView=4&amp;Qid=1711279&amp;Row=6358&amp;Col=1","No Title Assigned - #15269966129")</f>
        <v/>
      </c>
      <c r="B6366" s="0" t="s">
        <v>8354</v>
      </c>
      <c r="E6366" s="0" t="inlineStr">
        <is>
          <t xml:space="preserve">Mazda</t>
        </is>
      </c>
      <c r="F6366" s="0" t="inlineStr">
        <is>
          <t xml:space="preserve">Mazda</t>
        </is>
      </c>
      <c r="G6366" s="0" t="s">
        <v>171</v>
      </c>
      <c r="H6366" s="5">
        <v>57.596500</v>
      </c>
    </row>
    <row r="6367" spans="1:9">
      <c r="A6367" s="22" t="str">
        <f>HYPERLINK("https://app.vivvix.com/360/KMI/IntelliDrive/ApplUI/Pages/CreativePages/CustomReportCreativeDetail.aspx?App=23&amp;ReportView=4&amp;Qid=1711279&amp;Row=6359&amp;Col=1","No Title Assigned - #15269966899")</f>
        <v/>
      </c>
      <c r="B6367" s="0" t="s">
        <v>8355</v>
      </c>
      <c r="E6367" s="0" t="inlineStr">
        <is>
          <t xml:space="preserve">Mazda</t>
        </is>
      </c>
      <c r="F6367" s="0" t="inlineStr">
        <is>
          <t xml:space="preserve">Mazda</t>
        </is>
      </c>
      <c r="G6367" s="0" t="s">
        <v>171</v>
      </c>
      <c r="H6367" s="5">
        <v>12.392400</v>
      </c>
    </row>
    <row r="6368" spans="1:9">
      <c r="A6368" s="22" t="str">
        <f>HYPERLINK("https://app.vivvix.com/360/KMI/IntelliDrive/ApplUI/Pages/CreativePages/CustomReportCreativeDetail.aspx?App=23&amp;ReportView=4&amp;Qid=1711279&amp;Row=6360&amp;Col=1","No Title Assigned - #15269966941")</f>
        <v/>
      </c>
      <c r="B6368" s="0" t="s">
        <v>8356</v>
      </c>
      <c r="C6368" s="0" t="s">
        <v>8357</v>
      </c>
      <c r="D6368" s="0" t="s">
        <v>8357</v>
      </c>
      <c r="E6368" s="0" t="inlineStr">
        <is>
          <t xml:space="preserve">Mazda</t>
        </is>
      </c>
      <c r="F6368" s="0" t="inlineStr">
        <is>
          <t xml:space="preserve">Mazda</t>
        </is>
      </c>
      <c r="G6368" s="0" t="s">
        <v>171</v>
      </c>
      <c r="H6368" s="5">
        <v>1.781900</v>
      </c>
    </row>
    <row r="6369" spans="1:9">
      <c r="A6369" s="22" t="str">
        <f>HYPERLINK("https://app.vivvix.com/360/KMI/IntelliDrive/ApplUI/Pages/CreativePages/CustomReportCreativeDetail.aspx?App=23&amp;ReportView=4&amp;Qid=1711279&amp;Row=6361&amp;Col=1","No Title Assigned - #15269967159")</f>
        <v/>
      </c>
      <c r="B6369" s="0" t="s">
        <v>8358</v>
      </c>
      <c r="E6369" s="0" t="inlineStr">
        <is>
          <t xml:space="preserve">Mazda</t>
        </is>
      </c>
      <c r="F6369" s="0" t="inlineStr">
        <is>
          <t xml:space="preserve">Mazda</t>
        </is>
      </c>
      <c r="G6369" s="0" t="s">
        <v>171</v>
      </c>
      <c r="H6369" s="5">
        <v>257.012600</v>
      </c>
    </row>
    <row r="6370" spans="1:9">
      <c r="A6370" s="22" t="str">
        <f>HYPERLINK("https://app.vivvix.com/360/KMI/IntelliDrive/ApplUI/Pages/CreativePages/CustomReportCreativeDetail.aspx?App=23&amp;ReportView=4&amp;Qid=1711279&amp;Row=6362&amp;Col=1","No Title Assigned - #15269967300")</f>
        <v/>
      </c>
      <c r="B6370" s="0" t="s">
        <v>8359</v>
      </c>
      <c r="E6370" s="0" t="inlineStr">
        <is>
          <t xml:space="preserve">Mazda</t>
        </is>
      </c>
      <c r="F6370" s="0" t="inlineStr">
        <is>
          <t xml:space="preserve">Mazda</t>
        </is>
      </c>
      <c r="G6370" s="0" t="s">
        <v>171</v>
      </c>
      <c r="H6370" s="5">
        <v>11.097700</v>
      </c>
    </row>
    <row r="6371" spans="1:9">
      <c r="A6371" s="22" t="str">
        <f>HYPERLINK("https://app.vivvix.com/360/KMI/IntelliDrive/ApplUI/Pages/CreativePages/CustomReportCreativeDetail.aspx?App=23&amp;ReportView=4&amp;Qid=1711279&amp;Row=6363&amp;Col=1","No Title Assigned - #15269967380")</f>
        <v/>
      </c>
      <c r="B6371" s="0" t="s">
        <v>8360</v>
      </c>
      <c r="E6371" s="0" t="inlineStr">
        <is>
          <t xml:space="preserve">Mazda</t>
        </is>
      </c>
      <c r="F6371" s="0" t="inlineStr">
        <is>
          <t xml:space="preserve">Mazda</t>
        </is>
      </c>
      <c r="G6371" s="0" t="s">
        <v>171</v>
      </c>
      <c r="H6371" s="5">
        <v>93.574200</v>
      </c>
    </row>
    <row r="6372" spans="1:9">
      <c r="A6372" s="22" t="str">
        <f>HYPERLINK("https://app.vivvix.com/360/KMI/IntelliDrive/ApplUI/Pages/CreativePages/CustomReportCreativeDetail.aspx?App=23&amp;ReportView=4&amp;Qid=1711279&amp;Row=6364&amp;Col=1","No Title Assigned - #15269967599")</f>
        <v/>
      </c>
      <c r="B6372" s="0" t="s">
        <v>8361</v>
      </c>
      <c r="E6372" s="0" t="inlineStr">
        <is>
          <t xml:space="preserve">Mazda</t>
        </is>
      </c>
      <c r="F6372" s="0" t="inlineStr">
        <is>
          <t xml:space="preserve">Mazda</t>
        </is>
      </c>
      <c r="G6372" s="0" t="s">
        <v>171</v>
      </c>
      <c r="H6372" s="5">
        <v>2521.398200</v>
      </c>
    </row>
    <row r="6373" spans="1:9">
      <c r="A6373" s="22" t="str">
        <f>HYPERLINK("https://app.vivvix.com/360/KMI/IntelliDrive/ApplUI/Pages/CreativePages/CustomReportCreativeDetail.aspx?App=23&amp;ReportView=4&amp;Qid=1711279&amp;Row=6365&amp;Col=1","No Title Assigned - #15269967670")</f>
        <v/>
      </c>
      <c r="B6373" s="0" t="s">
        <v>8362</v>
      </c>
      <c r="E6373" s="0" t="inlineStr">
        <is>
          <t xml:space="preserve">Mazda</t>
        </is>
      </c>
      <c r="F6373" s="0" t="inlineStr">
        <is>
          <t xml:space="preserve">Mazda</t>
        </is>
      </c>
      <c r="G6373" s="0" t="s">
        <v>171</v>
      </c>
      <c r="H6373" s="5">
        <v>500.293400</v>
      </c>
    </row>
    <row r="6374" spans="1:9">
      <c r="A6374" s="22" t="str">
        <f>HYPERLINK("https://app.vivvix.com/360/KMI/IntelliDrive/ApplUI/Pages/CreativePages/CustomReportCreativeDetail.aspx?App=23&amp;ReportView=4&amp;Qid=1711279&amp;Row=6366&amp;Col=1","No Title Assigned - #15269967726")</f>
        <v/>
      </c>
      <c r="B6374" s="0" t="s">
        <v>8363</v>
      </c>
      <c r="E6374" s="0" t="inlineStr">
        <is>
          <t xml:space="preserve">Mazda</t>
        </is>
      </c>
      <c r="F6374" s="0" t="inlineStr">
        <is>
          <t xml:space="preserve">Mazda</t>
        </is>
      </c>
      <c r="G6374" s="0" t="s">
        <v>171</v>
      </c>
      <c r="H6374" s="5">
        <v>18.225200</v>
      </c>
    </row>
    <row r="6375" spans="1:9">
      <c r="A6375" s="22" t="str">
        <f>HYPERLINK("https://app.vivvix.com/360/KMI/IntelliDrive/ApplUI/Pages/CreativePages/CustomReportCreativeDetail.aspx?App=23&amp;ReportView=4&amp;Qid=1711279&amp;Row=6367&amp;Col=1","No Title Assigned - #15269967773")</f>
        <v/>
      </c>
      <c r="B6375" s="0" t="s">
        <v>8364</v>
      </c>
      <c r="E6375" s="0" t="inlineStr">
        <is>
          <t xml:space="preserve">Mazda</t>
        </is>
      </c>
      <c r="F6375" s="0" t="inlineStr">
        <is>
          <t xml:space="preserve">Mazda</t>
        </is>
      </c>
      <c r="G6375" s="0" t="s">
        <v>171</v>
      </c>
      <c r="H6375" s="5">
        <v>9.009100</v>
      </c>
    </row>
    <row r="6376" spans="1:9">
      <c r="A6376" s="22" t="str">
        <f>HYPERLINK("https://app.vivvix.com/360/KMI/IntelliDrive/ApplUI/Pages/CreativePages/CustomReportCreativeDetail.aspx?App=23&amp;ReportView=4&amp;Qid=1711279&amp;Row=6368&amp;Col=1","No Title Assigned - #15269968061")</f>
        <v/>
      </c>
      <c r="B6376" s="0" t="s">
        <v>8365</v>
      </c>
      <c r="E6376" s="0" t="inlineStr">
        <is>
          <t xml:space="preserve">Mazda</t>
        </is>
      </c>
      <c r="F6376" s="0" t="inlineStr">
        <is>
          <t xml:space="preserve">Mazda</t>
        </is>
      </c>
      <c r="G6376" s="0" t="s">
        <v>171</v>
      </c>
      <c r="H6376" s="5">
        <v>16.612700</v>
      </c>
    </row>
    <row r="6377" spans="1:9">
      <c r="A6377" s="22" t="str">
        <f>HYPERLINK("https://app.vivvix.com/360/KMI/IntelliDrive/ApplUI/Pages/CreativePages/CustomReportCreativeDetail.aspx?App=23&amp;ReportView=4&amp;Qid=1711279&amp;Row=6369&amp;Col=1","No Title Assigned - #15269968114")</f>
        <v/>
      </c>
      <c r="B6377" s="0" t="s">
        <v>8366</v>
      </c>
      <c r="E6377" s="0" t="inlineStr">
        <is>
          <t xml:space="preserve">Mazda</t>
        </is>
      </c>
      <c r="F6377" s="0" t="inlineStr">
        <is>
          <t xml:space="preserve">Mazda</t>
        </is>
      </c>
      <c r="G6377" s="0" t="s">
        <v>171</v>
      </c>
      <c r="H6377" s="5">
        <v>142.682300</v>
      </c>
    </row>
    <row r="6378" spans="1:9">
      <c r="A6378" s="22" t="str">
        <f>HYPERLINK("https://app.vivvix.com/360/KMI/IntelliDrive/ApplUI/Pages/CreativePages/CustomReportCreativeDetail.aspx?App=23&amp;ReportView=4&amp;Qid=1711279&amp;Row=6370&amp;Col=1","No Title Assigned - #15269968458")</f>
        <v/>
      </c>
      <c r="B6378" s="0" t="s">
        <v>8367</v>
      </c>
      <c r="E6378" s="0" t="inlineStr">
        <is>
          <t xml:space="preserve">Mazda</t>
        </is>
      </c>
      <c r="F6378" s="0" t="inlineStr">
        <is>
          <t xml:space="preserve">Mazda</t>
        </is>
      </c>
      <c r="G6378" s="0" t="s">
        <v>171</v>
      </c>
      <c r="H6378" s="5">
        <v>35.370600</v>
      </c>
    </row>
    <row r="6379" spans="1:9">
      <c r="A6379" s="22" t="str">
        <f>HYPERLINK("https://app.vivvix.com/360/KMI/IntelliDrive/ApplUI/Pages/CreativePages/CustomReportCreativeDetail.aspx?App=23&amp;ReportView=4&amp;Qid=1711279&amp;Row=6371&amp;Col=1","No Title Assigned - #15269968793")</f>
        <v/>
      </c>
      <c r="B6379" s="0" t="s">
        <v>8368</v>
      </c>
      <c r="C6379" s="0" t="s">
        <v>8369</v>
      </c>
      <c r="D6379" s="0" t="s">
        <v>8369</v>
      </c>
      <c r="E6379" s="0" t="inlineStr">
        <is>
          <t xml:space="preserve">Mazda</t>
        </is>
      </c>
      <c r="F6379" s="0" t="inlineStr">
        <is>
          <t xml:space="preserve">Mazda</t>
        </is>
      </c>
      <c r="G6379" s="0" t="s">
        <v>171</v>
      </c>
      <c r="H6379" s="5">
        <v>152.149500</v>
      </c>
    </row>
    <row r="6380" spans="1:9">
      <c r="A6380" s="22" t="str">
        <f>HYPERLINK("https://app.vivvix.com/360/KMI/IntelliDrive/ApplUI/Pages/CreativePages/CustomReportCreativeDetail.aspx?App=23&amp;ReportView=4&amp;Qid=1711279&amp;Row=6372&amp;Col=1","No Title Assigned - #15269969121")</f>
        <v/>
      </c>
      <c r="B6380" s="0" t="s">
        <v>8370</v>
      </c>
      <c r="E6380" s="0" t="inlineStr">
        <is>
          <t xml:space="preserve">Mazda</t>
        </is>
      </c>
      <c r="F6380" s="0" t="inlineStr">
        <is>
          <t xml:space="preserve">Mazda</t>
        </is>
      </c>
      <c r="G6380" s="0" t="s">
        <v>171</v>
      </c>
      <c r="H6380" s="5">
        <v>2566.349100</v>
      </c>
    </row>
    <row r="6381" spans="1:9">
      <c r="A6381" s="22" t="str">
        <f>HYPERLINK("https://app.vivvix.com/360/KMI/IntelliDrive/ApplUI/Pages/CreativePages/CustomReportCreativeDetail.aspx?App=23&amp;ReportView=4&amp;Qid=1711279&amp;Row=6373&amp;Col=1","No Title Assigned - #15269969366")</f>
        <v/>
      </c>
      <c r="B6381" s="0" t="s">
        <v>8371</v>
      </c>
      <c r="E6381" s="0" t="inlineStr">
        <is>
          <t xml:space="preserve">Mazda</t>
        </is>
      </c>
      <c r="F6381" s="0" t="inlineStr">
        <is>
          <t xml:space="preserve">Mazda</t>
        </is>
      </c>
      <c r="G6381" s="0" t="s">
        <v>171</v>
      </c>
      <c r="H6381" s="5">
        <v>53.409300</v>
      </c>
    </row>
    <row r="6382" spans="1:9">
      <c r="A6382" s="22" t="str">
        <f>HYPERLINK("https://app.vivvix.com/360/KMI/IntelliDrive/ApplUI/Pages/CreativePages/CustomReportCreativeDetail.aspx?App=23&amp;ReportView=4&amp;Qid=1711279&amp;Row=6374&amp;Col=1","No Title Assigned - #15269969420")</f>
        <v/>
      </c>
      <c r="B6382" s="0" t="s">
        <v>8372</v>
      </c>
      <c r="E6382" s="0" t="inlineStr">
        <is>
          <t xml:space="preserve">Mazda</t>
        </is>
      </c>
      <c r="F6382" s="0" t="inlineStr">
        <is>
          <t xml:space="preserve">Mazda</t>
        </is>
      </c>
      <c r="G6382" s="0" t="s">
        <v>171</v>
      </c>
      <c r="H6382" s="5">
        <v>3836.867500</v>
      </c>
    </row>
    <row r="6383" spans="1:9">
      <c r="A6383" s="22" t="str">
        <f>HYPERLINK("https://app.vivvix.com/360/KMI/IntelliDrive/ApplUI/Pages/CreativePages/CustomReportCreativeDetail.aspx?App=23&amp;ReportView=4&amp;Qid=1711279&amp;Row=6375&amp;Col=1","No Title Assigned - #15269969420")</f>
        <v/>
      </c>
      <c r="B6383" s="0" t="s">
        <v>8372</v>
      </c>
      <c r="E6383" s="0" t="inlineStr">
        <is>
          <t xml:space="preserve">Mazda</t>
        </is>
      </c>
      <c r="F6383" s="0" t="inlineStr">
        <is>
          <t xml:space="preserve">Mazda</t>
        </is>
      </c>
      <c r="G6383" s="0" t="s">
        <v>171</v>
      </c>
      <c r="H6383" s="5">
        <v>29768.260800</v>
      </c>
    </row>
    <row r="6384" spans="1:9">
      <c r="A6384" s="22" t="str">
        <f>HYPERLINK("https://app.vivvix.com/360/KMI/IntelliDrive/ApplUI/Pages/CreativePages/CustomReportCreativeDetail.aspx?App=23&amp;ReportView=4&amp;Qid=1711279&amp;Row=6376&amp;Col=1","No Title Assigned - #15269969538")</f>
        <v/>
      </c>
      <c r="B6384" s="0" t="s">
        <v>8373</v>
      </c>
      <c r="E6384" s="0" t="inlineStr">
        <is>
          <t xml:space="preserve">Mazda</t>
        </is>
      </c>
      <c r="F6384" s="0" t="inlineStr">
        <is>
          <t xml:space="preserve">Mazda</t>
        </is>
      </c>
      <c r="G6384" s="0" t="s">
        <v>171</v>
      </c>
      <c r="H6384" s="5">
        <v>479.909900</v>
      </c>
    </row>
    <row r="6385" spans="1:9">
      <c r="A6385" s="22" t="str">
        <f>HYPERLINK("https://app.vivvix.com/360/KMI/IntelliDrive/ApplUI/Pages/CreativePages/CustomReportCreativeDetail.aspx?App=23&amp;ReportView=4&amp;Qid=1711279&amp;Row=6377&amp;Col=1","No Title Assigned - #15269969620")</f>
        <v/>
      </c>
      <c r="B6385" s="0" t="s">
        <v>8374</v>
      </c>
      <c r="E6385" s="0" t="inlineStr">
        <is>
          <t xml:space="preserve">Mazda</t>
        </is>
      </c>
      <c r="F6385" s="0" t="inlineStr">
        <is>
          <t xml:space="preserve">Mazda</t>
        </is>
      </c>
      <c r="G6385" s="0" t="s">
        <v>171</v>
      </c>
      <c r="H6385" s="5">
        <v>151.087400</v>
      </c>
    </row>
    <row r="6386" spans="1:9">
      <c r="A6386" s="22" t="str">
        <f>HYPERLINK("https://app.vivvix.com/360/KMI/IntelliDrive/ApplUI/Pages/CreativePages/CustomReportCreativeDetail.aspx?App=23&amp;ReportView=4&amp;Qid=1711279&amp;Row=6378&amp;Col=1","No Title Assigned - #15269970199")</f>
        <v/>
      </c>
      <c r="B6386" s="0" t="s">
        <v>8375</v>
      </c>
      <c r="C6386" s="0" t="s">
        <v>8376</v>
      </c>
      <c r="D6386" s="0" t="s">
        <v>8376</v>
      </c>
      <c r="E6386" s="0" t="inlineStr">
        <is>
          <t xml:space="preserve">Mazda</t>
        </is>
      </c>
      <c r="F6386" s="0" t="inlineStr">
        <is>
          <t xml:space="preserve">Mazda</t>
        </is>
      </c>
      <c r="G6386" s="0" t="s">
        <v>171</v>
      </c>
      <c r="H6386" s="5">
        <v>161.095600</v>
      </c>
    </row>
    <row r="6387" spans="1:9">
      <c r="A6387" s="22" t="str">
        <f>HYPERLINK("https://app.vivvix.com/360/KMI/IntelliDrive/ApplUI/Pages/CreativePages/CustomReportCreativeDetail.aspx?App=23&amp;ReportView=4&amp;Qid=1711279&amp;Row=6379&amp;Col=1","No Title Assigned - #15269970337")</f>
        <v/>
      </c>
      <c r="B6387" s="0" t="s">
        <v>8377</v>
      </c>
      <c r="E6387" s="0" t="inlineStr">
        <is>
          <t xml:space="preserve">Mazda</t>
        </is>
      </c>
      <c r="F6387" s="0" t="inlineStr">
        <is>
          <t xml:space="preserve">Mazda</t>
        </is>
      </c>
      <c r="G6387" s="0" t="s">
        <v>171</v>
      </c>
      <c r="H6387" s="5">
        <v>52.664400</v>
      </c>
    </row>
    <row r="6388" spans="1:9">
      <c r="A6388" s="22" t="str">
        <f>HYPERLINK("https://app.vivvix.com/360/KMI/IntelliDrive/ApplUI/Pages/CreativePages/CustomReportCreativeDetail.aspx?App=23&amp;ReportView=4&amp;Qid=1711279&amp;Row=6380&amp;Col=1","No Title Assigned - #15269970399")</f>
        <v/>
      </c>
      <c r="B6388" s="0" t="s">
        <v>8378</v>
      </c>
      <c r="E6388" s="0" t="inlineStr">
        <is>
          <t xml:space="preserve">Mazda</t>
        </is>
      </c>
      <c r="F6388" s="0" t="inlineStr">
        <is>
          <t xml:space="preserve">Mazda</t>
        </is>
      </c>
      <c r="G6388" s="0" t="s">
        <v>171</v>
      </c>
      <c r="H6388" s="5">
        <v>65.364700</v>
      </c>
    </row>
    <row r="6389" spans="1:9">
      <c r="A6389" s="22" t="str">
        <f>HYPERLINK("https://app.vivvix.com/360/KMI/IntelliDrive/ApplUI/Pages/CreativePages/CustomReportCreativeDetail.aspx?App=23&amp;ReportView=4&amp;Qid=1711279&amp;Row=6381&amp;Col=1","No Title Assigned - #15269971037")</f>
        <v/>
      </c>
      <c r="B6389" s="0" t="s">
        <v>8379</v>
      </c>
      <c r="E6389" s="0" t="inlineStr">
        <is>
          <t xml:space="preserve">Mazda</t>
        </is>
      </c>
      <c r="F6389" s="0" t="inlineStr">
        <is>
          <t xml:space="preserve">Mazda</t>
        </is>
      </c>
      <c r="G6389" s="0" t="s">
        <v>171</v>
      </c>
      <c r="H6389" s="5">
        <v>84.802900</v>
      </c>
    </row>
    <row r="6390" spans="1:9">
      <c r="A6390" s="22" t="str">
        <f>HYPERLINK("https://app.vivvix.com/360/KMI/IntelliDrive/ApplUI/Pages/CreativePages/CustomReportCreativeDetail.aspx?App=23&amp;ReportView=4&amp;Qid=1711279&amp;Row=6382&amp;Col=1","No Title Assigned - #15269971912")</f>
        <v/>
      </c>
      <c r="B6390" s="0" t="s">
        <v>8380</v>
      </c>
      <c r="E6390" s="0" t="inlineStr">
        <is>
          <t xml:space="preserve">Mazda</t>
        </is>
      </c>
      <c r="F6390" s="0" t="inlineStr">
        <is>
          <t xml:space="preserve">Mazda</t>
        </is>
      </c>
      <c r="G6390" s="0" t="s">
        <v>171</v>
      </c>
      <c r="H6390" s="5">
        <v>133.987500</v>
      </c>
    </row>
    <row r="6391" spans="1:9">
      <c r="A6391" s="22" t="str">
        <f>HYPERLINK("https://app.vivvix.com/360/KMI/IntelliDrive/ApplUI/Pages/CreativePages/CustomReportCreativeDetail.aspx?App=23&amp;ReportView=4&amp;Qid=1711279&amp;Row=6383&amp;Col=1","No Title Assigned - #15269972715")</f>
        <v/>
      </c>
      <c r="B6391" s="0" t="s">
        <v>8381</v>
      </c>
      <c r="E6391" s="0" t="inlineStr">
        <is>
          <t xml:space="preserve">Mazda</t>
        </is>
      </c>
      <c r="F6391" s="0" t="inlineStr">
        <is>
          <t xml:space="preserve">Mazda</t>
        </is>
      </c>
      <c r="G6391" s="0" t="s">
        <v>171</v>
      </c>
      <c r="H6391" s="5">
        <v>89.024400</v>
      </c>
    </row>
    <row r="6392" spans="1:9">
      <c r="A6392" s="22" t="str">
        <f>HYPERLINK("https://app.vivvix.com/360/KMI/IntelliDrive/ApplUI/Pages/CreativePages/CustomReportCreativeDetail.aspx?App=23&amp;ReportView=4&amp;Qid=1711279&amp;Row=6384&amp;Col=1","No Title Assigned - #15269972855")</f>
        <v/>
      </c>
      <c r="B6392" s="0" t="s">
        <v>8382</v>
      </c>
      <c r="E6392" s="0" t="inlineStr">
        <is>
          <t xml:space="preserve">Mazda</t>
        </is>
      </c>
      <c r="F6392" s="0" t="inlineStr">
        <is>
          <t xml:space="preserve">Mazda</t>
        </is>
      </c>
      <c r="G6392" s="0" t="s">
        <v>171</v>
      </c>
      <c r="H6392" s="5">
        <v>38.472800</v>
      </c>
    </row>
    <row r="6393" spans="1:9">
      <c r="A6393" s="22" t="str">
        <f>HYPERLINK("https://app.vivvix.com/360/KMI/IntelliDrive/ApplUI/Pages/CreativePages/CustomReportCreativeDetail.aspx?App=23&amp;ReportView=4&amp;Qid=1711279&amp;Row=6385&amp;Col=1","No Title Assigned - #15269973808")</f>
        <v/>
      </c>
      <c r="B6393" s="0" t="s">
        <v>8383</v>
      </c>
      <c r="C6393" s="0" t="s">
        <v>8384</v>
      </c>
      <c r="D6393" s="0" t="s">
        <v>8384</v>
      </c>
      <c r="E6393" s="0" t="inlineStr">
        <is>
          <t xml:space="preserve">Mazda</t>
        </is>
      </c>
      <c r="F6393" s="0" t="inlineStr">
        <is>
          <t xml:space="preserve">Mazda</t>
        </is>
      </c>
      <c r="G6393" s="0" t="s">
        <v>171</v>
      </c>
      <c r="H6393" s="5">
        <v>51.320200</v>
      </c>
    </row>
    <row r="6394" spans="1:9">
      <c r="A6394" s="22" t="str">
        <f>HYPERLINK("https://app.vivvix.com/360/KMI/IntelliDrive/ApplUI/Pages/CreativePages/CustomReportCreativeDetail.aspx?App=23&amp;ReportView=4&amp;Qid=1711279&amp;Row=6386&amp;Col=1","No Title Assigned - #15269973809")</f>
        <v/>
      </c>
      <c r="B6394" s="0" t="s">
        <v>8385</v>
      </c>
      <c r="E6394" s="0" t="inlineStr">
        <is>
          <t xml:space="preserve">Mazda</t>
        </is>
      </c>
      <c r="F6394" s="0" t="inlineStr">
        <is>
          <t xml:space="preserve">Mazda</t>
        </is>
      </c>
      <c r="G6394" s="0" t="s">
        <v>171</v>
      </c>
      <c r="H6394" s="5">
        <v>12.543200</v>
      </c>
    </row>
    <row r="6395" spans="1:9">
      <c r="A6395" s="22" t="str">
        <f>HYPERLINK("https://app.vivvix.com/360/KMI/IntelliDrive/ApplUI/Pages/CreativePages/CustomReportCreativeDetail.aspx?App=23&amp;ReportView=4&amp;Qid=1711279&amp;Row=6387&amp;Col=1","No Title Assigned - #15269974401")</f>
        <v/>
      </c>
      <c r="B6395" s="0" t="s">
        <v>8386</v>
      </c>
      <c r="E6395" s="0" t="inlineStr">
        <is>
          <t xml:space="preserve">Mazda</t>
        </is>
      </c>
      <c r="F6395" s="0" t="inlineStr">
        <is>
          <t xml:space="preserve">Mazda</t>
        </is>
      </c>
      <c r="G6395" s="0" t="s">
        <v>171</v>
      </c>
      <c r="H6395" s="5">
        <v>51.743300</v>
      </c>
    </row>
    <row r="6396" spans="1:9">
      <c r="A6396" s="22" t="str">
        <f>HYPERLINK("https://app.vivvix.com/360/KMI/IntelliDrive/ApplUI/Pages/CreativePages/CustomReportCreativeDetail.aspx?App=23&amp;ReportView=4&amp;Qid=1711279&amp;Row=6388&amp;Col=1","No Title Assigned - #15269974535")</f>
        <v/>
      </c>
      <c r="B6396" s="0" t="s">
        <v>8387</v>
      </c>
      <c r="E6396" s="0" t="inlineStr">
        <is>
          <t xml:space="preserve">Mazda</t>
        </is>
      </c>
      <c r="F6396" s="0" t="inlineStr">
        <is>
          <t xml:space="preserve">Mazda</t>
        </is>
      </c>
      <c r="G6396" s="0" t="s">
        <v>171</v>
      </c>
      <c r="H6396" s="5">
        <v>250.139400</v>
      </c>
    </row>
    <row r="6397" spans="1:9">
      <c r="A6397" s="22" t="str">
        <f>HYPERLINK("https://app.vivvix.com/360/KMI/IntelliDrive/ApplUI/Pages/CreativePages/CustomReportCreativeDetail.aspx?App=23&amp;ReportView=4&amp;Qid=1711279&amp;Row=6389&amp;Col=1","No Title Assigned - #15269978982")</f>
        <v/>
      </c>
      <c r="B6397" s="0" t="s">
        <v>8388</v>
      </c>
      <c r="E6397" s="0" t="inlineStr">
        <is>
          <t xml:space="preserve">Mazda</t>
        </is>
      </c>
      <c r="F6397" s="0" t="inlineStr">
        <is>
          <t xml:space="preserve">Mazda</t>
        </is>
      </c>
      <c r="G6397" s="0" t="s">
        <v>171</v>
      </c>
      <c r="H6397" s="5">
        <v>61370.000000</v>
      </c>
    </row>
    <row r="6398" spans="1:9">
      <c r="A6398" s="22" t="str">
        <f>HYPERLINK("https://app.vivvix.com/360/KMI/IntelliDrive/ApplUI/Pages/CreativePages/CustomReportCreativeDetail.aspx?App=23&amp;ReportView=4&amp;Qid=1711279&amp;Row=6390&amp;Col=1","No Title Assigned - #15269978982")</f>
        <v/>
      </c>
      <c r="B6398" s="0" t="s">
        <v>8388</v>
      </c>
      <c r="E6398" s="0" t="inlineStr">
        <is>
          <t xml:space="preserve">Mazda</t>
        </is>
      </c>
      <c r="F6398" s="0" t="inlineStr">
        <is>
          <t xml:space="preserve">Mazda</t>
        </is>
      </c>
      <c r="G6398" s="0" t="s">
        <v>171</v>
      </c>
      <c r="H6398" s="5">
        <v>1666.180800</v>
      </c>
    </row>
    <row r="6399" spans="1:9">
      <c r="A6399" s="22" t="str">
        <f>HYPERLINK("https://app.vivvix.com/360/KMI/IntelliDrive/ApplUI/Pages/CreativePages/CustomReportCreativeDetail.aspx?App=23&amp;ReportView=4&amp;Qid=1711279&amp;Row=6391&amp;Col=1","No Title Assigned - #15269979802")</f>
        <v/>
      </c>
      <c r="B6399" s="0" t="s">
        <v>8389</v>
      </c>
      <c r="C6399" s="0" t="s">
        <v>8390</v>
      </c>
      <c r="D6399" s="0" t="s">
        <v>8390</v>
      </c>
      <c r="E6399" s="0" t="inlineStr">
        <is>
          <t xml:space="preserve">Mazda</t>
        </is>
      </c>
      <c r="F6399" s="0" t="inlineStr">
        <is>
          <t xml:space="preserve">Mazda</t>
        </is>
      </c>
      <c r="G6399" s="0" t="s">
        <v>171</v>
      </c>
      <c r="H6399" s="5">
        <v>91.450900</v>
      </c>
    </row>
    <row r="6400" spans="1:9">
      <c r="A6400" s="22" t="str">
        <f>HYPERLINK("https://app.vivvix.com/360/KMI/IntelliDrive/ApplUI/Pages/CreativePages/CustomReportCreativeDetail.aspx?App=23&amp;ReportView=4&amp;Qid=1711279&amp;Row=6392&amp;Col=1","No Title Assigned - #15269979920")</f>
        <v/>
      </c>
      <c r="B6400" s="0" t="s">
        <v>8391</v>
      </c>
      <c r="E6400" s="0" t="inlineStr">
        <is>
          <t xml:space="preserve">Mazda</t>
        </is>
      </c>
      <c r="F6400" s="0" t="inlineStr">
        <is>
          <t xml:space="preserve">Mazda</t>
        </is>
      </c>
      <c r="G6400" s="0" t="s">
        <v>171</v>
      </c>
      <c r="H6400" s="5">
        <v>9.112600</v>
      </c>
    </row>
    <row r="6401" spans="1:9">
      <c r="A6401" s="22" t="str">
        <f>HYPERLINK("https://app.vivvix.com/360/KMI/IntelliDrive/ApplUI/Pages/CreativePages/CustomReportCreativeDetail.aspx?App=23&amp;ReportView=4&amp;Qid=1711279&amp;Row=6393&amp;Col=1","No Title Assigned - #15269980344")</f>
        <v/>
      </c>
      <c r="B6401" s="0" t="s">
        <v>8392</v>
      </c>
      <c r="E6401" s="0" t="inlineStr">
        <is>
          <t xml:space="preserve">Mazda</t>
        </is>
      </c>
      <c r="F6401" s="0" t="inlineStr">
        <is>
          <t xml:space="preserve">Mazda</t>
        </is>
      </c>
      <c r="G6401" s="0" t="s">
        <v>171</v>
      </c>
      <c r="H6401" s="5">
        <v>18.001400</v>
      </c>
    </row>
    <row r="6402" spans="1:9">
      <c r="A6402" s="22" t="str">
        <f>HYPERLINK("https://app.vivvix.com/360/KMI/IntelliDrive/ApplUI/Pages/CreativePages/CustomReportCreativeDetail.aspx?App=23&amp;ReportView=4&amp;Qid=1711279&amp;Row=6394&amp;Col=1","No Title Assigned - #15269981223")</f>
        <v/>
      </c>
      <c r="B6402" s="0" t="s">
        <v>8393</v>
      </c>
      <c r="E6402" s="0" t="inlineStr">
        <is>
          <t xml:space="preserve">Mazda</t>
        </is>
      </c>
      <c r="F6402" s="0" t="inlineStr">
        <is>
          <t xml:space="preserve">Mazda</t>
        </is>
      </c>
      <c r="G6402" s="0" t="s">
        <v>171</v>
      </c>
      <c r="H6402" s="5">
        <v>20.422300</v>
      </c>
    </row>
    <row r="6403" spans="1:9">
      <c r="A6403" s="22" t="str">
        <f>HYPERLINK("https://app.vivvix.com/360/KMI/IntelliDrive/ApplUI/Pages/CreativePages/CustomReportCreativeDetail.aspx?App=23&amp;ReportView=4&amp;Qid=1711279&amp;Row=6395&amp;Col=1","No Title Assigned - #15269982339")</f>
        <v/>
      </c>
      <c r="B6403" s="0" t="s">
        <v>8394</v>
      </c>
      <c r="E6403" s="0" t="inlineStr">
        <is>
          <t xml:space="preserve">Mazda</t>
        </is>
      </c>
      <c r="F6403" s="0" t="inlineStr">
        <is>
          <t xml:space="preserve">Mazda</t>
        </is>
      </c>
      <c r="G6403" s="0" t="s">
        <v>171</v>
      </c>
      <c r="H6403" s="5">
        <v>282.896100</v>
      </c>
    </row>
    <row r="6404" spans="1:9">
      <c r="A6404" s="22" t="str">
        <f>HYPERLINK("https://app.vivvix.com/360/KMI/IntelliDrive/ApplUI/Pages/CreativePages/CustomReportCreativeDetail.aspx?App=23&amp;ReportView=4&amp;Qid=1711279&amp;Row=6396&amp;Col=1","No Title Assigned - #15269982734")</f>
        <v/>
      </c>
      <c r="B6404" s="0" t="s">
        <v>8395</v>
      </c>
      <c r="E6404" s="0" t="inlineStr">
        <is>
          <t xml:space="preserve">Mazda</t>
        </is>
      </c>
      <c r="F6404" s="0" t="inlineStr">
        <is>
          <t xml:space="preserve">Mazda</t>
        </is>
      </c>
      <c r="G6404" s="0" t="s">
        <v>171</v>
      </c>
      <c r="H6404" s="5">
        <v>178.840800</v>
      </c>
    </row>
    <row r="6405" spans="1:9">
      <c r="A6405" s="22" t="str">
        <f>HYPERLINK("https://app.vivvix.com/360/KMI/IntelliDrive/ApplUI/Pages/CreativePages/CustomReportCreativeDetail.aspx?App=23&amp;ReportView=4&amp;Qid=1711279&amp;Row=6397&amp;Col=1","No Title Assigned - #15269983010")</f>
        <v/>
      </c>
      <c r="B6405" s="0" t="s">
        <v>8396</v>
      </c>
      <c r="E6405" s="0" t="inlineStr">
        <is>
          <t xml:space="preserve">Mazda</t>
        </is>
      </c>
      <c r="F6405" s="0" t="inlineStr">
        <is>
          <t xml:space="preserve">Mazda</t>
        </is>
      </c>
      <c r="G6405" s="0" t="s">
        <v>171</v>
      </c>
      <c r="H6405" s="5">
        <v>469.463500</v>
      </c>
    </row>
    <row r="6406" spans="1:9">
      <c r="A6406" s="22" t="str">
        <f>HYPERLINK("https://app.vivvix.com/360/KMI/IntelliDrive/ApplUI/Pages/CreativePages/CustomReportCreativeDetail.aspx?App=23&amp;ReportView=4&amp;Qid=1711279&amp;Row=6398&amp;Col=1","No Title Assigned - #15269983993")</f>
        <v/>
      </c>
      <c r="B6406" s="0" t="s">
        <v>8397</v>
      </c>
      <c r="E6406" s="0" t="inlineStr">
        <is>
          <t xml:space="preserve">Mazda</t>
        </is>
      </c>
      <c r="F6406" s="0" t="inlineStr">
        <is>
          <t xml:space="preserve">Mazda</t>
        </is>
      </c>
      <c r="G6406" s="0" t="s">
        <v>171</v>
      </c>
      <c r="H6406" s="5">
        <v>10.825700</v>
      </c>
    </row>
    <row r="6407" spans="1:9">
      <c r="A6407" s="22" t="str">
        <f>HYPERLINK("https://app.vivvix.com/360/KMI/IntelliDrive/ApplUI/Pages/CreativePages/CustomReportCreativeDetail.aspx?App=23&amp;ReportView=4&amp;Qid=1711279&amp;Row=6399&amp;Col=1","No Title Assigned - #15269984353")</f>
        <v/>
      </c>
      <c r="B6407" s="0" t="s">
        <v>8398</v>
      </c>
      <c r="E6407" s="0" t="inlineStr">
        <is>
          <t xml:space="preserve">Mazda</t>
        </is>
      </c>
      <c r="F6407" s="0" t="inlineStr">
        <is>
          <t xml:space="preserve">Mazda</t>
        </is>
      </c>
      <c r="G6407" s="0" t="s">
        <v>171</v>
      </c>
      <c r="H6407" s="5">
        <v>39.773900</v>
      </c>
    </row>
    <row r="6408" spans="1:9">
      <c r="A6408" s="22" t="str">
        <f>HYPERLINK("https://app.vivvix.com/360/KMI/IntelliDrive/ApplUI/Pages/CreativePages/CustomReportCreativeDetail.aspx?App=23&amp;ReportView=4&amp;Qid=1711279&amp;Row=6400&amp;Col=1","No Title Assigned - #15269984354")</f>
        <v/>
      </c>
      <c r="B6408" s="0" t="s">
        <v>8399</v>
      </c>
      <c r="C6408" s="0" t="s">
        <v>8400</v>
      </c>
      <c r="D6408" s="0" t="s">
        <v>8400</v>
      </c>
      <c r="E6408" s="0" t="inlineStr">
        <is>
          <t xml:space="preserve">Mazda</t>
        </is>
      </c>
      <c r="F6408" s="0" t="inlineStr">
        <is>
          <t xml:space="preserve">Mazda</t>
        </is>
      </c>
      <c r="G6408" s="0" t="s">
        <v>171</v>
      </c>
      <c r="H6408" s="5">
        <v>42.989800</v>
      </c>
    </row>
    <row r="6409" spans="1:9">
      <c r="A6409" s="22" t="str">
        <f>HYPERLINK("https://app.vivvix.com/360/KMI/IntelliDrive/ApplUI/Pages/CreativePages/CustomReportCreativeDetail.aspx?App=23&amp;ReportView=4&amp;Qid=1711279&amp;Row=6401&amp;Col=1","No Title Assigned - #15269984679")</f>
        <v/>
      </c>
      <c r="B6409" s="0" t="s">
        <v>8401</v>
      </c>
      <c r="E6409" s="0" t="inlineStr">
        <is>
          <t xml:space="preserve">Mazda</t>
        </is>
      </c>
      <c r="F6409" s="0" t="inlineStr">
        <is>
          <t xml:space="preserve">Mazda</t>
        </is>
      </c>
      <c r="G6409" s="0" t="s">
        <v>171</v>
      </c>
      <c r="H6409" s="5">
        <v>15.982500</v>
      </c>
    </row>
    <row r="6410" spans="1:9">
      <c r="A6410" s="22" t="str">
        <f>HYPERLINK("https://app.vivvix.com/360/KMI/IntelliDrive/ApplUI/Pages/CreativePages/CustomReportCreativeDetail.aspx?App=23&amp;ReportView=4&amp;Qid=1711279&amp;Row=6402&amp;Col=1","No Title Assigned - #15269984680")</f>
        <v/>
      </c>
      <c r="B6410" s="0" t="s">
        <v>8402</v>
      </c>
      <c r="E6410" s="0" t="inlineStr">
        <is>
          <t xml:space="preserve">Mazda</t>
        </is>
      </c>
      <c r="F6410" s="0" t="inlineStr">
        <is>
          <t xml:space="preserve">Mazda</t>
        </is>
      </c>
      <c r="G6410" s="0" t="s">
        <v>171</v>
      </c>
      <c r="H6410" s="5">
        <v>15.982500</v>
      </c>
    </row>
    <row r="6411" spans="1:9">
      <c r="A6411" s="22" t="str">
        <f>HYPERLINK("https://app.vivvix.com/360/KMI/IntelliDrive/ApplUI/Pages/CreativePages/CustomReportCreativeDetail.aspx?App=23&amp;ReportView=4&amp;Qid=1711279&amp;Row=6403&amp;Col=1","No Title Assigned - #15269985239")</f>
        <v/>
      </c>
      <c r="B6411" s="0" t="s">
        <v>8403</v>
      </c>
      <c r="E6411" s="0" t="inlineStr">
        <is>
          <t xml:space="preserve">Mazda</t>
        </is>
      </c>
      <c r="F6411" s="0" t="inlineStr">
        <is>
          <t xml:space="preserve">Mazda</t>
        </is>
      </c>
      <c r="G6411" s="0" t="s">
        <v>171</v>
      </c>
      <c r="H6411" s="5">
        <v>60.856800</v>
      </c>
    </row>
    <row r="6412" spans="1:9">
      <c r="A6412" s="22" t="str">
        <f>HYPERLINK("https://app.vivvix.com/360/KMI/IntelliDrive/ApplUI/Pages/CreativePages/CustomReportCreativeDetail.aspx?App=23&amp;ReportView=4&amp;Qid=1711279&amp;Row=6404&amp;Col=1","No Title Assigned - #15269986518")</f>
        <v/>
      </c>
      <c r="B6412" s="0" t="s">
        <v>8404</v>
      </c>
      <c r="E6412" s="0" t="inlineStr">
        <is>
          <t xml:space="preserve">Mazda</t>
        </is>
      </c>
      <c r="F6412" s="0" t="inlineStr">
        <is>
          <t xml:space="preserve">Mazda</t>
        </is>
      </c>
      <c r="G6412" s="0" t="s">
        <v>171</v>
      </c>
      <c r="H6412" s="5">
        <v>8.597800</v>
      </c>
    </row>
    <row r="6413" spans="1:9">
      <c r="A6413" s="22" t="str">
        <f>HYPERLINK("https://app.vivvix.com/360/KMI/IntelliDrive/ApplUI/Pages/CreativePages/CustomReportCreativeDetail.aspx?App=23&amp;ReportView=4&amp;Qid=1711279&amp;Row=6405&amp;Col=1","No Title Assigned - #15269986892")</f>
        <v/>
      </c>
      <c r="B6413" s="0" t="s">
        <v>8405</v>
      </c>
      <c r="E6413" s="0" t="inlineStr">
        <is>
          <t xml:space="preserve">Mazda</t>
        </is>
      </c>
      <c r="F6413" s="0" t="inlineStr">
        <is>
          <t xml:space="preserve">Mazda</t>
        </is>
      </c>
      <c r="G6413" s="0" t="s">
        <v>171</v>
      </c>
      <c r="H6413" s="5">
        <v>560.416800</v>
      </c>
    </row>
    <row r="6414" spans="1:9">
      <c r="A6414" s="22" t="str">
        <f>HYPERLINK("https://app.vivvix.com/360/KMI/IntelliDrive/ApplUI/Pages/CreativePages/CustomReportCreativeDetail.aspx?App=23&amp;ReportView=4&amp;Qid=1711279&amp;Row=6406&amp;Col=1","No Title Assigned - #15269996116")</f>
        <v/>
      </c>
      <c r="B6414" s="0" t="s">
        <v>8406</v>
      </c>
      <c r="E6414" s="0" t="inlineStr">
        <is>
          <t xml:space="preserve">Mazda</t>
        </is>
      </c>
      <c r="F6414" s="0" t="inlineStr">
        <is>
          <t xml:space="preserve">Mazda</t>
        </is>
      </c>
      <c r="G6414" s="0" t="s">
        <v>171</v>
      </c>
      <c r="H6414" s="5">
        <v>7.546800</v>
      </c>
    </row>
    <row r="6415" spans="1:9">
      <c r="A6415" s="22" t="str">
        <f>HYPERLINK("https://app.vivvix.com/360/KMI/IntelliDrive/ApplUI/Pages/CreativePages/CustomReportCreativeDetail.aspx?App=23&amp;ReportView=4&amp;Qid=1711279&amp;Row=6407&amp;Col=1","No Title Assigned - #15269996230")</f>
        <v/>
      </c>
      <c r="B6415" s="0" t="s">
        <v>8407</v>
      </c>
      <c r="C6415" s="0" t="s">
        <v>8408</v>
      </c>
      <c r="D6415" s="0" t="s">
        <v>8408</v>
      </c>
      <c r="E6415" s="0" t="inlineStr">
        <is>
          <t xml:space="preserve">Mazda</t>
        </is>
      </c>
      <c r="F6415" s="0" t="inlineStr">
        <is>
          <t xml:space="preserve">Mazda</t>
        </is>
      </c>
      <c r="G6415" s="0" t="s">
        <v>171</v>
      </c>
      <c r="H6415" s="5">
        <v>1071.670600</v>
      </c>
    </row>
    <row r="6416" spans="1:9">
      <c r="A6416" s="22" t="str">
        <f>HYPERLINK("https://app.vivvix.com/360/KMI/IntelliDrive/ApplUI/Pages/CreativePages/CustomReportCreativeDetail.aspx?App=23&amp;ReportView=4&amp;Qid=1711279&amp;Row=6408&amp;Col=1","No Title Assigned - #15269997319")</f>
        <v/>
      </c>
      <c r="B6416" s="0" t="s">
        <v>8409</v>
      </c>
      <c r="C6416" s="0" t="s">
        <v>8410</v>
      </c>
      <c r="D6416" s="0" t="s">
        <v>8410</v>
      </c>
      <c r="E6416" s="0" t="inlineStr">
        <is>
          <t xml:space="preserve">Mazda</t>
        </is>
      </c>
      <c r="F6416" s="0" t="inlineStr">
        <is>
          <t xml:space="preserve">Mazda</t>
        </is>
      </c>
      <c r="G6416" s="0" t="s">
        <v>171</v>
      </c>
      <c r="H6416" s="5">
        <v>751.468300</v>
      </c>
    </row>
    <row r="6417" spans="1:9">
      <c r="A6417" s="22" t="str">
        <f>HYPERLINK("https://app.vivvix.com/360/KMI/IntelliDrive/ApplUI/Pages/CreativePages/CustomReportCreativeDetail.aspx?App=23&amp;ReportView=4&amp;Qid=1711279&amp;Row=6409&amp;Col=1","No Title Assigned - #15269997319")</f>
        <v/>
      </c>
      <c r="B6417" s="0" t="s">
        <v>8409</v>
      </c>
      <c r="E6417" s="0" t="inlineStr">
        <is>
          <t xml:space="preserve">Mazda</t>
        </is>
      </c>
      <c r="F6417" s="0" t="inlineStr">
        <is>
          <t xml:space="preserve">Mazda</t>
        </is>
      </c>
      <c r="G6417" s="0" t="s">
        <v>171</v>
      </c>
      <c r="H6417" s="5">
        <v>554.249600</v>
      </c>
    </row>
    <row r="6418" spans="1:9">
      <c r="A6418" s="22" t="str">
        <f>HYPERLINK("https://app.vivvix.com/360/KMI/IntelliDrive/ApplUI/Pages/CreativePages/CustomReportCreativeDetail.aspx?App=23&amp;ReportView=4&amp;Qid=1711279&amp;Row=6410&amp;Col=1","No Title Assigned - #15269997763")</f>
        <v/>
      </c>
      <c r="B6418" s="0" t="s">
        <v>8411</v>
      </c>
      <c r="E6418" s="0" t="inlineStr">
        <is>
          <t xml:space="preserve">Mazda</t>
        </is>
      </c>
      <c r="F6418" s="0" t="inlineStr">
        <is>
          <t xml:space="preserve">Mazda</t>
        </is>
      </c>
      <c r="G6418" s="0" t="s">
        <v>171</v>
      </c>
      <c r="H6418" s="5">
        <v>92.817900</v>
      </c>
    </row>
    <row r="6419" spans="1:9">
      <c r="A6419" s="22" t="str">
        <f>HYPERLINK("https://app.vivvix.com/360/KMI/IntelliDrive/ApplUI/Pages/CreativePages/CustomReportCreativeDetail.aspx?App=23&amp;ReportView=4&amp;Qid=1711279&amp;Row=6411&amp;Col=1","No Title Assigned - #15269997763")</f>
        <v/>
      </c>
      <c r="B6419" s="0" t="s">
        <v>8411</v>
      </c>
      <c r="E6419" s="0" t="inlineStr">
        <is>
          <t xml:space="preserve">Mazda</t>
        </is>
      </c>
      <c r="F6419" s="0" t="inlineStr">
        <is>
          <t xml:space="preserve">Mazda</t>
        </is>
      </c>
      <c r="G6419" s="0" t="s">
        <v>171</v>
      </c>
      <c r="H6419" s="5">
        <v>105.746900</v>
      </c>
    </row>
    <row r="6420" spans="1:9">
      <c r="A6420" s="22" t="str">
        <f>HYPERLINK("https://app.vivvix.com/360/KMI/IntelliDrive/ApplUI/Pages/CreativePages/CustomReportCreativeDetail.aspx?App=23&amp;ReportView=4&amp;Qid=1711279&amp;Row=6412&amp;Col=1","No Title Assigned - #15269998378")</f>
        <v/>
      </c>
      <c r="B6420" s="0" t="s">
        <v>8412</v>
      </c>
      <c r="E6420" s="0" t="inlineStr">
        <is>
          <t xml:space="preserve">Mazda</t>
        </is>
      </c>
      <c r="F6420" s="0" t="inlineStr">
        <is>
          <t xml:space="preserve">Mazda</t>
        </is>
      </c>
      <c r="G6420" s="0" t="s">
        <v>171</v>
      </c>
      <c r="H6420" s="5">
        <v>814.610900</v>
      </c>
    </row>
    <row r="6421" spans="1:9">
      <c r="A6421" s="22" t="str">
        <f>HYPERLINK("https://app.vivvix.com/360/KMI/IntelliDrive/ApplUI/Pages/CreativePages/CustomReportCreativeDetail.aspx?App=23&amp;ReportView=4&amp;Qid=1711279&amp;Row=6413&amp;Col=1","No Title Assigned - #15269998627")</f>
        <v/>
      </c>
      <c r="B6421" s="0" t="s">
        <v>8413</v>
      </c>
      <c r="E6421" s="0" t="inlineStr">
        <is>
          <t xml:space="preserve">Mazda</t>
        </is>
      </c>
      <c r="F6421" s="0" t="inlineStr">
        <is>
          <t xml:space="preserve">Mazda</t>
        </is>
      </c>
      <c r="G6421" s="0" t="s">
        <v>171</v>
      </c>
      <c r="H6421" s="5">
        <v>932.004600</v>
      </c>
    </row>
    <row r="6422" spans="1:9">
      <c r="A6422" s="22" t="str">
        <f>HYPERLINK("https://app.vivvix.com/360/KMI/IntelliDrive/ApplUI/Pages/CreativePages/CustomReportCreativeDetail.aspx?App=23&amp;ReportView=4&amp;Qid=1711279&amp;Row=6414&amp;Col=1","No Title Assigned - #15269998627")</f>
        <v/>
      </c>
      <c r="B6422" s="0" t="s">
        <v>8413</v>
      </c>
      <c r="C6422" s="0" t="s">
        <v>8414</v>
      </c>
      <c r="D6422" s="0" t="s">
        <v>8414</v>
      </c>
      <c r="E6422" s="0" t="inlineStr">
        <is>
          <t xml:space="preserve">Mazda</t>
        </is>
      </c>
      <c r="F6422" s="0" t="inlineStr">
        <is>
          <t xml:space="preserve">Mazda</t>
        </is>
      </c>
      <c r="G6422" s="0" t="s">
        <v>171</v>
      </c>
      <c r="H6422" s="5">
        <v>35.101300</v>
      </c>
    </row>
    <row r="6423" spans="1:9">
      <c r="A6423" s="22" t="str">
        <f>HYPERLINK("https://app.vivvix.com/360/KMI/IntelliDrive/ApplUI/Pages/CreativePages/CustomReportCreativeDetail.aspx?App=23&amp;ReportView=4&amp;Qid=1711279&amp;Row=6415&amp;Col=1","No Title Assigned - #15269999658")</f>
        <v/>
      </c>
      <c r="B6423" s="0" t="s">
        <v>8415</v>
      </c>
      <c r="E6423" s="0" t="inlineStr">
        <is>
          <t xml:space="preserve">Mazda</t>
        </is>
      </c>
      <c r="F6423" s="0" t="inlineStr">
        <is>
          <t xml:space="preserve">Mazda</t>
        </is>
      </c>
      <c r="G6423" s="0" t="s">
        <v>171</v>
      </c>
      <c r="H6423" s="5">
        <v>3794.618400</v>
      </c>
    </row>
    <row r="6424" spans="1:9">
      <c r="A6424" s="22" t="str">
        <f>HYPERLINK("https://app.vivvix.com/360/KMI/IntelliDrive/ApplUI/Pages/CreativePages/CustomReportCreativeDetail.aspx?App=23&amp;ReportView=4&amp;Qid=1711279&amp;Row=6416&amp;Col=1","No Title Assigned - #15269999721")</f>
        <v/>
      </c>
      <c r="B6424" s="0" t="s">
        <v>8416</v>
      </c>
      <c r="E6424" s="0" t="inlineStr">
        <is>
          <t xml:space="preserve">Mazda</t>
        </is>
      </c>
      <c r="F6424" s="0" t="inlineStr">
        <is>
          <t xml:space="preserve">Mazda</t>
        </is>
      </c>
      <c r="G6424" s="0" t="s">
        <v>171</v>
      </c>
      <c r="H6424" s="5">
        <v>11872.945300</v>
      </c>
    </row>
    <row r="6425" spans="1:9">
      <c r="A6425" s="22" t="str">
        <f>HYPERLINK("https://app.vivvix.com/360/KMI/IntelliDrive/ApplUI/Pages/CreativePages/CustomReportCreativeDetail.aspx?App=23&amp;ReportView=4&amp;Qid=1711279&amp;Row=6417&amp;Col=1","No Title Assigned - #15269999843")</f>
        <v/>
      </c>
      <c r="B6425" s="0" t="s">
        <v>8417</v>
      </c>
      <c r="E6425" s="0" t="inlineStr">
        <is>
          <t xml:space="preserve">Mazda</t>
        </is>
      </c>
      <c r="F6425" s="0" t="inlineStr">
        <is>
          <t xml:space="preserve">Mazda</t>
        </is>
      </c>
      <c r="G6425" s="0" t="s">
        <v>171</v>
      </c>
      <c r="H6425" s="5">
        <v>430.103000</v>
      </c>
    </row>
    <row r="6426" spans="1:9">
      <c r="A6426" s="22" t="str">
        <f>HYPERLINK("https://app.vivvix.com/360/KMI/IntelliDrive/ApplUI/Pages/CreativePages/CustomReportCreativeDetail.aspx?App=23&amp;ReportView=4&amp;Qid=1711279&amp;Row=6418&amp;Col=1","No Title Assigned - #15270000957")</f>
        <v/>
      </c>
      <c r="B6426" s="0" t="s">
        <v>8418</v>
      </c>
      <c r="E6426" s="0" t="inlineStr">
        <is>
          <t xml:space="preserve">Mazda</t>
        </is>
      </c>
      <c r="F6426" s="0" t="inlineStr">
        <is>
          <t xml:space="preserve">Mazda</t>
        </is>
      </c>
      <c r="G6426" s="0" t="s">
        <v>171</v>
      </c>
      <c r="H6426" s="5">
        <v>2272.820500</v>
      </c>
    </row>
    <row r="6427" spans="1:9">
      <c r="A6427" s="22" t="str">
        <f>HYPERLINK("https://app.vivvix.com/360/KMI/IntelliDrive/ApplUI/Pages/CreativePages/CustomReportCreativeDetail.aspx?App=23&amp;ReportView=4&amp;Qid=1711279&amp;Row=6419&amp;Col=1","No Title Assigned - #15270000957")</f>
        <v/>
      </c>
      <c r="B6427" s="0" t="s">
        <v>8418</v>
      </c>
      <c r="E6427" s="0" t="inlineStr">
        <is>
          <t xml:space="preserve">Mazda</t>
        </is>
      </c>
      <c r="F6427" s="0" t="inlineStr">
        <is>
          <t xml:space="preserve">Mazda</t>
        </is>
      </c>
      <c r="G6427" s="0" t="s">
        <v>171</v>
      </c>
      <c r="H6427" s="5">
        <v>24626.050600</v>
      </c>
    </row>
    <row r="6428" spans="1:9">
      <c r="A6428" s="22" t="str">
        <f>HYPERLINK("https://app.vivvix.com/360/KMI/IntelliDrive/ApplUI/Pages/CreativePages/CustomReportCreativeDetail.aspx?App=23&amp;ReportView=4&amp;Qid=1711279&amp;Row=6420&amp;Col=1","No Title Assigned - #15270002137")</f>
        <v/>
      </c>
      <c r="B6428" s="0" t="s">
        <v>8419</v>
      </c>
      <c r="E6428" s="0" t="inlineStr">
        <is>
          <t xml:space="preserve">Mazda</t>
        </is>
      </c>
      <c r="F6428" s="0" t="inlineStr">
        <is>
          <t xml:space="preserve">Mazda</t>
        </is>
      </c>
      <c r="G6428" s="0" t="s">
        <v>171</v>
      </c>
      <c r="H6428" s="5">
        <v>23.438200</v>
      </c>
    </row>
    <row r="6429" spans="1:9">
      <c r="A6429" s="22" t="str">
        <f>HYPERLINK("https://app.vivvix.com/360/KMI/IntelliDrive/ApplUI/Pages/CreativePages/CustomReportCreativeDetail.aspx?App=23&amp;ReportView=4&amp;Qid=1711279&amp;Row=6421&amp;Col=1","No Title Assigned - #15270006289")</f>
        <v/>
      </c>
      <c r="B6429" s="0" t="s">
        <v>8420</v>
      </c>
      <c r="E6429" s="0" t="inlineStr">
        <is>
          <t xml:space="preserve">Mazda</t>
        </is>
      </c>
      <c r="F6429" s="0" t="s">
        <v>28</v>
      </c>
      <c r="G6429" s="0" t="s">
        <v>29</v>
      </c>
      <c r="H6429" s="5">
        <v>40.305600</v>
      </c>
    </row>
    <row r="6430" spans="1:9">
      <c r="A6430" s="22" t="str">
        <f>HYPERLINK("https://app.vivvix.com/360/KMI/IntelliDrive/ApplUI/Pages/CreativePages/CustomReportCreativeDetail.aspx?App=23&amp;ReportView=4&amp;Qid=1711279&amp;Row=6422&amp;Col=1","No Title Assigned - #15270006494")</f>
        <v/>
      </c>
      <c r="B6430" s="0" t="s">
        <v>8421</v>
      </c>
      <c r="C6430" s="0" t="s">
        <v>8422</v>
      </c>
      <c r="D6430" s="0" t="s">
        <v>4204</v>
      </c>
      <c r="E6430" s="0" t="inlineStr">
        <is>
          <t xml:space="preserve">Mazda</t>
        </is>
      </c>
      <c r="F6430" s="0" t="s">
        <v>28</v>
      </c>
      <c r="G6430" s="0" t="s">
        <v>29</v>
      </c>
      <c r="H6430" s="5">
        <v>60783.996100</v>
      </c>
    </row>
    <row r="6431" spans="1:9">
      <c r="A6431" s="22" t="str">
        <f>HYPERLINK("https://app.vivvix.com/360/KMI/IntelliDrive/ApplUI/Pages/CreativePages/CustomReportCreativeDetail.aspx?App=23&amp;ReportView=4&amp;Qid=1711279&amp;Row=6423&amp;Col=1","No Title Assigned - #15270006495")</f>
        <v/>
      </c>
      <c r="B6431" s="0" t="s">
        <v>8423</v>
      </c>
      <c r="E6431" s="0" t="inlineStr">
        <is>
          <t xml:space="preserve">Mazda</t>
        </is>
      </c>
      <c r="F6431" s="0" t="s">
        <v>28</v>
      </c>
      <c r="G6431" s="0" t="s">
        <v>29</v>
      </c>
      <c r="H6431" s="5">
        <v>121567.992200</v>
      </c>
    </row>
    <row r="6432" spans="1:9">
      <c r="A6432" s="22" t="str">
        <f>HYPERLINK("https://app.vivvix.com/360/KMI/IntelliDrive/ApplUI/Pages/CreativePages/CustomReportCreativeDetail.aspx?App=23&amp;ReportView=4&amp;Qid=1711279&amp;Row=6424&amp;Col=1","No Title Assigned - #15270007145")</f>
        <v/>
      </c>
      <c r="B6432" s="0" t="s">
        <v>8424</v>
      </c>
      <c r="C6432" s="0" t="s">
        <v>8425</v>
      </c>
      <c r="D6432" s="0" t="s">
        <v>4333</v>
      </c>
      <c r="E6432" s="0" t="inlineStr">
        <is>
          <t xml:space="preserve">Mazda</t>
        </is>
      </c>
      <c r="F6432" s="0" t="s">
        <v>28</v>
      </c>
      <c r="G6432" s="0" t="s">
        <v>29</v>
      </c>
      <c r="H6432" s="5">
        <v>612.124400</v>
      </c>
    </row>
    <row r="6433" spans="1:9">
      <c r="A6433" s="22" t="str">
        <f>HYPERLINK("https://app.vivvix.com/360/KMI/IntelliDrive/ApplUI/Pages/CreativePages/CustomReportCreativeDetail.aspx?App=23&amp;ReportView=4&amp;Qid=1711279&amp;Row=6425&amp;Col=1","No Title Assigned - #15270007213")</f>
        <v/>
      </c>
      <c r="B6433" s="0" t="s">
        <v>8426</v>
      </c>
      <c r="C6433" s="0" t="s">
        <v>8427</v>
      </c>
      <c r="D6433" s="0" t="s">
        <v>4204</v>
      </c>
      <c r="E6433" s="0" t="inlineStr">
        <is>
          <t xml:space="preserve">Mazda</t>
        </is>
      </c>
      <c r="F6433" s="0" t="s">
        <v>28</v>
      </c>
      <c r="G6433" s="0" t="s">
        <v>29</v>
      </c>
      <c r="H6433" s="5">
        <v>14.027200</v>
      </c>
    </row>
    <row r="6434" spans="1:9">
      <c r="A6434" s="22" t="str">
        <f>HYPERLINK("https://app.vivvix.com/360/KMI/IntelliDrive/ApplUI/Pages/CreativePages/CustomReportCreativeDetail.aspx?App=23&amp;ReportView=4&amp;Qid=1711279&amp;Row=6426&amp;Col=1","No Title Assigned - #15270008886")</f>
        <v/>
      </c>
      <c r="B6434" s="0" t="s">
        <v>8428</v>
      </c>
      <c r="C6434" s="0" t="s">
        <v>8429</v>
      </c>
      <c r="D6434" s="0" t="s">
        <v>8429</v>
      </c>
      <c r="E6434" s="0" t="inlineStr">
        <is>
          <t xml:space="preserve">Mazda</t>
        </is>
      </c>
      <c r="F6434" s="0" t="s">
        <v>13</v>
      </c>
      <c r="G6434" s="0" t="s">
        <v>49</v>
      </c>
      <c r="H6434" s="5">
        <v>43.085900</v>
      </c>
    </row>
    <row r="6435" spans="1:9">
      <c r="A6435" s="22" t="str">
        <f>HYPERLINK("https://app.vivvix.com/360/KMI/IntelliDrive/ApplUI/Pages/CreativePages/CustomReportCreativeDetail.aspx?App=23&amp;ReportView=4&amp;Qid=1711279&amp;Row=6427&amp;Col=1","No Title Assigned - #15270009121")</f>
        <v/>
      </c>
      <c r="B6435" s="0" t="s">
        <v>8430</v>
      </c>
      <c r="C6435" s="0" t="s">
        <v>8431</v>
      </c>
      <c r="D6435" s="0" t="s">
        <v>8431</v>
      </c>
      <c r="E6435" s="0" t="inlineStr">
        <is>
          <t xml:space="preserve">Mazda</t>
        </is>
      </c>
      <c r="F6435" s="0" t="s">
        <v>13</v>
      </c>
      <c r="G6435" s="0" t="s">
        <v>49</v>
      </c>
      <c r="H6435" s="5">
        <v>1528.919400</v>
      </c>
    </row>
    <row r="6436" spans="1:9">
      <c r="A6436" s="22" t="str">
        <f>HYPERLINK("https://app.vivvix.com/360/KMI/IntelliDrive/ApplUI/Pages/CreativePages/CustomReportCreativeDetail.aspx?App=23&amp;ReportView=4&amp;Qid=1711279&amp;Row=6428&amp;Col=1","No Title Assigned - #15270011184")</f>
        <v/>
      </c>
      <c r="B6436" s="0" t="s">
        <v>8432</v>
      </c>
      <c r="E6436" s="0" t="inlineStr">
        <is>
          <t xml:space="preserve">Mazda</t>
        </is>
      </c>
      <c r="F6436" s="0" t="inlineStr">
        <is>
          <t xml:space="preserve">Mazda</t>
        </is>
      </c>
      <c r="G6436" s="0" t="s">
        <v>210</v>
      </c>
      <c r="H6436" s="5">
        <v>814.834600</v>
      </c>
    </row>
    <row r="6437" spans="1:9">
      <c r="A6437" s="22" t="str">
        <f>HYPERLINK("https://app.vivvix.com/360/KMI/IntelliDrive/ApplUI/Pages/CreativePages/CustomReportCreativeDetail.aspx?App=23&amp;ReportView=4&amp;Qid=1711279&amp;Row=6429&amp;Col=1","No Title Assigned - #15270011204")</f>
        <v/>
      </c>
      <c r="B6437" s="0" t="s">
        <v>8433</v>
      </c>
      <c r="C6437" s="0" t="s">
        <v>8434</v>
      </c>
      <c r="D6437" s="0" t="s">
        <v>8434</v>
      </c>
      <c r="E6437" s="0" t="inlineStr">
        <is>
          <t xml:space="preserve">Mazda</t>
        </is>
      </c>
      <c r="F6437" s="0" t="s">
        <v>28</v>
      </c>
      <c r="G6437" s="0" t="s">
        <v>29</v>
      </c>
      <c r="H6437" s="5">
        <v>13.434200</v>
      </c>
    </row>
    <row r="6438" spans="1:9">
      <c r="A6438" s="22" t="str">
        <f>HYPERLINK("https://app.vivvix.com/360/KMI/IntelliDrive/ApplUI/Pages/CreativePages/CustomReportCreativeDetail.aspx?App=23&amp;ReportView=4&amp;Qid=1711279&amp;Row=6430&amp;Col=1","No Title Assigned - #15270011593")</f>
        <v/>
      </c>
      <c r="B6438" s="0" t="s">
        <v>8435</v>
      </c>
      <c r="E6438" s="0" t="inlineStr">
        <is>
          <t xml:space="preserve">Mazda</t>
        </is>
      </c>
      <c r="F6438" s="0" t="s">
        <v>28</v>
      </c>
      <c r="G6438" s="0" t="s">
        <v>29</v>
      </c>
      <c r="H6438" s="5">
        <v>12866.503900</v>
      </c>
    </row>
    <row r="6439" spans="1:9">
      <c r="A6439" s="22" t="str">
        <f>HYPERLINK("https://app.vivvix.com/360/KMI/IntelliDrive/ApplUI/Pages/CreativePages/CustomReportCreativeDetail.aspx?App=23&amp;ReportView=4&amp;Qid=1711279&amp;Row=6431&amp;Col=1","No Title Assigned - #15270011821")</f>
        <v/>
      </c>
      <c r="B6439" s="0" t="s">
        <v>8436</v>
      </c>
      <c r="C6439" s="0" t="s">
        <v>8437</v>
      </c>
      <c r="D6439" s="0" t="s">
        <v>8437</v>
      </c>
      <c r="E6439" s="0" t="inlineStr">
        <is>
          <t xml:space="preserve">Mazda</t>
        </is>
      </c>
      <c r="F6439" s="0" t="s">
        <v>13</v>
      </c>
      <c r="G6439" s="0" t="s">
        <v>49</v>
      </c>
      <c r="H6439" s="5">
        <v>74.802500</v>
      </c>
    </row>
    <row r="6440" spans="1:9">
      <c r="A6440" s="22" t="str">
        <f>HYPERLINK("https://app.vivvix.com/360/KMI/IntelliDrive/ApplUI/Pages/CreativePages/CustomReportCreativeDetail.aspx?App=23&amp;ReportView=4&amp;Qid=1711279&amp;Row=6432&amp;Col=1","No Title Assigned - #15270012610")</f>
        <v/>
      </c>
      <c r="B6440" s="0" t="s">
        <v>8438</v>
      </c>
      <c r="C6440" s="0" t="s">
        <v>8439</v>
      </c>
      <c r="D6440" s="0" t="s">
        <v>8439</v>
      </c>
      <c r="E6440" s="0" t="inlineStr">
        <is>
          <t xml:space="preserve">Mazda</t>
        </is>
      </c>
      <c r="F6440" s="0" t="s">
        <v>13</v>
      </c>
      <c r="G6440" s="0" t="s">
        <v>49</v>
      </c>
      <c r="H6440" s="5">
        <v>3898.501900</v>
      </c>
    </row>
    <row r="6441" spans="1:9">
      <c r="A6441" s="22" t="str">
        <f>HYPERLINK("https://app.vivvix.com/360/KMI/IntelliDrive/ApplUI/Pages/CreativePages/CustomReportCreativeDetail.aspx?App=23&amp;ReportView=4&amp;Qid=1711279&amp;Row=6433&amp;Col=1","No Title Assigned - #15270012610")</f>
        <v/>
      </c>
      <c r="B6441" s="0" t="s">
        <v>8438</v>
      </c>
      <c r="E6441" s="0" t="inlineStr">
        <is>
          <t xml:space="preserve">Mazda</t>
        </is>
      </c>
      <c r="F6441" s="0" t="s">
        <v>13</v>
      </c>
      <c r="G6441" s="0" t="s">
        <v>49</v>
      </c>
      <c r="H6441" s="5">
        <v>294787.847400</v>
      </c>
    </row>
    <row r="6442" spans="1:9">
      <c r="A6442" s="22" t="str">
        <f>HYPERLINK("https://app.vivvix.com/360/KMI/IntelliDrive/ApplUI/Pages/CreativePages/CustomReportCreativeDetail.aspx?App=23&amp;ReportView=4&amp;Qid=1711279&amp;Row=6434&amp;Col=1","No Title Assigned - #15270013344")</f>
        <v/>
      </c>
      <c r="B6442" s="0" t="s">
        <v>8440</v>
      </c>
      <c r="E6442" s="0" t="inlineStr">
        <is>
          <t xml:space="preserve">Mazda</t>
        </is>
      </c>
      <c r="F6442" s="0" t="s">
        <v>28</v>
      </c>
      <c r="G6442" s="0" t="s">
        <v>29</v>
      </c>
      <c r="H6442" s="5">
        <v>18.226700</v>
      </c>
    </row>
    <row r="6443" spans="1:9">
      <c r="A6443" s="22" t="str">
        <f>HYPERLINK("https://app.vivvix.com/360/KMI/IntelliDrive/ApplUI/Pages/CreativePages/CustomReportCreativeDetail.aspx?App=23&amp;ReportView=4&amp;Qid=1711279&amp;Row=6435&amp;Col=1","No Title Assigned - #15270014835")</f>
        <v/>
      </c>
      <c r="B6443" s="0" t="s">
        <v>8441</v>
      </c>
      <c r="C6443" s="0" t="s">
        <v>8442</v>
      </c>
      <c r="D6443" s="0" t="s">
        <v>8443</v>
      </c>
      <c r="E6443" s="0" t="inlineStr">
        <is>
          <t xml:space="preserve">Mazda</t>
        </is>
      </c>
      <c r="F6443" s="0" t="inlineStr">
        <is>
          <t xml:space="preserve">Mazda</t>
        </is>
      </c>
      <c r="G6443" s="0" t="s">
        <v>210</v>
      </c>
      <c r="H6443" s="5">
        <v>431.767300</v>
      </c>
    </row>
    <row r="6444" spans="1:9">
      <c r="A6444" s="22" t="str">
        <f>HYPERLINK("https://app.vivvix.com/360/KMI/IntelliDrive/ApplUI/Pages/CreativePages/CustomReportCreativeDetail.aspx?App=23&amp;ReportView=4&amp;Qid=1711279&amp;Row=6436&amp;Col=1","No Title Assigned - #15270014836")</f>
        <v/>
      </c>
      <c r="B6444" s="0" t="s">
        <v>8444</v>
      </c>
      <c r="C6444" s="0" t="s">
        <v>8445</v>
      </c>
      <c r="D6444" s="0" t="s">
        <v>8445</v>
      </c>
      <c r="E6444" s="0" t="inlineStr">
        <is>
          <t xml:space="preserve">Mazda</t>
        </is>
      </c>
      <c r="F6444" s="0" t="s">
        <v>13</v>
      </c>
      <c r="G6444" s="0" t="s">
        <v>49</v>
      </c>
      <c r="H6444" s="5">
        <v>50.591300</v>
      </c>
    </row>
    <row r="6445" spans="1:9">
      <c r="A6445" s="22" t="str">
        <f>HYPERLINK("https://app.vivvix.com/360/KMI/IntelliDrive/ApplUI/Pages/CreativePages/CustomReportCreativeDetail.aspx?App=23&amp;ReportView=4&amp;Qid=1711279&amp;Row=6437&amp;Col=1","No Title Assigned - #15270015136")</f>
        <v/>
      </c>
      <c r="B6445" s="0" t="s">
        <v>8446</v>
      </c>
      <c r="C6445" s="0" t="s">
        <v>8447</v>
      </c>
      <c r="D6445" s="0" t="s">
        <v>8447</v>
      </c>
      <c r="E6445" s="0" t="inlineStr">
        <is>
          <t xml:space="preserve">Mazda</t>
        </is>
      </c>
      <c r="F6445" s="0" t="inlineStr">
        <is>
          <t xml:space="preserve">Mazda</t>
        </is>
      </c>
      <c r="G6445" s="0" t="s">
        <v>210</v>
      </c>
      <c r="H6445" s="5">
        <v>1678.409400</v>
      </c>
    </row>
    <row r="6446" spans="1:9">
      <c r="A6446" s="22" t="str">
        <f>HYPERLINK("https://app.vivvix.com/360/KMI/IntelliDrive/ApplUI/Pages/CreativePages/CustomReportCreativeDetail.aspx?App=23&amp;ReportView=4&amp;Qid=1711279&amp;Row=6438&amp;Col=1","No Title Assigned - #15270016256")</f>
        <v/>
      </c>
      <c r="B6446" s="0" t="s">
        <v>8448</v>
      </c>
      <c r="C6446" s="0" t="s">
        <v>8449</v>
      </c>
      <c r="D6446" s="0" t="s">
        <v>4204</v>
      </c>
      <c r="E6446" s="0" t="inlineStr">
        <is>
          <t xml:space="preserve">Mazda</t>
        </is>
      </c>
      <c r="F6446" s="0" t="s">
        <v>28</v>
      </c>
      <c r="G6446" s="0" t="s">
        <v>29</v>
      </c>
      <c r="H6446" s="5">
        <v>2097.522500</v>
      </c>
    </row>
    <row r="6447" spans="1:9">
      <c r="A6447" s="22" t="str">
        <f>HYPERLINK("https://app.vivvix.com/360/KMI/IntelliDrive/ApplUI/Pages/CreativePages/CustomReportCreativeDetail.aspx?App=23&amp;ReportView=4&amp;Qid=1711279&amp;Row=6439&amp;Col=1","No Title Assigned - #15270017348")</f>
        <v/>
      </c>
      <c r="B6447" s="0" t="s">
        <v>8450</v>
      </c>
      <c r="C6447" s="0" t="s">
        <v>8451</v>
      </c>
      <c r="D6447" s="0" t="s">
        <v>4333</v>
      </c>
      <c r="E6447" s="0" t="inlineStr">
        <is>
          <t xml:space="preserve">Mazda</t>
        </is>
      </c>
      <c r="F6447" s="0" t="s">
        <v>28</v>
      </c>
      <c r="G6447" s="0" t="s">
        <v>29</v>
      </c>
      <c r="H6447" s="5">
        <v>51.366300</v>
      </c>
    </row>
    <row r="6448" spans="1:9">
      <c r="A6448" s="22" t="str">
        <f>HYPERLINK("https://app.vivvix.com/360/KMI/IntelliDrive/ApplUI/Pages/CreativePages/CustomReportCreativeDetail.aspx?App=23&amp;ReportView=4&amp;Qid=1711279&amp;Row=6440&amp;Col=1","No Title Assigned - #15270017751")</f>
        <v/>
      </c>
      <c r="B6448" s="0" t="s">
        <v>8452</v>
      </c>
      <c r="C6448" s="0" t="s">
        <v>8453</v>
      </c>
      <c r="D6448" s="0" t="s">
        <v>8453</v>
      </c>
      <c r="E6448" s="0" t="inlineStr">
        <is>
          <t xml:space="preserve">Mazda</t>
        </is>
      </c>
      <c r="F6448" s="0" t="s">
        <v>13</v>
      </c>
      <c r="G6448" s="0" t="s">
        <v>49</v>
      </c>
      <c r="H6448" s="5">
        <v>48686.503500</v>
      </c>
    </row>
    <row r="6449" spans="1:9">
      <c r="A6449" s="22" t="str">
        <f>HYPERLINK("https://app.vivvix.com/360/KMI/IntelliDrive/ApplUI/Pages/CreativePages/CustomReportCreativeDetail.aspx?App=23&amp;ReportView=4&amp;Qid=1711279&amp;Row=6441&amp;Col=1","No Title Assigned - #15270017751")</f>
        <v/>
      </c>
      <c r="B6449" s="0" t="s">
        <v>8452</v>
      </c>
      <c r="E6449" s="0" t="inlineStr">
        <is>
          <t xml:space="preserve">Mazda</t>
        </is>
      </c>
      <c r="F6449" s="0" t="s">
        <v>13</v>
      </c>
      <c r="G6449" s="0" t="s">
        <v>49</v>
      </c>
      <c r="H6449" s="5">
        <v>94726.720400</v>
      </c>
    </row>
    <row r="6450" spans="1:9">
      <c r="A6450" s="22" t="str">
        <f>HYPERLINK("https://app.vivvix.com/360/KMI/IntelliDrive/ApplUI/Pages/CreativePages/CustomReportCreativeDetail.aspx?App=23&amp;ReportView=4&amp;Qid=1711279&amp;Row=6442&amp;Col=1","No Title Assigned - #15270018222")</f>
        <v/>
      </c>
      <c r="B6450" s="0" t="s">
        <v>8454</v>
      </c>
      <c r="C6450" s="0" t="s">
        <v>8455</v>
      </c>
      <c r="D6450" s="0" t="s">
        <v>4200</v>
      </c>
      <c r="E6450" s="0" t="inlineStr">
        <is>
          <t xml:space="preserve">Mazda</t>
        </is>
      </c>
      <c r="F6450" s="0" t="s">
        <v>28</v>
      </c>
      <c r="G6450" s="0" t="s">
        <v>29</v>
      </c>
      <c r="H6450" s="5">
        <v>157.436000</v>
      </c>
    </row>
    <row r="6451" spans="1:9">
      <c r="A6451" s="22" t="str">
        <f>HYPERLINK("https://app.vivvix.com/360/KMI/IntelliDrive/ApplUI/Pages/CreativePages/CustomReportCreativeDetail.aspx?App=23&amp;ReportView=4&amp;Qid=1711279&amp;Row=6443&amp;Col=1","No Title Assigned - #15270018720")</f>
        <v/>
      </c>
      <c r="B6451" s="0" t="s">
        <v>8456</v>
      </c>
      <c r="C6451" s="0" t="s">
        <v>8457</v>
      </c>
      <c r="D6451" s="0" t="s">
        <v>8457</v>
      </c>
      <c r="E6451" s="0" t="inlineStr">
        <is>
          <t xml:space="preserve">Mazda</t>
        </is>
      </c>
      <c r="F6451" s="0" t="s">
        <v>28</v>
      </c>
      <c r="G6451" s="0" t="s">
        <v>29</v>
      </c>
      <c r="H6451" s="5">
        <v>18.878000</v>
      </c>
    </row>
    <row r="6452" spans="1:9">
      <c r="A6452" s="22" t="str">
        <f>HYPERLINK("https://app.vivvix.com/360/KMI/IntelliDrive/ApplUI/Pages/CreativePages/CustomReportCreativeDetail.aspx?App=23&amp;ReportView=4&amp;Qid=1711279&amp;Row=6444&amp;Col=1","No Title Assigned - #15270018901")</f>
        <v/>
      </c>
      <c r="B6452" s="0" t="s">
        <v>8458</v>
      </c>
      <c r="E6452" s="0" t="inlineStr">
        <is>
          <t xml:space="preserve">Mazda</t>
        </is>
      </c>
      <c r="F6452" s="0" t="inlineStr">
        <is>
          <t xml:space="preserve">Mazda</t>
        </is>
      </c>
      <c r="G6452" s="0" t="s">
        <v>171</v>
      </c>
      <c r="H6452" s="5">
        <v>376.558400</v>
      </c>
    </row>
    <row r="6453" spans="1:9">
      <c r="A6453" s="22" t="str">
        <f>HYPERLINK("https://app.vivvix.com/360/KMI/IntelliDrive/ApplUI/Pages/CreativePages/CustomReportCreativeDetail.aspx?App=23&amp;ReportView=4&amp;Qid=1711279&amp;Row=6445&amp;Col=1","No Title Assigned - #15270022274")</f>
        <v/>
      </c>
      <c r="B6453" s="0" t="s">
        <v>8459</v>
      </c>
      <c r="E6453" s="0" t="inlineStr">
        <is>
          <t xml:space="preserve">Mazda</t>
        </is>
      </c>
      <c r="F6453" s="0" t="s">
        <v>28</v>
      </c>
      <c r="G6453" s="0" t="s">
        <v>29</v>
      </c>
      <c r="H6453" s="5">
        <v>726.772100</v>
      </c>
    </row>
    <row r="6454" spans="1:9">
      <c r="A6454" s="22" t="str">
        <f>HYPERLINK("https://app.vivvix.com/360/KMI/IntelliDrive/ApplUI/Pages/CreativePages/CustomReportCreativeDetail.aspx?App=23&amp;ReportView=4&amp;Qid=1711279&amp;Row=6446&amp;Col=1","No Title Assigned - #15270022649")</f>
        <v/>
      </c>
      <c r="B6454" s="0" t="s">
        <v>8460</v>
      </c>
      <c r="C6454" s="0" t="s">
        <v>8461</v>
      </c>
      <c r="D6454" s="0" t="s">
        <v>7081</v>
      </c>
      <c r="E6454" s="0" t="inlineStr">
        <is>
          <t xml:space="preserve">Mazda</t>
        </is>
      </c>
      <c r="F6454" s="0" t="s">
        <v>13</v>
      </c>
      <c r="G6454" s="0" t="s">
        <v>49</v>
      </c>
      <c r="H6454" s="5">
        <v>110.293800</v>
      </c>
    </row>
    <row r="6455" spans="1:9">
      <c r="A6455" s="22" t="str">
        <f>HYPERLINK("https://app.vivvix.com/360/KMI/IntelliDrive/ApplUI/Pages/CreativePages/CustomReportCreativeDetail.aspx?App=23&amp;ReportView=4&amp;Qid=1711279&amp;Row=6447&amp;Col=1","No Title Assigned - #15270022702")</f>
        <v/>
      </c>
      <c r="B6455" s="0" t="s">
        <v>8462</v>
      </c>
      <c r="E6455" s="0" t="inlineStr">
        <is>
          <t xml:space="preserve">Mazda</t>
        </is>
      </c>
      <c r="F6455" s="0" t="s">
        <v>28</v>
      </c>
      <c r="G6455" s="0" t="s">
        <v>29</v>
      </c>
      <c r="H6455" s="5">
        <v>18.232200</v>
      </c>
    </row>
    <row r="6456" spans="1:9">
      <c r="A6456" s="22" t="str">
        <f>HYPERLINK("https://app.vivvix.com/360/KMI/IntelliDrive/ApplUI/Pages/CreativePages/CustomReportCreativeDetail.aspx?App=23&amp;ReportView=4&amp;Qid=1711279&amp;Row=6448&amp;Col=1","No Title Assigned - #15270023761")</f>
        <v/>
      </c>
      <c r="B6456" s="0" t="s">
        <v>8463</v>
      </c>
      <c r="E6456" s="0" t="inlineStr">
        <is>
          <t xml:space="preserve">Mazda</t>
        </is>
      </c>
      <c r="F6456" s="0" t="inlineStr">
        <is>
          <t xml:space="preserve">Mazda</t>
        </is>
      </c>
      <c r="G6456" s="0" t="s">
        <v>171</v>
      </c>
      <c r="H6456" s="5">
        <v>90.702300</v>
      </c>
    </row>
    <row r="6457" spans="1:9">
      <c r="A6457" s="22" t="str">
        <f>HYPERLINK("https://app.vivvix.com/360/KMI/IntelliDrive/ApplUI/Pages/CreativePages/CustomReportCreativeDetail.aspx?App=23&amp;ReportView=4&amp;Qid=1711279&amp;Row=6449&amp;Col=1","No Title Assigned - #15270023911")</f>
        <v/>
      </c>
      <c r="B6457" s="0" t="s">
        <v>8464</v>
      </c>
      <c r="E6457" s="0" t="inlineStr">
        <is>
          <t xml:space="preserve">Mazda</t>
        </is>
      </c>
      <c r="F6457" s="0" t="inlineStr">
        <is>
          <t xml:space="preserve">Mazda</t>
        </is>
      </c>
      <c r="G6457" s="0" t="s">
        <v>171</v>
      </c>
      <c r="H6457" s="5">
        <v>1363.986100</v>
      </c>
    </row>
    <row r="6458" spans="1:9">
      <c r="A6458" s="22" t="str">
        <f>HYPERLINK("https://app.vivvix.com/360/KMI/IntelliDrive/ApplUI/Pages/CreativePages/CustomReportCreativeDetail.aspx?App=23&amp;ReportView=4&amp;Qid=1711279&amp;Row=6450&amp;Col=1","No Title Assigned - #15270024885")</f>
        <v/>
      </c>
      <c r="B6458" s="0" t="s">
        <v>8465</v>
      </c>
      <c r="C6458" s="0" t="s">
        <v>8466</v>
      </c>
      <c r="D6458" s="0" t="s">
        <v>7081</v>
      </c>
      <c r="E6458" s="0" t="inlineStr">
        <is>
          <t xml:space="preserve">Mazda</t>
        </is>
      </c>
      <c r="F6458" s="0" t="s">
        <v>13</v>
      </c>
      <c r="G6458" s="0" t="s">
        <v>49</v>
      </c>
      <c r="H6458" s="5">
        <v>1303.017100</v>
      </c>
    </row>
    <row r="6459" spans="1:9">
      <c r="A6459" s="22" t="str">
        <f>HYPERLINK("https://app.vivvix.com/360/KMI/IntelliDrive/ApplUI/Pages/CreativePages/CustomReportCreativeDetail.aspx?App=23&amp;ReportView=4&amp;Qid=1711279&amp;Row=6451&amp;Col=1","No Title Assigned - #15270025440")</f>
        <v/>
      </c>
      <c r="B6459" s="0" t="s">
        <v>8467</v>
      </c>
      <c r="C6459" s="0" t="s">
        <v>8468</v>
      </c>
      <c r="D6459" s="0" t="s">
        <v>7969</v>
      </c>
      <c r="E6459" s="0" t="inlineStr">
        <is>
          <t xml:space="preserve">Mazda</t>
        </is>
      </c>
      <c r="F6459" s="0" t="s">
        <v>13</v>
      </c>
      <c r="G6459" s="0" t="s">
        <v>49</v>
      </c>
      <c r="H6459" s="5">
        <v>37.625800</v>
      </c>
    </row>
    <row r="6460" spans="1:9">
      <c r="A6460" s="22" t="str">
        <f>HYPERLINK("https://app.vivvix.com/360/KMI/IntelliDrive/ApplUI/Pages/CreativePages/CustomReportCreativeDetail.aspx?App=23&amp;ReportView=4&amp;Qid=1711279&amp;Row=6452&amp;Col=1","No Title Assigned - #15270025608")</f>
        <v/>
      </c>
      <c r="B6460" s="0" t="s">
        <v>8469</v>
      </c>
      <c r="C6460" s="0" t="s">
        <v>8470</v>
      </c>
      <c r="D6460" s="0" t="s">
        <v>7969</v>
      </c>
      <c r="E6460" s="0" t="inlineStr">
        <is>
          <t xml:space="preserve">Mazda</t>
        </is>
      </c>
      <c r="F6460" s="0" t="s">
        <v>13</v>
      </c>
      <c r="G6460" s="0" t="s">
        <v>49</v>
      </c>
      <c r="H6460" s="5">
        <v>235.870000</v>
      </c>
    </row>
    <row r="6461" spans="1:9">
      <c r="A6461" s="22" t="str">
        <f>HYPERLINK("https://app.vivvix.com/360/KMI/IntelliDrive/ApplUI/Pages/CreativePages/CustomReportCreativeDetail.aspx?App=23&amp;ReportView=4&amp;Qid=1711279&amp;Row=6453&amp;Col=1","No Title Assigned - #15270026217")</f>
        <v/>
      </c>
      <c r="B6461" s="0" t="s">
        <v>8471</v>
      </c>
      <c r="C6461" s="0" t="s">
        <v>8472</v>
      </c>
      <c r="D6461" s="0" t="s">
        <v>8472</v>
      </c>
      <c r="E6461" s="0" t="inlineStr">
        <is>
          <t xml:space="preserve">Mazda</t>
        </is>
      </c>
      <c r="F6461" s="0" t="s">
        <v>13</v>
      </c>
      <c r="G6461" s="0" t="s">
        <v>49</v>
      </c>
      <c r="H6461" s="5">
        <v>48.116500</v>
      </c>
    </row>
    <row r="6462" spans="1:9">
      <c r="A6462" s="22" t="str">
        <f>HYPERLINK("https://app.vivvix.com/360/KMI/IntelliDrive/ApplUI/Pages/CreativePages/CustomReportCreativeDetail.aspx?App=23&amp;ReportView=4&amp;Qid=1711279&amp;Row=6454&amp;Col=1","No Title Assigned - #15270026744")</f>
        <v/>
      </c>
      <c r="B6462" s="0" t="s">
        <v>8473</v>
      </c>
      <c r="E6462" s="0" t="inlineStr">
        <is>
          <t xml:space="preserve">Mazda</t>
        </is>
      </c>
      <c r="F6462" s="0" t="s">
        <v>28</v>
      </c>
      <c r="G6462" s="0" t="s">
        <v>29</v>
      </c>
      <c r="H6462" s="5">
        <v>62883.014200</v>
      </c>
    </row>
    <row r="6463" spans="1:9">
      <c r="A6463" s="22" t="str">
        <f>HYPERLINK("https://app.vivvix.com/360/KMI/IntelliDrive/ApplUI/Pages/CreativePages/CustomReportCreativeDetail.aspx?App=23&amp;ReportView=4&amp;Qid=1711279&amp;Row=6455&amp;Col=1","No Title Assigned - #15270026937")</f>
        <v/>
      </c>
      <c r="B6463" s="0" t="s">
        <v>8474</v>
      </c>
      <c r="E6463" s="0" t="inlineStr">
        <is>
          <t xml:space="preserve">Mazda</t>
        </is>
      </c>
      <c r="F6463" s="0" t="s">
        <v>28</v>
      </c>
      <c r="G6463" s="0" t="s">
        <v>29</v>
      </c>
      <c r="H6463" s="5">
        <v>24.073600</v>
      </c>
    </row>
    <row r="6464" spans="1:9">
      <c r="A6464" s="22" t="str">
        <f>HYPERLINK("https://app.vivvix.com/360/KMI/IntelliDrive/ApplUI/Pages/CreativePages/CustomReportCreativeDetail.aspx?App=23&amp;ReportView=4&amp;Qid=1711279&amp;Row=6456&amp;Col=1","No Title Assigned - #15270027444")</f>
        <v/>
      </c>
      <c r="B6464" s="0" t="s">
        <v>8475</v>
      </c>
      <c r="C6464" s="0" t="s">
        <v>8476</v>
      </c>
      <c r="D6464" s="0" t="s">
        <v>8476</v>
      </c>
      <c r="E6464" s="0" t="inlineStr">
        <is>
          <t xml:space="preserve">Mazda</t>
        </is>
      </c>
      <c r="F6464" s="0" t="s">
        <v>13</v>
      </c>
      <c r="G6464" s="0" t="s">
        <v>49</v>
      </c>
      <c r="H6464" s="5">
        <v>539.589200</v>
      </c>
    </row>
    <row r="6465" spans="1:9">
      <c r="A6465" s="22" t="str">
        <f>HYPERLINK("https://app.vivvix.com/360/KMI/IntelliDrive/ApplUI/Pages/CreativePages/CustomReportCreativeDetail.aspx?App=23&amp;ReportView=4&amp;Qid=1711279&amp;Row=6457&amp;Col=1","No Title Assigned - #15270028365")</f>
        <v/>
      </c>
      <c r="B6465" s="0" t="s">
        <v>8477</v>
      </c>
      <c r="E6465" s="0" t="inlineStr">
        <is>
          <t xml:space="preserve">Mazda</t>
        </is>
      </c>
      <c r="F6465" s="0" t="inlineStr">
        <is>
          <t xml:space="preserve">Mazda</t>
        </is>
      </c>
      <c r="G6465" s="0" t="s">
        <v>171</v>
      </c>
      <c r="H6465" s="5">
        <v>1705.225600</v>
      </c>
    </row>
    <row r="6466" spans="1:9">
      <c r="A6466" s="22" t="str">
        <f>HYPERLINK("https://app.vivvix.com/360/KMI/IntelliDrive/ApplUI/Pages/CreativePages/CustomReportCreativeDetail.aspx?App=23&amp;ReportView=4&amp;Qid=1711279&amp;Row=6458&amp;Col=1","No Title Assigned - #15270028365")</f>
        <v/>
      </c>
      <c r="B6466" s="0" t="s">
        <v>8477</v>
      </c>
      <c r="C6466" s="0" t="s">
        <v>8478</v>
      </c>
      <c r="D6466" s="0" t="s">
        <v>8478</v>
      </c>
      <c r="E6466" s="0" t="inlineStr">
        <is>
          <t xml:space="preserve">Mazda</t>
        </is>
      </c>
      <c r="F6466" s="0" t="inlineStr">
        <is>
          <t xml:space="preserve">Mazda</t>
        </is>
      </c>
      <c r="G6466" s="0" t="s">
        <v>171</v>
      </c>
      <c r="H6466" s="5">
        <v>22.227300</v>
      </c>
    </row>
    <row r="6467" spans="1:9">
      <c r="A6467" s="22" t="str">
        <f>HYPERLINK("https://app.vivvix.com/360/KMI/IntelliDrive/ApplUI/Pages/CreativePages/CustomReportCreativeDetail.aspx?App=23&amp;ReportView=4&amp;Qid=1711279&amp;Row=6459&amp;Col=1","No Title Assigned - #15270029239")</f>
        <v/>
      </c>
      <c r="B6467" s="0" t="s">
        <v>8479</v>
      </c>
      <c r="E6467" s="0" t="inlineStr">
        <is>
          <t xml:space="preserve">Mazda</t>
        </is>
      </c>
      <c r="F6467" s="0" t="s">
        <v>28</v>
      </c>
      <c r="G6467" s="0" t="s">
        <v>29</v>
      </c>
      <c r="H6467" s="5">
        <v>158.322500</v>
      </c>
    </row>
    <row r="6468" spans="1:9">
      <c r="A6468" s="22" t="str">
        <f>HYPERLINK("https://app.vivvix.com/360/KMI/IntelliDrive/ApplUI/Pages/CreativePages/CustomReportCreativeDetail.aspx?App=23&amp;ReportView=4&amp;Qid=1711279&amp;Row=6460&amp;Col=1","No Title Assigned - #15270029254")</f>
        <v/>
      </c>
      <c r="B6468" s="0" t="s">
        <v>8480</v>
      </c>
      <c r="C6468" s="0" t="s">
        <v>8481</v>
      </c>
      <c r="D6468" s="0" t="s">
        <v>8481</v>
      </c>
      <c r="E6468" s="0" t="inlineStr">
        <is>
          <t xml:space="preserve">Mazda</t>
        </is>
      </c>
      <c r="F6468" s="0" t="s">
        <v>13</v>
      </c>
      <c r="G6468" s="0" t="s">
        <v>49</v>
      </c>
      <c r="H6468" s="5">
        <v>267.196100</v>
      </c>
    </row>
    <row r="6469" spans="1:9">
      <c r="A6469" s="22" t="str">
        <f>HYPERLINK("https://app.vivvix.com/360/KMI/IntelliDrive/ApplUI/Pages/CreativePages/CustomReportCreativeDetail.aspx?App=23&amp;ReportView=4&amp;Qid=1711279&amp;Row=6461&amp;Col=1","No Title Assigned - #15270029312")</f>
        <v/>
      </c>
      <c r="B6469" s="0" t="s">
        <v>8482</v>
      </c>
      <c r="E6469" s="0" t="inlineStr">
        <is>
          <t xml:space="preserve">Mazda</t>
        </is>
      </c>
      <c r="F6469" s="0" t="s">
        <v>28</v>
      </c>
      <c r="G6469" s="0" t="s">
        <v>29</v>
      </c>
      <c r="H6469" s="5">
        <v>176.812600</v>
      </c>
    </row>
    <row r="6470" spans="1:9">
      <c r="A6470" s="22" t="str">
        <f>HYPERLINK("https://app.vivvix.com/360/KMI/IntelliDrive/ApplUI/Pages/CreativePages/CustomReportCreativeDetail.aspx?App=23&amp;ReportView=4&amp;Qid=1711279&amp;Row=6462&amp;Col=1","No Title Assigned - #15270029658")</f>
        <v/>
      </c>
      <c r="B6470" s="0" t="s">
        <v>8483</v>
      </c>
      <c r="C6470" s="0" t="s">
        <v>8484</v>
      </c>
      <c r="D6470" s="0" t="s">
        <v>4200</v>
      </c>
      <c r="E6470" s="0" t="inlineStr">
        <is>
          <t xml:space="preserve">Mazda</t>
        </is>
      </c>
      <c r="F6470" s="0" t="s">
        <v>28</v>
      </c>
      <c r="G6470" s="0" t="s">
        <v>29</v>
      </c>
      <c r="H6470" s="5">
        <v>82.208800</v>
      </c>
    </row>
    <row r="6471" spans="1:9">
      <c r="A6471" s="22" t="str">
        <f>HYPERLINK("https://app.vivvix.com/360/KMI/IntelliDrive/ApplUI/Pages/CreativePages/CustomReportCreativeDetail.aspx?App=23&amp;ReportView=4&amp;Qid=1711279&amp;Row=6463&amp;Col=1","No Title Assigned - #15270030344")</f>
        <v/>
      </c>
      <c r="B6471" s="0" t="s">
        <v>8485</v>
      </c>
      <c r="C6471" s="0" t="s">
        <v>8486</v>
      </c>
      <c r="D6471" s="0" t="s">
        <v>6044</v>
      </c>
      <c r="E6471" s="0" t="inlineStr">
        <is>
          <t xml:space="preserve">Mazda</t>
        </is>
      </c>
      <c r="F6471" s="0" t="s">
        <v>13</v>
      </c>
      <c r="G6471" s="0" t="s">
        <v>49</v>
      </c>
      <c r="H6471" s="5">
        <v>903.742600</v>
      </c>
    </row>
    <row r="6472" spans="1:9">
      <c r="A6472" s="22" t="str">
        <f>HYPERLINK("https://app.vivvix.com/360/KMI/IntelliDrive/ApplUI/Pages/CreativePages/CustomReportCreativeDetail.aspx?App=23&amp;ReportView=4&amp;Qid=1711279&amp;Row=6464&amp;Col=1","No Title Assigned - #15270030347")</f>
        <v/>
      </c>
      <c r="B6472" s="0" t="s">
        <v>8487</v>
      </c>
      <c r="E6472" s="0" t="inlineStr">
        <is>
          <t xml:space="preserve">Mazda</t>
        </is>
      </c>
      <c r="F6472" s="0" t="s">
        <v>28</v>
      </c>
      <c r="G6472" s="0" t="s">
        <v>29</v>
      </c>
      <c r="H6472" s="5">
        <v>0.965800</v>
      </c>
    </row>
    <row r="6473" spans="1:9">
      <c r="A6473" s="22" t="str">
        <f>HYPERLINK("https://app.vivvix.com/360/KMI/IntelliDrive/ApplUI/Pages/CreativePages/CustomReportCreativeDetail.aspx?App=23&amp;ReportView=4&amp;Qid=1711279&amp;Row=6465&amp;Col=1","No Title Assigned - #15270030659")</f>
        <v/>
      </c>
      <c r="B6473" s="0" t="s">
        <v>8488</v>
      </c>
      <c r="E6473" s="0" t="inlineStr">
        <is>
          <t xml:space="preserve">Mazda</t>
        </is>
      </c>
      <c r="F6473" s="0" t="inlineStr">
        <is>
          <t xml:space="preserve">Mazda</t>
        </is>
      </c>
      <c r="G6473" s="0" t="s">
        <v>171</v>
      </c>
      <c r="H6473" s="5">
        <v>176.936300</v>
      </c>
    </row>
    <row r="6474" spans="1:9">
      <c r="A6474" s="22" t="str">
        <f>HYPERLINK("https://app.vivvix.com/360/KMI/IntelliDrive/ApplUI/Pages/CreativePages/CustomReportCreativeDetail.aspx?App=23&amp;ReportView=4&amp;Qid=1711279&amp;Row=6466&amp;Col=1","No Title Assigned - #15270031518")</f>
        <v/>
      </c>
      <c r="B6474" s="0" t="s">
        <v>8489</v>
      </c>
      <c r="E6474" s="0" t="inlineStr">
        <is>
          <t xml:space="preserve">Mazda</t>
        </is>
      </c>
      <c r="F6474" s="0" t="s">
        <v>28</v>
      </c>
      <c r="G6474" s="0" t="s">
        <v>29</v>
      </c>
      <c r="H6474" s="5">
        <v>88.076200</v>
      </c>
    </row>
    <row r="6475" spans="1:9">
      <c r="A6475" s="22" t="str">
        <f>HYPERLINK("https://app.vivvix.com/360/KMI/IntelliDrive/ApplUI/Pages/CreativePages/CustomReportCreativeDetail.aspx?App=23&amp;ReportView=4&amp;Qid=1711279&amp;Row=6467&amp;Col=1","No Title Assigned - #15270031691")</f>
        <v/>
      </c>
      <c r="B6475" s="0" t="s">
        <v>8490</v>
      </c>
      <c r="E6475" s="0" t="inlineStr">
        <is>
          <t xml:space="preserve">Mazda</t>
        </is>
      </c>
      <c r="F6475" s="0" t="s">
        <v>28</v>
      </c>
      <c r="G6475" s="0" t="s">
        <v>29</v>
      </c>
      <c r="H6475" s="5">
        <v>4365.628100</v>
      </c>
    </row>
    <row r="6476" spans="1:9">
      <c r="A6476" s="22" t="str">
        <f>HYPERLINK("https://app.vivvix.com/360/KMI/IntelliDrive/ApplUI/Pages/CreativePages/CustomReportCreativeDetail.aspx?App=23&amp;ReportView=4&amp;Qid=1711279&amp;Row=6468&amp;Col=1","No Title Assigned - #15270032037")</f>
        <v/>
      </c>
      <c r="B6476" s="0" t="s">
        <v>8491</v>
      </c>
      <c r="C6476" s="0" t="s">
        <v>8492</v>
      </c>
      <c r="D6476" s="0" t="s">
        <v>8492</v>
      </c>
      <c r="E6476" s="0" t="inlineStr">
        <is>
          <t xml:space="preserve">Mazda</t>
        </is>
      </c>
      <c r="F6476" s="0" t="s">
        <v>13</v>
      </c>
      <c r="G6476" s="0" t="s">
        <v>49</v>
      </c>
      <c r="H6476" s="5">
        <v>1194.363800</v>
      </c>
    </row>
    <row r="6477" spans="1:9">
      <c r="A6477" s="22" t="str">
        <f>HYPERLINK("https://app.vivvix.com/360/KMI/IntelliDrive/ApplUI/Pages/CreativePages/CustomReportCreativeDetail.aspx?App=23&amp;ReportView=4&amp;Qid=1711279&amp;Row=6469&amp;Col=1","No Title Assigned - #15270032360")</f>
        <v/>
      </c>
      <c r="B6477" s="0" t="s">
        <v>8493</v>
      </c>
      <c r="C6477" s="0" t="s">
        <v>8494</v>
      </c>
      <c r="D6477" s="0" t="s">
        <v>8494</v>
      </c>
      <c r="E6477" s="0" t="inlineStr">
        <is>
          <t xml:space="preserve">Mazda</t>
        </is>
      </c>
      <c r="F6477" s="0" t="s">
        <v>13</v>
      </c>
      <c r="G6477" s="0" t="s">
        <v>49</v>
      </c>
      <c r="H6477" s="5">
        <v>846.606600</v>
      </c>
    </row>
    <row r="6478" spans="1:9">
      <c r="A6478" s="22" t="str">
        <f>HYPERLINK("https://app.vivvix.com/360/KMI/IntelliDrive/ApplUI/Pages/CreativePages/CustomReportCreativeDetail.aspx?App=23&amp;ReportView=4&amp;Qid=1711279&amp;Row=6470&amp;Col=1","No Title Assigned - #15270032360")</f>
        <v/>
      </c>
      <c r="B6478" s="0" t="s">
        <v>8493</v>
      </c>
      <c r="E6478" s="0" t="inlineStr">
        <is>
          <t xml:space="preserve">Mazda</t>
        </is>
      </c>
      <c r="F6478" s="0" t="s">
        <v>13</v>
      </c>
      <c r="G6478" s="0" t="s">
        <v>49</v>
      </c>
      <c r="H6478" s="5">
        <v>206.096500</v>
      </c>
    </row>
    <row r="6479" spans="1:9">
      <c r="A6479" s="22" t="str">
        <f>HYPERLINK("https://app.vivvix.com/360/KMI/IntelliDrive/ApplUI/Pages/CreativePages/CustomReportCreativeDetail.aspx?App=23&amp;ReportView=4&amp;Qid=1711279&amp;Row=6471&amp;Col=1","No Title Assigned - #15270032799")</f>
        <v/>
      </c>
      <c r="B6479" s="0" t="s">
        <v>8495</v>
      </c>
      <c r="C6479" s="0" t="s">
        <v>8496</v>
      </c>
      <c r="D6479" s="0" t="s">
        <v>8496</v>
      </c>
      <c r="E6479" s="0" t="inlineStr">
        <is>
          <t xml:space="preserve">Mazda</t>
        </is>
      </c>
      <c r="F6479" s="0" t="s">
        <v>13</v>
      </c>
      <c r="G6479" s="0" t="s">
        <v>49</v>
      </c>
      <c r="H6479" s="5">
        <v>11770.798800</v>
      </c>
    </row>
    <row r="6480" spans="1:9">
      <c r="A6480" s="22" t="str">
        <f>HYPERLINK("https://app.vivvix.com/360/KMI/IntelliDrive/ApplUI/Pages/CreativePages/CustomReportCreativeDetail.aspx?App=23&amp;ReportView=4&amp;Qid=1711279&amp;Row=6472&amp;Col=1","No Title Assigned - #15270033026")</f>
        <v/>
      </c>
      <c r="B6480" s="0" t="s">
        <v>8497</v>
      </c>
      <c r="E6480" s="0" t="inlineStr">
        <is>
          <t xml:space="preserve">Mazda</t>
        </is>
      </c>
      <c r="F6480" s="0" t="inlineStr">
        <is>
          <t xml:space="preserve">Mazda</t>
        </is>
      </c>
      <c r="G6480" s="0" t="s">
        <v>171</v>
      </c>
      <c r="H6480" s="5">
        <v>2201.596800</v>
      </c>
    </row>
    <row r="6481" spans="1:9">
      <c r="A6481" s="22" t="str">
        <f>HYPERLINK("https://app.vivvix.com/360/KMI/IntelliDrive/ApplUI/Pages/CreativePages/CustomReportCreativeDetail.aspx?App=23&amp;ReportView=4&amp;Qid=1711279&amp;Row=6473&amp;Col=1","No Title Assigned - #15270033124")</f>
        <v/>
      </c>
      <c r="B6481" s="0" t="s">
        <v>8498</v>
      </c>
      <c r="C6481" s="0" t="s">
        <v>8499</v>
      </c>
      <c r="D6481" s="0" t="s">
        <v>8499</v>
      </c>
      <c r="E6481" s="0" t="inlineStr">
        <is>
          <t xml:space="preserve">Mazda</t>
        </is>
      </c>
      <c r="F6481" s="0" t="s">
        <v>28</v>
      </c>
      <c r="G6481" s="0" t="s">
        <v>29</v>
      </c>
      <c r="H6481" s="5">
        <v>8.710900</v>
      </c>
    </row>
    <row r="6482" spans="1:9">
      <c r="A6482" s="22" t="str">
        <f>HYPERLINK("https://app.vivvix.com/360/KMI/IntelliDrive/ApplUI/Pages/CreativePages/CustomReportCreativeDetail.aspx?App=23&amp;ReportView=4&amp;Qid=1711279&amp;Row=6474&amp;Col=1","No Title Assigned - #15270033174")</f>
        <v/>
      </c>
      <c r="B6482" s="0" t="s">
        <v>8500</v>
      </c>
      <c r="C6482" s="0" t="s">
        <v>8501</v>
      </c>
      <c r="D6482" s="0" t="s">
        <v>8501</v>
      </c>
      <c r="E6482" s="0" t="inlineStr">
        <is>
          <t xml:space="preserve">Mazda</t>
        </is>
      </c>
      <c r="F6482" s="0" t="s">
        <v>13</v>
      </c>
      <c r="G6482" s="0" t="s">
        <v>49</v>
      </c>
      <c r="H6482" s="5">
        <v>31.898700</v>
      </c>
    </row>
    <row r="6483" spans="1:9">
      <c r="A6483" s="22" t="str">
        <f>HYPERLINK("https://app.vivvix.com/360/KMI/IntelliDrive/ApplUI/Pages/CreativePages/CustomReportCreativeDetail.aspx?App=23&amp;ReportView=4&amp;Qid=1711279&amp;Row=6475&amp;Col=1","No Title Assigned - #15270033537")</f>
        <v/>
      </c>
      <c r="B6483" s="0" t="s">
        <v>8502</v>
      </c>
      <c r="E6483" s="0" t="inlineStr">
        <is>
          <t xml:space="preserve">Mazda</t>
        </is>
      </c>
      <c r="F6483" s="0" t="s">
        <v>28</v>
      </c>
      <c r="G6483" s="0" t="s">
        <v>29</v>
      </c>
      <c r="H6483" s="5">
        <v>115.628600</v>
      </c>
    </row>
    <row r="6484" spans="1:9">
      <c r="A6484" s="22" t="str">
        <f>HYPERLINK("https://app.vivvix.com/360/KMI/IntelliDrive/ApplUI/Pages/CreativePages/CustomReportCreativeDetail.aspx?App=23&amp;ReportView=4&amp;Qid=1711279&amp;Row=6476&amp;Col=1","No Title Assigned - #15270033679")</f>
        <v/>
      </c>
      <c r="B6484" s="0" t="s">
        <v>8503</v>
      </c>
      <c r="C6484" s="0" t="s">
        <v>8504</v>
      </c>
      <c r="D6484" s="0" t="s">
        <v>8504</v>
      </c>
      <c r="E6484" s="0" t="inlineStr">
        <is>
          <t xml:space="preserve">Mazda</t>
        </is>
      </c>
      <c r="F6484" s="0" t="s">
        <v>13</v>
      </c>
      <c r="G6484" s="0" t="s">
        <v>49</v>
      </c>
      <c r="H6484" s="5">
        <v>233.495600</v>
      </c>
    </row>
    <row r="6485" spans="1:9">
      <c r="A6485" s="22" t="str">
        <f>HYPERLINK("https://app.vivvix.com/360/KMI/IntelliDrive/ApplUI/Pages/CreativePages/CustomReportCreativeDetail.aspx?App=23&amp;ReportView=4&amp;Qid=1711279&amp;Row=6477&amp;Col=1","No Title Assigned - #15270033697")</f>
        <v/>
      </c>
      <c r="B6485" s="0" t="s">
        <v>8505</v>
      </c>
      <c r="C6485" s="0" t="s">
        <v>8506</v>
      </c>
      <c r="D6485" s="0" t="s">
        <v>8506</v>
      </c>
      <c r="E6485" s="0" t="inlineStr">
        <is>
          <t xml:space="preserve">Mazda</t>
        </is>
      </c>
      <c r="F6485" s="0" t="s">
        <v>13</v>
      </c>
      <c r="G6485" s="0" t="s">
        <v>49</v>
      </c>
      <c r="H6485" s="5">
        <v>42221.264400</v>
      </c>
    </row>
    <row r="6486" spans="1:9">
      <c r="A6486" s="22" t="str">
        <f>HYPERLINK("https://app.vivvix.com/360/KMI/IntelliDrive/ApplUI/Pages/CreativePages/CustomReportCreativeDetail.aspx?App=23&amp;ReportView=4&amp;Qid=1711279&amp;Row=6478&amp;Col=1","No Title Assigned - #15270033697")</f>
        <v/>
      </c>
      <c r="B6486" s="0" t="s">
        <v>8505</v>
      </c>
      <c r="E6486" s="0" t="inlineStr">
        <is>
          <t xml:space="preserve">Mazda</t>
        </is>
      </c>
      <c r="F6486" s="0" t="s">
        <v>13</v>
      </c>
      <c r="G6486" s="0" t="s">
        <v>49</v>
      </c>
      <c r="H6486" s="5">
        <v>54554.898800</v>
      </c>
    </row>
    <row r="6487" spans="1:9">
      <c r="A6487" s="22" t="str">
        <f>HYPERLINK("https://app.vivvix.com/360/KMI/IntelliDrive/ApplUI/Pages/CreativePages/CustomReportCreativeDetail.aspx?App=23&amp;ReportView=4&amp;Qid=1711279&amp;Row=6479&amp;Col=1","No Title Assigned - #15270033753")</f>
        <v/>
      </c>
      <c r="B6487" s="0" t="s">
        <v>8507</v>
      </c>
      <c r="C6487" s="0" t="s">
        <v>8508</v>
      </c>
      <c r="D6487" s="0" t="s">
        <v>4208</v>
      </c>
      <c r="E6487" s="0" t="inlineStr">
        <is>
          <t xml:space="preserve">Mazda</t>
        </is>
      </c>
      <c r="F6487" s="0" t="s">
        <v>28</v>
      </c>
      <c r="G6487" s="0" t="s">
        <v>29</v>
      </c>
      <c r="H6487" s="5">
        <v>251.513200</v>
      </c>
    </row>
    <row r="6488" spans="1:9">
      <c r="A6488" s="22" t="str">
        <f>HYPERLINK("https://app.vivvix.com/360/KMI/IntelliDrive/ApplUI/Pages/CreativePages/CustomReportCreativeDetail.aspx?App=23&amp;ReportView=4&amp;Qid=1711279&amp;Row=6480&amp;Col=1","No Title Assigned - #15270034029")</f>
        <v/>
      </c>
      <c r="B6488" s="0" t="s">
        <v>8509</v>
      </c>
      <c r="E6488" s="0" t="inlineStr">
        <is>
          <t xml:space="preserve">Mazda</t>
        </is>
      </c>
      <c r="F6488" s="0" t="inlineStr">
        <is>
          <t xml:space="preserve">Mazda</t>
        </is>
      </c>
      <c r="G6488" s="0" t="s">
        <v>171</v>
      </c>
      <c r="H6488" s="5">
        <v>24.499700</v>
      </c>
    </row>
    <row r="6489" spans="1:9">
      <c r="A6489" s="22" t="str">
        <f>HYPERLINK("https://app.vivvix.com/360/KMI/IntelliDrive/ApplUI/Pages/CreativePages/CustomReportCreativeDetail.aspx?App=23&amp;ReportView=4&amp;Qid=1711279&amp;Row=6481&amp;Col=1","No Title Assigned - #15270034386")</f>
        <v/>
      </c>
      <c r="B6489" s="0" t="s">
        <v>8510</v>
      </c>
      <c r="C6489" s="0" t="s">
        <v>8511</v>
      </c>
      <c r="D6489" s="0" t="s">
        <v>8511</v>
      </c>
      <c r="E6489" s="0" t="inlineStr">
        <is>
          <t xml:space="preserve">Mazda</t>
        </is>
      </c>
      <c r="F6489" s="0" t="s">
        <v>13</v>
      </c>
      <c r="G6489" s="0" t="s">
        <v>49</v>
      </c>
      <c r="H6489" s="5">
        <v>383.874900</v>
      </c>
    </row>
    <row r="6490" spans="1:9">
      <c r="A6490" s="22" t="str">
        <f>HYPERLINK("https://app.vivvix.com/360/KMI/IntelliDrive/ApplUI/Pages/CreativePages/CustomReportCreativeDetail.aspx?App=23&amp;ReportView=4&amp;Qid=1711279&amp;Row=6482&amp;Col=1","No Title Assigned - #15270034386")</f>
        <v/>
      </c>
      <c r="B6490" s="0" t="s">
        <v>8510</v>
      </c>
      <c r="E6490" s="0" t="inlineStr">
        <is>
          <t xml:space="preserve">Mazda</t>
        </is>
      </c>
      <c r="F6490" s="0" t="s">
        <v>13</v>
      </c>
      <c r="G6490" s="0" t="s">
        <v>49</v>
      </c>
      <c r="H6490" s="5">
        <v>15761.283500</v>
      </c>
    </row>
    <row r="6491" spans="1:9">
      <c r="A6491" s="22" t="str">
        <f>HYPERLINK("https://app.vivvix.com/360/KMI/IntelliDrive/ApplUI/Pages/CreativePages/CustomReportCreativeDetail.aspx?App=23&amp;ReportView=4&amp;Qid=1711279&amp;Row=6483&amp;Col=1","No Title Assigned - #15270035078")</f>
        <v/>
      </c>
      <c r="B6491" s="0" t="s">
        <v>8512</v>
      </c>
      <c r="C6491" s="0" t="s">
        <v>8513</v>
      </c>
      <c r="D6491" s="0" t="s">
        <v>4208</v>
      </c>
      <c r="E6491" s="0" t="inlineStr">
        <is>
          <t xml:space="preserve">Mazda</t>
        </is>
      </c>
      <c r="F6491" s="0" t="s">
        <v>28</v>
      </c>
      <c r="G6491" s="0" t="s">
        <v>29</v>
      </c>
      <c r="H6491" s="5">
        <v>84.429000</v>
      </c>
    </row>
    <row r="6492" spans="1:9">
      <c r="A6492" s="22" t="str">
        <f>HYPERLINK("https://app.vivvix.com/360/KMI/IntelliDrive/ApplUI/Pages/CreativePages/CustomReportCreativeDetail.aspx?App=23&amp;ReportView=4&amp;Qid=1711279&amp;Row=6484&amp;Col=1","No Title Assigned - #15270035104")</f>
        <v/>
      </c>
      <c r="B6492" s="0" t="s">
        <v>8514</v>
      </c>
      <c r="C6492" s="0" t="s">
        <v>8515</v>
      </c>
      <c r="D6492" s="0" t="s">
        <v>7472</v>
      </c>
      <c r="E6492" s="0" t="inlineStr">
        <is>
          <t xml:space="preserve">Mazda</t>
        </is>
      </c>
      <c r="F6492" s="0" t="s">
        <v>28</v>
      </c>
      <c r="G6492" s="0" t="s">
        <v>29</v>
      </c>
      <c r="H6492" s="5">
        <v>92.605400</v>
      </c>
    </row>
    <row r="6493" spans="1:9">
      <c r="A6493" s="22" t="str">
        <f>HYPERLINK("https://app.vivvix.com/360/KMI/IntelliDrive/ApplUI/Pages/CreativePages/CustomReportCreativeDetail.aspx?App=23&amp;ReportView=4&amp;Qid=1711279&amp;Row=6485&amp;Col=1","No Title Assigned - #15270035470")</f>
        <v/>
      </c>
      <c r="B6493" s="0" t="s">
        <v>8516</v>
      </c>
      <c r="E6493" s="0" t="inlineStr">
        <is>
          <t xml:space="preserve">Mazda</t>
        </is>
      </c>
      <c r="F6493" s="0" t="inlineStr">
        <is>
          <t xml:space="preserve">Mazda</t>
        </is>
      </c>
      <c r="G6493" s="0" t="s">
        <v>171</v>
      </c>
      <c r="H6493" s="5">
        <v>150.091600</v>
      </c>
    </row>
    <row r="6494" spans="1:9">
      <c r="A6494" s="22" t="str">
        <f>HYPERLINK("https://app.vivvix.com/360/KMI/IntelliDrive/ApplUI/Pages/CreativePages/CustomReportCreativeDetail.aspx?App=23&amp;ReportView=4&amp;Qid=1711279&amp;Row=6486&amp;Col=1","No Title Assigned - #15270035516")</f>
        <v/>
      </c>
      <c r="B6494" s="0" t="s">
        <v>8517</v>
      </c>
      <c r="C6494" s="0" t="s">
        <v>8518</v>
      </c>
      <c r="D6494" s="0" t="s">
        <v>8518</v>
      </c>
      <c r="E6494" s="0" t="inlineStr">
        <is>
          <t xml:space="preserve">Mazda</t>
        </is>
      </c>
      <c r="F6494" s="0" t="s">
        <v>28</v>
      </c>
      <c r="G6494" s="0" t="s">
        <v>29</v>
      </c>
      <c r="H6494" s="5">
        <v>39.139200</v>
      </c>
    </row>
    <row r="6495" spans="1:9">
      <c r="A6495" s="22" t="str">
        <f>HYPERLINK("https://app.vivvix.com/360/KMI/IntelliDrive/ApplUI/Pages/CreativePages/CustomReportCreativeDetail.aspx?App=23&amp;ReportView=4&amp;Qid=1711279&amp;Row=6487&amp;Col=1","No Title Assigned - #15270035798")</f>
        <v/>
      </c>
      <c r="B6495" s="0" t="s">
        <v>8519</v>
      </c>
      <c r="C6495" s="0" t="s">
        <v>8520</v>
      </c>
      <c r="D6495" s="0" t="s">
        <v>8520</v>
      </c>
      <c r="E6495" s="0" t="inlineStr">
        <is>
          <t xml:space="preserve">Mazda</t>
        </is>
      </c>
      <c r="F6495" s="0" t="s">
        <v>13</v>
      </c>
      <c r="G6495" s="0" t="s">
        <v>49</v>
      </c>
      <c r="H6495" s="5">
        <v>195.574200</v>
      </c>
    </row>
    <row r="6496" spans="1:9">
      <c r="A6496" s="22" t="str">
        <f>HYPERLINK("https://app.vivvix.com/360/KMI/IntelliDrive/ApplUI/Pages/CreativePages/CustomReportCreativeDetail.aspx?App=23&amp;ReportView=4&amp;Qid=1711279&amp;Row=6488&amp;Col=1","No Title Assigned - #15270035798")</f>
        <v/>
      </c>
      <c r="B6496" s="0" t="s">
        <v>8519</v>
      </c>
      <c r="E6496" s="0" t="inlineStr">
        <is>
          <t xml:space="preserve">Mazda</t>
        </is>
      </c>
      <c r="F6496" s="0" t="s">
        <v>13</v>
      </c>
      <c r="G6496" s="0" t="s">
        <v>49</v>
      </c>
      <c r="H6496" s="5">
        <v>116.390200</v>
      </c>
    </row>
    <row r="6497" spans="1:9">
      <c r="A6497" s="22" t="str">
        <f>HYPERLINK("https://app.vivvix.com/360/KMI/IntelliDrive/ApplUI/Pages/CreativePages/CustomReportCreativeDetail.aspx?App=23&amp;ReportView=4&amp;Qid=1711279&amp;Row=6489&amp;Col=1","No Title Assigned - #15270035968")</f>
        <v/>
      </c>
      <c r="B6497" s="0" t="s">
        <v>8521</v>
      </c>
      <c r="E6497" s="0" t="inlineStr">
        <is>
          <t xml:space="preserve">Mazda</t>
        </is>
      </c>
      <c r="F6497" s="0" t="s">
        <v>28</v>
      </c>
      <c r="G6497" s="0" t="s">
        <v>29</v>
      </c>
      <c r="H6497" s="5">
        <v>6.793700</v>
      </c>
    </row>
    <row r="6498" spans="1:9">
      <c r="A6498" s="22" t="str">
        <f>HYPERLINK("https://app.vivvix.com/360/KMI/IntelliDrive/ApplUI/Pages/CreativePages/CustomReportCreativeDetail.aspx?App=23&amp;ReportView=4&amp;Qid=1711279&amp;Row=6490&amp;Col=1","No Title Assigned - #15270036029")</f>
        <v/>
      </c>
      <c r="B6498" s="0" t="s">
        <v>8522</v>
      </c>
      <c r="C6498" s="0" t="s">
        <v>8523</v>
      </c>
      <c r="D6498" s="0" t="s">
        <v>8523</v>
      </c>
      <c r="E6498" s="0" t="inlineStr">
        <is>
          <t xml:space="preserve">Mazda</t>
        </is>
      </c>
      <c r="F6498" s="0" t="s">
        <v>13</v>
      </c>
      <c r="G6498" s="0" t="s">
        <v>49</v>
      </c>
      <c r="H6498" s="5">
        <v>275.642600</v>
      </c>
    </row>
    <row r="6499" spans="1:9">
      <c r="A6499" s="22" t="str">
        <f>HYPERLINK("https://app.vivvix.com/360/KMI/IntelliDrive/ApplUI/Pages/CreativePages/CustomReportCreativeDetail.aspx?App=23&amp;ReportView=4&amp;Qid=1711279&amp;Row=6491&amp;Col=1","No Title Assigned - #15270036214")</f>
        <v/>
      </c>
      <c r="B6499" s="0" t="s">
        <v>8524</v>
      </c>
      <c r="E6499" s="0" t="inlineStr">
        <is>
          <t xml:space="preserve">Mazda</t>
        </is>
      </c>
      <c r="F6499" s="0" t="s">
        <v>28</v>
      </c>
      <c r="G6499" s="0" t="s">
        <v>29</v>
      </c>
      <c r="H6499" s="5">
        <v>1898.150000</v>
      </c>
    </row>
    <row r="6500" spans="1:9">
      <c r="A6500" s="22" t="str">
        <f>HYPERLINK("https://app.vivvix.com/360/KMI/IntelliDrive/ApplUI/Pages/CreativePages/CustomReportCreativeDetail.aspx?App=23&amp;ReportView=4&amp;Qid=1711279&amp;Row=6492&amp;Col=1","No Title Assigned - #15270036322")</f>
        <v/>
      </c>
      <c r="B6500" s="0" t="s">
        <v>8525</v>
      </c>
      <c r="E6500" s="0" t="inlineStr">
        <is>
          <t xml:space="preserve">Mazda</t>
        </is>
      </c>
      <c r="F6500" s="0" t="inlineStr">
        <is>
          <t xml:space="preserve">Mazda</t>
        </is>
      </c>
      <c r="G6500" s="0" t="s">
        <v>171</v>
      </c>
      <c r="H6500" s="5">
        <v>74.432400</v>
      </c>
    </row>
    <row r="6501" spans="1:9">
      <c r="A6501" s="22" t="str">
        <f>HYPERLINK("https://app.vivvix.com/360/KMI/IntelliDrive/ApplUI/Pages/CreativePages/CustomReportCreativeDetail.aspx?App=23&amp;ReportView=4&amp;Qid=1711279&amp;Row=6493&amp;Col=1","No Title Assigned - #15270038730")</f>
        <v/>
      </c>
      <c r="B6501" s="0" t="s">
        <v>8526</v>
      </c>
      <c r="C6501" s="0" t="s">
        <v>8527</v>
      </c>
      <c r="D6501" s="0" t="s">
        <v>8492</v>
      </c>
      <c r="E6501" s="0" t="inlineStr">
        <is>
          <t xml:space="preserve">Mazda</t>
        </is>
      </c>
      <c r="F6501" s="0" t="s">
        <v>13</v>
      </c>
      <c r="G6501" s="0" t="s">
        <v>49</v>
      </c>
      <c r="H6501" s="5">
        <v>50.551800</v>
      </c>
    </row>
    <row r="6502" spans="1:9">
      <c r="A6502" s="22" t="str">
        <f>HYPERLINK("https://app.vivvix.com/360/KMI/IntelliDrive/ApplUI/Pages/CreativePages/CustomReportCreativeDetail.aspx?App=23&amp;ReportView=4&amp;Qid=1711279&amp;Row=6494&amp;Col=1","No Title Assigned - #15270038996")</f>
        <v/>
      </c>
      <c r="B6502" s="0" t="s">
        <v>8528</v>
      </c>
      <c r="E6502" s="0" t="inlineStr">
        <is>
          <t xml:space="preserve">Mazda</t>
        </is>
      </c>
      <c r="F6502" s="0" t="s">
        <v>13</v>
      </c>
      <c r="G6502" s="0" t="s">
        <v>49</v>
      </c>
      <c r="H6502" s="5">
        <v>618.072300</v>
      </c>
    </row>
    <row r="6503" spans="1:9">
      <c r="A6503" s="22" t="str">
        <f>HYPERLINK("https://app.vivvix.com/360/KMI/IntelliDrive/ApplUI/Pages/CreativePages/CustomReportCreativeDetail.aspx?App=23&amp;ReportView=4&amp;Qid=1711279&amp;Row=6495&amp;Col=1","No Title Assigned - #15270038996")</f>
        <v/>
      </c>
      <c r="B6503" s="0" t="s">
        <v>8528</v>
      </c>
      <c r="C6503" s="0" t="s">
        <v>8529</v>
      </c>
      <c r="D6503" s="0" t="s">
        <v>8529</v>
      </c>
      <c r="E6503" s="0" t="inlineStr">
        <is>
          <t xml:space="preserve">Mazda</t>
        </is>
      </c>
      <c r="F6503" s="0" t="s">
        <v>13</v>
      </c>
      <c r="G6503" s="0" t="s">
        <v>49</v>
      </c>
      <c r="H6503" s="5">
        <v>122.504000</v>
      </c>
    </row>
    <row r="6504" spans="1:9">
      <c r="A6504" s="22" t="str">
        <f>HYPERLINK("https://app.vivvix.com/360/KMI/IntelliDrive/ApplUI/Pages/CreativePages/CustomReportCreativeDetail.aspx?App=23&amp;ReportView=4&amp;Qid=1711279&amp;Row=6496&amp;Col=1","No Title Assigned - #15270039047")</f>
        <v/>
      </c>
      <c r="B6504" s="0" t="s">
        <v>8530</v>
      </c>
      <c r="C6504" s="0" t="s">
        <v>8531</v>
      </c>
      <c r="D6504" s="0" t="s">
        <v>4204</v>
      </c>
      <c r="E6504" s="0" t="inlineStr">
        <is>
          <t xml:space="preserve">Mazda</t>
        </is>
      </c>
      <c r="F6504" s="0" t="s">
        <v>28</v>
      </c>
      <c r="G6504" s="0" t="s">
        <v>29</v>
      </c>
      <c r="H6504" s="5">
        <v>196.109400</v>
      </c>
    </row>
    <row r="6505" spans="1:9">
      <c r="A6505" s="22" t="str">
        <f>HYPERLINK("https://app.vivvix.com/360/KMI/IntelliDrive/ApplUI/Pages/CreativePages/CustomReportCreativeDetail.aspx?App=23&amp;ReportView=4&amp;Qid=1711279&amp;Row=6497&amp;Col=1","No Title Assigned - #15270039057")</f>
        <v/>
      </c>
      <c r="B6505" s="0" t="s">
        <v>8532</v>
      </c>
      <c r="E6505" s="0" t="inlineStr">
        <is>
          <t xml:space="preserve">Mazda</t>
        </is>
      </c>
      <c r="F6505" s="0" t="s">
        <v>13</v>
      </c>
      <c r="G6505" s="0" t="s">
        <v>49</v>
      </c>
      <c r="H6505" s="5">
        <v>607.690700</v>
      </c>
    </row>
    <row r="6506" spans="1:9">
      <c r="A6506" s="22" t="str">
        <f>HYPERLINK("https://app.vivvix.com/360/KMI/IntelliDrive/ApplUI/Pages/CreativePages/CustomReportCreativeDetail.aspx?App=23&amp;ReportView=4&amp;Qid=1711279&amp;Row=6498&amp;Col=1","No Title Assigned - #15270039057")</f>
        <v/>
      </c>
      <c r="B6506" s="0" t="s">
        <v>8532</v>
      </c>
      <c r="C6506" s="0" t="s">
        <v>8533</v>
      </c>
      <c r="D6506" s="0" t="s">
        <v>8533</v>
      </c>
      <c r="E6506" s="0" t="inlineStr">
        <is>
          <t xml:space="preserve">Mazda</t>
        </is>
      </c>
      <c r="F6506" s="0" t="s">
        <v>13</v>
      </c>
      <c r="G6506" s="0" t="s">
        <v>49</v>
      </c>
      <c r="H6506" s="5">
        <v>829.116800</v>
      </c>
    </row>
    <row r="6507" spans="1:9">
      <c r="A6507" s="22" t="str">
        <f>HYPERLINK("https://app.vivvix.com/360/KMI/IntelliDrive/ApplUI/Pages/CreativePages/CustomReportCreativeDetail.aspx?App=23&amp;ReportView=4&amp;Qid=1711279&amp;Row=6499&amp;Col=1","No Title Assigned - #15270039354")</f>
        <v/>
      </c>
      <c r="B6507" s="0" t="s">
        <v>8534</v>
      </c>
      <c r="C6507" s="0" t="s">
        <v>8535</v>
      </c>
      <c r="D6507" s="0" t="s">
        <v>8535</v>
      </c>
      <c r="E6507" s="0" t="inlineStr">
        <is>
          <t xml:space="preserve">Mazda</t>
        </is>
      </c>
      <c r="F6507" s="0" t="s">
        <v>28</v>
      </c>
      <c r="G6507" s="0" t="s">
        <v>29</v>
      </c>
      <c r="H6507" s="5">
        <v>135.443000</v>
      </c>
    </row>
    <row r="6508" spans="1:9">
      <c r="A6508" s="22" t="str">
        <f>HYPERLINK("https://app.vivvix.com/360/KMI/IntelliDrive/ApplUI/Pages/CreativePages/CustomReportCreativeDetail.aspx?App=23&amp;ReportView=4&amp;Qid=1711279&amp;Row=6500&amp;Col=1","No Title Assigned - #15270040239")</f>
        <v/>
      </c>
      <c r="B6508" s="0" t="s">
        <v>8536</v>
      </c>
      <c r="C6508" s="0" t="s">
        <v>8537</v>
      </c>
      <c r="D6508" s="0" t="s">
        <v>4225</v>
      </c>
      <c r="E6508" s="0" t="inlineStr">
        <is>
          <t xml:space="preserve">Mazda</t>
        </is>
      </c>
      <c r="F6508" s="0" t="s">
        <v>28</v>
      </c>
      <c r="G6508" s="0" t="s">
        <v>29</v>
      </c>
      <c r="H6508" s="5">
        <v>143.021700</v>
      </c>
    </row>
    <row r="6509" spans="1:9">
      <c r="A6509" s="22" t="str">
        <f>HYPERLINK("https://app.vivvix.com/360/KMI/IntelliDrive/ApplUI/Pages/CreativePages/CustomReportCreativeDetail.aspx?App=23&amp;ReportView=4&amp;Qid=1711279&amp;Row=6501&amp;Col=1","No Title Assigned - #15270040255")</f>
        <v/>
      </c>
      <c r="B6509" s="0" t="s">
        <v>8538</v>
      </c>
      <c r="C6509" s="0" t="s">
        <v>8539</v>
      </c>
      <c r="D6509" s="0" t="s">
        <v>4781</v>
      </c>
      <c r="E6509" s="0" t="inlineStr">
        <is>
          <t xml:space="preserve">Mazda</t>
        </is>
      </c>
      <c r="F6509" s="0" t="s">
        <v>28</v>
      </c>
      <c r="G6509" s="0" t="s">
        <v>29</v>
      </c>
      <c r="H6509" s="5">
        <v>31.411000</v>
      </c>
    </row>
    <row r="6510" spans="1:9">
      <c r="A6510" s="22" t="str">
        <f>HYPERLINK("https://app.vivvix.com/360/KMI/IntelliDrive/ApplUI/Pages/CreativePages/CustomReportCreativeDetail.aspx?App=23&amp;ReportView=4&amp;Qid=1711279&amp;Row=6502&amp;Col=1","No Title Assigned - #15270040442")</f>
        <v/>
      </c>
      <c r="B6510" s="0" t="s">
        <v>8540</v>
      </c>
      <c r="C6510" s="0" t="s">
        <v>8541</v>
      </c>
      <c r="D6510" s="0" t="s">
        <v>4204</v>
      </c>
      <c r="E6510" s="0" t="inlineStr">
        <is>
          <t xml:space="preserve">Mazda</t>
        </is>
      </c>
      <c r="F6510" s="0" t="s">
        <v>28</v>
      </c>
      <c r="G6510" s="0" t="s">
        <v>29</v>
      </c>
      <c r="H6510" s="5">
        <v>21242.975900</v>
      </c>
    </row>
    <row r="6511" spans="1:9">
      <c r="A6511" s="22" t="str">
        <f>HYPERLINK("https://app.vivvix.com/360/KMI/IntelliDrive/ApplUI/Pages/CreativePages/CustomReportCreativeDetail.aspx?App=23&amp;ReportView=4&amp;Qid=1711279&amp;Row=6503&amp;Col=1","No Title Assigned - #15270041487")</f>
        <v/>
      </c>
      <c r="B6511" s="0" t="s">
        <v>8542</v>
      </c>
      <c r="C6511" s="0" t="s">
        <v>8543</v>
      </c>
      <c r="D6511" s="0" t="s">
        <v>8543</v>
      </c>
      <c r="E6511" s="0" t="inlineStr">
        <is>
          <t xml:space="preserve">Mazda</t>
        </is>
      </c>
      <c r="F6511" s="0" t="s">
        <v>28</v>
      </c>
      <c r="G6511" s="0" t="s">
        <v>29</v>
      </c>
      <c r="H6511" s="5">
        <v>266.808100</v>
      </c>
    </row>
    <row r="6512" spans="1:9">
      <c r="A6512" s="22" t="str">
        <f>HYPERLINK("https://app.vivvix.com/360/KMI/IntelliDrive/ApplUI/Pages/CreativePages/CustomReportCreativeDetail.aspx?App=23&amp;ReportView=4&amp;Qid=1711279&amp;Row=6504&amp;Col=1","No Title Assigned - #15270041491")</f>
        <v/>
      </c>
      <c r="B6512" s="0" t="s">
        <v>8544</v>
      </c>
      <c r="C6512" s="0" t="s">
        <v>8545</v>
      </c>
      <c r="D6512" s="0" t="s">
        <v>8543</v>
      </c>
      <c r="E6512" s="0" t="inlineStr">
        <is>
          <t xml:space="preserve">Mazda</t>
        </is>
      </c>
      <c r="F6512" s="0" t="s">
        <v>28</v>
      </c>
      <c r="G6512" s="0" t="s">
        <v>29</v>
      </c>
      <c r="H6512" s="5">
        <v>25.840000</v>
      </c>
    </row>
    <row r="6513" spans="1:9">
      <c r="A6513" s="22" t="str">
        <f>HYPERLINK("https://app.vivvix.com/360/KMI/IntelliDrive/ApplUI/Pages/CreativePages/CustomReportCreativeDetail.aspx?App=23&amp;ReportView=4&amp;Qid=1711279&amp;Row=6505&amp;Col=1","No Title Assigned - #15270041721")</f>
        <v/>
      </c>
      <c r="B6513" s="0" t="s">
        <v>8546</v>
      </c>
      <c r="C6513" s="0" t="s">
        <v>8547</v>
      </c>
      <c r="D6513" s="0" t="s">
        <v>8547</v>
      </c>
      <c r="E6513" s="0" t="inlineStr">
        <is>
          <t xml:space="preserve">Mazda</t>
        </is>
      </c>
      <c r="F6513" s="0" t="s">
        <v>28</v>
      </c>
      <c r="G6513" s="0" t="s">
        <v>29</v>
      </c>
      <c r="H6513" s="5">
        <v>38.845300</v>
      </c>
    </row>
    <row r="6514" spans="1:9">
      <c r="A6514" s="22" t="str">
        <f>HYPERLINK("https://app.vivvix.com/360/KMI/IntelliDrive/ApplUI/Pages/CreativePages/CustomReportCreativeDetail.aspx?App=23&amp;ReportView=4&amp;Qid=1711279&amp;Row=6506&amp;Col=1","No Title Assigned - #15270041904")</f>
        <v/>
      </c>
      <c r="B6514" s="0" t="s">
        <v>8548</v>
      </c>
      <c r="C6514" s="0" t="s">
        <v>8549</v>
      </c>
      <c r="D6514" s="0" t="s">
        <v>8549</v>
      </c>
      <c r="E6514" s="0" t="inlineStr">
        <is>
          <t xml:space="preserve">Mazda</t>
        </is>
      </c>
      <c r="F6514" s="0" t="s">
        <v>13</v>
      </c>
      <c r="G6514" s="0" t="s">
        <v>49</v>
      </c>
      <c r="H6514" s="5">
        <v>112.813500</v>
      </c>
    </row>
    <row r="6515" spans="1:9">
      <c r="A6515" s="22" t="str">
        <f>HYPERLINK("https://app.vivvix.com/360/KMI/IntelliDrive/ApplUI/Pages/CreativePages/CustomReportCreativeDetail.aspx?App=23&amp;ReportView=4&amp;Qid=1711279&amp;Row=6507&amp;Col=1","No Title Assigned - #15270041905")</f>
        <v/>
      </c>
      <c r="B6515" s="0" t="s">
        <v>8550</v>
      </c>
      <c r="C6515" s="0" t="s">
        <v>8551</v>
      </c>
      <c r="D6515" s="0" t="s">
        <v>8551</v>
      </c>
      <c r="E6515" s="0" t="inlineStr">
        <is>
          <t xml:space="preserve">Mazda</t>
        </is>
      </c>
      <c r="F6515" s="0" t="s">
        <v>13</v>
      </c>
      <c r="G6515" s="0" t="s">
        <v>49</v>
      </c>
      <c r="H6515" s="5">
        <v>112.813500</v>
      </c>
    </row>
    <row r="6516" spans="1:9">
      <c r="A6516" s="22" t="str">
        <f>HYPERLINK("https://app.vivvix.com/360/KMI/IntelliDrive/ApplUI/Pages/CreativePages/CustomReportCreativeDetail.aspx?App=23&amp;ReportView=4&amp;Qid=1711279&amp;Row=6508&amp;Col=1","No Title Assigned - #15270041906")</f>
        <v/>
      </c>
      <c r="B6516" s="0" t="s">
        <v>8552</v>
      </c>
      <c r="C6516" s="0" t="s">
        <v>8553</v>
      </c>
      <c r="D6516" s="0" t="s">
        <v>8553</v>
      </c>
      <c r="E6516" s="0" t="inlineStr">
        <is>
          <t xml:space="preserve">Mazda</t>
        </is>
      </c>
      <c r="F6516" s="0" t="s">
        <v>13</v>
      </c>
      <c r="G6516" s="0" t="s">
        <v>49</v>
      </c>
      <c r="H6516" s="5">
        <v>204.325400</v>
      </c>
    </row>
    <row r="6517" spans="1:9">
      <c r="A6517" s="22" t="str">
        <f>HYPERLINK("https://app.vivvix.com/360/KMI/IntelliDrive/ApplUI/Pages/CreativePages/CustomReportCreativeDetail.aspx?App=23&amp;ReportView=4&amp;Qid=1711279&amp;Row=6509&amp;Col=1","No Title Assigned - #15270041908")</f>
        <v/>
      </c>
      <c r="B6517" s="0" t="s">
        <v>8554</v>
      </c>
      <c r="C6517" s="0" t="s">
        <v>8555</v>
      </c>
      <c r="D6517" s="0" t="s">
        <v>8555</v>
      </c>
      <c r="E6517" s="0" t="inlineStr">
        <is>
          <t xml:space="preserve">Mazda</t>
        </is>
      </c>
      <c r="F6517" s="0" t="s">
        <v>13</v>
      </c>
      <c r="G6517" s="0" t="s">
        <v>49</v>
      </c>
      <c r="H6517" s="5">
        <v>3011.740800</v>
      </c>
    </row>
    <row r="6518" spans="1:9">
      <c r="A6518" s="22" t="str">
        <f>HYPERLINK("https://app.vivvix.com/360/KMI/IntelliDrive/ApplUI/Pages/CreativePages/CustomReportCreativeDetail.aspx?App=23&amp;ReportView=4&amp;Qid=1711279&amp;Row=6510&amp;Col=1","No Title Assigned - #15270041908")</f>
        <v/>
      </c>
      <c r="B6518" s="0" t="s">
        <v>8554</v>
      </c>
      <c r="E6518" s="0" t="inlineStr">
        <is>
          <t xml:space="preserve">Mazda</t>
        </is>
      </c>
      <c r="F6518" s="0" t="s">
        <v>13</v>
      </c>
      <c r="G6518" s="0" t="s">
        <v>49</v>
      </c>
      <c r="H6518" s="5">
        <v>431.111500</v>
      </c>
    </row>
    <row r="6519" spans="1:9">
      <c r="A6519" s="22" t="str">
        <f>HYPERLINK("https://app.vivvix.com/360/KMI/IntelliDrive/ApplUI/Pages/CreativePages/CustomReportCreativeDetail.aspx?App=23&amp;ReportView=4&amp;Qid=1711279&amp;Row=6511&amp;Col=1","No Title Assigned - #15270042130")</f>
        <v/>
      </c>
      <c r="B6519" s="0" t="s">
        <v>8556</v>
      </c>
      <c r="E6519" s="0" t="inlineStr">
        <is>
          <t xml:space="preserve">Mazda</t>
        </is>
      </c>
      <c r="F6519" s="0" t="inlineStr">
        <is>
          <t xml:space="preserve">Mazda</t>
        </is>
      </c>
      <c r="G6519" s="0" t="s">
        <v>171</v>
      </c>
      <c r="H6519" s="5">
        <v>16.718900</v>
      </c>
    </row>
    <row r="6520" spans="1:9">
      <c r="A6520" s="22" t="str">
        <f>HYPERLINK("https://app.vivvix.com/360/KMI/IntelliDrive/ApplUI/Pages/CreativePages/CustomReportCreativeDetail.aspx?App=23&amp;ReportView=4&amp;Qid=1711279&amp;Row=6512&amp;Col=1","No Title Assigned - #15270042501")</f>
        <v/>
      </c>
      <c r="B6520" s="0" t="s">
        <v>8557</v>
      </c>
      <c r="C6520" s="0" t="s">
        <v>8558</v>
      </c>
      <c r="D6520" s="0" t="s">
        <v>8558</v>
      </c>
      <c r="E6520" s="0" t="inlineStr">
        <is>
          <t xml:space="preserve">Mazda</t>
        </is>
      </c>
      <c r="F6520" s="0" t="s">
        <v>13</v>
      </c>
      <c r="G6520" s="0" t="s">
        <v>49</v>
      </c>
      <c r="H6520" s="5">
        <v>5611.085400</v>
      </c>
    </row>
    <row r="6521" spans="1:9">
      <c r="A6521" s="22" t="str">
        <f>HYPERLINK("https://app.vivvix.com/360/KMI/IntelliDrive/ApplUI/Pages/CreativePages/CustomReportCreativeDetail.aspx?App=23&amp;ReportView=4&amp;Qid=1711279&amp;Row=6513&amp;Col=1","No Title Assigned - #15270042501")</f>
        <v/>
      </c>
      <c r="B6521" s="0" t="s">
        <v>8557</v>
      </c>
      <c r="E6521" s="0" t="inlineStr">
        <is>
          <t xml:space="preserve">Mazda</t>
        </is>
      </c>
      <c r="F6521" s="0" t="s">
        <v>13</v>
      </c>
      <c r="G6521" s="0" t="s">
        <v>49</v>
      </c>
      <c r="H6521" s="5">
        <v>6972.917200</v>
      </c>
    </row>
    <row r="6522" spans="1:9">
      <c r="A6522" s="22" t="str">
        <f>HYPERLINK("https://app.vivvix.com/360/KMI/IntelliDrive/ApplUI/Pages/CreativePages/CustomReportCreativeDetail.aspx?App=23&amp;ReportView=4&amp;Qid=1711279&amp;Row=6514&amp;Col=1","No Title Assigned - #15270042771")</f>
        <v/>
      </c>
      <c r="B6522" s="0" t="s">
        <v>8559</v>
      </c>
      <c r="C6522" s="0" t="s">
        <v>8560</v>
      </c>
      <c r="D6522" s="0" t="s">
        <v>8560</v>
      </c>
      <c r="E6522" s="0" t="inlineStr">
        <is>
          <t xml:space="preserve">Mazda</t>
        </is>
      </c>
      <c r="F6522" s="0" t="s">
        <v>13</v>
      </c>
      <c r="G6522" s="0" t="s">
        <v>49</v>
      </c>
      <c r="H6522" s="5">
        <v>877.107200</v>
      </c>
    </row>
    <row r="6523" spans="1:9">
      <c r="A6523" s="22" t="str">
        <f>HYPERLINK("https://app.vivvix.com/360/KMI/IntelliDrive/ApplUI/Pages/CreativePages/CustomReportCreativeDetail.aspx?App=23&amp;ReportView=4&amp;Qid=1711279&amp;Row=6515&amp;Col=1","No Title Assigned - #15270042941")</f>
        <v/>
      </c>
      <c r="B6523" s="0" t="s">
        <v>8561</v>
      </c>
      <c r="C6523" s="0" t="s">
        <v>8562</v>
      </c>
      <c r="D6523" s="0" t="s">
        <v>8562</v>
      </c>
      <c r="E6523" s="0" t="inlineStr">
        <is>
          <t xml:space="preserve">Mazda</t>
        </is>
      </c>
      <c r="F6523" s="0" t="inlineStr">
        <is>
          <t xml:space="preserve">Mazda</t>
        </is>
      </c>
      <c r="G6523" s="0" t="s">
        <v>210</v>
      </c>
      <c r="H6523" s="5">
        <v>846.726400</v>
      </c>
    </row>
    <row r="6524" spans="1:9">
      <c r="A6524" s="22" t="str">
        <f>HYPERLINK("https://app.vivvix.com/360/KMI/IntelliDrive/ApplUI/Pages/CreativePages/CustomReportCreativeDetail.aspx?App=23&amp;ReportView=4&amp;Qid=1711279&amp;Row=6516&amp;Col=1","No Title Assigned - #15270043488")</f>
        <v/>
      </c>
      <c r="B6524" s="0" t="s">
        <v>8563</v>
      </c>
      <c r="C6524" s="0" t="s">
        <v>8443</v>
      </c>
      <c r="D6524" s="0" t="s">
        <v>8443</v>
      </c>
      <c r="E6524" s="0" t="inlineStr">
        <is>
          <t xml:space="preserve">Mazda</t>
        </is>
      </c>
      <c r="F6524" s="0" t="inlineStr">
        <is>
          <t xml:space="preserve">Mazda</t>
        </is>
      </c>
      <c r="G6524" s="0" t="s">
        <v>210</v>
      </c>
      <c r="H6524" s="5">
        <v>2753.908000</v>
      </c>
    </row>
    <row r="6525" spans="1:9">
      <c r="A6525" s="22" t="str">
        <f>HYPERLINK("https://app.vivvix.com/360/KMI/IntelliDrive/ApplUI/Pages/CreativePages/CustomReportCreativeDetail.aspx?App=23&amp;ReportView=4&amp;Qid=1711279&amp;Row=6517&amp;Col=1","No Title Assigned - #15270043488")</f>
        <v/>
      </c>
      <c r="B6525" s="0" t="s">
        <v>8563</v>
      </c>
      <c r="E6525" s="0" t="inlineStr">
        <is>
          <t xml:space="preserve">Mazda</t>
        </is>
      </c>
      <c r="F6525" s="0" t="inlineStr">
        <is>
          <t xml:space="preserve">Mazda</t>
        </is>
      </c>
      <c r="G6525" s="0" t="s">
        <v>210</v>
      </c>
      <c r="H6525" s="5">
        <v>1476.204600</v>
      </c>
    </row>
    <row r="6526" spans="1:9">
      <c r="A6526" s="22" t="str">
        <f>HYPERLINK("https://app.vivvix.com/360/KMI/IntelliDrive/ApplUI/Pages/CreativePages/CustomReportCreativeDetail.aspx?App=23&amp;ReportView=4&amp;Qid=1711279&amp;Row=6518&amp;Col=1","No Title Assigned - #15270043815")</f>
        <v/>
      </c>
      <c r="B6526" s="0" t="s">
        <v>8564</v>
      </c>
      <c r="C6526" s="0" t="s">
        <v>8565</v>
      </c>
      <c r="D6526" s="0" t="s">
        <v>8565</v>
      </c>
      <c r="E6526" s="0" t="inlineStr">
        <is>
          <t xml:space="preserve">Mazda</t>
        </is>
      </c>
      <c r="F6526" s="0" t="s">
        <v>369</v>
      </c>
      <c r="G6526" s="0" t="s">
        <v>370</v>
      </c>
      <c r="H6526" s="5">
        <v>1068.650900</v>
      </c>
    </row>
    <row r="6527" spans="1:9">
      <c r="A6527" s="22" t="str">
        <f>HYPERLINK("https://app.vivvix.com/360/KMI/IntelliDrive/ApplUI/Pages/CreativePages/CustomReportCreativeDetail.aspx?App=23&amp;ReportView=4&amp;Qid=1711279&amp;Row=6519&amp;Col=1","No Title Assigned - #15270044094")</f>
        <v/>
      </c>
      <c r="B6527" s="0" t="s">
        <v>8566</v>
      </c>
      <c r="C6527" s="0" t="s">
        <v>8567</v>
      </c>
      <c r="D6527" s="0" t="s">
        <v>8567</v>
      </c>
      <c r="E6527" s="0" t="inlineStr">
        <is>
          <t xml:space="preserve">Mazda</t>
        </is>
      </c>
      <c r="F6527" s="0" t="inlineStr">
        <is>
          <t xml:space="preserve">Mazda</t>
        </is>
      </c>
      <c r="G6527" s="0" t="s">
        <v>171</v>
      </c>
      <c r="H6527" s="5">
        <v>173.217000</v>
      </c>
    </row>
    <row r="6528" spans="1:9">
      <c r="A6528" s="22" t="str">
        <f>HYPERLINK("https://app.vivvix.com/360/KMI/IntelliDrive/ApplUI/Pages/CreativePages/CustomReportCreativeDetail.aspx?App=23&amp;ReportView=4&amp;Qid=1711279&amp;Row=6520&amp;Col=1","No Title Assigned - #15270044101")</f>
        <v/>
      </c>
      <c r="B6528" s="0" t="s">
        <v>8568</v>
      </c>
      <c r="E6528" s="0" t="inlineStr">
        <is>
          <t xml:space="preserve">Mazda</t>
        </is>
      </c>
      <c r="F6528" s="0" t="inlineStr">
        <is>
          <t xml:space="preserve">Mazda</t>
        </is>
      </c>
      <c r="G6528" s="0" t="s">
        <v>171</v>
      </c>
      <c r="H6528" s="5">
        <v>26.638800</v>
      </c>
    </row>
    <row r="6529" spans="1:9">
      <c r="A6529" s="22" t="str">
        <f>HYPERLINK("https://app.vivvix.com/360/KMI/IntelliDrive/ApplUI/Pages/CreativePages/CustomReportCreativeDetail.aspx?App=23&amp;ReportView=4&amp;Qid=1711279&amp;Row=6521&amp;Col=1","No Title Assigned - #15270044101")</f>
        <v/>
      </c>
      <c r="B6529" s="0" t="s">
        <v>8568</v>
      </c>
      <c r="E6529" s="0" t="inlineStr">
        <is>
          <t xml:space="preserve">Mazda</t>
        </is>
      </c>
      <c r="F6529" s="0" t="inlineStr">
        <is>
          <t xml:space="preserve">Mazda</t>
        </is>
      </c>
      <c r="G6529" s="0" t="s">
        <v>171</v>
      </c>
      <c r="H6529" s="5">
        <v>210.804000</v>
      </c>
    </row>
    <row r="6530" spans="1:9">
      <c r="A6530" s="22" t="str">
        <f>HYPERLINK("https://app.vivvix.com/360/KMI/IntelliDrive/ApplUI/Pages/CreativePages/CustomReportCreativeDetail.aspx?App=23&amp;ReportView=4&amp;Qid=1711279&amp;Row=6522&amp;Col=1","No Title Assigned - #15270044103")</f>
        <v/>
      </c>
      <c r="B6530" s="0" t="s">
        <v>8569</v>
      </c>
      <c r="E6530" s="0" t="inlineStr">
        <is>
          <t xml:space="preserve">Mazda</t>
        </is>
      </c>
      <c r="F6530" s="0" t="inlineStr">
        <is>
          <t xml:space="preserve">Mazda</t>
        </is>
      </c>
      <c r="G6530" s="0" t="s">
        <v>171</v>
      </c>
      <c r="H6530" s="5">
        <v>505.705000</v>
      </c>
    </row>
    <row r="6531" spans="1:9">
      <c r="A6531" s="22" t="str">
        <f>HYPERLINK("https://app.vivvix.com/360/KMI/IntelliDrive/ApplUI/Pages/CreativePages/CustomReportCreativeDetail.aspx?App=23&amp;ReportView=4&amp;Qid=1711279&amp;Row=6523&amp;Col=1","No Title Assigned - #15270044306")</f>
        <v/>
      </c>
      <c r="B6531" s="0" t="s">
        <v>8570</v>
      </c>
      <c r="C6531" s="0" t="s">
        <v>8571</v>
      </c>
      <c r="D6531" s="0" t="s">
        <v>8571</v>
      </c>
      <c r="E6531" s="0" t="inlineStr">
        <is>
          <t xml:space="preserve">Mazda</t>
        </is>
      </c>
      <c r="F6531" s="0" t="inlineStr">
        <is>
          <t xml:space="preserve">Mazda</t>
        </is>
      </c>
      <c r="G6531" s="0" t="s">
        <v>171</v>
      </c>
      <c r="H6531" s="5">
        <v>29.974000</v>
      </c>
    </row>
    <row r="6532" spans="1:9">
      <c r="A6532" s="22" t="str">
        <f>HYPERLINK("https://app.vivvix.com/360/KMI/IntelliDrive/ApplUI/Pages/CreativePages/CustomReportCreativeDetail.aspx?App=23&amp;ReportView=4&amp;Qid=1711279&amp;Row=6524&amp;Col=1","No Title Assigned - #15270044381")</f>
        <v/>
      </c>
      <c r="B6532" s="0" t="s">
        <v>8572</v>
      </c>
      <c r="E6532" s="0" t="inlineStr">
        <is>
          <t xml:space="preserve">Mazda</t>
        </is>
      </c>
      <c r="F6532" s="0" t="inlineStr">
        <is>
          <t xml:space="preserve">Mazda</t>
        </is>
      </c>
      <c r="G6532" s="0" t="s">
        <v>171</v>
      </c>
      <c r="H6532" s="5">
        <v>158.308300</v>
      </c>
    </row>
    <row r="6533" spans="1:9">
      <c r="A6533" s="22" t="str">
        <f>HYPERLINK("https://app.vivvix.com/360/KMI/IntelliDrive/ApplUI/Pages/CreativePages/CustomReportCreativeDetail.aspx?App=23&amp;ReportView=4&amp;Qid=1711279&amp;Row=6525&amp;Col=1","No Title Assigned - #15270044414")</f>
        <v/>
      </c>
      <c r="B6533" s="0" t="s">
        <v>8573</v>
      </c>
      <c r="E6533" s="0" t="inlineStr">
        <is>
          <t xml:space="preserve">Mazda</t>
        </is>
      </c>
      <c r="F6533" s="0" t="inlineStr">
        <is>
          <t xml:space="preserve">Mazda</t>
        </is>
      </c>
      <c r="G6533" s="0" t="s">
        <v>171</v>
      </c>
      <c r="H6533" s="5">
        <v>83.372900</v>
      </c>
    </row>
    <row r="6534" spans="1:9">
      <c r="A6534" s="22" t="str">
        <f>HYPERLINK("https://app.vivvix.com/360/KMI/IntelliDrive/ApplUI/Pages/CreativePages/CustomReportCreativeDetail.aspx?App=23&amp;ReportView=4&amp;Qid=1711279&amp;Row=6526&amp;Col=1","No Title Assigned - #15270044498")</f>
        <v/>
      </c>
      <c r="B6534" s="0" t="s">
        <v>8574</v>
      </c>
      <c r="E6534" s="0" t="inlineStr">
        <is>
          <t xml:space="preserve">Mazda</t>
        </is>
      </c>
      <c r="F6534" s="0" t="inlineStr">
        <is>
          <t xml:space="preserve">Mazda</t>
        </is>
      </c>
      <c r="G6534" s="0" t="s">
        <v>171</v>
      </c>
      <c r="H6534" s="5">
        <v>10.918000</v>
      </c>
    </row>
    <row r="6535" spans="1:9">
      <c r="A6535" s="22" t="str">
        <f>HYPERLINK("https://app.vivvix.com/360/KMI/IntelliDrive/ApplUI/Pages/CreativePages/CustomReportCreativeDetail.aspx?App=23&amp;ReportView=4&amp;Qid=1711279&amp;Row=6527&amp;Col=1","No Title Assigned - #15270044608")</f>
        <v/>
      </c>
      <c r="B6535" s="0" t="s">
        <v>8575</v>
      </c>
      <c r="E6535" s="0" t="inlineStr">
        <is>
          <t xml:space="preserve">Mazda</t>
        </is>
      </c>
      <c r="F6535" s="0" t="inlineStr">
        <is>
          <t xml:space="preserve">Mazda</t>
        </is>
      </c>
      <c r="G6535" s="0" t="s">
        <v>171</v>
      </c>
      <c r="H6535" s="5">
        <v>7.551200</v>
      </c>
    </row>
    <row r="6536" spans="1:9">
      <c r="A6536" s="22" t="str">
        <f>HYPERLINK("https://app.vivvix.com/360/KMI/IntelliDrive/ApplUI/Pages/CreativePages/CustomReportCreativeDetail.aspx?App=23&amp;ReportView=4&amp;Qid=1711279&amp;Row=6528&amp;Col=1","No Title Assigned - #15270044618")</f>
        <v/>
      </c>
      <c r="B6536" s="0" t="s">
        <v>8576</v>
      </c>
      <c r="E6536" s="0" t="inlineStr">
        <is>
          <t xml:space="preserve">Mazda</t>
        </is>
      </c>
      <c r="F6536" s="0" t="inlineStr">
        <is>
          <t xml:space="preserve">Mazda</t>
        </is>
      </c>
      <c r="G6536" s="0" t="s">
        <v>171</v>
      </c>
      <c r="H6536" s="5">
        <v>1002.730600</v>
      </c>
    </row>
    <row r="6537" spans="1:9">
      <c r="A6537" s="22" t="str">
        <f>HYPERLINK("https://app.vivvix.com/360/KMI/IntelliDrive/ApplUI/Pages/CreativePages/CustomReportCreativeDetail.aspx?App=23&amp;ReportView=4&amp;Qid=1711279&amp;Row=6529&amp;Col=1","No Title Assigned - #15270044619")</f>
        <v/>
      </c>
      <c r="B6537" s="0" t="s">
        <v>8577</v>
      </c>
      <c r="E6537" s="0" t="inlineStr">
        <is>
          <t xml:space="preserve">Mazda</t>
        </is>
      </c>
      <c r="F6537" s="0" t="inlineStr">
        <is>
          <t xml:space="preserve">Mazda</t>
        </is>
      </c>
      <c r="G6537" s="0" t="s">
        <v>171</v>
      </c>
      <c r="H6537" s="5">
        <v>82.606700</v>
      </c>
    </row>
    <row r="6538" spans="1:9">
      <c r="A6538" s="22" t="str">
        <f>HYPERLINK("https://app.vivvix.com/360/KMI/IntelliDrive/ApplUI/Pages/CreativePages/CustomReportCreativeDetail.aspx?App=23&amp;ReportView=4&amp;Qid=1711279&amp;Row=6530&amp;Col=1","No Title Assigned - #15270045253")</f>
        <v/>
      </c>
      <c r="B6538" s="0" t="s">
        <v>8578</v>
      </c>
      <c r="C6538" s="0" t="s">
        <v>8579</v>
      </c>
      <c r="D6538" s="0" t="s">
        <v>7969</v>
      </c>
      <c r="E6538" s="0" t="inlineStr">
        <is>
          <t xml:space="preserve">Mazda</t>
        </is>
      </c>
      <c r="F6538" s="0" t="s">
        <v>13</v>
      </c>
      <c r="G6538" s="0" t="s">
        <v>49</v>
      </c>
      <c r="H6538" s="5">
        <v>26.367700</v>
      </c>
    </row>
    <row r="6539" spans="1:9">
      <c r="A6539" s="22" t="str">
        <f>HYPERLINK("https://app.vivvix.com/360/KMI/IntelliDrive/ApplUI/Pages/CreativePages/CustomReportCreativeDetail.aspx?App=23&amp;ReportView=4&amp;Qid=1711279&amp;Row=6531&amp;Col=1","No Title Assigned - #15270045283")</f>
        <v/>
      </c>
      <c r="B6539" s="0" t="s">
        <v>8580</v>
      </c>
      <c r="E6539" s="0" t="inlineStr">
        <is>
          <t xml:space="preserve">Mazda</t>
        </is>
      </c>
      <c r="F6539" s="0" t="inlineStr">
        <is>
          <t xml:space="preserve">Mazda</t>
        </is>
      </c>
      <c r="G6539" s="0" t="s">
        <v>171</v>
      </c>
      <c r="H6539" s="5">
        <v>1515.928400</v>
      </c>
    </row>
    <row r="6540" spans="1:9">
      <c r="A6540" s="22" t="str">
        <f>HYPERLINK("https://app.vivvix.com/360/KMI/IntelliDrive/ApplUI/Pages/CreativePages/CustomReportCreativeDetail.aspx?App=23&amp;ReportView=4&amp;Qid=1711279&amp;Row=6532&amp;Col=1","No Title Assigned - #15270045907")</f>
        <v/>
      </c>
      <c r="B6540" s="0" t="s">
        <v>8581</v>
      </c>
      <c r="C6540" s="0" t="s">
        <v>8582</v>
      </c>
      <c r="D6540" s="0" t="s">
        <v>8582</v>
      </c>
      <c r="E6540" s="0" t="inlineStr">
        <is>
          <t xml:space="preserve">Mazda</t>
        </is>
      </c>
      <c r="F6540" s="0" t="s">
        <v>13</v>
      </c>
      <c r="G6540" s="0" t="s">
        <v>49</v>
      </c>
      <c r="H6540" s="5">
        <v>168.529400</v>
      </c>
    </row>
    <row r="6541" spans="1:9">
      <c r="A6541" s="22" t="str">
        <f>HYPERLINK("https://app.vivvix.com/360/KMI/IntelliDrive/ApplUI/Pages/CreativePages/CustomReportCreativeDetail.aspx?App=23&amp;ReportView=4&amp;Qid=1711279&amp;Row=6533&amp;Col=1","No Title Assigned - #15270046206")</f>
        <v/>
      </c>
      <c r="B6541" s="0" t="s">
        <v>8583</v>
      </c>
      <c r="C6541" s="0" t="s">
        <v>8584</v>
      </c>
      <c r="D6541" s="0" t="s">
        <v>4200</v>
      </c>
      <c r="E6541" s="0" t="inlineStr">
        <is>
          <t xml:space="preserve">Mazda</t>
        </is>
      </c>
      <c r="F6541" s="0" t="s">
        <v>28</v>
      </c>
      <c r="G6541" s="0" t="s">
        <v>29</v>
      </c>
      <c r="H6541" s="5">
        <v>20.900600</v>
      </c>
    </row>
    <row r="6542" spans="1:9">
      <c r="A6542" s="22" t="str">
        <f>HYPERLINK("https://app.vivvix.com/360/KMI/IntelliDrive/ApplUI/Pages/CreativePages/CustomReportCreativeDetail.aspx?App=23&amp;ReportView=4&amp;Qid=1711279&amp;Row=6534&amp;Col=1","No Title Assigned - #15270046447")</f>
        <v/>
      </c>
      <c r="B6542" s="0" t="s">
        <v>8585</v>
      </c>
      <c r="C6542" s="0" t="s">
        <v>8586</v>
      </c>
      <c r="D6542" s="0" t="s">
        <v>8586</v>
      </c>
      <c r="E6542" s="0" t="inlineStr">
        <is>
          <t xml:space="preserve">Mazda</t>
        </is>
      </c>
      <c r="F6542" s="0" t="s">
        <v>13</v>
      </c>
      <c r="G6542" s="0" t="s">
        <v>49</v>
      </c>
      <c r="H6542" s="5">
        <v>281.343600</v>
      </c>
    </row>
    <row r="6543" spans="1:9">
      <c r="A6543" s="22" t="str">
        <f>HYPERLINK("https://app.vivvix.com/360/KMI/IntelliDrive/ApplUI/Pages/CreativePages/CustomReportCreativeDetail.aspx?App=23&amp;ReportView=4&amp;Qid=1711279&amp;Row=6535&amp;Col=1","No Title Assigned - #15270046567")</f>
        <v/>
      </c>
      <c r="B6543" s="0" t="s">
        <v>8587</v>
      </c>
      <c r="C6543" s="0" t="s">
        <v>8588</v>
      </c>
      <c r="D6543" s="0" t="s">
        <v>8588</v>
      </c>
      <c r="E6543" s="0" t="inlineStr">
        <is>
          <t xml:space="preserve">Mazda</t>
        </is>
      </c>
      <c r="F6543" s="0" t="s">
        <v>13</v>
      </c>
      <c r="G6543" s="0" t="s">
        <v>49</v>
      </c>
      <c r="H6543" s="5">
        <v>16917.680300</v>
      </c>
    </row>
    <row r="6544" spans="1:9">
      <c r="A6544" s="22" t="str">
        <f>HYPERLINK("https://app.vivvix.com/360/KMI/IntelliDrive/ApplUI/Pages/CreativePages/CustomReportCreativeDetail.aspx?App=23&amp;ReportView=4&amp;Qid=1711279&amp;Row=6536&amp;Col=1","No Title Assigned - #15270046813")</f>
        <v/>
      </c>
      <c r="B6544" s="0" t="s">
        <v>8589</v>
      </c>
      <c r="C6544" s="0" t="s">
        <v>8590</v>
      </c>
      <c r="D6544" s="0" t="s">
        <v>6044</v>
      </c>
      <c r="E6544" s="0" t="inlineStr">
        <is>
          <t xml:space="preserve">Mazda</t>
        </is>
      </c>
      <c r="F6544" s="0" t="s">
        <v>13</v>
      </c>
      <c r="G6544" s="0" t="s">
        <v>49</v>
      </c>
      <c r="H6544" s="5">
        <v>524.373400</v>
      </c>
    </row>
    <row r="6545" spans="1:9">
      <c r="A6545" s="22" t="str">
        <f>HYPERLINK("https://app.vivvix.com/360/KMI/IntelliDrive/ApplUI/Pages/CreativePages/CustomReportCreativeDetail.aspx?App=23&amp;ReportView=4&amp;Qid=1711279&amp;Row=6537&amp;Col=1","No Title Assigned - #15270046875")</f>
        <v/>
      </c>
      <c r="B6545" s="0" t="s">
        <v>8591</v>
      </c>
      <c r="C6545" s="0" t="s">
        <v>8592</v>
      </c>
      <c r="D6545" s="0" t="s">
        <v>8592</v>
      </c>
      <c r="E6545" s="0" t="inlineStr">
        <is>
          <t xml:space="preserve">Mazda</t>
        </is>
      </c>
      <c r="F6545" s="0" t="inlineStr">
        <is>
          <t xml:space="preserve">Mazda</t>
        </is>
      </c>
      <c r="G6545" s="0" t="s">
        <v>1992</v>
      </c>
      <c r="H6545" s="5">
        <v>786.006100</v>
      </c>
    </row>
    <row r="6546" spans="1:9">
      <c r="A6546" s="22" t="str">
        <f>HYPERLINK("https://app.vivvix.com/360/KMI/IntelliDrive/ApplUI/Pages/CreativePages/CustomReportCreativeDetail.aspx?App=23&amp;ReportView=4&amp;Qid=1711279&amp;Row=6538&amp;Col=1","No Title Assigned - #15270047702")</f>
        <v/>
      </c>
      <c r="B6546" s="0" t="s">
        <v>8593</v>
      </c>
      <c r="E6546" s="0" t="inlineStr">
        <is>
          <t xml:space="preserve">Mazda</t>
        </is>
      </c>
      <c r="F6546" s="0" t="inlineStr">
        <is>
          <t xml:space="preserve">Mazda</t>
        </is>
      </c>
      <c r="G6546" s="0" t="s">
        <v>171</v>
      </c>
      <c r="H6546" s="5">
        <v>6058.879100</v>
      </c>
    </row>
    <row r="6547" spans="1:9">
      <c r="A6547" s="22" t="str">
        <f>HYPERLINK("https://app.vivvix.com/360/KMI/IntelliDrive/ApplUI/Pages/CreativePages/CustomReportCreativeDetail.aspx?App=23&amp;ReportView=4&amp;Qid=1711279&amp;Row=6539&amp;Col=1","No Title Assigned - #15270047737")</f>
        <v/>
      </c>
      <c r="B6547" s="0" t="s">
        <v>8594</v>
      </c>
      <c r="E6547" s="0" t="inlineStr">
        <is>
          <t xml:space="preserve">Mazda</t>
        </is>
      </c>
      <c r="F6547" s="0" t="inlineStr">
        <is>
          <t xml:space="preserve">Mazda</t>
        </is>
      </c>
      <c r="G6547" s="0" t="s">
        <v>171</v>
      </c>
      <c r="H6547" s="5">
        <v>218.275500</v>
      </c>
    </row>
    <row r="6548" spans="1:9">
      <c r="A6548" s="22" t="str">
        <f>HYPERLINK("https://app.vivvix.com/360/KMI/IntelliDrive/ApplUI/Pages/CreativePages/CustomReportCreativeDetail.aspx?App=23&amp;ReportView=4&amp;Qid=1711279&amp;Row=6540&amp;Col=1","No Title Assigned - #15270048175")</f>
        <v/>
      </c>
      <c r="B6548" s="0" t="s">
        <v>8595</v>
      </c>
      <c r="C6548" s="0" t="s">
        <v>8596</v>
      </c>
      <c r="D6548" s="0" t="s">
        <v>8596</v>
      </c>
      <c r="E6548" s="0" t="inlineStr">
        <is>
          <t xml:space="preserve">Mazda</t>
        </is>
      </c>
      <c r="F6548" s="0" t="s">
        <v>13</v>
      </c>
      <c r="G6548" s="0" t="s">
        <v>49</v>
      </c>
      <c r="H6548" s="5">
        <v>194.558900</v>
      </c>
    </row>
    <row r="6549" spans="1:9">
      <c r="A6549" s="22" t="str">
        <f>HYPERLINK("https://app.vivvix.com/360/KMI/IntelliDrive/ApplUI/Pages/CreativePages/CustomReportCreativeDetail.aspx?App=23&amp;ReportView=4&amp;Qid=1711279&amp;Row=6541&amp;Col=1","No Title Assigned - #15270048209")</f>
        <v/>
      </c>
      <c r="B6549" s="0" t="s">
        <v>8597</v>
      </c>
      <c r="C6549" s="0" t="s">
        <v>8598</v>
      </c>
      <c r="D6549" s="0" t="s">
        <v>8598</v>
      </c>
      <c r="E6549" s="0" t="inlineStr">
        <is>
          <t xml:space="preserve">Mazda</t>
        </is>
      </c>
      <c r="F6549" s="0" t="s">
        <v>13</v>
      </c>
      <c r="G6549" s="0" t="s">
        <v>49</v>
      </c>
      <c r="H6549" s="5">
        <v>1727.468900</v>
      </c>
    </row>
    <row r="6550" spans="1:9">
      <c r="A6550" s="22" t="str">
        <f>HYPERLINK("https://app.vivvix.com/360/KMI/IntelliDrive/ApplUI/Pages/CreativePages/CustomReportCreativeDetail.aspx?App=23&amp;ReportView=4&amp;Qid=1711279&amp;Row=6542&amp;Col=1","No Title Assigned - #15270048261")</f>
        <v/>
      </c>
      <c r="B6550" s="0" t="s">
        <v>8599</v>
      </c>
      <c r="C6550" s="0" t="s">
        <v>8600</v>
      </c>
      <c r="D6550" s="0" t="s">
        <v>8600</v>
      </c>
      <c r="E6550" s="0" t="inlineStr">
        <is>
          <t xml:space="preserve">Mazda</t>
        </is>
      </c>
      <c r="F6550" s="0" t="s">
        <v>28</v>
      </c>
      <c r="G6550" s="0" t="s">
        <v>29</v>
      </c>
      <c r="H6550" s="5">
        <v>88.557400</v>
      </c>
    </row>
    <row r="6551" spans="1:9">
      <c r="A6551" s="22" t="str">
        <f>HYPERLINK("https://app.vivvix.com/360/KMI/IntelliDrive/ApplUI/Pages/CreativePages/CustomReportCreativeDetail.aspx?App=23&amp;ReportView=4&amp;Qid=1711279&amp;Row=6543&amp;Col=1","No Title Assigned - #15270048469")</f>
        <v/>
      </c>
      <c r="B6551" s="0" t="s">
        <v>8601</v>
      </c>
      <c r="C6551" s="0" t="s">
        <v>8602</v>
      </c>
      <c r="D6551" s="0" t="s">
        <v>8602</v>
      </c>
      <c r="E6551" s="0" t="inlineStr">
        <is>
          <t xml:space="preserve">Mazda</t>
        </is>
      </c>
      <c r="F6551" s="0" t="s">
        <v>28</v>
      </c>
      <c r="G6551" s="0" t="s">
        <v>29</v>
      </c>
      <c r="H6551" s="5">
        <v>4.295200</v>
      </c>
    </row>
    <row r="6552" spans="1:9">
      <c r="A6552" s="22" t="str">
        <f>HYPERLINK("https://app.vivvix.com/360/KMI/IntelliDrive/ApplUI/Pages/CreativePages/CustomReportCreativeDetail.aspx?App=23&amp;ReportView=4&amp;Qid=1711279&amp;Row=6544&amp;Col=1","No Title Assigned - #15270048585")</f>
        <v/>
      </c>
      <c r="B6552" s="0" t="s">
        <v>8603</v>
      </c>
      <c r="C6552" s="0" t="s">
        <v>8604</v>
      </c>
      <c r="D6552" s="0" t="s">
        <v>8604</v>
      </c>
      <c r="E6552" s="0" t="inlineStr">
        <is>
          <t xml:space="preserve">Mazda</t>
        </is>
      </c>
      <c r="F6552" s="0" t="s">
        <v>13</v>
      </c>
      <c r="G6552" s="0" t="s">
        <v>49</v>
      </c>
      <c r="H6552" s="5">
        <v>1762.710900</v>
      </c>
    </row>
    <row r="6553" spans="1:9">
      <c r="A6553" s="22" t="str">
        <f>HYPERLINK("https://app.vivvix.com/360/KMI/IntelliDrive/ApplUI/Pages/CreativePages/CustomReportCreativeDetail.aspx?App=23&amp;ReportView=4&amp;Qid=1711279&amp;Row=6545&amp;Col=1","No Title Assigned - #15270048734")</f>
        <v/>
      </c>
      <c r="B6553" s="0" t="s">
        <v>8605</v>
      </c>
      <c r="C6553" s="0" t="s">
        <v>8606</v>
      </c>
      <c r="D6553" s="0" t="s">
        <v>8606</v>
      </c>
      <c r="E6553" s="0" t="inlineStr">
        <is>
          <t xml:space="preserve">Mazda</t>
        </is>
      </c>
      <c r="F6553" s="0" t="s">
        <v>28</v>
      </c>
      <c r="G6553" s="0" t="s">
        <v>29</v>
      </c>
      <c r="H6553" s="5">
        <v>21.459000</v>
      </c>
    </row>
    <row r="6554" spans="1:9">
      <c r="A6554" s="22" t="str">
        <f>HYPERLINK("https://app.vivvix.com/360/KMI/IntelliDrive/ApplUI/Pages/CreativePages/CustomReportCreativeDetail.aspx?App=23&amp;ReportView=4&amp;Qid=1711279&amp;Row=6546&amp;Col=1","No Title Assigned - #15270048740")</f>
        <v/>
      </c>
      <c r="B6554" s="0" t="s">
        <v>8607</v>
      </c>
      <c r="C6554" s="0" t="s">
        <v>8608</v>
      </c>
      <c r="D6554" s="0" t="s">
        <v>8608</v>
      </c>
      <c r="E6554" s="0" t="inlineStr">
        <is>
          <t xml:space="preserve">Mazda</t>
        </is>
      </c>
      <c r="F6554" s="0" t="inlineStr">
        <is>
          <t xml:space="preserve">Mazda</t>
        </is>
      </c>
      <c r="G6554" s="0" t="s">
        <v>210</v>
      </c>
      <c r="H6554" s="5">
        <v>62021.915000</v>
      </c>
    </row>
    <row r="6555" spans="1:9">
      <c r="A6555" s="22" t="str">
        <f>HYPERLINK("https://app.vivvix.com/360/KMI/IntelliDrive/ApplUI/Pages/CreativePages/CustomReportCreativeDetail.aspx?App=23&amp;ReportView=4&amp;Qid=1711279&amp;Row=6547&amp;Col=1","No Title Assigned - #15270048740")</f>
        <v/>
      </c>
      <c r="B6555" s="0" t="s">
        <v>8607</v>
      </c>
      <c r="E6555" s="0" t="inlineStr">
        <is>
          <t xml:space="preserve">Mazda</t>
        </is>
      </c>
      <c r="F6555" s="0" t="inlineStr">
        <is>
          <t xml:space="preserve">Mazda</t>
        </is>
      </c>
      <c r="G6555" s="0" t="s">
        <v>210</v>
      </c>
      <c r="H6555" s="5">
        <v>5357.937300</v>
      </c>
    </row>
    <row r="6556" spans="1:9">
      <c r="A6556" s="22" t="str">
        <f>HYPERLINK("https://app.vivvix.com/360/KMI/IntelliDrive/ApplUI/Pages/CreativePages/CustomReportCreativeDetail.aspx?App=23&amp;ReportView=4&amp;Qid=1711279&amp;Row=6548&amp;Col=1","No Title Assigned - #15270048844")</f>
        <v/>
      </c>
      <c r="B6556" s="0" t="s">
        <v>8609</v>
      </c>
      <c r="C6556" s="0" t="s">
        <v>8610</v>
      </c>
      <c r="D6556" s="0" t="s">
        <v>8610</v>
      </c>
      <c r="E6556" s="0" t="inlineStr">
        <is>
          <t xml:space="preserve">Mazda</t>
        </is>
      </c>
      <c r="F6556" s="0" t="s">
        <v>28</v>
      </c>
      <c r="G6556" s="0" t="s">
        <v>29</v>
      </c>
      <c r="H6556" s="5">
        <v>331.033500</v>
      </c>
    </row>
    <row r="6557" spans="1:9">
      <c r="A6557" s="22" t="str">
        <f>HYPERLINK("https://app.vivvix.com/360/KMI/IntelliDrive/ApplUI/Pages/CreativePages/CustomReportCreativeDetail.aspx?App=23&amp;ReportView=4&amp;Qid=1711279&amp;Row=6549&amp;Col=1","No Title Assigned - #15270049012")</f>
        <v/>
      </c>
      <c r="B6557" s="0" t="s">
        <v>8611</v>
      </c>
      <c r="C6557" s="0" t="s">
        <v>8612</v>
      </c>
      <c r="D6557" s="0" t="s">
        <v>8612</v>
      </c>
      <c r="E6557" s="0" t="inlineStr">
        <is>
          <t xml:space="preserve">Mazda</t>
        </is>
      </c>
      <c r="F6557" s="0" t="s">
        <v>13</v>
      </c>
      <c r="G6557" s="0" t="s">
        <v>49</v>
      </c>
      <c r="H6557" s="5">
        <v>6.976200</v>
      </c>
    </row>
    <row r="6558" spans="1:9">
      <c r="A6558" s="22" t="str">
        <f>HYPERLINK("https://app.vivvix.com/360/KMI/IntelliDrive/ApplUI/Pages/CreativePages/CustomReportCreativeDetail.aspx?App=23&amp;ReportView=4&amp;Qid=1711279&amp;Row=6550&amp;Col=1","No Title Assigned - #15270049727")</f>
        <v/>
      </c>
      <c r="B6558" s="0" t="s">
        <v>8613</v>
      </c>
      <c r="E6558" s="0" t="inlineStr">
        <is>
          <t xml:space="preserve">Mazda</t>
        </is>
      </c>
      <c r="F6558" s="0" t="inlineStr">
        <is>
          <t xml:space="preserve">Mazda</t>
        </is>
      </c>
      <c r="G6558" s="0" t="s">
        <v>171</v>
      </c>
      <c r="H6558" s="5">
        <v>28.727800</v>
      </c>
    </row>
    <row r="6559" spans="1:9">
      <c r="A6559" s="22" t="str">
        <f>HYPERLINK("https://app.vivvix.com/360/KMI/IntelliDrive/ApplUI/Pages/CreativePages/CustomReportCreativeDetail.aspx?App=23&amp;ReportView=4&amp;Qid=1711279&amp;Row=6551&amp;Col=1","No Title Assigned - #15270050067")</f>
        <v/>
      </c>
      <c r="B6559" s="0" t="s">
        <v>8614</v>
      </c>
      <c r="C6559" s="0" t="s">
        <v>8615</v>
      </c>
      <c r="D6559" s="0" t="s">
        <v>8615</v>
      </c>
      <c r="E6559" s="0" t="inlineStr">
        <is>
          <t xml:space="preserve">Mazda</t>
        </is>
      </c>
      <c r="F6559" s="0" t="s">
        <v>13</v>
      </c>
      <c r="G6559" s="0" t="s">
        <v>49</v>
      </c>
      <c r="H6559" s="5">
        <v>3387.415500</v>
      </c>
    </row>
    <row r="6560" spans="1:9">
      <c r="A6560" s="22" t="str">
        <f>HYPERLINK("https://app.vivvix.com/360/KMI/IntelliDrive/ApplUI/Pages/CreativePages/CustomReportCreativeDetail.aspx?App=23&amp;ReportView=4&amp;Qid=1711279&amp;Row=6552&amp;Col=1","No Title Assigned - #15270050100")</f>
        <v/>
      </c>
      <c r="B6560" s="0" t="s">
        <v>8616</v>
      </c>
      <c r="C6560" s="0" t="s">
        <v>8617</v>
      </c>
      <c r="D6560" s="0" t="s">
        <v>8617</v>
      </c>
      <c r="E6560" s="0" t="inlineStr">
        <is>
          <t xml:space="preserve">Mazda</t>
        </is>
      </c>
      <c r="F6560" s="0" t="s">
        <v>13</v>
      </c>
      <c r="G6560" s="0" t="s">
        <v>49</v>
      </c>
      <c r="H6560" s="5">
        <v>471.431500</v>
      </c>
    </row>
    <row r="6561" spans="1:9">
      <c r="A6561" s="22" t="str">
        <f>HYPERLINK("https://app.vivvix.com/360/KMI/IntelliDrive/ApplUI/Pages/CreativePages/CustomReportCreativeDetail.aspx?App=23&amp;ReportView=4&amp;Qid=1711279&amp;Row=6553&amp;Col=1","No Title Assigned - #15270050100")</f>
        <v/>
      </c>
      <c r="B6561" s="0" t="s">
        <v>8616</v>
      </c>
      <c r="C6561" s="0" t="s">
        <v>8618</v>
      </c>
      <c r="D6561" s="0" t="s">
        <v>8618</v>
      </c>
      <c r="E6561" s="0" t="inlineStr">
        <is>
          <t xml:space="preserve">Mazda</t>
        </is>
      </c>
      <c r="F6561" s="0" t="s">
        <v>13</v>
      </c>
      <c r="G6561" s="0" t="s">
        <v>49</v>
      </c>
      <c r="H6561" s="5">
        <v>169.688900</v>
      </c>
    </row>
    <row r="6562" spans="1:9">
      <c r="A6562" s="22" t="str">
        <f>HYPERLINK("https://app.vivvix.com/360/KMI/IntelliDrive/ApplUI/Pages/CreativePages/CustomReportCreativeDetail.aspx?App=23&amp;ReportView=4&amp;Qid=1711279&amp;Row=6554&amp;Col=1","No Title Assigned - #15270050189")</f>
        <v/>
      </c>
      <c r="B6562" s="0" t="s">
        <v>8619</v>
      </c>
      <c r="C6562" s="0" t="s">
        <v>8620</v>
      </c>
      <c r="D6562" s="0" t="s">
        <v>8620</v>
      </c>
      <c r="E6562" s="0" t="inlineStr">
        <is>
          <t xml:space="preserve">Mazda</t>
        </is>
      </c>
      <c r="F6562" s="0" t="s">
        <v>17</v>
      </c>
      <c r="G6562" s="0" t="s">
        <v>33</v>
      </c>
      <c r="H6562" s="5">
        <v>45.812000</v>
      </c>
    </row>
    <row r="6563" spans="1:9">
      <c r="A6563" s="22" t="str">
        <f>HYPERLINK("https://app.vivvix.com/360/KMI/IntelliDrive/ApplUI/Pages/CreativePages/CustomReportCreativeDetail.aspx?App=23&amp;ReportView=4&amp;Qid=1711279&amp;Row=6555&amp;Col=1","No Title Assigned - #15270050228")</f>
        <v/>
      </c>
      <c r="B6563" s="0" t="s">
        <v>8621</v>
      </c>
      <c r="C6563" s="0" t="s">
        <v>8622</v>
      </c>
      <c r="D6563" s="0" t="s">
        <v>8622</v>
      </c>
      <c r="E6563" s="0" t="inlineStr">
        <is>
          <t xml:space="preserve">Mazda</t>
        </is>
      </c>
      <c r="F6563" s="0" t="s">
        <v>13</v>
      </c>
      <c r="G6563" s="0" t="s">
        <v>49</v>
      </c>
      <c r="H6563" s="5">
        <v>74.802500</v>
      </c>
    </row>
    <row r="6564" spans="1:9">
      <c r="A6564" s="22" t="str">
        <f>HYPERLINK("https://app.vivvix.com/360/KMI/IntelliDrive/ApplUI/Pages/CreativePages/CustomReportCreativeDetail.aspx?App=23&amp;ReportView=4&amp;Qid=1711279&amp;Row=6556&amp;Col=1","No Title Assigned - #15270050267")</f>
        <v/>
      </c>
      <c r="B6564" s="0" t="s">
        <v>8623</v>
      </c>
      <c r="C6564" s="0" t="s">
        <v>8624</v>
      </c>
      <c r="D6564" s="0" t="s">
        <v>8203</v>
      </c>
      <c r="E6564" s="0" t="inlineStr">
        <is>
          <t xml:space="preserve">Mazda</t>
        </is>
      </c>
      <c r="F6564" s="0" t="s">
        <v>28</v>
      </c>
      <c r="G6564" s="0" t="s">
        <v>29</v>
      </c>
      <c r="H6564" s="5">
        <v>28.325500</v>
      </c>
    </row>
    <row r="6565" spans="1:9">
      <c r="A6565" s="22" t="str">
        <f>HYPERLINK("https://app.vivvix.com/360/KMI/IntelliDrive/ApplUI/Pages/CreativePages/CustomReportCreativeDetail.aspx?App=23&amp;ReportView=4&amp;Qid=1711279&amp;Row=6557&amp;Col=1","No Title Assigned - #15270050534")</f>
        <v/>
      </c>
      <c r="B6565" s="0" t="s">
        <v>8625</v>
      </c>
      <c r="C6565" s="0" t="s">
        <v>8626</v>
      </c>
      <c r="D6565" s="0" t="s">
        <v>4200</v>
      </c>
      <c r="E6565" s="0" t="inlineStr">
        <is>
          <t xml:space="preserve">Mazda</t>
        </is>
      </c>
      <c r="F6565" s="0" t="s">
        <v>28</v>
      </c>
      <c r="G6565" s="0" t="s">
        <v>29</v>
      </c>
      <c r="H6565" s="5">
        <v>27.189900</v>
      </c>
    </row>
    <row r="6566" spans="1:9">
      <c r="A6566" s="22" t="str">
        <f>HYPERLINK("https://app.vivvix.com/360/KMI/IntelliDrive/ApplUI/Pages/CreativePages/CustomReportCreativeDetail.aspx?App=23&amp;ReportView=4&amp;Qid=1711279&amp;Row=6558&amp;Col=1","No Title Assigned - #15270050535")</f>
        <v/>
      </c>
      <c r="B6566" s="0" t="s">
        <v>8627</v>
      </c>
      <c r="C6566" s="0" t="s">
        <v>8628</v>
      </c>
      <c r="D6566" s="0" t="s">
        <v>8203</v>
      </c>
      <c r="E6566" s="0" t="inlineStr">
        <is>
          <t xml:space="preserve">Mazda</t>
        </is>
      </c>
      <c r="F6566" s="0" t="s">
        <v>28</v>
      </c>
      <c r="G6566" s="0" t="s">
        <v>29</v>
      </c>
      <c r="H6566" s="5">
        <v>81.569700</v>
      </c>
    </row>
    <row r="6567" spans="1:9">
      <c r="A6567" s="22" t="str">
        <f>HYPERLINK("https://app.vivvix.com/360/KMI/IntelliDrive/ApplUI/Pages/CreativePages/CustomReportCreativeDetail.aspx?App=23&amp;ReportView=4&amp;Qid=1711279&amp;Row=6559&amp;Col=1","No Title Assigned - #15270050574")</f>
        <v/>
      </c>
      <c r="B6567" s="0" t="s">
        <v>8629</v>
      </c>
      <c r="C6567" s="0" t="s">
        <v>8630</v>
      </c>
      <c r="D6567" s="0" t="s">
        <v>8630</v>
      </c>
      <c r="E6567" s="0" t="inlineStr">
        <is>
          <t xml:space="preserve">Mazda</t>
        </is>
      </c>
      <c r="F6567" s="0" t="s">
        <v>28</v>
      </c>
      <c r="G6567" s="0" t="s">
        <v>29</v>
      </c>
      <c r="H6567" s="5">
        <v>3.028700</v>
      </c>
    </row>
    <row r="6568" spans="1:9">
      <c r="A6568" s="22" t="str">
        <f>HYPERLINK("https://app.vivvix.com/360/KMI/IntelliDrive/ApplUI/Pages/CreativePages/CustomReportCreativeDetail.aspx?App=23&amp;ReportView=4&amp;Qid=1711279&amp;Row=6560&amp;Col=1","No Title Assigned - #15270050607")</f>
        <v/>
      </c>
      <c r="B6568" s="0" t="s">
        <v>8631</v>
      </c>
      <c r="C6568" s="0" t="s">
        <v>8632</v>
      </c>
      <c r="D6568" s="0" t="s">
        <v>8632</v>
      </c>
      <c r="E6568" s="0" t="inlineStr">
        <is>
          <t xml:space="preserve">Mazda</t>
        </is>
      </c>
      <c r="F6568" s="0" t="s">
        <v>28</v>
      </c>
      <c r="G6568" s="0" t="s">
        <v>29</v>
      </c>
      <c r="H6568" s="5">
        <v>424.305800</v>
      </c>
    </row>
    <row r="6569" spans="1:9">
      <c r="A6569" s="22" t="str">
        <f>HYPERLINK("https://app.vivvix.com/360/KMI/IntelliDrive/ApplUI/Pages/CreativePages/CustomReportCreativeDetail.aspx?App=23&amp;ReportView=4&amp;Qid=1711279&amp;Row=6561&amp;Col=1","No Title Assigned - #15270050876")</f>
        <v/>
      </c>
      <c r="B6569" s="0" t="s">
        <v>8633</v>
      </c>
      <c r="E6569" s="0" t="inlineStr">
        <is>
          <t xml:space="preserve">Mazda</t>
        </is>
      </c>
      <c r="F6569" s="0" t="inlineStr">
        <is>
          <t xml:space="preserve">Mazda</t>
        </is>
      </c>
      <c r="G6569" s="0" t="s">
        <v>171</v>
      </c>
      <c r="H6569" s="5">
        <v>144.492100</v>
      </c>
    </row>
    <row r="6570" spans="1:9">
      <c r="A6570" s="22" t="str">
        <f>HYPERLINK("https://app.vivvix.com/360/KMI/IntelliDrive/ApplUI/Pages/CreativePages/CustomReportCreativeDetail.aspx?App=23&amp;ReportView=4&amp;Qid=1711279&amp;Row=6562&amp;Col=1","No Title Assigned - #15270051334")</f>
        <v/>
      </c>
      <c r="B6570" s="0" t="s">
        <v>8634</v>
      </c>
      <c r="C6570" s="0" t="s">
        <v>8635</v>
      </c>
      <c r="D6570" s="0" t="s">
        <v>8635</v>
      </c>
      <c r="E6570" s="0" t="inlineStr">
        <is>
          <t xml:space="preserve">Mazda</t>
        </is>
      </c>
      <c r="F6570" s="0" t="s">
        <v>13</v>
      </c>
      <c r="G6570" s="0" t="s">
        <v>49</v>
      </c>
      <c r="H6570" s="5">
        <v>103.983900</v>
      </c>
    </row>
    <row r="6571" spans="1:9">
      <c r="A6571" s="22" t="str">
        <f>HYPERLINK("https://app.vivvix.com/360/KMI/IntelliDrive/ApplUI/Pages/CreativePages/CustomReportCreativeDetail.aspx?App=23&amp;ReportView=4&amp;Qid=1711279&amp;Row=6563&amp;Col=1","No Title Assigned - #15270051507")</f>
        <v/>
      </c>
      <c r="B6571" s="0" t="s">
        <v>8636</v>
      </c>
      <c r="C6571" s="0" t="s">
        <v>8637</v>
      </c>
      <c r="D6571" s="0" t="s">
        <v>8443</v>
      </c>
      <c r="E6571" s="0" t="inlineStr">
        <is>
          <t xml:space="preserve">Mazda</t>
        </is>
      </c>
      <c r="F6571" s="0" t="inlineStr">
        <is>
          <t xml:space="preserve">Mazda</t>
        </is>
      </c>
      <c r="G6571" s="0" t="s">
        <v>210</v>
      </c>
      <c r="H6571" s="5">
        <v>828.128000</v>
      </c>
    </row>
    <row r="6572" spans="1:9">
      <c r="A6572" s="22" t="str">
        <f>HYPERLINK("https://app.vivvix.com/360/KMI/IntelliDrive/ApplUI/Pages/CreativePages/CustomReportCreativeDetail.aspx?App=23&amp;ReportView=4&amp;Qid=1711279&amp;Row=6564&amp;Col=1","No Title Assigned - #15270051621")</f>
        <v/>
      </c>
      <c r="B6572" s="0" t="s">
        <v>8638</v>
      </c>
      <c r="C6572" s="0" t="s">
        <v>8639</v>
      </c>
      <c r="D6572" s="0" t="s">
        <v>8222</v>
      </c>
      <c r="E6572" s="0" t="inlineStr">
        <is>
          <t xml:space="preserve">Mazda</t>
        </is>
      </c>
      <c r="F6572" s="0" t="s">
        <v>28</v>
      </c>
      <c r="G6572" s="0" t="s">
        <v>29</v>
      </c>
      <c r="H6572" s="5">
        <v>12.591700</v>
      </c>
    </row>
    <row r="6573" spans="1:9">
      <c r="A6573" s="22" t="str">
        <f>HYPERLINK("https://app.vivvix.com/360/KMI/IntelliDrive/ApplUI/Pages/CreativePages/CustomReportCreativeDetail.aspx?App=23&amp;ReportView=4&amp;Qid=1711279&amp;Row=6565&amp;Col=1","No Title Assigned - #15270051816")</f>
        <v/>
      </c>
      <c r="B6573" s="0" t="s">
        <v>8640</v>
      </c>
      <c r="C6573" s="0" t="s">
        <v>8641</v>
      </c>
      <c r="D6573" s="0" t="s">
        <v>4333</v>
      </c>
      <c r="E6573" s="0" t="inlineStr">
        <is>
          <t xml:space="preserve">Mazda</t>
        </is>
      </c>
      <c r="F6573" s="0" t="s">
        <v>28</v>
      </c>
      <c r="G6573" s="0" t="s">
        <v>29</v>
      </c>
      <c r="H6573" s="5">
        <v>247.920000</v>
      </c>
    </row>
    <row r="6574" spans="1:9">
      <c r="A6574" s="22" t="str">
        <f>HYPERLINK("https://app.vivvix.com/360/KMI/IntelliDrive/ApplUI/Pages/CreativePages/CustomReportCreativeDetail.aspx?App=23&amp;ReportView=4&amp;Qid=1711279&amp;Row=6566&amp;Col=1","No Title Assigned - #15270051874")</f>
        <v/>
      </c>
      <c r="B6574" s="0" t="s">
        <v>8642</v>
      </c>
      <c r="C6574" s="0" t="s">
        <v>8643</v>
      </c>
      <c r="D6574" s="0" t="s">
        <v>8643</v>
      </c>
      <c r="E6574" s="0" t="inlineStr">
        <is>
          <t xml:space="preserve">Mazda</t>
        </is>
      </c>
      <c r="F6574" s="0" t="s">
        <v>13</v>
      </c>
      <c r="G6574" s="0" t="s">
        <v>49</v>
      </c>
      <c r="H6574" s="5">
        <v>44623.035200</v>
      </c>
    </row>
    <row r="6575" spans="1:9">
      <c r="A6575" s="22" t="str">
        <f>HYPERLINK("https://app.vivvix.com/360/KMI/IntelliDrive/ApplUI/Pages/CreativePages/CustomReportCreativeDetail.aspx?App=23&amp;ReportView=4&amp;Qid=1711279&amp;Row=6567&amp;Col=1","No Title Assigned - #15270052032")</f>
        <v/>
      </c>
      <c r="B6575" s="0" t="s">
        <v>8644</v>
      </c>
      <c r="C6575" s="0" t="s">
        <v>8645</v>
      </c>
      <c r="D6575" s="0" t="s">
        <v>8645</v>
      </c>
      <c r="E6575" s="0" t="inlineStr">
        <is>
          <t xml:space="preserve">Mazda</t>
        </is>
      </c>
      <c r="F6575" s="0" t="inlineStr">
        <is>
          <t xml:space="preserve">Mazda</t>
        </is>
      </c>
      <c r="G6575" s="0" t="s">
        <v>210</v>
      </c>
      <c r="H6575" s="5">
        <v>1010.927800</v>
      </c>
    </row>
    <row r="6576" spans="1:9">
      <c r="A6576" s="22" t="str">
        <f>HYPERLINK("https://app.vivvix.com/360/KMI/IntelliDrive/ApplUI/Pages/CreativePages/CustomReportCreativeDetail.aspx?App=23&amp;ReportView=4&amp;Qid=1711279&amp;Row=6568&amp;Col=1","No Title Assigned - #15270052116")</f>
        <v/>
      </c>
      <c r="B6576" s="0" t="s">
        <v>8646</v>
      </c>
      <c r="C6576" s="0" t="s">
        <v>8647</v>
      </c>
      <c r="D6576" s="0" t="s">
        <v>8647</v>
      </c>
      <c r="E6576" s="0" t="inlineStr">
        <is>
          <t xml:space="preserve">Mazda</t>
        </is>
      </c>
      <c r="F6576" s="0" t="s">
        <v>28</v>
      </c>
      <c r="G6576" s="0" t="s">
        <v>29</v>
      </c>
      <c r="H6576" s="5">
        <v>19.272500</v>
      </c>
    </row>
    <row r="6577" spans="1:9">
      <c r="A6577" s="22" t="str">
        <f>HYPERLINK("https://app.vivvix.com/360/KMI/IntelliDrive/ApplUI/Pages/CreativePages/CustomReportCreativeDetail.aspx?App=23&amp;ReportView=4&amp;Qid=1711279&amp;Row=6569&amp;Col=1","No Title Assigned - #15270052117")</f>
        <v/>
      </c>
      <c r="B6577" s="0" t="s">
        <v>8648</v>
      </c>
      <c r="C6577" s="0" t="s">
        <v>8649</v>
      </c>
      <c r="D6577" s="0" t="s">
        <v>4232</v>
      </c>
      <c r="E6577" s="0" t="inlineStr">
        <is>
          <t xml:space="preserve">Mazda</t>
        </is>
      </c>
      <c r="F6577" s="0" t="s">
        <v>28</v>
      </c>
      <c r="G6577" s="0" t="s">
        <v>29</v>
      </c>
      <c r="H6577" s="5">
        <v>39.599000</v>
      </c>
    </row>
    <row r="6578" spans="1:9">
      <c r="A6578" s="22" t="str">
        <f>HYPERLINK("https://app.vivvix.com/360/KMI/IntelliDrive/ApplUI/Pages/CreativePages/CustomReportCreativeDetail.aspx?App=23&amp;ReportView=4&amp;Qid=1711279&amp;Row=6570&amp;Col=1","No Title Assigned - #15270052341")</f>
        <v/>
      </c>
      <c r="B6578" s="0" t="s">
        <v>8650</v>
      </c>
      <c r="C6578" s="0" t="s">
        <v>8651</v>
      </c>
      <c r="D6578" s="0" t="s">
        <v>8651</v>
      </c>
      <c r="E6578" s="0" t="inlineStr">
        <is>
          <t xml:space="preserve">Mazda</t>
        </is>
      </c>
      <c r="F6578" s="0" t="s">
        <v>13</v>
      </c>
      <c r="G6578" s="0" t="s">
        <v>49</v>
      </c>
      <c r="H6578" s="5">
        <v>280.088600</v>
      </c>
    </row>
    <row r="6579" spans="1:9">
      <c r="A6579" s="22" t="str">
        <f>HYPERLINK("https://app.vivvix.com/360/KMI/IntelliDrive/ApplUI/Pages/CreativePages/CustomReportCreativeDetail.aspx?App=23&amp;ReportView=4&amp;Qid=1711279&amp;Row=6571&amp;Col=1","No Title Assigned - #15270052482")</f>
        <v/>
      </c>
      <c r="B6579" s="0" t="s">
        <v>8652</v>
      </c>
      <c r="E6579" s="0" t="inlineStr">
        <is>
          <t xml:space="preserve">Mazda</t>
        </is>
      </c>
      <c r="F6579" s="0" t="inlineStr">
        <is>
          <t xml:space="preserve">Mazda</t>
        </is>
      </c>
      <c r="G6579" s="0" t="s">
        <v>171</v>
      </c>
      <c r="H6579" s="5">
        <v>31.572400</v>
      </c>
    </row>
    <row r="6580" spans="1:9">
      <c r="A6580" s="22" t="str">
        <f>HYPERLINK("https://app.vivvix.com/360/KMI/IntelliDrive/ApplUI/Pages/CreativePages/CustomReportCreativeDetail.aspx?App=23&amp;ReportView=4&amp;Qid=1711279&amp;Row=6572&amp;Col=1","No Title Assigned - #15270052570")</f>
        <v/>
      </c>
      <c r="B6580" s="0" t="s">
        <v>8653</v>
      </c>
      <c r="E6580" s="0" t="inlineStr">
        <is>
          <t xml:space="preserve">Mazda</t>
        </is>
      </c>
      <c r="F6580" s="0" t="inlineStr">
        <is>
          <t xml:space="preserve">Mazda</t>
        </is>
      </c>
      <c r="G6580" s="0" t="s">
        <v>171</v>
      </c>
      <c r="H6580" s="5">
        <v>2854.026200</v>
      </c>
    </row>
    <row r="6581" spans="1:9">
      <c r="A6581" s="22" t="str">
        <f>HYPERLINK("https://app.vivvix.com/360/KMI/IntelliDrive/ApplUI/Pages/CreativePages/CustomReportCreativeDetail.aspx?App=23&amp;ReportView=4&amp;Qid=1711279&amp;Row=6573&amp;Col=1","No Title Assigned - #15270052570")</f>
        <v/>
      </c>
      <c r="B6581" s="0" t="s">
        <v>8653</v>
      </c>
      <c r="E6581" s="0" t="inlineStr">
        <is>
          <t xml:space="preserve">Mazda</t>
        </is>
      </c>
      <c r="F6581" s="0" t="inlineStr">
        <is>
          <t xml:space="preserve">Mazda</t>
        </is>
      </c>
      <c r="G6581" s="0" t="s">
        <v>171</v>
      </c>
      <c r="H6581" s="5">
        <v>2583.499800</v>
      </c>
    </row>
    <row r="6582" spans="1:9">
      <c r="A6582" s="22" t="str">
        <f>HYPERLINK("https://app.vivvix.com/360/KMI/IntelliDrive/ApplUI/Pages/CreativePages/CustomReportCreativeDetail.aspx?App=23&amp;ReportView=4&amp;Qid=1711279&amp;Row=6574&amp;Col=1","No Title Assigned - #15270052589")</f>
        <v/>
      </c>
      <c r="B6582" s="0" t="s">
        <v>8654</v>
      </c>
      <c r="E6582" s="0" t="inlineStr">
        <is>
          <t xml:space="preserve">Mazda</t>
        </is>
      </c>
      <c r="F6582" s="0" t="inlineStr">
        <is>
          <t xml:space="preserve">Mazda</t>
        </is>
      </c>
      <c r="G6582" s="0" t="s">
        <v>171</v>
      </c>
      <c r="H6582" s="5">
        <v>16.750000</v>
      </c>
    </row>
    <row r="6583" spans="1:9">
      <c r="A6583" s="22" t="str">
        <f>HYPERLINK("https://app.vivvix.com/360/KMI/IntelliDrive/ApplUI/Pages/CreativePages/CustomReportCreativeDetail.aspx?App=23&amp;ReportView=4&amp;Qid=1711279&amp;Row=6575&amp;Col=1","No Title Assigned - #15270052589")</f>
        <v/>
      </c>
      <c r="B6583" s="0" t="s">
        <v>8654</v>
      </c>
      <c r="E6583" s="0" t="inlineStr">
        <is>
          <t xml:space="preserve">Mazda</t>
        </is>
      </c>
      <c r="F6583" s="0" t="inlineStr">
        <is>
          <t xml:space="preserve">Mazda</t>
        </is>
      </c>
      <c r="G6583" s="0" t="s">
        <v>171</v>
      </c>
      <c r="H6583" s="5">
        <v>430.103000</v>
      </c>
    </row>
    <row r="6584" spans="1:9">
      <c r="A6584" s="22" t="str">
        <f>HYPERLINK("https://app.vivvix.com/360/KMI/IntelliDrive/ApplUI/Pages/CreativePages/CustomReportCreativeDetail.aspx?App=23&amp;ReportView=4&amp;Qid=1711279&amp;Row=6576&amp;Col=1","No Title Assigned - #15270052615")</f>
        <v/>
      </c>
      <c r="B6584" s="0" t="s">
        <v>8655</v>
      </c>
      <c r="E6584" s="0" t="inlineStr">
        <is>
          <t xml:space="preserve">Mazda</t>
        </is>
      </c>
      <c r="F6584" s="0" t="inlineStr">
        <is>
          <t xml:space="preserve">Mazda</t>
        </is>
      </c>
      <c r="G6584" s="0" t="s">
        <v>171</v>
      </c>
      <c r="H6584" s="5">
        <v>6107.827600</v>
      </c>
    </row>
    <row r="6585" spans="1:9">
      <c r="A6585" s="22" t="str">
        <f>HYPERLINK("https://app.vivvix.com/360/KMI/IntelliDrive/ApplUI/Pages/CreativePages/CustomReportCreativeDetail.aspx?App=23&amp;ReportView=4&amp;Qid=1711279&amp;Row=6577&amp;Col=1","No Title Assigned - #15270052615")</f>
        <v/>
      </c>
      <c r="B6585" s="0" t="s">
        <v>8655</v>
      </c>
      <c r="E6585" s="0" t="inlineStr">
        <is>
          <t xml:space="preserve">Mazda</t>
        </is>
      </c>
      <c r="F6585" s="0" t="inlineStr">
        <is>
          <t xml:space="preserve">Mazda</t>
        </is>
      </c>
      <c r="G6585" s="0" t="s">
        <v>171</v>
      </c>
      <c r="H6585" s="5">
        <v>64.857100</v>
      </c>
    </row>
    <row r="6586" spans="1:9">
      <c r="A6586" s="22" t="str">
        <f>HYPERLINK("https://app.vivvix.com/360/KMI/IntelliDrive/ApplUI/Pages/CreativePages/CustomReportCreativeDetail.aspx?App=23&amp;ReportView=4&amp;Qid=1711279&amp;Row=6578&amp;Col=1","No Title Assigned - #15270052858")</f>
        <v/>
      </c>
      <c r="B6586" s="0" t="s">
        <v>8656</v>
      </c>
      <c r="E6586" s="0" t="inlineStr">
        <is>
          <t xml:space="preserve">Mazda</t>
        </is>
      </c>
      <c r="F6586" s="0" t="inlineStr">
        <is>
          <t xml:space="preserve">Mazda</t>
        </is>
      </c>
      <c r="G6586" s="0" t="s">
        <v>171</v>
      </c>
      <c r="H6586" s="5">
        <v>17.852100</v>
      </c>
    </row>
    <row r="6587" spans="1:9">
      <c r="A6587" s="22" t="str">
        <f>HYPERLINK("https://app.vivvix.com/360/KMI/IntelliDrive/ApplUI/Pages/CreativePages/CustomReportCreativeDetail.aspx?App=23&amp;ReportView=4&amp;Qid=1711279&amp;Row=6579&amp;Col=1","No Title Assigned - #15270052864")</f>
        <v/>
      </c>
      <c r="B6587" s="0" t="s">
        <v>8657</v>
      </c>
      <c r="E6587" s="0" t="inlineStr">
        <is>
          <t xml:space="preserve">Mazda</t>
        </is>
      </c>
      <c r="F6587" s="0" t="inlineStr">
        <is>
          <t xml:space="preserve">Mazda</t>
        </is>
      </c>
      <c r="G6587" s="0" t="s">
        <v>171</v>
      </c>
      <c r="H6587" s="5">
        <v>3783.622500</v>
      </c>
    </row>
    <row r="6588" spans="1:9">
      <c r="A6588" s="22" t="str">
        <f>HYPERLINK("https://app.vivvix.com/360/KMI/IntelliDrive/ApplUI/Pages/CreativePages/CustomReportCreativeDetail.aspx?App=23&amp;ReportView=4&amp;Qid=1711279&amp;Row=6580&amp;Col=1","No Title Assigned - #15270052864")</f>
        <v/>
      </c>
      <c r="B6588" s="0" t="s">
        <v>8657</v>
      </c>
      <c r="E6588" s="0" t="inlineStr">
        <is>
          <t xml:space="preserve">Mazda</t>
        </is>
      </c>
      <c r="F6588" s="0" t="inlineStr">
        <is>
          <t xml:space="preserve">Mazda</t>
        </is>
      </c>
      <c r="G6588" s="0" t="s">
        <v>171</v>
      </c>
      <c r="H6588" s="5">
        <v>678.810700</v>
      </c>
    </row>
    <row r="6589" spans="1:9">
      <c r="A6589" s="22" t="str">
        <f>HYPERLINK("https://app.vivvix.com/360/KMI/IntelliDrive/ApplUI/Pages/CreativePages/CustomReportCreativeDetail.aspx?App=23&amp;ReportView=4&amp;Qid=1711279&amp;Row=6581&amp;Col=1","No Title Assigned - #15270052871")</f>
        <v/>
      </c>
      <c r="B6589" s="0" t="s">
        <v>8658</v>
      </c>
      <c r="E6589" s="0" t="inlineStr">
        <is>
          <t xml:space="preserve">Mazda</t>
        </is>
      </c>
      <c r="F6589" s="0" t="inlineStr">
        <is>
          <t xml:space="preserve">Mazda</t>
        </is>
      </c>
      <c r="G6589" s="0" t="s">
        <v>171</v>
      </c>
      <c r="H6589" s="5">
        <v>220.548300</v>
      </c>
    </row>
    <row r="6590" spans="1:9">
      <c r="A6590" s="22" t="str">
        <f>HYPERLINK("https://app.vivvix.com/360/KMI/IntelliDrive/ApplUI/Pages/CreativePages/CustomReportCreativeDetail.aspx?App=23&amp;ReportView=4&amp;Qid=1711279&amp;Row=6582&amp;Col=1","No Title Assigned - #15270052880")</f>
        <v/>
      </c>
      <c r="B6590" s="0" t="s">
        <v>8659</v>
      </c>
      <c r="E6590" s="0" t="inlineStr">
        <is>
          <t xml:space="preserve">Mazda</t>
        </is>
      </c>
      <c r="F6590" s="0" t="inlineStr">
        <is>
          <t xml:space="preserve">Mazda</t>
        </is>
      </c>
      <c r="G6590" s="0" t="s">
        <v>171</v>
      </c>
      <c r="H6590" s="5">
        <v>210.380000</v>
      </c>
    </row>
    <row r="6591" spans="1:9">
      <c r="A6591" s="22" t="str">
        <f>HYPERLINK("https://app.vivvix.com/360/KMI/IntelliDrive/ApplUI/Pages/CreativePages/CustomReportCreativeDetail.aspx?App=23&amp;ReportView=4&amp;Qid=1711279&amp;Row=6583&amp;Col=1","No Title Assigned - #15270053248")</f>
        <v/>
      </c>
      <c r="B6591" s="0" t="s">
        <v>8660</v>
      </c>
      <c r="E6591" s="0" t="inlineStr">
        <is>
          <t xml:space="preserve">Mazda</t>
        </is>
      </c>
      <c r="F6591" s="0" t="inlineStr">
        <is>
          <t xml:space="preserve">Mazda</t>
        </is>
      </c>
      <c r="G6591" s="0" t="s">
        <v>171</v>
      </c>
      <c r="H6591" s="5">
        <v>2169.335400</v>
      </c>
    </row>
    <row r="6592" spans="1:9">
      <c r="A6592" s="22" t="str">
        <f>HYPERLINK("https://app.vivvix.com/360/KMI/IntelliDrive/ApplUI/Pages/CreativePages/CustomReportCreativeDetail.aspx?App=23&amp;ReportView=4&amp;Qid=1711279&amp;Row=6584&amp;Col=1","No Title Assigned - #15270053304")</f>
        <v/>
      </c>
      <c r="B6592" s="0" t="s">
        <v>8661</v>
      </c>
      <c r="E6592" s="0" t="inlineStr">
        <is>
          <t xml:space="preserve">Mazda</t>
        </is>
      </c>
      <c r="F6592" s="0" t="inlineStr">
        <is>
          <t xml:space="preserve">Mazda</t>
        </is>
      </c>
      <c r="G6592" s="0" t="s">
        <v>171</v>
      </c>
      <c r="H6592" s="5">
        <v>460.582800</v>
      </c>
    </row>
    <row r="6593" spans="1:9">
      <c r="A6593" s="22" t="str">
        <f>HYPERLINK("https://app.vivvix.com/360/KMI/IntelliDrive/ApplUI/Pages/CreativePages/CustomReportCreativeDetail.aspx?App=23&amp;ReportView=4&amp;Qid=1711279&amp;Row=6585&amp;Col=1","No Title Assigned - #15270053645")</f>
        <v/>
      </c>
      <c r="B6593" s="0" t="s">
        <v>8662</v>
      </c>
      <c r="E6593" s="0" t="inlineStr">
        <is>
          <t xml:space="preserve">Mazda</t>
        </is>
      </c>
      <c r="F6593" s="0" t="inlineStr">
        <is>
          <t xml:space="preserve">Mazda</t>
        </is>
      </c>
      <c r="G6593" s="0" t="s">
        <v>171</v>
      </c>
      <c r="H6593" s="5">
        <v>230.686100</v>
      </c>
    </row>
    <row r="6594" spans="1:9">
      <c r="A6594" s="22" t="str">
        <f>HYPERLINK("https://app.vivvix.com/360/KMI/IntelliDrive/ApplUI/Pages/CreativePages/CustomReportCreativeDetail.aspx?App=23&amp;ReportView=4&amp;Qid=1711279&amp;Row=6586&amp;Col=1","No Title Assigned - #15270053668")</f>
        <v/>
      </c>
      <c r="B6594" s="0" t="s">
        <v>8663</v>
      </c>
      <c r="E6594" s="0" t="inlineStr">
        <is>
          <t xml:space="preserve">Mazda</t>
        </is>
      </c>
      <c r="F6594" s="0" t="inlineStr">
        <is>
          <t xml:space="preserve">Mazda</t>
        </is>
      </c>
      <c r="G6594" s="0" t="s">
        <v>171</v>
      </c>
      <c r="H6594" s="5">
        <v>21.078700</v>
      </c>
    </row>
    <row r="6595" spans="1:9">
      <c r="A6595" s="22" t="str">
        <f>HYPERLINK("https://app.vivvix.com/360/KMI/IntelliDrive/ApplUI/Pages/CreativePages/CustomReportCreativeDetail.aspx?App=23&amp;ReportView=4&amp;Qid=1711279&amp;Row=6587&amp;Col=1","No Title Assigned - #15270053834")</f>
        <v/>
      </c>
      <c r="B6595" s="0" t="s">
        <v>8664</v>
      </c>
      <c r="E6595" s="0" t="inlineStr">
        <is>
          <t xml:space="preserve">Mazda</t>
        </is>
      </c>
      <c r="F6595" s="0" t="inlineStr">
        <is>
          <t xml:space="preserve">Mazda</t>
        </is>
      </c>
      <c r="G6595" s="0" t="s">
        <v>171</v>
      </c>
      <c r="H6595" s="5">
        <v>196.345200</v>
      </c>
    </row>
    <row r="6596" spans="1:9">
      <c r="A6596" s="22" t="str">
        <f>HYPERLINK("https://app.vivvix.com/360/KMI/IntelliDrive/ApplUI/Pages/CreativePages/CustomReportCreativeDetail.aspx?App=23&amp;ReportView=4&amp;Qid=1711279&amp;Row=6588&amp;Col=1","No Title Assigned - #15270053843")</f>
        <v/>
      </c>
      <c r="B6596" s="0" t="s">
        <v>8665</v>
      </c>
      <c r="C6596" s="0" t="s">
        <v>8666</v>
      </c>
      <c r="D6596" s="0" t="s">
        <v>8666</v>
      </c>
      <c r="E6596" s="0" t="inlineStr">
        <is>
          <t xml:space="preserve">Mazda</t>
        </is>
      </c>
      <c r="F6596" s="0" t="inlineStr">
        <is>
          <t xml:space="preserve">Mazda</t>
        </is>
      </c>
      <c r="G6596" s="0" t="s">
        <v>171</v>
      </c>
      <c r="H6596" s="5">
        <v>17.867800</v>
      </c>
    </row>
    <row r="6597" spans="1:9">
      <c r="A6597" s="22" t="str">
        <f>HYPERLINK("https://app.vivvix.com/360/KMI/IntelliDrive/ApplUI/Pages/CreativePages/CustomReportCreativeDetail.aspx?App=23&amp;ReportView=4&amp;Qid=1711279&amp;Row=6589&amp;Col=1","No Title Assigned - #15270054134")</f>
        <v/>
      </c>
      <c r="B6597" s="0" t="s">
        <v>8667</v>
      </c>
      <c r="E6597" s="0" t="inlineStr">
        <is>
          <t xml:space="preserve">Mazda</t>
        </is>
      </c>
      <c r="F6597" s="0" t="inlineStr">
        <is>
          <t xml:space="preserve">Mazda</t>
        </is>
      </c>
      <c r="G6597" s="0" t="s">
        <v>171</v>
      </c>
      <c r="H6597" s="5">
        <v>1474.315900</v>
      </c>
    </row>
    <row r="6598" spans="1:9">
      <c r="A6598" s="22" t="str">
        <f>HYPERLINK("https://app.vivvix.com/360/KMI/IntelliDrive/ApplUI/Pages/CreativePages/CustomReportCreativeDetail.aspx?App=23&amp;ReportView=4&amp;Qid=1711279&amp;Row=6590&amp;Col=1","No Title Assigned - #15270054162")</f>
        <v/>
      </c>
      <c r="B6598" s="0" t="s">
        <v>8668</v>
      </c>
      <c r="E6598" s="0" t="inlineStr">
        <is>
          <t xml:space="preserve">Mazda</t>
        </is>
      </c>
      <c r="F6598" s="0" t="inlineStr">
        <is>
          <t xml:space="preserve">Mazda</t>
        </is>
      </c>
      <c r="G6598" s="0" t="s">
        <v>171</v>
      </c>
      <c r="H6598" s="5">
        <v>113.478000</v>
      </c>
    </row>
    <row r="6599" spans="1:9">
      <c r="A6599" s="22" t="str">
        <f>HYPERLINK("https://app.vivvix.com/360/KMI/IntelliDrive/ApplUI/Pages/CreativePages/CustomReportCreativeDetail.aspx?App=23&amp;ReportView=4&amp;Qid=1711279&amp;Row=6591&amp;Col=1","No Title Assigned - #15270054290")</f>
        <v/>
      </c>
      <c r="B6599" s="0" t="s">
        <v>8669</v>
      </c>
      <c r="E6599" s="0" t="inlineStr">
        <is>
          <t xml:space="preserve">Mazda</t>
        </is>
      </c>
      <c r="F6599" s="0" t="inlineStr">
        <is>
          <t xml:space="preserve">Mazda</t>
        </is>
      </c>
      <c r="G6599" s="0" t="s">
        <v>171</v>
      </c>
      <c r="H6599" s="5">
        <v>282.828400</v>
      </c>
    </row>
    <row r="6600" spans="1:9">
      <c r="A6600" s="22" t="str">
        <f>HYPERLINK("https://app.vivvix.com/360/KMI/IntelliDrive/ApplUI/Pages/CreativePages/CustomReportCreativeDetail.aspx?App=23&amp;ReportView=4&amp;Qid=1711279&amp;Row=6592&amp;Col=1","No Title Assigned - #15270054362")</f>
        <v/>
      </c>
      <c r="B6600" s="0" t="s">
        <v>8670</v>
      </c>
      <c r="E6600" s="0" t="inlineStr">
        <is>
          <t xml:space="preserve">Mazda</t>
        </is>
      </c>
      <c r="F6600" s="0" t="inlineStr">
        <is>
          <t xml:space="preserve">Mazda</t>
        </is>
      </c>
      <c r="G6600" s="0" t="s">
        <v>171</v>
      </c>
      <c r="H6600" s="5">
        <v>366.650700</v>
      </c>
    </row>
    <row r="6601" spans="1:9">
      <c r="A6601" s="22" t="str">
        <f>HYPERLINK("https://app.vivvix.com/360/KMI/IntelliDrive/ApplUI/Pages/CreativePages/CustomReportCreativeDetail.aspx?App=23&amp;ReportView=4&amp;Qid=1711279&amp;Row=6593&amp;Col=1","No Title Assigned - #15270054533")</f>
        <v/>
      </c>
      <c r="B6601" s="0" t="s">
        <v>8671</v>
      </c>
      <c r="E6601" s="0" t="inlineStr">
        <is>
          <t xml:space="preserve">Mazda</t>
        </is>
      </c>
      <c r="F6601" s="0" t="inlineStr">
        <is>
          <t xml:space="preserve">Mazda</t>
        </is>
      </c>
      <c r="G6601" s="0" t="s">
        <v>171</v>
      </c>
      <c r="H6601" s="5">
        <v>7.383400</v>
      </c>
    </row>
    <row r="6602" spans="1:9">
      <c r="A6602" s="22" t="str">
        <f>HYPERLINK("https://app.vivvix.com/360/KMI/IntelliDrive/ApplUI/Pages/CreativePages/CustomReportCreativeDetail.aspx?App=23&amp;ReportView=4&amp;Qid=1711279&amp;Row=6594&amp;Col=1","No Title Assigned - #15270054590")</f>
        <v/>
      </c>
      <c r="B6602" s="0" t="s">
        <v>8672</v>
      </c>
      <c r="C6602" s="0" t="s">
        <v>8673</v>
      </c>
      <c r="D6602" s="0" t="s">
        <v>8673</v>
      </c>
      <c r="E6602" s="0" t="inlineStr">
        <is>
          <t xml:space="preserve">Mazda</t>
        </is>
      </c>
      <c r="F6602" s="0" t="inlineStr">
        <is>
          <t xml:space="preserve">Mazda</t>
        </is>
      </c>
      <c r="G6602" s="0" t="s">
        <v>171</v>
      </c>
      <c r="H6602" s="5">
        <v>943.515800</v>
      </c>
    </row>
    <row r="6603" spans="1:9">
      <c r="A6603" s="22" t="str">
        <f>HYPERLINK("https://app.vivvix.com/360/KMI/IntelliDrive/ApplUI/Pages/CreativePages/CustomReportCreativeDetail.aspx?App=23&amp;ReportView=4&amp;Qid=1711279&amp;Row=6595&amp;Col=1","No Title Assigned - #15270054590")</f>
        <v/>
      </c>
      <c r="B6603" s="0" t="s">
        <v>8672</v>
      </c>
      <c r="E6603" s="0" t="inlineStr">
        <is>
          <t xml:space="preserve">Mazda</t>
        </is>
      </c>
      <c r="F6603" s="0" t="inlineStr">
        <is>
          <t xml:space="preserve">Mazda</t>
        </is>
      </c>
      <c r="G6603" s="0" t="s">
        <v>171</v>
      </c>
      <c r="H6603" s="5">
        <v>1249.535200</v>
      </c>
    </row>
    <row r="6604" spans="1:9">
      <c r="A6604" s="22" t="str">
        <f>HYPERLINK("https://app.vivvix.com/360/KMI/IntelliDrive/ApplUI/Pages/CreativePages/CustomReportCreativeDetail.aspx?App=23&amp;ReportView=4&amp;Qid=1711279&amp;Row=6596&amp;Col=1","No Title Assigned - #15270054641")</f>
        <v/>
      </c>
      <c r="B6604" s="0" t="s">
        <v>8674</v>
      </c>
      <c r="E6604" s="0" t="inlineStr">
        <is>
          <t xml:space="preserve">Mazda</t>
        </is>
      </c>
      <c r="F6604" s="0" t="inlineStr">
        <is>
          <t xml:space="preserve">Mazda</t>
        </is>
      </c>
      <c r="G6604" s="0" t="s">
        <v>171</v>
      </c>
      <c r="H6604" s="5">
        <v>2.937700</v>
      </c>
    </row>
    <row r="6605" spans="1:9">
      <c r="A6605" s="22" t="str">
        <f>HYPERLINK("https://app.vivvix.com/360/KMI/IntelliDrive/ApplUI/Pages/CreativePages/CustomReportCreativeDetail.aspx?App=23&amp;ReportView=4&amp;Qid=1711279&amp;Row=6597&amp;Col=1","No Title Assigned - #15270054800")</f>
        <v/>
      </c>
      <c r="B6605" s="0" t="s">
        <v>8675</v>
      </c>
      <c r="E6605" s="0" t="inlineStr">
        <is>
          <t xml:space="preserve">Mazda</t>
        </is>
      </c>
      <c r="F6605" s="0" t="inlineStr">
        <is>
          <t xml:space="preserve">Mazda</t>
        </is>
      </c>
      <c r="G6605" s="0" t="s">
        <v>171</v>
      </c>
      <c r="H6605" s="5">
        <v>3080.242700</v>
      </c>
    </row>
    <row r="6606" spans="1:9">
      <c r="A6606" s="22" t="str">
        <f>HYPERLINK("https://app.vivvix.com/360/KMI/IntelliDrive/ApplUI/Pages/CreativePages/CustomReportCreativeDetail.aspx?App=23&amp;ReportView=4&amp;Qid=1711279&amp;Row=6598&amp;Col=1","No Title Assigned - #15270054831")</f>
        <v/>
      </c>
      <c r="B6606" s="0" t="s">
        <v>8676</v>
      </c>
      <c r="E6606" s="0" t="inlineStr">
        <is>
          <t xml:space="preserve">Mazda</t>
        </is>
      </c>
      <c r="F6606" s="0" t="inlineStr">
        <is>
          <t xml:space="preserve">Mazda</t>
        </is>
      </c>
      <c r="G6606" s="0" t="s">
        <v>171</v>
      </c>
      <c r="H6606" s="5">
        <v>206.143400</v>
      </c>
    </row>
    <row r="6607" spans="1:9">
      <c r="A6607" s="22" t="str">
        <f>HYPERLINK("https://app.vivvix.com/360/KMI/IntelliDrive/ApplUI/Pages/CreativePages/CustomReportCreativeDetail.aspx?App=23&amp;ReportView=4&amp;Qid=1711279&amp;Row=6599&amp;Col=1","No Title Assigned - #15270054831")</f>
        <v/>
      </c>
      <c r="B6607" s="0" t="s">
        <v>8676</v>
      </c>
      <c r="E6607" s="0" t="inlineStr">
        <is>
          <t xml:space="preserve">Mazda</t>
        </is>
      </c>
      <c r="F6607" s="0" t="inlineStr">
        <is>
          <t xml:space="preserve">Mazda</t>
        </is>
      </c>
      <c r="G6607" s="0" t="s">
        <v>171</v>
      </c>
      <c r="H6607" s="5">
        <v>458.945700</v>
      </c>
    </row>
    <row r="6608" spans="1:9">
      <c r="A6608" s="22" t="str">
        <f>HYPERLINK("https://app.vivvix.com/360/KMI/IntelliDrive/ApplUI/Pages/CreativePages/CustomReportCreativeDetail.aspx?App=23&amp;ReportView=4&amp;Qid=1711279&amp;Row=6600&amp;Col=1","No Title Assigned - #15270054860")</f>
        <v/>
      </c>
      <c r="B6608" s="0" t="s">
        <v>8677</v>
      </c>
      <c r="E6608" s="0" t="inlineStr">
        <is>
          <t xml:space="preserve">Mazda</t>
        </is>
      </c>
      <c r="F6608" s="0" t="s">
        <v>13</v>
      </c>
      <c r="G6608" s="0" t="s">
        <v>49</v>
      </c>
      <c r="H6608" s="5">
        <v>549.021900</v>
      </c>
    </row>
    <row r="6609" spans="1:9">
      <c r="A6609" s="22" t="str">
        <f>HYPERLINK("https://app.vivvix.com/360/KMI/IntelliDrive/ApplUI/Pages/CreativePages/CustomReportCreativeDetail.aspx?App=23&amp;ReportView=4&amp;Qid=1711279&amp;Row=6601&amp;Col=1","No Title Assigned - #15270054860")</f>
        <v/>
      </c>
      <c r="B6609" s="0" t="s">
        <v>8677</v>
      </c>
      <c r="C6609" s="0" t="s">
        <v>8678</v>
      </c>
      <c r="D6609" s="0" t="s">
        <v>8678</v>
      </c>
      <c r="E6609" s="0" t="inlineStr">
        <is>
          <t xml:space="preserve">Mazda</t>
        </is>
      </c>
      <c r="F6609" s="0" t="s">
        <v>13</v>
      </c>
      <c r="G6609" s="0" t="s">
        <v>49</v>
      </c>
      <c r="H6609" s="5">
        <v>815.381000</v>
      </c>
    </row>
    <row r="6610" spans="1:9">
      <c r="A6610" s="22" t="str">
        <f>HYPERLINK("https://app.vivvix.com/360/KMI/IntelliDrive/ApplUI/Pages/CreativePages/CustomReportCreativeDetail.aspx?App=23&amp;ReportView=4&amp;Qid=1711279&amp;Row=6602&amp;Col=1","No Title Assigned - #15270054940")</f>
        <v/>
      </c>
      <c r="B6610" s="0" t="s">
        <v>8679</v>
      </c>
      <c r="E6610" s="0" t="inlineStr">
        <is>
          <t xml:space="preserve">Mazda</t>
        </is>
      </c>
      <c r="F6610" s="0" t="inlineStr">
        <is>
          <t xml:space="preserve">Mazda</t>
        </is>
      </c>
      <c r="G6610" s="0" t="s">
        <v>171</v>
      </c>
      <c r="H6610" s="5">
        <v>57.691000</v>
      </c>
    </row>
    <row r="6611" spans="1:9">
      <c r="A6611" s="22" t="str">
        <f>HYPERLINK("https://app.vivvix.com/360/KMI/IntelliDrive/ApplUI/Pages/CreativePages/CustomReportCreativeDetail.aspx?App=23&amp;ReportView=4&amp;Qid=1711279&amp;Row=6603&amp;Col=1","No Title Assigned - #15270054982")</f>
        <v/>
      </c>
      <c r="B6611" s="0" t="s">
        <v>8680</v>
      </c>
      <c r="E6611" s="0" t="inlineStr">
        <is>
          <t xml:space="preserve">Mazda</t>
        </is>
      </c>
      <c r="F6611" s="0" t="inlineStr">
        <is>
          <t xml:space="preserve">Mazda</t>
        </is>
      </c>
      <c r="G6611" s="0" t="s">
        <v>171</v>
      </c>
      <c r="H6611" s="5">
        <v>471.431500</v>
      </c>
    </row>
    <row r="6612" spans="1:9">
      <c r="A6612" s="22" t="str">
        <f>HYPERLINK("https://app.vivvix.com/360/KMI/IntelliDrive/ApplUI/Pages/CreativePages/CustomReportCreativeDetail.aspx?App=23&amp;ReportView=4&amp;Qid=1711279&amp;Row=6604&amp;Col=1","No Title Assigned - #15270055221")</f>
        <v/>
      </c>
      <c r="B6612" s="0" t="s">
        <v>8681</v>
      </c>
      <c r="E6612" s="0" t="inlineStr">
        <is>
          <t xml:space="preserve">Mazda</t>
        </is>
      </c>
      <c r="F6612" s="0" t="inlineStr">
        <is>
          <t xml:space="preserve">Mazda</t>
        </is>
      </c>
      <c r="G6612" s="0" t="s">
        <v>171</v>
      </c>
      <c r="H6612" s="5">
        <v>166.373200</v>
      </c>
    </row>
    <row r="6613" spans="1:9">
      <c r="A6613" s="22" t="str">
        <f>HYPERLINK("https://app.vivvix.com/360/KMI/IntelliDrive/ApplUI/Pages/CreativePages/CustomReportCreativeDetail.aspx?App=23&amp;ReportView=4&amp;Qid=1711279&amp;Row=6605&amp;Col=1","No Title Assigned - #15270055259")</f>
        <v/>
      </c>
      <c r="B6613" s="0" t="s">
        <v>8682</v>
      </c>
      <c r="E6613" s="0" t="inlineStr">
        <is>
          <t xml:space="preserve">Mazda</t>
        </is>
      </c>
      <c r="F6613" s="0" t="inlineStr">
        <is>
          <t xml:space="preserve">Mazda</t>
        </is>
      </c>
      <c r="G6613" s="0" t="s">
        <v>171</v>
      </c>
      <c r="H6613" s="5">
        <v>207.882400</v>
      </c>
    </row>
    <row r="6614" spans="1:9">
      <c r="A6614" s="22" t="str">
        <f>HYPERLINK("https://app.vivvix.com/360/KMI/IntelliDrive/ApplUI/Pages/CreativePages/CustomReportCreativeDetail.aspx?App=23&amp;ReportView=4&amp;Qid=1711279&amp;Row=6606&amp;Col=1","No Title Assigned - #15270055456")</f>
        <v/>
      </c>
      <c r="B6614" s="0" t="s">
        <v>8683</v>
      </c>
      <c r="E6614" s="0" t="inlineStr">
        <is>
          <t xml:space="preserve">Mazda</t>
        </is>
      </c>
      <c r="F6614" s="0" t="inlineStr">
        <is>
          <t xml:space="preserve">Mazda</t>
        </is>
      </c>
      <c r="G6614" s="0" t="s">
        <v>171</v>
      </c>
      <c r="H6614" s="5">
        <v>18.345900</v>
      </c>
    </row>
    <row r="6615" spans="1:9">
      <c r="A6615" s="22" t="str">
        <f>HYPERLINK("https://app.vivvix.com/360/KMI/IntelliDrive/ApplUI/Pages/CreativePages/CustomReportCreativeDetail.aspx?App=23&amp;ReportView=4&amp;Qid=1711279&amp;Row=6607&amp;Col=1","No Title Assigned - #15270055493")</f>
        <v/>
      </c>
      <c r="B6615" s="0" t="s">
        <v>8684</v>
      </c>
      <c r="C6615" s="0" t="s">
        <v>8685</v>
      </c>
      <c r="D6615" s="0" t="s">
        <v>8685</v>
      </c>
      <c r="E6615" s="0" t="inlineStr">
        <is>
          <t xml:space="preserve">Mazda</t>
        </is>
      </c>
      <c r="F6615" s="0" t="inlineStr">
        <is>
          <t xml:space="preserve">Mazda</t>
        </is>
      </c>
      <c r="G6615" s="0" t="s">
        <v>171</v>
      </c>
      <c r="H6615" s="5">
        <v>5973.011600</v>
      </c>
    </row>
    <row r="6616" spans="1:9">
      <c r="A6616" s="22" t="str">
        <f>HYPERLINK("https://app.vivvix.com/360/KMI/IntelliDrive/ApplUI/Pages/CreativePages/CustomReportCreativeDetail.aspx?App=23&amp;ReportView=4&amp;Qid=1711279&amp;Row=6608&amp;Col=1","No Title Assigned - #15270055493")</f>
        <v/>
      </c>
      <c r="B6616" s="0" t="s">
        <v>8684</v>
      </c>
      <c r="E6616" s="0" t="inlineStr">
        <is>
          <t xml:space="preserve">Mazda</t>
        </is>
      </c>
      <c r="F6616" s="0" t="inlineStr">
        <is>
          <t xml:space="preserve">Mazda</t>
        </is>
      </c>
      <c r="G6616" s="0" t="s">
        <v>171</v>
      </c>
      <c r="H6616" s="5">
        <v>1310.725600</v>
      </c>
    </row>
    <row r="6617" spans="1:9">
      <c r="A6617" s="22" t="str">
        <f>HYPERLINK("https://app.vivvix.com/360/KMI/IntelliDrive/ApplUI/Pages/CreativePages/CustomReportCreativeDetail.aspx?App=23&amp;ReportView=4&amp;Qid=1711279&amp;Row=6609&amp;Col=1","No Title Assigned - #15270055775")</f>
        <v/>
      </c>
      <c r="B6617" s="0" t="s">
        <v>8686</v>
      </c>
      <c r="E6617" s="0" t="inlineStr">
        <is>
          <t xml:space="preserve">Mazda</t>
        </is>
      </c>
      <c r="F6617" s="0" t="inlineStr">
        <is>
          <t xml:space="preserve">Mazda</t>
        </is>
      </c>
      <c r="G6617" s="0" t="s">
        <v>171</v>
      </c>
      <c r="H6617" s="5">
        <v>926.731600</v>
      </c>
    </row>
    <row r="6618" spans="1:9">
      <c r="A6618" s="22" t="str">
        <f>HYPERLINK("https://app.vivvix.com/360/KMI/IntelliDrive/ApplUI/Pages/CreativePages/CustomReportCreativeDetail.aspx?App=23&amp;ReportView=4&amp;Qid=1711279&amp;Row=6610&amp;Col=1","No Title Assigned - #15270055775")</f>
        <v/>
      </c>
      <c r="B6618" s="0" t="s">
        <v>8686</v>
      </c>
      <c r="E6618" s="0" t="inlineStr">
        <is>
          <t xml:space="preserve">Mazda</t>
        </is>
      </c>
      <c r="F6618" s="0" t="inlineStr">
        <is>
          <t xml:space="preserve">Mazda</t>
        </is>
      </c>
      <c r="G6618" s="0" t="s">
        <v>171</v>
      </c>
      <c r="H6618" s="5">
        <v>173.620400</v>
      </c>
    </row>
    <row r="6619" spans="1:9">
      <c r="A6619" s="22" t="str">
        <f>HYPERLINK("https://app.vivvix.com/360/KMI/IntelliDrive/ApplUI/Pages/CreativePages/CustomReportCreativeDetail.aspx?App=23&amp;ReportView=4&amp;Qid=1711279&amp;Row=6611&amp;Col=1","No Title Assigned - #15270055908")</f>
        <v/>
      </c>
      <c r="B6619" s="0" t="s">
        <v>8687</v>
      </c>
      <c r="E6619" s="0" t="inlineStr">
        <is>
          <t xml:space="preserve">Mazda</t>
        </is>
      </c>
      <c r="F6619" s="0" t="inlineStr">
        <is>
          <t xml:space="preserve">Mazda</t>
        </is>
      </c>
      <c r="G6619" s="0" t="s">
        <v>171</v>
      </c>
      <c r="H6619" s="5">
        <v>430.103000</v>
      </c>
    </row>
    <row r="6620" spans="1:9">
      <c r="A6620" s="22" t="str">
        <f>HYPERLINK("https://app.vivvix.com/360/KMI/IntelliDrive/ApplUI/Pages/CreativePages/CustomReportCreativeDetail.aspx?App=23&amp;ReportView=4&amp;Qid=1711279&amp;Row=6612&amp;Col=1","No Title Assigned - #15270055937")</f>
        <v/>
      </c>
      <c r="B6620" s="0" t="s">
        <v>8688</v>
      </c>
      <c r="E6620" s="0" t="inlineStr">
        <is>
          <t xml:space="preserve">Mazda</t>
        </is>
      </c>
      <c r="F6620" s="0" t="inlineStr">
        <is>
          <t xml:space="preserve">Mazda</t>
        </is>
      </c>
      <c r="G6620" s="0" t="s">
        <v>171</v>
      </c>
      <c r="H6620" s="5">
        <v>11215.785700</v>
      </c>
    </row>
    <row r="6621" spans="1:9">
      <c r="A6621" s="22" t="str">
        <f>HYPERLINK("https://app.vivvix.com/360/KMI/IntelliDrive/ApplUI/Pages/CreativePages/CustomReportCreativeDetail.aspx?App=23&amp;ReportView=4&amp;Qid=1711279&amp;Row=6613&amp;Col=1","No Title Assigned - #15270055995")</f>
        <v/>
      </c>
      <c r="B6621" s="0" t="s">
        <v>8689</v>
      </c>
      <c r="C6621" s="0" t="s">
        <v>8690</v>
      </c>
      <c r="D6621" s="0" t="s">
        <v>8690</v>
      </c>
      <c r="E6621" s="0" t="inlineStr">
        <is>
          <t xml:space="preserve">Mazda</t>
        </is>
      </c>
      <c r="F6621" s="0" t="inlineStr">
        <is>
          <t xml:space="preserve">Mazda</t>
        </is>
      </c>
      <c r="G6621" s="0" t="s">
        <v>171</v>
      </c>
      <c r="H6621" s="5">
        <v>1540.590500</v>
      </c>
    </row>
    <row r="6622" spans="1:9">
      <c r="A6622" s="22" t="str">
        <f>HYPERLINK("https://app.vivvix.com/360/KMI/IntelliDrive/ApplUI/Pages/CreativePages/CustomReportCreativeDetail.aspx?App=23&amp;ReportView=4&amp;Qid=1711279&amp;Row=6614&amp;Col=1","No Title Assigned - #15270056167")</f>
        <v/>
      </c>
      <c r="B6622" s="0" t="s">
        <v>8691</v>
      </c>
      <c r="E6622" s="0" t="inlineStr">
        <is>
          <t xml:space="preserve">Mazda</t>
        </is>
      </c>
      <c r="F6622" s="0" t="inlineStr">
        <is>
          <t xml:space="preserve">Mazda</t>
        </is>
      </c>
      <c r="G6622" s="0" t="s">
        <v>171</v>
      </c>
      <c r="H6622" s="5">
        <v>850.283900</v>
      </c>
    </row>
    <row r="6623" spans="1:9">
      <c r="A6623" s="22" t="str">
        <f>HYPERLINK("https://app.vivvix.com/360/KMI/IntelliDrive/ApplUI/Pages/CreativePages/CustomReportCreativeDetail.aspx?App=23&amp;ReportView=4&amp;Qid=1711279&amp;Row=6615&amp;Col=1","No Title Assigned - #15270056258")</f>
        <v/>
      </c>
      <c r="B6623" s="0" t="s">
        <v>8692</v>
      </c>
      <c r="E6623" s="0" t="inlineStr">
        <is>
          <t xml:space="preserve">Mazda</t>
        </is>
      </c>
      <c r="F6623" s="0" t="inlineStr">
        <is>
          <t xml:space="preserve">Mazda</t>
        </is>
      </c>
      <c r="G6623" s="0" t="s">
        <v>171</v>
      </c>
      <c r="H6623" s="5">
        <v>130.965300</v>
      </c>
    </row>
    <row r="6624" spans="1:9">
      <c r="A6624" s="22" t="str">
        <f>HYPERLINK("https://app.vivvix.com/360/KMI/IntelliDrive/ApplUI/Pages/CreativePages/CustomReportCreativeDetail.aspx?App=23&amp;ReportView=4&amp;Qid=1711279&amp;Row=6616&amp;Col=1","No Title Assigned - #15270056403")</f>
        <v/>
      </c>
      <c r="B6624" s="0" t="s">
        <v>8693</v>
      </c>
      <c r="E6624" s="0" t="inlineStr">
        <is>
          <t xml:space="preserve">Mazda</t>
        </is>
      </c>
      <c r="F6624" s="0" t="inlineStr">
        <is>
          <t xml:space="preserve">Mazda</t>
        </is>
      </c>
      <c r="G6624" s="0" t="s">
        <v>171</v>
      </c>
      <c r="H6624" s="5">
        <v>299.792500</v>
      </c>
    </row>
    <row r="6625" spans="1:9">
      <c r="A6625" s="22" t="str">
        <f>HYPERLINK("https://app.vivvix.com/360/KMI/IntelliDrive/ApplUI/Pages/CreativePages/CustomReportCreativeDetail.aspx?App=23&amp;ReportView=4&amp;Qid=1711279&amp;Row=6617&amp;Col=1","No Title Assigned - #15270056613")</f>
        <v/>
      </c>
      <c r="B6625" s="0" t="s">
        <v>8694</v>
      </c>
      <c r="E6625" s="0" t="inlineStr">
        <is>
          <t xml:space="preserve">Mazda</t>
        </is>
      </c>
      <c r="F6625" s="0" t="inlineStr">
        <is>
          <t xml:space="preserve">Mazda</t>
        </is>
      </c>
      <c r="G6625" s="0" t="s">
        <v>171</v>
      </c>
      <c r="H6625" s="5">
        <v>17.334800</v>
      </c>
    </row>
    <row r="6626" spans="1:9">
      <c r="A6626" s="22" t="str">
        <f>HYPERLINK("https://app.vivvix.com/360/KMI/IntelliDrive/ApplUI/Pages/CreativePages/CustomReportCreativeDetail.aspx?App=23&amp;ReportView=4&amp;Qid=1711279&amp;Row=6618&amp;Col=1","No Title Assigned - #15270056672")</f>
        <v/>
      </c>
      <c r="B6626" s="0" t="s">
        <v>8695</v>
      </c>
      <c r="C6626" s="0" t="s">
        <v>8696</v>
      </c>
      <c r="D6626" s="0" t="s">
        <v>8696</v>
      </c>
      <c r="E6626" s="0" t="inlineStr">
        <is>
          <t xml:space="preserve">Mazda</t>
        </is>
      </c>
      <c r="F6626" s="0" t="inlineStr">
        <is>
          <t xml:space="preserve">Mazda</t>
        </is>
      </c>
      <c r="G6626" s="0" t="s">
        <v>171</v>
      </c>
      <c r="H6626" s="5">
        <v>81.038500</v>
      </c>
    </row>
    <row r="6627" spans="1:9">
      <c r="A6627" s="22" t="str">
        <f>HYPERLINK("https://app.vivvix.com/360/KMI/IntelliDrive/ApplUI/Pages/CreativePages/CustomReportCreativeDetail.aspx?App=23&amp;ReportView=4&amp;Qid=1711279&amp;Row=6619&amp;Col=1","No Title Assigned - #15270056731")</f>
        <v/>
      </c>
      <c r="B6627" s="0" t="s">
        <v>8697</v>
      </c>
      <c r="E6627" s="0" t="inlineStr">
        <is>
          <t xml:space="preserve">Mazda</t>
        </is>
      </c>
      <c r="F6627" s="0" t="inlineStr">
        <is>
          <t xml:space="preserve">Mazda</t>
        </is>
      </c>
      <c r="G6627" s="0" t="s">
        <v>171</v>
      </c>
      <c r="H6627" s="5">
        <v>131.608900</v>
      </c>
    </row>
    <row r="6628" spans="1:9">
      <c r="A6628" s="22" t="str">
        <f>HYPERLINK("https://app.vivvix.com/360/KMI/IntelliDrive/ApplUI/Pages/CreativePages/CustomReportCreativeDetail.aspx?App=23&amp;ReportView=4&amp;Qid=1711279&amp;Row=6620&amp;Col=1","No Title Assigned - #15270056769")</f>
        <v/>
      </c>
      <c r="B6628" s="0" t="s">
        <v>8698</v>
      </c>
      <c r="E6628" s="0" t="inlineStr">
        <is>
          <t xml:space="preserve">Mazda</t>
        </is>
      </c>
      <c r="F6628" s="0" t="inlineStr">
        <is>
          <t xml:space="preserve">Mazda</t>
        </is>
      </c>
      <c r="G6628" s="0" t="s">
        <v>171</v>
      </c>
      <c r="H6628" s="5">
        <v>30.484200</v>
      </c>
    </row>
    <row r="6629" spans="1:9">
      <c r="A6629" s="22" t="str">
        <f>HYPERLINK("https://app.vivvix.com/360/KMI/IntelliDrive/ApplUI/Pages/CreativePages/CustomReportCreativeDetail.aspx?App=23&amp;ReportView=4&amp;Qid=1711279&amp;Row=6621&amp;Col=1","No Title Assigned - #15270056836")</f>
        <v/>
      </c>
      <c r="B6629" s="0" t="s">
        <v>8699</v>
      </c>
      <c r="E6629" s="0" t="inlineStr">
        <is>
          <t xml:space="preserve">Mazda</t>
        </is>
      </c>
      <c r="F6629" s="0" t="inlineStr">
        <is>
          <t xml:space="preserve">Mazda</t>
        </is>
      </c>
      <c r="G6629" s="0" t="s">
        <v>171</v>
      </c>
      <c r="H6629" s="5">
        <v>60.673300</v>
      </c>
    </row>
    <row r="6630" spans="1:9">
      <c r="A6630" s="22" t="str">
        <f>HYPERLINK("https://app.vivvix.com/360/KMI/IntelliDrive/ApplUI/Pages/CreativePages/CustomReportCreativeDetail.aspx?App=23&amp;ReportView=4&amp;Qid=1711279&amp;Row=6622&amp;Col=1","No Title Assigned - #15270056934")</f>
        <v/>
      </c>
      <c r="B6630" s="0" t="s">
        <v>8700</v>
      </c>
      <c r="E6630" s="0" t="inlineStr">
        <is>
          <t xml:space="preserve">Mazda</t>
        </is>
      </c>
      <c r="F6630" s="0" t="inlineStr">
        <is>
          <t xml:space="preserve">Mazda</t>
        </is>
      </c>
      <c r="G6630" s="0" t="s">
        <v>171</v>
      </c>
      <c r="H6630" s="5">
        <v>24.618700</v>
      </c>
    </row>
    <row r="6631" spans="1:9">
      <c r="A6631" s="22" t="str">
        <f>HYPERLINK("https://app.vivvix.com/360/KMI/IntelliDrive/ApplUI/Pages/CreativePages/CustomReportCreativeDetail.aspx?App=23&amp;ReportView=4&amp;Qid=1711279&amp;Row=6623&amp;Col=1","No Title Assigned - #15270057096")</f>
        <v/>
      </c>
      <c r="B6631" s="0" t="s">
        <v>8701</v>
      </c>
      <c r="E6631" s="0" t="inlineStr">
        <is>
          <t xml:space="preserve">Mazda</t>
        </is>
      </c>
      <c r="F6631" s="0" t="inlineStr">
        <is>
          <t xml:space="preserve">Mazda</t>
        </is>
      </c>
      <c r="G6631" s="0" t="s">
        <v>171</v>
      </c>
      <c r="H6631" s="5">
        <v>1325.252200</v>
      </c>
    </row>
    <row r="6632" spans="1:9">
      <c r="A6632" s="22" t="str">
        <f>HYPERLINK("https://app.vivvix.com/360/KMI/IntelliDrive/ApplUI/Pages/CreativePages/CustomReportCreativeDetail.aspx?App=23&amp;ReportView=4&amp;Qid=1711279&amp;Row=6624&amp;Col=1","No Title Assigned - #15270057407")</f>
        <v/>
      </c>
      <c r="B6632" s="0" t="s">
        <v>8702</v>
      </c>
      <c r="E6632" s="0" t="inlineStr">
        <is>
          <t xml:space="preserve">Mazda</t>
        </is>
      </c>
      <c r="F6632" s="0" t="inlineStr">
        <is>
          <t xml:space="preserve">Mazda</t>
        </is>
      </c>
      <c r="G6632" s="0" t="s">
        <v>171</v>
      </c>
      <c r="H6632" s="5">
        <v>1603.688100</v>
      </c>
    </row>
    <row r="6633" spans="1:9">
      <c r="A6633" s="22" t="str">
        <f>HYPERLINK("https://app.vivvix.com/360/KMI/IntelliDrive/ApplUI/Pages/CreativePages/CustomReportCreativeDetail.aspx?App=23&amp;ReportView=4&amp;Qid=1711279&amp;Row=6625&amp;Col=1","No Title Assigned - #15270057562")</f>
        <v/>
      </c>
      <c r="B6633" s="0" t="s">
        <v>8703</v>
      </c>
      <c r="E6633" s="0" t="inlineStr">
        <is>
          <t xml:space="preserve">Mazda</t>
        </is>
      </c>
      <c r="F6633" s="0" t="inlineStr">
        <is>
          <t xml:space="preserve">Mazda</t>
        </is>
      </c>
      <c r="G6633" s="0" t="s">
        <v>171</v>
      </c>
      <c r="H6633" s="5">
        <v>6230.031600</v>
      </c>
    </row>
    <row r="6634" spans="1:9">
      <c r="A6634" s="22" t="str">
        <f>HYPERLINK("https://app.vivvix.com/360/KMI/IntelliDrive/ApplUI/Pages/CreativePages/CustomReportCreativeDetail.aspx?App=23&amp;ReportView=4&amp;Qid=1711279&amp;Row=6626&amp;Col=1","No Title Assigned - #15270057562")</f>
        <v/>
      </c>
      <c r="B6634" s="0" t="s">
        <v>8703</v>
      </c>
      <c r="E6634" s="0" t="inlineStr">
        <is>
          <t xml:space="preserve">Mazda</t>
        </is>
      </c>
      <c r="F6634" s="0" t="inlineStr">
        <is>
          <t xml:space="preserve">Mazda</t>
        </is>
      </c>
      <c r="G6634" s="0" t="s">
        <v>171</v>
      </c>
      <c r="H6634" s="5">
        <v>45242.968000</v>
      </c>
    </row>
    <row r="6635" spans="1:9">
      <c r="A6635" s="22" t="str">
        <f>HYPERLINK("https://app.vivvix.com/360/KMI/IntelliDrive/ApplUI/Pages/CreativePages/CustomReportCreativeDetail.aspx?App=23&amp;ReportView=4&amp;Qid=1711279&amp;Row=6627&amp;Col=1","No Title Assigned - #15270057970")</f>
        <v/>
      </c>
      <c r="B6635" s="0" t="s">
        <v>8704</v>
      </c>
      <c r="E6635" s="0" t="inlineStr">
        <is>
          <t xml:space="preserve">Mazda</t>
        </is>
      </c>
      <c r="F6635" s="0" t="inlineStr">
        <is>
          <t xml:space="preserve">Mazda</t>
        </is>
      </c>
      <c r="G6635" s="0" t="s">
        <v>171</v>
      </c>
      <c r="H6635" s="5">
        <v>207.734400</v>
      </c>
    </row>
    <row r="6636" spans="1:9">
      <c r="A6636" s="22" t="str">
        <f>HYPERLINK("https://app.vivvix.com/360/KMI/IntelliDrive/ApplUI/Pages/CreativePages/CustomReportCreativeDetail.aspx?App=23&amp;ReportView=4&amp;Qid=1711279&amp;Row=6628&amp;Col=1","No Title Assigned - #15270058389")</f>
        <v/>
      </c>
      <c r="B6636" s="0" t="s">
        <v>8705</v>
      </c>
      <c r="E6636" s="0" t="inlineStr">
        <is>
          <t xml:space="preserve">Mazda</t>
        </is>
      </c>
      <c r="F6636" s="0" t="inlineStr">
        <is>
          <t xml:space="preserve">Mazda</t>
        </is>
      </c>
      <c r="G6636" s="0" t="s">
        <v>171</v>
      </c>
      <c r="H6636" s="5">
        <v>33.298900</v>
      </c>
    </row>
    <row r="6637" spans="1:9">
      <c r="A6637" s="22" t="str">
        <f>HYPERLINK("https://app.vivvix.com/360/KMI/IntelliDrive/ApplUI/Pages/CreativePages/CustomReportCreativeDetail.aspx?App=23&amp;ReportView=4&amp;Qid=1711279&amp;Row=6629&amp;Col=1","No Title Assigned - #15270060156")</f>
        <v/>
      </c>
      <c r="B6637" s="0" t="s">
        <v>8706</v>
      </c>
      <c r="E6637" s="0" t="inlineStr">
        <is>
          <t xml:space="preserve">Mazda</t>
        </is>
      </c>
      <c r="F6637" s="0" t="inlineStr">
        <is>
          <t xml:space="preserve">Mazda</t>
        </is>
      </c>
      <c r="G6637" s="0" t="s">
        <v>171</v>
      </c>
      <c r="H6637" s="5">
        <v>672.484000</v>
      </c>
    </row>
    <row r="6638" spans="1:9">
      <c r="A6638" s="22" t="str">
        <f>HYPERLINK("https://app.vivvix.com/360/KMI/IntelliDrive/ApplUI/Pages/CreativePages/CustomReportCreativeDetail.aspx?App=23&amp;ReportView=4&amp;Qid=1711279&amp;Row=6630&amp;Col=1","No Title Assigned - #15270060246")</f>
        <v/>
      </c>
      <c r="B6638" s="0" t="s">
        <v>8707</v>
      </c>
      <c r="E6638" s="0" t="inlineStr">
        <is>
          <t xml:space="preserve">Mazda</t>
        </is>
      </c>
      <c r="F6638" s="0" t="inlineStr">
        <is>
          <t xml:space="preserve">Mazda</t>
        </is>
      </c>
      <c r="G6638" s="0" t="s">
        <v>171</v>
      </c>
      <c r="H6638" s="5">
        <v>37.404500</v>
      </c>
    </row>
    <row r="6639" spans="1:9">
      <c r="A6639" s="22" t="str">
        <f>HYPERLINK("https://app.vivvix.com/360/KMI/IntelliDrive/ApplUI/Pages/CreativePages/CustomReportCreativeDetail.aspx?App=23&amp;ReportView=4&amp;Qid=1711279&amp;Row=6631&amp;Col=1","No Title Assigned - #15270060288")</f>
        <v/>
      </c>
      <c r="B6639" s="0" t="s">
        <v>8708</v>
      </c>
      <c r="E6639" s="0" t="inlineStr">
        <is>
          <t xml:space="preserve">Mazda</t>
        </is>
      </c>
      <c r="F6639" s="0" t="inlineStr">
        <is>
          <t xml:space="preserve">Mazda</t>
        </is>
      </c>
      <c r="G6639" s="0" t="s">
        <v>171</v>
      </c>
      <c r="H6639" s="5">
        <v>250.644400</v>
      </c>
    </row>
    <row r="6640" spans="1:9">
      <c r="A6640" s="22" t="str">
        <f>HYPERLINK("https://app.vivvix.com/360/KMI/IntelliDrive/ApplUI/Pages/CreativePages/CustomReportCreativeDetail.aspx?App=23&amp;ReportView=4&amp;Qid=1711279&amp;Row=6632&amp;Col=1","No Title Assigned - #15270060450")</f>
        <v/>
      </c>
      <c r="B6640" s="0" t="s">
        <v>8709</v>
      </c>
      <c r="E6640" s="0" t="inlineStr">
        <is>
          <t xml:space="preserve">Mazda</t>
        </is>
      </c>
      <c r="F6640" s="0" t="inlineStr">
        <is>
          <t xml:space="preserve">Mazda</t>
        </is>
      </c>
      <c r="G6640" s="0" t="s">
        <v>171</v>
      </c>
      <c r="H6640" s="5">
        <v>95.126600</v>
      </c>
    </row>
    <row r="6641" spans="1:9">
      <c r="A6641" s="22" t="str">
        <f>HYPERLINK("https://app.vivvix.com/360/KMI/IntelliDrive/ApplUI/Pages/CreativePages/CustomReportCreativeDetail.aspx?App=23&amp;ReportView=4&amp;Qid=1711279&amp;Row=6633&amp;Col=1","No Title Assigned - #15270060689")</f>
        <v/>
      </c>
      <c r="B6641" s="0" t="s">
        <v>8710</v>
      </c>
      <c r="E6641" s="0" t="inlineStr">
        <is>
          <t xml:space="preserve">Mazda</t>
        </is>
      </c>
      <c r="F6641" s="0" t="inlineStr">
        <is>
          <t xml:space="preserve">Mazda</t>
        </is>
      </c>
      <c r="G6641" s="0" t="s">
        <v>171</v>
      </c>
      <c r="H6641" s="5">
        <v>220.917300</v>
      </c>
    </row>
    <row r="6642" spans="1:9">
      <c r="A6642" s="22" t="str">
        <f>HYPERLINK("https://app.vivvix.com/360/KMI/IntelliDrive/ApplUI/Pages/CreativePages/CustomReportCreativeDetail.aspx?App=23&amp;ReportView=4&amp;Qid=1711279&amp;Row=6634&amp;Col=1","No Title Assigned - #15270060689")</f>
        <v/>
      </c>
      <c r="B6642" s="0" t="s">
        <v>8710</v>
      </c>
      <c r="C6642" s="0" t="s">
        <v>8711</v>
      </c>
      <c r="D6642" s="0" t="s">
        <v>8711</v>
      </c>
      <c r="E6642" s="0" t="inlineStr">
        <is>
          <t xml:space="preserve">Mazda</t>
        </is>
      </c>
      <c r="F6642" s="0" t="inlineStr">
        <is>
          <t xml:space="preserve">Mazda</t>
        </is>
      </c>
      <c r="G6642" s="0" t="s">
        <v>171</v>
      </c>
      <c r="H6642" s="5">
        <v>155.400800</v>
      </c>
    </row>
    <row r="6643" spans="1:9">
      <c r="A6643" s="22" t="str">
        <f>HYPERLINK("https://app.vivvix.com/360/KMI/IntelliDrive/ApplUI/Pages/CreativePages/CustomReportCreativeDetail.aspx?App=23&amp;ReportView=4&amp;Qid=1711279&amp;Row=6635&amp;Col=1","No Title Assigned - #15270062097")</f>
        <v/>
      </c>
      <c r="B6643" s="0" t="s">
        <v>8712</v>
      </c>
      <c r="E6643" s="0" t="inlineStr">
        <is>
          <t xml:space="preserve">Mazda</t>
        </is>
      </c>
      <c r="F6643" s="0" t="inlineStr">
        <is>
          <t xml:space="preserve">Mazda</t>
        </is>
      </c>
      <c r="G6643" s="0" t="s">
        <v>171</v>
      </c>
      <c r="H6643" s="5">
        <v>51.639900</v>
      </c>
    </row>
    <row r="6644" spans="1:9">
      <c r="A6644" s="22" t="str">
        <f>HYPERLINK("https://app.vivvix.com/360/KMI/IntelliDrive/ApplUI/Pages/CreativePages/CustomReportCreativeDetail.aspx?App=23&amp;ReportView=4&amp;Qid=1711279&amp;Row=6636&amp;Col=1","No Title Assigned - #15270062162")</f>
        <v/>
      </c>
      <c r="B6644" s="0" t="s">
        <v>8713</v>
      </c>
      <c r="E6644" s="0" t="inlineStr">
        <is>
          <t xml:space="preserve">Mazda</t>
        </is>
      </c>
      <c r="F6644" s="0" t="inlineStr">
        <is>
          <t xml:space="preserve">Mazda</t>
        </is>
      </c>
      <c r="G6644" s="0" t="s">
        <v>171</v>
      </c>
      <c r="H6644" s="5">
        <v>159.926400</v>
      </c>
    </row>
    <row r="6645" spans="1:9">
      <c r="A6645" s="22" t="str">
        <f>HYPERLINK("https://app.vivvix.com/360/KMI/IntelliDrive/ApplUI/Pages/CreativePages/CustomReportCreativeDetail.aspx?App=23&amp;ReportView=4&amp;Qid=1711279&amp;Row=6637&amp;Col=1","No Title Assigned - #15270063923")</f>
        <v/>
      </c>
      <c r="B6645" s="0" t="s">
        <v>8714</v>
      </c>
      <c r="E6645" s="0" t="inlineStr">
        <is>
          <t xml:space="preserve">Mazda</t>
        </is>
      </c>
      <c r="F6645" s="0" t="inlineStr">
        <is>
          <t xml:space="preserve">Mazda</t>
        </is>
      </c>
      <c r="G6645" s="0" t="s">
        <v>171</v>
      </c>
      <c r="H6645" s="5">
        <v>47.646100</v>
      </c>
    </row>
    <row r="6646" spans="1:9">
      <c r="A6646" s="22" t="str">
        <f>HYPERLINK("https://app.vivvix.com/360/KMI/IntelliDrive/ApplUI/Pages/CreativePages/CustomReportCreativeDetail.aspx?App=23&amp;ReportView=4&amp;Qid=1711279&amp;Row=6638&amp;Col=1","No Title Assigned - #15270064059")</f>
        <v/>
      </c>
      <c r="B6646" s="0" t="s">
        <v>8715</v>
      </c>
      <c r="E6646" s="0" t="inlineStr">
        <is>
          <t xml:space="preserve">Mazda</t>
        </is>
      </c>
      <c r="F6646" s="0" t="inlineStr">
        <is>
          <t xml:space="preserve">Mazda</t>
        </is>
      </c>
      <c r="G6646" s="0" t="s">
        <v>171</v>
      </c>
      <c r="H6646" s="5">
        <v>59.834000</v>
      </c>
    </row>
    <row r="6647" spans="1:9">
      <c r="A6647" s="22" t="str">
        <f>HYPERLINK("https://app.vivvix.com/360/KMI/IntelliDrive/ApplUI/Pages/CreativePages/CustomReportCreativeDetail.aspx?App=23&amp;ReportView=4&amp;Qid=1711279&amp;Row=6639&amp;Col=1","No Title Assigned - #15270064060")</f>
        <v/>
      </c>
      <c r="B6647" s="0" t="s">
        <v>8716</v>
      </c>
      <c r="E6647" s="0" t="inlineStr">
        <is>
          <t xml:space="preserve">Mazda</t>
        </is>
      </c>
      <c r="F6647" s="0" t="inlineStr">
        <is>
          <t xml:space="preserve">Mazda</t>
        </is>
      </c>
      <c r="G6647" s="0" t="s">
        <v>171</v>
      </c>
      <c r="H6647" s="5">
        <v>162.214500</v>
      </c>
    </row>
    <row r="6648" spans="1:9">
      <c r="A6648" s="22" t="str">
        <f>HYPERLINK("https://app.vivvix.com/360/KMI/IntelliDrive/ApplUI/Pages/CreativePages/CustomReportCreativeDetail.aspx?App=23&amp;ReportView=4&amp;Qid=1711279&amp;Row=6640&amp;Col=1","No Title Assigned - #15270064282")</f>
        <v/>
      </c>
      <c r="B6648" s="0" t="s">
        <v>8717</v>
      </c>
      <c r="E6648" s="0" t="inlineStr">
        <is>
          <t xml:space="preserve">Mazda</t>
        </is>
      </c>
      <c r="F6648" s="0" t="inlineStr">
        <is>
          <t xml:space="preserve">Mazda</t>
        </is>
      </c>
      <c r="G6648" s="0" t="s">
        <v>171</v>
      </c>
      <c r="H6648" s="5">
        <v>81.569200</v>
      </c>
    </row>
    <row r="6649" spans="1:9">
      <c r="A6649" s="22" t="str">
        <f>HYPERLINK("https://app.vivvix.com/360/KMI/IntelliDrive/ApplUI/Pages/CreativePages/CustomReportCreativeDetail.aspx?App=23&amp;ReportView=4&amp;Qid=1711279&amp;Row=6641&amp;Col=1","No Title Assigned - #15270064377")</f>
        <v/>
      </c>
      <c r="B6649" s="0" t="s">
        <v>8718</v>
      </c>
      <c r="E6649" s="0" t="inlineStr">
        <is>
          <t xml:space="preserve">Mazda</t>
        </is>
      </c>
      <c r="F6649" s="0" t="inlineStr">
        <is>
          <t xml:space="preserve">Mazda</t>
        </is>
      </c>
      <c r="G6649" s="0" t="s">
        <v>171</v>
      </c>
      <c r="H6649" s="5">
        <v>211.397500</v>
      </c>
    </row>
    <row r="6650" spans="1:9">
      <c r="A6650" s="22" t="str">
        <f>HYPERLINK("https://app.vivvix.com/360/KMI/IntelliDrive/ApplUI/Pages/CreativePages/CustomReportCreativeDetail.aspx?App=23&amp;ReportView=4&amp;Qid=1711279&amp;Row=6642&amp;Col=1","No Title Assigned - #15270064828")</f>
        <v/>
      </c>
      <c r="B6650" s="0" t="s">
        <v>8719</v>
      </c>
      <c r="E6650" s="0" t="inlineStr">
        <is>
          <t xml:space="preserve">Mazda</t>
        </is>
      </c>
      <c r="F6650" s="0" t="inlineStr">
        <is>
          <t xml:space="preserve">Mazda</t>
        </is>
      </c>
      <c r="G6650" s="0" t="s">
        <v>171</v>
      </c>
      <c r="H6650" s="5">
        <v>1132.561800</v>
      </c>
    </row>
    <row r="6651" spans="1:9">
      <c r="A6651" s="22" t="str">
        <f>HYPERLINK("https://app.vivvix.com/360/KMI/IntelliDrive/ApplUI/Pages/CreativePages/CustomReportCreativeDetail.aspx?App=23&amp;ReportView=4&amp;Qid=1711279&amp;Row=6643&amp;Col=1","No Title Assigned - #15270065469")</f>
        <v/>
      </c>
      <c r="B6651" s="0" t="s">
        <v>8720</v>
      </c>
      <c r="E6651" s="0" t="inlineStr">
        <is>
          <t xml:space="preserve">Mazda</t>
        </is>
      </c>
      <c r="F6651" s="0" t="inlineStr">
        <is>
          <t xml:space="preserve">Mazda</t>
        </is>
      </c>
      <c r="G6651" s="0" t="s">
        <v>171</v>
      </c>
      <c r="H6651" s="5">
        <v>855.303700</v>
      </c>
    </row>
    <row r="6652" spans="1:9">
      <c r="A6652" s="22" t="str">
        <f>HYPERLINK("https://app.vivvix.com/360/KMI/IntelliDrive/ApplUI/Pages/CreativePages/CustomReportCreativeDetail.aspx?App=23&amp;ReportView=4&amp;Qid=1711279&amp;Row=6644&amp;Col=1","No Title Assigned - #15270065898")</f>
        <v/>
      </c>
      <c r="B6652" s="0" t="s">
        <v>8721</v>
      </c>
      <c r="E6652" s="0" t="inlineStr">
        <is>
          <t xml:space="preserve">Mazda</t>
        </is>
      </c>
      <c r="F6652" s="0" t="inlineStr">
        <is>
          <t xml:space="preserve">Mazda</t>
        </is>
      </c>
      <c r="G6652" s="0" t="s">
        <v>171</v>
      </c>
      <c r="H6652" s="5">
        <v>2.292000</v>
      </c>
    </row>
    <row r="6653" spans="1:9">
      <c r="A6653" s="22" t="str">
        <f>HYPERLINK("https://app.vivvix.com/360/KMI/IntelliDrive/ApplUI/Pages/CreativePages/CustomReportCreativeDetail.aspx?App=23&amp;ReportView=4&amp;Qid=1711279&amp;Row=6645&amp;Col=1","No Title Assigned - #15270066223")</f>
        <v/>
      </c>
      <c r="B6653" s="0" t="s">
        <v>8722</v>
      </c>
      <c r="E6653" s="0" t="inlineStr">
        <is>
          <t xml:space="preserve">Mazda</t>
        </is>
      </c>
      <c r="F6653" s="0" t="inlineStr">
        <is>
          <t xml:space="preserve">Mazda</t>
        </is>
      </c>
      <c r="G6653" s="0" t="s">
        <v>171</v>
      </c>
      <c r="H6653" s="5">
        <v>2883.523800</v>
      </c>
    </row>
    <row r="6654" spans="1:9">
      <c r="A6654" s="22" t="str">
        <f>HYPERLINK("https://app.vivvix.com/360/KMI/IntelliDrive/ApplUI/Pages/CreativePages/CustomReportCreativeDetail.aspx?App=23&amp;ReportView=4&amp;Qid=1711279&amp;Row=6646&amp;Col=1","No Title Assigned - #15270066223")</f>
        <v/>
      </c>
      <c r="B6654" s="0" t="s">
        <v>8722</v>
      </c>
      <c r="E6654" s="0" t="inlineStr">
        <is>
          <t xml:space="preserve">Mazda</t>
        </is>
      </c>
      <c r="F6654" s="0" t="inlineStr">
        <is>
          <t xml:space="preserve">Mazda</t>
        </is>
      </c>
      <c r="G6654" s="0" t="s">
        <v>171</v>
      </c>
      <c r="H6654" s="5">
        <v>84.745000</v>
      </c>
    </row>
    <row r="6655" spans="1:9">
      <c r="A6655" s="22" t="str">
        <f>HYPERLINK("https://app.vivvix.com/360/KMI/IntelliDrive/ApplUI/Pages/CreativePages/CustomReportCreativeDetail.aspx?App=23&amp;ReportView=4&amp;Qid=1711279&amp;Row=6647&amp;Col=1","No Title Assigned - #15270066300")</f>
        <v/>
      </c>
      <c r="B6655" s="0" t="s">
        <v>8723</v>
      </c>
      <c r="E6655" s="0" t="inlineStr">
        <is>
          <t xml:space="preserve">Mazda</t>
        </is>
      </c>
      <c r="F6655" s="0" t="inlineStr">
        <is>
          <t xml:space="preserve">Mazda</t>
        </is>
      </c>
      <c r="G6655" s="0" t="s">
        <v>171</v>
      </c>
      <c r="H6655" s="5">
        <v>4974.986800</v>
      </c>
    </row>
    <row r="6656" spans="1:9">
      <c r="A6656" s="22" t="str">
        <f>HYPERLINK("https://app.vivvix.com/360/KMI/IntelliDrive/ApplUI/Pages/CreativePages/CustomReportCreativeDetail.aspx?App=23&amp;ReportView=4&amp;Qid=1711279&amp;Row=6648&amp;Col=1","No Title Assigned - #15270066300")</f>
        <v/>
      </c>
      <c r="B6656" s="0" t="s">
        <v>8723</v>
      </c>
      <c r="E6656" s="0" t="inlineStr">
        <is>
          <t xml:space="preserve">Mazda</t>
        </is>
      </c>
      <c r="F6656" s="0" t="inlineStr">
        <is>
          <t xml:space="preserve">Mazda</t>
        </is>
      </c>
      <c r="G6656" s="0" t="s">
        <v>171</v>
      </c>
      <c r="H6656" s="5">
        <v>50.475200</v>
      </c>
    </row>
    <row r="6657" spans="1:9">
      <c r="A6657" s="22" t="str">
        <f>HYPERLINK("https://app.vivvix.com/360/KMI/IntelliDrive/ApplUI/Pages/CreativePages/CustomReportCreativeDetail.aspx?App=23&amp;ReportView=4&amp;Qid=1711279&amp;Row=6649&amp;Col=1","No Title Assigned - #15270066629")</f>
        <v/>
      </c>
      <c r="B6657" s="0" t="s">
        <v>8724</v>
      </c>
      <c r="E6657" s="0" t="inlineStr">
        <is>
          <t xml:space="preserve">Mazda</t>
        </is>
      </c>
      <c r="F6657" s="0" t="inlineStr">
        <is>
          <t xml:space="preserve">Mazda</t>
        </is>
      </c>
      <c r="G6657" s="0" t="s">
        <v>171</v>
      </c>
      <c r="H6657" s="5">
        <v>49533.437500</v>
      </c>
    </row>
    <row r="6658" spans="1:9">
      <c r="A6658" s="22" t="str">
        <f>HYPERLINK("https://app.vivvix.com/360/KMI/IntelliDrive/ApplUI/Pages/CreativePages/CustomReportCreativeDetail.aspx?App=23&amp;ReportView=4&amp;Qid=1711279&amp;Row=6650&amp;Col=1","No Title Assigned - #15270066629")</f>
        <v/>
      </c>
      <c r="B6658" s="0" t="s">
        <v>8724</v>
      </c>
      <c r="C6658" s="0" t="s">
        <v>8725</v>
      </c>
      <c r="D6658" s="0" t="s">
        <v>8725</v>
      </c>
      <c r="E6658" s="0" t="inlineStr">
        <is>
          <t xml:space="preserve">Mazda</t>
        </is>
      </c>
      <c r="F6658" s="0" t="inlineStr">
        <is>
          <t xml:space="preserve">Mazda</t>
        </is>
      </c>
      <c r="G6658" s="0" t="s">
        <v>171</v>
      </c>
      <c r="H6658" s="5">
        <v>5139.536400</v>
      </c>
    </row>
    <row r="6659" spans="1:9">
      <c r="A6659" s="22" t="str">
        <f>HYPERLINK("https://app.vivvix.com/360/KMI/IntelliDrive/ApplUI/Pages/CreativePages/CustomReportCreativeDetail.aspx?App=23&amp;ReportView=4&amp;Qid=1711279&amp;Row=6651&amp;Col=1","No Title Assigned - #15270066794")</f>
        <v/>
      </c>
      <c r="B6659" s="0" t="s">
        <v>8726</v>
      </c>
      <c r="C6659" s="0" t="s">
        <v>8727</v>
      </c>
      <c r="D6659" s="0" t="s">
        <v>8727</v>
      </c>
      <c r="E6659" s="0" t="inlineStr">
        <is>
          <t xml:space="preserve">Mazda</t>
        </is>
      </c>
      <c r="F6659" s="0" t="inlineStr">
        <is>
          <t xml:space="preserve">Mazda</t>
        </is>
      </c>
      <c r="G6659" s="0" t="s">
        <v>171</v>
      </c>
      <c r="H6659" s="5">
        <v>49.520300</v>
      </c>
    </row>
    <row r="6660" spans="1:9">
      <c r="A6660" s="22" t="str">
        <f>HYPERLINK("https://app.vivvix.com/360/KMI/IntelliDrive/ApplUI/Pages/CreativePages/CustomReportCreativeDetail.aspx?App=23&amp;ReportView=4&amp;Qid=1711279&amp;Row=6652&amp;Col=1","No Title Assigned - #15270066999")</f>
        <v/>
      </c>
      <c r="B6660" s="0" t="s">
        <v>8728</v>
      </c>
      <c r="E6660" s="0" t="inlineStr">
        <is>
          <t xml:space="preserve">Mazda</t>
        </is>
      </c>
      <c r="F6660" s="0" t="inlineStr">
        <is>
          <t xml:space="preserve">Mazda</t>
        </is>
      </c>
      <c r="G6660" s="0" t="s">
        <v>171</v>
      </c>
      <c r="H6660" s="5">
        <v>161.479800</v>
      </c>
    </row>
    <row r="6661" spans="1:9">
      <c r="A6661" s="22" t="str">
        <f>HYPERLINK("https://app.vivvix.com/360/KMI/IntelliDrive/ApplUI/Pages/CreativePages/CustomReportCreativeDetail.aspx?App=23&amp;ReportView=4&amp;Qid=1711279&amp;Row=6653&amp;Col=1","No Title Assigned - #15270067056")</f>
        <v/>
      </c>
      <c r="B6661" s="0" t="s">
        <v>8729</v>
      </c>
      <c r="E6661" s="0" t="inlineStr">
        <is>
          <t xml:space="preserve">Mazda</t>
        </is>
      </c>
      <c r="F6661" s="0" t="inlineStr">
        <is>
          <t xml:space="preserve">Mazda</t>
        </is>
      </c>
      <c r="G6661" s="0" t="s">
        <v>171</v>
      </c>
      <c r="H6661" s="5">
        <v>31.366400</v>
      </c>
    </row>
    <row r="6662" spans="1:9">
      <c r="A6662" s="22" t="str">
        <f>HYPERLINK("https://app.vivvix.com/360/KMI/IntelliDrive/ApplUI/Pages/CreativePages/CustomReportCreativeDetail.aspx?App=23&amp;ReportView=4&amp;Qid=1711279&amp;Row=6654&amp;Col=1","No Title Assigned - #15270068799")</f>
        <v/>
      </c>
      <c r="B6662" s="0" t="s">
        <v>8730</v>
      </c>
      <c r="E6662" s="0" t="inlineStr">
        <is>
          <t xml:space="preserve">Mazda</t>
        </is>
      </c>
      <c r="F6662" s="0" t="inlineStr">
        <is>
          <t xml:space="preserve">Mazda</t>
        </is>
      </c>
      <c r="G6662" s="0" t="s">
        <v>171</v>
      </c>
      <c r="H6662" s="5">
        <v>22.418000</v>
      </c>
    </row>
    <row r="6663" spans="1:9">
      <c r="A6663" s="22" t="str">
        <f>HYPERLINK("https://app.vivvix.com/360/KMI/IntelliDrive/ApplUI/Pages/CreativePages/CustomReportCreativeDetail.aspx?App=23&amp;ReportView=4&amp;Qid=1711279&amp;Row=6655&amp;Col=1","No Title Assigned - #15270068799")</f>
        <v/>
      </c>
      <c r="B6663" s="0" t="s">
        <v>8730</v>
      </c>
      <c r="E6663" s="0" t="inlineStr">
        <is>
          <t xml:space="preserve">Mazda</t>
        </is>
      </c>
      <c r="F6663" s="0" t="inlineStr">
        <is>
          <t xml:space="preserve">Mazda</t>
        </is>
      </c>
      <c r="G6663" s="0" t="s">
        <v>171</v>
      </c>
      <c r="H6663" s="5">
        <v>158.883800</v>
      </c>
    </row>
    <row r="6664" spans="1:9">
      <c r="A6664" s="22" t="str">
        <f>HYPERLINK("https://app.vivvix.com/360/KMI/IntelliDrive/ApplUI/Pages/CreativePages/CustomReportCreativeDetail.aspx?App=23&amp;ReportView=4&amp;Qid=1711279&amp;Row=6656&amp;Col=1","No Title Assigned - #15270069054")</f>
        <v/>
      </c>
      <c r="B6664" s="0" t="s">
        <v>8731</v>
      </c>
      <c r="C6664" s="0" t="s">
        <v>8732</v>
      </c>
      <c r="D6664" s="0" t="s">
        <v>8732</v>
      </c>
      <c r="E6664" s="0" t="inlineStr">
        <is>
          <t xml:space="preserve">Mazda</t>
        </is>
      </c>
      <c r="F6664" s="0" t="inlineStr">
        <is>
          <t xml:space="preserve">Mazda</t>
        </is>
      </c>
      <c r="G6664" s="0" t="s">
        <v>171</v>
      </c>
      <c r="H6664" s="5">
        <v>425.692100</v>
      </c>
    </row>
    <row r="6665" spans="1:9">
      <c r="A6665" s="22" t="str">
        <f>HYPERLINK("https://app.vivvix.com/360/KMI/IntelliDrive/ApplUI/Pages/CreativePages/CustomReportCreativeDetail.aspx?App=23&amp;ReportView=4&amp;Qid=1711279&amp;Row=6657&amp;Col=1","No Title Assigned - #15270069295")</f>
        <v/>
      </c>
      <c r="B6665" s="0" t="s">
        <v>8733</v>
      </c>
      <c r="E6665" s="0" t="inlineStr">
        <is>
          <t xml:space="preserve">Mazda</t>
        </is>
      </c>
      <c r="F6665" s="0" t="inlineStr">
        <is>
          <t xml:space="preserve">Mazda</t>
        </is>
      </c>
      <c r="G6665" s="0" t="s">
        <v>171</v>
      </c>
      <c r="H6665" s="5">
        <v>53.411500</v>
      </c>
    </row>
    <row r="6666" spans="1:9">
      <c r="A6666" s="22" t="str">
        <f>HYPERLINK("https://app.vivvix.com/360/KMI/IntelliDrive/ApplUI/Pages/CreativePages/CustomReportCreativeDetail.aspx?App=23&amp;ReportView=4&amp;Qid=1711279&amp;Row=6658&amp;Col=1","No Title Assigned - #15270069791")</f>
        <v/>
      </c>
      <c r="B6666" s="0" t="s">
        <v>8734</v>
      </c>
      <c r="E6666" s="0" t="inlineStr">
        <is>
          <t xml:space="preserve">Mazda</t>
        </is>
      </c>
      <c r="F6666" s="0" t="inlineStr">
        <is>
          <t xml:space="preserve">Mazda</t>
        </is>
      </c>
      <c r="G6666" s="0" t="s">
        <v>171</v>
      </c>
      <c r="H6666" s="5">
        <v>801.106600</v>
      </c>
    </row>
    <row r="6667" spans="1:9">
      <c r="A6667" s="22" t="str">
        <f>HYPERLINK("https://app.vivvix.com/360/KMI/IntelliDrive/ApplUI/Pages/CreativePages/CustomReportCreativeDetail.aspx?App=23&amp;ReportView=4&amp;Qid=1711279&amp;Row=6659&amp;Col=1","No Title Assigned - #15270069791")</f>
        <v/>
      </c>
      <c r="B6667" s="0" t="s">
        <v>8734</v>
      </c>
      <c r="E6667" s="0" t="inlineStr">
        <is>
          <t xml:space="preserve">Mazda</t>
        </is>
      </c>
      <c r="F6667" s="0" t="inlineStr">
        <is>
          <t xml:space="preserve">Mazda</t>
        </is>
      </c>
      <c r="G6667" s="0" t="s">
        <v>171</v>
      </c>
      <c r="H6667" s="5">
        <v>105.746900</v>
      </c>
    </row>
    <row r="6668" spans="1:9">
      <c r="A6668" s="22" t="str">
        <f>HYPERLINK("https://app.vivvix.com/360/KMI/IntelliDrive/ApplUI/Pages/CreativePages/CustomReportCreativeDetail.aspx?App=23&amp;ReportView=4&amp;Qid=1711279&amp;Row=6660&amp;Col=1","No Title Assigned - #15270070413")</f>
        <v/>
      </c>
      <c r="B6668" s="0" t="s">
        <v>8735</v>
      </c>
      <c r="E6668" s="0" t="inlineStr">
        <is>
          <t xml:space="preserve">Mazda</t>
        </is>
      </c>
      <c r="F6668" s="0" t="inlineStr">
        <is>
          <t xml:space="preserve">Mazda</t>
        </is>
      </c>
      <c r="G6668" s="0" t="s">
        <v>171</v>
      </c>
      <c r="H6668" s="5">
        <v>12509.668000</v>
      </c>
    </row>
    <row r="6669" spans="1:9">
      <c r="A6669" s="22" t="str">
        <f>HYPERLINK("https://app.vivvix.com/360/KMI/IntelliDrive/ApplUI/Pages/CreativePages/CustomReportCreativeDetail.aspx?App=23&amp;ReportView=4&amp;Qid=1711279&amp;Row=6661&amp;Col=1","No Title Assigned - #15270070596")</f>
        <v/>
      </c>
      <c r="B6669" s="0" t="s">
        <v>8736</v>
      </c>
      <c r="E6669" s="0" t="inlineStr">
        <is>
          <t xml:space="preserve">Mazda</t>
        </is>
      </c>
      <c r="F6669" s="0" t="inlineStr">
        <is>
          <t xml:space="preserve">Mazda</t>
        </is>
      </c>
      <c r="G6669" s="0" t="s">
        <v>171</v>
      </c>
      <c r="H6669" s="5">
        <v>125.327500</v>
      </c>
    </row>
    <row r="6670" spans="1:9">
      <c r="A6670" s="22" t="str">
        <f>HYPERLINK("https://app.vivvix.com/360/KMI/IntelliDrive/ApplUI/Pages/CreativePages/CustomReportCreativeDetail.aspx?App=23&amp;ReportView=4&amp;Qid=1711279&amp;Row=6662&amp;Col=1","No Title Assigned - #15270071564")</f>
        <v/>
      </c>
      <c r="B6670" s="0" t="s">
        <v>8737</v>
      </c>
      <c r="E6670" s="0" t="inlineStr">
        <is>
          <t xml:space="preserve">Mazda</t>
        </is>
      </c>
      <c r="F6670" s="0" t="inlineStr">
        <is>
          <t xml:space="preserve">Mazda</t>
        </is>
      </c>
      <c r="G6670" s="0" t="s">
        <v>171</v>
      </c>
      <c r="H6670" s="5">
        <v>8.226600</v>
      </c>
    </row>
    <row r="6671" spans="1:9">
      <c r="A6671" s="22" t="str">
        <f>HYPERLINK("https://app.vivvix.com/360/KMI/IntelliDrive/ApplUI/Pages/CreativePages/CustomReportCreativeDetail.aspx?App=23&amp;ReportView=4&amp;Qid=1711279&amp;Row=6663&amp;Col=1","No Title Assigned - #15270071709")</f>
        <v/>
      </c>
      <c r="B6671" s="0" t="s">
        <v>8738</v>
      </c>
      <c r="C6671" s="0" t="s">
        <v>8739</v>
      </c>
      <c r="D6671" s="0" t="s">
        <v>8739</v>
      </c>
      <c r="E6671" s="0" t="inlineStr">
        <is>
          <t xml:space="preserve">Mazda</t>
        </is>
      </c>
      <c r="F6671" s="0" t="inlineStr">
        <is>
          <t xml:space="preserve">Mazda</t>
        </is>
      </c>
      <c r="G6671" s="0" t="s">
        <v>171</v>
      </c>
      <c r="H6671" s="5">
        <v>40.564200</v>
      </c>
    </row>
    <row r="6672" spans="1:9">
      <c r="A6672" s="22" t="str">
        <f>HYPERLINK("https://app.vivvix.com/360/KMI/IntelliDrive/ApplUI/Pages/CreativePages/CustomReportCreativeDetail.aspx?App=23&amp;ReportView=4&amp;Qid=1711279&amp;Row=6664&amp;Col=1","No Title Assigned - #15270072931")</f>
        <v/>
      </c>
      <c r="B6672" s="0" t="s">
        <v>8740</v>
      </c>
      <c r="E6672" s="0" t="inlineStr">
        <is>
          <t xml:space="preserve">Mazda</t>
        </is>
      </c>
      <c r="F6672" s="0" t="inlineStr">
        <is>
          <t xml:space="preserve">Mazda</t>
        </is>
      </c>
      <c r="G6672" s="0" t="s">
        <v>171</v>
      </c>
      <c r="H6672" s="5">
        <v>80.547800</v>
      </c>
    </row>
    <row r="6673" spans="1:9">
      <c r="A6673" s="22" t="str">
        <f>HYPERLINK("https://app.vivvix.com/360/KMI/IntelliDrive/ApplUI/Pages/CreativePages/CustomReportCreativeDetail.aspx?App=23&amp;ReportView=4&amp;Qid=1711279&amp;Row=6665&amp;Col=1","No Title Assigned - #15270073491")</f>
        <v/>
      </c>
      <c r="B6673" s="0" t="s">
        <v>8741</v>
      </c>
      <c r="E6673" s="0" t="inlineStr">
        <is>
          <t xml:space="preserve">Mazda</t>
        </is>
      </c>
      <c r="F6673" s="0" t="inlineStr">
        <is>
          <t xml:space="preserve">Mazda</t>
        </is>
      </c>
      <c r="G6673" s="0" t="s">
        <v>171</v>
      </c>
      <c r="H6673" s="5">
        <v>40.564200</v>
      </c>
    </row>
    <row r="6674" spans="1:9">
      <c r="A6674" s="22" t="str">
        <f>HYPERLINK("https://app.vivvix.com/360/KMI/IntelliDrive/ApplUI/Pages/CreativePages/CustomReportCreativeDetail.aspx?App=23&amp;ReportView=4&amp;Qid=1711279&amp;Row=6666&amp;Col=1","No Title Assigned - #15270073814")</f>
        <v/>
      </c>
      <c r="B6674" s="0" t="s">
        <v>8742</v>
      </c>
      <c r="E6674" s="0" t="inlineStr">
        <is>
          <t xml:space="preserve">Mazda</t>
        </is>
      </c>
      <c r="F6674" s="0" t="inlineStr">
        <is>
          <t xml:space="preserve">Mazda</t>
        </is>
      </c>
      <c r="G6674" s="0" t="s">
        <v>171</v>
      </c>
      <c r="H6674" s="5">
        <v>894.593700</v>
      </c>
    </row>
    <row r="6675" spans="1:9">
      <c r="A6675" s="22" t="str">
        <f>HYPERLINK("https://app.vivvix.com/360/KMI/IntelliDrive/ApplUI/Pages/CreativePages/CustomReportCreativeDetail.aspx?App=23&amp;ReportView=4&amp;Qid=1711279&amp;Row=6667&amp;Col=1","No Title Assigned - #15270075342")</f>
        <v/>
      </c>
      <c r="B6675" s="0" t="s">
        <v>8743</v>
      </c>
      <c r="E6675" s="0" t="inlineStr">
        <is>
          <t xml:space="preserve">Mazda</t>
        </is>
      </c>
      <c r="F6675" s="0" t="inlineStr">
        <is>
          <t xml:space="preserve">Mazda</t>
        </is>
      </c>
      <c r="G6675" s="0" t="s">
        <v>171</v>
      </c>
      <c r="H6675" s="5">
        <v>51.810400</v>
      </c>
    </row>
    <row r="6676" spans="1:9">
      <c r="A6676" s="22" t="str">
        <f>HYPERLINK("https://app.vivvix.com/360/KMI/IntelliDrive/ApplUI/Pages/CreativePages/CustomReportCreativeDetail.aspx?App=23&amp;ReportView=4&amp;Qid=1711279&amp;Row=6668&amp;Col=1","No Title Assigned - #15270075654")</f>
        <v/>
      </c>
      <c r="B6676" s="0" t="s">
        <v>8744</v>
      </c>
      <c r="C6676" s="0" t="s">
        <v>8745</v>
      </c>
      <c r="D6676" s="0" t="s">
        <v>8745</v>
      </c>
      <c r="E6676" s="0" t="inlineStr">
        <is>
          <t xml:space="preserve">Mazda</t>
        </is>
      </c>
      <c r="F6676" s="0" t="inlineStr">
        <is>
          <t xml:space="preserve">Mazda</t>
        </is>
      </c>
      <c r="G6676" s="0" t="s">
        <v>171</v>
      </c>
      <c r="H6676" s="5">
        <v>113.522200</v>
      </c>
    </row>
    <row r="6677" spans="1:9">
      <c r="A6677" s="22" t="str">
        <f>HYPERLINK("https://app.vivvix.com/360/KMI/IntelliDrive/ApplUI/Pages/CreativePages/CustomReportCreativeDetail.aspx?App=23&amp;ReportView=4&amp;Qid=1711279&amp;Row=6669&amp;Col=1","No Title Assigned - #15270075780")</f>
        <v/>
      </c>
      <c r="B6677" s="0" t="s">
        <v>8746</v>
      </c>
      <c r="E6677" s="0" t="inlineStr">
        <is>
          <t xml:space="preserve">Mazda</t>
        </is>
      </c>
      <c r="F6677" s="0" t="inlineStr">
        <is>
          <t xml:space="preserve">Mazda</t>
        </is>
      </c>
      <c r="G6677" s="0" t="s">
        <v>171</v>
      </c>
      <c r="H6677" s="5">
        <v>6.177900</v>
      </c>
    </row>
    <row r="6678" spans="1:9">
      <c r="A6678" s="22" t="str">
        <f>HYPERLINK("https://app.vivvix.com/360/KMI/IntelliDrive/ApplUI/Pages/CreativePages/CustomReportCreativeDetail.aspx?App=23&amp;ReportView=4&amp;Qid=1711279&amp;Row=6670&amp;Col=1","No Title Assigned - #15270075834")</f>
        <v/>
      </c>
      <c r="B6678" s="0" t="s">
        <v>8747</v>
      </c>
      <c r="E6678" s="0" t="inlineStr">
        <is>
          <t xml:space="preserve">Mazda</t>
        </is>
      </c>
      <c r="F6678" s="0" t="inlineStr">
        <is>
          <t xml:space="preserve">Mazda</t>
        </is>
      </c>
      <c r="G6678" s="0" t="s">
        <v>171</v>
      </c>
      <c r="H6678" s="5">
        <v>380.220400</v>
      </c>
    </row>
    <row r="6679" spans="1:9">
      <c r="A6679" s="22" t="str">
        <f>HYPERLINK("https://app.vivvix.com/360/KMI/IntelliDrive/ApplUI/Pages/CreativePages/CustomReportCreativeDetail.aspx?App=23&amp;ReportView=4&amp;Qid=1711279&amp;Row=6671&amp;Col=1","No Title Assigned - #15270085518")</f>
        <v/>
      </c>
      <c r="B6679" s="0" t="s">
        <v>8748</v>
      </c>
      <c r="E6679" s="0" t="inlineStr">
        <is>
          <t xml:space="preserve">Mazda</t>
        </is>
      </c>
      <c r="F6679" s="0" t="inlineStr">
        <is>
          <t xml:space="preserve">Mazda</t>
        </is>
      </c>
      <c r="G6679" s="0" t="s">
        <v>171</v>
      </c>
      <c r="H6679" s="5">
        <v>38.884700</v>
      </c>
    </row>
    <row r="6680" spans="1:9">
      <c r="A6680" s="22" t="str">
        <f>HYPERLINK("https://app.vivvix.com/360/KMI/IntelliDrive/ApplUI/Pages/CreativePages/CustomReportCreativeDetail.aspx?App=23&amp;ReportView=4&amp;Qid=1711279&amp;Row=6672&amp;Col=1","No Title Assigned - #15270086600")</f>
        <v/>
      </c>
      <c r="B6680" s="0" t="s">
        <v>8749</v>
      </c>
      <c r="E6680" s="0" t="inlineStr">
        <is>
          <t xml:space="preserve">Mazda</t>
        </is>
      </c>
      <c r="F6680" s="0" t="inlineStr">
        <is>
          <t xml:space="preserve">Mazda</t>
        </is>
      </c>
      <c r="G6680" s="0" t="s">
        <v>171</v>
      </c>
      <c r="H6680" s="5">
        <v>451.468700</v>
      </c>
    </row>
    <row r="6681" spans="1:9">
      <c r="A6681" s="22" t="str">
        <f>HYPERLINK("https://app.vivvix.com/360/KMI/IntelliDrive/ApplUI/Pages/CreativePages/CustomReportCreativeDetail.aspx?App=23&amp;ReportView=4&amp;Qid=1711279&amp;Row=6673&amp;Col=1","No Title Assigned - #15270087146")</f>
        <v/>
      </c>
      <c r="B6681" s="0" t="s">
        <v>8750</v>
      </c>
      <c r="E6681" s="0" t="inlineStr">
        <is>
          <t xml:space="preserve">Mazda</t>
        </is>
      </c>
      <c r="F6681" s="0" t="inlineStr">
        <is>
          <t xml:space="preserve">Mazda</t>
        </is>
      </c>
      <c r="G6681" s="0" t="s">
        <v>171</v>
      </c>
      <c r="H6681" s="5">
        <v>106.278400</v>
      </c>
    </row>
    <row r="6682" spans="1:9">
      <c r="A6682" s="22" t="str">
        <f>HYPERLINK("https://app.vivvix.com/360/KMI/IntelliDrive/ApplUI/Pages/CreativePages/CustomReportCreativeDetail.aspx?App=23&amp;ReportView=4&amp;Qid=1711279&amp;Row=6674&amp;Col=1","No Title Assigned - #15270089752")</f>
        <v/>
      </c>
      <c r="B6682" s="0" t="s">
        <v>8751</v>
      </c>
      <c r="E6682" s="0" t="inlineStr">
        <is>
          <t xml:space="preserve">Mazda</t>
        </is>
      </c>
      <c r="F6682" s="0" t="inlineStr">
        <is>
          <t xml:space="preserve">Mazda</t>
        </is>
      </c>
      <c r="G6682" s="0" t="s">
        <v>171</v>
      </c>
      <c r="H6682" s="5">
        <v>653.318800</v>
      </c>
    </row>
    <row r="6683" spans="1:9">
      <c r="A6683" s="22" t="str">
        <f>HYPERLINK("https://app.vivvix.com/360/KMI/IntelliDrive/ApplUI/Pages/CreativePages/CustomReportCreativeDetail.aspx?App=23&amp;ReportView=4&amp;Qid=1711279&amp;Row=6675&amp;Col=1","No Title Assigned - #15270089787")</f>
        <v/>
      </c>
      <c r="B6683" s="0" t="s">
        <v>8752</v>
      </c>
      <c r="C6683" s="0" t="s">
        <v>8753</v>
      </c>
      <c r="D6683" s="0" t="s">
        <v>8753</v>
      </c>
      <c r="E6683" s="0" t="inlineStr">
        <is>
          <t xml:space="preserve">Mazda</t>
        </is>
      </c>
      <c r="F6683" s="0" t="inlineStr">
        <is>
          <t xml:space="preserve">Mazda</t>
        </is>
      </c>
      <c r="G6683" s="0" t="s">
        <v>171</v>
      </c>
      <c r="H6683" s="5">
        <v>234.849000</v>
      </c>
    </row>
    <row r="6684" spans="1:9">
      <c r="A6684" s="22" t="str">
        <f>HYPERLINK("https://app.vivvix.com/360/KMI/IntelliDrive/ApplUI/Pages/CreativePages/CustomReportCreativeDetail.aspx?App=23&amp;ReportView=4&amp;Qid=1711279&amp;Row=6676&amp;Col=1","No Title Assigned - #15270090902")</f>
        <v/>
      </c>
      <c r="B6684" s="0" t="s">
        <v>8754</v>
      </c>
      <c r="E6684" s="0" t="inlineStr">
        <is>
          <t xml:space="preserve">Mazda</t>
        </is>
      </c>
      <c r="F6684" s="0" t="inlineStr">
        <is>
          <t xml:space="preserve">Mazda</t>
        </is>
      </c>
      <c r="G6684" s="0" t="s">
        <v>171</v>
      </c>
      <c r="H6684" s="5">
        <v>30.172500</v>
      </c>
    </row>
    <row r="6685" spans="1:9">
      <c r="A6685" s="22" t="str">
        <f>HYPERLINK("https://app.vivvix.com/360/KMI/IntelliDrive/ApplUI/Pages/CreativePages/CustomReportCreativeDetail.aspx?App=23&amp;ReportView=4&amp;Qid=1711279&amp;Row=6677&amp;Col=1","No Title Assigned - #15270091710")</f>
        <v/>
      </c>
      <c r="B6685" s="0" t="s">
        <v>8755</v>
      </c>
      <c r="E6685" s="0" t="inlineStr">
        <is>
          <t xml:space="preserve">Mazda</t>
        </is>
      </c>
      <c r="F6685" s="0" t="inlineStr">
        <is>
          <t xml:space="preserve">Mazda</t>
        </is>
      </c>
      <c r="G6685" s="0" t="s">
        <v>171</v>
      </c>
      <c r="H6685" s="5">
        <v>1165.983400</v>
      </c>
    </row>
    <row r="6686" spans="1:9">
      <c r="A6686" s="22" t="str">
        <f>HYPERLINK("https://app.vivvix.com/360/KMI/IntelliDrive/ApplUI/Pages/CreativePages/CustomReportCreativeDetail.aspx?App=23&amp;ReportView=4&amp;Qid=1711279&amp;Row=6678&amp;Col=1","No Title Assigned - #15270092081")</f>
        <v/>
      </c>
      <c r="B6686" s="0" t="s">
        <v>8756</v>
      </c>
      <c r="C6686" s="0" t="s">
        <v>8757</v>
      </c>
      <c r="D6686" s="0" t="s">
        <v>8757</v>
      </c>
      <c r="E6686" s="0" t="inlineStr">
        <is>
          <t xml:space="preserve">Mazda</t>
        </is>
      </c>
      <c r="F6686" s="0" t="s">
        <v>28</v>
      </c>
      <c r="G6686" s="0" t="s">
        <v>29</v>
      </c>
      <c r="H6686" s="5">
        <v>242.173400</v>
      </c>
    </row>
    <row r="6687" spans="1:9">
      <c r="A6687" s="22" t="str">
        <f>HYPERLINK("https://app.vivvix.com/360/KMI/IntelliDrive/ApplUI/Pages/CreativePages/CustomReportCreativeDetail.aspx?App=23&amp;ReportView=4&amp;Qid=1711279&amp;Row=6679&amp;Col=1","No Title Assigned - #15270092503")</f>
        <v/>
      </c>
      <c r="B6687" s="0" t="s">
        <v>8758</v>
      </c>
      <c r="E6687" s="0" t="inlineStr">
        <is>
          <t xml:space="preserve">Mazda</t>
        </is>
      </c>
      <c r="F6687" s="0" t="inlineStr">
        <is>
          <t xml:space="preserve">Mazda</t>
        </is>
      </c>
      <c r="G6687" s="0" t="s">
        <v>171</v>
      </c>
      <c r="H6687" s="5">
        <v>156.178000</v>
      </c>
    </row>
    <row r="6688" spans="1:9">
      <c r="A6688" s="22" t="str">
        <f>HYPERLINK("https://app.vivvix.com/360/KMI/IntelliDrive/ApplUI/Pages/CreativePages/CustomReportCreativeDetail.aspx?App=23&amp;ReportView=4&amp;Qid=1711279&amp;Row=6680&amp;Col=1","No Title Assigned - #15270092870")</f>
        <v/>
      </c>
      <c r="B6688" s="0" t="s">
        <v>8759</v>
      </c>
      <c r="E6688" s="0" t="inlineStr">
        <is>
          <t xml:space="preserve">Mazda</t>
        </is>
      </c>
      <c r="F6688" s="0" t="inlineStr">
        <is>
          <t xml:space="preserve">Mazda</t>
        </is>
      </c>
      <c r="G6688" s="0" t="s">
        <v>171</v>
      </c>
      <c r="H6688" s="5">
        <v>197.972200</v>
      </c>
    </row>
    <row r="6689" spans="1:9">
      <c r="A6689" s="22" t="str">
        <f>HYPERLINK("https://app.vivvix.com/360/KMI/IntelliDrive/ApplUI/Pages/CreativePages/CustomReportCreativeDetail.aspx?App=23&amp;ReportView=4&amp;Qid=1711279&amp;Row=6681&amp;Col=1","No Title Assigned - #15270092871")</f>
        <v/>
      </c>
      <c r="B6689" s="0" t="s">
        <v>8760</v>
      </c>
      <c r="C6689" s="0" t="s">
        <v>8761</v>
      </c>
      <c r="D6689" s="0" t="s">
        <v>8761</v>
      </c>
      <c r="E6689" s="0" t="inlineStr">
        <is>
          <t xml:space="preserve">Mazda</t>
        </is>
      </c>
      <c r="F6689" s="0" t="inlineStr">
        <is>
          <t xml:space="preserve">Mazda</t>
        </is>
      </c>
      <c r="G6689" s="0" t="s">
        <v>171</v>
      </c>
      <c r="H6689" s="5">
        <v>886.448400</v>
      </c>
    </row>
    <row r="6690" spans="1:9">
      <c r="A6690" s="22" t="str">
        <f>HYPERLINK("https://app.vivvix.com/360/KMI/IntelliDrive/ApplUI/Pages/CreativePages/CustomReportCreativeDetail.aspx?App=23&amp;ReportView=4&amp;Qid=1711279&amp;Row=6682&amp;Col=1","No Title Assigned - #15270092871")</f>
        <v/>
      </c>
      <c r="B6690" s="0" t="s">
        <v>8760</v>
      </c>
      <c r="E6690" s="0" t="inlineStr">
        <is>
          <t xml:space="preserve">Mazda</t>
        </is>
      </c>
      <c r="F6690" s="0" t="inlineStr">
        <is>
          <t xml:space="preserve">Mazda</t>
        </is>
      </c>
      <c r="G6690" s="0" t="s">
        <v>171</v>
      </c>
      <c r="H6690" s="5">
        <v>1515.253500</v>
      </c>
    </row>
    <row r="6691" spans="1:9">
      <c r="A6691" s="22" t="str">
        <f>HYPERLINK("https://app.vivvix.com/360/KMI/IntelliDrive/ApplUI/Pages/CreativePages/CustomReportCreativeDetail.aspx?App=23&amp;ReportView=4&amp;Qid=1711279&amp;Row=6683&amp;Col=1","No Title Assigned - #15270093063")</f>
        <v/>
      </c>
      <c r="B6691" s="0" t="s">
        <v>8762</v>
      </c>
      <c r="E6691" s="0" t="inlineStr">
        <is>
          <t xml:space="preserve">Mazda</t>
        </is>
      </c>
      <c r="F6691" s="0" t="inlineStr">
        <is>
          <t xml:space="preserve">Mazda</t>
        </is>
      </c>
      <c r="G6691" s="0" t="s">
        <v>171</v>
      </c>
      <c r="H6691" s="5">
        <v>50.742600</v>
      </c>
    </row>
    <row r="6692" spans="1:9">
      <c r="A6692" s="22" t="str">
        <f>HYPERLINK("https://app.vivvix.com/360/KMI/IntelliDrive/ApplUI/Pages/CreativePages/CustomReportCreativeDetail.aspx?App=23&amp;ReportView=4&amp;Qid=1711279&amp;Row=6684&amp;Col=1","No Title Assigned - #15270093065")</f>
        <v/>
      </c>
      <c r="B6692" s="0" t="s">
        <v>8763</v>
      </c>
      <c r="E6692" s="0" t="inlineStr">
        <is>
          <t xml:space="preserve">Mazda</t>
        </is>
      </c>
      <c r="F6692" s="0" t="inlineStr">
        <is>
          <t xml:space="preserve">Mazda</t>
        </is>
      </c>
      <c r="G6692" s="0" t="s">
        <v>171</v>
      </c>
      <c r="H6692" s="5">
        <v>21.095200</v>
      </c>
    </row>
    <row r="6693" spans="1:9">
      <c r="A6693" s="22" t="str">
        <f>HYPERLINK("https://app.vivvix.com/360/KMI/IntelliDrive/ApplUI/Pages/CreativePages/CustomReportCreativeDetail.aspx?App=23&amp;ReportView=4&amp;Qid=1711279&amp;Row=6685&amp;Col=1","No Title Assigned - #15270093066")</f>
        <v/>
      </c>
      <c r="B6693" s="0" t="s">
        <v>8764</v>
      </c>
      <c r="E6693" s="0" t="inlineStr">
        <is>
          <t xml:space="preserve">Mazda</t>
        </is>
      </c>
      <c r="F6693" s="0" t="inlineStr">
        <is>
          <t xml:space="preserve">Mazda</t>
        </is>
      </c>
      <c r="G6693" s="0" t="s">
        <v>171</v>
      </c>
      <c r="H6693" s="5">
        <v>37.269200</v>
      </c>
    </row>
    <row r="6694" spans="1:9">
      <c r="A6694" s="22" t="str">
        <f>HYPERLINK("https://app.vivvix.com/360/KMI/IntelliDrive/ApplUI/Pages/CreativePages/CustomReportCreativeDetail.aspx?App=23&amp;ReportView=4&amp;Qid=1711279&amp;Row=6686&amp;Col=1","No Title Assigned - #15270093273")</f>
        <v/>
      </c>
      <c r="B6694" s="0" t="s">
        <v>8765</v>
      </c>
      <c r="E6694" s="0" t="inlineStr">
        <is>
          <t xml:space="preserve">Mazda</t>
        </is>
      </c>
      <c r="F6694" s="0" t="inlineStr">
        <is>
          <t xml:space="preserve">Mazda</t>
        </is>
      </c>
      <c r="G6694" s="0" t="s">
        <v>171</v>
      </c>
      <c r="H6694" s="5">
        <v>43.083100</v>
      </c>
    </row>
    <row r="6695" spans="1:9">
      <c r="A6695" s="22" t="str">
        <f>HYPERLINK("https://app.vivvix.com/360/KMI/IntelliDrive/ApplUI/Pages/CreativePages/CustomReportCreativeDetail.aspx?App=23&amp;ReportView=4&amp;Qid=1711279&amp;Row=6687&amp;Col=1","No Title Assigned - #15270093934")</f>
        <v/>
      </c>
      <c r="B6695" s="0" t="s">
        <v>8766</v>
      </c>
      <c r="E6695" s="0" t="inlineStr">
        <is>
          <t xml:space="preserve">Mazda</t>
        </is>
      </c>
      <c r="F6695" s="0" t="inlineStr">
        <is>
          <t xml:space="preserve">Mazda</t>
        </is>
      </c>
      <c r="G6695" s="0" t="s">
        <v>171</v>
      </c>
      <c r="H6695" s="5">
        <v>141.141500</v>
      </c>
    </row>
    <row r="6696" spans="1:9">
      <c r="A6696" s="22" t="str">
        <f>HYPERLINK("https://app.vivvix.com/360/KMI/IntelliDrive/ApplUI/Pages/CreativePages/CustomReportCreativeDetail.aspx?App=23&amp;ReportView=4&amp;Qid=1711279&amp;Row=6688&amp;Col=1","No Title Assigned - #15270094046")</f>
        <v/>
      </c>
      <c r="B6696" s="0" t="s">
        <v>8767</v>
      </c>
      <c r="E6696" s="0" t="inlineStr">
        <is>
          <t xml:space="preserve">Mazda</t>
        </is>
      </c>
      <c r="F6696" s="0" t="inlineStr">
        <is>
          <t xml:space="preserve">Mazda</t>
        </is>
      </c>
      <c r="G6696" s="0" t="s">
        <v>171</v>
      </c>
      <c r="H6696" s="5">
        <v>13.793700</v>
      </c>
    </row>
    <row r="6697" spans="1:9">
      <c r="A6697" s="22" t="str">
        <f>HYPERLINK("https://app.vivvix.com/360/KMI/IntelliDrive/ApplUI/Pages/CreativePages/CustomReportCreativeDetail.aspx?App=23&amp;ReportView=4&amp;Qid=1711279&amp;Row=6689&amp;Col=1","No Title Assigned - #15270094359")</f>
        <v/>
      </c>
      <c r="B6697" s="0" t="s">
        <v>8768</v>
      </c>
      <c r="E6697" s="0" t="inlineStr">
        <is>
          <t xml:space="preserve">Mazda</t>
        </is>
      </c>
      <c r="F6697" s="0" t="inlineStr">
        <is>
          <t xml:space="preserve">Mazda</t>
        </is>
      </c>
      <c r="G6697" s="0" t="s">
        <v>171</v>
      </c>
      <c r="H6697" s="5">
        <v>103.522300</v>
      </c>
    </row>
    <row r="6698" spans="1:9">
      <c r="A6698" s="22" t="str">
        <f>HYPERLINK("https://app.vivvix.com/360/KMI/IntelliDrive/ApplUI/Pages/CreativePages/CustomReportCreativeDetail.aspx?App=23&amp;ReportView=4&amp;Qid=1711279&amp;Row=6690&amp;Col=1","No Title Assigned - #15270094795")</f>
        <v/>
      </c>
      <c r="B6698" s="0" t="s">
        <v>8769</v>
      </c>
      <c r="C6698" s="0" t="s">
        <v>8770</v>
      </c>
      <c r="D6698" s="0" t="s">
        <v>8770</v>
      </c>
      <c r="E6698" s="0" t="inlineStr">
        <is>
          <t xml:space="preserve">Mazda</t>
        </is>
      </c>
      <c r="F6698" s="0" t="inlineStr">
        <is>
          <t xml:space="preserve">Mazda</t>
        </is>
      </c>
      <c r="G6698" s="0" t="s">
        <v>171</v>
      </c>
      <c r="H6698" s="5">
        <v>50.895300</v>
      </c>
    </row>
    <row r="6699" spans="1:9">
      <c r="A6699" s="22" t="str">
        <f>HYPERLINK("https://app.vivvix.com/360/KMI/IntelliDrive/ApplUI/Pages/CreativePages/CustomReportCreativeDetail.aspx?App=23&amp;ReportView=4&amp;Qid=1711279&amp;Row=6691&amp;Col=1","No Title Assigned - #15270095563")</f>
        <v/>
      </c>
      <c r="B6699" s="0" t="s">
        <v>8771</v>
      </c>
      <c r="E6699" s="0" t="inlineStr">
        <is>
          <t xml:space="preserve">Mazda</t>
        </is>
      </c>
      <c r="F6699" s="0" t="inlineStr">
        <is>
          <t xml:space="preserve">Mazda</t>
        </is>
      </c>
      <c r="G6699" s="0" t="s">
        <v>171</v>
      </c>
      <c r="H6699" s="5">
        <v>124.141600</v>
      </c>
    </row>
    <row r="6700" spans="1:9">
      <c r="A6700" s="22" t="str">
        <f>HYPERLINK("https://app.vivvix.com/360/KMI/IntelliDrive/ApplUI/Pages/CreativePages/CustomReportCreativeDetail.aspx?App=23&amp;ReportView=4&amp;Qid=1711279&amp;Row=6692&amp;Col=1","No Title Assigned - #15270095595")</f>
        <v/>
      </c>
      <c r="B6700" s="0" t="s">
        <v>8772</v>
      </c>
      <c r="E6700" s="0" t="inlineStr">
        <is>
          <t xml:space="preserve">Mazda</t>
        </is>
      </c>
      <c r="F6700" s="0" t="inlineStr">
        <is>
          <t xml:space="preserve">Mazda</t>
        </is>
      </c>
      <c r="G6700" s="0" t="s">
        <v>171</v>
      </c>
      <c r="H6700" s="5">
        <v>1.905800</v>
      </c>
    </row>
    <row r="6701" spans="1:9">
      <c r="A6701" s="22" t="str">
        <f>HYPERLINK("https://app.vivvix.com/360/KMI/IntelliDrive/ApplUI/Pages/CreativePages/CustomReportCreativeDetail.aspx?App=23&amp;ReportView=4&amp;Qid=1711279&amp;Row=6693&amp;Col=1","No Title Assigned - #15270095912")</f>
        <v/>
      </c>
      <c r="B6701" s="0" t="s">
        <v>8773</v>
      </c>
      <c r="E6701" s="0" t="inlineStr">
        <is>
          <t xml:space="preserve">Mazda</t>
        </is>
      </c>
      <c r="F6701" s="0" t="inlineStr">
        <is>
          <t xml:space="preserve">Mazda</t>
        </is>
      </c>
      <c r="G6701" s="0" t="s">
        <v>171</v>
      </c>
      <c r="H6701" s="5">
        <v>213.526400</v>
      </c>
    </row>
    <row r="6702" spans="1:9">
      <c r="A6702" s="22" t="str">
        <f>HYPERLINK("https://app.vivvix.com/360/KMI/IntelliDrive/ApplUI/Pages/CreativePages/CustomReportCreativeDetail.aspx?App=23&amp;ReportView=4&amp;Qid=1711279&amp;Row=6694&amp;Col=1","No Title Assigned - #15270095925")</f>
        <v/>
      </c>
      <c r="B6702" s="0" t="s">
        <v>8774</v>
      </c>
      <c r="E6702" s="0" t="inlineStr">
        <is>
          <t xml:space="preserve">Mazda</t>
        </is>
      </c>
      <c r="F6702" s="0" t="inlineStr">
        <is>
          <t xml:space="preserve">Mazda</t>
        </is>
      </c>
      <c r="G6702" s="0" t="s">
        <v>171</v>
      </c>
      <c r="H6702" s="5">
        <v>29.753600</v>
      </c>
    </row>
    <row r="6703" spans="1:9">
      <c r="A6703" s="22" t="str">
        <f>HYPERLINK("https://app.vivvix.com/360/KMI/IntelliDrive/ApplUI/Pages/CreativePages/CustomReportCreativeDetail.aspx?App=23&amp;ReportView=4&amp;Qid=1711279&amp;Row=6695&amp;Col=1","No Title Assigned - #15270096137")</f>
        <v/>
      </c>
      <c r="B6703" s="0" t="s">
        <v>8775</v>
      </c>
      <c r="E6703" s="0" t="inlineStr">
        <is>
          <t xml:space="preserve">Mazda</t>
        </is>
      </c>
      <c r="F6703" s="0" t="inlineStr">
        <is>
          <t xml:space="preserve">Mazda</t>
        </is>
      </c>
      <c r="G6703" s="0" t="s">
        <v>171</v>
      </c>
      <c r="H6703" s="5">
        <v>2915.827500</v>
      </c>
    </row>
    <row r="6704" spans="1:9">
      <c r="A6704" s="22" t="str">
        <f>HYPERLINK("https://app.vivvix.com/360/KMI/IntelliDrive/ApplUI/Pages/CreativePages/CustomReportCreativeDetail.aspx?App=23&amp;ReportView=4&amp;Qid=1711279&amp;Row=6696&amp;Col=1","No Title Assigned - #15270096736")</f>
        <v/>
      </c>
      <c r="B6704" s="0" t="s">
        <v>8776</v>
      </c>
      <c r="C6704" s="0" t="s">
        <v>8777</v>
      </c>
      <c r="D6704" s="0" t="s">
        <v>7969</v>
      </c>
      <c r="E6704" s="0" t="inlineStr">
        <is>
          <t xml:space="preserve">Mazda</t>
        </is>
      </c>
      <c r="F6704" s="0" t="s">
        <v>13</v>
      </c>
      <c r="G6704" s="0" t="s">
        <v>49</v>
      </c>
      <c r="H6704" s="5">
        <v>77.318500</v>
      </c>
    </row>
    <row r="6705" spans="1:9">
      <c r="A6705" s="22" t="str">
        <f>HYPERLINK("https://app.vivvix.com/360/KMI/IntelliDrive/ApplUI/Pages/CreativePages/CustomReportCreativeDetail.aspx?App=23&amp;ReportView=4&amp;Qid=1711279&amp;Row=6697&amp;Col=1","No Title Assigned - #15270097380")</f>
        <v/>
      </c>
      <c r="B6705" s="0" t="s">
        <v>8778</v>
      </c>
      <c r="C6705" s="0" t="s">
        <v>8779</v>
      </c>
      <c r="D6705" s="0" t="s">
        <v>8779</v>
      </c>
      <c r="E6705" s="0" t="inlineStr">
        <is>
          <t xml:space="preserve">Mazda</t>
        </is>
      </c>
      <c r="F6705" s="0" t="s">
        <v>13</v>
      </c>
      <c r="G6705" s="0" t="s">
        <v>49</v>
      </c>
      <c r="H6705" s="5">
        <v>341.623500</v>
      </c>
    </row>
    <row r="6706" spans="1:9">
      <c r="A6706" s="22" t="str">
        <f>HYPERLINK("https://app.vivvix.com/360/KMI/IntelliDrive/ApplUI/Pages/CreativePages/CustomReportCreativeDetail.aspx?App=23&amp;ReportView=4&amp;Qid=1711279&amp;Row=6698&amp;Col=1","No Title Assigned - #15270097501")</f>
        <v/>
      </c>
      <c r="B6706" s="0" t="s">
        <v>8780</v>
      </c>
      <c r="C6706" s="0" t="s">
        <v>8781</v>
      </c>
      <c r="D6706" s="0" t="s">
        <v>8781</v>
      </c>
      <c r="E6706" s="0" t="inlineStr">
        <is>
          <t xml:space="preserve">Mazda</t>
        </is>
      </c>
      <c r="F6706" s="0" t="s">
        <v>13</v>
      </c>
      <c r="G6706" s="0" t="s">
        <v>49</v>
      </c>
      <c r="H6706" s="5">
        <v>206.724900</v>
      </c>
    </row>
    <row r="6707" spans="1:9">
      <c r="A6707" s="22" t="str">
        <f>HYPERLINK("https://app.vivvix.com/360/KMI/IntelliDrive/ApplUI/Pages/CreativePages/CustomReportCreativeDetail.aspx?App=23&amp;ReportView=4&amp;Qid=1711279&amp;Row=6699&amp;Col=1","No Title Assigned - #15270097739")</f>
        <v/>
      </c>
      <c r="B6707" s="0" t="s">
        <v>8782</v>
      </c>
      <c r="C6707" s="0" t="s">
        <v>8783</v>
      </c>
      <c r="D6707" s="0" t="s">
        <v>4208</v>
      </c>
      <c r="E6707" s="0" t="inlineStr">
        <is>
          <t xml:space="preserve">Mazda</t>
        </is>
      </c>
      <c r="F6707" s="0" t="s">
        <v>28</v>
      </c>
      <c r="G6707" s="0" t="s">
        <v>29</v>
      </c>
      <c r="H6707" s="5">
        <v>158.505200</v>
      </c>
    </row>
    <row r="6708" spans="1:9">
      <c r="A6708" s="22" t="str">
        <f>HYPERLINK("https://app.vivvix.com/360/KMI/IntelliDrive/ApplUI/Pages/CreativePages/CustomReportCreativeDetail.aspx?App=23&amp;ReportView=4&amp;Qid=1711279&amp;Row=6700&amp;Col=1","No Title Assigned - #15270098200")</f>
        <v/>
      </c>
      <c r="B6708" s="0" t="s">
        <v>8784</v>
      </c>
      <c r="C6708" s="0" t="s">
        <v>8785</v>
      </c>
      <c r="D6708" s="0" t="s">
        <v>4225</v>
      </c>
      <c r="E6708" s="0" t="inlineStr">
        <is>
          <t xml:space="preserve">Mazda</t>
        </is>
      </c>
      <c r="F6708" s="0" t="s">
        <v>28</v>
      </c>
      <c r="G6708" s="0" t="s">
        <v>29</v>
      </c>
      <c r="H6708" s="5">
        <v>215.943200</v>
      </c>
    </row>
    <row r="6709" spans="1:9">
      <c r="A6709" s="22" t="str">
        <f>HYPERLINK("https://app.vivvix.com/360/KMI/IntelliDrive/ApplUI/Pages/CreativePages/CustomReportCreativeDetail.aspx?App=23&amp;ReportView=4&amp;Qid=1711279&amp;Row=6701&amp;Col=1","No Title Assigned - #15270098238")</f>
        <v/>
      </c>
      <c r="B6709" s="0" t="s">
        <v>8786</v>
      </c>
      <c r="E6709" s="0" t="inlineStr">
        <is>
          <t xml:space="preserve">Mazda</t>
        </is>
      </c>
      <c r="F6709" s="0" t="inlineStr">
        <is>
          <t xml:space="preserve">Mazda</t>
        </is>
      </c>
      <c r="G6709" s="0" t="s">
        <v>171</v>
      </c>
      <c r="H6709" s="5">
        <v>9633.522500</v>
      </c>
    </row>
    <row r="6710" spans="1:9">
      <c r="A6710" s="22" t="str">
        <f>HYPERLINK("https://app.vivvix.com/360/KMI/IntelliDrive/ApplUI/Pages/CreativePages/CustomReportCreativeDetail.aspx?App=23&amp;ReportView=4&amp;Qid=1711279&amp;Row=6702&amp;Col=1","No Title Assigned - #15270098590")</f>
        <v/>
      </c>
      <c r="B6710" s="0" t="s">
        <v>8787</v>
      </c>
      <c r="C6710" s="0" t="s">
        <v>8788</v>
      </c>
      <c r="D6710" s="0" t="s">
        <v>8788</v>
      </c>
      <c r="E6710" s="0" t="inlineStr">
        <is>
          <t xml:space="preserve">Mazda</t>
        </is>
      </c>
      <c r="F6710" s="0" t="s">
        <v>13</v>
      </c>
      <c r="G6710" s="0" t="s">
        <v>49</v>
      </c>
      <c r="H6710" s="5">
        <v>443.874500</v>
      </c>
    </row>
    <row r="6711" spans="1:9">
      <c r="A6711" s="22" t="str">
        <f>HYPERLINK("https://app.vivvix.com/360/KMI/IntelliDrive/ApplUI/Pages/CreativePages/CustomReportCreativeDetail.aspx?App=23&amp;ReportView=4&amp;Qid=1711279&amp;Row=6703&amp;Col=1","No Title Assigned - #15270099660")</f>
        <v/>
      </c>
      <c r="B6711" s="0" t="s">
        <v>8789</v>
      </c>
      <c r="C6711" s="0" t="s">
        <v>8790</v>
      </c>
      <c r="D6711" s="0" t="s">
        <v>8790</v>
      </c>
      <c r="E6711" s="0" t="inlineStr">
        <is>
          <t xml:space="preserve">Mazda</t>
        </is>
      </c>
      <c r="F6711" s="0" t="s">
        <v>13</v>
      </c>
      <c r="G6711" s="0" t="s">
        <v>49</v>
      </c>
      <c r="H6711" s="5">
        <v>108.390900</v>
      </c>
    </row>
    <row r="6712" spans="1:9">
      <c r="A6712" s="22" t="str">
        <f>HYPERLINK("https://app.vivvix.com/360/KMI/IntelliDrive/ApplUI/Pages/CreativePages/CustomReportCreativeDetail.aspx?App=23&amp;ReportView=4&amp;Qid=1711279&amp;Row=6704&amp;Col=1","No Title Assigned - #15270099661")</f>
        <v/>
      </c>
      <c r="B6712" s="0" t="s">
        <v>8791</v>
      </c>
      <c r="C6712" s="0" t="s">
        <v>8792</v>
      </c>
      <c r="D6712" s="0" t="s">
        <v>6044</v>
      </c>
      <c r="E6712" s="0" t="inlineStr">
        <is>
          <t xml:space="preserve">Mazda</t>
        </is>
      </c>
      <c r="F6712" s="0" t="s">
        <v>13</v>
      </c>
      <c r="G6712" s="0" t="s">
        <v>49</v>
      </c>
      <c r="H6712" s="5">
        <v>108.390900</v>
      </c>
    </row>
    <row r="6713" spans="1:9">
      <c r="A6713" s="22" t="str">
        <f>HYPERLINK("https://app.vivvix.com/360/KMI/IntelliDrive/ApplUI/Pages/CreativePages/CustomReportCreativeDetail.aspx?App=23&amp;ReportView=4&amp;Qid=1711279&amp;Row=6705&amp;Col=1","No Title Assigned - #15270100083")</f>
        <v/>
      </c>
      <c r="B6713" s="0" t="s">
        <v>8793</v>
      </c>
      <c r="C6713" s="0" t="s">
        <v>8794</v>
      </c>
      <c r="D6713" s="0" t="s">
        <v>8794</v>
      </c>
      <c r="E6713" s="0" t="inlineStr">
        <is>
          <t xml:space="preserve">Mazda</t>
        </is>
      </c>
      <c r="F6713" s="0" t="s">
        <v>13</v>
      </c>
      <c r="G6713" s="0" t="s">
        <v>49</v>
      </c>
      <c r="H6713" s="5">
        <v>44623.035200</v>
      </c>
    </row>
    <row r="6714" spans="1:9">
      <c r="A6714" s="22" t="str">
        <f>HYPERLINK("https://app.vivvix.com/360/KMI/IntelliDrive/ApplUI/Pages/CreativePages/CustomReportCreativeDetail.aspx?App=23&amp;ReportView=4&amp;Qid=1711279&amp;Row=6706&amp;Col=1","No Title Assigned - #15270100088")</f>
        <v/>
      </c>
      <c r="B6714" s="0" t="s">
        <v>8795</v>
      </c>
      <c r="C6714" s="0" t="s">
        <v>8796</v>
      </c>
      <c r="D6714" s="0" t="s">
        <v>4335</v>
      </c>
      <c r="E6714" s="0" t="inlineStr">
        <is>
          <t xml:space="preserve">Mazda</t>
        </is>
      </c>
      <c r="F6714" s="0" t="s">
        <v>13</v>
      </c>
      <c r="G6714" s="0" t="s">
        <v>49</v>
      </c>
      <c r="H6714" s="5">
        <v>473.500400</v>
      </c>
    </row>
    <row r="6715" spans="1:9">
      <c r="A6715" s="22" t="str">
        <f>HYPERLINK("https://app.vivvix.com/360/KMI/IntelliDrive/ApplUI/Pages/CreativePages/CustomReportCreativeDetail.aspx?App=23&amp;ReportView=4&amp;Qid=1711279&amp;Row=6707&amp;Col=1","No Title Assigned - #15270100339")</f>
        <v/>
      </c>
      <c r="B6715" s="0" t="s">
        <v>8797</v>
      </c>
      <c r="C6715" s="0" t="s">
        <v>8798</v>
      </c>
      <c r="D6715" s="0" t="s">
        <v>6420</v>
      </c>
      <c r="E6715" s="0" t="inlineStr">
        <is>
          <t xml:space="preserve">Mazda</t>
        </is>
      </c>
      <c r="F6715" s="0" t="s">
        <v>13</v>
      </c>
      <c r="G6715" s="0" t="s">
        <v>49</v>
      </c>
      <c r="H6715" s="5">
        <v>215.340200</v>
      </c>
    </row>
    <row r="6716" spans="1:9">
      <c r="A6716" s="22" t="str">
        <f>HYPERLINK("https://app.vivvix.com/360/KMI/IntelliDrive/ApplUI/Pages/CreativePages/CustomReportCreativeDetail.aspx?App=23&amp;ReportView=4&amp;Qid=1711279&amp;Row=6708&amp;Col=1","No Title Assigned - #15270100339")</f>
        <v/>
      </c>
      <c r="B6716" s="0" t="s">
        <v>8797</v>
      </c>
      <c r="E6716" s="0" t="inlineStr">
        <is>
          <t xml:space="preserve">Mazda</t>
        </is>
      </c>
      <c r="F6716" s="0" t="s">
        <v>13</v>
      </c>
      <c r="G6716" s="0" t="s">
        <v>49</v>
      </c>
      <c r="H6716" s="5">
        <v>18877.034400</v>
      </c>
    </row>
    <row r="6717" spans="1:9">
      <c r="A6717" s="22" t="str">
        <f>HYPERLINK("https://app.vivvix.com/360/KMI/IntelliDrive/ApplUI/Pages/CreativePages/CustomReportCreativeDetail.aspx?App=23&amp;ReportView=4&amp;Qid=1711279&amp;Row=6709&amp;Col=1","No Title Assigned - #15270100748")</f>
        <v/>
      </c>
      <c r="B6717" s="0" t="s">
        <v>8799</v>
      </c>
      <c r="C6717" s="0" t="s">
        <v>8800</v>
      </c>
      <c r="D6717" s="0" t="s">
        <v>8800</v>
      </c>
      <c r="E6717" s="0" t="inlineStr">
        <is>
          <t xml:space="preserve">Mazda</t>
        </is>
      </c>
      <c r="F6717" s="0" t="s">
        <v>28</v>
      </c>
      <c r="G6717" s="0" t="s">
        <v>29</v>
      </c>
      <c r="H6717" s="5">
        <v>52.976300</v>
      </c>
    </row>
    <row r="6718" spans="1:9">
      <c r="A6718" s="22" t="str">
        <f>HYPERLINK("https://app.vivvix.com/360/KMI/IntelliDrive/ApplUI/Pages/CreativePages/CustomReportCreativeDetail.aspx?App=23&amp;ReportView=4&amp;Qid=1711279&amp;Row=6710&amp;Col=1","No Title Assigned - #15270101486")</f>
        <v/>
      </c>
      <c r="B6718" s="0" t="s">
        <v>8801</v>
      </c>
      <c r="C6718" s="0" t="s">
        <v>8802</v>
      </c>
      <c r="D6718" s="0" t="s">
        <v>5013</v>
      </c>
      <c r="E6718" s="0" t="inlineStr">
        <is>
          <t xml:space="preserve">Mazda</t>
        </is>
      </c>
      <c r="F6718" s="0" t="s">
        <v>13</v>
      </c>
      <c r="G6718" s="0" t="s">
        <v>49</v>
      </c>
      <c r="H6718" s="5">
        <v>298.422400</v>
      </c>
    </row>
    <row r="6719" spans="1:9">
      <c r="A6719" s="22" t="str">
        <f>HYPERLINK("https://app.vivvix.com/360/KMI/IntelliDrive/ApplUI/Pages/CreativePages/CustomReportCreativeDetail.aspx?App=23&amp;ReportView=4&amp;Qid=1711279&amp;Row=6711&amp;Col=1","No Title Assigned - #15270102159")</f>
        <v/>
      </c>
      <c r="B6719" s="0" t="s">
        <v>8803</v>
      </c>
      <c r="C6719" s="0" t="s">
        <v>8804</v>
      </c>
      <c r="D6719" s="0" t="s">
        <v>8804</v>
      </c>
      <c r="E6719" s="0" t="inlineStr">
        <is>
          <t xml:space="preserve">Mazda</t>
        </is>
      </c>
      <c r="F6719" s="0" t="s">
        <v>13</v>
      </c>
      <c r="G6719" s="0" t="s">
        <v>49</v>
      </c>
      <c r="H6719" s="5">
        <v>411.695700</v>
      </c>
    </row>
    <row r="6720" spans="1:9">
      <c r="A6720" s="22" t="str">
        <f>HYPERLINK("https://app.vivvix.com/360/KMI/IntelliDrive/ApplUI/Pages/CreativePages/CustomReportCreativeDetail.aspx?App=23&amp;ReportView=4&amp;Qid=1711279&amp;Row=6712&amp;Col=1","No Title Assigned - #15270102550")</f>
        <v/>
      </c>
      <c r="B6720" s="0" t="s">
        <v>8805</v>
      </c>
      <c r="C6720" s="0" t="s">
        <v>8806</v>
      </c>
      <c r="D6720" s="0" t="s">
        <v>8806</v>
      </c>
      <c r="E6720" s="0" t="inlineStr">
        <is>
          <t xml:space="preserve">Mazda</t>
        </is>
      </c>
      <c r="F6720" s="0" t="s">
        <v>28</v>
      </c>
      <c r="G6720" s="0" t="s">
        <v>29</v>
      </c>
      <c r="H6720" s="5">
        <v>50.953000</v>
      </c>
    </row>
    <row r="6721" spans="1:9">
      <c r="A6721" s="22" t="str">
        <f>HYPERLINK("https://app.vivvix.com/360/KMI/IntelliDrive/ApplUI/Pages/CreativePages/CustomReportCreativeDetail.aspx?App=23&amp;ReportView=4&amp;Qid=1711279&amp;Row=6713&amp;Col=1","No Title Assigned - #15270103050")</f>
        <v/>
      </c>
      <c r="B6721" s="0" t="s">
        <v>8807</v>
      </c>
      <c r="C6721" s="0" t="s">
        <v>8808</v>
      </c>
      <c r="D6721" s="0" t="s">
        <v>8808</v>
      </c>
      <c r="E6721" s="0" t="inlineStr">
        <is>
          <t xml:space="preserve">Mazda</t>
        </is>
      </c>
      <c r="F6721" s="0" t="s">
        <v>13</v>
      </c>
      <c r="G6721" s="0" t="s">
        <v>49</v>
      </c>
      <c r="H6721" s="5">
        <v>844.998000</v>
      </c>
    </row>
    <row r="6722" spans="1:9">
      <c r="A6722" s="22" t="str">
        <f>HYPERLINK("https://app.vivvix.com/360/KMI/IntelliDrive/ApplUI/Pages/CreativePages/CustomReportCreativeDetail.aspx?App=23&amp;ReportView=4&amp;Qid=1711279&amp;Row=6714&amp;Col=1","No Title Assigned - #15270103208")</f>
        <v/>
      </c>
      <c r="B6722" s="0" t="s">
        <v>8809</v>
      </c>
      <c r="C6722" s="0" t="s">
        <v>8810</v>
      </c>
      <c r="D6722" s="0" t="s">
        <v>8810</v>
      </c>
      <c r="E6722" s="0" t="inlineStr">
        <is>
          <t xml:space="preserve">Mazda</t>
        </is>
      </c>
      <c r="F6722" s="0" t="s">
        <v>28</v>
      </c>
      <c r="G6722" s="0" t="s">
        <v>29</v>
      </c>
      <c r="H6722" s="5">
        <v>8.084200</v>
      </c>
    </row>
    <row r="6723" spans="1:9">
      <c r="A6723" s="22" t="str">
        <f>HYPERLINK("https://app.vivvix.com/360/KMI/IntelliDrive/ApplUI/Pages/CreativePages/CustomReportCreativeDetail.aspx?App=23&amp;ReportView=4&amp;Qid=1711279&amp;Row=6715&amp;Col=1","No Title Assigned - #15270103642")</f>
        <v/>
      </c>
      <c r="B6723" s="0" t="s">
        <v>8811</v>
      </c>
      <c r="C6723" s="0" t="s">
        <v>8812</v>
      </c>
      <c r="D6723" s="0" t="s">
        <v>4225</v>
      </c>
      <c r="E6723" s="0" t="inlineStr">
        <is>
          <t xml:space="preserve">Mazda</t>
        </is>
      </c>
      <c r="F6723" s="0" t="s">
        <v>28</v>
      </c>
      <c r="G6723" s="0" t="s">
        <v>29</v>
      </c>
      <c r="H6723" s="5">
        <v>16.780600</v>
      </c>
    </row>
    <row r="6724" spans="1:9">
      <c r="A6724" s="22" t="str">
        <f>HYPERLINK("https://app.vivvix.com/360/KMI/IntelliDrive/ApplUI/Pages/CreativePages/CustomReportCreativeDetail.aspx?App=23&amp;ReportView=4&amp;Qid=1711279&amp;Row=6716&amp;Col=1","No Title Assigned - #15270103760")</f>
        <v/>
      </c>
      <c r="B6724" s="0" t="s">
        <v>8813</v>
      </c>
      <c r="C6724" s="0" t="s">
        <v>8814</v>
      </c>
      <c r="D6724" s="0" t="s">
        <v>8814</v>
      </c>
      <c r="E6724" s="0" t="inlineStr">
        <is>
          <t xml:space="preserve">Mazda</t>
        </is>
      </c>
      <c r="F6724" s="0" t="s">
        <v>28</v>
      </c>
      <c r="G6724" s="0" t="s">
        <v>29</v>
      </c>
      <c r="H6724" s="5">
        <v>7.398800</v>
      </c>
    </row>
    <row r="6725" spans="1:9">
      <c r="A6725" s="22" t="str">
        <f>HYPERLINK("https://app.vivvix.com/360/KMI/IntelliDrive/ApplUI/Pages/CreativePages/CustomReportCreativeDetail.aspx?App=23&amp;ReportView=4&amp;Qid=1711279&amp;Row=6717&amp;Col=1","No Title Assigned - #15270104104")</f>
        <v/>
      </c>
      <c r="B6725" s="0" t="s">
        <v>8815</v>
      </c>
      <c r="C6725" s="0" t="s">
        <v>8816</v>
      </c>
      <c r="D6725" s="0" t="s">
        <v>8816</v>
      </c>
      <c r="E6725" s="0" t="inlineStr">
        <is>
          <t xml:space="preserve">Mazda</t>
        </is>
      </c>
      <c r="F6725" s="0" t="s">
        <v>28</v>
      </c>
      <c r="G6725" s="0" t="s">
        <v>29</v>
      </c>
      <c r="H6725" s="5">
        <v>862.081900</v>
      </c>
    </row>
    <row r="6726" spans="1:9">
      <c r="A6726" s="22" t="str">
        <f>HYPERLINK("https://app.vivvix.com/360/KMI/IntelliDrive/ApplUI/Pages/CreativePages/CustomReportCreativeDetail.aspx?App=23&amp;ReportView=4&amp;Qid=1711279&amp;Row=6718&amp;Col=1","No Title Assigned - #15270104743")</f>
        <v/>
      </c>
      <c r="B6726" s="0" t="s">
        <v>8817</v>
      </c>
      <c r="C6726" s="0" t="s">
        <v>8818</v>
      </c>
      <c r="D6726" s="0" t="s">
        <v>8818</v>
      </c>
      <c r="E6726" s="0" t="inlineStr">
        <is>
          <t xml:space="preserve">Mazda</t>
        </is>
      </c>
      <c r="F6726" s="0" t="inlineStr">
        <is>
          <t xml:space="preserve">Mazda</t>
        </is>
      </c>
      <c r="G6726" s="0" t="s">
        <v>210</v>
      </c>
      <c r="H6726" s="5">
        <v>420.329200</v>
      </c>
    </row>
    <row r="6727" spans="1:9">
      <c r="A6727" s="22" t="str">
        <f>HYPERLINK("https://app.vivvix.com/360/KMI/IntelliDrive/ApplUI/Pages/CreativePages/CustomReportCreativeDetail.aspx?App=23&amp;ReportView=4&amp;Qid=1711279&amp;Row=6719&amp;Col=1","No Title Assigned - #15270105024")</f>
        <v/>
      </c>
      <c r="B6727" s="0" t="s">
        <v>8819</v>
      </c>
      <c r="C6727" s="0" t="s">
        <v>8820</v>
      </c>
      <c r="D6727" s="0" t="s">
        <v>8820</v>
      </c>
      <c r="E6727" s="0" t="inlineStr">
        <is>
          <t xml:space="preserve">Mazda</t>
        </is>
      </c>
      <c r="F6727" s="0" t="s">
        <v>28</v>
      </c>
      <c r="G6727" s="0" t="s">
        <v>29</v>
      </c>
      <c r="H6727" s="5">
        <v>5338.546800</v>
      </c>
    </row>
    <row r="6728" spans="1:9">
      <c r="A6728" s="22" t="str">
        <f>HYPERLINK("https://app.vivvix.com/360/KMI/IntelliDrive/ApplUI/Pages/CreativePages/CustomReportCreativeDetail.aspx?App=23&amp;ReportView=4&amp;Qid=1711279&amp;Row=6720&amp;Col=1","No Title Assigned - #15270105182")</f>
        <v/>
      </c>
      <c r="B6728" s="0" t="s">
        <v>8821</v>
      </c>
      <c r="C6728" s="0" t="s">
        <v>8822</v>
      </c>
      <c r="D6728" s="0" t="s">
        <v>8822</v>
      </c>
      <c r="E6728" s="0" t="inlineStr">
        <is>
          <t xml:space="preserve">Mazda</t>
        </is>
      </c>
      <c r="F6728" s="0" t="s">
        <v>13</v>
      </c>
      <c r="G6728" s="0" t="s">
        <v>49</v>
      </c>
      <c r="H6728" s="5">
        <v>160.926600</v>
      </c>
    </row>
    <row r="6729" spans="1:9">
      <c r="A6729" s="22" t="str">
        <f>HYPERLINK("https://app.vivvix.com/360/KMI/IntelliDrive/ApplUI/Pages/CreativePages/CustomReportCreativeDetail.aspx?App=23&amp;ReportView=4&amp;Qid=1711279&amp;Row=6721&amp;Col=1","No Title Assigned - #15270105234")</f>
        <v/>
      </c>
      <c r="B6729" s="0" t="s">
        <v>8823</v>
      </c>
      <c r="C6729" s="0" t="s">
        <v>8824</v>
      </c>
      <c r="D6729" s="0" t="s">
        <v>8610</v>
      </c>
      <c r="E6729" s="0" t="inlineStr">
        <is>
          <t xml:space="preserve">Mazda</t>
        </is>
      </c>
      <c r="F6729" s="0" t="s">
        <v>28</v>
      </c>
      <c r="G6729" s="0" t="s">
        <v>29</v>
      </c>
      <c r="H6729" s="5">
        <v>3700.514000</v>
      </c>
    </row>
    <row r="6730" spans="1:9">
      <c r="A6730" s="22" t="str">
        <f>HYPERLINK("https://app.vivvix.com/360/KMI/IntelliDrive/ApplUI/Pages/CreativePages/CustomReportCreativeDetail.aspx?App=23&amp;ReportView=4&amp;Qid=1711279&amp;Row=6722&amp;Col=1","No Title Assigned - #15270105409")</f>
        <v/>
      </c>
      <c r="B6730" s="0" t="s">
        <v>8825</v>
      </c>
      <c r="C6730" s="0" t="s">
        <v>8826</v>
      </c>
      <c r="D6730" s="0" t="s">
        <v>7396</v>
      </c>
      <c r="E6730" s="0" t="inlineStr">
        <is>
          <t xml:space="preserve">Mazda</t>
        </is>
      </c>
      <c r="F6730" s="0" t="s">
        <v>13</v>
      </c>
      <c r="G6730" s="0" t="s">
        <v>49</v>
      </c>
      <c r="H6730" s="5">
        <v>105.128000</v>
      </c>
    </row>
    <row r="6731" spans="1:9">
      <c r="A6731" s="22" t="str">
        <f>HYPERLINK("https://app.vivvix.com/360/KMI/IntelliDrive/ApplUI/Pages/CreativePages/CustomReportCreativeDetail.aspx?App=23&amp;ReportView=4&amp;Qid=1711279&amp;Row=6723&amp;Col=1","No Title Assigned - #15270105489")</f>
        <v/>
      </c>
      <c r="B6731" s="0" t="s">
        <v>8827</v>
      </c>
      <c r="C6731" s="0" t="s">
        <v>8828</v>
      </c>
      <c r="D6731" s="0" t="s">
        <v>8828</v>
      </c>
      <c r="E6731" s="0" t="inlineStr">
        <is>
          <t xml:space="preserve">Mazda</t>
        </is>
      </c>
      <c r="F6731" s="0" t="s">
        <v>28</v>
      </c>
      <c r="G6731" s="0" t="s">
        <v>29</v>
      </c>
      <c r="H6731" s="5">
        <v>69.727000</v>
      </c>
    </row>
    <row r="6732" spans="1:9">
      <c r="A6732" s="22" t="str">
        <f>HYPERLINK("https://app.vivvix.com/360/KMI/IntelliDrive/ApplUI/Pages/CreativePages/CustomReportCreativeDetail.aspx?App=23&amp;ReportView=4&amp;Qid=1711279&amp;Row=6724&amp;Col=1","No Title Assigned - #15270105701")</f>
        <v/>
      </c>
      <c r="B6732" s="0" t="s">
        <v>8829</v>
      </c>
      <c r="C6732" s="0" t="s">
        <v>8830</v>
      </c>
      <c r="D6732" s="0" t="s">
        <v>8830</v>
      </c>
      <c r="E6732" s="0" t="inlineStr">
        <is>
          <t xml:space="preserve">Mazda</t>
        </is>
      </c>
      <c r="F6732" s="0" t="s">
        <v>369</v>
      </c>
      <c r="G6732" s="0" t="s">
        <v>370</v>
      </c>
      <c r="H6732" s="5">
        <v>13.137900</v>
      </c>
    </row>
    <row r="6733" spans="1:9">
      <c r="A6733" s="22" t="str">
        <f>HYPERLINK("https://app.vivvix.com/360/KMI/IntelliDrive/ApplUI/Pages/CreativePages/CustomReportCreativeDetail.aspx?App=23&amp;ReportView=4&amp;Qid=1711279&amp;Row=6725&amp;Col=1","No Title Assigned - #15270105850")</f>
        <v/>
      </c>
      <c r="B6733" s="0" t="s">
        <v>8831</v>
      </c>
      <c r="C6733" s="0" t="s">
        <v>8203</v>
      </c>
      <c r="D6733" s="0" t="s">
        <v>8203</v>
      </c>
      <c r="E6733" s="0" t="inlineStr">
        <is>
          <t xml:space="preserve">Mazda</t>
        </is>
      </c>
      <c r="F6733" s="0" t="s">
        <v>28</v>
      </c>
      <c r="G6733" s="0" t="s">
        <v>29</v>
      </c>
      <c r="H6733" s="5">
        <v>7571.317900</v>
      </c>
    </row>
    <row r="6734" spans="1:9">
      <c r="A6734" s="22" t="str">
        <f>HYPERLINK("https://app.vivvix.com/360/KMI/IntelliDrive/ApplUI/Pages/CreativePages/CustomReportCreativeDetail.aspx?App=23&amp;ReportView=4&amp;Qid=1711279&amp;Row=6726&amp;Col=1","No Title Assigned - #15270106064")</f>
        <v/>
      </c>
      <c r="B6734" s="0" t="s">
        <v>8832</v>
      </c>
      <c r="C6734" s="0" t="s">
        <v>8833</v>
      </c>
      <c r="D6734" s="0" t="s">
        <v>8833</v>
      </c>
      <c r="E6734" s="0" t="inlineStr">
        <is>
          <t xml:space="preserve">Mazda</t>
        </is>
      </c>
      <c r="F6734" s="0" t="s">
        <v>13</v>
      </c>
      <c r="G6734" s="0" t="s">
        <v>49</v>
      </c>
      <c r="H6734" s="5">
        <v>589.169400</v>
      </c>
    </row>
    <row r="6735" spans="1:9">
      <c r="A6735" s="22" t="str">
        <f>HYPERLINK("https://app.vivvix.com/360/KMI/IntelliDrive/ApplUI/Pages/CreativePages/CustomReportCreativeDetail.aspx?App=23&amp;ReportView=4&amp;Qid=1711279&amp;Row=6727&amp;Col=1","No Title Assigned - #15270106344")</f>
        <v/>
      </c>
      <c r="B6735" s="0" t="s">
        <v>8834</v>
      </c>
      <c r="C6735" s="0" t="s">
        <v>8835</v>
      </c>
      <c r="D6735" s="0" t="s">
        <v>8835</v>
      </c>
      <c r="E6735" s="0" t="inlineStr">
        <is>
          <t xml:space="preserve">Mazda</t>
        </is>
      </c>
      <c r="F6735" s="0" t="s">
        <v>28</v>
      </c>
      <c r="G6735" s="0" t="s">
        <v>29</v>
      </c>
      <c r="H6735" s="5">
        <v>53.681500</v>
      </c>
    </row>
    <row r="6736" spans="1:9">
      <c r="A6736" s="22" t="str">
        <f>HYPERLINK("https://app.vivvix.com/360/KMI/IntelliDrive/ApplUI/Pages/CreativePages/CustomReportCreativeDetail.aspx?App=23&amp;ReportView=4&amp;Qid=1711279&amp;Row=6728&amp;Col=1","No Title Assigned - #15270106370")</f>
        <v/>
      </c>
      <c r="B6736" s="0" t="s">
        <v>8836</v>
      </c>
      <c r="C6736" s="0" t="s">
        <v>8837</v>
      </c>
      <c r="D6736" s="0" t="s">
        <v>8837</v>
      </c>
      <c r="E6736" s="0" t="inlineStr">
        <is>
          <t xml:space="preserve">Mazda</t>
        </is>
      </c>
      <c r="F6736" s="0" t="s">
        <v>28</v>
      </c>
      <c r="G6736" s="0" t="s">
        <v>29</v>
      </c>
      <c r="H6736" s="5">
        <v>16.891800</v>
      </c>
    </row>
    <row r="6737" spans="1:9">
      <c r="A6737" s="22" t="str">
        <f>HYPERLINK("https://app.vivvix.com/360/KMI/IntelliDrive/ApplUI/Pages/CreativePages/CustomReportCreativeDetail.aspx?App=23&amp;ReportView=4&amp;Qid=1711279&amp;Row=6729&amp;Col=1","No Title Assigned - #15270106482")</f>
        <v/>
      </c>
      <c r="B6737" s="0" t="s">
        <v>8838</v>
      </c>
      <c r="E6737" s="0" t="inlineStr">
        <is>
          <t xml:space="preserve">Mazda</t>
        </is>
      </c>
      <c r="F6737" s="0" t="inlineStr">
        <is>
          <t xml:space="preserve">Mazda</t>
        </is>
      </c>
      <c r="G6737" s="0" t="s">
        <v>171</v>
      </c>
      <c r="H6737" s="5">
        <v>199277.953100</v>
      </c>
    </row>
    <row r="6738" spans="1:9">
      <c r="A6738" s="22" t="str">
        <f>HYPERLINK("https://app.vivvix.com/360/KMI/IntelliDrive/ApplUI/Pages/CreativePages/CustomReportCreativeDetail.aspx?App=23&amp;ReportView=4&amp;Qid=1711279&amp;Row=6730&amp;Col=1","No Title Assigned - #15270107285")</f>
        <v/>
      </c>
      <c r="B6738" s="0" t="s">
        <v>8839</v>
      </c>
      <c r="C6738" s="0" t="s">
        <v>8840</v>
      </c>
      <c r="D6738" s="0" t="s">
        <v>4202</v>
      </c>
      <c r="E6738" s="0" t="inlineStr">
        <is>
          <t xml:space="preserve">Mazda</t>
        </is>
      </c>
      <c r="F6738" s="0" t="s">
        <v>28</v>
      </c>
      <c r="G6738" s="0" t="s">
        <v>29</v>
      </c>
      <c r="H6738" s="5">
        <v>242.205700</v>
      </c>
    </row>
    <row r="6739" spans="1:9">
      <c r="A6739" s="22" t="str">
        <f>HYPERLINK("https://app.vivvix.com/360/KMI/IntelliDrive/ApplUI/Pages/CreativePages/CustomReportCreativeDetail.aspx?App=23&amp;ReportView=4&amp;Qid=1711279&amp;Row=6731&amp;Col=1","No Title Assigned - #15270107637")</f>
        <v/>
      </c>
      <c r="B6739" s="0" t="s">
        <v>8841</v>
      </c>
      <c r="C6739" s="0" t="s">
        <v>8842</v>
      </c>
      <c r="D6739" s="0" t="s">
        <v>8558</v>
      </c>
      <c r="E6739" s="0" t="inlineStr">
        <is>
          <t xml:space="preserve">Mazda</t>
        </is>
      </c>
      <c r="F6739" s="0" t="s">
        <v>13</v>
      </c>
      <c r="G6739" s="0" t="s">
        <v>49</v>
      </c>
      <c r="H6739" s="5">
        <v>63.817900</v>
      </c>
    </row>
    <row r="6740" spans="1:9">
      <c r="A6740" s="22" t="str">
        <f>HYPERLINK("https://app.vivvix.com/360/KMI/IntelliDrive/ApplUI/Pages/CreativePages/CustomReportCreativeDetail.aspx?App=23&amp;ReportView=4&amp;Qid=1711279&amp;Row=6732&amp;Col=1","No Title Assigned - #15270107657")</f>
        <v/>
      </c>
      <c r="B6740" s="0" t="s">
        <v>8843</v>
      </c>
      <c r="C6740" s="0" t="s">
        <v>8844</v>
      </c>
      <c r="D6740" s="0" t="s">
        <v>8844</v>
      </c>
      <c r="E6740" s="0" t="inlineStr">
        <is>
          <t xml:space="preserve">Mazda</t>
        </is>
      </c>
      <c r="F6740" s="0" t="inlineStr">
        <is>
          <t xml:space="preserve">Mazda</t>
        </is>
      </c>
      <c r="G6740" s="0" t="s">
        <v>8845</v>
      </c>
      <c r="H6740" s="5">
        <v>45461.390600</v>
      </c>
    </row>
    <row r="6741" spans="1:9">
      <c r="A6741" s="22" t="str">
        <f>HYPERLINK("https://app.vivvix.com/360/KMI/IntelliDrive/ApplUI/Pages/CreativePages/CustomReportCreativeDetail.aspx?App=23&amp;ReportView=4&amp;Qid=1711279&amp;Row=6733&amp;Col=1","No Title Assigned - #15270107857")</f>
        <v/>
      </c>
      <c r="B6741" s="0" t="s">
        <v>8846</v>
      </c>
      <c r="C6741" s="0" t="s">
        <v>8847</v>
      </c>
      <c r="D6741" s="0" t="s">
        <v>8847</v>
      </c>
      <c r="E6741" s="0" t="inlineStr">
        <is>
          <t xml:space="preserve">Mazda</t>
        </is>
      </c>
      <c r="F6741" s="0" t="s">
        <v>13</v>
      </c>
      <c r="G6741" s="0" t="s">
        <v>49</v>
      </c>
      <c r="H6741" s="5">
        <v>117.175600</v>
      </c>
    </row>
    <row r="6742" spans="1:9">
      <c r="A6742" s="22" t="str">
        <f>HYPERLINK("https://app.vivvix.com/360/KMI/IntelliDrive/ApplUI/Pages/CreativePages/CustomReportCreativeDetail.aspx?App=23&amp;ReportView=4&amp;Qid=1711279&amp;Row=6734&amp;Col=1","No Title Assigned - #15270108090")</f>
        <v/>
      </c>
      <c r="B6742" s="0" t="s">
        <v>8848</v>
      </c>
      <c r="C6742" s="0" t="s">
        <v>8849</v>
      </c>
      <c r="D6742" s="0" t="s">
        <v>4200</v>
      </c>
      <c r="E6742" s="0" t="inlineStr">
        <is>
          <t xml:space="preserve">Mazda</t>
        </is>
      </c>
      <c r="F6742" s="0" t="s">
        <v>28</v>
      </c>
      <c r="G6742" s="0" t="s">
        <v>29</v>
      </c>
      <c r="H6742" s="5">
        <v>88.741800</v>
      </c>
    </row>
    <row r="6743" spans="1:9">
      <c r="A6743" s="22" t="str">
        <f>HYPERLINK("https://app.vivvix.com/360/KMI/IntelliDrive/ApplUI/Pages/CreativePages/CustomReportCreativeDetail.aspx?App=23&amp;ReportView=4&amp;Qid=1711279&amp;Row=6735&amp;Col=1","No Title Assigned - #15270108294")</f>
        <v/>
      </c>
      <c r="B6743" s="0" t="s">
        <v>8850</v>
      </c>
      <c r="C6743" s="0" t="s">
        <v>8851</v>
      </c>
      <c r="D6743" s="0" t="s">
        <v>4202</v>
      </c>
      <c r="E6743" s="0" t="inlineStr">
        <is>
          <t xml:space="preserve">Mazda</t>
        </is>
      </c>
      <c r="F6743" s="0" t="s">
        <v>28</v>
      </c>
      <c r="G6743" s="0" t="s">
        <v>29</v>
      </c>
      <c r="H6743" s="5">
        <v>88.502200</v>
      </c>
    </row>
    <row r="6744" spans="1:9">
      <c r="A6744" s="22" t="str">
        <f>HYPERLINK("https://app.vivvix.com/360/KMI/IntelliDrive/ApplUI/Pages/CreativePages/CustomReportCreativeDetail.aspx?App=23&amp;ReportView=4&amp;Qid=1711279&amp;Row=6736&amp;Col=1","No Title Assigned - #15270108665")</f>
        <v/>
      </c>
      <c r="B6744" s="0" t="s">
        <v>8852</v>
      </c>
      <c r="E6744" s="0" t="inlineStr">
        <is>
          <t xml:space="preserve">Mazda</t>
        </is>
      </c>
      <c r="F6744" s="0" t="s">
        <v>28</v>
      </c>
      <c r="G6744" s="0" t="s">
        <v>29</v>
      </c>
      <c r="H6744" s="5">
        <v>14.193400</v>
      </c>
    </row>
    <row r="6745" spans="1:9">
      <c r="A6745" s="22" t="str">
        <f>HYPERLINK("https://app.vivvix.com/360/KMI/IntelliDrive/ApplUI/Pages/CreativePages/CustomReportCreativeDetail.aspx?App=23&amp;ReportView=4&amp;Qid=1711279&amp;Row=6737&amp;Col=1","No Title Assigned - #15270108665")</f>
        <v/>
      </c>
      <c r="B6745" s="0" t="s">
        <v>8852</v>
      </c>
      <c r="C6745" s="0" t="s">
        <v>8853</v>
      </c>
      <c r="D6745" s="0" t="s">
        <v>8853</v>
      </c>
      <c r="E6745" s="0" t="inlineStr">
        <is>
          <t xml:space="preserve">Mazda</t>
        </is>
      </c>
      <c r="F6745" s="0" t="s">
        <v>28</v>
      </c>
      <c r="G6745" s="0" t="s">
        <v>29</v>
      </c>
      <c r="H6745" s="5">
        <v>52.976300</v>
      </c>
    </row>
    <row r="6746" spans="1:9">
      <c r="A6746" s="22" t="str">
        <f>HYPERLINK("https://app.vivvix.com/360/KMI/IntelliDrive/ApplUI/Pages/CreativePages/CustomReportCreativeDetail.aspx?App=23&amp;ReportView=4&amp;Qid=1711279&amp;Row=6738&amp;Col=1","No Title Assigned - #15270108904")</f>
        <v/>
      </c>
      <c r="B6746" s="0" t="s">
        <v>8854</v>
      </c>
      <c r="C6746" s="0" t="s">
        <v>8855</v>
      </c>
      <c r="D6746" s="0" t="s">
        <v>8506</v>
      </c>
      <c r="E6746" s="0" t="inlineStr">
        <is>
          <t xml:space="preserve">Mazda</t>
        </is>
      </c>
      <c r="F6746" s="0" t="s">
        <v>13</v>
      </c>
      <c r="G6746" s="0" t="s">
        <v>49</v>
      </c>
      <c r="H6746" s="5">
        <v>149.783100</v>
      </c>
    </row>
    <row r="6747" spans="1:9">
      <c r="A6747" s="22" t="str">
        <f>HYPERLINK("https://app.vivvix.com/360/KMI/IntelliDrive/ApplUI/Pages/CreativePages/CustomReportCreativeDetail.aspx?App=23&amp;ReportView=4&amp;Qid=1711279&amp;Row=6739&amp;Col=1","No Title Assigned - #15270108973")</f>
        <v/>
      </c>
      <c r="B6747" s="0" t="s">
        <v>8856</v>
      </c>
      <c r="C6747" s="0" t="s">
        <v>8857</v>
      </c>
      <c r="D6747" s="0" t="s">
        <v>4202</v>
      </c>
      <c r="E6747" s="0" t="inlineStr">
        <is>
          <t xml:space="preserve">Mazda</t>
        </is>
      </c>
      <c r="F6747" s="0" t="s">
        <v>28</v>
      </c>
      <c r="G6747" s="0" t="s">
        <v>29</v>
      </c>
      <c r="H6747" s="5">
        <v>1156.821800</v>
      </c>
    </row>
    <row r="6748" spans="1:9">
      <c r="A6748" s="22" t="str">
        <f>HYPERLINK("https://app.vivvix.com/360/KMI/IntelliDrive/ApplUI/Pages/CreativePages/CustomReportCreativeDetail.aspx?App=23&amp;ReportView=4&amp;Qid=1711279&amp;Row=6740&amp;Col=1","No Title Assigned - #15270108997")</f>
        <v/>
      </c>
      <c r="B6748" s="0" t="s">
        <v>8858</v>
      </c>
      <c r="C6748" s="0" t="s">
        <v>8859</v>
      </c>
      <c r="D6748" s="0" t="s">
        <v>8859</v>
      </c>
      <c r="E6748" s="0" t="inlineStr">
        <is>
          <t xml:space="preserve">Mazda</t>
        </is>
      </c>
      <c r="F6748" s="0" t="s">
        <v>28</v>
      </c>
      <c r="G6748" s="0" t="s">
        <v>29</v>
      </c>
      <c r="H6748" s="5">
        <v>112.942800</v>
      </c>
    </row>
    <row r="6749" spans="1:9">
      <c r="A6749" s="22" t="str">
        <f>HYPERLINK("https://app.vivvix.com/360/KMI/IntelliDrive/ApplUI/Pages/CreativePages/CustomReportCreativeDetail.aspx?App=23&amp;ReportView=4&amp;Qid=1711279&amp;Row=6741&amp;Col=1","No Title Assigned - #15270109599")</f>
        <v/>
      </c>
      <c r="B6749" s="0" t="s">
        <v>8860</v>
      </c>
      <c r="C6749" s="0" t="s">
        <v>8861</v>
      </c>
      <c r="D6749" s="0" t="s">
        <v>8861</v>
      </c>
      <c r="E6749" s="0" t="inlineStr">
        <is>
          <t xml:space="preserve">Mazda</t>
        </is>
      </c>
      <c r="F6749" s="0" t="s">
        <v>28</v>
      </c>
      <c r="G6749" s="0" t="s">
        <v>29</v>
      </c>
      <c r="H6749" s="5">
        <v>412.524900</v>
      </c>
    </row>
    <row r="6750" spans="1:9">
      <c r="A6750" s="22" t="str">
        <f>HYPERLINK("https://app.vivvix.com/360/KMI/IntelliDrive/ApplUI/Pages/CreativePages/CustomReportCreativeDetail.aspx?App=23&amp;ReportView=4&amp;Qid=1711279&amp;Row=6742&amp;Col=1","No Title Assigned - #15270109811")</f>
        <v/>
      </c>
      <c r="B6750" s="0" t="s">
        <v>8862</v>
      </c>
      <c r="C6750" s="0" t="s">
        <v>8863</v>
      </c>
      <c r="D6750" s="0" t="s">
        <v>8863</v>
      </c>
      <c r="E6750" s="0" t="inlineStr">
        <is>
          <t xml:space="preserve">Mazda</t>
        </is>
      </c>
      <c r="F6750" s="0" t="s">
        <v>28</v>
      </c>
      <c r="G6750" s="0" t="s">
        <v>29</v>
      </c>
      <c r="H6750" s="5">
        <v>25.065100</v>
      </c>
    </row>
    <row r="6751" spans="1:9">
      <c r="A6751" s="22" t="str">
        <f>HYPERLINK("https://app.vivvix.com/360/KMI/IntelliDrive/ApplUI/Pages/CreativePages/CustomReportCreativeDetail.aspx?App=23&amp;ReportView=4&amp;Qid=1711279&amp;Row=6743&amp;Col=1","No Title Assigned - #15270110399")</f>
        <v/>
      </c>
      <c r="B6751" s="0" t="s">
        <v>8864</v>
      </c>
      <c r="E6751" s="0" t="inlineStr">
        <is>
          <t xml:space="preserve">Mazda</t>
        </is>
      </c>
      <c r="F6751" s="0" t="inlineStr">
        <is>
          <t xml:space="preserve">Mazda</t>
        </is>
      </c>
      <c r="G6751" s="0" t="s">
        <v>171</v>
      </c>
      <c r="H6751" s="5">
        <v>40.564200</v>
      </c>
    </row>
    <row r="6752" spans="1:9">
      <c r="A6752" s="22" t="str">
        <f>HYPERLINK("https://app.vivvix.com/360/KMI/IntelliDrive/ApplUI/Pages/CreativePages/CustomReportCreativeDetail.aspx?App=23&amp;ReportView=4&amp;Qid=1711279&amp;Row=6744&amp;Col=1","No Title Assigned - #15270110400")</f>
        <v/>
      </c>
      <c r="B6752" s="0" t="s">
        <v>8865</v>
      </c>
      <c r="E6752" s="0" t="inlineStr">
        <is>
          <t xml:space="preserve">Mazda</t>
        </is>
      </c>
      <c r="F6752" s="0" t="inlineStr">
        <is>
          <t xml:space="preserve">Mazda</t>
        </is>
      </c>
      <c r="G6752" s="0" t="s">
        <v>171</v>
      </c>
      <c r="H6752" s="5">
        <v>81.128400</v>
      </c>
    </row>
    <row r="6753" spans="1:9">
      <c r="A6753" s="22" t="str">
        <f>HYPERLINK("https://app.vivvix.com/360/KMI/IntelliDrive/ApplUI/Pages/CreativePages/CustomReportCreativeDetail.aspx?App=23&amp;ReportView=4&amp;Qid=1711279&amp;Row=6745&amp;Col=1","No Title Assigned - #15270110435")</f>
        <v/>
      </c>
      <c r="B6753" s="0" t="s">
        <v>8866</v>
      </c>
      <c r="C6753" s="0" t="s">
        <v>8867</v>
      </c>
      <c r="D6753" s="0" t="s">
        <v>4938</v>
      </c>
      <c r="E6753" s="0" t="inlineStr">
        <is>
          <t xml:space="preserve">Mazda</t>
        </is>
      </c>
      <c r="F6753" s="0" t="s">
        <v>13</v>
      </c>
      <c r="G6753" s="0" t="s">
        <v>49</v>
      </c>
      <c r="H6753" s="5">
        <v>4838.305700</v>
      </c>
    </row>
    <row r="6754" spans="1:9">
      <c r="A6754" s="22" t="str">
        <f>HYPERLINK("https://app.vivvix.com/360/KMI/IntelliDrive/ApplUI/Pages/CreativePages/CustomReportCreativeDetail.aspx?App=23&amp;ReportView=4&amp;Qid=1711279&amp;Row=6746&amp;Col=1","No Title Assigned - #15270110577")</f>
        <v/>
      </c>
      <c r="B6754" s="0" t="s">
        <v>8868</v>
      </c>
      <c r="C6754" s="0" t="s">
        <v>8869</v>
      </c>
      <c r="D6754" s="0" t="s">
        <v>4204</v>
      </c>
      <c r="E6754" s="0" t="inlineStr">
        <is>
          <t xml:space="preserve">Mazda</t>
        </is>
      </c>
      <c r="F6754" s="0" t="s">
        <v>28</v>
      </c>
      <c r="G6754" s="0" t="s">
        <v>29</v>
      </c>
      <c r="H6754" s="5">
        <v>164.693600</v>
      </c>
    </row>
    <row r="6755" spans="1:9">
      <c r="A6755" s="22" t="str">
        <f>HYPERLINK("https://app.vivvix.com/360/KMI/IntelliDrive/ApplUI/Pages/CreativePages/CustomReportCreativeDetail.aspx?App=23&amp;ReportView=4&amp;Qid=1711279&amp;Row=6747&amp;Col=1","No Title Assigned - #15270110684")</f>
        <v/>
      </c>
      <c r="B6755" s="0" t="s">
        <v>8870</v>
      </c>
      <c r="C6755" s="0" t="s">
        <v>8871</v>
      </c>
      <c r="D6755" s="0" t="s">
        <v>4335</v>
      </c>
      <c r="E6755" s="0" t="inlineStr">
        <is>
          <t xml:space="preserve">Mazda</t>
        </is>
      </c>
      <c r="F6755" s="0" t="s">
        <v>13</v>
      </c>
      <c r="G6755" s="0" t="s">
        <v>49</v>
      </c>
      <c r="H6755" s="5">
        <v>135.315100</v>
      </c>
    </row>
    <row r="6756" spans="1:9">
      <c r="A6756" s="22" t="str">
        <f>HYPERLINK("https://app.vivvix.com/360/KMI/IntelliDrive/ApplUI/Pages/CreativePages/CustomReportCreativeDetail.aspx?App=23&amp;ReportView=4&amp;Qid=1711279&amp;Row=6748&amp;Col=1","No Title Assigned - #15270110856")</f>
        <v/>
      </c>
      <c r="B6756" s="0" t="s">
        <v>8872</v>
      </c>
      <c r="C6756" s="0" t="s">
        <v>8873</v>
      </c>
      <c r="D6756" s="0" t="s">
        <v>8873</v>
      </c>
      <c r="E6756" s="0" t="inlineStr">
        <is>
          <t xml:space="preserve">Mazda</t>
        </is>
      </c>
      <c r="F6756" s="0" t="s">
        <v>13</v>
      </c>
      <c r="G6756" s="0" t="s">
        <v>49</v>
      </c>
      <c r="H6756" s="5">
        <v>88428.972900</v>
      </c>
    </row>
    <row r="6757" spans="1:9">
      <c r="A6757" s="22" t="str">
        <f>HYPERLINK("https://app.vivvix.com/360/KMI/IntelliDrive/ApplUI/Pages/CreativePages/CustomReportCreativeDetail.aspx?App=23&amp;ReportView=4&amp;Qid=1711279&amp;Row=6749&amp;Col=1","No Title Assigned - #15270110856")</f>
        <v/>
      </c>
      <c r="B6757" s="0" t="s">
        <v>8872</v>
      </c>
      <c r="C6757" s="0" t="s">
        <v>8874</v>
      </c>
      <c r="D6757" s="0" t="s">
        <v>8874</v>
      </c>
      <c r="E6757" s="0" t="inlineStr">
        <is>
          <t xml:space="preserve">Mazda</t>
        </is>
      </c>
      <c r="F6757" s="0" t="s">
        <v>13</v>
      </c>
      <c r="G6757" s="0" t="s">
        <v>49</v>
      </c>
      <c r="H6757" s="5">
        <v>7648.427600</v>
      </c>
    </row>
    <row r="6758" spans="1:9">
      <c r="A6758" s="22" t="str">
        <f>HYPERLINK("https://app.vivvix.com/360/KMI/IntelliDrive/ApplUI/Pages/CreativePages/CustomReportCreativeDetail.aspx?App=23&amp;ReportView=4&amp;Qid=1711279&amp;Row=6750&amp;Col=1","No Title Assigned - #15270111449")</f>
        <v/>
      </c>
      <c r="B6758" s="0" t="s">
        <v>8875</v>
      </c>
      <c r="C6758" s="0" t="s">
        <v>8876</v>
      </c>
      <c r="D6758" s="0" t="s">
        <v>8876</v>
      </c>
      <c r="E6758" s="0" t="inlineStr">
        <is>
          <t xml:space="preserve">Mazda</t>
        </is>
      </c>
      <c r="F6758" s="0" t="s">
        <v>28</v>
      </c>
      <c r="G6758" s="0" t="s">
        <v>29</v>
      </c>
      <c r="H6758" s="5">
        <v>14.895400</v>
      </c>
    </row>
    <row r="6759" spans="1:9">
      <c r="A6759" s="22" t="str">
        <f>HYPERLINK("https://app.vivvix.com/360/KMI/IntelliDrive/ApplUI/Pages/CreativePages/CustomReportCreativeDetail.aspx?App=23&amp;ReportView=4&amp;Qid=1711279&amp;Row=6751&amp;Col=1","No Title Assigned - #15270111614")</f>
        <v/>
      </c>
      <c r="B6759" s="0" t="s">
        <v>8877</v>
      </c>
      <c r="C6759" s="0" t="s">
        <v>8878</v>
      </c>
      <c r="D6759" s="0" t="s">
        <v>8878</v>
      </c>
      <c r="E6759" s="0" t="inlineStr">
        <is>
          <t xml:space="preserve">Mazda</t>
        </is>
      </c>
      <c r="F6759" s="0" t="s">
        <v>28</v>
      </c>
      <c r="G6759" s="0" t="s">
        <v>29</v>
      </c>
      <c r="H6759" s="5">
        <v>278.363400</v>
      </c>
    </row>
    <row r="6760" spans="1:9">
      <c r="A6760" s="22" t="str">
        <f>HYPERLINK("https://app.vivvix.com/360/KMI/IntelliDrive/ApplUI/Pages/CreativePages/CustomReportCreativeDetail.aspx?App=23&amp;ReportView=4&amp;Qid=1711279&amp;Row=6752&amp;Col=1","No Title Assigned - #15270111746")</f>
        <v/>
      </c>
      <c r="B6760" s="0" t="s">
        <v>8879</v>
      </c>
      <c r="C6760" s="0" t="s">
        <v>8880</v>
      </c>
      <c r="D6760" s="0" t="s">
        <v>8880</v>
      </c>
      <c r="E6760" s="0" t="inlineStr">
        <is>
          <t xml:space="preserve">Mazda</t>
        </is>
      </c>
      <c r="F6760" s="0" t="s">
        <v>28</v>
      </c>
      <c r="G6760" s="0" t="s">
        <v>29</v>
      </c>
      <c r="H6760" s="5">
        <v>17502.478500</v>
      </c>
    </row>
    <row r="6761" spans="1:9">
      <c r="A6761" s="22" t="str">
        <f>HYPERLINK("https://app.vivvix.com/360/KMI/IntelliDrive/ApplUI/Pages/CreativePages/CustomReportCreativeDetail.aspx?App=23&amp;ReportView=4&amp;Qid=1711279&amp;Row=6753&amp;Col=1","No Title Assigned - #15270111995")</f>
        <v/>
      </c>
      <c r="B6761" s="0" t="s">
        <v>8881</v>
      </c>
      <c r="C6761" s="0" t="s">
        <v>8882</v>
      </c>
      <c r="D6761" s="0" t="s">
        <v>8882</v>
      </c>
      <c r="E6761" s="0" t="inlineStr">
        <is>
          <t xml:space="preserve">Mazda</t>
        </is>
      </c>
      <c r="F6761" s="0" t="s">
        <v>13</v>
      </c>
      <c r="G6761" s="0" t="s">
        <v>49</v>
      </c>
      <c r="H6761" s="5">
        <v>135.616700</v>
      </c>
    </row>
    <row r="6762" spans="1:9">
      <c r="A6762" s="22" t="str">
        <f>HYPERLINK("https://app.vivvix.com/360/KMI/IntelliDrive/ApplUI/Pages/CreativePages/CustomReportCreativeDetail.aspx?App=23&amp;ReportView=4&amp;Qid=1711279&amp;Row=6754&amp;Col=1","No Title Assigned - #15270112117")</f>
        <v/>
      </c>
      <c r="B6762" s="0" t="s">
        <v>8883</v>
      </c>
      <c r="C6762" s="0" t="s">
        <v>8884</v>
      </c>
      <c r="D6762" s="0" t="s">
        <v>8884</v>
      </c>
      <c r="E6762" s="0" t="inlineStr">
        <is>
          <t xml:space="preserve">Mazda</t>
        </is>
      </c>
      <c r="F6762" s="0" t="s">
        <v>13</v>
      </c>
      <c r="G6762" s="0" t="s">
        <v>49</v>
      </c>
      <c r="H6762" s="5">
        <v>860.891900</v>
      </c>
    </row>
    <row r="6763" spans="1:9">
      <c r="A6763" s="22" t="str">
        <f>HYPERLINK("https://app.vivvix.com/360/KMI/IntelliDrive/ApplUI/Pages/CreativePages/CustomReportCreativeDetail.aspx?App=23&amp;ReportView=4&amp;Qid=1711279&amp;Row=6755&amp;Col=1","No Title Assigned - #15270112473")</f>
        <v/>
      </c>
      <c r="B6763" s="0" t="s">
        <v>8885</v>
      </c>
      <c r="C6763" s="0" t="s">
        <v>8886</v>
      </c>
      <c r="D6763" s="0" t="s">
        <v>8886</v>
      </c>
      <c r="E6763" s="0" t="inlineStr">
        <is>
          <t xml:space="preserve">Mazda</t>
        </is>
      </c>
      <c r="F6763" s="0" t="s">
        <v>21</v>
      </c>
      <c r="G6763" s="0" t="s">
        <v>22</v>
      </c>
      <c r="H6763" s="5">
        <v>1299.878200</v>
      </c>
    </row>
    <row r="6764" spans="1:9">
      <c r="A6764" s="22" t="str">
        <f>HYPERLINK("https://app.vivvix.com/360/KMI/IntelliDrive/ApplUI/Pages/CreativePages/CustomReportCreativeDetail.aspx?App=23&amp;ReportView=4&amp;Qid=1711279&amp;Row=6756&amp;Col=1","No Title Assigned - #15270112603")</f>
        <v/>
      </c>
      <c r="B6764" s="0" t="s">
        <v>8887</v>
      </c>
      <c r="C6764" s="0" t="s">
        <v>8888</v>
      </c>
      <c r="D6764" s="0" t="s">
        <v>8888</v>
      </c>
      <c r="E6764" s="0" t="inlineStr">
        <is>
          <t xml:space="preserve">Mazda</t>
        </is>
      </c>
      <c r="F6764" s="0" t="s">
        <v>28</v>
      </c>
      <c r="G6764" s="0" t="s">
        <v>29</v>
      </c>
      <c r="H6764" s="5">
        <v>92.392500</v>
      </c>
    </row>
    <row r="6765" spans="1:9">
      <c r="A6765" s="22" t="str">
        <f>HYPERLINK("https://app.vivvix.com/360/KMI/IntelliDrive/ApplUI/Pages/CreativePages/CustomReportCreativeDetail.aspx?App=23&amp;ReportView=4&amp;Qid=1711279&amp;Row=6757&amp;Col=1","No Title Assigned - #15270113474")</f>
        <v/>
      </c>
      <c r="B6765" s="0" t="s">
        <v>8889</v>
      </c>
      <c r="C6765" s="0" t="s">
        <v>8890</v>
      </c>
      <c r="D6765" s="0" t="s">
        <v>4200</v>
      </c>
      <c r="E6765" s="0" t="inlineStr">
        <is>
          <t xml:space="preserve">Mazda</t>
        </is>
      </c>
      <c r="F6765" s="0" t="s">
        <v>28</v>
      </c>
      <c r="G6765" s="0" t="s">
        <v>29</v>
      </c>
      <c r="H6765" s="5">
        <v>27.189900</v>
      </c>
    </row>
    <row r="6766" spans="1:9">
      <c r="A6766" s="22" t="str">
        <f>HYPERLINK("https://app.vivvix.com/360/KMI/IntelliDrive/ApplUI/Pages/CreativePages/CustomReportCreativeDetail.aspx?App=23&amp;ReportView=4&amp;Qid=1711279&amp;Row=6758&amp;Col=1","No Title Assigned - #15270113932")</f>
        <v/>
      </c>
      <c r="B6766" s="0" t="s">
        <v>8891</v>
      </c>
      <c r="C6766" s="0" t="s">
        <v>8892</v>
      </c>
      <c r="D6766" s="0" t="s">
        <v>4333</v>
      </c>
      <c r="E6766" s="0" t="inlineStr">
        <is>
          <t xml:space="preserve">Mazda</t>
        </is>
      </c>
      <c r="F6766" s="0" t="s">
        <v>28</v>
      </c>
      <c r="G6766" s="0" t="s">
        <v>29</v>
      </c>
      <c r="H6766" s="5">
        <v>52.790100</v>
      </c>
    </row>
    <row r="6767" spans="1:9">
      <c r="A6767" s="22" t="str">
        <f>HYPERLINK("https://app.vivvix.com/360/KMI/IntelliDrive/ApplUI/Pages/CreativePages/CustomReportCreativeDetail.aspx?App=23&amp;ReportView=4&amp;Qid=1711279&amp;Row=6759&amp;Col=1","No Title Assigned - #15270114144")</f>
        <v/>
      </c>
      <c r="B6767" s="0" t="s">
        <v>8893</v>
      </c>
      <c r="C6767" s="0" t="s">
        <v>8894</v>
      </c>
      <c r="D6767" s="0" t="s">
        <v>8894</v>
      </c>
      <c r="E6767" s="0" t="inlineStr">
        <is>
          <t xml:space="preserve">Mazda</t>
        </is>
      </c>
      <c r="F6767" s="0" t="s">
        <v>13</v>
      </c>
      <c r="G6767" s="0" t="s">
        <v>49</v>
      </c>
      <c r="H6767" s="5">
        <v>334.130800</v>
      </c>
    </row>
    <row r="6768" spans="1:9">
      <c r="A6768" s="22" t="str">
        <f>HYPERLINK("https://app.vivvix.com/360/KMI/IntelliDrive/ApplUI/Pages/CreativePages/CustomReportCreativeDetail.aspx?App=23&amp;ReportView=4&amp;Qid=1711279&amp;Row=6760&amp;Col=1","No Title Assigned - #15270114455")</f>
        <v/>
      </c>
      <c r="B6768" s="0" t="s">
        <v>8895</v>
      </c>
      <c r="C6768" s="0" t="s">
        <v>8896</v>
      </c>
      <c r="D6768" s="0" t="s">
        <v>4225</v>
      </c>
      <c r="E6768" s="0" t="inlineStr">
        <is>
          <t xml:space="preserve">Mazda</t>
        </is>
      </c>
      <c r="F6768" s="0" t="s">
        <v>28</v>
      </c>
      <c r="G6768" s="0" t="s">
        <v>29</v>
      </c>
      <c r="H6768" s="5">
        <v>18.878000</v>
      </c>
    </row>
    <row r="6769" spans="1:9">
      <c r="A6769" s="22" t="str">
        <f>HYPERLINK("https://app.vivvix.com/360/KMI/IntelliDrive/ApplUI/Pages/CreativePages/CustomReportCreativeDetail.aspx?App=23&amp;ReportView=4&amp;Qid=1711279&amp;Row=6761&amp;Col=1","No Title Assigned - #15270114656")</f>
        <v/>
      </c>
      <c r="B6769" s="0" t="s">
        <v>8897</v>
      </c>
      <c r="C6769" s="0" t="s">
        <v>8898</v>
      </c>
      <c r="D6769" s="0" t="s">
        <v>8898</v>
      </c>
      <c r="E6769" s="0" t="inlineStr">
        <is>
          <t xml:space="preserve">Mazda</t>
        </is>
      </c>
      <c r="F6769" s="0" t="s">
        <v>13</v>
      </c>
      <c r="G6769" s="0" t="s">
        <v>49</v>
      </c>
      <c r="H6769" s="5">
        <v>6032.819400</v>
      </c>
    </row>
    <row r="6770" spans="1:9">
      <c r="A6770" s="22" t="str">
        <f>HYPERLINK("https://app.vivvix.com/360/KMI/IntelliDrive/ApplUI/Pages/CreativePages/CustomReportCreativeDetail.aspx?App=23&amp;ReportView=4&amp;Qid=1711279&amp;Row=6762&amp;Col=1","No Title Assigned - #15270114826")</f>
        <v/>
      </c>
      <c r="B6770" s="0" t="s">
        <v>8899</v>
      </c>
      <c r="C6770" s="0" t="s">
        <v>8900</v>
      </c>
      <c r="D6770" s="0" t="s">
        <v>8900</v>
      </c>
      <c r="E6770" s="0" t="inlineStr">
        <is>
          <t xml:space="preserve">Mazda</t>
        </is>
      </c>
      <c r="F6770" s="0" t="s">
        <v>13</v>
      </c>
      <c r="G6770" s="0" t="s">
        <v>49</v>
      </c>
      <c r="H6770" s="5">
        <v>933.266500</v>
      </c>
    </row>
    <row r="6771" spans="1:9">
      <c r="A6771" s="22" t="str">
        <f>HYPERLINK("https://app.vivvix.com/360/KMI/IntelliDrive/ApplUI/Pages/CreativePages/CustomReportCreativeDetail.aspx?App=23&amp;ReportView=4&amp;Qid=1711279&amp;Row=6763&amp;Col=1","No Title Assigned - #15270114826")</f>
        <v/>
      </c>
      <c r="B6771" s="0" t="s">
        <v>8899</v>
      </c>
      <c r="E6771" s="0" t="inlineStr">
        <is>
          <t xml:space="preserve">Mazda</t>
        </is>
      </c>
      <c r="F6771" s="0" t="s">
        <v>13</v>
      </c>
      <c r="G6771" s="0" t="s">
        <v>49</v>
      </c>
      <c r="H6771" s="5">
        <v>319.365600</v>
      </c>
    </row>
    <row r="6772" spans="1:9">
      <c r="A6772" s="22" t="str">
        <f>HYPERLINK("https://app.vivvix.com/360/KMI/IntelliDrive/ApplUI/Pages/CreativePages/CustomReportCreativeDetail.aspx?App=23&amp;ReportView=4&amp;Qid=1711279&amp;Row=6764&amp;Col=1","No Title Assigned - #15270114907")</f>
        <v/>
      </c>
      <c r="B6772" s="0" t="s">
        <v>8901</v>
      </c>
      <c r="C6772" s="0" t="s">
        <v>8902</v>
      </c>
      <c r="D6772" s="0" t="s">
        <v>8902</v>
      </c>
      <c r="E6772" s="0" t="inlineStr">
        <is>
          <t xml:space="preserve">Mazda</t>
        </is>
      </c>
      <c r="F6772" s="0" t="s">
        <v>13</v>
      </c>
      <c r="G6772" s="0" t="s">
        <v>49</v>
      </c>
      <c r="H6772" s="5">
        <v>1599.598500</v>
      </c>
    </row>
    <row r="6773" spans="1:9">
      <c r="A6773" s="22" t="str">
        <f>HYPERLINK("https://app.vivvix.com/360/KMI/IntelliDrive/ApplUI/Pages/CreativePages/CustomReportCreativeDetail.aspx?App=23&amp;ReportView=4&amp;Qid=1711279&amp;Row=6765&amp;Col=1","No Title Assigned - #15270115133")</f>
        <v/>
      </c>
      <c r="B6773" s="0" t="s">
        <v>8903</v>
      </c>
      <c r="C6773" s="0" t="s">
        <v>8904</v>
      </c>
      <c r="D6773" s="0" t="s">
        <v>8904</v>
      </c>
      <c r="E6773" s="0" t="inlineStr">
        <is>
          <t xml:space="preserve">Mazda</t>
        </is>
      </c>
      <c r="F6773" s="0" t="s">
        <v>13</v>
      </c>
      <c r="G6773" s="0" t="s">
        <v>49</v>
      </c>
      <c r="H6773" s="5">
        <v>2713.570000</v>
      </c>
    </row>
    <row r="6774" spans="1:9">
      <c r="A6774" s="22" t="str">
        <f>HYPERLINK("https://app.vivvix.com/360/KMI/IntelliDrive/ApplUI/Pages/CreativePages/CustomReportCreativeDetail.aspx?App=23&amp;ReportView=4&amp;Qid=1711279&amp;Row=6766&amp;Col=1","No Title Assigned - #15270115133")</f>
        <v/>
      </c>
      <c r="B6774" s="0" t="s">
        <v>8903</v>
      </c>
      <c r="E6774" s="0" t="inlineStr">
        <is>
          <t xml:space="preserve">Mazda</t>
        </is>
      </c>
      <c r="F6774" s="0" t="s">
        <v>13</v>
      </c>
      <c r="G6774" s="0" t="s">
        <v>49</v>
      </c>
      <c r="H6774" s="5">
        <v>3002.838900</v>
      </c>
    </row>
    <row r="6775" spans="1:9">
      <c r="A6775" s="22" t="str">
        <f>HYPERLINK("https://app.vivvix.com/360/KMI/IntelliDrive/ApplUI/Pages/CreativePages/CustomReportCreativeDetail.aspx?App=23&amp;ReportView=4&amp;Qid=1711279&amp;Row=6767&amp;Col=1","No Title Assigned - #15270115302")</f>
        <v/>
      </c>
      <c r="B6775" s="0" t="s">
        <v>8905</v>
      </c>
      <c r="C6775" s="0" t="s">
        <v>8906</v>
      </c>
      <c r="D6775" s="0" t="s">
        <v>8906</v>
      </c>
      <c r="E6775" s="0" t="inlineStr">
        <is>
          <t xml:space="preserve">Mazda</t>
        </is>
      </c>
      <c r="F6775" s="0" t="s">
        <v>13</v>
      </c>
      <c r="G6775" s="0" t="s">
        <v>49</v>
      </c>
      <c r="H6775" s="5">
        <v>66996.593800</v>
      </c>
    </row>
    <row r="6776" spans="1:9">
      <c r="A6776" s="22" t="str">
        <f>HYPERLINK("https://app.vivvix.com/360/KMI/IntelliDrive/ApplUI/Pages/CreativePages/CustomReportCreativeDetail.aspx?App=23&amp;ReportView=4&amp;Qid=1711279&amp;Row=6768&amp;Col=1","No Title Assigned - #15270115405")</f>
        <v/>
      </c>
      <c r="B6776" s="0" t="s">
        <v>8907</v>
      </c>
      <c r="C6776" s="0" t="s">
        <v>8908</v>
      </c>
      <c r="D6776" s="0" t="s">
        <v>8908</v>
      </c>
      <c r="E6776" s="0" t="inlineStr">
        <is>
          <t xml:space="preserve">Mazda</t>
        </is>
      </c>
      <c r="F6776" s="0" t="s">
        <v>28</v>
      </c>
      <c r="G6776" s="0" t="s">
        <v>29</v>
      </c>
      <c r="H6776" s="5">
        <v>15.850100</v>
      </c>
    </row>
    <row r="6777" spans="1:9">
      <c r="A6777" s="22" t="str">
        <f>HYPERLINK("https://app.vivvix.com/360/KMI/IntelliDrive/ApplUI/Pages/CreativePages/CustomReportCreativeDetail.aspx?App=23&amp;ReportView=4&amp;Qid=1711279&amp;Row=6769&amp;Col=1","No Title Assigned - #15270115529")</f>
        <v/>
      </c>
      <c r="B6777" s="0" t="s">
        <v>8909</v>
      </c>
      <c r="C6777" s="0" t="s">
        <v>8910</v>
      </c>
      <c r="D6777" s="0" t="s">
        <v>4200</v>
      </c>
      <c r="E6777" s="0" t="inlineStr">
        <is>
          <t xml:space="preserve">Mazda</t>
        </is>
      </c>
      <c r="F6777" s="0" t="s">
        <v>28</v>
      </c>
      <c r="G6777" s="0" t="s">
        <v>29</v>
      </c>
      <c r="H6777" s="5">
        <v>540.175400</v>
      </c>
    </row>
    <row r="6778" spans="1:9">
      <c r="A6778" s="22" t="str">
        <f>HYPERLINK("https://app.vivvix.com/360/KMI/IntelliDrive/ApplUI/Pages/CreativePages/CustomReportCreativeDetail.aspx?App=23&amp;ReportView=4&amp;Qid=1711279&amp;Row=6770&amp;Col=1","No Title Assigned - #15270115616")</f>
        <v/>
      </c>
      <c r="B6778" s="0" t="s">
        <v>8911</v>
      </c>
      <c r="C6778" s="0" t="s">
        <v>8912</v>
      </c>
      <c r="D6778" s="0" t="s">
        <v>8912</v>
      </c>
      <c r="E6778" s="0" t="inlineStr">
        <is>
          <t xml:space="preserve">Mazda</t>
        </is>
      </c>
      <c r="F6778" s="0" t="s">
        <v>13</v>
      </c>
      <c r="G6778" s="0" t="s">
        <v>49</v>
      </c>
      <c r="H6778" s="5">
        <v>552.989500</v>
      </c>
    </row>
    <row r="6779" spans="1:9">
      <c r="A6779" s="22" t="str">
        <f>HYPERLINK("https://app.vivvix.com/360/KMI/IntelliDrive/ApplUI/Pages/CreativePages/CustomReportCreativeDetail.aspx?App=23&amp;ReportView=4&amp;Qid=1711279&amp;Row=6771&amp;Col=1","No Title Assigned - #15270115616")</f>
        <v/>
      </c>
      <c r="B6779" s="0" t="s">
        <v>8911</v>
      </c>
      <c r="E6779" s="0" t="inlineStr">
        <is>
          <t xml:space="preserve">Mazda</t>
        </is>
      </c>
      <c r="F6779" s="0" t="s">
        <v>13</v>
      </c>
      <c r="G6779" s="0" t="s">
        <v>49</v>
      </c>
      <c r="H6779" s="5">
        <v>1563.186900</v>
      </c>
    </row>
    <row r="6780" spans="1:9">
      <c r="A6780" s="22" t="str">
        <f>HYPERLINK("https://app.vivvix.com/360/KMI/IntelliDrive/ApplUI/Pages/CreativePages/CustomReportCreativeDetail.aspx?App=23&amp;ReportView=4&amp;Qid=1711279&amp;Row=6772&amp;Col=1","No Title Assigned - #15270115667")</f>
        <v/>
      </c>
      <c r="B6780" s="0" t="s">
        <v>8913</v>
      </c>
      <c r="C6780" s="0" t="s">
        <v>8914</v>
      </c>
      <c r="D6780" s="0" t="s">
        <v>8914</v>
      </c>
      <c r="E6780" s="0" t="inlineStr">
        <is>
          <t xml:space="preserve">Mazda</t>
        </is>
      </c>
      <c r="F6780" s="0" t="s">
        <v>13</v>
      </c>
      <c r="G6780" s="0" t="s">
        <v>49</v>
      </c>
      <c r="H6780" s="5">
        <v>536.024400</v>
      </c>
    </row>
    <row r="6781" spans="1:9">
      <c r="A6781" s="22" t="str">
        <f>HYPERLINK("https://app.vivvix.com/360/KMI/IntelliDrive/ApplUI/Pages/CreativePages/CustomReportCreativeDetail.aspx?App=23&amp;ReportView=4&amp;Qid=1711279&amp;Row=6773&amp;Col=1","No Title Assigned - #15270115720")</f>
        <v/>
      </c>
      <c r="B6781" s="0" t="s">
        <v>8915</v>
      </c>
      <c r="C6781" s="0" t="s">
        <v>8916</v>
      </c>
      <c r="D6781" s="0" t="s">
        <v>8916</v>
      </c>
      <c r="E6781" s="0" t="inlineStr">
        <is>
          <t xml:space="preserve">Mazda</t>
        </is>
      </c>
      <c r="F6781" s="0" t="s">
        <v>28</v>
      </c>
      <c r="G6781" s="0" t="s">
        <v>29</v>
      </c>
      <c r="H6781" s="5">
        <v>908.702600</v>
      </c>
    </row>
    <row r="6782" spans="1:9">
      <c r="A6782" s="22" t="str">
        <f>HYPERLINK("https://app.vivvix.com/360/KMI/IntelliDrive/ApplUI/Pages/CreativePages/CustomReportCreativeDetail.aspx?App=23&amp;ReportView=4&amp;Qid=1711279&amp;Row=6774&amp;Col=1","No Title Assigned - #15270115839")</f>
        <v/>
      </c>
      <c r="B6782" s="0" t="s">
        <v>8917</v>
      </c>
      <c r="C6782" s="0" t="s">
        <v>8918</v>
      </c>
      <c r="D6782" s="0" t="s">
        <v>4225</v>
      </c>
      <c r="E6782" s="0" t="inlineStr">
        <is>
          <t xml:space="preserve">Mazda</t>
        </is>
      </c>
      <c r="F6782" s="0" t="s">
        <v>28</v>
      </c>
      <c r="G6782" s="0" t="s">
        <v>29</v>
      </c>
      <c r="H6782" s="5">
        <v>35.158400</v>
      </c>
    </row>
    <row r="6783" spans="1:9">
      <c r="A6783" s="22" t="str">
        <f>HYPERLINK("https://app.vivvix.com/360/KMI/IntelliDrive/ApplUI/Pages/CreativePages/CustomReportCreativeDetail.aspx?App=23&amp;ReportView=4&amp;Qid=1711279&amp;Row=6775&amp;Col=1","No Title Assigned - #15270115981")</f>
        <v/>
      </c>
      <c r="B6783" s="0" t="s">
        <v>8919</v>
      </c>
      <c r="C6783" s="0" t="s">
        <v>8920</v>
      </c>
      <c r="D6783" s="0" t="s">
        <v>8920</v>
      </c>
      <c r="E6783" s="0" t="inlineStr">
        <is>
          <t xml:space="preserve">Mazda</t>
        </is>
      </c>
      <c r="F6783" s="0" t="s">
        <v>13</v>
      </c>
      <c r="G6783" s="0" t="s">
        <v>49</v>
      </c>
      <c r="H6783" s="5">
        <v>62.807400</v>
      </c>
    </row>
    <row r="6784" spans="1:9">
      <c r="A6784" s="22" t="str">
        <f>HYPERLINK("https://app.vivvix.com/360/KMI/IntelliDrive/ApplUI/Pages/CreativePages/CustomReportCreativeDetail.aspx?App=23&amp;ReportView=4&amp;Qid=1711279&amp;Row=6776&amp;Col=1","No Title Assigned - #15270115985")</f>
        <v/>
      </c>
      <c r="B6784" s="0" t="s">
        <v>8921</v>
      </c>
      <c r="C6784" s="0" t="s">
        <v>8922</v>
      </c>
      <c r="D6784" s="0" t="s">
        <v>8922</v>
      </c>
      <c r="E6784" s="0" t="inlineStr">
        <is>
          <t xml:space="preserve">Mazda</t>
        </is>
      </c>
      <c r="F6784" s="0" t="s">
        <v>13</v>
      </c>
      <c r="G6784" s="0" t="s">
        <v>49</v>
      </c>
      <c r="H6784" s="5">
        <v>147.347600</v>
      </c>
    </row>
    <row r="6785" spans="1:9">
      <c r="A6785" s="22" t="str">
        <f>HYPERLINK("https://app.vivvix.com/360/KMI/IntelliDrive/ApplUI/Pages/CreativePages/CustomReportCreativeDetail.aspx?App=23&amp;ReportView=4&amp;Qid=1711279&amp;Row=6777&amp;Col=1","No Title Assigned - #15270116079")</f>
        <v/>
      </c>
      <c r="B6785" s="0" t="s">
        <v>8923</v>
      </c>
      <c r="C6785" s="0" t="s">
        <v>8924</v>
      </c>
      <c r="D6785" s="0" t="s">
        <v>8924</v>
      </c>
      <c r="E6785" s="0" t="inlineStr">
        <is>
          <t xml:space="preserve">Mazda</t>
        </is>
      </c>
      <c r="F6785" s="0" t="s">
        <v>28</v>
      </c>
      <c r="G6785" s="0" t="s">
        <v>29</v>
      </c>
      <c r="H6785" s="5">
        <v>149.697300</v>
      </c>
    </row>
    <row r="6786" spans="1:9">
      <c r="A6786" s="22" t="str">
        <f>HYPERLINK("https://app.vivvix.com/360/KMI/IntelliDrive/ApplUI/Pages/CreativePages/CustomReportCreativeDetail.aspx?App=23&amp;ReportView=4&amp;Qid=1711279&amp;Row=6778&amp;Col=1","No Title Assigned - #15270116086")</f>
        <v/>
      </c>
      <c r="B6786" s="0" t="s">
        <v>8925</v>
      </c>
      <c r="C6786" s="0" t="s">
        <v>8926</v>
      </c>
      <c r="D6786" s="0" t="s">
        <v>8926</v>
      </c>
      <c r="E6786" s="0" t="inlineStr">
        <is>
          <t xml:space="preserve">Mazda</t>
        </is>
      </c>
      <c r="F6786" s="0" t="s">
        <v>28</v>
      </c>
      <c r="G6786" s="0" t="s">
        <v>29</v>
      </c>
      <c r="H6786" s="5">
        <v>10.074900</v>
      </c>
    </row>
    <row r="6787" spans="1:9">
      <c r="A6787" s="22" t="str">
        <f>HYPERLINK("https://app.vivvix.com/360/KMI/IntelliDrive/ApplUI/Pages/CreativePages/CustomReportCreativeDetail.aspx?App=23&amp;ReportView=4&amp;Qid=1711279&amp;Row=6779&amp;Col=1","No Title Assigned - #15270116130")</f>
        <v/>
      </c>
      <c r="B6787" s="0" t="s">
        <v>8927</v>
      </c>
      <c r="C6787" s="0" t="s">
        <v>8928</v>
      </c>
      <c r="D6787" s="0" t="s">
        <v>4204</v>
      </c>
      <c r="E6787" s="0" t="inlineStr">
        <is>
          <t xml:space="preserve">Mazda</t>
        </is>
      </c>
      <c r="F6787" s="0" t="s">
        <v>28</v>
      </c>
      <c r="G6787" s="0" t="s">
        <v>29</v>
      </c>
      <c r="H6787" s="5">
        <v>366.424000</v>
      </c>
    </row>
    <row r="6788" spans="1:9">
      <c r="A6788" s="22" t="str">
        <f>HYPERLINK("https://app.vivvix.com/360/KMI/IntelliDrive/ApplUI/Pages/CreativePages/CustomReportCreativeDetail.aspx?App=23&amp;ReportView=4&amp;Qid=1711279&amp;Row=6780&amp;Col=1","No Title Assigned - #15270116728")</f>
        <v/>
      </c>
      <c r="B6788" s="0" t="s">
        <v>8929</v>
      </c>
      <c r="C6788" s="0" t="s">
        <v>8930</v>
      </c>
      <c r="D6788" s="0" t="s">
        <v>8930</v>
      </c>
      <c r="E6788" s="0" t="inlineStr">
        <is>
          <t xml:space="preserve">Mazda</t>
        </is>
      </c>
      <c r="F6788" s="0" t="s">
        <v>13</v>
      </c>
      <c r="G6788" s="0" t="s">
        <v>49</v>
      </c>
      <c r="H6788" s="5">
        <v>788.644500</v>
      </c>
    </row>
    <row r="6789" spans="1:9">
      <c r="A6789" s="22" t="str">
        <f>HYPERLINK("https://app.vivvix.com/360/KMI/IntelliDrive/ApplUI/Pages/CreativePages/CustomReportCreativeDetail.aspx?App=23&amp;ReportView=4&amp;Qid=1711279&amp;Row=6781&amp;Col=1","No Title Assigned - #15270117270")</f>
        <v/>
      </c>
      <c r="B6789" s="0" t="s">
        <v>8931</v>
      </c>
      <c r="C6789" s="0" t="s">
        <v>8932</v>
      </c>
      <c r="D6789" s="0" t="s">
        <v>4335</v>
      </c>
      <c r="E6789" s="0" t="inlineStr">
        <is>
          <t xml:space="preserve">Mazda</t>
        </is>
      </c>
      <c r="F6789" s="0" t="s">
        <v>13</v>
      </c>
      <c r="G6789" s="0" t="s">
        <v>49</v>
      </c>
      <c r="H6789" s="5">
        <v>292.019600</v>
      </c>
    </row>
    <row r="6790" spans="1:9">
      <c r="A6790" s="22" t="str">
        <f>HYPERLINK("https://app.vivvix.com/360/KMI/IntelliDrive/ApplUI/Pages/CreativePages/CustomReportCreativeDetail.aspx?App=23&amp;ReportView=4&amp;Qid=1711279&amp;Row=6782&amp;Col=1","No Title Assigned - #15270117441")</f>
        <v/>
      </c>
      <c r="B6790" s="0" t="s">
        <v>8933</v>
      </c>
      <c r="C6790" s="0" t="s">
        <v>8934</v>
      </c>
      <c r="D6790" s="0" t="s">
        <v>4333</v>
      </c>
      <c r="E6790" s="0" t="inlineStr">
        <is>
          <t xml:space="preserve">Mazda</t>
        </is>
      </c>
      <c r="F6790" s="0" t="s">
        <v>28</v>
      </c>
      <c r="G6790" s="0" t="s">
        <v>29</v>
      </c>
      <c r="H6790" s="5">
        <v>193.580800</v>
      </c>
    </row>
    <row r="6791" spans="1:9">
      <c r="A6791" s="22" t="str">
        <f>HYPERLINK("https://app.vivvix.com/360/KMI/IntelliDrive/ApplUI/Pages/CreativePages/CustomReportCreativeDetail.aspx?App=23&amp;ReportView=4&amp;Qid=1711279&amp;Row=6783&amp;Col=1","No Title Assigned - #15270117508")</f>
        <v/>
      </c>
      <c r="B6791" s="0" t="s">
        <v>8935</v>
      </c>
      <c r="C6791" s="0" t="s">
        <v>8936</v>
      </c>
      <c r="D6791" s="0" t="s">
        <v>8936</v>
      </c>
      <c r="E6791" s="0" t="inlineStr">
        <is>
          <t xml:space="preserve">Mazda</t>
        </is>
      </c>
      <c r="F6791" s="0" t="s">
        <v>13</v>
      </c>
      <c r="G6791" s="0" t="s">
        <v>49</v>
      </c>
      <c r="H6791" s="5">
        <v>606.671000</v>
      </c>
    </row>
    <row r="6792" spans="1:9">
      <c r="A6792" s="22" t="str">
        <f>HYPERLINK("https://app.vivvix.com/360/KMI/IntelliDrive/ApplUI/Pages/CreativePages/CustomReportCreativeDetail.aspx?App=23&amp;ReportView=4&amp;Qid=1711279&amp;Row=6784&amp;Col=1","No Title Assigned - #15270117959")</f>
        <v/>
      </c>
      <c r="B6792" s="0" t="s">
        <v>8937</v>
      </c>
      <c r="C6792" s="0" t="s">
        <v>8938</v>
      </c>
      <c r="D6792" s="0" t="s">
        <v>8938</v>
      </c>
      <c r="E6792" s="0" t="inlineStr">
        <is>
          <t xml:space="preserve">Mazda</t>
        </is>
      </c>
      <c r="F6792" s="0" t="s">
        <v>13</v>
      </c>
      <c r="G6792" s="0" t="s">
        <v>49</v>
      </c>
      <c r="H6792" s="5">
        <v>803.798100</v>
      </c>
    </row>
    <row r="6793" spans="1:9">
      <c r="A6793" s="22" t="str">
        <f>HYPERLINK("https://app.vivvix.com/360/KMI/IntelliDrive/ApplUI/Pages/CreativePages/CustomReportCreativeDetail.aspx?App=23&amp;ReportView=4&amp;Qid=1711279&amp;Row=6785&amp;Col=1","No Title Assigned - #15270117960")</f>
        <v/>
      </c>
      <c r="B6793" s="0" t="s">
        <v>8939</v>
      </c>
      <c r="C6793" s="0" t="s">
        <v>8940</v>
      </c>
      <c r="D6793" s="0" t="s">
        <v>6238</v>
      </c>
      <c r="E6793" s="0" t="inlineStr">
        <is>
          <t xml:space="preserve">Mazda</t>
        </is>
      </c>
      <c r="F6793" s="0" t="s">
        <v>13</v>
      </c>
      <c r="G6793" s="0" t="s">
        <v>49</v>
      </c>
      <c r="H6793" s="5">
        <v>298.938800</v>
      </c>
    </row>
    <row r="6794" spans="1:9">
      <c r="A6794" s="22" t="str">
        <f>HYPERLINK("https://app.vivvix.com/360/KMI/IntelliDrive/ApplUI/Pages/CreativePages/CustomReportCreativeDetail.aspx?App=23&amp;ReportView=4&amp;Qid=1711279&amp;Row=6786&amp;Col=1","No Title Assigned - #15270118190")</f>
        <v/>
      </c>
      <c r="B6794" s="0" t="s">
        <v>8941</v>
      </c>
      <c r="C6794" s="0" t="s">
        <v>8942</v>
      </c>
      <c r="D6794" s="0" t="s">
        <v>8942</v>
      </c>
      <c r="E6794" s="0" t="inlineStr">
        <is>
          <t xml:space="preserve">Mazda</t>
        </is>
      </c>
      <c r="F6794" s="0" t="s">
        <v>13</v>
      </c>
      <c r="G6794" s="0" t="s">
        <v>49</v>
      </c>
      <c r="H6794" s="5">
        <v>669.015000</v>
      </c>
    </row>
    <row r="6795" spans="1:9">
      <c r="A6795" s="22" t="str">
        <f>HYPERLINK("https://app.vivvix.com/360/KMI/IntelliDrive/ApplUI/Pages/CreativePages/CustomReportCreativeDetail.aspx?App=23&amp;ReportView=4&amp;Qid=1711279&amp;Row=6787&amp;Col=1","No Title Assigned - #15270118265")</f>
        <v/>
      </c>
      <c r="B6795" s="0" t="s">
        <v>8943</v>
      </c>
      <c r="C6795" s="0" t="s">
        <v>8944</v>
      </c>
      <c r="D6795" s="0" t="s">
        <v>4274</v>
      </c>
      <c r="E6795" s="0" t="inlineStr">
        <is>
          <t xml:space="preserve">Mazda</t>
        </is>
      </c>
      <c r="F6795" s="0" t="s">
        <v>28</v>
      </c>
      <c r="G6795" s="0" t="s">
        <v>29</v>
      </c>
      <c r="H6795" s="5">
        <v>482.240400</v>
      </c>
    </row>
    <row r="6796" spans="1:9">
      <c r="A6796" s="22" t="str">
        <f>HYPERLINK("https://app.vivvix.com/360/KMI/IntelliDrive/ApplUI/Pages/CreativePages/CustomReportCreativeDetail.aspx?App=23&amp;ReportView=4&amp;Qid=1711279&amp;Row=6788&amp;Col=1","No Title Assigned - #15270118299")</f>
        <v/>
      </c>
      <c r="B6796" s="0" t="s">
        <v>8945</v>
      </c>
      <c r="C6796" s="0" t="s">
        <v>8946</v>
      </c>
      <c r="D6796" s="0" t="s">
        <v>8946</v>
      </c>
      <c r="E6796" s="0" t="inlineStr">
        <is>
          <t xml:space="preserve">Mazda</t>
        </is>
      </c>
      <c r="F6796" s="0" t="s">
        <v>28</v>
      </c>
      <c r="G6796" s="0" t="s">
        <v>29</v>
      </c>
      <c r="H6796" s="5">
        <v>65.498200</v>
      </c>
    </row>
    <row r="6797" spans="1:9">
      <c r="A6797" s="22" t="str">
        <f>HYPERLINK("https://app.vivvix.com/360/KMI/IntelliDrive/ApplUI/Pages/CreativePages/CustomReportCreativeDetail.aspx?App=23&amp;ReportView=4&amp;Qid=1711279&amp;Row=6789&amp;Col=1","No Title Assigned - #15270118620")</f>
        <v/>
      </c>
      <c r="B6797" s="0" t="s">
        <v>8947</v>
      </c>
      <c r="C6797" s="0" t="s">
        <v>8948</v>
      </c>
      <c r="D6797" s="0" t="s">
        <v>8948</v>
      </c>
      <c r="E6797" s="0" t="inlineStr">
        <is>
          <t xml:space="preserve">Mazda</t>
        </is>
      </c>
      <c r="F6797" s="0" t="s">
        <v>13</v>
      </c>
      <c r="G6797" s="0" t="s">
        <v>49</v>
      </c>
      <c r="H6797" s="5">
        <v>654.328700</v>
      </c>
    </row>
    <row r="6798" spans="1:9">
      <c r="A6798" s="22" t="str">
        <f>HYPERLINK("https://app.vivvix.com/360/KMI/IntelliDrive/ApplUI/Pages/CreativePages/CustomReportCreativeDetail.aspx?App=23&amp;ReportView=4&amp;Qid=1711279&amp;Row=6790&amp;Col=1","No Title Assigned - #15270119094")</f>
        <v/>
      </c>
      <c r="B6798" s="0" t="s">
        <v>8949</v>
      </c>
      <c r="C6798" s="0" t="s">
        <v>8950</v>
      </c>
      <c r="D6798" s="0" t="s">
        <v>8950</v>
      </c>
      <c r="E6798" s="0" t="inlineStr">
        <is>
          <t xml:space="preserve">Mazda</t>
        </is>
      </c>
      <c r="F6798" s="0" t="s">
        <v>13</v>
      </c>
      <c r="G6798" s="0" t="s">
        <v>49</v>
      </c>
      <c r="H6798" s="5">
        <v>3098.956800</v>
      </c>
    </row>
    <row r="6799" spans="1:9">
      <c r="A6799" s="22" t="str">
        <f>HYPERLINK("https://app.vivvix.com/360/KMI/IntelliDrive/ApplUI/Pages/CreativePages/CustomReportCreativeDetail.aspx?App=23&amp;ReportView=4&amp;Qid=1711279&amp;Row=6791&amp;Col=1","No Title Assigned - #15270119111")</f>
        <v/>
      </c>
      <c r="B6799" s="0" t="s">
        <v>8951</v>
      </c>
      <c r="C6799" s="0" t="s">
        <v>8952</v>
      </c>
      <c r="D6799" s="0" t="s">
        <v>8952</v>
      </c>
      <c r="E6799" s="0" t="inlineStr">
        <is>
          <t xml:space="preserve">Mazda</t>
        </is>
      </c>
      <c r="F6799" s="0" t="s">
        <v>13</v>
      </c>
      <c r="G6799" s="0" t="s">
        <v>49</v>
      </c>
      <c r="H6799" s="5">
        <v>143.656600</v>
      </c>
    </row>
    <row r="6800" spans="1:9">
      <c r="A6800" s="22" t="str">
        <f>HYPERLINK("https://app.vivvix.com/360/KMI/IntelliDrive/ApplUI/Pages/CreativePages/CustomReportCreativeDetail.aspx?App=23&amp;ReportView=4&amp;Qid=1711279&amp;Row=6792&amp;Col=1","No Title Assigned - #15270119228")</f>
        <v/>
      </c>
      <c r="B6800" s="0" t="s">
        <v>8953</v>
      </c>
      <c r="C6800" s="0" t="s">
        <v>8954</v>
      </c>
      <c r="D6800" s="0" t="s">
        <v>4335</v>
      </c>
      <c r="E6800" s="0" t="inlineStr">
        <is>
          <t xml:space="preserve">Mazda</t>
        </is>
      </c>
      <c r="F6800" s="0" t="s">
        <v>13</v>
      </c>
      <c r="G6800" s="0" t="s">
        <v>49</v>
      </c>
      <c r="H6800" s="5">
        <v>294.203300</v>
      </c>
    </row>
    <row r="6801" spans="1:9">
      <c r="A6801" s="22" t="str">
        <f>HYPERLINK("https://app.vivvix.com/360/KMI/IntelliDrive/ApplUI/Pages/CreativePages/CustomReportCreativeDetail.aspx?App=23&amp;ReportView=4&amp;Qid=1711279&amp;Row=6793&amp;Col=1","No Title Assigned - #15270119311")</f>
        <v/>
      </c>
      <c r="B6801" s="0" t="s">
        <v>8955</v>
      </c>
      <c r="C6801" s="0" t="s">
        <v>8956</v>
      </c>
      <c r="D6801" s="0" t="s">
        <v>8956</v>
      </c>
      <c r="E6801" s="0" t="inlineStr">
        <is>
          <t xml:space="preserve">Mazda</t>
        </is>
      </c>
      <c r="F6801" s="0" t="s">
        <v>13</v>
      </c>
      <c r="G6801" s="0" t="s">
        <v>49</v>
      </c>
      <c r="H6801" s="5">
        <v>1142.112300</v>
      </c>
    </row>
    <row r="6802" spans="1:9">
      <c r="A6802" s="22" t="str">
        <f>HYPERLINK("https://app.vivvix.com/360/KMI/IntelliDrive/ApplUI/Pages/CreativePages/CustomReportCreativeDetail.aspx?App=23&amp;ReportView=4&amp;Qid=1711279&amp;Row=6794&amp;Col=1","No Title Assigned - #15270119361")</f>
        <v/>
      </c>
      <c r="B6802" s="0" t="s">
        <v>8957</v>
      </c>
      <c r="C6802" s="0" t="s">
        <v>8958</v>
      </c>
      <c r="D6802" s="0" t="s">
        <v>6252</v>
      </c>
      <c r="E6802" s="0" t="inlineStr">
        <is>
          <t xml:space="preserve">Mazda</t>
        </is>
      </c>
      <c r="F6802" s="0" t="s">
        <v>13</v>
      </c>
      <c r="G6802" s="0" t="s">
        <v>49</v>
      </c>
      <c r="H6802" s="5">
        <v>123.561400</v>
      </c>
    </row>
    <row r="6803" spans="1:9">
      <c r="A6803" s="22" t="str">
        <f>HYPERLINK("https://app.vivvix.com/360/KMI/IntelliDrive/ApplUI/Pages/CreativePages/CustomReportCreativeDetail.aspx?App=23&amp;ReportView=4&amp;Qid=1711279&amp;Row=6795&amp;Col=1","No Title Assigned - #15270119635")</f>
        <v/>
      </c>
      <c r="B6803" s="0" t="s">
        <v>8959</v>
      </c>
      <c r="C6803" s="0" t="s">
        <v>8960</v>
      </c>
      <c r="D6803" s="0" t="s">
        <v>8960</v>
      </c>
      <c r="E6803" s="0" t="inlineStr">
        <is>
          <t xml:space="preserve">Mazda</t>
        </is>
      </c>
      <c r="F6803" s="0" t="s">
        <v>13</v>
      </c>
      <c r="G6803" s="0" t="s">
        <v>49</v>
      </c>
      <c r="H6803" s="5">
        <v>4017.132900</v>
      </c>
    </row>
    <row r="6804" spans="1:9">
      <c r="A6804" s="22" t="str">
        <f>HYPERLINK("https://app.vivvix.com/360/KMI/IntelliDrive/ApplUI/Pages/CreativePages/CustomReportCreativeDetail.aspx?App=23&amp;ReportView=4&amp;Qid=1711279&amp;Row=6796&amp;Col=1","No Title Assigned - #15270119791")</f>
        <v/>
      </c>
      <c r="B6804" s="0" t="s">
        <v>8961</v>
      </c>
      <c r="C6804" s="0" t="s">
        <v>8962</v>
      </c>
      <c r="D6804" s="0" t="s">
        <v>8962</v>
      </c>
      <c r="E6804" s="0" t="inlineStr">
        <is>
          <t xml:space="preserve">Mazda</t>
        </is>
      </c>
      <c r="F6804" s="0" t="s">
        <v>13</v>
      </c>
      <c r="G6804" s="0" t="s">
        <v>49</v>
      </c>
      <c r="H6804" s="5">
        <v>620.008600</v>
      </c>
    </row>
    <row r="6805" spans="1:9">
      <c r="A6805" s="22" t="str">
        <f>HYPERLINK("https://app.vivvix.com/360/KMI/IntelliDrive/ApplUI/Pages/CreativePages/CustomReportCreativeDetail.aspx?App=23&amp;ReportView=4&amp;Qid=1711279&amp;Row=6797&amp;Col=1","No Title Assigned - #15270119870")</f>
        <v/>
      </c>
      <c r="B6805" s="0" t="s">
        <v>8963</v>
      </c>
      <c r="C6805" s="0" t="s">
        <v>8964</v>
      </c>
      <c r="D6805" s="0" t="s">
        <v>8964</v>
      </c>
      <c r="E6805" s="0" t="inlineStr">
        <is>
          <t xml:space="preserve">Mazda</t>
        </is>
      </c>
      <c r="F6805" s="0" t="s">
        <v>13</v>
      </c>
      <c r="G6805" s="0" t="s">
        <v>49</v>
      </c>
      <c r="H6805" s="5">
        <v>88.319400</v>
      </c>
    </row>
    <row r="6806" spans="1:9">
      <c r="A6806" s="22" t="str">
        <f>HYPERLINK("https://app.vivvix.com/360/KMI/IntelliDrive/ApplUI/Pages/CreativePages/CustomReportCreativeDetail.aspx?App=23&amp;ReportView=4&amp;Qid=1711279&amp;Row=6798&amp;Col=1","No Title Assigned - #15270119972")</f>
        <v/>
      </c>
      <c r="B6806" s="0" t="s">
        <v>8965</v>
      </c>
      <c r="C6806" s="0" t="s">
        <v>8966</v>
      </c>
      <c r="D6806" s="0" t="s">
        <v>4202</v>
      </c>
      <c r="E6806" s="0" t="inlineStr">
        <is>
          <t xml:space="preserve">Mazda</t>
        </is>
      </c>
      <c r="F6806" s="0" t="s">
        <v>28</v>
      </c>
      <c r="G6806" s="0" t="s">
        <v>29</v>
      </c>
      <c r="H6806" s="5">
        <v>38.243200</v>
      </c>
    </row>
    <row r="6807" spans="1:9">
      <c r="A6807" s="22" t="str">
        <f>HYPERLINK("https://app.vivvix.com/360/KMI/IntelliDrive/ApplUI/Pages/CreativePages/CustomReportCreativeDetail.aspx?App=23&amp;ReportView=4&amp;Qid=1711279&amp;Row=6799&amp;Col=1","No Title Assigned - #15270120183")</f>
        <v/>
      </c>
      <c r="B6807" s="0" t="s">
        <v>8967</v>
      </c>
      <c r="C6807" s="0" t="s">
        <v>8968</v>
      </c>
      <c r="D6807" s="0" t="s">
        <v>8968</v>
      </c>
      <c r="E6807" s="0" t="inlineStr">
        <is>
          <t xml:space="preserve">Mazda</t>
        </is>
      </c>
      <c r="F6807" s="0" t="inlineStr">
        <is>
          <t xml:space="preserve">Mazda</t>
        </is>
      </c>
      <c r="G6807" s="0" t="s">
        <v>210</v>
      </c>
      <c r="H6807" s="5">
        <v>1680.877500</v>
      </c>
    </row>
    <row r="6808" spans="1:9">
      <c r="A6808" s="22" t="str">
        <f>HYPERLINK("https://app.vivvix.com/360/KMI/IntelliDrive/ApplUI/Pages/CreativePages/CustomReportCreativeDetail.aspx?App=23&amp;ReportView=4&amp;Qid=1711279&amp;Row=6800&amp;Col=1","No Title Assigned - #15270120317")</f>
        <v/>
      </c>
      <c r="B6808" s="0" t="s">
        <v>8969</v>
      </c>
      <c r="C6808" s="0" t="s">
        <v>8970</v>
      </c>
      <c r="D6808" s="0" t="s">
        <v>4202</v>
      </c>
      <c r="E6808" s="0" t="inlineStr">
        <is>
          <t xml:space="preserve">Mazda</t>
        </is>
      </c>
      <c r="F6808" s="0" t="s">
        <v>28</v>
      </c>
      <c r="G6808" s="0" t="s">
        <v>29</v>
      </c>
      <c r="H6808" s="5">
        <v>89.325400</v>
      </c>
    </row>
    <row r="6809" spans="1:9">
      <c r="A6809" s="22" t="str">
        <f>HYPERLINK("https://app.vivvix.com/360/KMI/IntelliDrive/ApplUI/Pages/CreativePages/CustomReportCreativeDetail.aspx?App=23&amp;ReportView=4&amp;Qid=1711279&amp;Row=6801&amp;Col=1","No Title Assigned - #15270120551")</f>
        <v/>
      </c>
      <c r="B6809" s="0" t="s">
        <v>8971</v>
      </c>
      <c r="C6809" s="0" t="s">
        <v>8972</v>
      </c>
      <c r="D6809" s="0" t="s">
        <v>8050</v>
      </c>
      <c r="E6809" s="0" t="inlineStr">
        <is>
          <t xml:space="preserve">Mazda</t>
        </is>
      </c>
      <c r="F6809" s="0" t="s">
        <v>28</v>
      </c>
      <c r="G6809" s="0" t="s">
        <v>29</v>
      </c>
      <c r="H6809" s="5">
        <v>216.186500</v>
      </c>
    </row>
    <row r="6810" spans="1:9">
      <c r="A6810" s="22" t="str">
        <f>HYPERLINK("https://app.vivvix.com/360/KMI/IntelliDrive/ApplUI/Pages/CreativePages/CustomReportCreativeDetail.aspx?App=23&amp;ReportView=4&amp;Qid=1711279&amp;Row=6802&amp;Col=1","No Title Assigned - #15270120684")</f>
        <v/>
      </c>
      <c r="B6810" s="0" t="s">
        <v>8973</v>
      </c>
      <c r="C6810" s="0" t="s">
        <v>8974</v>
      </c>
      <c r="D6810" s="0" t="s">
        <v>8974</v>
      </c>
      <c r="E6810" s="0" t="inlineStr">
        <is>
          <t xml:space="preserve">Mazda</t>
        </is>
      </c>
      <c r="F6810" s="0" t="s">
        <v>13</v>
      </c>
      <c r="G6810" s="0" t="s">
        <v>49</v>
      </c>
      <c r="H6810" s="5">
        <v>1422.294600</v>
      </c>
    </row>
    <row r="6811" spans="1:9">
      <c r="A6811" s="22" t="str">
        <f>HYPERLINK("https://app.vivvix.com/360/KMI/IntelliDrive/ApplUI/Pages/CreativePages/CustomReportCreativeDetail.aspx?App=23&amp;ReportView=4&amp;Qid=1711279&amp;Row=6803&amp;Col=1","No Title Assigned - #15270120810")</f>
        <v/>
      </c>
      <c r="B6811" s="0" t="s">
        <v>8975</v>
      </c>
      <c r="E6811" s="0" t="inlineStr">
        <is>
          <t xml:space="preserve">Mazda</t>
        </is>
      </c>
      <c r="F6811" s="0" t="s">
        <v>28</v>
      </c>
      <c r="G6811" s="0" t="s">
        <v>29</v>
      </c>
      <c r="H6811" s="5">
        <v>52.048500</v>
      </c>
    </row>
    <row r="6812" spans="1:9">
      <c r="A6812" s="22" t="str">
        <f>HYPERLINK("https://app.vivvix.com/360/KMI/IntelliDrive/ApplUI/Pages/CreativePages/CustomReportCreativeDetail.aspx?App=23&amp;ReportView=4&amp;Qid=1711279&amp;Row=6804&amp;Col=1","No Title Assigned - #15270120844")</f>
        <v/>
      </c>
      <c r="B6812" s="0" t="s">
        <v>8976</v>
      </c>
      <c r="E6812" s="0" t="inlineStr">
        <is>
          <t xml:space="preserve">Mazda</t>
        </is>
      </c>
      <c r="F6812" s="0" t="s">
        <v>28</v>
      </c>
      <c r="G6812" s="0" t="s">
        <v>29</v>
      </c>
      <c r="H6812" s="5">
        <v>717.059600</v>
      </c>
    </row>
    <row r="6813" spans="1:9">
      <c r="A6813" s="22" t="str">
        <f>HYPERLINK("https://app.vivvix.com/360/KMI/IntelliDrive/ApplUI/Pages/CreativePages/CustomReportCreativeDetail.aspx?App=23&amp;ReportView=4&amp;Qid=1711279&amp;Row=6805&amp;Col=1","No Title Assigned - #15270120844")</f>
        <v/>
      </c>
      <c r="B6813" s="0" t="s">
        <v>8976</v>
      </c>
      <c r="C6813" s="0" t="s">
        <v>8977</v>
      </c>
      <c r="D6813" s="0" t="s">
        <v>8977</v>
      </c>
      <c r="E6813" s="0" t="inlineStr">
        <is>
          <t xml:space="preserve">Mazda</t>
        </is>
      </c>
      <c r="F6813" s="0" t="s">
        <v>28</v>
      </c>
      <c r="G6813" s="0" t="s">
        <v>29</v>
      </c>
      <c r="H6813" s="5">
        <v>718.366800</v>
      </c>
    </row>
    <row r="6814" spans="1:9">
      <c r="A6814" s="22" t="str">
        <f>HYPERLINK("https://app.vivvix.com/360/KMI/IntelliDrive/ApplUI/Pages/CreativePages/CustomReportCreativeDetail.aspx?App=23&amp;ReportView=4&amp;Qid=1711279&amp;Row=6806&amp;Col=1","No Title Assigned - #15270121146")</f>
        <v/>
      </c>
      <c r="B6814" s="0" t="s">
        <v>8978</v>
      </c>
      <c r="E6814" s="0" t="inlineStr">
        <is>
          <t xml:space="preserve">Mazda</t>
        </is>
      </c>
      <c r="F6814" s="0" t="inlineStr">
        <is>
          <t xml:space="preserve">Mazda</t>
        </is>
      </c>
      <c r="G6814" s="0" t="s">
        <v>171</v>
      </c>
      <c r="H6814" s="5">
        <v>687.164300</v>
      </c>
    </row>
    <row r="6815" spans="1:9">
      <c r="A6815" s="22" t="str">
        <f>HYPERLINK("https://app.vivvix.com/360/KMI/IntelliDrive/ApplUI/Pages/CreativePages/CustomReportCreativeDetail.aspx?App=23&amp;ReportView=4&amp;Qid=1711279&amp;Row=6807&amp;Col=1","No Title Assigned - #15270121196")</f>
        <v/>
      </c>
      <c r="B6815" s="0" t="s">
        <v>8979</v>
      </c>
      <c r="C6815" s="0" t="s">
        <v>8980</v>
      </c>
      <c r="D6815" s="0" t="s">
        <v>6929</v>
      </c>
      <c r="E6815" s="0" t="inlineStr">
        <is>
          <t xml:space="preserve">Mazda</t>
        </is>
      </c>
      <c r="F6815" s="0" t="s">
        <v>28</v>
      </c>
      <c r="G6815" s="0" t="s">
        <v>29</v>
      </c>
      <c r="H6815" s="5">
        <v>71.012400</v>
      </c>
    </row>
    <row r="6816" spans="1:9">
      <c r="A6816" s="22" t="str">
        <f>HYPERLINK("https://app.vivvix.com/360/KMI/IntelliDrive/ApplUI/Pages/CreativePages/CustomReportCreativeDetail.aspx?App=23&amp;ReportView=4&amp;Qid=1711279&amp;Row=6808&amp;Col=1","No Title Assigned - #15270121401")</f>
        <v/>
      </c>
      <c r="B6816" s="0" t="s">
        <v>8981</v>
      </c>
      <c r="C6816" s="0" t="s">
        <v>8982</v>
      </c>
      <c r="D6816" s="0" t="s">
        <v>8982</v>
      </c>
      <c r="E6816" s="0" t="inlineStr">
        <is>
          <t xml:space="preserve">Mazda</t>
        </is>
      </c>
      <c r="F6816" s="0" t="s">
        <v>13</v>
      </c>
      <c r="G6816" s="0" t="s">
        <v>49</v>
      </c>
      <c r="H6816" s="5">
        <v>3655.514400</v>
      </c>
    </row>
    <row r="6817" spans="1:9">
      <c r="A6817" s="22" t="str">
        <f>HYPERLINK("https://app.vivvix.com/360/KMI/IntelliDrive/ApplUI/Pages/CreativePages/CustomReportCreativeDetail.aspx?App=23&amp;ReportView=4&amp;Qid=1711279&amp;Row=6809&amp;Col=1","No Title Assigned - #15270121438")</f>
        <v/>
      </c>
      <c r="B6817" s="0" t="s">
        <v>8983</v>
      </c>
      <c r="C6817" s="0" t="s">
        <v>8984</v>
      </c>
      <c r="D6817" s="0" t="s">
        <v>6681</v>
      </c>
      <c r="E6817" s="0" t="inlineStr">
        <is>
          <t xml:space="preserve">Mazda</t>
        </is>
      </c>
      <c r="F6817" s="0" t="s">
        <v>28</v>
      </c>
      <c r="G6817" s="0" t="s">
        <v>29</v>
      </c>
      <c r="H6817" s="5">
        <v>32.163300</v>
      </c>
    </row>
    <row r="6818" spans="1:9">
      <c r="A6818" s="22" t="str">
        <f>HYPERLINK("https://app.vivvix.com/360/KMI/IntelliDrive/ApplUI/Pages/CreativePages/CustomReportCreativeDetail.aspx?App=23&amp;ReportView=4&amp;Qid=1711279&amp;Row=6810&amp;Col=1","No Title Assigned - #15270121684")</f>
        <v/>
      </c>
      <c r="B6818" s="0" t="s">
        <v>8985</v>
      </c>
      <c r="C6818" s="0" t="s">
        <v>8986</v>
      </c>
      <c r="D6818" s="0" t="s">
        <v>8986</v>
      </c>
      <c r="E6818" s="0" t="inlineStr">
        <is>
          <t xml:space="preserve">Mazda</t>
        </is>
      </c>
      <c r="F6818" s="0" t="s">
        <v>28</v>
      </c>
      <c r="G6818" s="0" t="s">
        <v>29</v>
      </c>
      <c r="H6818" s="5">
        <v>756.779100</v>
      </c>
    </row>
    <row r="6819" spans="1:9">
      <c r="A6819" s="22" t="str">
        <f>HYPERLINK("https://app.vivvix.com/360/KMI/IntelliDrive/ApplUI/Pages/CreativePages/CustomReportCreativeDetail.aspx?App=23&amp;ReportView=4&amp;Qid=1711279&amp;Row=6811&amp;Col=1","No Title Assigned - #15270121789")</f>
        <v/>
      </c>
      <c r="B6819" s="0" t="s">
        <v>8987</v>
      </c>
      <c r="C6819" s="0" t="s">
        <v>8988</v>
      </c>
      <c r="D6819" s="0" t="s">
        <v>8602</v>
      </c>
      <c r="E6819" s="0" t="inlineStr">
        <is>
          <t xml:space="preserve">Mazda</t>
        </is>
      </c>
      <c r="F6819" s="0" t="s">
        <v>28</v>
      </c>
      <c r="G6819" s="0" t="s">
        <v>29</v>
      </c>
      <c r="H6819" s="5">
        <v>39.300900</v>
      </c>
    </row>
    <row r="6820" spans="1:9">
      <c r="A6820" s="22" t="str">
        <f>HYPERLINK("https://app.vivvix.com/360/KMI/IntelliDrive/ApplUI/Pages/CreativePages/CustomReportCreativeDetail.aspx?App=23&amp;ReportView=4&amp;Qid=1711279&amp;Row=6812&amp;Col=1","No Title Assigned - #15270122007")</f>
        <v/>
      </c>
      <c r="B6820" s="0" t="s">
        <v>8989</v>
      </c>
      <c r="C6820" s="0" t="s">
        <v>8990</v>
      </c>
      <c r="D6820" s="0" t="s">
        <v>8588</v>
      </c>
      <c r="E6820" s="0" t="inlineStr">
        <is>
          <t xml:space="preserve">Mazda</t>
        </is>
      </c>
      <c r="F6820" s="0" t="s">
        <v>13</v>
      </c>
      <c r="G6820" s="0" t="s">
        <v>49</v>
      </c>
      <c r="H6820" s="5">
        <v>1919.789200</v>
      </c>
    </row>
    <row r="6821" spans="1:9">
      <c r="A6821" s="22" t="str">
        <f>HYPERLINK("https://app.vivvix.com/360/KMI/IntelliDrive/ApplUI/Pages/CreativePages/CustomReportCreativeDetail.aspx?App=23&amp;ReportView=4&amp;Qid=1711279&amp;Row=6813&amp;Col=1","No Title Assigned - #15270122283")</f>
        <v/>
      </c>
      <c r="B6821" s="0" t="s">
        <v>8991</v>
      </c>
      <c r="C6821" s="0" t="s">
        <v>8992</v>
      </c>
      <c r="D6821" s="0" t="s">
        <v>8992</v>
      </c>
      <c r="E6821" s="0" t="inlineStr">
        <is>
          <t xml:space="preserve">Mazda</t>
        </is>
      </c>
      <c r="F6821" s="0" t="s">
        <v>13</v>
      </c>
      <c r="G6821" s="0" t="s">
        <v>49</v>
      </c>
      <c r="H6821" s="5">
        <v>186.602500</v>
      </c>
    </row>
    <row r="6822" spans="1:9">
      <c r="A6822" s="22" t="str">
        <f>HYPERLINK("https://app.vivvix.com/360/KMI/IntelliDrive/ApplUI/Pages/CreativePages/CustomReportCreativeDetail.aspx?App=23&amp;ReportView=4&amp;Qid=1711279&amp;Row=6814&amp;Col=1","No Title Assigned - #15270122284")</f>
        <v/>
      </c>
      <c r="B6822" s="0" t="s">
        <v>8993</v>
      </c>
      <c r="C6822" s="0" t="s">
        <v>8994</v>
      </c>
      <c r="D6822" s="0" t="s">
        <v>8994</v>
      </c>
      <c r="E6822" s="0" t="inlineStr">
        <is>
          <t xml:space="preserve">Mazda</t>
        </is>
      </c>
      <c r="F6822" s="0" t="s">
        <v>28</v>
      </c>
      <c r="G6822" s="0" t="s">
        <v>29</v>
      </c>
      <c r="H6822" s="5">
        <v>53.795800</v>
      </c>
    </row>
    <row r="6823" spans="1:9">
      <c r="A6823" s="22" t="str">
        <f>HYPERLINK("https://app.vivvix.com/360/KMI/IntelliDrive/ApplUI/Pages/CreativePages/CustomReportCreativeDetail.aspx?App=23&amp;ReportView=4&amp;Qid=1711279&amp;Row=6815&amp;Col=1","No Title Assigned - #15270122355")</f>
        <v/>
      </c>
      <c r="B6823" s="0" t="s">
        <v>8995</v>
      </c>
      <c r="C6823" s="0" t="s">
        <v>8996</v>
      </c>
      <c r="D6823" s="0" t="s">
        <v>8996</v>
      </c>
      <c r="E6823" s="0" t="inlineStr">
        <is>
          <t xml:space="preserve">Mazda</t>
        </is>
      </c>
      <c r="F6823" s="0" t="s">
        <v>13</v>
      </c>
      <c r="G6823" s="0" t="s">
        <v>49</v>
      </c>
      <c r="H6823" s="5">
        <v>104.263200</v>
      </c>
    </row>
    <row r="6824" spans="1:9">
      <c r="A6824" s="22" t="str">
        <f>HYPERLINK("https://app.vivvix.com/360/KMI/IntelliDrive/ApplUI/Pages/CreativePages/CustomReportCreativeDetail.aspx?App=23&amp;ReportView=4&amp;Qid=1711279&amp;Row=6816&amp;Col=1","No Title Assigned - #15270122360")</f>
        <v/>
      </c>
      <c r="B6824" s="0" t="s">
        <v>8997</v>
      </c>
      <c r="E6824" s="0" t="inlineStr">
        <is>
          <t xml:space="preserve">Mazda</t>
        </is>
      </c>
      <c r="F6824" s="0" t="inlineStr">
        <is>
          <t xml:space="preserve">Mazda</t>
        </is>
      </c>
      <c r="G6824" s="0" t="s">
        <v>210</v>
      </c>
      <c r="H6824" s="5">
        <v>817.179300</v>
      </c>
    </row>
    <row r="6825" spans="1:9">
      <c r="A6825" s="22" t="str">
        <f>HYPERLINK("https://app.vivvix.com/360/KMI/IntelliDrive/ApplUI/Pages/CreativePages/CustomReportCreativeDetail.aspx?App=23&amp;ReportView=4&amp;Qid=1711279&amp;Row=6817&amp;Col=1","No Title Assigned - #15270122360")</f>
        <v/>
      </c>
      <c r="B6825" s="0" t="s">
        <v>8997</v>
      </c>
      <c r="C6825" s="0" t="s">
        <v>8998</v>
      </c>
      <c r="D6825" s="0" t="s">
        <v>8998</v>
      </c>
      <c r="E6825" s="0" t="inlineStr">
        <is>
          <t xml:space="preserve">Mazda</t>
        </is>
      </c>
      <c r="F6825" s="0" t="inlineStr">
        <is>
          <t xml:space="preserve">Mazda</t>
        </is>
      </c>
      <c r="G6825" s="0" t="s">
        <v>210</v>
      </c>
      <c r="H6825" s="5">
        <v>411.512200</v>
      </c>
    </row>
    <row r="6826" spans="1:9">
      <c r="A6826" s="22" t="str">
        <f>HYPERLINK("https://app.vivvix.com/360/KMI/IntelliDrive/ApplUI/Pages/CreativePages/CustomReportCreativeDetail.aspx?App=23&amp;ReportView=4&amp;Qid=1711279&amp;Row=6818&amp;Col=1","No Title Assigned - #15270122375")</f>
        <v/>
      </c>
      <c r="B6826" s="0" t="s">
        <v>8999</v>
      </c>
      <c r="C6826" s="0" t="s">
        <v>9000</v>
      </c>
      <c r="D6826" s="0" t="s">
        <v>9000</v>
      </c>
      <c r="E6826" s="0" t="inlineStr">
        <is>
          <t xml:space="preserve">Mazda</t>
        </is>
      </c>
      <c r="F6826" s="0" t="s">
        <v>28</v>
      </c>
      <c r="G6826" s="0" t="s">
        <v>29</v>
      </c>
      <c r="H6826" s="5">
        <v>28.054400</v>
      </c>
    </row>
    <row r="6827" spans="1:9">
      <c r="A6827" s="22" t="str">
        <f>HYPERLINK("https://app.vivvix.com/360/KMI/IntelliDrive/ApplUI/Pages/CreativePages/CustomReportCreativeDetail.aspx?App=23&amp;ReportView=4&amp;Qid=1711279&amp;Row=6819&amp;Col=1","No Title Assigned - #15270122408")</f>
        <v/>
      </c>
      <c r="B6827" s="0" t="s">
        <v>9001</v>
      </c>
      <c r="C6827" s="0" t="s">
        <v>9002</v>
      </c>
      <c r="D6827" s="0" t="s">
        <v>9002</v>
      </c>
      <c r="E6827" s="0" t="inlineStr">
        <is>
          <t xml:space="preserve">Mazda</t>
        </is>
      </c>
      <c r="F6827" s="0" t="s">
        <v>13</v>
      </c>
      <c r="G6827" s="0" t="s">
        <v>49</v>
      </c>
      <c r="H6827" s="5">
        <v>4409.630400</v>
      </c>
    </row>
    <row r="6828" spans="1:9">
      <c r="A6828" s="22" t="str">
        <f>HYPERLINK("https://app.vivvix.com/360/KMI/IntelliDrive/ApplUI/Pages/CreativePages/CustomReportCreativeDetail.aspx?App=23&amp;ReportView=4&amp;Qid=1711279&amp;Row=6820&amp;Col=1","No Title Assigned - #15270122506")</f>
        <v/>
      </c>
      <c r="B6828" s="0" t="s">
        <v>9003</v>
      </c>
      <c r="C6828" s="0" t="s">
        <v>9004</v>
      </c>
      <c r="D6828" s="0" t="s">
        <v>9004</v>
      </c>
      <c r="E6828" s="0" t="inlineStr">
        <is>
          <t xml:space="preserve">Mazda</t>
        </is>
      </c>
      <c r="F6828" s="0" t="s">
        <v>13</v>
      </c>
      <c r="G6828" s="0" t="s">
        <v>49</v>
      </c>
      <c r="H6828" s="5">
        <v>619.113800</v>
      </c>
    </row>
    <row r="6829" spans="1:9">
      <c r="A6829" s="22" t="str">
        <f>HYPERLINK("https://app.vivvix.com/360/KMI/IntelliDrive/ApplUI/Pages/CreativePages/CustomReportCreativeDetail.aspx?App=23&amp;ReportView=4&amp;Qid=1711279&amp;Row=6821&amp;Col=1","No Title Assigned - #15270122508")</f>
        <v/>
      </c>
      <c r="B6829" s="0" t="s">
        <v>9005</v>
      </c>
      <c r="C6829" s="0" t="s">
        <v>9006</v>
      </c>
      <c r="D6829" s="0" t="s">
        <v>9006</v>
      </c>
      <c r="E6829" s="0" t="inlineStr">
        <is>
          <t xml:space="preserve">Mazda</t>
        </is>
      </c>
      <c r="F6829" s="0" t="s">
        <v>28</v>
      </c>
      <c r="G6829" s="0" t="s">
        <v>29</v>
      </c>
      <c r="H6829" s="5">
        <v>120.261100</v>
      </c>
    </row>
    <row r="6830" spans="1:9">
      <c r="A6830" s="22" t="str">
        <f>HYPERLINK("https://app.vivvix.com/360/KMI/IntelliDrive/ApplUI/Pages/CreativePages/CustomReportCreativeDetail.aspx?App=23&amp;ReportView=4&amp;Qid=1711279&amp;Row=6822&amp;Col=1","No Title Assigned - #15270122609")</f>
        <v/>
      </c>
      <c r="B6830" s="0" t="s">
        <v>9007</v>
      </c>
      <c r="C6830" s="0" t="s">
        <v>9008</v>
      </c>
      <c r="D6830" s="0" t="s">
        <v>9008</v>
      </c>
      <c r="E6830" s="0" t="inlineStr">
        <is>
          <t xml:space="preserve">Mazda</t>
        </is>
      </c>
      <c r="F6830" s="0" t="s">
        <v>28</v>
      </c>
      <c r="G6830" s="0" t="s">
        <v>29</v>
      </c>
      <c r="H6830" s="5">
        <v>51324.714800</v>
      </c>
    </row>
    <row r="6831" spans="1:9">
      <c r="A6831" s="22" t="str">
        <f>HYPERLINK("https://app.vivvix.com/360/KMI/IntelliDrive/ApplUI/Pages/CreativePages/CustomReportCreativeDetail.aspx?App=23&amp;ReportView=4&amp;Qid=1711279&amp;Row=6823&amp;Col=1","No Title Assigned - #15270122701")</f>
        <v/>
      </c>
      <c r="B6831" s="0" t="s">
        <v>9009</v>
      </c>
      <c r="C6831" s="0" t="s">
        <v>9010</v>
      </c>
      <c r="D6831" s="0" t="s">
        <v>9010</v>
      </c>
      <c r="E6831" s="0" t="inlineStr">
        <is>
          <t xml:space="preserve">Mazda</t>
        </is>
      </c>
      <c r="F6831" s="0" t="s">
        <v>13</v>
      </c>
      <c r="G6831" s="0" t="s">
        <v>49</v>
      </c>
      <c r="H6831" s="5">
        <v>52.113800</v>
      </c>
    </row>
    <row r="6832" spans="1:9">
      <c r="A6832" s="22" t="str">
        <f>HYPERLINK("https://app.vivvix.com/360/KMI/IntelliDrive/ApplUI/Pages/CreativePages/CustomReportCreativeDetail.aspx?App=23&amp;ReportView=4&amp;Qid=1711279&amp;Row=6824&amp;Col=1","No Title Assigned - #15270122770")</f>
        <v/>
      </c>
      <c r="B6832" s="0" t="s">
        <v>9011</v>
      </c>
      <c r="C6832" s="0" t="s">
        <v>9012</v>
      </c>
      <c r="D6832" s="0" t="s">
        <v>9012</v>
      </c>
      <c r="E6832" s="0" t="inlineStr">
        <is>
          <t xml:space="preserve">Mazda</t>
        </is>
      </c>
      <c r="F6832" s="0" t="s">
        <v>28</v>
      </c>
      <c r="G6832" s="0" t="s">
        <v>29</v>
      </c>
      <c r="H6832" s="5">
        <v>87.143600</v>
      </c>
    </row>
    <row r="6833" spans="1:9">
      <c r="A6833" s="22" t="str">
        <f>HYPERLINK("https://app.vivvix.com/360/KMI/IntelliDrive/ApplUI/Pages/CreativePages/CustomReportCreativeDetail.aspx?App=23&amp;ReportView=4&amp;Qid=1711279&amp;Row=6825&amp;Col=1","No Title Assigned - #15270122868")</f>
        <v/>
      </c>
      <c r="B6833" s="0" t="s">
        <v>9013</v>
      </c>
      <c r="C6833" s="0" t="s">
        <v>9014</v>
      </c>
      <c r="D6833" s="0" t="s">
        <v>9014</v>
      </c>
      <c r="E6833" s="0" t="inlineStr">
        <is>
          <t xml:space="preserve">Mazda</t>
        </is>
      </c>
      <c r="F6833" s="0" t="s">
        <v>13</v>
      </c>
      <c r="G6833" s="0" t="s">
        <v>49</v>
      </c>
      <c r="H6833" s="5">
        <v>75.168100</v>
      </c>
    </row>
    <row r="6834" spans="1:9">
      <c r="A6834" s="22" t="str">
        <f>HYPERLINK("https://app.vivvix.com/360/KMI/IntelliDrive/ApplUI/Pages/CreativePages/CustomReportCreativeDetail.aspx?App=23&amp;ReportView=4&amp;Qid=1711279&amp;Row=6826&amp;Col=1","No Title Assigned - #15270122940")</f>
        <v/>
      </c>
      <c r="B6834" s="0" t="s">
        <v>9015</v>
      </c>
      <c r="C6834" s="0" t="s">
        <v>9016</v>
      </c>
      <c r="D6834" s="0" t="s">
        <v>8828</v>
      </c>
      <c r="E6834" s="0" t="inlineStr">
        <is>
          <t xml:space="preserve">Mazda</t>
        </is>
      </c>
      <c r="F6834" s="0" t="s">
        <v>28</v>
      </c>
      <c r="G6834" s="0" t="s">
        <v>29</v>
      </c>
      <c r="H6834" s="5">
        <v>14.650100</v>
      </c>
    </row>
    <row r="6835" spans="1:9">
      <c r="A6835" s="22" t="str">
        <f>HYPERLINK("https://app.vivvix.com/360/KMI/IntelliDrive/ApplUI/Pages/CreativePages/CustomReportCreativeDetail.aspx?App=23&amp;ReportView=4&amp;Qid=1711279&amp;Row=6827&amp;Col=1","No Title Assigned - #15270122950")</f>
        <v/>
      </c>
      <c r="B6835" s="0" t="s">
        <v>9017</v>
      </c>
      <c r="C6835" s="0" t="s">
        <v>9018</v>
      </c>
      <c r="D6835" s="0" t="s">
        <v>9018</v>
      </c>
      <c r="E6835" s="0" t="inlineStr">
        <is>
          <t xml:space="preserve">Mazda</t>
        </is>
      </c>
      <c r="F6835" s="0" t="s">
        <v>28</v>
      </c>
      <c r="G6835" s="0" t="s">
        <v>29</v>
      </c>
      <c r="H6835" s="5">
        <v>10269.730700</v>
      </c>
    </row>
    <row r="6836" spans="1:9">
      <c r="A6836" s="22" t="str">
        <f>HYPERLINK("https://app.vivvix.com/360/KMI/IntelliDrive/ApplUI/Pages/CreativePages/CustomReportCreativeDetail.aspx?App=23&amp;ReportView=4&amp;Qid=1711279&amp;Row=6828&amp;Col=1","No Title Assigned - #15270122950")</f>
        <v/>
      </c>
      <c r="B6836" s="0" t="s">
        <v>9017</v>
      </c>
      <c r="E6836" s="0" t="inlineStr">
        <is>
          <t xml:space="preserve">Mazda</t>
        </is>
      </c>
      <c r="F6836" s="0" t="s">
        <v>28</v>
      </c>
      <c r="G6836" s="0" t="s">
        <v>29</v>
      </c>
      <c r="H6836" s="5">
        <v>681.524600</v>
      </c>
    </row>
    <row r="6837" spans="1:9">
      <c r="A6837" s="22" t="str">
        <f>HYPERLINK("https://app.vivvix.com/360/KMI/IntelliDrive/ApplUI/Pages/CreativePages/CustomReportCreativeDetail.aspx?App=23&amp;ReportView=4&amp;Qid=1711279&amp;Row=6829&amp;Col=1","No Title Assigned - #15270123128")</f>
        <v/>
      </c>
      <c r="B6837" s="0" t="s">
        <v>9019</v>
      </c>
      <c r="C6837" s="0" t="s">
        <v>9020</v>
      </c>
      <c r="D6837" s="0" t="s">
        <v>9020</v>
      </c>
      <c r="E6837" s="0" t="inlineStr">
        <is>
          <t xml:space="preserve">Mazda</t>
        </is>
      </c>
      <c r="F6837" s="0" t="s">
        <v>13</v>
      </c>
      <c r="G6837" s="0" t="s">
        <v>49</v>
      </c>
      <c r="H6837" s="5">
        <v>648.974300</v>
      </c>
    </row>
    <row r="6838" spans="1:9">
      <c r="A6838" s="22" t="str">
        <f>HYPERLINK("https://app.vivvix.com/360/KMI/IntelliDrive/ApplUI/Pages/CreativePages/CustomReportCreativeDetail.aspx?App=23&amp;ReportView=4&amp;Qid=1711279&amp;Row=6830&amp;Col=1","No Title Assigned - #15270123289")</f>
        <v/>
      </c>
      <c r="B6838" s="0" t="s">
        <v>9021</v>
      </c>
      <c r="C6838" s="0" t="s">
        <v>9022</v>
      </c>
      <c r="D6838" s="0" t="s">
        <v>9022</v>
      </c>
      <c r="E6838" s="0" t="inlineStr">
        <is>
          <t xml:space="preserve">Mazda</t>
        </is>
      </c>
      <c r="F6838" s="0" t="s">
        <v>28</v>
      </c>
      <c r="G6838" s="0" t="s">
        <v>29</v>
      </c>
      <c r="H6838" s="5">
        <v>1943.958100</v>
      </c>
    </row>
    <row r="6839" spans="1:9">
      <c r="A6839" s="22" t="str">
        <f>HYPERLINK("https://app.vivvix.com/360/KMI/IntelliDrive/ApplUI/Pages/CreativePages/CustomReportCreativeDetail.aspx?App=23&amp;ReportView=4&amp;Qid=1711279&amp;Row=6831&amp;Col=1","No Title Assigned - #15270123299")</f>
        <v/>
      </c>
      <c r="B6839" s="0" t="s">
        <v>9023</v>
      </c>
      <c r="C6839" s="0" t="s">
        <v>9024</v>
      </c>
      <c r="D6839" s="0" t="s">
        <v>9024</v>
      </c>
      <c r="E6839" s="0" t="inlineStr">
        <is>
          <t xml:space="preserve">Mazda</t>
        </is>
      </c>
      <c r="F6839" s="0" t="s">
        <v>28</v>
      </c>
      <c r="G6839" s="0" t="s">
        <v>29</v>
      </c>
      <c r="H6839" s="5">
        <v>3124.913800</v>
      </c>
    </row>
    <row r="6840" spans="1:9">
      <c r="A6840" s="22" t="str">
        <f>HYPERLINK("https://app.vivvix.com/360/KMI/IntelliDrive/ApplUI/Pages/CreativePages/CustomReportCreativeDetail.aspx?App=23&amp;ReportView=4&amp;Qid=1711279&amp;Row=6832&amp;Col=1","No Title Assigned - #15270123323")</f>
        <v/>
      </c>
      <c r="B6840" s="0" t="s">
        <v>9025</v>
      </c>
      <c r="C6840" s="0" t="s">
        <v>9026</v>
      </c>
      <c r="D6840" s="0" t="s">
        <v>9026</v>
      </c>
      <c r="E6840" s="0" t="inlineStr">
        <is>
          <t xml:space="preserve">Mazda</t>
        </is>
      </c>
      <c r="F6840" s="0" t="s">
        <v>13</v>
      </c>
      <c r="G6840" s="0" t="s">
        <v>49</v>
      </c>
      <c r="H6840" s="5">
        <v>280.088600</v>
      </c>
    </row>
    <row r="6841" spans="1:9">
      <c r="A6841" s="22" t="str">
        <f>HYPERLINK("https://app.vivvix.com/360/KMI/IntelliDrive/ApplUI/Pages/CreativePages/CustomReportCreativeDetail.aspx?App=23&amp;ReportView=4&amp;Qid=1711279&amp;Row=6833&amp;Col=1","No Title Assigned - #15270123390")</f>
        <v/>
      </c>
      <c r="B6841" s="0" t="s">
        <v>9027</v>
      </c>
      <c r="C6841" s="0" t="s">
        <v>9028</v>
      </c>
      <c r="D6841" s="0" t="s">
        <v>9028</v>
      </c>
      <c r="E6841" s="0" t="inlineStr">
        <is>
          <t xml:space="preserve">Mazda</t>
        </is>
      </c>
      <c r="F6841" s="0" t="s">
        <v>28</v>
      </c>
      <c r="G6841" s="0" t="s">
        <v>29</v>
      </c>
      <c r="H6841" s="5">
        <v>122.774300</v>
      </c>
    </row>
    <row r="6842" spans="1:9">
      <c r="A6842" s="22" t="str">
        <f>HYPERLINK("https://app.vivvix.com/360/KMI/IntelliDrive/ApplUI/Pages/CreativePages/CustomReportCreativeDetail.aspx?App=23&amp;ReportView=4&amp;Qid=1711279&amp;Row=6834&amp;Col=1","No Title Assigned - #15270123506")</f>
        <v/>
      </c>
      <c r="B6842" s="0" t="s">
        <v>9029</v>
      </c>
      <c r="E6842" s="0" t="inlineStr">
        <is>
          <t xml:space="preserve">Mazda</t>
        </is>
      </c>
      <c r="F6842" s="0" t="s">
        <v>28</v>
      </c>
      <c r="G6842" s="0" t="s">
        <v>29</v>
      </c>
      <c r="H6842" s="5">
        <v>17.783200</v>
      </c>
    </row>
    <row r="6843" spans="1:9">
      <c r="A6843" s="22" t="str">
        <f>HYPERLINK("https://app.vivvix.com/360/KMI/IntelliDrive/ApplUI/Pages/CreativePages/CustomReportCreativeDetail.aspx?App=23&amp;ReportView=4&amp;Qid=1711279&amp;Row=6835&amp;Col=1","No Title Assigned - #15270123567")</f>
        <v/>
      </c>
      <c r="B6843" s="0" t="s">
        <v>9030</v>
      </c>
      <c r="C6843" s="0" t="s">
        <v>9031</v>
      </c>
      <c r="D6843" s="0" t="s">
        <v>9031</v>
      </c>
      <c r="E6843" s="0" t="inlineStr">
        <is>
          <t xml:space="preserve">Mazda</t>
        </is>
      </c>
      <c r="F6843" s="0" t="s">
        <v>13</v>
      </c>
      <c r="G6843" s="0" t="s">
        <v>49</v>
      </c>
      <c r="H6843" s="5">
        <v>1274.190500</v>
      </c>
    </row>
    <row r="6844" spans="1:9">
      <c r="A6844" s="22" t="str">
        <f>HYPERLINK("https://app.vivvix.com/360/KMI/IntelliDrive/ApplUI/Pages/CreativePages/CustomReportCreativeDetail.aspx?App=23&amp;ReportView=4&amp;Qid=1711279&amp;Row=6836&amp;Col=1","No Title Assigned - #15270123812")</f>
        <v/>
      </c>
      <c r="B6844" s="0" t="s">
        <v>9032</v>
      </c>
      <c r="C6844" s="0" t="s">
        <v>9033</v>
      </c>
      <c r="D6844" s="0" t="s">
        <v>9033</v>
      </c>
      <c r="E6844" s="0" t="inlineStr">
        <is>
          <t xml:space="preserve">Mazda</t>
        </is>
      </c>
      <c r="F6844" s="0" t="s">
        <v>28</v>
      </c>
      <c r="G6844" s="0" t="s">
        <v>29</v>
      </c>
      <c r="H6844" s="5">
        <v>35.423500</v>
      </c>
    </row>
    <row r="6845" spans="1:9">
      <c r="A6845" s="22" t="str">
        <f>HYPERLINK("https://app.vivvix.com/360/KMI/IntelliDrive/ApplUI/Pages/CreativePages/CustomReportCreativeDetail.aspx?App=23&amp;ReportView=4&amp;Qid=1711279&amp;Row=6837&amp;Col=1","No Title Assigned - #15270123845")</f>
        <v/>
      </c>
      <c r="B6845" s="0" t="s">
        <v>9034</v>
      </c>
      <c r="C6845" s="0" t="s">
        <v>9035</v>
      </c>
      <c r="D6845" s="0" t="s">
        <v>9035</v>
      </c>
      <c r="E6845" s="0" t="inlineStr">
        <is>
          <t xml:space="preserve">Mazda</t>
        </is>
      </c>
      <c r="F6845" s="0" t="s">
        <v>13</v>
      </c>
      <c r="G6845" s="0" t="s">
        <v>49</v>
      </c>
      <c r="H6845" s="5">
        <v>1036.488600</v>
      </c>
    </row>
    <row r="6846" spans="1:9">
      <c r="A6846" s="22" t="str">
        <f>HYPERLINK("https://app.vivvix.com/360/KMI/IntelliDrive/ApplUI/Pages/CreativePages/CustomReportCreativeDetail.aspx?App=23&amp;ReportView=4&amp;Qid=1711279&amp;Row=6838&amp;Col=1","No Title Assigned - #15270123866")</f>
        <v/>
      </c>
      <c r="B6846" s="0" t="s">
        <v>9036</v>
      </c>
      <c r="C6846" s="0" t="s">
        <v>9037</v>
      </c>
      <c r="D6846" s="0" t="s">
        <v>9037</v>
      </c>
      <c r="E6846" s="0" t="inlineStr">
        <is>
          <t xml:space="preserve">Mazda</t>
        </is>
      </c>
      <c r="F6846" s="0" t="s">
        <v>13</v>
      </c>
      <c r="G6846" s="0" t="s">
        <v>49</v>
      </c>
      <c r="H6846" s="5">
        <v>3448.436600</v>
      </c>
    </row>
    <row r="6847" spans="1:9">
      <c r="A6847" s="22" t="str">
        <f>HYPERLINK("https://app.vivvix.com/360/KMI/IntelliDrive/ApplUI/Pages/CreativePages/CustomReportCreativeDetail.aspx?App=23&amp;ReportView=4&amp;Qid=1711279&amp;Row=6839&amp;Col=1","No Title Assigned - #15270123866")</f>
        <v/>
      </c>
      <c r="B6847" s="0" t="s">
        <v>9036</v>
      </c>
      <c r="E6847" s="0" t="inlineStr">
        <is>
          <t xml:space="preserve">Mazda</t>
        </is>
      </c>
      <c r="F6847" s="0" t="s">
        <v>13</v>
      </c>
      <c r="G6847" s="0" t="s">
        <v>49</v>
      </c>
      <c r="H6847" s="5">
        <v>32705.309800</v>
      </c>
    </row>
    <row r="6848" spans="1:9">
      <c r="A6848" s="22" t="str">
        <f>HYPERLINK("https://app.vivvix.com/360/KMI/IntelliDrive/ApplUI/Pages/CreativePages/CustomReportCreativeDetail.aspx?App=23&amp;ReportView=4&amp;Qid=1711279&amp;Row=6840&amp;Col=1","No Title Assigned - #15270124134")</f>
        <v/>
      </c>
      <c r="B6848" s="0" t="s">
        <v>9038</v>
      </c>
      <c r="C6848" s="0" t="s">
        <v>9039</v>
      </c>
      <c r="D6848" s="0" t="s">
        <v>9039</v>
      </c>
      <c r="E6848" s="0" t="inlineStr">
        <is>
          <t xml:space="preserve">Mazda</t>
        </is>
      </c>
      <c r="F6848" s="0" t="s">
        <v>28</v>
      </c>
      <c r="G6848" s="0" t="s">
        <v>29</v>
      </c>
      <c r="H6848" s="5">
        <v>8.749400</v>
      </c>
    </row>
    <row r="6849" spans="1:9">
      <c r="A6849" s="22" t="str">
        <f>HYPERLINK("https://app.vivvix.com/360/KMI/IntelliDrive/ApplUI/Pages/CreativePages/CustomReportCreativeDetail.aspx?App=23&amp;ReportView=4&amp;Qid=1711279&amp;Row=6841&amp;Col=1","No Title Assigned - #15270124199")</f>
        <v/>
      </c>
      <c r="B6849" s="0" t="s">
        <v>9040</v>
      </c>
      <c r="C6849" s="0" t="s">
        <v>9041</v>
      </c>
      <c r="D6849" s="0" t="s">
        <v>9041</v>
      </c>
      <c r="E6849" s="0" t="inlineStr">
        <is>
          <t xml:space="preserve">Mazda</t>
        </is>
      </c>
      <c r="F6849" s="0" t="s">
        <v>28</v>
      </c>
      <c r="G6849" s="0" t="s">
        <v>29</v>
      </c>
      <c r="H6849" s="5">
        <v>513.066600</v>
      </c>
    </row>
    <row r="6850" spans="1:9">
      <c r="A6850" s="22" t="str">
        <f>HYPERLINK("https://app.vivvix.com/360/KMI/IntelliDrive/ApplUI/Pages/CreativePages/CustomReportCreativeDetail.aspx?App=23&amp;ReportView=4&amp;Qid=1711279&amp;Row=6842&amp;Col=1","No Title Assigned - #15270124202")</f>
        <v/>
      </c>
      <c r="B6850" s="0" t="s">
        <v>9042</v>
      </c>
      <c r="C6850" s="0" t="s">
        <v>9043</v>
      </c>
      <c r="D6850" s="0" t="s">
        <v>9043</v>
      </c>
      <c r="E6850" s="0" t="inlineStr">
        <is>
          <t xml:space="preserve">Mazda</t>
        </is>
      </c>
      <c r="F6850" s="0" t="s">
        <v>13</v>
      </c>
      <c r="G6850" s="0" t="s">
        <v>49</v>
      </c>
      <c r="H6850" s="5">
        <v>7550.535300</v>
      </c>
    </row>
    <row r="6851" spans="1:9">
      <c r="A6851" s="22" t="str">
        <f>HYPERLINK("https://app.vivvix.com/360/KMI/IntelliDrive/ApplUI/Pages/CreativePages/CustomReportCreativeDetail.aspx?App=23&amp;ReportView=4&amp;Qid=1711279&amp;Row=6843&amp;Col=1","No Title Assigned - #15270124269")</f>
        <v/>
      </c>
      <c r="B6851" s="0" t="s">
        <v>9044</v>
      </c>
      <c r="C6851" s="0" t="s">
        <v>9045</v>
      </c>
      <c r="D6851" s="0" t="s">
        <v>9045</v>
      </c>
      <c r="E6851" s="0" t="inlineStr">
        <is>
          <t xml:space="preserve">Mazda</t>
        </is>
      </c>
      <c r="F6851" s="0" t="s">
        <v>13</v>
      </c>
      <c r="G6851" s="0" t="s">
        <v>49</v>
      </c>
      <c r="H6851" s="5">
        <v>1668.383200</v>
      </c>
    </row>
    <row r="6852" spans="1:9">
      <c r="A6852" s="22" t="str">
        <f>HYPERLINK("https://app.vivvix.com/360/KMI/IntelliDrive/ApplUI/Pages/CreativePages/CustomReportCreativeDetail.aspx?App=23&amp;ReportView=4&amp;Qid=1711279&amp;Row=6844&amp;Col=1","No Title Assigned - #15270124413")</f>
        <v/>
      </c>
      <c r="B6852" s="0" t="s">
        <v>9046</v>
      </c>
      <c r="C6852" s="0" t="s">
        <v>9047</v>
      </c>
      <c r="D6852" s="0" t="s">
        <v>9047</v>
      </c>
      <c r="E6852" s="0" t="inlineStr">
        <is>
          <t xml:space="preserve">Mazda</t>
        </is>
      </c>
      <c r="F6852" s="0" t="s">
        <v>13</v>
      </c>
      <c r="G6852" s="0" t="s">
        <v>49</v>
      </c>
      <c r="H6852" s="5">
        <v>104511.271500</v>
      </c>
    </row>
    <row r="6853" spans="1:9">
      <c r="A6853" s="22" t="str">
        <f>HYPERLINK("https://app.vivvix.com/360/KMI/IntelliDrive/ApplUI/Pages/CreativePages/CustomReportCreativeDetail.aspx?App=23&amp;ReportView=4&amp;Qid=1711279&amp;Row=6845&amp;Col=1","No Title Assigned - #15270124413")</f>
        <v/>
      </c>
      <c r="B6853" s="0" t="s">
        <v>9046</v>
      </c>
      <c r="E6853" s="0" t="inlineStr">
        <is>
          <t xml:space="preserve">Mazda</t>
        </is>
      </c>
      <c r="F6853" s="0" t="s">
        <v>13</v>
      </c>
      <c r="G6853" s="0" t="s">
        <v>49</v>
      </c>
      <c r="H6853" s="5">
        <v>51019.994100</v>
      </c>
    </row>
    <row r="6854" spans="1:9">
      <c r="A6854" s="22" t="str">
        <f>HYPERLINK("https://app.vivvix.com/360/KMI/IntelliDrive/ApplUI/Pages/CreativePages/CustomReportCreativeDetail.aspx?App=23&amp;ReportView=4&amp;Qid=1711279&amp;Row=6846&amp;Col=1","No Title Assigned - #15270124556")</f>
        <v/>
      </c>
      <c r="B6854" s="0" t="s">
        <v>9048</v>
      </c>
      <c r="C6854" s="0" t="s">
        <v>9049</v>
      </c>
      <c r="D6854" s="0" t="s">
        <v>8779</v>
      </c>
      <c r="E6854" s="0" t="inlineStr">
        <is>
          <t xml:space="preserve">Mazda</t>
        </is>
      </c>
      <c r="F6854" s="0" t="s">
        <v>13</v>
      </c>
      <c r="G6854" s="0" t="s">
        <v>49</v>
      </c>
      <c r="H6854" s="5">
        <v>339.345100</v>
      </c>
    </row>
    <row r="6855" spans="1:9">
      <c r="A6855" s="22" t="str">
        <f>HYPERLINK("https://app.vivvix.com/360/KMI/IntelliDrive/ApplUI/Pages/CreativePages/CustomReportCreativeDetail.aspx?App=23&amp;ReportView=4&amp;Qid=1711279&amp;Row=6847&amp;Col=1","No Title Assigned - #15270124650")</f>
        <v/>
      </c>
      <c r="B6855" s="0" t="s">
        <v>9050</v>
      </c>
      <c r="C6855" s="0" t="s">
        <v>9051</v>
      </c>
      <c r="D6855" s="0" t="s">
        <v>8779</v>
      </c>
      <c r="E6855" s="0" t="inlineStr">
        <is>
          <t xml:space="preserve">Mazda</t>
        </is>
      </c>
      <c r="F6855" s="0" t="s">
        <v>13</v>
      </c>
      <c r="G6855" s="0" t="s">
        <v>49</v>
      </c>
      <c r="H6855" s="5">
        <v>134.385500</v>
      </c>
    </row>
    <row r="6856" spans="1:9">
      <c r="A6856" s="22" t="str">
        <f>HYPERLINK("https://app.vivvix.com/360/KMI/IntelliDrive/ApplUI/Pages/CreativePages/CustomReportCreativeDetail.aspx?App=23&amp;ReportView=4&amp;Qid=1711279&amp;Row=6848&amp;Col=1","No Title Assigned - #15270124665")</f>
        <v/>
      </c>
      <c r="B6856" s="0" t="s">
        <v>9052</v>
      </c>
      <c r="C6856" s="0" t="s">
        <v>9053</v>
      </c>
      <c r="D6856" s="0" t="s">
        <v>4202</v>
      </c>
      <c r="E6856" s="0" t="inlineStr">
        <is>
          <t xml:space="preserve">Mazda</t>
        </is>
      </c>
      <c r="F6856" s="0" t="s">
        <v>28</v>
      </c>
      <c r="G6856" s="0" t="s">
        <v>29</v>
      </c>
      <c r="H6856" s="5">
        <v>37.756000</v>
      </c>
    </row>
    <row r="6857" spans="1:9">
      <c r="A6857" s="22" t="str">
        <f>HYPERLINK("https://app.vivvix.com/360/KMI/IntelliDrive/ApplUI/Pages/CreativePages/CustomReportCreativeDetail.aspx?App=23&amp;ReportView=4&amp;Qid=1711279&amp;Row=6849&amp;Col=1","No Title Assigned - #15270124718")</f>
        <v/>
      </c>
      <c r="B6857" s="0" t="s">
        <v>9054</v>
      </c>
      <c r="C6857" s="0" t="s">
        <v>9055</v>
      </c>
      <c r="D6857" s="0" t="s">
        <v>4204</v>
      </c>
      <c r="E6857" s="0" t="inlineStr">
        <is>
          <t xml:space="preserve">Mazda</t>
        </is>
      </c>
      <c r="F6857" s="0" t="s">
        <v>28</v>
      </c>
      <c r="G6857" s="0" t="s">
        <v>29</v>
      </c>
      <c r="H6857" s="5">
        <v>41.106500</v>
      </c>
    </row>
    <row r="6858" spans="1:9">
      <c r="A6858" s="22" t="str">
        <f>HYPERLINK("https://app.vivvix.com/360/KMI/IntelliDrive/ApplUI/Pages/CreativePages/CustomReportCreativeDetail.aspx?App=23&amp;ReportView=4&amp;Qid=1711279&amp;Row=6850&amp;Col=1","No Title Assigned - #15270125210")</f>
        <v/>
      </c>
      <c r="B6858" s="0" t="s">
        <v>9056</v>
      </c>
      <c r="C6858" s="0" t="s">
        <v>9057</v>
      </c>
      <c r="D6858" s="0" t="s">
        <v>9057</v>
      </c>
      <c r="E6858" s="0" t="inlineStr">
        <is>
          <t xml:space="preserve">Mazda</t>
        </is>
      </c>
      <c r="F6858" s="0" t="s">
        <v>13</v>
      </c>
      <c r="G6858" s="0" t="s">
        <v>49</v>
      </c>
      <c r="H6858" s="5">
        <v>445.715600</v>
      </c>
    </row>
    <row r="6859" spans="1:9">
      <c r="A6859" s="22" t="str">
        <f>HYPERLINK("https://app.vivvix.com/360/KMI/IntelliDrive/ApplUI/Pages/CreativePages/CustomReportCreativeDetail.aspx?App=23&amp;ReportView=4&amp;Qid=1711279&amp;Row=6851&amp;Col=1","No Title Assigned - #15270125388")</f>
        <v/>
      </c>
      <c r="B6859" s="0" t="s">
        <v>9058</v>
      </c>
      <c r="C6859" s="0" t="s">
        <v>9059</v>
      </c>
      <c r="D6859" s="0" t="s">
        <v>9059</v>
      </c>
      <c r="E6859" s="0" t="inlineStr">
        <is>
          <t xml:space="preserve">Mazda</t>
        </is>
      </c>
      <c r="F6859" s="0" t="s">
        <v>28</v>
      </c>
      <c r="G6859" s="0" t="s">
        <v>29</v>
      </c>
      <c r="H6859" s="5">
        <v>3880.539400</v>
      </c>
    </row>
    <row r="6860" spans="1:9">
      <c r="A6860" s="22" t="str">
        <f>HYPERLINK("https://app.vivvix.com/360/KMI/IntelliDrive/ApplUI/Pages/CreativePages/CustomReportCreativeDetail.aspx?App=23&amp;ReportView=4&amp;Qid=1711279&amp;Row=6852&amp;Col=1","No Title Assigned - #15270125402")</f>
        <v/>
      </c>
      <c r="B6860" s="0" t="s">
        <v>9060</v>
      </c>
      <c r="C6860" s="0" t="s">
        <v>9061</v>
      </c>
      <c r="D6860" s="0" t="s">
        <v>9061</v>
      </c>
      <c r="E6860" s="0" t="inlineStr">
        <is>
          <t xml:space="preserve">Mazda</t>
        </is>
      </c>
      <c r="F6860" s="0" t="s">
        <v>13</v>
      </c>
      <c r="G6860" s="0" t="s">
        <v>49</v>
      </c>
      <c r="H6860" s="5">
        <v>289.082100</v>
      </c>
    </row>
    <row r="6861" spans="1:9">
      <c r="A6861" s="22" t="str">
        <f>HYPERLINK("https://app.vivvix.com/360/KMI/IntelliDrive/ApplUI/Pages/CreativePages/CustomReportCreativeDetail.aspx?App=23&amp;ReportView=4&amp;Qid=1711279&amp;Row=6853&amp;Col=1","No Title Assigned - #15270125465")</f>
        <v/>
      </c>
      <c r="B6861" s="0" t="s">
        <v>9062</v>
      </c>
      <c r="C6861" s="0" t="s">
        <v>9063</v>
      </c>
      <c r="D6861" s="0" t="s">
        <v>4225</v>
      </c>
      <c r="E6861" s="0" t="inlineStr">
        <is>
          <t xml:space="preserve">Mazda</t>
        </is>
      </c>
      <c r="F6861" s="0" t="s">
        <v>28</v>
      </c>
      <c r="G6861" s="0" t="s">
        <v>29</v>
      </c>
      <c r="H6861" s="5">
        <v>118.984000</v>
      </c>
    </row>
    <row r="6862" spans="1:9">
      <c r="A6862" s="22" t="str">
        <f>HYPERLINK("https://app.vivvix.com/360/KMI/IntelliDrive/ApplUI/Pages/CreativePages/CustomReportCreativeDetail.aspx?App=23&amp;ReportView=4&amp;Qid=1711279&amp;Row=6854&amp;Col=1","No Title Assigned - #15270125796")</f>
        <v/>
      </c>
      <c r="B6862" s="0" t="s">
        <v>9064</v>
      </c>
      <c r="C6862" s="0" t="s">
        <v>9065</v>
      </c>
      <c r="D6862" s="0" t="s">
        <v>9065</v>
      </c>
      <c r="E6862" s="0" t="inlineStr">
        <is>
          <t xml:space="preserve">Mazda</t>
        </is>
      </c>
      <c r="F6862" s="0" t="s">
        <v>13</v>
      </c>
      <c r="G6862" s="0" t="s">
        <v>49</v>
      </c>
      <c r="H6862" s="5">
        <v>50.071300</v>
      </c>
    </row>
    <row r="6863" spans="1:9">
      <c r="A6863" s="22" t="str">
        <f>HYPERLINK("https://app.vivvix.com/360/KMI/IntelliDrive/ApplUI/Pages/CreativePages/CustomReportCreativeDetail.aspx?App=23&amp;ReportView=4&amp;Qid=1711279&amp;Row=6855&amp;Col=1","No Title Assigned - #15270125796")</f>
        <v/>
      </c>
      <c r="B6863" s="0" t="s">
        <v>9064</v>
      </c>
      <c r="C6863" s="0" t="s">
        <v>9066</v>
      </c>
      <c r="D6863" s="0" t="s">
        <v>9066</v>
      </c>
      <c r="E6863" s="0" t="inlineStr">
        <is>
          <t xml:space="preserve">Mazda</t>
        </is>
      </c>
      <c r="F6863" s="0" t="s">
        <v>13</v>
      </c>
      <c r="G6863" s="0" t="s">
        <v>49</v>
      </c>
      <c r="H6863" s="5">
        <v>1000.655300</v>
      </c>
    </row>
    <row r="6864" spans="1:9">
      <c r="A6864" s="22" t="str">
        <f>HYPERLINK("https://app.vivvix.com/360/KMI/IntelliDrive/ApplUI/Pages/CreativePages/CustomReportCreativeDetail.aspx?App=23&amp;ReportView=4&amp;Qid=1711279&amp;Row=6856&amp;Col=1","No Title Assigned - #15270125952")</f>
        <v/>
      </c>
      <c r="B6864" s="0" t="s">
        <v>9067</v>
      </c>
      <c r="C6864" s="0" t="s">
        <v>9068</v>
      </c>
      <c r="D6864" s="0" t="s">
        <v>9068</v>
      </c>
      <c r="E6864" s="0" t="inlineStr">
        <is>
          <t xml:space="preserve">Mazda</t>
        </is>
      </c>
      <c r="F6864" s="0" t="inlineStr">
        <is>
          <t xml:space="preserve">Mazda</t>
        </is>
      </c>
      <c r="G6864" s="0" t="s">
        <v>210</v>
      </c>
      <c r="H6864" s="5">
        <v>1943.958100</v>
      </c>
    </row>
    <row r="6865" spans="1:9">
      <c r="A6865" s="22" t="str">
        <f>HYPERLINK("https://app.vivvix.com/360/KMI/IntelliDrive/ApplUI/Pages/CreativePages/CustomReportCreativeDetail.aspx?App=23&amp;ReportView=4&amp;Qid=1711279&amp;Row=6857&amp;Col=1","No Title Assigned - #15270125972")</f>
        <v/>
      </c>
      <c r="B6865" s="0" t="s">
        <v>9069</v>
      </c>
      <c r="C6865" s="0" t="s">
        <v>9070</v>
      </c>
      <c r="D6865" s="0" t="s">
        <v>9070</v>
      </c>
      <c r="E6865" s="0" t="inlineStr">
        <is>
          <t xml:space="preserve">Mazda</t>
        </is>
      </c>
      <c r="F6865" s="0" t="s">
        <v>28</v>
      </c>
      <c r="G6865" s="0" t="s">
        <v>29</v>
      </c>
      <c r="H6865" s="5">
        <v>84.326100</v>
      </c>
    </row>
    <row r="6866" spans="1:9">
      <c r="A6866" s="22" t="str">
        <f>HYPERLINK("https://app.vivvix.com/360/KMI/IntelliDrive/ApplUI/Pages/CreativePages/CustomReportCreativeDetail.aspx?App=23&amp;ReportView=4&amp;Qid=1711279&amp;Row=6858&amp;Col=1","No Title Assigned - #15270125996")</f>
        <v/>
      </c>
      <c r="B6866" s="0" t="s">
        <v>9071</v>
      </c>
      <c r="C6866" s="0" t="s">
        <v>9072</v>
      </c>
      <c r="D6866" s="0" t="s">
        <v>6238</v>
      </c>
      <c r="E6866" s="0" t="inlineStr">
        <is>
          <t xml:space="preserve">Mazda</t>
        </is>
      </c>
      <c r="F6866" s="0" t="s">
        <v>13</v>
      </c>
      <c r="G6866" s="0" t="s">
        <v>49</v>
      </c>
      <c r="H6866" s="5">
        <v>1035.002300</v>
      </c>
    </row>
    <row r="6867" spans="1:9">
      <c r="A6867" s="22" t="str">
        <f>HYPERLINK("https://app.vivvix.com/360/KMI/IntelliDrive/ApplUI/Pages/CreativePages/CustomReportCreativeDetail.aspx?App=23&amp;ReportView=4&amp;Qid=1711279&amp;Row=6859&amp;Col=1","No Title Assigned - #15270126243")</f>
        <v/>
      </c>
      <c r="B6867" s="0" t="s">
        <v>9073</v>
      </c>
      <c r="C6867" s="0" t="s">
        <v>9074</v>
      </c>
      <c r="D6867" s="0" t="s">
        <v>4200</v>
      </c>
      <c r="E6867" s="0" t="inlineStr">
        <is>
          <t xml:space="preserve">Mazda</t>
        </is>
      </c>
      <c r="F6867" s="0" t="s">
        <v>28</v>
      </c>
      <c r="G6867" s="0" t="s">
        <v>29</v>
      </c>
      <c r="H6867" s="5">
        <v>14.027200</v>
      </c>
    </row>
    <row r="6868" spans="1:9">
      <c r="A6868" s="22" t="str">
        <f>HYPERLINK("https://app.vivvix.com/360/KMI/IntelliDrive/ApplUI/Pages/CreativePages/CustomReportCreativeDetail.aspx?App=23&amp;ReportView=4&amp;Qid=1711279&amp;Row=6860&amp;Col=1","No Title Assigned - #15270126259")</f>
        <v/>
      </c>
      <c r="B6868" s="0" t="s">
        <v>9075</v>
      </c>
      <c r="C6868" s="0" t="s">
        <v>9076</v>
      </c>
      <c r="D6868" s="0" t="s">
        <v>9076</v>
      </c>
      <c r="E6868" s="0" t="inlineStr">
        <is>
          <t xml:space="preserve">Mazda</t>
        </is>
      </c>
      <c r="F6868" s="0" t="s">
        <v>13</v>
      </c>
      <c r="G6868" s="0" t="s">
        <v>49</v>
      </c>
      <c r="H6868" s="5">
        <v>72.649300</v>
      </c>
    </row>
    <row r="6869" spans="1:9">
      <c r="A6869" s="22" t="str">
        <f>HYPERLINK("https://app.vivvix.com/360/KMI/IntelliDrive/ApplUI/Pages/CreativePages/CustomReportCreativeDetail.aspx?App=23&amp;ReportView=4&amp;Qid=1711279&amp;Row=6861&amp;Col=1","No Title Assigned - #15270126424")</f>
        <v/>
      </c>
      <c r="B6869" s="0" t="s">
        <v>9077</v>
      </c>
      <c r="C6869" s="0" t="s">
        <v>9078</v>
      </c>
      <c r="D6869" s="0" t="s">
        <v>9078</v>
      </c>
      <c r="E6869" s="0" t="inlineStr">
        <is>
          <t xml:space="preserve">Mazda</t>
        </is>
      </c>
      <c r="F6869" s="0" t="s">
        <v>13</v>
      </c>
      <c r="G6869" s="0" t="s">
        <v>49</v>
      </c>
      <c r="H6869" s="5">
        <v>61.133800</v>
      </c>
    </row>
    <row r="6870" spans="1:9">
      <c r="A6870" s="22" t="str">
        <f>HYPERLINK("https://app.vivvix.com/360/KMI/IntelliDrive/ApplUI/Pages/CreativePages/CustomReportCreativeDetail.aspx?App=23&amp;ReportView=4&amp;Qid=1711279&amp;Row=6862&amp;Col=1","No Title Assigned - #15270126425")</f>
        <v/>
      </c>
      <c r="B6870" s="0" t="s">
        <v>9079</v>
      </c>
      <c r="C6870" s="0" t="s">
        <v>9080</v>
      </c>
      <c r="D6870" s="0" t="s">
        <v>9080</v>
      </c>
      <c r="E6870" s="0" t="inlineStr">
        <is>
          <t xml:space="preserve">Mazda</t>
        </is>
      </c>
      <c r="F6870" s="0" t="inlineStr">
        <is>
          <t xml:space="preserve">Mazda</t>
        </is>
      </c>
      <c r="G6870" s="0" t="s">
        <v>210</v>
      </c>
      <c r="H6870" s="5">
        <v>4215.547600</v>
      </c>
    </row>
    <row r="6871" spans="1:9">
      <c r="A6871" s="22" t="str">
        <f>HYPERLINK("https://app.vivvix.com/360/KMI/IntelliDrive/ApplUI/Pages/CreativePages/CustomReportCreativeDetail.aspx?App=23&amp;ReportView=4&amp;Qid=1711279&amp;Row=6863&amp;Col=1","No Title Assigned - #15270126603")</f>
        <v/>
      </c>
      <c r="B6871" s="0" t="s">
        <v>9081</v>
      </c>
      <c r="C6871" s="0" t="s">
        <v>9082</v>
      </c>
      <c r="D6871" s="0" t="s">
        <v>9082</v>
      </c>
      <c r="E6871" s="0" t="inlineStr">
        <is>
          <t xml:space="preserve">Mazda</t>
        </is>
      </c>
      <c r="F6871" s="0" t="s">
        <v>13</v>
      </c>
      <c r="G6871" s="0" t="s">
        <v>49</v>
      </c>
      <c r="H6871" s="5">
        <v>289.400700</v>
      </c>
    </row>
    <row r="6872" spans="1:9">
      <c r="A6872" s="22" t="str">
        <f>HYPERLINK("https://app.vivvix.com/360/KMI/IntelliDrive/ApplUI/Pages/CreativePages/CustomReportCreativeDetail.aspx?App=23&amp;ReportView=4&amp;Qid=1711279&amp;Row=6864&amp;Col=1","No Title Assigned - #15270126607")</f>
        <v/>
      </c>
      <c r="B6872" s="0" t="s">
        <v>9083</v>
      </c>
      <c r="C6872" s="0" t="s">
        <v>9084</v>
      </c>
      <c r="D6872" s="0" t="s">
        <v>9084</v>
      </c>
      <c r="E6872" s="0" t="inlineStr">
        <is>
          <t xml:space="preserve">Mazda</t>
        </is>
      </c>
      <c r="F6872" s="0" t="s">
        <v>13</v>
      </c>
      <c r="G6872" s="0" t="s">
        <v>49</v>
      </c>
      <c r="H6872" s="5">
        <v>558.945300</v>
      </c>
    </row>
    <row r="6873" spans="1:9">
      <c r="A6873" s="22" t="str">
        <f>HYPERLINK("https://app.vivvix.com/360/KMI/IntelliDrive/ApplUI/Pages/CreativePages/CustomReportCreativeDetail.aspx?App=23&amp;ReportView=4&amp;Qid=1711279&amp;Row=6865&amp;Col=1","No Title Assigned - #15270126927")</f>
        <v/>
      </c>
      <c r="B6873" s="0" t="s">
        <v>9085</v>
      </c>
      <c r="C6873" s="0" t="s">
        <v>9086</v>
      </c>
      <c r="D6873" s="0" t="s">
        <v>6238</v>
      </c>
      <c r="E6873" s="0" t="inlineStr">
        <is>
          <t xml:space="preserve">Mazda</t>
        </is>
      </c>
      <c r="F6873" s="0" t="s">
        <v>13</v>
      </c>
      <c r="G6873" s="0" t="s">
        <v>49</v>
      </c>
      <c r="H6873" s="5">
        <v>790.053000</v>
      </c>
    </row>
    <row r="6874" spans="1:9">
      <c r="A6874" s="22" t="str">
        <f>HYPERLINK("https://app.vivvix.com/360/KMI/IntelliDrive/ApplUI/Pages/CreativePages/CustomReportCreativeDetail.aspx?App=23&amp;ReportView=4&amp;Qid=1711279&amp;Row=6866&amp;Col=1","No Title Assigned - #15270126997")</f>
        <v/>
      </c>
      <c r="B6874" s="0" t="s">
        <v>9087</v>
      </c>
      <c r="C6874" s="0" t="s">
        <v>9088</v>
      </c>
      <c r="D6874" s="0" t="s">
        <v>9088</v>
      </c>
      <c r="E6874" s="0" t="inlineStr">
        <is>
          <t xml:space="preserve">Mazda</t>
        </is>
      </c>
      <c r="F6874" s="0" t="s">
        <v>13</v>
      </c>
      <c r="G6874" s="0" t="s">
        <v>49</v>
      </c>
      <c r="H6874" s="5">
        <v>107.288200</v>
      </c>
    </row>
    <row r="6875" spans="1:9">
      <c r="A6875" s="22" t="str">
        <f>HYPERLINK("https://app.vivvix.com/360/KMI/IntelliDrive/ApplUI/Pages/CreativePages/CustomReportCreativeDetail.aspx?App=23&amp;ReportView=4&amp;Qid=1711279&amp;Row=6867&amp;Col=1","No Title Assigned - #15270127089")</f>
        <v/>
      </c>
      <c r="B6875" s="0" t="s">
        <v>9089</v>
      </c>
      <c r="C6875" s="0" t="s">
        <v>9090</v>
      </c>
      <c r="D6875" s="0" t="s">
        <v>9090</v>
      </c>
      <c r="E6875" s="0" t="inlineStr">
        <is>
          <t xml:space="preserve">Mazda</t>
        </is>
      </c>
      <c r="F6875" s="0" t="s">
        <v>13</v>
      </c>
      <c r="G6875" s="0" t="s">
        <v>49</v>
      </c>
      <c r="H6875" s="5">
        <v>280.088600</v>
      </c>
    </row>
    <row r="6876" spans="1:9">
      <c r="A6876" s="22" t="str">
        <f>HYPERLINK("https://app.vivvix.com/360/KMI/IntelliDrive/ApplUI/Pages/CreativePages/CustomReportCreativeDetail.aspx?App=23&amp;ReportView=4&amp;Qid=1711279&amp;Row=6868&amp;Col=1","No Title Assigned - #15270127169")</f>
        <v/>
      </c>
      <c r="B6876" s="0" t="s">
        <v>9091</v>
      </c>
      <c r="C6876" s="0" t="s">
        <v>9092</v>
      </c>
      <c r="D6876" s="0" t="s">
        <v>4333</v>
      </c>
      <c r="E6876" s="0" t="inlineStr">
        <is>
          <t xml:space="preserve">Mazda</t>
        </is>
      </c>
      <c r="F6876" s="0" t="s">
        <v>28</v>
      </c>
      <c r="G6876" s="0" t="s">
        <v>29</v>
      </c>
      <c r="H6876" s="5">
        <v>146.471200</v>
      </c>
    </row>
    <row r="6877" spans="1:9">
      <c r="A6877" s="22" t="str">
        <f>HYPERLINK("https://app.vivvix.com/360/KMI/IntelliDrive/ApplUI/Pages/CreativePages/CustomReportCreativeDetail.aspx?App=23&amp;ReportView=4&amp;Qid=1711279&amp;Row=6869&amp;Col=1","No Title Assigned - #15270127183")</f>
        <v/>
      </c>
      <c r="B6877" s="0" t="s">
        <v>9093</v>
      </c>
      <c r="E6877" s="0" t="inlineStr">
        <is>
          <t xml:space="preserve">Mazda</t>
        </is>
      </c>
      <c r="F6877" s="0" t="inlineStr">
        <is>
          <t xml:space="preserve">Mazda</t>
        </is>
      </c>
      <c r="G6877" s="0" t="s">
        <v>171</v>
      </c>
      <c r="H6877" s="5">
        <v>2423.494900</v>
      </c>
    </row>
    <row r="6878" spans="1:9">
      <c r="A6878" s="22" t="str">
        <f>HYPERLINK("https://app.vivvix.com/360/KMI/IntelliDrive/ApplUI/Pages/CreativePages/CustomReportCreativeDetail.aspx?App=23&amp;ReportView=4&amp;Qid=1711279&amp;Row=6870&amp;Col=1","No Title Assigned - #15270127183")</f>
        <v/>
      </c>
      <c r="B6878" s="0" t="s">
        <v>9093</v>
      </c>
      <c r="E6878" s="0" t="inlineStr">
        <is>
          <t xml:space="preserve">Mazda</t>
        </is>
      </c>
      <c r="F6878" s="0" t="inlineStr">
        <is>
          <t xml:space="preserve">Mazda</t>
        </is>
      </c>
      <c r="G6878" s="0" t="s">
        <v>171</v>
      </c>
      <c r="H6878" s="5">
        <v>28802.570000</v>
      </c>
    </row>
    <row r="6879" spans="1:9">
      <c r="A6879" s="22" t="str">
        <f>HYPERLINK("https://app.vivvix.com/360/KMI/IntelliDrive/ApplUI/Pages/CreativePages/CustomReportCreativeDetail.aspx?App=23&amp;ReportView=4&amp;Qid=1711279&amp;Row=6871&amp;Col=1","No Title Assigned - #15270127211")</f>
        <v/>
      </c>
      <c r="B6879" s="0" t="s">
        <v>9094</v>
      </c>
      <c r="E6879" s="0" t="inlineStr">
        <is>
          <t xml:space="preserve">Mazda</t>
        </is>
      </c>
      <c r="F6879" s="0" t="inlineStr">
        <is>
          <t xml:space="preserve">Mazda</t>
        </is>
      </c>
      <c r="G6879" s="0" t="s">
        <v>171</v>
      </c>
      <c r="H6879" s="5">
        <v>666.519900</v>
      </c>
    </row>
    <row r="6880" spans="1:9">
      <c r="A6880" s="22" t="str">
        <f>HYPERLINK("https://app.vivvix.com/360/KMI/IntelliDrive/ApplUI/Pages/CreativePages/CustomReportCreativeDetail.aspx?App=23&amp;ReportView=4&amp;Qid=1711279&amp;Row=6872&amp;Col=1","No Title Assigned - #15270127427")</f>
        <v/>
      </c>
      <c r="B6880" s="0" t="s">
        <v>9095</v>
      </c>
      <c r="E6880" s="0" t="inlineStr">
        <is>
          <t xml:space="preserve">Mazda</t>
        </is>
      </c>
      <c r="F6880" s="0" t="inlineStr">
        <is>
          <t xml:space="preserve">Mazda</t>
        </is>
      </c>
      <c r="G6880" s="0" t="s">
        <v>171</v>
      </c>
      <c r="H6880" s="5">
        <v>6.177900</v>
      </c>
    </row>
    <row r="6881" spans="1:9">
      <c r="A6881" s="22" t="str">
        <f>HYPERLINK("https://app.vivvix.com/360/KMI/IntelliDrive/ApplUI/Pages/CreativePages/CustomReportCreativeDetail.aspx?App=23&amp;ReportView=4&amp;Qid=1711279&amp;Row=6873&amp;Col=1","No Title Assigned - #15270127490")</f>
        <v/>
      </c>
      <c r="B6881" s="0" t="s">
        <v>9096</v>
      </c>
      <c r="E6881" s="0" t="inlineStr">
        <is>
          <t xml:space="preserve">Mazda</t>
        </is>
      </c>
      <c r="F6881" s="0" t="inlineStr">
        <is>
          <t xml:space="preserve">Mazda</t>
        </is>
      </c>
      <c r="G6881" s="0" t="s">
        <v>171</v>
      </c>
      <c r="H6881" s="5">
        <v>84.707900</v>
      </c>
    </row>
    <row r="6882" spans="1:9">
      <c r="A6882" s="22" t="str">
        <f>HYPERLINK("https://app.vivvix.com/360/KMI/IntelliDrive/ApplUI/Pages/CreativePages/CustomReportCreativeDetail.aspx?App=23&amp;ReportView=4&amp;Qid=1711279&amp;Row=6874&amp;Col=1","No Title Assigned - #15270127537")</f>
        <v/>
      </c>
      <c r="B6882" s="0" t="s">
        <v>9097</v>
      </c>
      <c r="E6882" s="0" t="inlineStr">
        <is>
          <t xml:space="preserve">Mazda</t>
        </is>
      </c>
      <c r="F6882" s="0" t="inlineStr">
        <is>
          <t xml:space="preserve">Mazda</t>
        </is>
      </c>
      <c r="G6882" s="0" t="s">
        <v>171</v>
      </c>
      <c r="H6882" s="5">
        <v>23.438200</v>
      </c>
    </row>
    <row r="6883" spans="1:9">
      <c r="A6883" s="22" t="str">
        <f>HYPERLINK("https://app.vivvix.com/360/KMI/IntelliDrive/ApplUI/Pages/CreativePages/CustomReportCreativeDetail.aspx?App=23&amp;ReportView=4&amp;Qid=1711279&amp;Row=6875&amp;Col=1","No Title Assigned - #15270127577")</f>
        <v/>
      </c>
      <c r="B6883" s="0" t="s">
        <v>9098</v>
      </c>
      <c r="E6883" s="0" t="inlineStr">
        <is>
          <t xml:space="preserve">Mazda</t>
        </is>
      </c>
      <c r="F6883" s="0" t="inlineStr">
        <is>
          <t xml:space="preserve">Mazda</t>
        </is>
      </c>
      <c r="G6883" s="0" t="s">
        <v>171</v>
      </c>
      <c r="H6883" s="5">
        <v>189.603100</v>
      </c>
    </row>
    <row r="6884" spans="1:9">
      <c r="A6884" s="22" t="str">
        <f>HYPERLINK("https://app.vivvix.com/360/KMI/IntelliDrive/ApplUI/Pages/CreativePages/CustomReportCreativeDetail.aspx?App=23&amp;ReportView=4&amp;Qid=1711279&amp;Row=6876&amp;Col=1","No Title Assigned - #15270127611")</f>
        <v/>
      </c>
      <c r="B6884" s="0" t="s">
        <v>9099</v>
      </c>
      <c r="E6884" s="0" t="inlineStr">
        <is>
          <t xml:space="preserve">Mazda</t>
        </is>
      </c>
      <c r="F6884" s="0" t="inlineStr">
        <is>
          <t xml:space="preserve">Mazda</t>
        </is>
      </c>
      <c r="G6884" s="0" t="s">
        <v>171</v>
      </c>
      <c r="H6884" s="5">
        <v>885.411600</v>
      </c>
    </row>
    <row r="6885" spans="1:9">
      <c r="A6885" s="22" t="str">
        <f>HYPERLINK("https://app.vivvix.com/360/KMI/IntelliDrive/ApplUI/Pages/CreativePages/CustomReportCreativeDetail.aspx?App=23&amp;ReportView=4&amp;Qid=1711279&amp;Row=6877&amp;Col=1","No Title Assigned - #15270127638")</f>
        <v/>
      </c>
      <c r="B6885" s="0" t="s">
        <v>9100</v>
      </c>
      <c r="E6885" s="0" t="inlineStr">
        <is>
          <t xml:space="preserve">Mazda</t>
        </is>
      </c>
      <c r="F6885" s="0" t="inlineStr">
        <is>
          <t xml:space="preserve">Mazda</t>
        </is>
      </c>
      <c r="G6885" s="0" t="s">
        <v>171</v>
      </c>
      <c r="H6885" s="5">
        <v>5.069100</v>
      </c>
    </row>
    <row r="6886" spans="1:9">
      <c r="A6886" s="22" t="str">
        <f>HYPERLINK("https://app.vivvix.com/360/KMI/IntelliDrive/ApplUI/Pages/CreativePages/CustomReportCreativeDetail.aspx?App=23&amp;ReportView=4&amp;Qid=1711279&amp;Row=6878&amp;Col=1","No Title Assigned - #15270127830")</f>
        <v/>
      </c>
      <c r="B6886" s="0" t="s">
        <v>9101</v>
      </c>
      <c r="E6886" s="0" t="inlineStr">
        <is>
          <t xml:space="preserve">Mazda</t>
        </is>
      </c>
      <c r="F6886" s="0" t="inlineStr">
        <is>
          <t xml:space="preserve">Mazda</t>
        </is>
      </c>
      <c r="G6886" s="0" t="s">
        <v>171</v>
      </c>
      <c r="H6886" s="5">
        <v>17.463300</v>
      </c>
    </row>
    <row r="6887" spans="1:9">
      <c r="A6887" s="22" t="str">
        <f>HYPERLINK("https://app.vivvix.com/360/KMI/IntelliDrive/ApplUI/Pages/CreativePages/CustomReportCreativeDetail.aspx?App=23&amp;ReportView=4&amp;Qid=1711279&amp;Row=6879&amp;Col=1","No Title Assigned - #15270127844")</f>
        <v/>
      </c>
      <c r="B6887" s="0" t="s">
        <v>9102</v>
      </c>
      <c r="E6887" s="0" t="inlineStr">
        <is>
          <t xml:space="preserve">Mazda</t>
        </is>
      </c>
      <c r="F6887" s="0" t="inlineStr">
        <is>
          <t xml:space="preserve">Mazda</t>
        </is>
      </c>
      <c r="G6887" s="0" t="s">
        <v>171</v>
      </c>
      <c r="H6887" s="5">
        <v>275.349900</v>
      </c>
    </row>
    <row r="6888" spans="1:9">
      <c r="A6888" s="22" t="str">
        <f>HYPERLINK("https://app.vivvix.com/360/KMI/IntelliDrive/ApplUI/Pages/CreativePages/CustomReportCreativeDetail.aspx?App=23&amp;ReportView=4&amp;Qid=1711279&amp;Row=6880&amp;Col=1","No Title Assigned - #15270127894")</f>
        <v/>
      </c>
      <c r="B6888" s="0" t="s">
        <v>9103</v>
      </c>
      <c r="E6888" s="0" t="inlineStr">
        <is>
          <t xml:space="preserve">Mazda</t>
        </is>
      </c>
      <c r="F6888" s="0" t="inlineStr">
        <is>
          <t xml:space="preserve">Mazda</t>
        </is>
      </c>
      <c r="G6888" s="0" t="s">
        <v>171</v>
      </c>
      <c r="H6888" s="5">
        <v>206.846200</v>
      </c>
    </row>
    <row r="6889" spans="1:9">
      <c r="A6889" s="22" t="str">
        <f>HYPERLINK("https://app.vivvix.com/360/KMI/IntelliDrive/ApplUI/Pages/CreativePages/CustomReportCreativeDetail.aspx?App=23&amp;ReportView=4&amp;Qid=1711279&amp;Row=6881&amp;Col=1","No Title Assigned - #15270127894")</f>
        <v/>
      </c>
      <c r="B6889" s="0" t="s">
        <v>9103</v>
      </c>
      <c r="E6889" s="0" t="inlineStr">
        <is>
          <t xml:space="preserve">Mazda</t>
        </is>
      </c>
      <c r="F6889" s="0" t="inlineStr">
        <is>
          <t xml:space="preserve">Mazda</t>
        </is>
      </c>
      <c r="G6889" s="0" t="s">
        <v>171</v>
      </c>
      <c r="H6889" s="5">
        <v>57.537900</v>
      </c>
    </row>
    <row r="6890" spans="1:9">
      <c r="A6890" s="22" t="str">
        <f>HYPERLINK("https://app.vivvix.com/360/KMI/IntelliDrive/ApplUI/Pages/CreativePages/CustomReportCreativeDetail.aspx?App=23&amp;ReportView=4&amp;Qid=1711279&amp;Row=6882&amp;Col=1","No Title Assigned - #15270127982")</f>
        <v/>
      </c>
      <c r="B6890" s="0" t="s">
        <v>9104</v>
      </c>
      <c r="E6890" s="0" t="inlineStr">
        <is>
          <t xml:space="preserve">Mazda</t>
        </is>
      </c>
      <c r="F6890" s="0" t="inlineStr">
        <is>
          <t xml:space="preserve">Mazda</t>
        </is>
      </c>
      <c r="G6890" s="0" t="s">
        <v>171</v>
      </c>
      <c r="H6890" s="5">
        <v>15.123400</v>
      </c>
    </row>
    <row r="6891" spans="1:9">
      <c r="A6891" s="22" t="str">
        <f>HYPERLINK("https://app.vivvix.com/360/KMI/IntelliDrive/ApplUI/Pages/CreativePages/CustomReportCreativeDetail.aspx?App=23&amp;ReportView=4&amp;Qid=1711279&amp;Row=6883&amp;Col=1","No Title Assigned - #15270127996")</f>
        <v/>
      </c>
      <c r="B6891" s="0" t="s">
        <v>9105</v>
      </c>
      <c r="E6891" s="0" t="inlineStr">
        <is>
          <t xml:space="preserve">Mazda</t>
        </is>
      </c>
      <c r="F6891" s="0" t="inlineStr">
        <is>
          <t xml:space="preserve">Mazda</t>
        </is>
      </c>
      <c r="G6891" s="0" t="s">
        <v>171</v>
      </c>
      <c r="H6891" s="5">
        <v>12.720200</v>
      </c>
    </row>
    <row r="6892" spans="1:9">
      <c r="A6892" s="22" t="str">
        <f>HYPERLINK("https://app.vivvix.com/360/KMI/IntelliDrive/ApplUI/Pages/CreativePages/CustomReportCreativeDetail.aspx?App=23&amp;ReportView=4&amp;Qid=1711279&amp;Row=6884&amp;Col=1","No Title Assigned - #15270128363")</f>
        <v/>
      </c>
      <c r="B6892" s="0" t="s">
        <v>9106</v>
      </c>
      <c r="C6892" s="0" t="s">
        <v>9107</v>
      </c>
      <c r="D6892" s="0" t="s">
        <v>9107</v>
      </c>
      <c r="E6892" s="0" t="inlineStr">
        <is>
          <t xml:space="preserve">Mazda</t>
        </is>
      </c>
      <c r="F6892" s="0" t="inlineStr">
        <is>
          <t xml:space="preserve">Mazda</t>
        </is>
      </c>
      <c r="G6892" s="0" t="s">
        <v>171</v>
      </c>
      <c r="H6892" s="5">
        <v>16046.335100</v>
      </c>
    </row>
    <row r="6893" spans="1:9">
      <c r="A6893" s="22" t="str">
        <f>HYPERLINK("https://app.vivvix.com/360/KMI/IntelliDrive/ApplUI/Pages/CreativePages/CustomReportCreativeDetail.aspx?App=23&amp;ReportView=4&amp;Qid=1711279&amp;Row=6885&amp;Col=1","No Title Assigned - #15270128363")</f>
        <v/>
      </c>
      <c r="B6893" s="0" t="s">
        <v>9106</v>
      </c>
      <c r="E6893" s="0" t="inlineStr">
        <is>
          <t xml:space="preserve">Mazda</t>
        </is>
      </c>
      <c r="F6893" s="0" t="inlineStr">
        <is>
          <t xml:space="preserve">Mazda</t>
        </is>
      </c>
      <c r="G6893" s="0" t="s">
        <v>171</v>
      </c>
      <c r="H6893" s="5">
        <v>317.139200</v>
      </c>
    </row>
    <row r="6894" spans="1:9">
      <c r="A6894" s="22" t="str">
        <f>HYPERLINK("https://app.vivvix.com/360/KMI/IntelliDrive/ApplUI/Pages/CreativePages/CustomReportCreativeDetail.aspx?App=23&amp;ReportView=4&amp;Qid=1711279&amp;Row=6886&amp;Col=1","No Title Assigned - #15270128457")</f>
        <v/>
      </c>
      <c r="B6894" s="0" t="s">
        <v>9108</v>
      </c>
      <c r="C6894" s="0" t="s">
        <v>9109</v>
      </c>
      <c r="D6894" s="0" t="s">
        <v>9109</v>
      </c>
      <c r="E6894" s="0" t="inlineStr">
        <is>
          <t xml:space="preserve">Mazda</t>
        </is>
      </c>
      <c r="F6894" s="0" t="inlineStr">
        <is>
          <t xml:space="preserve">Mazda</t>
        </is>
      </c>
      <c r="G6894" s="0" t="s">
        <v>171</v>
      </c>
      <c r="H6894" s="5">
        <v>661.954800</v>
      </c>
    </row>
    <row r="6895" spans="1:9">
      <c r="A6895" s="22" t="str">
        <f>HYPERLINK("https://app.vivvix.com/360/KMI/IntelliDrive/ApplUI/Pages/CreativePages/CustomReportCreativeDetail.aspx?App=23&amp;ReportView=4&amp;Qid=1711279&amp;Row=6887&amp;Col=1","No Title Assigned - #15270128623")</f>
        <v/>
      </c>
      <c r="B6895" s="0" t="s">
        <v>9110</v>
      </c>
      <c r="E6895" s="0" t="inlineStr">
        <is>
          <t xml:space="preserve">Mazda</t>
        </is>
      </c>
      <c r="F6895" s="0" t="inlineStr">
        <is>
          <t xml:space="preserve">Mazda</t>
        </is>
      </c>
      <c r="G6895" s="0" t="s">
        <v>171</v>
      </c>
      <c r="H6895" s="5">
        <v>58.166600</v>
      </c>
    </row>
    <row r="6896" spans="1:9">
      <c r="A6896" s="22" t="str">
        <f>HYPERLINK("https://app.vivvix.com/360/KMI/IntelliDrive/ApplUI/Pages/CreativePages/CustomReportCreativeDetail.aspx?App=23&amp;ReportView=4&amp;Qid=1711279&amp;Row=6888&amp;Col=1","No Title Assigned - #15270128790")</f>
        <v/>
      </c>
      <c r="B6896" s="0" t="s">
        <v>9111</v>
      </c>
      <c r="E6896" s="0" t="inlineStr">
        <is>
          <t xml:space="preserve">Mazda</t>
        </is>
      </c>
      <c r="F6896" s="0" t="inlineStr">
        <is>
          <t xml:space="preserve">Mazda</t>
        </is>
      </c>
      <c r="G6896" s="0" t="s">
        <v>171</v>
      </c>
      <c r="H6896" s="5">
        <v>5.080700</v>
      </c>
    </row>
    <row r="6897" spans="1:9">
      <c r="A6897" s="22" t="str">
        <f>HYPERLINK("https://app.vivvix.com/360/KMI/IntelliDrive/ApplUI/Pages/CreativePages/CustomReportCreativeDetail.aspx?App=23&amp;ReportView=4&amp;Qid=1711279&amp;Row=6889&amp;Col=1","No Title Assigned - #15270129265")</f>
        <v/>
      </c>
      <c r="B6897" s="0" t="s">
        <v>9112</v>
      </c>
      <c r="C6897" s="0" t="s">
        <v>9113</v>
      </c>
      <c r="D6897" s="0" t="s">
        <v>9113</v>
      </c>
      <c r="E6897" s="0" t="inlineStr">
        <is>
          <t xml:space="preserve">Mazda</t>
        </is>
      </c>
      <c r="F6897" s="0" t="inlineStr">
        <is>
          <t xml:space="preserve">Mazda</t>
        </is>
      </c>
      <c r="G6897" s="0" t="s">
        <v>171</v>
      </c>
      <c r="H6897" s="5">
        <v>154.738300</v>
      </c>
    </row>
    <row r="6898" spans="1:9">
      <c r="A6898" s="22" t="str">
        <f>HYPERLINK("https://app.vivvix.com/360/KMI/IntelliDrive/ApplUI/Pages/CreativePages/CustomReportCreativeDetail.aspx?App=23&amp;ReportView=4&amp;Qid=1711279&amp;Row=6890&amp;Col=1","No Title Assigned - #15270129587")</f>
        <v/>
      </c>
      <c r="B6898" s="0" t="s">
        <v>9114</v>
      </c>
      <c r="E6898" s="0" t="inlineStr">
        <is>
          <t xml:space="preserve">Mazda</t>
        </is>
      </c>
      <c r="F6898" s="0" t="inlineStr">
        <is>
          <t xml:space="preserve">Mazda</t>
        </is>
      </c>
      <c r="G6898" s="0" t="s">
        <v>171</v>
      </c>
      <c r="H6898" s="5">
        <v>17.794700</v>
      </c>
    </row>
    <row r="6899" spans="1:9">
      <c r="A6899" s="22" t="str">
        <f>HYPERLINK("https://app.vivvix.com/360/KMI/IntelliDrive/ApplUI/Pages/CreativePages/CustomReportCreativeDetail.aspx?App=23&amp;ReportView=4&amp;Qid=1711279&amp;Row=6891&amp;Col=1","No Title Assigned - #15270129672")</f>
        <v/>
      </c>
      <c r="B6899" s="0" t="s">
        <v>9115</v>
      </c>
      <c r="E6899" s="0" t="inlineStr">
        <is>
          <t xml:space="preserve">Mazda</t>
        </is>
      </c>
      <c r="F6899" s="0" t="inlineStr">
        <is>
          <t xml:space="preserve">Mazda</t>
        </is>
      </c>
      <c r="G6899" s="0" t="s">
        <v>171</v>
      </c>
      <c r="H6899" s="5">
        <v>5.615000</v>
      </c>
    </row>
    <row r="6900" spans="1:9">
      <c r="A6900" s="22" t="str">
        <f>HYPERLINK("https://app.vivvix.com/360/KMI/IntelliDrive/ApplUI/Pages/CreativePages/CustomReportCreativeDetail.aspx?App=23&amp;ReportView=4&amp;Qid=1711279&amp;Row=6892&amp;Col=1","No Title Assigned - #15270129901")</f>
        <v/>
      </c>
      <c r="B6900" s="0" t="s">
        <v>9116</v>
      </c>
      <c r="E6900" s="0" t="inlineStr">
        <is>
          <t xml:space="preserve">Mazda</t>
        </is>
      </c>
      <c r="F6900" s="0" t="inlineStr">
        <is>
          <t xml:space="preserve">Mazda</t>
        </is>
      </c>
      <c r="G6900" s="0" t="s">
        <v>171</v>
      </c>
      <c r="H6900" s="5">
        <v>4533.750800</v>
      </c>
    </row>
    <row r="6901" spans="1:9">
      <c r="A6901" s="22" t="str">
        <f>HYPERLINK("https://app.vivvix.com/360/KMI/IntelliDrive/ApplUI/Pages/CreativePages/CustomReportCreativeDetail.aspx?App=23&amp;ReportView=4&amp;Qid=1711279&amp;Row=6893&amp;Col=1","No Title Assigned - #15270130631")</f>
        <v/>
      </c>
      <c r="B6901" s="0" t="s">
        <v>9117</v>
      </c>
      <c r="E6901" s="0" t="inlineStr">
        <is>
          <t xml:space="preserve">Mazda</t>
        </is>
      </c>
      <c r="F6901" s="0" t="inlineStr">
        <is>
          <t xml:space="preserve">Mazda</t>
        </is>
      </c>
      <c r="G6901" s="0" t="s">
        <v>171</v>
      </c>
      <c r="H6901" s="5">
        <v>13.501200</v>
      </c>
    </row>
    <row r="6902" spans="1:9">
      <c r="A6902" s="22" t="str">
        <f>HYPERLINK("https://app.vivvix.com/360/KMI/IntelliDrive/ApplUI/Pages/CreativePages/CustomReportCreativeDetail.aspx?App=23&amp;ReportView=4&amp;Qid=1711279&amp;Row=6894&amp;Col=1","No Title Assigned - #15270131073")</f>
        <v/>
      </c>
      <c r="B6902" s="0" t="s">
        <v>9118</v>
      </c>
      <c r="E6902" s="0" t="inlineStr">
        <is>
          <t xml:space="preserve">Mazda</t>
        </is>
      </c>
      <c r="F6902" s="0" t="inlineStr">
        <is>
          <t xml:space="preserve">Mazda</t>
        </is>
      </c>
      <c r="G6902" s="0" t="s">
        <v>171</v>
      </c>
      <c r="H6902" s="5">
        <v>3412.534500</v>
      </c>
    </row>
    <row r="6903" spans="1:9">
      <c r="A6903" s="22" t="str">
        <f>HYPERLINK("https://app.vivvix.com/360/KMI/IntelliDrive/ApplUI/Pages/CreativePages/CustomReportCreativeDetail.aspx?App=23&amp;ReportView=4&amp;Qid=1711279&amp;Row=6895&amp;Col=1","No Title Assigned - #15270131073")</f>
        <v/>
      </c>
      <c r="B6903" s="0" t="s">
        <v>9118</v>
      </c>
      <c r="E6903" s="0" t="inlineStr">
        <is>
          <t xml:space="preserve">Mazda</t>
        </is>
      </c>
      <c r="F6903" s="0" t="inlineStr">
        <is>
          <t xml:space="preserve">Mazda</t>
        </is>
      </c>
      <c r="G6903" s="0" t="s">
        <v>171</v>
      </c>
      <c r="H6903" s="5">
        <v>21992.894200</v>
      </c>
    </row>
    <row r="6904" spans="1:9">
      <c r="A6904" s="22" t="str">
        <f>HYPERLINK("https://app.vivvix.com/360/KMI/IntelliDrive/ApplUI/Pages/CreativePages/CustomReportCreativeDetail.aspx?App=23&amp;ReportView=4&amp;Qid=1711279&amp;Row=6896&amp;Col=1","No Title Assigned - #15270131160")</f>
        <v/>
      </c>
      <c r="B6904" s="0" t="s">
        <v>9119</v>
      </c>
      <c r="E6904" s="0" t="inlineStr">
        <is>
          <t xml:space="preserve">Mazda</t>
        </is>
      </c>
      <c r="F6904" s="0" t="inlineStr">
        <is>
          <t xml:space="preserve">Mazda</t>
        </is>
      </c>
      <c r="G6904" s="0" t="s">
        <v>171</v>
      </c>
      <c r="H6904" s="5">
        <v>113.825900</v>
      </c>
    </row>
    <row r="6905" spans="1:9">
      <c r="A6905" s="22" t="str">
        <f>HYPERLINK("https://app.vivvix.com/360/KMI/IntelliDrive/ApplUI/Pages/CreativePages/CustomReportCreativeDetail.aspx?App=23&amp;ReportView=4&amp;Qid=1711279&amp;Row=6897&amp;Col=1","No Title Assigned - #15270131229")</f>
        <v/>
      </c>
      <c r="B6905" s="0" t="s">
        <v>9120</v>
      </c>
      <c r="E6905" s="0" t="inlineStr">
        <is>
          <t xml:space="preserve">Mazda</t>
        </is>
      </c>
      <c r="F6905" s="0" t="inlineStr">
        <is>
          <t xml:space="preserve">Mazda</t>
        </is>
      </c>
      <c r="G6905" s="0" t="s">
        <v>171</v>
      </c>
      <c r="H6905" s="5">
        <v>240.380000</v>
      </c>
    </row>
    <row r="6906" spans="1:9">
      <c r="A6906" s="22" t="str">
        <f>HYPERLINK("https://app.vivvix.com/360/KMI/IntelliDrive/ApplUI/Pages/CreativePages/CustomReportCreativeDetail.aspx?App=23&amp;ReportView=4&amp;Qid=1711279&amp;Row=6898&amp;Col=1","No Title Assigned - #15270131582")</f>
        <v/>
      </c>
      <c r="B6906" s="0" t="s">
        <v>9121</v>
      </c>
      <c r="C6906" s="0" t="s">
        <v>9122</v>
      </c>
      <c r="D6906" s="0" t="s">
        <v>9122</v>
      </c>
      <c r="E6906" s="0" t="inlineStr">
        <is>
          <t xml:space="preserve">Mazda</t>
        </is>
      </c>
      <c r="F6906" s="0" t="inlineStr">
        <is>
          <t xml:space="preserve">Mazda</t>
        </is>
      </c>
      <c r="G6906" s="0" t="s">
        <v>171</v>
      </c>
      <c r="H6906" s="5">
        <v>188.298800</v>
      </c>
    </row>
    <row r="6907" spans="1:9">
      <c r="A6907" s="22" t="str">
        <f>HYPERLINK("https://app.vivvix.com/360/KMI/IntelliDrive/ApplUI/Pages/CreativePages/CustomReportCreativeDetail.aspx?App=23&amp;ReportView=4&amp;Qid=1711279&amp;Row=6899&amp;Col=1","No Title Assigned - #15270131583")</f>
        <v/>
      </c>
      <c r="B6907" s="0" t="s">
        <v>9123</v>
      </c>
      <c r="C6907" s="0" t="s">
        <v>9124</v>
      </c>
      <c r="D6907" s="0" t="s">
        <v>9124</v>
      </c>
      <c r="E6907" s="0" t="inlineStr">
        <is>
          <t xml:space="preserve">Mazda</t>
        </is>
      </c>
      <c r="F6907" s="0" t="inlineStr">
        <is>
          <t xml:space="preserve">Mazda</t>
        </is>
      </c>
      <c r="G6907" s="0" t="s">
        <v>171</v>
      </c>
      <c r="H6907" s="5">
        <v>188.298800</v>
      </c>
    </row>
    <row r="6908" spans="1:9">
      <c r="A6908" s="22" t="str">
        <f>HYPERLINK("https://app.vivvix.com/360/KMI/IntelliDrive/ApplUI/Pages/CreativePages/CustomReportCreativeDetail.aspx?App=23&amp;ReportView=4&amp;Qid=1711279&amp;Row=6900&amp;Col=1","No Title Assigned - #15270131639")</f>
        <v/>
      </c>
      <c r="B6908" s="0" t="s">
        <v>9125</v>
      </c>
      <c r="C6908" s="0" t="s">
        <v>9126</v>
      </c>
      <c r="D6908" s="0" t="s">
        <v>9126</v>
      </c>
      <c r="E6908" s="0" t="inlineStr">
        <is>
          <t xml:space="preserve">Mazda</t>
        </is>
      </c>
      <c r="F6908" s="0" t="inlineStr">
        <is>
          <t xml:space="preserve">Mazda</t>
        </is>
      </c>
      <c r="G6908" s="0" t="s">
        <v>171</v>
      </c>
      <c r="H6908" s="5">
        <v>21.048100</v>
      </c>
    </row>
    <row r="6909" spans="1:9">
      <c r="A6909" s="22" t="str">
        <f>HYPERLINK("https://app.vivvix.com/360/KMI/IntelliDrive/ApplUI/Pages/CreativePages/CustomReportCreativeDetail.aspx?App=23&amp;ReportView=4&amp;Qid=1711279&amp;Row=6901&amp;Col=1","No Title Assigned - #15270131768")</f>
        <v/>
      </c>
      <c r="B6909" s="0" t="s">
        <v>9127</v>
      </c>
      <c r="E6909" s="0" t="inlineStr">
        <is>
          <t xml:space="preserve">Mazda</t>
        </is>
      </c>
      <c r="F6909" s="0" t="inlineStr">
        <is>
          <t xml:space="preserve">Mazda</t>
        </is>
      </c>
      <c r="G6909" s="0" t="s">
        <v>171</v>
      </c>
      <c r="H6909" s="5">
        <v>3.445700</v>
      </c>
    </row>
    <row r="6910" spans="1:9">
      <c r="A6910" s="22" t="str">
        <f>HYPERLINK("https://app.vivvix.com/360/KMI/IntelliDrive/ApplUI/Pages/CreativePages/CustomReportCreativeDetail.aspx?App=23&amp;ReportView=4&amp;Qid=1711279&amp;Row=6902&amp;Col=1","No Title Assigned - #15270131827")</f>
        <v/>
      </c>
      <c r="B6910" s="0" t="s">
        <v>9128</v>
      </c>
      <c r="E6910" s="0" t="inlineStr">
        <is>
          <t xml:space="preserve">Mazda</t>
        </is>
      </c>
      <c r="F6910" s="0" t="inlineStr">
        <is>
          <t xml:space="preserve">Mazda</t>
        </is>
      </c>
      <c r="G6910" s="0" t="s">
        <v>171</v>
      </c>
      <c r="H6910" s="5">
        <v>23081.201200</v>
      </c>
    </row>
    <row r="6911" spans="1:9">
      <c r="A6911" s="22" t="str">
        <f>HYPERLINK("https://app.vivvix.com/360/KMI/IntelliDrive/ApplUI/Pages/CreativePages/CustomReportCreativeDetail.aspx?App=23&amp;ReportView=4&amp;Qid=1711279&amp;Row=6903&amp;Col=1","No Title Assigned - #15270131828")</f>
        <v/>
      </c>
      <c r="B6911" s="0" t="s">
        <v>9129</v>
      </c>
      <c r="E6911" s="0" t="inlineStr">
        <is>
          <t xml:space="preserve">Mazda</t>
        </is>
      </c>
      <c r="F6911" s="0" t="inlineStr">
        <is>
          <t xml:space="preserve">Mazda</t>
        </is>
      </c>
      <c r="G6911" s="0" t="s">
        <v>171</v>
      </c>
      <c r="H6911" s="5">
        <v>23081.201200</v>
      </c>
    </row>
    <row r="6912" spans="1:9">
      <c r="A6912" s="22" t="str">
        <f>HYPERLINK("https://app.vivvix.com/360/KMI/IntelliDrive/ApplUI/Pages/CreativePages/CustomReportCreativeDetail.aspx?App=23&amp;ReportView=4&amp;Qid=1711279&amp;Row=6904&amp;Col=1","No Title Assigned - #15270132049")</f>
        <v/>
      </c>
      <c r="B6912" s="0" t="s">
        <v>9130</v>
      </c>
      <c r="E6912" s="0" t="inlineStr">
        <is>
          <t xml:space="preserve">Mazda</t>
        </is>
      </c>
      <c r="F6912" s="0" t="inlineStr">
        <is>
          <t xml:space="preserve">Mazda</t>
        </is>
      </c>
      <c r="G6912" s="0" t="s">
        <v>171</v>
      </c>
      <c r="H6912" s="5">
        <v>71.627000</v>
      </c>
    </row>
    <row r="6913" spans="1:9">
      <c r="A6913" s="22" t="str">
        <f>HYPERLINK("https://app.vivvix.com/360/KMI/IntelliDrive/ApplUI/Pages/CreativePages/CustomReportCreativeDetail.aspx?App=23&amp;ReportView=4&amp;Qid=1711279&amp;Row=6905&amp;Col=1","No Title Assigned - #15270132124")</f>
        <v/>
      </c>
      <c r="B6913" s="0" t="s">
        <v>9131</v>
      </c>
      <c r="E6913" s="0" t="inlineStr">
        <is>
          <t xml:space="preserve">Mazda</t>
        </is>
      </c>
      <c r="F6913" s="0" t="inlineStr">
        <is>
          <t xml:space="preserve">Mazda</t>
        </is>
      </c>
      <c r="G6913" s="0" t="s">
        <v>171</v>
      </c>
      <c r="H6913" s="5">
        <v>917.355100</v>
      </c>
    </row>
    <row r="6914" spans="1:9">
      <c r="A6914" s="22" t="str">
        <f>HYPERLINK("https://app.vivvix.com/360/KMI/IntelliDrive/ApplUI/Pages/CreativePages/CustomReportCreativeDetail.aspx?App=23&amp;ReportView=4&amp;Qid=1711279&amp;Row=6906&amp;Col=1","No Title Assigned - #15270132222")</f>
        <v/>
      </c>
      <c r="B6914" s="0" t="s">
        <v>9132</v>
      </c>
      <c r="E6914" s="0" t="inlineStr">
        <is>
          <t xml:space="preserve">Mazda</t>
        </is>
      </c>
      <c r="F6914" s="0" t="inlineStr">
        <is>
          <t xml:space="preserve">Mazda</t>
        </is>
      </c>
      <c r="G6914" s="0" t="s">
        <v>171</v>
      </c>
      <c r="H6914" s="5">
        <v>177.242500</v>
      </c>
    </row>
    <row r="6915" spans="1:9">
      <c r="A6915" s="22" t="str">
        <f>HYPERLINK("https://app.vivvix.com/360/KMI/IntelliDrive/ApplUI/Pages/CreativePages/CustomReportCreativeDetail.aspx?App=23&amp;ReportView=4&amp;Qid=1711279&amp;Row=6907&amp;Col=1","No Title Assigned - #15270132269")</f>
        <v/>
      </c>
      <c r="B6915" s="0" t="s">
        <v>9133</v>
      </c>
      <c r="E6915" s="0" t="inlineStr">
        <is>
          <t xml:space="preserve">Mazda</t>
        </is>
      </c>
      <c r="F6915" s="0" t="inlineStr">
        <is>
          <t xml:space="preserve">Mazda</t>
        </is>
      </c>
      <c r="G6915" s="0" t="s">
        <v>171</v>
      </c>
      <c r="H6915" s="5">
        <v>0.952900</v>
      </c>
    </row>
    <row r="6916" spans="1:9">
      <c r="A6916" s="22" t="str">
        <f>HYPERLINK("https://app.vivvix.com/360/KMI/IntelliDrive/ApplUI/Pages/CreativePages/CustomReportCreativeDetail.aspx?App=23&amp;ReportView=4&amp;Qid=1711279&amp;Row=6908&amp;Col=1","No Title Assigned - #15270132351")</f>
        <v/>
      </c>
      <c r="B6916" s="0" t="s">
        <v>9134</v>
      </c>
      <c r="E6916" s="0" t="inlineStr">
        <is>
          <t xml:space="preserve">Mazda</t>
        </is>
      </c>
      <c r="F6916" s="0" t="inlineStr">
        <is>
          <t xml:space="preserve">Mazda</t>
        </is>
      </c>
      <c r="G6916" s="0" t="s">
        <v>171</v>
      </c>
      <c r="H6916" s="5">
        <v>241.364100</v>
      </c>
    </row>
    <row r="6917" spans="1:9">
      <c r="A6917" s="22" t="str">
        <f>HYPERLINK("https://app.vivvix.com/360/KMI/IntelliDrive/ApplUI/Pages/CreativePages/CustomReportCreativeDetail.aspx?App=23&amp;ReportView=4&amp;Qid=1711279&amp;Row=6909&amp;Col=1","No Title Assigned - #15270132462")</f>
        <v/>
      </c>
      <c r="B6917" s="0" t="s">
        <v>9135</v>
      </c>
      <c r="C6917" s="0" t="s">
        <v>9136</v>
      </c>
      <c r="D6917" s="0" t="s">
        <v>9136</v>
      </c>
      <c r="E6917" s="0" t="inlineStr">
        <is>
          <t xml:space="preserve">Mazda</t>
        </is>
      </c>
      <c r="F6917" s="0" t="inlineStr">
        <is>
          <t xml:space="preserve">Mazda</t>
        </is>
      </c>
      <c r="G6917" s="0" t="s">
        <v>171</v>
      </c>
      <c r="H6917" s="5">
        <v>1605.988700</v>
      </c>
    </row>
    <row r="6918" spans="1:9">
      <c r="A6918" s="22" t="str">
        <f>HYPERLINK("https://app.vivvix.com/360/KMI/IntelliDrive/ApplUI/Pages/CreativePages/CustomReportCreativeDetail.aspx?App=23&amp;ReportView=4&amp;Qid=1711279&amp;Row=6910&amp;Col=1","No Title Assigned - #15270132462")</f>
        <v/>
      </c>
      <c r="B6918" s="0" t="s">
        <v>9135</v>
      </c>
      <c r="E6918" s="0" t="inlineStr">
        <is>
          <t xml:space="preserve">Mazda</t>
        </is>
      </c>
      <c r="F6918" s="0" t="inlineStr">
        <is>
          <t xml:space="preserve">Mazda</t>
        </is>
      </c>
      <c r="G6918" s="0" t="s">
        <v>171</v>
      </c>
      <c r="H6918" s="5">
        <v>16219.755000</v>
      </c>
    </row>
    <row r="6919" spans="1:9">
      <c r="A6919" s="22" t="str">
        <f>HYPERLINK("https://app.vivvix.com/360/KMI/IntelliDrive/ApplUI/Pages/CreativePages/CustomReportCreativeDetail.aspx?App=23&amp;ReportView=4&amp;Qid=1711279&amp;Row=6911&amp;Col=1","No Title Assigned - #15270132503")</f>
        <v/>
      </c>
      <c r="B6919" s="0" t="s">
        <v>9137</v>
      </c>
      <c r="E6919" s="0" t="inlineStr">
        <is>
          <t xml:space="preserve">Mazda</t>
        </is>
      </c>
      <c r="F6919" s="0" t="inlineStr">
        <is>
          <t xml:space="preserve">Mazda</t>
        </is>
      </c>
      <c r="G6919" s="0" t="s">
        <v>171</v>
      </c>
      <c r="H6919" s="5">
        <v>210216.645800</v>
      </c>
    </row>
    <row r="6920" spans="1:9">
      <c r="A6920" s="22" t="str">
        <f>HYPERLINK("https://app.vivvix.com/360/KMI/IntelliDrive/ApplUI/Pages/CreativePages/CustomReportCreativeDetail.aspx?App=23&amp;ReportView=4&amp;Qid=1711279&amp;Row=6912&amp;Col=1","No Title Assigned - #15270132503")</f>
        <v/>
      </c>
      <c r="B6920" s="0" t="s">
        <v>9137</v>
      </c>
      <c r="E6920" s="0" t="inlineStr">
        <is>
          <t xml:space="preserve">Mazda</t>
        </is>
      </c>
      <c r="F6920" s="0" t="inlineStr">
        <is>
          <t xml:space="preserve">Mazda</t>
        </is>
      </c>
      <c r="G6920" s="0" t="s">
        <v>171</v>
      </c>
      <c r="H6920" s="5">
        <v>16.006700</v>
      </c>
    </row>
    <row r="6921" spans="1:9">
      <c r="A6921" s="22" t="str">
        <f>HYPERLINK("https://app.vivvix.com/360/KMI/IntelliDrive/ApplUI/Pages/CreativePages/CustomReportCreativeDetail.aspx?App=23&amp;ReportView=4&amp;Qid=1711279&amp;Row=6913&amp;Col=1","No Title Assigned - #15270132730")</f>
        <v/>
      </c>
      <c r="B6921" s="0" t="s">
        <v>9138</v>
      </c>
      <c r="E6921" s="0" t="inlineStr">
        <is>
          <t xml:space="preserve">Mazda</t>
        </is>
      </c>
      <c r="F6921" s="0" t="inlineStr">
        <is>
          <t xml:space="preserve">Mazda</t>
        </is>
      </c>
      <c r="G6921" s="0" t="s">
        <v>171</v>
      </c>
      <c r="H6921" s="5">
        <v>38.026400</v>
      </c>
    </row>
    <row r="6922" spans="1:9">
      <c r="A6922" s="22" t="str">
        <f>HYPERLINK("https://app.vivvix.com/360/KMI/IntelliDrive/ApplUI/Pages/CreativePages/CustomReportCreativeDetail.aspx?App=23&amp;ReportView=4&amp;Qid=1711279&amp;Row=6914&amp;Col=1","No Title Assigned - #15270132938")</f>
        <v/>
      </c>
      <c r="B6922" s="0" t="s">
        <v>9139</v>
      </c>
      <c r="E6922" s="0" t="inlineStr">
        <is>
          <t xml:space="preserve">Mazda</t>
        </is>
      </c>
      <c r="F6922" s="0" t="inlineStr">
        <is>
          <t xml:space="preserve">Mazda</t>
        </is>
      </c>
      <c r="G6922" s="0" t="s">
        <v>171</v>
      </c>
      <c r="H6922" s="5">
        <v>59.258200</v>
      </c>
    </row>
    <row r="6923" spans="1:9">
      <c r="A6923" s="22" t="str">
        <f>HYPERLINK("https://app.vivvix.com/360/KMI/IntelliDrive/ApplUI/Pages/CreativePages/CustomReportCreativeDetail.aspx?App=23&amp;ReportView=4&amp;Qid=1711279&amp;Row=6915&amp;Col=1","No Title Assigned - #15270133009")</f>
        <v/>
      </c>
      <c r="B6923" s="0" t="s">
        <v>9140</v>
      </c>
      <c r="E6923" s="0" t="inlineStr">
        <is>
          <t xml:space="preserve">Mazda</t>
        </is>
      </c>
      <c r="F6923" s="0" t="inlineStr">
        <is>
          <t xml:space="preserve">Mazda</t>
        </is>
      </c>
      <c r="G6923" s="0" t="s">
        <v>171</v>
      </c>
      <c r="H6923" s="5">
        <v>97.434900</v>
      </c>
    </row>
    <row r="6924" spans="1:9">
      <c r="A6924" s="22" t="str">
        <f>HYPERLINK("https://app.vivvix.com/360/KMI/IntelliDrive/ApplUI/Pages/CreativePages/CustomReportCreativeDetail.aspx?App=23&amp;ReportView=4&amp;Qid=1711279&amp;Row=6916&amp;Col=1","No Title Assigned - #15270133517")</f>
        <v/>
      </c>
      <c r="B6924" s="0" t="s">
        <v>9141</v>
      </c>
      <c r="C6924" s="0" t="s">
        <v>9142</v>
      </c>
      <c r="D6924" s="0" t="s">
        <v>9142</v>
      </c>
      <c r="E6924" s="0" t="inlineStr">
        <is>
          <t xml:space="preserve">Mazda</t>
        </is>
      </c>
      <c r="F6924" s="0" t="inlineStr">
        <is>
          <t xml:space="preserve">Mazda</t>
        </is>
      </c>
      <c r="G6924" s="0" t="s">
        <v>171</v>
      </c>
      <c r="H6924" s="5">
        <v>142.380100</v>
      </c>
    </row>
    <row r="6925" spans="1:9">
      <c r="A6925" s="22" t="str">
        <f>HYPERLINK("https://app.vivvix.com/360/KMI/IntelliDrive/ApplUI/Pages/CreativePages/CustomReportCreativeDetail.aspx?App=23&amp;ReportView=4&amp;Qid=1711279&amp;Row=6917&amp;Col=1","No Title Assigned - #15270133696")</f>
        <v/>
      </c>
      <c r="B6925" s="0" t="s">
        <v>9143</v>
      </c>
      <c r="E6925" s="0" t="inlineStr">
        <is>
          <t xml:space="preserve">Mazda</t>
        </is>
      </c>
      <c r="F6925" s="0" t="inlineStr">
        <is>
          <t xml:space="preserve">Mazda</t>
        </is>
      </c>
      <c r="G6925" s="0" t="s">
        <v>171</v>
      </c>
      <c r="H6925" s="5">
        <v>8046.669500</v>
      </c>
    </row>
    <row r="6926" spans="1:9">
      <c r="A6926" s="22" t="str">
        <f>HYPERLINK("https://app.vivvix.com/360/KMI/IntelliDrive/ApplUI/Pages/CreativePages/CustomReportCreativeDetail.aspx?App=23&amp;ReportView=4&amp;Qid=1711279&amp;Row=6918&amp;Col=1","No Title Assigned - #15270133696")</f>
        <v/>
      </c>
      <c r="B6926" s="0" t="s">
        <v>9143</v>
      </c>
      <c r="E6926" s="0" t="inlineStr">
        <is>
          <t xml:space="preserve">Mazda</t>
        </is>
      </c>
      <c r="F6926" s="0" t="inlineStr">
        <is>
          <t xml:space="preserve">Mazda</t>
        </is>
      </c>
      <c r="G6926" s="0" t="s">
        <v>171</v>
      </c>
      <c r="H6926" s="5">
        <v>7250.044600</v>
      </c>
    </row>
    <row r="6927" spans="1:9">
      <c r="A6927" s="22" t="str">
        <f>HYPERLINK("https://app.vivvix.com/360/KMI/IntelliDrive/ApplUI/Pages/CreativePages/CustomReportCreativeDetail.aspx?App=23&amp;ReportView=4&amp;Qid=1711279&amp;Row=6919&amp;Col=1","No Title Assigned - #15270133702")</f>
        <v/>
      </c>
      <c r="B6927" s="0" t="s">
        <v>9144</v>
      </c>
      <c r="E6927" s="0" t="inlineStr">
        <is>
          <t xml:space="preserve">Mazda</t>
        </is>
      </c>
      <c r="F6927" s="0" t="inlineStr">
        <is>
          <t xml:space="preserve">Mazda</t>
        </is>
      </c>
      <c r="G6927" s="0" t="s">
        <v>171</v>
      </c>
      <c r="H6927" s="5">
        <v>348.124700</v>
      </c>
    </row>
    <row r="6928" spans="1:9">
      <c r="A6928" s="22" t="str">
        <f>HYPERLINK("https://app.vivvix.com/360/KMI/IntelliDrive/ApplUI/Pages/CreativePages/CustomReportCreativeDetail.aspx?App=23&amp;ReportView=4&amp;Qid=1711279&amp;Row=6920&amp;Col=1","No Title Assigned - #15270133759")</f>
        <v/>
      </c>
      <c r="B6928" s="0" t="s">
        <v>9145</v>
      </c>
      <c r="E6928" s="0" t="inlineStr">
        <is>
          <t xml:space="preserve">Mazda</t>
        </is>
      </c>
      <c r="F6928" s="0" t="inlineStr">
        <is>
          <t xml:space="preserve">Mazda</t>
        </is>
      </c>
      <c r="G6928" s="0" t="s">
        <v>171</v>
      </c>
      <c r="H6928" s="5">
        <v>54.884500</v>
      </c>
    </row>
    <row r="6929" spans="1:9">
      <c r="A6929" s="22" t="str">
        <f>HYPERLINK("https://app.vivvix.com/360/KMI/IntelliDrive/ApplUI/Pages/CreativePages/CustomReportCreativeDetail.aspx?App=23&amp;ReportView=4&amp;Qid=1711279&amp;Row=6921&amp;Col=1","No Title Assigned - #15270133821")</f>
        <v/>
      </c>
      <c r="B6929" s="0" t="s">
        <v>9146</v>
      </c>
      <c r="E6929" s="0" t="inlineStr">
        <is>
          <t xml:space="preserve">Mazda</t>
        </is>
      </c>
      <c r="F6929" s="0" t="inlineStr">
        <is>
          <t xml:space="preserve">Mazda</t>
        </is>
      </c>
      <c r="G6929" s="0" t="s">
        <v>171</v>
      </c>
      <c r="H6929" s="5">
        <v>1098.746700</v>
      </c>
    </row>
    <row r="6930" spans="1:9">
      <c r="A6930" s="22" t="str">
        <f>HYPERLINK("https://app.vivvix.com/360/KMI/IntelliDrive/ApplUI/Pages/CreativePages/CustomReportCreativeDetail.aspx?App=23&amp;ReportView=4&amp;Qid=1711279&amp;Row=6922&amp;Col=1","No Title Assigned - #15270133821")</f>
        <v/>
      </c>
      <c r="B6930" s="0" t="s">
        <v>9146</v>
      </c>
      <c r="E6930" s="0" t="inlineStr">
        <is>
          <t xml:space="preserve">Mazda</t>
        </is>
      </c>
      <c r="F6930" s="0" t="inlineStr">
        <is>
          <t xml:space="preserve">Mazda</t>
        </is>
      </c>
      <c r="G6930" s="0" t="s">
        <v>171</v>
      </c>
      <c r="H6930" s="5">
        <v>43.900900</v>
      </c>
    </row>
    <row r="6931" spans="1:9">
      <c r="A6931" s="22" t="str">
        <f>HYPERLINK("https://app.vivvix.com/360/KMI/IntelliDrive/ApplUI/Pages/CreativePages/CustomReportCreativeDetail.aspx?App=23&amp;ReportView=4&amp;Qid=1711279&amp;Row=6923&amp;Col=1","No Title Assigned - #15270133822")</f>
        <v/>
      </c>
      <c r="B6931" s="0" t="s">
        <v>9147</v>
      </c>
      <c r="E6931" s="0" t="inlineStr">
        <is>
          <t xml:space="preserve">Mazda</t>
        </is>
      </c>
      <c r="F6931" s="0" t="inlineStr">
        <is>
          <t xml:space="preserve">Mazda</t>
        </is>
      </c>
      <c r="G6931" s="0" t="s">
        <v>171</v>
      </c>
      <c r="H6931" s="5">
        <v>26.788600</v>
      </c>
    </row>
    <row r="6932" spans="1:9">
      <c r="A6932" s="22" t="str">
        <f>HYPERLINK("https://app.vivvix.com/360/KMI/IntelliDrive/ApplUI/Pages/CreativePages/CustomReportCreativeDetail.aspx?App=23&amp;ReportView=4&amp;Qid=1711279&amp;Row=6924&amp;Col=1","No Title Assigned - #15270134756")</f>
        <v/>
      </c>
      <c r="B6932" s="0" t="s">
        <v>9148</v>
      </c>
      <c r="E6932" s="0" t="inlineStr">
        <is>
          <t xml:space="preserve">Mazda</t>
        </is>
      </c>
      <c r="F6932" s="0" t="inlineStr">
        <is>
          <t xml:space="preserve">Mazda</t>
        </is>
      </c>
      <c r="G6932" s="0" t="s">
        <v>171</v>
      </c>
      <c r="H6932" s="5">
        <v>1736.962400</v>
      </c>
    </row>
    <row r="6933" spans="1:9">
      <c r="A6933" s="22" t="str">
        <f>HYPERLINK("https://app.vivvix.com/360/KMI/IntelliDrive/ApplUI/Pages/CreativePages/CustomReportCreativeDetail.aspx?App=23&amp;ReportView=4&amp;Qid=1711279&amp;Row=6925&amp;Col=1","No Title Assigned - #15270136083")</f>
        <v/>
      </c>
      <c r="B6933" s="0" t="s">
        <v>9149</v>
      </c>
      <c r="E6933" s="0" t="inlineStr">
        <is>
          <t xml:space="preserve">Mazda</t>
        </is>
      </c>
      <c r="F6933" s="0" t="inlineStr">
        <is>
          <t xml:space="preserve">Mazda</t>
        </is>
      </c>
      <c r="G6933" s="0" t="s">
        <v>171</v>
      </c>
      <c r="H6933" s="5">
        <v>36.310600</v>
      </c>
    </row>
    <row r="6934" spans="1:9">
      <c r="A6934" s="22" t="str">
        <f>HYPERLINK("https://app.vivvix.com/360/KMI/IntelliDrive/ApplUI/Pages/CreativePages/CustomReportCreativeDetail.aspx?App=23&amp;ReportView=4&amp;Qid=1711279&amp;Row=6926&amp;Col=1","No Title Assigned - #15270137953")</f>
        <v/>
      </c>
      <c r="B6934" s="0" t="s">
        <v>9150</v>
      </c>
      <c r="C6934" s="0" t="s">
        <v>9151</v>
      </c>
      <c r="D6934" s="0" t="s">
        <v>9151</v>
      </c>
      <c r="E6934" s="0" t="inlineStr">
        <is>
          <t xml:space="preserve">Mazda</t>
        </is>
      </c>
      <c r="F6934" s="0" t="inlineStr">
        <is>
          <t xml:space="preserve">Mazda</t>
        </is>
      </c>
      <c r="G6934" s="0" t="s">
        <v>171</v>
      </c>
      <c r="H6934" s="5">
        <v>1047.887700</v>
      </c>
    </row>
    <row r="6935" spans="1:9">
      <c r="A6935" s="22" t="str">
        <f>HYPERLINK("https://app.vivvix.com/360/KMI/IntelliDrive/ApplUI/Pages/CreativePages/CustomReportCreativeDetail.aspx?App=23&amp;ReportView=4&amp;Qid=1711279&amp;Row=6927&amp;Col=1","No Title Assigned - #15270145892")</f>
        <v/>
      </c>
      <c r="B6935" s="0" t="s">
        <v>9152</v>
      </c>
      <c r="C6935" s="0" t="s">
        <v>9153</v>
      </c>
      <c r="D6935" s="0" t="s">
        <v>4335</v>
      </c>
      <c r="E6935" s="0" t="inlineStr">
        <is>
          <t xml:space="preserve">Mazda</t>
        </is>
      </c>
      <c r="F6935" s="0" t="s">
        <v>13</v>
      </c>
      <c r="G6935" s="0" t="s">
        <v>49</v>
      </c>
      <c r="H6935" s="5">
        <v>454.719300</v>
      </c>
    </row>
    <row r="6936" spans="1:9">
      <c r="A6936" s="22" t="str">
        <f>HYPERLINK("https://app.vivvix.com/360/KMI/IntelliDrive/ApplUI/Pages/CreativePages/CustomReportCreativeDetail.aspx?App=23&amp;ReportView=4&amp;Qid=1711279&amp;Row=6928&amp;Col=1","No Title Assigned - #15270146233")</f>
        <v/>
      </c>
      <c r="B6936" s="0" t="s">
        <v>9154</v>
      </c>
      <c r="C6936" s="0" t="s">
        <v>9155</v>
      </c>
      <c r="D6936" s="0" t="s">
        <v>9155</v>
      </c>
      <c r="E6936" s="0" t="inlineStr">
        <is>
          <t xml:space="preserve">Mazda</t>
        </is>
      </c>
      <c r="F6936" s="0" t="s">
        <v>13</v>
      </c>
      <c r="G6936" s="0" t="s">
        <v>49</v>
      </c>
      <c r="H6936" s="5">
        <v>981.030800</v>
      </c>
    </row>
    <row r="6937" spans="1:9">
      <c r="A6937" s="22" t="str">
        <f>HYPERLINK("https://app.vivvix.com/360/KMI/IntelliDrive/ApplUI/Pages/CreativePages/CustomReportCreativeDetail.aspx?App=23&amp;ReportView=4&amp;Qid=1711279&amp;Row=6929&amp;Col=1","No Title Assigned - #15270147207")</f>
        <v/>
      </c>
      <c r="B6937" s="0" t="s">
        <v>9156</v>
      </c>
      <c r="C6937" s="0" t="s">
        <v>9157</v>
      </c>
      <c r="D6937" s="0" t="s">
        <v>8863</v>
      </c>
      <c r="E6937" s="0" t="inlineStr">
        <is>
          <t xml:space="preserve">Mazda</t>
        </is>
      </c>
      <c r="F6937" s="0" t="s">
        <v>28</v>
      </c>
      <c r="G6937" s="0" t="s">
        <v>29</v>
      </c>
      <c r="H6937" s="5">
        <v>32.941400</v>
      </c>
    </row>
    <row r="6938" spans="1:9">
      <c r="A6938" s="22" t="str">
        <f>HYPERLINK("https://app.vivvix.com/360/KMI/IntelliDrive/ApplUI/Pages/CreativePages/CustomReportCreativeDetail.aspx?App=23&amp;ReportView=4&amp;Qid=1711279&amp;Row=6930&amp;Col=1","No Title Assigned - #15270149038")</f>
        <v/>
      </c>
      <c r="B6938" s="0" t="s">
        <v>9158</v>
      </c>
      <c r="C6938" s="0" t="s">
        <v>9159</v>
      </c>
      <c r="D6938" s="0" t="s">
        <v>9159</v>
      </c>
      <c r="E6938" s="0" t="inlineStr">
        <is>
          <t xml:space="preserve">Mazda</t>
        </is>
      </c>
      <c r="F6938" s="0" t="s">
        <v>13</v>
      </c>
      <c r="G6938" s="0" t="s">
        <v>49</v>
      </c>
      <c r="H6938" s="5">
        <v>6355.039300</v>
      </c>
    </row>
    <row r="6939" spans="1:9">
      <c r="A6939" s="22" t="str">
        <f>HYPERLINK("https://app.vivvix.com/360/KMI/IntelliDrive/ApplUI/Pages/CreativePages/CustomReportCreativeDetail.aspx?App=23&amp;ReportView=4&amp;Qid=1711279&amp;Row=6931&amp;Col=1","No Title Assigned - #15270159238")</f>
        <v/>
      </c>
      <c r="B6939" s="0" t="s">
        <v>9160</v>
      </c>
      <c r="C6939" s="0" t="s">
        <v>9161</v>
      </c>
      <c r="D6939" s="0" t="s">
        <v>4333</v>
      </c>
      <c r="E6939" s="0" t="inlineStr">
        <is>
          <t xml:space="preserve">Mazda</t>
        </is>
      </c>
      <c r="F6939" s="0" t="s">
        <v>28</v>
      </c>
      <c r="G6939" s="0" t="s">
        <v>29</v>
      </c>
      <c r="H6939" s="5">
        <v>53.499200</v>
      </c>
    </row>
    <row r="6940" spans="1:9">
      <c r="A6940" s="22" t="str">
        <f>HYPERLINK("https://app.vivvix.com/360/KMI/IntelliDrive/ApplUI/Pages/CreativePages/CustomReportCreativeDetail.aspx?App=23&amp;ReportView=4&amp;Qid=1711279&amp;Row=6932&amp;Col=1","No Title Assigned - #15270159707")</f>
        <v/>
      </c>
      <c r="B6940" s="0" t="s">
        <v>9162</v>
      </c>
      <c r="C6940" s="0" t="s">
        <v>9163</v>
      </c>
      <c r="D6940" s="0" t="s">
        <v>9163</v>
      </c>
      <c r="E6940" s="0" t="inlineStr">
        <is>
          <t xml:space="preserve">Mazda</t>
        </is>
      </c>
      <c r="F6940" s="0" t="s">
        <v>13</v>
      </c>
      <c r="G6940" s="0" t="s">
        <v>49</v>
      </c>
      <c r="H6940" s="5">
        <v>28.903500</v>
      </c>
    </row>
    <row r="6941" spans="1:9">
      <c r="A6941" s="22" t="str">
        <f>HYPERLINK("https://app.vivvix.com/360/KMI/IntelliDrive/ApplUI/Pages/CreativePages/CustomReportCreativeDetail.aspx?App=23&amp;ReportView=4&amp;Qid=1711279&amp;Row=6933&amp;Col=1","No Title Assigned - #15270160248")</f>
        <v/>
      </c>
      <c r="B6941" s="0" t="s">
        <v>9164</v>
      </c>
      <c r="C6941" s="0" t="s">
        <v>9165</v>
      </c>
      <c r="D6941" s="0" t="s">
        <v>9165</v>
      </c>
      <c r="E6941" s="0" t="inlineStr">
        <is>
          <t xml:space="preserve">Mazda</t>
        </is>
      </c>
      <c r="F6941" s="0" t="s">
        <v>28</v>
      </c>
      <c r="G6941" s="0" t="s">
        <v>29</v>
      </c>
      <c r="H6941" s="5">
        <v>760.958000</v>
      </c>
    </row>
    <row r="6942" spans="1:9">
      <c r="A6942" s="22" t="str">
        <f>HYPERLINK("https://app.vivvix.com/360/KMI/IntelliDrive/ApplUI/Pages/CreativePages/CustomReportCreativeDetail.aspx?App=23&amp;ReportView=4&amp;Qid=1711279&amp;Row=6934&amp;Col=1","No Title Assigned - #15270164295")</f>
        <v/>
      </c>
      <c r="B6942" s="0" t="s">
        <v>9166</v>
      </c>
      <c r="C6942" s="0" t="s">
        <v>9167</v>
      </c>
      <c r="D6942" s="0" t="s">
        <v>9167</v>
      </c>
      <c r="E6942" s="0" t="inlineStr">
        <is>
          <t xml:space="preserve">Mazda</t>
        </is>
      </c>
      <c r="F6942" s="0" t="s">
        <v>13</v>
      </c>
      <c r="G6942" s="0" t="s">
        <v>49</v>
      </c>
      <c r="H6942" s="5">
        <v>55913.297000</v>
      </c>
    </row>
    <row r="6943" spans="1:9">
      <c r="A6943" s="22" t="str">
        <f>HYPERLINK("https://app.vivvix.com/360/KMI/IntelliDrive/ApplUI/Pages/CreativePages/CustomReportCreativeDetail.aspx?App=23&amp;ReportView=4&amp;Qid=1711279&amp;Row=6935&amp;Col=1","No Title Assigned - #15270164295")</f>
        <v/>
      </c>
      <c r="B6943" s="0" t="s">
        <v>9166</v>
      </c>
      <c r="E6943" s="0" t="inlineStr">
        <is>
          <t xml:space="preserve">Mazda</t>
        </is>
      </c>
      <c r="F6943" s="0" t="s">
        <v>13</v>
      </c>
      <c r="G6943" s="0" t="s">
        <v>49</v>
      </c>
      <c r="H6943" s="5">
        <v>198508.672100</v>
      </c>
    </row>
    <row r="6944" spans="1:9">
      <c r="A6944" s="22" t="str">
        <f>HYPERLINK("https://app.vivvix.com/360/KMI/IntelliDrive/ApplUI/Pages/CreativePages/CustomReportCreativeDetail.aspx?App=23&amp;ReportView=4&amp;Qid=1711279&amp;Row=6936&amp;Col=1","No Title Assigned - #15270170875")</f>
        <v/>
      </c>
      <c r="B6944" s="0" t="s">
        <v>9168</v>
      </c>
      <c r="C6944" s="0" t="s">
        <v>9169</v>
      </c>
      <c r="D6944" s="0" t="s">
        <v>9169</v>
      </c>
      <c r="E6944" s="0" t="inlineStr">
        <is>
          <t xml:space="preserve">Mazda</t>
        </is>
      </c>
      <c r="F6944" s="0" t="s">
        <v>21</v>
      </c>
      <c r="G6944" s="0" t="s">
        <v>22</v>
      </c>
      <c r="H6944" s="5">
        <v>1299.878200</v>
      </c>
    </row>
    <row r="6945" spans="1:9">
      <c r="A6945" s="22" t="str">
        <f>HYPERLINK("https://app.vivvix.com/360/KMI/IntelliDrive/ApplUI/Pages/CreativePages/CustomReportCreativeDetail.aspx?App=23&amp;ReportView=4&amp;Qid=1711279&amp;Row=6937&amp;Col=1","No Title Assigned - #15270171778")</f>
        <v/>
      </c>
      <c r="B6945" s="0" t="s">
        <v>9170</v>
      </c>
      <c r="C6945" s="0" t="s">
        <v>9171</v>
      </c>
      <c r="D6945" s="0" t="s">
        <v>9171</v>
      </c>
      <c r="E6945" s="0" t="inlineStr">
        <is>
          <t xml:space="preserve">Mazda</t>
        </is>
      </c>
      <c r="F6945" s="0" t="s">
        <v>13</v>
      </c>
      <c r="G6945" s="0" t="s">
        <v>49</v>
      </c>
      <c r="H6945" s="5">
        <v>1180.995800</v>
      </c>
    </row>
    <row r="6946" spans="1:9">
      <c r="A6946" s="22" t="str">
        <f>HYPERLINK("https://app.vivvix.com/360/KMI/IntelliDrive/ApplUI/Pages/CreativePages/CustomReportCreativeDetail.aspx?App=23&amp;ReportView=4&amp;Qid=1711279&amp;Row=6938&amp;Col=1","No Title Assigned - #15270172758")</f>
        <v/>
      </c>
      <c r="B6946" s="0" t="s">
        <v>9172</v>
      </c>
      <c r="C6946" s="0" t="s">
        <v>9173</v>
      </c>
      <c r="D6946" s="0" t="s">
        <v>9006</v>
      </c>
      <c r="E6946" s="0" t="inlineStr">
        <is>
          <t xml:space="preserve">Mazda</t>
        </is>
      </c>
      <c r="F6946" s="0" t="s">
        <v>28</v>
      </c>
      <c r="G6946" s="0" t="s">
        <v>29</v>
      </c>
      <c r="H6946" s="5">
        <v>681.264100</v>
      </c>
    </row>
    <row r="6947" spans="1:9">
      <c r="A6947" s="22" t="str">
        <f>HYPERLINK("https://app.vivvix.com/360/KMI/IntelliDrive/ApplUI/Pages/CreativePages/CustomReportCreativeDetail.aspx?App=23&amp;ReportView=4&amp;Qid=1711279&amp;Row=6939&amp;Col=1","No Title Assigned - #15270172978")</f>
        <v/>
      </c>
      <c r="B6947" s="0" t="s">
        <v>9174</v>
      </c>
      <c r="C6947" s="0" t="s">
        <v>9175</v>
      </c>
      <c r="D6947" s="0" t="s">
        <v>4200</v>
      </c>
      <c r="E6947" s="0" t="inlineStr">
        <is>
          <t xml:space="preserve">Mazda</t>
        </is>
      </c>
      <c r="F6947" s="0" t="s">
        <v>28</v>
      </c>
      <c r="G6947" s="0" t="s">
        <v>29</v>
      </c>
      <c r="H6947" s="5">
        <v>1887.100600</v>
      </c>
    </row>
    <row r="6948" spans="1:9">
      <c r="A6948" s="22" t="str">
        <f>HYPERLINK("https://app.vivvix.com/360/KMI/IntelliDrive/ApplUI/Pages/CreativePages/CustomReportCreativeDetail.aspx?App=23&amp;ReportView=4&amp;Qid=1711279&amp;Row=6940&amp;Col=1","No Title Assigned - #15270173177")</f>
        <v/>
      </c>
      <c r="B6948" s="0" t="s">
        <v>9176</v>
      </c>
      <c r="C6948" s="0" t="s">
        <v>9177</v>
      </c>
      <c r="D6948" s="0" t="s">
        <v>4204</v>
      </c>
      <c r="E6948" s="0" t="inlineStr">
        <is>
          <t xml:space="preserve">Mazda</t>
        </is>
      </c>
      <c r="F6948" s="0" t="s">
        <v>28</v>
      </c>
      <c r="G6948" s="0" t="s">
        <v>29</v>
      </c>
      <c r="H6948" s="5">
        <v>130.916000</v>
      </c>
    </row>
    <row r="6949" spans="1:9">
      <c r="A6949" s="22" t="str">
        <f>HYPERLINK("https://app.vivvix.com/360/KMI/IntelliDrive/ApplUI/Pages/CreativePages/CustomReportCreativeDetail.aspx?App=23&amp;ReportView=4&amp;Qid=1711279&amp;Row=6941&amp;Col=1","No Title Assigned - #15270173268")</f>
        <v/>
      </c>
      <c r="B6949" s="0" t="s">
        <v>9178</v>
      </c>
      <c r="C6949" s="0" t="s">
        <v>9179</v>
      </c>
      <c r="D6949" s="0" t="s">
        <v>9179</v>
      </c>
      <c r="E6949" s="0" t="inlineStr">
        <is>
          <t xml:space="preserve">Mazda</t>
        </is>
      </c>
      <c r="F6949" s="0" t="s">
        <v>13</v>
      </c>
      <c r="G6949" s="0" t="s">
        <v>49</v>
      </c>
      <c r="H6949" s="5">
        <v>2521.132400</v>
      </c>
    </row>
    <row r="6950" spans="1:9">
      <c r="A6950" s="22" t="str">
        <f>HYPERLINK("https://app.vivvix.com/360/KMI/IntelliDrive/ApplUI/Pages/CreativePages/CustomReportCreativeDetail.aspx?App=23&amp;ReportView=4&amp;Qid=1711279&amp;Row=6942&amp;Col=1","No Title Assigned - #15270173268")</f>
        <v/>
      </c>
      <c r="B6950" s="0" t="s">
        <v>9178</v>
      </c>
      <c r="E6950" s="0" t="inlineStr">
        <is>
          <t xml:space="preserve">Mazda</t>
        </is>
      </c>
      <c r="F6950" s="0" t="s">
        <v>13</v>
      </c>
      <c r="G6950" s="0" t="s">
        <v>49</v>
      </c>
      <c r="H6950" s="5">
        <v>2214.700200</v>
      </c>
    </row>
    <row r="6951" spans="1:9">
      <c r="A6951" s="22" t="str">
        <f>HYPERLINK("https://app.vivvix.com/360/KMI/IntelliDrive/ApplUI/Pages/CreativePages/CustomReportCreativeDetail.aspx?App=23&amp;ReportView=4&amp;Qid=1711279&amp;Row=6943&amp;Col=1","No Title Assigned - #15270175127")</f>
        <v/>
      </c>
      <c r="B6951" s="0" t="s">
        <v>9180</v>
      </c>
      <c r="C6951" s="0" t="s">
        <v>9181</v>
      </c>
      <c r="D6951" s="0" t="s">
        <v>9181</v>
      </c>
      <c r="E6951" s="0" t="inlineStr">
        <is>
          <t xml:space="preserve">Mazda</t>
        </is>
      </c>
      <c r="F6951" s="0" t="s">
        <v>28</v>
      </c>
      <c r="G6951" s="0" t="s">
        <v>29</v>
      </c>
      <c r="H6951" s="5">
        <v>921.244300</v>
      </c>
    </row>
    <row r="6952" spans="1:9">
      <c r="A6952" s="22" t="str">
        <f>HYPERLINK("https://app.vivvix.com/360/KMI/IntelliDrive/ApplUI/Pages/CreativePages/CustomReportCreativeDetail.aspx?App=23&amp;ReportView=4&amp;Qid=1711279&amp;Row=6944&amp;Col=1","No Title Assigned - #15270175297")</f>
        <v/>
      </c>
      <c r="B6952" s="0" t="s">
        <v>9182</v>
      </c>
      <c r="C6952" s="0" t="s">
        <v>9183</v>
      </c>
      <c r="D6952" s="0" t="s">
        <v>9183</v>
      </c>
      <c r="E6952" s="0" t="inlineStr">
        <is>
          <t xml:space="preserve">Mazda</t>
        </is>
      </c>
      <c r="F6952" s="0" t="s">
        <v>28</v>
      </c>
      <c r="G6952" s="0" t="s">
        <v>29</v>
      </c>
      <c r="H6952" s="5">
        <v>1114.929800</v>
      </c>
    </row>
    <row r="6953" spans="1:9">
      <c r="A6953" s="22" t="str">
        <f>HYPERLINK("https://app.vivvix.com/360/KMI/IntelliDrive/ApplUI/Pages/CreativePages/CustomReportCreativeDetail.aspx?App=23&amp;ReportView=4&amp;Qid=1711279&amp;Row=6945&amp;Col=1","No Title Assigned - #15270175682")</f>
        <v/>
      </c>
      <c r="B6953" s="0" t="s">
        <v>9184</v>
      </c>
      <c r="C6953" s="0" t="s">
        <v>9185</v>
      </c>
      <c r="D6953" s="0" t="s">
        <v>9185</v>
      </c>
      <c r="E6953" s="0" t="inlineStr">
        <is>
          <t xml:space="preserve">Mazda</t>
        </is>
      </c>
      <c r="F6953" s="0" t="s">
        <v>28</v>
      </c>
      <c r="G6953" s="0" t="s">
        <v>29</v>
      </c>
      <c r="H6953" s="5">
        <v>512.698400</v>
      </c>
    </row>
    <row r="6954" spans="1:9">
      <c r="A6954" s="22" t="str">
        <f>HYPERLINK("https://app.vivvix.com/360/KMI/IntelliDrive/ApplUI/Pages/CreativePages/CustomReportCreativeDetail.aspx?App=23&amp;ReportView=4&amp;Qid=1711279&amp;Row=6946&amp;Col=1","No Title Assigned - #15270176740")</f>
        <v/>
      </c>
      <c r="B6954" s="0" t="s">
        <v>9186</v>
      </c>
      <c r="E6954" s="0" t="inlineStr">
        <is>
          <t xml:space="preserve">Mazda</t>
        </is>
      </c>
      <c r="F6954" s="0" t="inlineStr">
        <is>
          <t xml:space="preserve">Mazda</t>
        </is>
      </c>
      <c r="G6954" s="0" t="s">
        <v>171</v>
      </c>
      <c r="H6954" s="5">
        <v>90.830400</v>
      </c>
    </row>
    <row r="6955" spans="1:9">
      <c r="A6955" s="22" t="str">
        <f>HYPERLINK("https://app.vivvix.com/360/KMI/IntelliDrive/ApplUI/Pages/CreativePages/CustomReportCreativeDetail.aspx?App=23&amp;ReportView=4&amp;Qid=1711279&amp;Row=6947&amp;Col=1","No Title Assigned - #15270177178")</f>
        <v/>
      </c>
      <c r="B6955" s="0" t="s">
        <v>9187</v>
      </c>
      <c r="C6955" s="0" t="s">
        <v>9188</v>
      </c>
      <c r="D6955" s="0" t="s">
        <v>4335</v>
      </c>
      <c r="E6955" s="0" t="inlineStr">
        <is>
          <t xml:space="preserve">Mazda</t>
        </is>
      </c>
      <c r="F6955" s="0" t="s">
        <v>13</v>
      </c>
      <c r="G6955" s="0" t="s">
        <v>49</v>
      </c>
      <c r="H6955" s="5">
        <v>24.468000</v>
      </c>
    </row>
    <row r="6956" spans="1:9">
      <c r="A6956" s="22" t="str">
        <f>HYPERLINK("https://app.vivvix.com/360/KMI/IntelliDrive/ApplUI/Pages/CreativePages/CustomReportCreativeDetail.aspx?App=23&amp;ReportView=4&amp;Qid=1711279&amp;Row=6948&amp;Col=1","No Title Assigned - #15270177364")</f>
        <v/>
      </c>
      <c r="B6956" s="0" t="s">
        <v>9189</v>
      </c>
      <c r="C6956" s="0" t="s">
        <v>9190</v>
      </c>
      <c r="D6956" s="0" t="s">
        <v>8602</v>
      </c>
      <c r="E6956" s="0" t="inlineStr">
        <is>
          <t xml:space="preserve">Mazda</t>
        </is>
      </c>
      <c r="F6956" s="0" t="s">
        <v>28</v>
      </c>
      <c r="G6956" s="0" t="s">
        <v>29</v>
      </c>
      <c r="H6956" s="5">
        <v>50.571200</v>
      </c>
    </row>
    <row r="6957" spans="1:9">
      <c r="A6957" s="22" t="str">
        <f>HYPERLINK("https://app.vivvix.com/360/KMI/IntelliDrive/ApplUI/Pages/CreativePages/CustomReportCreativeDetail.aspx?App=23&amp;ReportView=4&amp;Qid=1711279&amp;Row=6949&amp;Col=1","No Title Assigned - #15270177437")</f>
        <v/>
      </c>
      <c r="B6957" s="0" t="s">
        <v>9191</v>
      </c>
      <c r="C6957" s="0" t="s">
        <v>9192</v>
      </c>
      <c r="D6957" s="0" t="s">
        <v>4204</v>
      </c>
      <c r="E6957" s="0" t="inlineStr">
        <is>
          <t xml:space="preserve">Mazda</t>
        </is>
      </c>
      <c r="F6957" s="0" t="s">
        <v>28</v>
      </c>
      <c r="G6957" s="0" t="s">
        <v>29</v>
      </c>
      <c r="H6957" s="5">
        <v>26.901600</v>
      </c>
    </row>
    <row r="6958" spans="1:9">
      <c r="A6958" s="22" t="str">
        <f>HYPERLINK("https://app.vivvix.com/360/KMI/IntelliDrive/ApplUI/Pages/CreativePages/CustomReportCreativeDetail.aspx?App=23&amp;ReportView=4&amp;Qid=1711279&amp;Row=6950&amp;Col=1","No Title Assigned - #15270178831")</f>
        <v/>
      </c>
      <c r="B6958" s="0" t="s">
        <v>9193</v>
      </c>
      <c r="C6958" s="0" t="s">
        <v>9194</v>
      </c>
      <c r="D6958" s="0" t="s">
        <v>9194</v>
      </c>
      <c r="E6958" s="0" t="inlineStr">
        <is>
          <t xml:space="preserve">Mazda</t>
        </is>
      </c>
      <c r="F6958" s="0" t="s">
        <v>28</v>
      </c>
      <c r="G6958" s="0" t="s">
        <v>29</v>
      </c>
      <c r="H6958" s="5">
        <v>6.460000</v>
      </c>
    </row>
    <row r="6959" spans="1:9">
      <c r="A6959" s="22" t="str">
        <f>HYPERLINK("https://app.vivvix.com/360/KMI/IntelliDrive/ApplUI/Pages/CreativePages/CustomReportCreativeDetail.aspx?App=23&amp;ReportView=4&amp;Qid=1711279&amp;Row=6951&amp;Col=1","No Title Assigned - #15270179773")</f>
        <v/>
      </c>
      <c r="B6959" s="0" t="s">
        <v>9195</v>
      </c>
      <c r="C6959" s="0" t="s">
        <v>9196</v>
      </c>
      <c r="D6959" s="0" t="s">
        <v>9196</v>
      </c>
      <c r="E6959" s="0" t="inlineStr">
        <is>
          <t xml:space="preserve">Mazda</t>
        </is>
      </c>
      <c r="F6959" s="0" t="s">
        <v>13</v>
      </c>
      <c r="G6959" s="0" t="s">
        <v>49</v>
      </c>
      <c r="H6959" s="5">
        <v>22638.035700</v>
      </c>
    </row>
    <row r="6960" spans="1:9">
      <c r="A6960" s="22" t="str">
        <f>HYPERLINK("https://app.vivvix.com/360/KMI/IntelliDrive/ApplUI/Pages/CreativePages/CustomReportCreativeDetail.aspx?App=23&amp;ReportView=4&amp;Qid=1711279&amp;Row=6952&amp;Col=1","No Title Assigned - #15270179773")</f>
        <v/>
      </c>
      <c r="B6960" s="0" t="s">
        <v>9195</v>
      </c>
      <c r="E6960" s="0" t="inlineStr">
        <is>
          <t xml:space="preserve">Mazda</t>
        </is>
      </c>
      <c r="F6960" s="0" t="s">
        <v>13</v>
      </c>
      <c r="G6960" s="0" t="s">
        <v>49</v>
      </c>
      <c r="H6960" s="5">
        <v>2307.687200</v>
      </c>
    </row>
    <row r="6961" spans="1:9">
      <c r="A6961" s="22" t="str">
        <f>HYPERLINK("https://app.vivvix.com/360/KMI/IntelliDrive/ApplUI/Pages/CreativePages/CustomReportCreativeDetail.aspx?App=23&amp;ReportView=4&amp;Qid=1711279&amp;Row=6953&amp;Col=1","No Title Assigned - #15270179774")</f>
        <v/>
      </c>
      <c r="B6961" s="0" t="s">
        <v>9197</v>
      </c>
      <c r="C6961" s="0" t="s">
        <v>9198</v>
      </c>
      <c r="D6961" s="0" t="s">
        <v>4200</v>
      </c>
      <c r="E6961" s="0" t="inlineStr">
        <is>
          <t xml:space="preserve">Mazda</t>
        </is>
      </c>
      <c r="F6961" s="0" t="s">
        <v>28</v>
      </c>
      <c r="G6961" s="0" t="s">
        <v>29</v>
      </c>
      <c r="H6961" s="5">
        <v>744.971600</v>
      </c>
    </row>
    <row r="6962" spans="1:9">
      <c r="A6962" s="22" t="str">
        <f>HYPERLINK("https://app.vivvix.com/360/KMI/IntelliDrive/ApplUI/Pages/CreativePages/CustomReportCreativeDetail.aspx?App=23&amp;ReportView=4&amp;Qid=1711279&amp;Row=6954&amp;Col=1","No Title Assigned - #15270180599")</f>
        <v/>
      </c>
      <c r="B6962" s="0" t="s">
        <v>9199</v>
      </c>
      <c r="C6962" s="0" t="s">
        <v>9200</v>
      </c>
      <c r="D6962" s="0" t="s">
        <v>9200</v>
      </c>
      <c r="E6962" s="0" t="inlineStr">
        <is>
          <t xml:space="preserve">Mazda</t>
        </is>
      </c>
      <c r="F6962" s="0" t="s">
        <v>28</v>
      </c>
      <c r="G6962" s="0" t="s">
        <v>29</v>
      </c>
      <c r="H6962" s="5">
        <v>825.084800</v>
      </c>
    </row>
    <row r="6963" spans="1:9">
      <c r="A6963" s="22" t="str">
        <f>HYPERLINK("https://app.vivvix.com/360/KMI/IntelliDrive/ApplUI/Pages/CreativePages/CustomReportCreativeDetail.aspx?App=23&amp;ReportView=4&amp;Qid=1711279&amp;Row=6955&amp;Col=1","No Title Assigned - #15270180599")</f>
        <v/>
      </c>
      <c r="B6963" s="0" t="s">
        <v>9199</v>
      </c>
      <c r="E6963" s="0" t="inlineStr">
        <is>
          <t xml:space="preserve">Mazda</t>
        </is>
      </c>
      <c r="F6963" s="0" t="s">
        <v>28</v>
      </c>
      <c r="G6963" s="0" t="s">
        <v>29</v>
      </c>
      <c r="H6963" s="5">
        <v>152.165000</v>
      </c>
    </row>
    <row r="6964" spans="1:9">
      <c r="A6964" s="22" t="str">
        <f>HYPERLINK("https://app.vivvix.com/360/KMI/IntelliDrive/ApplUI/Pages/CreativePages/CustomReportCreativeDetail.aspx?App=23&amp;ReportView=4&amp;Qid=1711279&amp;Row=6956&amp;Col=1","No Title Assigned - #15270181256")</f>
        <v/>
      </c>
      <c r="B6964" s="0" t="s">
        <v>9201</v>
      </c>
      <c r="C6964" s="0" t="s">
        <v>9202</v>
      </c>
      <c r="D6964" s="0" t="s">
        <v>9202</v>
      </c>
      <c r="E6964" s="0" t="inlineStr">
        <is>
          <t xml:space="preserve">Mazda</t>
        </is>
      </c>
      <c r="F6964" s="0" t="s">
        <v>13</v>
      </c>
      <c r="G6964" s="0" t="s">
        <v>49</v>
      </c>
      <c r="H6964" s="5">
        <v>4829.781300</v>
      </c>
    </row>
    <row r="6965" spans="1:9">
      <c r="A6965" s="22" t="str">
        <f>HYPERLINK("https://app.vivvix.com/360/KMI/IntelliDrive/ApplUI/Pages/CreativePages/CustomReportCreativeDetail.aspx?App=23&amp;ReportView=4&amp;Qid=1711279&amp;Row=6957&amp;Col=1","No Title Assigned - #15270182325")</f>
        <v/>
      </c>
      <c r="B6965" s="0" t="s">
        <v>9203</v>
      </c>
      <c r="C6965" s="0" t="s">
        <v>9204</v>
      </c>
      <c r="D6965" s="0" t="s">
        <v>9204</v>
      </c>
      <c r="E6965" s="0" t="inlineStr">
        <is>
          <t xml:space="preserve">Mazda</t>
        </is>
      </c>
      <c r="F6965" s="0" t="s">
        <v>13</v>
      </c>
      <c r="G6965" s="0" t="s">
        <v>49</v>
      </c>
      <c r="H6965" s="5">
        <v>206.724900</v>
      </c>
    </row>
    <row r="6966" spans="1:9">
      <c r="A6966" s="22" t="str">
        <f>HYPERLINK("https://app.vivvix.com/360/KMI/IntelliDrive/ApplUI/Pages/CreativePages/CustomReportCreativeDetail.aspx?App=23&amp;ReportView=4&amp;Qid=1711279&amp;Row=6958&amp;Col=1","No Title Assigned - #15270182335")</f>
        <v/>
      </c>
      <c r="B6966" s="0" t="s">
        <v>9205</v>
      </c>
      <c r="C6966" s="0" t="s">
        <v>9206</v>
      </c>
      <c r="D6966" s="0" t="s">
        <v>4200</v>
      </c>
      <c r="E6966" s="0" t="inlineStr">
        <is>
          <t xml:space="preserve">Mazda</t>
        </is>
      </c>
      <c r="F6966" s="0" t="s">
        <v>28</v>
      </c>
      <c r="G6966" s="0" t="s">
        <v>29</v>
      </c>
      <c r="H6966" s="5">
        <v>42.731200</v>
      </c>
    </row>
    <row r="6967" spans="1:9">
      <c r="A6967" s="22" t="str">
        <f>HYPERLINK("https://app.vivvix.com/360/KMI/IntelliDrive/ApplUI/Pages/CreativePages/CustomReportCreativeDetail.aspx?App=23&amp;ReportView=4&amp;Qid=1711279&amp;Row=6959&amp;Col=1","No Title Assigned - #15270182403")</f>
        <v/>
      </c>
      <c r="B6967" s="0" t="s">
        <v>9207</v>
      </c>
      <c r="C6967" s="0" t="s">
        <v>9208</v>
      </c>
      <c r="D6967" s="0" t="s">
        <v>4333</v>
      </c>
      <c r="E6967" s="0" t="inlineStr">
        <is>
          <t xml:space="preserve">Mazda</t>
        </is>
      </c>
      <c r="F6967" s="0" t="s">
        <v>28</v>
      </c>
      <c r="G6967" s="0" t="s">
        <v>29</v>
      </c>
      <c r="H6967" s="5">
        <v>40.421000</v>
      </c>
    </row>
    <row r="6968" spans="1:9">
      <c r="A6968" s="22" t="str">
        <f>HYPERLINK("https://app.vivvix.com/360/KMI/IntelliDrive/ApplUI/Pages/CreativePages/CustomReportCreativeDetail.aspx?App=23&amp;ReportView=4&amp;Qid=1711279&amp;Row=6960&amp;Col=1","No Title Assigned - #15270182867")</f>
        <v/>
      </c>
      <c r="B6968" s="0" t="s">
        <v>9209</v>
      </c>
      <c r="C6968" s="0" t="s">
        <v>9210</v>
      </c>
      <c r="D6968" s="0" t="s">
        <v>4407</v>
      </c>
      <c r="E6968" s="0" t="inlineStr">
        <is>
          <t xml:space="preserve">Mazda</t>
        </is>
      </c>
      <c r="F6968" s="0" t="s">
        <v>28</v>
      </c>
      <c r="G6968" s="0" t="s">
        <v>29</v>
      </c>
      <c r="H6968" s="5">
        <v>152.152200</v>
      </c>
    </row>
    <row r="6969" spans="1:9">
      <c r="A6969" s="22" t="str">
        <f>HYPERLINK("https://app.vivvix.com/360/KMI/IntelliDrive/ApplUI/Pages/CreativePages/CustomReportCreativeDetail.aspx?App=23&amp;ReportView=4&amp;Qid=1711279&amp;Row=6961&amp;Col=1","No Title Assigned - #15270183236")</f>
        <v/>
      </c>
      <c r="B6969" s="0" t="s">
        <v>9211</v>
      </c>
      <c r="C6969" s="0" t="s">
        <v>9212</v>
      </c>
      <c r="D6969" s="0" t="s">
        <v>9212</v>
      </c>
      <c r="E6969" s="0" t="inlineStr">
        <is>
          <t xml:space="preserve">Mazda</t>
        </is>
      </c>
      <c r="F6969" s="0" t="s">
        <v>28</v>
      </c>
      <c r="G6969" s="0" t="s">
        <v>29</v>
      </c>
      <c r="H6969" s="5">
        <v>136.391700</v>
      </c>
    </row>
    <row r="6970" spans="1:9">
      <c r="A6970" s="22" t="str">
        <f>HYPERLINK("https://app.vivvix.com/360/KMI/IntelliDrive/ApplUI/Pages/CreativePages/CustomReportCreativeDetail.aspx?App=23&amp;ReportView=4&amp;Qid=1711279&amp;Row=6962&amp;Col=1","No Title Assigned - #15270183466")</f>
        <v/>
      </c>
      <c r="B6970" s="0" t="s">
        <v>9213</v>
      </c>
      <c r="C6970" s="0" t="s">
        <v>9214</v>
      </c>
      <c r="D6970" s="0" t="s">
        <v>6180</v>
      </c>
      <c r="E6970" s="0" t="inlineStr">
        <is>
          <t xml:space="preserve">Mazda</t>
        </is>
      </c>
      <c r="F6970" s="0" t="s">
        <v>13</v>
      </c>
      <c r="G6970" s="0" t="s">
        <v>49</v>
      </c>
      <c r="H6970" s="5">
        <v>139.124300</v>
      </c>
    </row>
    <row r="6971" spans="1:9">
      <c r="A6971" s="22" t="str">
        <f>HYPERLINK("https://app.vivvix.com/360/KMI/IntelliDrive/ApplUI/Pages/CreativePages/CustomReportCreativeDetail.aspx?App=23&amp;ReportView=4&amp;Qid=1711279&amp;Row=6963&amp;Col=1","No Title Assigned - #15270183503")</f>
        <v/>
      </c>
      <c r="B6971" s="0" t="s">
        <v>9215</v>
      </c>
      <c r="C6971" s="0" t="s">
        <v>9216</v>
      </c>
      <c r="D6971" s="0" t="s">
        <v>6044</v>
      </c>
      <c r="E6971" s="0" t="inlineStr">
        <is>
          <t xml:space="preserve">Mazda</t>
        </is>
      </c>
      <c r="F6971" s="0" t="s">
        <v>13</v>
      </c>
      <c r="G6971" s="0" t="s">
        <v>49</v>
      </c>
      <c r="H6971" s="5">
        <v>41.857100</v>
      </c>
    </row>
    <row r="6972" spans="1:9">
      <c r="A6972" s="22" t="str">
        <f>HYPERLINK("https://app.vivvix.com/360/KMI/IntelliDrive/ApplUI/Pages/CreativePages/CustomReportCreativeDetail.aspx?App=23&amp;ReportView=4&amp;Qid=1711279&amp;Row=6964&amp;Col=1","No Title Assigned - #15270183568")</f>
        <v/>
      </c>
      <c r="B6972" s="0" t="s">
        <v>9217</v>
      </c>
      <c r="E6972" s="0" t="inlineStr">
        <is>
          <t xml:space="preserve">Mazda</t>
        </is>
      </c>
      <c r="F6972" s="0" t="s">
        <v>28</v>
      </c>
      <c r="G6972" s="0" t="s">
        <v>29</v>
      </c>
      <c r="H6972" s="5">
        <v>848.136100</v>
      </c>
    </row>
    <row r="6973" spans="1:9">
      <c r="A6973" s="22" t="str">
        <f>HYPERLINK("https://app.vivvix.com/360/KMI/IntelliDrive/ApplUI/Pages/CreativePages/CustomReportCreativeDetail.aspx?App=23&amp;ReportView=4&amp;Qid=1711279&amp;Row=6965&amp;Col=1","No Title Assigned - #15270183568")</f>
        <v/>
      </c>
      <c r="B6973" s="0" t="s">
        <v>9217</v>
      </c>
      <c r="C6973" s="0" t="s">
        <v>9218</v>
      </c>
      <c r="D6973" s="0" t="s">
        <v>9218</v>
      </c>
      <c r="E6973" s="0" t="inlineStr">
        <is>
          <t xml:space="preserve">Mazda</t>
        </is>
      </c>
      <c r="F6973" s="0" t="s">
        <v>28</v>
      </c>
      <c r="G6973" s="0" t="s">
        <v>29</v>
      </c>
      <c r="H6973" s="5">
        <v>949.703000</v>
      </c>
    </row>
    <row r="6974" spans="1:9">
      <c r="A6974" s="22" t="str">
        <f>HYPERLINK("https://app.vivvix.com/360/KMI/IntelliDrive/ApplUI/Pages/CreativePages/CustomReportCreativeDetail.aspx?App=23&amp;ReportView=4&amp;Qid=1711279&amp;Row=6966&amp;Col=1","No Title Assigned - #15270183578")</f>
        <v/>
      </c>
      <c r="B6974" s="0" t="s">
        <v>9219</v>
      </c>
      <c r="E6974" s="0" t="inlineStr">
        <is>
          <t xml:space="preserve">Mazda</t>
        </is>
      </c>
      <c r="F6974" s="0" t="inlineStr">
        <is>
          <t xml:space="preserve">Mazda</t>
        </is>
      </c>
      <c r="G6974" s="0" t="s">
        <v>171</v>
      </c>
      <c r="H6974" s="5">
        <v>1733.816800</v>
      </c>
    </row>
    <row r="6975" spans="1:9">
      <c r="A6975" s="22" t="str">
        <f>HYPERLINK("https://app.vivvix.com/360/KMI/IntelliDrive/ApplUI/Pages/CreativePages/CustomReportCreativeDetail.aspx?App=23&amp;ReportView=4&amp;Qid=1711279&amp;Row=6967&amp;Col=1","No Title Assigned - #15270184344")</f>
        <v/>
      </c>
      <c r="B6975" s="0" t="s">
        <v>9220</v>
      </c>
      <c r="C6975" s="0" t="s">
        <v>9221</v>
      </c>
      <c r="D6975" s="0" t="s">
        <v>9221</v>
      </c>
      <c r="E6975" s="0" t="inlineStr">
        <is>
          <t xml:space="preserve">Mazda</t>
        </is>
      </c>
      <c r="F6975" s="0" t="inlineStr">
        <is>
          <t xml:space="preserve">Mazda</t>
        </is>
      </c>
      <c r="G6975" s="0" t="s">
        <v>171</v>
      </c>
      <c r="H6975" s="5">
        <v>4950.700700</v>
      </c>
    </row>
    <row r="6976" spans="1:9">
      <c r="A6976" s="22" t="str">
        <f>HYPERLINK("https://app.vivvix.com/360/KMI/IntelliDrive/ApplUI/Pages/CreativePages/CustomReportCreativeDetail.aspx?App=23&amp;ReportView=4&amp;Qid=1711279&amp;Row=6968&amp;Col=1","No Title Assigned - #15270185526")</f>
        <v/>
      </c>
      <c r="B6976" s="0" t="s">
        <v>9222</v>
      </c>
      <c r="C6976" s="0" t="s">
        <v>9223</v>
      </c>
      <c r="D6976" s="0" t="s">
        <v>9223</v>
      </c>
      <c r="E6976" s="0" t="inlineStr">
        <is>
          <t xml:space="preserve">Mazda</t>
        </is>
      </c>
      <c r="F6976" s="0" t="inlineStr">
        <is>
          <t xml:space="preserve">Mazda</t>
        </is>
      </c>
      <c r="G6976" s="0" t="s">
        <v>210</v>
      </c>
      <c r="H6976" s="5">
        <v>138.064100</v>
      </c>
    </row>
    <row r="6977" spans="1:9">
      <c r="A6977" s="22" t="str">
        <f>HYPERLINK("https://app.vivvix.com/360/KMI/IntelliDrive/ApplUI/Pages/CreativePages/CustomReportCreativeDetail.aspx?App=23&amp;ReportView=4&amp;Qid=1711279&amp;Row=6969&amp;Col=1","No Title Assigned - #15270185799")</f>
        <v/>
      </c>
      <c r="B6977" s="0" t="s">
        <v>9224</v>
      </c>
      <c r="E6977" s="0" t="inlineStr">
        <is>
          <t xml:space="preserve">Mazda</t>
        </is>
      </c>
      <c r="F6977" s="0" t="s">
        <v>28</v>
      </c>
      <c r="G6977" s="0" t="s">
        <v>29</v>
      </c>
      <c r="H6977" s="5">
        <v>29.011500</v>
      </c>
    </row>
    <row r="6978" spans="1:9">
      <c r="A6978" s="22" t="str">
        <f>HYPERLINK("https://app.vivvix.com/360/KMI/IntelliDrive/ApplUI/Pages/CreativePages/CustomReportCreativeDetail.aspx?App=23&amp;ReportView=4&amp;Qid=1711279&amp;Row=6970&amp;Col=1","No Title Assigned - #15270186372")</f>
        <v/>
      </c>
      <c r="B6978" s="0" t="s">
        <v>9225</v>
      </c>
      <c r="C6978" s="0" t="s">
        <v>9226</v>
      </c>
      <c r="D6978" s="0" t="s">
        <v>9226</v>
      </c>
      <c r="E6978" s="0" t="inlineStr">
        <is>
          <t xml:space="preserve">Mazda</t>
        </is>
      </c>
      <c r="F6978" s="0" t="s">
        <v>28</v>
      </c>
      <c r="G6978" s="0" t="s">
        <v>29</v>
      </c>
      <c r="H6978" s="5">
        <v>366.616200</v>
      </c>
    </row>
    <row r="6979" spans="1:9">
      <c r="A6979" s="22" t="str">
        <f>HYPERLINK("https://app.vivvix.com/360/KMI/IntelliDrive/ApplUI/Pages/CreativePages/CustomReportCreativeDetail.aspx?App=23&amp;ReportView=4&amp;Qid=1711279&amp;Row=6971&amp;Col=1","No Title Assigned - #15270186372")</f>
        <v/>
      </c>
      <c r="B6979" s="0" t="s">
        <v>9225</v>
      </c>
      <c r="E6979" s="0" t="inlineStr">
        <is>
          <t xml:space="preserve">Mazda</t>
        </is>
      </c>
      <c r="F6979" s="0" t="s">
        <v>28</v>
      </c>
      <c r="G6979" s="0" t="s">
        <v>29</v>
      </c>
      <c r="H6979" s="5">
        <v>14.005600</v>
      </c>
    </row>
    <row r="6980" spans="1:9">
      <c r="A6980" s="22" t="str">
        <f>HYPERLINK("https://app.vivvix.com/360/KMI/IntelliDrive/ApplUI/Pages/CreativePages/CustomReportCreativeDetail.aspx?App=23&amp;ReportView=4&amp;Qid=1711279&amp;Row=6972&amp;Col=1","No Title Assigned - #15270187081")</f>
        <v/>
      </c>
      <c r="B6980" s="0" t="s">
        <v>9227</v>
      </c>
      <c r="E6980" s="0" t="inlineStr">
        <is>
          <t xml:space="preserve">Mazda</t>
        </is>
      </c>
      <c r="F6980" s="0" t="s">
        <v>28</v>
      </c>
      <c r="G6980" s="0" t="s">
        <v>29</v>
      </c>
      <c r="H6980" s="5">
        <v>233.066200</v>
      </c>
    </row>
    <row r="6981" spans="1:9">
      <c r="A6981" s="22" t="str">
        <f>HYPERLINK("https://app.vivvix.com/360/KMI/IntelliDrive/ApplUI/Pages/CreativePages/CustomReportCreativeDetail.aspx?App=23&amp;ReportView=4&amp;Qid=1711279&amp;Row=6973&amp;Col=1","No Title Assigned - #15270187081")</f>
        <v/>
      </c>
      <c r="B6981" s="0" t="s">
        <v>9227</v>
      </c>
      <c r="C6981" s="0" t="s">
        <v>9228</v>
      </c>
      <c r="D6981" s="0" t="s">
        <v>8610</v>
      </c>
      <c r="E6981" s="0" t="inlineStr">
        <is>
          <t xml:space="preserve">Mazda</t>
        </is>
      </c>
      <c r="F6981" s="0" t="s">
        <v>28</v>
      </c>
      <c r="G6981" s="0" t="s">
        <v>29</v>
      </c>
      <c r="H6981" s="5">
        <v>29.435600</v>
      </c>
    </row>
    <row r="6982" spans="1:9">
      <c r="A6982" s="22" t="str">
        <f>HYPERLINK("https://app.vivvix.com/360/KMI/IntelliDrive/ApplUI/Pages/CreativePages/CustomReportCreativeDetail.aspx?App=23&amp;ReportView=4&amp;Qid=1711279&amp;Row=6974&amp;Col=1","No Title Assigned - #15270188287")</f>
        <v/>
      </c>
      <c r="B6982" s="0" t="s">
        <v>9229</v>
      </c>
      <c r="C6982" s="0" t="s">
        <v>9230</v>
      </c>
      <c r="D6982" s="0" t="s">
        <v>7969</v>
      </c>
      <c r="E6982" s="0" t="inlineStr">
        <is>
          <t xml:space="preserve">Mazda</t>
        </is>
      </c>
      <c r="F6982" s="0" t="s">
        <v>13</v>
      </c>
      <c r="G6982" s="0" t="s">
        <v>49</v>
      </c>
      <c r="H6982" s="5">
        <v>860.153100</v>
      </c>
    </row>
    <row r="6983" spans="1:9">
      <c r="A6983" s="22" t="str">
        <f>HYPERLINK("https://app.vivvix.com/360/KMI/IntelliDrive/ApplUI/Pages/CreativePages/CustomReportCreativeDetail.aspx?App=23&amp;ReportView=4&amp;Qid=1711279&amp;Row=6975&amp;Col=1","No Title Assigned - #15270188985")</f>
        <v/>
      </c>
      <c r="B6983" s="0" t="s">
        <v>9231</v>
      </c>
      <c r="C6983" s="0" t="s">
        <v>9232</v>
      </c>
      <c r="D6983" s="0" t="s">
        <v>8828</v>
      </c>
      <c r="E6983" s="0" t="inlineStr">
        <is>
          <t xml:space="preserve">Mazda</t>
        </is>
      </c>
      <c r="F6983" s="0" t="s">
        <v>28</v>
      </c>
      <c r="G6983" s="0" t="s">
        <v>29</v>
      </c>
      <c r="H6983" s="5">
        <v>39.359000</v>
      </c>
    </row>
    <row r="6984" spans="1:9">
      <c r="A6984" s="22" t="str">
        <f>HYPERLINK("https://app.vivvix.com/360/KMI/IntelliDrive/ApplUI/Pages/CreativePages/CustomReportCreativeDetail.aspx?App=23&amp;ReportView=4&amp;Qid=1711279&amp;Row=6976&amp;Col=1","No Title Assigned - #15270190272")</f>
        <v/>
      </c>
      <c r="B6984" s="0" t="s">
        <v>9233</v>
      </c>
      <c r="C6984" s="0" t="s">
        <v>9234</v>
      </c>
      <c r="D6984" s="0" t="s">
        <v>9234</v>
      </c>
      <c r="E6984" s="0" t="inlineStr">
        <is>
          <t xml:space="preserve">Mazda</t>
        </is>
      </c>
      <c r="F6984" s="0" t="s">
        <v>28</v>
      </c>
      <c r="G6984" s="0" t="s">
        <v>29</v>
      </c>
      <c r="H6984" s="5">
        <v>18.176300</v>
      </c>
    </row>
    <row r="6985" spans="1:9">
      <c r="A6985" s="22" t="str">
        <f>HYPERLINK("https://app.vivvix.com/360/KMI/IntelliDrive/ApplUI/Pages/CreativePages/CustomReportCreativeDetail.aspx?App=23&amp;ReportView=4&amp;Qid=1711279&amp;Row=6977&amp;Col=1","No Title Assigned - #15270190282")</f>
        <v/>
      </c>
      <c r="B6985" s="0" t="s">
        <v>9235</v>
      </c>
      <c r="C6985" s="0" t="s">
        <v>9236</v>
      </c>
      <c r="D6985" s="0" t="s">
        <v>9236</v>
      </c>
      <c r="E6985" s="0" t="inlineStr">
        <is>
          <t xml:space="preserve">Mazda</t>
        </is>
      </c>
      <c r="F6985" s="0" t="s">
        <v>28</v>
      </c>
      <c r="G6985" s="0" t="s">
        <v>29</v>
      </c>
      <c r="H6985" s="5">
        <v>521.860700</v>
      </c>
    </row>
    <row r="6986" spans="1:9">
      <c r="A6986" s="22" t="str">
        <f>HYPERLINK("https://app.vivvix.com/360/KMI/IntelliDrive/ApplUI/Pages/CreativePages/CustomReportCreativeDetail.aspx?App=23&amp;ReportView=4&amp;Qid=1711279&amp;Row=6978&amp;Col=1","No Title Assigned - #15270190330")</f>
        <v/>
      </c>
      <c r="B6986" s="0" t="s">
        <v>9237</v>
      </c>
      <c r="C6986" s="0" t="s">
        <v>9238</v>
      </c>
      <c r="D6986" s="0" t="s">
        <v>9238</v>
      </c>
      <c r="E6986" s="0" t="inlineStr">
        <is>
          <t xml:space="preserve">Mazda</t>
        </is>
      </c>
      <c r="F6986" s="0" t="s">
        <v>28</v>
      </c>
      <c r="G6986" s="0" t="s">
        <v>29</v>
      </c>
      <c r="H6986" s="5">
        <v>289.637800</v>
      </c>
    </row>
    <row r="6987" spans="1:9">
      <c r="A6987" s="22" t="str">
        <f>HYPERLINK("https://app.vivvix.com/360/KMI/IntelliDrive/ApplUI/Pages/CreativePages/CustomReportCreativeDetail.aspx?App=23&amp;ReportView=4&amp;Qid=1711279&amp;Row=6979&amp;Col=1","No Title Assigned - #15270190545")</f>
        <v/>
      </c>
      <c r="B6987" s="0" t="s">
        <v>9239</v>
      </c>
      <c r="C6987" s="0" t="s">
        <v>9240</v>
      </c>
      <c r="D6987" s="0" t="s">
        <v>9240</v>
      </c>
      <c r="E6987" s="0" t="inlineStr">
        <is>
          <t xml:space="preserve">Mazda</t>
        </is>
      </c>
      <c r="F6987" s="0" t="s">
        <v>28</v>
      </c>
      <c r="G6987" s="0" t="s">
        <v>29</v>
      </c>
      <c r="H6987" s="5">
        <v>277.992700</v>
      </c>
    </row>
    <row r="6988" spans="1:9">
      <c r="A6988" s="22" t="str">
        <f>HYPERLINK("https://app.vivvix.com/360/KMI/IntelliDrive/ApplUI/Pages/CreativePages/CustomReportCreativeDetail.aspx?App=23&amp;ReportView=4&amp;Qid=1711279&amp;Row=6980&amp;Col=1","No Title Assigned - #15270190587")</f>
        <v/>
      </c>
      <c r="B6988" s="0" t="s">
        <v>9241</v>
      </c>
      <c r="C6988" s="0" t="s">
        <v>9242</v>
      </c>
      <c r="D6988" s="0" t="s">
        <v>7396</v>
      </c>
      <c r="E6988" s="0" t="inlineStr">
        <is>
          <t xml:space="preserve">Mazda</t>
        </is>
      </c>
      <c r="F6988" s="0" t="s">
        <v>13</v>
      </c>
      <c r="G6988" s="0" t="s">
        <v>49</v>
      </c>
      <c r="H6988" s="5">
        <v>55.763200</v>
      </c>
    </row>
    <row r="6989" spans="1:9">
      <c r="A6989" s="22" t="str">
        <f>HYPERLINK("https://app.vivvix.com/360/KMI/IntelliDrive/ApplUI/Pages/CreativePages/CustomReportCreativeDetail.aspx?App=23&amp;ReportView=4&amp;Qid=1711279&amp;Row=6981&amp;Col=1","No Title Assigned - #15270191056")</f>
        <v/>
      </c>
      <c r="B6989" s="0" t="s">
        <v>9243</v>
      </c>
      <c r="E6989" s="0" t="inlineStr">
        <is>
          <t xml:space="preserve">Mazda</t>
        </is>
      </c>
      <c r="F6989" s="0" t="s">
        <v>28</v>
      </c>
      <c r="G6989" s="0" t="s">
        <v>29</v>
      </c>
      <c r="H6989" s="5">
        <v>239.695900</v>
      </c>
    </row>
    <row r="6990" spans="1:9">
      <c r="A6990" s="22" t="str">
        <f>HYPERLINK("https://app.vivvix.com/360/KMI/IntelliDrive/ApplUI/Pages/CreativePages/CustomReportCreativeDetail.aspx?App=23&amp;ReportView=4&amp;Qid=1711279&amp;Row=6982&amp;Col=1","No Title Assigned - #15270191056")</f>
        <v/>
      </c>
      <c r="B6990" s="0" t="s">
        <v>9243</v>
      </c>
      <c r="C6990" s="0" t="s">
        <v>9244</v>
      </c>
      <c r="D6990" s="0" t="s">
        <v>9244</v>
      </c>
      <c r="E6990" s="0" t="inlineStr">
        <is>
          <t xml:space="preserve">Mazda</t>
        </is>
      </c>
      <c r="F6990" s="0" t="s">
        <v>28</v>
      </c>
      <c r="G6990" s="0" t="s">
        <v>29</v>
      </c>
      <c r="H6990" s="5">
        <v>84.434800</v>
      </c>
    </row>
    <row r="6991" spans="1:9">
      <c r="A6991" s="22" t="str">
        <f>HYPERLINK("https://app.vivvix.com/360/KMI/IntelliDrive/ApplUI/Pages/CreativePages/CustomReportCreativeDetail.aspx?App=23&amp;ReportView=4&amp;Qid=1711279&amp;Row=6983&amp;Col=1","No Title Assigned - #15270191576")</f>
        <v/>
      </c>
      <c r="B6991" s="0" t="s">
        <v>9245</v>
      </c>
      <c r="C6991" s="0" t="s">
        <v>9246</v>
      </c>
      <c r="D6991" s="0" t="s">
        <v>9246</v>
      </c>
      <c r="E6991" s="0" t="inlineStr">
        <is>
          <t xml:space="preserve">Mazda</t>
        </is>
      </c>
      <c r="F6991" s="0" t="s">
        <v>28</v>
      </c>
      <c r="G6991" s="0" t="s">
        <v>29</v>
      </c>
      <c r="H6991" s="5">
        <v>9.237900</v>
      </c>
    </row>
    <row r="6992" spans="1:9">
      <c r="A6992" s="22" t="str">
        <f>HYPERLINK("https://app.vivvix.com/360/KMI/IntelliDrive/ApplUI/Pages/CreativePages/CustomReportCreativeDetail.aspx?App=23&amp;ReportView=4&amp;Qid=1711279&amp;Row=6984&amp;Col=1","No Title Assigned - #15270191914")</f>
        <v/>
      </c>
      <c r="B6992" s="0" t="s">
        <v>9247</v>
      </c>
      <c r="C6992" s="0" t="s">
        <v>9248</v>
      </c>
      <c r="D6992" s="0" t="s">
        <v>9248</v>
      </c>
      <c r="E6992" s="0" t="inlineStr">
        <is>
          <t xml:space="preserve">Mazda</t>
        </is>
      </c>
      <c r="F6992" s="0" t="s">
        <v>28</v>
      </c>
      <c r="G6992" s="0" t="s">
        <v>29</v>
      </c>
      <c r="H6992" s="5">
        <v>154.914900</v>
      </c>
    </row>
    <row r="6993" spans="1:9">
      <c r="A6993" s="22" t="str">
        <f>HYPERLINK("https://app.vivvix.com/360/KMI/IntelliDrive/ApplUI/Pages/CreativePages/CustomReportCreativeDetail.aspx?App=23&amp;ReportView=4&amp;Qid=1711279&amp;Row=6985&amp;Col=1","No Title Assigned - #15270191924")</f>
        <v/>
      </c>
      <c r="B6993" s="0" t="s">
        <v>9249</v>
      </c>
      <c r="C6993" s="0" t="s">
        <v>9250</v>
      </c>
      <c r="D6993" s="0" t="s">
        <v>9250</v>
      </c>
      <c r="E6993" s="0" t="inlineStr">
        <is>
          <t xml:space="preserve">Mazda</t>
        </is>
      </c>
      <c r="F6993" s="0" t="s">
        <v>13</v>
      </c>
      <c r="G6993" s="0" t="s">
        <v>49</v>
      </c>
      <c r="H6993" s="5">
        <v>46.629100</v>
      </c>
    </row>
    <row r="6994" spans="1:9">
      <c r="A6994" s="22" t="str">
        <f>HYPERLINK("https://app.vivvix.com/360/KMI/IntelliDrive/ApplUI/Pages/CreativePages/CustomReportCreativeDetail.aspx?App=23&amp;ReportView=4&amp;Qid=1711279&amp;Row=6986&amp;Col=1","No Title Assigned - #15270192162")</f>
        <v/>
      </c>
      <c r="B6994" s="0" t="s">
        <v>9251</v>
      </c>
      <c r="C6994" s="0" t="s">
        <v>9252</v>
      </c>
      <c r="D6994" s="0" t="s">
        <v>4333</v>
      </c>
      <c r="E6994" s="0" t="inlineStr">
        <is>
          <t xml:space="preserve">Mazda</t>
        </is>
      </c>
      <c r="F6994" s="0" t="s">
        <v>28</v>
      </c>
      <c r="G6994" s="0" t="s">
        <v>29</v>
      </c>
      <c r="H6994" s="5">
        <v>2099.018100</v>
      </c>
    </row>
    <row r="6995" spans="1:9">
      <c r="A6995" s="22" t="str">
        <f>HYPERLINK("https://app.vivvix.com/360/KMI/IntelliDrive/ApplUI/Pages/CreativePages/CustomReportCreativeDetail.aspx?App=23&amp;ReportView=4&amp;Qid=1711279&amp;Row=6987&amp;Col=1","No Title Assigned - #15270192219")</f>
        <v/>
      </c>
      <c r="B6995" s="0" t="s">
        <v>9253</v>
      </c>
      <c r="C6995" s="0" t="s">
        <v>9254</v>
      </c>
      <c r="D6995" s="0" t="s">
        <v>9254</v>
      </c>
      <c r="E6995" s="0" t="inlineStr">
        <is>
          <t xml:space="preserve">Mazda</t>
        </is>
      </c>
      <c r="F6995" s="0" t="s">
        <v>13</v>
      </c>
      <c r="G6995" s="0" t="s">
        <v>49</v>
      </c>
      <c r="H6995" s="5">
        <v>63150.623000</v>
      </c>
    </row>
    <row r="6996" spans="1:9">
      <c r="A6996" s="22" t="str">
        <f>HYPERLINK("https://app.vivvix.com/360/KMI/IntelliDrive/ApplUI/Pages/CreativePages/CustomReportCreativeDetail.aspx?App=23&amp;ReportView=4&amp;Qid=1711279&amp;Row=6988&amp;Col=1","No Title Assigned - #15270192658")</f>
        <v/>
      </c>
      <c r="B6996" s="0" t="s">
        <v>9255</v>
      </c>
      <c r="C6996" s="0" t="s">
        <v>9256</v>
      </c>
      <c r="D6996" s="0" t="s">
        <v>8588</v>
      </c>
      <c r="E6996" s="0" t="inlineStr">
        <is>
          <t xml:space="preserve">Mazda</t>
        </is>
      </c>
      <c r="F6996" s="0" t="s">
        <v>13</v>
      </c>
      <c r="G6996" s="0" t="s">
        <v>49</v>
      </c>
      <c r="H6996" s="5">
        <v>143.004500</v>
      </c>
    </row>
    <row r="6997" spans="1:9">
      <c r="A6997" s="22" t="str">
        <f>HYPERLINK("https://app.vivvix.com/360/KMI/IntelliDrive/ApplUI/Pages/CreativePages/CustomReportCreativeDetail.aspx?App=23&amp;ReportView=4&amp;Qid=1711279&amp;Row=6989&amp;Col=1","No Title Assigned - #15270192830")</f>
        <v/>
      </c>
      <c r="B6997" s="0" t="s">
        <v>9257</v>
      </c>
      <c r="C6997" s="0" t="s">
        <v>9258</v>
      </c>
      <c r="D6997" s="0" t="s">
        <v>8203</v>
      </c>
      <c r="E6997" s="0" t="inlineStr">
        <is>
          <t xml:space="preserve">Mazda</t>
        </is>
      </c>
      <c r="F6997" s="0" t="s">
        <v>28</v>
      </c>
      <c r="G6997" s="0" t="s">
        <v>29</v>
      </c>
      <c r="H6997" s="5">
        <v>170.116200</v>
      </c>
    </row>
    <row r="6998" spans="1:9">
      <c r="A6998" s="22" t="str">
        <f>HYPERLINK("https://app.vivvix.com/360/KMI/IntelliDrive/ApplUI/Pages/CreativePages/CustomReportCreativeDetail.aspx?App=23&amp;ReportView=4&amp;Qid=1711279&amp;Row=6990&amp;Col=1","No Title Assigned - #15270192925")</f>
        <v/>
      </c>
      <c r="B6998" s="0" t="s">
        <v>9259</v>
      </c>
      <c r="C6998" s="0" t="s">
        <v>9260</v>
      </c>
      <c r="D6998" s="0" t="s">
        <v>7081</v>
      </c>
      <c r="E6998" s="0" t="inlineStr">
        <is>
          <t xml:space="preserve">Mazda</t>
        </is>
      </c>
      <c r="F6998" s="0" t="s">
        <v>13</v>
      </c>
      <c r="G6998" s="0" t="s">
        <v>49</v>
      </c>
      <c r="H6998" s="5">
        <v>470.106800</v>
      </c>
    </row>
    <row r="6999" spans="1:9">
      <c r="A6999" s="22" t="str">
        <f>HYPERLINK("https://app.vivvix.com/360/KMI/IntelliDrive/ApplUI/Pages/CreativePages/CustomReportCreativeDetail.aspx?App=23&amp;ReportView=4&amp;Qid=1711279&amp;Row=6991&amp;Col=1","No Title Assigned - #15270193120")</f>
        <v/>
      </c>
      <c r="B6999" s="0" t="s">
        <v>9261</v>
      </c>
      <c r="C6999" s="0" t="s">
        <v>9262</v>
      </c>
      <c r="D6999" s="0" t="s">
        <v>9262</v>
      </c>
      <c r="E6999" s="0" t="inlineStr">
        <is>
          <t xml:space="preserve">Mazda</t>
        </is>
      </c>
      <c r="F6999" s="0" t="inlineStr">
        <is>
          <t xml:space="preserve">Mazda</t>
        </is>
      </c>
      <c r="G6999" s="0" t="s">
        <v>210</v>
      </c>
      <c r="H6999" s="5">
        <v>857.579000</v>
      </c>
    </row>
    <row r="7000" spans="1:9">
      <c r="A7000" s="22" t="str">
        <f>HYPERLINK("https://app.vivvix.com/360/KMI/IntelliDrive/ApplUI/Pages/CreativePages/CustomReportCreativeDetail.aspx?App=23&amp;ReportView=4&amp;Qid=1711279&amp;Row=6992&amp;Col=1","No Title Assigned - #15270193159")</f>
        <v/>
      </c>
      <c r="B7000" s="0" t="s">
        <v>9263</v>
      </c>
      <c r="C7000" s="0" t="s">
        <v>9264</v>
      </c>
      <c r="D7000" s="0" t="s">
        <v>9264</v>
      </c>
      <c r="E7000" s="0" t="inlineStr">
        <is>
          <t xml:space="preserve">Mazda</t>
        </is>
      </c>
      <c r="F7000" s="0" t="s">
        <v>28</v>
      </c>
      <c r="G7000" s="0" t="s">
        <v>29</v>
      </c>
      <c r="H7000" s="5">
        <v>2099.018100</v>
      </c>
    </row>
    <row r="7001" spans="1:9">
      <c r="A7001" s="22" t="str">
        <f>HYPERLINK("https://app.vivvix.com/360/KMI/IntelliDrive/ApplUI/Pages/CreativePages/CustomReportCreativeDetail.aspx?App=23&amp;ReportView=4&amp;Qid=1711279&amp;Row=6993&amp;Col=1","No Title Assigned - #15270193654")</f>
        <v/>
      </c>
      <c r="B7001" s="0" t="s">
        <v>9265</v>
      </c>
      <c r="C7001" s="0" t="s">
        <v>9266</v>
      </c>
      <c r="D7001" s="0" t="s">
        <v>4200</v>
      </c>
      <c r="E7001" s="0" t="inlineStr">
        <is>
          <t xml:space="preserve">Mazda</t>
        </is>
      </c>
      <c r="F7001" s="0" t="s">
        <v>28</v>
      </c>
      <c r="G7001" s="0" t="s">
        <v>29</v>
      </c>
      <c r="H7001" s="5">
        <v>5.341000</v>
      </c>
    </row>
    <row r="7002" spans="1:9">
      <c r="A7002" s="22" t="str">
        <f>HYPERLINK("https://app.vivvix.com/360/KMI/IntelliDrive/ApplUI/Pages/CreativePages/CustomReportCreativeDetail.aspx?App=23&amp;ReportView=4&amp;Qid=1711279&amp;Row=6994&amp;Col=1","No Title Assigned - #15270194054")</f>
        <v/>
      </c>
      <c r="B7002" s="0" t="s">
        <v>9267</v>
      </c>
      <c r="C7002" s="0" t="s">
        <v>9268</v>
      </c>
      <c r="D7002" s="0" t="s">
        <v>8876</v>
      </c>
      <c r="E7002" s="0" t="inlineStr">
        <is>
          <t xml:space="preserve">Mazda</t>
        </is>
      </c>
      <c r="F7002" s="0" t="s">
        <v>28</v>
      </c>
      <c r="G7002" s="0" t="s">
        <v>29</v>
      </c>
      <c r="H7002" s="5">
        <v>1512.005600</v>
      </c>
    </row>
    <row r="7003" spans="1:9">
      <c r="A7003" s="22" t="str">
        <f>HYPERLINK("https://app.vivvix.com/360/KMI/IntelliDrive/ApplUI/Pages/CreativePages/CustomReportCreativeDetail.aspx?App=23&amp;ReportView=4&amp;Qid=1711279&amp;Row=6995&amp;Col=1","No Title Assigned - #15270194487")</f>
        <v/>
      </c>
      <c r="B7003" s="0" t="s">
        <v>9269</v>
      </c>
      <c r="C7003" s="0" t="s">
        <v>9270</v>
      </c>
      <c r="D7003" s="0" t="s">
        <v>8610</v>
      </c>
      <c r="E7003" s="0" t="inlineStr">
        <is>
          <t xml:space="preserve">Mazda</t>
        </is>
      </c>
      <c r="F7003" s="0" t="s">
        <v>28</v>
      </c>
      <c r="G7003" s="0" t="s">
        <v>29</v>
      </c>
      <c r="H7003" s="5">
        <v>10.651000</v>
      </c>
    </row>
    <row r="7004" spans="1:9">
      <c r="A7004" s="22" t="str">
        <f>HYPERLINK("https://app.vivvix.com/360/KMI/IntelliDrive/ApplUI/Pages/CreativePages/CustomReportCreativeDetail.aspx?App=23&amp;ReportView=4&amp;Qid=1711279&amp;Row=6996&amp;Col=1","No Title Assigned - #15270194577")</f>
        <v/>
      </c>
      <c r="B7004" s="0" t="s">
        <v>9271</v>
      </c>
      <c r="C7004" s="0" t="s">
        <v>9272</v>
      </c>
      <c r="D7004" s="0" t="s">
        <v>9185</v>
      </c>
      <c r="E7004" s="0" t="inlineStr">
        <is>
          <t xml:space="preserve">Mazda</t>
        </is>
      </c>
      <c r="F7004" s="0" t="s">
        <v>28</v>
      </c>
      <c r="G7004" s="0" t="s">
        <v>29</v>
      </c>
      <c r="H7004" s="5">
        <v>6.026300</v>
      </c>
    </row>
    <row r="7005" spans="1:9">
      <c r="A7005" s="22" t="str">
        <f>HYPERLINK("https://app.vivvix.com/360/KMI/IntelliDrive/ApplUI/Pages/CreativePages/CustomReportCreativeDetail.aspx?App=23&amp;ReportView=4&amp;Qid=1711279&amp;Row=6997&amp;Col=1","No Title Assigned - #15270195479")</f>
        <v/>
      </c>
      <c r="B7005" s="0" t="s">
        <v>9273</v>
      </c>
      <c r="C7005" s="0" t="s">
        <v>9274</v>
      </c>
      <c r="D7005" s="0" t="s">
        <v>9274</v>
      </c>
      <c r="E7005" s="0" t="inlineStr">
        <is>
          <t xml:space="preserve">Mazda</t>
        </is>
      </c>
      <c r="F7005" s="0" t="inlineStr">
        <is>
          <t xml:space="preserve">Mazda</t>
        </is>
      </c>
      <c r="G7005" s="0" t="s">
        <v>171</v>
      </c>
      <c r="H7005" s="5">
        <v>223.439500</v>
      </c>
    </row>
    <row r="7006" spans="1:9">
      <c r="A7006" s="22" t="str">
        <f>HYPERLINK("https://app.vivvix.com/360/KMI/IntelliDrive/ApplUI/Pages/CreativePages/CustomReportCreativeDetail.aspx?App=23&amp;ReportView=4&amp;Qid=1711279&amp;Row=6998&amp;Col=1","No Title Assigned - #15270195590")</f>
        <v/>
      </c>
      <c r="B7006" s="0" t="s">
        <v>9275</v>
      </c>
      <c r="C7006" s="0" t="s">
        <v>9276</v>
      </c>
      <c r="D7006" s="0" t="s">
        <v>8560</v>
      </c>
      <c r="E7006" s="0" t="inlineStr">
        <is>
          <t xml:space="preserve">Mazda</t>
        </is>
      </c>
      <c r="F7006" s="0" t="s">
        <v>13</v>
      </c>
      <c r="G7006" s="0" t="s">
        <v>49</v>
      </c>
      <c r="H7006" s="5">
        <v>165.203600</v>
      </c>
    </row>
    <row r="7007" spans="1:9">
      <c r="A7007" s="22" t="str">
        <f>HYPERLINK("https://app.vivvix.com/360/KMI/IntelliDrive/ApplUI/Pages/CreativePages/CustomReportCreativeDetail.aspx?App=23&amp;ReportView=4&amp;Qid=1711279&amp;Row=6999&amp;Col=1","No Title Assigned - #15270195986")</f>
        <v/>
      </c>
      <c r="B7007" s="0" t="s">
        <v>9277</v>
      </c>
      <c r="C7007" s="0" t="s">
        <v>9278</v>
      </c>
      <c r="D7007" s="0" t="s">
        <v>4225</v>
      </c>
      <c r="E7007" s="0" t="inlineStr">
        <is>
          <t xml:space="preserve">Mazda</t>
        </is>
      </c>
      <c r="F7007" s="0" t="s">
        <v>28</v>
      </c>
      <c r="G7007" s="0" t="s">
        <v>29</v>
      </c>
      <c r="H7007" s="5">
        <v>3431.514900</v>
      </c>
    </row>
    <row r="7008" spans="1:9">
      <c r="A7008" s="22" t="str">
        <f>HYPERLINK("https://app.vivvix.com/360/KMI/IntelliDrive/ApplUI/Pages/CreativePages/CustomReportCreativeDetail.aspx?App=23&amp;ReportView=4&amp;Qid=1711279&amp;Row=7000&amp;Col=1","No Title Assigned - #15270195986")</f>
        <v/>
      </c>
      <c r="B7008" s="0" t="s">
        <v>9277</v>
      </c>
      <c r="E7008" s="0" t="inlineStr">
        <is>
          <t xml:space="preserve">Mazda</t>
        </is>
      </c>
      <c r="F7008" s="0" t="s">
        <v>28</v>
      </c>
      <c r="G7008" s="0" t="s">
        <v>29</v>
      </c>
      <c r="H7008" s="5">
        <v>76.242000</v>
      </c>
    </row>
    <row r="7009" spans="1:9">
      <c r="A7009" s="22" t="str">
        <f>HYPERLINK("https://app.vivvix.com/360/KMI/IntelliDrive/ApplUI/Pages/CreativePages/CustomReportCreativeDetail.aspx?App=23&amp;ReportView=4&amp;Qid=1711279&amp;Row=7001&amp;Col=1","No Title Assigned - #15270196432")</f>
        <v/>
      </c>
      <c r="B7009" s="0" t="s">
        <v>9279</v>
      </c>
      <c r="E7009" s="0" t="inlineStr">
        <is>
          <t xml:space="preserve">Mazda</t>
        </is>
      </c>
      <c r="F7009" s="0" t="inlineStr">
        <is>
          <t xml:space="preserve">Mazda</t>
        </is>
      </c>
      <c r="G7009" s="0" t="s">
        <v>171</v>
      </c>
      <c r="H7009" s="5">
        <v>446.086000</v>
      </c>
    </row>
    <row r="7010" spans="1:9">
      <c r="A7010" s="22" t="str">
        <f>HYPERLINK("https://app.vivvix.com/360/KMI/IntelliDrive/ApplUI/Pages/CreativePages/CustomReportCreativeDetail.aspx?App=23&amp;ReportView=4&amp;Qid=1711279&amp;Row=7002&amp;Col=1","No Title Assigned - #15270196718")</f>
        <v/>
      </c>
      <c r="B7010" s="0" t="s">
        <v>9280</v>
      </c>
      <c r="C7010" s="0" t="s">
        <v>9281</v>
      </c>
      <c r="D7010" s="0" t="s">
        <v>9281</v>
      </c>
      <c r="E7010" s="0" t="inlineStr">
        <is>
          <t xml:space="preserve">Mazda</t>
        </is>
      </c>
      <c r="F7010" s="0" t="s">
        <v>13</v>
      </c>
      <c r="G7010" s="0" t="s">
        <v>49</v>
      </c>
      <c r="H7010" s="5">
        <v>63.988000</v>
      </c>
    </row>
    <row r="7011" spans="1:9">
      <c r="A7011" s="22" t="str">
        <f>HYPERLINK("https://app.vivvix.com/360/KMI/IntelliDrive/ApplUI/Pages/CreativePages/CustomReportCreativeDetail.aspx?App=23&amp;ReportView=4&amp;Qid=1711279&amp;Row=7003&amp;Col=1","No Title Assigned - #15270196912")</f>
        <v/>
      </c>
      <c r="B7011" s="0" t="s">
        <v>9282</v>
      </c>
      <c r="E7011" s="0" t="inlineStr">
        <is>
          <t xml:space="preserve">Mazda</t>
        </is>
      </c>
      <c r="F7011" s="0" t="inlineStr">
        <is>
          <t xml:space="preserve">Mazda</t>
        </is>
      </c>
      <c r="G7011" s="0" t="s">
        <v>171</v>
      </c>
      <c r="H7011" s="5">
        <v>23.335600</v>
      </c>
    </row>
    <row r="7012" spans="1:9">
      <c r="A7012" s="22" t="str">
        <f>HYPERLINK("https://app.vivvix.com/360/KMI/IntelliDrive/ApplUI/Pages/CreativePages/CustomReportCreativeDetail.aspx?App=23&amp;ReportView=4&amp;Qid=1711279&amp;Row=7004&amp;Col=1","No Title Assigned - #15270196954")</f>
        <v/>
      </c>
      <c r="B7012" s="0" t="s">
        <v>9283</v>
      </c>
      <c r="E7012" s="0" t="inlineStr">
        <is>
          <t xml:space="preserve">Mazda</t>
        </is>
      </c>
      <c r="F7012" s="0" t="inlineStr">
        <is>
          <t xml:space="preserve">Mazda</t>
        </is>
      </c>
      <c r="G7012" s="0" t="s">
        <v>171</v>
      </c>
      <c r="H7012" s="5">
        <v>73.506700</v>
      </c>
    </row>
    <row r="7013" spans="1:9">
      <c r="A7013" s="22" t="str">
        <f>HYPERLINK("https://app.vivvix.com/360/KMI/IntelliDrive/ApplUI/Pages/CreativePages/CustomReportCreativeDetail.aspx?App=23&amp;ReportView=4&amp;Qid=1711279&amp;Row=7005&amp;Col=1","No Title Assigned - #15270196997")</f>
        <v/>
      </c>
      <c r="B7013" s="0" t="s">
        <v>9284</v>
      </c>
      <c r="E7013" s="0" t="inlineStr">
        <is>
          <t xml:space="preserve">Mazda</t>
        </is>
      </c>
      <c r="F7013" s="0" t="inlineStr">
        <is>
          <t xml:space="preserve">Mazda</t>
        </is>
      </c>
      <c r="G7013" s="0" t="s">
        <v>171</v>
      </c>
      <c r="H7013" s="5">
        <v>115.401900</v>
      </c>
    </row>
    <row r="7014" spans="1:9">
      <c r="A7014" s="22" t="str">
        <f>HYPERLINK("https://app.vivvix.com/360/KMI/IntelliDrive/ApplUI/Pages/CreativePages/CustomReportCreativeDetail.aspx?App=23&amp;ReportView=4&amp;Qid=1711279&amp;Row=7006&amp;Col=1","No Title Assigned - #15270197128")</f>
        <v/>
      </c>
      <c r="B7014" s="0" t="s">
        <v>9285</v>
      </c>
      <c r="C7014" s="0" t="s">
        <v>9286</v>
      </c>
      <c r="D7014" s="0" t="s">
        <v>9286</v>
      </c>
      <c r="E7014" s="0" t="inlineStr">
        <is>
          <t xml:space="preserve">Mazda</t>
        </is>
      </c>
      <c r="F7014" s="0" t="s">
        <v>28</v>
      </c>
      <c r="G7014" s="0" t="s">
        <v>29</v>
      </c>
      <c r="H7014" s="5">
        <v>43.982800</v>
      </c>
    </row>
    <row r="7015" spans="1:9">
      <c r="A7015" s="22" t="str">
        <f>HYPERLINK("https://app.vivvix.com/360/KMI/IntelliDrive/ApplUI/Pages/CreativePages/CustomReportCreativeDetail.aspx?App=23&amp;ReportView=4&amp;Qid=1711279&amp;Row=7007&amp;Col=1","No Title Assigned - #15270198113")</f>
        <v/>
      </c>
      <c r="B7015" s="0" t="s">
        <v>9287</v>
      </c>
      <c r="C7015" s="0" t="s">
        <v>9288</v>
      </c>
      <c r="D7015" s="0" t="s">
        <v>7969</v>
      </c>
      <c r="E7015" s="0" t="inlineStr">
        <is>
          <t xml:space="preserve">Mazda</t>
        </is>
      </c>
      <c r="F7015" s="0" t="s">
        <v>13</v>
      </c>
      <c r="G7015" s="0" t="s">
        <v>49</v>
      </c>
      <c r="H7015" s="5">
        <v>39.440700</v>
      </c>
    </row>
    <row r="7016" spans="1:9">
      <c r="A7016" s="22" t="str">
        <f>HYPERLINK("https://app.vivvix.com/360/KMI/IntelliDrive/ApplUI/Pages/CreativePages/CustomReportCreativeDetail.aspx?App=23&amp;ReportView=4&amp;Qid=1711279&amp;Row=7008&amp;Col=1","No Title Assigned - #15270198432")</f>
        <v/>
      </c>
      <c r="B7016" s="0" t="s">
        <v>9289</v>
      </c>
      <c r="C7016" s="0" t="s">
        <v>9290</v>
      </c>
      <c r="D7016" s="0" t="s">
        <v>9290</v>
      </c>
      <c r="E7016" s="0" t="inlineStr">
        <is>
          <t xml:space="preserve">Mazda</t>
        </is>
      </c>
      <c r="F7016" s="0" t="s">
        <v>13</v>
      </c>
      <c r="G7016" s="0" t="s">
        <v>49</v>
      </c>
      <c r="H7016" s="5">
        <v>48.116500</v>
      </c>
    </row>
    <row r="7017" spans="1:9">
      <c r="A7017" s="22" t="str">
        <f>HYPERLINK("https://app.vivvix.com/360/KMI/IntelliDrive/ApplUI/Pages/CreativePages/CustomReportCreativeDetail.aspx?App=23&amp;ReportView=4&amp;Qid=1711279&amp;Row=7009&amp;Col=1","No Title Assigned - #15270199404")</f>
        <v/>
      </c>
      <c r="B7017" s="0" t="s">
        <v>9291</v>
      </c>
      <c r="C7017" s="0" t="s">
        <v>9292</v>
      </c>
      <c r="D7017" s="0" t="s">
        <v>9292</v>
      </c>
      <c r="E7017" s="0" t="inlineStr">
        <is>
          <t xml:space="preserve">Mazda</t>
        </is>
      </c>
      <c r="F7017" s="0" t="s">
        <v>17</v>
      </c>
      <c r="G7017" s="0" t="s">
        <v>33</v>
      </c>
      <c r="H7017" s="5">
        <v>28894.406000</v>
      </c>
    </row>
    <row r="7018" spans="1:9">
      <c r="A7018" s="22" t="str">
        <f>HYPERLINK("https://app.vivvix.com/360/KMI/IntelliDrive/ApplUI/Pages/CreativePages/CustomReportCreativeDetail.aspx?App=23&amp;ReportView=4&amp;Qid=1711279&amp;Row=7010&amp;Col=1","No Title Assigned - #15270199534")</f>
        <v/>
      </c>
      <c r="B7018" s="0" t="s">
        <v>9293</v>
      </c>
      <c r="C7018" s="0" t="s">
        <v>9294</v>
      </c>
      <c r="D7018" s="0" t="s">
        <v>7969</v>
      </c>
      <c r="E7018" s="0" t="inlineStr">
        <is>
          <t xml:space="preserve">Mazda</t>
        </is>
      </c>
      <c r="F7018" s="0" t="s">
        <v>13</v>
      </c>
      <c r="G7018" s="0" t="s">
        <v>49</v>
      </c>
      <c r="H7018" s="5">
        <v>433.900000</v>
      </c>
    </row>
    <row r="7019" spans="1:9">
      <c r="A7019" s="22" t="str">
        <f>HYPERLINK("https://app.vivvix.com/360/KMI/IntelliDrive/ApplUI/Pages/CreativePages/CustomReportCreativeDetail.aspx?App=23&amp;ReportView=4&amp;Qid=1711279&amp;Row=7011&amp;Col=1","No Title Assigned - #15270199845")</f>
        <v/>
      </c>
      <c r="B7019" s="0" t="s">
        <v>9295</v>
      </c>
      <c r="C7019" s="0" t="s">
        <v>9296</v>
      </c>
      <c r="D7019" s="0" t="s">
        <v>9296</v>
      </c>
      <c r="E7019" s="0" t="inlineStr">
        <is>
          <t xml:space="preserve">Mazda</t>
        </is>
      </c>
      <c r="F7019" s="0" t="s">
        <v>28</v>
      </c>
      <c r="G7019" s="0" t="s">
        <v>29</v>
      </c>
      <c r="H7019" s="5">
        <v>0.965800</v>
      </c>
    </row>
    <row r="7020" spans="1:9">
      <c r="A7020" s="22" t="str">
        <f>HYPERLINK("https://app.vivvix.com/360/KMI/IntelliDrive/ApplUI/Pages/CreativePages/CustomReportCreativeDetail.aspx?App=23&amp;ReportView=4&amp;Qid=1711279&amp;Row=7012&amp;Col=1","No Title Assigned - #15270203597")</f>
        <v/>
      </c>
      <c r="B7020" s="0" t="s">
        <v>9297</v>
      </c>
      <c r="C7020" s="0" t="s">
        <v>9298</v>
      </c>
      <c r="D7020" s="0" t="s">
        <v>9298</v>
      </c>
      <c r="E7020" s="0" t="inlineStr">
        <is>
          <t xml:space="preserve">Mazda</t>
        </is>
      </c>
      <c r="F7020" s="0" t="inlineStr">
        <is>
          <t xml:space="preserve">Mazda</t>
        </is>
      </c>
      <c r="G7020" s="0" t="s">
        <v>171</v>
      </c>
      <c r="H7020" s="5">
        <v>125.685000</v>
      </c>
    </row>
    <row r="7021" spans="1:9">
      <c r="A7021" s="22" t="str">
        <f>HYPERLINK("https://app.vivvix.com/360/KMI/IntelliDrive/ApplUI/Pages/CreativePages/CustomReportCreativeDetail.aspx?App=23&amp;ReportView=4&amp;Qid=1711279&amp;Row=7013&amp;Col=1","No Title Assigned - #15270204068")</f>
        <v/>
      </c>
      <c r="B7021" s="0" t="s">
        <v>9299</v>
      </c>
      <c r="E7021" s="0" t="inlineStr">
        <is>
          <t xml:space="preserve">Mazda</t>
        </is>
      </c>
      <c r="F7021" s="0" t="inlineStr">
        <is>
          <t xml:space="preserve">Mazda</t>
        </is>
      </c>
      <c r="G7021" s="0" t="s">
        <v>171</v>
      </c>
      <c r="H7021" s="5">
        <v>28.449200</v>
      </c>
    </row>
    <row r="7022" spans="1:9">
      <c r="A7022" s="22" t="str">
        <f>HYPERLINK("https://app.vivvix.com/360/KMI/IntelliDrive/ApplUI/Pages/CreativePages/CustomReportCreativeDetail.aspx?App=23&amp;ReportView=4&amp;Qid=1711279&amp;Row=7014&amp;Col=1","No Title Assigned - #15270204615")</f>
        <v/>
      </c>
      <c r="B7022" s="0" t="s">
        <v>9300</v>
      </c>
      <c r="E7022" s="0" t="inlineStr">
        <is>
          <t xml:space="preserve">Mazda</t>
        </is>
      </c>
      <c r="F7022" s="0" t="inlineStr">
        <is>
          <t xml:space="preserve">Mazda</t>
        </is>
      </c>
      <c r="G7022" s="0" t="s">
        <v>171</v>
      </c>
      <c r="H7022" s="5">
        <v>110.566000</v>
      </c>
    </row>
    <row r="7023" spans="1:9">
      <c r="A7023" s="22" t="str">
        <f>HYPERLINK("https://app.vivvix.com/360/KMI/IntelliDrive/ApplUI/Pages/CreativePages/CustomReportCreativeDetail.aspx?App=23&amp;ReportView=4&amp;Qid=1711279&amp;Row=7015&amp;Col=1","No Title Assigned - #15270204929")</f>
        <v/>
      </c>
      <c r="B7023" s="0" t="s">
        <v>9301</v>
      </c>
      <c r="E7023" s="0" t="inlineStr">
        <is>
          <t xml:space="preserve">Mazda</t>
        </is>
      </c>
      <c r="F7023" s="0" t="inlineStr">
        <is>
          <t xml:space="preserve">Mazda</t>
        </is>
      </c>
      <c r="G7023" s="0" t="s">
        <v>171</v>
      </c>
      <c r="H7023" s="5">
        <v>1699.565700</v>
      </c>
    </row>
    <row r="7024" spans="1:9">
      <c r="A7024" s="22" t="str">
        <f>HYPERLINK("https://app.vivvix.com/360/KMI/IntelliDrive/ApplUI/Pages/CreativePages/CustomReportCreativeDetail.aspx?App=23&amp;ReportView=4&amp;Qid=1711279&amp;Row=7016&amp;Col=1","No Title Assigned - #15270205263")</f>
        <v/>
      </c>
      <c r="B7024" s="0" t="s">
        <v>9302</v>
      </c>
      <c r="E7024" s="0" t="inlineStr">
        <is>
          <t xml:space="preserve">Mazda</t>
        </is>
      </c>
      <c r="F7024" s="0" t="inlineStr">
        <is>
          <t xml:space="preserve">Mazda</t>
        </is>
      </c>
      <c r="G7024" s="0" t="s">
        <v>171</v>
      </c>
      <c r="H7024" s="5">
        <v>66.809200</v>
      </c>
    </row>
    <row r="7025" spans="1:9">
      <c r="A7025" s="22" t="str">
        <f>HYPERLINK("https://app.vivvix.com/360/KMI/IntelliDrive/ApplUI/Pages/CreativePages/CustomReportCreativeDetail.aspx?App=23&amp;ReportView=4&amp;Qid=1711279&amp;Row=7017&amp;Col=1","No Title Assigned - #15270205901")</f>
        <v/>
      </c>
      <c r="B7025" s="0" t="s">
        <v>9303</v>
      </c>
      <c r="C7025" s="0" t="s">
        <v>9304</v>
      </c>
      <c r="D7025" s="0" t="s">
        <v>9304</v>
      </c>
      <c r="E7025" s="0" t="inlineStr">
        <is>
          <t xml:space="preserve">Mazda</t>
        </is>
      </c>
      <c r="F7025" s="0" t="inlineStr">
        <is>
          <t xml:space="preserve">Mazda</t>
        </is>
      </c>
      <c r="G7025" s="0" t="s">
        <v>171</v>
      </c>
      <c r="H7025" s="5">
        <v>910.353600</v>
      </c>
    </row>
    <row r="7026" spans="1:9">
      <c r="A7026" s="22" t="str">
        <f>HYPERLINK("https://app.vivvix.com/360/KMI/IntelliDrive/ApplUI/Pages/CreativePages/CustomReportCreativeDetail.aspx?App=23&amp;ReportView=4&amp;Qid=1711279&amp;Row=7018&amp;Col=1","No Title Assigned - #15270205901")</f>
        <v/>
      </c>
      <c r="B7026" s="0" t="s">
        <v>9303</v>
      </c>
      <c r="E7026" s="0" t="inlineStr">
        <is>
          <t xml:space="preserve">Mazda</t>
        </is>
      </c>
      <c r="F7026" s="0" t="inlineStr">
        <is>
          <t xml:space="preserve">Mazda</t>
        </is>
      </c>
      <c r="G7026" s="0" t="s">
        <v>171</v>
      </c>
      <c r="H7026" s="5">
        <v>4810.934300</v>
      </c>
    </row>
    <row r="7027" spans="1:9">
      <c r="A7027" s="22" t="str">
        <f>HYPERLINK("https://app.vivvix.com/360/KMI/IntelliDrive/ApplUI/Pages/CreativePages/CustomReportCreativeDetail.aspx?App=23&amp;ReportView=4&amp;Qid=1711279&amp;Row=7019&amp;Col=1","No Title Assigned - #15270206677")</f>
        <v/>
      </c>
      <c r="B7027" s="0" t="s">
        <v>9305</v>
      </c>
      <c r="E7027" s="0" t="inlineStr">
        <is>
          <t xml:space="preserve">Mazda</t>
        </is>
      </c>
      <c r="F7027" s="0" t="inlineStr">
        <is>
          <t xml:space="preserve">Mazda</t>
        </is>
      </c>
      <c r="G7027" s="0" t="s">
        <v>171</v>
      </c>
      <c r="H7027" s="5">
        <v>51.743300</v>
      </c>
    </row>
    <row r="7028" spans="1:9">
      <c r="A7028" s="22" t="str">
        <f>HYPERLINK("https://app.vivvix.com/360/KMI/IntelliDrive/ApplUI/Pages/CreativePages/CustomReportCreativeDetail.aspx?App=23&amp;ReportView=4&amp;Qid=1711279&amp;Row=7020&amp;Col=1","No Title Assigned - #15270207402")</f>
        <v/>
      </c>
      <c r="B7028" s="0" t="s">
        <v>9306</v>
      </c>
      <c r="E7028" s="0" t="inlineStr">
        <is>
          <t xml:space="preserve">Mazda</t>
        </is>
      </c>
      <c r="F7028" s="0" t="inlineStr">
        <is>
          <t xml:space="preserve">Mazda</t>
        </is>
      </c>
      <c r="G7028" s="0" t="s">
        <v>171</v>
      </c>
      <c r="H7028" s="5">
        <v>50.598600</v>
      </c>
    </row>
    <row r="7029" spans="1:9">
      <c r="A7029" s="22" t="str">
        <f>HYPERLINK("https://app.vivvix.com/360/KMI/IntelliDrive/ApplUI/Pages/CreativePages/CustomReportCreativeDetail.aspx?App=23&amp;ReportView=4&amp;Qid=1711279&amp;Row=7021&amp;Col=1","No Title Assigned - #15270207753")</f>
        <v/>
      </c>
      <c r="B7029" s="0" t="s">
        <v>9307</v>
      </c>
      <c r="E7029" s="0" t="inlineStr">
        <is>
          <t xml:space="preserve">Mazda</t>
        </is>
      </c>
      <c r="F7029" s="0" t="inlineStr">
        <is>
          <t xml:space="preserve">Mazda</t>
        </is>
      </c>
      <c r="G7029" s="0" t="s">
        <v>171</v>
      </c>
      <c r="H7029" s="5">
        <v>222.610800</v>
      </c>
    </row>
    <row r="7030" spans="1:9">
      <c r="A7030" s="22" t="str">
        <f>HYPERLINK("https://app.vivvix.com/360/KMI/IntelliDrive/ApplUI/Pages/CreativePages/CustomReportCreativeDetail.aspx?App=23&amp;ReportView=4&amp;Qid=1711279&amp;Row=7022&amp;Col=1","No Title Assigned - #15270208341")</f>
        <v/>
      </c>
      <c r="B7030" s="0" t="s">
        <v>9308</v>
      </c>
      <c r="E7030" s="0" t="inlineStr">
        <is>
          <t xml:space="preserve">Mazda</t>
        </is>
      </c>
      <c r="F7030" s="0" t="inlineStr">
        <is>
          <t xml:space="preserve">Mazda</t>
        </is>
      </c>
      <c r="G7030" s="0" t="s">
        <v>171</v>
      </c>
      <c r="H7030" s="5">
        <v>4319.106400</v>
      </c>
    </row>
    <row r="7031" spans="1:9">
      <c r="A7031" s="22" t="str">
        <f>HYPERLINK("https://app.vivvix.com/360/KMI/IntelliDrive/ApplUI/Pages/CreativePages/CustomReportCreativeDetail.aspx?App=23&amp;ReportView=4&amp;Qid=1711279&amp;Row=7023&amp;Col=1","No Title Assigned - #15270208500")</f>
        <v/>
      </c>
      <c r="B7031" s="0" t="s">
        <v>9309</v>
      </c>
      <c r="E7031" s="0" t="inlineStr">
        <is>
          <t xml:space="preserve">Mazda</t>
        </is>
      </c>
      <c r="F7031" s="0" t="inlineStr">
        <is>
          <t xml:space="preserve">Mazda</t>
        </is>
      </c>
      <c r="G7031" s="0" t="s">
        <v>171</v>
      </c>
      <c r="H7031" s="5">
        <v>20.178800</v>
      </c>
    </row>
    <row r="7032" spans="1:9">
      <c r="A7032" s="22" t="str">
        <f>HYPERLINK("https://app.vivvix.com/360/KMI/IntelliDrive/ApplUI/Pages/CreativePages/CustomReportCreativeDetail.aspx?App=23&amp;ReportView=4&amp;Qid=1711279&amp;Row=7024&amp;Col=1","No Title Assigned - #15270208584")</f>
        <v/>
      </c>
      <c r="B7032" s="0" t="s">
        <v>9310</v>
      </c>
      <c r="E7032" s="0" t="inlineStr">
        <is>
          <t xml:space="preserve">Mazda</t>
        </is>
      </c>
      <c r="F7032" s="0" t="inlineStr">
        <is>
          <t xml:space="preserve">Mazda</t>
        </is>
      </c>
      <c r="G7032" s="0" t="s">
        <v>171</v>
      </c>
      <c r="H7032" s="5">
        <v>6.281100</v>
      </c>
    </row>
    <row r="7033" spans="1:9">
      <c r="A7033" s="22" t="str">
        <f>HYPERLINK("https://app.vivvix.com/360/KMI/IntelliDrive/ApplUI/Pages/CreativePages/CustomReportCreativeDetail.aspx?App=23&amp;ReportView=4&amp;Qid=1711279&amp;Row=7025&amp;Col=1","No Title Assigned - #15270211234")</f>
        <v/>
      </c>
      <c r="B7033" s="0" t="s">
        <v>9311</v>
      </c>
      <c r="E7033" s="0" t="inlineStr">
        <is>
          <t xml:space="preserve">Mazda</t>
        </is>
      </c>
      <c r="F7033" s="0" t="inlineStr">
        <is>
          <t xml:space="preserve">Mazda</t>
        </is>
      </c>
      <c r="G7033" s="0" t="s">
        <v>171</v>
      </c>
      <c r="H7033" s="5">
        <v>2256.265000</v>
      </c>
    </row>
    <row r="7034" spans="1:9">
      <c r="A7034" s="22" t="str">
        <f>HYPERLINK("https://app.vivvix.com/360/KMI/IntelliDrive/ApplUI/Pages/CreativePages/CustomReportCreativeDetail.aspx?App=23&amp;ReportView=4&amp;Qid=1711279&amp;Row=7026&amp;Col=1","No Title Assigned - #15270211235")</f>
        <v/>
      </c>
      <c r="B7034" s="0" t="s">
        <v>9312</v>
      </c>
      <c r="E7034" s="0" t="inlineStr">
        <is>
          <t xml:space="preserve">Mazda</t>
        </is>
      </c>
      <c r="F7034" s="0" t="inlineStr">
        <is>
          <t xml:space="preserve">Mazda</t>
        </is>
      </c>
      <c r="G7034" s="0" t="s">
        <v>171</v>
      </c>
      <c r="H7034" s="5">
        <v>1058.348000</v>
      </c>
    </row>
    <row r="7035" spans="1:9">
      <c r="A7035" s="22" t="str">
        <f>HYPERLINK("https://app.vivvix.com/360/KMI/IntelliDrive/ApplUI/Pages/CreativePages/CustomReportCreativeDetail.aspx?App=23&amp;ReportView=4&amp;Qid=1711279&amp;Row=7027&amp;Col=1","No Title Assigned - #15270214154")</f>
        <v/>
      </c>
      <c r="B7035" s="0" t="s">
        <v>9313</v>
      </c>
      <c r="E7035" s="0" t="inlineStr">
        <is>
          <t xml:space="preserve">Mazda</t>
        </is>
      </c>
      <c r="F7035" s="0" t="inlineStr">
        <is>
          <t xml:space="preserve">Mazda</t>
        </is>
      </c>
      <c r="G7035" s="0" t="s">
        <v>171</v>
      </c>
      <c r="H7035" s="5">
        <v>165.981900</v>
      </c>
    </row>
    <row r="7036" spans="1:9">
      <c r="A7036" s="22" t="str">
        <f>HYPERLINK("https://app.vivvix.com/360/KMI/IntelliDrive/ApplUI/Pages/CreativePages/CustomReportCreativeDetail.aspx?App=23&amp;ReportView=4&amp;Qid=1711279&amp;Row=7028&amp;Col=1","No Title Assigned - #15270215477")</f>
        <v/>
      </c>
      <c r="B7036" s="0" t="s">
        <v>9314</v>
      </c>
      <c r="E7036" s="0" t="inlineStr">
        <is>
          <t xml:space="preserve">Mazda</t>
        </is>
      </c>
      <c r="F7036" s="0" t="inlineStr">
        <is>
          <t xml:space="preserve">Mazda</t>
        </is>
      </c>
      <c r="G7036" s="0" t="s">
        <v>171</v>
      </c>
      <c r="H7036" s="5">
        <v>262.759300</v>
      </c>
    </row>
    <row r="7037" spans="1:9">
      <c r="A7037" s="22" t="str">
        <f>HYPERLINK("https://app.vivvix.com/360/KMI/IntelliDrive/ApplUI/Pages/CreativePages/CustomReportCreativeDetail.aspx?App=23&amp;ReportView=4&amp;Qid=1711279&amp;Row=7029&amp;Col=1","No Title Assigned - #15270216478")</f>
        <v/>
      </c>
      <c r="B7037" s="0" t="s">
        <v>9315</v>
      </c>
      <c r="E7037" s="0" t="inlineStr">
        <is>
          <t xml:space="preserve">Mazda</t>
        </is>
      </c>
      <c r="F7037" s="0" t="inlineStr">
        <is>
          <t xml:space="preserve">Mazda</t>
        </is>
      </c>
      <c r="G7037" s="0" t="s">
        <v>171</v>
      </c>
      <c r="H7037" s="5">
        <v>155.320800</v>
      </c>
    </row>
    <row r="7038" spans="1:9">
      <c r="A7038" s="22" t="str">
        <f>HYPERLINK("https://app.vivvix.com/360/KMI/IntelliDrive/ApplUI/Pages/CreativePages/CustomReportCreativeDetail.aspx?App=23&amp;ReportView=4&amp;Qid=1711279&amp;Row=7030&amp;Col=1","No Title Assigned - #15270216519")</f>
        <v/>
      </c>
      <c r="B7038" s="0" t="s">
        <v>9316</v>
      </c>
      <c r="E7038" s="0" t="inlineStr">
        <is>
          <t xml:space="preserve">Mazda</t>
        </is>
      </c>
      <c r="F7038" s="0" t="inlineStr">
        <is>
          <t xml:space="preserve">Mazda</t>
        </is>
      </c>
      <c r="G7038" s="0" t="s">
        <v>171</v>
      </c>
      <c r="H7038" s="5">
        <v>4829.781300</v>
      </c>
    </row>
    <row r="7039" spans="1:9">
      <c r="A7039" s="22" t="str">
        <f>HYPERLINK("https://app.vivvix.com/360/KMI/IntelliDrive/ApplUI/Pages/CreativePages/CustomReportCreativeDetail.aspx?App=23&amp;ReportView=4&amp;Qid=1711279&amp;Row=7031&amp;Col=1","No Title Assigned - #15270222700")</f>
        <v/>
      </c>
      <c r="B7039" s="0" t="s">
        <v>9317</v>
      </c>
      <c r="C7039" s="0" t="s">
        <v>9318</v>
      </c>
      <c r="D7039" s="0" t="s">
        <v>9318</v>
      </c>
      <c r="E7039" s="0" t="inlineStr">
        <is>
          <t xml:space="preserve">Mazda</t>
        </is>
      </c>
      <c r="F7039" s="0" t="inlineStr">
        <is>
          <t xml:space="preserve">Mazda</t>
        </is>
      </c>
      <c r="G7039" s="0" t="s">
        <v>171</v>
      </c>
      <c r="H7039" s="5">
        <v>16.281300</v>
      </c>
    </row>
    <row r="7040" spans="1:9">
      <c r="A7040" s="22" t="str">
        <f>HYPERLINK("https://app.vivvix.com/360/KMI/IntelliDrive/ApplUI/Pages/CreativePages/CustomReportCreativeDetail.aspx?App=23&amp;ReportView=4&amp;Qid=1711279&amp;Row=7032&amp;Col=1","No Title Assigned - #15270222834")</f>
        <v/>
      </c>
      <c r="B7040" s="0" t="s">
        <v>9319</v>
      </c>
      <c r="E7040" s="0" t="inlineStr">
        <is>
          <t xml:space="preserve">Mazda</t>
        </is>
      </c>
      <c r="F7040" s="0" t="inlineStr">
        <is>
          <t xml:space="preserve">Mazda</t>
        </is>
      </c>
      <c r="G7040" s="0" t="s">
        <v>171</v>
      </c>
      <c r="H7040" s="5">
        <v>17.343800</v>
      </c>
    </row>
    <row r="7041" spans="1:9">
      <c r="A7041" s="22" t="str">
        <f>HYPERLINK("https://app.vivvix.com/360/KMI/IntelliDrive/ApplUI/Pages/CreativePages/CustomReportCreativeDetail.aspx?App=23&amp;ReportView=4&amp;Qid=1711279&amp;Row=7033&amp;Col=1","No Title Assigned - #15270223475")</f>
        <v/>
      </c>
      <c r="B7041" s="0" t="s">
        <v>9320</v>
      </c>
      <c r="C7041" s="0" t="s">
        <v>9321</v>
      </c>
      <c r="D7041" s="0" t="s">
        <v>9321</v>
      </c>
      <c r="E7041" s="0" t="inlineStr">
        <is>
          <t xml:space="preserve">Mazda</t>
        </is>
      </c>
      <c r="F7041" s="0" t="inlineStr">
        <is>
          <t xml:space="preserve">Mazda</t>
        </is>
      </c>
      <c r="G7041" s="0" t="s">
        <v>171</v>
      </c>
      <c r="H7041" s="5">
        <v>165.888600</v>
      </c>
    </row>
    <row r="7042" spans="1:9">
      <c r="A7042" s="22" t="str">
        <f>HYPERLINK("https://app.vivvix.com/360/KMI/IntelliDrive/ApplUI/Pages/CreativePages/CustomReportCreativeDetail.aspx?App=23&amp;ReportView=4&amp;Qid=1711279&amp;Row=7034&amp;Col=1","No Title Assigned - #15270224448")</f>
        <v/>
      </c>
      <c r="B7042" s="0" t="s">
        <v>9322</v>
      </c>
      <c r="E7042" s="0" t="inlineStr">
        <is>
          <t xml:space="preserve">Mazda</t>
        </is>
      </c>
      <c r="F7042" s="0" t="inlineStr">
        <is>
          <t xml:space="preserve">Mazda</t>
        </is>
      </c>
      <c r="G7042" s="0" t="s">
        <v>171</v>
      </c>
      <c r="H7042" s="5">
        <v>32.148700</v>
      </c>
    </row>
    <row r="7043" spans="1:9">
      <c r="A7043" s="22" t="str">
        <f>HYPERLINK("https://app.vivvix.com/360/KMI/IntelliDrive/ApplUI/Pages/CreativePages/CustomReportCreativeDetail.aspx?App=23&amp;ReportView=4&amp;Qid=1711279&amp;Row=7035&amp;Col=1","No Title Assigned - #15270225025")</f>
        <v/>
      </c>
      <c r="B7043" s="0" t="s">
        <v>9323</v>
      </c>
      <c r="E7043" s="0" t="inlineStr">
        <is>
          <t xml:space="preserve">Mazda</t>
        </is>
      </c>
      <c r="F7043" s="0" t="s">
        <v>21</v>
      </c>
      <c r="G7043" s="0" t="s">
        <v>22</v>
      </c>
      <c r="H7043" s="5">
        <v>1822.397600</v>
      </c>
    </row>
    <row r="7044" spans="1:9">
      <c r="A7044" s="22" t="str">
        <f>HYPERLINK("https://app.vivvix.com/360/KMI/IntelliDrive/ApplUI/Pages/CreativePages/CustomReportCreativeDetail.aspx?App=23&amp;ReportView=4&amp;Qid=1711279&amp;Row=7036&amp;Col=1","No Title Assigned - #15270225249")</f>
        <v/>
      </c>
      <c r="B7044" s="0" t="s">
        <v>9324</v>
      </c>
      <c r="E7044" s="0" t="inlineStr">
        <is>
          <t xml:space="preserve">Mazda</t>
        </is>
      </c>
      <c r="F7044" s="0" t="inlineStr">
        <is>
          <t xml:space="preserve">Mazda</t>
        </is>
      </c>
      <c r="G7044" s="0" t="s">
        <v>171</v>
      </c>
      <c r="H7044" s="5">
        <v>5565.295400</v>
      </c>
    </row>
    <row r="7045" spans="1:9">
      <c r="A7045" s="22" t="str">
        <f>HYPERLINK("https://app.vivvix.com/360/KMI/IntelliDrive/ApplUI/Pages/CreativePages/CustomReportCreativeDetail.aspx?App=23&amp;ReportView=4&amp;Qid=1711279&amp;Row=7037&amp;Col=1","No Title Assigned - #15270225249")</f>
        <v/>
      </c>
      <c r="B7045" s="0" t="s">
        <v>9324</v>
      </c>
      <c r="E7045" s="0" t="inlineStr">
        <is>
          <t xml:space="preserve">Mazda</t>
        </is>
      </c>
      <c r="F7045" s="0" t="inlineStr">
        <is>
          <t xml:space="preserve">Mazda</t>
        </is>
      </c>
      <c r="G7045" s="0" t="s">
        <v>171</v>
      </c>
      <c r="H7045" s="5">
        <v>419.750600</v>
      </c>
    </row>
    <row r="7046" spans="1:9">
      <c r="A7046" s="22" t="str">
        <f>HYPERLINK("https://app.vivvix.com/360/KMI/IntelliDrive/ApplUI/Pages/CreativePages/CustomReportCreativeDetail.aspx?App=23&amp;ReportView=4&amp;Qid=1711279&amp;Row=7038&amp;Col=1","No Title Assigned - #15270225825")</f>
        <v/>
      </c>
      <c r="B7046" s="0" t="s">
        <v>9325</v>
      </c>
      <c r="E7046" s="0" t="inlineStr">
        <is>
          <t xml:space="preserve">Mazda</t>
        </is>
      </c>
      <c r="F7046" s="0" t="inlineStr">
        <is>
          <t xml:space="preserve">Mazda</t>
        </is>
      </c>
      <c r="G7046" s="0" t="s">
        <v>171</v>
      </c>
      <c r="H7046" s="5">
        <v>28.444000</v>
      </c>
    </row>
    <row r="7047" spans="1:9">
      <c r="A7047" s="22" t="str">
        <f>HYPERLINK("https://app.vivvix.com/360/KMI/IntelliDrive/ApplUI/Pages/CreativePages/CustomReportCreativeDetail.aspx?App=23&amp;ReportView=4&amp;Qid=1711279&amp;Row=7039&amp;Col=1","No Title Assigned - #15270239042")</f>
        <v/>
      </c>
      <c r="B7047" s="0" t="s">
        <v>9326</v>
      </c>
      <c r="E7047" s="0" t="inlineStr">
        <is>
          <t xml:space="preserve">Mazda</t>
        </is>
      </c>
      <c r="F7047" s="0" t="inlineStr">
        <is>
          <t xml:space="preserve">Mazda</t>
        </is>
      </c>
      <c r="G7047" s="0" t="s">
        <v>171</v>
      </c>
      <c r="H7047" s="5">
        <v>560.972200</v>
      </c>
    </row>
    <row r="7048" spans="1:9">
      <c r="A7048" s="22" t="str">
        <f>HYPERLINK("https://app.vivvix.com/360/KMI/IntelliDrive/ApplUI/Pages/CreativePages/CustomReportCreativeDetail.aspx?App=23&amp;ReportView=4&amp;Qid=1711279&amp;Row=7040&amp;Col=1","No Title Assigned - #15270245065")</f>
        <v/>
      </c>
      <c r="B7048" s="0" t="s">
        <v>9327</v>
      </c>
      <c r="E7048" s="0" t="inlineStr">
        <is>
          <t xml:space="preserve">Mazda</t>
        </is>
      </c>
      <c r="F7048" s="0" t="inlineStr">
        <is>
          <t xml:space="preserve">Mazda</t>
        </is>
      </c>
      <c r="G7048" s="0" t="s">
        <v>171</v>
      </c>
      <c r="H7048" s="5">
        <v>184.425200</v>
      </c>
    </row>
    <row r="7049" spans="1:9">
      <c r="A7049" s="22" t="str">
        <f>HYPERLINK("https://app.vivvix.com/360/KMI/IntelliDrive/ApplUI/Pages/CreativePages/CustomReportCreativeDetail.aspx?App=23&amp;ReportView=4&amp;Qid=1711279&amp;Row=7041&amp;Col=1","No Title Assigned - #15270245146")</f>
        <v/>
      </c>
      <c r="B7049" s="0" t="s">
        <v>9328</v>
      </c>
      <c r="E7049" s="0" t="inlineStr">
        <is>
          <t xml:space="preserve">Mazda</t>
        </is>
      </c>
      <c r="F7049" s="0" t="inlineStr">
        <is>
          <t xml:space="preserve">Mazda</t>
        </is>
      </c>
      <c r="G7049" s="0" t="s">
        <v>171</v>
      </c>
      <c r="H7049" s="5">
        <v>12.925500</v>
      </c>
    </row>
    <row r="7050" spans="1:9">
      <c r="A7050" s="22" t="str">
        <f>HYPERLINK("https://app.vivvix.com/360/KMI/IntelliDrive/ApplUI/Pages/CreativePages/CustomReportCreativeDetail.aspx?App=23&amp;ReportView=4&amp;Qid=1711279&amp;Row=7042&amp;Col=1","No Title Assigned - #15270245391")</f>
        <v/>
      </c>
      <c r="B7050" s="0" t="s">
        <v>9329</v>
      </c>
      <c r="E7050" s="0" t="inlineStr">
        <is>
          <t xml:space="preserve">Mazda</t>
        </is>
      </c>
      <c r="F7050" s="0" t="inlineStr">
        <is>
          <t xml:space="preserve">Mazda</t>
        </is>
      </c>
      <c r="G7050" s="0" t="s">
        <v>171</v>
      </c>
      <c r="H7050" s="5">
        <v>11.834200</v>
      </c>
    </row>
    <row r="7051" spans="1:9">
      <c r="A7051" s="22" t="str">
        <f>HYPERLINK("https://app.vivvix.com/360/KMI/IntelliDrive/ApplUI/Pages/CreativePages/CustomReportCreativeDetail.aspx?App=23&amp;ReportView=4&amp;Qid=1711279&amp;Row=7043&amp;Col=1","No Title Assigned - #15270245664")</f>
        <v/>
      </c>
      <c r="B7051" s="0" t="s">
        <v>9330</v>
      </c>
      <c r="E7051" s="0" t="inlineStr">
        <is>
          <t xml:space="preserve">Mazda</t>
        </is>
      </c>
      <c r="F7051" s="0" t="inlineStr">
        <is>
          <t xml:space="preserve">Mazda</t>
        </is>
      </c>
      <c r="G7051" s="0" t="s">
        <v>171</v>
      </c>
      <c r="H7051" s="5">
        <v>5840.448300</v>
      </c>
    </row>
    <row r="7052" spans="1:9">
      <c r="A7052" s="22" t="str">
        <f>HYPERLINK("https://app.vivvix.com/360/KMI/IntelliDrive/ApplUI/Pages/CreativePages/CustomReportCreativeDetail.aspx?App=23&amp;ReportView=4&amp;Qid=1711279&amp;Row=7044&amp;Col=1","No Title Assigned - #15270246149")</f>
        <v/>
      </c>
      <c r="B7052" s="0" t="s">
        <v>9331</v>
      </c>
      <c r="E7052" s="0" t="inlineStr">
        <is>
          <t xml:space="preserve">Mazda</t>
        </is>
      </c>
      <c r="F7052" s="0" t="inlineStr">
        <is>
          <t xml:space="preserve">Mazda</t>
        </is>
      </c>
      <c r="G7052" s="0" t="s">
        <v>171</v>
      </c>
      <c r="H7052" s="5">
        <v>26.736400</v>
      </c>
    </row>
    <row r="7053" spans="1:9">
      <c r="A7053" s="22" t="str">
        <f>HYPERLINK("https://app.vivvix.com/360/KMI/IntelliDrive/ApplUI/Pages/CreativePages/CustomReportCreativeDetail.aspx?App=23&amp;ReportView=4&amp;Qid=1711279&amp;Row=7045&amp;Col=1","No Title Assigned - #15270246488")</f>
        <v/>
      </c>
      <c r="B7053" s="0" t="s">
        <v>9332</v>
      </c>
      <c r="E7053" s="0" t="inlineStr">
        <is>
          <t xml:space="preserve">Mazda</t>
        </is>
      </c>
      <c r="F7053" s="0" t="inlineStr">
        <is>
          <t xml:space="preserve">Mazda</t>
        </is>
      </c>
      <c r="G7053" s="0" t="s">
        <v>171</v>
      </c>
      <c r="H7053" s="5">
        <v>200.192100</v>
      </c>
    </row>
    <row r="7054" spans="1:9">
      <c r="A7054" s="22" t="str">
        <f>HYPERLINK("https://app.vivvix.com/360/KMI/IntelliDrive/ApplUI/Pages/CreativePages/CustomReportCreativeDetail.aspx?App=23&amp;ReportView=4&amp;Qid=1711279&amp;Row=7046&amp;Col=1","No Title Assigned - #15270250409")</f>
        <v/>
      </c>
      <c r="B7054" s="0" t="s">
        <v>9333</v>
      </c>
      <c r="C7054" s="0" t="s">
        <v>9334</v>
      </c>
      <c r="D7054" s="0" t="s">
        <v>9334</v>
      </c>
      <c r="E7054" s="0" t="inlineStr">
        <is>
          <t xml:space="preserve">Mazda</t>
        </is>
      </c>
      <c r="F7054" s="0" t="s">
        <v>13</v>
      </c>
      <c r="G7054" s="0" t="s">
        <v>49</v>
      </c>
      <c r="H7054" s="5">
        <v>4039.458800</v>
      </c>
    </row>
    <row r="7055" spans="1:9">
      <c r="A7055" s="22" t="str">
        <f>HYPERLINK("https://app.vivvix.com/360/KMI/IntelliDrive/ApplUI/Pages/CreativePages/CustomReportCreativeDetail.aspx?App=23&amp;ReportView=4&amp;Qid=1711279&amp;Row=7047&amp;Col=1","No Title Assigned - #15270252895")</f>
        <v/>
      </c>
      <c r="B7055" s="0" t="s">
        <v>9335</v>
      </c>
      <c r="C7055" s="0" t="s">
        <v>9336</v>
      </c>
      <c r="D7055" s="0" t="s">
        <v>9336</v>
      </c>
      <c r="E7055" s="0" t="inlineStr">
        <is>
          <t xml:space="preserve">Mazda</t>
        </is>
      </c>
      <c r="F7055" s="0" t="s">
        <v>13</v>
      </c>
      <c r="G7055" s="0" t="s">
        <v>49</v>
      </c>
      <c r="H7055" s="5">
        <v>84.431800</v>
      </c>
    </row>
    <row r="7056" spans="1:9">
      <c r="A7056" s="22" t="str">
        <f>HYPERLINK("https://app.vivvix.com/360/KMI/IntelliDrive/ApplUI/Pages/CreativePages/CustomReportCreativeDetail.aspx?App=23&amp;ReportView=4&amp;Qid=1711279&amp;Row=7048&amp;Col=1","No Title Assigned - #15270253806")</f>
        <v/>
      </c>
      <c r="B7056" s="0" t="s">
        <v>9337</v>
      </c>
      <c r="C7056" s="0" t="s">
        <v>9338</v>
      </c>
      <c r="D7056" s="0" t="s">
        <v>7723</v>
      </c>
      <c r="E7056" s="0" t="inlineStr">
        <is>
          <t xml:space="preserve">Mazda</t>
        </is>
      </c>
      <c r="F7056" s="0" t="s">
        <v>13</v>
      </c>
      <c r="G7056" s="0" t="s">
        <v>49</v>
      </c>
      <c r="H7056" s="5">
        <v>25.910700</v>
      </c>
    </row>
    <row r="7057" spans="1:9">
      <c r="A7057" s="22" t="str">
        <f>HYPERLINK("https://app.vivvix.com/360/KMI/IntelliDrive/ApplUI/Pages/CreativePages/CustomReportCreativeDetail.aspx?App=23&amp;ReportView=4&amp;Qid=1711279&amp;Row=7049&amp;Col=1","No Title Assigned - #15270254045")</f>
        <v/>
      </c>
      <c r="B7057" s="0" t="s">
        <v>9339</v>
      </c>
      <c r="C7057" s="0" t="s">
        <v>9340</v>
      </c>
      <c r="D7057" s="0" t="s">
        <v>4204</v>
      </c>
      <c r="E7057" s="0" t="inlineStr">
        <is>
          <t xml:space="preserve">Mazda</t>
        </is>
      </c>
      <c r="F7057" s="0" t="s">
        <v>28</v>
      </c>
      <c r="G7057" s="0" t="s">
        <v>29</v>
      </c>
      <c r="H7057" s="5">
        <v>2.843800</v>
      </c>
    </row>
    <row r="7058" spans="1:9">
      <c r="A7058" s="22" t="str">
        <f>HYPERLINK("https://app.vivvix.com/360/KMI/IntelliDrive/ApplUI/Pages/CreativePages/CustomReportCreativeDetail.aspx?App=23&amp;ReportView=4&amp;Qid=1711279&amp;Row=7050&amp;Col=1","No Title Assigned - #15270259956")</f>
        <v/>
      </c>
      <c r="B7058" s="0" t="s">
        <v>9341</v>
      </c>
      <c r="C7058" s="0" t="s">
        <v>9342</v>
      </c>
      <c r="D7058" s="0" t="s">
        <v>4200</v>
      </c>
      <c r="E7058" s="0" t="inlineStr">
        <is>
          <t xml:space="preserve">Mazda</t>
        </is>
      </c>
      <c r="F7058" s="0" t="s">
        <v>28</v>
      </c>
      <c r="G7058" s="0" t="s">
        <v>29</v>
      </c>
      <c r="H7058" s="5">
        <v>45.463900</v>
      </c>
    </row>
    <row r="7059" spans="1:9">
      <c r="A7059" s="22" t="str">
        <f>HYPERLINK("https://app.vivvix.com/360/KMI/IntelliDrive/ApplUI/Pages/CreativePages/CustomReportCreativeDetail.aspx?App=23&amp;ReportView=4&amp;Qid=1711279&amp;Row=7051&amp;Col=1","No Title Assigned - #15270260869")</f>
        <v/>
      </c>
      <c r="B7059" s="0" t="s">
        <v>9343</v>
      </c>
      <c r="C7059" s="0" t="s">
        <v>9344</v>
      </c>
      <c r="D7059" s="0" t="s">
        <v>8986</v>
      </c>
      <c r="E7059" s="0" t="inlineStr">
        <is>
          <t xml:space="preserve">Mazda</t>
        </is>
      </c>
      <c r="F7059" s="0" t="s">
        <v>28</v>
      </c>
      <c r="G7059" s="0" t="s">
        <v>29</v>
      </c>
      <c r="H7059" s="5">
        <v>25.505300</v>
      </c>
    </row>
    <row r="7060" spans="1:9">
      <c r="A7060" s="22" t="str">
        <f>HYPERLINK("https://app.vivvix.com/360/KMI/IntelliDrive/ApplUI/Pages/CreativePages/CustomReportCreativeDetail.aspx?App=23&amp;ReportView=4&amp;Qid=1711279&amp;Row=7052&amp;Col=1","No Title Assigned - #15270261631")</f>
        <v/>
      </c>
      <c r="B7060" s="0" t="s">
        <v>9345</v>
      </c>
      <c r="C7060" s="0" t="s">
        <v>9346</v>
      </c>
      <c r="D7060" s="0" t="s">
        <v>9346</v>
      </c>
      <c r="E7060" s="0" t="inlineStr">
        <is>
          <t xml:space="preserve">Mazda</t>
        </is>
      </c>
      <c r="F7060" s="0" t="s">
        <v>28</v>
      </c>
      <c r="G7060" s="0" t="s">
        <v>29</v>
      </c>
      <c r="H7060" s="5">
        <v>480.817600</v>
      </c>
    </row>
    <row r="7061" spans="1:9">
      <c r="A7061" s="22" t="str">
        <f>HYPERLINK("https://app.vivvix.com/360/KMI/IntelliDrive/ApplUI/Pages/CreativePages/CustomReportCreativeDetail.aspx?App=23&amp;ReportView=4&amp;Qid=1711279&amp;Row=7053&amp;Col=1","No Title Assigned - #15270262068")</f>
        <v/>
      </c>
      <c r="B7061" s="0" t="s">
        <v>9347</v>
      </c>
      <c r="E7061" s="0" t="inlineStr">
        <is>
          <t xml:space="preserve">Mazda</t>
        </is>
      </c>
      <c r="F7061" s="0" t="s">
        <v>21</v>
      </c>
      <c r="G7061" s="0" t="s">
        <v>22</v>
      </c>
      <c r="H7061" s="5">
        <v>185.672600</v>
      </c>
    </row>
    <row r="7062" spans="1:9">
      <c r="A7062" s="22" t="str">
        <f>HYPERLINK("https://app.vivvix.com/360/KMI/IntelliDrive/ApplUI/Pages/CreativePages/CustomReportCreativeDetail.aspx?App=23&amp;ReportView=4&amp;Qid=1711279&amp;Row=7054&amp;Col=1","No Title Assigned - #15270262242")</f>
        <v/>
      </c>
      <c r="B7062" s="0" t="s">
        <v>9348</v>
      </c>
      <c r="E7062" s="0" t="inlineStr">
        <is>
          <t xml:space="preserve">Mazda</t>
        </is>
      </c>
      <c r="F7062" s="0" t="inlineStr">
        <is>
          <t xml:space="preserve">Mazda</t>
        </is>
      </c>
      <c r="G7062" s="0" t="s">
        <v>171</v>
      </c>
      <c r="H7062" s="5">
        <v>1578.744300</v>
      </c>
    </row>
    <row r="7063" spans="1:9">
      <c r="A7063" s="22" t="str">
        <f>HYPERLINK("https://app.vivvix.com/360/KMI/IntelliDrive/ApplUI/Pages/CreativePages/CustomReportCreativeDetail.aspx?App=23&amp;ReportView=4&amp;Qid=1711279&amp;Row=7055&amp;Col=1","No Title Assigned - #15270262323")</f>
        <v/>
      </c>
      <c r="B7063" s="0" t="s">
        <v>9349</v>
      </c>
      <c r="C7063" s="0" t="s">
        <v>9350</v>
      </c>
      <c r="D7063" s="0" t="s">
        <v>4390</v>
      </c>
      <c r="E7063" s="0" t="inlineStr">
        <is>
          <t xml:space="preserve">Mazda</t>
        </is>
      </c>
      <c r="F7063" s="0" t="s">
        <v>28</v>
      </c>
      <c r="G7063" s="0" t="s">
        <v>29</v>
      </c>
      <c r="H7063" s="5">
        <v>5208.702400</v>
      </c>
    </row>
    <row r="7064" spans="1:9">
      <c r="A7064" s="22" t="str">
        <f>HYPERLINK("https://app.vivvix.com/360/KMI/IntelliDrive/ApplUI/Pages/CreativePages/CustomReportCreativeDetail.aspx?App=23&amp;ReportView=4&amp;Qid=1711279&amp;Row=7056&amp;Col=1","No Title Assigned - #15270262383")</f>
        <v/>
      </c>
      <c r="B7064" s="0" t="s">
        <v>9351</v>
      </c>
      <c r="C7064" s="0" t="s">
        <v>9352</v>
      </c>
      <c r="D7064" s="0" t="s">
        <v>9352</v>
      </c>
      <c r="E7064" s="0" t="inlineStr">
        <is>
          <t xml:space="preserve">Mazda</t>
        </is>
      </c>
      <c r="F7064" s="0" t="s">
        <v>28</v>
      </c>
      <c r="G7064" s="0" t="s">
        <v>29</v>
      </c>
      <c r="H7064" s="5">
        <v>313.016700</v>
      </c>
    </row>
    <row r="7065" spans="1:9">
      <c r="A7065" s="22" t="str">
        <f>HYPERLINK("https://app.vivvix.com/360/KMI/IntelliDrive/ApplUI/Pages/CreativePages/CustomReportCreativeDetail.aspx?App=23&amp;ReportView=4&amp;Qid=1711279&amp;Row=7057&amp;Col=1","No Title Assigned - #15270262923")</f>
        <v/>
      </c>
      <c r="B7065" s="0" t="s">
        <v>9353</v>
      </c>
      <c r="C7065" s="0" t="s">
        <v>9354</v>
      </c>
      <c r="D7065" s="0" t="s">
        <v>9354</v>
      </c>
      <c r="E7065" s="0" t="inlineStr">
        <is>
          <t xml:space="preserve">Mazda</t>
        </is>
      </c>
      <c r="F7065" s="0" t="s">
        <v>28</v>
      </c>
      <c r="G7065" s="0" t="s">
        <v>29</v>
      </c>
      <c r="H7065" s="5">
        <v>93.415100</v>
      </c>
    </row>
    <row r="7066" spans="1:9">
      <c r="A7066" s="22" t="str">
        <f>HYPERLINK("https://app.vivvix.com/360/KMI/IntelliDrive/ApplUI/Pages/CreativePages/CustomReportCreativeDetail.aspx?App=23&amp;ReportView=4&amp;Qid=1711279&amp;Row=7058&amp;Col=1","No Title Assigned - #15270262953")</f>
        <v/>
      </c>
      <c r="B7066" s="0" t="s">
        <v>9355</v>
      </c>
      <c r="C7066" s="0" t="s">
        <v>9356</v>
      </c>
      <c r="D7066" s="0" t="s">
        <v>4407</v>
      </c>
      <c r="E7066" s="0" t="inlineStr">
        <is>
          <t xml:space="preserve">Mazda</t>
        </is>
      </c>
      <c r="F7066" s="0" t="s">
        <v>28</v>
      </c>
      <c r="G7066" s="0" t="s">
        <v>29</v>
      </c>
      <c r="H7066" s="5">
        <v>148.422200</v>
      </c>
    </row>
    <row r="7067" spans="1:9">
      <c r="A7067" s="22" t="str">
        <f>HYPERLINK("https://app.vivvix.com/360/KMI/IntelliDrive/ApplUI/Pages/CreativePages/CustomReportCreativeDetail.aspx?App=23&amp;ReportView=4&amp;Qid=1711279&amp;Row=7059&amp;Col=1","No Title Assigned - #15270263039")</f>
        <v/>
      </c>
      <c r="B7067" s="0" t="s">
        <v>9357</v>
      </c>
      <c r="C7067" s="0" t="s">
        <v>9358</v>
      </c>
      <c r="D7067" s="0" t="s">
        <v>4333</v>
      </c>
      <c r="E7067" s="0" t="inlineStr">
        <is>
          <t xml:space="preserve">Mazda</t>
        </is>
      </c>
      <c r="F7067" s="0" t="s">
        <v>28</v>
      </c>
      <c r="G7067" s="0" t="s">
        <v>29</v>
      </c>
      <c r="H7067" s="5">
        <v>91.315700</v>
      </c>
    </row>
    <row r="7068" spans="1:9">
      <c r="A7068" s="22" t="str">
        <f>HYPERLINK("https://app.vivvix.com/360/KMI/IntelliDrive/ApplUI/Pages/CreativePages/CustomReportCreativeDetail.aspx?App=23&amp;ReportView=4&amp;Qid=1711279&amp;Row=7060&amp;Col=1","No Title Assigned - #15270263039")</f>
        <v/>
      </c>
      <c r="B7068" s="0" t="s">
        <v>9357</v>
      </c>
      <c r="E7068" s="0" t="inlineStr">
        <is>
          <t xml:space="preserve">Mazda</t>
        </is>
      </c>
      <c r="F7068" s="0" t="s">
        <v>28</v>
      </c>
      <c r="G7068" s="0" t="s">
        <v>29</v>
      </c>
      <c r="H7068" s="5">
        <v>348.385400</v>
      </c>
    </row>
    <row r="7069" spans="1:9">
      <c r="A7069" s="22" t="str">
        <f>HYPERLINK("https://app.vivvix.com/360/KMI/IntelliDrive/ApplUI/Pages/CreativePages/CustomReportCreativeDetail.aspx?App=23&amp;ReportView=4&amp;Qid=1711279&amp;Row=7061&amp;Col=1","No Title Assigned - #15270263077")</f>
        <v/>
      </c>
      <c r="B7069" s="0" t="s">
        <v>9359</v>
      </c>
      <c r="C7069" s="0" t="s">
        <v>9360</v>
      </c>
      <c r="D7069" s="0" t="s">
        <v>4407</v>
      </c>
      <c r="E7069" s="0" t="inlineStr">
        <is>
          <t xml:space="preserve">Mazda</t>
        </is>
      </c>
      <c r="F7069" s="0" t="s">
        <v>28</v>
      </c>
      <c r="G7069" s="0" t="s">
        <v>29</v>
      </c>
      <c r="H7069" s="5">
        <v>5.666800</v>
      </c>
    </row>
    <row r="7070" spans="1:9">
      <c r="A7070" s="22" t="str">
        <f>HYPERLINK("https://app.vivvix.com/360/KMI/IntelliDrive/ApplUI/Pages/CreativePages/CustomReportCreativeDetail.aspx?App=23&amp;ReportView=4&amp;Qid=1711279&amp;Row=7062&amp;Col=1","No Title Assigned - #15270263266")</f>
        <v/>
      </c>
      <c r="B7070" s="0" t="s">
        <v>9361</v>
      </c>
      <c r="C7070" s="0" t="s">
        <v>9362</v>
      </c>
      <c r="D7070" s="0" t="s">
        <v>4781</v>
      </c>
      <c r="E7070" s="0" t="inlineStr">
        <is>
          <t xml:space="preserve">Mazda</t>
        </is>
      </c>
      <c r="F7070" s="0" t="s">
        <v>28</v>
      </c>
      <c r="G7070" s="0" t="s">
        <v>29</v>
      </c>
      <c r="H7070" s="5">
        <v>62.286100</v>
      </c>
    </row>
    <row r="7071" spans="1:9">
      <c r="A7071" s="22" t="str">
        <f>HYPERLINK("https://app.vivvix.com/360/KMI/IntelliDrive/ApplUI/Pages/CreativePages/CustomReportCreativeDetail.aspx?App=23&amp;ReportView=4&amp;Qid=1711279&amp;Row=7063&amp;Col=1","No Title Assigned - #15270263622")</f>
        <v/>
      </c>
      <c r="B7071" s="0" t="s">
        <v>9363</v>
      </c>
      <c r="C7071" s="0" t="s">
        <v>9364</v>
      </c>
      <c r="D7071" s="0" t="s">
        <v>9364</v>
      </c>
      <c r="E7071" s="0" t="inlineStr">
        <is>
          <t xml:space="preserve">Mazda</t>
        </is>
      </c>
      <c r="F7071" s="0" t="s">
        <v>13</v>
      </c>
      <c r="G7071" s="0" t="s">
        <v>49</v>
      </c>
      <c r="H7071" s="5">
        <v>25889.114800</v>
      </c>
    </row>
    <row r="7072" spans="1:9">
      <c r="A7072" s="22" t="str">
        <f>HYPERLINK("https://app.vivvix.com/360/KMI/IntelliDrive/ApplUI/Pages/CreativePages/CustomReportCreativeDetail.aspx?App=23&amp;ReportView=4&amp;Qid=1711279&amp;Row=7064&amp;Col=1","No Title Assigned - #15270263622")</f>
        <v/>
      </c>
      <c r="B7072" s="0" t="s">
        <v>9363</v>
      </c>
      <c r="E7072" s="0" t="inlineStr">
        <is>
          <t xml:space="preserve">Mazda</t>
        </is>
      </c>
      <c r="F7072" s="0" t="s">
        <v>13</v>
      </c>
      <c r="G7072" s="0" t="s">
        <v>49</v>
      </c>
      <c r="H7072" s="5">
        <v>7889.611600</v>
      </c>
    </row>
    <row r="7073" spans="1:9">
      <c r="A7073" s="22" t="str">
        <f>HYPERLINK("https://app.vivvix.com/360/KMI/IntelliDrive/ApplUI/Pages/CreativePages/CustomReportCreativeDetail.aspx?App=23&amp;ReportView=4&amp;Qid=1711279&amp;Row=7065&amp;Col=1","No Title Assigned - #15270264621")</f>
        <v/>
      </c>
      <c r="B7073" s="0" t="s">
        <v>9365</v>
      </c>
      <c r="C7073" s="0" t="s">
        <v>9366</v>
      </c>
      <c r="D7073" s="0" t="s">
        <v>4202</v>
      </c>
      <c r="E7073" s="0" t="inlineStr">
        <is>
          <t xml:space="preserve">Mazda</t>
        </is>
      </c>
      <c r="F7073" s="0" t="s">
        <v>28</v>
      </c>
      <c r="G7073" s="0" t="s">
        <v>29</v>
      </c>
      <c r="H7073" s="5">
        <v>16.168400</v>
      </c>
    </row>
    <row r="7074" spans="1:9">
      <c r="A7074" s="22" t="str">
        <f>HYPERLINK("https://app.vivvix.com/360/KMI/IntelliDrive/ApplUI/Pages/CreativePages/CustomReportCreativeDetail.aspx?App=23&amp;ReportView=4&amp;Qid=1711279&amp;Row=7066&amp;Col=1","No Title Assigned - #15270265176")</f>
        <v/>
      </c>
      <c r="B7074" s="0" t="s">
        <v>9367</v>
      </c>
      <c r="C7074" s="0" t="s">
        <v>9368</v>
      </c>
      <c r="D7074" s="0" t="s">
        <v>9368</v>
      </c>
      <c r="E7074" s="0" t="inlineStr">
        <is>
          <t xml:space="preserve">Mazda</t>
        </is>
      </c>
      <c r="F7074" s="0" t="s">
        <v>13</v>
      </c>
      <c r="G7074" s="0" t="s">
        <v>49</v>
      </c>
      <c r="H7074" s="5">
        <v>277.797300</v>
      </c>
    </row>
    <row r="7075" spans="1:9">
      <c r="A7075" s="22" t="str">
        <f>HYPERLINK("https://app.vivvix.com/360/KMI/IntelliDrive/ApplUI/Pages/CreativePages/CustomReportCreativeDetail.aspx?App=23&amp;ReportView=4&amp;Qid=1711279&amp;Row=7067&amp;Col=1","No Title Assigned - #15270265186")</f>
        <v/>
      </c>
      <c r="B7075" s="0" t="s">
        <v>9369</v>
      </c>
      <c r="C7075" s="0" t="s">
        <v>9370</v>
      </c>
      <c r="D7075" s="0" t="s">
        <v>4200</v>
      </c>
      <c r="E7075" s="0" t="inlineStr">
        <is>
          <t xml:space="preserve">Mazda</t>
        </is>
      </c>
      <c r="F7075" s="0" t="s">
        <v>28</v>
      </c>
      <c r="G7075" s="0" t="s">
        <v>29</v>
      </c>
      <c r="H7075" s="5">
        <v>24.073600</v>
      </c>
    </row>
    <row r="7076" spans="1:9">
      <c r="A7076" s="22" t="str">
        <f>HYPERLINK("https://app.vivvix.com/360/KMI/IntelliDrive/ApplUI/Pages/CreativePages/CustomReportCreativeDetail.aspx?App=23&amp;ReportView=4&amp;Qid=1711279&amp;Row=7068&amp;Col=1","No Title Assigned - #15270265418")</f>
        <v/>
      </c>
      <c r="B7076" s="0" t="s">
        <v>9371</v>
      </c>
      <c r="C7076" s="0" t="s">
        <v>9372</v>
      </c>
      <c r="D7076" s="0" t="s">
        <v>4335</v>
      </c>
      <c r="E7076" s="0" t="inlineStr">
        <is>
          <t xml:space="preserve">Mazda</t>
        </is>
      </c>
      <c r="F7076" s="0" t="s">
        <v>13</v>
      </c>
      <c r="G7076" s="0" t="s">
        <v>49</v>
      </c>
      <c r="H7076" s="5">
        <v>2024.749700</v>
      </c>
    </row>
    <row r="7077" spans="1:9">
      <c r="A7077" s="22" t="str">
        <f>HYPERLINK("https://app.vivvix.com/360/KMI/IntelliDrive/ApplUI/Pages/CreativePages/CustomReportCreativeDetail.aspx?App=23&amp;ReportView=4&amp;Qid=1711279&amp;Row=7069&amp;Col=1","No Title Assigned - #15270265587")</f>
        <v/>
      </c>
      <c r="B7077" s="0" t="s">
        <v>9373</v>
      </c>
      <c r="C7077" s="0" t="s">
        <v>9374</v>
      </c>
      <c r="D7077" s="0" t="s">
        <v>9374</v>
      </c>
      <c r="E7077" s="0" t="inlineStr">
        <is>
          <t xml:space="preserve">Mazda</t>
        </is>
      </c>
      <c r="F7077" s="0" t="s">
        <v>28</v>
      </c>
      <c r="G7077" s="0" t="s">
        <v>29</v>
      </c>
      <c r="H7077" s="5">
        <v>459.994500</v>
      </c>
    </row>
    <row r="7078" spans="1:9">
      <c r="A7078" s="22" t="str">
        <f>HYPERLINK("https://app.vivvix.com/360/KMI/IntelliDrive/ApplUI/Pages/CreativePages/CustomReportCreativeDetail.aspx?App=23&amp;ReportView=4&amp;Qid=1711279&amp;Row=7070&amp;Col=1","No Title Assigned - #15270265989")</f>
        <v/>
      </c>
      <c r="B7078" s="0" t="s">
        <v>9375</v>
      </c>
      <c r="C7078" s="0" t="s">
        <v>9376</v>
      </c>
      <c r="D7078" s="0" t="s">
        <v>9376</v>
      </c>
      <c r="E7078" s="0" t="inlineStr">
        <is>
          <t xml:space="preserve">Mazda</t>
        </is>
      </c>
      <c r="F7078" s="0" t="s">
        <v>28</v>
      </c>
      <c r="G7078" s="0" t="s">
        <v>29</v>
      </c>
      <c r="H7078" s="5">
        <v>1430.896400</v>
      </c>
    </row>
    <row r="7079" spans="1:9">
      <c r="A7079" s="22" t="str">
        <f>HYPERLINK("https://app.vivvix.com/360/KMI/IntelliDrive/ApplUI/Pages/CreativePages/CustomReportCreativeDetail.aspx?App=23&amp;ReportView=4&amp;Qid=1711279&amp;Row=7071&amp;Col=1","No Title Assigned - #15270266739")</f>
        <v/>
      </c>
      <c r="B7079" s="0" t="s">
        <v>9377</v>
      </c>
      <c r="C7079" s="0" t="s">
        <v>9378</v>
      </c>
      <c r="D7079" s="0" t="s">
        <v>4938</v>
      </c>
      <c r="E7079" s="0" t="inlineStr">
        <is>
          <t xml:space="preserve">Mazda</t>
        </is>
      </c>
      <c r="F7079" s="0" t="s">
        <v>13</v>
      </c>
      <c r="G7079" s="0" t="s">
        <v>49</v>
      </c>
      <c r="H7079" s="5">
        <v>5002.294300</v>
      </c>
    </row>
    <row r="7080" spans="1:9">
      <c r="A7080" s="22" t="str">
        <f>HYPERLINK("https://app.vivvix.com/360/KMI/IntelliDrive/ApplUI/Pages/CreativePages/CustomReportCreativeDetail.aspx?App=23&amp;ReportView=4&amp;Qid=1711279&amp;Row=7072&amp;Col=1","No Title Assigned - #15270267737")</f>
        <v/>
      </c>
      <c r="B7080" s="0" t="s">
        <v>9379</v>
      </c>
      <c r="C7080" s="0" t="s">
        <v>9380</v>
      </c>
      <c r="D7080" s="0" t="s">
        <v>9380</v>
      </c>
      <c r="E7080" s="0" t="inlineStr">
        <is>
          <t xml:space="preserve">Mazda</t>
        </is>
      </c>
      <c r="F7080" s="0" t="s">
        <v>56</v>
      </c>
      <c r="G7080" s="0" t="s">
        <v>57</v>
      </c>
      <c r="H7080" s="5">
        <v>830.624000</v>
      </c>
    </row>
    <row r="7081" spans="1:9">
      <c r="A7081" s="22" t="str">
        <f>HYPERLINK("https://app.vivvix.com/360/KMI/IntelliDrive/ApplUI/Pages/CreativePages/CustomReportCreativeDetail.aspx?App=23&amp;ReportView=4&amp;Qid=1711279&amp;Row=7073&amp;Col=1","No Title Assigned - #15270268071")</f>
        <v/>
      </c>
      <c r="B7081" s="0" t="s">
        <v>9381</v>
      </c>
      <c r="C7081" s="0" t="s">
        <v>9382</v>
      </c>
      <c r="D7081" s="0" t="s">
        <v>4798</v>
      </c>
      <c r="E7081" s="0" t="inlineStr">
        <is>
          <t xml:space="preserve">Mazda</t>
        </is>
      </c>
      <c r="F7081" s="0" t="s">
        <v>28</v>
      </c>
      <c r="G7081" s="0" t="s">
        <v>29</v>
      </c>
      <c r="H7081" s="5">
        <v>50.661000</v>
      </c>
    </row>
    <row r="7082" spans="1:9">
      <c r="A7082" s="22" t="str">
        <f>HYPERLINK("https://app.vivvix.com/360/KMI/IntelliDrive/ApplUI/Pages/CreativePages/CustomReportCreativeDetail.aspx?App=23&amp;ReportView=4&amp;Qid=1711279&amp;Row=7074&amp;Col=1","No Title Assigned - #15270268150")</f>
        <v/>
      </c>
      <c r="B7082" s="0" t="s">
        <v>9383</v>
      </c>
      <c r="C7082" s="0" t="s">
        <v>9384</v>
      </c>
      <c r="D7082" s="0" t="s">
        <v>4202</v>
      </c>
      <c r="E7082" s="0" t="inlineStr">
        <is>
          <t xml:space="preserve">Mazda</t>
        </is>
      </c>
      <c r="F7082" s="0" t="s">
        <v>28</v>
      </c>
      <c r="G7082" s="0" t="s">
        <v>29</v>
      </c>
      <c r="H7082" s="5">
        <v>6.564100</v>
      </c>
    </row>
    <row r="7083" spans="1:9">
      <c r="A7083" s="22" t="str">
        <f>HYPERLINK("https://app.vivvix.com/360/KMI/IntelliDrive/ApplUI/Pages/CreativePages/CustomReportCreativeDetail.aspx?App=23&amp;ReportView=4&amp;Qid=1711279&amp;Row=7075&amp;Col=1","No Title Assigned - #15270268361")</f>
        <v/>
      </c>
      <c r="B7083" s="0" t="s">
        <v>9385</v>
      </c>
      <c r="C7083" s="0" t="s">
        <v>9386</v>
      </c>
      <c r="D7083" s="0" t="s">
        <v>9386</v>
      </c>
      <c r="E7083" s="0" t="inlineStr">
        <is>
          <t xml:space="preserve">Mazda</t>
        </is>
      </c>
      <c r="F7083" s="0" t="s">
        <v>13</v>
      </c>
      <c r="G7083" s="0" t="s">
        <v>49</v>
      </c>
      <c r="H7083" s="5">
        <v>1193.395800</v>
      </c>
    </row>
    <row r="7084" spans="1:9">
      <c r="A7084" s="22" t="str">
        <f>HYPERLINK("https://app.vivvix.com/360/KMI/IntelliDrive/ApplUI/Pages/CreativePages/CustomReportCreativeDetail.aspx?App=23&amp;ReportView=4&amp;Qid=1711279&amp;Row=7076&amp;Col=1","No Title Assigned - #15270268599")</f>
        <v/>
      </c>
      <c r="B7084" s="0" t="s">
        <v>9387</v>
      </c>
      <c r="C7084" s="0" t="s">
        <v>9388</v>
      </c>
      <c r="D7084" s="0" t="s">
        <v>4202</v>
      </c>
      <c r="E7084" s="0" t="inlineStr">
        <is>
          <t xml:space="preserve">Mazda</t>
        </is>
      </c>
      <c r="F7084" s="0" t="s">
        <v>28</v>
      </c>
      <c r="G7084" s="0" t="s">
        <v>29</v>
      </c>
      <c r="H7084" s="5">
        <v>223.956700</v>
      </c>
    </row>
    <row r="7085" spans="1:9">
      <c r="A7085" s="22" t="str">
        <f>HYPERLINK("https://app.vivvix.com/360/KMI/IntelliDrive/ApplUI/Pages/CreativePages/CustomReportCreativeDetail.aspx?App=23&amp;ReportView=4&amp;Qid=1711279&amp;Row=7077&amp;Col=1","No Title Assigned - #15270269044")</f>
        <v/>
      </c>
      <c r="B7085" s="0" t="s">
        <v>9389</v>
      </c>
      <c r="C7085" s="0" t="s">
        <v>9390</v>
      </c>
      <c r="D7085" s="0" t="s">
        <v>9390</v>
      </c>
      <c r="E7085" s="0" t="inlineStr">
        <is>
          <t xml:space="preserve">Mazda</t>
        </is>
      </c>
      <c r="F7085" s="0" t="s">
        <v>28</v>
      </c>
      <c r="G7085" s="0" t="s">
        <v>29</v>
      </c>
      <c r="H7085" s="5">
        <v>52.976300</v>
      </c>
    </row>
    <row r="7086" spans="1:9">
      <c r="A7086" s="22" t="str">
        <f>HYPERLINK("https://app.vivvix.com/360/KMI/IntelliDrive/ApplUI/Pages/CreativePages/CustomReportCreativeDetail.aspx?App=23&amp;ReportView=4&amp;Qid=1711279&amp;Row=7078&amp;Col=1","No Title Assigned - #15270270111")</f>
        <v/>
      </c>
      <c r="B7086" s="0" t="s">
        <v>9391</v>
      </c>
      <c r="C7086" s="0" t="s">
        <v>9392</v>
      </c>
      <c r="D7086" s="0" t="s">
        <v>9392</v>
      </c>
      <c r="E7086" s="0" t="inlineStr">
        <is>
          <t xml:space="preserve">Mazda</t>
        </is>
      </c>
      <c r="F7086" s="0" t="s">
        <v>28</v>
      </c>
      <c r="G7086" s="0" t="s">
        <v>29</v>
      </c>
      <c r="H7086" s="5">
        <v>1292.688600</v>
      </c>
    </row>
    <row r="7087" spans="1:9">
      <c r="A7087" s="22" t="str">
        <f>HYPERLINK("https://app.vivvix.com/360/KMI/IntelliDrive/ApplUI/Pages/CreativePages/CustomReportCreativeDetail.aspx?App=23&amp;ReportView=4&amp;Qid=1711279&amp;Row=7079&amp;Col=1","No Title Assigned - #15270270386")</f>
        <v/>
      </c>
      <c r="B7087" s="0" t="s">
        <v>9393</v>
      </c>
      <c r="C7087" s="0" t="s">
        <v>9394</v>
      </c>
      <c r="D7087" s="0" t="s">
        <v>4200</v>
      </c>
      <c r="E7087" s="0" t="inlineStr">
        <is>
          <t xml:space="preserve">Mazda</t>
        </is>
      </c>
      <c r="F7087" s="0" t="s">
        <v>28</v>
      </c>
      <c r="G7087" s="0" t="s">
        <v>29</v>
      </c>
      <c r="H7087" s="5">
        <v>36.110400</v>
      </c>
    </row>
    <row r="7088" spans="1:9">
      <c r="A7088" s="22" t="str">
        <f>HYPERLINK("https://app.vivvix.com/360/KMI/IntelliDrive/ApplUI/Pages/CreativePages/CustomReportCreativeDetail.aspx?App=23&amp;ReportView=4&amp;Qid=1711279&amp;Row=7080&amp;Col=1","No Title Assigned - #15270270654")</f>
        <v/>
      </c>
      <c r="B7088" s="0" t="s">
        <v>9395</v>
      </c>
      <c r="E7088" s="0" t="inlineStr">
        <is>
          <t xml:space="preserve">Mazda</t>
        </is>
      </c>
      <c r="F7088" s="0" t="s">
        <v>28</v>
      </c>
      <c r="G7088" s="0" t="s">
        <v>29</v>
      </c>
      <c r="H7088" s="5">
        <v>105.580200</v>
      </c>
    </row>
    <row r="7089" spans="1:9">
      <c r="A7089" s="22" t="str">
        <f>HYPERLINK("https://app.vivvix.com/360/KMI/IntelliDrive/ApplUI/Pages/CreativePages/CustomReportCreativeDetail.aspx?App=23&amp;ReportView=4&amp;Qid=1711279&amp;Row=7081&amp;Col=1","No Title Assigned - #15270270765")</f>
        <v/>
      </c>
      <c r="B7089" s="0" t="s">
        <v>9396</v>
      </c>
      <c r="C7089" s="0" t="s">
        <v>9397</v>
      </c>
      <c r="D7089" s="0" t="s">
        <v>4200</v>
      </c>
      <c r="E7089" s="0" t="inlineStr">
        <is>
          <t xml:space="preserve">Mazda</t>
        </is>
      </c>
      <c r="F7089" s="0" t="s">
        <v>28</v>
      </c>
      <c r="G7089" s="0" t="s">
        <v>29</v>
      </c>
      <c r="H7089" s="5">
        <v>71.015600</v>
      </c>
    </row>
    <row r="7090" spans="1:9">
      <c r="A7090" s="22" t="str">
        <f>HYPERLINK("https://app.vivvix.com/360/KMI/IntelliDrive/ApplUI/Pages/CreativePages/CustomReportCreativeDetail.aspx?App=23&amp;ReportView=4&amp;Qid=1711279&amp;Row=7082&amp;Col=1","No Title Assigned - #15270270903")</f>
        <v/>
      </c>
      <c r="B7090" s="0" t="s">
        <v>9398</v>
      </c>
      <c r="C7090" s="0" t="s">
        <v>9399</v>
      </c>
      <c r="D7090" s="0" t="s">
        <v>9399</v>
      </c>
      <c r="E7090" s="0" t="inlineStr">
        <is>
          <t xml:space="preserve">Mazda</t>
        </is>
      </c>
      <c r="F7090" s="0" t="s">
        <v>28</v>
      </c>
      <c r="G7090" s="0" t="s">
        <v>29</v>
      </c>
      <c r="H7090" s="5">
        <v>8.692200</v>
      </c>
    </row>
    <row r="7091" spans="1:9">
      <c r="A7091" s="22" t="str">
        <f>HYPERLINK("https://app.vivvix.com/360/KMI/IntelliDrive/ApplUI/Pages/CreativePages/CustomReportCreativeDetail.aspx?App=23&amp;ReportView=4&amp;Qid=1711279&amp;Row=7083&amp;Col=1","No Title Assigned - #15270271339")</f>
        <v/>
      </c>
      <c r="B7091" s="0" t="s">
        <v>9400</v>
      </c>
      <c r="C7091" s="0" t="s">
        <v>9401</v>
      </c>
      <c r="D7091" s="0" t="s">
        <v>8828</v>
      </c>
      <c r="E7091" s="0" t="inlineStr">
        <is>
          <t xml:space="preserve">Mazda</t>
        </is>
      </c>
      <c r="F7091" s="0" t="s">
        <v>28</v>
      </c>
      <c r="G7091" s="0" t="s">
        <v>29</v>
      </c>
      <c r="H7091" s="5">
        <v>160.307000</v>
      </c>
    </row>
    <row r="7092" spans="1:9">
      <c r="A7092" s="22" t="str">
        <f>HYPERLINK("https://app.vivvix.com/360/KMI/IntelliDrive/ApplUI/Pages/CreativePages/CustomReportCreativeDetail.aspx?App=23&amp;ReportView=4&amp;Qid=1711279&amp;Row=7084&amp;Col=1","No Title Assigned - #15270271673")</f>
        <v/>
      </c>
      <c r="B7092" s="0" t="s">
        <v>9402</v>
      </c>
      <c r="C7092" s="0" t="s">
        <v>9403</v>
      </c>
      <c r="D7092" s="0" t="s">
        <v>9403</v>
      </c>
      <c r="E7092" s="0" t="inlineStr">
        <is>
          <t xml:space="preserve">Mazda</t>
        </is>
      </c>
      <c r="F7092" s="0" t="s">
        <v>52</v>
      </c>
      <c r="G7092" s="0" t="s">
        <v>325</v>
      </c>
      <c r="H7092" s="5">
        <v>421.843000</v>
      </c>
    </row>
    <row r="7093" spans="1:9">
      <c r="A7093" s="22" t="str">
        <f>HYPERLINK("https://app.vivvix.com/360/KMI/IntelliDrive/ApplUI/Pages/CreativePages/CustomReportCreativeDetail.aspx?App=23&amp;ReportView=4&amp;Qid=1711279&amp;Row=7085&amp;Col=1","No Title Assigned - #15270271734")</f>
        <v/>
      </c>
      <c r="B7093" s="0" t="s">
        <v>9404</v>
      </c>
      <c r="C7093" s="0" t="s">
        <v>9405</v>
      </c>
      <c r="D7093" s="0" t="s">
        <v>4204</v>
      </c>
      <c r="E7093" s="0" t="inlineStr">
        <is>
          <t xml:space="preserve">Mazda</t>
        </is>
      </c>
      <c r="F7093" s="0" t="s">
        <v>28</v>
      </c>
      <c r="G7093" s="0" t="s">
        <v>29</v>
      </c>
      <c r="H7093" s="5">
        <v>179.609900</v>
      </c>
    </row>
    <row r="7094" spans="1:9">
      <c r="A7094" s="22" t="str">
        <f>HYPERLINK("https://app.vivvix.com/360/KMI/IntelliDrive/ApplUI/Pages/CreativePages/CustomReportCreativeDetail.aspx?App=23&amp;ReportView=4&amp;Qid=1711279&amp;Row=7086&amp;Col=1","No Title Assigned - #15270271797")</f>
        <v/>
      </c>
      <c r="B7094" s="0" t="s">
        <v>9406</v>
      </c>
      <c r="C7094" s="0" t="s">
        <v>9407</v>
      </c>
      <c r="D7094" s="0" t="s">
        <v>8600</v>
      </c>
      <c r="E7094" s="0" t="inlineStr">
        <is>
          <t xml:space="preserve">Mazda</t>
        </is>
      </c>
      <c r="F7094" s="0" t="s">
        <v>28</v>
      </c>
      <c r="G7094" s="0" t="s">
        <v>29</v>
      </c>
      <c r="H7094" s="5">
        <v>117.272100</v>
      </c>
    </row>
    <row r="7095" spans="1:9">
      <c r="A7095" s="22" t="str">
        <f>HYPERLINK("https://app.vivvix.com/360/KMI/IntelliDrive/ApplUI/Pages/CreativePages/CustomReportCreativeDetail.aspx?App=23&amp;ReportView=4&amp;Qid=1711279&amp;Row=7087&amp;Col=1","No Title Assigned - #15270271925")</f>
        <v/>
      </c>
      <c r="B7095" s="0" t="s">
        <v>9408</v>
      </c>
      <c r="C7095" s="0" t="s">
        <v>9409</v>
      </c>
      <c r="D7095" s="0" t="s">
        <v>4335</v>
      </c>
      <c r="E7095" s="0" t="inlineStr">
        <is>
          <t xml:space="preserve">Mazda</t>
        </is>
      </c>
      <c r="F7095" s="0" t="s">
        <v>13</v>
      </c>
      <c r="G7095" s="0" t="s">
        <v>49</v>
      </c>
      <c r="H7095" s="5">
        <v>481.762000</v>
      </c>
    </row>
    <row r="7096" spans="1:9">
      <c r="A7096" s="22" t="str">
        <f>HYPERLINK("https://app.vivvix.com/360/KMI/IntelliDrive/ApplUI/Pages/CreativePages/CustomReportCreativeDetail.aspx?App=23&amp;ReportView=4&amp;Qid=1711279&amp;Row=7088&amp;Col=1","No Title Assigned - #15270272013")</f>
        <v/>
      </c>
      <c r="B7096" s="0" t="s">
        <v>9410</v>
      </c>
      <c r="C7096" s="0" t="s">
        <v>9411</v>
      </c>
      <c r="D7096" s="0" t="s">
        <v>6044</v>
      </c>
      <c r="E7096" s="0" t="inlineStr">
        <is>
          <t xml:space="preserve">Mazda</t>
        </is>
      </c>
      <c r="F7096" s="0" t="s">
        <v>13</v>
      </c>
      <c r="G7096" s="0" t="s">
        <v>49</v>
      </c>
      <c r="H7096" s="5">
        <v>2558.990300</v>
      </c>
    </row>
    <row r="7097" spans="1:9">
      <c r="A7097" s="22" t="str">
        <f>HYPERLINK("https://app.vivvix.com/360/KMI/IntelliDrive/ApplUI/Pages/CreativePages/CustomReportCreativeDetail.aspx?App=23&amp;ReportView=4&amp;Qid=1711279&amp;Row=7089&amp;Col=1","No Title Assigned - #15270272819")</f>
        <v/>
      </c>
      <c r="B7097" s="0" t="s">
        <v>9412</v>
      </c>
      <c r="C7097" s="0" t="s">
        <v>9413</v>
      </c>
      <c r="D7097" s="0" t="s">
        <v>4407</v>
      </c>
      <c r="E7097" s="0" t="inlineStr">
        <is>
          <t xml:space="preserve">Mazda</t>
        </is>
      </c>
      <c r="F7097" s="0" t="s">
        <v>28</v>
      </c>
      <c r="G7097" s="0" t="s">
        <v>29</v>
      </c>
      <c r="H7097" s="5">
        <v>174.904000</v>
      </c>
    </row>
    <row r="7098" spans="1:9">
      <c r="A7098" s="22" t="str">
        <f>HYPERLINK("https://app.vivvix.com/360/KMI/IntelliDrive/ApplUI/Pages/CreativePages/CustomReportCreativeDetail.aspx?App=23&amp;ReportView=4&amp;Qid=1711279&amp;Row=7090&amp;Col=1","No Title Assigned - #15270272998")</f>
        <v/>
      </c>
      <c r="B7098" s="0" t="s">
        <v>9414</v>
      </c>
      <c r="C7098" s="0" t="s">
        <v>9415</v>
      </c>
      <c r="D7098" s="0" t="s">
        <v>4781</v>
      </c>
      <c r="E7098" s="0" t="inlineStr">
        <is>
          <t xml:space="preserve">Mazda</t>
        </is>
      </c>
      <c r="F7098" s="0" t="s">
        <v>28</v>
      </c>
      <c r="G7098" s="0" t="s">
        <v>29</v>
      </c>
      <c r="H7098" s="5">
        <v>826.256000</v>
      </c>
    </row>
    <row r="7099" spans="1:9">
      <c r="A7099" s="22" t="str">
        <f>HYPERLINK("https://app.vivvix.com/360/KMI/IntelliDrive/ApplUI/Pages/CreativePages/CustomReportCreativeDetail.aspx?App=23&amp;ReportView=4&amp;Qid=1711279&amp;Row=7091&amp;Col=1","No Title Assigned - #15270273288")</f>
        <v/>
      </c>
      <c r="B7099" s="0" t="s">
        <v>9416</v>
      </c>
      <c r="C7099" s="0" t="s">
        <v>9417</v>
      </c>
      <c r="D7099" s="0" t="s">
        <v>9417</v>
      </c>
      <c r="E7099" s="0" t="inlineStr">
        <is>
          <t xml:space="preserve">Mazda</t>
        </is>
      </c>
      <c r="F7099" s="0" t="s">
        <v>13</v>
      </c>
      <c r="G7099" s="0" t="s">
        <v>49</v>
      </c>
      <c r="H7099" s="5">
        <v>31.779700</v>
      </c>
    </row>
    <row r="7100" spans="1:9">
      <c r="A7100" s="22" t="str">
        <f>HYPERLINK("https://app.vivvix.com/360/KMI/IntelliDrive/ApplUI/Pages/CreativePages/CustomReportCreativeDetail.aspx?App=23&amp;ReportView=4&amp;Qid=1711279&amp;Row=7092&amp;Col=1","No Title Assigned - #15270273383")</f>
        <v/>
      </c>
      <c r="B7100" s="0" t="s">
        <v>9418</v>
      </c>
      <c r="C7100" s="0" t="s">
        <v>9419</v>
      </c>
      <c r="D7100" s="0" t="s">
        <v>4335</v>
      </c>
      <c r="E7100" s="0" t="inlineStr">
        <is>
          <t xml:space="preserve">Mazda</t>
        </is>
      </c>
      <c r="F7100" s="0" t="s">
        <v>13</v>
      </c>
      <c r="G7100" s="0" t="s">
        <v>49</v>
      </c>
      <c r="H7100" s="5">
        <v>8074.426200</v>
      </c>
    </row>
    <row r="7101" spans="1:9">
      <c r="A7101" s="22" t="str">
        <f>HYPERLINK("https://app.vivvix.com/360/KMI/IntelliDrive/ApplUI/Pages/CreativePages/CustomReportCreativeDetail.aspx?App=23&amp;ReportView=4&amp;Qid=1711279&amp;Row=7093&amp;Col=1","No Title Assigned - #15270273619")</f>
        <v/>
      </c>
      <c r="B7101" s="0" t="s">
        <v>9420</v>
      </c>
      <c r="C7101" s="0" t="s">
        <v>9421</v>
      </c>
      <c r="D7101" s="0" t="s">
        <v>4274</v>
      </c>
      <c r="E7101" s="0" t="inlineStr">
        <is>
          <t xml:space="preserve">Mazda</t>
        </is>
      </c>
      <c r="F7101" s="0" t="s">
        <v>28</v>
      </c>
      <c r="G7101" s="0" t="s">
        <v>29</v>
      </c>
      <c r="H7101" s="5">
        <v>0.965800</v>
      </c>
    </row>
    <row r="7102" spans="1:9">
      <c r="A7102" s="22" t="str">
        <f>HYPERLINK("https://app.vivvix.com/360/KMI/IntelliDrive/ApplUI/Pages/CreativePages/CustomReportCreativeDetail.aspx?App=23&amp;ReportView=4&amp;Qid=1711279&amp;Row=7094&amp;Col=1","No Title Assigned - #15270273730")</f>
        <v/>
      </c>
      <c r="B7102" s="0" t="s">
        <v>9422</v>
      </c>
      <c r="C7102" s="0" t="s">
        <v>9423</v>
      </c>
      <c r="D7102" s="0" t="s">
        <v>9423</v>
      </c>
      <c r="E7102" s="0" t="inlineStr">
        <is>
          <t xml:space="preserve">Mazda</t>
        </is>
      </c>
      <c r="F7102" s="0" t="s">
        <v>28</v>
      </c>
      <c r="G7102" s="0" t="s">
        <v>29</v>
      </c>
      <c r="H7102" s="5">
        <v>669.988800</v>
      </c>
    </row>
    <row r="7103" spans="1:9">
      <c r="A7103" s="22" t="str">
        <f>HYPERLINK("https://app.vivvix.com/360/KMI/IntelliDrive/ApplUI/Pages/CreativePages/CustomReportCreativeDetail.aspx?App=23&amp;ReportView=4&amp;Qid=1711279&amp;Row=7095&amp;Col=1","No Title Assigned - #15270273843")</f>
        <v/>
      </c>
      <c r="B7103" s="0" t="s">
        <v>9424</v>
      </c>
      <c r="C7103" s="0" t="s">
        <v>9425</v>
      </c>
      <c r="D7103" s="0" t="s">
        <v>9425</v>
      </c>
      <c r="E7103" s="0" t="inlineStr">
        <is>
          <t xml:space="preserve">Mazda</t>
        </is>
      </c>
      <c r="F7103" s="0" t="s">
        <v>28</v>
      </c>
      <c r="G7103" s="0" t="s">
        <v>29</v>
      </c>
      <c r="H7103" s="5">
        <v>4.374900</v>
      </c>
    </row>
    <row r="7104" spans="1:9">
      <c r="A7104" s="22" t="str">
        <f>HYPERLINK("https://app.vivvix.com/360/KMI/IntelliDrive/ApplUI/Pages/CreativePages/CustomReportCreativeDetail.aspx?App=23&amp;ReportView=4&amp;Qid=1711279&amp;Row=7096&amp;Col=1","No Title Assigned - #15270275171")</f>
        <v/>
      </c>
      <c r="B7104" s="0" t="s">
        <v>9426</v>
      </c>
      <c r="C7104" s="0" t="s">
        <v>9427</v>
      </c>
      <c r="D7104" s="0" t="s">
        <v>4333</v>
      </c>
      <c r="E7104" s="0" t="inlineStr">
        <is>
          <t xml:space="preserve">Mazda</t>
        </is>
      </c>
      <c r="F7104" s="0" t="s">
        <v>28</v>
      </c>
      <c r="G7104" s="0" t="s">
        <v>29</v>
      </c>
      <c r="H7104" s="5">
        <v>186.841400</v>
      </c>
    </row>
    <row r="7105" spans="1:9">
      <c r="A7105" s="22" t="str">
        <f>HYPERLINK("https://app.vivvix.com/360/KMI/IntelliDrive/ApplUI/Pages/CreativePages/CustomReportCreativeDetail.aspx?App=23&amp;ReportView=4&amp;Qid=1711279&amp;Row=7097&amp;Col=1","No Title Assigned - #15270275661")</f>
        <v/>
      </c>
      <c r="B7105" s="0" t="s">
        <v>9428</v>
      </c>
      <c r="C7105" s="0" t="s">
        <v>9429</v>
      </c>
      <c r="D7105" s="0" t="s">
        <v>6404</v>
      </c>
      <c r="E7105" s="0" t="inlineStr">
        <is>
          <t xml:space="preserve">Mazda</t>
        </is>
      </c>
      <c r="F7105" s="0" t="s">
        <v>13</v>
      </c>
      <c r="G7105" s="0" t="s">
        <v>49</v>
      </c>
      <c r="H7105" s="5">
        <v>106.857700</v>
      </c>
    </row>
    <row r="7106" spans="1:9">
      <c r="A7106" s="22" t="str">
        <f>HYPERLINK("https://app.vivvix.com/360/KMI/IntelliDrive/ApplUI/Pages/CreativePages/CustomReportCreativeDetail.aspx?App=23&amp;ReportView=4&amp;Qid=1711279&amp;Row=7098&amp;Col=1","No Title Assigned - #15270275690")</f>
        <v/>
      </c>
      <c r="B7106" s="0" t="s">
        <v>9430</v>
      </c>
      <c r="C7106" s="0" t="s">
        <v>9431</v>
      </c>
      <c r="D7106" s="0" t="s">
        <v>4335</v>
      </c>
      <c r="E7106" s="0" t="inlineStr">
        <is>
          <t xml:space="preserve">Mazda</t>
        </is>
      </c>
      <c r="F7106" s="0" t="s">
        <v>13</v>
      </c>
      <c r="G7106" s="0" t="s">
        <v>49</v>
      </c>
      <c r="H7106" s="5">
        <v>447.088300</v>
      </c>
    </row>
    <row r="7107" spans="1:9">
      <c r="A7107" s="22" t="str">
        <f>HYPERLINK("https://app.vivvix.com/360/KMI/IntelliDrive/ApplUI/Pages/CreativePages/CustomReportCreativeDetail.aspx?App=23&amp;ReportView=4&amp;Qid=1711279&amp;Row=7099&amp;Col=1","No Title Assigned - #15270275744")</f>
        <v/>
      </c>
      <c r="B7107" s="0" t="s">
        <v>9432</v>
      </c>
      <c r="C7107" s="0" t="s">
        <v>9433</v>
      </c>
      <c r="D7107" s="0" t="s">
        <v>4333</v>
      </c>
      <c r="E7107" s="0" t="inlineStr">
        <is>
          <t xml:space="preserve">Mazda</t>
        </is>
      </c>
      <c r="F7107" s="0" t="s">
        <v>28</v>
      </c>
      <c r="G7107" s="0" t="s">
        <v>29</v>
      </c>
      <c r="H7107" s="5">
        <v>16.981900</v>
      </c>
    </row>
    <row r="7108" spans="1:9">
      <c r="A7108" s="22" t="str">
        <f>HYPERLINK("https://app.vivvix.com/360/KMI/IntelliDrive/ApplUI/Pages/CreativePages/CustomReportCreativeDetail.aspx?App=23&amp;ReportView=4&amp;Qid=1711279&amp;Row=7100&amp;Col=1","No Title Assigned - #15270276625")</f>
        <v/>
      </c>
      <c r="B7108" s="0" t="s">
        <v>9434</v>
      </c>
      <c r="E7108" s="0" t="inlineStr">
        <is>
          <t xml:space="preserve">Mazda</t>
        </is>
      </c>
      <c r="F7108" s="0" t="inlineStr">
        <is>
          <t xml:space="preserve">Mazda</t>
        </is>
      </c>
      <c r="G7108" s="0" t="s">
        <v>171</v>
      </c>
      <c r="H7108" s="5">
        <v>42.629600</v>
      </c>
    </row>
    <row r="7109" spans="1:9">
      <c r="A7109" s="22" t="str">
        <f>HYPERLINK("https://app.vivvix.com/360/KMI/IntelliDrive/ApplUI/Pages/CreativePages/CustomReportCreativeDetail.aspx?App=23&amp;ReportView=4&amp;Qid=1711279&amp;Row=7101&amp;Col=1","No Title Assigned - #15270276949")</f>
        <v/>
      </c>
      <c r="B7109" s="0" t="s">
        <v>9435</v>
      </c>
      <c r="C7109" s="0" t="s">
        <v>9436</v>
      </c>
      <c r="D7109" s="0" t="s">
        <v>9436</v>
      </c>
      <c r="E7109" s="0" t="inlineStr">
        <is>
          <t xml:space="preserve">Mazda</t>
        </is>
      </c>
      <c r="F7109" s="0" t="inlineStr">
        <is>
          <t xml:space="preserve">Mazda</t>
        </is>
      </c>
      <c r="G7109" s="0" t="s">
        <v>171</v>
      </c>
      <c r="H7109" s="5">
        <v>21.382800</v>
      </c>
    </row>
    <row r="7110" spans="1:9">
      <c r="A7110" s="22" t="str">
        <f>HYPERLINK("https://app.vivvix.com/360/KMI/IntelliDrive/ApplUI/Pages/CreativePages/CustomReportCreativeDetail.aspx?App=23&amp;ReportView=4&amp;Qid=1711279&amp;Row=7102&amp;Col=1","No Title Assigned - #15270277420")</f>
        <v/>
      </c>
      <c r="B7110" s="0" t="s">
        <v>9437</v>
      </c>
      <c r="E7110" s="0" t="inlineStr">
        <is>
          <t xml:space="preserve">Mazda</t>
        </is>
      </c>
      <c r="F7110" s="0" t="inlineStr">
        <is>
          <t xml:space="preserve">Mazda</t>
        </is>
      </c>
      <c r="G7110" s="0" t="s">
        <v>171</v>
      </c>
      <c r="H7110" s="5">
        <v>533.353500</v>
      </c>
    </row>
    <row r="7111" spans="1:9">
      <c r="A7111" s="22" t="str">
        <f>HYPERLINK("https://app.vivvix.com/360/KMI/IntelliDrive/ApplUI/Pages/CreativePages/CustomReportCreativeDetail.aspx?App=23&amp;ReportView=4&amp;Qid=1711279&amp;Row=7103&amp;Col=1","No Title Assigned - #15270277562")</f>
        <v/>
      </c>
      <c r="B7111" s="0" t="s">
        <v>9438</v>
      </c>
      <c r="E7111" s="0" t="inlineStr">
        <is>
          <t xml:space="preserve">Mazda</t>
        </is>
      </c>
      <c r="F7111" s="0" t="inlineStr">
        <is>
          <t xml:space="preserve">Mazda</t>
        </is>
      </c>
      <c r="G7111" s="0" t="s">
        <v>171</v>
      </c>
      <c r="H7111" s="5">
        <v>79.524300</v>
      </c>
    </row>
    <row r="7112" spans="1:9">
      <c r="A7112" s="22" t="str">
        <f>HYPERLINK("https://app.vivvix.com/360/KMI/IntelliDrive/ApplUI/Pages/CreativePages/CustomReportCreativeDetail.aspx?App=23&amp;ReportView=4&amp;Qid=1711279&amp;Row=7104&amp;Col=1","No Title Assigned - #15270277804")</f>
        <v/>
      </c>
      <c r="B7112" s="0" t="s">
        <v>9439</v>
      </c>
      <c r="E7112" s="0" t="inlineStr">
        <is>
          <t xml:space="preserve">Mazda</t>
        </is>
      </c>
      <c r="F7112" s="0" t="inlineStr">
        <is>
          <t xml:space="preserve">Mazda</t>
        </is>
      </c>
      <c r="G7112" s="0" t="s">
        <v>171</v>
      </c>
      <c r="H7112" s="5">
        <v>270.427600</v>
      </c>
    </row>
    <row r="7113" spans="1:9">
      <c r="A7113" s="22" t="str">
        <f>HYPERLINK("https://app.vivvix.com/360/KMI/IntelliDrive/ApplUI/Pages/CreativePages/CustomReportCreativeDetail.aspx?App=23&amp;ReportView=4&amp;Qid=1711279&amp;Row=7105&amp;Col=1","No Title Assigned - #15270277819")</f>
        <v/>
      </c>
      <c r="B7113" s="0" t="s">
        <v>9440</v>
      </c>
      <c r="E7113" s="0" t="inlineStr">
        <is>
          <t xml:space="preserve">Mazda</t>
        </is>
      </c>
      <c r="F7113" s="0" t="inlineStr">
        <is>
          <t xml:space="preserve">Mazda</t>
        </is>
      </c>
      <c r="G7113" s="0" t="s">
        <v>171</v>
      </c>
      <c r="H7113" s="5">
        <v>5.734600</v>
      </c>
    </row>
    <row r="7114" spans="1:9">
      <c r="A7114" s="22" t="str">
        <f>HYPERLINK("https://app.vivvix.com/360/KMI/IntelliDrive/ApplUI/Pages/CreativePages/CustomReportCreativeDetail.aspx?App=23&amp;ReportView=4&amp;Qid=1711279&amp;Row=7106&amp;Col=1","No Title Assigned - #15270278011")</f>
        <v/>
      </c>
      <c r="B7114" s="0" t="s">
        <v>9441</v>
      </c>
      <c r="E7114" s="0" t="inlineStr">
        <is>
          <t xml:space="preserve">Mazda</t>
        </is>
      </c>
      <c r="F7114" s="0" t="inlineStr">
        <is>
          <t xml:space="preserve">Mazda</t>
        </is>
      </c>
      <c r="G7114" s="0" t="s">
        <v>171</v>
      </c>
      <c r="H7114" s="5">
        <v>3.331900</v>
      </c>
    </row>
    <row r="7115" spans="1:9">
      <c r="A7115" s="22" t="str">
        <f>HYPERLINK("https://app.vivvix.com/360/KMI/IntelliDrive/ApplUI/Pages/CreativePages/CustomReportCreativeDetail.aspx?App=23&amp;ReportView=4&amp;Qid=1711279&amp;Row=7107&amp;Col=1","No Title Assigned - #15270278180")</f>
        <v/>
      </c>
      <c r="B7115" s="0" t="s">
        <v>9442</v>
      </c>
      <c r="E7115" s="0" t="inlineStr">
        <is>
          <t xml:space="preserve">Mazda</t>
        </is>
      </c>
      <c r="F7115" s="0" t="inlineStr">
        <is>
          <t xml:space="preserve">Mazda</t>
        </is>
      </c>
      <c r="G7115" s="0" t="s">
        <v>171</v>
      </c>
      <c r="H7115" s="5">
        <v>22.036200</v>
      </c>
    </row>
    <row r="7116" spans="1:9">
      <c r="A7116" s="22" t="str">
        <f>HYPERLINK("https://app.vivvix.com/360/KMI/IntelliDrive/ApplUI/Pages/CreativePages/CustomReportCreativeDetail.aspx?App=23&amp;ReportView=4&amp;Qid=1711279&amp;Row=7108&amp;Col=1","No Title Assigned - #15270278471")</f>
        <v/>
      </c>
      <c r="B7116" s="0" t="s">
        <v>9443</v>
      </c>
      <c r="E7116" s="0" t="inlineStr">
        <is>
          <t xml:space="preserve">Mazda</t>
        </is>
      </c>
      <c r="F7116" s="0" t="inlineStr">
        <is>
          <t xml:space="preserve">Mazda</t>
        </is>
      </c>
      <c r="G7116" s="0" t="s">
        <v>171</v>
      </c>
      <c r="H7116" s="5">
        <v>9.009100</v>
      </c>
    </row>
    <row r="7117" spans="1:9">
      <c r="A7117" s="22" t="str">
        <f>HYPERLINK("https://app.vivvix.com/360/KMI/IntelliDrive/ApplUI/Pages/CreativePages/CustomReportCreativeDetail.aspx?App=23&amp;ReportView=4&amp;Qid=1711279&amp;Row=7109&amp;Col=1","No Title Assigned - #15270278788")</f>
        <v/>
      </c>
      <c r="B7117" s="0" t="s">
        <v>9444</v>
      </c>
      <c r="E7117" s="0" t="inlineStr">
        <is>
          <t xml:space="preserve">Mazda</t>
        </is>
      </c>
      <c r="F7117" s="0" t="inlineStr">
        <is>
          <t xml:space="preserve">Mazda</t>
        </is>
      </c>
      <c r="G7117" s="0" t="s">
        <v>171</v>
      </c>
      <c r="H7117" s="5">
        <v>24.554900</v>
      </c>
    </row>
    <row r="7118" spans="1:9">
      <c r="A7118" s="22" t="str">
        <f>HYPERLINK("https://app.vivvix.com/360/KMI/IntelliDrive/ApplUI/Pages/CreativePages/CustomReportCreativeDetail.aspx?App=23&amp;ReportView=4&amp;Qid=1711279&amp;Row=7110&amp;Col=1","No Title Assigned - #15270278945")</f>
        <v/>
      </c>
      <c r="B7118" s="0" t="s">
        <v>9445</v>
      </c>
      <c r="E7118" s="0" t="inlineStr">
        <is>
          <t xml:space="preserve">Mazda</t>
        </is>
      </c>
      <c r="F7118" s="0" t="inlineStr">
        <is>
          <t xml:space="preserve">Mazda</t>
        </is>
      </c>
      <c r="G7118" s="0" t="s">
        <v>171</v>
      </c>
      <c r="H7118" s="5">
        <v>25.914900</v>
      </c>
    </row>
    <row r="7119" spans="1:9">
      <c r="A7119" s="22" t="str">
        <f>HYPERLINK("https://app.vivvix.com/360/KMI/IntelliDrive/ApplUI/Pages/CreativePages/CustomReportCreativeDetail.aspx?App=23&amp;ReportView=4&amp;Qid=1711279&amp;Row=7111&amp;Col=1","No Title Assigned - #15270278946")</f>
        <v/>
      </c>
      <c r="B7119" s="0" t="s">
        <v>9446</v>
      </c>
      <c r="E7119" s="0" t="inlineStr">
        <is>
          <t xml:space="preserve">Mazda</t>
        </is>
      </c>
      <c r="F7119" s="0" t="inlineStr">
        <is>
          <t xml:space="preserve">Mazda</t>
        </is>
      </c>
      <c r="G7119" s="0" t="s">
        <v>171</v>
      </c>
      <c r="H7119" s="5">
        <v>642.828300</v>
      </c>
    </row>
    <row r="7120" spans="1:9">
      <c r="A7120" s="22" t="str">
        <f>HYPERLINK("https://app.vivvix.com/360/KMI/IntelliDrive/ApplUI/Pages/CreativePages/CustomReportCreativeDetail.aspx?App=23&amp;ReportView=4&amp;Qid=1711279&amp;Row=7112&amp;Col=1","No Title Assigned - #15270279268")</f>
        <v/>
      </c>
      <c r="B7120" s="0" t="s">
        <v>9447</v>
      </c>
      <c r="E7120" s="0" t="inlineStr">
        <is>
          <t xml:space="preserve">Mazda</t>
        </is>
      </c>
      <c r="F7120" s="0" t="inlineStr">
        <is>
          <t xml:space="preserve">Mazda</t>
        </is>
      </c>
      <c r="G7120" s="0" t="s">
        <v>171</v>
      </c>
      <c r="H7120" s="5">
        <v>67.418300</v>
      </c>
    </row>
    <row r="7121" spans="1:9">
      <c r="A7121" s="22" t="str">
        <f>HYPERLINK("https://app.vivvix.com/360/KMI/IntelliDrive/ApplUI/Pages/CreativePages/CustomReportCreativeDetail.aspx?App=23&amp;ReportView=4&amp;Qid=1711279&amp;Row=7113&amp;Col=1","No Title Assigned - #15270279355")</f>
        <v/>
      </c>
      <c r="B7121" s="0" t="s">
        <v>9448</v>
      </c>
      <c r="E7121" s="0" t="inlineStr">
        <is>
          <t xml:space="preserve">Mazda</t>
        </is>
      </c>
      <c r="F7121" s="0" t="inlineStr">
        <is>
          <t xml:space="preserve">Mazda</t>
        </is>
      </c>
      <c r="G7121" s="0" t="s">
        <v>171</v>
      </c>
      <c r="H7121" s="5">
        <v>21.974800</v>
      </c>
    </row>
    <row r="7122" spans="1:9">
      <c r="A7122" s="22" t="str">
        <f>HYPERLINK("https://app.vivvix.com/360/KMI/IntelliDrive/ApplUI/Pages/CreativePages/CustomReportCreativeDetail.aspx?App=23&amp;ReportView=4&amp;Qid=1711279&amp;Row=7114&amp;Col=1","No Title Assigned - #15270279356")</f>
        <v/>
      </c>
      <c r="B7122" s="0" t="s">
        <v>9449</v>
      </c>
      <c r="E7122" s="0" t="inlineStr">
        <is>
          <t xml:space="preserve">Mazda</t>
        </is>
      </c>
      <c r="F7122" s="0" t="inlineStr">
        <is>
          <t xml:space="preserve">Mazda</t>
        </is>
      </c>
      <c r="G7122" s="0" t="s">
        <v>171</v>
      </c>
      <c r="H7122" s="5">
        <v>1543.429600</v>
      </c>
    </row>
    <row r="7123" spans="1:9">
      <c r="A7123" s="22" t="str">
        <f>HYPERLINK("https://app.vivvix.com/360/KMI/IntelliDrive/ApplUI/Pages/CreativePages/CustomReportCreativeDetail.aspx?App=23&amp;ReportView=4&amp;Qid=1711279&amp;Row=7115&amp;Col=1","No Title Assigned - #15270279358")</f>
        <v/>
      </c>
      <c r="B7123" s="0" t="s">
        <v>9450</v>
      </c>
      <c r="E7123" s="0" t="inlineStr">
        <is>
          <t xml:space="preserve">Mazda</t>
        </is>
      </c>
      <c r="F7123" s="0" t="inlineStr">
        <is>
          <t xml:space="preserve">Mazda</t>
        </is>
      </c>
      <c r="G7123" s="0" t="s">
        <v>171</v>
      </c>
      <c r="H7123" s="5">
        <v>1122.245700</v>
      </c>
    </row>
    <row r="7124" spans="1:9">
      <c r="A7124" s="22" t="str">
        <f>HYPERLINK("https://app.vivvix.com/360/KMI/IntelliDrive/ApplUI/Pages/CreativePages/CustomReportCreativeDetail.aspx?App=23&amp;ReportView=4&amp;Qid=1711279&amp;Row=7116&amp;Col=1","No Title Assigned - #15270279361")</f>
        <v/>
      </c>
      <c r="B7124" s="0" t="s">
        <v>9451</v>
      </c>
      <c r="E7124" s="0" t="inlineStr">
        <is>
          <t xml:space="preserve">Mazda</t>
        </is>
      </c>
      <c r="F7124" s="0" t="inlineStr">
        <is>
          <t xml:space="preserve">Mazda</t>
        </is>
      </c>
      <c r="G7124" s="0" t="s">
        <v>171</v>
      </c>
      <c r="H7124" s="5">
        <v>16.112700</v>
      </c>
    </row>
    <row r="7125" spans="1:9">
      <c r="A7125" s="22" t="str">
        <f>HYPERLINK("https://app.vivvix.com/360/KMI/IntelliDrive/ApplUI/Pages/CreativePages/CustomReportCreativeDetail.aspx?App=23&amp;ReportView=4&amp;Qid=1711279&amp;Row=7117&amp;Col=1","No Title Assigned - #15270279386")</f>
        <v/>
      </c>
      <c r="B7125" s="0" t="s">
        <v>9452</v>
      </c>
      <c r="E7125" s="0" t="inlineStr">
        <is>
          <t xml:space="preserve">Mazda</t>
        </is>
      </c>
      <c r="F7125" s="0" t="inlineStr">
        <is>
          <t xml:space="preserve">Mazda</t>
        </is>
      </c>
      <c r="G7125" s="0" t="s">
        <v>171</v>
      </c>
      <c r="H7125" s="5">
        <v>47.914200</v>
      </c>
    </row>
    <row r="7126" spans="1:9">
      <c r="A7126" s="22" t="str">
        <f>HYPERLINK("https://app.vivvix.com/360/KMI/IntelliDrive/ApplUI/Pages/CreativePages/CustomReportCreativeDetail.aspx?App=23&amp;ReportView=4&amp;Qid=1711279&amp;Row=7118&amp;Col=1","No Title Assigned - #15270279639")</f>
        <v/>
      </c>
      <c r="B7126" s="0" t="s">
        <v>9453</v>
      </c>
      <c r="E7126" s="0" t="inlineStr">
        <is>
          <t xml:space="preserve">Mazda</t>
        </is>
      </c>
      <c r="F7126" s="0" t="inlineStr">
        <is>
          <t xml:space="preserve">Mazda</t>
        </is>
      </c>
      <c r="G7126" s="0" t="s">
        <v>171</v>
      </c>
      <c r="H7126" s="5">
        <v>566.537500</v>
      </c>
    </row>
    <row r="7127" spans="1:9">
      <c r="A7127" s="22" t="str">
        <f>HYPERLINK("https://app.vivvix.com/360/KMI/IntelliDrive/ApplUI/Pages/CreativePages/CustomReportCreativeDetail.aspx?App=23&amp;ReportView=4&amp;Qid=1711279&amp;Row=7119&amp;Col=1","No Title Assigned - #15270279646")</f>
        <v/>
      </c>
      <c r="B7127" s="0" t="s">
        <v>9454</v>
      </c>
      <c r="E7127" s="0" t="inlineStr">
        <is>
          <t xml:space="preserve">Mazda</t>
        </is>
      </c>
      <c r="F7127" s="0" t="inlineStr">
        <is>
          <t xml:space="preserve">Mazda</t>
        </is>
      </c>
      <c r="G7127" s="0" t="s">
        <v>171</v>
      </c>
      <c r="H7127" s="5">
        <v>13.501200</v>
      </c>
    </row>
    <row r="7128" spans="1:9">
      <c r="A7128" s="22" t="str">
        <f>HYPERLINK("https://app.vivvix.com/360/KMI/IntelliDrive/ApplUI/Pages/CreativePages/CustomReportCreativeDetail.aspx?App=23&amp;ReportView=4&amp;Qid=1711279&amp;Row=7120&amp;Col=1","No Title Assigned - #15270279814")</f>
        <v/>
      </c>
      <c r="B7128" s="0" t="s">
        <v>9455</v>
      </c>
      <c r="E7128" s="0" t="inlineStr">
        <is>
          <t xml:space="preserve">Mazda</t>
        </is>
      </c>
      <c r="F7128" s="0" t="inlineStr">
        <is>
          <t xml:space="preserve">Mazda</t>
        </is>
      </c>
      <c r="G7128" s="0" t="s">
        <v>171</v>
      </c>
      <c r="H7128" s="5">
        <v>19.917600</v>
      </c>
    </row>
    <row r="7129" spans="1:9">
      <c r="A7129" s="22" t="str">
        <f>HYPERLINK("https://app.vivvix.com/360/KMI/IntelliDrive/ApplUI/Pages/CreativePages/CustomReportCreativeDetail.aspx?App=23&amp;ReportView=4&amp;Qid=1711279&amp;Row=7121&amp;Col=1","No Title Assigned - #15270280083")</f>
        <v/>
      </c>
      <c r="B7129" s="0" t="s">
        <v>9456</v>
      </c>
      <c r="E7129" s="0" t="inlineStr">
        <is>
          <t xml:space="preserve">Mazda</t>
        </is>
      </c>
      <c r="F7129" s="0" t="inlineStr">
        <is>
          <t xml:space="preserve">Mazda</t>
        </is>
      </c>
      <c r="G7129" s="0" t="s">
        <v>171</v>
      </c>
      <c r="H7129" s="5">
        <v>125.350000</v>
      </c>
    </row>
    <row r="7130" spans="1:9">
      <c r="A7130" s="22" t="str">
        <f>HYPERLINK("https://app.vivvix.com/360/KMI/IntelliDrive/ApplUI/Pages/CreativePages/CustomReportCreativeDetail.aspx?App=23&amp;ReportView=4&amp;Qid=1711279&amp;Row=7122&amp;Col=1","No Title Assigned - #15270280179")</f>
        <v/>
      </c>
      <c r="B7130" s="0" t="s">
        <v>9457</v>
      </c>
      <c r="E7130" s="0" t="inlineStr">
        <is>
          <t xml:space="preserve">Mazda</t>
        </is>
      </c>
      <c r="F7130" s="0" t="inlineStr">
        <is>
          <t xml:space="preserve">Mazda</t>
        </is>
      </c>
      <c r="G7130" s="0" t="s">
        <v>171</v>
      </c>
      <c r="H7130" s="5">
        <v>467.104500</v>
      </c>
    </row>
    <row r="7131" spans="1:9">
      <c r="A7131" s="22" t="str">
        <f>HYPERLINK("https://app.vivvix.com/360/KMI/IntelliDrive/ApplUI/Pages/CreativePages/CustomReportCreativeDetail.aspx?App=23&amp;ReportView=4&amp;Qid=1711279&amp;Row=7123&amp;Col=1","No Title Assigned - #15270280179")</f>
        <v/>
      </c>
      <c r="B7131" s="0" t="s">
        <v>9457</v>
      </c>
      <c r="E7131" s="0" t="inlineStr">
        <is>
          <t xml:space="preserve">Mazda</t>
        </is>
      </c>
      <c r="F7131" s="0" t="inlineStr">
        <is>
          <t xml:space="preserve">Mazda</t>
        </is>
      </c>
      <c r="G7131" s="0" t="s">
        <v>171</v>
      </c>
      <c r="H7131" s="5">
        <v>1682.197000</v>
      </c>
    </row>
    <row r="7132" spans="1:9">
      <c r="A7132" s="22" t="str">
        <f>HYPERLINK("https://app.vivvix.com/360/KMI/IntelliDrive/ApplUI/Pages/CreativePages/CustomReportCreativeDetail.aspx?App=23&amp;ReportView=4&amp;Qid=1711279&amp;Row=7124&amp;Col=1","No Title Assigned - #15270281126")</f>
        <v/>
      </c>
      <c r="B7132" s="0" t="s">
        <v>9458</v>
      </c>
      <c r="C7132" s="0" t="s">
        <v>9459</v>
      </c>
      <c r="D7132" s="0" t="s">
        <v>9459</v>
      </c>
      <c r="E7132" s="0" t="inlineStr">
        <is>
          <t xml:space="preserve">Mazda</t>
        </is>
      </c>
      <c r="F7132" s="0" t="inlineStr">
        <is>
          <t xml:space="preserve">Mazda</t>
        </is>
      </c>
      <c r="G7132" s="0" t="s">
        <v>171</v>
      </c>
      <c r="H7132" s="5">
        <v>2045.048400</v>
      </c>
    </row>
    <row r="7133" spans="1:9">
      <c r="A7133" s="22" t="str">
        <f>HYPERLINK("https://app.vivvix.com/360/KMI/IntelliDrive/ApplUI/Pages/CreativePages/CustomReportCreativeDetail.aspx?App=23&amp;ReportView=4&amp;Qid=1711279&amp;Row=7125&amp;Col=1","No Title Assigned - #15270281298")</f>
        <v/>
      </c>
      <c r="B7133" s="0" t="s">
        <v>9460</v>
      </c>
      <c r="E7133" s="0" t="inlineStr">
        <is>
          <t xml:space="preserve">Mazda</t>
        </is>
      </c>
      <c r="F7133" s="0" t="inlineStr">
        <is>
          <t xml:space="preserve">Mazda</t>
        </is>
      </c>
      <c r="G7133" s="0" t="s">
        <v>171</v>
      </c>
      <c r="H7133" s="5">
        <v>17.343800</v>
      </c>
    </row>
    <row r="7134" spans="1:9">
      <c r="A7134" s="22" t="str">
        <f>HYPERLINK("https://app.vivvix.com/360/KMI/IntelliDrive/ApplUI/Pages/CreativePages/CustomReportCreativeDetail.aspx?App=23&amp;ReportView=4&amp;Qid=1711279&amp;Row=7126&amp;Col=1","No Title Assigned - #15270281489")</f>
        <v/>
      </c>
      <c r="B7134" s="0" t="s">
        <v>9461</v>
      </c>
      <c r="E7134" s="0" t="inlineStr">
        <is>
          <t xml:space="preserve">Mazda</t>
        </is>
      </c>
      <c r="F7134" s="0" t="inlineStr">
        <is>
          <t xml:space="preserve">Mazda</t>
        </is>
      </c>
      <c r="G7134" s="0" t="s">
        <v>171</v>
      </c>
      <c r="H7134" s="5">
        <v>2292.056700</v>
      </c>
    </row>
    <row r="7135" spans="1:9">
      <c r="A7135" s="22" t="str">
        <f>HYPERLINK("https://app.vivvix.com/360/KMI/IntelliDrive/ApplUI/Pages/CreativePages/CustomReportCreativeDetail.aspx?App=23&amp;ReportView=4&amp;Qid=1711279&amp;Row=7127&amp;Col=1","No Title Assigned - #15270281677")</f>
        <v/>
      </c>
      <c r="B7135" s="0" t="s">
        <v>9462</v>
      </c>
      <c r="E7135" s="0" t="inlineStr">
        <is>
          <t xml:space="preserve">Mazda</t>
        </is>
      </c>
      <c r="F7135" s="0" t="inlineStr">
        <is>
          <t xml:space="preserve">Mazda</t>
        </is>
      </c>
      <c r="G7135" s="0" t="s">
        <v>171</v>
      </c>
      <c r="H7135" s="5">
        <v>591.058200</v>
      </c>
    </row>
    <row r="7136" spans="1:9">
      <c r="A7136" s="22" t="str">
        <f>HYPERLINK("https://app.vivvix.com/360/KMI/IntelliDrive/ApplUI/Pages/CreativePages/CustomReportCreativeDetail.aspx?App=23&amp;ReportView=4&amp;Qid=1711279&amp;Row=7128&amp;Col=1","No Title Assigned - #15270281753")</f>
        <v/>
      </c>
      <c r="B7136" s="0" t="s">
        <v>9463</v>
      </c>
      <c r="E7136" s="0" t="inlineStr">
        <is>
          <t xml:space="preserve">Mazda</t>
        </is>
      </c>
      <c r="F7136" s="0" t="inlineStr">
        <is>
          <t xml:space="preserve">Mazda</t>
        </is>
      </c>
      <c r="G7136" s="0" t="s">
        <v>171</v>
      </c>
      <c r="H7136" s="5">
        <v>507.986100</v>
      </c>
    </row>
    <row r="7137" spans="1:9">
      <c r="A7137" s="22" t="str">
        <f>HYPERLINK("https://app.vivvix.com/360/KMI/IntelliDrive/ApplUI/Pages/CreativePages/CustomReportCreativeDetail.aspx?App=23&amp;ReportView=4&amp;Qid=1711279&amp;Row=7129&amp;Col=1","No Title Assigned - #15270281966")</f>
        <v/>
      </c>
      <c r="B7137" s="0" t="s">
        <v>9464</v>
      </c>
      <c r="E7137" s="0" t="inlineStr">
        <is>
          <t xml:space="preserve">Mazda</t>
        </is>
      </c>
      <c r="F7137" s="0" t="inlineStr">
        <is>
          <t xml:space="preserve">Mazda</t>
        </is>
      </c>
      <c r="G7137" s="0" t="s">
        <v>171</v>
      </c>
      <c r="H7137" s="5">
        <v>34.260400</v>
      </c>
    </row>
    <row r="7138" spans="1:9">
      <c r="A7138" s="22" t="str">
        <f>HYPERLINK("https://app.vivvix.com/360/KMI/IntelliDrive/ApplUI/Pages/CreativePages/CustomReportCreativeDetail.aspx?App=23&amp;ReportView=4&amp;Qid=1711279&amp;Row=7130&amp;Col=1","No Title Assigned - #15270282135")</f>
        <v/>
      </c>
      <c r="B7138" s="0" t="s">
        <v>9465</v>
      </c>
      <c r="E7138" s="0" t="inlineStr">
        <is>
          <t xml:space="preserve">Mazda</t>
        </is>
      </c>
      <c r="F7138" s="0" t="inlineStr">
        <is>
          <t xml:space="preserve">Mazda</t>
        </is>
      </c>
      <c r="G7138" s="0" t="s">
        <v>171</v>
      </c>
      <c r="H7138" s="5">
        <v>109.081900</v>
      </c>
    </row>
    <row r="7139" spans="1:9">
      <c r="A7139" s="22" t="str">
        <f>HYPERLINK("https://app.vivvix.com/360/KMI/IntelliDrive/ApplUI/Pages/CreativePages/CustomReportCreativeDetail.aspx?App=23&amp;ReportView=4&amp;Qid=1711279&amp;Row=7131&amp;Col=1","No Title Assigned - #15270282144")</f>
        <v/>
      </c>
      <c r="B7139" s="0" t="s">
        <v>9466</v>
      </c>
      <c r="E7139" s="0" t="inlineStr">
        <is>
          <t xml:space="preserve">Mazda</t>
        </is>
      </c>
      <c r="F7139" s="0" t="inlineStr">
        <is>
          <t xml:space="preserve">Mazda</t>
        </is>
      </c>
      <c r="G7139" s="0" t="s">
        <v>171</v>
      </c>
      <c r="H7139" s="5">
        <v>32.821900</v>
      </c>
    </row>
    <row r="7140" spans="1:9">
      <c r="A7140" s="22" t="str">
        <f>HYPERLINK("https://app.vivvix.com/360/KMI/IntelliDrive/ApplUI/Pages/CreativePages/CustomReportCreativeDetail.aspx?App=23&amp;ReportView=4&amp;Qid=1711279&amp;Row=7132&amp;Col=1","No Title Assigned - #15270282520")</f>
        <v/>
      </c>
      <c r="B7140" s="0" t="s">
        <v>9467</v>
      </c>
      <c r="E7140" s="0" t="inlineStr">
        <is>
          <t xml:space="preserve">Mazda</t>
        </is>
      </c>
      <c r="F7140" s="0" t="inlineStr">
        <is>
          <t xml:space="preserve">Mazda</t>
        </is>
      </c>
      <c r="G7140" s="0" t="s">
        <v>171</v>
      </c>
      <c r="H7140" s="5">
        <v>19.830300</v>
      </c>
    </row>
    <row r="7141" spans="1:9">
      <c r="A7141" s="22" t="str">
        <f>HYPERLINK("https://app.vivvix.com/360/KMI/IntelliDrive/ApplUI/Pages/CreativePages/CustomReportCreativeDetail.aspx?App=23&amp;ReportView=4&amp;Qid=1711279&amp;Row=7133&amp;Col=1","No Title Assigned - #15270282557")</f>
        <v/>
      </c>
      <c r="B7141" s="0" t="s">
        <v>9468</v>
      </c>
      <c r="E7141" s="0" t="inlineStr">
        <is>
          <t xml:space="preserve">Mazda</t>
        </is>
      </c>
      <c r="F7141" s="0" t="inlineStr">
        <is>
          <t xml:space="preserve">Mazda</t>
        </is>
      </c>
      <c r="G7141" s="0" t="s">
        <v>171</v>
      </c>
      <c r="H7141" s="5">
        <v>307.673800</v>
      </c>
    </row>
    <row r="7142" spans="1:9">
      <c r="A7142" s="22" t="str">
        <f>HYPERLINK("https://app.vivvix.com/360/KMI/IntelliDrive/ApplUI/Pages/CreativePages/CustomReportCreativeDetail.aspx?App=23&amp;ReportView=4&amp;Qid=1711279&amp;Row=7134&amp;Col=1","No Title Assigned - #15270282837")</f>
        <v/>
      </c>
      <c r="B7142" s="0" t="s">
        <v>9469</v>
      </c>
      <c r="E7142" s="0" t="inlineStr">
        <is>
          <t xml:space="preserve">Mazda</t>
        </is>
      </c>
      <c r="F7142" s="0" t="inlineStr">
        <is>
          <t xml:space="preserve">Mazda</t>
        </is>
      </c>
      <c r="G7142" s="0" t="s">
        <v>171</v>
      </c>
      <c r="H7142" s="5">
        <v>1320.708100</v>
      </c>
    </row>
    <row r="7143" spans="1:9">
      <c r="A7143" s="22" t="str">
        <f>HYPERLINK("https://app.vivvix.com/360/KMI/IntelliDrive/ApplUI/Pages/CreativePages/CustomReportCreativeDetail.aspx?App=23&amp;ReportView=4&amp;Qid=1711279&amp;Row=7135&amp;Col=1","No Title Assigned - #15270282877")</f>
        <v/>
      </c>
      <c r="B7143" s="0" t="s">
        <v>9470</v>
      </c>
      <c r="E7143" s="0" t="inlineStr">
        <is>
          <t xml:space="preserve">Mazda</t>
        </is>
      </c>
      <c r="F7143" s="0" t="inlineStr">
        <is>
          <t xml:space="preserve">Mazda</t>
        </is>
      </c>
      <c r="G7143" s="0" t="s">
        <v>171</v>
      </c>
      <c r="H7143" s="5">
        <v>20.274200</v>
      </c>
    </row>
    <row r="7144" spans="1:9">
      <c r="A7144" s="22" t="str">
        <f>HYPERLINK("https://app.vivvix.com/360/KMI/IntelliDrive/ApplUI/Pages/CreativePages/CustomReportCreativeDetail.aspx?App=23&amp;ReportView=4&amp;Qid=1711279&amp;Row=7136&amp;Col=1","No Title Assigned - #15270282996")</f>
        <v/>
      </c>
      <c r="B7144" s="0" t="s">
        <v>9471</v>
      </c>
      <c r="E7144" s="0" t="inlineStr">
        <is>
          <t xml:space="preserve">Mazda</t>
        </is>
      </c>
      <c r="F7144" s="0" t="inlineStr">
        <is>
          <t xml:space="preserve">Mazda</t>
        </is>
      </c>
      <c r="G7144" s="0" t="s">
        <v>171</v>
      </c>
      <c r="H7144" s="5">
        <v>69.031700</v>
      </c>
    </row>
    <row r="7145" spans="1:9">
      <c r="A7145" s="22" t="str">
        <f>HYPERLINK("https://app.vivvix.com/360/KMI/IntelliDrive/ApplUI/Pages/CreativePages/CustomReportCreativeDetail.aspx?App=23&amp;ReportView=4&amp;Qid=1711279&amp;Row=7137&amp;Col=1","No Title Assigned - #15270283255")</f>
        <v/>
      </c>
      <c r="B7145" s="0" t="s">
        <v>9472</v>
      </c>
      <c r="E7145" s="0" t="inlineStr">
        <is>
          <t xml:space="preserve">Mazda</t>
        </is>
      </c>
      <c r="F7145" s="0" t="inlineStr">
        <is>
          <t xml:space="preserve">Mazda</t>
        </is>
      </c>
      <c r="G7145" s="0" t="s">
        <v>171</v>
      </c>
      <c r="H7145" s="5">
        <v>11.240900</v>
      </c>
    </row>
    <row r="7146" spans="1:9">
      <c r="A7146" s="22" t="str">
        <f>HYPERLINK("https://app.vivvix.com/360/KMI/IntelliDrive/ApplUI/Pages/CreativePages/CustomReportCreativeDetail.aspx?App=23&amp;ReportView=4&amp;Qid=1711279&amp;Row=7138&amp;Col=1","No Title Assigned - #15270283511")</f>
        <v/>
      </c>
      <c r="B7146" s="0" t="s">
        <v>9473</v>
      </c>
      <c r="E7146" s="0" t="inlineStr">
        <is>
          <t xml:space="preserve">Mazda</t>
        </is>
      </c>
      <c r="F7146" s="0" t="inlineStr">
        <is>
          <t xml:space="preserve">Mazda</t>
        </is>
      </c>
      <c r="G7146" s="0" t="s">
        <v>171</v>
      </c>
      <c r="H7146" s="5">
        <v>38.026400</v>
      </c>
    </row>
    <row r="7147" spans="1:9">
      <c r="A7147" s="22" t="str">
        <f>HYPERLINK("https://app.vivvix.com/360/KMI/IntelliDrive/ApplUI/Pages/CreativePages/CustomReportCreativeDetail.aspx?App=23&amp;ReportView=4&amp;Qid=1711279&amp;Row=7139&amp;Col=1","No Title Assigned - #15270283664")</f>
        <v/>
      </c>
      <c r="B7147" s="0" t="s">
        <v>9474</v>
      </c>
      <c r="E7147" s="0" t="inlineStr">
        <is>
          <t xml:space="preserve">Mazda</t>
        </is>
      </c>
      <c r="F7147" s="0" t="inlineStr">
        <is>
          <t xml:space="preserve">Mazda</t>
        </is>
      </c>
      <c r="G7147" s="0" t="s">
        <v>171</v>
      </c>
      <c r="H7147" s="5">
        <v>165.288300</v>
      </c>
    </row>
    <row r="7148" spans="1:9">
      <c r="A7148" s="22" t="str">
        <f>HYPERLINK("https://app.vivvix.com/360/KMI/IntelliDrive/ApplUI/Pages/CreativePages/CustomReportCreativeDetail.aspx?App=23&amp;ReportView=4&amp;Qid=1711279&amp;Row=7140&amp;Col=1","No Title Assigned - #15270284455")</f>
        <v/>
      </c>
      <c r="B7148" s="0" t="s">
        <v>9475</v>
      </c>
      <c r="E7148" s="0" t="inlineStr">
        <is>
          <t xml:space="preserve">Mazda</t>
        </is>
      </c>
      <c r="F7148" s="0" t="inlineStr">
        <is>
          <t xml:space="preserve">Mazda</t>
        </is>
      </c>
      <c r="G7148" s="0" t="s">
        <v>171</v>
      </c>
      <c r="H7148" s="5">
        <v>28.765800</v>
      </c>
    </row>
    <row r="7149" spans="1:9">
      <c r="A7149" s="22" t="str">
        <f>HYPERLINK("https://app.vivvix.com/360/KMI/IntelliDrive/ApplUI/Pages/CreativePages/CustomReportCreativeDetail.aspx?App=23&amp;ReportView=4&amp;Qid=1711279&amp;Row=7141&amp;Col=1","No Title Assigned - #15270285034")</f>
        <v/>
      </c>
      <c r="B7149" s="0" t="s">
        <v>9476</v>
      </c>
      <c r="C7149" s="0" t="s">
        <v>9477</v>
      </c>
      <c r="D7149" s="0" t="s">
        <v>9477</v>
      </c>
      <c r="E7149" s="0" t="inlineStr">
        <is>
          <t xml:space="preserve">Mazda</t>
        </is>
      </c>
      <c r="F7149" s="0" t="inlineStr">
        <is>
          <t xml:space="preserve">Mazda</t>
        </is>
      </c>
      <c r="G7149" s="0" t="s">
        <v>171</v>
      </c>
      <c r="H7149" s="5">
        <v>295.529100</v>
      </c>
    </row>
    <row r="7150" spans="1:9">
      <c r="A7150" s="22" t="str">
        <f>HYPERLINK("https://app.vivvix.com/360/KMI/IntelliDrive/ApplUI/Pages/CreativePages/CustomReportCreativeDetail.aspx?App=23&amp;ReportView=4&amp;Qid=1711279&amp;Row=7142&amp;Col=1","No Title Assigned - #15270285159")</f>
        <v/>
      </c>
      <c r="B7150" s="0" t="s">
        <v>9478</v>
      </c>
      <c r="E7150" s="0" t="inlineStr">
        <is>
          <t xml:space="preserve">Mazda</t>
        </is>
      </c>
      <c r="F7150" s="0" t="inlineStr">
        <is>
          <t xml:space="preserve">Mazda</t>
        </is>
      </c>
      <c r="G7150" s="0" t="s">
        <v>171</v>
      </c>
      <c r="H7150" s="5">
        <v>1662.877900</v>
      </c>
    </row>
    <row r="7151" spans="1:9">
      <c r="A7151" s="22" t="str">
        <f>HYPERLINK("https://app.vivvix.com/360/KMI/IntelliDrive/ApplUI/Pages/CreativePages/CustomReportCreativeDetail.aspx?App=23&amp;ReportView=4&amp;Qid=1711279&amp;Row=7143&amp;Col=1","No Title Assigned - #15270285689")</f>
        <v/>
      </c>
      <c r="B7151" s="0" t="s">
        <v>9479</v>
      </c>
      <c r="E7151" s="0" t="inlineStr">
        <is>
          <t xml:space="preserve">Mazda</t>
        </is>
      </c>
      <c r="F7151" s="0" t="inlineStr">
        <is>
          <t xml:space="preserve">Mazda</t>
        </is>
      </c>
      <c r="G7151" s="0" t="s">
        <v>171</v>
      </c>
      <c r="H7151" s="5">
        <v>295.529100</v>
      </c>
    </row>
    <row r="7152" spans="1:9">
      <c r="A7152" s="22" t="str">
        <f>HYPERLINK("https://app.vivvix.com/360/KMI/IntelliDrive/ApplUI/Pages/CreativePages/CustomReportCreativeDetail.aspx?App=23&amp;ReportView=4&amp;Qid=1711279&amp;Row=7144&amp;Col=1","No Title Assigned - #15270285832")</f>
        <v/>
      </c>
      <c r="B7152" s="0" t="s">
        <v>9480</v>
      </c>
      <c r="E7152" s="0" t="inlineStr">
        <is>
          <t xml:space="preserve">Mazda</t>
        </is>
      </c>
      <c r="F7152" s="0" t="inlineStr">
        <is>
          <t xml:space="preserve">Mazda</t>
        </is>
      </c>
      <c r="G7152" s="0" t="s">
        <v>171</v>
      </c>
      <c r="H7152" s="5">
        <v>35.502600</v>
      </c>
    </row>
    <row r="7153" spans="1:9">
      <c r="A7153" s="22" t="str">
        <f>HYPERLINK("https://app.vivvix.com/360/KMI/IntelliDrive/ApplUI/Pages/CreativePages/CustomReportCreativeDetail.aspx?App=23&amp;ReportView=4&amp;Qid=1711279&amp;Row=7145&amp;Col=1","No Title Assigned - #15270286535")</f>
        <v/>
      </c>
      <c r="B7153" s="0" t="s">
        <v>9481</v>
      </c>
      <c r="C7153" s="0" t="s">
        <v>9482</v>
      </c>
      <c r="D7153" s="0" t="s">
        <v>9482</v>
      </c>
      <c r="E7153" s="0" t="inlineStr">
        <is>
          <t xml:space="preserve">Mazda</t>
        </is>
      </c>
      <c r="F7153" s="0" t="inlineStr">
        <is>
          <t xml:space="preserve">Mazda</t>
        </is>
      </c>
      <c r="G7153" s="0" t="s">
        <v>171</v>
      </c>
      <c r="H7153" s="5">
        <v>740.043600</v>
      </c>
    </row>
    <row r="7154" spans="1:9">
      <c r="A7154" s="22" t="str">
        <f>HYPERLINK("https://app.vivvix.com/360/KMI/IntelliDrive/ApplUI/Pages/CreativePages/CustomReportCreativeDetail.aspx?App=23&amp;ReportView=4&amp;Qid=1711279&amp;Row=7146&amp;Col=1","No Title Assigned - #15270287085")</f>
        <v/>
      </c>
      <c r="B7154" s="0" t="s">
        <v>9483</v>
      </c>
      <c r="E7154" s="0" t="inlineStr">
        <is>
          <t xml:space="preserve">Mazda</t>
        </is>
      </c>
      <c r="F7154" s="0" t="inlineStr">
        <is>
          <t xml:space="preserve">Mazda</t>
        </is>
      </c>
      <c r="G7154" s="0" t="s">
        <v>171</v>
      </c>
      <c r="H7154" s="5">
        <v>5.384700</v>
      </c>
    </row>
    <row r="7155" spans="1:9">
      <c r="A7155" s="22" t="str">
        <f>HYPERLINK("https://app.vivvix.com/360/KMI/IntelliDrive/ApplUI/Pages/CreativePages/CustomReportCreativeDetail.aspx?App=23&amp;ReportView=4&amp;Qid=1711279&amp;Row=7147&amp;Col=1","No Title Assigned - #15270287085")</f>
        <v/>
      </c>
      <c r="B7155" s="0" t="s">
        <v>9483</v>
      </c>
      <c r="E7155" s="0" t="inlineStr">
        <is>
          <t xml:space="preserve">Mazda</t>
        </is>
      </c>
      <c r="F7155" s="0" t="inlineStr">
        <is>
          <t xml:space="preserve">Mazda</t>
        </is>
      </c>
      <c r="G7155" s="0" t="s">
        <v>171</v>
      </c>
      <c r="H7155" s="5">
        <v>5353.453200</v>
      </c>
    </row>
    <row r="7156" spans="1:9">
      <c r="A7156" s="22" t="str">
        <f>HYPERLINK("https://app.vivvix.com/360/KMI/IntelliDrive/ApplUI/Pages/CreativePages/CustomReportCreativeDetail.aspx?App=23&amp;ReportView=4&amp;Qid=1711279&amp;Row=7148&amp;Col=1","No Title Assigned - #15270287209")</f>
        <v/>
      </c>
      <c r="B7156" s="0" t="s">
        <v>9484</v>
      </c>
      <c r="E7156" s="0" t="inlineStr">
        <is>
          <t xml:space="preserve">Mazda</t>
        </is>
      </c>
      <c r="F7156" s="0" t="inlineStr">
        <is>
          <t xml:space="preserve">Mazda</t>
        </is>
      </c>
      <c r="G7156" s="0" t="s">
        <v>171</v>
      </c>
      <c r="H7156" s="5">
        <v>192.909200</v>
      </c>
    </row>
    <row r="7157" spans="1:9">
      <c r="A7157" s="22" t="str">
        <f>HYPERLINK("https://app.vivvix.com/360/KMI/IntelliDrive/ApplUI/Pages/CreativePages/CustomReportCreativeDetail.aspx?App=23&amp;ReportView=4&amp;Qid=1711279&amp;Row=7149&amp;Col=1","No Title Assigned - #15270287283")</f>
        <v/>
      </c>
      <c r="B7157" s="0" t="s">
        <v>9485</v>
      </c>
      <c r="E7157" s="0" t="inlineStr">
        <is>
          <t xml:space="preserve">Mazda</t>
        </is>
      </c>
      <c r="F7157" s="0" t="inlineStr">
        <is>
          <t xml:space="preserve">Mazda</t>
        </is>
      </c>
      <c r="G7157" s="0" t="s">
        <v>171</v>
      </c>
      <c r="H7157" s="5">
        <v>1466.959500</v>
      </c>
    </row>
    <row r="7158" spans="1:9">
      <c r="A7158" s="22" t="str">
        <f>HYPERLINK("https://app.vivvix.com/360/KMI/IntelliDrive/ApplUI/Pages/CreativePages/CustomReportCreativeDetail.aspx?App=23&amp;ReportView=4&amp;Qid=1711279&amp;Row=7150&amp;Col=1","No Title Assigned - #15270287295")</f>
        <v/>
      </c>
      <c r="B7158" s="0" t="s">
        <v>9486</v>
      </c>
      <c r="E7158" s="0" t="inlineStr">
        <is>
          <t xml:space="preserve">Mazda</t>
        </is>
      </c>
      <c r="F7158" s="0" t="inlineStr">
        <is>
          <t xml:space="preserve">Mazda</t>
        </is>
      </c>
      <c r="G7158" s="0" t="s">
        <v>171</v>
      </c>
      <c r="H7158" s="5">
        <v>30.089900</v>
      </c>
    </row>
    <row r="7159" spans="1:9">
      <c r="A7159" s="22" t="str">
        <f>HYPERLINK("https://app.vivvix.com/360/KMI/IntelliDrive/ApplUI/Pages/CreativePages/CustomReportCreativeDetail.aspx?App=23&amp;ReportView=4&amp;Qid=1711279&amp;Row=7151&amp;Col=1","No Title Assigned - #15270287873")</f>
        <v/>
      </c>
      <c r="B7159" s="0" t="s">
        <v>9487</v>
      </c>
      <c r="E7159" s="0" t="inlineStr">
        <is>
          <t xml:space="preserve">Mazda</t>
        </is>
      </c>
      <c r="F7159" s="0" t="inlineStr">
        <is>
          <t xml:space="preserve">Mazda</t>
        </is>
      </c>
      <c r="G7159" s="0" t="s">
        <v>171</v>
      </c>
      <c r="H7159" s="5">
        <v>61.086000</v>
      </c>
    </row>
    <row r="7160" spans="1:9">
      <c r="A7160" s="22" t="str">
        <f>HYPERLINK("https://app.vivvix.com/360/KMI/IntelliDrive/ApplUI/Pages/CreativePages/CustomReportCreativeDetail.aspx?App=23&amp;ReportView=4&amp;Qid=1711279&amp;Row=7152&amp;Col=1","No Title Assigned - #15270288399")</f>
        <v/>
      </c>
      <c r="B7160" s="0" t="s">
        <v>9488</v>
      </c>
      <c r="E7160" s="0" t="inlineStr">
        <is>
          <t xml:space="preserve">Mazda</t>
        </is>
      </c>
      <c r="F7160" s="0" t="inlineStr">
        <is>
          <t xml:space="preserve">Mazda</t>
        </is>
      </c>
      <c r="G7160" s="0" t="s">
        <v>171</v>
      </c>
      <c r="H7160" s="5">
        <v>44.996700</v>
      </c>
    </row>
    <row r="7161" spans="1:9">
      <c r="A7161" s="22" t="str">
        <f>HYPERLINK("https://app.vivvix.com/360/KMI/IntelliDrive/ApplUI/Pages/CreativePages/CustomReportCreativeDetail.aspx?App=23&amp;ReportView=4&amp;Qid=1711279&amp;Row=7153&amp;Col=1","No Title Assigned - #15270289023")</f>
        <v/>
      </c>
      <c r="B7161" s="0" t="s">
        <v>9489</v>
      </c>
      <c r="E7161" s="0" t="inlineStr">
        <is>
          <t xml:space="preserve">Mazda</t>
        </is>
      </c>
      <c r="F7161" s="0" t="inlineStr">
        <is>
          <t xml:space="preserve">Mazda</t>
        </is>
      </c>
      <c r="G7161" s="0" t="s">
        <v>171</v>
      </c>
      <c r="H7161" s="5">
        <v>1561.040100</v>
      </c>
    </row>
    <row r="7162" spans="1:9">
      <c r="A7162" s="22" t="str">
        <f>HYPERLINK("https://app.vivvix.com/360/KMI/IntelliDrive/ApplUI/Pages/CreativePages/CustomReportCreativeDetail.aspx?App=23&amp;ReportView=4&amp;Qid=1711279&amp;Row=7154&amp;Col=1","No Title Assigned - #15270290316")</f>
        <v/>
      </c>
      <c r="B7162" s="0" t="s">
        <v>9490</v>
      </c>
      <c r="E7162" s="0" t="inlineStr">
        <is>
          <t xml:space="preserve">Mazda</t>
        </is>
      </c>
      <c r="F7162" s="0" t="inlineStr">
        <is>
          <t xml:space="preserve">Mazda</t>
        </is>
      </c>
      <c r="G7162" s="0" t="s">
        <v>171</v>
      </c>
      <c r="H7162" s="5">
        <v>38.985500</v>
      </c>
    </row>
    <row r="7163" spans="1:9">
      <c r="A7163" s="22" t="str">
        <f>HYPERLINK("https://app.vivvix.com/360/KMI/IntelliDrive/ApplUI/Pages/CreativePages/CustomReportCreativeDetail.aspx?App=23&amp;ReportView=4&amp;Qid=1711279&amp;Row=7155&amp;Col=1","No Title Assigned - #15270290474")</f>
        <v/>
      </c>
      <c r="B7163" s="0" t="s">
        <v>9491</v>
      </c>
      <c r="E7163" s="0" t="inlineStr">
        <is>
          <t xml:space="preserve">Mazda</t>
        </is>
      </c>
      <c r="F7163" s="0" t="inlineStr">
        <is>
          <t xml:space="preserve">Mazda</t>
        </is>
      </c>
      <c r="G7163" s="0" t="s">
        <v>171</v>
      </c>
      <c r="H7163" s="5">
        <v>83.803400</v>
      </c>
    </row>
    <row r="7164" spans="1:9">
      <c r="A7164" s="22" t="str">
        <f>HYPERLINK("https://app.vivvix.com/360/KMI/IntelliDrive/ApplUI/Pages/CreativePages/CustomReportCreativeDetail.aspx?App=23&amp;ReportView=4&amp;Qid=1711279&amp;Row=7156&amp;Col=1","No Title Assigned - #15270291444")</f>
        <v/>
      </c>
      <c r="B7164" s="0" t="s">
        <v>9492</v>
      </c>
      <c r="E7164" s="0" t="inlineStr">
        <is>
          <t xml:space="preserve">Mazda</t>
        </is>
      </c>
      <c r="F7164" s="0" t="inlineStr">
        <is>
          <t xml:space="preserve">Mazda</t>
        </is>
      </c>
      <c r="G7164" s="0" t="s">
        <v>171</v>
      </c>
      <c r="H7164" s="5">
        <v>6562.562100</v>
      </c>
    </row>
    <row r="7165" spans="1:9">
      <c r="A7165" s="22" t="str">
        <f>HYPERLINK("https://app.vivvix.com/360/KMI/IntelliDrive/ApplUI/Pages/CreativePages/CustomReportCreativeDetail.aspx?App=23&amp;ReportView=4&amp;Qid=1711279&amp;Row=7157&amp;Col=1","No Title Assigned - #15270291444")</f>
        <v/>
      </c>
      <c r="B7165" s="0" t="s">
        <v>9492</v>
      </c>
      <c r="E7165" s="0" t="inlineStr">
        <is>
          <t xml:space="preserve">Mazda</t>
        </is>
      </c>
      <c r="F7165" s="0" t="inlineStr">
        <is>
          <t xml:space="preserve">Mazda</t>
        </is>
      </c>
      <c r="G7165" s="0" t="s">
        <v>171</v>
      </c>
      <c r="H7165" s="5">
        <v>4070.631700</v>
      </c>
    </row>
    <row r="7166" spans="1:9">
      <c r="A7166" s="22" t="str">
        <f>HYPERLINK("https://app.vivvix.com/360/KMI/IntelliDrive/ApplUI/Pages/CreativePages/CustomReportCreativeDetail.aspx?App=23&amp;ReportView=4&amp;Qid=1711279&amp;Row=7158&amp;Col=1","No Title Assigned - #15270291476")</f>
        <v/>
      </c>
      <c r="B7166" s="0" t="s">
        <v>9493</v>
      </c>
      <c r="E7166" s="0" t="inlineStr">
        <is>
          <t xml:space="preserve">Mazda</t>
        </is>
      </c>
      <c r="F7166" s="0" t="inlineStr">
        <is>
          <t xml:space="preserve">Mazda</t>
        </is>
      </c>
      <c r="G7166" s="0" t="s">
        <v>171</v>
      </c>
      <c r="H7166" s="5">
        <v>61.086000</v>
      </c>
    </row>
    <row r="7167" spans="1:9">
      <c r="A7167" s="22" t="str">
        <f>HYPERLINK("https://app.vivvix.com/360/KMI/IntelliDrive/ApplUI/Pages/CreativePages/CustomReportCreativeDetail.aspx?App=23&amp;ReportView=4&amp;Qid=1711279&amp;Row=7159&amp;Col=1","No Title Assigned - #15270291572")</f>
        <v/>
      </c>
      <c r="B7167" s="0" t="s">
        <v>9494</v>
      </c>
      <c r="E7167" s="0" t="inlineStr">
        <is>
          <t xml:space="preserve">Mazda</t>
        </is>
      </c>
      <c r="F7167" s="0" t="inlineStr">
        <is>
          <t xml:space="preserve">Mazda</t>
        </is>
      </c>
      <c r="G7167" s="0" t="s">
        <v>171</v>
      </c>
      <c r="H7167" s="5">
        <v>432.930600</v>
      </c>
    </row>
    <row r="7168" spans="1:9">
      <c r="A7168" s="22" t="str">
        <f>HYPERLINK("https://app.vivvix.com/360/KMI/IntelliDrive/ApplUI/Pages/CreativePages/CustomReportCreativeDetail.aspx?App=23&amp;ReportView=4&amp;Qid=1711279&amp;Row=7160&amp;Col=1","No Title Assigned - #15270292404")</f>
        <v/>
      </c>
      <c r="B7168" s="0" t="s">
        <v>9495</v>
      </c>
      <c r="E7168" s="0" t="inlineStr">
        <is>
          <t xml:space="preserve">Mazda</t>
        </is>
      </c>
      <c r="F7168" s="0" t="inlineStr">
        <is>
          <t xml:space="preserve">Mazda</t>
        </is>
      </c>
      <c r="G7168" s="0" t="s">
        <v>171</v>
      </c>
      <c r="H7168" s="5">
        <v>39.927000</v>
      </c>
    </row>
    <row r="7169" spans="1:9">
      <c r="A7169" s="22" t="str">
        <f>HYPERLINK("https://app.vivvix.com/360/KMI/IntelliDrive/ApplUI/Pages/CreativePages/CustomReportCreativeDetail.aspx?App=23&amp;ReportView=4&amp;Qid=1711279&amp;Row=7161&amp;Col=1","No Title Assigned - #15270292464")</f>
        <v/>
      </c>
      <c r="B7169" s="0" t="s">
        <v>9496</v>
      </c>
      <c r="E7169" s="0" t="inlineStr">
        <is>
          <t xml:space="preserve">Mazda</t>
        </is>
      </c>
      <c r="F7169" s="0" t="inlineStr">
        <is>
          <t xml:space="preserve">Mazda</t>
        </is>
      </c>
      <c r="G7169" s="0" t="s">
        <v>171</v>
      </c>
      <c r="H7169" s="5">
        <v>63.719600</v>
      </c>
    </row>
    <row r="7170" spans="1:9">
      <c r="A7170" s="22" t="str">
        <f>HYPERLINK("https://app.vivvix.com/360/KMI/IntelliDrive/ApplUI/Pages/CreativePages/CustomReportCreativeDetail.aspx?App=23&amp;ReportView=4&amp;Qid=1711279&amp;Row=7162&amp;Col=1","No Title Assigned - #15270292544")</f>
        <v/>
      </c>
      <c r="B7170" s="0" t="s">
        <v>9497</v>
      </c>
      <c r="E7170" s="0" t="inlineStr">
        <is>
          <t xml:space="preserve">Mazda</t>
        </is>
      </c>
      <c r="F7170" s="0" t="inlineStr">
        <is>
          <t xml:space="preserve">Mazda</t>
        </is>
      </c>
      <c r="G7170" s="0" t="s">
        <v>171</v>
      </c>
      <c r="H7170" s="5">
        <v>100.852400</v>
      </c>
    </row>
    <row r="7171" spans="1:9">
      <c r="A7171" s="22" t="str">
        <f>HYPERLINK("https://app.vivvix.com/360/KMI/IntelliDrive/ApplUI/Pages/CreativePages/CustomReportCreativeDetail.aspx?App=23&amp;ReportView=4&amp;Qid=1711279&amp;Row=7163&amp;Col=1","No Title Assigned - #15270293784")</f>
        <v/>
      </c>
      <c r="B7171" s="0" t="s">
        <v>9498</v>
      </c>
      <c r="C7171" s="0" t="s">
        <v>9499</v>
      </c>
      <c r="D7171" s="0" t="s">
        <v>9499</v>
      </c>
      <c r="E7171" s="0" t="inlineStr">
        <is>
          <t xml:space="preserve">Mazda</t>
        </is>
      </c>
      <c r="F7171" s="0" t="inlineStr">
        <is>
          <t xml:space="preserve">Mazda</t>
        </is>
      </c>
      <c r="G7171" s="0" t="s">
        <v>171</v>
      </c>
      <c r="H7171" s="5">
        <v>1807.163400</v>
      </c>
    </row>
    <row r="7172" spans="1:9">
      <c r="A7172" s="22" t="str">
        <f>HYPERLINK("https://app.vivvix.com/360/KMI/IntelliDrive/ApplUI/Pages/CreativePages/CustomReportCreativeDetail.aspx?App=23&amp;ReportView=4&amp;Qid=1711279&amp;Row=7164&amp;Col=1","No Title Assigned - #15270293784")</f>
        <v/>
      </c>
      <c r="B7172" s="0" t="s">
        <v>9498</v>
      </c>
      <c r="E7172" s="0" t="inlineStr">
        <is>
          <t xml:space="preserve">Mazda</t>
        </is>
      </c>
      <c r="F7172" s="0" t="inlineStr">
        <is>
          <t xml:space="preserve">Mazda</t>
        </is>
      </c>
      <c r="G7172" s="0" t="s">
        <v>171</v>
      </c>
      <c r="H7172" s="5">
        <v>274.188100</v>
      </c>
    </row>
    <row r="7173" spans="1:9">
      <c r="A7173" s="22" t="str">
        <f>HYPERLINK("https://app.vivvix.com/360/KMI/IntelliDrive/ApplUI/Pages/CreativePages/CustomReportCreativeDetail.aspx?App=23&amp;ReportView=4&amp;Qid=1711279&amp;Row=7165&amp;Col=1","No Title Assigned - #15270294302")</f>
        <v/>
      </c>
      <c r="B7173" s="0" t="s">
        <v>9500</v>
      </c>
      <c r="E7173" s="0" t="inlineStr">
        <is>
          <t xml:space="preserve">Mazda</t>
        </is>
      </c>
      <c r="F7173" s="0" t="inlineStr">
        <is>
          <t xml:space="preserve">Mazda</t>
        </is>
      </c>
      <c r="G7173" s="0" t="s">
        <v>171</v>
      </c>
      <c r="H7173" s="5">
        <v>121.180800</v>
      </c>
    </row>
    <row r="7174" spans="1:9">
      <c r="A7174" s="22" t="str">
        <f>HYPERLINK("https://app.vivvix.com/360/KMI/IntelliDrive/ApplUI/Pages/CreativePages/CustomReportCreativeDetail.aspx?App=23&amp;ReportView=4&amp;Qid=1711279&amp;Row=7166&amp;Col=1","No Title Assigned - #15270295688")</f>
        <v/>
      </c>
      <c r="B7174" s="0" t="s">
        <v>9501</v>
      </c>
      <c r="E7174" s="0" t="inlineStr">
        <is>
          <t xml:space="preserve">Mazda</t>
        </is>
      </c>
      <c r="F7174" s="0" t="inlineStr">
        <is>
          <t xml:space="preserve">Mazda</t>
        </is>
      </c>
      <c r="G7174" s="0" t="s">
        <v>171</v>
      </c>
      <c r="H7174" s="5">
        <v>65.407900</v>
      </c>
    </row>
    <row r="7175" spans="1:9">
      <c r="A7175" s="22" t="str">
        <f>HYPERLINK("https://app.vivvix.com/360/KMI/IntelliDrive/ApplUI/Pages/CreativePages/CustomReportCreativeDetail.aspx?App=23&amp;ReportView=4&amp;Qid=1711279&amp;Row=7167&amp;Col=1","No Title Assigned - #15270295788")</f>
        <v/>
      </c>
      <c r="B7175" s="0" t="s">
        <v>9502</v>
      </c>
      <c r="E7175" s="0" t="inlineStr">
        <is>
          <t xml:space="preserve">Mazda</t>
        </is>
      </c>
      <c r="F7175" s="0" t="inlineStr">
        <is>
          <t xml:space="preserve">Mazda</t>
        </is>
      </c>
      <c r="G7175" s="0" t="s">
        <v>171</v>
      </c>
      <c r="H7175" s="5">
        <v>28.272600</v>
      </c>
    </row>
    <row r="7176" spans="1:9">
      <c r="A7176" s="22" t="str">
        <f>HYPERLINK("https://app.vivvix.com/360/KMI/IntelliDrive/ApplUI/Pages/CreativePages/CustomReportCreativeDetail.aspx?App=23&amp;ReportView=4&amp;Qid=1711279&amp;Row=7168&amp;Col=1","No Title Assigned - #15270296270")</f>
        <v/>
      </c>
      <c r="B7176" s="0" t="s">
        <v>9503</v>
      </c>
      <c r="C7176" s="0" t="s">
        <v>9504</v>
      </c>
      <c r="D7176" s="0" t="s">
        <v>9504</v>
      </c>
      <c r="E7176" s="0" t="inlineStr">
        <is>
          <t xml:space="preserve">Mazda</t>
        </is>
      </c>
      <c r="F7176" s="0" t="inlineStr">
        <is>
          <t xml:space="preserve">Mazda</t>
        </is>
      </c>
      <c r="G7176" s="0" t="s">
        <v>171</v>
      </c>
      <c r="H7176" s="5">
        <v>347.488300</v>
      </c>
    </row>
    <row r="7177" spans="1:9">
      <c r="A7177" s="22" t="str">
        <f>HYPERLINK("https://app.vivvix.com/360/KMI/IntelliDrive/ApplUI/Pages/CreativePages/CustomReportCreativeDetail.aspx?App=23&amp;ReportView=4&amp;Qid=1711279&amp;Row=7169&amp;Col=1","No Title Assigned - #15270296822")</f>
        <v/>
      </c>
      <c r="B7177" s="0" t="s">
        <v>9505</v>
      </c>
      <c r="E7177" s="0" t="inlineStr">
        <is>
          <t xml:space="preserve">Mazda</t>
        </is>
      </c>
      <c r="F7177" s="0" t="inlineStr">
        <is>
          <t xml:space="preserve">Mazda</t>
        </is>
      </c>
      <c r="G7177" s="0" t="s">
        <v>171</v>
      </c>
      <c r="H7177" s="5">
        <v>17.343800</v>
      </c>
    </row>
    <row r="7178" spans="1:9">
      <c r="A7178" s="22" t="str">
        <f>HYPERLINK("https://app.vivvix.com/360/KMI/IntelliDrive/ApplUI/Pages/CreativePages/CustomReportCreativeDetail.aspx?App=23&amp;ReportView=4&amp;Qid=1711279&amp;Row=7170&amp;Col=1","No Title Assigned - #15270296823")</f>
        <v/>
      </c>
      <c r="B7178" s="0" t="s">
        <v>9506</v>
      </c>
      <c r="E7178" s="0" t="inlineStr">
        <is>
          <t xml:space="preserve">Mazda</t>
        </is>
      </c>
      <c r="F7178" s="0" t="inlineStr">
        <is>
          <t xml:space="preserve">Mazda</t>
        </is>
      </c>
      <c r="G7178" s="0" t="s">
        <v>171</v>
      </c>
      <c r="H7178" s="5">
        <v>17.343800</v>
      </c>
    </row>
    <row r="7179" spans="1:9">
      <c r="A7179" s="22" t="str">
        <f>HYPERLINK("https://app.vivvix.com/360/KMI/IntelliDrive/ApplUI/Pages/CreativePages/CustomReportCreativeDetail.aspx?App=23&amp;ReportView=4&amp;Qid=1711279&amp;Row=7171&amp;Col=1","No Title Assigned - #15270297029")</f>
        <v/>
      </c>
      <c r="B7179" s="0" t="s">
        <v>9507</v>
      </c>
      <c r="E7179" s="0" t="inlineStr">
        <is>
          <t xml:space="preserve">Mazda</t>
        </is>
      </c>
      <c r="F7179" s="0" t="inlineStr">
        <is>
          <t xml:space="preserve">Mazda</t>
        </is>
      </c>
      <c r="G7179" s="0" t="s">
        <v>171</v>
      </c>
      <c r="H7179" s="5">
        <v>49.289400</v>
      </c>
    </row>
    <row r="7180" spans="1:9">
      <c r="A7180" s="22" t="str">
        <f>HYPERLINK("https://app.vivvix.com/360/KMI/IntelliDrive/ApplUI/Pages/CreativePages/CustomReportCreativeDetail.aspx?App=23&amp;ReportView=4&amp;Qid=1711279&amp;Row=7172&amp;Col=1","No Title Assigned - #15270297201")</f>
        <v/>
      </c>
      <c r="B7180" s="0" t="s">
        <v>9508</v>
      </c>
      <c r="E7180" s="0" t="inlineStr">
        <is>
          <t xml:space="preserve">Mazda</t>
        </is>
      </c>
      <c r="F7180" s="0" t="inlineStr">
        <is>
          <t xml:space="preserve">Mazda</t>
        </is>
      </c>
      <c r="G7180" s="0" t="s">
        <v>171</v>
      </c>
      <c r="H7180" s="5">
        <v>81.350600</v>
      </c>
    </row>
    <row r="7181" spans="1:9">
      <c r="A7181" s="22" t="str">
        <f>HYPERLINK("https://app.vivvix.com/360/KMI/IntelliDrive/ApplUI/Pages/CreativePages/CustomReportCreativeDetail.aspx?App=23&amp;ReportView=4&amp;Qid=1711279&amp;Row=7173&amp;Col=1","No Title Assigned - #15270297256")</f>
        <v/>
      </c>
      <c r="B7181" s="0" t="s">
        <v>9509</v>
      </c>
      <c r="E7181" s="0" t="inlineStr">
        <is>
          <t xml:space="preserve">Mazda</t>
        </is>
      </c>
      <c r="F7181" s="0" t="inlineStr">
        <is>
          <t xml:space="preserve">Mazda</t>
        </is>
      </c>
      <c r="G7181" s="0" t="s">
        <v>171</v>
      </c>
      <c r="H7181" s="5">
        <v>159.804500</v>
      </c>
    </row>
    <row r="7182" spans="1:9">
      <c r="A7182" s="22" t="str">
        <f>HYPERLINK("https://app.vivvix.com/360/KMI/IntelliDrive/ApplUI/Pages/CreativePages/CustomReportCreativeDetail.aspx?App=23&amp;ReportView=4&amp;Qid=1711279&amp;Row=7174&amp;Col=1","No Title Assigned - #15270298231")</f>
        <v/>
      </c>
      <c r="B7182" s="0" t="s">
        <v>9510</v>
      </c>
      <c r="E7182" s="0" t="inlineStr">
        <is>
          <t xml:space="preserve">Mazda</t>
        </is>
      </c>
      <c r="F7182" s="0" t="inlineStr">
        <is>
          <t xml:space="preserve">Mazda</t>
        </is>
      </c>
      <c r="G7182" s="0" t="s">
        <v>171</v>
      </c>
      <c r="H7182" s="5">
        <v>152.377800</v>
      </c>
    </row>
    <row r="7183" spans="1:9">
      <c r="A7183" s="22" t="str">
        <f>HYPERLINK("https://app.vivvix.com/360/KMI/IntelliDrive/ApplUI/Pages/CreativePages/CustomReportCreativeDetail.aspx?App=23&amp;ReportView=4&amp;Qid=1711279&amp;Row=7175&amp;Col=1","No Title Assigned - #15270298232")</f>
        <v/>
      </c>
      <c r="B7183" s="0" t="s">
        <v>9511</v>
      </c>
      <c r="E7183" s="0" t="inlineStr">
        <is>
          <t xml:space="preserve">Mazda</t>
        </is>
      </c>
      <c r="F7183" s="0" t="inlineStr">
        <is>
          <t xml:space="preserve">Mazda</t>
        </is>
      </c>
      <c r="G7183" s="0" t="s">
        <v>171</v>
      </c>
      <c r="H7183" s="5">
        <v>152.377800</v>
      </c>
    </row>
    <row r="7184" spans="1:9">
      <c r="A7184" s="22" t="str">
        <f>HYPERLINK("https://app.vivvix.com/360/KMI/IntelliDrive/ApplUI/Pages/CreativePages/CustomReportCreativeDetail.aspx?App=23&amp;ReportView=4&amp;Qid=1711279&amp;Row=7176&amp;Col=1","No Title Assigned - #15270298743")</f>
        <v/>
      </c>
      <c r="B7184" s="0" t="s">
        <v>9512</v>
      </c>
      <c r="E7184" s="0" t="inlineStr">
        <is>
          <t xml:space="preserve">Mazda</t>
        </is>
      </c>
      <c r="F7184" s="0" t="inlineStr">
        <is>
          <t xml:space="preserve">Mazda</t>
        </is>
      </c>
      <c r="G7184" s="0" t="s">
        <v>171</v>
      </c>
      <c r="H7184" s="5">
        <v>394.026500</v>
      </c>
    </row>
    <row r="7185" spans="1:9">
      <c r="A7185" s="22" t="str">
        <f>HYPERLINK("https://app.vivvix.com/360/KMI/IntelliDrive/ApplUI/Pages/CreativePages/CustomReportCreativeDetail.aspx?App=23&amp;ReportView=4&amp;Qid=1711279&amp;Row=7177&amp;Col=1","No Title Assigned - #15270299381")</f>
        <v/>
      </c>
      <c r="B7185" s="0" t="s">
        <v>9513</v>
      </c>
      <c r="E7185" s="0" t="inlineStr">
        <is>
          <t xml:space="preserve">Mazda</t>
        </is>
      </c>
      <c r="F7185" s="0" t="inlineStr">
        <is>
          <t xml:space="preserve">Mazda</t>
        </is>
      </c>
      <c r="G7185" s="0" t="s">
        <v>171</v>
      </c>
      <c r="H7185" s="5">
        <v>111.337700</v>
      </c>
    </row>
    <row r="7186" spans="1:9">
      <c r="A7186" s="22" t="str">
        <f>HYPERLINK("https://app.vivvix.com/360/KMI/IntelliDrive/ApplUI/Pages/CreativePages/CustomReportCreativeDetail.aspx?App=23&amp;ReportView=4&amp;Qid=1711279&amp;Row=7178&amp;Col=1","No Title Assigned - #15270299972")</f>
        <v/>
      </c>
      <c r="B7186" s="0" t="s">
        <v>9514</v>
      </c>
      <c r="E7186" s="0" t="inlineStr">
        <is>
          <t xml:space="preserve">Mazda</t>
        </is>
      </c>
      <c r="F7186" s="0" t="inlineStr">
        <is>
          <t xml:space="preserve">Mazda</t>
        </is>
      </c>
      <c r="G7186" s="0" t="s">
        <v>171</v>
      </c>
      <c r="H7186" s="5">
        <v>200.028900</v>
      </c>
    </row>
    <row r="7187" spans="1:9">
      <c r="A7187" s="22" t="str">
        <f>HYPERLINK("https://app.vivvix.com/360/KMI/IntelliDrive/ApplUI/Pages/CreativePages/CustomReportCreativeDetail.aspx?App=23&amp;ReportView=4&amp;Qid=1711279&amp;Row=7179&amp;Col=1","No Title Assigned - #15270300025")</f>
        <v/>
      </c>
      <c r="B7187" s="0" t="s">
        <v>9515</v>
      </c>
      <c r="E7187" s="0" t="inlineStr">
        <is>
          <t xml:space="preserve">Mazda</t>
        </is>
      </c>
      <c r="F7187" s="0" t="inlineStr">
        <is>
          <t xml:space="preserve">Mazda</t>
        </is>
      </c>
      <c r="G7187" s="0" t="s">
        <v>171</v>
      </c>
      <c r="H7187" s="5">
        <v>18.629300</v>
      </c>
    </row>
    <row r="7188" spans="1:9">
      <c r="A7188" s="22" t="str">
        <f>HYPERLINK("https://app.vivvix.com/360/KMI/IntelliDrive/ApplUI/Pages/CreativePages/CustomReportCreativeDetail.aspx?App=23&amp;ReportView=4&amp;Qid=1711279&amp;Row=7180&amp;Col=1","No Title Assigned - #15270300273")</f>
        <v/>
      </c>
      <c r="B7188" s="0" t="s">
        <v>9516</v>
      </c>
      <c r="E7188" s="0" t="inlineStr">
        <is>
          <t xml:space="preserve">Mazda</t>
        </is>
      </c>
      <c r="F7188" s="0" t="inlineStr">
        <is>
          <t xml:space="preserve">Mazda</t>
        </is>
      </c>
      <c r="G7188" s="0" t="s">
        <v>171</v>
      </c>
      <c r="H7188" s="5">
        <v>188.298800</v>
      </c>
    </row>
    <row r="7189" spans="1:9">
      <c r="A7189" s="22" t="str">
        <f>HYPERLINK("https://app.vivvix.com/360/KMI/IntelliDrive/ApplUI/Pages/CreativePages/CustomReportCreativeDetail.aspx?App=23&amp;ReportView=4&amp;Qid=1711279&amp;Row=7181&amp;Col=1","No Title Assigned - #15270300546")</f>
        <v/>
      </c>
      <c r="B7189" s="0" t="s">
        <v>9517</v>
      </c>
      <c r="E7189" s="0" t="inlineStr">
        <is>
          <t xml:space="preserve">Mazda</t>
        </is>
      </c>
      <c r="F7189" s="0" t="inlineStr">
        <is>
          <t xml:space="preserve">Mazda</t>
        </is>
      </c>
      <c r="G7189" s="0" t="s">
        <v>171</v>
      </c>
      <c r="H7189" s="5">
        <v>185.099100</v>
      </c>
    </row>
    <row r="7190" spans="1:9">
      <c r="A7190" s="22" t="str">
        <f>HYPERLINK("https://app.vivvix.com/360/KMI/IntelliDrive/ApplUI/Pages/CreativePages/CustomReportCreativeDetail.aspx?App=23&amp;ReportView=4&amp;Qid=1711279&amp;Row=7182&amp;Col=1","No Title Assigned - #15270300875")</f>
        <v/>
      </c>
      <c r="B7190" s="0" t="s">
        <v>9518</v>
      </c>
      <c r="E7190" s="0" t="inlineStr">
        <is>
          <t xml:space="preserve">Mazda</t>
        </is>
      </c>
      <c r="F7190" s="0" t="inlineStr">
        <is>
          <t xml:space="preserve">Mazda</t>
        </is>
      </c>
      <c r="G7190" s="0" t="s">
        <v>171</v>
      </c>
      <c r="H7190" s="5">
        <v>33.843100</v>
      </c>
    </row>
    <row r="7191" spans="1:9">
      <c r="A7191" s="22" t="str">
        <f>HYPERLINK("https://app.vivvix.com/360/KMI/IntelliDrive/ApplUI/Pages/CreativePages/CustomReportCreativeDetail.aspx?App=23&amp;ReportView=4&amp;Qid=1711279&amp;Row=7183&amp;Col=1","No Title Assigned - #15270301467")</f>
        <v/>
      </c>
      <c r="B7191" s="0" t="s">
        <v>9519</v>
      </c>
      <c r="E7191" s="0" t="inlineStr">
        <is>
          <t xml:space="preserve">Mazda</t>
        </is>
      </c>
      <c r="F7191" s="0" t="inlineStr">
        <is>
          <t xml:space="preserve">Mazda</t>
        </is>
      </c>
      <c r="G7191" s="0" t="s">
        <v>171</v>
      </c>
      <c r="H7191" s="5">
        <v>7.290100</v>
      </c>
    </row>
    <row r="7192" spans="1:9">
      <c r="A7192" s="22" t="str">
        <f>HYPERLINK("https://app.vivvix.com/360/KMI/IntelliDrive/ApplUI/Pages/CreativePages/CustomReportCreativeDetail.aspx?App=23&amp;ReportView=4&amp;Qid=1711279&amp;Row=7184&amp;Col=1","No Title Assigned - #15270301590")</f>
        <v/>
      </c>
      <c r="B7192" s="0" t="s">
        <v>9520</v>
      </c>
      <c r="E7192" s="0" t="inlineStr">
        <is>
          <t xml:space="preserve">Mazda</t>
        </is>
      </c>
      <c r="F7192" s="0" t="inlineStr">
        <is>
          <t xml:space="preserve">Mazda</t>
        </is>
      </c>
      <c r="G7192" s="0" t="s">
        <v>171</v>
      </c>
      <c r="H7192" s="5">
        <v>21.870300</v>
      </c>
    </row>
    <row r="7193" spans="1:9">
      <c r="A7193" s="22" t="str">
        <f>HYPERLINK("https://app.vivvix.com/360/KMI/IntelliDrive/ApplUI/Pages/CreativePages/CustomReportCreativeDetail.aspx?App=23&amp;ReportView=4&amp;Qid=1711279&amp;Row=7185&amp;Col=1","No Title Assigned - #15270302010")</f>
        <v/>
      </c>
      <c r="B7193" s="0" t="s">
        <v>9521</v>
      </c>
      <c r="E7193" s="0" t="inlineStr">
        <is>
          <t xml:space="preserve">Mazda</t>
        </is>
      </c>
      <c r="F7193" s="0" t="inlineStr">
        <is>
          <t xml:space="preserve">Mazda</t>
        </is>
      </c>
      <c r="G7193" s="0" t="s">
        <v>171</v>
      </c>
      <c r="H7193" s="5">
        <v>227.514500</v>
      </c>
    </row>
    <row r="7194" spans="1:9">
      <c r="A7194" s="22" t="str">
        <f>HYPERLINK("https://app.vivvix.com/360/KMI/IntelliDrive/ApplUI/Pages/CreativePages/CustomReportCreativeDetail.aspx?App=23&amp;ReportView=4&amp;Qid=1711279&amp;Row=7186&amp;Col=1","No Title Assigned - #15270304673")</f>
        <v/>
      </c>
      <c r="B7194" s="0" t="s">
        <v>9522</v>
      </c>
      <c r="E7194" s="0" t="inlineStr">
        <is>
          <t xml:space="preserve">Mazda</t>
        </is>
      </c>
      <c r="F7194" s="0" t="inlineStr">
        <is>
          <t xml:space="preserve">Mazda</t>
        </is>
      </c>
      <c r="G7194" s="0" t="s">
        <v>171</v>
      </c>
      <c r="H7194" s="5">
        <v>247.181300</v>
      </c>
    </row>
    <row r="7195" spans="1:9">
      <c r="A7195" s="22" t="str">
        <f>HYPERLINK("https://app.vivvix.com/360/KMI/IntelliDrive/ApplUI/Pages/CreativePages/CustomReportCreativeDetail.aspx?App=23&amp;ReportView=4&amp;Qid=1711279&amp;Row=7187&amp;Col=1","No Title Assigned - #15270304673")</f>
        <v/>
      </c>
      <c r="B7195" s="0" t="s">
        <v>9522</v>
      </c>
      <c r="E7195" s="0" t="inlineStr">
        <is>
          <t xml:space="preserve">Mazda</t>
        </is>
      </c>
      <c r="F7195" s="0" t="inlineStr">
        <is>
          <t xml:space="preserve">Mazda</t>
        </is>
      </c>
      <c r="G7195" s="0" t="s">
        <v>171</v>
      </c>
      <c r="H7195" s="5">
        <v>83.742000</v>
      </c>
    </row>
    <row r="7196" spans="1:9">
      <c r="A7196" s="22" t="str">
        <f>HYPERLINK("https://app.vivvix.com/360/KMI/IntelliDrive/ApplUI/Pages/CreativePages/CustomReportCreativeDetail.aspx?App=23&amp;ReportView=4&amp;Qid=1711279&amp;Row=7188&amp;Col=1","No Title Assigned - #15270314789")</f>
        <v/>
      </c>
      <c r="B7196" s="0" t="s">
        <v>9523</v>
      </c>
      <c r="E7196" s="0" t="inlineStr">
        <is>
          <t xml:space="preserve">Mazda</t>
        </is>
      </c>
      <c r="F7196" s="0" t="inlineStr">
        <is>
          <t xml:space="preserve">Mazda</t>
        </is>
      </c>
      <c r="G7196" s="0" t="s">
        <v>171</v>
      </c>
      <c r="H7196" s="5">
        <v>5.080700</v>
      </c>
    </row>
    <row r="7197" spans="1:9">
      <c r="A7197" s="22" t="str">
        <f>HYPERLINK("https://app.vivvix.com/360/KMI/IntelliDrive/ApplUI/Pages/CreativePages/CustomReportCreativeDetail.aspx?App=23&amp;ReportView=4&amp;Qid=1711279&amp;Row=7189&amp;Col=1","No Title Assigned - #15270315624")</f>
        <v/>
      </c>
      <c r="B7197" s="0" t="s">
        <v>9524</v>
      </c>
      <c r="E7197" s="0" t="inlineStr">
        <is>
          <t xml:space="preserve">Mazda</t>
        </is>
      </c>
      <c r="F7197" s="0" t="inlineStr">
        <is>
          <t xml:space="preserve">Mazda</t>
        </is>
      </c>
      <c r="G7197" s="0" t="s">
        <v>171</v>
      </c>
      <c r="H7197" s="5">
        <v>53.411500</v>
      </c>
    </row>
    <row r="7198" spans="1:9">
      <c r="A7198" s="22" t="str">
        <f>HYPERLINK("https://app.vivvix.com/360/KMI/IntelliDrive/ApplUI/Pages/CreativePages/CustomReportCreativeDetail.aspx?App=23&amp;ReportView=4&amp;Qid=1711279&amp;Row=7190&amp;Col=1","No Title Assigned - #15270317148")</f>
        <v/>
      </c>
      <c r="B7198" s="0" t="s">
        <v>9525</v>
      </c>
      <c r="E7198" s="0" t="inlineStr">
        <is>
          <t xml:space="preserve">Mazda</t>
        </is>
      </c>
      <c r="F7198" s="0" t="inlineStr">
        <is>
          <t xml:space="preserve">Mazda</t>
        </is>
      </c>
      <c r="G7198" s="0" t="s">
        <v>171</v>
      </c>
      <c r="H7198" s="5">
        <v>35.735600</v>
      </c>
    </row>
    <row r="7199" spans="1:9">
      <c r="A7199" s="22" t="str">
        <f>HYPERLINK("https://app.vivvix.com/360/KMI/IntelliDrive/ApplUI/Pages/CreativePages/CustomReportCreativeDetail.aspx?App=23&amp;ReportView=4&amp;Qid=1711279&amp;Row=7191&amp;Col=1","No Title Assigned - #15270317913")</f>
        <v/>
      </c>
      <c r="B7199" s="0" t="s">
        <v>9526</v>
      </c>
      <c r="E7199" s="0" t="inlineStr">
        <is>
          <t xml:space="preserve">Mazda</t>
        </is>
      </c>
      <c r="F7199" s="0" t="inlineStr">
        <is>
          <t xml:space="preserve">Mazda</t>
        </is>
      </c>
      <c r="G7199" s="0" t="s">
        <v>171</v>
      </c>
      <c r="H7199" s="5">
        <v>3.445700</v>
      </c>
    </row>
    <row r="7200" spans="1:9">
      <c r="A7200" s="22" t="str">
        <f>HYPERLINK("https://app.vivvix.com/360/KMI/IntelliDrive/ApplUI/Pages/CreativePages/CustomReportCreativeDetail.aspx?App=23&amp;ReportView=4&amp;Qid=1711279&amp;Row=7192&amp;Col=1","No Title Assigned - #15270319736")</f>
        <v/>
      </c>
      <c r="B7200" s="0" t="s">
        <v>9527</v>
      </c>
      <c r="E7200" s="0" t="inlineStr">
        <is>
          <t xml:space="preserve">Mazda</t>
        </is>
      </c>
      <c r="F7200" s="0" t="inlineStr">
        <is>
          <t xml:space="preserve">Mazda</t>
        </is>
      </c>
      <c r="G7200" s="0" t="s">
        <v>171</v>
      </c>
      <c r="H7200" s="5">
        <v>17.867800</v>
      </c>
    </row>
    <row r="7201" spans="1:9">
      <c r="A7201" s="22" t="str">
        <f>HYPERLINK("https://app.vivvix.com/360/KMI/IntelliDrive/ApplUI/Pages/CreativePages/CustomReportCreativeDetail.aspx?App=23&amp;ReportView=4&amp;Qid=1711279&amp;Row=7193&amp;Col=1","No Title Assigned - #15270326251")</f>
        <v/>
      </c>
      <c r="B7201" s="0" t="s">
        <v>9528</v>
      </c>
      <c r="C7201" s="0" t="s">
        <v>9529</v>
      </c>
      <c r="D7201" s="0" t="s">
        <v>9529</v>
      </c>
      <c r="E7201" s="0" t="inlineStr">
        <is>
          <t xml:space="preserve">Mazda</t>
        </is>
      </c>
      <c r="F7201" s="0" t="inlineStr">
        <is>
          <t xml:space="preserve">Mazda</t>
        </is>
      </c>
      <c r="G7201" s="0" t="s">
        <v>171</v>
      </c>
      <c r="H7201" s="5">
        <v>859.145100</v>
      </c>
    </row>
    <row r="7202" spans="1:9">
      <c r="A7202" s="22" t="str">
        <f>HYPERLINK("https://app.vivvix.com/360/KMI/IntelliDrive/ApplUI/Pages/CreativePages/CustomReportCreativeDetail.aspx?App=23&amp;ReportView=4&amp;Qid=1711279&amp;Row=7194&amp;Col=1","No Title Assigned - #15270326677")</f>
        <v/>
      </c>
      <c r="B7202" s="0" t="s">
        <v>9530</v>
      </c>
      <c r="E7202" s="0" t="inlineStr">
        <is>
          <t xml:space="preserve">Mazda</t>
        </is>
      </c>
      <c r="F7202" s="0" t="inlineStr">
        <is>
          <t xml:space="preserve">Mazda</t>
        </is>
      </c>
      <c r="G7202" s="0" t="s">
        <v>171</v>
      </c>
      <c r="H7202" s="5">
        <v>8716.205300</v>
      </c>
    </row>
    <row r="7203" spans="1:9">
      <c r="A7203" s="22" t="str">
        <f>HYPERLINK("https://app.vivvix.com/360/KMI/IntelliDrive/ApplUI/Pages/CreativePages/CustomReportCreativeDetail.aspx?App=23&amp;ReportView=4&amp;Qid=1711279&amp;Row=7195&amp;Col=1","No Title Assigned - #15270326677")</f>
        <v/>
      </c>
      <c r="B7203" s="0" t="s">
        <v>9530</v>
      </c>
      <c r="E7203" s="0" t="inlineStr">
        <is>
          <t xml:space="preserve">Mazda</t>
        </is>
      </c>
      <c r="F7203" s="0" t="inlineStr">
        <is>
          <t xml:space="preserve">Mazda</t>
        </is>
      </c>
      <c r="G7203" s="0" t="s">
        <v>171</v>
      </c>
      <c r="H7203" s="5">
        <v>38044.324200</v>
      </c>
    </row>
    <row r="7204" spans="1:9">
      <c r="A7204" s="22" t="str">
        <f>HYPERLINK("https://app.vivvix.com/360/KMI/IntelliDrive/ApplUI/Pages/CreativePages/CustomReportCreativeDetail.aspx?App=23&amp;ReportView=4&amp;Qid=1711279&amp;Row=7196&amp;Col=1","No Title Assigned - #15270326696")</f>
        <v/>
      </c>
      <c r="B7204" s="0" t="s">
        <v>9531</v>
      </c>
      <c r="E7204" s="0" t="inlineStr">
        <is>
          <t xml:space="preserve">Mazda</t>
        </is>
      </c>
      <c r="F7204" s="0" t="inlineStr">
        <is>
          <t xml:space="preserve">Mazda</t>
        </is>
      </c>
      <c r="G7204" s="0" t="s">
        <v>171</v>
      </c>
      <c r="H7204" s="5">
        <v>220.219200</v>
      </c>
    </row>
    <row r="7205" spans="1:9">
      <c r="A7205" s="22" t="str">
        <f>HYPERLINK("https://app.vivvix.com/360/KMI/IntelliDrive/ApplUI/Pages/CreativePages/CustomReportCreativeDetail.aspx?App=23&amp;ReportView=4&amp;Qid=1711279&amp;Row=7197&amp;Col=1","No Title Assigned - #15270327688")</f>
        <v/>
      </c>
      <c r="B7205" s="0" t="s">
        <v>9532</v>
      </c>
      <c r="E7205" s="0" t="inlineStr">
        <is>
          <t xml:space="preserve">Mazda</t>
        </is>
      </c>
      <c r="F7205" s="0" t="inlineStr">
        <is>
          <t xml:space="preserve">Mazda</t>
        </is>
      </c>
      <c r="G7205" s="0" t="s">
        <v>171</v>
      </c>
      <c r="H7205" s="5">
        <v>483.266200</v>
      </c>
    </row>
    <row r="7206" spans="1:9">
      <c r="A7206" s="22" t="str">
        <f>HYPERLINK("https://app.vivvix.com/360/KMI/IntelliDrive/ApplUI/Pages/CreativePages/CustomReportCreativeDetail.aspx?App=23&amp;ReportView=4&amp;Qid=1711279&amp;Row=7198&amp;Col=1","No Title Assigned - #15270328683")</f>
        <v/>
      </c>
      <c r="B7206" s="0" t="s">
        <v>9533</v>
      </c>
      <c r="E7206" s="0" t="inlineStr">
        <is>
          <t xml:space="preserve">Mazda</t>
        </is>
      </c>
      <c r="F7206" s="0" t="inlineStr">
        <is>
          <t xml:space="preserve">Mazda</t>
        </is>
      </c>
      <c r="G7206" s="0" t="s">
        <v>171</v>
      </c>
      <c r="H7206" s="5">
        <v>11.510200</v>
      </c>
    </row>
    <row r="7207" spans="1:9">
      <c r="A7207" s="22" t="str">
        <f>HYPERLINK("https://app.vivvix.com/360/KMI/IntelliDrive/ApplUI/Pages/CreativePages/CustomReportCreativeDetail.aspx?App=23&amp;ReportView=4&amp;Qid=1711279&amp;Row=7199&amp;Col=1","No Title Assigned - #15270329226")</f>
        <v/>
      </c>
      <c r="B7207" s="0" t="s">
        <v>9534</v>
      </c>
      <c r="C7207" s="0" t="s">
        <v>9535</v>
      </c>
      <c r="D7207" s="0" t="s">
        <v>9535</v>
      </c>
      <c r="E7207" s="0" t="inlineStr">
        <is>
          <t xml:space="preserve">Mazda</t>
        </is>
      </c>
      <c r="F7207" s="0" t="inlineStr">
        <is>
          <t xml:space="preserve">Mazda</t>
        </is>
      </c>
      <c r="G7207" s="0" t="s">
        <v>171</v>
      </c>
      <c r="H7207" s="5">
        <v>354.212000</v>
      </c>
    </row>
    <row r="7208" spans="1:9">
      <c r="A7208" s="22" t="str">
        <f>HYPERLINK("https://app.vivvix.com/360/KMI/IntelliDrive/ApplUI/Pages/CreativePages/CustomReportCreativeDetail.aspx?App=23&amp;ReportView=4&amp;Qid=1711279&amp;Row=7200&amp;Col=1","No Title Assigned - #15270329353")</f>
        <v/>
      </c>
      <c r="B7208" s="0" t="s">
        <v>9536</v>
      </c>
      <c r="E7208" s="0" t="inlineStr">
        <is>
          <t xml:space="preserve">Mazda</t>
        </is>
      </c>
      <c r="F7208" s="0" t="s">
        <v>21</v>
      </c>
      <c r="G7208" s="0" t="s">
        <v>22</v>
      </c>
      <c r="H7208" s="5">
        <v>1096.447400</v>
      </c>
    </row>
    <row r="7209" spans="1:9">
      <c r="A7209" s="22" t="str">
        <f>HYPERLINK("https://app.vivvix.com/360/KMI/IntelliDrive/ApplUI/Pages/CreativePages/CustomReportCreativeDetail.aspx?App=23&amp;ReportView=4&amp;Qid=1711279&amp;Row=7201&amp;Col=1","No Title Assigned - #15270329590")</f>
        <v/>
      </c>
      <c r="B7209" s="0" t="s">
        <v>9537</v>
      </c>
      <c r="E7209" s="0" t="inlineStr">
        <is>
          <t xml:space="preserve">Mazda</t>
        </is>
      </c>
      <c r="F7209" s="0" t="inlineStr">
        <is>
          <t xml:space="preserve">Mazda</t>
        </is>
      </c>
      <c r="G7209" s="0" t="s">
        <v>171</v>
      </c>
      <c r="H7209" s="5">
        <v>16.750700</v>
      </c>
    </row>
    <row r="7210" spans="1:9">
      <c r="A7210" s="22" t="str">
        <f>HYPERLINK("https://app.vivvix.com/360/KMI/IntelliDrive/ApplUI/Pages/CreativePages/CustomReportCreativeDetail.aspx?App=23&amp;ReportView=4&amp;Qid=1711279&amp;Row=7202&amp;Col=1","No Title Assigned - #15270329836")</f>
        <v/>
      </c>
      <c r="B7210" s="0" t="s">
        <v>9538</v>
      </c>
      <c r="E7210" s="0" t="inlineStr">
        <is>
          <t xml:space="preserve">Mazda</t>
        </is>
      </c>
      <c r="F7210" s="0" t="inlineStr">
        <is>
          <t xml:space="preserve">Mazda</t>
        </is>
      </c>
      <c r="G7210" s="0" t="s">
        <v>171</v>
      </c>
      <c r="H7210" s="5">
        <v>44.244800</v>
      </c>
    </row>
    <row r="7211" spans="1:9">
      <c r="A7211" s="22" t="str">
        <f>HYPERLINK("https://app.vivvix.com/360/KMI/IntelliDrive/ApplUI/Pages/CreativePages/CustomReportCreativeDetail.aspx?App=23&amp;ReportView=4&amp;Qid=1711279&amp;Row=7203&amp;Col=1","No Title Assigned - #15270329976")</f>
        <v/>
      </c>
      <c r="B7211" s="0" t="s">
        <v>9539</v>
      </c>
      <c r="C7211" s="0" t="s">
        <v>9540</v>
      </c>
      <c r="D7211" s="0" t="s">
        <v>9540</v>
      </c>
      <c r="E7211" s="0" t="inlineStr">
        <is>
          <t xml:space="preserve">Mazda</t>
        </is>
      </c>
      <c r="F7211" s="0" t="inlineStr">
        <is>
          <t xml:space="preserve">Mazda</t>
        </is>
      </c>
      <c r="G7211" s="0" t="s">
        <v>171</v>
      </c>
      <c r="H7211" s="5">
        <v>3.331900</v>
      </c>
    </row>
    <row r="7212" spans="1:9">
      <c r="A7212" s="22" t="str">
        <f>HYPERLINK("https://app.vivvix.com/360/KMI/IntelliDrive/ApplUI/Pages/CreativePages/CustomReportCreativeDetail.aspx?App=23&amp;ReportView=4&amp;Qid=1711279&amp;Row=7204&amp;Col=1","No Title Assigned - #15270331090")</f>
        <v/>
      </c>
      <c r="B7212" s="0" t="s">
        <v>9541</v>
      </c>
      <c r="E7212" s="0" t="inlineStr">
        <is>
          <t xml:space="preserve">Mazda</t>
        </is>
      </c>
      <c r="F7212" s="0" t="inlineStr">
        <is>
          <t xml:space="preserve">Mazda</t>
        </is>
      </c>
      <c r="G7212" s="0" t="s">
        <v>171</v>
      </c>
      <c r="H7212" s="5">
        <v>15912.558600</v>
      </c>
    </row>
    <row r="7213" spans="1:9">
      <c r="A7213" s="22" t="str">
        <f>HYPERLINK("https://app.vivvix.com/360/KMI/IntelliDrive/ApplUI/Pages/CreativePages/CustomReportCreativeDetail.aspx?App=23&amp;ReportView=4&amp;Qid=1711279&amp;Row=7205&amp;Col=1","No Title Assigned - #15270331090")</f>
        <v/>
      </c>
      <c r="B7213" s="0" t="s">
        <v>9541</v>
      </c>
      <c r="E7213" s="0" t="inlineStr">
        <is>
          <t xml:space="preserve">Mazda</t>
        </is>
      </c>
      <c r="F7213" s="0" t="inlineStr">
        <is>
          <t xml:space="preserve">Mazda</t>
        </is>
      </c>
      <c r="G7213" s="0" t="s">
        <v>171</v>
      </c>
      <c r="H7213" s="5">
        <v>48.545500</v>
      </c>
    </row>
    <row r="7214" spans="1:9">
      <c r="A7214" s="22" t="str">
        <f>HYPERLINK("https://app.vivvix.com/360/KMI/IntelliDrive/ApplUI/Pages/CreativePages/CustomReportCreativeDetail.aspx?App=23&amp;ReportView=4&amp;Qid=1711279&amp;Row=7206&amp;Col=1","No Title Assigned - #15270331172")</f>
        <v/>
      </c>
      <c r="B7214" s="0" t="s">
        <v>9542</v>
      </c>
      <c r="E7214" s="0" t="inlineStr">
        <is>
          <t xml:space="preserve">Mazda</t>
        </is>
      </c>
      <c r="F7214" s="0" t="inlineStr">
        <is>
          <t xml:space="preserve">Mazda</t>
        </is>
      </c>
      <c r="G7214" s="0" t="s">
        <v>171</v>
      </c>
      <c r="H7214" s="5">
        <v>480.760000</v>
      </c>
    </row>
    <row r="7215" spans="1:9">
      <c r="A7215" s="22" t="str">
        <f>HYPERLINK("https://app.vivvix.com/360/KMI/IntelliDrive/ApplUI/Pages/CreativePages/CustomReportCreativeDetail.aspx?App=23&amp;ReportView=4&amp;Qid=1711279&amp;Row=7207&amp;Col=1","No Title Assigned - #15270334673")</f>
        <v/>
      </c>
      <c r="B7215" s="0" t="s">
        <v>9543</v>
      </c>
      <c r="C7215" s="0" t="s">
        <v>9544</v>
      </c>
      <c r="D7215" s="0" t="s">
        <v>9544</v>
      </c>
      <c r="E7215" s="0" t="inlineStr">
        <is>
          <t xml:space="preserve">Mazda</t>
        </is>
      </c>
      <c r="F7215" s="0" t="inlineStr">
        <is>
          <t xml:space="preserve">Mazda</t>
        </is>
      </c>
      <c r="G7215" s="0" t="s">
        <v>171</v>
      </c>
      <c r="H7215" s="5">
        <v>224.999700</v>
      </c>
    </row>
    <row r="7216" spans="1:9">
      <c r="A7216" s="22" t="str">
        <f>HYPERLINK("https://app.vivvix.com/360/KMI/IntelliDrive/ApplUI/Pages/CreativePages/CustomReportCreativeDetail.aspx?App=23&amp;ReportView=4&amp;Qid=1711279&amp;Row=7208&amp;Col=1","No Title Assigned - #15270336226")</f>
        <v/>
      </c>
      <c r="B7216" s="0" t="s">
        <v>9545</v>
      </c>
      <c r="E7216" s="0" t="inlineStr">
        <is>
          <t xml:space="preserve">Mazda</t>
        </is>
      </c>
      <c r="F7216" s="0" t="inlineStr">
        <is>
          <t xml:space="preserve">Mazda</t>
        </is>
      </c>
      <c r="G7216" s="0" t="s">
        <v>171</v>
      </c>
      <c r="H7216" s="5">
        <v>37.612600</v>
      </c>
    </row>
    <row r="7217" spans="1:9">
      <c r="A7217" s="22" t="str">
        <f>HYPERLINK("https://app.vivvix.com/360/KMI/IntelliDrive/ApplUI/Pages/CreativePages/CustomReportCreativeDetail.aspx?App=23&amp;ReportView=4&amp;Qid=1711279&amp;Row=7209&amp;Col=1","No Title Assigned - #15270336436")</f>
        <v/>
      </c>
      <c r="B7217" s="0" t="s">
        <v>9546</v>
      </c>
      <c r="E7217" s="0" t="inlineStr">
        <is>
          <t xml:space="preserve">Mazda</t>
        </is>
      </c>
      <c r="F7217" s="0" t="inlineStr">
        <is>
          <t xml:space="preserve">Mazda</t>
        </is>
      </c>
      <c r="G7217" s="0" t="s">
        <v>171</v>
      </c>
      <c r="H7217" s="5">
        <v>18.001400</v>
      </c>
    </row>
    <row r="7218" spans="1:9">
      <c r="A7218" s="22" t="str">
        <f>HYPERLINK("https://app.vivvix.com/360/KMI/IntelliDrive/ApplUI/Pages/CreativePages/CustomReportCreativeDetail.aspx?App=23&amp;ReportView=4&amp;Qid=1711279&amp;Row=7210&amp;Col=1","No Title Assigned - #15270336595")</f>
        <v/>
      </c>
      <c r="B7218" s="0" t="s">
        <v>9547</v>
      </c>
      <c r="C7218" s="0" t="s">
        <v>9548</v>
      </c>
      <c r="D7218" s="0" t="s">
        <v>4225</v>
      </c>
      <c r="E7218" s="0" t="inlineStr">
        <is>
          <t xml:space="preserve">Mazda</t>
        </is>
      </c>
      <c r="F7218" s="0" t="s">
        <v>28</v>
      </c>
      <c r="G7218" s="0" t="s">
        <v>29</v>
      </c>
      <c r="H7218" s="5">
        <v>94.856200</v>
      </c>
    </row>
    <row r="7219" spans="1:9">
      <c r="A7219" s="22" t="str">
        <f>HYPERLINK("https://app.vivvix.com/360/KMI/IntelliDrive/ApplUI/Pages/CreativePages/CustomReportCreativeDetail.aspx?App=23&amp;ReportView=4&amp;Qid=1711279&amp;Row=7211&amp;Col=1","No Title Assigned - #15270339877")</f>
        <v/>
      </c>
      <c r="B7219" s="0" t="s">
        <v>9549</v>
      </c>
      <c r="C7219" s="0" t="s">
        <v>9550</v>
      </c>
      <c r="D7219" s="0" t="s">
        <v>4225</v>
      </c>
      <c r="E7219" s="0" t="inlineStr">
        <is>
          <t xml:space="preserve">Mazda</t>
        </is>
      </c>
      <c r="F7219" s="0" t="s">
        <v>28</v>
      </c>
      <c r="G7219" s="0" t="s">
        <v>29</v>
      </c>
      <c r="H7219" s="5">
        <v>52.253900</v>
      </c>
    </row>
    <row r="7220" spans="1:9">
      <c r="A7220" s="22" t="str">
        <f>HYPERLINK("https://app.vivvix.com/360/KMI/IntelliDrive/ApplUI/Pages/CreativePages/CustomReportCreativeDetail.aspx?App=23&amp;ReportView=4&amp;Qid=1711279&amp;Row=7212&amp;Col=1","No Title Assigned - #15270342531")</f>
        <v/>
      </c>
      <c r="B7220" s="0" t="s">
        <v>9551</v>
      </c>
      <c r="C7220" s="0" t="s">
        <v>9552</v>
      </c>
      <c r="D7220" s="0" t="s">
        <v>9552</v>
      </c>
      <c r="E7220" s="0" t="inlineStr">
        <is>
          <t xml:space="preserve">Mazda</t>
        </is>
      </c>
      <c r="F7220" s="0" t="s">
        <v>28</v>
      </c>
      <c r="G7220" s="0" t="s">
        <v>29</v>
      </c>
      <c r="H7220" s="5">
        <v>55.591800</v>
      </c>
    </row>
    <row r="7221" spans="1:9">
      <c r="A7221" s="22" t="str">
        <f>HYPERLINK("https://app.vivvix.com/360/KMI/IntelliDrive/ApplUI/Pages/CreativePages/CustomReportCreativeDetail.aspx?App=23&amp;ReportView=4&amp;Qid=1711279&amp;Row=7213&amp;Col=1","No Title Assigned - #15270342624")</f>
        <v/>
      </c>
      <c r="B7221" s="0" t="s">
        <v>9553</v>
      </c>
      <c r="C7221" s="0" t="s">
        <v>9554</v>
      </c>
      <c r="D7221" s="0" t="s">
        <v>9554</v>
      </c>
      <c r="E7221" s="0" t="inlineStr">
        <is>
          <t xml:space="preserve">Mazda</t>
        </is>
      </c>
      <c r="F7221" s="0" t="s">
        <v>28</v>
      </c>
      <c r="G7221" s="0" t="s">
        <v>29</v>
      </c>
      <c r="H7221" s="5">
        <v>14.650100</v>
      </c>
    </row>
    <row r="7222" spans="1:9">
      <c r="A7222" s="22" t="str">
        <f>HYPERLINK("https://app.vivvix.com/360/KMI/IntelliDrive/ApplUI/Pages/CreativePages/CustomReportCreativeDetail.aspx?App=23&amp;ReportView=4&amp;Qid=1711279&amp;Row=7214&amp;Col=1","No Title Assigned - #15270345005")</f>
        <v/>
      </c>
      <c r="B7222" s="0" t="s">
        <v>9555</v>
      </c>
      <c r="C7222" s="0" t="s">
        <v>9556</v>
      </c>
      <c r="D7222" s="0" t="s">
        <v>9556</v>
      </c>
      <c r="E7222" s="0" t="inlineStr">
        <is>
          <t xml:space="preserve">Mazda</t>
        </is>
      </c>
      <c r="F7222" s="0" t="s">
        <v>28</v>
      </c>
      <c r="G7222" s="0" t="s">
        <v>29</v>
      </c>
      <c r="H7222" s="5">
        <v>7.544100</v>
      </c>
    </row>
    <row r="7223" spans="1:9">
      <c r="A7223" s="22" t="str">
        <f>HYPERLINK("https://app.vivvix.com/360/KMI/IntelliDrive/ApplUI/Pages/CreativePages/CustomReportCreativeDetail.aspx?App=23&amp;ReportView=4&amp;Qid=1711279&amp;Row=7215&amp;Col=1","No Title Assigned - #15270345012")</f>
        <v/>
      </c>
      <c r="B7223" s="0" t="s">
        <v>9557</v>
      </c>
      <c r="C7223" s="0" t="s">
        <v>9558</v>
      </c>
      <c r="D7223" s="0" t="s">
        <v>9558</v>
      </c>
      <c r="E7223" s="0" t="inlineStr">
        <is>
          <t xml:space="preserve">Mazda</t>
        </is>
      </c>
      <c r="F7223" s="0" t="s">
        <v>28</v>
      </c>
      <c r="G7223" s="0" t="s">
        <v>29</v>
      </c>
      <c r="H7223" s="5">
        <v>43.526000</v>
      </c>
    </row>
    <row r="7224" spans="1:9">
      <c r="A7224" s="22" t="str">
        <f>HYPERLINK("https://app.vivvix.com/360/KMI/IntelliDrive/ApplUI/Pages/CreativePages/CustomReportCreativeDetail.aspx?App=23&amp;ReportView=4&amp;Qid=1711279&amp;Row=7216&amp;Col=1","No Title Assigned - #15270346379")</f>
        <v/>
      </c>
      <c r="B7224" s="0" t="s">
        <v>9559</v>
      </c>
      <c r="E7224" s="0" t="inlineStr">
        <is>
          <t xml:space="preserve">Mazda</t>
        </is>
      </c>
      <c r="F7224" s="0" t="s">
        <v>28</v>
      </c>
      <c r="G7224" s="0" t="s">
        <v>29</v>
      </c>
      <c r="H7224" s="5">
        <v>557.357300</v>
      </c>
    </row>
    <row r="7225" spans="1:9">
      <c r="A7225" s="22" t="str">
        <f>HYPERLINK("https://app.vivvix.com/360/KMI/IntelliDrive/ApplUI/Pages/CreativePages/CustomReportCreativeDetail.aspx?App=23&amp;ReportView=4&amp;Qid=1711279&amp;Row=7217&amp;Col=1","No Title Assigned - #15270346379")</f>
        <v/>
      </c>
      <c r="B7225" s="0" t="s">
        <v>9559</v>
      </c>
      <c r="C7225" s="0" t="s">
        <v>9560</v>
      </c>
      <c r="D7225" s="0" t="s">
        <v>9560</v>
      </c>
      <c r="E7225" s="0" t="inlineStr">
        <is>
          <t xml:space="preserve">Mazda</t>
        </is>
      </c>
      <c r="F7225" s="0" t="s">
        <v>28</v>
      </c>
      <c r="G7225" s="0" t="s">
        <v>29</v>
      </c>
      <c r="H7225" s="5">
        <v>320.664500</v>
      </c>
    </row>
    <row r="7226" spans="1:9">
      <c r="A7226" s="22" t="str">
        <f>HYPERLINK("https://app.vivvix.com/360/KMI/IntelliDrive/ApplUI/Pages/CreativePages/CustomReportCreativeDetail.aspx?App=23&amp;ReportView=4&amp;Qid=1711279&amp;Row=7218&amp;Col=1","No Title Assigned - #15270347860")</f>
        <v/>
      </c>
      <c r="B7226" s="0" t="s">
        <v>9561</v>
      </c>
      <c r="C7226" s="0" t="s">
        <v>9562</v>
      </c>
      <c r="D7226" s="0" t="s">
        <v>9562</v>
      </c>
      <c r="E7226" s="0" t="inlineStr">
        <is>
          <t xml:space="preserve">Mazda</t>
        </is>
      </c>
      <c r="F7226" s="0" t="s">
        <v>28</v>
      </c>
      <c r="G7226" s="0" t="s">
        <v>29</v>
      </c>
      <c r="H7226" s="5">
        <v>128.718400</v>
      </c>
    </row>
    <row r="7227" spans="1:9">
      <c r="A7227" s="22" t="str">
        <f>HYPERLINK("https://app.vivvix.com/360/KMI/IntelliDrive/ApplUI/Pages/CreativePages/CustomReportCreativeDetail.aspx?App=23&amp;ReportView=4&amp;Qid=1711279&amp;Row=7219&amp;Col=1","No Title Assigned - #15270348385")</f>
        <v/>
      </c>
      <c r="B7227" s="0" t="s">
        <v>9563</v>
      </c>
      <c r="C7227" s="0" t="s">
        <v>9564</v>
      </c>
      <c r="D7227" s="0" t="s">
        <v>4202</v>
      </c>
      <c r="E7227" s="0" t="inlineStr">
        <is>
          <t xml:space="preserve">Mazda</t>
        </is>
      </c>
      <c r="F7227" s="0" t="s">
        <v>28</v>
      </c>
      <c r="G7227" s="0" t="s">
        <v>29</v>
      </c>
      <c r="H7227" s="5">
        <v>865.470900</v>
      </c>
    </row>
    <row r="7228" spans="1:9">
      <c r="A7228" s="22" t="str">
        <f>HYPERLINK("https://app.vivvix.com/360/KMI/IntelliDrive/ApplUI/Pages/CreativePages/CustomReportCreativeDetail.aspx?App=23&amp;ReportView=4&amp;Qid=1711279&amp;Row=7220&amp;Col=1","No Title Assigned - #15270349435")</f>
        <v/>
      </c>
      <c r="B7228" s="0" t="s">
        <v>9565</v>
      </c>
      <c r="E7228" s="0" t="inlineStr">
        <is>
          <t xml:space="preserve">Mazda</t>
        </is>
      </c>
      <c r="F7228" s="0" t="inlineStr">
        <is>
          <t xml:space="preserve">Mazda</t>
        </is>
      </c>
      <c r="G7228" s="0" t="s">
        <v>171</v>
      </c>
      <c r="H7228" s="5">
        <v>1282.974000</v>
      </c>
    </row>
    <row r="7229" spans="1:9">
      <c r="A7229" s="22" t="str">
        <f>HYPERLINK("https://app.vivvix.com/360/KMI/IntelliDrive/ApplUI/Pages/CreativePages/CustomReportCreativeDetail.aspx?App=23&amp;ReportView=4&amp;Qid=1711279&amp;Row=7221&amp;Col=1","No Title Assigned - #15270349435")</f>
        <v/>
      </c>
      <c r="B7229" s="0" t="s">
        <v>9565</v>
      </c>
      <c r="E7229" s="0" t="inlineStr">
        <is>
          <t xml:space="preserve">Mazda</t>
        </is>
      </c>
      <c r="F7229" s="0" t="inlineStr">
        <is>
          <t xml:space="preserve">Mazda</t>
        </is>
      </c>
      <c r="G7229" s="0" t="s">
        <v>171</v>
      </c>
      <c r="H7229" s="5">
        <v>75875.704000</v>
      </c>
    </row>
    <row r="7230" spans="1:9">
      <c r="A7230" s="22" t="str">
        <f>HYPERLINK("https://app.vivvix.com/360/KMI/IntelliDrive/ApplUI/Pages/CreativePages/CustomReportCreativeDetail.aspx?App=23&amp;ReportView=4&amp;Qid=1711279&amp;Row=7222&amp;Col=1","No Title Assigned - #15270349598")</f>
        <v/>
      </c>
      <c r="B7230" s="0" t="s">
        <v>9566</v>
      </c>
      <c r="E7230" s="0" t="inlineStr">
        <is>
          <t xml:space="preserve">Mazda</t>
        </is>
      </c>
      <c r="F7230" s="0" t="inlineStr">
        <is>
          <t xml:space="preserve">Mazda</t>
        </is>
      </c>
      <c r="G7230" s="0" t="s">
        <v>171</v>
      </c>
      <c r="H7230" s="5">
        <v>2826.176000</v>
      </c>
    </row>
    <row r="7231" spans="1:9">
      <c r="A7231" s="22" t="str">
        <f>HYPERLINK("https://app.vivvix.com/360/KMI/IntelliDrive/ApplUI/Pages/CreativePages/CustomReportCreativeDetail.aspx?App=23&amp;ReportView=4&amp;Qid=1711279&amp;Row=7223&amp;Col=1","No Title Assigned - #15270349598")</f>
        <v/>
      </c>
      <c r="B7231" s="0" t="s">
        <v>9566</v>
      </c>
      <c r="E7231" s="0" t="inlineStr">
        <is>
          <t xml:space="preserve">Mazda</t>
        </is>
      </c>
      <c r="F7231" s="0" t="inlineStr">
        <is>
          <t xml:space="preserve">Mazda</t>
        </is>
      </c>
      <c r="G7231" s="0" t="s">
        <v>171</v>
      </c>
      <c r="H7231" s="5">
        <v>19482.965000</v>
      </c>
    </row>
    <row r="7232" spans="1:9">
      <c r="A7232" s="22" t="str">
        <f>HYPERLINK("https://app.vivvix.com/360/KMI/IntelliDrive/ApplUI/Pages/CreativePages/CustomReportCreativeDetail.aspx?App=23&amp;ReportView=4&amp;Qid=1711279&amp;Row=7224&amp;Col=1","No Title Assigned - #15270350178")</f>
        <v/>
      </c>
      <c r="B7232" s="0" t="s">
        <v>9567</v>
      </c>
      <c r="C7232" s="0" t="s">
        <v>9568</v>
      </c>
      <c r="D7232" s="0" t="s">
        <v>9568</v>
      </c>
      <c r="E7232" s="0" t="inlineStr">
        <is>
          <t xml:space="preserve">Mazda</t>
        </is>
      </c>
      <c r="F7232" s="0" t="s">
        <v>28</v>
      </c>
      <c r="G7232" s="0" t="s">
        <v>29</v>
      </c>
      <c r="H7232" s="5">
        <v>7535.835100</v>
      </c>
    </row>
    <row r="7233" spans="1:9">
      <c r="A7233" s="22" t="str">
        <f>HYPERLINK("https://app.vivvix.com/360/KMI/IntelliDrive/ApplUI/Pages/CreativePages/CustomReportCreativeDetail.aspx?App=23&amp;ReportView=4&amp;Qid=1711279&amp;Row=7225&amp;Col=1","No Title Assigned - #15270354002")</f>
        <v/>
      </c>
      <c r="B7233" s="0" t="s">
        <v>9569</v>
      </c>
      <c r="C7233" s="0" t="s">
        <v>9570</v>
      </c>
      <c r="D7233" s="0" t="s">
        <v>4200</v>
      </c>
      <c r="E7233" s="0" t="inlineStr">
        <is>
          <t xml:space="preserve">Mazda</t>
        </is>
      </c>
      <c r="F7233" s="0" t="s">
        <v>28</v>
      </c>
      <c r="G7233" s="0" t="s">
        <v>29</v>
      </c>
      <c r="H7233" s="5">
        <v>49.059300</v>
      </c>
    </row>
    <row r="7234" spans="1:9">
      <c r="A7234" s="22" t="str">
        <f>HYPERLINK("https://app.vivvix.com/360/KMI/IntelliDrive/ApplUI/Pages/CreativePages/CustomReportCreativeDetail.aspx?App=23&amp;ReportView=4&amp;Qid=1711279&amp;Row=7226&amp;Col=1","No Title Assigned - #15270354646")</f>
        <v/>
      </c>
      <c r="B7234" s="0" t="s">
        <v>9571</v>
      </c>
      <c r="C7234" s="0" t="s">
        <v>9572</v>
      </c>
      <c r="D7234" s="0" t="s">
        <v>4200</v>
      </c>
      <c r="E7234" s="0" t="inlineStr">
        <is>
          <t xml:space="preserve">Mazda</t>
        </is>
      </c>
      <c r="F7234" s="0" t="s">
        <v>28</v>
      </c>
      <c r="G7234" s="0" t="s">
        <v>29</v>
      </c>
      <c r="H7234" s="5">
        <v>57.720800</v>
      </c>
    </row>
    <row r="7235" spans="1:9">
      <c r="A7235" s="22" t="str">
        <f>HYPERLINK("https://app.vivvix.com/360/KMI/IntelliDrive/ApplUI/Pages/CreativePages/CustomReportCreativeDetail.aspx?App=23&amp;ReportView=4&amp;Qid=1711279&amp;Row=7227&amp;Col=1","No Title Assigned - #15270355128")</f>
        <v/>
      </c>
      <c r="B7235" s="0" t="s">
        <v>9573</v>
      </c>
      <c r="C7235" s="0" t="s">
        <v>9574</v>
      </c>
      <c r="D7235" s="0" t="s">
        <v>9574</v>
      </c>
      <c r="E7235" s="0" t="inlineStr">
        <is>
          <t xml:space="preserve">Mazda</t>
        </is>
      </c>
      <c r="F7235" s="0" t="s">
        <v>13</v>
      </c>
      <c r="G7235" s="0" t="s">
        <v>49</v>
      </c>
      <c r="H7235" s="5">
        <v>5681.734600</v>
      </c>
    </row>
    <row r="7236" spans="1:9">
      <c r="A7236" s="22" t="str">
        <f>HYPERLINK("https://app.vivvix.com/360/KMI/IntelliDrive/ApplUI/Pages/CreativePages/CustomReportCreativeDetail.aspx?App=23&amp;ReportView=4&amp;Qid=1711279&amp;Row=7228&amp;Col=1","No Title Assigned - #15270355128")</f>
        <v/>
      </c>
      <c r="B7236" s="0" t="s">
        <v>9573</v>
      </c>
      <c r="E7236" s="0" t="inlineStr">
        <is>
          <t xml:space="preserve">Mazda</t>
        </is>
      </c>
      <c r="F7236" s="0" t="s">
        <v>13</v>
      </c>
      <c r="G7236" s="0" t="s">
        <v>49</v>
      </c>
      <c r="H7236" s="5">
        <v>398.118600</v>
      </c>
    </row>
    <row r="7237" spans="1:9">
      <c r="A7237" s="22" t="str">
        <f>HYPERLINK("https://app.vivvix.com/360/KMI/IntelliDrive/ApplUI/Pages/CreativePages/CustomReportCreativeDetail.aspx?App=23&amp;ReportView=4&amp;Qid=1711279&amp;Row=7229&amp;Col=1","No Title Assigned - #15270355370")</f>
        <v/>
      </c>
      <c r="B7237" s="0" t="s">
        <v>9575</v>
      </c>
      <c r="C7237" s="0" t="s">
        <v>9576</v>
      </c>
      <c r="D7237" s="0" t="s">
        <v>4225</v>
      </c>
      <c r="E7237" s="0" t="inlineStr">
        <is>
          <t xml:space="preserve">Mazda</t>
        </is>
      </c>
      <c r="F7237" s="0" t="s">
        <v>28</v>
      </c>
      <c r="G7237" s="0" t="s">
        <v>29</v>
      </c>
      <c r="H7237" s="5">
        <v>241.913000</v>
      </c>
    </row>
    <row r="7238" spans="1:9">
      <c r="A7238" s="22" t="str">
        <f>HYPERLINK("https://app.vivvix.com/360/KMI/IntelliDrive/ApplUI/Pages/CreativePages/CustomReportCreativeDetail.aspx?App=23&amp;ReportView=4&amp;Qid=1711279&amp;Row=7230&amp;Col=1","No Title Assigned - #15270357845")</f>
        <v/>
      </c>
      <c r="B7238" s="0" t="s">
        <v>9577</v>
      </c>
      <c r="C7238" s="0" t="s">
        <v>9578</v>
      </c>
      <c r="D7238" s="0" t="s">
        <v>4333</v>
      </c>
      <c r="E7238" s="0" t="inlineStr">
        <is>
          <t xml:space="preserve">Mazda</t>
        </is>
      </c>
      <c r="F7238" s="0" t="s">
        <v>28</v>
      </c>
      <c r="G7238" s="0" t="s">
        <v>29</v>
      </c>
      <c r="H7238" s="5">
        <v>74.103200</v>
      </c>
    </row>
    <row r="7239" spans="1:9">
      <c r="A7239" s="22" t="str">
        <f>HYPERLINK("https://app.vivvix.com/360/KMI/IntelliDrive/ApplUI/Pages/CreativePages/CustomReportCreativeDetail.aspx?App=23&amp;ReportView=4&amp;Qid=1711279&amp;Row=7231&amp;Col=1","No Title Assigned - #15270358423")</f>
        <v/>
      </c>
      <c r="B7239" s="0" t="s">
        <v>9579</v>
      </c>
      <c r="C7239" s="0" t="s">
        <v>9580</v>
      </c>
      <c r="D7239" s="0" t="s">
        <v>4407</v>
      </c>
      <c r="E7239" s="0" t="inlineStr">
        <is>
          <t xml:space="preserve">Mazda</t>
        </is>
      </c>
      <c r="F7239" s="0" t="s">
        <v>28</v>
      </c>
      <c r="G7239" s="0" t="s">
        <v>29</v>
      </c>
      <c r="H7239" s="5">
        <v>310.984900</v>
      </c>
    </row>
    <row r="7240" spans="1:9">
      <c r="A7240" s="22" t="str">
        <f>HYPERLINK("https://app.vivvix.com/360/KMI/IntelliDrive/ApplUI/Pages/CreativePages/CustomReportCreativeDetail.aspx?App=23&amp;ReportView=4&amp;Qid=1711279&amp;Row=7232&amp;Col=1","No Title Assigned - #15270359217")</f>
        <v/>
      </c>
      <c r="B7240" s="0" t="s">
        <v>9581</v>
      </c>
      <c r="E7240" s="0" t="inlineStr">
        <is>
          <t xml:space="preserve">Mazda</t>
        </is>
      </c>
      <c r="F7240" s="0" t="inlineStr">
        <is>
          <t xml:space="preserve">Mazda</t>
        </is>
      </c>
      <c r="G7240" s="0" t="s">
        <v>171</v>
      </c>
      <c r="H7240" s="5">
        <v>26.736400</v>
      </c>
    </row>
    <row r="7241" spans="1:9">
      <c r="A7241" s="22" t="str">
        <f>HYPERLINK("https://app.vivvix.com/360/KMI/IntelliDrive/ApplUI/Pages/CreativePages/CustomReportCreativeDetail.aspx?App=23&amp;ReportView=4&amp;Qid=1711279&amp;Row=7233&amp;Col=1","No Title Assigned - #15270359727")</f>
        <v/>
      </c>
      <c r="B7241" s="0" t="s">
        <v>9582</v>
      </c>
      <c r="C7241" s="0" t="s">
        <v>9583</v>
      </c>
      <c r="D7241" s="0" t="s">
        <v>4333</v>
      </c>
      <c r="E7241" s="0" t="inlineStr">
        <is>
          <t xml:space="preserve">Mazda</t>
        </is>
      </c>
      <c r="F7241" s="0" t="s">
        <v>28</v>
      </c>
      <c r="G7241" s="0" t="s">
        <v>29</v>
      </c>
      <c r="H7241" s="5">
        <v>6.564100</v>
      </c>
    </row>
    <row r="7242" spans="1:9">
      <c r="A7242" s="22" t="str">
        <f>HYPERLINK("https://app.vivvix.com/360/KMI/IntelliDrive/ApplUI/Pages/CreativePages/CustomReportCreativeDetail.aspx?App=23&amp;ReportView=4&amp;Qid=1711279&amp;Row=7234&amp;Col=1","No Title Assigned - #15270359911")</f>
        <v/>
      </c>
      <c r="B7242" s="0" t="s">
        <v>9584</v>
      </c>
      <c r="C7242" s="0" t="s">
        <v>9585</v>
      </c>
      <c r="D7242" s="0" t="s">
        <v>4200</v>
      </c>
      <c r="E7242" s="0" t="inlineStr">
        <is>
          <t xml:space="preserve">Mazda</t>
        </is>
      </c>
      <c r="F7242" s="0" t="s">
        <v>28</v>
      </c>
      <c r="G7242" s="0" t="s">
        <v>29</v>
      </c>
      <c r="H7242" s="5">
        <v>101.297000</v>
      </c>
    </row>
    <row r="7243" spans="1:9">
      <c r="A7243" s="22" t="str">
        <f>HYPERLINK("https://app.vivvix.com/360/KMI/IntelliDrive/ApplUI/Pages/CreativePages/CustomReportCreativeDetail.aspx?App=23&amp;ReportView=4&amp;Qid=1711279&amp;Row=7235&amp;Col=1","No Title Assigned - #15270360835")</f>
        <v/>
      </c>
      <c r="B7243" s="0" t="s">
        <v>9586</v>
      </c>
      <c r="C7243" s="0" t="s">
        <v>9587</v>
      </c>
      <c r="D7243" s="0" t="s">
        <v>9587</v>
      </c>
      <c r="E7243" s="0" t="inlineStr">
        <is>
          <t xml:space="preserve">Mazda</t>
        </is>
      </c>
      <c r="F7243" s="0" t="s">
        <v>21</v>
      </c>
      <c r="G7243" s="0" t="s">
        <v>22</v>
      </c>
      <c r="H7243" s="5">
        <v>501.732000</v>
      </c>
    </row>
    <row r="7244" spans="1:9">
      <c r="A7244" s="22" t="str">
        <f>HYPERLINK("https://app.vivvix.com/360/KMI/IntelliDrive/ApplUI/Pages/CreativePages/CustomReportCreativeDetail.aspx?App=23&amp;ReportView=4&amp;Qid=1711279&amp;Row=7236&amp;Col=1","No Title Assigned - #15270361673")</f>
        <v/>
      </c>
      <c r="B7244" s="0" t="s">
        <v>9588</v>
      </c>
      <c r="C7244" s="0" t="s">
        <v>9589</v>
      </c>
      <c r="D7244" s="0" t="s">
        <v>7472</v>
      </c>
      <c r="E7244" s="0" t="inlineStr">
        <is>
          <t xml:space="preserve">Mazda</t>
        </is>
      </c>
      <c r="F7244" s="0" t="s">
        <v>28</v>
      </c>
      <c r="G7244" s="0" t="s">
        <v>29</v>
      </c>
      <c r="H7244" s="5">
        <v>509.530700</v>
      </c>
    </row>
    <row r="7245" spans="1:9">
      <c r="A7245" s="22" t="str">
        <f>HYPERLINK("https://app.vivvix.com/360/KMI/IntelliDrive/ApplUI/Pages/CreativePages/CustomReportCreativeDetail.aspx?App=23&amp;ReportView=4&amp;Qid=1711279&amp;Row=7237&amp;Col=1","No Title Assigned - #15270362209")</f>
        <v/>
      </c>
      <c r="B7245" s="0" t="s">
        <v>9590</v>
      </c>
      <c r="E7245" s="0" t="inlineStr">
        <is>
          <t xml:space="preserve">Mazda</t>
        </is>
      </c>
      <c r="F7245" s="0" t="inlineStr">
        <is>
          <t xml:space="preserve">Mazda</t>
        </is>
      </c>
      <c r="G7245" s="0" t="s">
        <v>171</v>
      </c>
      <c r="H7245" s="5">
        <v>120.797500</v>
      </c>
    </row>
    <row r="7246" spans="1:9">
      <c r="A7246" s="22" t="str">
        <f>HYPERLINK("https://app.vivvix.com/360/KMI/IntelliDrive/ApplUI/Pages/CreativePages/CustomReportCreativeDetail.aspx?App=23&amp;ReportView=4&amp;Qid=1711279&amp;Row=7238&amp;Col=1","No Title Assigned - #15270363232")</f>
        <v/>
      </c>
      <c r="B7246" s="0" t="s">
        <v>9591</v>
      </c>
      <c r="C7246" s="0" t="s">
        <v>9592</v>
      </c>
      <c r="D7246" s="0" t="s">
        <v>8610</v>
      </c>
      <c r="E7246" s="0" t="inlineStr">
        <is>
          <t xml:space="preserve">Mazda</t>
        </is>
      </c>
      <c r="F7246" s="0" t="s">
        <v>28</v>
      </c>
      <c r="G7246" s="0" t="s">
        <v>29</v>
      </c>
      <c r="H7246" s="5">
        <v>8.084200</v>
      </c>
    </row>
    <row r="7247" spans="1:9">
      <c r="A7247" s="22" t="str">
        <f>HYPERLINK("https://app.vivvix.com/360/KMI/IntelliDrive/ApplUI/Pages/CreativePages/CustomReportCreativeDetail.aspx?App=23&amp;ReportView=4&amp;Qid=1711279&amp;Row=7239&amp;Col=1","No Title Assigned - #15270363359")</f>
        <v/>
      </c>
      <c r="B7247" s="0" t="s">
        <v>9593</v>
      </c>
      <c r="C7247" s="0" t="s">
        <v>9594</v>
      </c>
      <c r="D7247" s="0" t="s">
        <v>4200</v>
      </c>
      <c r="E7247" s="0" t="inlineStr">
        <is>
          <t xml:space="preserve">Mazda</t>
        </is>
      </c>
      <c r="F7247" s="0" t="s">
        <v>28</v>
      </c>
      <c r="G7247" s="0" t="s">
        <v>29</v>
      </c>
      <c r="H7247" s="5">
        <v>41.106500</v>
      </c>
    </row>
    <row r="7248" spans="1:9">
      <c r="A7248" s="22" t="str">
        <f>HYPERLINK("https://app.vivvix.com/360/KMI/IntelliDrive/ApplUI/Pages/CreativePages/CustomReportCreativeDetail.aspx?App=23&amp;ReportView=4&amp;Qid=1711279&amp;Row=7240&amp;Col=1","No Title Assigned - #15270363534")</f>
        <v/>
      </c>
      <c r="B7248" s="0" t="s">
        <v>9595</v>
      </c>
      <c r="C7248" s="0" t="s">
        <v>9596</v>
      </c>
      <c r="D7248" s="0" t="s">
        <v>9596</v>
      </c>
      <c r="E7248" s="0" t="inlineStr">
        <is>
          <t xml:space="preserve">Mazda</t>
        </is>
      </c>
      <c r="F7248" s="0" t="s">
        <v>28</v>
      </c>
      <c r="G7248" s="0" t="s">
        <v>29</v>
      </c>
      <c r="H7248" s="5">
        <v>105.733600</v>
      </c>
    </row>
    <row r="7249" spans="1:9">
      <c r="A7249" s="22" t="str">
        <f>HYPERLINK("https://app.vivvix.com/360/KMI/IntelliDrive/ApplUI/Pages/CreativePages/CustomReportCreativeDetail.aspx?App=23&amp;ReportView=4&amp;Qid=1711279&amp;Row=7241&amp;Col=1","No Title Assigned - #15270363800")</f>
        <v/>
      </c>
      <c r="B7249" s="0" t="s">
        <v>9597</v>
      </c>
      <c r="C7249" s="0" t="s">
        <v>9598</v>
      </c>
      <c r="D7249" s="0" t="s">
        <v>9598</v>
      </c>
      <c r="E7249" s="0" t="inlineStr">
        <is>
          <t xml:space="preserve">Mazda</t>
        </is>
      </c>
      <c r="F7249" s="0" t="s">
        <v>28</v>
      </c>
      <c r="G7249" s="0" t="s">
        <v>29</v>
      </c>
      <c r="H7249" s="5">
        <v>341.466800</v>
      </c>
    </row>
    <row r="7250" spans="1:9">
      <c r="A7250" s="22" t="str">
        <f>HYPERLINK("https://app.vivvix.com/360/KMI/IntelliDrive/ApplUI/Pages/CreativePages/CustomReportCreativeDetail.aspx?App=23&amp;ReportView=4&amp;Qid=1711279&amp;Row=7242&amp;Col=1","No Title Assigned - #15270364730")</f>
        <v/>
      </c>
      <c r="B7250" s="0" t="s">
        <v>9599</v>
      </c>
      <c r="C7250" s="0" t="s">
        <v>9600</v>
      </c>
      <c r="D7250" s="0" t="s">
        <v>4407</v>
      </c>
      <c r="E7250" s="0" t="inlineStr">
        <is>
          <t xml:space="preserve">Mazda</t>
        </is>
      </c>
      <c r="F7250" s="0" t="s">
        <v>28</v>
      </c>
      <c r="G7250" s="0" t="s">
        <v>29</v>
      </c>
      <c r="H7250" s="5">
        <v>38.026400</v>
      </c>
    </row>
    <row r="7251" spans="1:9">
      <c r="A7251" s="22" t="str">
        <f>HYPERLINK("https://app.vivvix.com/360/KMI/IntelliDrive/ApplUI/Pages/CreativePages/CustomReportCreativeDetail.aspx?App=23&amp;ReportView=4&amp;Qid=1711279&amp;Row=7243&amp;Col=1","No Title Assigned - #15270366028")</f>
        <v/>
      </c>
      <c r="B7251" s="0" t="s">
        <v>9601</v>
      </c>
      <c r="E7251" s="0" t="inlineStr">
        <is>
          <t xml:space="preserve">Mazda</t>
        </is>
      </c>
      <c r="F7251" s="0" t="inlineStr">
        <is>
          <t xml:space="preserve">Mazda</t>
        </is>
      </c>
      <c r="G7251" s="0" t="s">
        <v>171</v>
      </c>
      <c r="H7251" s="5">
        <v>3068.718500</v>
      </c>
    </row>
    <row r="7252" spans="1:9">
      <c r="A7252" s="22" t="str">
        <f>HYPERLINK("https://app.vivvix.com/360/KMI/IntelliDrive/ApplUI/Pages/CreativePages/CustomReportCreativeDetail.aspx?App=23&amp;ReportView=4&amp;Qid=1711279&amp;Row=7244&amp;Col=1","No Title Assigned - #15270366286")</f>
        <v/>
      </c>
      <c r="B7252" s="0" t="s">
        <v>9602</v>
      </c>
      <c r="C7252" s="0" t="s">
        <v>9603</v>
      </c>
      <c r="D7252" s="0" t="s">
        <v>9603</v>
      </c>
      <c r="E7252" s="0" t="inlineStr">
        <is>
          <t xml:space="preserve">Mazda</t>
        </is>
      </c>
      <c r="F7252" s="0" t="inlineStr">
        <is>
          <t xml:space="preserve">Mazda</t>
        </is>
      </c>
      <c r="G7252" s="0" t="s">
        <v>171</v>
      </c>
      <c r="H7252" s="5">
        <v>825.794000</v>
      </c>
    </row>
    <row r="7253" spans="1:9">
      <c r="A7253" s="22" t="str">
        <f>HYPERLINK("https://app.vivvix.com/360/KMI/IntelliDrive/ApplUI/Pages/CreativePages/CustomReportCreativeDetail.aspx?App=23&amp;ReportView=4&amp;Qid=1711279&amp;Row=7245&amp;Col=1","No Title Assigned - #15270367721")</f>
        <v/>
      </c>
      <c r="B7253" s="0" t="s">
        <v>9604</v>
      </c>
      <c r="E7253" s="0" t="inlineStr">
        <is>
          <t xml:space="preserve">Mazda</t>
        </is>
      </c>
      <c r="F7253" s="0" t="inlineStr">
        <is>
          <t xml:space="preserve">Mazda</t>
        </is>
      </c>
      <c r="G7253" s="0" t="s">
        <v>171</v>
      </c>
      <c r="H7253" s="5">
        <v>21.255000</v>
      </c>
    </row>
    <row r="7254" spans="1:9">
      <c r="A7254" s="22" t="str">
        <f>HYPERLINK("https://app.vivvix.com/360/KMI/IntelliDrive/ApplUI/Pages/CreativePages/CustomReportCreativeDetail.aspx?App=23&amp;ReportView=4&amp;Qid=1711279&amp;Row=7246&amp;Col=1","No Title Assigned - #15270367724")</f>
        <v/>
      </c>
      <c r="B7254" s="0" t="s">
        <v>9605</v>
      </c>
      <c r="E7254" s="0" t="inlineStr">
        <is>
          <t xml:space="preserve">Mazda</t>
        </is>
      </c>
      <c r="F7254" s="0" t="inlineStr">
        <is>
          <t xml:space="preserve">Mazda</t>
        </is>
      </c>
      <c r="G7254" s="0" t="s">
        <v>171</v>
      </c>
      <c r="H7254" s="5">
        <v>26.932200</v>
      </c>
    </row>
    <row r="7255" spans="1:9">
      <c r="A7255" s="22" t="str">
        <f>HYPERLINK("https://app.vivvix.com/360/KMI/IntelliDrive/ApplUI/Pages/CreativePages/CustomReportCreativeDetail.aspx?App=23&amp;ReportView=4&amp;Qid=1711279&amp;Row=7247&amp;Col=1","No Title Assigned - #15270367922")</f>
        <v/>
      </c>
      <c r="B7255" s="0" t="s">
        <v>9606</v>
      </c>
      <c r="E7255" s="0" t="inlineStr">
        <is>
          <t xml:space="preserve">Mazda</t>
        </is>
      </c>
      <c r="F7255" s="0" t="inlineStr">
        <is>
          <t xml:space="preserve">Mazda</t>
        </is>
      </c>
      <c r="G7255" s="0" t="s">
        <v>171</v>
      </c>
      <c r="H7255" s="5">
        <v>3894.279900</v>
      </c>
    </row>
    <row r="7256" spans="1:9">
      <c r="A7256" s="22" t="str">
        <f>HYPERLINK("https://app.vivvix.com/360/KMI/IntelliDrive/ApplUI/Pages/CreativePages/CustomReportCreativeDetail.aspx?App=23&amp;ReportView=4&amp;Qid=1711279&amp;Row=7248&amp;Col=1","No Title Assigned - #15270367922")</f>
        <v/>
      </c>
      <c r="B7256" s="0" t="s">
        <v>9606</v>
      </c>
      <c r="E7256" s="0" t="inlineStr">
        <is>
          <t xml:space="preserve">Mazda</t>
        </is>
      </c>
      <c r="F7256" s="0" t="inlineStr">
        <is>
          <t xml:space="preserve">Mazda</t>
        </is>
      </c>
      <c r="G7256" s="0" t="s">
        <v>171</v>
      </c>
      <c r="H7256" s="5">
        <v>94.370100</v>
      </c>
    </row>
    <row r="7257" spans="1:9">
      <c r="A7257" s="22" t="str">
        <f>HYPERLINK("https://app.vivvix.com/360/KMI/IntelliDrive/ApplUI/Pages/CreativePages/CustomReportCreativeDetail.aspx?App=23&amp;ReportView=4&amp;Qid=1711279&amp;Row=7249&amp;Col=1","No Title Assigned - #15270368363")</f>
        <v/>
      </c>
      <c r="B7257" s="0" t="s">
        <v>9607</v>
      </c>
      <c r="E7257" s="0" t="inlineStr">
        <is>
          <t xml:space="preserve">Mazda</t>
        </is>
      </c>
      <c r="F7257" s="0" t="inlineStr">
        <is>
          <t xml:space="preserve">Mazda</t>
        </is>
      </c>
      <c r="G7257" s="0" t="s">
        <v>171</v>
      </c>
      <c r="H7257" s="5">
        <v>59.258200</v>
      </c>
    </row>
    <row r="7258" spans="1:9">
      <c r="A7258" s="22" t="str">
        <f>HYPERLINK("https://app.vivvix.com/360/KMI/IntelliDrive/ApplUI/Pages/CreativePages/CustomReportCreativeDetail.aspx?App=23&amp;ReportView=4&amp;Qid=1711279&amp;Row=7250&amp;Col=1","No Title Assigned - #15270368785")</f>
        <v/>
      </c>
      <c r="B7258" s="0" t="s">
        <v>9608</v>
      </c>
      <c r="E7258" s="0" t="inlineStr">
        <is>
          <t xml:space="preserve">Mazda</t>
        </is>
      </c>
      <c r="F7258" s="0" t="inlineStr">
        <is>
          <t xml:space="preserve">Mazda</t>
        </is>
      </c>
      <c r="G7258" s="0" t="s">
        <v>171</v>
      </c>
      <c r="H7258" s="5">
        <v>55.835400</v>
      </c>
    </row>
    <row r="7259" spans="1:9">
      <c r="A7259" s="22" t="str">
        <f>HYPERLINK("https://app.vivvix.com/360/KMI/IntelliDrive/ApplUI/Pages/CreativePages/CustomReportCreativeDetail.aspx?App=23&amp;ReportView=4&amp;Qid=1711279&amp;Row=7251&amp;Col=1","No Title Assigned - #15270368912")</f>
        <v/>
      </c>
      <c r="B7259" s="0" t="s">
        <v>9609</v>
      </c>
      <c r="E7259" s="0" t="inlineStr">
        <is>
          <t xml:space="preserve">Mazda</t>
        </is>
      </c>
      <c r="F7259" s="0" t="inlineStr">
        <is>
          <t xml:space="preserve">Mazda</t>
        </is>
      </c>
      <c r="G7259" s="0" t="s">
        <v>171</v>
      </c>
      <c r="H7259" s="5">
        <v>228.763000</v>
      </c>
    </row>
    <row r="7260" spans="1:9">
      <c r="A7260" s="22" t="str">
        <f>HYPERLINK("https://app.vivvix.com/360/KMI/IntelliDrive/ApplUI/Pages/CreativePages/CustomReportCreativeDetail.aspx?App=23&amp;ReportView=4&amp;Qid=1711279&amp;Row=7252&amp;Col=1","No Title Assigned - #15270370036")</f>
        <v/>
      </c>
      <c r="B7260" s="0" t="s">
        <v>9610</v>
      </c>
      <c r="E7260" s="0" t="inlineStr">
        <is>
          <t xml:space="preserve">Mazda</t>
        </is>
      </c>
      <c r="F7260" s="0" t="inlineStr">
        <is>
          <t xml:space="preserve">Mazda</t>
        </is>
      </c>
      <c r="G7260" s="0" t="s">
        <v>171</v>
      </c>
      <c r="H7260" s="5">
        <v>24.666400</v>
      </c>
    </row>
    <row r="7261" spans="1:9">
      <c r="A7261" s="22" t="str">
        <f>HYPERLINK("https://app.vivvix.com/360/KMI/IntelliDrive/ApplUI/Pages/CreativePages/CustomReportCreativeDetail.aspx?App=23&amp;ReportView=4&amp;Qid=1711279&amp;Row=7253&amp;Col=1","No Title Assigned - #15270370624")</f>
        <v/>
      </c>
      <c r="B7261" s="0" t="s">
        <v>9611</v>
      </c>
      <c r="E7261" s="0" t="inlineStr">
        <is>
          <t xml:space="preserve">Mazda</t>
        </is>
      </c>
      <c r="F7261" s="0" t="inlineStr">
        <is>
          <t xml:space="preserve">Mazda</t>
        </is>
      </c>
      <c r="G7261" s="0" t="s">
        <v>171</v>
      </c>
      <c r="H7261" s="5">
        <v>29.609600</v>
      </c>
    </row>
    <row r="7262" spans="1:9">
      <c r="A7262" s="22" t="str">
        <f>HYPERLINK("https://app.vivvix.com/360/KMI/IntelliDrive/ApplUI/Pages/CreativePages/CustomReportCreativeDetail.aspx?App=23&amp;ReportView=4&amp;Qid=1711279&amp;Row=7254&amp;Col=1","No Title Assigned - #15270370665")</f>
        <v/>
      </c>
      <c r="B7262" s="0" t="s">
        <v>9612</v>
      </c>
      <c r="E7262" s="0" t="inlineStr">
        <is>
          <t xml:space="preserve">Mazda</t>
        </is>
      </c>
      <c r="F7262" s="0" t="inlineStr">
        <is>
          <t xml:space="preserve">Mazda</t>
        </is>
      </c>
      <c r="G7262" s="0" t="s">
        <v>171</v>
      </c>
      <c r="H7262" s="5">
        <v>46.452000</v>
      </c>
    </row>
    <row r="7263" spans="1:9">
      <c r="A7263" s="22" t="str">
        <f>HYPERLINK("https://app.vivvix.com/360/KMI/IntelliDrive/ApplUI/Pages/CreativePages/CustomReportCreativeDetail.aspx?App=23&amp;ReportView=4&amp;Qid=1711279&amp;Row=7255&amp;Col=1","No Title Assigned - #15270370804")</f>
        <v/>
      </c>
      <c r="B7263" s="0" t="s">
        <v>9613</v>
      </c>
      <c r="E7263" s="0" t="inlineStr">
        <is>
          <t xml:space="preserve">Mazda</t>
        </is>
      </c>
      <c r="F7263" s="0" t="inlineStr">
        <is>
          <t xml:space="preserve">Mazda</t>
        </is>
      </c>
      <c r="G7263" s="0" t="s">
        <v>171</v>
      </c>
      <c r="H7263" s="5">
        <v>847.938400</v>
      </c>
    </row>
    <row r="7264" spans="1:9">
      <c r="A7264" s="22" t="str">
        <f>HYPERLINK("https://app.vivvix.com/360/KMI/IntelliDrive/ApplUI/Pages/CreativePages/CustomReportCreativeDetail.aspx?App=23&amp;ReportView=4&amp;Qid=1711279&amp;Row=7256&amp;Col=1","No Title Assigned - #15270370948")</f>
        <v/>
      </c>
      <c r="B7264" s="0" t="s">
        <v>9614</v>
      </c>
      <c r="E7264" s="0" t="inlineStr">
        <is>
          <t xml:space="preserve">Mazda</t>
        </is>
      </c>
      <c r="F7264" s="0" t="inlineStr">
        <is>
          <t xml:space="preserve">Mazda</t>
        </is>
      </c>
      <c r="G7264" s="0" t="s">
        <v>171</v>
      </c>
      <c r="H7264" s="5">
        <v>62.586800</v>
      </c>
    </row>
    <row r="7265" spans="1:9">
      <c r="A7265" s="22" t="str">
        <f>HYPERLINK("https://app.vivvix.com/360/KMI/IntelliDrive/ApplUI/Pages/CreativePages/CustomReportCreativeDetail.aspx?App=23&amp;ReportView=4&amp;Qid=1711279&amp;Row=7257&amp;Col=1","No Title Assigned - #15270371317")</f>
        <v/>
      </c>
      <c r="B7265" s="0" t="s">
        <v>9615</v>
      </c>
      <c r="E7265" s="0" t="inlineStr">
        <is>
          <t xml:space="preserve">Mazda</t>
        </is>
      </c>
      <c r="F7265" s="0" t="inlineStr">
        <is>
          <t xml:space="preserve">Mazda</t>
        </is>
      </c>
      <c r="G7265" s="0" t="s">
        <v>171</v>
      </c>
      <c r="H7265" s="5">
        <v>17.295400</v>
      </c>
    </row>
    <row r="7266" spans="1:9">
      <c r="A7266" s="22" t="str">
        <f>HYPERLINK("https://app.vivvix.com/360/KMI/IntelliDrive/ApplUI/Pages/CreativePages/CustomReportCreativeDetail.aspx?App=23&amp;ReportView=4&amp;Qid=1711279&amp;Row=7258&amp;Col=1","No Title Assigned - #15270371984")</f>
        <v/>
      </c>
      <c r="B7266" s="0" t="s">
        <v>9616</v>
      </c>
      <c r="E7266" s="0" t="inlineStr">
        <is>
          <t xml:space="preserve">Mazda</t>
        </is>
      </c>
      <c r="F7266" s="0" t="inlineStr">
        <is>
          <t xml:space="preserve">Mazda</t>
        </is>
      </c>
      <c r="G7266" s="0" t="s">
        <v>171</v>
      </c>
      <c r="H7266" s="5">
        <v>7.767100</v>
      </c>
    </row>
    <row r="7267" spans="1:9">
      <c r="A7267" s="22" t="str">
        <f>HYPERLINK("https://app.vivvix.com/360/KMI/IntelliDrive/ApplUI/Pages/CreativePages/CustomReportCreativeDetail.aspx?App=23&amp;ReportView=4&amp;Qid=1711279&amp;Row=7259&amp;Col=1","No Title Assigned - #15270372016")</f>
        <v/>
      </c>
      <c r="B7267" s="0" t="s">
        <v>9617</v>
      </c>
      <c r="E7267" s="0" t="inlineStr">
        <is>
          <t xml:space="preserve">Mazda</t>
        </is>
      </c>
      <c r="F7267" s="0" t="inlineStr">
        <is>
          <t xml:space="preserve">Mazda</t>
        </is>
      </c>
      <c r="G7267" s="0" t="s">
        <v>171</v>
      </c>
      <c r="H7267" s="5">
        <v>226.119900</v>
      </c>
    </row>
    <row r="7268" spans="1:9">
      <c r="A7268" s="22" t="str">
        <f>HYPERLINK("https://app.vivvix.com/360/KMI/IntelliDrive/ApplUI/Pages/CreativePages/CustomReportCreativeDetail.aspx?App=23&amp;ReportView=4&amp;Qid=1711279&amp;Row=7260&amp;Col=1","No Title Assigned - #15270372288")</f>
        <v/>
      </c>
      <c r="B7268" s="0" t="s">
        <v>9618</v>
      </c>
      <c r="E7268" s="0" t="inlineStr">
        <is>
          <t xml:space="preserve">Mazda</t>
        </is>
      </c>
      <c r="F7268" s="0" t="inlineStr">
        <is>
          <t xml:space="preserve">Mazda</t>
        </is>
      </c>
      <c r="G7268" s="0" t="s">
        <v>171</v>
      </c>
      <c r="H7268" s="5">
        <v>684.320200</v>
      </c>
    </row>
    <row r="7269" spans="1:9">
      <c r="A7269" s="22" t="str">
        <f>HYPERLINK("https://app.vivvix.com/360/KMI/IntelliDrive/ApplUI/Pages/CreativePages/CustomReportCreativeDetail.aspx?App=23&amp;ReportView=4&amp;Qid=1711279&amp;Row=7261&amp;Col=1","No Title Assigned - #15270372557")</f>
        <v/>
      </c>
      <c r="B7269" s="0" t="s">
        <v>9619</v>
      </c>
      <c r="E7269" s="0" t="inlineStr">
        <is>
          <t xml:space="preserve">Mazda</t>
        </is>
      </c>
      <c r="F7269" s="0" t="inlineStr">
        <is>
          <t xml:space="preserve">Mazda</t>
        </is>
      </c>
      <c r="G7269" s="0" t="s">
        <v>171</v>
      </c>
      <c r="H7269" s="5">
        <v>10.918000</v>
      </c>
    </row>
    <row r="7270" spans="1:9">
      <c r="A7270" s="22" t="str">
        <f>HYPERLINK("https://app.vivvix.com/360/KMI/IntelliDrive/ApplUI/Pages/CreativePages/CustomReportCreativeDetail.aspx?App=23&amp;ReportView=4&amp;Qid=1711279&amp;Row=7262&amp;Col=1","No Title Assigned - #15270372574")</f>
        <v/>
      </c>
      <c r="B7270" s="0" t="s">
        <v>9620</v>
      </c>
      <c r="E7270" s="0" t="inlineStr">
        <is>
          <t xml:space="preserve">Mazda</t>
        </is>
      </c>
      <c r="F7270" s="0" t="inlineStr">
        <is>
          <t xml:space="preserve">Mazda</t>
        </is>
      </c>
      <c r="G7270" s="0" t="s">
        <v>171</v>
      </c>
      <c r="H7270" s="5">
        <v>186.023700</v>
      </c>
    </row>
    <row r="7271" spans="1:9">
      <c r="A7271" s="22" t="str">
        <f>HYPERLINK("https://app.vivvix.com/360/KMI/IntelliDrive/ApplUI/Pages/CreativePages/CustomReportCreativeDetail.aspx?App=23&amp;ReportView=4&amp;Qid=1711279&amp;Row=7263&amp;Col=1","No Title Assigned - #15270374223")</f>
        <v/>
      </c>
      <c r="B7271" s="0" t="s">
        <v>9621</v>
      </c>
      <c r="E7271" s="0" t="inlineStr">
        <is>
          <t xml:space="preserve">Mazda</t>
        </is>
      </c>
      <c r="F7271" s="0" t="inlineStr">
        <is>
          <t xml:space="preserve">Mazda</t>
        </is>
      </c>
      <c r="G7271" s="0" t="s">
        <v>171</v>
      </c>
      <c r="H7271" s="5">
        <v>43.048700</v>
      </c>
    </row>
    <row r="7272" spans="1:9">
      <c r="A7272" s="22" t="str">
        <f>HYPERLINK("https://app.vivvix.com/360/KMI/IntelliDrive/ApplUI/Pages/CreativePages/CustomReportCreativeDetail.aspx?App=23&amp;ReportView=4&amp;Qid=1711279&amp;Row=7264&amp;Col=1","No Title Assigned - #15270375045")</f>
        <v/>
      </c>
      <c r="B7272" s="0" t="s">
        <v>9622</v>
      </c>
      <c r="E7272" s="0" t="inlineStr">
        <is>
          <t xml:space="preserve">Mazda</t>
        </is>
      </c>
      <c r="F7272" s="0" t="inlineStr">
        <is>
          <t xml:space="preserve">Mazda</t>
        </is>
      </c>
      <c r="G7272" s="0" t="s">
        <v>171</v>
      </c>
      <c r="H7272" s="5">
        <v>12.684900</v>
      </c>
    </row>
    <row r="7273" spans="1:9">
      <c r="A7273" s="22" t="str">
        <f>HYPERLINK("https://app.vivvix.com/360/KMI/IntelliDrive/ApplUI/Pages/CreativePages/CustomReportCreativeDetail.aspx?App=23&amp;ReportView=4&amp;Qid=1711279&amp;Row=7265&amp;Col=1","No Title Assigned - #15270375986")</f>
        <v/>
      </c>
      <c r="B7273" s="0" t="s">
        <v>9623</v>
      </c>
      <c r="E7273" s="0" t="inlineStr">
        <is>
          <t xml:space="preserve">Mazda</t>
        </is>
      </c>
      <c r="F7273" s="0" t="inlineStr">
        <is>
          <t xml:space="preserve">Mazda</t>
        </is>
      </c>
      <c r="G7273" s="0" t="s">
        <v>171</v>
      </c>
      <c r="H7273" s="5">
        <v>14.343000</v>
      </c>
    </row>
    <row r="7274" spans="1:9">
      <c r="A7274" s="22" t="str">
        <f>HYPERLINK("https://app.vivvix.com/360/KMI/IntelliDrive/ApplUI/Pages/CreativePages/CustomReportCreativeDetail.aspx?App=23&amp;ReportView=4&amp;Qid=1711279&amp;Row=7266&amp;Col=1","No Title Assigned - #15270376177")</f>
        <v/>
      </c>
      <c r="B7274" s="0" t="s">
        <v>9624</v>
      </c>
      <c r="C7274" s="0" t="s">
        <v>9625</v>
      </c>
      <c r="D7274" s="0" t="s">
        <v>9625</v>
      </c>
      <c r="E7274" s="0" t="inlineStr">
        <is>
          <t xml:space="preserve">Mazda</t>
        </is>
      </c>
      <c r="F7274" s="0" t="inlineStr">
        <is>
          <t xml:space="preserve">Mazda</t>
        </is>
      </c>
      <c r="G7274" s="0" t="s">
        <v>171</v>
      </c>
      <c r="H7274" s="5">
        <v>14.428200</v>
      </c>
    </row>
    <row r="7275" spans="1:9">
      <c r="A7275" s="22" t="str">
        <f>HYPERLINK("https://app.vivvix.com/360/KMI/IntelliDrive/ApplUI/Pages/CreativePages/CustomReportCreativeDetail.aspx?App=23&amp;ReportView=4&amp;Qid=1711279&amp;Row=7267&amp;Col=1","No Title Assigned - #15270376178")</f>
        <v/>
      </c>
      <c r="B7275" s="0" t="s">
        <v>9626</v>
      </c>
      <c r="E7275" s="0" t="inlineStr">
        <is>
          <t xml:space="preserve">Mazda</t>
        </is>
      </c>
      <c r="F7275" s="0" t="inlineStr">
        <is>
          <t xml:space="preserve">Mazda</t>
        </is>
      </c>
      <c r="G7275" s="0" t="s">
        <v>171</v>
      </c>
      <c r="H7275" s="5">
        <v>7.214100</v>
      </c>
    </row>
    <row r="7276" spans="1:9">
      <c r="A7276" s="22" t="str">
        <f>HYPERLINK("https://app.vivvix.com/360/KMI/IntelliDrive/ApplUI/Pages/CreativePages/CustomReportCreativeDetail.aspx?App=23&amp;ReportView=4&amp;Qid=1711279&amp;Row=7268&amp;Col=1","No Title Assigned - #15270376333")</f>
        <v/>
      </c>
      <c r="B7276" s="0" t="s">
        <v>9627</v>
      </c>
      <c r="E7276" s="0" t="inlineStr">
        <is>
          <t xml:space="preserve">Mazda</t>
        </is>
      </c>
      <c r="F7276" s="0" t="inlineStr">
        <is>
          <t xml:space="preserve">Mazda</t>
        </is>
      </c>
      <c r="G7276" s="0" t="s">
        <v>171</v>
      </c>
      <c r="H7276" s="5">
        <v>684.320200</v>
      </c>
    </row>
    <row r="7277" spans="1:9">
      <c r="A7277" s="22" t="str">
        <f>HYPERLINK("https://app.vivvix.com/360/KMI/IntelliDrive/ApplUI/Pages/CreativePages/CustomReportCreativeDetail.aspx?App=23&amp;ReportView=4&amp;Qid=1711279&amp;Row=7269&amp;Col=1","No Title Assigned - #15270376334")</f>
        <v/>
      </c>
      <c r="B7277" s="0" t="s">
        <v>9628</v>
      </c>
      <c r="E7277" s="0" t="inlineStr">
        <is>
          <t xml:space="preserve">Mazda</t>
        </is>
      </c>
      <c r="F7277" s="0" t="inlineStr">
        <is>
          <t xml:space="preserve">Mazda</t>
        </is>
      </c>
      <c r="G7277" s="0" t="s">
        <v>171</v>
      </c>
      <c r="H7277" s="5">
        <v>684.320200</v>
      </c>
    </row>
    <row r="7278" spans="1:9">
      <c r="A7278" s="22" t="str">
        <f>HYPERLINK("https://app.vivvix.com/360/KMI/IntelliDrive/ApplUI/Pages/CreativePages/CustomReportCreativeDetail.aspx?App=23&amp;ReportView=4&amp;Qid=1711279&amp;Row=7270&amp;Col=1","No Title Assigned - #15270377053")</f>
        <v/>
      </c>
      <c r="B7278" s="0" t="s">
        <v>9629</v>
      </c>
      <c r="E7278" s="0" t="inlineStr">
        <is>
          <t xml:space="preserve">Mazda</t>
        </is>
      </c>
      <c r="F7278" s="0" t="inlineStr">
        <is>
          <t xml:space="preserve">Mazda</t>
        </is>
      </c>
      <c r="G7278" s="0" t="s">
        <v>171</v>
      </c>
      <c r="H7278" s="5">
        <v>11.562500</v>
      </c>
    </row>
    <row r="7279" spans="1:9">
      <c r="A7279" s="22" t="str">
        <f>HYPERLINK("https://app.vivvix.com/360/KMI/IntelliDrive/ApplUI/Pages/CreativePages/CustomReportCreativeDetail.aspx?App=23&amp;ReportView=4&amp;Qid=1711279&amp;Row=7271&amp;Col=1","No Title Assigned - #15270377092")</f>
        <v/>
      </c>
      <c r="B7279" s="0" t="s">
        <v>9630</v>
      </c>
      <c r="C7279" s="0" t="s">
        <v>9631</v>
      </c>
      <c r="D7279" s="0" t="s">
        <v>9631</v>
      </c>
      <c r="E7279" s="0" t="inlineStr">
        <is>
          <t xml:space="preserve">Mazda</t>
        </is>
      </c>
      <c r="F7279" s="0" t="inlineStr">
        <is>
          <t xml:space="preserve">Mazda</t>
        </is>
      </c>
      <c r="G7279" s="0" t="s">
        <v>171</v>
      </c>
      <c r="H7279" s="5">
        <v>15.590500</v>
      </c>
    </row>
    <row r="7280" spans="1:9">
      <c r="A7280" s="22" t="str">
        <f>HYPERLINK("https://app.vivvix.com/360/KMI/IntelliDrive/ApplUI/Pages/CreativePages/CustomReportCreativeDetail.aspx?App=23&amp;ReportView=4&amp;Qid=1711279&amp;Row=7272&amp;Col=1","No Title Assigned - #15270378843")</f>
        <v/>
      </c>
      <c r="B7280" s="0" t="s">
        <v>9632</v>
      </c>
      <c r="C7280" s="0" t="s">
        <v>9633</v>
      </c>
      <c r="D7280" s="0" t="s">
        <v>9633</v>
      </c>
      <c r="E7280" s="0" t="inlineStr">
        <is>
          <t xml:space="preserve">Mazda</t>
        </is>
      </c>
      <c r="F7280" s="0" t="inlineStr">
        <is>
          <t xml:space="preserve">Mazda</t>
        </is>
      </c>
      <c r="G7280" s="0" t="s">
        <v>171</v>
      </c>
      <c r="H7280" s="5">
        <v>10720.999500</v>
      </c>
    </row>
    <row r="7281" spans="1:9">
      <c r="A7281" s="22" t="str">
        <f>HYPERLINK("https://app.vivvix.com/360/KMI/IntelliDrive/ApplUI/Pages/CreativePages/CustomReportCreativeDetail.aspx?App=23&amp;ReportView=4&amp;Qid=1711279&amp;Row=7273&amp;Col=1","No Title Assigned - #15270381429")</f>
        <v/>
      </c>
      <c r="B7281" s="0" t="s">
        <v>9634</v>
      </c>
      <c r="E7281" s="0" t="inlineStr">
        <is>
          <t xml:space="preserve">Mazda</t>
        </is>
      </c>
      <c r="F7281" s="0" t="inlineStr">
        <is>
          <t xml:space="preserve">Mazda</t>
        </is>
      </c>
      <c r="G7281" s="0" t="s">
        <v>171</v>
      </c>
      <c r="H7281" s="5">
        <v>74.732700</v>
      </c>
    </row>
    <row r="7282" spans="1:9">
      <c r="A7282" s="22" t="str">
        <f>HYPERLINK("https://app.vivvix.com/360/KMI/IntelliDrive/ApplUI/Pages/CreativePages/CustomReportCreativeDetail.aspx?App=23&amp;ReportView=4&amp;Qid=1711279&amp;Row=7274&amp;Col=1","No Title Assigned - #15270382173")</f>
        <v/>
      </c>
      <c r="B7282" s="0" t="s">
        <v>9635</v>
      </c>
      <c r="E7282" s="0" t="inlineStr">
        <is>
          <t xml:space="preserve">Mazda</t>
        </is>
      </c>
      <c r="F7282" s="0" t="inlineStr">
        <is>
          <t xml:space="preserve">Mazda</t>
        </is>
      </c>
      <c r="G7282" s="0" t="s">
        <v>171</v>
      </c>
      <c r="H7282" s="5">
        <v>21.132200</v>
      </c>
    </row>
    <row r="7283" spans="1:9">
      <c r="A7283" s="22" t="str">
        <f>HYPERLINK("https://app.vivvix.com/360/KMI/IntelliDrive/ApplUI/Pages/CreativePages/CustomReportCreativeDetail.aspx?App=23&amp;ReportView=4&amp;Qid=1711279&amp;Row=7275&amp;Col=1","No Title Assigned - #15270383323")</f>
        <v/>
      </c>
      <c r="B7283" s="0" t="s">
        <v>9636</v>
      </c>
      <c r="E7283" s="0" t="inlineStr">
        <is>
          <t xml:space="preserve">Mazda</t>
        </is>
      </c>
      <c r="F7283" s="0" t="inlineStr">
        <is>
          <t xml:space="preserve">Mazda</t>
        </is>
      </c>
      <c r="G7283" s="0" t="s">
        <v>171</v>
      </c>
      <c r="H7283" s="5">
        <v>440.717300</v>
      </c>
    </row>
    <row r="7284" spans="1:9">
      <c r="A7284" s="22" t="str">
        <f>HYPERLINK("https://app.vivvix.com/360/KMI/IntelliDrive/ApplUI/Pages/CreativePages/CustomReportCreativeDetail.aspx?App=23&amp;ReportView=4&amp;Qid=1711279&amp;Row=7276&amp;Col=1","No Title Assigned - #15270383373")</f>
        <v/>
      </c>
      <c r="B7284" s="0" t="s">
        <v>9637</v>
      </c>
      <c r="E7284" s="0" t="inlineStr">
        <is>
          <t xml:space="preserve">Mazda</t>
        </is>
      </c>
      <c r="F7284" s="0" t="inlineStr">
        <is>
          <t xml:space="preserve">Mazda</t>
        </is>
      </c>
      <c r="G7284" s="0" t="s">
        <v>171</v>
      </c>
      <c r="H7284" s="5">
        <v>15.393000</v>
      </c>
    </row>
    <row r="7285" spans="1:9">
      <c r="A7285" s="22" t="str">
        <f>HYPERLINK("https://app.vivvix.com/360/KMI/IntelliDrive/ApplUI/Pages/CreativePages/CustomReportCreativeDetail.aspx?App=23&amp;ReportView=4&amp;Qid=1711279&amp;Row=7277&amp;Col=1","No Title Assigned - #15270383418")</f>
        <v/>
      </c>
      <c r="B7285" s="0" t="s">
        <v>9638</v>
      </c>
      <c r="C7285" s="0" t="s">
        <v>9639</v>
      </c>
      <c r="D7285" s="0" t="s">
        <v>9639</v>
      </c>
      <c r="E7285" s="0" t="inlineStr">
        <is>
          <t xml:space="preserve">Mazda</t>
        </is>
      </c>
      <c r="F7285" s="0" t="inlineStr">
        <is>
          <t xml:space="preserve">Mazda</t>
        </is>
      </c>
      <c r="G7285" s="0" t="s">
        <v>171</v>
      </c>
      <c r="H7285" s="5">
        <v>44.568200</v>
      </c>
    </row>
    <row r="7286" spans="1:9">
      <c r="A7286" s="22" t="str">
        <f>HYPERLINK("https://app.vivvix.com/360/KMI/IntelliDrive/ApplUI/Pages/CreativePages/CustomReportCreativeDetail.aspx?App=23&amp;ReportView=4&amp;Qid=1711279&amp;Row=7278&amp;Col=1","No Title Assigned - #15270388749")</f>
        <v/>
      </c>
      <c r="B7286" s="0" t="s">
        <v>9640</v>
      </c>
      <c r="E7286" s="0" t="inlineStr">
        <is>
          <t xml:space="preserve">Mazda</t>
        </is>
      </c>
      <c r="F7286" s="0" t="inlineStr">
        <is>
          <t xml:space="preserve">Mazda</t>
        </is>
      </c>
      <c r="G7286" s="0" t="s">
        <v>171</v>
      </c>
      <c r="H7286" s="5">
        <v>88.501500</v>
      </c>
    </row>
    <row r="7287" spans="1:9">
      <c r="A7287" s="22" t="str">
        <f>HYPERLINK("https://app.vivvix.com/360/KMI/IntelliDrive/ApplUI/Pages/CreativePages/CustomReportCreativeDetail.aspx?App=23&amp;ReportView=4&amp;Qid=1711279&amp;Row=7279&amp;Col=1","No Title Assigned - #15270389498")</f>
        <v/>
      </c>
      <c r="B7287" s="0" t="s">
        <v>9641</v>
      </c>
      <c r="C7287" s="0" t="s">
        <v>9642</v>
      </c>
      <c r="D7287" s="0" t="s">
        <v>9642</v>
      </c>
      <c r="E7287" s="0" t="inlineStr">
        <is>
          <t xml:space="preserve">Mazda</t>
        </is>
      </c>
      <c r="F7287" s="0" t="inlineStr">
        <is>
          <t xml:space="preserve">Mazda</t>
        </is>
      </c>
      <c r="G7287" s="0" t="s">
        <v>171</v>
      </c>
      <c r="H7287" s="5">
        <v>11.469200</v>
      </c>
    </row>
    <row r="7288" spans="1:9">
      <c r="A7288" s="22" t="str">
        <f>HYPERLINK("https://app.vivvix.com/360/KMI/IntelliDrive/ApplUI/Pages/CreativePages/CustomReportCreativeDetail.aspx?App=23&amp;ReportView=4&amp;Qid=1711279&amp;Row=7280&amp;Col=1","No Title Assigned - #15270393413")</f>
        <v/>
      </c>
      <c r="B7288" s="0" t="s">
        <v>9643</v>
      </c>
      <c r="E7288" s="0" t="inlineStr">
        <is>
          <t xml:space="preserve">Mazda</t>
        </is>
      </c>
      <c r="F7288" s="0" t="inlineStr">
        <is>
          <t xml:space="preserve">Mazda</t>
        </is>
      </c>
      <c r="G7288" s="0" t="s">
        <v>171</v>
      </c>
      <c r="H7288" s="5">
        <v>49.109800</v>
      </c>
    </row>
    <row r="7289" spans="1:9">
      <c r="A7289" s="22" t="str">
        <f>HYPERLINK("https://app.vivvix.com/360/KMI/IntelliDrive/ApplUI/Pages/CreativePages/CustomReportCreativeDetail.aspx?App=23&amp;ReportView=4&amp;Qid=1711279&amp;Row=7281&amp;Col=1","No Title Assigned - #15270393511")</f>
        <v/>
      </c>
      <c r="B7289" s="0" t="s">
        <v>9644</v>
      </c>
      <c r="C7289" s="0" t="s">
        <v>9645</v>
      </c>
      <c r="D7289" s="0" t="s">
        <v>9645</v>
      </c>
      <c r="E7289" s="0" t="inlineStr">
        <is>
          <t xml:space="preserve">Mazda</t>
        </is>
      </c>
      <c r="F7289" s="0" t="inlineStr">
        <is>
          <t xml:space="preserve">Mazda</t>
        </is>
      </c>
      <c r="G7289" s="0" t="s">
        <v>171</v>
      </c>
      <c r="H7289" s="5">
        <v>19861.720200</v>
      </c>
    </row>
    <row r="7290" spans="1:9">
      <c r="A7290" s="22" t="str">
        <f>HYPERLINK("https://app.vivvix.com/360/KMI/IntelliDrive/ApplUI/Pages/CreativePages/CustomReportCreativeDetail.aspx?App=23&amp;ReportView=4&amp;Qid=1711279&amp;Row=7282&amp;Col=1","No Title Assigned - #15270393511")</f>
        <v/>
      </c>
      <c r="B7290" s="0" t="s">
        <v>9644</v>
      </c>
      <c r="E7290" s="0" t="inlineStr">
        <is>
          <t xml:space="preserve">Mazda</t>
        </is>
      </c>
      <c r="F7290" s="0" t="inlineStr">
        <is>
          <t xml:space="preserve">Mazda</t>
        </is>
      </c>
      <c r="G7290" s="0" t="s">
        <v>171</v>
      </c>
      <c r="H7290" s="5">
        <v>289.687200</v>
      </c>
    </row>
    <row r="7291" spans="1:9">
      <c r="A7291" s="22" t="str">
        <f>HYPERLINK("https://app.vivvix.com/360/KMI/IntelliDrive/ApplUI/Pages/CreativePages/CustomReportCreativeDetail.aspx?App=23&amp;ReportView=4&amp;Qid=1711279&amp;Row=7283&amp;Col=1","No Title Assigned - #15270393678")</f>
        <v/>
      </c>
      <c r="B7291" s="0" t="s">
        <v>9646</v>
      </c>
      <c r="E7291" s="0" t="inlineStr">
        <is>
          <t xml:space="preserve">Mazda</t>
        </is>
      </c>
      <c r="F7291" s="0" t="inlineStr">
        <is>
          <t xml:space="preserve">Mazda</t>
        </is>
      </c>
      <c r="G7291" s="0" t="s">
        <v>171</v>
      </c>
      <c r="H7291" s="5">
        <v>219.875400</v>
      </c>
    </row>
    <row r="7292" spans="1:9">
      <c r="A7292" s="22" t="str">
        <f>HYPERLINK("https://app.vivvix.com/360/KMI/IntelliDrive/ApplUI/Pages/CreativePages/CustomReportCreativeDetail.aspx?App=23&amp;ReportView=4&amp;Qid=1711279&amp;Row=7284&amp;Col=1","No Title Assigned - #15270394204")</f>
        <v/>
      </c>
      <c r="B7292" s="0" t="s">
        <v>9647</v>
      </c>
      <c r="E7292" s="0" t="inlineStr">
        <is>
          <t xml:space="preserve">Mazda</t>
        </is>
      </c>
      <c r="F7292" s="0" t="inlineStr">
        <is>
          <t xml:space="preserve">Mazda</t>
        </is>
      </c>
      <c r="G7292" s="0" t="s">
        <v>171</v>
      </c>
      <c r="H7292" s="5">
        <v>11872.945300</v>
      </c>
    </row>
    <row r="7293" spans="1:9">
      <c r="A7293" s="22" t="str">
        <f>HYPERLINK("https://app.vivvix.com/360/KMI/IntelliDrive/ApplUI/Pages/CreativePages/CustomReportCreativeDetail.aspx?App=23&amp;ReportView=4&amp;Qid=1711279&amp;Row=7285&amp;Col=1","No Title Assigned - #15270394288")</f>
        <v/>
      </c>
      <c r="B7293" s="0" t="s">
        <v>9648</v>
      </c>
      <c r="E7293" s="0" t="inlineStr">
        <is>
          <t xml:space="preserve">Mazda</t>
        </is>
      </c>
      <c r="F7293" s="0" t="inlineStr">
        <is>
          <t xml:space="preserve">Mazda</t>
        </is>
      </c>
      <c r="G7293" s="0" t="s">
        <v>171</v>
      </c>
      <c r="H7293" s="5">
        <v>287.526700</v>
      </c>
    </row>
    <row r="7294" spans="1:9">
      <c r="A7294" s="22" t="str">
        <f>HYPERLINK("https://app.vivvix.com/360/KMI/IntelliDrive/ApplUI/Pages/CreativePages/CustomReportCreativeDetail.aspx?App=23&amp;ReportView=4&amp;Qid=1711279&amp;Row=7286&amp;Col=1","No Title Assigned - #15270394634")</f>
        <v/>
      </c>
      <c r="B7294" s="0" t="s">
        <v>9649</v>
      </c>
      <c r="E7294" s="0" t="inlineStr">
        <is>
          <t xml:space="preserve">Mazda</t>
        </is>
      </c>
      <c r="F7294" s="0" t="inlineStr">
        <is>
          <t xml:space="preserve">Mazda</t>
        </is>
      </c>
      <c r="G7294" s="0" t="s">
        <v>171</v>
      </c>
      <c r="H7294" s="5">
        <v>153.587900</v>
      </c>
    </row>
    <row r="7295" spans="1:9">
      <c r="A7295" s="22" t="str">
        <f>HYPERLINK("https://app.vivvix.com/360/KMI/IntelliDrive/ApplUI/Pages/CreativePages/CustomReportCreativeDetail.aspx?App=23&amp;ReportView=4&amp;Qid=1711279&amp;Row=7287&amp;Col=1","No Title Assigned - #15270394635")</f>
        <v/>
      </c>
      <c r="B7295" s="0" t="s">
        <v>9650</v>
      </c>
      <c r="C7295" s="0" t="s">
        <v>9651</v>
      </c>
      <c r="D7295" s="0" t="s">
        <v>9651</v>
      </c>
      <c r="E7295" s="0" t="inlineStr">
        <is>
          <t xml:space="preserve">Mazda</t>
        </is>
      </c>
      <c r="F7295" s="0" t="inlineStr">
        <is>
          <t xml:space="preserve">Mazda</t>
        </is>
      </c>
      <c r="G7295" s="0" t="s">
        <v>171</v>
      </c>
      <c r="H7295" s="5">
        <v>237.720400</v>
      </c>
    </row>
    <row r="7296" spans="1:9">
      <c r="A7296" s="22" t="str">
        <f>HYPERLINK("https://app.vivvix.com/360/KMI/IntelliDrive/ApplUI/Pages/CreativePages/CustomReportCreativeDetail.aspx?App=23&amp;ReportView=4&amp;Qid=1711279&amp;Row=7288&amp;Col=1","No Title Assigned - #15270394714")</f>
        <v/>
      </c>
      <c r="B7296" s="0" t="s">
        <v>9652</v>
      </c>
      <c r="E7296" s="0" t="inlineStr">
        <is>
          <t xml:space="preserve">Mazda</t>
        </is>
      </c>
      <c r="F7296" s="0" t="inlineStr">
        <is>
          <t xml:space="preserve">Mazda</t>
        </is>
      </c>
      <c r="G7296" s="0" t="s">
        <v>171</v>
      </c>
      <c r="H7296" s="5">
        <v>1041.038100</v>
      </c>
    </row>
    <row r="7297" spans="1:9">
      <c r="A7297" s="22" t="str">
        <f>HYPERLINK("https://app.vivvix.com/360/KMI/IntelliDrive/ApplUI/Pages/CreativePages/CustomReportCreativeDetail.aspx?App=23&amp;ReportView=4&amp;Qid=1711279&amp;Row=7289&amp;Col=1","No Title Assigned - #15270400736")</f>
        <v/>
      </c>
      <c r="B7297" s="0" t="s">
        <v>9653</v>
      </c>
      <c r="C7297" s="0" t="s">
        <v>9654</v>
      </c>
      <c r="D7297" s="0" t="s">
        <v>6170</v>
      </c>
      <c r="E7297" s="0" t="inlineStr">
        <is>
          <t xml:space="preserve">Mazda</t>
        </is>
      </c>
      <c r="F7297" s="0" t="s">
        <v>28</v>
      </c>
      <c r="G7297" s="0" t="s">
        <v>29</v>
      </c>
      <c r="H7297" s="5">
        <v>4.676900</v>
      </c>
    </row>
    <row r="7298" spans="1:9">
      <c r="A7298" s="22" t="str">
        <f>HYPERLINK("https://app.vivvix.com/360/KMI/IntelliDrive/ApplUI/Pages/CreativePages/CustomReportCreativeDetail.aspx?App=23&amp;ReportView=4&amp;Qid=1711279&amp;Row=7290&amp;Col=1","No Title Assigned - #15270401120")</f>
        <v/>
      </c>
      <c r="B7298" s="0" t="s">
        <v>9655</v>
      </c>
      <c r="C7298" s="0" t="s">
        <v>9656</v>
      </c>
      <c r="D7298" s="0" t="s">
        <v>9656</v>
      </c>
      <c r="E7298" s="0" t="inlineStr">
        <is>
          <t xml:space="preserve">Mazda</t>
        </is>
      </c>
      <c r="F7298" s="0" t="s">
        <v>21</v>
      </c>
      <c r="G7298" s="0" t="s">
        <v>22</v>
      </c>
      <c r="H7298" s="5">
        <v>6341.858100</v>
      </c>
    </row>
    <row r="7299" spans="1:9">
      <c r="A7299" s="22" t="str">
        <f>HYPERLINK("https://app.vivvix.com/360/KMI/IntelliDrive/ApplUI/Pages/CreativePages/CustomReportCreativeDetail.aspx?App=23&amp;ReportView=4&amp;Qid=1711279&amp;Row=7291&amp;Col=1","No Title Assigned - #15270401120")</f>
        <v/>
      </c>
      <c r="B7299" s="0" t="s">
        <v>9655</v>
      </c>
      <c r="E7299" s="0" t="inlineStr">
        <is>
          <t xml:space="preserve">Mazda</t>
        </is>
      </c>
      <c r="F7299" s="0" t="s">
        <v>21</v>
      </c>
      <c r="G7299" s="0" t="s">
        <v>22</v>
      </c>
      <c r="H7299" s="5">
        <v>11963.392600</v>
      </c>
    </row>
    <row r="7300" spans="1:9">
      <c r="A7300" s="22" t="str">
        <f>HYPERLINK("https://app.vivvix.com/360/KMI/IntelliDrive/ApplUI/Pages/CreativePages/CustomReportCreativeDetail.aspx?App=23&amp;ReportView=4&amp;Qid=1711279&amp;Row=7292&amp;Col=1","No Title Assigned - #15270403068")</f>
        <v/>
      </c>
      <c r="B7300" s="0" t="s">
        <v>9657</v>
      </c>
      <c r="E7300" s="0" t="inlineStr">
        <is>
          <t xml:space="preserve">Mazda</t>
        </is>
      </c>
      <c r="F7300" s="0" t="inlineStr">
        <is>
          <t xml:space="preserve">Mazda</t>
        </is>
      </c>
      <c r="G7300" s="0" t="s">
        <v>171</v>
      </c>
      <c r="H7300" s="5">
        <v>864.607400</v>
      </c>
    </row>
    <row r="7301" spans="1:9">
      <c r="A7301" s="22" t="str">
        <f>HYPERLINK("https://app.vivvix.com/360/KMI/IntelliDrive/ApplUI/Pages/CreativePages/CustomReportCreativeDetail.aspx?App=23&amp;ReportView=4&amp;Qid=1711279&amp;Row=7293&amp;Col=1","No Title Assigned - #15270409927")</f>
        <v/>
      </c>
      <c r="B7301" s="0" t="s">
        <v>9658</v>
      </c>
      <c r="E7301" s="0" t="inlineStr">
        <is>
          <t xml:space="preserve">Mazda</t>
        </is>
      </c>
      <c r="F7301" s="0" t="inlineStr">
        <is>
          <t xml:space="preserve">Mazda</t>
        </is>
      </c>
      <c r="G7301" s="0" t="s">
        <v>171</v>
      </c>
      <c r="H7301" s="5">
        <v>166.081200</v>
      </c>
    </row>
    <row r="7302" spans="1:9">
      <c r="A7302" s="22" t="str">
        <f>HYPERLINK("https://app.vivvix.com/360/KMI/IntelliDrive/ApplUI/Pages/CreativePages/CustomReportCreativeDetail.aspx?App=23&amp;ReportView=4&amp;Qid=1711279&amp;Row=7294&amp;Col=1","No Title Assigned - #15270410602")</f>
        <v/>
      </c>
      <c r="B7302" s="0" t="s">
        <v>9659</v>
      </c>
      <c r="E7302" s="0" t="inlineStr">
        <is>
          <t xml:space="preserve">Mazda</t>
        </is>
      </c>
      <c r="F7302" s="0" t="inlineStr">
        <is>
          <t xml:space="preserve">Mazda</t>
        </is>
      </c>
      <c r="G7302" s="0" t="s">
        <v>171</v>
      </c>
      <c r="H7302" s="5">
        <v>57.691000</v>
      </c>
    </row>
    <row r="7303" spans="1:9">
      <c r="A7303" s="22" t="str">
        <f>HYPERLINK("https://app.vivvix.com/360/KMI/IntelliDrive/ApplUI/Pages/CreativePages/CustomReportCreativeDetail.aspx?App=23&amp;ReportView=4&amp;Qid=1711279&amp;Row=7295&amp;Col=1","No Title Assigned - #15270410623")</f>
        <v/>
      </c>
      <c r="B7303" s="0" t="s">
        <v>9660</v>
      </c>
      <c r="C7303" s="0" t="s">
        <v>9661</v>
      </c>
      <c r="D7303" s="0" t="s">
        <v>4202</v>
      </c>
      <c r="E7303" s="0" t="inlineStr">
        <is>
          <t xml:space="preserve">Mazda</t>
        </is>
      </c>
      <c r="F7303" s="0" t="s">
        <v>28</v>
      </c>
      <c r="G7303" s="0" t="s">
        <v>29</v>
      </c>
      <c r="H7303" s="5">
        <v>47.742100</v>
      </c>
    </row>
    <row r="7304" spans="1:9">
      <c r="A7304" s="22" t="str">
        <f>HYPERLINK("https://app.vivvix.com/360/KMI/IntelliDrive/ApplUI/Pages/CreativePages/CustomReportCreativeDetail.aspx?App=23&amp;ReportView=4&amp;Qid=1711279&amp;Row=7296&amp;Col=1","No Title Assigned - #15270410692")</f>
        <v/>
      </c>
      <c r="B7304" s="0" t="s">
        <v>9662</v>
      </c>
      <c r="C7304" s="0" t="s">
        <v>9663</v>
      </c>
      <c r="D7304" s="0" t="s">
        <v>4335</v>
      </c>
      <c r="E7304" s="0" t="inlineStr">
        <is>
          <t xml:space="preserve">Mazda</t>
        </is>
      </c>
      <c r="F7304" s="0" t="s">
        <v>13</v>
      </c>
      <c r="G7304" s="0" t="s">
        <v>49</v>
      </c>
      <c r="H7304" s="5">
        <v>234.184400</v>
      </c>
    </row>
    <row r="7305" spans="1:9">
      <c r="A7305" s="22" t="str">
        <f>HYPERLINK("https://app.vivvix.com/360/KMI/IntelliDrive/ApplUI/Pages/CreativePages/CustomReportCreativeDetail.aspx?App=23&amp;ReportView=4&amp;Qid=1711279&amp;Row=7297&amp;Col=1","No Title Assigned - #15270410839")</f>
        <v/>
      </c>
      <c r="B7305" s="0" t="s">
        <v>9664</v>
      </c>
      <c r="C7305" s="0" t="s">
        <v>9665</v>
      </c>
      <c r="D7305" s="0" t="s">
        <v>4202</v>
      </c>
      <c r="E7305" s="0" t="inlineStr">
        <is>
          <t xml:space="preserve">Mazda</t>
        </is>
      </c>
      <c r="F7305" s="0" t="s">
        <v>28</v>
      </c>
      <c r="G7305" s="0" t="s">
        <v>29</v>
      </c>
      <c r="H7305" s="5">
        <v>3.918700</v>
      </c>
    </row>
    <row r="7306" spans="1:9">
      <c r="A7306" s="22" t="str">
        <f>HYPERLINK("https://app.vivvix.com/360/KMI/IntelliDrive/ApplUI/Pages/CreativePages/CustomReportCreativeDetail.aspx?App=23&amp;ReportView=4&amp;Qid=1711279&amp;Row=7298&amp;Col=1","No Title Assigned - #15270410987")</f>
        <v/>
      </c>
      <c r="B7306" s="0" t="s">
        <v>9666</v>
      </c>
      <c r="C7306" s="0" t="s">
        <v>9667</v>
      </c>
      <c r="D7306" s="0" t="s">
        <v>4200</v>
      </c>
      <c r="E7306" s="0" t="inlineStr">
        <is>
          <t xml:space="preserve">Mazda</t>
        </is>
      </c>
      <c r="F7306" s="0" t="s">
        <v>28</v>
      </c>
      <c r="G7306" s="0" t="s">
        <v>29</v>
      </c>
      <c r="H7306" s="5">
        <v>792.062000</v>
      </c>
    </row>
    <row r="7307" spans="1:9">
      <c r="A7307" s="22" t="str">
        <f>HYPERLINK("https://app.vivvix.com/360/KMI/IntelliDrive/ApplUI/Pages/CreativePages/CustomReportCreativeDetail.aspx?App=23&amp;ReportView=4&amp;Qid=1711279&amp;Row=7299&amp;Col=1","No Title Assigned - #15270410988")</f>
        <v/>
      </c>
      <c r="B7307" s="0" t="s">
        <v>9668</v>
      </c>
      <c r="C7307" s="0" t="s">
        <v>9669</v>
      </c>
      <c r="D7307" s="0" t="s">
        <v>9669</v>
      </c>
      <c r="E7307" s="0" t="inlineStr">
        <is>
          <t xml:space="preserve">Mazda</t>
        </is>
      </c>
      <c r="F7307" s="0" t="s">
        <v>28</v>
      </c>
      <c r="G7307" s="0" t="s">
        <v>29</v>
      </c>
      <c r="H7307" s="5">
        <v>376.337600</v>
      </c>
    </row>
    <row r="7308" spans="1:9">
      <c r="A7308" s="22" t="str">
        <f>HYPERLINK("https://app.vivvix.com/360/KMI/IntelliDrive/ApplUI/Pages/CreativePages/CustomReportCreativeDetail.aspx?App=23&amp;ReportView=4&amp;Qid=1711279&amp;Row=7300&amp;Col=1","No Title Assigned - #15270410990")</f>
        <v/>
      </c>
      <c r="B7308" s="0" t="s">
        <v>9670</v>
      </c>
      <c r="C7308" s="0" t="s">
        <v>9671</v>
      </c>
      <c r="D7308" s="0" t="s">
        <v>9671</v>
      </c>
      <c r="E7308" s="0" t="inlineStr">
        <is>
          <t xml:space="preserve">Mazda</t>
        </is>
      </c>
      <c r="F7308" s="0" t="s">
        <v>13</v>
      </c>
      <c r="G7308" s="0" t="s">
        <v>49</v>
      </c>
      <c r="H7308" s="5">
        <v>44424.680500</v>
      </c>
    </row>
    <row r="7309" spans="1:9">
      <c r="A7309" s="22" t="str">
        <f>HYPERLINK("https://app.vivvix.com/360/KMI/IntelliDrive/ApplUI/Pages/CreativePages/CustomReportCreativeDetail.aspx?App=23&amp;ReportView=4&amp;Qid=1711279&amp;Row=7301&amp;Col=1","No Title Assigned - #15270410990")</f>
        <v/>
      </c>
      <c r="B7309" s="0" t="s">
        <v>9670</v>
      </c>
      <c r="E7309" s="0" t="inlineStr">
        <is>
          <t xml:space="preserve">Mazda</t>
        </is>
      </c>
      <c r="F7309" s="0" t="s">
        <v>13</v>
      </c>
      <c r="G7309" s="0" t="s">
        <v>49</v>
      </c>
      <c r="H7309" s="5">
        <v>2306.908400</v>
      </c>
    </row>
    <row r="7310" spans="1:9">
      <c r="A7310" s="22" t="str">
        <f>HYPERLINK("https://app.vivvix.com/360/KMI/IntelliDrive/ApplUI/Pages/CreativePages/CustomReportCreativeDetail.aspx?App=23&amp;ReportView=4&amp;Qid=1711279&amp;Row=7302&amp;Col=1","No Title Assigned - #15270411486")</f>
        <v/>
      </c>
      <c r="B7310" s="0" t="s">
        <v>9672</v>
      </c>
      <c r="C7310" s="0" t="s">
        <v>9673</v>
      </c>
      <c r="D7310" s="0" t="s">
        <v>9673</v>
      </c>
      <c r="E7310" s="0" t="inlineStr">
        <is>
          <t xml:space="preserve">Mazda</t>
        </is>
      </c>
      <c r="F7310" s="0" t="s">
        <v>28</v>
      </c>
      <c r="G7310" s="0" t="s">
        <v>29</v>
      </c>
      <c r="H7310" s="5">
        <v>26.785700</v>
      </c>
    </row>
    <row r="7311" spans="1:9">
      <c r="A7311" s="22" t="str">
        <f>HYPERLINK("https://app.vivvix.com/360/KMI/IntelliDrive/ApplUI/Pages/CreativePages/CustomReportCreativeDetail.aspx?App=23&amp;ReportView=4&amp;Qid=1711279&amp;Row=7303&amp;Col=1","No Title Assigned - #15270411976")</f>
        <v/>
      </c>
      <c r="B7311" s="0" t="s">
        <v>9674</v>
      </c>
      <c r="C7311" s="0" t="s">
        <v>9675</v>
      </c>
      <c r="D7311" s="0" t="s">
        <v>9676</v>
      </c>
      <c r="E7311" s="0" t="inlineStr">
        <is>
          <t xml:space="preserve">Mazda</t>
        </is>
      </c>
      <c r="F7311" s="0" t="s">
        <v>13</v>
      </c>
      <c r="G7311" s="0" t="s">
        <v>49</v>
      </c>
      <c r="H7311" s="5">
        <v>2076.136100</v>
      </c>
    </row>
    <row r="7312" spans="1:9">
      <c r="A7312" s="22" t="str">
        <f>HYPERLINK("https://app.vivvix.com/360/KMI/IntelliDrive/ApplUI/Pages/CreativePages/CustomReportCreativeDetail.aspx?App=23&amp;ReportView=4&amp;Qid=1711279&amp;Row=7304&amp;Col=1","No Title Assigned - #15270411976")</f>
        <v/>
      </c>
      <c r="B7312" s="0" t="s">
        <v>9674</v>
      </c>
      <c r="E7312" s="0" t="inlineStr">
        <is>
          <t xml:space="preserve">Mazda</t>
        </is>
      </c>
      <c r="F7312" s="0" t="s">
        <v>13</v>
      </c>
      <c r="G7312" s="0" t="s">
        <v>49</v>
      </c>
      <c r="H7312" s="5">
        <v>4947.825100</v>
      </c>
    </row>
    <row r="7313" spans="1:9">
      <c r="A7313" s="22" t="str">
        <f>HYPERLINK("https://app.vivvix.com/360/KMI/IntelliDrive/ApplUI/Pages/CreativePages/CustomReportCreativeDetail.aspx?App=23&amp;ReportView=4&amp;Qid=1711279&amp;Row=7305&amp;Col=1","No Title Assigned - #15270412032")</f>
        <v/>
      </c>
      <c r="B7313" s="0" t="s">
        <v>9677</v>
      </c>
      <c r="C7313" s="0" t="s">
        <v>9678</v>
      </c>
      <c r="D7313" s="0" t="s">
        <v>9678</v>
      </c>
      <c r="E7313" s="0" t="inlineStr">
        <is>
          <t xml:space="preserve">Mazda</t>
        </is>
      </c>
      <c r="F7313" s="0" t="s">
        <v>28</v>
      </c>
      <c r="G7313" s="0" t="s">
        <v>29</v>
      </c>
      <c r="H7313" s="5">
        <v>299.720400</v>
      </c>
    </row>
    <row r="7314" spans="1:9">
      <c r="A7314" s="22" t="str">
        <f>HYPERLINK("https://app.vivvix.com/360/KMI/IntelliDrive/ApplUI/Pages/CreativePages/CustomReportCreativeDetail.aspx?App=23&amp;ReportView=4&amp;Qid=1711279&amp;Row=7306&amp;Col=1","No Title Assigned - #15270413051")</f>
        <v/>
      </c>
      <c r="B7314" s="0" t="s">
        <v>9679</v>
      </c>
      <c r="C7314" s="0" t="s">
        <v>9680</v>
      </c>
      <c r="D7314" s="0" t="s">
        <v>4335</v>
      </c>
      <c r="E7314" s="0" t="inlineStr">
        <is>
          <t xml:space="preserve">Mazda</t>
        </is>
      </c>
      <c r="F7314" s="0" t="s">
        <v>13</v>
      </c>
      <c r="G7314" s="0" t="s">
        <v>49</v>
      </c>
      <c r="H7314" s="5">
        <v>1709.985200</v>
      </c>
    </row>
    <row r="7315" spans="1:9">
      <c r="A7315" s="22" t="str">
        <f>HYPERLINK("https://app.vivvix.com/360/KMI/IntelliDrive/ApplUI/Pages/CreativePages/CustomReportCreativeDetail.aspx?App=23&amp;ReportView=4&amp;Qid=1711279&amp;Row=7307&amp;Col=1","No Title Assigned - #15270413386")</f>
        <v/>
      </c>
      <c r="B7315" s="0" t="s">
        <v>9681</v>
      </c>
      <c r="C7315" s="0" t="s">
        <v>9682</v>
      </c>
      <c r="D7315" s="0" t="s">
        <v>9682</v>
      </c>
      <c r="E7315" s="0" t="inlineStr">
        <is>
          <t xml:space="preserve">Mazda</t>
        </is>
      </c>
      <c r="F7315" s="0" t="s">
        <v>13</v>
      </c>
      <c r="G7315" s="0" t="s">
        <v>49</v>
      </c>
      <c r="H7315" s="5">
        <v>824.720800</v>
      </c>
    </row>
    <row r="7316" spans="1:9">
      <c r="A7316" s="22" t="str">
        <f>HYPERLINK("https://app.vivvix.com/360/KMI/IntelliDrive/ApplUI/Pages/CreativePages/CustomReportCreativeDetail.aspx?App=23&amp;ReportView=4&amp;Qid=1711279&amp;Row=7308&amp;Col=1","No Title Assigned - #15270413386")</f>
        <v/>
      </c>
      <c r="B7316" s="0" t="s">
        <v>9681</v>
      </c>
      <c r="C7316" s="0" t="s">
        <v>9683</v>
      </c>
      <c r="D7316" s="0" t="s">
        <v>9683</v>
      </c>
      <c r="E7316" s="0" t="inlineStr">
        <is>
          <t xml:space="preserve">Mazda</t>
        </is>
      </c>
      <c r="F7316" s="0" t="s">
        <v>13</v>
      </c>
      <c r="G7316" s="0" t="s">
        <v>49</v>
      </c>
      <c r="H7316" s="5">
        <v>11115.738300</v>
      </c>
    </row>
    <row r="7317" spans="1:9">
      <c r="A7317" s="22" t="str">
        <f>HYPERLINK("https://app.vivvix.com/360/KMI/IntelliDrive/ApplUI/Pages/CreativePages/CustomReportCreativeDetail.aspx?App=23&amp;ReportView=4&amp;Qid=1711279&amp;Row=7309&amp;Col=1","No Title Assigned - #15270413864")</f>
        <v/>
      </c>
      <c r="B7317" s="0" t="s">
        <v>9684</v>
      </c>
      <c r="C7317" s="0" t="s">
        <v>9685</v>
      </c>
      <c r="D7317" s="0" t="s">
        <v>4768</v>
      </c>
      <c r="E7317" s="0" t="inlineStr">
        <is>
          <t xml:space="preserve">Mazda</t>
        </is>
      </c>
      <c r="F7317" s="0" t="s">
        <v>13</v>
      </c>
      <c r="G7317" s="0" t="s">
        <v>49</v>
      </c>
      <c r="H7317" s="5">
        <v>2178.231700</v>
      </c>
    </row>
    <row r="7318" spans="1:9">
      <c r="A7318" s="22" t="str">
        <f>HYPERLINK("https://app.vivvix.com/360/KMI/IntelliDrive/ApplUI/Pages/CreativePages/CustomReportCreativeDetail.aspx?App=23&amp;ReportView=4&amp;Qid=1711279&amp;Row=7310&amp;Col=1","No Title Assigned - #15270414045")</f>
        <v/>
      </c>
      <c r="B7318" s="0" t="s">
        <v>9686</v>
      </c>
      <c r="C7318" s="0" t="s">
        <v>9687</v>
      </c>
      <c r="D7318" s="0" t="s">
        <v>6167</v>
      </c>
      <c r="E7318" s="0" t="inlineStr">
        <is>
          <t xml:space="preserve">Mazda</t>
        </is>
      </c>
      <c r="F7318" s="0" t="s">
        <v>28</v>
      </c>
      <c r="G7318" s="0" t="s">
        <v>29</v>
      </c>
      <c r="H7318" s="5">
        <v>345.862600</v>
      </c>
    </row>
    <row r="7319" spans="1:9">
      <c r="A7319" s="22" t="str">
        <f>HYPERLINK("https://app.vivvix.com/360/KMI/IntelliDrive/ApplUI/Pages/CreativePages/CustomReportCreativeDetail.aspx?App=23&amp;ReportView=4&amp;Qid=1711279&amp;Row=7311&amp;Col=1","No Title Assigned - #15270414090")</f>
        <v/>
      </c>
      <c r="B7319" s="0" t="s">
        <v>9688</v>
      </c>
      <c r="C7319" s="0" t="s">
        <v>9689</v>
      </c>
      <c r="D7319" s="0" t="s">
        <v>9689</v>
      </c>
      <c r="E7319" s="0" t="inlineStr">
        <is>
          <t xml:space="preserve">Mazda</t>
        </is>
      </c>
      <c r="F7319" s="0" t="s">
        <v>28</v>
      </c>
      <c r="G7319" s="0" t="s">
        <v>29</v>
      </c>
      <c r="H7319" s="5">
        <v>6.291000</v>
      </c>
    </row>
    <row r="7320" spans="1:9">
      <c r="A7320" s="22" t="str">
        <f>HYPERLINK("https://app.vivvix.com/360/KMI/IntelliDrive/ApplUI/Pages/CreativePages/CustomReportCreativeDetail.aspx?App=23&amp;ReportView=4&amp;Qid=1711279&amp;Row=7312&amp;Col=1","No Title Assigned - #15270414163")</f>
        <v/>
      </c>
      <c r="B7320" s="0" t="s">
        <v>9690</v>
      </c>
      <c r="C7320" s="0" t="s">
        <v>9691</v>
      </c>
      <c r="D7320" s="0" t="s">
        <v>9691</v>
      </c>
      <c r="E7320" s="0" t="inlineStr">
        <is>
          <t xml:space="preserve">Mazda</t>
        </is>
      </c>
      <c r="F7320" s="0" t="s">
        <v>28</v>
      </c>
      <c r="G7320" s="0" t="s">
        <v>29</v>
      </c>
      <c r="H7320" s="5">
        <v>504.241100</v>
      </c>
    </row>
    <row r="7321" spans="1:9">
      <c r="A7321" s="22" t="str">
        <f>HYPERLINK("https://app.vivvix.com/360/KMI/IntelliDrive/ApplUI/Pages/CreativePages/CustomReportCreativeDetail.aspx?App=23&amp;ReportView=4&amp;Qid=1711279&amp;Row=7313&amp;Col=1","No Title Assigned - #15270414206")</f>
        <v/>
      </c>
      <c r="B7321" s="0" t="s">
        <v>9692</v>
      </c>
      <c r="C7321" s="0" t="s">
        <v>9693</v>
      </c>
      <c r="D7321" s="0" t="s">
        <v>9693</v>
      </c>
      <c r="E7321" s="0" t="inlineStr">
        <is>
          <t xml:space="preserve">Mazda</t>
        </is>
      </c>
      <c r="F7321" s="0" t="s">
        <v>13</v>
      </c>
      <c r="G7321" s="0" t="s">
        <v>49</v>
      </c>
      <c r="H7321" s="5">
        <v>160.926600</v>
      </c>
    </row>
    <row r="7322" spans="1:9">
      <c r="A7322" s="22" t="str">
        <f>HYPERLINK("https://app.vivvix.com/360/KMI/IntelliDrive/ApplUI/Pages/CreativePages/CustomReportCreativeDetail.aspx?App=23&amp;ReportView=4&amp;Qid=1711279&amp;Row=7314&amp;Col=1","No Title Assigned - #15270414257")</f>
        <v/>
      </c>
      <c r="B7322" s="0" t="s">
        <v>9694</v>
      </c>
      <c r="C7322" s="0" t="s">
        <v>9695</v>
      </c>
      <c r="D7322" s="0" t="s">
        <v>8828</v>
      </c>
      <c r="E7322" s="0" t="inlineStr">
        <is>
          <t xml:space="preserve">Mazda</t>
        </is>
      </c>
      <c r="F7322" s="0" t="s">
        <v>28</v>
      </c>
      <c r="G7322" s="0" t="s">
        <v>29</v>
      </c>
      <c r="H7322" s="5">
        <v>162.816600</v>
      </c>
    </row>
    <row r="7323" spans="1:9">
      <c r="A7323" s="22" t="str">
        <f>HYPERLINK("https://app.vivvix.com/360/KMI/IntelliDrive/ApplUI/Pages/CreativePages/CustomReportCreativeDetail.aspx?App=23&amp;ReportView=4&amp;Qid=1711279&amp;Row=7315&amp;Col=1","No Title Assigned - #15270414352")</f>
        <v/>
      </c>
      <c r="B7323" s="0" t="s">
        <v>9696</v>
      </c>
      <c r="C7323" s="0" t="s">
        <v>9697</v>
      </c>
      <c r="D7323" s="0" t="s">
        <v>9697</v>
      </c>
      <c r="E7323" s="0" t="inlineStr">
        <is>
          <t xml:space="preserve">Mazda</t>
        </is>
      </c>
      <c r="F7323" s="0" t="s">
        <v>13</v>
      </c>
      <c r="G7323" s="0" t="s">
        <v>49</v>
      </c>
      <c r="H7323" s="5">
        <v>45.795600</v>
      </c>
    </row>
    <row r="7324" spans="1:9">
      <c r="A7324" s="22" t="str">
        <f>HYPERLINK("https://app.vivvix.com/360/KMI/IntelliDrive/ApplUI/Pages/CreativePages/CustomReportCreativeDetail.aspx?App=23&amp;ReportView=4&amp;Qid=1711279&amp;Row=7316&amp;Col=1","No Title Assigned - #15270414575")</f>
        <v/>
      </c>
      <c r="B7324" s="0" t="s">
        <v>9698</v>
      </c>
      <c r="C7324" s="0" t="s">
        <v>9699</v>
      </c>
      <c r="D7324" s="0" t="s">
        <v>9699</v>
      </c>
      <c r="E7324" s="0" t="inlineStr">
        <is>
          <t xml:space="preserve">Mazda</t>
        </is>
      </c>
      <c r="F7324" s="0" t="s">
        <v>13</v>
      </c>
      <c r="G7324" s="0" t="s">
        <v>49</v>
      </c>
      <c r="H7324" s="5">
        <v>8054.293600</v>
      </c>
    </row>
    <row r="7325" spans="1:9">
      <c r="A7325" s="22" t="str">
        <f>HYPERLINK("https://app.vivvix.com/360/KMI/IntelliDrive/ApplUI/Pages/CreativePages/CustomReportCreativeDetail.aspx?App=23&amp;ReportView=4&amp;Qid=1711279&amp;Row=7317&amp;Col=1","No Title Assigned - #15270414575")</f>
        <v/>
      </c>
      <c r="B7325" s="0" t="s">
        <v>9698</v>
      </c>
      <c r="E7325" s="0" t="inlineStr">
        <is>
          <t xml:space="preserve">Mazda</t>
        </is>
      </c>
      <c r="F7325" s="0" t="s">
        <v>13</v>
      </c>
      <c r="G7325" s="0" t="s">
        <v>49</v>
      </c>
      <c r="H7325" s="5">
        <v>1168.609700</v>
      </c>
    </row>
    <row r="7326" spans="1:9">
      <c r="A7326" s="22" t="str">
        <f>HYPERLINK("https://app.vivvix.com/360/KMI/IntelliDrive/ApplUI/Pages/CreativePages/CustomReportCreativeDetail.aspx?App=23&amp;ReportView=4&amp;Qid=1711279&amp;Row=7318&amp;Col=1","No Title Assigned - #15270414577")</f>
        <v/>
      </c>
      <c r="B7326" s="0" t="s">
        <v>9700</v>
      </c>
      <c r="C7326" s="0" t="s">
        <v>9701</v>
      </c>
      <c r="D7326" s="0" t="s">
        <v>9701</v>
      </c>
      <c r="E7326" s="0" t="inlineStr">
        <is>
          <t xml:space="preserve">Mazda</t>
        </is>
      </c>
      <c r="F7326" s="0" t="s">
        <v>13</v>
      </c>
      <c r="G7326" s="0" t="s">
        <v>49</v>
      </c>
      <c r="H7326" s="5">
        <v>61.889300</v>
      </c>
    </row>
    <row r="7327" spans="1:9">
      <c r="A7327" s="22" t="str">
        <f>HYPERLINK("https://app.vivvix.com/360/KMI/IntelliDrive/ApplUI/Pages/CreativePages/CustomReportCreativeDetail.aspx?App=23&amp;ReportView=4&amp;Qid=1711279&amp;Row=7319&amp;Col=1","No Title Assigned - #15270414578")</f>
        <v/>
      </c>
      <c r="B7327" s="0" t="s">
        <v>9702</v>
      </c>
      <c r="C7327" s="0" t="s">
        <v>9703</v>
      </c>
      <c r="D7327" s="0" t="s">
        <v>9703</v>
      </c>
      <c r="E7327" s="0" t="inlineStr">
        <is>
          <t xml:space="preserve">Mazda</t>
        </is>
      </c>
      <c r="F7327" s="0" t="s">
        <v>13</v>
      </c>
      <c r="G7327" s="0" t="s">
        <v>49</v>
      </c>
      <c r="H7327" s="5">
        <v>102.685200</v>
      </c>
    </row>
    <row r="7328" spans="1:9">
      <c r="A7328" s="22" t="str">
        <f>HYPERLINK("https://app.vivvix.com/360/KMI/IntelliDrive/ApplUI/Pages/CreativePages/CustomReportCreativeDetail.aspx?App=23&amp;ReportView=4&amp;Qid=1711279&amp;Row=7320&amp;Col=1","No Title Assigned - #15270414601")</f>
        <v/>
      </c>
      <c r="B7328" s="0" t="s">
        <v>9704</v>
      </c>
      <c r="C7328" s="0" t="s">
        <v>9705</v>
      </c>
      <c r="D7328" s="0" t="s">
        <v>4774</v>
      </c>
      <c r="E7328" s="0" t="inlineStr">
        <is>
          <t xml:space="preserve">Mazda</t>
        </is>
      </c>
      <c r="F7328" s="0" t="s">
        <v>13</v>
      </c>
      <c r="G7328" s="0" t="s">
        <v>49</v>
      </c>
      <c r="H7328" s="5">
        <v>2866.702900</v>
      </c>
    </row>
    <row r="7329" spans="1:9">
      <c r="A7329" s="22" t="str">
        <f>HYPERLINK("https://app.vivvix.com/360/KMI/IntelliDrive/ApplUI/Pages/CreativePages/CustomReportCreativeDetail.aspx?App=23&amp;ReportView=4&amp;Qid=1711279&amp;Row=7321&amp;Col=1","No Title Assigned - #15270414601")</f>
        <v/>
      </c>
      <c r="B7329" s="0" t="s">
        <v>9704</v>
      </c>
      <c r="E7329" s="0" t="inlineStr">
        <is>
          <t xml:space="preserve">Mazda</t>
        </is>
      </c>
      <c r="F7329" s="0" t="s">
        <v>13</v>
      </c>
      <c r="G7329" s="0" t="s">
        <v>49</v>
      </c>
      <c r="H7329" s="5">
        <v>487.454500</v>
      </c>
    </row>
    <row r="7330" spans="1:9">
      <c r="A7330" s="22" t="str">
        <f>HYPERLINK("https://app.vivvix.com/360/KMI/IntelliDrive/ApplUI/Pages/CreativePages/CustomReportCreativeDetail.aspx?App=23&amp;ReportView=4&amp;Qid=1711279&amp;Row=7322&amp;Col=1","No Title Assigned - #15270414603")</f>
        <v/>
      </c>
      <c r="B7330" s="0" t="s">
        <v>9706</v>
      </c>
      <c r="C7330" s="0" t="s">
        <v>9707</v>
      </c>
      <c r="D7330" s="0" t="s">
        <v>9707</v>
      </c>
      <c r="E7330" s="0" t="inlineStr">
        <is>
          <t xml:space="preserve">Mazda</t>
        </is>
      </c>
      <c r="F7330" s="0" t="s">
        <v>13</v>
      </c>
      <c r="G7330" s="0" t="s">
        <v>49</v>
      </c>
      <c r="H7330" s="5">
        <v>440.002200</v>
      </c>
    </row>
    <row r="7331" spans="1:9">
      <c r="A7331" s="22" t="str">
        <f>HYPERLINK("https://app.vivvix.com/360/KMI/IntelliDrive/ApplUI/Pages/CreativePages/CustomReportCreativeDetail.aspx?App=23&amp;ReportView=4&amp;Qid=1711279&amp;Row=7323&amp;Col=1","No Title Assigned - #15270414607")</f>
        <v/>
      </c>
      <c r="B7331" s="0" t="s">
        <v>9708</v>
      </c>
      <c r="C7331" s="0" t="s">
        <v>9709</v>
      </c>
      <c r="D7331" s="0" t="s">
        <v>9709</v>
      </c>
      <c r="E7331" s="0" t="inlineStr">
        <is>
          <t xml:space="preserve">Mazda</t>
        </is>
      </c>
      <c r="F7331" s="0" t="s">
        <v>13</v>
      </c>
      <c r="G7331" s="0" t="s">
        <v>49</v>
      </c>
      <c r="H7331" s="5">
        <v>3158.303000</v>
      </c>
    </row>
    <row r="7332" spans="1:9">
      <c r="A7332" s="22" t="str">
        <f>HYPERLINK("https://app.vivvix.com/360/KMI/IntelliDrive/ApplUI/Pages/CreativePages/CustomReportCreativeDetail.aspx?App=23&amp;ReportView=4&amp;Qid=1711279&amp;Row=7324&amp;Col=1","No Title Assigned - #15270414607")</f>
        <v/>
      </c>
      <c r="B7332" s="0" t="s">
        <v>9708</v>
      </c>
      <c r="E7332" s="0" t="inlineStr">
        <is>
          <t xml:space="preserve">Mazda</t>
        </is>
      </c>
      <c r="F7332" s="0" t="s">
        <v>13</v>
      </c>
      <c r="G7332" s="0" t="s">
        <v>49</v>
      </c>
      <c r="H7332" s="5">
        <v>1019.134700</v>
      </c>
    </row>
    <row r="7333" spans="1:9">
      <c r="A7333" s="22" t="str">
        <f>HYPERLINK("https://app.vivvix.com/360/KMI/IntelliDrive/ApplUI/Pages/CreativePages/CustomReportCreativeDetail.aspx?App=23&amp;ReportView=4&amp;Qid=1711279&amp;Row=7325&amp;Col=1","No Title Assigned - #15270414675")</f>
        <v/>
      </c>
      <c r="B7333" s="0" t="s">
        <v>9710</v>
      </c>
      <c r="C7333" s="0" t="s">
        <v>9711</v>
      </c>
      <c r="D7333" s="0" t="s">
        <v>9711</v>
      </c>
      <c r="E7333" s="0" t="inlineStr">
        <is>
          <t xml:space="preserve">Mazda</t>
        </is>
      </c>
      <c r="F7333" s="0" t="s">
        <v>13</v>
      </c>
      <c r="G7333" s="0" t="s">
        <v>49</v>
      </c>
      <c r="H7333" s="5">
        <v>2547.490800</v>
      </c>
    </row>
    <row r="7334" spans="1:9">
      <c r="A7334" s="22" t="str">
        <f>HYPERLINK("https://app.vivvix.com/360/KMI/IntelliDrive/ApplUI/Pages/CreativePages/CustomReportCreativeDetail.aspx?App=23&amp;ReportView=4&amp;Qid=1711279&amp;Row=7326&amp;Col=1","No Title Assigned - #15270414847")</f>
        <v/>
      </c>
      <c r="B7334" s="0" t="s">
        <v>9712</v>
      </c>
      <c r="C7334" s="0" t="s">
        <v>9713</v>
      </c>
      <c r="D7334" s="0" t="s">
        <v>9713</v>
      </c>
      <c r="E7334" s="0" t="inlineStr">
        <is>
          <t xml:space="preserve">Mazda</t>
        </is>
      </c>
      <c r="F7334" s="0" t="s">
        <v>13</v>
      </c>
      <c r="G7334" s="0" t="s">
        <v>49</v>
      </c>
      <c r="H7334" s="5">
        <v>2974.671200</v>
      </c>
    </row>
    <row r="7335" spans="1:9">
      <c r="A7335" s="22" t="str">
        <f>HYPERLINK("https://app.vivvix.com/360/KMI/IntelliDrive/ApplUI/Pages/CreativePages/CustomReportCreativeDetail.aspx?App=23&amp;ReportView=4&amp;Qid=1711279&amp;Row=7327&amp;Col=1","No Title Assigned - #15270414847")</f>
        <v/>
      </c>
      <c r="B7335" s="0" t="s">
        <v>9712</v>
      </c>
      <c r="E7335" s="0" t="inlineStr">
        <is>
          <t xml:space="preserve">Mazda</t>
        </is>
      </c>
      <c r="F7335" s="0" t="s">
        <v>13</v>
      </c>
      <c r="G7335" s="0" t="s">
        <v>49</v>
      </c>
      <c r="H7335" s="5">
        <v>4930.346900</v>
      </c>
    </row>
    <row r="7336" spans="1:9">
      <c r="A7336" s="22" t="str">
        <f>HYPERLINK("https://app.vivvix.com/360/KMI/IntelliDrive/ApplUI/Pages/CreativePages/CustomReportCreativeDetail.aspx?App=23&amp;ReportView=4&amp;Qid=1711279&amp;Row=7328&amp;Col=1","No Title Assigned - #15270414892")</f>
        <v/>
      </c>
      <c r="B7336" s="0" t="s">
        <v>9714</v>
      </c>
      <c r="E7336" s="0" t="inlineStr">
        <is>
          <t xml:space="preserve">Mazda</t>
        </is>
      </c>
      <c r="F7336" s="0" t="s">
        <v>13</v>
      </c>
      <c r="G7336" s="0" t="s">
        <v>49</v>
      </c>
      <c r="H7336" s="5">
        <v>284.842000</v>
      </c>
    </row>
    <row r="7337" spans="1:9">
      <c r="A7337" s="22" t="str">
        <f>HYPERLINK("https://app.vivvix.com/360/KMI/IntelliDrive/ApplUI/Pages/CreativePages/CustomReportCreativeDetail.aspx?App=23&amp;ReportView=4&amp;Qid=1711279&amp;Row=7329&amp;Col=1","No Title Assigned - #15270415030")</f>
        <v/>
      </c>
      <c r="B7337" s="0" t="s">
        <v>9715</v>
      </c>
      <c r="C7337" s="0" t="s">
        <v>9716</v>
      </c>
      <c r="D7337" s="0" t="s">
        <v>6238</v>
      </c>
      <c r="E7337" s="0" t="inlineStr">
        <is>
          <t xml:space="preserve">Mazda</t>
        </is>
      </c>
      <c r="F7337" s="0" t="s">
        <v>13</v>
      </c>
      <c r="G7337" s="0" t="s">
        <v>49</v>
      </c>
      <c r="H7337" s="5">
        <v>46.628700</v>
      </c>
    </row>
    <row r="7338" spans="1:9">
      <c r="A7338" s="22" t="str">
        <f>HYPERLINK("https://app.vivvix.com/360/KMI/IntelliDrive/ApplUI/Pages/CreativePages/CustomReportCreativeDetail.aspx?App=23&amp;ReportView=4&amp;Qid=1711279&amp;Row=7330&amp;Col=1","No Title Assigned - #15270415240")</f>
        <v/>
      </c>
      <c r="B7338" s="0" t="s">
        <v>9717</v>
      </c>
      <c r="C7338" s="0" t="s">
        <v>9718</v>
      </c>
      <c r="D7338" s="0" t="s">
        <v>6404</v>
      </c>
      <c r="E7338" s="0" t="inlineStr">
        <is>
          <t xml:space="preserve">Mazda</t>
        </is>
      </c>
      <c r="F7338" s="0" t="s">
        <v>13</v>
      </c>
      <c r="G7338" s="0" t="s">
        <v>49</v>
      </c>
      <c r="H7338" s="5">
        <v>1299.878200</v>
      </c>
    </row>
    <row r="7339" spans="1:9">
      <c r="A7339" s="22" t="str">
        <f>HYPERLINK("https://app.vivvix.com/360/KMI/IntelliDrive/ApplUI/Pages/CreativePages/CustomReportCreativeDetail.aspx?App=23&amp;ReportView=4&amp;Qid=1711279&amp;Row=7331&amp;Col=1","No Title Assigned - #15270415495")</f>
        <v/>
      </c>
      <c r="B7339" s="0" t="s">
        <v>9719</v>
      </c>
      <c r="C7339" s="0" t="s">
        <v>9720</v>
      </c>
      <c r="D7339" s="0" t="s">
        <v>9720</v>
      </c>
      <c r="E7339" s="0" t="inlineStr">
        <is>
          <t xml:space="preserve">Mazda</t>
        </is>
      </c>
      <c r="F7339" s="0" t="s">
        <v>13</v>
      </c>
      <c r="G7339" s="0" t="s">
        <v>49</v>
      </c>
      <c r="H7339" s="5">
        <v>36.539100</v>
      </c>
    </row>
    <row r="7340" spans="1:9">
      <c r="A7340" s="22" t="str">
        <f>HYPERLINK("https://app.vivvix.com/360/KMI/IntelliDrive/ApplUI/Pages/CreativePages/CustomReportCreativeDetail.aspx?App=23&amp;ReportView=4&amp;Qid=1711279&amp;Row=7332&amp;Col=1","No Title Assigned - #15270415594")</f>
        <v/>
      </c>
      <c r="B7340" s="0" t="s">
        <v>9721</v>
      </c>
      <c r="C7340" s="0" t="s">
        <v>9722</v>
      </c>
      <c r="D7340" s="0" t="s">
        <v>7399</v>
      </c>
      <c r="E7340" s="0" t="inlineStr">
        <is>
          <t xml:space="preserve">Mazda</t>
        </is>
      </c>
      <c r="F7340" s="0" t="s">
        <v>13</v>
      </c>
      <c r="G7340" s="0" t="s">
        <v>49</v>
      </c>
      <c r="H7340" s="5">
        <v>220.317600</v>
      </c>
    </row>
    <row r="7341" spans="1:9">
      <c r="A7341" s="22" t="str">
        <f>HYPERLINK("https://app.vivvix.com/360/KMI/IntelliDrive/ApplUI/Pages/CreativePages/CustomReportCreativeDetail.aspx?App=23&amp;ReportView=4&amp;Qid=1711279&amp;Row=7333&amp;Col=1","No Title Assigned - #15270415936")</f>
        <v/>
      </c>
      <c r="B7341" s="0" t="s">
        <v>9723</v>
      </c>
      <c r="C7341" s="0" t="s">
        <v>9724</v>
      </c>
      <c r="D7341" s="0" t="s">
        <v>9724</v>
      </c>
      <c r="E7341" s="0" t="inlineStr">
        <is>
          <t xml:space="preserve">Mazda</t>
        </is>
      </c>
      <c r="F7341" s="0" t="s">
        <v>13</v>
      </c>
      <c r="G7341" s="0" t="s">
        <v>49</v>
      </c>
      <c r="H7341" s="5">
        <v>179.419600</v>
      </c>
    </row>
    <row r="7342" spans="1:9">
      <c r="A7342" s="22" t="str">
        <f>HYPERLINK("https://app.vivvix.com/360/KMI/IntelliDrive/ApplUI/Pages/CreativePages/CustomReportCreativeDetail.aspx?App=23&amp;ReportView=4&amp;Qid=1711279&amp;Row=7334&amp;Col=1","No Title Assigned - #15270416019")</f>
        <v/>
      </c>
      <c r="B7342" s="0" t="s">
        <v>9725</v>
      </c>
      <c r="C7342" s="0" t="s">
        <v>9676</v>
      </c>
      <c r="D7342" s="0" t="s">
        <v>9676</v>
      </c>
      <c r="E7342" s="0" t="inlineStr">
        <is>
          <t xml:space="preserve">Mazda</t>
        </is>
      </c>
      <c r="F7342" s="0" t="s">
        <v>13</v>
      </c>
      <c r="G7342" s="0" t="s">
        <v>49</v>
      </c>
      <c r="H7342" s="5">
        <v>940.598800</v>
      </c>
    </row>
    <row r="7343" spans="1:9">
      <c r="A7343" s="22" t="str">
        <f>HYPERLINK("https://app.vivvix.com/360/KMI/IntelliDrive/ApplUI/Pages/CreativePages/CustomReportCreativeDetail.aspx?App=23&amp;ReportView=4&amp;Qid=1711279&amp;Row=7335&amp;Col=1","No Title Assigned - #15270416242")</f>
        <v/>
      </c>
      <c r="B7343" s="0" t="s">
        <v>9726</v>
      </c>
      <c r="C7343" s="0" t="s">
        <v>9727</v>
      </c>
      <c r="D7343" s="0" t="s">
        <v>9727</v>
      </c>
      <c r="E7343" s="0" t="inlineStr">
        <is>
          <t xml:space="preserve">Mazda</t>
        </is>
      </c>
      <c r="F7343" s="0" t="s">
        <v>13</v>
      </c>
      <c r="G7343" s="0" t="s">
        <v>49</v>
      </c>
      <c r="H7343" s="5">
        <v>2691.251900</v>
      </c>
    </row>
    <row r="7344" spans="1:9">
      <c r="A7344" s="22" t="str">
        <f>HYPERLINK("https://app.vivvix.com/360/KMI/IntelliDrive/ApplUI/Pages/CreativePages/CustomReportCreativeDetail.aspx?App=23&amp;ReportView=4&amp;Qid=1711279&amp;Row=7336&amp;Col=1","No Title Assigned - #15270416556")</f>
        <v/>
      </c>
      <c r="B7344" s="0" t="s">
        <v>9728</v>
      </c>
      <c r="E7344" s="0" t="inlineStr">
        <is>
          <t xml:space="preserve">Mazda</t>
        </is>
      </c>
      <c r="F7344" s="0" t="s">
        <v>13</v>
      </c>
      <c r="G7344" s="0" t="s">
        <v>49</v>
      </c>
      <c r="H7344" s="5">
        <v>113447.296200</v>
      </c>
    </row>
    <row r="7345" spans="1:9">
      <c r="A7345" s="22" t="str">
        <f>HYPERLINK("https://app.vivvix.com/360/KMI/IntelliDrive/ApplUI/Pages/CreativePages/CustomReportCreativeDetail.aspx?App=23&amp;ReportView=4&amp;Qid=1711279&amp;Row=7337&amp;Col=1","No Title Assigned - #15270416556")</f>
        <v/>
      </c>
      <c r="B7345" s="0" t="s">
        <v>9728</v>
      </c>
      <c r="C7345" s="0" t="s">
        <v>9729</v>
      </c>
      <c r="D7345" s="0" t="s">
        <v>9729</v>
      </c>
      <c r="E7345" s="0" t="inlineStr">
        <is>
          <t xml:space="preserve">Mazda</t>
        </is>
      </c>
      <c r="F7345" s="0" t="s">
        <v>13</v>
      </c>
      <c r="G7345" s="0" t="s">
        <v>49</v>
      </c>
      <c r="H7345" s="5">
        <v>15301.342000</v>
      </c>
    </row>
    <row r="7346" spans="1:9">
      <c r="A7346" s="22" t="str">
        <f>HYPERLINK("https://app.vivvix.com/360/KMI/IntelliDrive/ApplUI/Pages/CreativePages/CustomReportCreativeDetail.aspx?App=23&amp;ReportView=4&amp;Qid=1711279&amp;Row=7338&amp;Col=1","No Title Assigned - #15270416561")</f>
        <v/>
      </c>
      <c r="B7346" s="0" t="s">
        <v>9730</v>
      </c>
      <c r="C7346" s="0" t="s">
        <v>9731</v>
      </c>
      <c r="D7346" s="0" t="s">
        <v>4774</v>
      </c>
      <c r="E7346" s="0" t="inlineStr">
        <is>
          <t xml:space="preserve">Mazda</t>
        </is>
      </c>
      <c r="F7346" s="0" t="s">
        <v>13</v>
      </c>
      <c r="G7346" s="0" t="s">
        <v>49</v>
      </c>
      <c r="H7346" s="5">
        <v>37.192100</v>
      </c>
    </row>
    <row r="7347" spans="1:9">
      <c r="A7347" s="22" t="str">
        <f>HYPERLINK("https://app.vivvix.com/360/KMI/IntelliDrive/ApplUI/Pages/CreativePages/CustomReportCreativeDetail.aspx?App=23&amp;ReportView=4&amp;Qid=1711279&amp;Row=7339&amp;Col=1","No Title Assigned - #15270416766")</f>
        <v/>
      </c>
      <c r="B7347" s="0" t="s">
        <v>9732</v>
      </c>
      <c r="C7347" s="0" t="s">
        <v>9733</v>
      </c>
      <c r="D7347" s="0" t="s">
        <v>9733</v>
      </c>
      <c r="E7347" s="0" t="inlineStr">
        <is>
          <t xml:space="preserve">Mazda</t>
        </is>
      </c>
      <c r="F7347" s="0" t="s">
        <v>28</v>
      </c>
      <c r="G7347" s="0" t="s">
        <v>29</v>
      </c>
      <c r="H7347" s="5">
        <v>11.627200</v>
      </c>
    </row>
    <row r="7348" spans="1:9">
      <c r="A7348" s="22" t="str">
        <f>HYPERLINK("https://app.vivvix.com/360/KMI/IntelliDrive/ApplUI/Pages/CreativePages/CustomReportCreativeDetail.aspx?App=23&amp;ReportView=4&amp;Qid=1711279&amp;Row=7340&amp;Col=1","No Title Assigned - #15270416771")</f>
        <v/>
      </c>
      <c r="B7348" s="0" t="s">
        <v>9734</v>
      </c>
      <c r="C7348" s="0" t="s">
        <v>9735</v>
      </c>
      <c r="D7348" s="0" t="s">
        <v>4335</v>
      </c>
      <c r="E7348" s="0" t="inlineStr">
        <is>
          <t xml:space="preserve">Mazda</t>
        </is>
      </c>
      <c r="F7348" s="0" t="s">
        <v>13</v>
      </c>
      <c r="G7348" s="0" t="s">
        <v>49</v>
      </c>
      <c r="H7348" s="5">
        <v>23.958900</v>
      </c>
    </row>
    <row r="7349" spans="1:9">
      <c r="A7349" s="22" t="str">
        <f>HYPERLINK("https://app.vivvix.com/360/KMI/IntelliDrive/ApplUI/Pages/CreativePages/CustomReportCreativeDetail.aspx?App=23&amp;ReportView=4&amp;Qid=1711279&amp;Row=7341&amp;Col=1","No Title Assigned - #15270416808")</f>
        <v/>
      </c>
      <c r="B7349" s="0" t="s">
        <v>9736</v>
      </c>
      <c r="C7349" s="0" t="s">
        <v>9737</v>
      </c>
      <c r="D7349" s="0" t="s">
        <v>9737</v>
      </c>
      <c r="E7349" s="0" t="inlineStr">
        <is>
          <t xml:space="preserve">Mazda</t>
        </is>
      </c>
      <c r="F7349" s="0" t="s">
        <v>13</v>
      </c>
      <c r="G7349" s="0" t="s">
        <v>49</v>
      </c>
      <c r="H7349" s="5">
        <v>143.253000</v>
      </c>
    </row>
    <row r="7350" spans="1:9">
      <c r="A7350" s="22" t="str">
        <f>HYPERLINK("https://app.vivvix.com/360/KMI/IntelliDrive/ApplUI/Pages/CreativePages/CustomReportCreativeDetail.aspx?App=23&amp;ReportView=4&amp;Qid=1711279&amp;Row=7342&amp;Col=1","No Title Assigned - #15270416904")</f>
        <v/>
      </c>
      <c r="B7350" s="0" t="s">
        <v>9738</v>
      </c>
      <c r="C7350" s="0" t="s">
        <v>9739</v>
      </c>
      <c r="D7350" s="0" t="s">
        <v>9739</v>
      </c>
      <c r="E7350" s="0" t="inlineStr">
        <is>
          <t xml:space="preserve">Mazda</t>
        </is>
      </c>
      <c r="F7350" s="0" t="s">
        <v>13</v>
      </c>
      <c r="G7350" s="0" t="s">
        <v>49</v>
      </c>
      <c r="H7350" s="5">
        <v>281.343600</v>
      </c>
    </row>
    <row r="7351" spans="1:9">
      <c r="A7351" s="22" t="str">
        <f>HYPERLINK("https://app.vivvix.com/360/KMI/IntelliDrive/ApplUI/Pages/CreativePages/CustomReportCreativeDetail.aspx?App=23&amp;ReportView=4&amp;Qid=1711279&amp;Row=7343&amp;Col=1","No Title Assigned - #15270416946")</f>
        <v/>
      </c>
      <c r="B7351" s="0" t="s">
        <v>9740</v>
      </c>
      <c r="C7351" s="0" t="s">
        <v>9741</v>
      </c>
      <c r="D7351" s="0" t="s">
        <v>4335</v>
      </c>
      <c r="E7351" s="0" t="inlineStr">
        <is>
          <t xml:space="preserve">Mazda</t>
        </is>
      </c>
      <c r="F7351" s="0" t="s">
        <v>13</v>
      </c>
      <c r="G7351" s="0" t="s">
        <v>49</v>
      </c>
      <c r="H7351" s="5">
        <v>76.896800</v>
      </c>
    </row>
    <row r="7352" spans="1:9">
      <c r="A7352" s="22" t="str">
        <f>HYPERLINK("https://app.vivvix.com/360/KMI/IntelliDrive/ApplUI/Pages/CreativePages/CustomReportCreativeDetail.aspx?App=23&amp;ReportView=4&amp;Qid=1711279&amp;Row=7344&amp;Col=1","No Title Assigned - #15270416990")</f>
        <v/>
      </c>
      <c r="B7352" s="0" t="s">
        <v>9742</v>
      </c>
      <c r="C7352" s="0" t="s">
        <v>9743</v>
      </c>
      <c r="D7352" s="0" t="s">
        <v>5229</v>
      </c>
      <c r="E7352" s="0" t="inlineStr">
        <is>
          <t xml:space="preserve">Mazda</t>
        </is>
      </c>
      <c r="F7352" s="0" t="s">
        <v>28</v>
      </c>
      <c r="G7352" s="0" t="s">
        <v>29</v>
      </c>
      <c r="H7352" s="5">
        <v>33.561200</v>
      </c>
    </row>
    <row r="7353" spans="1:9">
      <c r="A7353" s="22" t="str">
        <f>HYPERLINK("https://app.vivvix.com/360/KMI/IntelliDrive/ApplUI/Pages/CreativePages/CustomReportCreativeDetail.aspx?App=23&amp;ReportView=4&amp;Qid=1711279&amp;Row=7345&amp;Col=1","No Title Assigned - #15270417019")</f>
        <v/>
      </c>
      <c r="B7353" s="0" t="s">
        <v>9744</v>
      </c>
      <c r="C7353" s="0" t="s">
        <v>9745</v>
      </c>
      <c r="D7353" s="0" t="s">
        <v>7969</v>
      </c>
      <c r="E7353" s="0" t="inlineStr">
        <is>
          <t xml:space="preserve">Mazda</t>
        </is>
      </c>
      <c r="F7353" s="0" t="s">
        <v>13</v>
      </c>
      <c r="G7353" s="0" t="s">
        <v>49</v>
      </c>
      <c r="H7353" s="5">
        <v>1287.719600</v>
      </c>
    </row>
    <row r="7354" spans="1:9">
      <c r="A7354" s="22" t="str">
        <f>HYPERLINK("https://app.vivvix.com/360/KMI/IntelliDrive/ApplUI/Pages/CreativePages/CustomReportCreativeDetail.aspx?App=23&amp;ReportView=4&amp;Qid=1711279&amp;Row=7346&amp;Col=1","No Title Assigned - #15270417027")</f>
        <v/>
      </c>
      <c r="B7354" s="0" t="s">
        <v>9746</v>
      </c>
      <c r="E7354" s="0" t="inlineStr">
        <is>
          <t xml:space="preserve">Mazda</t>
        </is>
      </c>
      <c r="F7354" s="0" t="inlineStr">
        <is>
          <t xml:space="preserve">Mazda</t>
        </is>
      </c>
      <c r="G7354" s="0" t="s">
        <v>171</v>
      </c>
      <c r="H7354" s="5">
        <v>293.030600</v>
      </c>
    </row>
    <row r="7355" spans="1:9">
      <c r="A7355" s="22" t="str">
        <f>HYPERLINK("https://app.vivvix.com/360/KMI/IntelliDrive/ApplUI/Pages/CreativePages/CustomReportCreativeDetail.aspx?App=23&amp;ReportView=4&amp;Qid=1711279&amp;Row=7347&amp;Col=1","No Title Assigned - #15270417112")</f>
        <v/>
      </c>
      <c r="B7355" s="0" t="s">
        <v>9747</v>
      </c>
      <c r="C7355" s="0" t="s">
        <v>9748</v>
      </c>
      <c r="D7355" s="0" t="s">
        <v>9749</v>
      </c>
      <c r="E7355" s="0" t="inlineStr">
        <is>
          <t xml:space="preserve">Mazda</t>
        </is>
      </c>
      <c r="F7355" s="0" t="s">
        <v>13</v>
      </c>
      <c r="G7355" s="0" t="s">
        <v>49</v>
      </c>
      <c r="H7355" s="5">
        <v>2550.143300</v>
      </c>
    </row>
    <row r="7356" spans="1:9">
      <c r="A7356" s="22" t="str">
        <f>HYPERLINK("https://app.vivvix.com/360/KMI/IntelliDrive/ApplUI/Pages/CreativePages/CustomReportCreativeDetail.aspx?App=23&amp;ReportView=4&amp;Qid=1711279&amp;Row=7348&amp;Col=1","No Title Assigned - #15270417456")</f>
        <v/>
      </c>
      <c r="B7356" s="0" t="s">
        <v>9750</v>
      </c>
      <c r="C7356" s="0" t="s">
        <v>9751</v>
      </c>
      <c r="D7356" s="0" t="s">
        <v>4938</v>
      </c>
      <c r="E7356" s="0" t="inlineStr">
        <is>
          <t xml:space="preserve">Mazda</t>
        </is>
      </c>
      <c r="F7356" s="0" t="s">
        <v>13</v>
      </c>
      <c r="G7356" s="0" t="s">
        <v>49</v>
      </c>
      <c r="H7356" s="5">
        <v>941.606600</v>
      </c>
    </row>
    <row r="7357" spans="1:9">
      <c r="A7357" s="22" t="str">
        <f>HYPERLINK("https://app.vivvix.com/360/KMI/IntelliDrive/ApplUI/Pages/CreativePages/CustomReportCreativeDetail.aspx?App=23&amp;ReportView=4&amp;Qid=1711279&amp;Row=7349&amp;Col=1","No Title Assigned - #15270417541")</f>
        <v/>
      </c>
      <c r="B7357" s="0" t="s">
        <v>9752</v>
      </c>
      <c r="C7357" s="0" t="s">
        <v>9753</v>
      </c>
      <c r="D7357" s="0" t="s">
        <v>9753</v>
      </c>
      <c r="E7357" s="0" t="inlineStr">
        <is>
          <t xml:space="preserve">Mazda</t>
        </is>
      </c>
      <c r="F7357" s="0" t="s">
        <v>13</v>
      </c>
      <c r="G7357" s="0" t="s">
        <v>49</v>
      </c>
      <c r="H7357" s="5">
        <v>1434.277900</v>
      </c>
    </row>
    <row r="7358" spans="1:9">
      <c r="A7358" s="22" t="str">
        <f>HYPERLINK("https://app.vivvix.com/360/KMI/IntelliDrive/ApplUI/Pages/CreativePages/CustomReportCreativeDetail.aspx?App=23&amp;ReportView=4&amp;Qid=1711279&amp;Row=7350&amp;Col=1","No Title Assigned - #15270417542")</f>
        <v/>
      </c>
      <c r="B7358" s="0" t="s">
        <v>9754</v>
      </c>
      <c r="C7358" s="0" t="s">
        <v>9755</v>
      </c>
      <c r="D7358" s="0" t="s">
        <v>9755</v>
      </c>
      <c r="E7358" s="0" t="inlineStr">
        <is>
          <t xml:space="preserve">Mazda</t>
        </is>
      </c>
      <c r="F7358" s="0" t="s">
        <v>13</v>
      </c>
      <c r="G7358" s="0" t="s">
        <v>49</v>
      </c>
      <c r="H7358" s="5">
        <v>151.416400</v>
      </c>
    </row>
    <row r="7359" spans="1:9">
      <c r="A7359" s="22" t="str">
        <f>HYPERLINK("https://app.vivvix.com/360/KMI/IntelliDrive/ApplUI/Pages/CreativePages/CustomReportCreativeDetail.aspx?App=23&amp;ReportView=4&amp;Qid=1711279&amp;Row=7351&amp;Col=1","No Title Assigned - #15270417580")</f>
        <v/>
      </c>
      <c r="B7359" s="0" t="s">
        <v>9756</v>
      </c>
      <c r="C7359" s="0" t="s">
        <v>9757</v>
      </c>
      <c r="D7359" s="0" t="s">
        <v>9757</v>
      </c>
      <c r="E7359" s="0" t="inlineStr">
        <is>
          <t xml:space="preserve">Mazda</t>
        </is>
      </c>
      <c r="F7359" s="0" t="s">
        <v>28</v>
      </c>
      <c r="G7359" s="0" t="s">
        <v>29</v>
      </c>
      <c r="H7359" s="5">
        <v>155.179000</v>
      </c>
    </row>
    <row r="7360" spans="1:9">
      <c r="A7360" s="22" t="str">
        <f>HYPERLINK("https://app.vivvix.com/360/KMI/IntelliDrive/ApplUI/Pages/CreativePages/CustomReportCreativeDetail.aspx?App=23&amp;ReportView=4&amp;Qid=1711279&amp;Row=7352&amp;Col=1","No Title Assigned - #15270417763")</f>
        <v/>
      </c>
      <c r="B7360" s="0" t="s">
        <v>9758</v>
      </c>
      <c r="C7360" s="0" t="s">
        <v>9759</v>
      </c>
      <c r="D7360" s="0" t="s">
        <v>9699</v>
      </c>
      <c r="E7360" s="0" t="inlineStr">
        <is>
          <t xml:space="preserve">Mazda</t>
        </is>
      </c>
      <c r="F7360" s="0" t="s">
        <v>13</v>
      </c>
      <c r="G7360" s="0" t="s">
        <v>49</v>
      </c>
      <c r="H7360" s="5">
        <v>36.461200</v>
      </c>
    </row>
    <row r="7361" spans="1:9">
      <c r="A7361" s="22" t="str">
        <f>HYPERLINK("https://app.vivvix.com/360/KMI/IntelliDrive/ApplUI/Pages/CreativePages/CustomReportCreativeDetail.aspx?App=23&amp;ReportView=4&amp;Qid=1711279&amp;Row=7353&amp;Col=1","No Title Assigned - #15270417764")</f>
        <v/>
      </c>
      <c r="B7361" s="0" t="s">
        <v>9760</v>
      </c>
      <c r="C7361" s="0" t="s">
        <v>9761</v>
      </c>
      <c r="D7361" s="0" t="s">
        <v>9761</v>
      </c>
      <c r="E7361" s="0" t="inlineStr">
        <is>
          <t xml:space="preserve">Mazda</t>
        </is>
      </c>
      <c r="F7361" s="0" t="s">
        <v>13</v>
      </c>
      <c r="G7361" s="0" t="s">
        <v>49</v>
      </c>
      <c r="H7361" s="5">
        <v>36.461200</v>
      </c>
    </row>
    <row r="7362" spans="1:9">
      <c r="A7362" s="22" t="str">
        <f>HYPERLINK("https://app.vivvix.com/360/KMI/IntelliDrive/ApplUI/Pages/CreativePages/CustomReportCreativeDetail.aspx?App=23&amp;ReportView=4&amp;Qid=1711279&amp;Row=7354&amp;Col=1","No Title Assigned - #15270417929")</f>
        <v/>
      </c>
      <c r="B7362" s="0" t="s">
        <v>9762</v>
      </c>
      <c r="C7362" s="0" t="s">
        <v>9763</v>
      </c>
      <c r="D7362" s="0" t="s">
        <v>9763</v>
      </c>
      <c r="E7362" s="0" t="inlineStr">
        <is>
          <t xml:space="preserve">Mazda</t>
        </is>
      </c>
      <c r="F7362" s="0" t="s">
        <v>28</v>
      </c>
      <c r="G7362" s="0" t="s">
        <v>29</v>
      </c>
      <c r="H7362" s="5">
        <v>102.129400</v>
      </c>
    </row>
    <row r="7363" spans="1:9">
      <c r="A7363" s="22" t="str">
        <f>HYPERLINK("https://app.vivvix.com/360/KMI/IntelliDrive/ApplUI/Pages/CreativePages/CustomReportCreativeDetail.aspx?App=23&amp;ReportView=4&amp;Qid=1711279&amp;Row=7355&amp;Col=1","No Title Assigned - #15270417940")</f>
        <v/>
      </c>
      <c r="B7363" s="0" t="s">
        <v>9764</v>
      </c>
      <c r="C7363" s="0" t="s">
        <v>9765</v>
      </c>
      <c r="D7363" s="0" t="s">
        <v>9765</v>
      </c>
      <c r="E7363" s="0" t="inlineStr">
        <is>
          <t xml:space="preserve">Mazda</t>
        </is>
      </c>
      <c r="F7363" s="0" t="s">
        <v>13</v>
      </c>
      <c r="G7363" s="0" t="s">
        <v>49</v>
      </c>
      <c r="H7363" s="5">
        <v>642.450000</v>
      </c>
    </row>
    <row r="7364" spans="1:9">
      <c r="A7364" s="22" t="str">
        <f>HYPERLINK("https://app.vivvix.com/360/KMI/IntelliDrive/ApplUI/Pages/CreativePages/CustomReportCreativeDetail.aspx?App=23&amp;ReportView=4&amp;Qid=1711279&amp;Row=7356&amp;Col=1","No Title Assigned - #15270417963")</f>
        <v/>
      </c>
      <c r="B7364" s="0" t="s">
        <v>9766</v>
      </c>
      <c r="C7364" s="0" t="s">
        <v>9767</v>
      </c>
      <c r="D7364" s="0" t="s">
        <v>9767</v>
      </c>
      <c r="E7364" s="0" t="inlineStr">
        <is>
          <t xml:space="preserve">Mazda</t>
        </is>
      </c>
      <c r="F7364" s="0" t="inlineStr">
        <is>
          <t xml:space="preserve">Mazda</t>
        </is>
      </c>
      <c r="G7364" s="0" t="s">
        <v>210</v>
      </c>
      <c r="H7364" s="5">
        <v>678.706100</v>
      </c>
    </row>
    <row r="7365" spans="1:9">
      <c r="A7365" s="22" t="str">
        <f>HYPERLINK("https://app.vivvix.com/360/KMI/IntelliDrive/ApplUI/Pages/CreativePages/CustomReportCreativeDetail.aspx?App=23&amp;ReportView=4&amp;Qid=1711279&amp;Row=7357&amp;Col=1","No Title Assigned - #15270418087")</f>
        <v/>
      </c>
      <c r="B7365" s="0" t="s">
        <v>9768</v>
      </c>
      <c r="C7365" s="0" t="s">
        <v>9769</v>
      </c>
      <c r="D7365" s="0" t="s">
        <v>9769</v>
      </c>
      <c r="E7365" s="0" t="inlineStr">
        <is>
          <t xml:space="preserve">Mazda</t>
        </is>
      </c>
      <c r="F7365" s="0" t="s">
        <v>13</v>
      </c>
      <c r="G7365" s="0" t="s">
        <v>49</v>
      </c>
      <c r="H7365" s="5">
        <v>1051.140000</v>
      </c>
    </row>
    <row r="7366" spans="1:9">
      <c r="A7366" s="22" t="str">
        <f>HYPERLINK("https://app.vivvix.com/360/KMI/IntelliDrive/ApplUI/Pages/CreativePages/CustomReportCreativeDetail.aspx?App=23&amp;ReportView=4&amp;Qid=1711279&amp;Row=7358&amp;Col=1","No Title Assigned - #15270418099")</f>
        <v/>
      </c>
      <c r="B7366" s="0" t="s">
        <v>9770</v>
      </c>
      <c r="C7366" s="0" t="s">
        <v>9771</v>
      </c>
      <c r="D7366" s="0" t="s">
        <v>4774</v>
      </c>
      <c r="E7366" s="0" t="inlineStr">
        <is>
          <t xml:space="preserve">Mazda</t>
        </is>
      </c>
      <c r="F7366" s="0" t="s">
        <v>13</v>
      </c>
      <c r="G7366" s="0" t="s">
        <v>49</v>
      </c>
      <c r="H7366" s="5">
        <v>11936.068000</v>
      </c>
    </row>
    <row r="7367" spans="1:9">
      <c r="A7367" s="22" t="str">
        <f>HYPERLINK("https://app.vivvix.com/360/KMI/IntelliDrive/ApplUI/Pages/CreativePages/CustomReportCreativeDetail.aspx?App=23&amp;ReportView=4&amp;Qid=1711279&amp;Row=7359&amp;Col=1","No Title Assigned - #15270418099")</f>
        <v/>
      </c>
      <c r="B7367" s="0" t="s">
        <v>9770</v>
      </c>
      <c r="E7367" s="0" t="inlineStr">
        <is>
          <t xml:space="preserve">Mazda</t>
        </is>
      </c>
      <c r="F7367" s="0" t="s">
        <v>13</v>
      </c>
      <c r="G7367" s="0" t="s">
        <v>49</v>
      </c>
      <c r="H7367" s="5">
        <v>8458.936100</v>
      </c>
    </row>
    <row r="7368" spans="1:9">
      <c r="A7368" s="22" t="str">
        <f>HYPERLINK("https://app.vivvix.com/360/KMI/IntelliDrive/ApplUI/Pages/CreativePages/CustomReportCreativeDetail.aspx?App=23&amp;ReportView=4&amp;Qid=1711279&amp;Row=7360&amp;Col=1","No Title Assigned - #15270418156")</f>
        <v/>
      </c>
      <c r="B7368" s="0" t="s">
        <v>9772</v>
      </c>
      <c r="C7368" s="0" t="s">
        <v>9773</v>
      </c>
      <c r="D7368" s="0" t="s">
        <v>9773</v>
      </c>
      <c r="E7368" s="0" t="inlineStr">
        <is>
          <t xml:space="preserve">Mazda</t>
        </is>
      </c>
      <c r="F7368" s="0" t="s">
        <v>13</v>
      </c>
      <c r="G7368" s="0" t="s">
        <v>49</v>
      </c>
      <c r="H7368" s="5">
        <v>323.749000</v>
      </c>
    </row>
    <row r="7369" spans="1:9">
      <c r="A7369" s="22" t="str">
        <f>HYPERLINK("https://app.vivvix.com/360/KMI/IntelliDrive/ApplUI/Pages/CreativePages/CustomReportCreativeDetail.aspx?App=23&amp;ReportView=4&amp;Qid=1711279&amp;Row=7361&amp;Col=1","No Title Assigned - #15270418259")</f>
        <v/>
      </c>
      <c r="B7369" s="0" t="s">
        <v>9774</v>
      </c>
      <c r="C7369" s="0" t="s">
        <v>9775</v>
      </c>
      <c r="D7369" s="0" t="s">
        <v>9775</v>
      </c>
      <c r="E7369" s="0" t="inlineStr">
        <is>
          <t xml:space="preserve">Mazda</t>
        </is>
      </c>
      <c r="F7369" s="0" t="s">
        <v>13</v>
      </c>
      <c r="G7369" s="0" t="s">
        <v>49</v>
      </c>
      <c r="H7369" s="5">
        <v>398.118600</v>
      </c>
    </row>
    <row r="7370" spans="1:9">
      <c r="A7370" s="22" t="str">
        <f>HYPERLINK("https://app.vivvix.com/360/KMI/IntelliDrive/ApplUI/Pages/CreativePages/CustomReportCreativeDetail.aspx?App=23&amp;ReportView=4&amp;Qid=1711279&amp;Row=7362&amp;Col=1","No Title Assigned - #15270418292")</f>
        <v/>
      </c>
      <c r="B7370" s="0" t="s">
        <v>9776</v>
      </c>
      <c r="E7370" s="0" t="inlineStr">
        <is>
          <t xml:space="preserve">Mazda</t>
        </is>
      </c>
      <c r="F7370" s="0" t="s">
        <v>13</v>
      </c>
      <c r="G7370" s="0" t="s">
        <v>49</v>
      </c>
      <c r="H7370" s="5">
        <v>206.096500</v>
      </c>
    </row>
    <row r="7371" spans="1:9">
      <c r="A7371" s="22" t="str">
        <f>HYPERLINK("https://app.vivvix.com/360/KMI/IntelliDrive/ApplUI/Pages/CreativePages/CustomReportCreativeDetail.aspx?App=23&amp;ReportView=4&amp;Qid=1711279&amp;Row=7363&amp;Col=1","No Title Assigned - #15270418292")</f>
        <v/>
      </c>
      <c r="B7371" s="0" t="s">
        <v>9776</v>
      </c>
      <c r="C7371" s="0" t="s">
        <v>9777</v>
      </c>
      <c r="D7371" s="0" t="s">
        <v>9777</v>
      </c>
      <c r="E7371" s="0" t="inlineStr">
        <is>
          <t xml:space="preserve">Mazda</t>
        </is>
      </c>
      <c r="F7371" s="0" t="s">
        <v>13</v>
      </c>
      <c r="G7371" s="0" t="s">
        <v>49</v>
      </c>
      <c r="H7371" s="5">
        <v>69.617900</v>
      </c>
    </row>
    <row r="7372" spans="1:9">
      <c r="A7372" s="22" t="str">
        <f>HYPERLINK("https://app.vivvix.com/360/KMI/IntelliDrive/ApplUI/Pages/CreativePages/CustomReportCreativeDetail.aspx?App=23&amp;ReportView=4&amp;Qid=1711279&amp;Row=7364&amp;Col=1","No Title Assigned - #15270418378")</f>
        <v/>
      </c>
      <c r="B7372" s="0" t="s">
        <v>9778</v>
      </c>
      <c r="C7372" s="0" t="s">
        <v>9779</v>
      </c>
      <c r="D7372" s="0" t="s">
        <v>4204</v>
      </c>
      <c r="E7372" s="0" t="inlineStr">
        <is>
          <t xml:space="preserve">Mazda</t>
        </is>
      </c>
      <c r="F7372" s="0" t="s">
        <v>28</v>
      </c>
      <c r="G7372" s="0" t="s">
        <v>29</v>
      </c>
      <c r="H7372" s="5">
        <v>196.140300</v>
      </c>
    </row>
    <row r="7373" spans="1:9">
      <c r="A7373" s="22" t="str">
        <f>HYPERLINK("https://app.vivvix.com/360/KMI/IntelliDrive/ApplUI/Pages/CreativePages/CustomReportCreativeDetail.aspx?App=23&amp;ReportView=4&amp;Qid=1711279&amp;Row=7365&amp;Col=1","No Title Assigned - #15270418618")</f>
        <v/>
      </c>
      <c r="B7373" s="0" t="s">
        <v>9780</v>
      </c>
      <c r="C7373" s="0" t="s">
        <v>9781</v>
      </c>
      <c r="D7373" s="0" t="s">
        <v>9781</v>
      </c>
      <c r="E7373" s="0" t="inlineStr">
        <is>
          <t xml:space="preserve">Mazda</t>
        </is>
      </c>
      <c r="F7373" s="0" t="inlineStr">
        <is>
          <t xml:space="preserve">Mazda</t>
        </is>
      </c>
      <c r="G7373" s="0" t="s">
        <v>210</v>
      </c>
      <c r="H7373" s="5">
        <v>88155.237800</v>
      </c>
    </row>
    <row r="7374" spans="1:9">
      <c r="A7374" s="22" t="str">
        <f>HYPERLINK("https://app.vivvix.com/360/KMI/IntelliDrive/ApplUI/Pages/CreativePages/CustomReportCreativeDetail.aspx?App=23&amp;ReportView=4&amp;Qid=1711279&amp;Row=7366&amp;Col=1","No Title Assigned - #15270418618")</f>
        <v/>
      </c>
      <c r="B7374" s="0" t="s">
        <v>9780</v>
      </c>
      <c r="E7374" s="0" t="inlineStr">
        <is>
          <t xml:space="preserve">Mazda</t>
        </is>
      </c>
      <c r="F7374" s="0" t="inlineStr">
        <is>
          <t xml:space="preserve">Mazda</t>
        </is>
      </c>
      <c r="G7374" s="0" t="s">
        <v>210</v>
      </c>
      <c r="H7374" s="5">
        <v>18348.617800</v>
      </c>
    </row>
    <row r="7375" spans="1:9">
      <c r="A7375" s="22" t="str">
        <f>HYPERLINK("https://app.vivvix.com/360/KMI/IntelliDrive/ApplUI/Pages/CreativePages/CustomReportCreativeDetail.aspx?App=23&amp;ReportView=4&amp;Qid=1711279&amp;Row=7367&amp;Col=1","No Title Assigned - #15270418770")</f>
        <v/>
      </c>
      <c r="B7375" s="0" t="s">
        <v>9782</v>
      </c>
      <c r="C7375" s="0" t="s">
        <v>9783</v>
      </c>
      <c r="D7375" s="0" t="s">
        <v>4335</v>
      </c>
      <c r="E7375" s="0" t="inlineStr">
        <is>
          <t xml:space="preserve">Mazda</t>
        </is>
      </c>
      <c r="F7375" s="0" t="s">
        <v>13</v>
      </c>
      <c r="G7375" s="0" t="s">
        <v>49</v>
      </c>
      <c r="H7375" s="5">
        <v>9629.131500</v>
      </c>
    </row>
    <row r="7376" spans="1:9">
      <c r="A7376" s="22" t="str">
        <f>HYPERLINK("https://app.vivvix.com/360/KMI/IntelliDrive/ApplUI/Pages/CreativePages/CustomReportCreativeDetail.aspx?App=23&amp;ReportView=4&amp;Qid=1711279&amp;Row=7368&amp;Col=1","No Title Assigned - #15270418770")</f>
        <v/>
      </c>
      <c r="B7376" s="0" t="s">
        <v>9782</v>
      </c>
      <c r="E7376" s="0" t="inlineStr">
        <is>
          <t xml:space="preserve">Mazda</t>
        </is>
      </c>
      <c r="F7376" s="0" t="s">
        <v>13</v>
      </c>
      <c r="G7376" s="0" t="s">
        <v>49</v>
      </c>
      <c r="H7376" s="5">
        <v>5456.180700</v>
      </c>
    </row>
    <row r="7377" spans="1:9">
      <c r="A7377" s="22" t="str">
        <f>HYPERLINK("https://app.vivvix.com/360/KMI/IntelliDrive/ApplUI/Pages/CreativePages/CustomReportCreativeDetail.aspx?App=23&amp;ReportView=4&amp;Qid=1711279&amp;Row=7369&amp;Col=1","No Title Assigned - #15270418772")</f>
        <v/>
      </c>
      <c r="B7377" s="0" t="s">
        <v>9784</v>
      </c>
      <c r="C7377" s="0" t="s">
        <v>9785</v>
      </c>
      <c r="D7377" s="0" t="s">
        <v>9785</v>
      </c>
      <c r="E7377" s="0" t="inlineStr">
        <is>
          <t xml:space="preserve">Mazda</t>
        </is>
      </c>
      <c r="F7377" s="0" t="s">
        <v>13</v>
      </c>
      <c r="G7377" s="0" t="s">
        <v>49</v>
      </c>
      <c r="H7377" s="5">
        <v>3336.746200</v>
      </c>
    </row>
    <row r="7378" spans="1:9">
      <c r="A7378" s="22" t="str">
        <f>HYPERLINK("https://app.vivvix.com/360/KMI/IntelliDrive/ApplUI/Pages/CreativePages/CustomReportCreativeDetail.aspx?App=23&amp;ReportView=4&amp;Qid=1711279&amp;Row=7370&amp;Col=1","No Title Assigned - #15270418861")</f>
        <v/>
      </c>
      <c r="B7378" s="0" t="s">
        <v>9786</v>
      </c>
      <c r="C7378" s="0" t="s">
        <v>9787</v>
      </c>
      <c r="D7378" s="0" t="s">
        <v>9787</v>
      </c>
      <c r="E7378" s="0" t="inlineStr">
        <is>
          <t xml:space="preserve">Mazda</t>
        </is>
      </c>
      <c r="F7378" s="0" t="s">
        <v>13</v>
      </c>
      <c r="G7378" s="0" t="s">
        <v>49</v>
      </c>
      <c r="H7378" s="5">
        <v>5068.333000</v>
      </c>
    </row>
    <row r="7379" spans="1:9">
      <c r="A7379" s="22" t="str">
        <f>HYPERLINK("https://app.vivvix.com/360/KMI/IntelliDrive/ApplUI/Pages/CreativePages/CustomReportCreativeDetail.aspx?App=23&amp;ReportView=4&amp;Qid=1711279&amp;Row=7371&amp;Col=1","No Title Assigned - #15270418950")</f>
        <v/>
      </c>
      <c r="B7379" s="0" t="s">
        <v>9788</v>
      </c>
      <c r="C7379" s="0" t="s">
        <v>9789</v>
      </c>
      <c r="D7379" s="0" t="s">
        <v>4335</v>
      </c>
      <c r="E7379" s="0" t="inlineStr">
        <is>
          <t xml:space="preserve">Mazda</t>
        </is>
      </c>
      <c r="F7379" s="0" t="s">
        <v>13</v>
      </c>
      <c r="G7379" s="0" t="s">
        <v>49</v>
      </c>
      <c r="H7379" s="5">
        <v>803.266000</v>
      </c>
    </row>
    <row r="7380" spans="1:9">
      <c r="A7380" s="22" t="str">
        <f>HYPERLINK("https://app.vivvix.com/360/KMI/IntelliDrive/ApplUI/Pages/CreativePages/CustomReportCreativeDetail.aspx?App=23&amp;ReportView=4&amp;Qid=1711279&amp;Row=7372&amp;Col=1","No Title Assigned - #15270419180")</f>
        <v/>
      </c>
      <c r="B7380" s="0" t="s">
        <v>9790</v>
      </c>
      <c r="C7380" s="0" t="s">
        <v>9791</v>
      </c>
      <c r="D7380" s="0" t="s">
        <v>9791</v>
      </c>
      <c r="E7380" s="0" t="inlineStr">
        <is>
          <t xml:space="preserve">Mazda</t>
        </is>
      </c>
      <c r="F7380" s="0" t="s">
        <v>13</v>
      </c>
      <c r="G7380" s="0" t="s">
        <v>49</v>
      </c>
      <c r="H7380" s="5">
        <v>1721.029800</v>
      </c>
    </row>
    <row r="7381" spans="1:9">
      <c r="A7381" s="22" t="str">
        <f>HYPERLINK("https://app.vivvix.com/360/KMI/IntelliDrive/ApplUI/Pages/CreativePages/CustomReportCreativeDetail.aspx?App=23&amp;ReportView=4&amp;Qid=1711279&amp;Row=7373&amp;Col=1","No Title Assigned - #15270419196")</f>
        <v/>
      </c>
      <c r="B7381" s="0" t="s">
        <v>9792</v>
      </c>
      <c r="C7381" s="0" t="s">
        <v>9793</v>
      </c>
      <c r="D7381" s="0" t="s">
        <v>9793</v>
      </c>
      <c r="E7381" s="0" t="inlineStr">
        <is>
          <t xml:space="preserve">Mazda</t>
        </is>
      </c>
      <c r="F7381" s="0" t="s">
        <v>13</v>
      </c>
      <c r="G7381" s="0" t="s">
        <v>49</v>
      </c>
      <c r="H7381" s="5">
        <v>2426.779800</v>
      </c>
    </row>
    <row r="7382" spans="1:9">
      <c r="A7382" s="22" t="str">
        <f>HYPERLINK("https://app.vivvix.com/360/KMI/IntelliDrive/ApplUI/Pages/CreativePages/CustomReportCreativeDetail.aspx?App=23&amp;ReportView=4&amp;Qid=1711279&amp;Row=7374&amp;Col=1","No Title Assigned - #15270419239")</f>
        <v/>
      </c>
      <c r="B7382" s="0" t="s">
        <v>9794</v>
      </c>
      <c r="C7382" s="0" t="s">
        <v>9795</v>
      </c>
      <c r="D7382" s="0" t="s">
        <v>9795</v>
      </c>
      <c r="E7382" s="0" t="inlineStr">
        <is>
          <t xml:space="preserve">Mazda</t>
        </is>
      </c>
      <c r="F7382" s="0" t="s">
        <v>13</v>
      </c>
      <c r="G7382" s="0" t="s">
        <v>49</v>
      </c>
      <c r="H7382" s="5">
        <v>275.930100</v>
      </c>
    </row>
    <row r="7383" spans="1:9">
      <c r="A7383" s="22" t="str">
        <f>HYPERLINK("https://app.vivvix.com/360/KMI/IntelliDrive/ApplUI/Pages/CreativePages/CustomReportCreativeDetail.aspx?App=23&amp;ReportView=4&amp;Qid=1711279&amp;Row=7375&amp;Col=1","No Title Assigned - #15270419346")</f>
        <v/>
      </c>
      <c r="B7383" s="0" t="s">
        <v>9796</v>
      </c>
      <c r="C7383" s="0" t="s">
        <v>9797</v>
      </c>
      <c r="D7383" s="0" t="s">
        <v>9797</v>
      </c>
      <c r="E7383" s="0" t="inlineStr">
        <is>
          <t xml:space="preserve">Mazda</t>
        </is>
      </c>
      <c r="F7383" s="0" t="s">
        <v>13</v>
      </c>
      <c r="G7383" s="0" t="s">
        <v>49</v>
      </c>
      <c r="H7383" s="5">
        <v>109.617300</v>
      </c>
    </row>
    <row r="7384" spans="1:9">
      <c r="A7384" s="22" t="str">
        <f>HYPERLINK("https://app.vivvix.com/360/KMI/IntelliDrive/ApplUI/Pages/CreativePages/CustomReportCreativeDetail.aspx?App=23&amp;ReportView=4&amp;Qid=1711279&amp;Row=7376&amp;Col=1","No Title Assigned - #15270419452")</f>
        <v/>
      </c>
      <c r="B7384" s="0" t="s">
        <v>9798</v>
      </c>
      <c r="C7384" s="0" t="s">
        <v>9799</v>
      </c>
      <c r="D7384" s="0" t="s">
        <v>9800</v>
      </c>
      <c r="E7384" s="0" t="inlineStr">
        <is>
          <t xml:space="preserve">Mazda</t>
        </is>
      </c>
      <c r="F7384" s="0" t="s">
        <v>13</v>
      </c>
      <c r="G7384" s="0" t="s">
        <v>49</v>
      </c>
      <c r="H7384" s="5">
        <v>227.482600</v>
      </c>
    </row>
    <row r="7385" spans="1:9">
      <c r="A7385" s="22" t="str">
        <f>HYPERLINK("https://app.vivvix.com/360/KMI/IntelliDrive/ApplUI/Pages/CreativePages/CustomReportCreativeDetail.aspx?App=23&amp;ReportView=4&amp;Qid=1711279&amp;Row=7377&amp;Col=1","No Title Assigned - #15270419585")</f>
        <v/>
      </c>
      <c r="B7385" s="0" t="s">
        <v>9801</v>
      </c>
      <c r="C7385" s="0" t="s">
        <v>9802</v>
      </c>
      <c r="D7385" s="0" t="s">
        <v>4774</v>
      </c>
      <c r="E7385" s="0" t="inlineStr">
        <is>
          <t xml:space="preserve">Mazda</t>
        </is>
      </c>
      <c r="F7385" s="0" t="s">
        <v>13</v>
      </c>
      <c r="G7385" s="0" t="s">
        <v>49</v>
      </c>
      <c r="H7385" s="5">
        <v>1156.471100</v>
      </c>
    </row>
    <row r="7386" spans="1:9">
      <c r="A7386" s="22" t="str">
        <f>HYPERLINK("https://app.vivvix.com/360/KMI/IntelliDrive/ApplUI/Pages/CreativePages/CustomReportCreativeDetail.aspx?App=23&amp;ReportView=4&amp;Qid=1711279&amp;Row=7378&amp;Col=1","No Title Assigned - #15270419586")</f>
        <v/>
      </c>
      <c r="B7386" s="0" t="s">
        <v>9803</v>
      </c>
      <c r="C7386" s="0" t="s">
        <v>9804</v>
      </c>
      <c r="D7386" s="0" t="s">
        <v>9804</v>
      </c>
      <c r="E7386" s="0" t="inlineStr">
        <is>
          <t xml:space="preserve">Mazda</t>
        </is>
      </c>
      <c r="F7386" s="0" t="s">
        <v>13</v>
      </c>
      <c r="G7386" s="0" t="s">
        <v>49</v>
      </c>
      <c r="H7386" s="5">
        <v>1626.132700</v>
      </c>
    </row>
    <row r="7387" spans="1:9">
      <c r="A7387" s="22" t="str">
        <f>HYPERLINK("https://app.vivvix.com/360/KMI/IntelliDrive/ApplUI/Pages/CreativePages/CustomReportCreativeDetail.aspx?App=23&amp;ReportView=4&amp;Qid=1711279&amp;Row=7379&amp;Col=1","No Title Assigned - #15270419645")</f>
        <v/>
      </c>
      <c r="B7387" s="0" t="s">
        <v>9805</v>
      </c>
      <c r="C7387" s="0" t="s">
        <v>9806</v>
      </c>
      <c r="D7387" s="0" t="s">
        <v>9806</v>
      </c>
      <c r="E7387" s="0" t="inlineStr">
        <is>
          <t xml:space="preserve">Mazda</t>
        </is>
      </c>
      <c r="F7387" s="0" t="s">
        <v>28</v>
      </c>
      <c r="G7387" s="0" t="s">
        <v>29</v>
      </c>
      <c r="H7387" s="5">
        <v>2717.459500</v>
      </c>
    </row>
    <row r="7388" spans="1:9">
      <c r="A7388" s="22" t="str">
        <f>HYPERLINK("https://app.vivvix.com/360/KMI/IntelliDrive/ApplUI/Pages/CreativePages/CustomReportCreativeDetail.aspx?App=23&amp;ReportView=4&amp;Qid=1711279&amp;Row=7380&amp;Col=1","No Title Assigned - #15270419645")</f>
        <v/>
      </c>
      <c r="B7388" s="0" t="s">
        <v>9805</v>
      </c>
      <c r="E7388" s="0" t="inlineStr">
        <is>
          <t xml:space="preserve">Mazda</t>
        </is>
      </c>
      <c r="F7388" s="0" t="s">
        <v>28</v>
      </c>
      <c r="G7388" s="0" t="s">
        <v>29</v>
      </c>
      <c r="H7388" s="5">
        <v>8.596000</v>
      </c>
    </row>
    <row r="7389" spans="1:9">
      <c r="A7389" s="22" t="str">
        <f>HYPERLINK("https://app.vivvix.com/360/KMI/IntelliDrive/ApplUI/Pages/CreativePages/CustomReportCreativeDetail.aspx?App=23&amp;ReportView=4&amp;Qid=1711279&amp;Row=7381&amp;Col=1","No Title Assigned - #15270419648")</f>
        <v/>
      </c>
      <c r="B7389" s="0" t="s">
        <v>9807</v>
      </c>
      <c r="C7389" s="0" t="s">
        <v>9808</v>
      </c>
      <c r="D7389" s="0" t="s">
        <v>7969</v>
      </c>
      <c r="E7389" s="0" t="inlineStr">
        <is>
          <t xml:space="preserve">Mazda</t>
        </is>
      </c>
      <c r="F7389" s="0" t="s">
        <v>13</v>
      </c>
      <c r="G7389" s="0" t="s">
        <v>49</v>
      </c>
      <c r="H7389" s="5">
        <v>890.547500</v>
      </c>
    </row>
    <row r="7390" spans="1:9">
      <c r="A7390" s="22" t="str">
        <f>HYPERLINK("https://app.vivvix.com/360/KMI/IntelliDrive/ApplUI/Pages/CreativePages/CustomReportCreativeDetail.aspx?App=23&amp;ReportView=4&amp;Qid=1711279&amp;Row=7382&amp;Col=1","No Title Assigned - #15270419733")</f>
        <v/>
      </c>
      <c r="B7390" s="0" t="s">
        <v>9809</v>
      </c>
      <c r="C7390" s="0" t="s">
        <v>9810</v>
      </c>
      <c r="D7390" s="0" t="s">
        <v>4938</v>
      </c>
      <c r="E7390" s="0" t="inlineStr">
        <is>
          <t xml:space="preserve">Mazda</t>
        </is>
      </c>
      <c r="F7390" s="0" t="s">
        <v>13</v>
      </c>
      <c r="G7390" s="0" t="s">
        <v>49</v>
      </c>
      <c r="H7390" s="5">
        <v>1320.178300</v>
      </c>
    </row>
    <row r="7391" spans="1:9">
      <c r="A7391" s="22" t="str">
        <f>HYPERLINK("https://app.vivvix.com/360/KMI/IntelliDrive/ApplUI/Pages/CreativePages/CustomReportCreativeDetail.aspx?App=23&amp;ReportView=4&amp;Qid=1711279&amp;Row=7383&amp;Col=1","No Title Assigned - #15270419821")</f>
        <v/>
      </c>
      <c r="B7391" s="0" t="s">
        <v>9811</v>
      </c>
      <c r="C7391" s="0" t="s">
        <v>9812</v>
      </c>
      <c r="D7391" s="0" t="s">
        <v>4938</v>
      </c>
      <c r="E7391" s="0" t="inlineStr">
        <is>
          <t xml:space="preserve">Mazda</t>
        </is>
      </c>
      <c r="F7391" s="0" t="s">
        <v>13</v>
      </c>
      <c r="G7391" s="0" t="s">
        <v>49</v>
      </c>
      <c r="H7391" s="5">
        <v>240.926300</v>
      </c>
    </row>
    <row r="7392" spans="1:9">
      <c r="A7392" s="22" t="str">
        <f>HYPERLINK("https://app.vivvix.com/360/KMI/IntelliDrive/ApplUI/Pages/CreativePages/CustomReportCreativeDetail.aspx?App=23&amp;ReportView=4&amp;Qid=1711279&amp;Row=7384&amp;Col=1","No Title Assigned - #15270419872")</f>
        <v/>
      </c>
      <c r="B7392" s="0" t="s">
        <v>9813</v>
      </c>
      <c r="C7392" s="0" t="s">
        <v>9814</v>
      </c>
      <c r="D7392" s="0" t="s">
        <v>6238</v>
      </c>
      <c r="E7392" s="0" t="inlineStr">
        <is>
          <t xml:space="preserve">Mazda</t>
        </is>
      </c>
      <c r="F7392" s="0" t="s">
        <v>13</v>
      </c>
      <c r="G7392" s="0" t="s">
        <v>49</v>
      </c>
      <c r="H7392" s="5">
        <v>207.367600</v>
      </c>
    </row>
    <row r="7393" spans="1:9">
      <c r="A7393" s="22" t="str">
        <f>HYPERLINK("https://app.vivvix.com/360/KMI/IntelliDrive/ApplUI/Pages/CreativePages/CustomReportCreativeDetail.aspx?App=23&amp;ReportView=4&amp;Qid=1711279&amp;Row=7385&amp;Col=1","No Title Assigned - #15270419875")</f>
        <v/>
      </c>
      <c r="B7393" s="0" t="s">
        <v>9815</v>
      </c>
      <c r="C7393" s="0" t="s">
        <v>9816</v>
      </c>
      <c r="D7393" s="0" t="s">
        <v>6238</v>
      </c>
      <c r="E7393" s="0" t="inlineStr">
        <is>
          <t xml:space="preserve">Mazda</t>
        </is>
      </c>
      <c r="F7393" s="0" t="s">
        <v>13</v>
      </c>
      <c r="G7393" s="0" t="s">
        <v>49</v>
      </c>
      <c r="H7393" s="5">
        <v>207.367600</v>
      </c>
    </row>
    <row r="7394" spans="1:9">
      <c r="A7394" s="22" t="str">
        <f>HYPERLINK("https://app.vivvix.com/360/KMI/IntelliDrive/ApplUI/Pages/CreativePages/CustomReportCreativeDetail.aspx?App=23&amp;ReportView=4&amp;Qid=1711279&amp;Row=7386&amp;Col=1","No Title Assigned - #15270419928")</f>
        <v/>
      </c>
      <c r="B7394" s="0" t="s">
        <v>9817</v>
      </c>
      <c r="C7394" s="0" t="s">
        <v>9818</v>
      </c>
      <c r="D7394" s="0" t="s">
        <v>9818</v>
      </c>
      <c r="E7394" s="0" t="inlineStr">
        <is>
          <t xml:space="preserve">Mazda</t>
        </is>
      </c>
      <c r="F7394" s="0" t="s">
        <v>13</v>
      </c>
      <c r="G7394" s="0" t="s">
        <v>49</v>
      </c>
      <c r="H7394" s="5">
        <v>371.379000</v>
      </c>
    </row>
    <row r="7395" spans="1:9">
      <c r="A7395" s="22" t="str">
        <f>HYPERLINK("https://app.vivvix.com/360/KMI/IntelliDrive/ApplUI/Pages/CreativePages/CustomReportCreativeDetail.aspx?App=23&amp;ReportView=4&amp;Qid=1711279&amp;Row=7387&amp;Col=1","No Title Assigned - #15270419987")</f>
        <v/>
      </c>
      <c r="B7395" s="0" t="s">
        <v>9819</v>
      </c>
      <c r="E7395" s="0" t="inlineStr">
        <is>
          <t xml:space="preserve">Mazda</t>
        </is>
      </c>
      <c r="F7395" s="0" t="inlineStr">
        <is>
          <t xml:space="preserve">Mazda</t>
        </is>
      </c>
      <c r="G7395" s="0" t="s">
        <v>171</v>
      </c>
      <c r="H7395" s="5">
        <v>12.297200</v>
      </c>
    </row>
    <row r="7396" spans="1:9">
      <c r="A7396" s="22" t="str">
        <f>HYPERLINK("https://app.vivvix.com/360/KMI/IntelliDrive/ApplUI/Pages/CreativePages/CustomReportCreativeDetail.aspx?App=23&amp;ReportView=4&amp;Qid=1711279&amp;Row=7388&amp;Col=1","No Title Assigned - #15270420089")</f>
        <v/>
      </c>
      <c r="B7396" s="0" t="s">
        <v>9820</v>
      </c>
      <c r="C7396" s="0" t="s">
        <v>9821</v>
      </c>
      <c r="D7396" s="0" t="s">
        <v>7081</v>
      </c>
      <c r="E7396" s="0" t="inlineStr">
        <is>
          <t xml:space="preserve">Mazda</t>
        </is>
      </c>
      <c r="F7396" s="0" t="s">
        <v>13</v>
      </c>
      <c r="G7396" s="0" t="s">
        <v>49</v>
      </c>
      <c r="H7396" s="5">
        <v>232.543200</v>
      </c>
    </row>
    <row r="7397" spans="1:9">
      <c r="A7397" s="22" t="str">
        <f>HYPERLINK("https://app.vivvix.com/360/KMI/IntelliDrive/ApplUI/Pages/CreativePages/CustomReportCreativeDetail.aspx?App=23&amp;ReportView=4&amp;Qid=1711279&amp;Row=7389&amp;Col=1","No Title Assigned - #15270420105")</f>
        <v/>
      </c>
      <c r="B7397" s="0" t="s">
        <v>9822</v>
      </c>
      <c r="C7397" s="0" t="s">
        <v>9823</v>
      </c>
      <c r="D7397" s="0" t="s">
        <v>9196</v>
      </c>
      <c r="E7397" s="0" t="inlineStr">
        <is>
          <t xml:space="preserve">Mazda</t>
        </is>
      </c>
      <c r="F7397" s="0" t="s">
        <v>13</v>
      </c>
      <c r="G7397" s="0" t="s">
        <v>49</v>
      </c>
      <c r="H7397" s="5">
        <v>2102.362200</v>
      </c>
    </row>
    <row r="7398" spans="1:9">
      <c r="A7398" s="22" t="str">
        <f>HYPERLINK("https://app.vivvix.com/360/KMI/IntelliDrive/ApplUI/Pages/CreativePages/CustomReportCreativeDetail.aspx?App=23&amp;ReportView=4&amp;Qid=1711279&amp;Row=7390&amp;Col=1","No Title Assigned - #15270420105")</f>
        <v/>
      </c>
      <c r="B7398" s="0" t="s">
        <v>9822</v>
      </c>
      <c r="E7398" s="0" t="inlineStr">
        <is>
          <t xml:space="preserve">Mazda</t>
        </is>
      </c>
      <c r="F7398" s="0" t="s">
        <v>13</v>
      </c>
      <c r="G7398" s="0" t="s">
        <v>49</v>
      </c>
      <c r="H7398" s="5">
        <v>59.694700</v>
      </c>
    </row>
    <row r="7399" spans="1:9">
      <c r="A7399" s="22" t="str">
        <f>HYPERLINK("https://app.vivvix.com/360/KMI/IntelliDrive/ApplUI/Pages/CreativePages/CustomReportCreativeDetail.aspx?App=23&amp;ReportView=4&amp;Qid=1711279&amp;Row=7391&amp;Col=1","No Title Assigned - #15270420144")</f>
        <v/>
      </c>
      <c r="B7399" s="0" t="s">
        <v>9824</v>
      </c>
      <c r="C7399" s="0" t="s">
        <v>9825</v>
      </c>
      <c r="D7399" s="0" t="s">
        <v>9825</v>
      </c>
      <c r="E7399" s="0" t="inlineStr">
        <is>
          <t xml:space="preserve">Mazda</t>
        </is>
      </c>
      <c r="F7399" s="0" t="s">
        <v>13</v>
      </c>
      <c r="G7399" s="0" t="s">
        <v>49</v>
      </c>
      <c r="H7399" s="5">
        <v>20011.013800</v>
      </c>
    </row>
    <row r="7400" spans="1:9">
      <c r="A7400" s="22" t="str">
        <f>HYPERLINK("https://app.vivvix.com/360/KMI/IntelliDrive/ApplUI/Pages/CreativePages/CustomReportCreativeDetail.aspx?App=23&amp;ReportView=4&amp;Qid=1711279&amp;Row=7392&amp;Col=1","No Title Assigned - #15270420144")</f>
        <v/>
      </c>
      <c r="B7400" s="0" t="s">
        <v>9824</v>
      </c>
      <c r="E7400" s="0" t="inlineStr">
        <is>
          <t xml:space="preserve">Mazda</t>
        </is>
      </c>
      <c r="F7400" s="0" t="s">
        <v>13</v>
      </c>
      <c r="G7400" s="0" t="s">
        <v>49</v>
      </c>
      <c r="H7400" s="5">
        <v>3437.604900</v>
      </c>
    </row>
    <row r="7401" spans="1:9">
      <c r="A7401" s="22" t="str">
        <f>HYPERLINK("https://app.vivvix.com/360/KMI/IntelliDrive/ApplUI/Pages/CreativePages/CustomReportCreativeDetail.aspx?App=23&amp;ReportView=4&amp;Qid=1711279&amp;Row=7393&amp;Col=1","No Title Assigned - #15270420170")</f>
        <v/>
      </c>
      <c r="B7401" s="0" t="s">
        <v>9826</v>
      </c>
      <c r="C7401" s="0" t="s">
        <v>9827</v>
      </c>
      <c r="D7401" s="0" t="s">
        <v>9827</v>
      </c>
      <c r="E7401" s="0" t="inlineStr">
        <is>
          <t xml:space="preserve">Mazda</t>
        </is>
      </c>
      <c r="F7401" s="0" t="s">
        <v>13</v>
      </c>
      <c r="G7401" s="0" t="s">
        <v>49</v>
      </c>
      <c r="H7401" s="5">
        <v>571.169200</v>
      </c>
    </row>
    <row r="7402" spans="1:9">
      <c r="A7402" s="22" t="str">
        <f>HYPERLINK("https://app.vivvix.com/360/KMI/IntelliDrive/ApplUI/Pages/CreativePages/CustomReportCreativeDetail.aspx?App=23&amp;ReportView=4&amp;Qid=1711279&amp;Row=7394&amp;Col=1","No Title Assigned - #15270420209")</f>
        <v/>
      </c>
      <c r="B7402" s="0" t="s">
        <v>9828</v>
      </c>
      <c r="C7402" s="0" t="s">
        <v>9829</v>
      </c>
      <c r="D7402" s="0" t="s">
        <v>9829</v>
      </c>
      <c r="E7402" s="0" t="inlineStr">
        <is>
          <t xml:space="preserve">Mazda</t>
        </is>
      </c>
      <c r="F7402" s="0" t="s">
        <v>13</v>
      </c>
      <c r="G7402" s="0" t="s">
        <v>49</v>
      </c>
      <c r="H7402" s="5">
        <v>106.521000</v>
      </c>
    </row>
    <row r="7403" spans="1:9">
      <c r="A7403" s="22" t="str">
        <f>HYPERLINK("https://app.vivvix.com/360/KMI/IntelliDrive/ApplUI/Pages/CreativePages/CustomReportCreativeDetail.aspx?App=23&amp;ReportView=4&amp;Qid=1711279&amp;Row=7395&amp;Col=1","No Title Assigned - #15270420215")</f>
        <v/>
      </c>
      <c r="B7403" s="0" t="s">
        <v>9830</v>
      </c>
      <c r="C7403" s="0" t="s">
        <v>9749</v>
      </c>
      <c r="D7403" s="0" t="s">
        <v>9749</v>
      </c>
      <c r="E7403" s="0" t="inlineStr">
        <is>
          <t xml:space="preserve">Mazda</t>
        </is>
      </c>
      <c r="F7403" s="0" t="s">
        <v>13</v>
      </c>
      <c r="G7403" s="0" t="s">
        <v>49</v>
      </c>
      <c r="H7403" s="5">
        <v>36485.849900</v>
      </c>
    </row>
    <row r="7404" spans="1:9">
      <c r="A7404" s="22" t="str">
        <f>HYPERLINK("https://app.vivvix.com/360/KMI/IntelliDrive/ApplUI/Pages/CreativePages/CustomReportCreativeDetail.aspx?App=23&amp;ReportView=4&amp;Qid=1711279&amp;Row=7396&amp;Col=1","No Title Assigned - #15270420215")</f>
        <v/>
      </c>
      <c r="B7404" s="0" t="s">
        <v>9830</v>
      </c>
      <c r="E7404" s="0" t="inlineStr">
        <is>
          <t xml:space="preserve">Mazda</t>
        </is>
      </c>
      <c r="F7404" s="0" t="s">
        <v>13</v>
      </c>
      <c r="G7404" s="0" t="s">
        <v>49</v>
      </c>
      <c r="H7404" s="5">
        <v>24361.386800</v>
      </c>
    </row>
    <row r="7405" spans="1:9">
      <c r="A7405" s="22" t="str">
        <f>HYPERLINK("https://app.vivvix.com/360/KMI/IntelliDrive/ApplUI/Pages/CreativePages/CustomReportCreativeDetail.aspx?App=23&amp;ReportView=4&amp;Qid=1711279&amp;Row=7397&amp;Col=1","No Title Assigned - #15270420300")</f>
        <v/>
      </c>
      <c r="B7405" s="0" t="s">
        <v>9831</v>
      </c>
      <c r="C7405" s="0" t="s">
        <v>9832</v>
      </c>
      <c r="D7405" s="0" t="s">
        <v>9832</v>
      </c>
      <c r="E7405" s="0" t="inlineStr">
        <is>
          <t xml:space="preserve">Mazda</t>
        </is>
      </c>
      <c r="F7405" s="0" t="s">
        <v>13</v>
      </c>
      <c r="G7405" s="0" t="s">
        <v>49</v>
      </c>
      <c r="H7405" s="5">
        <v>28.903500</v>
      </c>
    </row>
    <row r="7406" spans="1:9">
      <c r="A7406" s="22" t="str">
        <f>HYPERLINK("https://app.vivvix.com/360/KMI/IntelliDrive/ApplUI/Pages/CreativePages/CustomReportCreativeDetail.aspx?App=23&amp;ReportView=4&amp;Qid=1711279&amp;Row=7398&amp;Col=1","No Title Assigned - #15270420300")</f>
        <v/>
      </c>
      <c r="B7406" s="0" t="s">
        <v>9831</v>
      </c>
      <c r="E7406" s="0" t="inlineStr">
        <is>
          <t xml:space="preserve">Mazda</t>
        </is>
      </c>
      <c r="F7406" s="0" t="s">
        <v>13</v>
      </c>
      <c r="G7406" s="0" t="s">
        <v>49</v>
      </c>
      <c r="H7406" s="5">
        <v>177.047100</v>
      </c>
    </row>
    <row r="7407" spans="1:9">
      <c r="A7407" s="22" t="str">
        <f>HYPERLINK("https://app.vivvix.com/360/KMI/IntelliDrive/ApplUI/Pages/CreativePages/CustomReportCreativeDetail.aspx?App=23&amp;ReportView=4&amp;Qid=1711279&amp;Row=7399&amp;Col=1","No Title Assigned - #15270420396")</f>
        <v/>
      </c>
      <c r="B7407" s="0" t="s">
        <v>9833</v>
      </c>
      <c r="C7407" s="0" t="s">
        <v>9834</v>
      </c>
      <c r="D7407" s="0" t="s">
        <v>9834</v>
      </c>
      <c r="E7407" s="0" t="inlineStr">
        <is>
          <t xml:space="preserve">Mazda</t>
        </is>
      </c>
      <c r="F7407" s="0" t="s">
        <v>13</v>
      </c>
      <c r="G7407" s="0" t="s">
        <v>49</v>
      </c>
      <c r="H7407" s="5">
        <v>557.936800</v>
      </c>
    </row>
    <row r="7408" spans="1:9">
      <c r="A7408" s="22" t="str">
        <f>HYPERLINK("https://app.vivvix.com/360/KMI/IntelliDrive/ApplUI/Pages/CreativePages/CustomReportCreativeDetail.aspx?App=23&amp;ReportView=4&amp;Qid=1711279&amp;Row=7400&amp;Col=1","No Title Assigned - #15270420528")</f>
        <v/>
      </c>
      <c r="B7408" s="0" t="s">
        <v>9835</v>
      </c>
      <c r="C7408" s="0" t="s">
        <v>9836</v>
      </c>
      <c r="D7408" s="0" t="s">
        <v>9832</v>
      </c>
      <c r="E7408" s="0" t="inlineStr">
        <is>
          <t xml:space="preserve">Mazda</t>
        </is>
      </c>
      <c r="F7408" s="0" t="s">
        <v>13</v>
      </c>
      <c r="G7408" s="0" t="s">
        <v>49</v>
      </c>
      <c r="H7408" s="5">
        <v>282.145800</v>
      </c>
    </row>
    <row r="7409" spans="1:9">
      <c r="A7409" s="22" t="str">
        <f>HYPERLINK("https://app.vivvix.com/360/KMI/IntelliDrive/ApplUI/Pages/CreativePages/CustomReportCreativeDetail.aspx?App=23&amp;ReportView=4&amp;Qid=1711279&amp;Row=7401&amp;Col=1","No Title Assigned - #15270420541")</f>
        <v/>
      </c>
      <c r="B7409" s="0" t="s">
        <v>9837</v>
      </c>
      <c r="C7409" s="0" t="s">
        <v>9838</v>
      </c>
      <c r="D7409" s="0" t="s">
        <v>9838</v>
      </c>
      <c r="E7409" s="0" t="inlineStr">
        <is>
          <t xml:space="preserve">Mazda</t>
        </is>
      </c>
      <c r="F7409" s="0" t="inlineStr">
        <is>
          <t xml:space="preserve">Mazda</t>
        </is>
      </c>
      <c r="G7409" s="0" t="s">
        <v>171</v>
      </c>
      <c r="H7409" s="5">
        <v>530.767900</v>
      </c>
    </row>
    <row r="7410" spans="1:9">
      <c r="A7410" s="22" t="str">
        <f>HYPERLINK("https://app.vivvix.com/360/KMI/IntelliDrive/ApplUI/Pages/CreativePages/CustomReportCreativeDetail.aspx?App=23&amp;ReportView=4&amp;Qid=1711279&amp;Row=7402&amp;Col=1","No Title Assigned - #15270420553")</f>
        <v/>
      </c>
      <c r="B7410" s="0" t="s">
        <v>9839</v>
      </c>
      <c r="C7410" s="0" t="s">
        <v>9840</v>
      </c>
      <c r="D7410" s="0" t="s">
        <v>4768</v>
      </c>
      <c r="E7410" s="0" t="inlineStr">
        <is>
          <t xml:space="preserve">Mazda</t>
        </is>
      </c>
      <c r="F7410" s="0" t="s">
        <v>13</v>
      </c>
      <c r="G7410" s="0" t="s">
        <v>49</v>
      </c>
      <c r="H7410" s="5">
        <v>831.514000</v>
      </c>
    </row>
    <row r="7411" spans="1:9">
      <c r="A7411" s="22" t="str">
        <f>HYPERLINK("https://app.vivvix.com/360/KMI/IntelliDrive/ApplUI/Pages/CreativePages/CustomReportCreativeDetail.aspx?App=23&amp;ReportView=4&amp;Qid=1711279&amp;Row=7403&amp;Col=1","No Title Assigned - #15270420634")</f>
        <v/>
      </c>
      <c r="B7411" s="0" t="s">
        <v>9841</v>
      </c>
      <c r="C7411" s="0" t="s">
        <v>9842</v>
      </c>
      <c r="D7411" s="0" t="s">
        <v>7969</v>
      </c>
      <c r="E7411" s="0" t="inlineStr">
        <is>
          <t xml:space="preserve">Mazda</t>
        </is>
      </c>
      <c r="F7411" s="0" t="s">
        <v>13</v>
      </c>
      <c r="G7411" s="0" t="s">
        <v>49</v>
      </c>
      <c r="H7411" s="5">
        <v>3547.064500</v>
      </c>
    </row>
    <row r="7412" spans="1:9">
      <c r="A7412" s="22" t="str">
        <f>HYPERLINK("https://app.vivvix.com/360/KMI/IntelliDrive/ApplUI/Pages/CreativePages/CustomReportCreativeDetail.aspx?App=23&amp;ReportView=4&amp;Qid=1711279&amp;Row=7404&amp;Col=1","No Title Assigned - #15270420636")</f>
        <v/>
      </c>
      <c r="B7412" s="0" t="s">
        <v>9843</v>
      </c>
      <c r="C7412" s="0" t="s">
        <v>9844</v>
      </c>
      <c r="D7412" s="0" t="s">
        <v>9844</v>
      </c>
      <c r="E7412" s="0" t="inlineStr">
        <is>
          <t xml:space="preserve">Mazda</t>
        </is>
      </c>
      <c r="F7412" s="0" t="s">
        <v>17</v>
      </c>
      <c r="G7412" s="0" t="s">
        <v>33</v>
      </c>
      <c r="H7412" s="5">
        <v>591.759700</v>
      </c>
    </row>
    <row r="7413" spans="1:9">
      <c r="A7413" s="22" t="str">
        <f>HYPERLINK("https://app.vivvix.com/360/KMI/IntelliDrive/ApplUI/Pages/CreativePages/CustomReportCreativeDetail.aspx?App=23&amp;ReportView=4&amp;Qid=1711279&amp;Row=7405&amp;Col=1","No Title Assigned - #15270420638")</f>
        <v/>
      </c>
      <c r="B7413" s="0" t="s">
        <v>9845</v>
      </c>
      <c r="C7413" s="0" t="s">
        <v>9846</v>
      </c>
      <c r="D7413" s="0" t="s">
        <v>9800</v>
      </c>
      <c r="E7413" s="0" t="inlineStr">
        <is>
          <t xml:space="preserve">Mazda</t>
        </is>
      </c>
      <c r="F7413" s="0" t="s">
        <v>13</v>
      </c>
      <c r="G7413" s="0" t="s">
        <v>49</v>
      </c>
      <c r="H7413" s="5">
        <v>336.235700</v>
      </c>
    </row>
    <row r="7414" spans="1:9">
      <c r="A7414" s="22" t="str">
        <f>HYPERLINK("https://app.vivvix.com/360/KMI/IntelliDrive/ApplUI/Pages/CreativePages/CustomReportCreativeDetail.aspx?App=23&amp;ReportView=4&amp;Qid=1711279&amp;Row=7406&amp;Col=1","No Title Assigned - #15270420711")</f>
        <v/>
      </c>
      <c r="B7414" s="0" t="s">
        <v>9847</v>
      </c>
      <c r="C7414" s="0" t="s">
        <v>9848</v>
      </c>
      <c r="D7414" s="0" t="s">
        <v>5013</v>
      </c>
      <c r="E7414" s="0" t="inlineStr">
        <is>
          <t xml:space="preserve">Mazda</t>
        </is>
      </c>
      <c r="F7414" s="0" t="s">
        <v>13</v>
      </c>
      <c r="G7414" s="0" t="s">
        <v>49</v>
      </c>
      <c r="H7414" s="5">
        <v>23.431000</v>
      </c>
    </row>
    <row r="7415" spans="1:9">
      <c r="A7415" s="22" t="str">
        <f>HYPERLINK("https://app.vivvix.com/360/KMI/IntelliDrive/ApplUI/Pages/CreativePages/CustomReportCreativeDetail.aspx?App=23&amp;ReportView=4&amp;Qid=1711279&amp;Row=7407&amp;Col=1","No Title Assigned - #15270420716")</f>
        <v/>
      </c>
      <c r="B7415" s="0" t="s">
        <v>9849</v>
      </c>
      <c r="C7415" s="0" t="s">
        <v>9850</v>
      </c>
      <c r="D7415" s="0" t="s">
        <v>9850</v>
      </c>
      <c r="E7415" s="0" t="inlineStr">
        <is>
          <t xml:space="preserve">Mazda</t>
        </is>
      </c>
      <c r="F7415" s="0" t="s">
        <v>13</v>
      </c>
      <c r="G7415" s="0" t="s">
        <v>49</v>
      </c>
      <c r="H7415" s="5">
        <v>5680.237200</v>
      </c>
    </row>
    <row r="7416" spans="1:9">
      <c r="A7416" s="22" t="str">
        <f>HYPERLINK("https://app.vivvix.com/360/KMI/IntelliDrive/ApplUI/Pages/CreativePages/CustomReportCreativeDetail.aspx?App=23&amp;ReportView=4&amp;Qid=1711279&amp;Row=7408&amp;Col=1","No Title Assigned - #15270420823")</f>
        <v/>
      </c>
      <c r="B7416" s="0" t="s">
        <v>9851</v>
      </c>
      <c r="C7416" s="0" t="s">
        <v>9852</v>
      </c>
      <c r="D7416" s="0" t="s">
        <v>6183</v>
      </c>
      <c r="E7416" s="0" t="inlineStr">
        <is>
          <t xml:space="preserve">Mazda</t>
        </is>
      </c>
      <c r="F7416" s="0" t="s">
        <v>13</v>
      </c>
      <c r="G7416" s="0" t="s">
        <v>49</v>
      </c>
      <c r="H7416" s="5">
        <v>125.002100</v>
      </c>
    </row>
    <row r="7417" spans="1:9">
      <c r="A7417" s="22" t="str">
        <f>HYPERLINK("https://app.vivvix.com/360/KMI/IntelliDrive/ApplUI/Pages/CreativePages/CustomReportCreativeDetail.aspx?App=23&amp;ReportView=4&amp;Qid=1711279&amp;Row=7409&amp;Col=1","No Title Assigned - #15270420844")</f>
        <v/>
      </c>
      <c r="B7417" s="0" t="s">
        <v>9853</v>
      </c>
      <c r="C7417" s="0" t="s">
        <v>9854</v>
      </c>
      <c r="D7417" s="0" t="s">
        <v>6404</v>
      </c>
      <c r="E7417" s="0" t="inlineStr">
        <is>
          <t xml:space="preserve">Mazda</t>
        </is>
      </c>
      <c r="F7417" s="0" t="s">
        <v>13</v>
      </c>
      <c r="G7417" s="0" t="s">
        <v>49</v>
      </c>
      <c r="H7417" s="5">
        <v>129.682500</v>
      </c>
    </row>
    <row r="7418" spans="1:9">
      <c r="A7418" s="22" t="str">
        <f>HYPERLINK("https://app.vivvix.com/360/KMI/IntelliDrive/ApplUI/Pages/CreativePages/CustomReportCreativeDetail.aspx?App=23&amp;ReportView=4&amp;Qid=1711279&amp;Row=7410&amp;Col=1","No Title Assigned - #15270420891")</f>
        <v/>
      </c>
      <c r="B7418" s="0" t="s">
        <v>9855</v>
      </c>
      <c r="C7418" s="0" t="s">
        <v>9856</v>
      </c>
      <c r="D7418" s="0" t="s">
        <v>4774</v>
      </c>
      <c r="E7418" s="0" t="inlineStr">
        <is>
          <t xml:space="preserve">Mazda</t>
        </is>
      </c>
      <c r="F7418" s="0" t="s">
        <v>13</v>
      </c>
      <c r="G7418" s="0" t="s">
        <v>49</v>
      </c>
      <c r="H7418" s="5">
        <v>1021.735500</v>
      </c>
    </row>
    <row r="7419" spans="1:9">
      <c r="A7419" s="22" t="str">
        <f>HYPERLINK("https://app.vivvix.com/360/KMI/IntelliDrive/ApplUI/Pages/CreativePages/CustomReportCreativeDetail.aspx?App=23&amp;ReportView=4&amp;Qid=1711279&amp;Row=7411&amp;Col=1","No Title Assigned - #15270420964")</f>
        <v/>
      </c>
      <c r="B7419" s="0" t="s">
        <v>9857</v>
      </c>
      <c r="C7419" s="0" t="s">
        <v>9858</v>
      </c>
      <c r="D7419" s="0" t="s">
        <v>9858</v>
      </c>
      <c r="E7419" s="0" t="inlineStr">
        <is>
          <t xml:space="preserve">Mazda</t>
        </is>
      </c>
      <c r="F7419" s="0" t="s">
        <v>13</v>
      </c>
      <c r="G7419" s="0" t="s">
        <v>49</v>
      </c>
      <c r="H7419" s="5">
        <v>272.414800</v>
      </c>
    </row>
    <row r="7420" spans="1:9">
      <c r="A7420" s="22" t="str">
        <f>HYPERLINK("https://app.vivvix.com/360/KMI/IntelliDrive/ApplUI/Pages/CreativePages/CustomReportCreativeDetail.aspx?App=23&amp;ReportView=4&amp;Qid=1711279&amp;Row=7412&amp;Col=1","No Title Assigned - #15270421038")</f>
        <v/>
      </c>
      <c r="B7420" s="0" t="s">
        <v>9859</v>
      </c>
      <c r="E7420" s="0" t="inlineStr">
        <is>
          <t xml:space="preserve">Mazda</t>
        </is>
      </c>
      <c r="F7420" s="0" t="s">
        <v>13</v>
      </c>
      <c r="G7420" s="0" t="s">
        <v>49</v>
      </c>
      <c r="H7420" s="5">
        <v>4410.967400</v>
      </c>
    </row>
    <row r="7421" spans="1:9">
      <c r="A7421" s="22" t="str">
        <f>HYPERLINK("https://app.vivvix.com/360/KMI/IntelliDrive/ApplUI/Pages/CreativePages/CustomReportCreativeDetail.aspx?App=23&amp;ReportView=4&amp;Qid=1711279&amp;Row=7413&amp;Col=1","No Title Assigned - #15270421038")</f>
        <v/>
      </c>
      <c r="B7421" s="0" t="s">
        <v>9859</v>
      </c>
      <c r="C7421" s="0" t="s">
        <v>9860</v>
      </c>
      <c r="D7421" s="0" t="s">
        <v>9860</v>
      </c>
      <c r="E7421" s="0" t="inlineStr">
        <is>
          <t xml:space="preserve">Mazda</t>
        </is>
      </c>
      <c r="F7421" s="0" t="s">
        <v>13</v>
      </c>
      <c r="G7421" s="0" t="s">
        <v>49</v>
      </c>
      <c r="H7421" s="5">
        <v>13885.999400</v>
      </c>
    </row>
    <row r="7422" spans="1:9">
      <c r="A7422" s="22" t="str">
        <f>HYPERLINK("https://app.vivvix.com/360/KMI/IntelliDrive/ApplUI/Pages/CreativePages/CustomReportCreativeDetail.aspx?App=23&amp;ReportView=4&amp;Qid=1711279&amp;Row=7414&amp;Col=1","No Title Assigned - #15270421108")</f>
        <v/>
      </c>
      <c r="B7422" s="0" t="s">
        <v>9861</v>
      </c>
      <c r="E7422" s="0" t="inlineStr">
        <is>
          <t xml:space="preserve">Mazda</t>
        </is>
      </c>
      <c r="F7422" s="0" t="inlineStr">
        <is>
          <t xml:space="preserve">Mazda</t>
        </is>
      </c>
      <c r="G7422" s="0" t="s">
        <v>171</v>
      </c>
      <c r="H7422" s="5">
        <v>229.681300</v>
      </c>
    </row>
    <row r="7423" spans="1:9">
      <c r="A7423" s="22" t="str">
        <f>HYPERLINK("https://app.vivvix.com/360/KMI/IntelliDrive/ApplUI/Pages/CreativePages/CustomReportCreativeDetail.aspx?App=23&amp;ReportView=4&amp;Qid=1711279&amp;Row=7415&amp;Col=1","No Title Assigned - #15270421172")</f>
        <v/>
      </c>
      <c r="B7423" s="0" t="s">
        <v>9862</v>
      </c>
      <c r="C7423" s="0" t="s">
        <v>9863</v>
      </c>
      <c r="D7423" s="0" t="s">
        <v>4335</v>
      </c>
      <c r="E7423" s="0" t="inlineStr">
        <is>
          <t xml:space="preserve">Mazda</t>
        </is>
      </c>
      <c r="F7423" s="0" t="s">
        <v>13</v>
      </c>
      <c r="G7423" s="0" t="s">
        <v>49</v>
      </c>
      <c r="H7423" s="5">
        <v>157.001800</v>
      </c>
    </row>
    <row r="7424" spans="1:9">
      <c r="A7424" s="22" t="str">
        <f>HYPERLINK("https://app.vivvix.com/360/KMI/IntelliDrive/ApplUI/Pages/CreativePages/CustomReportCreativeDetail.aspx?App=23&amp;ReportView=4&amp;Qid=1711279&amp;Row=7416&amp;Col=1","No Title Assigned - #15270421184")</f>
        <v/>
      </c>
      <c r="B7424" s="0" t="s">
        <v>9864</v>
      </c>
      <c r="C7424" s="0" t="s">
        <v>9865</v>
      </c>
      <c r="D7424" s="0" t="s">
        <v>9865</v>
      </c>
      <c r="E7424" s="0" t="inlineStr">
        <is>
          <t xml:space="preserve">Mazda</t>
        </is>
      </c>
      <c r="F7424" s="0" t="s">
        <v>13</v>
      </c>
      <c r="G7424" s="0" t="s">
        <v>49</v>
      </c>
      <c r="H7424" s="5">
        <v>966.014300</v>
      </c>
    </row>
    <row r="7425" spans="1:9">
      <c r="A7425" s="22" t="str">
        <f>HYPERLINK("https://app.vivvix.com/360/KMI/IntelliDrive/ApplUI/Pages/CreativePages/CustomReportCreativeDetail.aspx?App=23&amp;ReportView=4&amp;Qid=1711279&amp;Row=7417&amp;Col=1","No Title Assigned - #15270421231")</f>
        <v/>
      </c>
      <c r="B7425" s="0" t="s">
        <v>9866</v>
      </c>
      <c r="E7425" s="0" t="inlineStr">
        <is>
          <t xml:space="preserve">Mazda</t>
        </is>
      </c>
      <c r="F7425" s="0" t="s">
        <v>13</v>
      </c>
      <c r="G7425" s="0" t="s">
        <v>49</v>
      </c>
      <c r="H7425" s="5">
        <v>932.702400</v>
      </c>
    </row>
    <row r="7426" spans="1:9">
      <c r="A7426" s="22" t="str">
        <f>HYPERLINK("https://app.vivvix.com/360/KMI/IntelliDrive/ApplUI/Pages/CreativePages/CustomReportCreativeDetail.aspx?App=23&amp;ReportView=4&amp;Qid=1711279&amp;Row=7418&amp;Col=1","No Title Assigned - #15270421231")</f>
        <v/>
      </c>
      <c r="B7426" s="0" t="s">
        <v>9866</v>
      </c>
      <c r="C7426" s="0" t="s">
        <v>9867</v>
      </c>
      <c r="D7426" s="0" t="s">
        <v>4335</v>
      </c>
      <c r="E7426" s="0" t="inlineStr">
        <is>
          <t xml:space="preserve">Mazda</t>
        </is>
      </c>
      <c r="F7426" s="0" t="s">
        <v>13</v>
      </c>
      <c r="G7426" s="0" t="s">
        <v>49</v>
      </c>
      <c r="H7426" s="5">
        <v>1116.267600</v>
      </c>
    </row>
    <row r="7427" spans="1:9">
      <c r="A7427" s="22" t="str">
        <f>HYPERLINK("https://app.vivvix.com/360/KMI/IntelliDrive/ApplUI/Pages/CreativePages/CustomReportCreativeDetail.aspx?App=23&amp;ReportView=4&amp;Qid=1711279&amp;Row=7419&amp;Col=1","No Title Assigned - #15270421254")</f>
        <v/>
      </c>
      <c r="B7427" s="0" t="s">
        <v>9868</v>
      </c>
      <c r="C7427" s="0" t="s">
        <v>9869</v>
      </c>
      <c r="D7427" s="0" t="s">
        <v>9869</v>
      </c>
      <c r="E7427" s="0" t="inlineStr">
        <is>
          <t xml:space="preserve">Mazda</t>
        </is>
      </c>
      <c r="F7427" s="0" t="s">
        <v>13</v>
      </c>
      <c r="G7427" s="0" t="s">
        <v>49</v>
      </c>
      <c r="H7427" s="5">
        <v>5810.829100</v>
      </c>
    </row>
    <row r="7428" spans="1:9">
      <c r="A7428" s="22" t="str">
        <f>HYPERLINK("https://app.vivvix.com/360/KMI/IntelliDrive/ApplUI/Pages/CreativePages/CustomReportCreativeDetail.aspx?App=23&amp;ReportView=4&amp;Qid=1711279&amp;Row=7420&amp;Col=1","No Title Assigned - #15270421277")</f>
        <v/>
      </c>
      <c r="B7428" s="0" t="s">
        <v>9870</v>
      </c>
      <c r="C7428" s="0" t="s">
        <v>9871</v>
      </c>
      <c r="D7428" s="0" t="s">
        <v>4335</v>
      </c>
      <c r="E7428" s="0" t="inlineStr">
        <is>
          <t xml:space="preserve">Mazda</t>
        </is>
      </c>
      <c r="F7428" s="0" t="s">
        <v>13</v>
      </c>
      <c r="G7428" s="0" t="s">
        <v>49</v>
      </c>
      <c r="H7428" s="5">
        <v>36.461200</v>
      </c>
    </row>
    <row r="7429" spans="1:9">
      <c r="A7429" s="22" t="str">
        <f>HYPERLINK("https://app.vivvix.com/360/KMI/IntelliDrive/ApplUI/Pages/CreativePages/CustomReportCreativeDetail.aspx?App=23&amp;ReportView=4&amp;Qid=1711279&amp;Row=7421&amp;Col=1","No Title Assigned - #15270421290")</f>
        <v/>
      </c>
      <c r="B7429" s="0" t="s">
        <v>9872</v>
      </c>
      <c r="C7429" s="0" t="s">
        <v>9873</v>
      </c>
      <c r="D7429" s="0" t="s">
        <v>9167</v>
      </c>
      <c r="E7429" s="0" t="inlineStr">
        <is>
          <t xml:space="preserve">Mazda</t>
        </is>
      </c>
      <c r="F7429" s="0" t="s">
        <v>13</v>
      </c>
      <c r="G7429" s="0" t="s">
        <v>49</v>
      </c>
      <c r="H7429" s="5">
        <v>123.561400</v>
      </c>
    </row>
    <row r="7430" spans="1:9">
      <c r="A7430" s="22" t="str">
        <f>HYPERLINK("https://app.vivvix.com/360/KMI/IntelliDrive/ApplUI/Pages/CreativePages/CustomReportCreativeDetail.aspx?App=23&amp;ReportView=4&amp;Qid=1711279&amp;Row=7422&amp;Col=1","No Title Assigned - #15270421320")</f>
        <v/>
      </c>
      <c r="B7430" s="0" t="s">
        <v>9874</v>
      </c>
      <c r="C7430" s="0" t="s">
        <v>9875</v>
      </c>
      <c r="D7430" s="0" t="s">
        <v>9875</v>
      </c>
      <c r="E7430" s="0" t="inlineStr">
        <is>
          <t xml:space="preserve">Mazda</t>
        </is>
      </c>
      <c r="F7430" s="0" t="s">
        <v>13</v>
      </c>
      <c r="G7430" s="0" t="s">
        <v>49</v>
      </c>
      <c r="H7430" s="5">
        <v>177.047100</v>
      </c>
    </row>
    <row r="7431" spans="1:9">
      <c r="A7431" s="22" t="str">
        <f>HYPERLINK("https://app.vivvix.com/360/KMI/IntelliDrive/ApplUI/Pages/CreativePages/CustomReportCreativeDetail.aspx?App=23&amp;ReportView=4&amp;Qid=1711279&amp;Row=7423&amp;Col=1","No Title Assigned - #15270421367")</f>
        <v/>
      </c>
      <c r="B7431" s="0" t="s">
        <v>9876</v>
      </c>
      <c r="E7431" s="0" t="inlineStr">
        <is>
          <t xml:space="preserve">Mazda</t>
        </is>
      </c>
      <c r="F7431" s="0" t="s">
        <v>13</v>
      </c>
      <c r="G7431" s="0" t="s">
        <v>49</v>
      </c>
      <c r="H7431" s="5">
        <v>11643.803600</v>
      </c>
    </row>
    <row r="7432" spans="1:9">
      <c r="A7432" s="22" t="str">
        <f>HYPERLINK("https://app.vivvix.com/360/KMI/IntelliDrive/ApplUI/Pages/CreativePages/CustomReportCreativeDetail.aspx?App=23&amp;ReportView=4&amp;Qid=1711279&amp;Row=7424&amp;Col=1","No Title Assigned - #15270421367")</f>
        <v/>
      </c>
      <c r="B7432" s="0" t="s">
        <v>9876</v>
      </c>
      <c r="C7432" s="0" t="s">
        <v>9877</v>
      </c>
      <c r="D7432" s="0" t="s">
        <v>9877</v>
      </c>
      <c r="E7432" s="0" t="inlineStr">
        <is>
          <t xml:space="preserve">Mazda</t>
        </is>
      </c>
      <c r="F7432" s="0" t="s">
        <v>13</v>
      </c>
      <c r="G7432" s="0" t="s">
        <v>49</v>
      </c>
      <c r="H7432" s="5">
        <v>2506.364600</v>
      </c>
    </row>
    <row r="7433" spans="1:9">
      <c r="A7433" s="22" t="str">
        <f>HYPERLINK("https://app.vivvix.com/360/KMI/IntelliDrive/ApplUI/Pages/CreativePages/CustomReportCreativeDetail.aspx?App=23&amp;ReportView=4&amp;Qid=1711279&amp;Row=7425&amp;Col=1","No Title Assigned - #15270421383")</f>
        <v/>
      </c>
      <c r="B7433" s="0" t="s">
        <v>9878</v>
      </c>
      <c r="C7433" s="0" t="s">
        <v>9879</v>
      </c>
      <c r="D7433" s="0" t="s">
        <v>9879</v>
      </c>
      <c r="E7433" s="0" t="inlineStr">
        <is>
          <t xml:space="preserve">Mazda</t>
        </is>
      </c>
      <c r="F7433" s="0" t="s">
        <v>13</v>
      </c>
      <c r="G7433" s="0" t="s">
        <v>49</v>
      </c>
      <c r="H7433" s="5">
        <v>829.404800</v>
      </c>
    </row>
    <row r="7434" spans="1:9">
      <c r="A7434" s="22" t="str">
        <f>HYPERLINK("https://app.vivvix.com/360/KMI/IntelliDrive/ApplUI/Pages/CreativePages/CustomReportCreativeDetail.aspx?App=23&amp;ReportView=4&amp;Qid=1711279&amp;Row=7426&amp;Col=1","No Title Assigned - #15270421401")</f>
        <v/>
      </c>
      <c r="B7434" s="0" t="s">
        <v>9880</v>
      </c>
      <c r="C7434" s="0" t="s">
        <v>9881</v>
      </c>
      <c r="D7434" s="0" t="s">
        <v>9881</v>
      </c>
      <c r="E7434" s="0" t="inlineStr">
        <is>
          <t xml:space="preserve">Mazda</t>
        </is>
      </c>
      <c r="F7434" s="0" t="s">
        <v>13</v>
      </c>
      <c r="G7434" s="0" t="s">
        <v>49</v>
      </c>
      <c r="H7434" s="5">
        <v>502.937400</v>
      </c>
    </row>
    <row r="7435" spans="1:9">
      <c r="A7435" s="22" t="str">
        <f>HYPERLINK("https://app.vivvix.com/360/KMI/IntelliDrive/ApplUI/Pages/CreativePages/CustomReportCreativeDetail.aspx?App=23&amp;ReportView=4&amp;Qid=1711279&amp;Row=7427&amp;Col=1","No Title Assigned - #15270421401")</f>
        <v/>
      </c>
      <c r="B7435" s="0" t="s">
        <v>9880</v>
      </c>
      <c r="E7435" s="0" t="inlineStr">
        <is>
          <t xml:space="preserve">Mazda</t>
        </is>
      </c>
      <c r="F7435" s="0" t="s">
        <v>13</v>
      </c>
      <c r="G7435" s="0" t="s">
        <v>49</v>
      </c>
      <c r="H7435" s="5">
        <v>1087.468600</v>
      </c>
    </row>
    <row r="7436" spans="1:9">
      <c r="A7436" s="22" t="str">
        <f>HYPERLINK("https://app.vivvix.com/360/KMI/IntelliDrive/ApplUI/Pages/CreativePages/CustomReportCreativeDetail.aspx?App=23&amp;ReportView=4&amp;Qid=1711279&amp;Row=7428&amp;Col=1","No Title Assigned - #15270421416")</f>
        <v/>
      </c>
      <c r="B7436" s="0" t="s">
        <v>9882</v>
      </c>
      <c r="E7436" s="0" t="inlineStr">
        <is>
          <t xml:space="preserve">Mazda</t>
        </is>
      </c>
      <c r="F7436" s="0" t="inlineStr">
        <is>
          <t xml:space="preserve">Mazda</t>
        </is>
      </c>
      <c r="G7436" s="0" t="s">
        <v>171</v>
      </c>
      <c r="H7436" s="5">
        <v>4.217200</v>
      </c>
    </row>
    <row r="7437" spans="1:9">
      <c r="A7437" s="22" t="str">
        <f>HYPERLINK("https://app.vivvix.com/360/KMI/IntelliDrive/ApplUI/Pages/CreativePages/CustomReportCreativeDetail.aspx?App=23&amp;ReportView=4&amp;Qid=1711279&amp;Row=7429&amp;Col=1","No Title Assigned - #15270421468")</f>
        <v/>
      </c>
      <c r="B7437" s="0" t="s">
        <v>9883</v>
      </c>
      <c r="C7437" s="0" t="s">
        <v>9884</v>
      </c>
      <c r="D7437" s="0" t="s">
        <v>4335</v>
      </c>
      <c r="E7437" s="0" t="inlineStr">
        <is>
          <t xml:space="preserve">Mazda</t>
        </is>
      </c>
      <c r="F7437" s="0" t="s">
        <v>13</v>
      </c>
      <c r="G7437" s="0" t="s">
        <v>49</v>
      </c>
      <c r="H7437" s="5">
        <v>457.622000</v>
      </c>
    </row>
    <row r="7438" spans="1:9">
      <c r="A7438" s="22" t="str">
        <f>HYPERLINK("https://app.vivvix.com/360/KMI/IntelliDrive/ApplUI/Pages/CreativePages/CustomReportCreativeDetail.aspx?App=23&amp;ReportView=4&amp;Qid=1711279&amp;Row=7430&amp;Col=1","No Title Assigned - #15270421472")</f>
        <v/>
      </c>
      <c r="B7438" s="0" t="s">
        <v>9885</v>
      </c>
      <c r="E7438" s="0" t="inlineStr">
        <is>
          <t xml:space="preserve">Mazda</t>
        </is>
      </c>
      <c r="F7438" s="0" t="inlineStr">
        <is>
          <t xml:space="preserve">Mazda</t>
        </is>
      </c>
      <c r="G7438" s="0" t="s">
        <v>171</v>
      </c>
      <c r="H7438" s="5">
        <v>600.185600</v>
      </c>
    </row>
    <row r="7439" spans="1:9">
      <c r="A7439" s="22" t="str">
        <f>HYPERLINK("https://app.vivvix.com/360/KMI/IntelliDrive/ApplUI/Pages/CreativePages/CustomReportCreativeDetail.aspx?App=23&amp;ReportView=4&amp;Qid=1711279&amp;Row=7431&amp;Col=1","No Title Assigned - #15270421570")</f>
        <v/>
      </c>
      <c r="B7439" s="0" t="s">
        <v>9886</v>
      </c>
      <c r="C7439" s="0" t="s">
        <v>9887</v>
      </c>
      <c r="D7439" s="0" t="s">
        <v>9887</v>
      </c>
      <c r="E7439" s="0" t="inlineStr">
        <is>
          <t xml:space="preserve">Mazda</t>
        </is>
      </c>
      <c r="F7439" s="0" t="s">
        <v>13</v>
      </c>
      <c r="G7439" s="0" t="s">
        <v>49</v>
      </c>
      <c r="H7439" s="5">
        <v>153.412900</v>
      </c>
    </row>
    <row r="7440" spans="1:9">
      <c r="A7440" s="22" t="str">
        <f>HYPERLINK("https://app.vivvix.com/360/KMI/IntelliDrive/ApplUI/Pages/CreativePages/CustomReportCreativeDetail.aspx?App=23&amp;ReportView=4&amp;Qid=1711279&amp;Row=7432&amp;Col=1","No Title Assigned - #15270421624")</f>
        <v/>
      </c>
      <c r="B7440" s="0" t="s">
        <v>9888</v>
      </c>
      <c r="C7440" s="0" t="s">
        <v>9889</v>
      </c>
      <c r="D7440" s="0" t="s">
        <v>9889</v>
      </c>
      <c r="E7440" s="0" t="inlineStr">
        <is>
          <t xml:space="preserve">Mazda</t>
        </is>
      </c>
      <c r="F7440" s="0" t="s">
        <v>13</v>
      </c>
      <c r="G7440" s="0" t="s">
        <v>49</v>
      </c>
      <c r="H7440" s="5">
        <v>21209.613500</v>
      </c>
    </row>
    <row r="7441" spans="1:9">
      <c r="A7441" s="22" t="str">
        <f>HYPERLINK("https://app.vivvix.com/360/KMI/IntelliDrive/ApplUI/Pages/CreativePages/CustomReportCreativeDetail.aspx?App=23&amp;ReportView=4&amp;Qid=1711279&amp;Row=7433&amp;Col=1","No Title Assigned - #15270421624")</f>
        <v/>
      </c>
      <c r="B7441" s="0" t="s">
        <v>9888</v>
      </c>
      <c r="E7441" s="0" t="inlineStr">
        <is>
          <t xml:space="preserve">Mazda</t>
        </is>
      </c>
      <c r="F7441" s="0" t="s">
        <v>13</v>
      </c>
      <c r="G7441" s="0" t="s">
        <v>49</v>
      </c>
      <c r="H7441" s="5">
        <v>168196.434400</v>
      </c>
    </row>
    <row r="7442" spans="1:9">
      <c r="A7442" s="22" t="str">
        <f>HYPERLINK("https://app.vivvix.com/360/KMI/IntelliDrive/ApplUI/Pages/CreativePages/CustomReportCreativeDetail.aspx?App=23&amp;ReportView=4&amp;Qid=1711279&amp;Row=7434&amp;Col=1","No Title Assigned - #15270421803")</f>
        <v/>
      </c>
      <c r="B7442" s="0" t="s">
        <v>9890</v>
      </c>
      <c r="E7442" s="0" t="inlineStr">
        <is>
          <t xml:space="preserve">Mazda</t>
        </is>
      </c>
      <c r="F7442" s="0" t="s">
        <v>13</v>
      </c>
      <c r="G7442" s="0" t="s">
        <v>49</v>
      </c>
      <c r="H7442" s="5">
        <v>103.983900</v>
      </c>
    </row>
    <row r="7443" spans="1:9">
      <c r="A7443" s="22" t="str">
        <f>HYPERLINK("https://app.vivvix.com/360/KMI/IntelliDrive/ApplUI/Pages/CreativePages/CustomReportCreativeDetail.aspx?App=23&amp;ReportView=4&amp;Qid=1711279&amp;Row=7435&amp;Col=1","No Title Assigned - #15270421803")</f>
        <v/>
      </c>
      <c r="B7443" s="0" t="s">
        <v>9890</v>
      </c>
      <c r="C7443" s="0" t="s">
        <v>9891</v>
      </c>
      <c r="D7443" s="0" t="s">
        <v>6238</v>
      </c>
      <c r="E7443" s="0" t="inlineStr">
        <is>
          <t xml:space="preserve">Mazda</t>
        </is>
      </c>
      <c r="F7443" s="0" t="s">
        <v>13</v>
      </c>
      <c r="G7443" s="0" t="s">
        <v>49</v>
      </c>
      <c r="H7443" s="5">
        <v>439.670100</v>
      </c>
    </row>
    <row r="7444" spans="1:9">
      <c r="A7444" s="22" t="str">
        <f>HYPERLINK("https://app.vivvix.com/360/KMI/IntelliDrive/ApplUI/Pages/CreativePages/CustomReportCreativeDetail.aspx?App=23&amp;ReportView=4&amp;Qid=1711279&amp;Row=7436&amp;Col=1","No Title Assigned - #15270421814")</f>
        <v/>
      </c>
      <c r="B7444" s="0" t="s">
        <v>9892</v>
      </c>
      <c r="C7444" s="0" t="s">
        <v>9893</v>
      </c>
      <c r="D7444" s="0" t="s">
        <v>6238</v>
      </c>
      <c r="E7444" s="0" t="inlineStr">
        <is>
          <t xml:space="preserve">Mazda</t>
        </is>
      </c>
      <c r="F7444" s="0" t="s">
        <v>13</v>
      </c>
      <c r="G7444" s="0" t="s">
        <v>49</v>
      </c>
      <c r="H7444" s="5">
        <v>502.031300</v>
      </c>
    </row>
    <row r="7445" spans="1:9">
      <c r="A7445" s="22" t="str">
        <f>HYPERLINK("https://app.vivvix.com/360/KMI/IntelliDrive/ApplUI/Pages/CreativePages/CustomReportCreativeDetail.aspx?App=23&amp;ReportView=4&amp;Qid=1711279&amp;Row=7437&amp;Col=1","No Title Assigned - #15270421838")</f>
        <v/>
      </c>
      <c r="B7445" s="0" t="s">
        <v>9894</v>
      </c>
      <c r="C7445" s="0" t="s">
        <v>9800</v>
      </c>
      <c r="D7445" s="0" t="s">
        <v>9800</v>
      </c>
      <c r="E7445" s="0" t="inlineStr">
        <is>
          <t xml:space="preserve">Mazda</t>
        </is>
      </c>
      <c r="F7445" s="0" t="s">
        <v>13</v>
      </c>
      <c r="G7445" s="0" t="s">
        <v>49</v>
      </c>
      <c r="H7445" s="5">
        <v>1487.203600</v>
      </c>
    </row>
    <row r="7446" spans="1:9">
      <c r="A7446" s="22" t="str">
        <f>HYPERLINK("https://app.vivvix.com/360/KMI/IntelliDrive/ApplUI/Pages/CreativePages/CustomReportCreativeDetail.aspx?App=23&amp;ReportView=4&amp;Qid=1711279&amp;Row=7438&amp;Col=1","No Title Assigned - #15270421868")</f>
        <v/>
      </c>
      <c r="B7446" s="0" t="s">
        <v>9895</v>
      </c>
      <c r="C7446" s="0" t="s">
        <v>9896</v>
      </c>
      <c r="D7446" s="0" t="s">
        <v>9896</v>
      </c>
      <c r="E7446" s="0" t="inlineStr">
        <is>
          <t xml:space="preserve">Mazda</t>
        </is>
      </c>
      <c r="F7446" s="0" t="s">
        <v>13</v>
      </c>
      <c r="G7446" s="0" t="s">
        <v>49</v>
      </c>
      <c r="H7446" s="5">
        <v>201.106900</v>
      </c>
    </row>
    <row r="7447" spans="1:9">
      <c r="A7447" s="22" t="str">
        <f>HYPERLINK("https://app.vivvix.com/360/KMI/IntelliDrive/ApplUI/Pages/CreativePages/CustomReportCreativeDetail.aspx?App=23&amp;ReportView=4&amp;Qid=1711279&amp;Row=7439&amp;Col=1","No Title Assigned - #15270421868")</f>
        <v/>
      </c>
      <c r="B7447" s="0" t="s">
        <v>9895</v>
      </c>
      <c r="C7447" s="0" t="s">
        <v>9897</v>
      </c>
      <c r="D7447" s="0" t="s">
        <v>9897</v>
      </c>
      <c r="E7447" s="0" t="inlineStr">
        <is>
          <t xml:space="preserve">Mazda</t>
        </is>
      </c>
      <c r="F7447" s="0" t="s">
        <v>13</v>
      </c>
      <c r="G7447" s="0" t="s">
        <v>49</v>
      </c>
      <c r="H7447" s="5">
        <v>245.511300</v>
      </c>
    </row>
    <row r="7448" spans="1:9">
      <c r="A7448" s="22" t="str">
        <f>HYPERLINK("https://app.vivvix.com/360/KMI/IntelliDrive/ApplUI/Pages/CreativePages/CustomReportCreativeDetail.aspx?App=23&amp;ReportView=4&amp;Qid=1711279&amp;Row=7440&amp;Col=1","No Title Assigned - #15270421873")</f>
        <v/>
      </c>
      <c r="B7448" s="0" t="s">
        <v>9898</v>
      </c>
      <c r="C7448" s="0" t="s">
        <v>9899</v>
      </c>
      <c r="D7448" s="0" t="s">
        <v>9899</v>
      </c>
      <c r="E7448" s="0" t="inlineStr">
        <is>
          <t xml:space="preserve">Mazda</t>
        </is>
      </c>
      <c r="F7448" s="0" t="s">
        <v>13</v>
      </c>
      <c r="G7448" s="0" t="s">
        <v>49</v>
      </c>
      <c r="H7448" s="5">
        <v>1236.435500</v>
      </c>
    </row>
    <row r="7449" spans="1:9">
      <c r="A7449" s="22" t="str">
        <f>HYPERLINK("https://app.vivvix.com/360/KMI/IntelliDrive/ApplUI/Pages/CreativePages/CustomReportCreativeDetail.aspx?App=23&amp;ReportView=4&amp;Qid=1711279&amp;Row=7441&amp;Col=1","No Title Assigned - #15270421954")</f>
        <v/>
      </c>
      <c r="B7449" s="0" t="s">
        <v>9900</v>
      </c>
      <c r="C7449" s="0" t="s">
        <v>9901</v>
      </c>
      <c r="D7449" s="0" t="s">
        <v>4335</v>
      </c>
      <c r="E7449" s="0" t="inlineStr">
        <is>
          <t xml:space="preserve">Mazda</t>
        </is>
      </c>
      <c r="F7449" s="0" t="s">
        <v>13</v>
      </c>
      <c r="G7449" s="0" t="s">
        <v>49</v>
      </c>
      <c r="H7449" s="5">
        <v>206.197500</v>
      </c>
    </row>
    <row r="7450" spans="1:9">
      <c r="A7450" s="22" t="str">
        <f>HYPERLINK("https://app.vivvix.com/360/KMI/IntelliDrive/ApplUI/Pages/CreativePages/CustomReportCreativeDetail.aspx?App=23&amp;ReportView=4&amp;Qid=1711279&amp;Row=7442&amp;Col=1","No Title Assigned - #15270421991")</f>
        <v/>
      </c>
      <c r="B7450" s="0" t="s">
        <v>9902</v>
      </c>
      <c r="C7450" s="0" t="s">
        <v>9903</v>
      </c>
      <c r="D7450" s="0" t="s">
        <v>4938</v>
      </c>
      <c r="E7450" s="0" t="inlineStr">
        <is>
          <t xml:space="preserve">Mazda</t>
        </is>
      </c>
      <c r="F7450" s="0" t="s">
        <v>13</v>
      </c>
      <c r="G7450" s="0" t="s">
        <v>49</v>
      </c>
      <c r="H7450" s="5">
        <v>602.263900</v>
      </c>
    </row>
    <row r="7451" spans="1:9">
      <c r="A7451" s="22" t="str">
        <f>HYPERLINK("https://app.vivvix.com/360/KMI/IntelliDrive/ApplUI/Pages/CreativePages/CustomReportCreativeDetail.aspx?App=23&amp;ReportView=4&amp;Qid=1711279&amp;Row=7443&amp;Col=1","No Title Assigned - #15270422070")</f>
        <v/>
      </c>
      <c r="B7451" s="0" t="s">
        <v>9904</v>
      </c>
      <c r="C7451" s="0" t="s">
        <v>9905</v>
      </c>
      <c r="D7451" s="0" t="s">
        <v>6404</v>
      </c>
      <c r="E7451" s="0" t="inlineStr">
        <is>
          <t xml:space="preserve">Mazda</t>
        </is>
      </c>
      <c r="F7451" s="0" t="s">
        <v>13</v>
      </c>
      <c r="G7451" s="0" t="s">
        <v>49</v>
      </c>
      <c r="H7451" s="5">
        <v>61.889300</v>
      </c>
    </row>
    <row r="7452" spans="1:9">
      <c r="A7452" s="22" t="str">
        <f>HYPERLINK("https://app.vivvix.com/360/KMI/IntelliDrive/ApplUI/Pages/CreativePages/CustomReportCreativeDetail.aspx?App=23&amp;ReportView=4&amp;Qid=1711279&amp;Row=7444&amp;Col=1","No Title Assigned - #15270422071")</f>
        <v/>
      </c>
      <c r="B7452" s="0" t="s">
        <v>9906</v>
      </c>
      <c r="C7452" s="0" t="s">
        <v>9907</v>
      </c>
      <c r="D7452" s="0" t="s">
        <v>6044</v>
      </c>
      <c r="E7452" s="0" t="inlineStr">
        <is>
          <t xml:space="preserve">Mazda</t>
        </is>
      </c>
      <c r="F7452" s="0" t="s">
        <v>13</v>
      </c>
      <c r="G7452" s="0" t="s">
        <v>49</v>
      </c>
      <c r="H7452" s="5">
        <v>2695.223700</v>
      </c>
    </row>
    <row r="7453" spans="1:9">
      <c r="A7453" s="22" t="str">
        <f>HYPERLINK("https://app.vivvix.com/360/KMI/IntelliDrive/ApplUI/Pages/CreativePages/CustomReportCreativeDetail.aspx?App=23&amp;ReportView=4&amp;Qid=1711279&amp;Row=7445&amp;Col=1","No Title Assigned - #15270422082")</f>
        <v/>
      </c>
      <c r="B7453" s="0" t="s">
        <v>9908</v>
      </c>
      <c r="C7453" s="0" t="s">
        <v>9909</v>
      </c>
      <c r="D7453" s="0" t="s">
        <v>6238</v>
      </c>
      <c r="E7453" s="0" t="inlineStr">
        <is>
          <t xml:space="preserve">Mazda</t>
        </is>
      </c>
      <c r="F7453" s="0" t="s">
        <v>13</v>
      </c>
      <c r="G7453" s="0" t="s">
        <v>49</v>
      </c>
      <c r="H7453" s="5">
        <v>206.197500</v>
      </c>
    </row>
    <row r="7454" spans="1:9">
      <c r="A7454" s="22" t="str">
        <f>HYPERLINK("https://app.vivvix.com/360/KMI/IntelliDrive/ApplUI/Pages/CreativePages/CustomReportCreativeDetail.aspx?App=23&amp;ReportView=4&amp;Qid=1711279&amp;Row=7446&amp;Col=1","No Title Assigned - #15270422122")</f>
        <v/>
      </c>
      <c r="B7454" s="0" t="s">
        <v>9910</v>
      </c>
      <c r="C7454" s="0" t="s">
        <v>9911</v>
      </c>
      <c r="D7454" s="0" t="s">
        <v>9911</v>
      </c>
      <c r="E7454" s="0" t="inlineStr">
        <is>
          <t xml:space="preserve">Mazda</t>
        </is>
      </c>
      <c r="F7454" s="0" t="s">
        <v>13</v>
      </c>
      <c r="G7454" s="0" t="s">
        <v>49</v>
      </c>
      <c r="H7454" s="5">
        <v>239.371000</v>
      </c>
    </row>
    <row r="7455" spans="1:9">
      <c r="A7455" s="22" t="str">
        <f>HYPERLINK("https://app.vivvix.com/360/KMI/IntelliDrive/ApplUI/Pages/CreativePages/CustomReportCreativeDetail.aspx?App=23&amp;ReportView=4&amp;Qid=1711279&amp;Row=7447&amp;Col=1","No Title Assigned - #15270422151")</f>
        <v/>
      </c>
      <c r="B7455" s="0" t="s">
        <v>9912</v>
      </c>
      <c r="C7455" s="0" t="s">
        <v>9913</v>
      </c>
      <c r="D7455" s="0" t="s">
        <v>9913</v>
      </c>
      <c r="E7455" s="0" t="inlineStr">
        <is>
          <t xml:space="preserve">Mazda</t>
        </is>
      </c>
      <c r="F7455" s="0" t="s">
        <v>13</v>
      </c>
      <c r="G7455" s="0" t="s">
        <v>49</v>
      </c>
      <c r="H7455" s="5">
        <v>1457.262600</v>
      </c>
    </row>
    <row r="7456" spans="1:9">
      <c r="A7456" s="22" t="str">
        <f>HYPERLINK("https://app.vivvix.com/360/KMI/IntelliDrive/ApplUI/Pages/CreativePages/CustomReportCreativeDetail.aspx?App=23&amp;ReportView=4&amp;Qid=1711279&amp;Row=7448&amp;Col=1","No Title Assigned - #15270422166")</f>
        <v/>
      </c>
      <c r="B7456" s="0" t="s">
        <v>9914</v>
      </c>
      <c r="C7456" s="0" t="s">
        <v>9915</v>
      </c>
      <c r="D7456" s="0" t="s">
        <v>4768</v>
      </c>
      <c r="E7456" s="0" t="inlineStr">
        <is>
          <t xml:space="preserve">Mazda</t>
        </is>
      </c>
      <c r="F7456" s="0" t="s">
        <v>13</v>
      </c>
      <c r="G7456" s="0" t="s">
        <v>49</v>
      </c>
      <c r="H7456" s="5">
        <v>83.277300</v>
      </c>
    </row>
    <row r="7457" spans="1:9">
      <c r="A7457" s="22" t="str">
        <f>HYPERLINK("https://app.vivvix.com/360/KMI/IntelliDrive/ApplUI/Pages/CreativePages/CustomReportCreativeDetail.aspx?App=23&amp;ReportView=4&amp;Qid=1711279&amp;Row=7449&amp;Col=1","No Title Assigned - #15270422211")</f>
        <v/>
      </c>
      <c r="B7457" s="0" t="s">
        <v>9916</v>
      </c>
      <c r="C7457" s="0" t="s">
        <v>9917</v>
      </c>
      <c r="D7457" s="0" t="s">
        <v>6238</v>
      </c>
      <c r="E7457" s="0" t="inlineStr">
        <is>
          <t xml:space="preserve">Mazda</t>
        </is>
      </c>
      <c r="F7457" s="0" t="s">
        <v>13</v>
      </c>
      <c r="G7457" s="0" t="s">
        <v>49</v>
      </c>
      <c r="H7457" s="5">
        <v>123.522300</v>
      </c>
    </row>
    <row r="7458" spans="1:9">
      <c r="A7458" s="22" t="str">
        <f>HYPERLINK("https://app.vivvix.com/360/KMI/IntelliDrive/ApplUI/Pages/CreativePages/CustomReportCreativeDetail.aspx?App=23&amp;ReportView=4&amp;Qid=1711279&amp;Row=7450&amp;Col=1","No Title Assigned - #15270422222")</f>
        <v/>
      </c>
      <c r="B7458" s="0" t="s">
        <v>9918</v>
      </c>
      <c r="C7458" s="0" t="s">
        <v>9919</v>
      </c>
      <c r="D7458" s="0" t="s">
        <v>9919</v>
      </c>
      <c r="E7458" s="0" t="inlineStr">
        <is>
          <t xml:space="preserve">Mazda</t>
        </is>
      </c>
      <c r="F7458" s="0" t="s">
        <v>13</v>
      </c>
      <c r="G7458" s="0" t="s">
        <v>49</v>
      </c>
      <c r="H7458" s="5">
        <v>1926.309800</v>
      </c>
    </row>
    <row r="7459" spans="1:9">
      <c r="A7459" s="22" t="str">
        <f>HYPERLINK("https://app.vivvix.com/360/KMI/IntelliDrive/ApplUI/Pages/CreativePages/CustomReportCreativeDetail.aspx?App=23&amp;ReportView=4&amp;Qid=1711279&amp;Row=7451&amp;Col=1","No Title Assigned - #15270422249")</f>
        <v/>
      </c>
      <c r="B7459" s="0" t="s">
        <v>9920</v>
      </c>
      <c r="C7459" s="0" t="s">
        <v>9921</v>
      </c>
      <c r="D7459" s="0" t="s">
        <v>9921</v>
      </c>
      <c r="E7459" s="0" t="inlineStr">
        <is>
          <t xml:space="preserve">Mazda</t>
        </is>
      </c>
      <c r="F7459" s="0" t="s">
        <v>13</v>
      </c>
      <c r="G7459" s="0" t="s">
        <v>49</v>
      </c>
      <c r="H7459" s="5">
        <v>1051.140000</v>
      </c>
    </row>
    <row r="7460" spans="1:9">
      <c r="A7460" s="22" t="str">
        <f>HYPERLINK("https://app.vivvix.com/360/KMI/IntelliDrive/ApplUI/Pages/CreativePages/CustomReportCreativeDetail.aspx?App=23&amp;ReportView=4&amp;Qid=1711279&amp;Row=7452&amp;Col=1","No Title Assigned - #15270422284")</f>
        <v/>
      </c>
      <c r="B7460" s="0" t="s">
        <v>9922</v>
      </c>
      <c r="C7460" s="0" t="s">
        <v>9923</v>
      </c>
      <c r="D7460" s="0" t="s">
        <v>9167</v>
      </c>
      <c r="E7460" s="0" t="inlineStr">
        <is>
          <t xml:space="preserve">Mazda</t>
        </is>
      </c>
      <c r="F7460" s="0" t="s">
        <v>13</v>
      </c>
      <c r="G7460" s="0" t="s">
        <v>49</v>
      </c>
      <c r="H7460" s="5">
        <v>16.613300</v>
      </c>
    </row>
    <row r="7461" spans="1:9">
      <c r="A7461" s="22" t="str">
        <f>HYPERLINK("https://app.vivvix.com/360/KMI/IntelliDrive/ApplUI/Pages/CreativePages/CustomReportCreativeDetail.aspx?App=23&amp;ReportView=4&amp;Qid=1711279&amp;Row=7453&amp;Col=1","No Title Assigned - #15270422292")</f>
        <v/>
      </c>
      <c r="B7461" s="0" t="s">
        <v>9924</v>
      </c>
      <c r="C7461" s="0" t="s">
        <v>9925</v>
      </c>
      <c r="D7461" s="0" t="s">
        <v>6238</v>
      </c>
      <c r="E7461" s="0" t="inlineStr">
        <is>
          <t xml:space="preserve">Mazda</t>
        </is>
      </c>
      <c r="F7461" s="0" t="s">
        <v>13</v>
      </c>
      <c r="G7461" s="0" t="s">
        <v>49</v>
      </c>
      <c r="H7461" s="5">
        <v>328.838800</v>
      </c>
    </row>
    <row r="7462" spans="1:9">
      <c r="A7462" s="22" t="str">
        <f>HYPERLINK("https://app.vivvix.com/360/KMI/IntelliDrive/ApplUI/Pages/CreativePages/CustomReportCreativeDetail.aspx?App=23&amp;ReportView=4&amp;Qid=1711279&amp;Row=7454&amp;Col=1","No Title Assigned - #15270422305")</f>
        <v/>
      </c>
      <c r="B7462" s="0" t="s">
        <v>9926</v>
      </c>
      <c r="C7462" s="0" t="s">
        <v>9927</v>
      </c>
      <c r="D7462" s="0" t="s">
        <v>7396</v>
      </c>
      <c r="E7462" s="0" t="inlineStr">
        <is>
          <t xml:space="preserve">Mazda</t>
        </is>
      </c>
      <c r="F7462" s="0" t="s">
        <v>13</v>
      </c>
      <c r="G7462" s="0" t="s">
        <v>49</v>
      </c>
      <c r="H7462" s="5">
        <v>1032.686700</v>
      </c>
    </row>
    <row r="7463" spans="1:9">
      <c r="A7463" s="22" t="str">
        <f>HYPERLINK("https://app.vivvix.com/360/KMI/IntelliDrive/ApplUI/Pages/CreativePages/CustomReportCreativeDetail.aspx?App=23&amp;ReportView=4&amp;Qid=1711279&amp;Row=7455&amp;Col=1","No Title Assigned - #15270422305")</f>
        <v/>
      </c>
      <c r="B7463" s="0" t="s">
        <v>9926</v>
      </c>
      <c r="E7463" s="0" t="inlineStr">
        <is>
          <t xml:space="preserve">Mazda</t>
        </is>
      </c>
      <c r="F7463" s="0" t="s">
        <v>13</v>
      </c>
      <c r="G7463" s="0" t="s">
        <v>49</v>
      </c>
      <c r="H7463" s="5">
        <v>471.295900</v>
      </c>
    </row>
    <row r="7464" spans="1:9">
      <c r="A7464" s="22" t="str">
        <f>HYPERLINK("https://app.vivvix.com/360/KMI/IntelliDrive/ApplUI/Pages/CreativePages/CustomReportCreativeDetail.aspx?App=23&amp;ReportView=4&amp;Qid=1711279&amp;Row=7456&amp;Col=1","No Title Assigned - #15270422736")</f>
        <v/>
      </c>
      <c r="B7464" s="0" t="s">
        <v>9928</v>
      </c>
      <c r="C7464" s="0" t="s">
        <v>9929</v>
      </c>
      <c r="D7464" s="0" t="s">
        <v>9929</v>
      </c>
      <c r="E7464" s="0" t="inlineStr">
        <is>
          <t xml:space="preserve">Mazda</t>
        </is>
      </c>
      <c r="F7464" s="0" t="inlineStr">
        <is>
          <t xml:space="preserve">Mazda</t>
        </is>
      </c>
      <c r="G7464" s="0" t="s">
        <v>171</v>
      </c>
      <c r="H7464" s="5">
        <v>48.520000</v>
      </c>
    </row>
    <row r="7465" spans="1:9">
      <c r="A7465" s="22" t="str">
        <f>HYPERLINK("https://app.vivvix.com/360/KMI/IntelliDrive/ApplUI/Pages/CreativePages/CustomReportCreativeDetail.aspx?App=23&amp;ReportView=4&amp;Qid=1711279&amp;Row=7457&amp;Col=1","No Title Assigned - #15270423676")</f>
        <v/>
      </c>
      <c r="B7465" s="0" t="s">
        <v>9930</v>
      </c>
      <c r="C7465" s="0" t="s">
        <v>9931</v>
      </c>
      <c r="D7465" s="0" t="s">
        <v>9931</v>
      </c>
      <c r="E7465" s="0" t="inlineStr">
        <is>
          <t xml:space="preserve">Mazda</t>
        </is>
      </c>
      <c r="F7465" s="0" t="s">
        <v>17</v>
      </c>
      <c r="G7465" s="0" t="s">
        <v>33</v>
      </c>
      <c r="H7465" s="5">
        <v>321.945100</v>
      </c>
    </row>
    <row r="7466" spans="1:9">
      <c r="A7466" s="22" t="str">
        <f>HYPERLINK("https://app.vivvix.com/360/KMI/IntelliDrive/ApplUI/Pages/CreativePages/CustomReportCreativeDetail.aspx?App=23&amp;ReportView=4&amp;Qid=1711279&amp;Row=7458&amp;Col=1","No Title Assigned - #15270423822")</f>
        <v/>
      </c>
      <c r="B7466" s="0" t="s">
        <v>9932</v>
      </c>
      <c r="C7466" s="0" t="s">
        <v>9933</v>
      </c>
      <c r="D7466" s="0" t="s">
        <v>9933</v>
      </c>
      <c r="E7466" s="0" t="inlineStr">
        <is>
          <t xml:space="preserve">Mazda</t>
        </is>
      </c>
      <c r="F7466" s="0" t="s">
        <v>13</v>
      </c>
      <c r="G7466" s="0" t="s">
        <v>49</v>
      </c>
      <c r="H7466" s="5">
        <v>122.504000</v>
      </c>
    </row>
    <row r="7467" spans="1:9">
      <c r="A7467" s="22" t="str">
        <f>HYPERLINK("https://app.vivvix.com/360/KMI/IntelliDrive/ApplUI/Pages/CreativePages/CustomReportCreativeDetail.aspx?App=23&amp;ReportView=4&amp;Qid=1711279&amp;Row=7459&amp;Col=1","No Title Assigned - #15270423915")</f>
        <v/>
      </c>
      <c r="B7467" s="0" t="s">
        <v>9934</v>
      </c>
      <c r="C7467" s="0" t="s">
        <v>9935</v>
      </c>
      <c r="D7467" s="0" t="s">
        <v>9935</v>
      </c>
      <c r="E7467" s="0" t="inlineStr">
        <is>
          <t xml:space="preserve">Mazda</t>
        </is>
      </c>
      <c r="F7467" s="0" t="s">
        <v>13</v>
      </c>
      <c r="G7467" s="0" t="s">
        <v>49</v>
      </c>
      <c r="H7467" s="5">
        <v>546.816800</v>
      </c>
    </row>
    <row r="7468" spans="1:9">
      <c r="A7468" s="22" t="str">
        <f>HYPERLINK("https://app.vivvix.com/360/KMI/IntelliDrive/ApplUI/Pages/CreativePages/CustomReportCreativeDetail.aspx?App=23&amp;ReportView=4&amp;Qid=1711279&amp;Row=7460&amp;Col=1","No Title Assigned - #15270423980")</f>
        <v/>
      </c>
      <c r="B7468" s="0" t="s">
        <v>9936</v>
      </c>
      <c r="C7468" s="0" t="s">
        <v>9937</v>
      </c>
      <c r="D7468" s="0" t="s">
        <v>9937</v>
      </c>
      <c r="E7468" s="0" t="inlineStr">
        <is>
          <t xml:space="preserve">Mazda</t>
        </is>
      </c>
      <c r="F7468" s="0" t="s">
        <v>13</v>
      </c>
      <c r="G7468" s="0" t="s">
        <v>49</v>
      </c>
      <c r="H7468" s="5">
        <v>816.766300</v>
      </c>
    </row>
    <row r="7469" spans="1:9">
      <c r="A7469" s="22" t="str">
        <f>HYPERLINK("https://app.vivvix.com/360/KMI/IntelliDrive/ApplUI/Pages/CreativePages/CustomReportCreativeDetail.aspx?App=23&amp;ReportView=4&amp;Qid=1711279&amp;Row=7461&amp;Col=1","No Title Assigned - #15270423989")</f>
        <v/>
      </c>
      <c r="B7469" s="0" t="s">
        <v>9938</v>
      </c>
      <c r="C7469" s="0" t="s">
        <v>9939</v>
      </c>
      <c r="D7469" s="0" t="s">
        <v>9939</v>
      </c>
      <c r="E7469" s="0" t="inlineStr">
        <is>
          <t xml:space="preserve">Mazda</t>
        </is>
      </c>
      <c r="F7469" s="0" t="s">
        <v>13</v>
      </c>
      <c r="G7469" s="0" t="s">
        <v>49</v>
      </c>
      <c r="H7469" s="5">
        <v>3127.190300</v>
      </c>
    </row>
    <row r="7470" spans="1:9">
      <c r="A7470" s="22" t="str">
        <f>HYPERLINK("https://app.vivvix.com/360/KMI/IntelliDrive/ApplUI/Pages/CreativePages/CustomReportCreativeDetail.aspx?App=23&amp;ReportView=4&amp;Qid=1711279&amp;Row=7462&amp;Col=1","No Title Assigned - #15270424133")</f>
        <v/>
      </c>
      <c r="B7470" s="0" t="s">
        <v>9940</v>
      </c>
      <c r="C7470" s="0" t="s">
        <v>9941</v>
      </c>
      <c r="D7470" s="0" t="s">
        <v>9941</v>
      </c>
      <c r="E7470" s="0" t="inlineStr">
        <is>
          <t xml:space="preserve">Mazda</t>
        </is>
      </c>
      <c r="F7470" s="0" t="s">
        <v>13</v>
      </c>
      <c r="G7470" s="0" t="s">
        <v>49</v>
      </c>
      <c r="H7470" s="5">
        <v>839.761700</v>
      </c>
    </row>
    <row r="7471" spans="1:9">
      <c r="A7471" s="22" t="str">
        <f>HYPERLINK("https://app.vivvix.com/360/KMI/IntelliDrive/ApplUI/Pages/CreativePages/CustomReportCreativeDetail.aspx?App=23&amp;ReportView=4&amp;Qid=1711279&amp;Row=7463&amp;Col=1","No Title Assigned - #15270424157")</f>
        <v/>
      </c>
      <c r="B7471" s="0" t="s">
        <v>9942</v>
      </c>
      <c r="C7471" s="0" t="s">
        <v>9943</v>
      </c>
      <c r="D7471" s="0" t="s">
        <v>9713</v>
      </c>
      <c r="E7471" s="0" t="inlineStr">
        <is>
          <t xml:space="preserve">Mazda</t>
        </is>
      </c>
      <c r="F7471" s="0" t="s">
        <v>13</v>
      </c>
      <c r="G7471" s="0" t="s">
        <v>49</v>
      </c>
      <c r="H7471" s="5">
        <v>13.584800</v>
      </c>
    </row>
    <row r="7472" spans="1:9">
      <c r="A7472" s="22" t="str">
        <f>HYPERLINK("https://app.vivvix.com/360/KMI/IntelliDrive/ApplUI/Pages/CreativePages/CustomReportCreativeDetail.aspx?App=23&amp;ReportView=4&amp;Qid=1711279&amp;Row=7464&amp;Col=1","No Title Assigned - #15270424158")</f>
        <v/>
      </c>
      <c r="B7472" s="0" t="s">
        <v>9944</v>
      </c>
      <c r="C7472" s="0" t="s">
        <v>9945</v>
      </c>
      <c r="D7472" s="0" t="s">
        <v>9945</v>
      </c>
      <c r="E7472" s="0" t="inlineStr">
        <is>
          <t xml:space="preserve">Mazda</t>
        </is>
      </c>
      <c r="F7472" s="0" t="s">
        <v>13</v>
      </c>
      <c r="G7472" s="0" t="s">
        <v>49</v>
      </c>
      <c r="H7472" s="5">
        <v>190.187200</v>
      </c>
    </row>
    <row r="7473" spans="1:9">
      <c r="A7473" s="22" t="str">
        <f>HYPERLINK("https://app.vivvix.com/360/KMI/IntelliDrive/ApplUI/Pages/CreativePages/CustomReportCreativeDetail.aspx?App=23&amp;ReportView=4&amp;Qid=1711279&amp;Row=7465&amp;Col=1","No Title Assigned - #15270424211")</f>
        <v/>
      </c>
      <c r="B7473" s="0" t="s">
        <v>9946</v>
      </c>
      <c r="C7473" s="0" t="s">
        <v>9947</v>
      </c>
      <c r="D7473" s="0" t="s">
        <v>5013</v>
      </c>
      <c r="E7473" s="0" t="inlineStr">
        <is>
          <t xml:space="preserve">Mazda</t>
        </is>
      </c>
      <c r="F7473" s="0" t="s">
        <v>13</v>
      </c>
      <c r="G7473" s="0" t="s">
        <v>49</v>
      </c>
      <c r="H7473" s="5">
        <v>1509.115800</v>
      </c>
    </row>
    <row r="7474" spans="1:9">
      <c r="A7474" s="22" t="str">
        <f>HYPERLINK("https://app.vivvix.com/360/KMI/IntelliDrive/ApplUI/Pages/CreativePages/CustomReportCreativeDetail.aspx?App=23&amp;ReportView=4&amp;Qid=1711279&amp;Row=7466&amp;Col=1","No Title Assigned - #15270424273")</f>
        <v/>
      </c>
      <c r="B7474" s="0" t="s">
        <v>9948</v>
      </c>
      <c r="C7474" s="0" t="s">
        <v>9949</v>
      </c>
      <c r="D7474" s="0" t="s">
        <v>9949</v>
      </c>
      <c r="E7474" s="0" t="inlineStr">
        <is>
          <t xml:space="preserve">Mazda</t>
        </is>
      </c>
      <c r="F7474" s="0" t="s">
        <v>13</v>
      </c>
      <c r="G7474" s="0" t="s">
        <v>49</v>
      </c>
      <c r="H7474" s="5">
        <v>265.537700</v>
      </c>
    </row>
    <row r="7475" spans="1:9">
      <c r="A7475" s="22" t="str">
        <f>HYPERLINK("https://app.vivvix.com/360/KMI/IntelliDrive/ApplUI/Pages/CreativePages/CustomReportCreativeDetail.aspx?App=23&amp;ReportView=4&amp;Qid=1711279&amp;Row=7467&amp;Col=1","No Title Assigned - #15270424423")</f>
        <v/>
      </c>
      <c r="B7475" s="0" t="s">
        <v>9950</v>
      </c>
      <c r="C7475" s="0" t="s">
        <v>9951</v>
      </c>
      <c r="D7475" s="0" t="s">
        <v>9951</v>
      </c>
      <c r="E7475" s="0" t="inlineStr">
        <is>
          <t xml:space="preserve">Mazda</t>
        </is>
      </c>
      <c r="F7475" s="0" t="s">
        <v>13</v>
      </c>
      <c r="G7475" s="0" t="s">
        <v>49</v>
      </c>
      <c r="H7475" s="5">
        <v>840.681700</v>
      </c>
    </row>
    <row r="7476" spans="1:9">
      <c r="A7476" s="22" t="str">
        <f>HYPERLINK("https://app.vivvix.com/360/KMI/IntelliDrive/ApplUI/Pages/CreativePages/CustomReportCreativeDetail.aspx?App=23&amp;ReportView=4&amp;Qid=1711279&amp;Row=7468&amp;Col=1","No Title Assigned - #15270424454")</f>
        <v/>
      </c>
      <c r="B7476" s="0" t="s">
        <v>9952</v>
      </c>
      <c r="C7476" s="0" t="s">
        <v>9953</v>
      </c>
      <c r="D7476" s="0" t="s">
        <v>4768</v>
      </c>
      <c r="E7476" s="0" t="inlineStr">
        <is>
          <t xml:space="preserve">Mazda</t>
        </is>
      </c>
      <c r="F7476" s="0" t="s">
        <v>13</v>
      </c>
      <c r="G7476" s="0" t="s">
        <v>49</v>
      </c>
      <c r="H7476" s="5">
        <v>59.460700</v>
      </c>
    </row>
    <row r="7477" spans="1:9">
      <c r="A7477" s="22" t="str">
        <f>HYPERLINK("https://app.vivvix.com/360/KMI/IntelliDrive/ApplUI/Pages/CreativePages/CustomReportCreativeDetail.aspx?App=23&amp;ReportView=4&amp;Qid=1711279&amp;Row=7469&amp;Col=1","No Title Assigned - #15270424540")</f>
        <v/>
      </c>
      <c r="B7477" s="0" t="s">
        <v>9954</v>
      </c>
      <c r="C7477" s="0" t="s">
        <v>9955</v>
      </c>
      <c r="D7477" s="0" t="s">
        <v>9955</v>
      </c>
      <c r="E7477" s="0" t="inlineStr">
        <is>
          <t xml:space="preserve">Mazda</t>
        </is>
      </c>
      <c r="F7477" s="0" t="s">
        <v>13</v>
      </c>
      <c r="G7477" s="0" t="s">
        <v>49</v>
      </c>
      <c r="H7477" s="5">
        <v>4244.046400</v>
      </c>
    </row>
    <row r="7478" spans="1:9">
      <c r="A7478" s="22" t="str">
        <f>HYPERLINK("https://app.vivvix.com/360/KMI/IntelliDrive/ApplUI/Pages/CreativePages/CustomReportCreativeDetail.aspx?App=23&amp;ReportView=4&amp;Qid=1711279&amp;Row=7470&amp;Col=1","No Title Assigned - #15270424540")</f>
        <v/>
      </c>
      <c r="B7478" s="0" t="s">
        <v>9954</v>
      </c>
      <c r="E7478" s="0" t="inlineStr">
        <is>
          <t xml:space="preserve">Mazda</t>
        </is>
      </c>
      <c r="F7478" s="0" t="s">
        <v>13</v>
      </c>
      <c r="G7478" s="0" t="s">
        <v>49</v>
      </c>
      <c r="H7478" s="5">
        <v>266.710200</v>
      </c>
    </row>
    <row r="7479" spans="1:9">
      <c r="A7479" s="22" t="str">
        <f>HYPERLINK("https://app.vivvix.com/360/KMI/IntelliDrive/ApplUI/Pages/CreativePages/CustomReportCreativeDetail.aspx?App=23&amp;ReportView=4&amp;Qid=1711279&amp;Row=7471&amp;Col=1","No Title Assigned - #15270424577")</f>
        <v/>
      </c>
      <c r="B7479" s="0" t="s">
        <v>9956</v>
      </c>
      <c r="C7479" s="0" t="s">
        <v>9957</v>
      </c>
      <c r="D7479" s="0" t="s">
        <v>6238</v>
      </c>
      <c r="E7479" s="0" t="inlineStr">
        <is>
          <t xml:space="preserve">Mazda</t>
        </is>
      </c>
      <c r="F7479" s="0" t="s">
        <v>13</v>
      </c>
      <c r="G7479" s="0" t="s">
        <v>49</v>
      </c>
      <c r="H7479" s="5">
        <v>1226.826100</v>
      </c>
    </row>
    <row r="7480" spans="1:9">
      <c r="A7480" s="22" t="str">
        <f>HYPERLINK("https://app.vivvix.com/360/KMI/IntelliDrive/ApplUI/Pages/CreativePages/CustomReportCreativeDetail.aspx?App=23&amp;ReportView=4&amp;Qid=1711279&amp;Row=7472&amp;Col=1","No Title Assigned - #15270424674")</f>
        <v/>
      </c>
      <c r="B7480" s="0" t="s">
        <v>9958</v>
      </c>
      <c r="C7480" s="0" t="s">
        <v>9959</v>
      </c>
      <c r="D7480" s="0" t="s">
        <v>4768</v>
      </c>
      <c r="E7480" s="0" t="inlineStr">
        <is>
          <t xml:space="preserve">Mazda</t>
        </is>
      </c>
      <c r="F7480" s="0" t="s">
        <v>13</v>
      </c>
      <c r="G7480" s="0" t="s">
        <v>49</v>
      </c>
      <c r="H7480" s="5">
        <v>557.050400</v>
      </c>
    </row>
    <row r="7481" spans="1:9">
      <c r="A7481" s="22" t="str">
        <f>HYPERLINK("https://app.vivvix.com/360/KMI/IntelliDrive/ApplUI/Pages/CreativePages/CustomReportCreativeDetail.aspx?App=23&amp;ReportView=4&amp;Qid=1711279&amp;Row=7473&amp;Col=1","No Title Assigned - #15270424829")</f>
        <v/>
      </c>
      <c r="B7481" s="0" t="s">
        <v>9960</v>
      </c>
      <c r="C7481" s="0" t="s">
        <v>9961</v>
      </c>
      <c r="D7481" s="0" t="s">
        <v>9962</v>
      </c>
      <c r="E7481" s="0" t="inlineStr">
        <is>
          <t xml:space="preserve">Mazda</t>
        </is>
      </c>
      <c r="F7481" s="0" t="s">
        <v>13</v>
      </c>
      <c r="G7481" s="0" t="s">
        <v>49</v>
      </c>
      <c r="H7481" s="5">
        <v>215.486400</v>
      </c>
    </row>
    <row r="7482" spans="1:9">
      <c r="A7482" s="22" t="str">
        <f>HYPERLINK("https://app.vivvix.com/360/KMI/IntelliDrive/ApplUI/Pages/CreativePages/CustomReportCreativeDetail.aspx?App=23&amp;ReportView=4&amp;Qid=1711279&amp;Row=7474&amp;Col=1","No Title Assigned - #15270425071")</f>
        <v/>
      </c>
      <c r="B7482" s="0" t="s">
        <v>9963</v>
      </c>
      <c r="C7482" s="0" t="s">
        <v>9964</v>
      </c>
      <c r="D7482" s="0" t="s">
        <v>9964</v>
      </c>
      <c r="E7482" s="0" t="inlineStr">
        <is>
          <t xml:space="preserve">Mazda</t>
        </is>
      </c>
      <c r="F7482" s="0" t="s">
        <v>13</v>
      </c>
      <c r="G7482" s="0" t="s">
        <v>49</v>
      </c>
      <c r="H7482" s="5">
        <v>281.343600</v>
      </c>
    </row>
    <row r="7483" spans="1:9">
      <c r="A7483" s="22" t="str">
        <f>HYPERLINK("https://app.vivvix.com/360/KMI/IntelliDrive/ApplUI/Pages/CreativePages/CustomReportCreativeDetail.aspx?App=23&amp;ReportView=4&amp;Qid=1711279&amp;Row=7475&amp;Col=1","No Title Assigned - #15270425072")</f>
        <v/>
      </c>
      <c r="B7483" s="0" t="s">
        <v>9965</v>
      </c>
      <c r="C7483" s="0" t="s">
        <v>9966</v>
      </c>
      <c r="D7483" s="0" t="s">
        <v>9966</v>
      </c>
      <c r="E7483" s="0" t="inlineStr">
        <is>
          <t xml:space="preserve">Mazda</t>
        </is>
      </c>
      <c r="F7483" s="0" t="s">
        <v>13</v>
      </c>
      <c r="G7483" s="0" t="s">
        <v>49</v>
      </c>
      <c r="H7483" s="5">
        <v>2234.612600</v>
      </c>
    </row>
    <row r="7484" spans="1:9">
      <c r="A7484" s="22" t="str">
        <f>HYPERLINK("https://app.vivvix.com/360/KMI/IntelliDrive/ApplUI/Pages/CreativePages/CustomReportCreativeDetail.aspx?App=23&amp;ReportView=4&amp;Qid=1711279&amp;Row=7476&amp;Col=1","No Title Assigned - #15270425107")</f>
        <v/>
      </c>
      <c r="B7484" s="0" t="s">
        <v>9967</v>
      </c>
      <c r="C7484" s="0" t="s">
        <v>9968</v>
      </c>
      <c r="D7484" s="0" t="s">
        <v>4335</v>
      </c>
      <c r="E7484" s="0" t="inlineStr">
        <is>
          <t xml:space="preserve">Mazda</t>
        </is>
      </c>
      <c r="F7484" s="0" t="s">
        <v>13</v>
      </c>
      <c r="G7484" s="0" t="s">
        <v>49</v>
      </c>
      <c r="H7484" s="5">
        <v>101.000000</v>
      </c>
    </row>
    <row r="7485" spans="1:9">
      <c r="A7485" s="22" t="str">
        <f>HYPERLINK("https://app.vivvix.com/360/KMI/IntelliDrive/ApplUI/Pages/CreativePages/CustomReportCreativeDetail.aspx?App=23&amp;ReportView=4&amp;Qid=1711279&amp;Row=7477&amp;Col=1","No Title Assigned - #15270425172")</f>
        <v/>
      </c>
      <c r="B7485" s="0" t="s">
        <v>9969</v>
      </c>
      <c r="C7485" s="0" t="s">
        <v>9970</v>
      </c>
      <c r="D7485" s="0" t="s">
        <v>4774</v>
      </c>
      <c r="E7485" s="0" t="inlineStr">
        <is>
          <t xml:space="preserve">Mazda</t>
        </is>
      </c>
      <c r="F7485" s="0" t="s">
        <v>13</v>
      </c>
      <c r="G7485" s="0" t="s">
        <v>49</v>
      </c>
      <c r="H7485" s="5">
        <v>103.125100</v>
      </c>
    </row>
    <row r="7486" spans="1:9">
      <c r="A7486" s="22" t="str">
        <f>HYPERLINK("https://app.vivvix.com/360/KMI/IntelliDrive/ApplUI/Pages/CreativePages/CustomReportCreativeDetail.aspx?App=23&amp;ReportView=4&amp;Qid=1711279&amp;Row=7478&amp;Col=1","No Title Assigned - #15270425491")</f>
        <v/>
      </c>
      <c r="B7486" s="0" t="s">
        <v>9971</v>
      </c>
      <c r="C7486" s="0" t="s">
        <v>9962</v>
      </c>
      <c r="D7486" s="0" t="s">
        <v>9962</v>
      </c>
      <c r="E7486" s="0" t="inlineStr">
        <is>
          <t xml:space="preserve">Mazda</t>
        </is>
      </c>
      <c r="F7486" s="0" t="s">
        <v>13</v>
      </c>
      <c r="G7486" s="0" t="s">
        <v>49</v>
      </c>
      <c r="H7486" s="5">
        <v>485.074600</v>
      </c>
    </row>
    <row r="7487" spans="1:9">
      <c r="A7487" s="22" t="str">
        <f>HYPERLINK("https://app.vivvix.com/360/KMI/IntelliDrive/ApplUI/Pages/CreativePages/CustomReportCreativeDetail.aspx?App=23&amp;ReportView=4&amp;Qid=1711279&amp;Row=7479&amp;Col=1","No Title Assigned - #15270425916")</f>
        <v/>
      </c>
      <c r="B7487" s="0" t="s">
        <v>9972</v>
      </c>
      <c r="C7487" s="0" t="s">
        <v>9973</v>
      </c>
      <c r="D7487" s="0" t="s">
        <v>9973</v>
      </c>
      <c r="E7487" s="0" t="inlineStr">
        <is>
          <t xml:space="preserve">Mazda</t>
        </is>
      </c>
      <c r="F7487" s="0" t="s">
        <v>13</v>
      </c>
      <c r="G7487" s="0" t="s">
        <v>49</v>
      </c>
      <c r="H7487" s="5">
        <v>1038.724200</v>
      </c>
    </row>
    <row r="7488" spans="1:9">
      <c r="A7488" s="22" t="str">
        <f>HYPERLINK("https://app.vivvix.com/360/KMI/IntelliDrive/ApplUI/Pages/CreativePages/CustomReportCreativeDetail.aspx?App=23&amp;ReportView=4&amp;Qid=1711279&amp;Row=7480&amp;Col=1","No Title Assigned - #15270425966")</f>
        <v/>
      </c>
      <c r="B7488" s="0" t="s">
        <v>9974</v>
      </c>
      <c r="C7488" s="0" t="s">
        <v>9975</v>
      </c>
      <c r="D7488" s="0" t="s">
        <v>9975</v>
      </c>
      <c r="E7488" s="0" t="inlineStr">
        <is>
          <t xml:space="preserve">Mazda</t>
        </is>
      </c>
      <c r="F7488" s="0" t="s">
        <v>13</v>
      </c>
      <c r="G7488" s="0" t="s">
        <v>49</v>
      </c>
      <c r="H7488" s="5">
        <v>519.919500</v>
      </c>
    </row>
    <row r="7489" spans="1:9">
      <c r="A7489" s="22" t="str">
        <f>HYPERLINK("https://app.vivvix.com/360/KMI/IntelliDrive/ApplUI/Pages/CreativePages/CustomReportCreativeDetail.aspx?App=23&amp;ReportView=4&amp;Qid=1711279&amp;Row=7481&amp;Col=1","No Title Assigned - #15270426086")</f>
        <v/>
      </c>
      <c r="B7489" s="0" t="s">
        <v>9976</v>
      </c>
      <c r="C7489" s="0" t="s">
        <v>9977</v>
      </c>
      <c r="D7489" s="0" t="s">
        <v>4768</v>
      </c>
      <c r="E7489" s="0" t="inlineStr">
        <is>
          <t xml:space="preserve">Mazda</t>
        </is>
      </c>
      <c r="F7489" s="0" t="s">
        <v>13</v>
      </c>
      <c r="G7489" s="0" t="s">
        <v>49</v>
      </c>
      <c r="H7489" s="5">
        <v>57.807000</v>
      </c>
    </row>
    <row r="7490" spans="1:9">
      <c r="A7490" s="22" t="str">
        <f>HYPERLINK("https://app.vivvix.com/360/KMI/IntelliDrive/ApplUI/Pages/CreativePages/CustomReportCreativeDetail.aspx?App=23&amp;ReportView=4&amp;Qid=1711279&amp;Row=7482&amp;Col=1","No Title Assigned - #15270426129")</f>
        <v/>
      </c>
      <c r="B7490" s="0" t="s">
        <v>9978</v>
      </c>
      <c r="E7490" s="0" t="inlineStr">
        <is>
          <t xml:space="preserve">Mazda</t>
        </is>
      </c>
      <c r="F7490" s="0" t="inlineStr">
        <is>
          <t xml:space="preserve">Mazda</t>
        </is>
      </c>
      <c r="G7490" s="0" t="s">
        <v>171</v>
      </c>
      <c r="H7490" s="5">
        <v>1004.355500</v>
      </c>
    </row>
    <row r="7491" spans="1:9">
      <c r="A7491" s="22" t="str">
        <f>HYPERLINK("https://app.vivvix.com/360/KMI/IntelliDrive/ApplUI/Pages/CreativePages/CustomReportCreativeDetail.aspx?App=23&amp;ReportView=4&amp;Qid=1711279&amp;Row=7483&amp;Col=1","No Title Assigned - #15270426141")</f>
        <v/>
      </c>
      <c r="B7491" s="0" t="s">
        <v>9979</v>
      </c>
      <c r="E7491" s="0" t="inlineStr">
        <is>
          <t xml:space="preserve">Mazda</t>
        </is>
      </c>
      <c r="F7491" s="0" t="s">
        <v>13</v>
      </c>
      <c r="G7491" s="0" t="s">
        <v>49</v>
      </c>
      <c r="H7491" s="5">
        <v>371.876800</v>
      </c>
    </row>
    <row r="7492" spans="1:9">
      <c r="A7492" s="22" t="str">
        <f>HYPERLINK("https://app.vivvix.com/360/KMI/IntelliDrive/ApplUI/Pages/CreativePages/CustomReportCreativeDetail.aspx?App=23&amp;ReportView=4&amp;Qid=1711279&amp;Row=7484&amp;Col=1","No Title Assigned - #15270426141")</f>
        <v/>
      </c>
      <c r="B7492" s="0" t="s">
        <v>9979</v>
      </c>
      <c r="C7492" s="0" t="s">
        <v>9980</v>
      </c>
      <c r="D7492" s="0" t="s">
        <v>9980</v>
      </c>
      <c r="E7492" s="0" t="inlineStr">
        <is>
          <t xml:space="preserve">Mazda</t>
        </is>
      </c>
      <c r="F7492" s="0" t="s">
        <v>13</v>
      </c>
      <c r="G7492" s="0" t="s">
        <v>49</v>
      </c>
      <c r="H7492" s="5">
        <v>873.913100</v>
      </c>
    </row>
    <row r="7493" spans="1:9">
      <c r="A7493" s="22" t="str">
        <f>HYPERLINK("https://app.vivvix.com/360/KMI/IntelliDrive/ApplUI/Pages/CreativePages/CustomReportCreativeDetail.aspx?App=23&amp;ReportView=4&amp;Qid=1711279&amp;Row=7485&amp;Col=1","No Title Assigned - #15270426310")</f>
        <v/>
      </c>
      <c r="B7493" s="0" t="s">
        <v>9981</v>
      </c>
      <c r="C7493" s="0" t="s">
        <v>9982</v>
      </c>
      <c r="D7493" s="0" t="s">
        <v>4335</v>
      </c>
      <c r="E7493" s="0" t="inlineStr">
        <is>
          <t xml:space="preserve">Mazda</t>
        </is>
      </c>
      <c r="F7493" s="0" t="s">
        <v>13</v>
      </c>
      <c r="G7493" s="0" t="s">
        <v>49</v>
      </c>
      <c r="H7493" s="5">
        <v>439.325400</v>
      </c>
    </row>
    <row r="7494" spans="1:9">
      <c r="A7494" s="22" t="str">
        <f>HYPERLINK("https://app.vivvix.com/360/KMI/IntelliDrive/ApplUI/Pages/CreativePages/CustomReportCreativeDetail.aspx?App=23&amp;ReportView=4&amp;Qid=1711279&amp;Row=7486&amp;Col=1","No Title Assigned - #15270426511")</f>
        <v/>
      </c>
      <c r="B7494" s="0" t="s">
        <v>9983</v>
      </c>
      <c r="C7494" s="0" t="s">
        <v>9984</v>
      </c>
      <c r="D7494" s="0" t="s">
        <v>6044</v>
      </c>
      <c r="E7494" s="0" t="inlineStr">
        <is>
          <t xml:space="preserve">Mazda</t>
        </is>
      </c>
      <c r="F7494" s="0" t="s">
        <v>13</v>
      </c>
      <c r="G7494" s="0" t="s">
        <v>49</v>
      </c>
      <c r="H7494" s="5">
        <v>13993.778800</v>
      </c>
    </row>
    <row r="7495" spans="1:9">
      <c r="A7495" s="22" t="str">
        <f>HYPERLINK("https://app.vivvix.com/360/KMI/IntelliDrive/ApplUI/Pages/CreativePages/CustomReportCreativeDetail.aspx?App=23&amp;ReportView=4&amp;Qid=1711279&amp;Row=7487&amp;Col=1","No Title Assigned - #15270426511")</f>
        <v/>
      </c>
      <c r="B7495" s="0" t="s">
        <v>9983</v>
      </c>
      <c r="E7495" s="0" t="inlineStr">
        <is>
          <t xml:space="preserve">Mazda</t>
        </is>
      </c>
      <c r="F7495" s="0" t="s">
        <v>13</v>
      </c>
      <c r="G7495" s="0" t="s">
        <v>49</v>
      </c>
      <c r="H7495" s="5">
        <v>36205.023200</v>
      </c>
    </row>
    <row r="7496" spans="1:9">
      <c r="A7496" s="22" t="str">
        <f>HYPERLINK("https://app.vivvix.com/360/KMI/IntelliDrive/ApplUI/Pages/CreativePages/CustomReportCreativeDetail.aspx?App=23&amp;ReportView=4&amp;Qid=1711279&amp;Row=7488&amp;Col=1","No Title Assigned - #15270426640")</f>
        <v/>
      </c>
      <c r="B7496" s="0" t="s">
        <v>9985</v>
      </c>
      <c r="C7496" s="0" t="s">
        <v>9986</v>
      </c>
      <c r="D7496" s="0" t="s">
        <v>9986</v>
      </c>
      <c r="E7496" s="0" t="inlineStr">
        <is>
          <t xml:space="preserve">Mazda</t>
        </is>
      </c>
      <c r="F7496" s="0" t="s">
        <v>13</v>
      </c>
      <c r="G7496" s="0" t="s">
        <v>49</v>
      </c>
      <c r="H7496" s="5">
        <v>357.403800</v>
      </c>
    </row>
    <row r="7497" spans="1:9">
      <c r="A7497" s="22" t="str">
        <f>HYPERLINK("https://app.vivvix.com/360/KMI/IntelliDrive/ApplUI/Pages/CreativePages/CustomReportCreativeDetail.aspx?App=23&amp;ReportView=4&amp;Qid=1711279&amp;Row=7489&amp;Col=1","No Title Assigned - #15270426857")</f>
        <v/>
      </c>
      <c r="B7497" s="0" t="s">
        <v>9987</v>
      </c>
      <c r="C7497" s="0" t="s">
        <v>9988</v>
      </c>
      <c r="D7497" s="0" t="s">
        <v>9988</v>
      </c>
      <c r="E7497" s="0" t="inlineStr">
        <is>
          <t xml:space="preserve">Mazda</t>
        </is>
      </c>
      <c r="F7497" s="0" t="s">
        <v>13</v>
      </c>
      <c r="G7497" s="0" t="s">
        <v>49</v>
      </c>
      <c r="H7497" s="5">
        <v>933.266500</v>
      </c>
    </row>
    <row r="7498" spans="1:9">
      <c r="A7498" s="22" t="str">
        <f>HYPERLINK("https://app.vivvix.com/360/KMI/IntelliDrive/ApplUI/Pages/CreativePages/CustomReportCreativeDetail.aspx?App=23&amp;ReportView=4&amp;Qid=1711279&amp;Row=7490&amp;Col=1","No Title Assigned - #15270426857")</f>
        <v/>
      </c>
      <c r="B7498" s="0" t="s">
        <v>9987</v>
      </c>
      <c r="E7498" s="0" t="inlineStr">
        <is>
          <t xml:space="preserve">Mazda</t>
        </is>
      </c>
      <c r="F7498" s="0" t="s">
        <v>13</v>
      </c>
      <c r="G7498" s="0" t="s">
        <v>49</v>
      </c>
      <c r="H7498" s="5">
        <v>276.772700</v>
      </c>
    </row>
    <row r="7499" spans="1:9">
      <c r="A7499" s="22" t="str">
        <f>HYPERLINK("https://app.vivvix.com/360/KMI/IntelliDrive/ApplUI/Pages/CreativePages/CustomReportCreativeDetail.aspx?App=23&amp;ReportView=4&amp;Qid=1711279&amp;Row=7491&amp;Col=1","No Title Assigned - #15270427508")</f>
        <v/>
      </c>
      <c r="B7499" s="0" t="s">
        <v>9989</v>
      </c>
      <c r="C7499" s="0" t="s">
        <v>9990</v>
      </c>
      <c r="D7499" s="0" t="s">
        <v>9990</v>
      </c>
      <c r="E7499" s="0" t="inlineStr">
        <is>
          <t xml:space="preserve">Mazda</t>
        </is>
      </c>
      <c r="F7499" s="0" t="s">
        <v>13</v>
      </c>
      <c r="G7499" s="0" t="s">
        <v>49</v>
      </c>
      <c r="H7499" s="5">
        <v>117.175600</v>
      </c>
    </row>
    <row r="7500" spans="1:9">
      <c r="A7500" s="22" t="str">
        <f>HYPERLINK("https://app.vivvix.com/360/KMI/IntelliDrive/ApplUI/Pages/CreativePages/CustomReportCreativeDetail.aspx?App=23&amp;ReportView=4&amp;Qid=1711279&amp;Row=7492&amp;Col=1","No Title Assigned - #15270427970")</f>
        <v/>
      </c>
      <c r="B7500" s="0" t="s">
        <v>9991</v>
      </c>
      <c r="C7500" s="0" t="s">
        <v>9992</v>
      </c>
      <c r="D7500" s="0" t="s">
        <v>9992</v>
      </c>
      <c r="E7500" s="0" t="inlineStr">
        <is>
          <t xml:space="preserve">Mazda</t>
        </is>
      </c>
      <c r="F7500" s="0" t="s">
        <v>13</v>
      </c>
      <c r="G7500" s="0" t="s">
        <v>49</v>
      </c>
      <c r="H7500" s="5">
        <v>796.630700</v>
      </c>
    </row>
    <row r="7501" spans="1:9">
      <c r="A7501" s="22" t="str">
        <f>HYPERLINK("https://app.vivvix.com/360/KMI/IntelliDrive/ApplUI/Pages/CreativePages/CustomReportCreativeDetail.aspx?App=23&amp;ReportView=4&amp;Qid=1711279&amp;Row=7493&amp;Col=1","No Title Assigned - #15270428164")</f>
        <v/>
      </c>
      <c r="B7501" s="0" t="s">
        <v>9993</v>
      </c>
      <c r="C7501" s="0" t="s">
        <v>9994</v>
      </c>
      <c r="D7501" s="0" t="s">
        <v>9994</v>
      </c>
      <c r="E7501" s="0" t="inlineStr">
        <is>
          <t xml:space="preserve">Mazda</t>
        </is>
      </c>
      <c r="F7501" s="0" t="s">
        <v>28</v>
      </c>
      <c r="G7501" s="0" t="s">
        <v>29</v>
      </c>
      <c r="H7501" s="5">
        <v>367.403300</v>
      </c>
    </row>
    <row r="7502" spans="1:9">
      <c r="A7502" s="22" t="str">
        <f>HYPERLINK("https://app.vivvix.com/360/KMI/IntelliDrive/ApplUI/Pages/CreativePages/CustomReportCreativeDetail.aspx?App=23&amp;ReportView=4&amp;Qid=1711279&amp;Row=7494&amp;Col=1","No Title Assigned - #15270428231")</f>
        <v/>
      </c>
      <c r="B7502" s="0" t="s">
        <v>9995</v>
      </c>
      <c r="C7502" s="0" t="s">
        <v>9996</v>
      </c>
      <c r="D7502" s="0" t="s">
        <v>8560</v>
      </c>
      <c r="E7502" s="0" t="inlineStr">
        <is>
          <t xml:space="preserve">Mazda</t>
        </is>
      </c>
      <c r="F7502" s="0" t="s">
        <v>13</v>
      </c>
      <c r="G7502" s="0" t="s">
        <v>49</v>
      </c>
      <c r="H7502" s="5">
        <v>222.298300</v>
      </c>
    </row>
    <row r="7503" spans="1:9">
      <c r="A7503" s="22" t="str">
        <f>HYPERLINK("https://app.vivvix.com/360/KMI/IntelliDrive/ApplUI/Pages/CreativePages/CustomReportCreativeDetail.aspx?App=23&amp;ReportView=4&amp;Qid=1711279&amp;Row=7495&amp;Col=1","No Title Assigned - #15270428658")</f>
        <v/>
      </c>
      <c r="B7503" s="0" t="s">
        <v>9997</v>
      </c>
      <c r="C7503" s="0" t="s">
        <v>9998</v>
      </c>
      <c r="D7503" s="0" t="s">
        <v>9998</v>
      </c>
      <c r="E7503" s="0" t="inlineStr">
        <is>
          <t xml:space="preserve">Mazda</t>
        </is>
      </c>
      <c r="F7503" s="0" t="s">
        <v>13</v>
      </c>
      <c r="G7503" s="0" t="s">
        <v>49</v>
      </c>
      <c r="H7503" s="5">
        <v>198.826200</v>
      </c>
    </row>
    <row r="7504" spans="1:9">
      <c r="A7504" s="22" t="str">
        <f>HYPERLINK("https://app.vivvix.com/360/KMI/IntelliDrive/ApplUI/Pages/CreativePages/CustomReportCreativeDetail.aspx?App=23&amp;ReportView=4&amp;Qid=1711279&amp;Row=7496&amp;Col=1","No Title Assigned - #15270428807")</f>
        <v/>
      </c>
      <c r="B7504" s="0" t="s">
        <v>9999</v>
      </c>
      <c r="E7504" s="0" t="inlineStr">
        <is>
          <t xml:space="preserve">Mazda</t>
        </is>
      </c>
      <c r="F7504" s="0" t="inlineStr">
        <is>
          <t xml:space="preserve">Mazda</t>
        </is>
      </c>
      <c r="G7504" s="0" t="s">
        <v>171</v>
      </c>
      <c r="H7504" s="5">
        <v>4.321400</v>
      </c>
    </row>
    <row r="7505" spans="1:9">
      <c r="A7505" s="22" t="str">
        <f>HYPERLINK("https://app.vivvix.com/360/KMI/IntelliDrive/ApplUI/Pages/CreativePages/CustomReportCreativeDetail.aspx?App=23&amp;ReportView=4&amp;Qid=1711279&amp;Row=7497&amp;Col=1","No Title Assigned - #15270428824")</f>
        <v/>
      </c>
      <c r="B7505" s="0" t="s">
        <v>10000</v>
      </c>
      <c r="C7505" s="0" t="s">
        <v>10001</v>
      </c>
      <c r="D7505" s="0" t="s">
        <v>10001</v>
      </c>
      <c r="E7505" s="0" t="inlineStr">
        <is>
          <t xml:space="preserve">Mazda</t>
        </is>
      </c>
      <c r="F7505" s="0" t="s">
        <v>13</v>
      </c>
      <c r="G7505" s="0" t="s">
        <v>49</v>
      </c>
      <c r="H7505" s="5">
        <v>903.759400</v>
      </c>
    </row>
    <row r="7506" spans="1:9">
      <c r="A7506" s="22" t="str">
        <f>HYPERLINK("https://app.vivvix.com/360/KMI/IntelliDrive/ApplUI/Pages/CreativePages/CustomReportCreativeDetail.aspx?App=23&amp;ReportView=4&amp;Qid=1711279&amp;Row=7498&amp;Col=1","No Title Assigned - #15270428857")</f>
        <v/>
      </c>
      <c r="B7506" s="0" t="s">
        <v>10002</v>
      </c>
      <c r="C7506" s="0" t="s">
        <v>10003</v>
      </c>
      <c r="D7506" s="0" t="s">
        <v>10004</v>
      </c>
      <c r="E7506" s="0" t="inlineStr">
        <is>
          <t xml:space="preserve">Mazda</t>
        </is>
      </c>
      <c r="F7506" s="0" t="s">
        <v>13</v>
      </c>
      <c r="G7506" s="0" t="s">
        <v>49</v>
      </c>
      <c r="H7506" s="5">
        <v>2037.487900</v>
      </c>
    </row>
    <row r="7507" spans="1:9">
      <c r="A7507" s="22" t="str">
        <f>HYPERLINK("https://app.vivvix.com/360/KMI/IntelliDrive/ApplUI/Pages/CreativePages/CustomReportCreativeDetail.aspx?App=23&amp;ReportView=4&amp;Qid=1711279&amp;Row=7499&amp;Col=1","No Title Assigned - #15270428857")</f>
        <v/>
      </c>
      <c r="B7507" s="0" t="s">
        <v>10002</v>
      </c>
      <c r="E7507" s="0" t="inlineStr">
        <is>
          <t xml:space="preserve">Mazda</t>
        </is>
      </c>
      <c r="F7507" s="0" t="s">
        <v>13</v>
      </c>
      <c r="G7507" s="0" t="s">
        <v>49</v>
      </c>
      <c r="H7507" s="5">
        <v>219.066700</v>
      </c>
    </row>
    <row r="7508" spans="1:9">
      <c r="A7508" s="22" t="str">
        <f>HYPERLINK("https://app.vivvix.com/360/KMI/IntelliDrive/ApplUI/Pages/CreativePages/CustomReportCreativeDetail.aspx?App=23&amp;ReportView=4&amp;Qid=1711279&amp;Row=7500&amp;Col=1","No Title Assigned - #15270428861")</f>
        <v/>
      </c>
      <c r="B7508" s="0" t="s">
        <v>10005</v>
      </c>
      <c r="C7508" s="0" t="s">
        <v>10006</v>
      </c>
      <c r="D7508" s="0" t="s">
        <v>10006</v>
      </c>
      <c r="E7508" s="0" t="inlineStr">
        <is>
          <t xml:space="preserve">Mazda</t>
        </is>
      </c>
      <c r="F7508" s="0" t="s">
        <v>13</v>
      </c>
      <c r="G7508" s="0" t="s">
        <v>49</v>
      </c>
      <c r="H7508" s="5">
        <v>90166.453500</v>
      </c>
    </row>
    <row r="7509" spans="1:9">
      <c r="A7509" s="22" t="str">
        <f>HYPERLINK("https://app.vivvix.com/360/KMI/IntelliDrive/ApplUI/Pages/CreativePages/CustomReportCreativeDetail.aspx?App=23&amp;ReportView=4&amp;Qid=1711279&amp;Row=7501&amp;Col=1","No Title Assigned - #15270428861")</f>
        <v/>
      </c>
      <c r="B7509" s="0" t="s">
        <v>10005</v>
      </c>
      <c r="E7509" s="0" t="inlineStr">
        <is>
          <t xml:space="preserve">Mazda</t>
        </is>
      </c>
      <c r="F7509" s="0" t="s">
        <v>13</v>
      </c>
      <c r="G7509" s="0" t="s">
        <v>49</v>
      </c>
      <c r="H7509" s="5">
        <v>48124.371300</v>
      </c>
    </row>
    <row r="7510" spans="1:9">
      <c r="A7510" s="22" t="str">
        <f>HYPERLINK("https://app.vivvix.com/360/KMI/IntelliDrive/ApplUI/Pages/CreativePages/CustomReportCreativeDetail.aspx?App=23&amp;ReportView=4&amp;Qid=1711279&amp;Row=7502&amp;Col=1","No Title Assigned - #15270428862")</f>
        <v/>
      </c>
      <c r="B7510" s="0" t="s">
        <v>10007</v>
      </c>
      <c r="C7510" s="0" t="s">
        <v>10008</v>
      </c>
      <c r="D7510" s="0" t="s">
        <v>10008</v>
      </c>
      <c r="E7510" s="0" t="inlineStr">
        <is>
          <t xml:space="preserve">Mazda</t>
        </is>
      </c>
      <c r="F7510" s="0" t="s">
        <v>13</v>
      </c>
      <c r="G7510" s="0" t="s">
        <v>49</v>
      </c>
      <c r="H7510" s="5">
        <v>3873.971600</v>
      </c>
    </row>
    <row r="7511" spans="1:9">
      <c r="A7511" s="22" t="str">
        <f>HYPERLINK("https://app.vivvix.com/360/KMI/IntelliDrive/ApplUI/Pages/CreativePages/CustomReportCreativeDetail.aspx?App=23&amp;ReportView=4&amp;Qid=1711279&amp;Row=7503&amp;Col=1","No Title Assigned - #15270429078")</f>
        <v/>
      </c>
      <c r="B7511" s="0" t="s">
        <v>10009</v>
      </c>
      <c r="C7511" s="0" t="s">
        <v>10010</v>
      </c>
      <c r="D7511" s="0" t="s">
        <v>7969</v>
      </c>
      <c r="E7511" s="0" t="inlineStr">
        <is>
          <t xml:space="preserve">Mazda</t>
        </is>
      </c>
      <c r="F7511" s="0" t="s">
        <v>13</v>
      </c>
      <c r="G7511" s="0" t="s">
        <v>49</v>
      </c>
      <c r="H7511" s="5">
        <v>550.180800</v>
      </c>
    </row>
    <row r="7512" spans="1:9">
      <c r="A7512" s="22" t="str">
        <f>HYPERLINK("https://app.vivvix.com/360/KMI/IntelliDrive/ApplUI/Pages/CreativePages/CustomReportCreativeDetail.aspx?App=23&amp;ReportView=4&amp;Qid=1711279&amp;Row=7504&amp;Col=1","No Title Assigned - #15270429081")</f>
        <v/>
      </c>
      <c r="B7512" s="0" t="s">
        <v>10011</v>
      </c>
      <c r="C7512" s="0" t="s">
        <v>10012</v>
      </c>
      <c r="D7512" s="0" t="s">
        <v>10012</v>
      </c>
      <c r="E7512" s="0" t="inlineStr">
        <is>
          <t xml:space="preserve">Mazda</t>
        </is>
      </c>
      <c r="F7512" s="0" t="s">
        <v>28</v>
      </c>
      <c r="G7512" s="0" t="s">
        <v>29</v>
      </c>
      <c r="H7512" s="5">
        <v>837.882100</v>
      </c>
    </row>
    <row r="7513" spans="1:9">
      <c r="A7513" s="22" t="str">
        <f>HYPERLINK("https://app.vivvix.com/360/KMI/IntelliDrive/ApplUI/Pages/CreativePages/CustomReportCreativeDetail.aspx?App=23&amp;ReportView=4&amp;Qid=1711279&amp;Row=7505&amp;Col=1","No Title Assigned - #15270429294")</f>
        <v/>
      </c>
      <c r="B7513" s="0" t="s">
        <v>10013</v>
      </c>
      <c r="C7513" s="0" t="s">
        <v>10014</v>
      </c>
      <c r="D7513" s="0" t="s">
        <v>10014</v>
      </c>
      <c r="E7513" s="0" t="inlineStr">
        <is>
          <t xml:space="preserve">Mazda</t>
        </is>
      </c>
      <c r="F7513" s="0" t="s">
        <v>28</v>
      </c>
      <c r="G7513" s="0" t="s">
        <v>29</v>
      </c>
      <c r="H7513" s="5">
        <v>174.167900</v>
      </c>
    </row>
    <row r="7514" spans="1:9">
      <c r="A7514" s="22" t="str">
        <f>HYPERLINK("https://app.vivvix.com/360/KMI/IntelliDrive/ApplUI/Pages/CreativePages/CustomReportCreativeDetail.aspx?App=23&amp;ReportView=4&amp;Qid=1711279&amp;Row=7506&amp;Col=1","No Title Assigned - #15270429315")</f>
        <v/>
      </c>
      <c r="B7514" s="0" t="s">
        <v>10015</v>
      </c>
      <c r="C7514" s="0" t="s">
        <v>10016</v>
      </c>
      <c r="D7514" s="0" t="s">
        <v>4200</v>
      </c>
      <c r="E7514" s="0" t="inlineStr">
        <is>
          <t xml:space="preserve">Mazda</t>
        </is>
      </c>
      <c r="F7514" s="0" t="s">
        <v>28</v>
      </c>
      <c r="G7514" s="0" t="s">
        <v>29</v>
      </c>
      <c r="H7514" s="5">
        <v>315.472800</v>
      </c>
    </row>
    <row r="7515" spans="1:9">
      <c r="A7515" s="22" t="str">
        <f>HYPERLINK("https://app.vivvix.com/360/KMI/IntelliDrive/ApplUI/Pages/CreativePages/CustomReportCreativeDetail.aspx?App=23&amp;ReportView=4&amp;Qid=1711279&amp;Row=7507&amp;Col=1","No Title Assigned - #15270429413")</f>
        <v/>
      </c>
      <c r="B7515" s="0" t="s">
        <v>10017</v>
      </c>
      <c r="C7515" s="0" t="s">
        <v>10018</v>
      </c>
      <c r="D7515" s="0" t="s">
        <v>10018</v>
      </c>
      <c r="E7515" s="0" t="inlineStr">
        <is>
          <t xml:space="preserve">Mazda</t>
        </is>
      </c>
      <c r="F7515" s="0" t="s">
        <v>13</v>
      </c>
      <c r="G7515" s="0" t="s">
        <v>49</v>
      </c>
      <c r="H7515" s="5">
        <v>1099.027200</v>
      </c>
    </row>
    <row r="7516" spans="1:9">
      <c r="A7516" s="22" t="str">
        <f>HYPERLINK("https://app.vivvix.com/360/KMI/IntelliDrive/ApplUI/Pages/CreativePages/CustomReportCreativeDetail.aspx?App=23&amp;ReportView=4&amp;Qid=1711279&amp;Row=7508&amp;Col=1","No Title Assigned - #15270429422")</f>
        <v/>
      </c>
      <c r="B7516" s="0" t="s">
        <v>10019</v>
      </c>
      <c r="E7516" s="0" t="inlineStr">
        <is>
          <t xml:space="preserve">Mazda</t>
        </is>
      </c>
      <c r="F7516" s="0" t="s">
        <v>13</v>
      </c>
      <c r="G7516" s="0" t="s">
        <v>49</v>
      </c>
      <c r="H7516" s="5">
        <v>245.008000</v>
      </c>
    </row>
    <row r="7517" spans="1:9">
      <c r="A7517" s="22" t="str">
        <f>HYPERLINK("https://app.vivvix.com/360/KMI/IntelliDrive/ApplUI/Pages/CreativePages/CustomReportCreativeDetail.aspx?App=23&amp;ReportView=4&amp;Qid=1711279&amp;Row=7509&amp;Col=1","No Title Assigned - #15270429445")</f>
        <v/>
      </c>
      <c r="B7517" s="0" t="s">
        <v>10020</v>
      </c>
      <c r="C7517" s="0" t="s">
        <v>10021</v>
      </c>
      <c r="D7517" s="0" t="s">
        <v>10021</v>
      </c>
      <c r="E7517" s="0" t="inlineStr">
        <is>
          <t xml:space="preserve">Mazda</t>
        </is>
      </c>
      <c r="F7517" s="0" t="s">
        <v>28</v>
      </c>
      <c r="G7517" s="0" t="s">
        <v>29</v>
      </c>
      <c r="H7517" s="5">
        <v>205.902500</v>
      </c>
    </row>
    <row r="7518" spans="1:9">
      <c r="A7518" s="22" t="str">
        <f>HYPERLINK("https://app.vivvix.com/360/KMI/IntelliDrive/ApplUI/Pages/CreativePages/CustomReportCreativeDetail.aspx?App=23&amp;ReportView=4&amp;Qid=1711279&amp;Row=7510&amp;Col=1","No Title Assigned - #15270430115")</f>
        <v/>
      </c>
      <c r="B7518" s="0" t="s">
        <v>10022</v>
      </c>
      <c r="C7518" s="0" t="s">
        <v>10023</v>
      </c>
      <c r="D7518" s="0" t="s">
        <v>6404</v>
      </c>
      <c r="E7518" s="0" t="inlineStr">
        <is>
          <t xml:space="preserve">Mazda</t>
        </is>
      </c>
      <c r="F7518" s="0" t="s">
        <v>13</v>
      </c>
      <c r="G7518" s="0" t="s">
        <v>49</v>
      </c>
      <c r="H7518" s="5">
        <v>1318.653800</v>
      </c>
    </row>
    <row r="7519" spans="1:9">
      <c r="A7519" s="22" t="str">
        <f>HYPERLINK("https://app.vivvix.com/360/KMI/IntelliDrive/ApplUI/Pages/CreativePages/CustomReportCreativeDetail.aspx?App=23&amp;ReportView=4&amp;Qid=1711279&amp;Row=7511&amp;Col=1","No Title Assigned - #15270431297")</f>
        <v/>
      </c>
      <c r="B7519" s="0" t="s">
        <v>10024</v>
      </c>
      <c r="C7519" s="0" t="s">
        <v>10025</v>
      </c>
      <c r="D7519" s="0" t="s">
        <v>10025</v>
      </c>
      <c r="E7519" s="0" t="inlineStr">
        <is>
          <t xml:space="preserve">Mazda</t>
        </is>
      </c>
      <c r="F7519" s="0" t="s">
        <v>13</v>
      </c>
      <c r="G7519" s="0" t="s">
        <v>49</v>
      </c>
      <c r="H7519" s="5">
        <v>867.943900</v>
      </c>
    </row>
    <row r="7520" spans="1:9">
      <c r="A7520" s="22" t="str">
        <f>HYPERLINK("https://app.vivvix.com/360/KMI/IntelliDrive/ApplUI/Pages/CreativePages/CustomReportCreativeDetail.aspx?App=23&amp;ReportView=4&amp;Qid=1711279&amp;Row=7512&amp;Col=1","No Title Assigned - #15270431297")</f>
        <v/>
      </c>
      <c r="B7520" s="0" t="s">
        <v>10024</v>
      </c>
      <c r="E7520" s="0" t="inlineStr">
        <is>
          <t xml:space="preserve">Mazda</t>
        </is>
      </c>
      <c r="F7520" s="0" t="s">
        <v>13</v>
      </c>
      <c r="G7520" s="0" t="s">
        <v>49</v>
      </c>
      <c r="H7520" s="5">
        <v>974.909000</v>
      </c>
    </row>
    <row r="7521" spans="1:9">
      <c r="A7521" s="22" t="str">
        <f>HYPERLINK("https://app.vivvix.com/360/KMI/IntelliDrive/ApplUI/Pages/CreativePages/CustomReportCreativeDetail.aspx?App=23&amp;ReportView=4&amp;Qid=1711279&amp;Row=7513&amp;Col=1","No Title Assigned - #15270431766")</f>
        <v/>
      </c>
      <c r="B7521" s="0" t="s">
        <v>10026</v>
      </c>
      <c r="C7521" s="0" t="s">
        <v>10027</v>
      </c>
      <c r="D7521" s="0" t="s">
        <v>4204</v>
      </c>
      <c r="E7521" s="0" t="inlineStr">
        <is>
          <t xml:space="preserve">Mazda</t>
        </is>
      </c>
      <c r="F7521" s="0" t="s">
        <v>28</v>
      </c>
      <c r="G7521" s="0" t="s">
        <v>29</v>
      </c>
      <c r="H7521" s="5">
        <v>125.323900</v>
      </c>
    </row>
    <row r="7522" spans="1:9">
      <c r="A7522" s="22" t="str">
        <f>HYPERLINK("https://app.vivvix.com/360/KMI/IntelliDrive/ApplUI/Pages/CreativePages/CustomReportCreativeDetail.aspx?App=23&amp;ReportView=4&amp;Qid=1711279&amp;Row=7514&amp;Col=1","No Title Assigned - #15270432415")</f>
        <v/>
      </c>
      <c r="B7522" s="0" t="s">
        <v>10028</v>
      </c>
      <c r="C7522" s="0" t="s">
        <v>10029</v>
      </c>
      <c r="D7522" s="0" t="s">
        <v>8050</v>
      </c>
      <c r="E7522" s="0" t="inlineStr">
        <is>
          <t xml:space="preserve">Mazda</t>
        </is>
      </c>
      <c r="F7522" s="0" t="s">
        <v>28</v>
      </c>
      <c r="G7522" s="0" t="s">
        <v>29</v>
      </c>
      <c r="H7522" s="5">
        <v>470.407400</v>
      </c>
    </row>
    <row r="7523" spans="1:9">
      <c r="A7523" s="22" t="str">
        <f>HYPERLINK("https://app.vivvix.com/360/KMI/IntelliDrive/ApplUI/Pages/CreativePages/CustomReportCreativeDetail.aspx?App=23&amp;ReportView=4&amp;Qid=1711279&amp;Row=7515&amp;Col=1","No Title Assigned - #15270433010")</f>
        <v/>
      </c>
      <c r="B7523" s="0" t="s">
        <v>10030</v>
      </c>
      <c r="C7523" s="0" t="s">
        <v>10031</v>
      </c>
      <c r="D7523" s="0" t="s">
        <v>10031</v>
      </c>
      <c r="E7523" s="0" t="inlineStr">
        <is>
          <t xml:space="preserve">Mazda</t>
        </is>
      </c>
      <c r="F7523" s="0" t="s">
        <v>13</v>
      </c>
      <c r="G7523" s="0" t="s">
        <v>49</v>
      </c>
      <c r="H7523" s="5">
        <v>42.531600</v>
      </c>
    </row>
    <row r="7524" spans="1:9">
      <c r="A7524" s="22" t="str">
        <f>HYPERLINK("https://app.vivvix.com/360/KMI/IntelliDrive/ApplUI/Pages/CreativePages/CustomReportCreativeDetail.aspx?App=23&amp;ReportView=4&amp;Qid=1711279&amp;Row=7516&amp;Col=1","No Title Assigned - #15270433012")</f>
        <v/>
      </c>
      <c r="B7524" s="0" t="s">
        <v>10032</v>
      </c>
      <c r="C7524" s="0" t="s">
        <v>10033</v>
      </c>
      <c r="D7524" s="0" t="s">
        <v>4774</v>
      </c>
      <c r="E7524" s="0" t="inlineStr">
        <is>
          <t xml:space="preserve">Mazda</t>
        </is>
      </c>
      <c r="F7524" s="0" t="s">
        <v>13</v>
      </c>
      <c r="G7524" s="0" t="s">
        <v>49</v>
      </c>
      <c r="H7524" s="5">
        <v>39.676800</v>
      </c>
    </row>
    <row r="7525" spans="1:9">
      <c r="A7525" s="22" t="str">
        <f>HYPERLINK("https://app.vivvix.com/360/KMI/IntelliDrive/ApplUI/Pages/CreativePages/CustomReportCreativeDetail.aspx?App=23&amp;ReportView=4&amp;Qid=1711279&amp;Row=7517&amp;Col=1","No Title Assigned - #15270433077")</f>
        <v/>
      </c>
      <c r="B7525" s="0" t="s">
        <v>10034</v>
      </c>
      <c r="C7525" s="0" t="s">
        <v>10035</v>
      </c>
      <c r="D7525" s="0" t="s">
        <v>10035</v>
      </c>
      <c r="E7525" s="0" t="inlineStr">
        <is>
          <t xml:space="preserve">Mazda</t>
        </is>
      </c>
      <c r="F7525" s="0" t="s">
        <v>13</v>
      </c>
      <c r="G7525" s="0" t="s">
        <v>49</v>
      </c>
      <c r="H7525" s="5">
        <v>517.940100</v>
      </c>
    </row>
    <row r="7526" spans="1:9">
      <c r="A7526" s="22" t="str">
        <f>HYPERLINK("https://app.vivvix.com/360/KMI/IntelliDrive/ApplUI/Pages/CreativePages/CustomReportCreativeDetail.aspx?App=23&amp;ReportView=4&amp;Qid=1711279&amp;Row=7518&amp;Col=1","No Title Assigned - #15270433229")</f>
        <v/>
      </c>
      <c r="B7526" s="0" t="s">
        <v>10036</v>
      </c>
      <c r="C7526" s="0" t="s">
        <v>10004</v>
      </c>
      <c r="D7526" s="0" t="s">
        <v>10004</v>
      </c>
      <c r="E7526" s="0" t="inlineStr">
        <is>
          <t xml:space="preserve">Mazda</t>
        </is>
      </c>
      <c r="F7526" s="0" t="s">
        <v>13</v>
      </c>
      <c r="G7526" s="0" t="s">
        <v>49</v>
      </c>
      <c r="H7526" s="5">
        <v>3252.961500</v>
      </c>
    </row>
    <row r="7527" spans="1:9">
      <c r="A7527" s="22" t="str">
        <f>HYPERLINK("https://app.vivvix.com/360/KMI/IntelliDrive/ApplUI/Pages/CreativePages/CustomReportCreativeDetail.aspx?App=23&amp;ReportView=4&amp;Qid=1711279&amp;Row=7519&amp;Col=1","No Title Assigned - #15270433229")</f>
        <v/>
      </c>
      <c r="B7527" s="0" t="s">
        <v>10036</v>
      </c>
      <c r="E7527" s="0" t="inlineStr">
        <is>
          <t xml:space="preserve">Mazda</t>
        </is>
      </c>
      <c r="F7527" s="0" t="s">
        <v>13</v>
      </c>
      <c r="G7527" s="0" t="s">
        <v>49</v>
      </c>
      <c r="H7527" s="5">
        <v>144.745600</v>
      </c>
    </row>
    <row r="7528" spans="1:9">
      <c r="A7528" s="22" t="str">
        <f>HYPERLINK("https://app.vivvix.com/360/KMI/IntelliDrive/ApplUI/Pages/CreativePages/CustomReportCreativeDetail.aspx?App=23&amp;ReportView=4&amp;Qid=1711279&amp;Row=7520&amp;Col=1","No Title Assigned - #15270434060")</f>
        <v/>
      </c>
      <c r="B7528" s="0" t="s">
        <v>10037</v>
      </c>
      <c r="C7528" s="0" t="s">
        <v>10038</v>
      </c>
      <c r="D7528" s="0" t="s">
        <v>10038</v>
      </c>
      <c r="E7528" s="0" t="inlineStr">
        <is>
          <t xml:space="preserve">Mazda</t>
        </is>
      </c>
      <c r="F7528" s="0" t="s">
        <v>28</v>
      </c>
      <c r="G7528" s="0" t="s">
        <v>29</v>
      </c>
      <c r="H7528" s="5">
        <v>785.350400</v>
      </c>
    </row>
    <row r="7529" spans="1:9">
      <c r="A7529" s="22" t="str">
        <f>HYPERLINK("https://app.vivvix.com/360/KMI/IntelliDrive/ApplUI/Pages/CreativePages/CustomReportCreativeDetail.aspx?App=23&amp;ReportView=4&amp;Qid=1711279&amp;Row=7521&amp;Col=1","No Title Assigned - #15270434374")</f>
        <v/>
      </c>
      <c r="B7529" s="0" t="s">
        <v>10039</v>
      </c>
      <c r="C7529" s="0" t="s">
        <v>10040</v>
      </c>
      <c r="D7529" s="0" t="s">
        <v>10040</v>
      </c>
      <c r="E7529" s="0" t="inlineStr">
        <is>
          <t xml:space="preserve">Mazda</t>
        </is>
      </c>
      <c r="F7529" s="0" t="s">
        <v>28</v>
      </c>
      <c r="G7529" s="0" t="s">
        <v>29</v>
      </c>
      <c r="H7529" s="5">
        <v>97.541900</v>
      </c>
    </row>
    <row r="7530" spans="1:9">
      <c r="A7530" s="22" t="str">
        <f>HYPERLINK("https://app.vivvix.com/360/KMI/IntelliDrive/ApplUI/Pages/CreativePages/CustomReportCreativeDetail.aspx?App=23&amp;ReportView=4&amp;Qid=1711279&amp;Row=7522&amp;Col=1","No Title Assigned - #15270434390")</f>
        <v/>
      </c>
      <c r="B7530" s="0" t="s">
        <v>10041</v>
      </c>
      <c r="C7530" s="0" t="s">
        <v>10042</v>
      </c>
      <c r="D7530" s="0" t="s">
        <v>10042</v>
      </c>
      <c r="E7530" s="0" t="inlineStr">
        <is>
          <t xml:space="preserve">Mazda</t>
        </is>
      </c>
      <c r="F7530" s="0" t="s">
        <v>13</v>
      </c>
      <c r="G7530" s="0" t="s">
        <v>49</v>
      </c>
      <c r="H7530" s="5">
        <v>8656.547500</v>
      </c>
    </row>
    <row r="7531" spans="1:9">
      <c r="A7531" s="22" t="str">
        <f>HYPERLINK("https://app.vivvix.com/360/KMI/IntelliDrive/ApplUI/Pages/CreativePages/CustomReportCreativeDetail.aspx?App=23&amp;ReportView=4&amp;Qid=1711279&amp;Row=7523&amp;Col=1","No Title Assigned - #15270434390")</f>
        <v/>
      </c>
      <c r="B7531" s="0" t="s">
        <v>10041</v>
      </c>
      <c r="E7531" s="0" t="inlineStr">
        <is>
          <t xml:space="preserve">Mazda</t>
        </is>
      </c>
      <c r="F7531" s="0" t="s">
        <v>13</v>
      </c>
      <c r="G7531" s="0" t="s">
        <v>49</v>
      </c>
      <c r="H7531" s="5">
        <v>9609.172900</v>
      </c>
    </row>
    <row r="7532" spans="1:9">
      <c r="A7532" s="22" t="str">
        <f>HYPERLINK("https://app.vivvix.com/360/KMI/IntelliDrive/ApplUI/Pages/CreativePages/CustomReportCreativeDetail.aspx?App=23&amp;ReportView=4&amp;Qid=1711279&amp;Row=7524&amp;Col=1","No Title Assigned - #15270434622")</f>
        <v/>
      </c>
      <c r="B7532" s="0" t="s">
        <v>10043</v>
      </c>
      <c r="E7532" s="0" t="inlineStr">
        <is>
          <t xml:space="preserve">Mazda</t>
        </is>
      </c>
      <c r="F7532" s="0" t="s">
        <v>28</v>
      </c>
      <c r="G7532" s="0" t="s">
        <v>29</v>
      </c>
      <c r="H7532" s="5">
        <v>90.725800</v>
      </c>
    </row>
    <row r="7533" spans="1:9">
      <c r="A7533" s="22" t="str">
        <f>HYPERLINK("https://app.vivvix.com/360/KMI/IntelliDrive/ApplUI/Pages/CreativePages/CustomReportCreativeDetail.aspx?App=23&amp;ReportView=4&amp;Qid=1711279&amp;Row=7525&amp;Col=1","No Title Assigned - #15270434622")</f>
        <v/>
      </c>
      <c r="B7533" s="0" t="s">
        <v>10043</v>
      </c>
      <c r="C7533" s="0" t="s">
        <v>10044</v>
      </c>
      <c r="D7533" s="0" t="s">
        <v>10044</v>
      </c>
      <c r="E7533" s="0" t="inlineStr">
        <is>
          <t xml:space="preserve">Mazda</t>
        </is>
      </c>
      <c r="F7533" s="0" t="s">
        <v>28</v>
      </c>
      <c r="G7533" s="0" t="s">
        <v>29</v>
      </c>
      <c r="H7533" s="5">
        <v>189.971600</v>
      </c>
    </row>
    <row r="7534" spans="1:9">
      <c r="A7534" s="22" t="str">
        <f>HYPERLINK("https://app.vivvix.com/360/KMI/IntelliDrive/ApplUI/Pages/CreativePages/CustomReportCreativeDetail.aspx?App=23&amp;ReportView=4&amp;Qid=1711279&amp;Row=7526&amp;Col=1","No Title Assigned - #15270434671")</f>
        <v/>
      </c>
      <c r="B7534" s="0" t="s">
        <v>10045</v>
      </c>
      <c r="C7534" s="0" t="s">
        <v>10046</v>
      </c>
      <c r="D7534" s="0" t="s">
        <v>10046</v>
      </c>
      <c r="E7534" s="0" t="inlineStr">
        <is>
          <t xml:space="preserve">Mazda</t>
        </is>
      </c>
      <c r="F7534" s="0" t="s">
        <v>13</v>
      </c>
      <c r="G7534" s="0" t="s">
        <v>49</v>
      </c>
      <c r="H7534" s="5">
        <v>83.636500</v>
      </c>
    </row>
    <row r="7535" spans="1:9">
      <c r="A7535" s="22" t="str">
        <f>HYPERLINK("https://app.vivvix.com/360/KMI/IntelliDrive/ApplUI/Pages/CreativePages/CustomReportCreativeDetail.aspx?App=23&amp;ReportView=4&amp;Qid=1711279&amp;Row=7527&amp;Col=1","No Title Assigned - #15270435479")</f>
        <v/>
      </c>
      <c r="B7535" s="0" t="s">
        <v>10047</v>
      </c>
      <c r="C7535" s="0" t="s">
        <v>10048</v>
      </c>
      <c r="D7535" s="0" t="s">
        <v>10008</v>
      </c>
      <c r="E7535" s="0" t="inlineStr">
        <is>
          <t xml:space="preserve">Mazda</t>
        </is>
      </c>
      <c r="F7535" s="0" t="s">
        <v>13</v>
      </c>
      <c r="G7535" s="0" t="s">
        <v>49</v>
      </c>
      <c r="H7535" s="5">
        <v>73.591800</v>
      </c>
    </row>
    <row r="7536" spans="1:9">
      <c r="A7536" s="22" t="str">
        <f>HYPERLINK("https://app.vivvix.com/360/KMI/IntelliDrive/ApplUI/Pages/CreativePages/CustomReportCreativeDetail.aspx?App=23&amp;ReportView=4&amp;Qid=1711279&amp;Row=7528&amp;Col=1","No Title Assigned - #15270435615")</f>
        <v/>
      </c>
      <c r="B7536" s="0" t="s">
        <v>10049</v>
      </c>
      <c r="C7536" s="0" t="s">
        <v>10050</v>
      </c>
      <c r="D7536" s="0" t="s">
        <v>8882</v>
      </c>
      <c r="E7536" s="0" t="inlineStr">
        <is>
          <t xml:space="preserve">Mazda</t>
        </is>
      </c>
      <c r="F7536" s="0" t="s">
        <v>13</v>
      </c>
      <c r="G7536" s="0" t="s">
        <v>49</v>
      </c>
      <c r="H7536" s="5">
        <v>289.992500</v>
      </c>
    </row>
    <row r="7537" spans="1:9">
      <c r="A7537" s="22" t="str">
        <f>HYPERLINK("https://app.vivvix.com/360/KMI/IntelliDrive/ApplUI/Pages/CreativePages/CustomReportCreativeDetail.aspx?App=23&amp;ReportView=4&amp;Qid=1711279&amp;Row=7529&amp;Col=1","No Title Assigned - #15270435689")</f>
        <v/>
      </c>
      <c r="B7537" s="0" t="s">
        <v>10051</v>
      </c>
      <c r="C7537" s="0" t="s">
        <v>10052</v>
      </c>
      <c r="D7537" s="0" t="s">
        <v>8492</v>
      </c>
      <c r="E7537" s="0" t="inlineStr">
        <is>
          <t xml:space="preserve">Mazda</t>
        </is>
      </c>
      <c r="F7537" s="0" t="s">
        <v>13</v>
      </c>
      <c r="G7537" s="0" t="s">
        <v>49</v>
      </c>
      <c r="H7537" s="5">
        <v>693.657000</v>
      </c>
    </row>
    <row r="7538" spans="1:9">
      <c r="A7538" s="22" t="str">
        <f>HYPERLINK("https://app.vivvix.com/360/KMI/IntelliDrive/ApplUI/Pages/CreativePages/CustomReportCreativeDetail.aspx?App=23&amp;ReportView=4&amp;Qid=1711279&amp;Row=7530&amp;Col=1","No Title Assigned - #15270435778")</f>
        <v/>
      </c>
      <c r="B7538" s="0" t="s">
        <v>10053</v>
      </c>
      <c r="E7538" s="0" t="inlineStr">
        <is>
          <t xml:space="preserve">Mazda</t>
        </is>
      </c>
      <c r="F7538" s="0" t="inlineStr">
        <is>
          <t xml:space="preserve">Mazda</t>
        </is>
      </c>
      <c r="G7538" s="0" t="s">
        <v>171</v>
      </c>
      <c r="H7538" s="5">
        <v>78.640500</v>
      </c>
    </row>
    <row r="7539" spans="1:9">
      <c r="A7539" s="22" t="str">
        <f>HYPERLINK("https://app.vivvix.com/360/KMI/IntelliDrive/ApplUI/Pages/CreativePages/CustomReportCreativeDetail.aspx?App=23&amp;ReportView=4&amp;Qid=1711279&amp;Row=7531&amp;Col=1","No Title Assigned - #15270435798")</f>
        <v/>
      </c>
      <c r="B7539" s="0" t="s">
        <v>10054</v>
      </c>
      <c r="C7539" s="0" t="s">
        <v>10055</v>
      </c>
      <c r="D7539" s="0" t="s">
        <v>10055</v>
      </c>
      <c r="E7539" s="0" t="inlineStr">
        <is>
          <t xml:space="preserve">Mazda</t>
        </is>
      </c>
      <c r="F7539" s="0" t="s">
        <v>13</v>
      </c>
      <c r="G7539" s="0" t="s">
        <v>49</v>
      </c>
      <c r="H7539" s="5">
        <v>28381.755900</v>
      </c>
    </row>
    <row r="7540" spans="1:9">
      <c r="A7540" s="22" t="str">
        <f>HYPERLINK("https://app.vivvix.com/360/KMI/IntelliDrive/ApplUI/Pages/CreativePages/CustomReportCreativeDetail.aspx?App=23&amp;ReportView=4&amp;Qid=1711279&amp;Row=7532&amp;Col=1","No Title Assigned - #15270435865")</f>
        <v/>
      </c>
      <c r="B7540" s="0" t="s">
        <v>10056</v>
      </c>
      <c r="C7540" s="0" t="s">
        <v>10057</v>
      </c>
      <c r="D7540" s="0" t="s">
        <v>4450</v>
      </c>
      <c r="E7540" s="0" t="inlineStr">
        <is>
          <t xml:space="preserve">Mazda</t>
        </is>
      </c>
      <c r="F7540" s="0" t="s">
        <v>28</v>
      </c>
      <c r="G7540" s="0" t="s">
        <v>29</v>
      </c>
      <c r="H7540" s="5">
        <v>45.752900</v>
      </c>
    </row>
    <row r="7541" spans="1:9">
      <c r="A7541" s="22" t="str">
        <f>HYPERLINK("https://app.vivvix.com/360/KMI/IntelliDrive/ApplUI/Pages/CreativePages/CustomReportCreativeDetail.aspx?App=23&amp;ReportView=4&amp;Qid=1711279&amp;Row=7533&amp;Col=1","No Title Assigned - #15270436102")</f>
        <v/>
      </c>
      <c r="B7541" s="0" t="s">
        <v>10058</v>
      </c>
      <c r="C7541" s="0" t="s">
        <v>10059</v>
      </c>
      <c r="D7541" s="0" t="s">
        <v>10059</v>
      </c>
      <c r="E7541" s="0" t="inlineStr">
        <is>
          <t xml:space="preserve">Mazda</t>
        </is>
      </c>
      <c r="F7541" s="0" t="s">
        <v>13</v>
      </c>
      <c r="G7541" s="0" t="s">
        <v>49</v>
      </c>
      <c r="H7541" s="5">
        <v>70267.530200</v>
      </c>
    </row>
    <row r="7542" spans="1:9">
      <c r="A7542" s="22" t="str">
        <f>HYPERLINK("https://app.vivvix.com/360/KMI/IntelliDrive/ApplUI/Pages/CreativePages/CustomReportCreativeDetail.aspx?App=23&amp;ReportView=4&amp;Qid=1711279&amp;Row=7534&amp;Col=1","No Title Assigned - #15270436102")</f>
        <v/>
      </c>
      <c r="B7542" s="0" t="s">
        <v>10058</v>
      </c>
      <c r="E7542" s="0" t="inlineStr">
        <is>
          <t xml:space="preserve">Mazda</t>
        </is>
      </c>
      <c r="F7542" s="0" t="s">
        <v>13</v>
      </c>
      <c r="G7542" s="0" t="s">
        <v>49</v>
      </c>
      <c r="H7542" s="5">
        <v>4837.631800</v>
      </c>
    </row>
    <row r="7543" spans="1:9">
      <c r="A7543" s="22" t="str">
        <f>HYPERLINK("https://app.vivvix.com/360/KMI/IntelliDrive/ApplUI/Pages/CreativePages/CustomReportCreativeDetail.aspx?App=23&amp;ReportView=4&amp;Qid=1711279&amp;Row=7535&amp;Col=1","No Title Assigned - #15270436133")</f>
        <v/>
      </c>
      <c r="B7543" s="0" t="s">
        <v>10060</v>
      </c>
      <c r="C7543" s="0" t="s">
        <v>10061</v>
      </c>
      <c r="D7543" s="0" t="s">
        <v>7472</v>
      </c>
      <c r="E7543" s="0" t="inlineStr">
        <is>
          <t xml:space="preserve">Mazda</t>
        </is>
      </c>
      <c r="F7543" s="0" t="s">
        <v>28</v>
      </c>
      <c r="G7543" s="0" t="s">
        <v>29</v>
      </c>
      <c r="H7543" s="5">
        <v>36.675500</v>
      </c>
    </row>
    <row r="7544" spans="1:9">
      <c r="A7544" s="22" t="str">
        <f>HYPERLINK("https://app.vivvix.com/360/KMI/IntelliDrive/ApplUI/Pages/CreativePages/CustomReportCreativeDetail.aspx?App=23&amp;ReportView=4&amp;Qid=1711279&amp;Row=7536&amp;Col=1","No Title Assigned - #15270436134")</f>
        <v/>
      </c>
      <c r="B7544" s="0" t="s">
        <v>10062</v>
      </c>
      <c r="C7544" s="0" t="s">
        <v>10063</v>
      </c>
      <c r="D7544" s="0" t="s">
        <v>10063</v>
      </c>
      <c r="E7544" s="0" t="inlineStr">
        <is>
          <t xml:space="preserve">Mazda</t>
        </is>
      </c>
      <c r="F7544" s="0" t="s">
        <v>28</v>
      </c>
      <c r="G7544" s="0" t="s">
        <v>29</v>
      </c>
      <c r="H7544" s="5">
        <v>36.675500</v>
      </c>
    </row>
    <row r="7545" spans="1:9">
      <c r="A7545" s="22" t="str">
        <f>HYPERLINK("https://app.vivvix.com/360/KMI/IntelliDrive/ApplUI/Pages/CreativePages/CustomReportCreativeDetail.aspx?App=23&amp;ReportView=4&amp;Qid=1711279&amp;Row=7537&amp;Col=1","No Title Assigned - #15270436534")</f>
        <v/>
      </c>
      <c r="B7545" s="0" t="s">
        <v>10064</v>
      </c>
      <c r="C7545" s="0" t="s">
        <v>10065</v>
      </c>
      <c r="D7545" s="0" t="s">
        <v>6238</v>
      </c>
      <c r="E7545" s="0" t="inlineStr">
        <is>
          <t xml:space="preserve">Mazda</t>
        </is>
      </c>
      <c r="F7545" s="0" t="s">
        <v>13</v>
      </c>
      <c r="G7545" s="0" t="s">
        <v>49</v>
      </c>
      <c r="H7545" s="5">
        <v>87.971100</v>
      </c>
    </row>
    <row r="7546" spans="1:9">
      <c r="A7546" s="22" t="str">
        <f>HYPERLINK("https://app.vivvix.com/360/KMI/IntelliDrive/ApplUI/Pages/CreativePages/CustomReportCreativeDetail.aspx?App=23&amp;ReportView=4&amp;Qid=1711279&amp;Row=7538&amp;Col=1","No Title Assigned - #15270436761")</f>
        <v/>
      </c>
      <c r="B7546" s="0" t="s">
        <v>10066</v>
      </c>
      <c r="C7546" s="0" t="s">
        <v>10067</v>
      </c>
      <c r="D7546" s="0" t="s">
        <v>10067</v>
      </c>
      <c r="E7546" s="0" t="inlineStr">
        <is>
          <t xml:space="preserve">Mazda</t>
        </is>
      </c>
      <c r="F7546" s="0" t="s">
        <v>13</v>
      </c>
      <c r="G7546" s="0" t="s">
        <v>49</v>
      </c>
      <c r="H7546" s="5">
        <v>7228.361300</v>
      </c>
    </row>
    <row r="7547" spans="1:9">
      <c r="A7547" s="22" t="str">
        <f>HYPERLINK("https://app.vivvix.com/360/KMI/IntelliDrive/ApplUI/Pages/CreativePages/CustomReportCreativeDetail.aspx?App=23&amp;ReportView=4&amp;Qid=1711279&amp;Row=7539&amp;Col=1","No Title Assigned - #15270436817")</f>
        <v/>
      </c>
      <c r="B7547" s="0" t="s">
        <v>10068</v>
      </c>
      <c r="C7547" s="0" t="s">
        <v>10069</v>
      </c>
      <c r="D7547" s="0" t="s">
        <v>10069</v>
      </c>
      <c r="E7547" s="0" t="inlineStr">
        <is>
          <t xml:space="preserve">Mazda</t>
        </is>
      </c>
      <c r="F7547" s="0" t="s">
        <v>13</v>
      </c>
      <c r="G7547" s="0" t="s">
        <v>49</v>
      </c>
      <c r="H7547" s="5">
        <v>96.327900</v>
      </c>
    </row>
    <row r="7548" spans="1:9">
      <c r="A7548" s="22" t="str">
        <f>HYPERLINK("https://app.vivvix.com/360/KMI/IntelliDrive/ApplUI/Pages/CreativePages/CustomReportCreativeDetail.aspx?App=23&amp;ReportView=4&amp;Qid=1711279&amp;Row=7540&amp;Col=1","No Title Assigned - #15270437118")</f>
        <v/>
      </c>
      <c r="B7548" s="0" t="s">
        <v>10070</v>
      </c>
      <c r="C7548" s="0" t="s">
        <v>10071</v>
      </c>
      <c r="D7548" s="0" t="s">
        <v>10071</v>
      </c>
      <c r="E7548" s="0" t="inlineStr">
        <is>
          <t xml:space="preserve">Mazda</t>
        </is>
      </c>
      <c r="F7548" s="0" t="s">
        <v>13</v>
      </c>
      <c r="G7548" s="0" t="s">
        <v>49</v>
      </c>
      <c r="H7548" s="5">
        <v>1867.397600</v>
      </c>
    </row>
    <row r="7549" spans="1:9">
      <c r="A7549" s="22" t="str">
        <f>HYPERLINK("https://app.vivvix.com/360/KMI/IntelliDrive/ApplUI/Pages/CreativePages/CustomReportCreativeDetail.aspx?App=23&amp;ReportView=4&amp;Qid=1711279&amp;Row=7541&amp;Col=1","No Title Assigned - #15270437571")</f>
        <v/>
      </c>
      <c r="B7549" s="0" t="s">
        <v>10072</v>
      </c>
      <c r="C7549" s="0" t="s">
        <v>10073</v>
      </c>
      <c r="D7549" s="0" t="s">
        <v>10073</v>
      </c>
      <c r="E7549" s="0" t="inlineStr">
        <is>
          <t xml:space="preserve">Mazda</t>
        </is>
      </c>
      <c r="F7549" s="0" t="s">
        <v>13</v>
      </c>
      <c r="G7549" s="0" t="s">
        <v>49</v>
      </c>
      <c r="H7549" s="5">
        <v>420.119700</v>
      </c>
    </row>
    <row r="7550" spans="1:9">
      <c r="A7550" s="22" t="str">
        <f>HYPERLINK("https://app.vivvix.com/360/KMI/IntelliDrive/ApplUI/Pages/CreativePages/CustomReportCreativeDetail.aspx?App=23&amp;ReportView=4&amp;Qid=1711279&amp;Row=7542&amp;Col=1","No Title Assigned - #15270438046")</f>
        <v/>
      </c>
      <c r="B7550" s="0" t="s">
        <v>10074</v>
      </c>
      <c r="C7550" s="0" t="s">
        <v>10075</v>
      </c>
      <c r="D7550" s="0" t="s">
        <v>4407</v>
      </c>
      <c r="E7550" s="0" t="inlineStr">
        <is>
          <t xml:space="preserve">Mazda</t>
        </is>
      </c>
      <c r="F7550" s="0" t="s">
        <v>28</v>
      </c>
      <c r="G7550" s="0" t="s">
        <v>29</v>
      </c>
      <c r="H7550" s="5">
        <v>8.710900</v>
      </c>
    </row>
    <row r="7551" spans="1:9">
      <c r="A7551" s="22" t="str">
        <f>HYPERLINK("https://app.vivvix.com/360/KMI/IntelliDrive/ApplUI/Pages/CreativePages/CustomReportCreativeDetail.aspx?App=23&amp;ReportView=4&amp;Qid=1711279&amp;Row=7543&amp;Col=1","No Title Assigned - #15270438105")</f>
        <v/>
      </c>
      <c r="B7551" s="0" t="s">
        <v>10076</v>
      </c>
      <c r="C7551" s="0" t="s">
        <v>10077</v>
      </c>
      <c r="D7551" s="0" t="s">
        <v>10077</v>
      </c>
      <c r="E7551" s="0" t="inlineStr">
        <is>
          <t xml:space="preserve">Mazda</t>
        </is>
      </c>
      <c r="F7551" s="0" t="s">
        <v>13</v>
      </c>
      <c r="G7551" s="0" t="s">
        <v>49</v>
      </c>
      <c r="H7551" s="5">
        <v>41.174100</v>
      </c>
    </row>
    <row r="7552" spans="1:9">
      <c r="A7552" s="22" t="str">
        <f>HYPERLINK("https://app.vivvix.com/360/KMI/IntelliDrive/ApplUI/Pages/CreativePages/CustomReportCreativeDetail.aspx?App=23&amp;ReportView=4&amp;Qid=1711279&amp;Row=7544&amp;Col=1","No Title Assigned - #15270438153")</f>
        <v/>
      </c>
      <c r="B7552" s="0" t="s">
        <v>10078</v>
      </c>
      <c r="C7552" s="0" t="s">
        <v>10079</v>
      </c>
      <c r="D7552" s="0" t="s">
        <v>10079</v>
      </c>
      <c r="E7552" s="0" t="inlineStr">
        <is>
          <t xml:space="preserve">Mazda</t>
        </is>
      </c>
      <c r="F7552" s="0" t="s">
        <v>13</v>
      </c>
      <c r="G7552" s="0" t="s">
        <v>49</v>
      </c>
      <c r="H7552" s="5">
        <v>3285.205500</v>
      </c>
    </row>
    <row r="7553" spans="1:9">
      <c r="A7553" s="22" t="str">
        <f>HYPERLINK("https://app.vivvix.com/360/KMI/IntelliDrive/ApplUI/Pages/CreativePages/CustomReportCreativeDetail.aspx?App=23&amp;ReportView=4&amp;Qid=1711279&amp;Row=7545&amp;Col=1","No Title Assigned - #15270438153")</f>
        <v/>
      </c>
      <c r="B7553" s="0" t="s">
        <v>10078</v>
      </c>
      <c r="E7553" s="0" t="inlineStr">
        <is>
          <t xml:space="preserve">Mazda</t>
        </is>
      </c>
      <c r="F7553" s="0" t="s">
        <v>13</v>
      </c>
      <c r="G7553" s="0" t="s">
        <v>49</v>
      </c>
      <c r="H7553" s="5">
        <v>1626.469300</v>
      </c>
    </row>
    <row r="7554" spans="1:9">
      <c r="A7554" s="22" t="str">
        <f>HYPERLINK("https://app.vivvix.com/360/KMI/IntelliDrive/ApplUI/Pages/CreativePages/CustomReportCreativeDetail.aspx?App=23&amp;ReportView=4&amp;Qid=1711279&amp;Row=7546&amp;Col=1","No Title Assigned - #15270438179")</f>
        <v/>
      </c>
      <c r="B7554" s="0" t="s">
        <v>10080</v>
      </c>
      <c r="C7554" s="0" t="s">
        <v>10081</v>
      </c>
      <c r="D7554" s="0" t="s">
        <v>10081</v>
      </c>
      <c r="E7554" s="0" t="inlineStr">
        <is>
          <t xml:space="preserve">Mazda</t>
        </is>
      </c>
      <c r="F7554" s="0" t="s">
        <v>28</v>
      </c>
      <c r="G7554" s="0" t="s">
        <v>29</v>
      </c>
      <c r="H7554" s="5">
        <v>90.927800</v>
      </c>
    </row>
    <row r="7555" spans="1:9">
      <c r="A7555" s="22" t="str">
        <f>HYPERLINK("https://app.vivvix.com/360/KMI/IntelliDrive/ApplUI/Pages/CreativePages/CustomReportCreativeDetail.aspx?App=23&amp;ReportView=4&amp;Qid=1711279&amp;Row=7547&amp;Col=1","No Title Assigned - #15270438351")</f>
        <v/>
      </c>
      <c r="B7555" s="0" t="s">
        <v>10082</v>
      </c>
      <c r="C7555" s="0" t="s">
        <v>10083</v>
      </c>
      <c r="D7555" s="0" t="s">
        <v>8894</v>
      </c>
      <c r="E7555" s="0" t="inlineStr">
        <is>
          <t xml:space="preserve">Mazda</t>
        </is>
      </c>
      <c r="F7555" s="0" t="s">
        <v>13</v>
      </c>
      <c r="G7555" s="0" t="s">
        <v>49</v>
      </c>
      <c r="H7555" s="5">
        <v>508.301700</v>
      </c>
    </row>
    <row r="7556" spans="1:9">
      <c r="A7556" s="22" t="str">
        <f>HYPERLINK("https://app.vivvix.com/360/KMI/IntelliDrive/ApplUI/Pages/CreativePages/CustomReportCreativeDetail.aspx?App=23&amp;ReportView=4&amp;Qid=1711279&amp;Row=7548&amp;Col=1","No Title Assigned - #15270438380")</f>
        <v/>
      </c>
      <c r="B7556" s="0" t="s">
        <v>10084</v>
      </c>
      <c r="C7556" s="0" t="s">
        <v>10085</v>
      </c>
      <c r="D7556" s="0" t="s">
        <v>6180</v>
      </c>
      <c r="E7556" s="0" t="inlineStr">
        <is>
          <t xml:space="preserve">Mazda</t>
        </is>
      </c>
      <c r="F7556" s="0" t="s">
        <v>13</v>
      </c>
      <c r="G7556" s="0" t="s">
        <v>49</v>
      </c>
      <c r="H7556" s="5">
        <v>106.521000</v>
      </c>
    </row>
    <row r="7557" spans="1:9">
      <c r="A7557" s="22" t="str">
        <f>HYPERLINK("https://app.vivvix.com/360/KMI/IntelliDrive/ApplUI/Pages/CreativePages/CustomReportCreativeDetail.aspx?App=23&amp;ReportView=4&amp;Qid=1711279&amp;Row=7549&amp;Col=1","No Title Assigned - #15270438436")</f>
        <v/>
      </c>
      <c r="B7557" s="0" t="s">
        <v>10086</v>
      </c>
      <c r="C7557" s="0" t="s">
        <v>10087</v>
      </c>
      <c r="D7557" s="0" t="s">
        <v>4768</v>
      </c>
      <c r="E7557" s="0" t="inlineStr">
        <is>
          <t xml:space="preserve">Mazda</t>
        </is>
      </c>
      <c r="F7557" s="0" t="s">
        <v>13</v>
      </c>
      <c r="G7557" s="0" t="s">
        <v>49</v>
      </c>
      <c r="H7557" s="5">
        <v>305.110700</v>
      </c>
    </row>
    <row r="7558" spans="1:9">
      <c r="A7558" s="22" t="str">
        <f>HYPERLINK("https://app.vivvix.com/360/KMI/IntelliDrive/ApplUI/Pages/CreativePages/CustomReportCreativeDetail.aspx?App=23&amp;ReportView=4&amp;Qid=1711279&amp;Row=7550&amp;Col=1","No Title Assigned - #15270438438")</f>
        <v/>
      </c>
      <c r="B7558" s="0" t="s">
        <v>10088</v>
      </c>
      <c r="C7558" s="0" t="s">
        <v>10089</v>
      </c>
      <c r="D7558" s="0" t="s">
        <v>10089</v>
      </c>
      <c r="E7558" s="0" t="inlineStr">
        <is>
          <t xml:space="preserve">Mazda</t>
        </is>
      </c>
      <c r="F7558" s="0" t="s">
        <v>13</v>
      </c>
      <c r="G7558" s="0" t="s">
        <v>49</v>
      </c>
      <c r="H7558" s="5">
        <v>211.329800</v>
      </c>
    </row>
    <row r="7559" spans="1:9">
      <c r="A7559" s="22" t="str">
        <f>HYPERLINK("https://app.vivvix.com/360/KMI/IntelliDrive/ApplUI/Pages/CreativePages/CustomReportCreativeDetail.aspx?App=23&amp;ReportView=4&amp;Qid=1711279&amp;Row=7551&amp;Col=1","No Title Assigned - #15270438543")</f>
        <v/>
      </c>
      <c r="B7559" s="0" t="s">
        <v>10090</v>
      </c>
      <c r="C7559" s="0" t="s">
        <v>10091</v>
      </c>
      <c r="D7559" s="0" t="s">
        <v>4200</v>
      </c>
      <c r="E7559" s="0" t="inlineStr">
        <is>
          <t xml:space="preserve">Mazda</t>
        </is>
      </c>
      <c r="F7559" s="0" t="s">
        <v>28</v>
      </c>
      <c r="G7559" s="0" t="s">
        <v>29</v>
      </c>
      <c r="H7559" s="5">
        <v>119.035700</v>
      </c>
    </row>
    <row r="7560" spans="1:9">
      <c r="A7560" s="22" t="str">
        <f>HYPERLINK("https://app.vivvix.com/360/KMI/IntelliDrive/ApplUI/Pages/CreativePages/CustomReportCreativeDetail.aspx?App=23&amp;ReportView=4&amp;Qid=1711279&amp;Row=7552&amp;Col=1","No Title Assigned - #15270438543")</f>
        <v/>
      </c>
      <c r="B7560" s="0" t="s">
        <v>10090</v>
      </c>
      <c r="E7560" s="0" t="inlineStr">
        <is>
          <t xml:space="preserve">Mazda</t>
        </is>
      </c>
      <c r="F7560" s="0" t="s">
        <v>28</v>
      </c>
      <c r="G7560" s="0" t="s">
        <v>29</v>
      </c>
      <c r="H7560" s="5">
        <v>138.408400</v>
      </c>
    </row>
    <row r="7561" spans="1:9">
      <c r="A7561" s="22" t="str">
        <f>HYPERLINK("https://app.vivvix.com/360/KMI/IntelliDrive/ApplUI/Pages/CreativePages/CustomReportCreativeDetail.aspx?App=23&amp;ReportView=4&amp;Qid=1711279&amp;Row=7553&amp;Col=1","No Title Assigned - #15270438768")</f>
        <v/>
      </c>
      <c r="B7561" s="0" t="s">
        <v>10092</v>
      </c>
      <c r="C7561" s="0" t="s">
        <v>10093</v>
      </c>
      <c r="D7561" s="0" t="s">
        <v>10093</v>
      </c>
      <c r="E7561" s="0" t="inlineStr">
        <is>
          <t xml:space="preserve">Mazda</t>
        </is>
      </c>
      <c r="F7561" s="0" t="s">
        <v>13</v>
      </c>
      <c r="G7561" s="0" t="s">
        <v>49</v>
      </c>
      <c r="H7561" s="5">
        <v>1356.428100</v>
      </c>
    </row>
    <row r="7562" spans="1:9">
      <c r="A7562" s="22" t="str">
        <f>HYPERLINK("https://app.vivvix.com/360/KMI/IntelliDrive/ApplUI/Pages/CreativePages/CustomReportCreativeDetail.aspx?App=23&amp;ReportView=4&amp;Qid=1711279&amp;Row=7554&amp;Col=1","No Title Assigned - #15270438872")</f>
        <v/>
      </c>
      <c r="B7562" s="0" t="s">
        <v>10094</v>
      </c>
      <c r="C7562" s="0" t="s">
        <v>10095</v>
      </c>
      <c r="D7562" s="0" t="s">
        <v>10095</v>
      </c>
      <c r="E7562" s="0" t="inlineStr">
        <is>
          <t xml:space="preserve">Mazda</t>
        </is>
      </c>
      <c r="F7562" s="0" t="s">
        <v>13</v>
      </c>
      <c r="G7562" s="0" t="s">
        <v>49</v>
      </c>
      <c r="H7562" s="5">
        <v>88539.246300</v>
      </c>
    </row>
    <row r="7563" spans="1:9">
      <c r="A7563" s="22" t="str">
        <f>HYPERLINK("https://app.vivvix.com/360/KMI/IntelliDrive/ApplUI/Pages/CreativePages/CustomReportCreativeDetail.aspx?App=23&amp;ReportView=4&amp;Qid=1711279&amp;Row=7555&amp;Col=1","No Title Assigned - #15270438872")</f>
        <v/>
      </c>
      <c r="B7563" s="0" t="s">
        <v>10094</v>
      </c>
      <c r="E7563" s="0" t="inlineStr">
        <is>
          <t xml:space="preserve">Mazda</t>
        </is>
      </c>
      <c r="F7563" s="0" t="s">
        <v>13</v>
      </c>
      <c r="G7563" s="0" t="s">
        <v>49</v>
      </c>
      <c r="H7563" s="5">
        <v>58012.312000</v>
      </c>
    </row>
    <row r="7564" spans="1:9">
      <c r="A7564" s="22" t="str">
        <f>HYPERLINK("https://app.vivvix.com/360/KMI/IntelliDrive/ApplUI/Pages/CreativePages/CustomReportCreativeDetail.aspx?App=23&amp;ReportView=4&amp;Qid=1711279&amp;Row=7556&amp;Col=1","No Title Assigned - #15270438992")</f>
        <v/>
      </c>
      <c r="B7564" s="0" t="s">
        <v>10096</v>
      </c>
      <c r="C7564" s="0" t="s">
        <v>10097</v>
      </c>
      <c r="D7564" s="0" t="s">
        <v>10097</v>
      </c>
      <c r="E7564" s="0" t="inlineStr">
        <is>
          <t xml:space="preserve">Mazda</t>
        </is>
      </c>
      <c r="F7564" s="0" t="s">
        <v>13</v>
      </c>
      <c r="G7564" s="0" t="s">
        <v>49</v>
      </c>
      <c r="H7564" s="5">
        <v>2902.643800</v>
      </c>
    </row>
    <row r="7565" spans="1:9">
      <c r="A7565" s="22" t="str">
        <f>HYPERLINK("https://app.vivvix.com/360/KMI/IntelliDrive/ApplUI/Pages/CreativePages/CustomReportCreativeDetail.aspx?App=23&amp;ReportView=4&amp;Qid=1711279&amp;Row=7557&amp;Col=1","No Title Assigned - #15270439036")</f>
        <v/>
      </c>
      <c r="B7565" s="0" t="s">
        <v>10098</v>
      </c>
      <c r="C7565" s="0" t="s">
        <v>10099</v>
      </c>
      <c r="D7565" s="0" t="s">
        <v>10099</v>
      </c>
      <c r="E7565" s="0" t="inlineStr">
        <is>
          <t xml:space="preserve">Mazda</t>
        </is>
      </c>
      <c r="F7565" s="0" t="s">
        <v>13</v>
      </c>
      <c r="G7565" s="0" t="s">
        <v>49</v>
      </c>
      <c r="H7565" s="5">
        <v>16.613300</v>
      </c>
    </row>
    <row r="7566" spans="1:9">
      <c r="A7566" s="22" t="str">
        <f>HYPERLINK("https://app.vivvix.com/360/KMI/IntelliDrive/ApplUI/Pages/CreativePages/CustomReportCreativeDetail.aspx?App=23&amp;ReportView=4&amp;Qid=1711279&amp;Row=7558&amp;Col=1","No Title Assigned - #15270439040")</f>
        <v/>
      </c>
      <c r="B7566" s="0" t="s">
        <v>10100</v>
      </c>
      <c r="C7566" s="0" t="s">
        <v>10101</v>
      </c>
      <c r="D7566" s="0" t="s">
        <v>10101</v>
      </c>
      <c r="E7566" s="0" t="inlineStr">
        <is>
          <t xml:space="preserve">Mazda</t>
        </is>
      </c>
      <c r="F7566" s="0" t="s">
        <v>13</v>
      </c>
      <c r="G7566" s="0" t="s">
        <v>49</v>
      </c>
      <c r="H7566" s="5">
        <v>145241.384700</v>
      </c>
    </row>
    <row r="7567" spans="1:9">
      <c r="A7567" s="22" t="str">
        <f>HYPERLINK("https://app.vivvix.com/360/KMI/IntelliDrive/ApplUI/Pages/CreativePages/CustomReportCreativeDetail.aspx?App=23&amp;ReportView=4&amp;Qid=1711279&amp;Row=7559&amp;Col=1","No Title Assigned - #15270439040")</f>
        <v/>
      </c>
      <c r="B7567" s="0" t="s">
        <v>10100</v>
      </c>
      <c r="E7567" s="0" t="inlineStr">
        <is>
          <t xml:space="preserve">Mazda</t>
        </is>
      </c>
      <c r="F7567" s="0" t="s">
        <v>13</v>
      </c>
      <c r="G7567" s="0" t="s">
        <v>49</v>
      </c>
      <c r="H7567" s="5">
        <v>28122.510300</v>
      </c>
    </row>
    <row r="7568" spans="1:9">
      <c r="A7568" s="22" t="str">
        <f>HYPERLINK("https://app.vivvix.com/360/KMI/IntelliDrive/ApplUI/Pages/CreativePages/CustomReportCreativeDetail.aspx?App=23&amp;ReportView=4&amp;Qid=1711279&amp;Row=7560&amp;Col=1","No Title Assigned - #15270439150")</f>
        <v/>
      </c>
      <c r="B7568" s="0" t="s">
        <v>10102</v>
      </c>
      <c r="E7568" s="0" t="inlineStr">
        <is>
          <t xml:space="preserve">Mazda</t>
        </is>
      </c>
      <c r="F7568" s="0" t="inlineStr">
        <is>
          <t xml:space="preserve">Mazda</t>
        </is>
      </c>
      <c r="G7568" s="0" t="s">
        <v>171</v>
      </c>
      <c r="H7568" s="5">
        <v>122.216000</v>
      </c>
    </row>
    <row r="7569" spans="1:9">
      <c r="A7569" s="22" t="str">
        <f>HYPERLINK("https://app.vivvix.com/360/KMI/IntelliDrive/ApplUI/Pages/CreativePages/CustomReportCreativeDetail.aspx?App=23&amp;ReportView=4&amp;Qid=1711279&amp;Row=7561&amp;Col=1","No Title Assigned - #15270439216")</f>
        <v/>
      </c>
      <c r="B7569" s="0" t="s">
        <v>10103</v>
      </c>
      <c r="E7569" s="0" t="inlineStr">
        <is>
          <t xml:space="preserve">Mazda</t>
        </is>
      </c>
      <c r="F7569" s="0" t="inlineStr">
        <is>
          <t xml:space="preserve">Mazda</t>
        </is>
      </c>
      <c r="G7569" s="0" t="s">
        <v>171</v>
      </c>
      <c r="H7569" s="5">
        <v>126.621000</v>
      </c>
    </row>
    <row r="7570" spans="1:9">
      <c r="A7570" s="22" t="str">
        <f>HYPERLINK("https://app.vivvix.com/360/KMI/IntelliDrive/ApplUI/Pages/CreativePages/CustomReportCreativeDetail.aspx?App=23&amp;ReportView=4&amp;Qid=1711279&amp;Row=7562&amp;Col=1","No Title Assigned - #15270439217")</f>
        <v/>
      </c>
      <c r="B7570" s="0" t="s">
        <v>10104</v>
      </c>
      <c r="E7570" s="0" t="inlineStr">
        <is>
          <t xml:space="preserve">Mazda</t>
        </is>
      </c>
      <c r="F7570" s="0" t="inlineStr">
        <is>
          <t xml:space="preserve">Mazda</t>
        </is>
      </c>
      <c r="G7570" s="0" t="s">
        <v>171</v>
      </c>
      <c r="H7570" s="5">
        <v>126.621000</v>
      </c>
    </row>
    <row r="7571" spans="1:9">
      <c r="A7571" s="22" t="str">
        <f>HYPERLINK("https://app.vivvix.com/360/KMI/IntelliDrive/ApplUI/Pages/CreativePages/CustomReportCreativeDetail.aspx?App=23&amp;ReportView=4&amp;Qid=1711279&amp;Row=7563&amp;Col=1","No Title Assigned - #15270439364")</f>
        <v/>
      </c>
      <c r="B7571" s="0" t="s">
        <v>10105</v>
      </c>
      <c r="E7571" s="0" t="inlineStr">
        <is>
          <t xml:space="preserve">Mazda</t>
        </is>
      </c>
      <c r="F7571" s="0" t="inlineStr">
        <is>
          <t xml:space="preserve">Mazda</t>
        </is>
      </c>
      <c r="G7571" s="0" t="s">
        <v>171</v>
      </c>
      <c r="H7571" s="5">
        <v>44.899300</v>
      </c>
    </row>
    <row r="7572" spans="1:9">
      <c r="A7572" s="22" t="str">
        <f>HYPERLINK("https://app.vivvix.com/360/KMI/IntelliDrive/ApplUI/Pages/CreativePages/CustomReportCreativeDetail.aspx?App=23&amp;ReportView=4&amp;Qid=1711279&amp;Row=7564&amp;Col=1","No Title Assigned - #15270439556")</f>
        <v/>
      </c>
      <c r="B7572" s="0" t="s">
        <v>10106</v>
      </c>
      <c r="E7572" s="0" t="inlineStr">
        <is>
          <t xml:space="preserve">Mazda</t>
        </is>
      </c>
      <c r="F7572" s="0" t="inlineStr">
        <is>
          <t xml:space="preserve">Mazda</t>
        </is>
      </c>
      <c r="G7572" s="0" t="s">
        <v>171</v>
      </c>
      <c r="H7572" s="5">
        <v>501.694500</v>
      </c>
    </row>
    <row r="7573" spans="1:9">
      <c r="A7573" s="22" t="str">
        <f>HYPERLINK("https://app.vivvix.com/360/KMI/IntelliDrive/ApplUI/Pages/CreativePages/CustomReportCreativeDetail.aspx?App=23&amp;ReportView=4&amp;Qid=1711279&amp;Row=7565&amp;Col=1","No Title Assigned - #15270439794")</f>
        <v/>
      </c>
      <c r="B7573" s="0" t="s">
        <v>10107</v>
      </c>
      <c r="E7573" s="0" t="inlineStr">
        <is>
          <t xml:space="preserve">Mazda</t>
        </is>
      </c>
      <c r="F7573" s="0" t="inlineStr">
        <is>
          <t xml:space="preserve">Mazda</t>
        </is>
      </c>
      <c r="G7573" s="0" t="s">
        <v>171</v>
      </c>
      <c r="H7573" s="5">
        <v>586.469700</v>
      </c>
    </row>
    <row r="7574" spans="1:9">
      <c r="A7574" s="22" t="str">
        <f>HYPERLINK("https://app.vivvix.com/360/KMI/IntelliDrive/ApplUI/Pages/CreativePages/CustomReportCreativeDetail.aspx?App=23&amp;ReportView=4&amp;Qid=1711279&amp;Row=7566&amp;Col=1","No Title Assigned - #15270439794")</f>
        <v/>
      </c>
      <c r="B7574" s="0" t="s">
        <v>10107</v>
      </c>
      <c r="E7574" s="0" t="inlineStr">
        <is>
          <t xml:space="preserve">Mazda</t>
        </is>
      </c>
      <c r="F7574" s="0" t="inlineStr">
        <is>
          <t xml:space="preserve">Mazda</t>
        </is>
      </c>
      <c r="G7574" s="0" t="s">
        <v>171</v>
      </c>
      <c r="H7574" s="5">
        <v>1557.365900</v>
      </c>
    </row>
    <row r="7575" spans="1:9">
      <c r="A7575" s="22" t="str">
        <f>HYPERLINK("https://app.vivvix.com/360/KMI/IntelliDrive/ApplUI/Pages/CreativePages/CustomReportCreativeDetail.aspx?App=23&amp;ReportView=4&amp;Qid=1711279&amp;Row=7567&amp;Col=1","No Title Assigned - #15270439839")</f>
        <v/>
      </c>
      <c r="B7575" s="0" t="s">
        <v>10108</v>
      </c>
      <c r="E7575" s="0" t="inlineStr">
        <is>
          <t xml:space="preserve">Mazda</t>
        </is>
      </c>
      <c r="F7575" s="0" t="inlineStr">
        <is>
          <t xml:space="preserve">Mazda</t>
        </is>
      </c>
      <c r="G7575" s="0" t="s">
        <v>171</v>
      </c>
      <c r="H7575" s="5">
        <v>45.957600</v>
      </c>
    </row>
    <row r="7576" spans="1:9">
      <c r="A7576" s="22" t="str">
        <f>HYPERLINK("https://app.vivvix.com/360/KMI/IntelliDrive/ApplUI/Pages/CreativePages/CustomReportCreativeDetail.aspx?App=23&amp;ReportView=4&amp;Qid=1711279&amp;Row=7568&amp;Col=1","No Title Assigned - #15270439936")</f>
        <v/>
      </c>
      <c r="B7576" s="0" t="s">
        <v>10109</v>
      </c>
      <c r="C7576" s="0" t="s">
        <v>10110</v>
      </c>
      <c r="D7576" s="0" t="s">
        <v>10110</v>
      </c>
      <c r="E7576" s="0" t="inlineStr">
        <is>
          <t xml:space="preserve">Mazda</t>
        </is>
      </c>
      <c r="F7576" s="0" t="inlineStr">
        <is>
          <t xml:space="preserve">Mazda</t>
        </is>
      </c>
      <c r="G7576" s="0" t="s">
        <v>171</v>
      </c>
      <c r="H7576" s="5">
        <v>81.348800</v>
      </c>
    </row>
    <row r="7577" spans="1:9">
      <c r="A7577" s="22" t="str">
        <f>HYPERLINK("https://app.vivvix.com/360/KMI/IntelliDrive/ApplUI/Pages/CreativePages/CustomReportCreativeDetail.aspx?App=23&amp;ReportView=4&amp;Qid=1711279&amp;Row=7569&amp;Col=1","No Title Assigned - #15270439962")</f>
        <v/>
      </c>
      <c r="B7577" s="0" t="s">
        <v>10111</v>
      </c>
      <c r="E7577" s="0" t="inlineStr">
        <is>
          <t xml:space="preserve">Mazda</t>
        </is>
      </c>
      <c r="F7577" s="0" t="inlineStr">
        <is>
          <t xml:space="preserve">Mazda</t>
        </is>
      </c>
      <c r="G7577" s="0" t="s">
        <v>171</v>
      </c>
      <c r="H7577" s="5">
        <v>5.820300</v>
      </c>
    </row>
    <row r="7578" spans="1:9">
      <c r="A7578" s="22" t="str">
        <f>HYPERLINK("https://app.vivvix.com/360/KMI/IntelliDrive/ApplUI/Pages/CreativePages/CustomReportCreativeDetail.aspx?App=23&amp;ReportView=4&amp;Qid=1711279&amp;Row=7570&amp;Col=1","No Title Assigned - #15270439962")</f>
        <v/>
      </c>
      <c r="B7578" s="0" t="s">
        <v>10111</v>
      </c>
      <c r="E7578" s="0" t="inlineStr">
        <is>
          <t xml:space="preserve">Mazda</t>
        </is>
      </c>
      <c r="F7578" s="0" t="inlineStr">
        <is>
          <t xml:space="preserve">Mazda</t>
        </is>
      </c>
      <c r="G7578" s="0" t="s">
        <v>171</v>
      </c>
      <c r="H7578" s="5">
        <v>90.323900</v>
      </c>
    </row>
    <row r="7579" spans="1:9">
      <c r="A7579" s="22" t="str">
        <f>HYPERLINK("https://app.vivvix.com/360/KMI/IntelliDrive/ApplUI/Pages/CreativePages/CustomReportCreativeDetail.aspx?App=23&amp;ReportView=4&amp;Qid=1711279&amp;Row=7571&amp;Col=1","No Title Assigned - #15270439971")</f>
        <v/>
      </c>
      <c r="B7579" s="0" t="s">
        <v>10112</v>
      </c>
      <c r="E7579" s="0" t="inlineStr">
        <is>
          <t xml:space="preserve">Mazda</t>
        </is>
      </c>
      <c r="F7579" s="0" t="inlineStr">
        <is>
          <t xml:space="preserve">Mazda</t>
        </is>
      </c>
      <c r="G7579" s="0" t="s">
        <v>171</v>
      </c>
      <c r="H7579" s="5">
        <v>156.290600</v>
      </c>
    </row>
    <row r="7580" spans="1:9">
      <c r="A7580" s="22" t="str">
        <f>HYPERLINK("https://app.vivvix.com/360/KMI/IntelliDrive/ApplUI/Pages/CreativePages/CustomReportCreativeDetail.aspx?App=23&amp;ReportView=4&amp;Qid=1711279&amp;Row=7572&amp;Col=1","No Title Assigned - #15270439980")</f>
        <v/>
      </c>
      <c r="B7580" s="0" t="s">
        <v>10113</v>
      </c>
      <c r="E7580" s="0" t="inlineStr">
        <is>
          <t xml:space="preserve">Mazda</t>
        </is>
      </c>
      <c r="F7580" s="0" t="s">
        <v>28</v>
      </c>
      <c r="G7580" s="0" t="s">
        <v>29</v>
      </c>
      <c r="H7580" s="5">
        <v>100.650000</v>
      </c>
    </row>
    <row r="7581" spans="1:9">
      <c r="A7581" s="22" t="str">
        <f>HYPERLINK("https://app.vivvix.com/360/KMI/IntelliDrive/ApplUI/Pages/CreativePages/CustomReportCreativeDetail.aspx?App=23&amp;ReportView=4&amp;Qid=1711279&amp;Row=7573&amp;Col=1","No Title Assigned - #15270439980")</f>
        <v/>
      </c>
      <c r="B7581" s="0" t="s">
        <v>10113</v>
      </c>
      <c r="E7581" s="0" t="inlineStr">
        <is>
          <t xml:space="preserve">Mazda</t>
        </is>
      </c>
      <c r="F7581" s="0" t="s">
        <v>28</v>
      </c>
      <c r="G7581" s="0" t="s">
        <v>29</v>
      </c>
      <c r="H7581" s="5">
        <v>27.190000</v>
      </c>
    </row>
    <row r="7582" spans="1:9">
      <c r="A7582" s="22" t="str">
        <f>HYPERLINK("https://app.vivvix.com/360/KMI/IntelliDrive/ApplUI/Pages/CreativePages/CustomReportCreativeDetail.aspx?App=23&amp;ReportView=4&amp;Qid=1711279&amp;Row=7574&amp;Col=1","No Title Assigned - #15270440145")</f>
        <v/>
      </c>
      <c r="B7582" s="0" t="s">
        <v>10114</v>
      </c>
      <c r="E7582" s="0" t="inlineStr">
        <is>
          <t xml:space="preserve">Mazda</t>
        </is>
      </c>
      <c r="F7582" s="0" t="inlineStr">
        <is>
          <t xml:space="preserve">Mazda</t>
        </is>
      </c>
      <c r="G7582" s="0" t="s">
        <v>171</v>
      </c>
      <c r="H7582" s="5">
        <v>315.370500</v>
      </c>
    </row>
    <row r="7583" spans="1:9">
      <c r="A7583" s="22" t="str">
        <f>HYPERLINK("https://app.vivvix.com/360/KMI/IntelliDrive/ApplUI/Pages/CreativePages/CustomReportCreativeDetail.aspx?App=23&amp;ReportView=4&amp;Qid=1711279&amp;Row=7575&amp;Col=1","No Title Assigned - #15270440374")</f>
        <v/>
      </c>
      <c r="B7583" s="0" t="s">
        <v>10115</v>
      </c>
      <c r="E7583" s="0" t="inlineStr">
        <is>
          <t xml:space="preserve">Mazda</t>
        </is>
      </c>
      <c r="F7583" s="0" t="inlineStr">
        <is>
          <t xml:space="preserve">Mazda</t>
        </is>
      </c>
      <c r="G7583" s="0" t="s">
        <v>171</v>
      </c>
      <c r="H7583" s="5">
        <v>269.208300</v>
      </c>
    </row>
    <row r="7584" spans="1:9">
      <c r="A7584" s="22" t="str">
        <f>HYPERLINK("https://app.vivvix.com/360/KMI/IntelliDrive/ApplUI/Pages/CreativePages/CustomReportCreativeDetail.aspx?App=23&amp;ReportView=4&amp;Qid=1711279&amp;Row=7576&amp;Col=1","No Title Assigned - #15270440410")</f>
        <v/>
      </c>
      <c r="B7584" s="0" t="s">
        <v>10116</v>
      </c>
      <c r="E7584" s="0" t="inlineStr">
        <is>
          <t xml:space="preserve">Mazda</t>
        </is>
      </c>
      <c r="F7584" s="0" t="inlineStr">
        <is>
          <t xml:space="preserve">Mazda</t>
        </is>
      </c>
      <c r="G7584" s="0" t="s">
        <v>171</v>
      </c>
      <c r="H7584" s="5">
        <v>119.515300</v>
      </c>
    </row>
    <row r="7585" spans="1:9">
      <c r="A7585" s="22" t="str">
        <f>HYPERLINK("https://app.vivvix.com/360/KMI/IntelliDrive/ApplUI/Pages/CreativePages/CustomReportCreativeDetail.aspx?App=23&amp;ReportView=4&amp;Qid=1711279&amp;Row=7577&amp;Col=1","No Title Assigned - #15270440477")</f>
        <v/>
      </c>
      <c r="B7585" s="0" t="s">
        <v>10117</v>
      </c>
      <c r="E7585" s="0" t="inlineStr">
        <is>
          <t xml:space="preserve">Mazda</t>
        </is>
      </c>
      <c r="F7585" s="0" t="inlineStr">
        <is>
          <t xml:space="preserve">Mazda</t>
        </is>
      </c>
      <c r="G7585" s="0" t="s">
        <v>171</v>
      </c>
      <c r="H7585" s="5">
        <v>1143.387800</v>
      </c>
    </row>
    <row r="7586" spans="1:9">
      <c r="A7586" s="22" t="str">
        <f>HYPERLINK("https://app.vivvix.com/360/KMI/IntelliDrive/ApplUI/Pages/CreativePages/CustomReportCreativeDetail.aspx?App=23&amp;ReportView=4&amp;Qid=1711279&amp;Row=7578&amp;Col=1","No Title Assigned - #15270440599")</f>
        <v/>
      </c>
      <c r="B7586" s="0" t="s">
        <v>10118</v>
      </c>
      <c r="E7586" s="0" t="inlineStr">
        <is>
          <t xml:space="preserve">Mazda</t>
        </is>
      </c>
      <c r="F7586" s="0" t="inlineStr">
        <is>
          <t xml:space="preserve">Mazda</t>
        </is>
      </c>
      <c r="G7586" s="0" t="s">
        <v>171</v>
      </c>
      <c r="H7586" s="5">
        <v>723.871800</v>
      </c>
    </row>
    <row r="7587" spans="1:9">
      <c r="A7587" s="22" t="str">
        <f>HYPERLINK("https://app.vivvix.com/360/KMI/IntelliDrive/ApplUI/Pages/CreativePages/CustomReportCreativeDetail.aspx?App=23&amp;ReportView=4&amp;Qid=1711279&amp;Row=7579&amp;Col=1","No Title Assigned - #15270440802")</f>
        <v/>
      </c>
      <c r="B7587" s="0" t="s">
        <v>10119</v>
      </c>
      <c r="E7587" s="0" t="inlineStr">
        <is>
          <t xml:space="preserve">Mazda</t>
        </is>
      </c>
      <c r="F7587" s="0" t="inlineStr">
        <is>
          <t xml:space="preserve">Mazda</t>
        </is>
      </c>
      <c r="G7587" s="0" t="s">
        <v>171</v>
      </c>
      <c r="H7587" s="5">
        <v>127526.664100</v>
      </c>
    </row>
    <row r="7588" spans="1:9">
      <c r="A7588" s="22" t="str">
        <f>HYPERLINK("https://app.vivvix.com/360/KMI/IntelliDrive/ApplUI/Pages/CreativePages/CustomReportCreativeDetail.aspx?App=23&amp;ReportView=4&amp;Qid=1711279&amp;Row=7580&amp;Col=1","No Title Assigned - #15270440817")</f>
        <v/>
      </c>
      <c r="B7588" s="0" t="s">
        <v>10120</v>
      </c>
      <c r="E7588" s="0" t="inlineStr">
        <is>
          <t xml:space="preserve">Mazda</t>
        </is>
      </c>
      <c r="F7588" s="0" t="inlineStr">
        <is>
          <t xml:space="preserve">Mazda</t>
        </is>
      </c>
      <c r="G7588" s="0" t="s">
        <v>171</v>
      </c>
      <c r="H7588" s="5">
        <v>106.088000</v>
      </c>
    </row>
    <row r="7589" spans="1:9">
      <c r="A7589" s="22" t="str">
        <f>HYPERLINK("https://app.vivvix.com/360/KMI/IntelliDrive/ApplUI/Pages/CreativePages/CustomReportCreativeDetail.aspx?App=23&amp;ReportView=4&amp;Qid=1711279&amp;Row=7581&amp;Col=1","No Title Assigned - #15270440902")</f>
        <v/>
      </c>
      <c r="B7589" s="0" t="s">
        <v>10121</v>
      </c>
      <c r="E7589" s="0" t="inlineStr">
        <is>
          <t xml:space="preserve">Mazda</t>
        </is>
      </c>
      <c r="F7589" s="0" t="inlineStr">
        <is>
          <t xml:space="preserve">Mazda</t>
        </is>
      </c>
      <c r="G7589" s="0" t="s">
        <v>171</v>
      </c>
      <c r="H7589" s="5">
        <v>55.799900</v>
      </c>
    </row>
    <row r="7590" spans="1:9">
      <c r="A7590" s="22" t="str">
        <f>HYPERLINK("https://app.vivvix.com/360/KMI/IntelliDrive/ApplUI/Pages/CreativePages/CustomReportCreativeDetail.aspx?App=23&amp;ReportView=4&amp;Qid=1711279&amp;Row=7582&amp;Col=1","No Title Assigned - #15270440982")</f>
        <v/>
      </c>
      <c r="B7590" s="0" t="s">
        <v>10122</v>
      </c>
      <c r="E7590" s="0" t="inlineStr">
        <is>
          <t xml:space="preserve">Mazda</t>
        </is>
      </c>
      <c r="F7590" s="0" t="inlineStr">
        <is>
          <t xml:space="preserve">Mazda</t>
        </is>
      </c>
      <c r="G7590" s="0" t="s">
        <v>171</v>
      </c>
      <c r="H7590" s="5">
        <v>9140.159200</v>
      </c>
    </row>
    <row r="7591" spans="1:9">
      <c r="A7591" s="22" t="str">
        <f>HYPERLINK("https://app.vivvix.com/360/KMI/IntelliDrive/ApplUI/Pages/CreativePages/CustomReportCreativeDetail.aspx?App=23&amp;ReportView=4&amp;Qid=1711279&amp;Row=7583&amp;Col=1","No Title Assigned - #15270442627")</f>
        <v/>
      </c>
      <c r="B7591" s="0" t="s">
        <v>10123</v>
      </c>
      <c r="E7591" s="0" t="inlineStr">
        <is>
          <t xml:space="preserve">Mazda</t>
        </is>
      </c>
      <c r="F7591" s="0" t="inlineStr">
        <is>
          <t xml:space="preserve">Mazda</t>
        </is>
      </c>
      <c r="G7591" s="0" t="s">
        <v>171</v>
      </c>
      <c r="H7591" s="5">
        <v>21.338300</v>
      </c>
    </row>
    <row r="7592" spans="1:9">
      <c r="A7592" s="22" t="str">
        <f>HYPERLINK("https://app.vivvix.com/360/KMI/IntelliDrive/ApplUI/Pages/CreativePages/CustomReportCreativeDetail.aspx?App=23&amp;ReportView=4&amp;Qid=1711279&amp;Row=7584&amp;Col=1","No Title Assigned - #15270442628")</f>
        <v/>
      </c>
      <c r="B7592" s="0" t="s">
        <v>10124</v>
      </c>
      <c r="C7592" s="0" t="s">
        <v>10125</v>
      </c>
      <c r="D7592" s="0" t="s">
        <v>10125</v>
      </c>
      <c r="E7592" s="0" t="inlineStr">
        <is>
          <t xml:space="preserve">Mazda</t>
        </is>
      </c>
      <c r="F7592" s="0" t="inlineStr">
        <is>
          <t xml:space="preserve">Mazda</t>
        </is>
      </c>
      <c r="G7592" s="0" t="s">
        <v>171</v>
      </c>
      <c r="H7592" s="5">
        <v>30.051800</v>
      </c>
    </row>
    <row r="7593" spans="1:9">
      <c r="A7593" s="22" t="str">
        <f>HYPERLINK("https://app.vivvix.com/360/KMI/IntelliDrive/ApplUI/Pages/CreativePages/CustomReportCreativeDetail.aspx?App=23&amp;ReportView=4&amp;Qid=1711279&amp;Row=7585&amp;Col=1","No Title Assigned - #15270443221")</f>
        <v/>
      </c>
      <c r="B7593" s="0" t="s">
        <v>10126</v>
      </c>
      <c r="C7593" s="0" t="s">
        <v>10127</v>
      </c>
      <c r="D7593" s="0" t="s">
        <v>10127</v>
      </c>
      <c r="E7593" s="0" t="inlineStr">
        <is>
          <t xml:space="preserve">Mazda</t>
        </is>
      </c>
      <c r="F7593" s="0" t="inlineStr">
        <is>
          <t xml:space="preserve">Mazda</t>
        </is>
      </c>
      <c r="G7593" s="0" t="s">
        <v>171</v>
      </c>
      <c r="H7593" s="5">
        <v>44.145900</v>
      </c>
    </row>
    <row r="7594" spans="1:9">
      <c r="A7594" s="22" t="str">
        <f>HYPERLINK("https://app.vivvix.com/360/KMI/IntelliDrive/ApplUI/Pages/CreativePages/CustomReportCreativeDetail.aspx?App=23&amp;ReportView=4&amp;Qid=1711279&amp;Row=7586&amp;Col=1","No Title Assigned - #15270443222")</f>
        <v/>
      </c>
      <c r="B7594" s="0" t="s">
        <v>10128</v>
      </c>
      <c r="E7594" s="0" t="inlineStr">
        <is>
          <t xml:space="preserve">Mazda</t>
        </is>
      </c>
      <c r="F7594" s="0" t="inlineStr">
        <is>
          <t xml:space="preserve">Mazda</t>
        </is>
      </c>
      <c r="G7594" s="0" t="s">
        <v>171</v>
      </c>
      <c r="H7594" s="5">
        <v>7.030200</v>
      </c>
    </row>
    <row r="7595" spans="1:9">
      <c r="A7595" s="22" t="str">
        <f>HYPERLINK("https://app.vivvix.com/360/KMI/IntelliDrive/ApplUI/Pages/CreativePages/CustomReportCreativeDetail.aspx?App=23&amp;ReportView=4&amp;Qid=1711279&amp;Row=7587&amp;Col=1","No Title Assigned - #15270443430")</f>
        <v/>
      </c>
      <c r="B7595" s="0" t="s">
        <v>10129</v>
      </c>
      <c r="E7595" s="0" t="inlineStr">
        <is>
          <t xml:space="preserve">Mazda</t>
        </is>
      </c>
      <c r="F7595" s="0" t="inlineStr">
        <is>
          <t xml:space="preserve">Mazda</t>
        </is>
      </c>
      <c r="G7595" s="0" t="s">
        <v>171</v>
      </c>
      <c r="H7595" s="5">
        <v>243.050600</v>
      </c>
    </row>
    <row r="7596" spans="1:9">
      <c r="A7596" s="22" t="str">
        <f>HYPERLINK("https://app.vivvix.com/360/KMI/IntelliDrive/ApplUI/Pages/CreativePages/CustomReportCreativeDetail.aspx?App=23&amp;ReportView=4&amp;Qid=1711279&amp;Row=7588&amp;Col=1","No Title Assigned - #15270443450")</f>
        <v/>
      </c>
      <c r="B7596" s="0" t="s">
        <v>10130</v>
      </c>
      <c r="E7596" s="0" t="inlineStr">
        <is>
          <t xml:space="preserve">Mazda</t>
        </is>
      </c>
      <c r="F7596" s="0" t="inlineStr">
        <is>
          <t xml:space="preserve">Mazda</t>
        </is>
      </c>
      <c r="G7596" s="0" t="s">
        <v>171</v>
      </c>
      <c r="H7596" s="5">
        <v>14.882500</v>
      </c>
    </row>
    <row r="7597" spans="1:9">
      <c r="A7597" s="22" t="str">
        <f>HYPERLINK("https://app.vivvix.com/360/KMI/IntelliDrive/ApplUI/Pages/CreativePages/CustomReportCreativeDetail.aspx?App=23&amp;ReportView=4&amp;Qid=1711279&amp;Row=7589&amp;Col=1","No Title Assigned - #15270443586")</f>
        <v/>
      </c>
      <c r="B7597" s="0" t="s">
        <v>10131</v>
      </c>
      <c r="E7597" s="0" t="inlineStr">
        <is>
          <t xml:space="preserve">Mazda</t>
        </is>
      </c>
      <c r="F7597" s="0" t="inlineStr">
        <is>
          <t xml:space="preserve">Mazda</t>
        </is>
      </c>
      <c r="G7597" s="0" t="s">
        <v>171</v>
      </c>
      <c r="H7597" s="5">
        <v>1599.484500</v>
      </c>
    </row>
    <row r="7598" spans="1:9">
      <c r="A7598" s="22" t="str">
        <f>HYPERLINK("https://app.vivvix.com/360/KMI/IntelliDrive/ApplUI/Pages/CreativePages/CustomReportCreativeDetail.aspx?App=23&amp;ReportView=4&amp;Qid=1711279&amp;Row=7590&amp;Col=1","No Title Assigned - #15270444047")</f>
        <v/>
      </c>
      <c r="B7598" s="0" t="s">
        <v>10132</v>
      </c>
      <c r="E7598" s="0" t="inlineStr">
        <is>
          <t xml:space="preserve">Mazda</t>
        </is>
      </c>
      <c r="F7598" s="0" t="inlineStr">
        <is>
          <t xml:space="preserve">Mazda</t>
        </is>
      </c>
      <c r="G7598" s="0" t="s">
        <v>171</v>
      </c>
      <c r="H7598" s="5">
        <v>8.973800</v>
      </c>
    </row>
    <row r="7599" spans="1:9">
      <c r="A7599" s="22" t="str">
        <f>HYPERLINK("https://app.vivvix.com/360/KMI/IntelliDrive/ApplUI/Pages/CreativePages/CustomReportCreativeDetail.aspx?App=23&amp;ReportView=4&amp;Qid=1711279&amp;Row=7591&amp;Col=1","No Title Assigned - #15270444047")</f>
        <v/>
      </c>
      <c r="B7599" s="0" t="s">
        <v>10132</v>
      </c>
      <c r="E7599" s="0" t="inlineStr">
        <is>
          <t xml:space="preserve">Mazda</t>
        </is>
      </c>
      <c r="F7599" s="0" t="inlineStr">
        <is>
          <t xml:space="preserve">Mazda</t>
        </is>
      </c>
      <c r="G7599" s="0" t="s">
        <v>171</v>
      </c>
      <c r="H7599" s="5">
        <v>47.360000</v>
      </c>
    </row>
    <row r="7600" spans="1:9">
      <c r="A7600" s="22" t="str">
        <f>HYPERLINK("https://app.vivvix.com/360/KMI/IntelliDrive/ApplUI/Pages/CreativePages/CustomReportCreativeDetail.aspx?App=23&amp;ReportView=4&amp;Qid=1711279&amp;Row=7592&amp;Col=1","No Title Assigned - #15270444302")</f>
        <v/>
      </c>
      <c r="B7600" s="0" t="s">
        <v>10133</v>
      </c>
      <c r="E7600" s="0" t="inlineStr">
        <is>
          <t xml:space="preserve">Mazda</t>
        </is>
      </c>
      <c r="F7600" s="0" t="inlineStr">
        <is>
          <t xml:space="preserve">Mazda</t>
        </is>
      </c>
      <c r="G7600" s="0" t="s">
        <v>171</v>
      </c>
      <c r="H7600" s="5">
        <v>600.353700</v>
      </c>
    </row>
    <row r="7601" spans="1:9">
      <c r="A7601" s="22" t="str">
        <f>HYPERLINK("https://app.vivvix.com/360/KMI/IntelliDrive/ApplUI/Pages/CreativePages/CustomReportCreativeDetail.aspx?App=23&amp;ReportView=4&amp;Qid=1711279&amp;Row=7593&amp;Col=1","No Title Assigned - #15270444334")</f>
        <v/>
      </c>
      <c r="B7601" s="0" t="s">
        <v>10134</v>
      </c>
      <c r="C7601" s="0" t="s">
        <v>10135</v>
      </c>
      <c r="D7601" s="0" t="s">
        <v>10135</v>
      </c>
      <c r="E7601" s="0" t="inlineStr">
        <is>
          <t xml:space="preserve">Mazda</t>
        </is>
      </c>
      <c r="F7601" s="0" t="inlineStr">
        <is>
          <t xml:space="preserve">Mazda</t>
        </is>
      </c>
      <c r="G7601" s="0" t="s">
        <v>171</v>
      </c>
      <c r="H7601" s="5">
        <v>923.625400</v>
      </c>
    </row>
    <row r="7602" spans="1:9">
      <c r="A7602" s="22" t="str">
        <f>HYPERLINK("https://app.vivvix.com/360/KMI/IntelliDrive/ApplUI/Pages/CreativePages/CustomReportCreativeDetail.aspx?App=23&amp;ReportView=4&amp;Qid=1711279&amp;Row=7594&amp;Col=1","No Title Assigned - #15270444335")</f>
        <v/>
      </c>
      <c r="B7602" s="0" t="s">
        <v>10136</v>
      </c>
      <c r="E7602" s="0" t="inlineStr">
        <is>
          <t xml:space="preserve">Mazda</t>
        </is>
      </c>
      <c r="F7602" s="0" t="inlineStr">
        <is>
          <t xml:space="preserve">Mazda</t>
        </is>
      </c>
      <c r="G7602" s="0" t="s">
        <v>171</v>
      </c>
      <c r="H7602" s="5">
        <v>10.825700</v>
      </c>
    </row>
    <row r="7603" spans="1:9">
      <c r="A7603" s="22" t="str">
        <f>HYPERLINK("https://app.vivvix.com/360/KMI/IntelliDrive/ApplUI/Pages/CreativePages/CustomReportCreativeDetail.aspx?App=23&amp;ReportView=4&amp;Qid=1711279&amp;Row=7595&amp;Col=1","No Title Assigned - #15270444407")</f>
        <v/>
      </c>
      <c r="B7603" s="0" t="s">
        <v>10137</v>
      </c>
      <c r="E7603" s="0" t="inlineStr">
        <is>
          <t xml:space="preserve">Mazda</t>
        </is>
      </c>
      <c r="F7603" s="0" t="inlineStr">
        <is>
          <t xml:space="preserve">Mazda</t>
        </is>
      </c>
      <c r="G7603" s="0" t="s">
        <v>171</v>
      </c>
      <c r="H7603" s="5">
        <v>68.023400</v>
      </c>
    </row>
    <row r="7604" spans="1:9">
      <c r="A7604" s="22" t="str">
        <f>HYPERLINK("https://app.vivvix.com/360/KMI/IntelliDrive/ApplUI/Pages/CreativePages/CustomReportCreativeDetail.aspx?App=23&amp;ReportView=4&amp;Qid=1711279&amp;Row=7596&amp;Col=1","No Title Assigned - #15270444424")</f>
        <v/>
      </c>
      <c r="B7604" s="0" t="s">
        <v>10138</v>
      </c>
      <c r="E7604" s="0" t="inlineStr">
        <is>
          <t xml:space="preserve">Mazda</t>
        </is>
      </c>
      <c r="F7604" s="0" t="inlineStr">
        <is>
          <t xml:space="preserve">Mazda</t>
        </is>
      </c>
      <c r="G7604" s="0" t="s">
        <v>171</v>
      </c>
      <c r="H7604" s="5">
        <v>81.128400</v>
      </c>
    </row>
    <row r="7605" spans="1:9">
      <c r="A7605" s="22" t="str">
        <f>HYPERLINK("https://app.vivvix.com/360/KMI/IntelliDrive/ApplUI/Pages/CreativePages/CustomReportCreativeDetail.aspx?App=23&amp;ReportView=4&amp;Qid=1711279&amp;Row=7597&amp;Col=1","No Title Assigned - #15270444627")</f>
        <v/>
      </c>
      <c r="B7605" s="0" t="s">
        <v>10139</v>
      </c>
      <c r="E7605" s="0" t="inlineStr">
        <is>
          <t xml:space="preserve">Mazda</t>
        </is>
      </c>
      <c r="F7605" s="0" t="inlineStr">
        <is>
          <t xml:space="preserve">Mazda</t>
        </is>
      </c>
      <c r="G7605" s="0" t="s">
        <v>171</v>
      </c>
      <c r="H7605" s="5">
        <v>75.414000</v>
      </c>
    </row>
    <row r="7606" spans="1:9">
      <c r="A7606" s="22" t="str">
        <f>HYPERLINK("https://app.vivvix.com/360/KMI/IntelliDrive/ApplUI/Pages/CreativePages/CustomReportCreativeDetail.aspx?App=23&amp;ReportView=4&amp;Qid=1711279&amp;Row=7598&amp;Col=1","No Title Assigned - #15270444953")</f>
        <v/>
      </c>
      <c r="B7606" s="0" t="s">
        <v>10140</v>
      </c>
      <c r="E7606" s="0" t="inlineStr">
        <is>
          <t xml:space="preserve">Mazda</t>
        </is>
      </c>
      <c r="F7606" s="0" t="inlineStr">
        <is>
          <t xml:space="preserve">Mazda</t>
        </is>
      </c>
      <c r="G7606" s="0" t="s">
        <v>171</v>
      </c>
      <c r="H7606" s="5">
        <v>355.240300</v>
      </c>
    </row>
    <row r="7607" spans="1:9">
      <c r="A7607" s="22" t="str">
        <f>HYPERLINK("https://app.vivvix.com/360/KMI/IntelliDrive/ApplUI/Pages/CreativePages/CustomReportCreativeDetail.aspx?App=23&amp;ReportView=4&amp;Qid=1711279&amp;Row=7599&amp;Col=1","No Title Assigned - #15270445060")</f>
        <v/>
      </c>
      <c r="B7607" s="0" t="s">
        <v>10141</v>
      </c>
      <c r="E7607" s="0" t="inlineStr">
        <is>
          <t xml:space="preserve">Mazda</t>
        </is>
      </c>
      <c r="F7607" s="0" t="inlineStr">
        <is>
          <t xml:space="preserve">Mazda</t>
        </is>
      </c>
      <c r="G7607" s="0" t="s">
        <v>171</v>
      </c>
      <c r="H7607" s="5">
        <v>145.471200</v>
      </c>
    </row>
    <row r="7608" spans="1:9">
      <c r="A7608" s="22" t="str">
        <f>HYPERLINK("https://app.vivvix.com/360/KMI/IntelliDrive/ApplUI/Pages/CreativePages/CustomReportCreativeDetail.aspx?App=23&amp;ReportView=4&amp;Qid=1711279&amp;Row=7600&amp;Col=1","No Title Assigned - #15270445066")</f>
        <v/>
      </c>
      <c r="B7608" s="0" t="s">
        <v>10142</v>
      </c>
      <c r="E7608" s="0" t="inlineStr">
        <is>
          <t xml:space="preserve">Mazda</t>
        </is>
      </c>
      <c r="F7608" s="0" t="inlineStr">
        <is>
          <t xml:space="preserve">Mazda</t>
        </is>
      </c>
      <c r="G7608" s="0" t="s">
        <v>171</v>
      </c>
      <c r="H7608" s="5">
        <v>32.983800</v>
      </c>
    </row>
    <row r="7609" spans="1:9">
      <c r="A7609" s="22" t="str">
        <f>HYPERLINK("https://app.vivvix.com/360/KMI/IntelliDrive/ApplUI/Pages/CreativePages/CustomReportCreativeDetail.aspx?App=23&amp;ReportView=4&amp;Qid=1711279&amp;Row=7601&amp;Col=1","No Title Assigned - #15270445271")</f>
        <v/>
      </c>
      <c r="B7609" s="0" t="s">
        <v>10143</v>
      </c>
      <c r="E7609" s="0" t="inlineStr">
        <is>
          <t xml:space="preserve">Mazda</t>
        </is>
      </c>
      <c r="F7609" s="0" t="inlineStr">
        <is>
          <t xml:space="preserve">Mazda</t>
        </is>
      </c>
      <c r="G7609" s="0" t="s">
        <v>171</v>
      </c>
      <c r="H7609" s="5">
        <v>52.344900</v>
      </c>
    </row>
    <row r="7610" spans="1:9">
      <c r="A7610" s="22" t="str">
        <f>HYPERLINK("https://app.vivvix.com/360/KMI/IntelliDrive/ApplUI/Pages/CreativePages/CustomReportCreativeDetail.aspx?App=23&amp;ReportView=4&amp;Qid=1711279&amp;Row=7602&amp;Col=1","No Title Assigned - #15270445336")</f>
        <v/>
      </c>
      <c r="B7610" s="0" t="s">
        <v>10144</v>
      </c>
      <c r="E7610" s="0" t="inlineStr">
        <is>
          <t xml:space="preserve">Mazda</t>
        </is>
      </c>
      <c r="F7610" s="0" t="inlineStr">
        <is>
          <t xml:space="preserve">Mazda</t>
        </is>
      </c>
      <c r="G7610" s="0" t="s">
        <v>171</v>
      </c>
      <c r="H7610" s="5">
        <v>36.504000</v>
      </c>
    </row>
    <row r="7611" spans="1:9">
      <c r="A7611" s="22" t="str">
        <f>HYPERLINK("https://app.vivvix.com/360/KMI/IntelliDrive/ApplUI/Pages/CreativePages/CustomReportCreativeDetail.aspx?App=23&amp;ReportView=4&amp;Qid=1711279&amp;Row=7603&amp;Col=1","No Title Assigned - #15270445502")</f>
        <v/>
      </c>
      <c r="B7611" s="0" t="s">
        <v>10145</v>
      </c>
      <c r="E7611" s="0" t="inlineStr">
        <is>
          <t xml:space="preserve">Mazda</t>
        </is>
      </c>
      <c r="F7611" s="0" t="inlineStr">
        <is>
          <t xml:space="preserve">Mazda</t>
        </is>
      </c>
      <c r="G7611" s="0" t="s">
        <v>171</v>
      </c>
      <c r="H7611" s="5">
        <v>3.905000</v>
      </c>
    </row>
    <row r="7612" spans="1:9">
      <c r="A7612" s="22" t="str">
        <f>HYPERLINK("https://app.vivvix.com/360/KMI/IntelliDrive/ApplUI/Pages/CreativePages/CustomReportCreativeDetail.aspx?App=23&amp;ReportView=4&amp;Qid=1711279&amp;Row=7604&amp;Col=1","No Title Assigned - #15270445613")</f>
        <v/>
      </c>
      <c r="B7612" s="0" t="s">
        <v>10146</v>
      </c>
      <c r="E7612" s="0" t="inlineStr">
        <is>
          <t xml:space="preserve">Mazda</t>
        </is>
      </c>
      <c r="F7612" s="0" t="inlineStr">
        <is>
          <t xml:space="preserve">Mazda</t>
        </is>
      </c>
      <c r="G7612" s="0" t="s">
        <v>171</v>
      </c>
      <c r="H7612" s="5">
        <v>30.006500</v>
      </c>
    </row>
    <row r="7613" spans="1:9">
      <c r="A7613" s="22" t="str">
        <f>HYPERLINK("https://app.vivvix.com/360/KMI/IntelliDrive/ApplUI/Pages/CreativePages/CustomReportCreativeDetail.aspx?App=23&amp;ReportView=4&amp;Qid=1711279&amp;Row=7605&amp;Col=1","No Title Assigned - #15270445673")</f>
        <v/>
      </c>
      <c r="B7613" s="0" t="s">
        <v>10147</v>
      </c>
      <c r="E7613" s="0" t="inlineStr">
        <is>
          <t xml:space="preserve">Mazda</t>
        </is>
      </c>
      <c r="F7613" s="0" t="inlineStr">
        <is>
          <t xml:space="preserve">Mazda</t>
        </is>
      </c>
      <c r="G7613" s="0" t="s">
        <v>171</v>
      </c>
      <c r="H7613" s="5">
        <v>6580.853600</v>
      </c>
    </row>
    <row r="7614" spans="1:9">
      <c r="A7614" s="22" t="str">
        <f>HYPERLINK("https://app.vivvix.com/360/KMI/IntelliDrive/ApplUI/Pages/CreativePages/CustomReportCreativeDetail.aspx?App=23&amp;ReportView=4&amp;Qid=1711279&amp;Row=7606&amp;Col=1","No Title Assigned - #15270445673")</f>
        <v/>
      </c>
      <c r="B7614" s="0" t="s">
        <v>10147</v>
      </c>
      <c r="E7614" s="0" t="inlineStr">
        <is>
          <t xml:space="preserve">Mazda</t>
        </is>
      </c>
      <c r="F7614" s="0" t="inlineStr">
        <is>
          <t xml:space="preserve">Mazda</t>
        </is>
      </c>
      <c r="G7614" s="0" t="s">
        <v>171</v>
      </c>
      <c r="H7614" s="5">
        <v>102.079200</v>
      </c>
    </row>
    <row r="7615" spans="1:9">
      <c r="A7615" s="22" t="str">
        <f>HYPERLINK("https://app.vivvix.com/360/KMI/IntelliDrive/ApplUI/Pages/CreativePages/CustomReportCreativeDetail.aspx?App=23&amp;ReportView=4&amp;Qid=1711279&amp;Row=7607&amp;Col=1","No Title Assigned - #15270445767")</f>
        <v/>
      </c>
      <c r="B7615" s="0" t="s">
        <v>10148</v>
      </c>
      <c r="C7615" s="0" t="s">
        <v>10149</v>
      </c>
      <c r="D7615" s="0" t="s">
        <v>10149</v>
      </c>
      <c r="E7615" s="0" t="inlineStr">
        <is>
          <t xml:space="preserve">Mazda</t>
        </is>
      </c>
      <c r="F7615" s="0" t="inlineStr">
        <is>
          <t xml:space="preserve">Mazda</t>
        </is>
      </c>
      <c r="G7615" s="0" t="s">
        <v>171</v>
      </c>
      <c r="H7615" s="5">
        <v>35.328600</v>
      </c>
    </row>
    <row r="7616" spans="1:9">
      <c r="A7616" s="22" t="str">
        <f>HYPERLINK("https://app.vivvix.com/360/KMI/IntelliDrive/ApplUI/Pages/CreativePages/CustomReportCreativeDetail.aspx?App=23&amp;ReportView=4&amp;Qid=1711279&amp;Row=7608&amp;Col=1","No Title Assigned - #15270445791")</f>
        <v/>
      </c>
      <c r="B7616" s="0" t="s">
        <v>10150</v>
      </c>
      <c r="E7616" s="0" t="inlineStr">
        <is>
          <t xml:space="preserve">Mazda</t>
        </is>
      </c>
      <c r="F7616" s="0" t="inlineStr">
        <is>
          <t xml:space="preserve">Mazda</t>
        </is>
      </c>
      <c r="G7616" s="0" t="s">
        <v>171</v>
      </c>
      <c r="H7616" s="5">
        <v>48.822800</v>
      </c>
    </row>
    <row r="7617" spans="1:9">
      <c r="A7617" s="22" t="str">
        <f>HYPERLINK("https://app.vivvix.com/360/KMI/IntelliDrive/ApplUI/Pages/CreativePages/CustomReportCreativeDetail.aspx?App=23&amp;ReportView=4&amp;Qid=1711279&amp;Row=7609&amp;Col=1","No Title Assigned - #15270445818")</f>
        <v/>
      </c>
      <c r="B7617" s="0" t="s">
        <v>10151</v>
      </c>
      <c r="E7617" s="0" t="inlineStr">
        <is>
          <t xml:space="preserve">Mazda</t>
        </is>
      </c>
      <c r="F7617" s="0" t="inlineStr">
        <is>
          <t xml:space="preserve">Mazda</t>
        </is>
      </c>
      <c r="G7617" s="0" t="s">
        <v>171</v>
      </c>
      <c r="H7617" s="5">
        <v>29.526600</v>
      </c>
    </row>
    <row r="7618" spans="1:9">
      <c r="A7618" s="22" t="str">
        <f>HYPERLINK("https://app.vivvix.com/360/KMI/IntelliDrive/ApplUI/Pages/CreativePages/CustomReportCreativeDetail.aspx?App=23&amp;ReportView=4&amp;Qid=1711279&amp;Row=7610&amp;Col=1","No Title Assigned - #15270445820")</f>
        <v/>
      </c>
      <c r="B7618" s="0" t="s">
        <v>10152</v>
      </c>
      <c r="E7618" s="0" t="inlineStr">
        <is>
          <t xml:space="preserve">Mazda</t>
        </is>
      </c>
      <c r="F7618" s="0" t="inlineStr">
        <is>
          <t xml:space="preserve">Mazda</t>
        </is>
      </c>
      <c r="G7618" s="0" t="s">
        <v>171</v>
      </c>
      <c r="H7618" s="5">
        <v>12.824100</v>
      </c>
    </row>
    <row r="7619" spans="1:9">
      <c r="A7619" s="22" t="str">
        <f>HYPERLINK("https://app.vivvix.com/360/KMI/IntelliDrive/ApplUI/Pages/CreativePages/CustomReportCreativeDetail.aspx?App=23&amp;ReportView=4&amp;Qid=1711279&amp;Row=7611&amp;Col=1","No Title Assigned - #15270446039")</f>
        <v/>
      </c>
      <c r="B7619" s="0" t="s">
        <v>10153</v>
      </c>
      <c r="E7619" s="0" t="inlineStr">
        <is>
          <t xml:space="preserve">Mazda</t>
        </is>
      </c>
      <c r="F7619" s="0" t="inlineStr">
        <is>
          <t xml:space="preserve">Mazda</t>
        </is>
      </c>
      <c r="G7619" s="0" t="s">
        <v>171</v>
      </c>
      <c r="H7619" s="5">
        <v>1.781900</v>
      </c>
    </row>
    <row r="7620" spans="1:9">
      <c r="A7620" s="22" t="str">
        <f>HYPERLINK("https://app.vivvix.com/360/KMI/IntelliDrive/ApplUI/Pages/CreativePages/CustomReportCreativeDetail.aspx?App=23&amp;ReportView=4&amp;Qid=1711279&amp;Row=7612&amp;Col=1","No Title Assigned - #15270446110")</f>
        <v/>
      </c>
      <c r="B7620" s="0" t="s">
        <v>10154</v>
      </c>
      <c r="E7620" s="0" t="inlineStr">
        <is>
          <t xml:space="preserve">Mazda</t>
        </is>
      </c>
      <c r="F7620" s="0" t="inlineStr">
        <is>
          <t xml:space="preserve">Mazda</t>
        </is>
      </c>
      <c r="G7620" s="0" t="s">
        <v>171</v>
      </c>
      <c r="H7620" s="5">
        <v>16.516200</v>
      </c>
    </row>
    <row r="7621" spans="1:9">
      <c r="A7621" s="22" t="str">
        <f>HYPERLINK("https://app.vivvix.com/360/KMI/IntelliDrive/ApplUI/Pages/CreativePages/CustomReportCreativeDetail.aspx?App=23&amp;ReportView=4&amp;Qid=1711279&amp;Row=7613&amp;Col=1","No Title Assigned - #15270446217")</f>
        <v/>
      </c>
      <c r="B7621" s="0" t="s">
        <v>10155</v>
      </c>
      <c r="E7621" s="0" t="inlineStr">
        <is>
          <t xml:space="preserve">Mazda</t>
        </is>
      </c>
      <c r="F7621" s="0" t="inlineStr">
        <is>
          <t xml:space="preserve">Mazda</t>
        </is>
      </c>
      <c r="G7621" s="0" t="s">
        <v>171</v>
      </c>
      <c r="H7621" s="5">
        <v>192.342400</v>
      </c>
    </row>
    <row r="7622" spans="1:9">
      <c r="A7622" s="22" t="str">
        <f>HYPERLINK("https://app.vivvix.com/360/KMI/IntelliDrive/ApplUI/Pages/CreativePages/CustomReportCreativeDetail.aspx?App=23&amp;ReportView=4&amp;Qid=1711279&amp;Row=7614&amp;Col=1","No Title Assigned - #15270446257")</f>
        <v/>
      </c>
      <c r="B7622" s="0" t="s">
        <v>10156</v>
      </c>
      <c r="E7622" s="0" t="inlineStr">
        <is>
          <t xml:space="preserve">Mazda</t>
        </is>
      </c>
      <c r="F7622" s="0" t="inlineStr">
        <is>
          <t xml:space="preserve">Mazda</t>
        </is>
      </c>
      <c r="G7622" s="0" t="s">
        <v>171</v>
      </c>
      <c r="H7622" s="5">
        <v>19.917600</v>
      </c>
    </row>
    <row r="7623" spans="1:9">
      <c r="A7623" s="22" t="str">
        <f>HYPERLINK("https://app.vivvix.com/360/KMI/IntelliDrive/ApplUI/Pages/CreativePages/CustomReportCreativeDetail.aspx?App=23&amp;ReportView=4&amp;Qid=1711279&amp;Row=7615&amp;Col=1","No Title Assigned - #15270446292")</f>
        <v/>
      </c>
      <c r="B7623" s="0" t="s">
        <v>10157</v>
      </c>
      <c r="E7623" s="0" t="inlineStr">
        <is>
          <t xml:space="preserve">Mazda</t>
        </is>
      </c>
      <c r="F7623" s="0" t="inlineStr">
        <is>
          <t xml:space="preserve">Mazda</t>
        </is>
      </c>
      <c r="G7623" s="0" t="s">
        <v>171</v>
      </c>
      <c r="H7623" s="5">
        <v>1231.856000</v>
      </c>
    </row>
    <row r="7624" spans="1:9">
      <c r="A7624" s="22" t="str">
        <f>HYPERLINK("https://app.vivvix.com/360/KMI/IntelliDrive/ApplUI/Pages/CreativePages/CustomReportCreativeDetail.aspx?App=23&amp;ReportView=4&amp;Qid=1711279&amp;Row=7616&amp;Col=1","No Title Assigned - #15270446392")</f>
        <v/>
      </c>
      <c r="B7624" s="0" t="s">
        <v>10158</v>
      </c>
      <c r="E7624" s="0" t="inlineStr">
        <is>
          <t xml:space="preserve">Mazda</t>
        </is>
      </c>
      <c r="F7624" s="0" t="inlineStr">
        <is>
          <t xml:space="preserve">Mazda</t>
        </is>
      </c>
      <c r="G7624" s="0" t="s">
        <v>171</v>
      </c>
      <c r="H7624" s="5">
        <v>211.397500</v>
      </c>
    </row>
    <row r="7625" spans="1:9">
      <c r="A7625" s="22" t="str">
        <f>HYPERLINK("https://app.vivvix.com/360/KMI/IntelliDrive/ApplUI/Pages/CreativePages/CustomReportCreativeDetail.aspx?App=23&amp;ReportView=4&amp;Qid=1711279&amp;Row=7617&amp;Col=1","No Title Assigned - #15270446655")</f>
        <v/>
      </c>
      <c r="B7625" s="0" t="s">
        <v>10159</v>
      </c>
      <c r="C7625" s="0" t="s">
        <v>10160</v>
      </c>
      <c r="D7625" s="0" t="s">
        <v>10160</v>
      </c>
      <c r="E7625" s="0" t="inlineStr">
        <is>
          <t xml:space="preserve">Mazda</t>
        </is>
      </c>
      <c r="F7625" s="0" t="inlineStr">
        <is>
          <t xml:space="preserve">Mazda</t>
        </is>
      </c>
      <c r="G7625" s="0" t="s">
        <v>171</v>
      </c>
      <c r="H7625" s="5">
        <v>747.447400</v>
      </c>
    </row>
    <row r="7626" spans="1:9">
      <c r="A7626" s="22" t="str">
        <f>HYPERLINK("https://app.vivvix.com/360/KMI/IntelliDrive/ApplUI/Pages/CreativePages/CustomReportCreativeDetail.aspx?App=23&amp;ReportView=4&amp;Qid=1711279&amp;Row=7618&amp;Col=1","No Title Assigned - #15270446663")</f>
        <v/>
      </c>
      <c r="B7626" s="0" t="s">
        <v>10161</v>
      </c>
      <c r="E7626" s="0" t="inlineStr">
        <is>
          <t xml:space="preserve">Mazda</t>
        </is>
      </c>
      <c r="F7626" s="0" t="inlineStr">
        <is>
          <t xml:space="preserve">Mazda</t>
        </is>
      </c>
      <c r="G7626" s="0" t="s">
        <v>171</v>
      </c>
      <c r="H7626" s="5">
        <v>608.914400</v>
      </c>
    </row>
    <row r="7627" spans="1:9">
      <c r="A7627" s="22" t="str">
        <f>HYPERLINK("https://app.vivvix.com/360/KMI/IntelliDrive/ApplUI/Pages/CreativePages/CustomReportCreativeDetail.aspx?App=23&amp;ReportView=4&amp;Qid=1711279&amp;Row=7619&amp;Col=1","No Title Assigned - #15270446663")</f>
        <v/>
      </c>
      <c r="B7627" s="0" t="s">
        <v>10161</v>
      </c>
      <c r="E7627" s="0" t="inlineStr">
        <is>
          <t xml:space="preserve">Mazda</t>
        </is>
      </c>
      <c r="F7627" s="0" t="inlineStr">
        <is>
          <t xml:space="preserve">Mazda</t>
        </is>
      </c>
      <c r="G7627" s="0" t="s">
        <v>171</v>
      </c>
      <c r="H7627" s="5">
        <v>176.855800</v>
      </c>
    </row>
    <row r="7628" spans="1:9">
      <c r="A7628" s="22" t="str">
        <f>HYPERLINK("https://app.vivvix.com/360/KMI/IntelliDrive/ApplUI/Pages/CreativePages/CustomReportCreativeDetail.aspx?App=23&amp;ReportView=4&amp;Qid=1711279&amp;Row=7620&amp;Col=1","No Title Assigned - #15270446817")</f>
        <v/>
      </c>
      <c r="B7628" s="0" t="s">
        <v>10162</v>
      </c>
      <c r="E7628" s="0" t="inlineStr">
        <is>
          <t xml:space="preserve">Mazda</t>
        </is>
      </c>
      <c r="F7628" s="0" t="inlineStr">
        <is>
          <t xml:space="preserve">Mazda</t>
        </is>
      </c>
      <c r="G7628" s="0" t="s">
        <v>171</v>
      </c>
      <c r="H7628" s="5">
        <v>474.144000</v>
      </c>
    </row>
    <row r="7629" spans="1:9">
      <c r="A7629" s="22" t="str">
        <f>HYPERLINK("https://app.vivvix.com/360/KMI/IntelliDrive/ApplUI/Pages/CreativePages/CustomReportCreativeDetail.aspx?App=23&amp;ReportView=4&amp;Qid=1711279&amp;Row=7621&amp;Col=1","No Title Assigned - #15270446928")</f>
        <v/>
      </c>
      <c r="B7629" s="0" t="s">
        <v>10163</v>
      </c>
      <c r="E7629" s="0" t="inlineStr">
        <is>
          <t xml:space="preserve">Mazda</t>
        </is>
      </c>
      <c r="F7629" s="0" t="inlineStr">
        <is>
          <t xml:space="preserve">Mazda</t>
        </is>
      </c>
      <c r="G7629" s="0" t="s">
        <v>171</v>
      </c>
      <c r="H7629" s="5">
        <v>246.823500</v>
      </c>
    </row>
    <row r="7630" spans="1:9">
      <c r="A7630" s="22" t="str">
        <f>HYPERLINK("https://app.vivvix.com/360/KMI/IntelliDrive/ApplUI/Pages/CreativePages/CustomReportCreativeDetail.aspx?App=23&amp;ReportView=4&amp;Qid=1711279&amp;Row=7622&amp;Col=1","No Title Assigned - #15270446929")</f>
        <v/>
      </c>
      <c r="B7630" s="0" t="s">
        <v>10164</v>
      </c>
      <c r="E7630" s="0" t="inlineStr">
        <is>
          <t xml:space="preserve">Mazda</t>
        </is>
      </c>
      <c r="F7630" s="0" t="inlineStr">
        <is>
          <t xml:space="preserve">Mazda</t>
        </is>
      </c>
      <c r="G7630" s="0" t="s">
        <v>171</v>
      </c>
      <c r="H7630" s="5">
        <v>246.823500</v>
      </c>
    </row>
    <row r="7631" spans="1:9">
      <c r="A7631" s="22" t="str">
        <f>HYPERLINK("https://app.vivvix.com/360/KMI/IntelliDrive/ApplUI/Pages/CreativePages/CustomReportCreativeDetail.aspx?App=23&amp;ReportView=4&amp;Qid=1711279&amp;Row=7623&amp;Col=1","No Title Assigned - #15270447003")</f>
        <v/>
      </c>
      <c r="B7631" s="0" t="s">
        <v>10165</v>
      </c>
      <c r="E7631" s="0" t="inlineStr">
        <is>
          <t xml:space="preserve">Mazda</t>
        </is>
      </c>
      <c r="F7631" s="0" t="inlineStr">
        <is>
          <t xml:space="preserve">Mazda</t>
        </is>
      </c>
      <c r="G7631" s="0" t="s">
        <v>171</v>
      </c>
      <c r="H7631" s="5">
        <v>867.409100</v>
      </c>
    </row>
    <row r="7632" spans="1:9">
      <c r="A7632" s="22" t="str">
        <f>HYPERLINK("https://app.vivvix.com/360/KMI/IntelliDrive/ApplUI/Pages/CreativePages/CustomReportCreativeDetail.aspx?App=23&amp;ReportView=4&amp;Qid=1711279&amp;Row=7624&amp;Col=1","No Title Assigned - #15270447004")</f>
        <v/>
      </c>
      <c r="B7632" s="0" t="s">
        <v>10166</v>
      </c>
      <c r="E7632" s="0" t="inlineStr">
        <is>
          <t xml:space="preserve">Mazda</t>
        </is>
      </c>
      <c r="F7632" s="0" t="inlineStr">
        <is>
          <t xml:space="preserve">Mazda</t>
        </is>
      </c>
      <c r="G7632" s="0" t="s">
        <v>171</v>
      </c>
      <c r="H7632" s="5">
        <v>61.949800</v>
      </c>
    </row>
    <row r="7633" spans="1:9">
      <c r="A7633" s="22" t="str">
        <f>HYPERLINK("https://app.vivvix.com/360/KMI/IntelliDrive/ApplUI/Pages/CreativePages/CustomReportCreativeDetail.aspx?App=23&amp;ReportView=4&amp;Qid=1711279&amp;Row=7625&amp;Col=1","No Title Assigned - #15270447166")</f>
        <v/>
      </c>
      <c r="B7633" s="0" t="s">
        <v>10167</v>
      </c>
      <c r="E7633" s="0" t="inlineStr">
        <is>
          <t xml:space="preserve">Mazda</t>
        </is>
      </c>
      <c r="F7633" s="0" t="inlineStr">
        <is>
          <t xml:space="preserve">Mazda</t>
        </is>
      </c>
      <c r="G7633" s="0" t="s">
        <v>171</v>
      </c>
      <c r="H7633" s="5">
        <v>51.691100</v>
      </c>
    </row>
    <row r="7634" spans="1:9">
      <c r="A7634" s="22" t="str">
        <f>HYPERLINK("https://app.vivvix.com/360/KMI/IntelliDrive/ApplUI/Pages/CreativePages/CustomReportCreativeDetail.aspx?App=23&amp;ReportView=4&amp;Qid=1711279&amp;Row=7626&amp;Col=1","No Title Assigned - #15270447634")</f>
        <v/>
      </c>
      <c r="B7634" s="0" t="s">
        <v>10168</v>
      </c>
      <c r="E7634" s="0" t="inlineStr">
        <is>
          <t xml:space="preserve">Mazda</t>
        </is>
      </c>
      <c r="F7634" s="0" t="inlineStr">
        <is>
          <t xml:space="preserve">Mazda</t>
        </is>
      </c>
      <c r="G7634" s="0" t="s">
        <v>171</v>
      </c>
      <c r="H7634" s="5">
        <v>8.958800</v>
      </c>
    </row>
    <row r="7635" spans="1:9">
      <c r="A7635" s="22" t="str">
        <f>HYPERLINK("https://app.vivvix.com/360/KMI/IntelliDrive/ApplUI/Pages/CreativePages/CustomReportCreativeDetail.aspx?App=23&amp;ReportView=4&amp;Qid=1711279&amp;Row=7627&amp;Col=1","No Title Assigned - #15270447780")</f>
        <v/>
      </c>
      <c r="B7635" s="0" t="s">
        <v>10169</v>
      </c>
      <c r="E7635" s="0" t="inlineStr">
        <is>
          <t xml:space="preserve">Mazda</t>
        </is>
      </c>
      <c r="F7635" s="0" t="inlineStr">
        <is>
          <t xml:space="preserve">Mazda</t>
        </is>
      </c>
      <c r="G7635" s="0" t="s">
        <v>171</v>
      </c>
      <c r="H7635" s="5">
        <v>1110.821000</v>
      </c>
    </row>
    <row r="7636" spans="1:9">
      <c r="A7636" s="22" t="str">
        <f>HYPERLINK("https://app.vivvix.com/360/KMI/IntelliDrive/ApplUI/Pages/CreativePages/CustomReportCreativeDetail.aspx?App=23&amp;ReportView=4&amp;Qid=1711279&amp;Row=7628&amp;Col=1","No Title Assigned - #15270447846")</f>
        <v/>
      </c>
      <c r="B7636" s="0" t="s">
        <v>10170</v>
      </c>
      <c r="E7636" s="0" t="inlineStr">
        <is>
          <t xml:space="preserve">Mazda</t>
        </is>
      </c>
      <c r="F7636" s="0" t="inlineStr">
        <is>
          <t xml:space="preserve">Mazda</t>
        </is>
      </c>
      <c r="G7636" s="0" t="s">
        <v>171</v>
      </c>
      <c r="H7636" s="5">
        <v>12.925500</v>
      </c>
    </row>
    <row r="7637" spans="1:9">
      <c r="A7637" s="22" t="str">
        <f>HYPERLINK("https://app.vivvix.com/360/KMI/IntelliDrive/ApplUI/Pages/CreativePages/CustomReportCreativeDetail.aspx?App=23&amp;ReportView=4&amp;Qid=1711279&amp;Row=7629&amp;Col=1","No Title Assigned - #15270447895")</f>
        <v/>
      </c>
      <c r="B7637" s="0" t="s">
        <v>10171</v>
      </c>
      <c r="E7637" s="0" t="inlineStr">
        <is>
          <t xml:space="preserve">Mazda</t>
        </is>
      </c>
      <c r="F7637" s="0" t="inlineStr">
        <is>
          <t xml:space="preserve">Mazda</t>
        </is>
      </c>
      <c r="G7637" s="0" t="s">
        <v>171</v>
      </c>
      <c r="H7637" s="5">
        <v>9.256600</v>
      </c>
    </row>
    <row r="7638" spans="1:9">
      <c r="A7638" s="22" t="str">
        <f>HYPERLINK("https://app.vivvix.com/360/KMI/IntelliDrive/ApplUI/Pages/CreativePages/CustomReportCreativeDetail.aspx?App=23&amp;ReportView=4&amp;Qid=1711279&amp;Row=7630&amp;Col=1","No Title Assigned - #15270447934")</f>
        <v/>
      </c>
      <c r="B7638" s="0" t="s">
        <v>10172</v>
      </c>
      <c r="E7638" s="0" t="inlineStr">
        <is>
          <t xml:space="preserve">Mazda</t>
        </is>
      </c>
      <c r="F7638" s="0" t="inlineStr">
        <is>
          <t xml:space="preserve">Mazda</t>
        </is>
      </c>
      <c r="G7638" s="0" t="s">
        <v>171</v>
      </c>
      <c r="H7638" s="5">
        <v>679.753600</v>
      </c>
    </row>
    <row r="7639" spans="1:9">
      <c r="A7639" s="22" t="str">
        <f>HYPERLINK("https://app.vivvix.com/360/KMI/IntelliDrive/ApplUI/Pages/CreativePages/CustomReportCreativeDetail.aspx?App=23&amp;ReportView=4&amp;Qid=1711279&amp;Row=7631&amp;Col=1","No Title Assigned - #15270447976")</f>
        <v/>
      </c>
      <c r="B7639" s="0" t="s">
        <v>10173</v>
      </c>
      <c r="E7639" s="0" t="inlineStr">
        <is>
          <t xml:space="preserve">Mazda</t>
        </is>
      </c>
      <c r="F7639" s="0" t="inlineStr">
        <is>
          <t xml:space="preserve">Mazda</t>
        </is>
      </c>
      <c r="G7639" s="0" t="s">
        <v>171</v>
      </c>
      <c r="H7639" s="5">
        <v>220.153400</v>
      </c>
    </row>
    <row r="7640" spans="1:9">
      <c r="A7640" s="22" t="str">
        <f>HYPERLINK("https://app.vivvix.com/360/KMI/IntelliDrive/ApplUI/Pages/CreativePages/CustomReportCreativeDetail.aspx?App=23&amp;ReportView=4&amp;Qid=1711279&amp;Row=7632&amp;Col=1","No Title Assigned - #15270448196")</f>
        <v/>
      </c>
      <c r="B7640" s="0" t="s">
        <v>10174</v>
      </c>
      <c r="E7640" s="0" t="inlineStr">
        <is>
          <t xml:space="preserve">Mazda</t>
        </is>
      </c>
      <c r="F7640" s="0" t="inlineStr">
        <is>
          <t xml:space="preserve">Mazda</t>
        </is>
      </c>
      <c r="G7640" s="0" t="s">
        <v>171</v>
      </c>
      <c r="H7640" s="5">
        <v>340.918800</v>
      </c>
    </row>
    <row r="7641" spans="1:9">
      <c r="A7641" s="22" t="str">
        <f>HYPERLINK("https://app.vivvix.com/360/KMI/IntelliDrive/ApplUI/Pages/CreativePages/CustomReportCreativeDetail.aspx?App=23&amp;ReportView=4&amp;Qid=1711279&amp;Row=7633&amp;Col=1","No Title Assigned - #15270448262")</f>
        <v/>
      </c>
      <c r="B7641" s="0" t="s">
        <v>10175</v>
      </c>
      <c r="E7641" s="0" t="inlineStr">
        <is>
          <t xml:space="preserve">Mazda</t>
        </is>
      </c>
      <c r="F7641" s="0" t="inlineStr">
        <is>
          <t xml:space="preserve">Mazda</t>
        </is>
      </c>
      <c r="G7641" s="0" t="s">
        <v>171</v>
      </c>
      <c r="H7641" s="5">
        <v>262.234800</v>
      </c>
    </row>
    <row r="7642" spans="1:9">
      <c r="A7642" s="22" t="str">
        <f>HYPERLINK("https://app.vivvix.com/360/KMI/IntelliDrive/ApplUI/Pages/CreativePages/CustomReportCreativeDetail.aspx?App=23&amp;ReportView=4&amp;Qid=1711279&amp;Row=7634&amp;Col=1","No Title Assigned - #15270448270")</f>
        <v/>
      </c>
      <c r="B7642" s="0" t="s">
        <v>10176</v>
      </c>
      <c r="E7642" s="0" t="inlineStr">
        <is>
          <t xml:space="preserve">Mazda</t>
        </is>
      </c>
      <c r="F7642" s="0" t="inlineStr">
        <is>
          <t xml:space="preserve">Mazda</t>
        </is>
      </c>
      <c r="G7642" s="0" t="s">
        <v>171</v>
      </c>
      <c r="H7642" s="5">
        <v>15.123400</v>
      </c>
    </row>
    <row r="7643" spans="1:9">
      <c r="A7643" s="22" t="str">
        <f>HYPERLINK("https://app.vivvix.com/360/KMI/IntelliDrive/ApplUI/Pages/CreativePages/CustomReportCreativeDetail.aspx?App=23&amp;ReportView=4&amp;Qid=1711279&amp;Row=7635&amp;Col=1","No Title Assigned - #15270448420")</f>
        <v/>
      </c>
      <c r="B7643" s="0" t="s">
        <v>10177</v>
      </c>
      <c r="E7643" s="0" t="inlineStr">
        <is>
          <t xml:space="preserve">Mazda</t>
        </is>
      </c>
      <c r="F7643" s="0" t="inlineStr">
        <is>
          <t xml:space="preserve">Mazda</t>
        </is>
      </c>
      <c r="G7643" s="0" t="s">
        <v>171</v>
      </c>
      <c r="H7643" s="5">
        <v>1630.760700</v>
      </c>
    </row>
    <row r="7644" spans="1:9">
      <c r="A7644" s="22" t="str">
        <f>HYPERLINK("https://app.vivvix.com/360/KMI/IntelliDrive/ApplUI/Pages/CreativePages/CustomReportCreativeDetail.aspx?App=23&amp;ReportView=4&amp;Qid=1711279&amp;Row=7636&amp;Col=1","No Title Assigned - #15270448517")</f>
        <v/>
      </c>
      <c r="B7644" s="0" t="s">
        <v>10178</v>
      </c>
      <c r="E7644" s="0" t="inlineStr">
        <is>
          <t xml:space="preserve">Mazda</t>
        </is>
      </c>
      <c r="F7644" s="0" t="inlineStr">
        <is>
          <t xml:space="preserve">Mazda</t>
        </is>
      </c>
      <c r="G7644" s="0" t="s">
        <v>171</v>
      </c>
      <c r="H7644" s="5">
        <v>1.781900</v>
      </c>
    </row>
    <row r="7645" spans="1:9">
      <c r="A7645" s="22" t="str">
        <f>HYPERLINK("https://app.vivvix.com/360/KMI/IntelliDrive/ApplUI/Pages/CreativePages/CustomReportCreativeDetail.aspx?App=23&amp;ReportView=4&amp;Qid=1711279&amp;Row=7637&amp;Col=1","No Title Assigned - #15270448559")</f>
        <v/>
      </c>
      <c r="B7645" s="0" t="s">
        <v>10179</v>
      </c>
      <c r="E7645" s="0" t="inlineStr">
        <is>
          <t xml:space="preserve">Mazda</t>
        </is>
      </c>
      <c r="F7645" s="0" t="inlineStr">
        <is>
          <t xml:space="preserve">Mazda</t>
        </is>
      </c>
      <c r="G7645" s="0" t="s">
        <v>171</v>
      </c>
      <c r="H7645" s="5">
        <v>19.702300</v>
      </c>
    </row>
    <row r="7646" spans="1:9">
      <c r="A7646" s="22" t="str">
        <f>HYPERLINK("https://app.vivvix.com/360/KMI/IntelliDrive/ApplUI/Pages/CreativePages/CustomReportCreativeDetail.aspx?App=23&amp;ReportView=4&amp;Qid=1711279&amp;Row=7638&amp;Col=1","No Title Assigned - #15270448797")</f>
        <v/>
      </c>
      <c r="B7646" s="0" t="s">
        <v>10180</v>
      </c>
      <c r="E7646" s="0" t="inlineStr">
        <is>
          <t xml:space="preserve">Mazda</t>
        </is>
      </c>
      <c r="F7646" s="0" t="inlineStr">
        <is>
          <t xml:space="preserve">Mazda</t>
        </is>
      </c>
      <c r="G7646" s="0" t="s">
        <v>171</v>
      </c>
      <c r="H7646" s="5">
        <v>19.435000</v>
      </c>
    </row>
    <row r="7647" spans="1:9">
      <c r="A7647" s="22" t="str">
        <f>HYPERLINK("https://app.vivvix.com/360/KMI/IntelliDrive/ApplUI/Pages/CreativePages/CustomReportCreativeDetail.aspx?App=23&amp;ReportView=4&amp;Qid=1711279&amp;Row=7639&amp;Col=1","No Title Assigned - #15270449128")</f>
        <v/>
      </c>
      <c r="B7647" s="0" t="s">
        <v>10181</v>
      </c>
      <c r="C7647" s="0" t="s">
        <v>10182</v>
      </c>
      <c r="D7647" s="0" t="s">
        <v>10182</v>
      </c>
      <c r="E7647" s="0" t="inlineStr">
        <is>
          <t xml:space="preserve">Mazda</t>
        </is>
      </c>
      <c r="F7647" s="0" t="inlineStr">
        <is>
          <t xml:space="preserve">Mazda</t>
        </is>
      </c>
      <c r="G7647" s="0" t="s">
        <v>171</v>
      </c>
      <c r="H7647" s="5">
        <v>38.440200</v>
      </c>
    </row>
    <row r="7648" spans="1:9">
      <c r="A7648" s="22" t="str">
        <f>HYPERLINK("https://app.vivvix.com/360/KMI/IntelliDrive/ApplUI/Pages/CreativePages/CustomReportCreativeDetail.aspx?App=23&amp;ReportView=4&amp;Qid=1711279&amp;Row=7640&amp;Col=1","No Title Assigned - #15270449128")</f>
        <v/>
      </c>
      <c r="B7648" s="0" t="s">
        <v>10181</v>
      </c>
      <c r="E7648" s="0" t="inlineStr">
        <is>
          <t xml:space="preserve">Mazda</t>
        </is>
      </c>
      <c r="F7648" s="0" t="inlineStr">
        <is>
          <t xml:space="preserve">Mazda</t>
        </is>
      </c>
      <c r="G7648" s="0" t="s">
        <v>171</v>
      </c>
      <c r="H7648" s="5">
        <v>314.506300</v>
      </c>
    </row>
    <row r="7649" spans="1:9">
      <c r="A7649" s="22" t="str">
        <f>HYPERLINK("https://app.vivvix.com/360/KMI/IntelliDrive/ApplUI/Pages/CreativePages/CustomReportCreativeDetail.aspx?App=23&amp;ReportView=4&amp;Qid=1711279&amp;Row=7641&amp;Col=1","No Title Assigned - #15270449171")</f>
        <v/>
      </c>
      <c r="B7649" s="0" t="s">
        <v>10183</v>
      </c>
      <c r="E7649" s="0" t="inlineStr">
        <is>
          <t xml:space="preserve">Mazda</t>
        </is>
      </c>
      <c r="F7649" s="0" t="inlineStr">
        <is>
          <t xml:space="preserve">Mazda</t>
        </is>
      </c>
      <c r="G7649" s="0" t="s">
        <v>171</v>
      </c>
      <c r="H7649" s="5">
        <v>50.591300</v>
      </c>
    </row>
    <row r="7650" spans="1:9">
      <c r="A7650" s="22" t="str">
        <f>HYPERLINK("https://app.vivvix.com/360/KMI/IntelliDrive/ApplUI/Pages/CreativePages/CustomReportCreativeDetail.aspx?App=23&amp;ReportView=4&amp;Qid=1711279&amp;Row=7642&amp;Col=1","No Title Assigned - #15270449286")</f>
        <v/>
      </c>
      <c r="B7650" s="0" t="s">
        <v>10184</v>
      </c>
      <c r="E7650" s="0" t="inlineStr">
        <is>
          <t xml:space="preserve">Mazda</t>
        </is>
      </c>
      <c r="F7650" s="0" t="inlineStr">
        <is>
          <t xml:space="preserve">Mazda</t>
        </is>
      </c>
      <c r="G7650" s="0" t="s">
        <v>171</v>
      </c>
      <c r="H7650" s="5">
        <v>75.414000</v>
      </c>
    </row>
    <row r="7651" spans="1:9">
      <c r="A7651" s="22" t="str">
        <f>HYPERLINK("https://app.vivvix.com/360/KMI/IntelliDrive/ApplUI/Pages/CreativePages/CustomReportCreativeDetail.aspx?App=23&amp;ReportView=4&amp;Qid=1711279&amp;Row=7643&amp;Col=1","No Title Assigned - #15270449404")</f>
        <v/>
      </c>
      <c r="B7651" s="0" t="s">
        <v>10185</v>
      </c>
      <c r="E7651" s="0" t="inlineStr">
        <is>
          <t xml:space="preserve">Mazda</t>
        </is>
      </c>
      <c r="F7651" s="0" t="inlineStr">
        <is>
          <t xml:space="preserve">Mazda</t>
        </is>
      </c>
      <c r="G7651" s="0" t="s">
        <v>171</v>
      </c>
      <c r="H7651" s="5">
        <v>171.333000</v>
      </c>
    </row>
    <row r="7652" spans="1:9">
      <c r="A7652" s="22" t="str">
        <f>HYPERLINK("https://app.vivvix.com/360/KMI/IntelliDrive/ApplUI/Pages/CreativePages/CustomReportCreativeDetail.aspx?App=23&amp;ReportView=4&amp;Qid=1711279&amp;Row=7644&amp;Col=1","No Title Assigned - #15270449445")</f>
        <v/>
      </c>
      <c r="B7652" s="0" t="s">
        <v>10186</v>
      </c>
      <c r="E7652" s="0" t="inlineStr">
        <is>
          <t xml:space="preserve">Mazda</t>
        </is>
      </c>
      <c r="F7652" s="0" t="inlineStr">
        <is>
          <t xml:space="preserve">Mazda</t>
        </is>
      </c>
      <c r="G7652" s="0" t="s">
        <v>171</v>
      </c>
      <c r="H7652" s="5">
        <v>715.505700</v>
      </c>
    </row>
    <row r="7653" spans="1:9">
      <c r="A7653" s="22" t="str">
        <f>HYPERLINK("https://app.vivvix.com/360/KMI/IntelliDrive/ApplUI/Pages/CreativePages/CustomReportCreativeDetail.aspx?App=23&amp;ReportView=4&amp;Qid=1711279&amp;Row=7645&amp;Col=1","No Title Assigned - #15270449445")</f>
        <v/>
      </c>
      <c r="B7653" s="0" t="s">
        <v>10186</v>
      </c>
      <c r="E7653" s="0" t="inlineStr">
        <is>
          <t xml:space="preserve">Mazda</t>
        </is>
      </c>
      <c r="F7653" s="0" t="inlineStr">
        <is>
          <t xml:space="preserve">Mazda</t>
        </is>
      </c>
      <c r="G7653" s="0" t="s">
        <v>171</v>
      </c>
      <c r="H7653" s="5">
        <v>46.730800</v>
      </c>
    </row>
    <row r="7654" spans="1:9">
      <c r="A7654" s="22" t="str">
        <f>HYPERLINK("https://app.vivvix.com/360/KMI/IntelliDrive/ApplUI/Pages/CreativePages/CustomReportCreativeDetail.aspx?App=23&amp;ReportView=4&amp;Qid=1711279&amp;Row=7646&amp;Col=1","No Title Assigned - #15270449506")</f>
        <v/>
      </c>
      <c r="B7654" s="0" t="s">
        <v>10187</v>
      </c>
      <c r="E7654" s="0" t="inlineStr">
        <is>
          <t xml:space="preserve">Mazda</t>
        </is>
      </c>
      <c r="F7654" s="0" t="inlineStr">
        <is>
          <t xml:space="preserve">Mazda</t>
        </is>
      </c>
      <c r="G7654" s="0" t="s">
        <v>171</v>
      </c>
      <c r="H7654" s="5">
        <v>428.798200</v>
      </c>
    </row>
    <row r="7655" spans="1:9">
      <c r="A7655" s="22" t="str">
        <f>HYPERLINK("https://app.vivvix.com/360/KMI/IntelliDrive/ApplUI/Pages/CreativePages/CustomReportCreativeDetail.aspx?App=23&amp;ReportView=4&amp;Qid=1711279&amp;Row=7647&amp;Col=1","No Title Assigned - #15270449513")</f>
        <v/>
      </c>
      <c r="B7655" s="0" t="s">
        <v>10188</v>
      </c>
      <c r="E7655" s="0" t="inlineStr">
        <is>
          <t xml:space="preserve">Mazda</t>
        </is>
      </c>
      <c r="F7655" s="0" t="inlineStr">
        <is>
          <t xml:space="preserve">Mazda</t>
        </is>
      </c>
      <c r="G7655" s="0" t="s">
        <v>171</v>
      </c>
      <c r="H7655" s="5">
        <v>34.792800</v>
      </c>
    </row>
    <row r="7656" spans="1:9">
      <c r="A7656" s="22" t="str">
        <f>HYPERLINK("https://app.vivvix.com/360/KMI/IntelliDrive/ApplUI/Pages/CreativePages/CustomReportCreativeDetail.aspx?App=23&amp;ReportView=4&amp;Qid=1711279&amp;Row=7648&amp;Col=1","No Title Assigned - #15270449554")</f>
        <v/>
      </c>
      <c r="B7656" s="0" t="s">
        <v>10189</v>
      </c>
      <c r="E7656" s="0" t="inlineStr">
        <is>
          <t xml:space="preserve">Mazda</t>
        </is>
      </c>
      <c r="F7656" s="0" t="inlineStr">
        <is>
          <t xml:space="preserve">Mazda</t>
        </is>
      </c>
      <c r="G7656" s="0" t="s">
        <v>171</v>
      </c>
      <c r="H7656" s="5">
        <v>51.780700</v>
      </c>
    </row>
    <row r="7657" spans="1:9">
      <c r="A7657" s="22" t="str">
        <f>HYPERLINK("https://app.vivvix.com/360/KMI/IntelliDrive/ApplUI/Pages/CreativePages/CustomReportCreativeDetail.aspx?App=23&amp;ReportView=4&amp;Qid=1711279&amp;Row=7649&amp;Col=1","No Title Assigned - #15270449831")</f>
        <v/>
      </c>
      <c r="B7657" s="0" t="s">
        <v>10190</v>
      </c>
      <c r="E7657" s="0" t="inlineStr">
        <is>
          <t xml:space="preserve">Mazda</t>
        </is>
      </c>
      <c r="F7657" s="0" t="inlineStr">
        <is>
          <t xml:space="preserve">Mazda</t>
        </is>
      </c>
      <c r="G7657" s="0" t="s">
        <v>171</v>
      </c>
      <c r="H7657" s="5">
        <v>0.952900</v>
      </c>
    </row>
    <row r="7658" spans="1:9">
      <c r="A7658" s="22" t="str">
        <f>HYPERLINK("https://app.vivvix.com/360/KMI/IntelliDrive/ApplUI/Pages/CreativePages/CustomReportCreativeDetail.aspx?App=23&amp;ReportView=4&amp;Qid=1711279&amp;Row=7650&amp;Col=1","No Title Assigned - #15270449849")</f>
        <v/>
      </c>
      <c r="B7658" s="0" t="s">
        <v>10191</v>
      </c>
      <c r="E7658" s="0" t="inlineStr">
        <is>
          <t xml:space="preserve">Mazda</t>
        </is>
      </c>
      <c r="F7658" s="0" t="inlineStr">
        <is>
          <t xml:space="preserve">Mazda</t>
        </is>
      </c>
      <c r="G7658" s="0" t="s">
        <v>171</v>
      </c>
      <c r="H7658" s="5">
        <v>14.241300</v>
      </c>
    </row>
    <row r="7659" spans="1:9">
      <c r="A7659" s="22" t="str">
        <f>HYPERLINK("https://app.vivvix.com/360/KMI/IntelliDrive/ApplUI/Pages/CreativePages/CustomReportCreativeDetail.aspx?App=23&amp;ReportView=4&amp;Qid=1711279&amp;Row=7651&amp;Col=1","No Title Assigned - #15270450034")</f>
        <v/>
      </c>
      <c r="B7659" s="0" t="s">
        <v>10192</v>
      </c>
      <c r="E7659" s="0" t="inlineStr">
        <is>
          <t xml:space="preserve">Mazda</t>
        </is>
      </c>
      <c r="F7659" s="0" t="inlineStr">
        <is>
          <t xml:space="preserve">Mazda</t>
        </is>
      </c>
      <c r="G7659" s="0" t="s">
        <v>171</v>
      </c>
      <c r="H7659" s="5">
        <v>76.820600</v>
      </c>
    </row>
    <row r="7660" spans="1:9">
      <c r="A7660" s="22" t="str">
        <f>HYPERLINK("https://app.vivvix.com/360/KMI/IntelliDrive/ApplUI/Pages/CreativePages/CustomReportCreativeDetail.aspx?App=23&amp;ReportView=4&amp;Qid=1711279&amp;Row=7652&amp;Col=1","No Title Assigned - #15270450034")</f>
        <v/>
      </c>
      <c r="B7660" s="0" t="s">
        <v>10192</v>
      </c>
      <c r="E7660" s="0" t="inlineStr">
        <is>
          <t xml:space="preserve">Mazda</t>
        </is>
      </c>
      <c r="F7660" s="0" t="inlineStr">
        <is>
          <t xml:space="preserve">Mazda</t>
        </is>
      </c>
      <c r="G7660" s="0" t="s">
        <v>171</v>
      </c>
      <c r="H7660" s="5">
        <v>10515.385700</v>
      </c>
    </row>
    <row r="7661" spans="1:9">
      <c r="A7661" s="22" t="str">
        <f>HYPERLINK("https://app.vivvix.com/360/KMI/IntelliDrive/ApplUI/Pages/CreativePages/CustomReportCreativeDetail.aspx?App=23&amp;ReportView=4&amp;Qid=1711279&amp;Row=7653&amp;Col=1","No Title Assigned - #15270450086")</f>
        <v/>
      </c>
      <c r="B7661" s="0" t="s">
        <v>10193</v>
      </c>
      <c r="E7661" s="0" t="inlineStr">
        <is>
          <t xml:space="preserve">Mazda</t>
        </is>
      </c>
      <c r="F7661" s="0" t="inlineStr">
        <is>
          <t xml:space="preserve">Mazda</t>
        </is>
      </c>
      <c r="G7661" s="0" t="s">
        <v>171</v>
      </c>
      <c r="H7661" s="5">
        <v>12.297200</v>
      </c>
    </row>
    <row r="7662" spans="1:9">
      <c r="A7662" s="22" t="str">
        <f>HYPERLINK("https://app.vivvix.com/360/KMI/IntelliDrive/ApplUI/Pages/CreativePages/CustomReportCreativeDetail.aspx?App=23&amp;ReportView=4&amp;Qid=1711279&amp;Row=7654&amp;Col=1","No Title Assigned - #15270450227")</f>
        <v/>
      </c>
      <c r="B7662" s="0" t="s">
        <v>10194</v>
      </c>
      <c r="E7662" s="0" t="inlineStr">
        <is>
          <t xml:space="preserve">Mazda</t>
        </is>
      </c>
      <c r="F7662" s="0" t="inlineStr">
        <is>
          <t xml:space="preserve">Mazda</t>
        </is>
      </c>
      <c r="G7662" s="0" t="s">
        <v>171</v>
      </c>
      <c r="H7662" s="5">
        <v>163.630500</v>
      </c>
    </row>
    <row r="7663" spans="1:9">
      <c r="A7663" s="22" t="str">
        <f>HYPERLINK("https://app.vivvix.com/360/KMI/IntelliDrive/ApplUI/Pages/CreativePages/CustomReportCreativeDetail.aspx?App=23&amp;ReportView=4&amp;Qid=1711279&amp;Row=7655&amp;Col=1","No Title Assigned - #15270450260")</f>
        <v/>
      </c>
      <c r="B7663" s="0" t="s">
        <v>10195</v>
      </c>
      <c r="E7663" s="0" t="inlineStr">
        <is>
          <t xml:space="preserve">Mazda</t>
        </is>
      </c>
      <c r="F7663" s="0" t="inlineStr">
        <is>
          <t xml:space="preserve">Mazda</t>
        </is>
      </c>
      <c r="G7663" s="0" t="s">
        <v>171</v>
      </c>
      <c r="H7663" s="5">
        <v>373.398100</v>
      </c>
    </row>
    <row r="7664" spans="1:9">
      <c r="A7664" s="22" t="str">
        <f>HYPERLINK("https://app.vivvix.com/360/KMI/IntelliDrive/ApplUI/Pages/CreativePages/CustomReportCreativeDetail.aspx?App=23&amp;ReportView=4&amp;Qid=1711279&amp;Row=7656&amp;Col=1","No Title Assigned - #15270450485")</f>
        <v/>
      </c>
      <c r="B7664" s="0" t="s">
        <v>10196</v>
      </c>
      <c r="E7664" s="0" t="inlineStr">
        <is>
          <t xml:space="preserve">Mazda</t>
        </is>
      </c>
      <c r="F7664" s="0" t="inlineStr">
        <is>
          <t xml:space="preserve">Mazda</t>
        </is>
      </c>
      <c r="G7664" s="0" t="s">
        <v>171</v>
      </c>
      <c r="H7664" s="5">
        <v>223.956700</v>
      </c>
    </row>
    <row r="7665" spans="1:9">
      <c r="A7665" s="22" t="str">
        <f>HYPERLINK("https://app.vivvix.com/360/KMI/IntelliDrive/ApplUI/Pages/CreativePages/CustomReportCreativeDetail.aspx?App=23&amp;ReportView=4&amp;Qid=1711279&amp;Row=7657&amp;Col=1","No Title Assigned - #15270450518")</f>
        <v/>
      </c>
      <c r="B7665" s="0" t="s">
        <v>10197</v>
      </c>
      <c r="E7665" s="0" t="inlineStr">
        <is>
          <t xml:space="preserve">Mazda</t>
        </is>
      </c>
      <c r="F7665" s="0" t="inlineStr">
        <is>
          <t xml:space="preserve">Mazda</t>
        </is>
      </c>
      <c r="G7665" s="0" t="s">
        <v>171</v>
      </c>
      <c r="H7665" s="5">
        <v>14.555600</v>
      </c>
    </row>
    <row r="7666" spans="1:9">
      <c r="A7666" s="22" t="str">
        <f>HYPERLINK("https://app.vivvix.com/360/KMI/IntelliDrive/ApplUI/Pages/CreativePages/CustomReportCreativeDetail.aspx?App=23&amp;ReportView=4&amp;Qid=1711279&amp;Row=7658&amp;Col=1","No Title Assigned - #15270450530")</f>
        <v/>
      </c>
      <c r="B7666" s="0" t="s">
        <v>10198</v>
      </c>
      <c r="E7666" s="0" t="inlineStr">
        <is>
          <t xml:space="preserve">Mazda</t>
        </is>
      </c>
      <c r="F7666" s="0" t="inlineStr">
        <is>
          <t xml:space="preserve">Mazda</t>
        </is>
      </c>
      <c r="G7666" s="0" t="s">
        <v>171</v>
      </c>
      <c r="H7666" s="5">
        <v>263.495500</v>
      </c>
    </row>
    <row r="7667" spans="1:9">
      <c r="A7667" s="22" t="str">
        <f>HYPERLINK("https://app.vivvix.com/360/KMI/IntelliDrive/ApplUI/Pages/CreativePages/CustomReportCreativeDetail.aspx?App=23&amp;ReportView=4&amp;Qid=1711279&amp;Row=7659&amp;Col=1","No Title Assigned - #15270450571")</f>
        <v/>
      </c>
      <c r="B7667" s="0" t="s">
        <v>10199</v>
      </c>
      <c r="C7667" s="0" t="s">
        <v>10200</v>
      </c>
      <c r="D7667" s="0" t="s">
        <v>10200</v>
      </c>
      <c r="E7667" s="0" t="inlineStr">
        <is>
          <t xml:space="preserve">Mazda</t>
        </is>
      </c>
      <c r="F7667" s="0" t="inlineStr">
        <is>
          <t xml:space="preserve">Mazda</t>
        </is>
      </c>
      <c r="G7667" s="0" t="s">
        <v>171</v>
      </c>
      <c r="H7667" s="5">
        <v>538.239200</v>
      </c>
    </row>
    <row r="7668" spans="1:9">
      <c r="A7668" s="22" t="str">
        <f>HYPERLINK("https://app.vivvix.com/360/KMI/IntelliDrive/ApplUI/Pages/CreativePages/CustomReportCreativeDetail.aspx?App=23&amp;ReportView=4&amp;Qid=1711279&amp;Row=7660&amp;Col=1","No Title Assigned - #15270451142")</f>
        <v/>
      </c>
      <c r="B7668" s="0" t="s">
        <v>10201</v>
      </c>
      <c r="E7668" s="0" t="inlineStr">
        <is>
          <t xml:space="preserve">Mazda</t>
        </is>
      </c>
      <c r="F7668" s="0" t="inlineStr">
        <is>
          <t xml:space="preserve">Mazda</t>
        </is>
      </c>
      <c r="G7668" s="0" t="s">
        <v>171</v>
      </c>
      <c r="H7668" s="5">
        <v>354.212000</v>
      </c>
    </row>
    <row r="7669" spans="1:9">
      <c r="A7669" s="22" t="str">
        <f>HYPERLINK("https://app.vivvix.com/360/KMI/IntelliDrive/ApplUI/Pages/CreativePages/CustomReportCreativeDetail.aspx?App=23&amp;ReportView=4&amp;Qid=1711279&amp;Row=7661&amp;Col=1","No Title Assigned - #15270451739")</f>
        <v/>
      </c>
      <c r="B7669" s="0" t="s">
        <v>10202</v>
      </c>
      <c r="E7669" s="0" t="inlineStr">
        <is>
          <t xml:space="preserve">Mazda</t>
        </is>
      </c>
      <c r="F7669" s="0" t="inlineStr">
        <is>
          <t xml:space="preserve">Mazda</t>
        </is>
      </c>
      <c r="G7669" s="0" t="s">
        <v>171</v>
      </c>
      <c r="H7669" s="5">
        <v>4733.615700</v>
      </c>
    </row>
    <row r="7670" spans="1:9">
      <c r="A7670" s="22" t="str">
        <f>HYPERLINK("https://app.vivvix.com/360/KMI/IntelliDrive/ApplUI/Pages/CreativePages/CustomReportCreativeDetail.aspx?App=23&amp;ReportView=4&amp;Qid=1711279&amp;Row=7662&amp;Col=1","No Title Assigned - #15270451890")</f>
        <v/>
      </c>
      <c r="B7670" s="0" t="s">
        <v>10203</v>
      </c>
      <c r="E7670" s="0" t="inlineStr">
        <is>
          <t xml:space="preserve">Mazda</t>
        </is>
      </c>
      <c r="F7670" s="0" t="inlineStr">
        <is>
          <t xml:space="preserve">Mazda</t>
        </is>
      </c>
      <c r="G7670" s="0" t="s">
        <v>171</v>
      </c>
      <c r="H7670" s="5">
        <v>163.312500</v>
      </c>
    </row>
    <row r="7671" spans="1:9">
      <c r="A7671" s="22" t="str">
        <f>HYPERLINK("https://app.vivvix.com/360/KMI/IntelliDrive/ApplUI/Pages/CreativePages/CustomReportCreativeDetail.aspx?App=23&amp;ReportView=4&amp;Qid=1711279&amp;Row=7663&amp;Col=1","No Title Assigned - #15270452023")</f>
        <v/>
      </c>
      <c r="B7671" s="0" t="s">
        <v>10204</v>
      </c>
      <c r="C7671" s="0" t="s">
        <v>10205</v>
      </c>
      <c r="D7671" s="0" t="s">
        <v>10205</v>
      </c>
      <c r="E7671" s="0" t="inlineStr">
        <is>
          <t xml:space="preserve">Mazda</t>
        </is>
      </c>
      <c r="F7671" s="0" t="inlineStr">
        <is>
          <t xml:space="preserve">Mazda</t>
        </is>
      </c>
      <c r="G7671" s="0" t="s">
        <v>171</v>
      </c>
      <c r="H7671" s="5">
        <v>1469.039100</v>
      </c>
    </row>
    <row r="7672" spans="1:9">
      <c r="A7672" s="22" t="str">
        <f>HYPERLINK("https://app.vivvix.com/360/KMI/IntelliDrive/ApplUI/Pages/CreativePages/CustomReportCreativeDetail.aspx?App=23&amp;ReportView=4&amp;Qid=1711279&amp;Row=7664&amp;Col=1","No Title Assigned - #15270452023")</f>
        <v/>
      </c>
      <c r="B7672" s="0" t="s">
        <v>10204</v>
      </c>
      <c r="E7672" s="0" t="inlineStr">
        <is>
          <t xml:space="preserve">Mazda</t>
        </is>
      </c>
      <c r="F7672" s="0" t="inlineStr">
        <is>
          <t xml:space="preserve">Mazda</t>
        </is>
      </c>
      <c r="G7672" s="0" t="s">
        <v>171</v>
      </c>
      <c r="H7672" s="5">
        <v>16867.374300</v>
      </c>
    </row>
    <row r="7673" spans="1:9">
      <c r="A7673" s="22" t="str">
        <f>HYPERLINK("https://app.vivvix.com/360/KMI/IntelliDrive/ApplUI/Pages/CreativePages/CustomReportCreativeDetail.aspx?App=23&amp;ReportView=4&amp;Qid=1711279&amp;Row=7665&amp;Col=1","No Title Assigned - #15270452381")</f>
        <v/>
      </c>
      <c r="B7673" s="0" t="s">
        <v>10206</v>
      </c>
      <c r="C7673" s="0" t="s">
        <v>10207</v>
      </c>
      <c r="D7673" s="0" t="s">
        <v>10207</v>
      </c>
      <c r="E7673" s="0" t="inlineStr">
        <is>
          <t xml:space="preserve">Mazda</t>
        </is>
      </c>
      <c r="F7673" s="0" t="s">
        <v>28</v>
      </c>
      <c r="G7673" s="0" t="s">
        <v>29</v>
      </c>
      <c r="H7673" s="5">
        <v>22.928500</v>
      </c>
    </row>
    <row r="7674" spans="1:9">
      <c r="A7674" s="22" t="str">
        <f>HYPERLINK("https://app.vivvix.com/360/KMI/IntelliDrive/ApplUI/Pages/CreativePages/CustomReportCreativeDetail.aspx?App=23&amp;ReportView=4&amp;Qid=1711279&amp;Row=7666&amp;Col=1","No Title Assigned - #15270452450")</f>
        <v/>
      </c>
      <c r="B7674" s="0" t="s">
        <v>10208</v>
      </c>
      <c r="C7674" s="0" t="s">
        <v>10209</v>
      </c>
      <c r="D7674" s="0" t="s">
        <v>4202</v>
      </c>
      <c r="E7674" s="0" t="inlineStr">
        <is>
          <t xml:space="preserve">Mazda</t>
        </is>
      </c>
      <c r="F7674" s="0" t="s">
        <v>28</v>
      </c>
      <c r="G7674" s="0" t="s">
        <v>29</v>
      </c>
      <c r="H7674" s="5">
        <v>92.554200</v>
      </c>
    </row>
    <row r="7675" spans="1:9">
      <c r="A7675" s="22" t="str">
        <f>HYPERLINK("https://app.vivvix.com/360/KMI/IntelliDrive/ApplUI/Pages/CreativePages/CustomReportCreativeDetail.aspx?App=23&amp;ReportView=4&amp;Qid=1711279&amp;Row=7667&amp;Col=1","No Title Assigned - #15270452607")</f>
        <v/>
      </c>
      <c r="B7675" s="0" t="s">
        <v>10210</v>
      </c>
      <c r="C7675" s="0" t="s">
        <v>10211</v>
      </c>
      <c r="D7675" s="0" t="s">
        <v>10211</v>
      </c>
      <c r="E7675" s="0" t="inlineStr">
        <is>
          <t xml:space="preserve">Mazda</t>
        </is>
      </c>
      <c r="F7675" s="0" t="s">
        <v>28</v>
      </c>
      <c r="G7675" s="0" t="s">
        <v>29</v>
      </c>
      <c r="H7675" s="5">
        <v>105.866800</v>
      </c>
    </row>
    <row r="7676" spans="1:9">
      <c r="A7676" s="22" t="str">
        <f>HYPERLINK("https://app.vivvix.com/360/KMI/IntelliDrive/ApplUI/Pages/CreativePages/CustomReportCreativeDetail.aspx?App=23&amp;ReportView=4&amp;Qid=1711279&amp;Row=7668&amp;Col=1","No Title Assigned - #15270452786")</f>
        <v/>
      </c>
      <c r="B7676" s="0" t="s">
        <v>10212</v>
      </c>
      <c r="C7676" s="0" t="s">
        <v>10213</v>
      </c>
      <c r="D7676" s="0" t="s">
        <v>8050</v>
      </c>
      <c r="E7676" s="0" t="inlineStr">
        <is>
          <t xml:space="preserve">Mazda</t>
        </is>
      </c>
      <c r="F7676" s="0" t="s">
        <v>28</v>
      </c>
      <c r="G7676" s="0" t="s">
        <v>29</v>
      </c>
      <c r="H7676" s="5">
        <v>433.694500</v>
      </c>
    </row>
    <row r="7677" spans="1:9">
      <c r="A7677" s="22" t="str">
        <f>HYPERLINK("https://app.vivvix.com/360/KMI/IntelliDrive/ApplUI/Pages/CreativePages/CustomReportCreativeDetail.aspx?App=23&amp;ReportView=4&amp;Qid=1711279&amp;Row=7669&amp;Col=1","No Title Assigned - #15270452825")</f>
        <v/>
      </c>
      <c r="B7677" s="0" t="s">
        <v>10214</v>
      </c>
      <c r="C7677" s="0" t="s">
        <v>10215</v>
      </c>
      <c r="D7677" s="0" t="s">
        <v>8050</v>
      </c>
      <c r="E7677" s="0" t="inlineStr">
        <is>
          <t xml:space="preserve">Mazda</t>
        </is>
      </c>
      <c r="F7677" s="0" t="s">
        <v>28</v>
      </c>
      <c r="G7677" s="0" t="s">
        <v>29</v>
      </c>
      <c r="H7677" s="5">
        <v>48.361400</v>
      </c>
    </row>
    <row r="7678" spans="1:9">
      <c r="A7678" s="22" t="str">
        <f>HYPERLINK("https://app.vivvix.com/360/KMI/IntelliDrive/ApplUI/Pages/CreativePages/CustomReportCreativeDetail.aspx?App=23&amp;ReportView=4&amp;Qid=1711279&amp;Row=7670&amp;Col=1","No Title Assigned - #15270453083")</f>
        <v/>
      </c>
      <c r="B7678" s="0" t="s">
        <v>10216</v>
      </c>
      <c r="C7678" s="0" t="s">
        <v>10217</v>
      </c>
      <c r="D7678" s="0" t="s">
        <v>4202</v>
      </c>
      <c r="E7678" s="0" t="inlineStr">
        <is>
          <t xml:space="preserve">Mazda</t>
        </is>
      </c>
      <c r="F7678" s="0" t="s">
        <v>28</v>
      </c>
      <c r="G7678" s="0" t="s">
        <v>29</v>
      </c>
      <c r="H7678" s="5">
        <v>13354.540000</v>
      </c>
    </row>
    <row r="7679" spans="1:9">
      <c r="A7679" s="22" t="str">
        <f>HYPERLINK("https://app.vivvix.com/360/KMI/IntelliDrive/ApplUI/Pages/CreativePages/CustomReportCreativeDetail.aspx?App=23&amp;ReportView=4&amp;Qid=1711279&amp;Row=7671&amp;Col=1","No Title Assigned - #15270453094")</f>
        <v/>
      </c>
      <c r="B7679" s="0" t="s">
        <v>10218</v>
      </c>
      <c r="C7679" s="0" t="s">
        <v>10219</v>
      </c>
      <c r="D7679" s="0" t="s">
        <v>10219</v>
      </c>
      <c r="E7679" s="0" t="inlineStr">
        <is>
          <t xml:space="preserve">Mazda</t>
        </is>
      </c>
      <c r="F7679" s="0" t="s">
        <v>28</v>
      </c>
      <c r="G7679" s="0" t="s">
        <v>29</v>
      </c>
      <c r="H7679" s="5">
        <v>16.646200</v>
      </c>
    </row>
    <row r="7680" spans="1:9">
      <c r="A7680" s="22" t="str">
        <f>HYPERLINK("https://app.vivvix.com/360/KMI/IntelliDrive/ApplUI/Pages/CreativePages/CustomReportCreativeDetail.aspx?App=23&amp;ReportView=4&amp;Qid=1711279&amp;Row=7672&amp;Col=1","No Title Assigned - #15270453182")</f>
        <v/>
      </c>
      <c r="B7680" s="0" t="s">
        <v>10220</v>
      </c>
      <c r="C7680" s="0" t="s">
        <v>10221</v>
      </c>
      <c r="D7680" s="0" t="s">
        <v>7474</v>
      </c>
      <c r="E7680" s="0" t="inlineStr">
        <is>
          <t xml:space="preserve">Mazda</t>
        </is>
      </c>
      <c r="F7680" s="0" t="s">
        <v>28</v>
      </c>
      <c r="G7680" s="0" t="s">
        <v>29</v>
      </c>
      <c r="H7680" s="5">
        <v>11.608600</v>
      </c>
    </row>
    <row r="7681" spans="1:9">
      <c r="A7681" s="22" t="str">
        <f>HYPERLINK("https://app.vivvix.com/360/KMI/IntelliDrive/ApplUI/Pages/CreativePages/CustomReportCreativeDetail.aspx?App=23&amp;ReportView=4&amp;Qid=1711279&amp;Row=7673&amp;Col=1","No Title Assigned - #15270453930")</f>
        <v/>
      </c>
      <c r="B7681" s="0" t="s">
        <v>10222</v>
      </c>
      <c r="C7681" s="0" t="s">
        <v>10223</v>
      </c>
      <c r="D7681" s="0" t="s">
        <v>10223</v>
      </c>
      <c r="E7681" s="0" t="inlineStr">
        <is>
          <t xml:space="preserve">Mazda</t>
        </is>
      </c>
      <c r="F7681" s="0" t="s">
        <v>28</v>
      </c>
      <c r="G7681" s="0" t="s">
        <v>29</v>
      </c>
      <c r="H7681" s="5">
        <v>925.496200</v>
      </c>
    </row>
    <row r="7682" spans="1:9">
      <c r="A7682" s="22" t="str">
        <f>HYPERLINK("https://app.vivvix.com/360/KMI/IntelliDrive/ApplUI/Pages/CreativePages/CustomReportCreativeDetail.aspx?App=23&amp;ReportView=4&amp;Qid=1711279&amp;Row=7674&amp;Col=1","No Title Assigned - #15270454457")</f>
        <v/>
      </c>
      <c r="B7682" s="0" t="s">
        <v>10224</v>
      </c>
      <c r="C7682" s="0" t="s">
        <v>10225</v>
      </c>
      <c r="D7682" s="0" t="s">
        <v>4335</v>
      </c>
      <c r="E7682" s="0" t="inlineStr">
        <is>
          <t xml:space="preserve">Mazda</t>
        </is>
      </c>
      <c r="F7682" s="0" t="s">
        <v>13</v>
      </c>
      <c r="G7682" s="0" t="s">
        <v>49</v>
      </c>
      <c r="H7682" s="5">
        <v>228.989000</v>
      </c>
    </row>
    <row r="7683" spans="1:9">
      <c r="A7683" s="22" t="str">
        <f>HYPERLINK("https://app.vivvix.com/360/KMI/IntelliDrive/ApplUI/Pages/CreativePages/CustomReportCreativeDetail.aspx?App=23&amp;ReportView=4&amp;Qid=1711279&amp;Row=7675&amp;Col=1","No Title Assigned - #15270454480")</f>
        <v/>
      </c>
      <c r="B7683" s="0" t="s">
        <v>10226</v>
      </c>
      <c r="C7683" s="0" t="s">
        <v>10227</v>
      </c>
      <c r="D7683" s="0" t="s">
        <v>4202</v>
      </c>
      <c r="E7683" s="0" t="inlineStr">
        <is>
          <t xml:space="preserve">Mazda</t>
        </is>
      </c>
      <c r="F7683" s="0" t="s">
        <v>28</v>
      </c>
      <c r="G7683" s="0" t="s">
        <v>29</v>
      </c>
      <c r="H7683" s="5">
        <v>63.599900</v>
      </c>
    </row>
    <row r="7684" spans="1:9">
      <c r="A7684" s="22" t="str">
        <f>HYPERLINK("https://app.vivvix.com/360/KMI/IntelliDrive/ApplUI/Pages/CreativePages/CustomReportCreativeDetail.aspx?App=23&amp;ReportView=4&amp;Qid=1711279&amp;Row=7676&amp;Col=1","No Title Assigned - #15270454718")</f>
        <v/>
      </c>
      <c r="B7684" s="0" t="s">
        <v>10228</v>
      </c>
      <c r="C7684" s="0" t="s">
        <v>10229</v>
      </c>
      <c r="D7684" s="0" t="s">
        <v>4335</v>
      </c>
      <c r="E7684" s="0" t="inlineStr">
        <is>
          <t xml:space="preserve">Mazda</t>
        </is>
      </c>
      <c r="F7684" s="0" t="s">
        <v>13</v>
      </c>
      <c r="G7684" s="0" t="s">
        <v>49</v>
      </c>
      <c r="H7684" s="5">
        <v>328.838800</v>
      </c>
    </row>
    <row r="7685" spans="1:9">
      <c r="A7685" s="22" t="str">
        <f>HYPERLINK("https://app.vivvix.com/360/KMI/IntelliDrive/ApplUI/Pages/CreativePages/CustomReportCreativeDetail.aspx?App=23&amp;ReportView=4&amp;Qid=1711279&amp;Row=7677&amp;Col=1","No Title Assigned - #15270455261")</f>
        <v/>
      </c>
      <c r="B7685" s="0" t="s">
        <v>10230</v>
      </c>
      <c r="C7685" s="0" t="s">
        <v>10231</v>
      </c>
      <c r="D7685" s="0" t="s">
        <v>4781</v>
      </c>
      <c r="E7685" s="0" t="inlineStr">
        <is>
          <t xml:space="preserve">Mazda</t>
        </is>
      </c>
      <c r="F7685" s="0" t="s">
        <v>28</v>
      </c>
      <c r="G7685" s="0" t="s">
        <v>29</v>
      </c>
      <c r="H7685" s="5">
        <v>489.421800</v>
      </c>
    </row>
    <row r="7686" spans="1:9">
      <c r="A7686" s="22" t="str">
        <f>HYPERLINK("https://app.vivvix.com/360/KMI/IntelliDrive/ApplUI/Pages/CreativePages/CustomReportCreativeDetail.aspx?App=23&amp;ReportView=4&amp;Qid=1711279&amp;Row=7678&amp;Col=1","No Title Assigned - #15270455527")</f>
        <v/>
      </c>
      <c r="B7686" s="0" t="s">
        <v>10232</v>
      </c>
      <c r="E7686" s="0" t="inlineStr">
        <is>
          <t xml:space="preserve">Mazda</t>
        </is>
      </c>
      <c r="F7686" s="0" t="inlineStr">
        <is>
          <t xml:space="preserve">Mazda</t>
        </is>
      </c>
      <c r="G7686" s="0" t="s">
        <v>171</v>
      </c>
      <c r="H7686" s="5">
        <v>278.738900</v>
      </c>
    </row>
    <row r="7687" spans="1:9">
      <c r="A7687" s="22" t="str">
        <f>HYPERLINK("https://app.vivvix.com/360/KMI/IntelliDrive/ApplUI/Pages/CreativePages/CustomReportCreativeDetail.aspx?App=23&amp;ReportView=4&amp;Qid=1711279&amp;Row=7679&amp;Col=1","No Title Assigned - #15270455648")</f>
        <v/>
      </c>
      <c r="B7687" s="0" t="s">
        <v>10233</v>
      </c>
      <c r="E7687" s="0" t="inlineStr">
        <is>
          <t xml:space="preserve">Mazda</t>
        </is>
      </c>
      <c r="F7687" s="0" t="inlineStr">
        <is>
          <t xml:space="preserve">Mazda</t>
        </is>
      </c>
      <c r="G7687" s="0" t="s">
        <v>171</v>
      </c>
      <c r="H7687" s="5">
        <v>50.650300</v>
      </c>
    </row>
    <row r="7688" spans="1:9">
      <c r="A7688" s="22" t="str">
        <f>HYPERLINK("https://app.vivvix.com/360/KMI/IntelliDrive/ApplUI/Pages/CreativePages/CustomReportCreativeDetail.aspx?App=23&amp;ReportView=4&amp;Qid=1711279&amp;Row=7680&amp;Col=1","No Title Assigned - #15270455711")</f>
        <v/>
      </c>
      <c r="B7688" s="0" t="s">
        <v>10234</v>
      </c>
      <c r="C7688" s="0" t="s">
        <v>10235</v>
      </c>
      <c r="D7688" s="0" t="s">
        <v>10235</v>
      </c>
      <c r="E7688" s="0" t="inlineStr">
        <is>
          <t xml:space="preserve">Mazda</t>
        </is>
      </c>
      <c r="F7688" s="0" t="inlineStr">
        <is>
          <t xml:space="preserve">Mazda</t>
        </is>
      </c>
      <c r="G7688" s="0" t="s">
        <v>171</v>
      </c>
      <c r="H7688" s="5">
        <v>93.685800</v>
      </c>
    </row>
    <row r="7689" spans="1:9">
      <c r="A7689" s="22" t="str">
        <f>HYPERLINK("https://app.vivvix.com/360/KMI/IntelliDrive/ApplUI/Pages/CreativePages/CustomReportCreativeDetail.aspx?App=23&amp;ReportView=4&amp;Qid=1711279&amp;Row=7681&amp;Col=1","No Title Assigned - #15270456183")</f>
        <v/>
      </c>
      <c r="B7689" s="0" t="s">
        <v>10236</v>
      </c>
      <c r="E7689" s="0" t="inlineStr">
        <is>
          <t xml:space="preserve">Mazda</t>
        </is>
      </c>
      <c r="F7689" s="0" t="inlineStr">
        <is>
          <t xml:space="preserve">Mazda</t>
        </is>
      </c>
      <c r="G7689" s="0" t="s">
        <v>171</v>
      </c>
      <c r="H7689" s="5">
        <v>17.867800</v>
      </c>
    </row>
    <row r="7690" spans="1:9">
      <c r="A7690" s="22" t="str">
        <f>HYPERLINK("https://app.vivvix.com/360/KMI/IntelliDrive/ApplUI/Pages/CreativePages/CustomReportCreativeDetail.aspx?App=23&amp;ReportView=4&amp;Qid=1711279&amp;Row=7682&amp;Col=1","No Title Assigned - #15270456184")</f>
        <v/>
      </c>
      <c r="B7690" s="0" t="s">
        <v>10237</v>
      </c>
      <c r="E7690" s="0" t="inlineStr">
        <is>
          <t xml:space="preserve">Mazda</t>
        </is>
      </c>
      <c r="F7690" s="0" t="inlineStr">
        <is>
          <t xml:space="preserve">Mazda</t>
        </is>
      </c>
      <c r="G7690" s="0" t="s">
        <v>171</v>
      </c>
      <c r="H7690" s="5">
        <v>17.867800</v>
      </c>
    </row>
    <row r="7691" spans="1:9">
      <c r="A7691" s="22" t="str">
        <f>HYPERLINK("https://app.vivvix.com/360/KMI/IntelliDrive/ApplUI/Pages/CreativePages/CustomReportCreativeDetail.aspx?App=23&amp;ReportView=4&amp;Qid=1711279&amp;Row=7683&amp;Col=1","No Title Assigned - #15270456579")</f>
        <v/>
      </c>
      <c r="B7691" s="0" t="s">
        <v>10238</v>
      </c>
      <c r="E7691" s="0" t="inlineStr">
        <is>
          <t xml:space="preserve">Mazda</t>
        </is>
      </c>
      <c r="F7691" s="0" t="inlineStr">
        <is>
          <t xml:space="preserve">Mazda</t>
        </is>
      </c>
      <c r="G7691" s="0" t="s">
        <v>171</v>
      </c>
      <c r="H7691" s="5">
        <v>124.141600</v>
      </c>
    </row>
    <row r="7692" spans="1:9">
      <c r="A7692" s="22" t="str">
        <f>HYPERLINK("https://app.vivvix.com/360/KMI/IntelliDrive/ApplUI/Pages/CreativePages/CustomReportCreativeDetail.aspx?App=23&amp;ReportView=4&amp;Qid=1711279&amp;Row=7684&amp;Col=1","No Title Assigned - #15270457483")</f>
        <v/>
      </c>
      <c r="B7692" s="0" t="s">
        <v>10239</v>
      </c>
      <c r="E7692" s="0" t="inlineStr">
        <is>
          <t xml:space="preserve">Mazda</t>
        </is>
      </c>
      <c r="F7692" s="0" t="inlineStr">
        <is>
          <t xml:space="preserve">Mazda</t>
        </is>
      </c>
      <c r="G7692" s="0" t="s">
        <v>171</v>
      </c>
      <c r="H7692" s="5">
        <v>10922.365400</v>
      </c>
    </row>
    <row r="7693" spans="1:9">
      <c r="A7693" s="22" t="str">
        <f>HYPERLINK("https://app.vivvix.com/360/KMI/IntelliDrive/ApplUI/Pages/CreativePages/CustomReportCreativeDetail.aspx?App=23&amp;ReportView=4&amp;Qid=1711279&amp;Row=7685&amp;Col=1","No Title Assigned - #15270457483")</f>
        <v/>
      </c>
      <c r="B7693" s="0" t="s">
        <v>10239</v>
      </c>
      <c r="E7693" s="0" t="inlineStr">
        <is>
          <t xml:space="preserve">Mazda</t>
        </is>
      </c>
      <c r="F7693" s="0" t="inlineStr">
        <is>
          <t xml:space="preserve">Mazda</t>
        </is>
      </c>
      <c r="G7693" s="0" t="s">
        <v>171</v>
      </c>
      <c r="H7693" s="5">
        <v>2887.128600</v>
      </c>
    </row>
    <row r="7694" spans="1:9">
      <c r="A7694" s="22" t="str">
        <f>HYPERLINK("https://app.vivvix.com/360/KMI/IntelliDrive/ApplUI/Pages/CreativePages/CustomReportCreativeDetail.aspx?App=23&amp;ReportView=4&amp;Qid=1711279&amp;Row=7686&amp;Col=1","No Title Assigned - #15270457765")</f>
        <v/>
      </c>
      <c r="B7694" s="0" t="s">
        <v>10240</v>
      </c>
      <c r="E7694" s="0" t="inlineStr">
        <is>
          <t xml:space="preserve">Mazda</t>
        </is>
      </c>
      <c r="F7694" s="0" t="inlineStr">
        <is>
          <t xml:space="preserve">Mazda</t>
        </is>
      </c>
      <c r="G7694" s="0" t="s">
        <v>171</v>
      </c>
      <c r="H7694" s="5">
        <v>1123.367400</v>
      </c>
    </row>
    <row r="7695" spans="1:9">
      <c r="A7695" s="22" t="str">
        <f>HYPERLINK("https://app.vivvix.com/360/KMI/IntelliDrive/ApplUI/Pages/CreativePages/CustomReportCreativeDetail.aspx?App=23&amp;ReportView=4&amp;Qid=1711279&amp;Row=7687&amp;Col=1","No Title Assigned - #15270458161")</f>
        <v/>
      </c>
      <c r="B7695" s="0" t="s">
        <v>10241</v>
      </c>
      <c r="E7695" s="0" t="inlineStr">
        <is>
          <t xml:space="preserve">Mazda</t>
        </is>
      </c>
      <c r="F7695" s="0" t="inlineStr">
        <is>
          <t xml:space="preserve">Mazda</t>
        </is>
      </c>
      <c r="G7695" s="0" t="s">
        <v>171</v>
      </c>
      <c r="H7695" s="5">
        <v>176.521300</v>
      </c>
    </row>
    <row r="7696" spans="1:9">
      <c r="A7696" s="22" t="str">
        <f>HYPERLINK("https://app.vivvix.com/360/KMI/IntelliDrive/ApplUI/Pages/CreativePages/CustomReportCreativeDetail.aspx?App=23&amp;ReportView=4&amp;Qid=1711279&amp;Row=7688&amp;Col=1","No Title Assigned - #15270458316")</f>
        <v/>
      </c>
      <c r="B7696" s="0" t="s">
        <v>10242</v>
      </c>
      <c r="E7696" s="0" t="inlineStr">
        <is>
          <t xml:space="preserve">Mazda</t>
        </is>
      </c>
      <c r="F7696" s="0" t="inlineStr">
        <is>
          <t xml:space="preserve">Mazda</t>
        </is>
      </c>
      <c r="G7696" s="0" t="s">
        <v>171</v>
      </c>
      <c r="H7696" s="5">
        <v>128.496800</v>
      </c>
    </row>
    <row r="7697" spans="1:9">
      <c r="A7697" s="22" t="str">
        <f>HYPERLINK("https://app.vivvix.com/360/KMI/IntelliDrive/ApplUI/Pages/CreativePages/CustomReportCreativeDetail.aspx?App=23&amp;ReportView=4&amp;Qid=1711279&amp;Row=7689&amp;Col=1","No Title Assigned - #15270458348")</f>
        <v/>
      </c>
      <c r="B7697" s="0" t="s">
        <v>10243</v>
      </c>
      <c r="E7697" s="0" t="inlineStr">
        <is>
          <t xml:space="preserve">Mazda</t>
        </is>
      </c>
      <c r="F7697" s="0" t="inlineStr">
        <is>
          <t xml:space="preserve">Mazda</t>
        </is>
      </c>
      <c r="G7697" s="0" t="s">
        <v>171</v>
      </c>
      <c r="H7697" s="5">
        <v>894.593700</v>
      </c>
    </row>
    <row r="7698" spans="1:9">
      <c r="A7698" s="22" t="str">
        <f>HYPERLINK("https://app.vivvix.com/360/KMI/IntelliDrive/ApplUI/Pages/CreativePages/CustomReportCreativeDetail.aspx?App=23&amp;ReportView=4&amp;Qid=1711279&amp;Row=7690&amp;Col=1","No Title Assigned - #15270458535")</f>
        <v/>
      </c>
      <c r="B7698" s="0" t="s">
        <v>10244</v>
      </c>
      <c r="C7698" s="0" t="s">
        <v>10245</v>
      </c>
      <c r="D7698" s="0" t="s">
        <v>10245</v>
      </c>
      <c r="E7698" s="0" t="inlineStr">
        <is>
          <t xml:space="preserve">Mazda</t>
        </is>
      </c>
      <c r="F7698" s="0" t="inlineStr">
        <is>
          <t xml:space="preserve">Mazda</t>
        </is>
      </c>
      <c r="G7698" s="0" t="s">
        <v>171</v>
      </c>
      <c r="H7698" s="5">
        <v>266.213400</v>
      </c>
    </row>
    <row r="7699" spans="1:9">
      <c r="A7699" s="22" t="str">
        <f>HYPERLINK("https://app.vivvix.com/360/KMI/IntelliDrive/ApplUI/Pages/CreativePages/CustomReportCreativeDetail.aspx?App=23&amp;ReportView=4&amp;Qid=1711279&amp;Row=7691&amp;Col=1","No Title Assigned - #15270458954")</f>
        <v/>
      </c>
      <c r="B7699" s="0" t="s">
        <v>10246</v>
      </c>
      <c r="E7699" s="0" t="inlineStr">
        <is>
          <t xml:space="preserve">Mazda</t>
        </is>
      </c>
      <c r="F7699" s="0" t="inlineStr">
        <is>
          <t xml:space="preserve">Mazda</t>
        </is>
      </c>
      <c r="G7699" s="0" t="s">
        <v>171</v>
      </c>
      <c r="H7699" s="5">
        <v>70.265600</v>
      </c>
    </row>
    <row r="7700" spans="1:9">
      <c r="A7700" s="22" t="str">
        <f>HYPERLINK("https://app.vivvix.com/360/KMI/IntelliDrive/ApplUI/Pages/CreativePages/CustomReportCreativeDetail.aspx?App=23&amp;ReportView=4&amp;Qid=1711279&amp;Row=7692&amp;Col=1","No Title Assigned - #15270458954")</f>
        <v/>
      </c>
      <c r="B7700" s="0" t="s">
        <v>10246</v>
      </c>
      <c r="E7700" s="0" t="inlineStr">
        <is>
          <t xml:space="preserve">Mazda</t>
        </is>
      </c>
      <c r="F7700" s="0" t="inlineStr">
        <is>
          <t xml:space="preserve">Mazda</t>
        </is>
      </c>
      <c r="G7700" s="0" t="s">
        <v>171</v>
      </c>
      <c r="H7700" s="5">
        <v>91.648200</v>
      </c>
    </row>
    <row r="7701" spans="1:9">
      <c r="A7701" s="22" t="str">
        <f>HYPERLINK("https://app.vivvix.com/360/KMI/IntelliDrive/ApplUI/Pages/CreativePages/CustomReportCreativeDetail.aspx?App=23&amp;ReportView=4&amp;Qid=1711279&amp;Row=7693&amp;Col=1","No Title Assigned - #15270458994")</f>
        <v/>
      </c>
      <c r="B7701" s="0" t="s">
        <v>10247</v>
      </c>
      <c r="E7701" s="0" t="inlineStr">
        <is>
          <t xml:space="preserve">Mazda</t>
        </is>
      </c>
      <c r="F7701" s="0" t="inlineStr">
        <is>
          <t xml:space="preserve">Mazda</t>
        </is>
      </c>
      <c r="G7701" s="0" t="s">
        <v>171</v>
      </c>
      <c r="H7701" s="5">
        <v>42.135600</v>
      </c>
    </row>
    <row r="7702" spans="1:9">
      <c r="A7702" s="22" t="str">
        <f>HYPERLINK("https://app.vivvix.com/360/KMI/IntelliDrive/ApplUI/Pages/CreativePages/CustomReportCreativeDetail.aspx?App=23&amp;ReportView=4&amp;Qid=1711279&amp;Row=7694&amp;Col=1","No Title Assigned - #15270459050")</f>
        <v/>
      </c>
      <c r="B7702" s="0" t="s">
        <v>10248</v>
      </c>
      <c r="E7702" s="0" t="inlineStr">
        <is>
          <t xml:space="preserve">Mazda</t>
        </is>
      </c>
      <c r="F7702" s="0" t="inlineStr">
        <is>
          <t xml:space="preserve">Mazda</t>
        </is>
      </c>
      <c r="G7702" s="0" t="s">
        <v>171</v>
      </c>
      <c r="H7702" s="5">
        <v>1951.559400</v>
      </c>
    </row>
    <row r="7703" spans="1:9">
      <c r="A7703" s="22" t="str">
        <f>HYPERLINK("https://app.vivvix.com/360/KMI/IntelliDrive/ApplUI/Pages/CreativePages/CustomReportCreativeDetail.aspx?App=23&amp;ReportView=4&amp;Qid=1711279&amp;Row=7695&amp;Col=1","No Title Assigned - #15270459699")</f>
        <v/>
      </c>
      <c r="B7703" s="0" t="s">
        <v>10249</v>
      </c>
      <c r="E7703" s="0" t="inlineStr">
        <is>
          <t xml:space="preserve">Mazda</t>
        </is>
      </c>
      <c r="F7703" s="0" t="inlineStr">
        <is>
          <t xml:space="preserve">Mazda</t>
        </is>
      </c>
      <c r="G7703" s="0" t="s">
        <v>171</v>
      </c>
      <c r="H7703" s="5">
        <v>105.387500</v>
      </c>
    </row>
    <row r="7704" spans="1:9">
      <c r="A7704" s="22" t="str">
        <f>HYPERLINK("https://app.vivvix.com/360/KMI/IntelliDrive/ApplUI/Pages/CreativePages/CustomReportCreativeDetail.aspx?App=23&amp;ReportView=4&amp;Qid=1711279&amp;Row=7696&amp;Col=1","No Title Assigned - #15270460127")</f>
        <v/>
      </c>
      <c r="B7704" s="0" t="s">
        <v>10250</v>
      </c>
      <c r="E7704" s="0" t="inlineStr">
        <is>
          <t xml:space="preserve">Mazda</t>
        </is>
      </c>
      <c r="F7704" s="0" t="inlineStr">
        <is>
          <t xml:space="preserve">Mazda</t>
        </is>
      </c>
      <c r="G7704" s="0" t="s">
        <v>171</v>
      </c>
      <c r="H7704" s="5">
        <v>60.822600</v>
      </c>
    </row>
    <row r="7705" spans="1:9">
      <c r="A7705" s="22" t="str">
        <f>HYPERLINK("https://app.vivvix.com/360/KMI/IntelliDrive/ApplUI/Pages/CreativePages/CustomReportCreativeDetail.aspx?App=23&amp;ReportView=4&amp;Qid=1711279&amp;Row=7697&amp;Col=1","No Title Assigned - #15270460281")</f>
        <v/>
      </c>
      <c r="B7705" s="0" t="s">
        <v>10251</v>
      </c>
      <c r="E7705" s="0" t="inlineStr">
        <is>
          <t xml:space="preserve">Mazda</t>
        </is>
      </c>
      <c r="F7705" s="0" t="inlineStr">
        <is>
          <t xml:space="preserve">Mazda</t>
        </is>
      </c>
      <c r="G7705" s="0" t="s">
        <v>171</v>
      </c>
      <c r="H7705" s="5">
        <v>8.973800</v>
      </c>
    </row>
    <row r="7706" spans="1:9">
      <c r="A7706" s="22" t="str">
        <f>HYPERLINK("https://app.vivvix.com/360/KMI/IntelliDrive/ApplUI/Pages/CreativePages/CustomReportCreativeDetail.aspx?App=23&amp;ReportView=4&amp;Qid=1711279&amp;Row=7698&amp;Col=1","No Title Assigned - #15270460917")</f>
        <v/>
      </c>
      <c r="B7706" s="0" t="s">
        <v>10252</v>
      </c>
      <c r="E7706" s="0" t="inlineStr">
        <is>
          <t xml:space="preserve">Mazda</t>
        </is>
      </c>
      <c r="F7706" s="0" t="inlineStr">
        <is>
          <t xml:space="preserve">Mazda</t>
        </is>
      </c>
      <c r="G7706" s="0" t="s">
        <v>171</v>
      </c>
      <c r="H7706" s="5">
        <v>154.248200</v>
      </c>
    </row>
    <row r="7707" spans="1:9">
      <c r="A7707" s="22" t="str">
        <f>HYPERLINK("https://app.vivvix.com/360/KMI/IntelliDrive/ApplUI/Pages/CreativePages/CustomReportCreativeDetail.aspx?App=23&amp;ReportView=4&amp;Qid=1711279&amp;Row=7699&amp;Col=1","No Title Assigned - #15270460960")</f>
        <v/>
      </c>
      <c r="B7707" s="0" t="s">
        <v>10253</v>
      </c>
      <c r="E7707" s="0" t="inlineStr">
        <is>
          <t xml:space="preserve">Mazda</t>
        </is>
      </c>
      <c r="F7707" s="0" t="inlineStr">
        <is>
          <t xml:space="preserve">Mazda</t>
        </is>
      </c>
      <c r="G7707" s="0" t="s">
        <v>171</v>
      </c>
      <c r="H7707" s="5">
        <v>246.823500</v>
      </c>
    </row>
    <row r="7708" spans="1:9">
      <c r="A7708" s="22" t="str">
        <f>HYPERLINK("https://app.vivvix.com/360/KMI/IntelliDrive/ApplUI/Pages/CreativePages/CustomReportCreativeDetail.aspx?App=23&amp;ReportView=4&amp;Qid=1711279&amp;Row=7700&amp;Col=1","No Title Assigned - #15270461032")</f>
        <v/>
      </c>
      <c r="B7708" s="0" t="s">
        <v>10254</v>
      </c>
      <c r="E7708" s="0" t="inlineStr">
        <is>
          <t xml:space="preserve">Mazda</t>
        </is>
      </c>
      <c r="F7708" s="0" t="inlineStr">
        <is>
          <t xml:space="preserve">Mazda</t>
        </is>
      </c>
      <c r="G7708" s="0" t="s">
        <v>171</v>
      </c>
      <c r="H7708" s="5">
        <v>35.735600</v>
      </c>
    </row>
    <row r="7709" spans="1:9">
      <c r="A7709" s="22" t="str">
        <f>HYPERLINK("https://app.vivvix.com/360/KMI/IntelliDrive/ApplUI/Pages/CreativePages/CustomReportCreativeDetail.aspx?App=23&amp;ReportView=4&amp;Qid=1711279&amp;Row=7701&amp;Col=1","No Title Assigned - #15270461149")</f>
        <v/>
      </c>
      <c r="B7709" s="0" t="s">
        <v>10255</v>
      </c>
      <c r="E7709" s="0" t="inlineStr">
        <is>
          <t xml:space="preserve">Mazda</t>
        </is>
      </c>
      <c r="F7709" s="0" t="inlineStr">
        <is>
          <t xml:space="preserve">Mazda</t>
        </is>
      </c>
      <c r="G7709" s="0" t="s">
        <v>171</v>
      </c>
      <c r="H7709" s="5">
        <v>57444.004000</v>
      </c>
    </row>
    <row r="7710" spans="1:9">
      <c r="A7710" s="22" t="str">
        <f>HYPERLINK("https://app.vivvix.com/360/KMI/IntelliDrive/ApplUI/Pages/CreativePages/CustomReportCreativeDetail.aspx?App=23&amp;ReportView=4&amp;Qid=1711279&amp;Row=7702&amp;Col=1","No Title Assigned - #15270461162")</f>
        <v/>
      </c>
      <c r="B7710" s="0" t="s">
        <v>10256</v>
      </c>
      <c r="C7710" s="0" t="s">
        <v>10257</v>
      </c>
      <c r="D7710" s="0" t="s">
        <v>10257</v>
      </c>
      <c r="E7710" s="0" t="inlineStr">
        <is>
          <t xml:space="preserve">Mazda</t>
        </is>
      </c>
      <c r="F7710" s="0" t="inlineStr">
        <is>
          <t xml:space="preserve">Mazda</t>
        </is>
      </c>
      <c r="G7710" s="0" t="s">
        <v>171</v>
      </c>
      <c r="H7710" s="5">
        <v>13.532400</v>
      </c>
    </row>
    <row r="7711" spans="1:9">
      <c r="A7711" s="22" t="str">
        <f>HYPERLINK("https://app.vivvix.com/360/KMI/IntelliDrive/ApplUI/Pages/CreativePages/CustomReportCreativeDetail.aspx?App=23&amp;ReportView=4&amp;Qid=1711279&amp;Row=7703&amp;Col=1","No Title Assigned - #15270461803")</f>
        <v/>
      </c>
      <c r="B7711" s="0" t="s">
        <v>10258</v>
      </c>
      <c r="E7711" s="0" t="inlineStr">
        <is>
          <t xml:space="preserve">Mazda</t>
        </is>
      </c>
      <c r="F7711" s="0" t="inlineStr">
        <is>
          <t xml:space="preserve">Mazda</t>
        </is>
      </c>
      <c r="G7711" s="0" t="s">
        <v>171</v>
      </c>
      <c r="H7711" s="5">
        <v>15.271500</v>
      </c>
    </row>
    <row r="7712" spans="1:9">
      <c r="A7712" s="22" t="str">
        <f>HYPERLINK("https://app.vivvix.com/360/KMI/IntelliDrive/ApplUI/Pages/CreativePages/CustomReportCreativeDetail.aspx?App=23&amp;ReportView=4&amp;Qid=1711279&amp;Row=7704&amp;Col=1","No Title Assigned - #15270462528")</f>
        <v/>
      </c>
      <c r="B7712" s="0" t="s">
        <v>10259</v>
      </c>
      <c r="E7712" s="0" t="inlineStr">
        <is>
          <t xml:space="preserve">Mazda</t>
        </is>
      </c>
      <c r="F7712" s="0" t="inlineStr">
        <is>
          <t xml:space="preserve">Mazda</t>
        </is>
      </c>
      <c r="G7712" s="0" t="s">
        <v>171</v>
      </c>
      <c r="H7712" s="5">
        <v>105.746900</v>
      </c>
    </row>
    <row r="7713" spans="1:9">
      <c r="A7713" s="22" t="str">
        <f>HYPERLINK("https://app.vivvix.com/360/KMI/IntelliDrive/ApplUI/Pages/CreativePages/CustomReportCreativeDetail.aspx?App=23&amp;ReportView=4&amp;Qid=1711279&amp;Row=7705&amp;Col=1","No Title Assigned - #15270463045")</f>
        <v/>
      </c>
      <c r="B7713" s="0" t="s">
        <v>10260</v>
      </c>
      <c r="C7713" s="0" t="s">
        <v>10261</v>
      </c>
      <c r="D7713" s="0" t="s">
        <v>10261</v>
      </c>
      <c r="E7713" s="0" t="inlineStr">
        <is>
          <t xml:space="preserve">Mazda</t>
        </is>
      </c>
      <c r="F7713" s="0" t="inlineStr">
        <is>
          <t xml:space="preserve">Mazda</t>
        </is>
      </c>
      <c r="G7713" s="0" t="s">
        <v>171</v>
      </c>
      <c r="H7713" s="5">
        <v>1059.351500</v>
      </c>
    </row>
    <row r="7714" spans="1:9">
      <c r="A7714" s="22" t="str">
        <f>HYPERLINK("https://app.vivvix.com/360/KMI/IntelliDrive/ApplUI/Pages/CreativePages/CustomReportCreativeDetail.aspx?App=23&amp;ReportView=4&amp;Qid=1711279&amp;Row=7706&amp;Col=1","No Title Assigned - #15270463045")</f>
        <v/>
      </c>
      <c r="B7714" s="0" t="s">
        <v>10260</v>
      </c>
      <c r="E7714" s="0" t="inlineStr">
        <is>
          <t xml:space="preserve">Mazda</t>
        </is>
      </c>
      <c r="F7714" s="0" t="inlineStr">
        <is>
          <t xml:space="preserve">Mazda</t>
        </is>
      </c>
      <c r="G7714" s="0" t="s">
        <v>171</v>
      </c>
      <c r="H7714" s="5">
        <v>120.904400</v>
      </c>
    </row>
    <row r="7715" spans="1:9">
      <c r="A7715" s="22" t="str">
        <f>HYPERLINK("https://app.vivvix.com/360/KMI/IntelliDrive/ApplUI/Pages/CreativePages/CustomReportCreativeDetail.aspx?App=23&amp;ReportView=4&amp;Qid=1711279&amp;Row=7707&amp;Col=1","No Title Assigned - #15270463364")</f>
        <v/>
      </c>
      <c r="B7715" s="0" t="s">
        <v>10262</v>
      </c>
      <c r="E7715" s="0" t="inlineStr">
        <is>
          <t xml:space="preserve">Mazda</t>
        </is>
      </c>
      <c r="F7715" s="0" t="inlineStr">
        <is>
          <t xml:space="preserve">Mazda</t>
        </is>
      </c>
      <c r="G7715" s="0" t="s">
        <v>171</v>
      </c>
      <c r="H7715" s="5">
        <v>17.194000</v>
      </c>
    </row>
    <row r="7716" spans="1:9">
      <c r="A7716" s="22" t="str">
        <f>HYPERLINK("https://app.vivvix.com/360/KMI/IntelliDrive/ApplUI/Pages/CreativePages/CustomReportCreativeDetail.aspx?App=23&amp;ReportView=4&amp;Qid=1711279&amp;Row=7708&amp;Col=1","No Title Assigned - #15270463696")</f>
        <v/>
      </c>
      <c r="B7716" s="0" t="s">
        <v>10263</v>
      </c>
      <c r="E7716" s="0" t="inlineStr">
        <is>
          <t xml:space="preserve">Mazda</t>
        </is>
      </c>
      <c r="F7716" s="0" t="inlineStr">
        <is>
          <t xml:space="preserve">Mazda</t>
        </is>
      </c>
      <c r="G7716" s="0" t="s">
        <v>171</v>
      </c>
      <c r="H7716" s="5">
        <v>27.626700</v>
      </c>
    </row>
    <row r="7717" spans="1:9">
      <c r="A7717" s="22" t="str">
        <f>HYPERLINK("https://app.vivvix.com/360/KMI/IntelliDrive/ApplUI/Pages/CreativePages/CustomReportCreativeDetail.aspx?App=23&amp;ReportView=4&amp;Qid=1711279&amp;Row=7709&amp;Col=1","No Title Assigned - #15270463860")</f>
        <v/>
      </c>
      <c r="B7717" s="0" t="s">
        <v>10264</v>
      </c>
      <c r="E7717" s="0" t="inlineStr">
        <is>
          <t xml:space="preserve">Mazda</t>
        </is>
      </c>
      <c r="F7717" s="0" t="inlineStr">
        <is>
          <t xml:space="preserve">Mazda</t>
        </is>
      </c>
      <c r="G7717" s="0" t="s">
        <v>171</v>
      </c>
      <c r="H7717" s="5">
        <v>148.901000</v>
      </c>
    </row>
    <row r="7718" spans="1:9">
      <c r="A7718" s="22" t="str">
        <f>HYPERLINK("https://app.vivvix.com/360/KMI/IntelliDrive/ApplUI/Pages/CreativePages/CustomReportCreativeDetail.aspx?App=23&amp;ReportView=4&amp;Qid=1711279&amp;Row=7710&amp;Col=1","No Title Assigned - #15270463864")</f>
        <v/>
      </c>
      <c r="B7718" s="0" t="s">
        <v>10265</v>
      </c>
      <c r="E7718" s="0" t="inlineStr">
        <is>
          <t xml:space="preserve">Mazda</t>
        </is>
      </c>
      <c r="F7718" s="0" t="inlineStr">
        <is>
          <t xml:space="preserve">Mazda</t>
        </is>
      </c>
      <c r="G7718" s="0" t="s">
        <v>171</v>
      </c>
      <c r="H7718" s="5">
        <v>8.973800</v>
      </c>
    </row>
    <row r="7719" spans="1:9">
      <c r="A7719" s="22" t="str">
        <f>HYPERLINK("https://app.vivvix.com/360/KMI/IntelliDrive/ApplUI/Pages/CreativePages/CustomReportCreativeDetail.aspx?App=23&amp;ReportView=4&amp;Qid=1711279&amp;Row=7711&amp;Col=1","No Title Assigned - #15270463865")</f>
        <v/>
      </c>
      <c r="B7719" s="0" t="s">
        <v>10266</v>
      </c>
      <c r="E7719" s="0" t="inlineStr">
        <is>
          <t xml:space="preserve">Mazda</t>
        </is>
      </c>
      <c r="F7719" s="0" t="inlineStr">
        <is>
          <t xml:space="preserve">Mazda</t>
        </is>
      </c>
      <c r="G7719" s="0" t="s">
        <v>171</v>
      </c>
      <c r="H7719" s="5">
        <v>8.973800</v>
      </c>
    </row>
    <row r="7720" spans="1:9">
      <c r="A7720" s="22" t="str">
        <f>HYPERLINK("https://app.vivvix.com/360/KMI/IntelliDrive/ApplUI/Pages/CreativePages/CustomReportCreativeDetail.aspx?App=23&amp;ReportView=4&amp;Qid=1711279&amp;Row=7712&amp;Col=1","No Title Assigned - #15270464817")</f>
        <v/>
      </c>
      <c r="B7720" s="0" t="s">
        <v>10267</v>
      </c>
      <c r="E7720" s="0" t="inlineStr">
        <is>
          <t xml:space="preserve">Mazda</t>
        </is>
      </c>
      <c r="F7720" s="0" t="inlineStr">
        <is>
          <t xml:space="preserve">Mazda</t>
        </is>
      </c>
      <c r="G7720" s="0" t="s">
        <v>171</v>
      </c>
      <c r="H7720" s="5">
        <v>347.488300</v>
      </c>
    </row>
    <row r="7721" spans="1:9">
      <c r="A7721" s="22" t="str">
        <f>HYPERLINK("https://app.vivvix.com/360/KMI/IntelliDrive/ApplUI/Pages/CreativePages/CustomReportCreativeDetail.aspx?App=23&amp;ReportView=4&amp;Qid=1711279&amp;Row=7713&amp;Col=1","No Title Assigned - #15270464920")</f>
        <v/>
      </c>
      <c r="B7721" s="0" t="s">
        <v>10268</v>
      </c>
      <c r="E7721" s="0" t="inlineStr">
        <is>
          <t xml:space="preserve">Mazda</t>
        </is>
      </c>
      <c r="F7721" s="0" t="inlineStr">
        <is>
          <t xml:space="preserve">Mazda</t>
        </is>
      </c>
      <c r="G7721" s="0" t="s">
        <v>171</v>
      </c>
      <c r="H7721" s="5">
        <v>21.048100</v>
      </c>
    </row>
    <row r="7722" spans="1:9">
      <c r="A7722" s="22" t="str">
        <f>HYPERLINK("https://app.vivvix.com/360/KMI/IntelliDrive/ApplUI/Pages/CreativePages/CustomReportCreativeDetail.aspx?App=23&amp;ReportView=4&amp;Qid=1711279&amp;Row=7714&amp;Col=1","No Title Assigned - #15270465058")</f>
        <v/>
      </c>
      <c r="B7722" s="0" t="s">
        <v>10269</v>
      </c>
      <c r="E7722" s="0" t="inlineStr">
        <is>
          <t xml:space="preserve">Mazda</t>
        </is>
      </c>
      <c r="F7722" s="0" t="inlineStr">
        <is>
          <t xml:space="preserve">Mazda</t>
        </is>
      </c>
      <c r="G7722" s="0" t="s">
        <v>171</v>
      </c>
      <c r="H7722" s="5">
        <v>200.289200</v>
      </c>
    </row>
    <row r="7723" spans="1:9">
      <c r="A7723" s="22" t="str">
        <f>HYPERLINK("https://app.vivvix.com/360/KMI/IntelliDrive/ApplUI/Pages/CreativePages/CustomReportCreativeDetail.aspx?App=23&amp;ReportView=4&amp;Qid=1711279&amp;Row=7715&amp;Col=1","No Title Assigned - #15270466379")</f>
        <v/>
      </c>
      <c r="B7723" s="0" t="s">
        <v>10270</v>
      </c>
      <c r="E7723" s="0" t="inlineStr">
        <is>
          <t xml:space="preserve">Mazda</t>
        </is>
      </c>
      <c r="F7723" s="0" t="inlineStr">
        <is>
          <t xml:space="preserve">Mazda</t>
        </is>
      </c>
      <c r="G7723" s="0" t="s">
        <v>171</v>
      </c>
      <c r="H7723" s="5">
        <v>34.406700</v>
      </c>
    </row>
    <row r="7724" spans="1:9">
      <c r="A7724" s="22" t="str">
        <f>HYPERLINK("https://app.vivvix.com/360/KMI/IntelliDrive/ApplUI/Pages/CreativePages/CustomReportCreativeDetail.aspx?App=23&amp;ReportView=4&amp;Qid=1711279&amp;Row=7716&amp;Col=1","No Title Assigned - #15270467148")</f>
        <v/>
      </c>
      <c r="B7724" s="0" t="s">
        <v>10271</v>
      </c>
      <c r="E7724" s="0" t="inlineStr">
        <is>
          <t xml:space="preserve">Mazda</t>
        </is>
      </c>
      <c r="F7724" s="0" t="inlineStr">
        <is>
          <t xml:space="preserve">Mazda</t>
        </is>
      </c>
      <c r="G7724" s="0" t="s">
        <v>171</v>
      </c>
      <c r="H7724" s="5">
        <v>78.535400</v>
      </c>
    </row>
    <row r="7725" spans="1:9">
      <c r="A7725" s="22" t="str">
        <f>HYPERLINK("https://app.vivvix.com/360/KMI/IntelliDrive/ApplUI/Pages/CreativePages/CustomReportCreativeDetail.aspx?App=23&amp;ReportView=4&amp;Qid=1711279&amp;Row=7717&amp;Col=1","No Title Assigned - #15270467902")</f>
        <v/>
      </c>
      <c r="B7725" s="0" t="s">
        <v>10272</v>
      </c>
      <c r="E7725" s="0" t="inlineStr">
        <is>
          <t xml:space="preserve">Mazda</t>
        </is>
      </c>
      <c r="F7725" s="0" t="inlineStr">
        <is>
          <t xml:space="preserve">Mazda</t>
        </is>
      </c>
      <c r="G7725" s="0" t="s">
        <v>171</v>
      </c>
      <c r="H7725" s="5">
        <v>48.338100</v>
      </c>
    </row>
    <row r="7726" spans="1:9">
      <c r="A7726" s="22" t="str">
        <f>HYPERLINK("https://app.vivvix.com/360/KMI/IntelliDrive/ApplUI/Pages/CreativePages/CustomReportCreativeDetail.aspx?App=23&amp;ReportView=4&amp;Qid=1711279&amp;Row=7718&amp;Col=1","No Title Assigned - #15270472702")</f>
        <v/>
      </c>
      <c r="B7726" s="0" t="s">
        <v>10273</v>
      </c>
      <c r="E7726" s="0" t="inlineStr">
        <is>
          <t xml:space="preserve">Mazda</t>
        </is>
      </c>
      <c r="F7726" s="0" t="inlineStr">
        <is>
          <t xml:space="preserve">Mazda</t>
        </is>
      </c>
      <c r="G7726" s="0" t="s">
        <v>171</v>
      </c>
      <c r="H7726" s="5">
        <v>14.377400</v>
      </c>
    </row>
    <row r="7727" spans="1:9">
      <c r="A7727" s="22" t="str">
        <f>HYPERLINK("https://app.vivvix.com/360/KMI/IntelliDrive/ApplUI/Pages/CreativePages/CustomReportCreativeDetail.aspx?App=23&amp;ReportView=4&amp;Qid=1711279&amp;Row=7719&amp;Col=1","No Title Assigned - #15270473571")</f>
        <v/>
      </c>
      <c r="B7727" s="0" t="s">
        <v>10274</v>
      </c>
      <c r="C7727" s="0" t="s">
        <v>10275</v>
      </c>
      <c r="D7727" s="0" t="s">
        <v>10275</v>
      </c>
      <c r="E7727" s="0" t="inlineStr">
        <is>
          <t xml:space="preserve">Mazda</t>
        </is>
      </c>
      <c r="F7727" s="0" t="inlineStr">
        <is>
          <t xml:space="preserve">Mazda</t>
        </is>
      </c>
      <c r="G7727" s="0" t="s">
        <v>171</v>
      </c>
      <c r="H7727" s="5">
        <v>46.095000</v>
      </c>
    </row>
    <row r="7728" spans="1:9">
      <c r="A7728" s="22" t="str">
        <f>HYPERLINK("https://app.vivvix.com/360/KMI/IntelliDrive/ApplUI/Pages/CreativePages/CustomReportCreativeDetail.aspx?App=23&amp;ReportView=4&amp;Qid=1711279&amp;Row=7720&amp;Col=1","No Title Assigned - #15270473571")</f>
        <v/>
      </c>
      <c r="B7728" s="0" t="s">
        <v>10274</v>
      </c>
      <c r="E7728" s="0" t="inlineStr">
        <is>
          <t xml:space="preserve">Mazda</t>
        </is>
      </c>
      <c r="F7728" s="0" t="inlineStr">
        <is>
          <t xml:space="preserve">Mazda</t>
        </is>
      </c>
      <c r="G7728" s="0" t="s">
        <v>171</v>
      </c>
      <c r="H7728" s="5">
        <v>510.695100</v>
      </c>
    </row>
    <row r="7729" spans="1:9">
      <c r="A7729" s="22" t="str">
        <f>HYPERLINK("https://app.vivvix.com/360/KMI/IntelliDrive/ApplUI/Pages/CreativePages/CustomReportCreativeDetail.aspx?App=23&amp;ReportView=4&amp;Qid=1711279&amp;Row=7721&amp;Col=1","No Title Assigned - #15270473601")</f>
        <v/>
      </c>
      <c r="B7729" s="0" t="s">
        <v>10276</v>
      </c>
      <c r="E7729" s="0" t="inlineStr">
        <is>
          <t xml:space="preserve">Mazda</t>
        </is>
      </c>
      <c r="F7729" s="0" t="inlineStr">
        <is>
          <t xml:space="preserve">Mazda</t>
        </is>
      </c>
      <c r="G7729" s="0" t="s">
        <v>171</v>
      </c>
      <c r="H7729" s="5">
        <v>60.590400</v>
      </c>
    </row>
    <row r="7730" spans="1:9">
      <c r="A7730" s="22" t="str">
        <f>HYPERLINK("https://app.vivvix.com/360/KMI/IntelliDrive/ApplUI/Pages/CreativePages/CustomReportCreativeDetail.aspx?App=23&amp;ReportView=4&amp;Qid=1711279&amp;Row=7722&amp;Col=1","No Title Assigned - #15270474280")</f>
        <v/>
      </c>
      <c r="B7730" s="0" t="s">
        <v>10277</v>
      </c>
      <c r="E7730" s="0" t="inlineStr">
        <is>
          <t xml:space="preserve">Mazda</t>
        </is>
      </c>
      <c r="F7730" s="0" t="inlineStr">
        <is>
          <t xml:space="preserve">Mazda</t>
        </is>
      </c>
      <c r="G7730" s="0" t="s">
        <v>171</v>
      </c>
      <c r="H7730" s="5">
        <v>294.549700</v>
      </c>
    </row>
    <row r="7731" spans="1:9">
      <c r="A7731" s="22" t="str">
        <f>HYPERLINK("https://app.vivvix.com/360/KMI/IntelliDrive/ApplUI/Pages/CreativePages/CustomReportCreativeDetail.aspx?App=23&amp;ReportView=4&amp;Qid=1711279&amp;Row=7723&amp;Col=1","No Title Assigned - #15270478086")</f>
        <v/>
      </c>
      <c r="B7731" s="0" t="s">
        <v>10278</v>
      </c>
      <c r="E7731" s="0" t="inlineStr">
        <is>
          <t xml:space="preserve">Mazda</t>
        </is>
      </c>
      <c r="F7731" s="0" t="inlineStr">
        <is>
          <t xml:space="preserve">Mazda</t>
        </is>
      </c>
      <c r="G7731" s="0" t="s">
        <v>171</v>
      </c>
      <c r="H7731" s="5">
        <v>415.586700</v>
      </c>
    </row>
    <row r="7732" spans="1:9">
      <c r="A7732" s="22" t="str">
        <f>HYPERLINK("https://app.vivvix.com/360/KMI/IntelliDrive/ApplUI/Pages/CreativePages/CustomReportCreativeDetail.aspx?App=23&amp;ReportView=4&amp;Qid=1711279&amp;Row=7724&amp;Col=1","No Title Assigned - #15270478086")</f>
        <v/>
      </c>
      <c r="B7732" s="0" t="s">
        <v>10278</v>
      </c>
      <c r="E7732" s="0" t="inlineStr">
        <is>
          <t xml:space="preserve">Mazda</t>
        </is>
      </c>
      <c r="F7732" s="0" t="inlineStr">
        <is>
          <t xml:space="preserve">Mazda</t>
        </is>
      </c>
      <c r="G7732" s="0" t="s">
        <v>171</v>
      </c>
      <c r="H7732" s="5">
        <v>1341.771900</v>
      </c>
    </row>
    <row r="7733" spans="1:9">
      <c r="A7733" s="22" t="str">
        <f>HYPERLINK("https://app.vivvix.com/360/KMI/IntelliDrive/ApplUI/Pages/CreativePages/CustomReportCreativeDetail.aspx?App=23&amp;ReportView=4&amp;Qid=1711279&amp;Row=7725&amp;Col=1","No Title Assigned - #15270479134")</f>
        <v/>
      </c>
      <c r="B7733" s="0" t="s">
        <v>10279</v>
      </c>
      <c r="C7733" s="0" t="s">
        <v>10280</v>
      </c>
      <c r="D7733" s="0" t="s">
        <v>10280</v>
      </c>
      <c r="E7733" s="0" t="inlineStr">
        <is>
          <t xml:space="preserve">Mazda</t>
        </is>
      </c>
      <c r="F7733" s="0" t="inlineStr">
        <is>
          <t xml:space="preserve">Mazda</t>
        </is>
      </c>
      <c r="G7733" s="0" t="s">
        <v>171</v>
      </c>
      <c r="H7733" s="5">
        <v>415.763800</v>
      </c>
    </row>
    <row r="7734" spans="1:9">
      <c r="A7734" s="22" t="str">
        <f>HYPERLINK("https://app.vivvix.com/360/KMI/IntelliDrive/ApplUI/Pages/CreativePages/CustomReportCreativeDetail.aspx?App=23&amp;ReportView=4&amp;Qid=1711279&amp;Row=7726&amp;Col=1","No Title Assigned - #15270480270")</f>
        <v/>
      </c>
      <c r="B7734" s="0" t="s">
        <v>10281</v>
      </c>
      <c r="E7734" s="0" t="inlineStr">
        <is>
          <t xml:space="preserve">Mazda</t>
        </is>
      </c>
      <c r="F7734" s="0" t="inlineStr">
        <is>
          <t xml:space="preserve">Mazda</t>
        </is>
      </c>
      <c r="G7734" s="0" t="s">
        <v>171</v>
      </c>
      <c r="H7734" s="5">
        <v>59.834000</v>
      </c>
    </row>
    <row r="7735" spans="1:9">
      <c r="A7735" s="22" t="str">
        <f>HYPERLINK("https://app.vivvix.com/360/KMI/IntelliDrive/ApplUI/Pages/CreativePages/CustomReportCreativeDetail.aspx?App=23&amp;ReportView=4&amp;Qid=1711279&amp;Row=7727&amp;Col=1","No Title Assigned - #15270482904")</f>
        <v/>
      </c>
      <c r="B7735" s="0" t="s">
        <v>10282</v>
      </c>
      <c r="E7735" s="0" t="inlineStr">
        <is>
          <t xml:space="preserve">Mazda</t>
        </is>
      </c>
      <c r="F7735" s="0" t="inlineStr">
        <is>
          <t xml:space="preserve">Mazda</t>
        </is>
      </c>
      <c r="G7735" s="0" t="s">
        <v>171</v>
      </c>
      <c r="H7735" s="5">
        <v>394.462700</v>
      </c>
    </row>
    <row r="7736" spans="1:9">
      <c r="A7736" s="22" t="str">
        <f>HYPERLINK("https://app.vivvix.com/360/KMI/IntelliDrive/ApplUI/Pages/CreativePages/CustomReportCreativeDetail.aspx?App=23&amp;ReportView=4&amp;Qid=1711279&amp;Row=7728&amp;Col=1","No Title Assigned - #15270484396")</f>
        <v/>
      </c>
      <c r="B7736" s="0" t="s">
        <v>10283</v>
      </c>
      <c r="E7736" s="0" t="inlineStr">
        <is>
          <t xml:space="preserve">Mazda</t>
        </is>
      </c>
      <c r="F7736" s="0" t="inlineStr">
        <is>
          <t xml:space="preserve">Mazda</t>
        </is>
      </c>
      <c r="G7736" s="0" t="s">
        <v>171</v>
      </c>
      <c r="H7736" s="5">
        <v>52.883300</v>
      </c>
    </row>
    <row r="7737" spans="1:9">
      <c r="A7737" s="22" t="str">
        <f>HYPERLINK("https://app.vivvix.com/360/KMI/IntelliDrive/ApplUI/Pages/CreativePages/CustomReportCreativeDetail.aspx?App=23&amp;ReportView=4&amp;Qid=1711279&amp;Row=7729&amp;Col=1","No Title Assigned - #15270484737")</f>
        <v/>
      </c>
      <c r="B7737" s="0" t="s">
        <v>10284</v>
      </c>
      <c r="E7737" s="0" t="inlineStr">
        <is>
          <t xml:space="preserve">Mazda</t>
        </is>
      </c>
      <c r="F7737" s="0" t="inlineStr">
        <is>
          <t xml:space="preserve">Mazda</t>
        </is>
      </c>
      <c r="G7737" s="0" t="s">
        <v>171</v>
      </c>
      <c r="H7737" s="5">
        <v>398.043900</v>
      </c>
    </row>
    <row r="7738" spans="1:9">
      <c r="A7738" s="22" t="str">
        <f>HYPERLINK("https://app.vivvix.com/360/KMI/IntelliDrive/ApplUI/Pages/CreativePages/CustomReportCreativeDetail.aspx?App=23&amp;ReportView=4&amp;Qid=1711279&amp;Row=7730&amp;Col=1","No Title Assigned - #15270484737")</f>
        <v/>
      </c>
      <c r="B7738" s="0" t="s">
        <v>10284</v>
      </c>
      <c r="E7738" s="0" t="inlineStr">
        <is>
          <t xml:space="preserve">Mazda</t>
        </is>
      </c>
      <c r="F7738" s="0" t="inlineStr">
        <is>
          <t xml:space="preserve">Mazda</t>
        </is>
      </c>
      <c r="G7738" s="0" t="s">
        <v>171</v>
      </c>
      <c r="H7738" s="5">
        <v>471.431500</v>
      </c>
    </row>
    <row r="7739" spans="1:9">
      <c r="A7739" s="22" t="str">
        <f>HYPERLINK("https://app.vivvix.com/360/KMI/IntelliDrive/ApplUI/Pages/CreativePages/CustomReportCreativeDetail.aspx?App=23&amp;ReportView=4&amp;Qid=1711279&amp;Row=7731&amp;Col=1","No Title Assigned - #15270485279")</f>
        <v/>
      </c>
      <c r="B7739" s="0" t="s">
        <v>10285</v>
      </c>
      <c r="E7739" s="0" t="inlineStr">
        <is>
          <t xml:space="preserve">Mazda</t>
        </is>
      </c>
      <c r="F7739" s="0" t="inlineStr">
        <is>
          <t xml:space="preserve">Mazda</t>
        </is>
      </c>
      <c r="G7739" s="0" t="s">
        <v>171</v>
      </c>
      <c r="H7739" s="5">
        <v>23592.580100</v>
      </c>
    </row>
    <row r="7740" spans="1:9">
      <c r="A7740" s="22" t="str">
        <f>HYPERLINK("https://app.vivvix.com/360/KMI/IntelliDrive/ApplUI/Pages/CreativePages/CustomReportCreativeDetail.aspx?App=23&amp;ReportView=4&amp;Qid=1711279&amp;Row=7732&amp;Col=1","No Title Assigned - #15270485581")</f>
        <v/>
      </c>
      <c r="B7740" s="0" t="s">
        <v>10286</v>
      </c>
      <c r="C7740" s="0" t="s">
        <v>10287</v>
      </c>
      <c r="D7740" s="0" t="s">
        <v>10287</v>
      </c>
      <c r="E7740" s="0" t="inlineStr">
        <is>
          <t xml:space="preserve">Mazda</t>
        </is>
      </c>
      <c r="F7740" s="0" t="inlineStr">
        <is>
          <t xml:space="preserve">Mazda</t>
        </is>
      </c>
      <c r="G7740" s="0" t="s">
        <v>171</v>
      </c>
      <c r="H7740" s="5">
        <v>197.316100</v>
      </c>
    </row>
    <row r="7741" spans="1:9">
      <c r="A7741" s="22" t="str">
        <f>HYPERLINK("https://app.vivvix.com/360/KMI/IntelliDrive/ApplUI/Pages/CreativePages/CustomReportCreativeDetail.aspx?App=23&amp;ReportView=4&amp;Qid=1711279&amp;Row=7733&amp;Col=1","No Title Assigned - #15270485581")</f>
        <v/>
      </c>
      <c r="B7741" s="0" t="s">
        <v>10286</v>
      </c>
      <c r="E7741" s="0" t="inlineStr">
        <is>
          <t xml:space="preserve">Mazda</t>
        </is>
      </c>
      <c r="F7741" s="0" t="inlineStr">
        <is>
          <t xml:space="preserve">Mazda</t>
        </is>
      </c>
      <c r="G7741" s="0" t="s">
        <v>171</v>
      </c>
      <c r="H7741" s="5">
        <v>690.163900</v>
      </c>
    </row>
    <row r="7742" spans="1:9">
      <c r="A7742" s="22" t="str">
        <f>HYPERLINK("https://app.vivvix.com/360/KMI/IntelliDrive/ApplUI/Pages/CreativePages/CustomReportCreativeDetail.aspx?App=23&amp;ReportView=4&amp;Qid=1711279&amp;Row=7734&amp;Col=1","No Title Assigned - #15270486830")</f>
        <v/>
      </c>
      <c r="B7742" s="0" t="s">
        <v>10288</v>
      </c>
      <c r="E7742" s="0" t="inlineStr">
        <is>
          <t xml:space="preserve">Mazda</t>
        </is>
      </c>
      <c r="F7742" s="0" t="inlineStr">
        <is>
          <t xml:space="preserve">Mazda</t>
        </is>
      </c>
      <c r="G7742" s="0" t="s">
        <v>171</v>
      </c>
      <c r="H7742" s="5">
        <v>117.518400</v>
      </c>
    </row>
    <row r="7743" spans="1:9">
      <c r="A7743" s="22" t="str">
        <f>HYPERLINK("https://app.vivvix.com/360/KMI/IntelliDrive/ApplUI/Pages/CreativePages/CustomReportCreativeDetail.aspx?App=23&amp;ReportView=4&amp;Qid=1711279&amp;Row=7735&amp;Col=1","No Title Assigned - #15270486831")</f>
        <v/>
      </c>
      <c r="B7743" s="0" t="s">
        <v>10289</v>
      </c>
      <c r="C7743" s="0" t="s">
        <v>10290</v>
      </c>
      <c r="D7743" s="0" t="s">
        <v>10290</v>
      </c>
      <c r="E7743" s="0" t="inlineStr">
        <is>
          <t xml:space="preserve">Mazda</t>
        </is>
      </c>
      <c r="F7743" s="0" t="inlineStr">
        <is>
          <t xml:space="preserve">Mazda</t>
        </is>
      </c>
      <c r="G7743" s="0" t="s">
        <v>171</v>
      </c>
      <c r="H7743" s="5">
        <v>261.333600</v>
      </c>
    </row>
    <row r="7744" spans="1:9">
      <c r="A7744" s="22" t="str">
        <f>HYPERLINK("https://app.vivvix.com/360/KMI/IntelliDrive/ApplUI/Pages/CreativePages/CustomReportCreativeDetail.aspx?App=23&amp;ReportView=4&amp;Qid=1711279&amp;Row=7736&amp;Col=1","No Title Assigned - #15270486915")</f>
        <v/>
      </c>
      <c r="B7744" s="0" t="s">
        <v>10291</v>
      </c>
      <c r="E7744" s="0" t="inlineStr">
        <is>
          <t xml:space="preserve">Mazda</t>
        </is>
      </c>
      <c r="F7744" s="0" t="inlineStr">
        <is>
          <t xml:space="preserve">Mazda</t>
        </is>
      </c>
      <c r="G7744" s="0" t="s">
        <v>171</v>
      </c>
      <c r="H7744" s="5">
        <v>666.519900</v>
      </c>
    </row>
    <row r="7745" spans="1:9">
      <c r="A7745" s="22" t="str">
        <f>HYPERLINK("https://app.vivvix.com/360/KMI/IntelliDrive/ApplUI/Pages/CreativePages/CustomReportCreativeDetail.aspx?App=23&amp;ReportView=4&amp;Qid=1711279&amp;Row=7737&amp;Col=1","No Title Assigned - #15270486918")</f>
        <v/>
      </c>
      <c r="B7745" s="0" t="s">
        <v>10292</v>
      </c>
      <c r="E7745" s="0" t="inlineStr">
        <is>
          <t xml:space="preserve">Mazda</t>
        </is>
      </c>
      <c r="F7745" s="0" t="inlineStr">
        <is>
          <t xml:space="preserve">Mazda</t>
        </is>
      </c>
      <c r="G7745" s="0" t="s">
        <v>171</v>
      </c>
      <c r="H7745" s="5">
        <v>12.942600</v>
      </c>
    </row>
    <row r="7746" spans="1:9">
      <c r="A7746" s="22" t="str">
        <f>HYPERLINK("https://app.vivvix.com/360/KMI/IntelliDrive/ApplUI/Pages/CreativePages/CustomReportCreativeDetail.aspx?App=23&amp;ReportView=4&amp;Qid=1711279&amp;Row=7738&amp;Col=1","No Title Assigned - #15270498329")</f>
        <v/>
      </c>
      <c r="B7746" s="0" t="s">
        <v>10293</v>
      </c>
      <c r="C7746" s="0" t="s">
        <v>10294</v>
      </c>
      <c r="D7746" s="0" t="s">
        <v>4407</v>
      </c>
      <c r="E7746" s="0" t="inlineStr">
        <is>
          <t xml:space="preserve">Mazda</t>
        </is>
      </c>
      <c r="F7746" s="0" t="s">
        <v>28</v>
      </c>
      <c r="G7746" s="0" t="s">
        <v>29</v>
      </c>
      <c r="H7746" s="5">
        <v>16.786500</v>
      </c>
    </row>
    <row r="7747" spans="1:9">
      <c r="A7747" s="22" t="str">
        <f>HYPERLINK("https://app.vivvix.com/360/KMI/IntelliDrive/ApplUI/Pages/CreativePages/CustomReportCreativeDetail.aspx?App=23&amp;ReportView=4&amp;Qid=1711279&amp;Row=7739&amp;Col=1","No Title Assigned - #15270499774")</f>
        <v/>
      </c>
      <c r="B7747" s="0" t="s">
        <v>10295</v>
      </c>
      <c r="C7747" s="0" t="s">
        <v>10296</v>
      </c>
      <c r="D7747" s="0" t="s">
        <v>10296</v>
      </c>
      <c r="E7747" s="0" t="inlineStr">
        <is>
          <t xml:space="preserve">Mazda</t>
        </is>
      </c>
      <c r="F7747" s="0" t="s">
        <v>13</v>
      </c>
      <c r="G7747" s="0" t="s">
        <v>49</v>
      </c>
      <c r="H7747" s="5">
        <v>625.917800</v>
      </c>
    </row>
    <row r="7748" spans="1:9">
      <c r="A7748" s="22" t="str">
        <f>HYPERLINK("https://app.vivvix.com/360/KMI/IntelliDrive/ApplUI/Pages/CreativePages/CustomReportCreativeDetail.aspx?App=23&amp;ReportView=4&amp;Qid=1711279&amp;Row=7740&amp;Col=1","No Title Assigned - #15270499774")</f>
        <v/>
      </c>
      <c r="B7748" s="0" t="s">
        <v>10295</v>
      </c>
      <c r="E7748" s="0" t="inlineStr">
        <is>
          <t xml:space="preserve">Mazda</t>
        </is>
      </c>
      <c r="F7748" s="0" t="s">
        <v>13</v>
      </c>
      <c r="G7748" s="0" t="s">
        <v>49</v>
      </c>
      <c r="H7748" s="5">
        <v>377.926200</v>
      </c>
    </row>
    <row r="7749" spans="1:9">
      <c r="A7749" s="22" t="str">
        <f>HYPERLINK("https://app.vivvix.com/360/KMI/IntelliDrive/ApplUI/Pages/CreativePages/CustomReportCreativeDetail.aspx?App=23&amp;ReportView=4&amp;Qid=1711279&amp;Row=7741&amp;Col=1","No Title Assigned - #15270500009")</f>
        <v/>
      </c>
      <c r="B7749" s="0" t="s">
        <v>10297</v>
      </c>
      <c r="C7749" s="0" t="s">
        <v>10298</v>
      </c>
      <c r="D7749" s="0" t="s">
        <v>10298</v>
      </c>
      <c r="E7749" s="0" t="inlineStr">
        <is>
          <t xml:space="preserve">Mazda</t>
        </is>
      </c>
      <c r="F7749" s="0" t="s">
        <v>13</v>
      </c>
      <c r="G7749" s="0" t="s">
        <v>49</v>
      </c>
      <c r="H7749" s="5">
        <v>182.873800</v>
      </c>
    </row>
    <row r="7750" spans="1:9">
      <c r="A7750" s="22" t="str">
        <f>HYPERLINK("https://app.vivvix.com/360/KMI/IntelliDrive/ApplUI/Pages/CreativePages/CustomReportCreativeDetail.aspx?App=23&amp;ReportView=4&amp;Qid=1711279&amp;Row=7742&amp;Col=1","No Title Assigned - #15270500009")</f>
        <v/>
      </c>
      <c r="B7750" s="0" t="s">
        <v>10297</v>
      </c>
      <c r="E7750" s="0" t="inlineStr">
        <is>
          <t xml:space="preserve">Mazda</t>
        </is>
      </c>
      <c r="F7750" s="0" t="s">
        <v>13</v>
      </c>
      <c r="G7750" s="0" t="s">
        <v>49</v>
      </c>
      <c r="H7750" s="5">
        <v>545.057000</v>
      </c>
    </row>
    <row r="7751" spans="1:9">
      <c r="A7751" s="22" t="str">
        <f>HYPERLINK("https://app.vivvix.com/360/KMI/IntelliDrive/ApplUI/Pages/CreativePages/CustomReportCreativeDetail.aspx?App=23&amp;ReportView=4&amp;Qid=1711279&amp;Row=7743&amp;Col=1","No Title Assigned - #15270500038")</f>
        <v/>
      </c>
      <c r="B7751" s="0" t="s">
        <v>10299</v>
      </c>
      <c r="C7751" s="0" t="s">
        <v>10300</v>
      </c>
      <c r="D7751" s="0" t="s">
        <v>10300</v>
      </c>
      <c r="E7751" s="0" t="inlineStr">
        <is>
          <t xml:space="preserve">Mazda</t>
        </is>
      </c>
      <c r="F7751" s="0" t="s">
        <v>13</v>
      </c>
      <c r="G7751" s="0" t="s">
        <v>49</v>
      </c>
      <c r="H7751" s="5">
        <v>368.947600</v>
      </c>
    </row>
    <row r="7752" spans="1:9">
      <c r="A7752" s="22" t="str">
        <f>HYPERLINK("https://app.vivvix.com/360/KMI/IntelliDrive/ApplUI/Pages/CreativePages/CustomReportCreativeDetail.aspx?App=23&amp;ReportView=4&amp;Qid=1711279&amp;Row=7744&amp;Col=1","No Title Assigned - #15270500540")</f>
        <v/>
      </c>
      <c r="B7752" s="0" t="s">
        <v>10301</v>
      </c>
      <c r="C7752" s="0" t="s">
        <v>10302</v>
      </c>
      <c r="D7752" s="0" t="s">
        <v>10302</v>
      </c>
      <c r="E7752" s="0" t="inlineStr">
        <is>
          <t xml:space="preserve">Mazda</t>
        </is>
      </c>
      <c r="F7752" s="0" t="s">
        <v>13</v>
      </c>
      <c r="G7752" s="0" t="s">
        <v>49</v>
      </c>
      <c r="H7752" s="5">
        <v>1434.139500</v>
      </c>
    </row>
    <row r="7753" spans="1:9">
      <c r="A7753" s="22" t="str">
        <f>HYPERLINK("https://app.vivvix.com/360/KMI/IntelliDrive/ApplUI/Pages/CreativePages/CustomReportCreativeDetail.aspx?App=23&amp;ReportView=4&amp;Qid=1711279&amp;Row=7745&amp;Col=1","No Title Assigned - #15270500540")</f>
        <v/>
      </c>
      <c r="B7753" s="0" t="s">
        <v>10301</v>
      </c>
      <c r="E7753" s="0" t="inlineStr">
        <is>
          <t xml:space="preserve">Mazda</t>
        </is>
      </c>
      <c r="F7753" s="0" t="s">
        <v>13</v>
      </c>
      <c r="G7753" s="0" t="s">
        <v>49</v>
      </c>
      <c r="H7753" s="5">
        <v>2347.577900</v>
      </c>
    </row>
    <row r="7754" spans="1:9">
      <c r="A7754" s="22" t="str">
        <f>HYPERLINK("https://app.vivvix.com/360/KMI/IntelliDrive/ApplUI/Pages/CreativePages/CustomReportCreativeDetail.aspx?App=23&amp;ReportView=4&amp;Qid=1711279&amp;Row=7746&amp;Col=1","No Title Assigned - #15270500726")</f>
        <v/>
      </c>
      <c r="B7754" s="0" t="s">
        <v>10303</v>
      </c>
      <c r="C7754" s="0" t="s">
        <v>10304</v>
      </c>
      <c r="D7754" s="0" t="s">
        <v>6183</v>
      </c>
      <c r="E7754" s="0" t="inlineStr">
        <is>
          <t xml:space="preserve">Mazda</t>
        </is>
      </c>
      <c r="F7754" s="0" t="s">
        <v>13</v>
      </c>
      <c r="G7754" s="0" t="s">
        <v>49</v>
      </c>
      <c r="H7754" s="5">
        <v>27.881600</v>
      </c>
    </row>
    <row r="7755" spans="1:9">
      <c r="A7755" s="22" t="str">
        <f>HYPERLINK("https://app.vivvix.com/360/KMI/IntelliDrive/ApplUI/Pages/CreativePages/CustomReportCreativeDetail.aspx?App=23&amp;ReportView=4&amp;Qid=1711279&amp;Row=7747&amp;Col=1","No Title Assigned - #15270501845")</f>
        <v/>
      </c>
      <c r="B7755" s="0" t="s">
        <v>10305</v>
      </c>
      <c r="C7755" s="0" t="s">
        <v>10306</v>
      </c>
      <c r="D7755" s="0" t="s">
        <v>10306</v>
      </c>
      <c r="E7755" s="0" t="inlineStr">
        <is>
          <t xml:space="preserve">Mazda</t>
        </is>
      </c>
      <c r="F7755" s="0" t="s">
        <v>13</v>
      </c>
      <c r="G7755" s="0" t="s">
        <v>49</v>
      </c>
      <c r="H7755" s="5">
        <v>531.692100</v>
      </c>
    </row>
    <row r="7756" spans="1:9">
      <c r="A7756" s="22" t="str">
        <f>HYPERLINK("https://app.vivvix.com/360/KMI/IntelliDrive/ApplUI/Pages/CreativePages/CustomReportCreativeDetail.aspx?App=23&amp;ReportView=4&amp;Qid=1711279&amp;Row=7748&amp;Col=1","No Title Assigned - #15270502548")</f>
        <v/>
      </c>
      <c r="B7756" s="0" t="s">
        <v>10307</v>
      </c>
      <c r="C7756" s="0" t="s">
        <v>10308</v>
      </c>
      <c r="D7756" s="0" t="s">
        <v>10308</v>
      </c>
      <c r="E7756" s="0" t="inlineStr">
        <is>
          <t xml:space="preserve">Mazda</t>
        </is>
      </c>
      <c r="F7756" s="0" t="s">
        <v>13</v>
      </c>
      <c r="G7756" s="0" t="s">
        <v>49</v>
      </c>
      <c r="H7756" s="5">
        <v>504.207100</v>
      </c>
    </row>
    <row r="7757" spans="1:9">
      <c r="A7757" s="22" t="str">
        <f>HYPERLINK("https://app.vivvix.com/360/KMI/IntelliDrive/ApplUI/Pages/CreativePages/CustomReportCreativeDetail.aspx?App=23&amp;ReportView=4&amp;Qid=1711279&amp;Row=7749&amp;Col=1","No Title Assigned - #15270503538")</f>
        <v/>
      </c>
      <c r="B7757" s="0" t="s">
        <v>10309</v>
      </c>
      <c r="E7757" s="0" t="inlineStr">
        <is>
          <t xml:space="preserve">Mazda</t>
        </is>
      </c>
      <c r="F7757" s="0" t="inlineStr">
        <is>
          <t xml:space="preserve">Mazda</t>
        </is>
      </c>
      <c r="G7757" s="0" t="s">
        <v>171</v>
      </c>
      <c r="H7757" s="5">
        <v>24.032900</v>
      </c>
    </row>
    <row r="7758" spans="1:9">
      <c r="A7758" s="22" t="str">
        <f>HYPERLINK("https://app.vivvix.com/360/KMI/IntelliDrive/ApplUI/Pages/CreativePages/CustomReportCreativeDetail.aspx?App=23&amp;ReportView=4&amp;Qid=1711279&amp;Row=7750&amp;Col=1","No Title Assigned - #15270503670")</f>
        <v/>
      </c>
      <c r="B7758" s="0" t="s">
        <v>10310</v>
      </c>
      <c r="C7758" s="0" t="s">
        <v>10311</v>
      </c>
      <c r="D7758" s="0" t="s">
        <v>10311</v>
      </c>
      <c r="E7758" s="0" t="inlineStr">
        <is>
          <t xml:space="preserve">Mazda</t>
        </is>
      </c>
      <c r="F7758" s="0" t="s">
        <v>13</v>
      </c>
      <c r="G7758" s="0" t="s">
        <v>49</v>
      </c>
      <c r="H7758" s="5">
        <v>1733.467500</v>
      </c>
    </row>
    <row r="7759" spans="1:9">
      <c r="A7759" s="22" t="str">
        <f>HYPERLINK("https://app.vivvix.com/360/KMI/IntelliDrive/ApplUI/Pages/CreativePages/CustomReportCreativeDetail.aspx?App=23&amp;ReportView=4&amp;Qid=1711279&amp;Row=7751&amp;Col=1","No Title Assigned - #15270503671")</f>
        <v/>
      </c>
      <c r="B7759" s="0" t="s">
        <v>10312</v>
      </c>
      <c r="C7759" s="0" t="s">
        <v>10313</v>
      </c>
      <c r="D7759" s="0" t="s">
        <v>8492</v>
      </c>
      <c r="E7759" s="0" t="inlineStr">
        <is>
          <t xml:space="preserve">Mazda</t>
        </is>
      </c>
      <c r="F7759" s="0" t="s">
        <v>13</v>
      </c>
      <c r="G7759" s="0" t="s">
        <v>49</v>
      </c>
      <c r="H7759" s="5">
        <v>82.099800</v>
      </c>
    </row>
    <row r="7760" spans="1:9">
      <c r="A7760" s="22" t="str">
        <f>HYPERLINK("https://app.vivvix.com/360/KMI/IntelliDrive/ApplUI/Pages/CreativePages/CustomReportCreativeDetail.aspx?App=23&amp;ReportView=4&amp;Qid=1711279&amp;Row=7752&amp;Col=1","No Title Assigned - #15270503672")</f>
        <v/>
      </c>
      <c r="B7760" s="0" t="s">
        <v>10314</v>
      </c>
      <c r="C7760" s="0" t="s">
        <v>10315</v>
      </c>
      <c r="D7760" s="0" t="s">
        <v>8588</v>
      </c>
      <c r="E7760" s="0" t="inlineStr">
        <is>
          <t xml:space="preserve">Mazda</t>
        </is>
      </c>
      <c r="F7760" s="0" t="s">
        <v>13</v>
      </c>
      <c r="G7760" s="0" t="s">
        <v>49</v>
      </c>
      <c r="H7760" s="5">
        <v>82.099800</v>
      </c>
    </row>
    <row r="7761" spans="1:9">
      <c r="A7761" s="22" t="str">
        <f>HYPERLINK("https://app.vivvix.com/360/KMI/IntelliDrive/ApplUI/Pages/CreativePages/CustomReportCreativeDetail.aspx?App=23&amp;ReportView=4&amp;Qid=1711279&amp;Row=7753&amp;Col=1","No Title Assigned - #15270504486")</f>
        <v/>
      </c>
      <c r="B7761" s="0" t="s">
        <v>10316</v>
      </c>
      <c r="E7761" s="0" t="inlineStr">
        <is>
          <t xml:space="preserve">Mazda</t>
        </is>
      </c>
      <c r="F7761" s="0" t="inlineStr">
        <is>
          <t xml:space="preserve">Mazda</t>
        </is>
      </c>
      <c r="G7761" s="0" t="s">
        <v>171</v>
      </c>
      <c r="H7761" s="5">
        <v>380.506400</v>
      </c>
    </row>
    <row r="7762" spans="1:9">
      <c r="A7762" s="22" t="str">
        <f>HYPERLINK("https://app.vivvix.com/360/KMI/IntelliDrive/ApplUI/Pages/CreativePages/CustomReportCreativeDetail.aspx?App=23&amp;ReportView=4&amp;Qid=1711279&amp;Row=7754&amp;Col=1","No Title Assigned - #15270504594")</f>
        <v/>
      </c>
      <c r="B7762" s="0" t="s">
        <v>10317</v>
      </c>
      <c r="E7762" s="0" t="inlineStr">
        <is>
          <t xml:space="preserve">Mazda</t>
        </is>
      </c>
      <c r="F7762" s="0" t="inlineStr">
        <is>
          <t xml:space="preserve">Mazda</t>
        </is>
      </c>
      <c r="G7762" s="0" t="s">
        <v>171</v>
      </c>
      <c r="H7762" s="5">
        <v>16767.121200</v>
      </c>
    </row>
    <row r="7763" spans="1:9">
      <c r="A7763" s="22" t="str">
        <f>HYPERLINK("https://app.vivvix.com/360/KMI/IntelliDrive/ApplUI/Pages/CreativePages/CustomReportCreativeDetail.aspx?App=23&amp;ReportView=4&amp;Qid=1711279&amp;Row=7755&amp;Col=1","No Title Assigned - #15270504634")</f>
        <v/>
      </c>
      <c r="B7763" s="0" t="s">
        <v>10318</v>
      </c>
      <c r="C7763" s="0" t="s">
        <v>10319</v>
      </c>
      <c r="D7763" s="0" t="s">
        <v>10319</v>
      </c>
      <c r="E7763" s="0" t="inlineStr">
        <is>
          <t xml:space="preserve">Mazda</t>
        </is>
      </c>
      <c r="F7763" s="0" t="s">
        <v>28</v>
      </c>
      <c r="G7763" s="0" t="s">
        <v>29</v>
      </c>
      <c r="H7763" s="5">
        <v>986.700700</v>
      </c>
    </row>
    <row r="7764" spans="1:9">
      <c r="A7764" s="22" t="str">
        <f>HYPERLINK("https://app.vivvix.com/360/KMI/IntelliDrive/ApplUI/Pages/CreativePages/CustomReportCreativeDetail.aspx?App=23&amp;ReportView=4&amp;Qid=1711279&amp;Row=7756&amp;Col=1","No Title Assigned - #15270504985")</f>
        <v/>
      </c>
      <c r="B7764" s="0" t="s">
        <v>10320</v>
      </c>
      <c r="C7764" s="0" t="s">
        <v>10321</v>
      </c>
      <c r="D7764" s="0" t="s">
        <v>10321</v>
      </c>
      <c r="E7764" s="0" t="inlineStr">
        <is>
          <t xml:space="preserve">Mazda</t>
        </is>
      </c>
      <c r="F7764" s="0" t="s">
        <v>13</v>
      </c>
      <c r="G7764" s="0" t="s">
        <v>49</v>
      </c>
      <c r="H7764" s="5">
        <v>13.584800</v>
      </c>
    </row>
    <row r="7765" spans="1:9">
      <c r="A7765" s="22" t="str">
        <f>HYPERLINK("https://app.vivvix.com/360/KMI/IntelliDrive/ApplUI/Pages/CreativePages/CustomReportCreativeDetail.aspx?App=23&amp;ReportView=4&amp;Qid=1711279&amp;Row=7757&amp;Col=1","No Title Assigned - #15270505188")</f>
        <v/>
      </c>
      <c r="B7765" s="0" t="s">
        <v>10322</v>
      </c>
      <c r="C7765" s="0" t="s">
        <v>10323</v>
      </c>
      <c r="D7765" s="0" t="s">
        <v>10323</v>
      </c>
      <c r="E7765" s="0" t="inlineStr">
        <is>
          <t xml:space="preserve">Mazda</t>
        </is>
      </c>
      <c r="F7765" s="0" t="s">
        <v>28</v>
      </c>
      <c r="G7765" s="0" t="s">
        <v>29</v>
      </c>
      <c r="H7765" s="5">
        <v>133.527300</v>
      </c>
    </row>
    <row r="7766" spans="1:9">
      <c r="A7766" s="22" t="str">
        <f>HYPERLINK("https://app.vivvix.com/360/KMI/IntelliDrive/ApplUI/Pages/CreativePages/CustomReportCreativeDetail.aspx?App=23&amp;ReportView=4&amp;Qid=1711279&amp;Row=7758&amp;Col=1","No Title Assigned - #15270505190")</f>
        <v/>
      </c>
      <c r="B7766" s="0" t="s">
        <v>10324</v>
      </c>
      <c r="C7766" s="0" t="s">
        <v>10325</v>
      </c>
      <c r="D7766" s="0" t="s">
        <v>6183</v>
      </c>
      <c r="E7766" s="0" t="inlineStr">
        <is>
          <t xml:space="preserve">Mazda</t>
        </is>
      </c>
      <c r="F7766" s="0" t="s">
        <v>13</v>
      </c>
      <c r="G7766" s="0" t="s">
        <v>49</v>
      </c>
      <c r="H7766" s="5">
        <v>72.184200</v>
      </c>
    </row>
    <row r="7767" spans="1:9">
      <c r="A7767" s="22" t="str">
        <f>HYPERLINK("https://app.vivvix.com/360/KMI/IntelliDrive/ApplUI/Pages/CreativePages/CustomReportCreativeDetail.aspx?App=23&amp;ReportView=4&amp;Qid=1711279&amp;Row=7759&amp;Col=1","No Title Assigned - #15270505190")</f>
        <v/>
      </c>
      <c r="B7767" s="0" t="s">
        <v>10324</v>
      </c>
      <c r="E7767" s="0" t="inlineStr">
        <is>
          <t xml:space="preserve">Mazda</t>
        </is>
      </c>
      <c r="F7767" s="0" t="s">
        <v>13</v>
      </c>
      <c r="G7767" s="0" t="s">
        <v>49</v>
      </c>
      <c r="H7767" s="5">
        <v>186.023700</v>
      </c>
    </row>
    <row r="7768" spans="1:9">
      <c r="A7768" s="22" t="str">
        <f>HYPERLINK("https://app.vivvix.com/360/KMI/IntelliDrive/ApplUI/Pages/CreativePages/CustomReportCreativeDetail.aspx?App=23&amp;ReportView=4&amp;Qid=1711279&amp;Row=7760&amp;Col=1","No Title Assigned - #15270505896")</f>
        <v/>
      </c>
      <c r="B7768" s="0" t="s">
        <v>10326</v>
      </c>
      <c r="C7768" s="0" t="s">
        <v>10327</v>
      </c>
      <c r="D7768" s="0" t="s">
        <v>6183</v>
      </c>
      <c r="E7768" s="0" t="inlineStr">
        <is>
          <t xml:space="preserve">Mazda</t>
        </is>
      </c>
      <c r="F7768" s="0" t="s">
        <v>13</v>
      </c>
      <c r="G7768" s="0" t="s">
        <v>49</v>
      </c>
      <c r="H7768" s="5">
        <v>13.584800</v>
      </c>
    </row>
    <row r="7769" spans="1:9">
      <c r="A7769" s="22" t="str">
        <f>HYPERLINK("https://app.vivvix.com/360/KMI/IntelliDrive/ApplUI/Pages/CreativePages/CustomReportCreativeDetail.aspx?App=23&amp;ReportView=4&amp;Qid=1711279&amp;Row=7761&amp;Col=1","No Title Assigned - #15270506035")</f>
        <v/>
      </c>
      <c r="B7769" s="0" t="s">
        <v>10328</v>
      </c>
      <c r="C7769" s="0" t="s">
        <v>10329</v>
      </c>
      <c r="D7769" s="0" t="s">
        <v>10329</v>
      </c>
      <c r="E7769" s="0" t="inlineStr">
        <is>
          <t xml:space="preserve">Mazda</t>
        </is>
      </c>
      <c r="F7769" s="0" t="s">
        <v>13</v>
      </c>
      <c r="G7769" s="0" t="s">
        <v>49</v>
      </c>
      <c r="H7769" s="5">
        <v>130.434400</v>
      </c>
    </row>
    <row r="7770" spans="1:9">
      <c r="A7770" s="22" t="str">
        <f>HYPERLINK("https://app.vivvix.com/360/KMI/IntelliDrive/ApplUI/Pages/CreativePages/CustomReportCreativeDetail.aspx?App=23&amp;ReportView=4&amp;Qid=1711279&amp;Row=7762&amp;Col=1","No Title Assigned - #15270506397")</f>
        <v/>
      </c>
      <c r="B7770" s="0" t="s">
        <v>10330</v>
      </c>
      <c r="C7770" s="0" t="s">
        <v>10331</v>
      </c>
      <c r="D7770" s="0" t="s">
        <v>10331</v>
      </c>
      <c r="E7770" s="0" t="inlineStr">
        <is>
          <t xml:space="preserve">Mazda</t>
        </is>
      </c>
      <c r="F7770" s="0" t="s">
        <v>13</v>
      </c>
      <c r="G7770" s="0" t="s">
        <v>49</v>
      </c>
      <c r="H7770" s="5">
        <v>215.842800</v>
      </c>
    </row>
    <row r="7771" spans="1:9">
      <c r="A7771" s="22" t="str">
        <f>HYPERLINK("https://app.vivvix.com/360/KMI/IntelliDrive/ApplUI/Pages/CreativePages/CustomReportCreativeDetail.aspx?App=23&amp;ReportView=4&amp;Qid=1711279&amp;Row=7763&amp;Col=1","No Title Assigned - #15270506692")</f>
        <v/>
      </c>
      <c r="B7771" s="0" t="s">
        <v>10332</v>
      </c>
      <c r="E7771" s="0" t="inlineStr">
        <is>
          <t xml:space="preserve">Mazda</t>
        </is>
      </c>
      <c r="F7771" s="0" t="inlineStr">
        <is>
          <t xml:space="preserve">Mazda</t>
        </is>
      </c>
      <c r="G7771" s="0" t="s">
        <v>171</v>
      </c>
      <c r="H7771" s="5">
        <v>26.945200</v>
      </c>
    </row>
    <row r="7772" spans="1:9">
      <c r="A7772" s="22" t="str">
        <f>HYPERLINK("https://app.vivvix.com/360/KMI/IntelliDrive/ApplUI/Pages/CreativePages/CustomReportCreativeDetail.aspx?App=23&amp;ReportView=4&amp;Qid=1711279&amp;Row=7764&amp;Col=1","No Title Assigned - #15270507030")</f>
        <v/>
      </c>
      <c r="B7772" s="0" t="s">
        <v>10333</v>
      </c>
      <c r="E7772" s="0" t="inlineStr">
        <is>
          <t xml:space="preserve">Mazda</t>
        </is>
      </c>
      <c r="F7772" s="0" t="inlineStr">
        <is>
          <t xml:space="preserve">Mazda</t>
        </is>
      </c>
      <c r="G7772" s="0" t="s">
        <v>171</v>
      </c>
      <c r="H7772" s="5">
        <v>5374.387300</v>
      </c>
    </row>
    <row r="7773" spans="1:9">
      <c r="A7773" s="22" t="str">
        <f>HYPERLINK("https://app.vivvix.com/360/KMI/IntelliDrive/ApplUI/Pages/CreativePages/CustomReportCreativeDetail.aspx?App=23&amp;ReportView=4&amp;Qid=1711279&amp;Row=7765&amp;Col=1","No Title Assigned - #15270507830")</f>
        <v/>
      </c>
      <c r="B7773" s="0" t="s">
        <v>10334</v>
      </c>
      <c r="C7773" s="0" t="s">
        <v>10335</v>
      </c>
      <c r="D7773" s="0" t="s">
        <v>10335</v>
      </c>
      <c r="E7773" s="0" t="inlineStr">
        <is>
          <t xml:space="preserve">Mazda</t>
        </is>
      </c>
      <c r="F7773" s="0" t="s">
        <v>13</v>
      </c>
      <c r="G7773" s="0" t="s">
        <v>49</v>
      </c>
      <c r="H7773" s="5">
        <v>157.001800</v>
      </c>
    </row>
    <row r="7774" spans="1:9">
      <c r="A7774" s="22" t="str">
        <f>HYPERLINK("https://app.vivvix.com/360/KMI/IntelliDrive/ApplUI/Pages/CreativePages/CustomReportCreativeDetail.aspx?App=23&amp;ReportView=4&amp;Qid=1711279&amp;Row=7766&amp;Col=1","No Title Assigned - #15270508018")</f>
        <v/>
      </c>
      <c r="B7774" s="0" t="s">
        <v>10336</v>
      </c>
      <c r="C7774" s="0" t="s">
        <v>10337</v>
      </c>
      <c r="D7774" s="0" t="s">
        <v>10046</v>
      </c>
      <c r="E7774" s="0" t="inlineStr">
        <is>
          <t xml:space="preserve">Mazda</t>
        </is>
      </c>
      <c r="F7774" s="0" t="s">
        <v>13</v>
      </c>
      <c r="G7774" s="0" t="s">
        <v>49</v>
      </c>
      <c r="H7774" s="5">
        <v>211.997000</v>
      </c>
    </row>
    <row r="7775" spans="1:9">
      <c r="A7775" s="22" t="str">
        <f>HYPERLINK("https://app.vivvix.com/360/KMI/IntelliDrive/ApplUI/Pages/CreativePages/CustomReportCreativeDetail.aspx?App=23&amp;ReportView=4&amp;Qid=1711279&amp;Row=7767&amp;Col=1","No Title Assigned - #15270508985")</f>
        <v/>
      </c>
      <c r="B7775" s="0" t="s">
        <v>10338</v>
      </c>
      <c r="C7775" s="0" t="s">
        <v>10339</v>
      </c>
      <c r="D7775" s="0" t="s">
        <v>10339</v>
      </c>
      <c r="E7775" s="0" t="inlineStr">
        <is>
          <t xml:space="preserve">Mazda</t>
        </is>
      </c>
      <c r="F7775" s="0" t="s">
        <v>13</v>
      </c>
      <c r="G7775" s="0" t="s">
        <v>49</v>
      </c>
      <c r="H7775" s="5">
        <v>21.648600</v>
      </c>
    </row>
    <row r="7776" spans="1:9">
      <c r="A7776" s="22" t="str">
        <f>HYPERLINK("https://app.vivvix.com/360/KMI/IntelliDrive/ApplUI/Pages/CreativePages/CustomReportCreativeDetail.aspx?App=23&amp;ReportView=4&amp;Qid=1711279&amp;Row=7768&amp;Col=1","No Title Assigned - #15270509461")</f>
        <v/>
      </c>
      <c r="B7776" s="0" t="s">
        <v>10340</v>
      </c>
      <c r="C7776" s="0" t="s">
        <v>10341</v>
      </c>
      <c r="D7776" s="0" t="s">
        <v>6183</v>
      </c>
      <c r="E7776" s="0" t="inlineStr">
        <is>
          <t xml:space="preserve">Mazda</t>
        </is>
      </c>
      <c r="F7776" s="0" t="s">
        <v>13</v>
      </c>
      <c r="G7776" s="0" t="s">
        <v>49</v>
      </c>
      <c r="H7776" s="5">
        <v>194.585700</v>
      </c>
    </row>
    <row r="7777" spans="1:9">
      <c r="A7777" s="22" t="str">
        <f>HYPERLINK("https://app.vivvix.com/360/KMI/IntelliDrive/ApplUI/Pages/CreativePages/CustomReportCreativeDetail.aspx?App=23&amp;ReportView=4&amp;Qid=1711279&amp;Row=7769&amp;Col=1","No Title Assigned - #15270509698")</f>
        <v/>
      </c>
      <c r="B7777" s="0" t="s">
        <v>10342</v>
      </c>
      <c r="C7777" s="0" t="s">
        <v>10343</v>
      </c>
      <c r="D7777" s="0" t="s">
        <v>6238</v>
      </c>
      <c r="E7777" s="0" t="inlineStr">
        <is>
          <t xml:space="preserve">Mazda</t>
        </is>
      </c>
      <c r="F7777" s="0" t="s">
        <v>13</v>
      </c>
      <c r="G7777" s="0" t="s">
        <v>49</v>
      </c>
      <c r="H7777" s="5">
        <v>394.095600</v>
      </c>
    </row>
    <row r="7778" spans="1:9">
      <c r="A7778" s="22" t="str">
        <f>HYPERLINK("https://app.vivvix.com/360/KMI/IntelliDrive/ApplUI/Pages/CreativePages/CustomReportCreativeDetail.aspx?App=23&amp;ReportView=4&amp;Qid=1711279&amp;Row=7770&amp;Col=1","No Title Assigned - #15270509699")</f>
        <v/>
      </c>
      <c r="B7778" s="0" t="s">
        <v>10344</v>
      </c>
      <c r="C7778" s="0" t="s">
        <v>10345</v>
      </c>
      <c r="D7778" s="0" t="s">
        <v>10345</v>
      </c>
      <c r="E7778" s="0" t="inlineStr">
        <is>
          <t xml:space="preserve">Mazda</t>
        </is>
      </c>
      <c r="F7778" s="0" t="s">
        <v>28</v>
      </c>
      <c r="G7778" s="0" t="s">
        <v>29</v>
      </c>
      <c r="H7778" s="5">
        <v>206.380800</v>
      </c>
    </row>
    <row r="7779" spans="1:9">
      <c r="A7779" s="22" t="str">
        <f>HYPERLINK("https://app.vivvix.com/360/KMI/IntelliDrive/ApplUI/Pages/CreativePages/CustomReportCreativeDetail.aspx?App=23&amp;ReportView=4&amp;Qid=1711279&amp;Row=7771&amp;Col=1","No Title Assigned - #15270510073")</f>
        <v/>
      </c>
      <c r="B7779" s="0" t="s">
        <v>10346</v>
      </c>
      <c r="C7779" s="0" t="s">
        <v>10347</v>
      </c>
      <c r="D7779" s="0" t="s">
        <v>8551</v>
      </c>
      <c r="E7779" s="0" t="inlineStr">
        <is>
          <t xml:space="preserve">Mazda</t>
        </is>
      </c>
      <c r="F7779" s="0" t="s">
        <v>13</v>
      </c>
      <c r="G7779" s="0" t="s">
        <v>49</v>
      </c>
      <c r="H7779" s="5">
        <v>28.442400</v>
      </c>
    </row>
    <row r="7780" spans="1:9">
      <c r="A7780" s="22" t="str">
        <f>HYPERLINK("https://app.vivvix.com/360/KMI/IntelliDrive/ApplUI/Pages/CreativePages/CustomReportCreativeDetail.aspx?App=23&amp;ReportView=4&amp;Qid=1711279&amp;Row=7772&amp;Col=1","No Title Assigned - #15270510134")</f>
        <v/>
      </c>
      <c r="B7780" s="0" t="s">
        <v>10348</v>
      </c>
      <c r="C7780" s="0" t="s">
        <v>10349</v>
      </c>
      <c r="D7780" s="0" t="s">
        <v>10349</v>
      </c>
      <c r="E7780" s="0" t="inlineStr">
        <is>
          <t xml:space="preserve">Mazda</t>
        </is>
      </c>
      <c r="F7780" s="0" t="s">
        <v>13</v>
      </c>
      <c r="G7780" s="0" t="s">
        <v>49</v>
      </c>
      <c r="H7780" s="5">
        <v>4680.970200</v>
      </c>
    </row>
    <row r="7781" spans="1:9">
      <c r="A7781" s="22" t="str">
        <f>HYPERLINK("https://app.vivvix.com/360/KMI/IntelliDrive/ApplUI/Pages/CreativePages/CustomReportCreativeDetail.aspx?App=23&amp;ReportView=4&amp;Qid=1711279&amp;Row=7773&amp;Col=1","No Title Assigned - #15270510503")</f>
        <v/>
      </c>
      <c r="B7781" s="0" t="s">
        <v>10350</v>
      </c>
      <c r="C7781" s="0" t="s">
        <v>10351</v>
      </c>
      <c r="D7781" s="0" t="s">
        <v>4335</v>
      </c>
      <c r="E7781" s="0" t="inlineStr">
        <is>
          <t xml:space="preserve">Mazda</t>
        </is>
      </c>
      <c r="F7781" s="0" t="s">
        <v>13</v>
      </c>
      <c r="G7781" s="0" t="s">
        <v>49</v>
      </c>
      <c r="H7781" s="5">
        <v>108.243600</v>
      </c>
    </row>
    <row r="7782" spans="1:9">
      <c r="A7782" s="22" t="str">
        <f>HYPERLINK("https://app.vivvix.com/360/KMI/IntelliDrive/ApplUI/Pages/CreativePages/CustomReportCreativeDetail.aspx?App=23&amp;ReportView=4&amp;Qid=1711279&amp;Row=7774&amp;Col=1","No Title Assigned - #15270510592")</f>
        <v/>
      </c>
      <c r="B7782" s="0" t="s">
        <v>10352</v>
      </c>
      <c r="C7782" s="0" t="s">
        <v>10353</v>
      </c>
      <c r="D7782" s="0" t="s">
        <v>10354</v>
      </c>
      <c r="E7782" s="0" t="inlineStr">
        <is>
          <t xml:space="preserve">Mazda</t>
        </is>
      </c>
      <c r="F7782" s="0" t="s">
        <v>13</v>
      </c>
      <c r="G7782" s="0" t="s">
        <v>49</v>
      </c>
      <c r="H7782" s="5">
        <v>21.265800</v>
      </c>
    </row>
    <row r="7783" spans="1:9">
      <c r="A7783" s="22" t="str">
        <f>HYPERLINK("https://app.vivvix.com/360/KMI/IntelliDrive/ApplUI/Pages/CreativePages/CustomReportCreativeDetail.aspx?App=23&amp;ReportView=4&amp;Qid=1711279&amp;Row=7775&amp;Col=1","No Title Assigned - #15270510782")</f>
        <v/>
      </c>
      <c r="B7783" s="0" t="s">
        <v>10355</v>
      </c>
      <c r="C7783" s="0" t="s">
        <v>10356</v>
      </c>
      <c r="D7783" s="0" t="s">
        <v>6404</v>
      </c>
      <c r="E7783" s="0" t="inlineStr">
        <is>
          <t xml:space="preserve">Mazda</t>
        </is>
      </c>
      <c r="F7783" s="0" t="s">
        <v>13</v>
      </c>
      <c r="G7783" s="0" t="s">
        <v>49</v>
      </c>
      <c r="H7783" s="5">
        <v>816.897700</v>
      </c>
    </row>
    <row r="7784" spans="1:9">
      <c r="A7784" s="22" t="str">
        <f>HYPERLINK("https://app.vivvix.com/360/KMI/IntelliDrive/ApplUI/Pages/CreativePages/CustomReportCreativeDetail.aspx?App=23&amp;ReportView=4&amp;Qid=1711279&amp;Row=7776&amp;Col=1","No Title Assigned - #15270510965")</f>
        <v/>
      </c>
      <c r="B7784" s="0" t="s">
        <v>10357</v>
      </c>
      <c r="C7784" s="0" t="s">
        <v>10358</v>
      </c>
      <c r="D7784" s="0" t="s">
        <v>8588</v>
      </c>
      <c r="E7784" s="0" t="inlineStr">
        <is>
          <t xml:space="preserve">Mazda</t>
        </is>
      </c>
      <c r="F7784" s="0" t="s">
        <v>13</v>
      </c>
      <c r="G7784" s="0" t="s">
        <v>49</v>
      </c>
      <c r="H7784" s="5">
        <v>1067.503100</v>
      </c>
    </row>
    <row r="7785" spans="1:9">
      <c r="A7785" s="22" t="str">
        <f>HYPERLINK("https://app.vivvix.com/360/KMI/IntelliDrive/ApplUI/Pages/CreativePages/CustomReportCreativeDetail.aspx?App=23&amp;ReportView=4&amp;Qid=1711279&amp;Row=7777&amp;Col=1","No Title Assigned - #15270510990")</f>
        <v/>
      </c>
      <c r="B7785" s="0" t="s">
        <v>10359</v>
      </c>
      <c r="C7785" s="0" t="s">
        <v>10360</v>
      </c>
      <c r="D7785" s="0" t="s">
        <v>10360</v>
      </c>
      <c r="E7785" s="0" t="inlineStr">
        <is>
          <t xml:space="preserve">Mazda</t>
        </is>
      </c>
      <c r="F7785" s="0" t="s">
        <v>13</v>
      </c>
      <c r="G7785" s="0" t="s">
        <v>49</v>
      </c>
      <c r="H7785" s="5">
        <v>323.265500</v>
      </c>
    </row>
    <row r="7786" spans="1:9">
      <c r="A7786" s="22" t="str">
        <f>HYPERLINK("https://app.vivvix.com/360/KMI/IntelliDrive/ApplUI/Pages/CreativePages/CustomReportCreativeDetail.aspx?App=23&amp;ReportView=4&amp;Qid=1711279&amp;Row=7778&amp;Col=1","No Title Assigned - #15270511838")</f>
        <v/>
      </c>
      <c r="B7786" s="0" t="s">
        <v>10361</v>
      </c>
      <c r="E7786" s="0" t="inlineStr">
        <is>
          <t xml:space="preserve">Mazda</t>
        </is>
      </c>
      <c r="F7786" s="0" t="inlineStr">
        <is>
          <t xml:space="preserve">Mazda</t>
        </is>
      </c>
      <c r="G7786" s="0" t="s">
        <v>171</v>
      </c>
      <c r="H7786" s="5">
        <v>815.381000</v>
      </c>
    </row>
    <row r="7787" spans="1:9">
      <c r="A7787" s="22" t="str">
        <f>HYPERLINK("https://app.vivvix.com/360/KMI/IntelliDrive/ApplUI/Pages/CreativePages/CustomReportCreativeDetail.aspx?App=23&amp;ReportView=4&amp;Qid=1711279&amp;Row=7779&amp;Col=1","No Title Assigned - #15270511838")</f>
        <v/>
      </c>
      <c r="B7787" s="0" t="s">
        <v>10361</v>
      </c>
      <c r="E7787" s="0" t="inlineStr">
        <is>
          <t xml:space="preserve">Mazda</t>
        </is>
      </c>
      <c r="F7787" s="0" t="inlineStr">
        <is>
          <t xml:space="preserve">Mazda</t>
        </is>
      </c>
      <c r="G7787" s="0" t="s">
        <v>171</v>
      </c>
      <c r="H7787" s="5">
        <v>1789.219500</v>
      </c>
    </row>
    <row r="7788" spans="1:9">
      <c r="A7788" s="22" t="str">
        <f>HYPERLINK("https://app.vivvix.com/360/KMI/IntelliDrive/ApplUI/Pages/CreativePages/CustomReportCreativeDetail.aspx?App=23&amp;ReportView=4&amp;Qid=1711279&amp;Row=7780&amp;Col=1","No Title Assigned - #15270511903")</f>
        <v/>
      </c>
      <c r="B7788" s="0" t="s">
        <v>10362</v>
      </c>
      <c r="C7788" s="0" t="s">
        <v>10363</v>
      </c>
      <c r="D7788" s="0" t="s">
        <v>4774</v>
      </c>
      <c r="E7788" s="0" t="inlineStr">
        <is>
          <t xml:space="preserve">Mazda</t>
        </is>
      </c>
      <c r="F7788" s="0" t="s">
        <v>13</v>
      </c>
      <c r="G7788" s="0" t="s">
        <v>49</v>
      </c>
      <c r="H7788" s="5">
        <v>4409.630400</v>
      </c>
    </row>
    <row r="7789" spans="1:9">
      <c r="A7789" s="22" t="str">
        <f>HYPERLINK("https://app.vivvix.com/360/KMI/IntelliDrive/ApplUI/Pages/CreativePages/CustomReportCreativeDetail.aspx?App=23&amp;ReportView=4&amp;Qid=1711279&amp;Row=7781&amp;Col=1","No Title Assigned - #15270511932")</f>
        <v/>
      </c>
      <c r="B7789" s="0" t="s">
        <v>10364</v>
      </c>
      <c r="C7789" s="0" t="s">
        <v>10365</v>
      </c>
      <c r="D7789" s="0" t="s">
        <v>8551</v>
      </c>
      <c r="E7789" s="0" t="inlineStr">
        <is>
          <t xml:space="preserve">Mazda</t>
        </is>
      </c>
      <c r="F7789" s="0" t="s">
        <v>13</v>
      </c>
      <c r="G7789" s="0" t="s">
        <v>49</v>
      </c>
      <c r="H7789" s="5">
        <v>579.168200</v>
      </c>
    </row>
    <row r="7790" spans="1:9">
      <c r="A7790" s="22" t="str">
        <f>HYPERLINK("https://app.vivvix.com/360/KMI/IntelliDrive/ApplUI/Pages/CreativePages/CustomReportCreativeDetail.aspx?App=23&amp;ReportView=4&amp;Qid=1711279&amp;Row=7782&amp;Col=1","No Title Assigned - #15270512015")</f>
        <v/>
      </c>
      <c r="B7790" s="0" t="s">
        <v>10366</v>
      </c>
      <c r="C7790" s="0" t="s">
        <v>10367</v>
      </c>
      <c r="D7790" s="0" t="s">
        <v>10367</v>
      </c>
      <c r="E7790" s="0" t="inlineStr">
        <is>
          <t xml:space="preserve">Mazda</t>
        </is>
      </c>
      <c r="F7790" s="0" t="s">
        <v>13</v>
      </c>
      <c r="G7790" s="0" t="s">
        <v>49</v>
      </c>
      <c r="H7790" s="5">
        <v>13023.499000</v>
      </c>
    </row>
    <row r="7791" spans="1:9">
      <c r="A7791" s="22" t="str">
        <f>HYPERLINK("https://app.vivvix.com/360/KMI/IntelliDrive/ApplUI/Pages/CreativePages/CustomReportCreativeDetail.aspx?App=23&amp;ReportView=4&amp;Qid=1711279&amp;Row=7783&amp;Col=1","No Title Assigned - #15270512231")</f>
        <v/>
      </c>
      <c r="B7791" s="0" t="s">
        <v>10368</v>
      </c>
      <c r="C7791" s="0" t="s">
        <v>10369</v>
      </c>
      <c r="D7791" s="0" t="s">
        <v>10369</v>
      </c>
      <c r="E7791" s="0" t="inlineStr">
        <is>
          <t xml:space="preserve">Mazda</t>
        </is>
      </c>
      <c r="F7791" s="0" t="s">
        <v>13</v>
      </c>
      <c r="G7791" s="0" t="s">
        <v>49</v>
      </c>
      <c r="H7791" s="5">
        <v>36.539100</v>
      </c>
    </row>
    <row r="7792" spans="1:9">
      <c r="A7792" s="22" t="str">
        <f>HYPERLINK("https://app.vivvix.com/360/KMI/IntelliDrive/ApplUI/Pages/CreativePages/CustomReportCreativeDetail.aspx?App=23&amp;ReportView=4&amp;Qid=1711279&amp;Row=7784&amp;Col=1","No Title Assigned - #15270512298")</f>
        <v/>
      </c>
      <c r="B7792" s="0" t="s">
        <v>10370</v>
      </c>
      <c r="C7792" s="0" t="s">
        <v>10371</v>
      </c>
      <c r="D7792" s="0" t="s">
        <v>10371</v>
      </c>
      <c r="E7792" s="0" t="inlineStr">
        <is>
          <t xml:space="preserve">Mazda</t>
        </is>
      </c>
      <c r="F7792" s="0" t="s">
        <v>13</v>
      </c>
      <c r="G7792" s="0" t="s">
        <v>49</v>
      </c>
      <c r="H7792" s="5">
        <v>781.906200</v>
      </c>
    </row>
    <row r="7793" spans="1:9">
      <c r="A7793" s="22" t="str">
        <f>HYPERLINK("https://app.vivvix.com/360/KMI/IntelliDrive/ApplUI/Pages/CreativePages/CustomReportCreativeDetail.aspx?App=23&amp;ReportView=4&amp;Qid=1711279&amp;Row=7785&amp;Col=1","No Title Assigned - #15270512298")</f>
        <v/>
      </c>
      <c r="B7793" s="0" t="s">
        <v>10370</v>
      </c>
      <c r="E7793" s="0" t="inlineStr">
        <is>
          <t xml:space="preserve">Mazda</t>
        </is>
      </c>
      <c r="F7793" s="0" t="s">
        <v>13</v>
      </c>
      <c r="G7793" s="0" t="s">
        <v>49</v>
      </c>
      <c r="H7793" s="5">
        <v>13.502100</v>
      </c>
    </row>
    <row r="7794" spans="1:9">
      <c r="A7794" s="22" t="str">
        <f>HYPERLINK("https://app.vivvix.com/360/KMI/IntelliDrive/ApplUI/Pages/CreativePages/CustomReportCreativeDetail.aspx?App=23&amp;ReportView=4&amp;Qid=1711279&amp;Row=7786&amp;Col=1","No Title Assigned - #15270512536")</f>
        <v/>
      </c>
      <c r="B7794" s="0" t="s">
        <v>10372</v>
      </c>
      <c r="C7794" s="0" t="s">
        <v>10373</v>
      </c>
      <c r="D7794" s="0" t="s">
        <v>10373</v>
      </c>
      <c r="E7794" s="0" t="inlineStr">
        <is>
          <t xml:space="preserve">Mazda</t>
        </is>
      </c>
      <c r="F7794" s="0" t="s">
        <v>28</v>
      </c>
      <c r="G7794" s="0" t="s">
        <v>29</v>
      </c>
      <c r="H7794" s="5">
        <v>9.237900</v>
      </c>
    </row>
    <row r="7795" spans="1:9">
      <c r="A7795" s="22" t="str">
        <f>HYPERLINK("https://app.vivvix.com/360/KMI/IntelliDrive/ApplUI/Pages/CreativePages/CustomReportCreativeDetail.aspx?App=23&amp;ReportView=4&amp;Qid=1711279&amp;Row=7787&amp;Col=1","No Title Assigned - #15270512858")</f>
        <v/>
      </c>
      <c r="B7795" s="0" t="s">
        <v>10374</v>
      </c>
      <c r="C7795" s="0" t="s">
        <v>10354</v>
      </c>
      <c r="D7795" s="0" t="s">
        <v>10354</v>
      </c>
      <c r="E7795" s="0" t="inlineStr">
        <is>
          <t xml:space="preserve">Mazda</t>
        </is>
      </c>
      <c r="F7795" s="0" t="s">
        <v>13</v>
      </c>
      <c r="G7795" s="0" t="s">
        <v>49</v>
      </c>
      <c r="H7795" s="5">
        <v>736.135900</v>
      </c>
    </row>
    <row r="7796" spans="1:9">
      <c r="A7796" s="22" t="str">
        <f>HYPERLINK("https://app.vivvix.com/360/KMI/IntelliDrive/ApplUI/Pages/CreativePages/CustomReportCreativeDetail.aspx?App=23&amp;ReportView=4&amp;Qid=1711279&amp;Row=7788&amp;Col=1","No Title Assigned - #15270512921")</f>
        <v/>
      </c>
      <c r="B7796" s="0" t="s">
        <v>10375</v>
      </c>
      <c r="C7796" s="0" t="s">
        <v>10376</v>
      </c>
      <c r="D7796" s="0" t="s">
        <v>10376</v>
      </c>
      <c r="E7796" s="0" t="inlineStr">
        <is>
          <t xml:space="preserve">Mazda</t>
        </is>
      </c>
      <c r="F7796" s="0" t="s">
        <v>13</v>
      </c>
      <c r="G7796" s="0" t="s">
        <v>49</v>
      </c>
      <c r="H7796" s="5">
        <v>2324.746200</v>
      </c>
    </row>
    <row r="7797" spans="1:9">
      <c r="A7797" s="22" t="str">
        <f>HYPERLINK("https://app.vivvix.com/360/KMI/IntelliDrive/ApplUI/Pages/CreativePages/CustomReportCreativeDetail.aspx?App=23&amp;ReportView=4&amp;Qid=1711279&amp;Row=7789&amp;Col=1","No Title Assigned - #15270512923")</f>
        <v/>
      </c>
      <c r="B7797" s="0" t="s">
        <v>10377</v>
      </c>
      <c r="C7797" s="0" t="s">
        <v>10378</v>
      </c>
      <c r="D7797" s="0" t="s">
        <v>10378</v>
      </c>
      <c r="E7797" s="0" t="inlineStr">
        <is>
          <t xml:space="preserve">Mazda</t>
        </is>
      </c>
      <c r="F7797" s="0" t="s">
        <v>13</v>
      </c>
      <c r="G7797" s="0" t="s">
        <v>49</v>
      </c>
      <c r="H7797" s="5">
        <v>929.176100</v>
      </c>
    </row>
    <row r="7798" spans="1:9">
      <c r="A7798" s="22" t="str">
        <f>HYPERLINK("https://app.vivvix.com/360/KMI/IntelliDrive/ApplUI/Pages/CreativePages/CustomReportCreativeDetail.aspx?App=23&amp;ReportView=4&amp;Qid=1711279&amp;Row=7790&amp;Col=1","No Title Assigned - #15270513136")</f>
        <v/>
      </c>
      <c r="B7798" s="0" t="s">
        <v>10379</v>
      </c>
      <c r="C7798" s="0" t="s">
        <v>10380</v>
      </c>
      <c r="D7798" s="0" t="s">
        <v>10380</v>
      </c>
      <c r="E7798" s="0" t="inlineStr">
        <is>
          <t xml:space="preserve">Mazda</t>
        </is>
      </c>
      <c r="F7798" s="0" t="s">
        <v>13</v>
      </c>
      <c r="G7798" s="0" t="s">
        <v>49</v>
      </c>
      <c r="H7798" s="5">
        <v>923.761800</v>
      </c>
    </row>
    <row r="7799" spans="1:9">
      <c r="A7799" s="22" t="str">
        <f>HYPERLINK("https://app.vivvix.com/360/KMI/IntelliDrive/ApplUI/Pages/CreativePages/CustomReportCreativeDetail.aspx?App=23&amp;ReportView=4&amp;Qid=1711279&amp;Row=7791&amp;Col=1","No Title Assigned - #15270513240")</f>
        <v/>
      </c>
      <c r="B7799" s="0" t="s">
        <v>10381</v>
      </c>
      <c r="C7799" s="0" t="s">
        <v>10382</v>
      </c>
      <c r="D7799" s="0" t="s">
        <v>10382</v>
      </c>
      <c r="E7799" s="0" t="inlineStr">
        <is>
          <t xml:space="preserve">Mazda</t>
        </is>
      </c>
      <c r="F7799" s="0" t="s">
        <v>28</v>
      </c>
      <c r="G7799" s="0" t="s">
        <v>29</v>
      </c>
      <c r="H7799" s="5">
        <v>8.981800</v>
      </c>
    </row>
    <row r="7800" spans="1:9">
      <c r="A7800" s="22" t="str">
        <f>HYPERLINK("https://app.vivvix.com/360/KMI/IntelliDrive/ApplUI/Pages/CreativePages/CustomReportCreativeDetail.aspx?App=23&amp;ReportView=4&amp;Qid=1711279&amp;Row=7792&amp;Col=1","No Title Assigned - #15270513252")</f>
        <v/>
      </c>
      <c r="B7800" s="0" t="s">
        <v>10383</v>
      </c>
      <c r="C7800" s="0" t="s">
        <v>10384</v>
      </c>
      <c r="D7800" s="0" t="s">
        <v>10384</v>
      </c>
      <c r="E7800" s="0" t="inlineStr">
        <is>
          <t xml:space="preserve">Mazda</t>
        </is>
      </c>
      <c r="F7800" s="0" t="s">
        <v>10385</v>
      </c>
      <c r="G7800" s="0" t="s">
        <v>10386</v>
      </c>
      <c r="H7800" s="5">
        <v>5979.016000</v>
      </c>
    </row>
    <row r="7801" spans="1:9">
      <c r="A7801" s="22" t="str">
        <f>HYPERLINK("https://app.vivvix.com/360/KMI/IntelliDrive/ApplUI/Pages/CreativePages/CustomReportCreativeDetail.aspx?App=23&amp;ReportView=4&amp;Qid=1711279&amp;Row=7793&amp;Col=1","No Title Assigned - #15270513413")</f>
        <v/>
      </c>
      <c r="B7801" s="0" t="s">
        <v>10387</v>
      </c>
      <c r="C7801" s="0" t="s">
        <v>10388</v>
      </c>
      <c r="D7801" s="0" t="s">
        <v>10388</v>
      </c>
      <c r="E7801" s="0" t="inlineStr">
        <is>
          <t xml:space="preserve">Mazda</t>
        </is>
      </c>
      <c r="F7801" s="0" t="s">
        <v>13</v>
      </c>
      <c r="G7801" s="0" t="s">
        <v>49</v>
      </c>
      <c r="H7801" s="5">
        <v>416.609400</v>
      </c>
    </row>
    <row r="7802" spans="1:9">
      <c r="A7802" s="22" t="str">
        <f>HYPERLINK("https://app.vivvix.com/360/KMI/IntelliDrive/ApplUI/Pages/CreativePages/CustomReportCreativeDetail.aspx?App=23&amp;ReportView=4&amp;Qid=1711279&amp;Row=7794&amp;Col=1","No Title Assigned - #15270513520")</f>
        <v/>
      </c>
      <c r="B7802" s="0" t="s">
        <v>10389</v>
      </c>
      <c r="C7802" s="0" t="s">
        <v>10390</v>
      </c>
      <c r="D7802" s="0" t="s">
        <v>8476</v>
      </c>
      <c r="E7802" s="0" t="inlineStr">
        <is>
          <t xml:space="preserve">Mazda</t>
        </is>
      </c>
      <c r="F7802" s="0" t="s">
        <v>13</v>
      </c>
      <c r="G7802" s="0" t="s">
        <v>49</v>
      </c>
      <c r="H7802" s="5">
        <v>5625.950500</v>
      </c>
    </row>
    <row r="7803" spans="1:9">
      <c r="A7803" s="22" t="str">
        <f>HYPERLINK("https://app.vivvix.com/360/KMI/IntelliDrive/ApplUI/Pages/CreativePages/CustomReportCreativeDetail.aspx?App=23&amp;ReportView=4&amp;Qid=1711279&amp;Row=7795&amp;Col=1","No Title Assigned - #15270513548")</f>
        <v/>
      </c>
      <c r="B7803" s="0" t="s">
        <v>10391</v>
      </c>
      <c r="C7803" s="0" t="s">
        <v>10392</v>
      </c>
      <c r="D7803" s="0" t="s">
        <v>9939</v>
      </c>
      <c r="E7803" s="0" t="inlineStr">
        <is>
          <t xml:space="preserve">Mazda</t>
        </is>
      </c>
      <c r="F7803" s="0" t="s">
        <v>13</v>
      </c>
      <c r="G7803" s="0" t="s">
        <v>49</v>
      </c>
      <c r="H7803" s="5">
        <v>576.177800</v>
      </c>
    </row>
    <row r="7804" spans="1:9">
      <c r="A7804" s="22" t="str">
        <f>HYPERLINK("https://app.vivvix.com/360/KMI/IntelliDrive/ApplUI/Pages/CreativePages/CustomReportCreativeDetail.aspx?App=23&amp;ReportView=4&amp;Qid=1711279&amp;Row=7796&amp;Col=1","No Title Assigned - #15270513586")</f>
        <v/>
      </c>
      <c r="B7804" s="0" t="s">
        <v>10393</v>
      </c>
      <c r="C7804" s="0" t="s">
        <v>10394</v>
      </c>
      <c r="D7804" s="0" t="s">
        <v>10394</v>
      </c>
      <c r="E7804" s="0" t="inlineStr">
        <is>
          <t xml:space="preserve">Mazda</t>
        </is>
      </c>
      <c r="F7804" s="0" t="s">
        <v>13</v>
      </c>
      <c r="G7804" s="0" t="s">
        <v>49</v>
      </c>
      <c r="H7804" s="5">
        <v>28.903500</v>
      </c>
    </row>
    <row r="7805" spans="1:9">
      <c r="A7805" s="22" t="str">
        <f>HYPERLINK("https://app.vivvix.com/360/KMI/IntelliDrive/ApplUI/Pages/CreativePages/CustomReportCreativeDetail.aspx?App=23&amp;ReportView=4&amp;Qid=1711279&amp;Row=7797&amp;Col=1","No Title Assigned - #15270513586")</f>
        <v/>
      </c>
      <c r="B7805" s="0" t="s">
        <v>10393</v>
      </c>
      <c r="E7805" s="0" t="inlineStr">
        <is>
          <t xml:space="preserve">Mazda</t>
        </is>
      </c>
      <c r="F7805" s="0" t="s">
        <v>13</v>
      </c>
      <c r="G7805" s="0" t="s">
        <v>49</v>
      </c>
      <c r="H7805" s="5">
        <v>177.047100</v>
      </c>
    </row>
    <row r="7806" spans="1:9">
      <c r="A7806" s="22" t="str">
        <f>HYPERLINK("https://app.vivvix.com/360/KMI/IntelliDrive/ApplUI/Pages/CreativePages/CustomReportCreativeDetail.aspx?App=23&amp;ReportView=4&amp;Qid=1711279&amp;Row=7798&amp;Col=1","No Title Assigned - #15270513823")</f>
        <v/>
      </c>
      <c r="B7806" s="0" t="s">
        <v>10395</v>
      </c>
      <c r="C7806" s="0" t="s">
        <v>10396</v>
      </c>
      <c r="D7806" s="0" t="s">
        <v>10396</v>
      </c>
      <c r="E7806" s="0" t="inlineStr">
        <is>
          <t xml:space="preserve">Mazda</t>
        </is>
      </c>
      <c r="F7806" s="0" t="s">
        <v>13</v>
      </c>
      <c r="G7806" s="0" t="s">
        <v>49</v>
      </c>
      <c r="H7806" s="5">
        <v>20.256400</v>
      </c>
    </row>
    <row r="7807" spans="1:9">
      <c r="A7807" s="22" t="str">
        <f>HYPERLINK("https://app.vivvix.com/360/KMI/IntelliDrive/ApplUI/Pages/CreativePages/CustomReportCreativeDetail.aspx?App=23&amp;ReportView=4&amp;Qid=1711279&amp;Row=7799&amp;Col=1","No Title Assigned - #15270513919")</f>
        <v/>
      </c>
      <c r="B7807" s="0" t="s">
        <v>10397</v>
      </c>
      <c r="C7807" s="0" t="s">
        <v>10398</v>
      </c>
      <c r="D7807" s="0" t="s">
        <v>10398</v>
      </c>
      <c r="E7807" s="0" t="inlineStr">
        <is>
          <t xml:space="preserve">Mazda</t>
        </is>
      </c>
      <c r="F7807" s="0" t="s">
        <v>13</v>
      </c>
      <c r="G7807" s="0" t="s">
        <v>49</v>
      </c>
      <c r="H7807" s="5">
        <v>844.068500</v>
      </c>
    </row>
    <row r="7808" spans="1:9">
      <c r="A7808" s="22" t="str">
        <f>HYPERLINK("https://app.vivvix.com/360/KMI/IntelliDrive/ApplUI/Pages/CreativePages/CustomReportCreativeDetail.aspx?App=23&amp;ReportView=4&amp;Qid=1711279&amp;Row=7800&amp;Col=1","No Title Assigned - #15270514052")</f>
        <v/>
      </c>
      <c r="B7808" s="0" t="s">
        <v>10399</v>
      </c>
      <c r="C7808" s="0" t="s">
        <v>10400</v>
      </c>
      <c r="D7808" s="0" t="s">
        <v>10400</v>
      </c>
      <c r="E7808" s="0" t="inlineStr">
        <is>
          <t xml:space="preserve">Mazda</t>
        </is>
      </c>
      <c r="F7808" s="0" t="s">
        <v>13</v>
      </c>
      <c r="G7808" s="0" t="s">
        <v>49</v>
      </c>
      <c r="H7808" s="5">
        <v>326.648200</v>
      </c>
    </row>
    <row r="7809" spans="1:9">
      <c r="A7809" s="22" t="str">
        <f>HYPERLINK("https://app.vivvix.com/360/KMI/IntelliDrive/ApplUI/Pages/CreativePages/CustomReportCreativeDetail.aspx?App=23&amp;ReportView=4&amp;Qid=1711279&amp;Row=7801&amp;Col=1","No Title Assigned - #15270514260")</f>
        <v/>
      </c>
      <c r="B7809" s="0" t="s">
        <v>10401</v>
      </c>
      <c r="C7809" s="0" t="s">
        <v>10402</v>
      </c>
      <c r="D7809" s="0" t="s">
        <v>10402</v>
      </c>
      <c r="E7809" s="0" t="inlineStr">
        <is>
          <t xml:space="preserve">Mazda</t>
        </is>
      </c>
      <c r="F7809" s="0" t="s">
        <v>13</v>
      </c>
      <c r="G7809" s="0" t="s">
        <v>49</v>
      </c>
      <c r="H7809" s="5">
        <v>440.606600</v>
      </c>
    </row>
    <row r="7810" spans="1:9">
      <c r="A7810" s="22" t="str">
        <f>HYPERLINK("https://app.vivvix.com/360/KMI/IntelliDrive/ApplUI/Pages/CreativePages/CustomReportCreativeDetail.aspx?App=23&amp;ReportView=4&amp;Qid=1711279&amp;Row=7802&amp;Col=1","No Title Assigned - #15270514353")</f>
        <v/>
      </c>
      <c r="B7810" s="0" t="s">
        <v>10403</v>
      </c>
      <c r="C7810" s="0" t="s">
        <v>10404</v>
      </c>
      <c r="D7810" s="0" t="s">
        <v>10404</v>
      </c>
      <c r="E7810" s="0" t="inlineStr">
        <is>
          <t xml:space="preserve">Mazda</t>
        </is>
      </c>
      <c r="F7810" s="0" t="s">
        <v>13</v>
      </c>
      <c r="G7810" s="0" t="s">
        <v>49</v>
      </c>
      <c r="H7810" s="5">
        <v>132.906400</v>
      </c>
    </row>
    <row r="7811" spans="1:9">
      <c r="A7811" s="22" t="str">
        <f>HYPERLINK("https://app.vivvix.com/360/KMI/IntelliDrive/ApplUI/Pages/CreativePages/CustomReportCreativeDetail.aspx?App=23&amp;ReportView=4&amp;Qid=1711279&amp;Row=7803&amp;Col=1","No Title Assigned - #15270514560")</f>
        <v/>
      </c>
      <c r="B7811" s="0" t="s">
        <v>10405</v>
      </c>
      <c r="C7811" s="0" t="s">
        <v>10406</v>
      </c>
      <c r="D7811" s="0" t="s">
        <v>10407</v>
      </c>
      <c r="E7811" s="0" t="inlineStr">
        <is>
          <t xml:space="preserve">Mazda</t>
        </is>
      </c>
      <c r="F7811" s="0" t="s">
        <v>13</v>
      </c>
      <c r="G7811" s="0" t="s">
        <v>49</v>
      </c>
      <c r="H7811" s="5">
        <v>5355.715400</v>
      </c>
    </row>
    <row r="7812" spans="1:9">
      <c r="A7812" s="22" t="str">
        <f>HYPERLINK("https://app.vivvix.com/360/KMI/IntelliDrive/ApplUI/Pages/CreativePages/CustomReportCreativeDetail.aspx?App=23&amp;ReportView=4&amp;Qid=1711279&amp;Row=7804&amp;Col=1","No Title Assigned - #15270514560")</f>
        <v/>
      </c>
      <c r="B7812" s="0" t="s">
        <v>10405</v>
      </c>
      <c r="E7812" s="0" t="inlineStr">
        <is>
          <t xml:space="preserve">Mazda</t>
        </is>
      </c>
      <c r="F7812" s="0" t="s">
        <v>13</v>
      </c>
      <c r="G7812" s="0" t="s">
        <v>49</v>
      </c>
      <c r="H7812" s="5">
        <v>837.169300</v>
      </c>
    </row>
    <row r="7813" spans="1:9">
      <c r="A7813" s="22" t="str">
        <f>HYPERLINK("https://app.vivvix.com/360/KMI/IntelliDrive/ApplUI/Pages/CreativePages/CustomReportCreativeDetail.aspx?App=23&amp;ReportView=4&amp;Qid=1711279&amp;Row=7805&amp;Col=1","No Title Assigned - #15270514735")</f>
        <v/>
      </c>
      <c r="B7813" s="0" t="s">
        <v>10408</v>
      </c>
      <c r="C7813" s="0" t="s">
        <v>10409</v>
      </c>
      <c r="D7813" s="0" t="s">
        <v>10409</v>
      </c>
      <c r="E7813" s="0" t="inlineStr">
        <is>
          <t xml:space="preserve">Mazda</t>
        </is>
      </c>
      <c r="F7813" s="0" t="s">
        <v>28</v>
      </c>
      <c r="G7813" s="0" t="s">
        <v>29</v>
      </c>
      <c r="H7813" s="5">
        <v>93.801100</v>
      </c>
    </row>
    <row r="7814" spans="1:9">
      <c r="A7814" s="22" t="str">
        <f>HYPERLINK("https://app.vivvix.com/360/KMI/IntelliDrive/ApplUI/Pages/CreativePages/CustomReportCreativeDetail.aspx?App=23&amp;ReportView=4&amp;Qid=1711279&amp;Row=7806&amp;Col=1","No Title Assigned - #15270514741")</f>
        <v/>
      </c>
      <c r="B7814" s="0" t="s">
        <v>10410</v>
      </c>
      <c r="C7814" s="0" t="s">
        <v>10411</v>
      </c>
      <c r="D7814" s="0" t="s">
        <v>10411</v>
      </c>
      <c r="E7814" s="0" t="inlineStr">
        <is>
          <t xml:space="preserve">Mazda</t>
        </is>
      </c>
      <c r="F7814" s="0" t="s">
        <v>13</v>
      </c>
      <c r="G7814" s="0" t="s">
        <v>49</v>
      </c>
      <c r="H7814" s="5">
        <v>12510.218800</v>
      </c>
    </row>
    <row r="7815" spans="1:9">
      <c r="A7815" s="22" t="str">
        <f>HYPERLINK("https://app.vivvix.com/360/KMI/IntelliDrive/ApplUI/Pages/CreativePages/CustomReportCreativeDetail.aspx?App=23&amp;ReportView=4&amp;Qid=1711279&amp;Row=7807&amp;Col=1","No Title Assigned - #15270514755")</f>
        <v/>
      </c>
      <c r="B7815" s="0" t="s">
        <v>10412</v>
      </c>
      <c r="C7815" s="0" t="s">
        <v>10413</v>
      </c>
      <c r="D7815" s="0" t="s">
        <v>10413</v>
      </c>
      <c r="E7815" s="0" t="inlineStr">
        <is>
          <t xml:space="preserve">Mazda</t>
        </is>
      </c>
      <c r="F7815" s="0" t="s">
        <v>13</v>
      </c>
      <c r="G7815" s="0" t="s">
        <v>49</v>
      </c>
      <c r="H7815" s="5">
        <v>1338.683300</v>
      </c>
    </row>
    <row r="7816" spans="1:9">
      <c r="A7816" s="22" t="str">
        <f>HYPERLINK("https://app.vivvix.com/360/KMI/IntelliDrive/ApplUI/Pages/CreativePages/CustomReportCreativeDetail.aspx?App=23&amp;ReportView=4&amp;Qid=1711279&amp;Row=7808&amp;Col=1","No Title Assigned - #15270514782")</f>
        <v/>
      </c>
      <c r="B7816" s="0" t="s">
        <v>10414</v>
      </c>
      <c r="C7816" s="0" t="s">
        <v>10415</v>
      </c>
      <c r="D7816" s="0" t="s">
        <v>10415</v>
      </c>
      <c r="E7816" s="0" t="inlineStr">
        <is>
          <t xml:space="preserve">Mazda</t>
        </is>
      </c>
      <c r="F7816" s="0" t="s">
        <v>13</v>
      </c>
      <c r="G7816" s="0" t="s">
        <v>49</v>
      </c>
      <c r="H7816" s="5">
        <v>1421.653900</v>
      </c>
    </row>
    <row r="7817" spans="1:9">
      <c r="A7817" s="22" t="str">
        <f>HYPERLINK("https://app.vivvix.com/360/KMI/IntelliDrive/ApplUI/Pages/CreativePages/CustomReportCreativeDetail.aspx?App=23&amp;ReportView=4&amp;Qid=1711279&amp;Row=7809&amp;Col=1","No Title Assigned - #15270515025")</f>
        <v/>
      </c>
      <c r="B7817" s="0" t="s">
        <v>10416</v>
      </c>
      <c r="C7817" s="0" t="s">
        <v>10417</v>
      </c>
      <c r="D7817" s="0" t="s">
        <v>4768</v>
      </c>
      <c r="E7817" s="0" t="inlineStr">
        <is>
          <t xml:space="preserve">Mazda</t>
        </is>
      </c>
      <c r="F7817" s="0" t="s">
        <v>13</v>
      </c>
      <c r="G7817" s="0" t="s">
        <v>49</v>
      </c>
      <c r="H7817" s="5">
        <v>3117.360600</v>
      </c>
    </row>
    <row r="7818" spans="1:9">
      <c r="A7818" s="22" t="str">
        <f>HYPERLINK("https://app.vivvix.com/360/KMI/IntelliDrive/ApplUI/Pages/CreativePages/CustomReportCreativeDetail.aspx?App=23&amp;ReportView=4&amp;Qid=1711279&amp;Row=7810&amp;Col=1","No Title Assigned - #15270515025")</f>
        <v/>
      </c>
      <c r="B7818" s="0" t="s">
        <v>10416</v>
      </c>
      <c r="E7818" s="0" t="inlineStr">
        <is>
          <t xml:space="preserve">Mazda</t>
        </is>
      </c>
      <c r="F7818" s="0" t="s">
        <v>13</v>
      </c>
      <c r="G7818" s="0" t="s">
        <v>49</v>
      </c>
      <c r="H7818" s="5">
        <v>545.793900</v>
      </c>
    </row>
    <row r="7819" spans="1:9">
      <c r="A7819" s="22" t="str">
        <f>HYPERLINK("https://app.vivvix.com/360/KMI/IntelliDrive/ApplUI/Pages/CreativePages/CustomReportCreativeDetail.aspx?App=23&amp;ReportView=4&amp;Qid=1711279&amp;Row=7811&amp;Col=1","No Title Assigned - #15270515032")</f>
        <v/>
      </c>
      <c r="B7819" s="0" t="s">
        <v>10418</v>
      </c>
      <c r="C7819" s="0" t="s">
        <v>10419</v>
      </c>
      <c r="D7819" s="0" t="s">
        <v>9919</v>
      </c>
      <c r="E7819" s="0" t="inlineStr">
        <is>
          <t xml:space="preserve">Mazda</t>
        </is>
      </c>
      <c r="F7819" s="0" t="s">
        <v>13</v>
      </c>
      <c r="G7819" s="0" t="s">
        <v>49</v>
      </c>
      <c r="H7819" s="5">
        <v>234.184400</v>
      </c>
    </row>
    <row r="7820" spans="1:9">
      <c r="A7820" s="22" t="str">
        <f>HYPERLINK("https://app.vivvix.com/360/KMI/IntelliDrive/ApplUI/Pages/CreativePages/CustomReportCreativeDetail.aspx?App=23&amp;ReportView=4&amp;Qid=1711279&amp;Row=7812&amp;Col=1","No Title Assigned - #15270515034")</f>
        <v/>
      </c>
      <c r="B7820" s="0" t="s">
        <v>10420</v>
      </c>
      <c r="C7820" s="0" t="s">
        <v>10421</v>
      </c>
      <c r="D7820" s="0" t="s">
        <v>10421</v>
      </c>
      <c r="E7820" s="0" t="inlineStr">
        <is>
          <t xml:space="preserve">Mazda</t>
        </is>
      </c>
      <c r="F7820" s="0" t="inlineStr">
        <is>
          <t xml:space="preserve">Mazda</t>
        </is>
      </c>
      <c r="G7820" s="0" t="s">
        <v>210</v>
      </c>
      <c r="H7820" s="5">
        <v>849.635500</v>
      </c>
    </row>
    <row r="7821" spans="1:9">
      <c r="A7821" s="22" t="str">
        <f>HYPERLINK("https://app.vivvix.com/360/KMI/IntelliDrive/ApplUI/Pages/CreativePages/CustomReportCreativeDetail.aspx?App=23&amp;ReportView=4&amp;Qid=1711279&amp;Row=7813&amp;Col=1","No Title Assigned - #15270515034")</f>
        <v/>
      </c>
      <c r="B7821" s="0" t="s">
        <v>10420</v>
      </c>
      <c r="E7821" s="0" t="inlineStr">
        <is>
          <t xml:space="preserve">Mazda</t>
        </is>
      </c>
      <c r="F7821" s="0" t="inlineStr">
        <is>
          <t xml:space="preserve">Mazda</t>
        </is>
      </c>
      <c r="G7821" s="0" t="s">
        <v>210</v>
      </c>
      <c r="H7821" s="5">
        <v>2727.636900</v>
      </c>
    </row>
    <row r="7822" spans="1:9">
      <c r="A7822" s="22" t="str">
        <f>HYPERLINK("https://app.vivvix.com/360/KMI/IntelliDrive/ApplUI/Pages/CreativePages/CustomReportCreativeDetail.aspx?App=23&amp;ReportView=4&amp;Qid=1711279&amp;Row=7814&amp;Col=1","No Title Assigned - #15270515318")</f>
        <v/>
      </c>
      <c r="B7822" s="0" t="s">
        <v>10422</v>
      </c>
      <c r="C7822" s="0" t="s">
        <v>10423</v>
      </c>
      <c r="D7822" s="0" t="s">
        <v>10423</v>
      </c>
      <c r="E7822" s="0" t="inlineStr">
        <is>
          <t xml:space="preserve">Mazda</t>
        </is>
      </c>
      <c r="F7822" s="0" t="s">
        <v>13</v>
      </c>
      <c r="G7822" s="0" t="s">
        <v>49</v>
      </c>
      <c r="H7822" s="5">
        <v>1667.762900</v>
      </c>
    </row>
    <row r="7823" spans="1:9">
      <c r="A7823" s="22" t="str">
        <f>HYPERLINK("https://app.vivvix.com/360/KMI/IntelliDrive/ApplUI/Pages/CreativePages/CustomReportCreativeDetail.aspx?App=23&amp;ReportView=4&amp;Qid=1711279&amp;Row=7815&amp;Col=1","No Title Assigned - #15270515326")</f>
        <v/>
      </c>
      <c r="B7823" s="0" t="s">
        <v>10424</v>
      </c>
      <c r="C7823" s="0" t="s">
        <v>10425</v>
      </c>
      <c r="D7823" s="0" t="s">
        <v>10425</v>
      </c>
      <c r="E7823" s="0" t="inlineStr">
        <is>
          <t xml:space="preserve">Mazda</t>
        </is>
      </c>
      <c r="F7823" s="0" t="s">
        <v>13</v>
      </c>
      <c r="G7823" s="0" t="s">
        <v>49</v>
      </c>
      <c r="H7823" s="5">
        <v>165.282500</v>
      </c>
    </row>
    <row r="7824" spans="1:9">
      <c r="A7824" s="22" t="str">
        <f>HYPERLINK("https://app.vivvix.com/360/KMI/IntelliDrive/ApplUI/Pages/CreativePages/CustomReportCreativeDetail.aspx?App=23&amp;ReportView=4&amp;Qid=1711279&amp;Row=7816&amp;Col=1","No Title Assigned - #15270516422")</f>
        <v/>
      </c>
      <c r="B7824" s="0" t="s">
        <v>10426</v>
      </c>
      <c r="C7824" s="0" t="s">
        <v>10427</v>
      </c>
      <c r="D7824" s="0" t="s">
        <v>4204</v>
      </c>
      <c r="E7824" s="0" t="inlineStr">
        <is>
          <t xml:space="preserve">Mazda</t>
        </is>
      </c>
      <c r="F7824" s="0" t="s">
        <v>28</v>
      </c>
      <c r="G7824" s="0" t="s">
        <v>29</v>
      </c>
      <c r="H7824" s="5">
        <v>88.899400</v>
      </c>
    </row>
    <row r="7825" spans="1:9">
      <c r="A7825" s="22" t="str">
        <f>HYPERLINK("https://app.vivvix.com/360/KMI/IntelliDrive/ApplUI/Pages/CreativePages/CustomReportCreativeDetail.aspx?App=23&amp;ReportView=4&amp;Qid=1711279&amp;Row=7817&amp;Col=1","No Title Assigned - #15270516863")</f>
        <v/>
      </c>
      <c r="B7825" s="0" t="s">
        <v>10428</v>
      </c>
      <c r="E7825" s="0" t="inlineStr">
        <is>
          <t xml:space="preserve">Mazda</t>
        </is>
      </c>
      <c r="F7825" s="0" t="s">
        <v>28</v>
      </c>
      <c r="G7825" s="0" t="s">
        <v>29</v>
      </c>
      <c r="H7825" s="5">
        <v>669.447800</v>
      </c>
    </row>
    <row r="7826" spans="1:9">
      <c r="A7826" s="22" t="str">
        <f>HYPERLINK("https://app.vivvix.com/360/KMI/IntelliDrive/ApplUI/Pages/CreativePages/CustomReportCreativeDetail.aspx?App=23&amp;ReportView=4&amp;Qid=1711279&amp;Row=7818&amp;Col=1","No Title Assigned - #15270516863")</f>
        <v/>
      </c>
      <c r="B7826" s="0" t="s">
        <v>10428</v>
      </c>
      <c r="C7826" s="0" t="s">
        <v>10429</v>
      </c>
      <c r="D7826" s="0" t="s">
        <v>10429</v>
      </c>
      <c r="E7826" s="0" t="inlineStr">
        <is>
          <t xml:space="preserve">Mazda</t>
        </is>
      </c>
      <c r="F7826" s="0" t="s">
        <v>28</v>
      </c>
      <c r="G7826" s="0" t="s">
        <v>29</v>
      </c>
      <c r="H7826" s="5">
        <v>4695.156000</v>
      </c>
    </row>
    <row r="7827" spans="1:9">
      <c r="A7827" s="22" t="str">
        <f>HYPERLINK("https://app.vivvix.com/360/KMI/IntelliDrive/ApplUI/Pages/CreativePages/CustomReportCreativeDetail.aspx?App=23&amp;ReportView=4&amp;Qid=1711279&amp;Row=7819&amp;Col=1","No Title Assigned - #15270517104")</f>
        <v/>
      </c>
      <c r="B7827" s="0" t="s">
        <v>10430</v>
      </c>
      <c r="C7827" s="0" t="s">
        <v>10431</v>
      </c>
      <c r="D7827" s="0" t="s">
        <v>10431</v>
      </c>
      <c r="E7827" s="0" t="inlineStr">
        <is>
          <t xml:space="preserve">Mazda</t>
        </is>
      </c>
      <c r="F7827" s="0" t="s">
        <v>28</v>
      </c>
      <c r="G7827" s="0" t="s">
        <v>29</v>
      </c>
      <c r="H7827" s="5">
        <v>52.976300</v>
      </c>
    </row>
    <row r="7828" spans="1:9">
      <c r="A7828" s="22" t="str">
        <f>HYPERLINK("https://app.vivvix.com/360/KMI/IntelliDrive/ApplUI/Pages/CreativePages/CustomReportCreativeDetail.aspx?App=23&amp;ReportView=4&amp;Qid=1711279&amp;Row=7820&amp;Col=1","No Title Assigned - #15270517199")</f>
        <v/>
      </c>
      <c r="B7828" s="0" t="s">
        <v>10432</v>
      </c>
      <c r="C7828" s="0" t="s">
        <v>10433</v>
      </c>
      <c r="D7828" s="0" t="s">
        <v>10433</v>
      </c>
      <c r="E7828" s="0" t="inlineStr">
        <is>
          <t xml:space="preserve">Mazda</t>
        </is>
      </c>
      <c r="F7828" s="0" t="s">
        <v>28</v>
      </c>
      <c r="G7828" s="0" t="s">
        <v>29</v>
      </c>
      <c r="H7828" s="5">
        <v>14.027200</v>
      </c>
    </row>
    <row r="7829" spans="1:9">
      <c r="A7829" s="22" t="str">
        <f>HYPERLINK("https://app.vivvix.com/360/KMI/IntelliDrive/ApplUI/Pages/CreativePages/CustomReportCreativeDetail.aspx?App=23&amp;ReportView=4&amp;Qid=1711279&amp;Row=7821&amp;Col=1","No Title Assigned - #15270517739")</f>
        <v/>
      </c>
      <c r="B7829" s="0" t="s">
        <v>10434</v>
      </c>
      <c r="C7829" s="0" t="s">
        <v>10435</v>
      </c>
      <c r="D7829" s="0" t="s">
        <v>10435</v>
      </c>
      <c r="E7829" s="0" t="inlineStr">
        <is>
          <t xml:space="preserve">Mazda</t>
        </is>
      </c>
      <c r="F7829" s="0" t="s">
        <v>13</v>
      </c>
      <c r="G7829" s="0" t="s">
        <v>49</v>
      </c>
      <c r="H7829" s="5">
        <v>86.560200</v>
      </c>
    </row>
    <row r="7830" spans="1:9">
      <c r="A7830" s="22" t="str">
        <f>HYPERLINK("https://app.vivvix.com/360/KMI/IntelliDrive/ApplUI/Pages/CreativePages/CustomReportCreativeDetail.aspx?App=23&amp;ReportView=4&amp;Qid=1711279&amp;Row=7822&amp;Col=1","No Title Assigned - #15270517770")</f>
        <v/>
      </c>
      <c r="B7830" s="0" t="s">
        <v>10436</v>
      </c>
      <c r="C7830" s="0" t="s">
        <v>10437</v>
      </c>
      <c r="D7830" s="0" t="s">
        <v>10437</v>
      </c>
      <c r="E7830" s="0" t="inlineStr">
        <is>
          <t xml:space="preserve">Mazda</t>
        </is>
      </c>
      <c r="F7830" s="0" t="s">
        <v>13</v>
      </c>
      <c r="G7830" s="0" t="s">
        <v>49</v>
      </c>
      <c r="H7830" s="5">
        <v>299.791300</v>
      </c>
    </row>
    <row r="7831" spans="1:9">
      <c r="A7831" s="22" t="str">
        <f>HYPERLINK("https://app.vivvix.com/360/KMI/IntelliDrive/ApplUI/Pages/CreativePages/CustomReportCreativeDetail.aspx?App=23&amp;ReportView=4&amp;Qid=1711279&amp;Row=7823&amp;Col=1","No Title Assigned - #15270517783")</f>
        <v/>
      </c>
      <c r="B7831" s="0" t="s">
        <v>10438</v>
      </c>
      <c r="C7831" s="0" t="s">
        <v>10439</v>
      </c>
      <c r="D7831" s="0" t="s">
        <v>10439</v>
      </c>
      <c r="E7831" s="0" t="inlineStr">
        <is>
          <t xml:space="preserve">Mazda</t>
        </is>
      </c>
      <c r="F7831" s="0" t="s">
        <v>13</v>
      </c>
      <c r="G7831" s="0" t="s">
        <v>49</v>
      </c>
      <c r="H7831" s="5">
        <v>1174.858900</v>
      </c>
    </row>
    <row r="7832" spans="1:9">
      <c r="A7832" s="22" t="str">
        <f>HYPERLINK("https://app.vivvix.com/360/KMI/IntelliDrive/ApplUI/Pages/CreativePages/CustomReportCreativeDetail.aspx?App=23&amp;ReportView=4&amp;Qid=1711279&amp;Row=7824&amp;Col=1","No Title Assigned - #15270518200")</f>
        <v/>
      </c>
      <c r="B7832" s="0" t="s">
        <v>10440</v>
      </c>
      <c r="C7832" s="0" t="s">
        <v>10441</v>
      </c>
      <c r="D7832" s="0" t="s">
        <v>10441</v>
      </c>
      <c r="E7832" s="0" t="inlineStr">
        <is>
          <t xml:space="preserve">Mazda</t>
        </is>
      </c>
      <c r="F7832" s="0" t="s">
        <v>13</v>
      </c>
      <c r="G7832" s="0" t="s">
        <v>49</v>
      </c>
      <c r="H7832" s="5">
        <v>73.078200</v>
      </c>
    </row>
    <row r="7833" spans="1:9">
      <c r="A7833" s="22" t="str">
        <f>HYPERLINK("https://app.vivvix.com/360/KMI/IntelliDrive/ApplUI/Pages/CreativePages/CustomReportCreativeDetail.aspx?App=23&amp;ReportView=4&amp;Qid=1711279&amp;Row=7825&amp;Col=1","No Title Assigned - #15270518202")</f>
        <v/>
      </c>
      <c r="B7833" s="0" t="s">
        <v>10442</v>
      </c>
      <c r="C7833" s="0" t="s">
        <v>10443</v>
      </c>
      <c r="D7833" s="0" t="s">
        <v>4335</v>
      </c>
      <c r="E7833" s="0" t="inlineStr">
        <is>
          <t xml:space="preserve">Mazda</t>
        </is>
      </c>
      <c r="F7833" s="0" t="s">
        <v>13</v>
      </c>
      <c r="G7833" s="0" t="s">
        <v>49</v>
      </c>
      <c r="H7833" s="5">
        <v>451.571200</v>
      </c>
    </row>
    <row r="7834" spans="1:9">
      <c r="A7834" s="22" t="str">
        <f>HYPERLINK("https://app.vivvix.com/360/KMI/IntelliDrive/ApplUI/Pages/CreativePages/CustomReportCreativeDetail.aspx?App=23&amp;ReportView=4&amp;Qid=1711279&amp;Row=7826&amp;Col=1","No Title Assigned - #15270518225")</f>
        <v/>
      </c>
      <c r="B7834" s="0" t="s">
        <v>10444</v>
      </c>
      <c r="C7834" s="0" t="s">
        <v>10445</v>
      </c>
      <c r="D7834" s="0" t="s">
        <v>10445</v>
      </c>
      <c r="E7834" s="0" t="inlineStr">
        <is>
          <t xml:space="preserve">Mazda</t>
        </is>
      </c>
      <c r="F7834" s="0" t="s">
        <v>13</v>
      </c>
      <c r="G7834" s="0" t="s">
        <v>49</v>
      </c>
      <c r="H7834" s="5">
        <v>106.347600</v>
      </c>
    </row>
    <row r="7835" spans="1:9">
      <c r="A7835" s="22" t="str">
        <f>HYPERLINK("https://app.vivvix.com/360/KMI/IntelliDrive/ApplUI/Pages/CreativePages/CustomReportCreativeDetail.aspx?App=23&amp;ReportView=4&amp;Qid=1711279&amp;Row=7827&amp;Col=1","No Title Assigned - #15270518282")</f>
        <v/>
      </c>
      <c r="B7835" s="0" t="s">
        <v>10446</v>
      </c>
      <c r="C7835" s="0" t="s">
        <v>10447</v>
      </c>
      <c r="D7835" s="0" t="s">
        <v>8974</v>
      </c>
      <c r="E7835" s="0" t="inlineStr">
        <is>
          <t xml:space="preserve">Mazda</t>
        </is>
      </c>
      <c r="F7835" s="0" t="s">
        <v>13</v>
      </c>
      <c r="G7835" s="0" t="s">
        <v>49</v>
      </c>
      <c r="H7835" s="5">
        <v>413.884800</v>
      </c>
    </row>
    <row r="7836" spans="1:9">
      <c r="A7836" s="22" t="str">
        <f>HYPERLINK("https://app.vivvix.com/360/KMI/IntelliDrive/ApplUI/Pages/CreativePages/CustomReportCreativeDetail.aspx?App=23&amp;ReportView=4&amp;Qid=1711279&amp;Row=7828&amp;Col=1","No Title Assigned - #15270518323")</f>
        <v/>
      </c>
      <c r="B7836" s="0" t="s">
        <v>10448</v>
      </c>
      <c r="C7836" s="0" t="s">
        <v>10449</v>
      </c>
      <c r="D7836" s="0" t="s">
        <v>10449</v>
      </c>
      <c r="E7836" s="0" t="inlineStr">
        <is>
          <t xml:space="preserve">Mazda</t>
        </is>
      </c>
      <c r="F7836" s="0" t="s">
        <v>13</v>
      </c>
      <c r="G7836" s="0" t="s">
        <v>49</v>
      </c>
      <c r="H7836" s="5">
        <v>1342.532200</v>
      </c>
    </row>
    <row r="7837" spans="1:9">
      <c r="A7837" s="22" t="str">
        <f>HYPERLINK("https://app.vivvix.com/360/KMI/IntelliDrive/ApplUI/Pages/CreativePages/CustomReportCreativeDetail.aspx?App=23&amp;ReportView=4&amp;Qid=1711279&amp;Row=7829&amp;Col=1","No Title Assigned - #15270518366")</f>
        <v/>
      </c>
      <c r="B7837" s="0" t="s">
        <v>10450</v>
      </c>
      <c r="C7837" s="0" t="s">
        <v>10451</v>
      </c>
      <c r="D7837" s="0" t="s">
        <v>10451</v>
      </c>
      <c r="E7837" s="0" t="inlineStr">
        <is>
          <t xml:space="preserve">Mazda</t>
        </is>
      </c>
      <c r="F7837" s="0" t="s">
        <v>13</v>
      </c>
      <c r="G7837" s="0" t="s">
        <v>49</v>
      </c>
      <c r="H7837" s="5">
        <v>408.869000</v>
      </c>
    </row>
    <row r="7838" spans="1:9">
      <c r="A7838" s="22" t="str">
        <f>HYPERLINK("https://app.vivvix.com/360/KMI/IntelliDrive/ApplUI/Pages/CreativePages/CustomReportCreativeDetail.aspx?App=23&amp;ReportView=4&amp;Qid=1711279&amp;Row=7830&amp;Col=1","No Title Assigned - #15270518479")</f>
        <v/>
      </c>
      <c r="B7838" s="0" t="s">
        <v>10452</v>
      </c>
      <c r="C7838" s="0" t="s">
        <v>10453</v>
      </c>
      <c r="D7838" s="0" t="s">
        <v>10453</v>
      </c>
      <c r="E7838" s="0" t="inlineStr">
        <is>
          <t xml:space="preserve">Mazda</t>
        </is>
      </c>
      <c r="F7838" s="0" t="s">
        <v>13</v>
      </c>
      <c r="G7838" s="0" t="s">
        <v>49</v>
      </c>
      <c r="H7838" s="5">
        <v>176.876700</v>
      </c>
    </row>
    <row r="7839" spans="1:9">
      <c r="A7839" s="22" t="str">
        <f>HYPERLINK("https://app.vivvix.com/360/KMI/IntelliDrive/ApplUI/Pages/CreativePages/CustomReportCreativeDetail.aspx?App=23&amp;ReportView=4&amp;Qid=1711279&amp;Row=7831&amp;Col=1","No Title Assigned - #15270518520")</f>
        <v/>
      </c>
      <c r="B7839" s="0" t="s">
        <v>10454</v>
      </c>
      <c r="C7839" s="0" t="s">
        <v>10455</v>
      </c>
      <c r="D7839" s="0" t="s">
        <v>10455</v>
      </c>
      <c r="E7839" s="0" t="inlineStr">
        <is>
          <t xml:space="preserve">Mazda</t>
        </is>
      </c>
      <c r="F7839" s="0" t="s">
        <v>13</v>
      </c>
      <c r="G7839" s="0" t="s">
        <v>49</v>
      </c>
      <c r="H7839" s="5">
        <v>5124.216400</v>
      </c>
    </row>
    <row r="7840" spans="1:9">
      <c r="A7840" s="22" t="str">
        <f>HYPERLINK("https://app.vivvix.com/360/KMI/IntelliDrive/ApplUI/Pages/CreativePages/CustomReportCreativeDetail.aspx?App=23&amp;ReportView=4&amp;Qid=1711279&amp;Row=7832&amp;Col=1","No Title Assigned - #15270518549")</f>
        <v/>
      </c>
      <c r="B7840" s="0" t="s">
        <v>10456</v>
      </c>
      <c r="E7840" s="0" t="inlineStr">
        <is>
          <t xml:space="preserve">Mazda</t>
        </is>
      </c>
      <c r="F7840" s="0" t="inlineStr">
        <is>
          <t xml:space="preserve">Mazda</t>
        </is>
      </c>
      <c r="G7840" s="0" t="s">
        <v>171</v>
      </c>
      <c r="H7840" s="5">
        <v>208.916600</v>
      </c>
    </row>
    <row r="7841" spans="1:9">
      <c r="A7841" s="22" t="str">
        <f>HYPERLINK("https://app.vivvix.com/360/KMI/IntelliDrive/ApplUI/Pages/CreativePages/CustomReportCreativeDetail.aspx?App=23&amp;ReportView=4&amp;Qid=1711279&amp;Row=7833&amp;Col=1","No Title Assigned - #15270518691")</f>
        <v/>
      </c>
      <c r="B7841" s="0" t="s">
        <v>10457</v>
      </c>
      <c r="C7841" s="0" t="s">
        <v>10458</v>
      </c>
      <c r="D7841" s="0" t="s">
        <v>9825</v>
      </c>
      <c r="E7841" s="0" t="inlineStr">
        <is>
          <t xml:space="preserve">Mazda</t>
        </is>
      </c>
      <c r="F7841" s="0" t="s">
        <v>13</v>
      </c>
      <c r="G7841" s="0" t="s">
        <v>49</v>
      </c>
      <c r="H7841" s="5">
        <v>1896.904400</v>
      </c>
    </row>
    <row r="7842" spans="1:9">
      <c r="A7842" s="22" t="str">
        <f>HYPERLINK("https://app.vivvix.com/360/KMI/IntelliDrive/ApplUI/Pages/CreativePages/CustomReportCreativeDetail.aspx?App=23&amp;ReportView=4&amp;Qid=1711279&amp;Row=7834&amp;Col=1","No Title Assigned - #15270518931")</f>
        <v/>
      </c>
      <c r="B7842" s="0" t="s">
        <v>10459</v>
      </c>
      <c r="C7842" s="0" t="s">
        <v>10460</v>
      </c>
      <c r="D7842" s="0" t="s">
        <v>6044</v>
      </c>
      <c r="E7842" s="0" t="inlineStr">
        <is>
          <t xml:space="preserve">Mazda</t>
        </is>
      </c>
      <c r="F7842" s="0" t="s">
        <v>13</v>
      </c>
      <c r="G7842" s="0" t="s">
        <v>49</v>
      </c>
      <c r="H7842" s="5">
        <v>215.295600</v>
      </c>
    </row>
    <row r="7843" spans="1:9">
      <c r="A7843" s="22" t="str">
        <f>HYPERLINK("https://app.vivvix.com/360/KMI/IntelliDrive/ApplUI/Pages/CreativePages/CustomReportCreativeDetail.aspx?App=23&amp;ReportView=4&amp;Qid=1711279&amp;Row=7835&amp;Col=1","No Title Assigned - #15270519013")</f>
        <v/>
      </c>
      <c r="B7843" s="0" t="s">
        <v>10461</v>
      </c>
      <c r="C7843" s="0" t="s">
        <v>10462</v>
      </c>
      <c r="D7843" s="0" t="s">
        <v>6183</v>
      </c>
      <c r="E7843" s="0" t="inlineStr">
        <is>
          <t xml:space="preserve">Mazda</t>
        </is>
      </c>
      <c r="F7843" s="0" t="s">
        <v>13</v>
      </c>
      <c r="G7843" s="0" t="s">
        <v>49</v>
      </c>
      <c r="H7843" s="5">
        <v>1160.288500</v>
      </c>
    </row>
    <row r="7844" spans="1:9">
      <c r="A7844" s="22" t="str">
        <f>HYPERLINK("https://app.vivvix.com/360/KMI/IntelliDrive/ApplUI/Pages/CreativePages/CustomReportCreativeDetail.aspx?App=23&amp;ReportView=4&amp;Qid=1711279&amp;Row=7836&amp;Col=1","No Title Assigned - #15270519026")</f>
        <v/>
      </c>
      <c r="B7844" s="0" t="s">
        <v>10463</v>
      </c>
      <c r="C7844" s="0" t="s">
        <v>10464</v>
      </c>
      <c r="D7844" s="0" t="s">
        <v>7396</v>
      </c>
      <c r="E7844" s="0" t="inlineStr">
        <is>
          <t xml:space="preserve">Mazda</t>
        </is>
      </c>
      <c r="F7844" s="0" t="s">
        <v>13</v>
      </c>
      <c r="G7844" s="0" t="s">
        <v>49</v>
      </c>
      <c r="H7844" s="5">
        <v>12.069000</v>
      </c>
    </row>
    <row r="7845" spans="1:9">
      <c r="A7845" s="22" t="str">
        <f>HYPERLINK("https://app.vivvix.com/360/KMI/IntelliDrive/ApplUI/Pages/CreativePages/CustomReportCreativeDetail.aspx?App=23&amp;ReportView=4&amp;Qid=1711279&amp;Row=7837&amp;Col=1","No Title Assigned - #15270519065")</f>
        <v/>
      </c>
      <c r="B7845" s="0" t="s">
        <v>10465</v>
      </c>
      <c r="C7845" s="0" t="s">
        <v>10466</v>
      </c>
      <c r="D7845" s="0" t="s">
        <v>10466</v>
      </c>
      <c r="E7845" s="0" t="inlineStr">
        <is>
          <t xml:space="preserve">Mazda</t>
        </is>
      </c>
      <c r="F7845" s="0" t="s">
        <v>13</v>
      </c>
      <c r="G7845" s="0" t="s">
        <v>49</v>
      </c>
      <c r="H7845" s="5">
        <v>656.395100</v>
      </c>
    </row>
    <row r="7846" spans="1:9">
      <c r="A7846" s="22" t="str">
        <f>HYPERLINK("https://app.vivvix.com/360/KMI/IntelliDrive/ApplUI/Pages/CreativePages/CustomReportCreativeDetail.aspx?App=23&amp;ReportView=4&amp;Qid=1711279&amp;Row=7838&amp;Col=1","No Title Assigned - #15270519105")</f>
        <v/>
      </c>
      <c r="B7846" s="0" t="s">
        <v>10467</v>
      </c>
      <c r="C7846" s="0" t="s">
        <v>10468</v>
      </c>
      <c r="D7846" s="0" t="s">
        <v>10073</v>
      </c>
      <c r="E7846" s="0" t="inlineStr">
        <is>
          <t xml:space="preserve">Mazda</t>
        </is>
      </c>
      <c r="F7846" s="0" t="s">
        <v>13</v>
      </c>
      <c r="G7846" s="0" t="s">
        <v>49</v>
      </c>
      <c r="H7846" s="5">
        <v>179.034800</v>
      </c>
    </row>
    <row r="7847" spans="1:9">
      <c r="A7847" s="22" t="str">
        <f>HYPERLINK("https://app.vivvix.com/360/KMI/IntelliDrive/ApplUI/Pages/CreativePages/CustomReportCreativeDetail.aspx?App=23&amp;ReportView=4&amp;Qid=1711279&amp;Row=7839&amp;Col=1","No Title Assigned - #15270519114")</f>
        <v/>
      </c>
      <c r="B7847" s="0" t="s">
        <v>10469</v>
      </c>
      <c r="C7847" s="0" t="s">
        <v>10470</v>
      </c>
      <c r="D7847" s="0" t="s">
        <v>10470</v>
      </c>
      <c r="E7847" s="0" t="inlineStr">
        <is>
          <t xml:space="preserve">Mazda</t>
        </is>
      </c>
      <c r="F7847" s="0" t="s">
        <v>13</v>
      </c>
      <c r="G7847" s="0" t="s">
        <v>49</v>
      </c>
      <c r="H7847" s="5">
        <v>879.324200</v>
      </c>
    </row>
    <row r="7848" spans="1:9">
      <c r="A7848" s="22" t="str">
        <f>HYPERLINK("https://app.vivvix.com/360/KMI/IntelliDrive/ApplUI/Pages/CreativePages/CustomReportCreativeDetail.aspx?App=23&amp;ReportView=4&amp;Qid=1711279&amp;Row=7840&amp;Col=1","No Title Assigned - #15270519151")</f>
        <v/>
      </c>
      <c r="B7848" s="0" t="s">
        <v>10471</v>
      </c>
      <c r="C7848" s="0" t="s">
        <v>10472</v>
      </c>
      <c r="D7848" s="0" t="s">
        <v>10472</v>
      </c>
      <c r="E7848" s="0" t="inlineStr">
        <is>
          <t xml:space="preserve">Mazda</t>
        </is>
      </c>
      <c r="F7848" s="0" t="s">
        <v>13</v>
      </c>
      <c r="G7848" s="0" t="s">
        <v>49</v>
      </c>
      <c r="H7848" s="5">
        <v>8371.272000</v>
      </c>
    </row>
    <row r="7849" spans="1:9">
      <c r="A7849" s="22" t="str">
        <f>HYPERLINK("https://app.vivvix.com/360/KMI/IntelliDrive/ApplUI/Pages/CreativePages/CustomReportCreativeDetail.aspx?App=23&amp;ReportView=4&amp;Qid=1711279&amp;Row=7841&amp;Col=1","No Title Assigned - #15270519178")</f>
        <v/>
      </c>
      <c r="B7849" s="0" t="s">
        <v>10473</v>
      </c>
      <c r="C7849" s="0" t="s">
        <v>10474</v>
      </c>
      <c r="D7849" s="0" t="s">
        <v>10474</v>
      </c>
      <c r="E7849" s="0" t="inlineStr">
        <is>
          <t xml:space="preserve">Mazda</t>
        </is>
      </c>
      <c r="F7849" s="0" t="s">
        <v>13</v>
      </c>
      <c r="G7849" s="0" t="s">
        <v>49</v>
      </c>
      <c r="H7849" s="5">
        <v>73.078200</v>
      </c>
    </row>
    <row r="7850" spans="1:9">
      <c r="A7850" s="22" t="str">
        <f>HYPERLINK("https://app.vivvix.com/360/KMI/IntelliDrive/ApplUI/Pages/CreativePages/CustomReportCreativeDetail.aspx?App=23&amp;ReportView=4&amp;Qid=1711279&amp;Row=7842&amp;Col=1","No Title Assigned - #15270519196")</f>
        <v/>
      </c>
      <c r="B7850" s="0" t="s">
        <v>10475</v>
      </c>
      <c r="C7850" s="0" t="s">
        <v>10476</v>
      </c>
      <c r="D7850" s="0" t="s">
        <v>4335</v>
      </c>
      <c r="E7850" s="0" t="inlineStr">
        <is>
          <t xml:space="preserve">Mazda</t>
        </is>
      </c>
      <c r="F7850" s="0" t="s">
        <v>13</v>
      </c>
      <c r="G7850" s="0" t="s">
        <v>49</v>
      </c>
      <c r="H7850" s="5">
        <v>268.395800</v>
      </c>
    </row>
    <row r="7851" spans="1:9">
      <c r="A7851" s="22" t="str">
        <f>HYPERLINK("https://app.vivvix.com/360/KMI/IntelliDrive/ApplUI/Pages/CreativePages/CustomReportCreativeDetail.aspx?App=23&amp;ReportView=4&amp;Qid=1711279&amp;Row=7843&amp;Col=1","No Title Assigned - #15270519218")</f>
        <v/>
      </c>
      <c r="B7851" s="0" t="s">
        <v>10477</v>
      </c>
      <c r="C7851" s="0" t="s">
        <v>10478</v>
      </c>
      <c r="D7851" s="0" t="s">
        <v>10478</v>
      </c>
      <c r="E7851" s="0" t="inlineStr">
        <is>
          <t xml:space="preserve">Mazda</t>
        </is>
      </c>
      <c r="F7851" s="0" t="s">
        <v>13</v>
      </c>
      <c r="G7851" s="0" t="s">
        <v>49</v>
      </c>
      <c r="H7851" s="5">
        <v>1543.251700</v>
      </c>
    </row>
    <row r="7852" spans="1:9">
      <c r="A7852" s="22" t="str">
        <f>HYPERLINK("https://app.vivvix.com/360/KMI/IntelliDrive/ApplUI/Pages/CreativePages/CustomReportCreativeDetail.aspx?App=23&amp;ReportView=4&amp;Qid=1711279&amp;Row=7844&amp;Col=1","No Title Assigned - #15270519284")</f>
        <v/>
      </c>
      <c r="B7852" s="0" t="s">
        <v>10479</v>
      </c>
      <c r="E7852" s="0" t="inlineStr">
        <is>
          <t xml:space="preserve">Mazda</t>
        </is>
      </c>
      <c r="F7852" s="0" t="s">
        <v>13</v>
      </c>
      <c r="G7852" s="0" t="s">
        <v>49</v>
      </c>
      <c r="H7852" s="5">
        <v>263.161300</v>
      </c>
    </row>
    <row r="7853" spans="1:9">
      <c r="A7853" s="22" t="str">
        <f>HYPERLINK("https://app.vivvix.com/360/KMI/IntelliDrive/ApplUI/Pages/CreativePages/CustomReportCreativeDetail.aspx?App=23&amp;ReportView=4&amp;Qid=1711279&amp;Row=7845&amp;Col=1","No Title Assigned - #15270519284")</f>
        <v/>
      </c>
      <c r="B7853" s="0" t="s">
        <v>10479</v>
      </c>
      <c r="E7853" s="0" t="inlineStr">
        <is>
          <t xml:space="preserve">Mazda</t>
        </is>
      </c>
      <c r="F7853" s="0" t="s">
        <v>13</v>
      </c>
      <c r="G7853" s="0" t="s">
        <v>49</v>
      </c>
      <c r="H7853" s="5">
        <v>55.732500</v>
      </c>
    </row>
    <row r="7854" spans="1:9">
      <c r="A7854" s="22" t="str">
        <f>HYPERLINK("https://app.vivvix.com/360/KMI/IntelliDrive/ApplUI/Pages/CreativePages/CustomReportCreativeDetail.aspx?App=23&amp;ReportView=4&amp;Qid=1711279&amp;Row=7846&amp;Col=1","No Title Assigned - #15270519326")</f>
        <v/>
      </c>
      <c r="B7854" s="0" t="s">
        <v>10480</v>
      </c>
      <c r="C7854" s="0" t="s">
        <v>10481</v>
      </c>
      <c r="D7854" s="0" t="s">
        <v>4938</v>
      </c>
      <c r="E7854" s="0" t="inlineStr">
        <is>
          <t xml:space="preserve">Mazda</t>
        </is>
      </c>
      <c r="F7854" s="0" t="s">
        <v>13</v>
      </c>
      <c r="G7854" s="0" t="s">
        <v>49</v>
      </c>
      <c r="H7854" s="5">
        <v>11408.319700</v>
      </c>
    </row>
    <row r="7855" spans="1:9">
      <c r="A7855" s="22" t="str">
        <f>HYPERLINK("https://app.vivvix.com/360/KMI/IntelliDrive/ApplUI/Pages/CreativePages/CustomReportCreativeDetail.aspx?App=23&amp;ReportView=4&amp;Qid=1711279&amp;Row=7847&amp;Col=1","No Title Assigned - #15270519457")</f>
        <v/>
      </c>
      <c r="B7855" s="0" t="s">
        <v>10482</v>
      </c>
      <c r="C7855" s="0" t="s">
        <v>10483</v>
      </c>
      <c r="D7855" s="0" t="s">
        <v>5013</v>
      </c>
      <c r="E7855" s="0" t="inlineStr">
        <is>
          <t xml:space="preserve">Mazda</t>
        </is>
      </c>
      <c r="F7855" s="0" t="s">
        <v>13</v>
      </c>
      <c r="G7855" s="0" t="s">
        <v>49</v>
      </c>
      <c r="H7855" s="5">
        <v>215.842800</v>
      </c>
    </row>
    <row r="7856" spans="1:9">
      <c r="A7856" s="22" t="str">
        <f>HYPERLINK("https://app.vivvix.com/360/KMI/IntelliDrive/ApplUI/Pages/CreativePages/CustomReportCreativeDetail.aspx?App=23&amp;ReportView=4&amp;Qid=1711279&amp;Row=7848&amp;Col=1","No Title Assigned - #15270519566")</f>
        <v/>
      </c>
      <c r="B7856" s="0" t="s">
        <v>10484</v>
      </c>
      <c r="C7856" s="0" t="s">
        <v>10485</v>
      </c>
      <c r="D7856" s="0" t="s">
        <v>10485</v>
      </c>
      <c r="E7856" s="0" t="inlineStr">
        <is>
          <t xml:space="preserve">Mazda</t>
        </is>
      </c>
      <c r="F7856" s="0" t="s">
        <v>13</v>
      </c>
      <c r="G7856" s="0" t="s">
        <v>49</v>
      </c>
      <c r="H7856" s="5">
        <v>66704.753400</v>
      </c>
    </row>
    <row r="7857" spans="1:9">
      <c r="A7857" s="22" t="str">
        <f>HYPERLINK("https://app.vivvix.com/360/KMI/IntelliDrive/ApplUI/Pages/CreativePages/CustomReportCreativeDetail.aspx?App=23&amp;ReportView=4&amp;Qid=1711279&amp;Row=7849&amp;Col=1","No Title Assigned - #15270519566")</f>
        <v/>
      </c>
      <c r="B7857" s="0" t="s">
        <v>10484</v>
      </c>
      <c r="E7857" s="0" t="inlineStr">
        <is>
          <t xml:space="preserve">Mazda</t>
        </is>
      </c>
      <c r="F7857" s="0" t="s">
        <v>13</v>
      </c>
      <c r="G7857" s="0" t="s">
        <v>49</v>
      </c>
      <c r="H7857" s="5">
        <v>276.503900</v>
      </c>
    </row>
    <row r="7858" spans="1:9">
      <c r="A7858" s="22" t="str">
        <f>HYPERLINK("https://app.vivvix.com/360/KMI/IntelliDrive/ApplUI/Pages/CreativePages/CustomReportCreativeDetail.aspx?App=23&amp;ReportView=4&amp;Qid=1711279&amp;Row=7850&amp;Col=1","No Title Assigned - #15270520900")</f>
        <v/>
      </c>
      <c r="B7858" s="0" t="s">
        <v>10486</v>
      </c>
      <c r="C7858" s="0" t="s">
        <v>10487</v>
      </c>
      <c r="D7858" s="0" t="s">
        <v>8835</v>
      </c>
      <c r="E7858" s="0" t="inlineStr">
        <is>
          <t xml:space="preserve">Mazda</t>
        </is>
      </c>
      <c r="F7858" s="0" t="s">
        <v>28</v>
      </c>
      <c r="G7858" s="0" t="s">
        <v>29</v>
      </c>
      <c r="H7858" s="5">
        <v>7.831900</v>
      </c>
    </row>
    <row r="7859" spans="1:9">
      <c r="A7859" s="22" t="str">
        <f>HYPERLINK("https://app.vivvix.com/360/KMI/IntelliDrive/ApplUI/Pages/CreativePages/CustomReportCreativeDetail.aspx?App=23&amp;ReportView=4&amp;Qid=1711279&amp;Row=7851&amp;Col=1","No Title Assigned - #15270521083")</f>
        <v/>
      </c>
      <c r="B7859" s="0" t="s">
        <v>10488</v>
      </c>
      <c r="C7859" s="0" t="s">
        <v>10489</v>
      </c>
      <c r="D7859" s="0" t="s">
        <v>10490</v>
      </c>
      <c r="E7859" s="0" t="inlineStr">
        <is>
          <t xml:space="preserve">Mazda</t>
        </is>
      </c>
      <c r="F7859" s="0" t="s">
        <v>21</v>
      </c>
      <c r="G7859" s="0" t="s">
        <v>22</v>
      </c>
      <c r="H7859" s="5">
        <v>90.507600</v>
      </c>
    </row>
    <row r="7860" spans="1:9">
      <c r="A7860" s="22" t="str">
        <f>HYPERLINK("https://app.vivvix.com/360/KMI/IntelliDrive/ApplUI/Pages/CreativePages/CustomReportCreativeDetail.aspx?App=23&amp;ReportView=4&amp;Qid=1711279&amp;Row=7852&amp;Col=1","No Title Assigned - #15270521190")</f>
        <v/>
      </c>
      <c r="B7860" s="0" t="s">
        <v>10491</v>
      </c>
      <c r="C7860" s="0" t="s">
        <v>10492</v>
      </c>
      <c r="D7860" s="0" t="s">
        <v>10492</v>
      </c>
      <c r="E7860" s="0" t="inlineStr">
        <is>
          <t xml:space="preserve">Mazda</t>
        </is>
      </c>
      <c r="F7860" s="0" t="s">
        <v>28</v>
      </c>
      <c r="G7860" s="0" t="s">
        <v>29</v>
      </c>
      <c r="H7860" s="5">
        <v>20.338600</v>
      </c>
    </row>
    <row r="7861" spans="1:9">
      <c r="A7861" s="22" t="str">
        <f>HYPERLINK("https://app.vivvix.com/360/KMI/IntelliDrive/ApplUI/Pages/CreativePages/CustomReportCreativeDetail.aspx?App=23&amp;ReportView=4&amp;Qid=1711279&amp;Row=7853&amp;Col=1","No Title Assigned - #15270521319")</f>
        <v/>
      </c>
      <c r="B7861" s="0" t="s">
        <v>10493</v>
      </c>
      <c r="E7861" s="0" t="inlineStr">
        <is>
          <t xml:space="preserve">Mazda</t>
        </is>
      </c>
      <c r="F7861" s="0" t="inlineStr">
        <is>
          <t xml:space="preserve">Mazda</t>
        </is>
      </c>
      <c r="G7861" s="0" t="s">
        <v>171</v>
      </c>
      <c r="H7861" s="5">
        <v>31.872600</v>
      </c>
    </row>
    <row r="7862" spans="1:9">
      <c r="A7862" s="22" t="str">
        <f>HYPERLINK("https://app.vivvix.com/360/KMI/IntelliDrive/ApplUI/Pages/CreativePages/CustomReportCreativeDetail.aspx?App=23&amp;ReportView=4&amp;Qid=1711279&amp;Row=7854&amp;Col=1","No Title Assigned - #15270521320")</f>
        <v/>
      </c>
      <c r="B7862" s="0" t="s">
        <v>10494</v>
      </c>
      <c r="E7862" s="0" t="inlineStr">
        <is>
          <t xml:space="preserve">Mazda</t>
        </is>
      </c>
      <c r="F7862" s="0" t="inlineStr">
        <is>
          <t xml:space="preserve">Mazda</t>
        </is>
      </c>
      <c r="G7862" s="0" t="s">
        <v>171</v>
      </c>
      <c r="H7862" s="5">
        <v>256.734000</v>
      </c>
    </row>
    <row r="7863" spans="1:9">
      <c r="A7863" s="22" t="str">
        <f>HYPERLINK("https://app.vivvix.com/360/KMI/IntelliDrive/ApplUI/Pages/CreativePages/CustomReportCreativeDetail.aspx?App=23&amp;ReportView=4&amp;Qid=1711279&amp;Row=7855&amp;Col=1","No Title Assigned - #15270521320")</f>
        <v/>
      </c>
      <c r="B7863" s="0" t="s">
        <v>10494</v>
      </c>
      <c r="E7863" s="0" t="inlineStr">
        <is>
          <t xml:space="preserve">Mazda</t>
        </is>
      </c>
      <c r="F7863" s="0" t="inlineStr">
        <is>
          <t xml:space="preserve">Mazda</t>
        </is>
      </c>
      <c r="G7863" s="0" t="s">
        <v>171</v>
      </c>
      <c r="H7863" s="5">
        <v>39.155600</v>
      </c>
    </row>
    <row r="7864" spans="1:9">
      <c r="A7864" s="22" t="str">
        <f>HYPERLINK("https://app.vivvix.com/360/KMI/IntelliDrive/ApplUI/Pages/CreativePages/CustomReportCreativeDetail.aspx?App=23&amp;ReportView=4&amp;Qid=1711279&amp;Row=7856&amp;Col=1","No Title Assigned - #15270521511")</f>
        <v/>
      </c>
      <c r="B7864" s="0" t="s">
        <v>10495</v>
      </c>
      <c r="E7864" s="0" t="inlineStr">
        <is>
          <t xml:space="preserve">Mazda</t>
        </is>
      </c>
      <c r="F7864" s="0" t="s">
        <v>13</v>
      </c>
      <c r="G7864" s="0" t="s">
        <v>49</v>
      </c>
      <c r="H7864" s="5">
        <v>592.911300</v>
      </c>
    </row>
    <row r="7865" spans="1:9">
      <c r="A7865" s="22" t="str">
        <f>HYPERLINK("https://app.vivvix.com/360/KMI/IntelliDrive/ApplUI/Pages/CreativePages/CustomReportCreativeDetail.aspx?App=23&amp;ReportView=4&amp;Qid=1711279&amp;Row=7857&amp;Col=1","No Title Assigned - #15270521511")</f>
        <v/>
      </c>
      <c r="B7865" s="0" t="s">
        <v>10495</v>
      </c>
      <c r="C7865" s="0" t="s">
        <v>10496</v>
      </c>
      <c r="D7865" s="0" t="s">
        <v>4335</v>
      </c>
      <c r="E7865" s="0" t="inlineStr">
        <is>
          <t xml:space="preserve">Mazda</t>
        </is>
      </c>
      <c r="F7865" s="0" t="s">
        <v>13</v>
      </c>
      <c r="G7865" s="0" t="s">
        <v>49</v>
      </c>
      <c r="H7865" s="5">
        <v>269.708600</v>
      </c>
    </row>
    <row r="7866" spans="1:9">
      <c r="A7866" s="22" t="str">
        <f>HYPERLINK("https://app.vivvix.com/360/KMI/IntelliDrive/ApplUI/Pages/CreativePages/CustomReportCreativeDetail.aspx?App=23&amp;ReportView=4&amp;Qid=1711279&amp;Row=7858&amp;Col=1","No Title Assigned - #15270521547")</f>
        <v/>
      </c>
      <c r="B7866" s="0" t="s">
        <v>10497</v>
      </c>
      <c r="C7866" s="0" t="s">
        <v>10490</v>
      </c>
      <c r="D7866" s="0" t="s">
        <v>10490</v>
      </c>
      <c r="E7866" s="0" t="inlineStr">
        <is>
          <t xml:space="preserve">Mazda</t>
        </is>
      </c>
      <c r="F7866" s="0" t="s">
        <v>21</v>
      </c>
      <c r="G7866" s="0" t="s">
        <v>22</v>
      </c>
      <c r="H7866" s="5">
        <v>447.131000</v>
      </c>
    </row>
    <row r="7867" spans="1:9">
      <c r="A7867" s="22" t="str">
        <f>HYPERLINK("https://app.vivvix.com/360/KMI/IntelliDrive/ApplUI/Pages/CreativePages/CustomReportCreativeDetail.aspx?App=23&amp;ReportView=4&amp;Qid=1711279&amp;Row=7859&amp;Col=1","No Title Assigned - #15270522503")</f>
        <v/>
      </c>
      <c r="B7867" s="0" t="s">
        <v>10498</v>
      </c>
      <c r="C7867" s="0" t="s">
        <v>10499</v>
      </c>
      <c r="D7867" s="0" t="s">
        <v>10499</v>
      </c>
      <c r="E7867" s="0" t="inlineStr">
        <is>
          <t xml:space="preserve">Mazda</t>
        </is>
      </c>
      <c r="F7867" s="0" t="inlineStr">
        <is>
          <t xml:space="preserve">Mazda</t>
        </is>
      </c>
      <c r="G7867" s="0" t="s">
        <v>210</v>
      </c>
      <c r="H7867" s="5">
        <v>531.476800</v>
      </c>
    </row>
    <row r="7868" spans="1:9">
      <c r="A7868" s="22" t="str">
        <f>HYPERLINK("https://app.vivvix.com/360/KMI/IntelliDrive/ApplUI/Pages/CreativePages/CustomReportCreativeDetail.aspx?App=23&amp;ReportView=4&amp;Qid=1711279&amp;Row=7860&amp;Col=1","No Title Assigned - #15270522694")</f>
        <v/>
      </c>
      <c r="B7868" s="0" t="s">
        <v>10500</v>
      </c>
      <c r="C7868" s="0" t="s">
        <v>10501</v>
      </c>
      <c r="D7868" s="0" t="s">
        <v>9012</v>
      </c>
      <c r="E7868" s="0" t="inlineStr">
        <is>
          <t xml:space="preserve">Mazda</t>
        </is>
      </c>
      <c r="F7868" s="0" t="s">
        <v>28</v>
      </c>
      <c r="G7868" s="0" t="s">
        <v>29</v>
      </c>
      <c r="H7868" s="5">
        <v>17.918400</v>
      </c>
    </row>
    <row r="7869" spans="1:9">
      <c r="A7869" s="22" t="str">
        <f>HYPERLINK("https://app.vivvix.com/360/KMI/IntelliDrive/ApplUI/Pages/CreativePages/CustomReportCreativeDetail.aspx?App=23&amp;ReportView=4&amp;Qid=1711279&amp;Row=7861&amp;Col=1","No Title Assigned - #15270522711")</f>
        <v/>
      </c>
      <c r="B7869" s="0" t="s">
        <v>10502</v>
      </c>
      <c r="C7869" s="0" t="s">
        <v>10503</v>
      </c>
      <c r="D7869" s="0" t="s">
        <v>8610</v>
      </c>
      <c r="E7869" s="0" t="inlineStr">
        <is>
          <t xml:space="preserve">Mazda</t>
        </is>
      </c>
      <c r="F7869" s="0" t="s">
        <v>28</v>
      </c>
      <c r="G7869" s="0" t="s">
        <v>29</v>
      </c>
      <c r="H7869" s="5">
        <v>32.163300</v>
      </c>
    </row>
    <row r="7870" spans="1:9">
      <c r="A7870" s="22" t="str">
        <f>HYPERLINK("https://app.vivvix.com/360/KMI/IntelliDrive/ApplUI/Pages/CreativePages/CustomReportCreativeDetail.aspx?App=23&amp;ReportView=4&amp;Qid=1711279&amp;Row=7862&amp;Col=1","No Title Assigned - #15270522842")</f>
        <v/>
      </c>
      <c r="B7870" s="0" t="s">
        <v>10504</v>
      </c>
      <c r="C7870" s="0" t="s">
        <v>10505</v>
      </c>
      <c r="D7870" s="0" t="s">
        <v>10505</v>
      </c>
      <c r="E7870" s="0" t="inlineStr">
        <is>
          <t xml:space="preserve">Mazda</t>
        </is>
      </c>
      <c r="F7870" s="0" t="s">
        <v>13</v>
      </c>
      <c r="G7870" s="0" t="s">
        <v>49</v>
      </c>
      <c r="H7870" s="5">
        <v>5867.315600</v>
      </c>
    </row>
    <row r="7871" spans="1:9">
      <c r="A7871" s="22" t="str">
        <f>HYPERLINK("https://app.vivvix.com/360/KMI/IntelliDrive/ApplUI/Pages/CreativePages/CustomReportCreativeDetail.aspx?App=23&amp;ReportView=4&amp;Qid=1711279&amp;Row=7863&amp;Col=1","No Title Assigned - #15270522899")</f>
        <v/>
      </c>
      <c r="B7871" s="0" t="s">
        <v>10506</v>
      </c>
      <c r="C7871" s="0" t="s">
        <v>10507</v>
      </c>
      <c r="D7871" s="0" t="s">
        <v>10507</v>
      </c>
      <c r="E7871" s="0" t="inlineStr">
        <is>
          <t xml:space="preserve">Mazda</t>
        </is>
      </c>
      <c r="F7871" s="0" t="s">
        <v>28</v>
      </c>
      <c r="G7871" s="0" t="s">
        <v>29</v>
      </c>
      <c r="H7871" s="5">
        <v>88.761400</v>
      </c>
    </row>
    <row r="7872" spans="1:9">
      <c r="A7872" s="22" t="str">
        <f>HYPERLINK("https://app.vivvix.com/360/KMI/IntelliDrive/ApplUI/Pages/CreativePages/CustomReportCreativeDetail.aspx?App=23&amp;ReportView=4&amp;Qid=1711279&amp;Row=7864&amp;Col=1","No Title Assigned - #15270523353")</f>
        <v/>
      </c>
      <c r="B7872" s="0" t="s">
        <v>10508</v>
      </c>
      <c r="E7872" s="0" t="inlineStr">
        <is>
          <t xml:space="preserve">Mazda</t>
        </is>
      </c>
      <c r="F7872" s="0" t="inlineStr">
        <is>
          <t xml:space="preserve">Mazda</t>
        </is>
      </c>
      <c r="G7872" s="0" t="s">
        <v>171</v>
      </c>
      <c r="H7872" s="5">
        <v>366.715400</v>
      </c>
    </row>
    <row r="7873" spans="1:9">
      <c r="A7873" s="22" t="str">
        <f>HYPERLINK("https://app.vivvix.com/360/KMI/IntelliDrive/ApplUI/Pages/CreativePages/CustomReportCreativeDetail.aspx?App=23&amp;ReportView=4&amp;Qid=1711279&amp;Row=7865&amp;Col=1","No Title Assigned - #15270525337")</f>
        <v/>
      </c>
      <c r="B7873" s="0" t="s">
        <v>10509</v>
      </c>
      <c r="C7873" s="0" t="s">
        <v>10510</v>
      </c>
      <c r="D7873" s="0" t="s">
        <v>10510</v>
      </c>
      <c r="E7873" s="0" t="inlineStr">
        <is>
          <t xml:space="preserve">Mazda</t>
        </is>
      </c>
      <c r="F7873" s="0" t="s">
        <v>28</v>
      </c>
      <c r="G7873" s="0" t="s">
        <v>29</v>
      </c>
      <c r="H7873" s="5">
        <v>88.191100</v>
      </c>
    </row>
    <row r="7874" spans="1:9">
      <c r="A7874" s="22" t="str">
        <f>HYPERLINK("https://app.vivvix.com/360/KMI/IntelliDrive/ApplUI/Pages/CreativePages/CustomReportCreativeDetail.aspx?App=23&amp;ReportView=4&amp;Qid=1711279&amp;Row=7866&amp;Col=1","No Title Assigned - #15270525337")</f>
        <v/>
      </c>
      <c r="B7874" s="0" t="s">
        <v>10509</v>
      </c>
      <c r="E7874" s="0" t="inlineStr">
        <is>
          <t xml:space="preserve">Mazda</t>
        </is>
      </c>
      <c r="F7874" s="0" t="s">
        <v>28</v>
      </c>
      <c r="G7874" s="0" t="s">
        <v>29</v>
      </c>
      <c r="H7874" s="5">
        <v>299.720400</v>
      </c>
    </row>
    <row r="7875" spans="1:9">
      <c r="A7875" s="22" t="str">
        <f>HYPERLINK("https://app.vivvix.com/360/KMI/IntelliDrive/ApplUI/Pages/CreativePages/CustomReportCreativeDetail.aspx?App=23&amp;ReportView=4&amp;Qid=1711279&amp;Row=7867&amp;Col=1","No Title Assigned - #15270525999")</f>
        <v/>
      </c>
      <c r="B7875" s="0" t="s">
        <v>10511</v>
      </c>
      <c r="C7875" s="0" t="s">
        <v>10512</v>
      </c>
      <c r="D7875" s="0" t="s">
        <v>10512</v>
      </c>
      <c r="E7875" s="0" t="inlineStr">
        <is>
          <t xml:space="preserve">Mazda</t>
        </is>
      </c>
      <c r="F7875" s="0" t="s">
        <v>13</v>
      </c>
      <c r="G7875" s="0" t="s">
        <v>49</v>
      </c>
      <c r="H7875" s="5">
        <v>648.545000</v>
      </c>
    </row>
    <row r="7876" spans="1:9">
      <c r="A7876" s="22" t="str">
        <f>HYPERLINK("https://app.vivvix.com/360/KMI/IntelliDrive/ApplUI/Pages/CreativePages/CustomReportCreativeDetail.aspx?App=23&amp;ReportView=4&amp;Qid=1711279&amp;Row=7868&amp;Col=1","No Title Assigned - #15270528118")</f>
        <v/>
      </c>
      <c r="B7876" s="0" t="s">
        <v>10513</v>
      </c>
      <c r="C7876" s="0" t="s">
        <v>10514</v>
      </c>
      <c r="D7876" s="0" t="s">
        <v>10514</v>
      </c>
      <c r="E7876" s="0" t="inlineStr">
        <is>
          <t xml:space="preserve">Mazda</t>
        </is>
      </c>
      <c r="F7876" s="0" t="s">
        <v>369</v>
      </c>
      <c r="G7876" s="0" t="s">
        <v>370</v>
      </c>
      <c r="H7876" s="5">
        <v>22.102500</v>
      </c>
    </row>
    <row r="7877" spans="1:9">
      <c r="A7877" s="22" t="str">
        <f>HYPERLINK("https://app.vivvix.com/360/KMI/IntelliDrive/ApplUI/Pages/CreativePages/CustomReportCreativeDetail.aspx?App=23&amp;ReportView=4&amp;Qid=1711279&amp;Row=7869&amp;Col=1","No Title Assigned - #15270528149")</f>
        <v/>
      </c>
      <c r="B7877" s="0" t="s">
        <v>10515</v>
      </c>
      <c r="C7877" s="0" t="s">
        <v>10516</v>
      </c>
      <c r="D7877" s="0" t="s">
        <v>4456</v>
      </c>
      <c r="E7877" s="0" t="inlineStr">
        <is>
          <t xml:space="preserve">Mazda</t>
        </is>
      </c>
      <c r="F7877" s="0" t="s">
        <v>369</v>
      </c>
      <c r="G7877" s="0" t="s">
        <v>370</v>
      </c>
      <c r="H7877" s="5">
        <v>13.137900</v>
      </c>
    </row>
    <row r="7878" spans="1:9">
      <c r="A7878" s="22" t="str">
        <f>HYPERLINK("https://app.vivvix.com/360/KMI/IntelliDrive/ApplUI/Pages/CreativePages/CustomReportCreativeDetail.aspx?App=23&amp;ReportView=4&amp;Qid=1711279&amp;Row=7870&amp;Col=1","No Title Assigned - #15270529583")</f>
        <v/>
      </c>
      <c r="B7878" s="0" t="s">
        <v>10517</v>
      </c>
      <c r="C7878" s="0" t="s">
        <v>10518</v>
      </c>
      <c r="D7878" s="0" t="s">
        <v>4204</v>
      </c>
      <c r="E7878" s="0" t="inlineStr">
        <is>
          <t xml:space="preserve">Mazda</t>
        </is>
      </c>
      <c r="F7878" s="0" t="s">
        <v>28</v>
      </c>
      <c r="G7878" s="0" t="s">
        <v>29</v>
      </c>
      <c r="H7878" s="5">
        <v>8.932100</v>
      </c>
    </row>
    <row r="7879" spans="1:9">
      <c r="A7879" s="22" t="str">
        <f>HYPERLINK("https://app.vivvix.com/360/KMI/IntelliDrive/ApplUI/Pages/CreativePages/CustomReportCreativeDetail.aspx?App=23&amp;ReportView=4&amp;Qid=1711279&amp;Row=7871&amp;Col=1","No Title Assigned - #15270529699")</f>
        <v/>
      </c>
      <c r="B7879" s="0" t="s">
        <v>10519</v>
      </c>
      <c r="C7879" s="0" t="s">
        <v>10520</v>
      </c>
      <c r="D7879" s="0" t="s">
        <v>4200</v>
      </c>
      <c r="E7879" s="0" t="inlineStr">
        <is>
          <t xml:space="preserve">Mazda</t>
        </is>
      </c>
      <c r="F7879" s="0" t="s">
        <v>28</v>
      </c>
      <c r="G7879" s="0" t="s">
        <v>29</v>
      </c>
      <c r="H7879" s="5">
        <v>9.787100</v>
      </c>
    </row>
    <row r="7880" spans="1:9">
      <c r="A7880" s="22" t="str">
        <f>HYPERLINK("https://app.vivvix.com/360/KMI/IntelliDrive/ApplUI/Pages/CreativePages/CustomReportCreativeDetail.aspx?App=23&amp;ReportView=4&amp;Qid=1711279&amp;Row=7872&amp;Col=1","No Title Assigned - #15270530188")</f>
        <v/>
      </c>
      <c r="B7880" s="0" t="s">
        <v>10521</v>
      </c>
      <c r="C7880" s="0" t="s">
        <v>10522</v>
      </c>
      <c r="D7880" s="0" t="s">
        <v>10522</v>
      </c>
      <c r="E7880" s="0" t="inlineStr">
        <is>
          <t xml:space="preserve">Mazda</t>
        </is>
      </c>
      <c r="F7880" s="0" t="s">
        <v>28</v>
      </c>
      <c r="G7880" s="0" t="s">
        <v>29</v>
      </c>
      <c r="H7880" s="5">
        <v>189.456200</v>
      </c>
    </row>
    <row r="7881" spans="1:9">
      <c r="A7881" s="22" t="str">
        <f>HYPERLINK("https://app.vivvix.com/360/KMI/IntelliDrive/ApplUI/Pages/CreativePages/CustomReportCreativeDetail.aspx?App=23&amp;ReportView=4&amp;Qid=1711279&amp;Row=7873&amp;Col=1","No Title Assigned - #15270530605")</f>
        <v/>
      </c>
      <c r="B7881" s="0" t="s">
        <v>10523</v>
      </c>
      <c r="E7881" s="0" t="inlineStr">
        <is>
          <t xml:space="preserve">Mazda</t>
        </is>
      </c>
      <c r="F7881" s="0" t="s">
        <v>13</v>
      </c>
      <c r="G7881" s="0" t="s">
        <v>49</v>
      </c>
      <c r="H7881" s="5">
        <v>428.546500</v>
      </c>
    </row>
    <row r="7882" spans="1:9">
      <c r="A7882" s="22" t="str">
        <f>HYPERLINK("https://app.vivvix.com/360/KMI/IntelliDrive/ApplUI/Pages/CreativePages/CustomReportCreativeDetail.aspx?App=23&amp;ReportView=4&amp;Qid=1711279&amp;Row=7874&amp;Col=1","No Title Assigned - #15270530605")</f>
        <v/>
      </c>
      <c r="B7882" s="0" t="s">
        <v>10523</v>
      </c>
      <c r="C7882" s="0" t="s">
        <v>10524</v>
      </c>
      <c r="D7882" s="0" t="s">
        <v>10524</v>
      </c>
      <c r="E7882" s="0" t="inlineStr">
        <is>
          <t xml:space="preserve">Mazda</t>
        </is>
      </c>
      <c r="F7882" s="0" t="s">
        <v>13</v>
      </c>
      <c r="G7882" s="0" t="s">
        <v>49</v>
      </c>
      <c r="H7882" s="5">
        <v>122.634100</v>
      </c>
    </row>
    <row r="7883" spans="1:9">
      <c r="A7883" s="22" t="str">
        <f>HYPERLINK("https://app.vivvix.com/360/KMI/IntelliDrive/ApplUI/Pages/CreativePages/CustomReportCreativeDetail.aspx?App=23&amp;ReportView=4&amp;Qid=1711279&amp;Row=7875&amp;Col=1","No Title Assigned - #15270531121")</f>
        <v/>
      </c>
      <c r="B7883" s="0" t="s">
        <v>10525</v>
      </c>
      <c r="E7883" s="0" t="inlineStr">
        <is>
          <t xml:space="preserve">Mazda</t>
        </is>
      </c>
      <c r="F7883" s="0" t="inlineStr">
        <is>
          <t xml:space="preserve">Mazda</t>
        </is>
      </c>
      <c r="G7883" s="0" t="s">
        <v>171</v>
      </c>
      <c r="H7883" s="5">
        <v>106.638200</v>
      </c>
    </row>
    <row r="7884" spans="1:9">
      <c r="A7884" s="22" t="str">
        <f>HYPERLINK("https://app.vivvix.com/360/KMI/IntelliDrive/ApplUI/Pages/CreativePages/CustomReportCreativeDetail.aspx?App=23&amp;ReportView=4&amp;Qid=1711279&amp;Row=7876&amp;Col=1","No Title Assigned - #15270531364")</f>
        <v/>
      </c>
      <c r="B7884" s="0" t="s">
        <v>10526</v>
      </c>
      <c r="E7884" s="0" t="inlineStr">
        <is>
          <t xml:space="preserve">Mazda</t>
        </is>
      </c>
      <c r="F7884" s="0" t="inlineStr">
        <is>
          <t xml:space="preserve">Mazda</t>
        </is>
      </c>
      <c r="G7884" s="0" t="s">
        <v>171</v>
      </c>
      <c r="H7884" s="5">
        <v>1111.099200</v>
      </c>
    </row>
    <row r="7885" spans="1:9">
      <c r="A7885" s="22" t="str">
        <f>HYPERLINK("https://app.vivvix.com/360/KMI/IntelliDrive/ApplUI/Pages/CreativePages/CustomReportCreativeDetail.aspx?App=23&amp;ReportView=4&amp;Qid=1711279&amp;Row=7877&amp;Col=1","No Title Assigned - #15270531771")</f>
        <v/>
      </c>
      <c r="B7885" s="0" t="s">
        <v>10527</v>
      </c>
      <c r="C7885" s="0" t="s">
        <v>10528</v>
      </c>
      <c r="D7885" s="0" t="s">
        <v>10528</v>
      </c>
      <c r="E7885" s="0" t="inlineStr">
        <is>
          <t xml:space="preserve">Mazda</t>
        </is>
      </c>
      <c r="F7885" s="0" t="s">
        <v>13</v>
      </c>
      <c r="G7885" s="0" t="s">
        <v>49</v>
      </c>
      <c r="H7885" s="5">
        <v>1299.878200</v>
      </c>
    </row>
    <row r="7886" spans="1:9">
      <c r="A7886" s="22" t="str">
        <f>HYPERLINK("https://app.vivvix.com/360/KMI/IntelliDrive/ApplUI/Pages/CreativePages/CustomReportCreativeDetail.aspx?App=23&amp;ReportView=4&amp;Qid=1711279&amp;Row=7878&amp;Col=1","No Title Assigned - #15270532123")</f>
        <v/>
      </c>
      <c r="B7886" s="0" t="s">
        <v>10529</v>
      </c>
      <c r="C7886" s="0" t="s">
        <v>10530</v>
      </c>
      <c r="D7886" s="0" t="s">
        <v>4450</v>
      </c>
      <c r="E7886" s="0" t="inlineStr">
        <is>
          <t xml:space="preserve">Mazda</t>
        </is>
      </c>
      <c r="F7886" s="0" t="s">
        <v>28</v>
      </c>
      <c r="G7886" s="0" t="s">
        <v>29</v>
      </c>
      <c r="H7886" s="5">
        <v>86.026300</v>
      </c>
    </row>
    <row r="7887" spans="1:9">
      <c r="A7887" s="22" t="str">
        <f>HYPERLINK("https://app.vivvix.com/360/KMI/IntelliDrive/ApplUI/Pages/CreativePages/CustomReportCreativeDetail.aspx?App=23&amp;ReportView=4&amp;Qid=1711279&amp;Row=7879&amp;Col=1","No Title Assigned - #15270532132")</f>
        <v/>
      </c>
      <c r="B7887" s="0" t="s">
        <v>10531</v>
      </c>
      <c r="E7887" s="0" t="inlineStr">
        <is>
          <t xml:space="preserve">Mazda</t>
        </is>
      </c>
      <c r="F7887" s="0" t="s">
        <v>28</v>
      </c>
      <c r="G7887" s="0" t="s">
        <v>29</v>
      </c>
      <c r="H7887" s="5">
        <v>9354.275800</v>
      </c>
    </row>
    <row r="7888" spans="1:9">
      <c r="A7888" s="22" t="str">
        <f>HYPERLINK("https://app.vivvix.com/360/KMI/IntelliDrive/ApplUI/Pages/CreativePages/CustomReportCreativeDetail.aspx?App=23&amp;ReportView=4&amp;Qid=1711279&amp;Row=7880&amp;Col=1","No Title Assigned - #15270532132")</f>
        <v/>
      </c>
      <c r="B7888" s="0" t="s">
        <v>10531</v>
      </c>
      <c r="C7888" s="0" t="s">
        <v>10532</v>
      </c>
      <c r="D7888" s="0" t="s">
        <v>4418</v>
      </c>
      <c r="E7888" s="0" t="inlineStr">
        <is>
          <t xml:space="preserve">Mazda</t>
        </is>
      </c>
      <c r="F7888" s="0" t="s">
        <v>28</v>
      </c>
      <c r="G7888" s="0" t="s">
        <v>29</v>
      </c>
      <c r="H7888" s="5">
        <v>4042.934800</v>
      </c>
    </row>
    <row r="7889" spans="1:9">
      <c r="A7889" s="22" t="str">
        <f>HYPERLINK("https://app.vivvix.com/360/KMI/IntelliDrive/ApplUI/Pages/CreativePages/CustomReportCreativeDetail.aspx?App=23&amp;ReportView=4&amp;Qid=1711279&amp;Row=7881&amp;Col=1","No Title Assigned - #15270532524")</f>
        <v/>
      </c>
      <c r="B7889" s="0" t="s">
        <v>10533</v>
      </c>
      <c r="C7889" s="0" t="s">
        <v>10534</v>
      </c>
      <c r="D7889" s="0" t="s">
        <v>10534</v>
      </c>
      <c r="E7889" s="0" t="inlineStr">
        <is>
          <t xml:space="preserve">Mazda</t>
        </is>
      </c>
      <c r="F7889" s="0" t="s">
        <v>13</v>
      </c>
      <c r="G7889" s="0" t="s">
        <v>49</v>
      </c>
      <c r="H7889" s="5">
        <v>2010.939800</v>
      </c>
    </row>
    <row r="7890" spans="1:9">
      <c r="A7890" s="22" t="str">
        <f>HYPERLINK("https://app.vivvix.com/360/KMI/IntelliDrive/ApplUI/Pages/CreativePages/CustomReportCreativeDetail.aspx?App=23&amp;ReportView=4&amp;Qid=1711279&amp;Row=7882&amp;Col=1","No Title Assigned - #15270532707")</f>
        <v/>
      </c>
      <c r="B7890" s="0" t="s">
        <v>10535</v>
      </c>
      <c r="C7890" s="0" t="s">
        <v>10536</v>
      </c>
      <c r="D7890" s="0" t="s">
        <v>10536</v>
      </c>
      <c r="E7890" s="0" t="inlineStr">
        <is>
          <t xml:space="preserve">Mazda</t>
        </is>
      </c>
      <c r="F7890" s="0" t="s">
        <v>28</v>
      </c>
      <c r="G7890" s="0" t="s">
        <v>29</v>
      </c>
      <c r="H7890" s="5">
        <v>1220.420000</v>
      </c>
    </row>
    <row r="7891" spans="1:9">
      <c r="A7891" s="22" t="str">
        <f>HYPERLINK("https://app.vivvix.com/360/KMI/IntelliDrive/ApplUI/Pages/CreativePages/CustomReportCreativeDetail.aspx?App=23&amp;ReportView=4&amp;Qid=1711279&amp;Row=7883&amp;Col=1","No Title Assigned - #15270532956")</f>
        <v/>
      </c>
      <c r="B7891" s="0" t="s">
        <v>10537</v>
      </c>
      <c r="C7891" s="0" t="s">
        <v>10538</v>
      </c>
      <c r="D7891" s="0" t="s">
        <v>4335</v>
      </c>
      <c r="E7891" s="0" t="inlineStr">
        <is>
          <t xml:space="preserve">Mazda</t>
        </is>
      </c>
      <c r="F7891" s="0" t="s">
        <v>13</v>
      </c>
      <c r="G7891" s="0" t="s">
        <v>49</v>
      </c>
      <c r="H7891" s="5">
        <v>228.018600</v>
      </c>
    </row>
    <row r="7892" spans="1:9">
      <c r="A7892" s="22" t="str">
        <f>HYPERLINK("https://app.vivvix.com/360/KMI/IntelliDrive/ApplUI/Pages/CreativePages/CustomReportCreativeDetail.aspx?App=23&amp;ReportView=4&amp;Qid=1711279&amp;Row=7884&amp;Col=1","No Title Assigned - #15270533275")</f>
        <v/>
      </c>
      <c r="B7892" s="0" t="s">
        <v>10539</v>
      </c>
      <c r="C7892" s="0" t="s">
        <v>10540</v>
      </c>
      <c r="D7892" s="0" t="s">
        <v>7969</v>
      </c>
      <c r="E7892" s="0" t="inlineStr">
        <is>
          <t xml:space="preserve">Mazda</t>
        </is>
      </c>
      <c r="F7892" s="0" t="s">
        <v>13</v>
      </c>
      <c r="G7892" s="0" t="s">
        <v>49</v>
      </c>
      <c r="H7892" s="5">
        <v>106.521000</v>
      </c>
    </row>
    <row r="7893" spans="1:9">
      <c r="A7893" s="22" t="str">
        <f>HYPERLINK("https://app.vivvix.com/360/KMI/IntelliDrive/ApplUI/Pages/CreativePages/CustomReportCreativeDetail.aspx?App=23&amp;ReportView=4&amp;Qid=1711279&amp;Row=7885&amp;Col=1","No Title Assigned - #15270533618")</f>
        <v/>
      </c>
      <c r="B7893" s="0" t="s">
        <v>10541</v>
      </c>
      <c r="C7893" s="0" t="s">
        <v>10542</v>
      </c>
      <c r="D7893" s="0" t="s">
        <v>5895</v>
      </c>
      <c r="E7893" s="0" t="inlineStr">
        <is>
          <t xml:space="preserve">Mazda</t>
        </is>
      </c>
      <c r="F7893" s="0" t="s">
        <v>28</v>
      </c>
      <c r="G7893" s="0" t="s">
        <v>29</v>
      </c>
      <c r="H7893" s="5">
        <v>52.790100</v>
      </c>
    </row>
    <row r="7894" spans="1:9">
      <c r="A7894" s="22" t="str">
        <f>HYPERLINK("https://app.vivvix.com/360/KMI/IntelliDrive/ApplUI/Pages/CreativePages/CustomReportCreativeDetail.aspx?App=23&amp;ReportView=4&amp;Qid=1711279&amp;Row=7886&amp;Col=1","No Title Assigned - #15270533831")</f>
        <v/>
      </c>
      <c r="B7894" s="0" t="s">
        <v>10543</v>
      </c>
      <c r="C7894" s="0" t="s">
        <v>10544</v>
      </c>
      <c r="D7894" s="0" t="s">
        <v>8050</v>
      </c>
      <c r="E7894" s="0" t="inlineStr">
        <is>
          <t xml:space="preserve">Mazda</t>
        </is>
      </c>
      <c r="F7894" s="0" t="s">
        <v>28</v>
      </c>
      <c r="G7894" s="0" t="s">
        <v>29</v>
      </c>
      <c r="H7894" s="5">
        <v>36.279500</v>
      </c>
    </row>
    <row r="7895" spans="1:9">
      <c r="A7895" s="22" t="str">
        <f>HYPERLINK("https://app.vivvix.com/360/KMI/IntelliDrive/ApplUI/Pages/CreativePages/CustomReportCreativeDetail.aspx?App=23&amp;ReportView=4&amp;Qid=1711279&amp;Row=7887&amp;Col=1","No Title Assigned - #15270534016")</f>
        <v/>
      </c>
      <c r="B7895" s="0" t="s">
        <v>10545</v>
      </c>
      <c r="C7895" s="0" t="s">
        <v>10546</v>
      </c>
      <c r="D7895" s="0" t="s">
        <v>4333</v>
      </c>
      <c r="E7895" s="0" t="inlineStr">
        <is>
          <t xml:space="preserve">Mazda</t>
        </is>
      </c>
      <c r="F7895" s="0" t="s">
        <v>28</v>
      </c>
      <c r="G7895" s="0" t="s">
        <v>29</v>
      </c>
      <c r="H7895" s="5">
        <v>13.063200</v>
      </c>
    </row>
    <row r="7896" spans="1:9">
      <c r="A7896" s="22" t="str">
        <f>HYPERLINK("https://app.vivvix.com/360/KMI/IntelliDrive/ApplUI/Pages/CreativePages/CustomReportCreativeDetail.aspx?App=23&amp;ReportView=4&amp;Qid=1711279&amp;Row=7888&amp;Col=1","No Title Assigned - #15270534380")</f>
        <v/>
      </c>
      <c r="B7896" s="0" t="s">
        <v>10547</v>
      </c>
      <c r="E7896" s="0" t="inlineStr">
        <is>
          <t xml:space="preserve">Mazda</t>
        </is>
      </c>
      <c r="F7896" s="0" t="inlineStr">
        <is>
          <t xml:space="preserve">Mazda</t>
        </is>
      </c>
      <c r="G7896" s="0" t="s">
        <v>171</v>
      </c>
      <c r="H7896" s="5">
        <v>35.370600</v>
      </c>
    </row>
    <row r="7897" spans="1:9">
      <c r="A7897" s="22" t="str">
        <f>HYPERLINK("https://app.vivvix.com/360/KMI/IntelliDrive/ApplUI/Pages/CreativePages/CustomReportCreativeDetail.aspx?App=23&amp;ReportView=4&amp;Qid=1711279&amp;Row=7889&amp;Col=1","No Title Assigned - #15270534939")</f>
        <v/>
      </c>
      <c r="B7897" s="0" t="s">
        <v>10548</v>
      </c>
      <c r="E7897" s="0" t="inlineStr">
        <is>
          <t xml:space="preserve">Mazda</t>
        </is>
      </c>
      <c r="F7897" s="0" t="inlineStr">
        <is>
          <t xml:space="preserve">Mazda</t>
        </is>
      </c>
      <c r="G7897" s="0" t="s">
        <v>171</v>
      </c>
      <c r="H7897" s="5">
        <v>1823.258000</v>
      </c>
    </row>
    <row r="7898" spans="1:9">
      <c r="A7898" s="22" t="str">
        <f>HYPERLINK("https://app.vivvix.com/360/KMI/IntelliDrive/ApplUI/Pages/CreativePages/CustomReportCreativeDetail.aspx?App=23&amp;ReportView=4&amp;Qid=1711279&amp;Row=7890&amp;Col=1","No Title Assigned - #15270534939")</f>
        <v/>
      </c>
      <c r="B7898" s="0" t="s">
        <v>10548</v>
      </c>
      <c r="E7898" s="0" t="inlineStr">
        <is>
          <t xml:space="preserve">Mazda</t>
        </is>
      </c>
      <c r="F7898" s="0" t="inlineStr">
        <is>
          <t xml:space="preserve">Mazda</t>
        </is>
      </c>
      <c r="G7898" s="0" t="s">
        <v>171</v>
      </c>
      <c r="H7898" s="5">
        <v>1891.908000</v>
      </c>
    </row>
    <row r="7899" spans="1:9">
      <c r="A7899" s="22" t="str">
        <f>HYPERLINK("https://app.vivvix.com/360/KMI/IntelliDrive/ApplUI/Pages/CreativePages/CustomReportCreativeDetail.aspx?App=23&amp;ReportView=4&amp;Qid=1711279&amp;Row=7891&amp;Col=1","No Title Assigned - #15270535098")</f>
        <v/>
      </c>
      <c r="B7899" s="0" t="s">
        <v>10549</v>
      </c>
      <c r="E7899" s="0" t="inlineStr">
        <is>
          <t xml:space="preserve">Mazda</t>
        </is>
      </c>
      <c r="F7899" s="0" t="inlineStr">
        <is>
          <t xml:space="preserve">Mazda</t>
        </is>
      </c>
      <c r="G7899" s="0" t="s">
        <v>171</v>
      </c>
      <c r="H7899" s="5">
        <v>47.844800</v>
      </c>
    </row>
    <row r="7900" spans="1:9">
      <c r="A7900" s="22" t="str">
        <f>HYPERLINK("https://app.vivvix.com/360/KMI/IntelliDrive/ApplUI/Pages/CreativePages/CustomReportCreativeDetail.aspx?App=23&amp;ReportView=4&amp;Qid=1711279&amp;Row=7892&amp;Col=1","No Title Assigned - #15270535300")</f>
        <v/>
      </c>
      <c r="B7900" s="0" t="s">
        <v>10550</v>
      </c>
      <c r="E7900" s="0" t="inlineStr">
        <is>
          <t xml:space="preserve">Mazda</t>
        </is>
      </c>
      <c r="F7900" s="0" t="inlineStr">
        <is>
          <t xml:space="preserve">Mazda</t>
        </is>
      </c>
      <c r="G7900" s="0" t="s">
        <v>171</v>
      </c>
      <c r="H7900" s="5">
        <v>242.074700</v>
      </c>
    </row>
    <row r="7901" spans="1:9">
      <c r="A7901" s="22" t="str">
        <f>HYPERLINK("https://app.vivvix.com/360/KMI/IntelliDrive/ApplUI/Pages/CreativePages/CustomReportCreativeDetail.aspx?App=23&amp;ReportView=4&amp;Qid=1711279&amp;Row=7893&amp;Col=1","No Title Assigned - #15270535554")</f>
        <v/>
      </c>
      <c r="B7901" s="0" t="s">
        <v>10551</v>
      </c>
      <c r="E7901" s="0" t="inlineStr">
        <is>
          <t xml:space="preserve">Mazda</t>
        </is>
      </c>
      <c r="F7901" s="0" t="inlineStr">
        <is>
          <t xml:space="preserve">Mazda</t>
        </is>
      </c>
      <c r="G7901" s="0" t="s">
        <v>171</v>
      </c>
      <c r="H7901" s="5">
        <v>5966.867500</v>
      </c>
    </row>
    <row r="7902" spans="1:9">
      <c r="A7902" s="22" t="str">
        <f>HYPERLINK("https://app.vivvix.com/360/KMI/IntelliDrive/ApplUI/Pages/CreativePages/CustomReportCreativeDetail.aspx?App=23&amp;ReportView=4&amp;Qid=1711279&amp;Row=7894&amp;Col=1","No Title Assigned - #15270535918")</f>
        <v/>
      </c>
      <c r="B7902" s="0" t="s">
        <v>10552</v>
      </c>
      <c r="E7902" s="0" t="inlineStr">
        <is>
          <t xml:space="preserve">Mazda</t>
        </is>
      </c>
      <c r="F7902" s="0" t="inlineStr">
        <is>
          <t xml:space="preserve">Mazda</t>
        </is>
      </c>
      <c r="G7902" s="0" t="s">
        <v>171</v>
      </c>
      <c r="H7902" s="5">
        <v>33.750800</v>
      </c>
    </row>
    <row r="7903" spans="1:9">
      <c r="A7903" s="22" t="str">
        <f>HYPERLINK("https://app.vivvix.com/360/KMI/IntelliDrive/ApplUI/Pages/CreativePages/CustomReportCreativeDetail.aspx?App=23&amp;ReportView=4&amp;Qid=1711279&amp;Row=7895&amp;Col=1","No Title Assigned - #15270536227")</f>
        <v/>
      </c>
      <c r="B7903" s="0" t="s">
        <v>10553</v>
      </c>
      <c r="C7903" s="0" t="s">
        <v>10554</v>
      </c>
      <c r="D7903" s="0" t="s">
        <v>10554</v>
      </c>
      <c r="E7903" s="0" t="inlineStr">
        <is>
          <t xml:space="preserve">Mazda</t>
        </is>
      </c>
      <c r="F7903" s="0" t="inlineStr">
        <is>
          <t xml:space="preserve">Mazda</t>
        </is>
      </c>
      <c r="G7903" s="0" t="s">
        <v>171</v>
      </c>
      <c r="H7903" s="5">
        <v>115.625000</v>
      </c>
    </row>
    <row r="7904" spans="1:9">
      <c r="A7904" s="22" t="str">
        <f>HYPERLINK("https://app.vivvix.com/360/KMI/IntelliDrive/ApplUI/Pages/CreativePages/CustomReportCreativeDetail.aspx?App=23&amp;ReportView=4&amp;Qid=1711279&amp;Row=7896&amp;Col=1","No Title Assigned - #15270536278")</f>
        <v/>
      </c>
      <c r="B7904" s="0" t="s">
        <v>10555</v>
      </c>
      <c r="E7904" s="0" t="inlineStr">
        <is>
          <t xml:space="preserve">Mazda</t>
        </is>
      </c>
      <c r="F7904" s="0" t="inlineStr">
        <is>
          <t xml:space="preserve">Mazda</t>
        </is>
      </c>
      <c r="G7904" s="0" t="s">
        <v>171</v>
      </c>
      <c r="H7904" s="5">
        <v>21.766100</v>
      </c>
    </row>
    <row r="7905" spans="1:9">
      <c r="A7905" s="22" t="str">
        <f>HYPERLINK("https://app.vivvix.com/360/KMI/IntelliDrive/ApplUI/Pages/CreativePages/CustomReportCreativeDetail.aspx?App=23&amp;ReportView=4&amp;Qid=1711279&amp;Row=7897&amp;Col=1","No Title Assigned - #15270536327")</f>
        <v/>
      </c>
      <c r="B7905" s="0" t="s">
        <v>10556</v>
      </c>
      <c r="E7905" s="0" t="inlineStr">
        <is>
          <t xml:space="preserve">Mazda</t>
        </is>
      </c>
      <c r="F7905" s="0" t="inlineStr">
        <is>
          <t xml:space="preserve">Mazda</t>
        </is>
      </c>
      <c r="G7905" s="0" t="s">
        <v>171</v>
      </c>
      <c r="H7905" s="5">
        <v>6.281100</v>
      </c>
    </row>
    <row r="7906" spans="1:9">
      <c r="A7906" s="22" t="str">
        <f>HYPERLINK("https://app.vivvix.com/360/KMI/IntelliDrive/ApplUI/Pages/CreativePages/CustomReportCreativeDetail.aspx?App=23&amp;ReportView=4&amp;Qid=1711279&amp;Row=7898&amp;Col=1","No Title Assigned - #15270536884")</f>
        <v/>
      </c>
      <c r="B7906" s="0" t="s">
        <v>10557</v>
      </c>
      <c r="E7906" s="0" t="inlineStr">
        <is>
          <t xml:space="preserve">Mazda</t>
        </is>
      </c>
      <c r="F7906" s="0" t="inlineStr">
        <is>
          <t xml:space="preserve">Mazda</t>
        </is>
      </c>
      <c r="G7906" s="0" t="s">
        <v>171</v>
      </c>
      <c r="H7906" s="5">
        <v>12.036800</v>
      </c>
    </row>
    <row r="7907" spans="1:9">
      <c r="A7907" s="22" t="str">
        <f>HYPERLINK("https://app.vivvix.com/360/KMI/IntelliDrive/ApplUI/Pages/CreativePages/CustomReportCreativeDetail.aspx?App=23&amp;ReportView=4&amp;Qid=1711279&amp;Row=7899&amp;Col=1","No Title Assigned - #15270536910")</f>
        <v/>
      </c>
      <c r="B7907" s="0" t="s">
        <v>10558</v>
      </c>
      <c r="E7907" s="0" t="inlineStr">
        <is>
          <t xml:space="preserve">Mazda</t>
        </is>
      </c>
      <c r="F7907" s="0" t="inlineStr">
        <is>
          <t xml:space="preserve">Mazda</t>
        </is>
      </c>
      <c r="G7907" s="0" t="s">
        <v>171</v>
      </c>
      <c r="H7907" s="5">
        <v>6.281100</v>
      </c>
    </row>
    <row r="7908" spans="1:9">
      <c r="A7908" s="22" t="str">
        <f>HYPERLINK("https://app.vivvix.com/360/KMI/IntelliDrive/ApplUI/Pages/CreativePages/CustomReportCreativeDetail.aspx?App=23&amp;ReportView=4&amp;Qid=1711279&amp;Row=7900&amp;Col=1","No Title Assigned - #15270537028")</f>
        <v/>
      </c>
      <c r="B7908" s="0" t="s">
        <v>10559</v>
      </c>
      <c r="E7908" s="0" t="inlineStr">
        <is>
          <t xml:space="preserve">Mazda</t>
        </is>
      </c>
      <c r="F7908" s="0" t="inlineStr">
        <is>
          <t xml:space="preserve">Mazda</t>
        </is>
      </c>
      <c r="G7908" s="0" t="s">
        <v>171</v>
      </c>
      <c r="H7908" s="5">
        <v>17.305100</v>
      </c>
    </row>
    <row r="7909" spans="1:9">
      <c r="A7909" s="22" t="str">
        <f>HYPERLINK("https://app.vivvix.com/360/KMI/IntelliDrive/ApplUI/Pages/CreativePages/CustomReportCreativeDetail.aspx?App=23&amp;ReportView=4&amp;Qid=1711279&amp;Row=7901&amp;Col=1","No Title Assigned - #15270537219")</f>
        <v/>
      </c>
      <c r="B7909" s="0" t="s">
        <v>10560</v>
      </c>
      <c r="E7909" s="0" t="inlineStr">
        <is>
          <t xml:space="preserve">Mazda</t>
        </is>
      </c>
      <c r="F7909" s="0" t="inlineStr">
        <is>
          <t xml:space="preserve">Mazda</t>
        </is>
      </c>
      <c r="G7909" s="0" t="s">
        <v>171</v>
      </c>
      <c r="H7909" s="5">
        <v>115.418400</v>
      </c>
    </row>
    <row r="7910" spans="1:9">
      <c r="A7910" s="22" t="str">
        <f>HYPERLINK("https://app.vivvix.com/360/KMI/IntelliDrive/ApplUI/Pages/CreativePages/CustomReportCreativeDetail.aspx?App=23&amp;ReportView=4&amp;Qid=1711279&amp;Row=7902&amp;Col=1","No Title Assigned - #15270537302")</f>
        <v/>
      </c>
      <c r="B7910" s="0" t="s">
        <v>10561</v>
      </c>
      <c r="E7910" s="0" t="inlineStr">
        <is>
          <t xml:space="preserve">Mazda</t>
        </is>
      </c>
      <c r="F7910" s="0" t="inlineStr">
        <is>
          <t xml:space="preserve">Mazda</t>
        </is>
      </c>
      <c r="G7910" s="0" t="s">
        <v>171</v>
      </c>
      <c r="H7910" s="5">
        <v>37.404500</v>
      </c>
    </row>
    <row r="7911" spans="1:9">
      <c r="A7911" s="22" t="str">
        <f>HYPERLINK("https://app.vivvix.com/360/KMI/IntelliDrive/ApplUI/Pages/CreativePages/CustomReportCreativeDetail.aspx?App=23&amp;ReportView=4&amp;Qid=1711279&amp;Row=7903&amp;Col=1","No Title Assigned - #15270537328")</f>
        <v/>
      </c>
      <c r="B7911" s="0" t="s">
        <v>10562</v>
      </c>
      <c r="E7911" s="0" t="inlineStr">
        <is>
          <t xml:space="preserve">Mazda</t>
        </is>
      </c>
      <c r="F7911" s="0" t="inlineStr">
        <is>
          <t xml:space="preserve">Mazda</t>
        </is>
      </c>
      <c r="G7911" s="0" t="s">
        <v>171</v>
      </c>
      <c r="H7911" s="5">
        <v>3.331900</v>
      </c>
    </row>
    <row r="7912" spans="1:9">
      <c r="A7912" s="22" t="str">
        <f>HYPERLINK("https://app.vivvix.com/360/KMI/IntelliDrive/ApplUI/Pages/CreativePages/CustomReportCreativeDetail.aspx?App=23&amp;ReportView=4&amp;Qid=1711279&amp;Row=7904&amp;Col=1","No Title Assigned - #15270538232")</f>
        <v/>
      </c>
      <c r="B7912" s="0" t="s">
        <v>10563</v>
      </c>
      <c r="E7912" s="0" t="inlineStr">
        <is>
          <t xml:space="preserve">Mazda</t>
        </is>
      </c>
      <c r="F7912" s="0" t="inlineStr">
        <is>
          <t xml:space="preserve">Mazda</t>
        </is>
      </c>
      <c r="G7912" s="0" t="s">
        <v>171</v>
      </c>
      <c r="H7912" s="5">
        <v>20.178800</v>
      </c>
    </row>
    <row r="7913" spans="1:9">
      <c r="A7913" s="22" t="str">
        <f>HYPERLINK("https://app.vivvix.com/360/KMI/IntelliDrive/ApplUI/Pages/CreativePages/CustomReportCreativeDetail.aspx?App=23&amp;ReportView=4&amp;Qid=1711279&amp;Row=7905&amp;Col=1","No Title Assigned - #15270538735")</f>
        <v/>
      </c>
      <c r="B7913" s="0" t="s">
        <v>10564</v>
      </c>
      <c r="E7913" s="0" t="inlineStr">
        <is>
          <t xml:space="preserve">Mazda</t>
        </is>
      </c>
      <c r="F7913" s="0" t="inlineStr">
        <is>
          <t xml:space="preserve">Mazda</t>
        </is>
      </c>
      <c r="G7913" s="0" t="s">
        <v>171</v>
      </c>
      <c r="H7913" s="5">
        <v>6.281100</v>
      </c>
    </row>
    <row r="7914" spans="1:9">
      <c r="A7914" s="22" t="str">
        <f>HYPERLINK("https://app.vivvix.com/360/KMI/IntelliDrive/ApplUI/Pages/CreativePages/CustomReportCreativeDetail.aspx?App=23&amp;ReportView=4&amp;Qid=1711279&amp;Row=7906&amp;Col=1","No Title Assigned - #15270538736")</f>
        <v/>
      </c>
      <c r="B7914" s="0" t="s">
        <v>10565</v>
      </c>
      <c r="E7914" s="0" t="inlineStr">
        <is>
          <t xml:space="preserve">Mazda</t>
        </is>
      </c>
      <c r="F7914" s="0" t="inlineStr">
        <is>
          <t xml:space="preserve">Mazda</t>
        </is>
      </c>
      <c r="G7914" s="0" t="s">
        <v>171</v>
      </c>
      <c r="H7914" s="5">
        <v>6.281100</v>
      </c>
    </row>
    <row r="7915" spans="1:9">
      <c r="A7915" s="22" t="str">
        <f>HYPERLINK("https://app.vivvix.com/360/KMI/IntelliDrive/ApplUI/Pages/CreativePages/CustomReportCreativeDetail.aspx?App=23&amp;ReportView=4&amp;Qid=1711279&amp;Row=7907&amp;Col=1","No Title Assigned - #15270538737")</f>
        <v/>
      </c>
      <c r="B7915" s="0" t="s">
        <v>10566</v>
      </c>
      <c r="E7915" s="0" t="inlineStr">
        <is>
          <t xml:space="preserve">Mazda</t>
        </is>
      </c>
      <c r="F7915" s="0" t="inlineStr">
        <is>
          <t xml:space="preserve">Mazda</t>
        </is>
      </c>
      <c r="G7915" s="0" t="s">
        <v>171</v>
      </c>
      <c r="H7915" s="5">
        <v>30.910400</v>
      </c>
    </row>
    <row r="7916" spans="1:9">
      <c r="A7916" s="22" t="str">
        <f>HYPERLINK("https://app.vivvix.com/360/KMI/IntelliDrive/ApplUI/Pages/CreativePages/CustomReportCreativeDetail.aspx?App=23&amp;ReportView=4&amp;Qid=1711279&amp;Row=7908&amp;Col=1","No Title Assigned - #15270538738")</f>
        <v/>
      </c>
      <c r="B7916" s="0" t="s">
        <v>10567</v>
      </c>
      <c r="E7916" s="0" t="inlineStr">
        <is>
          <t xml:space="preserve">Mazda</t>
        </is>
      </c>
      <c r="F7916" s="0" t="inlineStr">
        <is>
          <t xml:space="preserve">Mazda</t>
        </is>
      </c>
      <c r="G7916" s="0" t="s">
        <v>171</v>
      </c>
      <c r="H7916" s="5">
        <v>1691.703900</v>
      </c>
    </row>
    <row r="7917" spans="1:9">
      <c r="A7917" s="22" t="str">
        <f>HYPERLINK("https://app.vivvix.com/360/KMI/IntelliDrive/ApplUI/Pages/CreativePages/CustomReportCreativeDetail.aspx?App=23&amp;ReportView=4&amp;Qid=1711279&amp;Row=7909&amp;Col=1","No Title Assigned - #15270539121")</f>
        <v/>
      </c>
      <c r="B7917" s="0" t="s">
        <v>10568</v>
      </c>
      <c r="E7917" s="0" t="inlineStr">
        <is>
          <t xml:space="preserve">Mazda</t>
        </is>
      </c>
      <c r="F7917" s="0" t="inlineStr">
        <is>
          <t xml:space="preserve">Mazda</t>
        </is>
      </c>
      <c r="G7917" s="0" t="s">
        <v>171</v>
      </c>
      <c r="H7917" s="5">
        <v>3989.873400</v>
      </c>
    </row>
    <row r="7918" spans="1:9">
      <c r="A7918" s="22" t="str">
        <f>HYPERLINK("https://app.vivvix.com/360/KMI/IntelliDrive/ApplUI/Pages/CreativePages/CustomReportCreativeDetail.aspx?App=23&amp;ReportView=4&amp;Qid=1711279&amp;Row=7910&amp;Col=1","No Title Assigned - #15270539482")</f>
        <v/>
      </c>
      <c r="B7918" s="0" t="s">
        <v>10569</v>
      </c>
      <c r="C7918" s="0" t="s">
        <v>10570</v>
      </c>
      <c r="D7918" s="0" t="s">
        <v>10570</v>
      </c>
      <c r="E7918" s="0" t="inlineStr">
        <is>
          <t xml:space="preserve">Mazda</t>
        </is>
      </c>
      <c r="F7918" s="0" t="s">
        <v>21</v>
      </c>
      <c r="G7918" s="0" t="s">
        <v>22</v>
      </c>
      <c r="H7918" s="5">
        <v>2699.618400</v>
      </c>
    </row>
    <row r="7919" spans="1:9">
      <c r="A7919" s="22" t="str">
        <f>HYPERLINK("https://app.vivvix.com/360/KMI/IntelliDrive/ApplUI/Pages/CreativePages/CustomReportCreativeDetail.aspx?App=23&amp;ReportView=4&amp;Qid=1711279&amp;Row=7911&amp;Col=1","No Title Assigned - #15270539675")</f>
        <v/>
      </c>
      <c r="B7919" s="0" t="s">
        <v>10571</v>
      </c>
      <c r="E7919" s="0" t="inlineStr">
        <is>
          <t xml:space="preserve">Mazda</t>
        </is>
      </c>
      <c r="F7919" s="0" t="inlineStr">
        <is>
          <t xml:space="preserve">Mazda</t>
        </is>
      </c>
      <c r="G7919" s="0" t="s">
        <v>171</v>
      </c>
      <c r="H7919" s="5">
        <v>481.147100</v>
      </c>
    </row>
    <row r="7920" spans="1:9">
      <c r="A7920" s="22" t="str">
        <f>HYPERLINK("https://app.vivvix.com/360/KMI/IntelliDrive/ApplUI/Pages/CreativePages/CustomReportCreativeDetail.aspx?App=23&amp;ReportView=4&amp;Qid=1711279&amp;Row=7912&amp;Col=1","No Title Assigned - #15270539784")</f>
        <v/>
      </c>
      <c r="B7920" s="0" t="s">
        <v>10572</v>
      </c>
      <c r="E7920" s="0" t="inlineStr">
        <is>
          <t xml:space="preserve">Mazda</t>
        </is>
      </c>
      <c r="F7920" s="0" t="inlineStr">
        <is>
          <t xml:space="preserve">Mazda</t>
        </is>
      </c>
      <c r="G7920" s="0" t="s">
        <v>171</v>
      </c>
      <c r="H7920" s="5">
        <v>29.178900</v>
      </c>
    </row>
    <row r="7921" spans="1:9">
      <c r="A7921" s="22" t="str">
        <f>HYPERLINK("https://app.vivvix.com/360/KMI/IntelliDrive/ApplUI/Pages/CreativePages/CustomReportCreativeDetail.aspx?App=23&amp;ReportView=4&amp;Qid=1711279&amp;Row=7913&amp;Col=1","No Title Assigned - #15270540163")</f>
        <v/>
      </c>
      <c r="B7921" s="0" t="s">
        <v>10573</v>
      </c>
      <c r="E7921" s="0" t="inlineStr">
        <is>
          <t xml:space="preserve">Mazda</t>
        </is>
      </c>
      <c r="F7921" s="0" t="inlineStr">
        <is>
          <t xml:space="preserve">Mazda</t>
        </is>
      </c>
      <c r="G7921" s="0" t="s">
        <v>171</v>
      </c>
      <c r="H7921" s="5">
        <v>120.190000</v>
      </c>
    </row>
    <row r="7922" spans="1:9">
      <c r="A7922" s="22" t="str">
        <f>HYPERLINK("https://app.vivvix.com/360/KMI/IntelliDrive/ApplUI/Pages/CreativePages/CustomReportCreativeDetail.aspx?App=23&amp;ReportView=4&amp;Qid=1711279&amp;Row=7914&amp;Col=1","No Title Assigned - #15270540217")</f>
        <v/>
      </c>
      <c r="B7922" s="0" t="s">
        <v>10574</v>
      </c>
      <c r="E7922" s="0" t="inlineStr">
        <is>
          <t xml:space="preserve">Mazda</t>
        </is>
      </c>
      <c r="F7922" s="0" t="inlineStr">
        <is>
          <t xml:space="preserve">Mazda</t>
        </is>
      </c>
      <c r="G7922" s="0" t="s">
        <v>171</v>
      </c>
      <c r="H7922" s="5">
        <v>229.425400</v>
      </c>
    </row>
    <row r="7923" spans="1:9">
      <c r="A7923" s="22" t="str">
        <f>HYPERLINK("https://app.vivvix.com/360/KMI/IntelliDrive/ApplUI/Pages/CreativePages/CustomReportCreativeDetail.aspx?App=23&amp;ReportView=4&amp;Qid=1711279&amp;Row=7915&amp;Col=1","No Title Assigned - #15270540428")</f>
        <v/>
      </c>
      <c r="B7923" s="0" t="s">
        <v>10575</v>
      </c>
      <c r="E7923" s="0" t="inlineStr">
        <is>
          <t xml:space="preserve">Mazda</t>
        </is>
      </c>
      <c r="F7923" s="0" t="inlineStr">
        <is>
          <t xml:space="preserve">Mazda</t>
        </is>
      </c>
      <c r="G7923" s="0" t="s">
        <v>171</v>
      </c>
      <c r="H7923" s="5">
        <v>32.477100</v>
      </c>
    </row>
    <row r="7924" spans="1:9">
      <c r="A7924" s="22" t="str">
        <f>HYPERLINK("https://app.vivvix.com/360/KMI/IntelliDrive/ApplUI/Pages/CreativePages/CustomReportCreativeDetail.aspx?App=23&amp;ReportView=4&amp;Qid=1711279&amp;Row=7916&amp;Col=1","No Title Assigned - #15270540655")</f>
        <v/>
      </c>
      <c r="B7924" s="0" t="s">
        <v>10576</v>
      </c>
      <c r="E7924" s="0" t="inlineStr">
        <is>
          <t xml:space="preserve">Mazda</t>
        </is>
      </c>
      <c r="F7924" s="0" t="inlineStr">
        <is>
          <t xml:space="preserve">Mazda</t>
        </is>
      </c>
      <c r="G7924" s="0" t="s">
        <v>171</v>
      </c>
      <c r="H7924" s="5">
        <v>9.112600</v>
      </c>
    </row>
    <row r="7925" spans="1:9">
      <c r="A7925" s="22" t="str">
        <f>HYPERLINK("https://app.vivvix.com/360/KMI/IntelliDrive/ApplUI/Pages/CreativePages/CustomReportCreativeDetail.aspx?App=23&amp;ReportView=4&amp;Qid=1711279&amp;Row=7917&amp;Col=1","No Title Assigned - #15270540823")</f>
        <v/>
      </c>
      <c r="B7925" s="0" t="s">
        <v>10577</v>
      </c>
      <c r="E7925" s="0" t="inlineStr">
        <is>
          <t xml:space="preserve">Mazda</t>
        </is>
      </c>
      <c r="F7925" s="0" t="inlineStr">
        <is>
          <t xml:space="preserve">Mazda</t>
        </is>
      </c>
      <c r="G7925" s="0" t="s">
        <v>171</v>
      </c>
      <c r="H7925" s="5">
        <v>232.889200</v>
      </c>
    </row>
    <row r="7926" spans="1:9">
      <c r="A7926" s="22" t="str">
        <f>HYPERLINK("https://app.vivvix.com/360/KMI/IntelliDrive/ApplUI/Pages/CreativePages/CustomReportCreativeDetail.aspx?App=23&amp;ReportView=4&amp;Qid=1711279&amp;Row=7918&amp;Col=1","No Title Assigned - #15270540863")</f>
        <v/>
      </c>
      <c r="B7926" s="0" t="s">
        <v>10578</v>
      </c>
      <c r="E7926" s="0" t="inlineStr">
        <is>
          <t xml:space="preserve">Mazda</t>
        </is>
      </c>
      <c r="F7926" s="0" t="inlineStr">
        <is>
          <t xml:space="preserve">Mazda</t>
        </is>
      </c>
      <c r="G7926" s="0" t="s">
        <v>171</v>
      </c>
      <c r="H7926" s="5">
        <v>5012.377500</v>
      </c>
    </row>
    <row r="7927" spans="1:9">
      <c r="A7927" s="22" t="str">
        <f>HYPERLINK("https://app.vivvix.com/360/KMI/IntelliDrive/ApplUI/Pages/CreativePages/CustomReportCreativeDetail.aspx?App=23&amp;ReportView=4&amp;Qid=1711279&amp;Row=7919&amp;Col=1","No Title Assigned - #15270541009")</f>
        <v/>
      </c>
      <c r="B7927" s="0" t="s">
        <v>10579</v>
      </c>
      <c r="E7927" s="0" t="inlineStr">
        <is>
          <t xml:space="preserve">Mazda</t>
        </is>
      </c>
      <c r="F7927" s="0" t="inlineStr">
        <is>
          <t xml:space="preserve">Mazda</t>
        </is>
      </c>
      <c r="G7927" s="0" t="s">
        <v>171</v>
      </c>
      <c r="H7927" s="5">
        <v>17.463300</v>
      </c>
    </row>
    <row r="7928" spans="1:9">
      <c r="A7928" s="22" t="str">
        <f>HYPERLINK("https://app.vivvix.com/360/KMI/IntelliDrive/ApplUI/Pages/CreativePages/CustomReportCreativeDetail.aspx?App=23&amp;ReportView=4&amp;Qid=1711279&amp;Row=7920&amp;Col=1","No Title Assigned - #15270541037")</f>
        <v/>
      </c>
      <c r="B7928" s="0" t="s">
        <v>10580</v>
      </c>
      <c r="E7928" s="0" t="inlineStr">
        <is>
          <t xml:space="preserve">Mazda</t>
        </is>
      </c>
      <c r="F7928" s="0" t="inlineStr">
        <is>
          <t xml:space="preserve">Mazda</t>
        </is>
      </c>
      <c r="G7928" s="0" t="s">
        <v>171</v>
      </c>
      <c r="H7928" s="5">
        <v>390.107200</v>
      </c>
    </row>
    <row r="7929" spans="1:9">
      <c r="A7929" s="22" t="str">
        <f>HYPERLINK("https://app.vivvix.com/360/KMI/IntelliDrive/ApplUI/Pages/CreativePages/CustomReportCreativeDetail.aspx?App=23&amp;ReportView=4&amp;Qid=1711279&amp;Row=7921&amp;Col=1","No Title Assigned - #15270541037")</f>
        <v/>
      </c>
      <c r="B7929" s="0" t="s">
        <v>10580</v>
      </c>
      <c r="E7929" s="0" t="inlineStr">
        <is>
          <t xml:space="preserve">Mazda</t>
        </is>
      </c>
      <c r="F7929" s="0" t="inlineStr">
        <is>
          <t xml:space="preserve">Mazda</t>
        </is>
      </c>
      <c r="G7929" s="0" t="s">
        <v>171</v>
      </c>
      <c r="H7929" s="5">
        <v>81.767600</v>
      </c>
    </row>
    <row r="7930" spans="1:9">
      <c r="A7930" s="22" t="str">
        <f>HYPERLINK("https://app.vivvix.com/360/KMI/IntelliDrive/ApplUI/Pages/CreativePages/CustomReportCreativeDetail.aspx?App=23&amp;ReportView=4&amp;Qid=1711279&amp;Row=7922&amp;Col=1","No Title Assigned - #15270542256")</f>
        <v/>
      </c>
      <c r="B7930" s="0" t="s">
        <v>10581</v>
      </c>
      <c r="C7930" s="0" t="s">
        <v>10582</v>
      </c>
      <c r="D7930" s="0" t="s">
        <v>10582</v>
      </c>
      <c r="E7930" s="0" t="inlineStr">
        <is>
          <t xml:space="preserve">Mazda</t>
        </is>
      </c>
      <c r="F7930" s="0" t="inlineStr">
        <is>
          <t xml:space="preserve">Mazda</t>
        </is>
      </c>
      <c r="G7930" s="0" t="s">
        <v>171</v>
      </c>
      <c r="H7930" s="5">
        <v>110.402000</v>
      </c>
    </row>
    <row r="7931" spans="1:9">
      <c r="A7931" s="22" t="str">
        <f>HYPERLINK("https://app.vivvix.com/360/KMI/IntelliDrive/ApplUI/Pages/CreativePages/CustomReportCreativeDetail.aspx?App=23&amp;ReportView=4&amp;Qid=1711279&amp;Row=7923&amp;Col=1","No Title Assigned - #15270542344")</f>
        <v/>
      </c>
      <c r="B7931" s="0" t="s">
        <v>10583</v>
      </c>
      <c r="E7931" s="0" t="inlineStr">
        <is>
          <t xml:space="preserve">Mazda</t>
        </is>
      </c>
      <c r="F7931" s="0" t="inlineStr">
        <is>
          <t xml:space="preserve">Mazda</t>
        </is>
      </c>
      <c r="G7931" s="0" t="s">
        <v>171</v>
      </c>
      <c r="H7931" s="5">
        <v>116.156600</v>
      </c>
    </row>
    <row r="7932" spans="1:9">
      <c r="A7932" s="22" t="str">
        <f>HYPERLINK("https://app.vivvix.com/360/KMI/IntelliDrive/ApplUI/Pages/CreativePages/CustomReportCreativeDetail.aspx?App=23&amp;ReportView=4&amp;Qid=1711279&amp;Row=7924&amp;Col=1","No Title Assigned - #15270542441")</f>
        <v/>
      </c>
      <c r="B7932" s="0" t="s">
        <v>10584</v>
      </c>
      <c r="E7932" s="0" t="inlineStr">
        <is>
          <t xml:space="preserve">Mazda</t>
        </is>
      </c>
      <c r="F7932" s="0" t="inlineStr">
        <is>
          <t xml:space="preserve">Mazda</t>
        </is>
      </c>
      <c r="G7932" s="0" t="s">
        <v>171</v>
      </c>
      <c r="H7932" s="5">
        <v>740.470500</v>
      </c>
    </row>
    <row r="7933" spans="1:9">
      <c r="A7933" s="22" t="str">
        <f>HYPERLINK("https://app.vivvix.com/360/KMI/IntelliDrive/ApplUI/Pages/CreativePages/CustomReportCreativeDetail.aspx?App=23&amp;ReportView=4&amp;Qid=1711279&amp;Row=7925&amp;Col=1","No Title Assigned - #15270542653")</f>
        <v/>
      </c>
      <c r="B7933" s="0" t="s">
        <v>10585</v>
      </c>
      <c r="E7933" s="0" t="inlineStr">
        <is>
          <t xml:space="preserve">Mazda</t>
        </is>
      </c>
      <c r="F7933" s="0" t="inlineStr">
        <is>
          <t xml:space="preserve">Mazda</t>
        </is>
      </c>
      <c r="G7933" s="0" t="s">
        <v>171</v>
      </c>
      <c r="H7933" s="5">
        <v>44.556100</v>
      </c>
    </row>
    <row r="7934" spans="1:9">
      <c r="A7934" s="22" t="str">
        <f>HYPERLINK("https://app.vivvix.com/360/KMI/IntelliDrive/ApplUI/Pages/CreativePages/CustomReportCreativeDetail.aspx?App=23&amp;ReportView=4&amp;Qid=1711279&amp;Row=7926&amp;Col=1","No Title Assigned - #15270542819")</f>
        <v/>
      </c>
      <c r="B7934" s="0" t="s">
        <v>10586</v>
      </c>
      <c r="E7934" s="0" t="inlineStr">
        <is>
          <t xml:space="preserve">Mazda</t>
        </is>
      </c>
      <c r="F7934" s="0" t="inlineStr">
        <is>
          <t xml:space="preserve">Mazda</t>
        </is>
      </c>
      <c r="G7934" s="0" t="s">
        <v>171</v>
      </c>
      <c r="H7934" s="5">
        <v>17.550400</v>
      </c>
    </row>
    <row r="7935" spans="1:9">
      <c r="A7935" s="22" t="str">
        <f>HYPERLINK("https://app.vivvix.com/360/KMI/IntelliDrive/ApplUI/Pages/CreativePages/CustomReportCreativeDetail.aspx?App=23&amp;ReportView=4&amp;Qid=1711279&amp;Row=7927&amp;Col=1","No Title Assigned - #15270542936")</f>
        <v/>
      </c>
      <c r="B7935" s="0" t="s">
        <v>10587</v>
      </c>
      <c r="E7935" s="0" t="inlineStr">
        <is>
          <t xml:space="preserve">Mazda</t>
        </is>
      </c>
      <c r="F7935" s="0" t="inlineStr">
        <is>
          <t xml:space="preserve">Mazda</t>
        </is>
      </c>
      <c r="G7935" s="0" t="s">
        <v>171</v>
      </c>
      <c r="H7935" s="5">
        <v>22.149000</v>
      </c>
    </row>
    <row r="7936" spans="1:9">
      <c r="A7936" s="22" t="str">
        <f>HYPERLINK("https://app.vivvix.com/360/KMI/IntelliDrive/ApplUI/Pages/CreativePages/CustomReportCreativeDetail.aspx?App=23&amp;ReportView=4&amp;Qid=1711279&amp;Row=7928&amp;Col=1","No Title Assigned - #15270543466")</f>
        <v/>
      </c>
      <c r="B7936" s="0" t="s">
        <v>10588</v>
      </c>
      <c r="E7936" s="0" t="inlineStr">
        <is>
          <t xml:space="preserve">Mazda</t>
        </is>
      </c>
      <c r="F7936" s="0" t="inlineStr">
        <is>
          <t xml:space="preserve">Mazda</t>
        </is>
      </c>
      <c r="G7936" s="0" t="s">
        <v>171</v>
      </c>
      <c r="H7936" s="5">
        <v>8.558200</v>
      </c>
    </row>
    <row r="7937" spans="1:9">
      <c r="A7937" s="22" t="str">
        <f>HYPERLINK("https://app.vivvix.com/360/KMI/IntelliDrive/ApplUI/Pages/CreativePages/CustomReportCreativeDetail.aspx?App=23&amp;ReportView=4&amp;Qid=1711279&amp;Row=7929&amp;Col=1","No Title Assigned - #15270543554")</f>
        <v/>
      </c>
      <c r="B7937" s="0" t="s">
        <v>10589</v>
      </c>
      <c r="E7937" s="0" t="inlineStr">
        <is>
          <t xml:space="preserve">Mazda</t>
        </is>
      </c>
      <c r="F7937" s="0" t="inlineStr">
        <is>
          <t xml:space="preserve">Mazda</t>
        </is>
      </c>
      <c r="G7937" s="0" t="s">
        <v>171</v>
      </c>
      <c r="H7937" s="5">
        <v>93.094500</v>
      </c>
    </row>
    <row r="7938" spans="1:9">
      <c r="A7938" s="22" t="str">
        <f>HYPERLINK("https://app.vivvix.com/360/KMI/IntelliDrive/ApplUI/Pages/CreativePages/CustomReportCreativeDetail.aspx?App=23&amp;ReportView=4&amp;Qid=1711279&amp;Row=7930&amp;Col=1","No Title Assigned - #15270543554")</f>
        <v/>
      </c>
      <c r="B7938" s="0" t="s">
        <v>10589</v>
      </c>
      <c r="E7938" s="0" t="inlineStr">
        <is>
          <t xml:space="preserve">Mazda</t>
        </is>
      </c>
      <c r="F7938" s="0" t="inlineStr">
        <is>
          <t xml:space="preserve">Mazda</t>
        </is>
      </c>
      <c r="G7938" s="0" t="s">
        <v>171</v>
      </c>
      <c r="H7938" s="5">
        <v>9288.407200</v>
      </c>
    </row>
    <row r="7939" spans="1:9">
      <c r="A7939" s="22" t="str">
        <f>HYPERLINK("https://app.vivvix.com/360/KMI/IntelliDrive/ApplUI/Pages/CreativePages/CustomReportCreativeDetail.aspx?App=23&amp;ReportView=4&amp;Qid=1711279&amp;Row=7931&amp;Col=1","No Title Assigned - #15270544003")</f>
        <v/>
      </c>
      <c r="B7939" s="0" t="s">
        <v>10590</v>
      </c>
      <c r="E7939" s="0" t="inlineStr">
        <is>
          <t xml:space="preserve">Mazda</t>
        </is>
      </c>
      <c r="F7939" s="0" t="inlineStr">
        <is>
          <t xml:space="preserve">Mazda</t>
        </is>
      </c>
      <c r="G7939" s="0" t="s">
        <v>171</v>
      </c>
      <c r="H7939" s="5">
        <v>266.763000</v>
      </c>
    </row>
    <row r="7940" spans="1:9">
      <c r="A7940" s="22" t="str">
        <f>HYPERLINK("https://app.vivvix.com/360/KMI/IntelliDrive/ApplUI/Pages/CreativePages/CustomReportCreativeDetail.aspx?App=23&amp;ReportView=4&amp;Qid=1711279&amp;Row=7932&amp;Col=1","No Title Assigned - #15270545612")</f>
        <v/>
      </c>
      <c r="B7940" s="0" t="s">
        <v>10591</v>
      </c>
      <c r="E7940" s="0" t="inlineStr">
        <is>
          <t xml:space="preserve">Mazda</t>
        </is>
      </c>
      <c r="F7940" s="0" t="inlineStr">
        <is>
          <t xml:space="preserve">Mazda</t>
        </is>
      </c>
      <c r="G7940" s="0" t="s">
        <v>171</v>
      </c>
      <c r="H7940" s="5">
        <v>1540.590500</v>
      </c>
    </row>
    <row r="7941" spans="1:9">
      <c r="A7941" s="22" t="str">
        <f>HYPERLINK("https://app.vivvix.com/360/KMI/IntelliDrive/ApplUI/Pages/CreativePages/CustomReportCreativeDetail.aspx?App=23&amp;ReportView=4&amp;Qid=1711279&amp;Row=7933&amp;Col=1","No Title Assigned - #15270545696")</f>
        <v/>
      </c>
      <c r="B7941" s="0" t="s">
        <v>10592</v>
      </c>
      <c r="E7941" s="0" t="inlineStr">
        <is>
          <t xml:space="preserve">Mazda</t>
        </is>
      </c>
      <c r="F7941" s="0" t="inlineStr">
        <is>
          <t xml:space="preserve">Mazda</t>
        </is>
      </c>
      <c r="G7941" s="0" t="s">
        <v>171</v>
      </c>
      <c r="H7941" s="5">
        <v>19.155000</v>
      </c>
    </row>
    <row r="7942" spans="1:9">
      <c r="A7942" s="22" t="str">
        <f>HYPERLINK("https://app.vivvix.com/360/KMI/IntelliDrive/ApplUI/Pages/CreativePages/CustomReportCreativeDetail.aspx?App=23&amp;ReportView=4&amp;Qid=1711279&amp;Row=7934&amp;Col=1","No Title Assigned - #15270545826")</f>
        <v/>
      </c>
      <c r="B7942" s="0" t="s">
        <v>10593</v>
      </c>
      <c r="E7942" s="0" t="inlineStr">
        <is>
          <t xml:space="preserve">Mazda</t>
        </is>
      </c>
      <c r="F7942" s="0" t="inlineStr">
        <is>
          <t xml:space="preserve">Mazda</t>
        </is>
      </c>
      <c r="G7942" s="0" t="s">
        <v>171</v>
      </c>
      <c r="H7942" s="5">
        <v>40.559200</v>
      </c>
    </row>
    <row r="7943" spans="1:9">
      <c r="A7943" s="22" t="str">
        <f>HYPERLINK("https://app.vivvix.com/360/KMI/IntelliDrive/ApplUI/Pages/CreativePages/CustomReportCreativeDetail.aspx?App=23&amp;ReportView=4&amp;Qid=1711279&amp;Row=7935&amp;Col=1","No Title Assigned - #15270545934")</f>
        <v/>
      </c>
      <c r="B7943" s="0" t="s">
        <v>10594</v>
      </c>
      <c r="E7943" s="0" t="inlineStr">
        <is>
          <t xml:space="preserve">Mazda</t>
        </is>
      </c>
      <c r="F7943" s="0" t="inlineStr">
        <is>
          <t xml:space="preserve">Mazda</t>
        </is>
      </c>
      <c r="G7943" s="0" t="s">
        <v>171</v>
      </c>
      <c r="H7943" s="5">
        <v>117.429300</v>
      </c>
    </row>
    <row r="7944" spans="1:9">
      <c r="A7944" s="22" t="str">
        <f>HYPERLINK("https://app.vivvix.com/360/KMI/IntelliDrive/ApplUI/Pages/CreativePages/CustomReportCreativeDetail.aspx?App=23&amp;ReportView=4&amp;Qid=1711279&amp;Row=7936&amp;Col=1","No Title Assigned - #15270546138")</f>
        <v/>
      </c>
      <c r="B7944" s="0" t="s">
        <v>10595</v>
      </c>
      <c r="E7944" s="0" t="inlineStr">
        <is>
          <t xml:space="preserve">Mazda</t>
        </is>
      </c>
      <c r="F7944" s="0" t="inlineStr">
        <is>
          <t xml:space="preserve">Mazda</t>
        </is>
      </c>
      <c r="G7944" s="0" t="s">
        <v>171</v>
      </c>
      <c r="H7944" s="5">
        <v>152.149500</v>
      </c>
    </row>
    <row r="7945" spans="1:9">
      <c r="A7945" s="22" t="str">
        <f>HYPERLINK("https://app.vivvix.com/360/KMI/IntelliDrive/ApplUI/Pages/CreativePages/CustomReportCreativeDetail.aspx?App=23&amp;ReportView=4&amp;Qid=1711279&amp;Row=7937&amp;Col=1","No Title Assigned - #15270546221")</f>
        <v/>
      </c>
      <c r="B7945" s="0" t="s">
        <v>10596</v>
      </c>
      <c r="E7945" s="0" t="inlineStr">
        <is>
          <t xml:space="preserve">Mazda</t>
        </is>
      </c>
      <c r="F7945" s="0" t="inlineStr">
        <is>
          <t xml:space="preserve">Mazda</t>
        </is>
      </c>
      <c r="G7945" s="0" t="s">
        <v>171</v>
      </c>
      <c r="H7945" s="5">
        <v>12.543200</v>
      </c>
    </row>
    <row r="7946" spans="1:9">
      <c r="A7946" s="22" t="str">
        <f>HYPERLINK("https://app.vivvix.com/360/KMI/IntelliDrive/ApplUI/Pages/CreativePages/CustomReportCreativeDetail.aspx?App=23&amp;ReportView=4&amp;Qid=1711279&amp;Row=7938&amp;Col=1","No Title Assigned - #15270546680")</f>
        <v/>
      </c>
      <c r="B7946" s="0" t="s">
        <v>10597</v>
      </c>
      <c r="E7946" s="0" t="inlineStr">
        <is>
          <t xml:space="preserve">Mazda</t>
        </is>
      </c>
      <c r="F7946" s="0" t="inlineStr">
        <is>
          <t xml:space="preserve">Mazda</t>
        </is>
      </c>
      <c r="G7946" s="0" t="s">
        <v>171</v>
      </c>
      <c r="H7946" s="5">
        <v>3.331900</v>
      </c>
    </row>
    <row r="7947" spans="1:9">
      <c r="A7947" s="22" t="str">
        <f>HYPERLINK("https://app.vivvix.com/360/KMI/IntelliDrive/ApplUI/Pages/CreativePages/CustomReportCreativeDetail.aspx?App=23&amp;ReportView=4&amp;Qid=1711279&amp;Row=7939&amp;Col=1","No Title Assigned - #15270546831")</f>
        <v/>
      </c>
      <c r="B7947" s="0" t="s">
        <v>10598</v>
      </c>
      <c r="C7947" s="0" t="s">
        <v>10599</v>
      </c>
      <c r="D7947" s="0" t="s">
        <v>10599</v>
      </c>
      <c r="E7947" s="0" t="inlineStr">
        <is>
          <t xml:space="preserve">Mazda</t>
        </is>
      </c>
      <c r="F7947" s="0" t="inlineStr">
        <is>
          <t xml:space="preserve">Mazda</t>
        </is>
      </c>
      <c r="G7947" s="0" t="s">
        <v>171</v>
      </c>
      <c r="H7947" s="5">
        <v>138.528000</v>
      </c>
    </row>
    <row r="7948" spans="1:9">
      <c r="A7948" s="22" t="str">
        <f>HYPERLINK("https://app.vivvix.com/360/KMI/IntelliDrive/ApplUI/Pages/CreativePages/CustomReportCreativeDetail.aspx?App=23&amp;ReportView=4&amp;Qid=1711279&amp;Row=7940&amp;Col=1","No Title Assigned - #15270546836")</f>
        <v/>
      </c>
      <c r="B7948" s="0" t="s">
        <v>10600</v>
      </c>
      <c r="E7948" s="0" t="inlineStr">
        <is>
          <t xml:space="preserve">Mazda</t>
        </is>
      </c>
      <c r="F7948" s="0" t="inlineStr">
        <is>
          <t xml:space="preserve">Mazda</t>
        </is>
      </c>
      <c r="G7948" s="0" t="s">
        <v>171</v>
      </c>
      <c r="H7948" s="5">
        <v>16.875400</v>
      </c>
    </row>
    <row r="7949" spans="1:9">
      <c r="A7949" s="22" t="str">
        <f>HYPERLINK("https://app.vivvix.com/360/KMI/IntelliDrive/ApplUI/Pages/CreativePages/CustomReportCreativeDetail.aspx?App=23&amp;ReportView=4&amp;Qid=1711279&amp;Row=7941&amp;Col=1","No Title Assigned - #15270546940")</f>
        <v/>
      </c>
      <c r="B7949" s="0" t="s">
        <v>10601</v>
      </c>
      <c r="E7949" s="0" t="inlineStr">
        <is>
          <t xml:space="preserve">Mazda</t>
        </is>
      </c>
      <c r="F7949" s="0" t="inlineStr">
        <is>
          <t xml:space="preserve">Mazda</t>
        </is>
      </c>
      <c r="G7949" s="0" t="s">
        <v>171</v>
      </c>
      <c r="H7949" s="5">
        <v>22.700100</v>
      </c>
    </row>
    <row r="7950" spans="1:9">
      <c r="A7950" s="22" t="str">
        <f>HYPERLINK("https://app.vivvix.com/360/KMI/IntelliDrive/ApplUI/Pages/CreativePages/CustomReportCreativeDetail.aspx?App=23&amp;ReportView=4&amp;Qid=1711279&amp;Row=7942&amp;Col=1","No Title Assigned - #15270547250")</f>
        <v/>
      </c>
      <c r="B7950" s="0" t="s">
        <v>10602</v>
      </c>
      <c r="E7950" s="0" t="inlineStr">
        <is>
          <t xml:space="preserve">Mazda</t>
        </is>
      </c>
      <c r="F7950" s="0" t="inlineStr">
        <is>
          <t xml:space="preserve">Mazda</t>
        </is>
      </c>
      <c r="G7950" s="0" t="s">
        <v>171</v>
      </c>
      <c r="H7950" s="5">
        <v>91.648200</v>
      </c>
    </row>
    <row r="7951" spans="1:9">
      <c r="A7951" s="22" t="str">
        <f>HYPERLINK("https://app.vivvix.com/360/KMI/IntelliDrive/ApplUI/Pages/CreativePages/CustomReportCreativeDetail.aspx?App=23&amp;ReportView=4&amp;Qid=1711279&amp;Row=7943&amp;Col=1","No Title Assigned - #15270547258")</f>
        <v/>
      </c>
      <c r="B7951" s="0" t="s">
        <v>10603</v>
      </c>
      <c r="C7951" s="0" t="s">
        <v>10604</v>
      </c>
      <c r="D7951" s="0" t="s">
        <v>10604</v>
      </c>
      <c r="E7951" s="0" t="inlineStr">
        <is>
          <t xml:space="preserve">Mazda</t>
        </is>
      </c>
      <c r="F7951" s="0" t="inlineStr">
        <is>
          <t xml:space="preserve">Mazda</t>
        </is>
      </c>
      <c r="G7951" s="0" t="s">
        <v>171</v>
      </c>
      <c r="H7951" s="5">
        <v>23.260800</v>
      </c>
    </row>
    <row r="7952" spans="1:9">
      <c r="A7952" s="22" t="str">
        <f>HYPERLINK("https://app.vivvix.com/360/KMI/IntelliDrive/ApplUI/Pages/CreativePages/CustomReportCreativeDetail.aspx?App=23&amp;ReportView=4&amp;Qid=1711279&amp;Row=7944&amp;Col=1","No Title Assigned - #15270547387")</f>
        <v/>
      </c>
      <c r="B7952" s="0" t="s">
        <v>10605</v>
      </c>
      <c r="E7952" s="0" t="inlineStr">
        <is>
          <t xml:space="preserve">Mazda</t>
        </is>
      </c>
      <c r="F7952" s="0" t="inlineStr">
        <is>
          <t xml:space="preserve">Mazda</t>
        </is>
      </c>
      <c r="G7952" s="0" t="s">
        <v>171</v>
      </c>
      <c r="H7952" s="5">
        <v>43.655100</v>
      </c>
    </row>
    <row r="7953" spans="1:9">
      <c r="A7953" s="22" t="str">
        <f>HYPERLINK("https://app.vivvix.com/360/KMI/IntelliDrive/ApplUI/Pages/CreativePages/CustomReportCreativeDetail.aspx?App=23&amp;ReportView=4&amp;Qid=1711279&amp;Row=7945&amp;Col=1","No Title Assigned - #15270547461")</f>
        <v/>
      </c>
      <c r="B7953" s="0" t="s">
        <v>10606</v>
      </c>
      <c r="E7953" s="0" t="inlineStr">
        <is>
          <t xml:space="preserve">Mazda</t>
        </is>
      </c>
      <c r="F7953" s="0" t="inlineStr">
        <is>
          <t xml:space="preserve">Mazda</t>
        </is>
      </c>
      <c r="G7953" s="0" t="s">
        <v>171</v>
      </c>
      <c r="H7953" s="5">
        <v>3.331900</v>
      </c>
    </row>
    <row r="7954" spans="1:9">
      <c r="A7954" s="22" t="str">
        <f>HYPERLINK("https://app.vivvix.com/360/KMI/IntelliDrive/ApplUI/Pages/CreativePages/CustomReportCreativeDetail.aspx?App=23&amp;ReportView=4&amp;Qid=1711279&amp;Row=7946&amp;Col=1","No Title Assigned - #15270547687")</f>
        <v/>
      </c>
      <c r="B7954" s="0" t="s">
        <v>10607</v>
      </c>
      <c r="C7954" s="0" t="s">
        <v>10608</v>
      </c>
      <c r="D7954" s="0" t="s">
        <v>10608</v>
      </c>
      <c r="E7954" s="0" t="inlineStr">
        <is>
          <t xml:space="preserve">Mazda</t>
        </is>
      </c>
      <c r="F7954" s="0" t="inlineStr">
        <is>
          <t xml:space="preserve">Mazda</t>
        </is>
      </c>
      <c r="G7954" s="0" t="s">
        <v>171</v>
      </c>
      <c r="H7954" s="5">
        <v>6.281100</v>
      </c>
    </row>
    <row r="7955" spans="1:9">
      <c r="A7955" s="22" t="str">
        <f>HYPERLINK("https://app.vivvix.com/360/KMI/IntelliDrive/ApplUI/Pages/CreativePages/CustomReportCreativeDetail.aspx?App=23&amp;ReportView=4&amp;Qid=1711279&amp;Row=7947&amp;Col=1","No Title Assigned - #15270548451")</f>
        <v/>
      </c>
      <c r="B7955" s="0" t="s">
        <v>10609</v>
      </c>
      <c r="E7955" s="0" t="inlineStr">
        <is>
          <t xml:space="preserve">Mazda</t>
        </is>
      </c>
      <c r="F7955" s="0" t="inlineStr">
        <is>
          <t xml:space="preserve">Mazda</t>
        </is>
      </c>
      <c r="G7955" s="0" t="s">
        <v>171</v>
      </c>
      <c r="H7955" s="5">
        <v>6015.965800</v>
      </c>
    </row>
    <row r="7956" spans="1:9">
      <c r="A7956" s="22" t="str">
        <f>HYPERLINK("https://app.vivvix.com/360/KMI/IntelliDrive/ApplUI/Pages/CreativePages/CustomReportCreativeDetail.aspx?App=23&amp;ReportView=4&amp;Qid=1711279&amp;Row=7948&amp;Col=1","No Title Assigned - #15270549487")</f>
        <v/>
      </c>
      <c r="B7956" s="0" t="s">
        <v>10610</v>
      </c>
      <c r="E7956" s="0" t="inlineStr">
        <is>
          <t xml:space="preserve">Mazda</t>
        </is>
      </c>
      <c r="F7956" s="0" t="inlineStr">
        <is>
          <t xml:space="preserve">Mazda</t>
        </is>
      </c>
      <c r="G7956" s="0" t="s">
        <v>171</v>
      </c>
      <c r="H7956" s="5">
        <v>4.321400</v>
      </c>
    </row>
    <row r="7957" spans="1:9">
      <c r="A7957" s="22" t="str">
        <f>HYPERLINK("https://app.vivvix.com/360/KMI/IntelliDrive/ApplUI/Pages/CreativePages/CustomReportCreativeDetail.aspx?App=23&amp;ReportView=4&amp;Qid=1711279&amp;Row=7949&amp;Col=1","No Title Assigned - #15270549626")</f>
        <v/>
      </c>
      <c r="B7957" s="0" t="s">
        <v>10611</v>
      </c>
      <c r="E7957" s="0" t="inlineStr">
        <is>
          <t xml:space="preserve">Mazda</t>
        </is>
      </c>
      <c r="F7957" s="0" t="inlineStr">
        <is>
          <t xml:space="preserve">Mazda</t>
        </is>
      </c>
      <c r="G7957" s="0" t="s">
        <v>171</v>
      </c>
      <c r="H7957" s="5">
        <v>23.765400</v>
      </c>
    </row>
    <row r="7958" spans="1:9">
      <c r="A7958" s="22" t="str">
        <f>HYPERLINK("https://app.vivvix.com/360/KMI/IntelliDrive/ApplUI/Pages/CreativePages/CustomReportCreativeDetail.aspx?App=23&amp;ReportView=4&amp;Qid=1711279&amp;Row=7950&amp;Col=1","No Title Assigned - #15270550193")</f>
        <v/>
      </c>
      <c r="B7958" s="0" t="s">
        <v>10612</v>
      </c>
      <c r="E7958" s="0" t="inlineStr">
        <is>
          <t xml:space="preserve">Mazda</t>
        </is>
      </c>
      <c r="F7958" s="0" t="inlineStr">
        <is>
          <t xml:space="preserve">Mazda</t>
        </is>
      </c>
      <c r="G7958" s="0" t="s">
        <v>171</v>
      </c>
      <c r="H7958" s="5">
        <v>9169.835200</v>
      </c>
    </row>
    <row r="7959" spans="1:9">
      <c r="A7959" s="22" t="str">
        <f>HYPERLINK("https://app.vivvix.com/360/KMI/IntelliDrive/ApplUI/Pages/CreativePages/CustomReportCreativeDetail.aspx?App=23&amp;ReportView=4&amp;Qid=1711279&amp;Row=7951&amp;Col=1","No Title Assigned - #15270550828")</f>
        <v/>
      </c>
      <c r="B7959" s="0" t="s">
        <v>10613</v>
      </c>
      <c r="E7959" s="0" t="inlineStr">
        <is>
          <t xml:space="preserve">Mazda</t>
        </is>
      </c>
      <c r="F7959" s="0" t="inlineStr">
        <is>
          <t xml:space="preserve">Mazda</t>
        </is>
      </c>
      <c r="G7959" s="0" t="s">
        <v>171</v>
      </c>
      <c r="H7959" s="5">
        <v>370.096100</v>
      </c>
    </row>
    <row r="7960" spans="1:9">
      <c r="A7960" s="22" t="str">
        <f>HYPERLINK("https://app.vivvix.com/360/KMI/IntelliDrive/ApplUI/Pages/CreativePages/CustomReportCreativeDetail.aspx?App=23&amp;ReportView=4&amp;Qid=1711279&amp;Row=7952&amp;Col=1","No Title Assigned - #15270551395")</f>
        <v/>
      </c>
      <c r="B7960" s="0" t="s">
        <v>10614</v>
      </c>
      <c r="E7960" s="0" t="inlineStr">
        <is>
          <t xml:space="preserve">Mazda</t>
        </is>
      </c>
      <c r="F7960" s="0" t="inlineStr">
        <is>
          <t xml:space="preserve">Mazda</t>
        </is>
      </c>
      <c r="G7960" s="0" t="s">
        <v>171</v>
      </c>
      <c r="H7960" s="5">
        <v>7.677900</v>
      </c>
    </row>
    <row r="7961" spans="1:9">
      <c r="A7961" s="22" t="str">
        <f>HYPERLINK("https://app.vivvix.com/360/KMI/IntelliDrive/ApplUI/Pages/CreativePages/CustomReportCreativeDetail.aspx?App=23&amp;ReportView=4&amp;Qid=1711279&amp;Row=7953&amp;Col=1","No Title Assigned - #15270552606")</f>
        <v/>
      </c>
      <c r="B7961" s="0" t="s">
        <v>10615</v>
      </c>
      <c r="E7961" s="0" t="inlineStr">
        <is>
          <t xml:space="preserve">Mazda</t>
        </is>
      </c>
      <c r="F7961" s="0" t="inlineStr">
        <is>
          <t xml:space="preserve">Mazda</t>
        </is>
      </c>
      <c r="G7961" s="0" t="s">
        <v>171</v>
      </c>
      <c r="H7961" s="5">
        <v>10.918000</v>
      </c>
    </row>
    <row r="7962" spans="1:9">
      <c r="A7962" s="22" t="str">
        <f>HYPERLINK("https://app.vivvix.com/360/KMI/IntelliDrive/ApplUI/Pages/CreativePages/CustomReportCreativeDetail.aspx?App=23&amp;ReportView=4&amp;Qid=1711279&amp;Row=7954&amp;Col=1","No Title Assigned - #15270552608")</f>
        <v/>
      </c>
      <c r="B7962" s="0" t="s">
        <v>10616</v>
      </c>
      <c r="C7962" s="0" t="s">
        <v>10617</v>
      </c>
      <c r="D7962" s="0" t="s">
        <v>10617</v>
      </c>
      <c r="E7962" s="0" t="inlineStr">
        <is>
          <t xml:space="preserve">Mazda</t>
        </is>
      </c>
      <c r="F7962" s="0" t="inlineStr">
        <is>
          <t xml:space="preserve">Mazda</t>
        </is>
      </c>
      <c r="G7962" s="0" t="s">
        <v>171</v>
      </c>
      <c r="H7962" s="5">
        <v>576.249600</v>
      </c>
    </row>
    <row r="7963" spans="1:9">
      <c r="A7963" s="22" t="str">
        <f>HYPERLINK("https://app.vivvix.com/360/KMI/IntelliDrive/ApplUI/Pages/CreativePages/CustomReportCreativeDetail.aspx?App=23&amp;ReportView=4&amp;Qid=1711279&amp;Row=7955&amp;Col=1","No Title Assigned - #15270553760")</f>
        <v/>
      </c>
      <c r="B7963" s="0" t="s">
        <v>10618</v>
      </c>
      <c r="E7963" s="0" t="inlineStr">
        <is>
          <t xml:space="preserve">Mazda</t>
        </is>
      </c>
      <c r="F7963" s="0" t="inlineStr">
        <is>
          <t xml:space="preserve">Mazda</t>
        </is>
      </c>
      <c r="G7963" s="0" t="s">
        <v>171</v>
      </c>
      <c r="H7963" s="5">
        <v>754.140000</v>
      </c>
    </row>
    <row r="7964" spans="1:9">
      <c r="A7964" s="22" t="str">
        <f>HYPERLINK("https://app.vivvix.com/360/KMI/IntelliDrive/ApplUI/Pages/CreativePages/CustomReportCreativeDetail.aspx?App=23&amp;ReportView=4&amp;Qid=1711279&amp;Row=7956&amp;Col=1","No Title Assigned - #15270553777")</f>
        <v/>
      </c>
      <c r="B7964" s="0" t="s">
        <v>10619</v>
      </c>
      <c r="E7964" s="0" t="inlineStr">
        <is>
          <t xml:space="preserve">Mazda</t>
        </is>
      </c>
      <c r="F7964" s="0" t="inlineStr">
        <is>
          <t xml:space="preserve">Mazda</t>
        </is>
      </c>
      <c r="G7964" s="0" t="s">
        <v>171</v>
      </c>
      <c r="H7964" s="5">
        <v>31.772500</v>
      </c>
    </row>
    <row r="7965" spans="1:9">
      <c r="A7965" s="22" t="str">
        <f>HYPERLINK("https://app.vivvix.com/360/KMI/IntelliDrive/ApplUI/Pages/CreativePages/CustomReportCreativeDetail.aspx?App=23&amp;ReportView=4&amp;Qid=1711279&amp;Row=7957&amp;Col=1","No Title Assigned - #15270553987")</f>
        <v/>
      </c>
      <c r="B7965" s="0" t="s">
        <v>10620</v>
      </c>
      <c r="E7965" s="0" t="inlineStr">
        <is>
          <t xml:space="preserve">Mazda</t>
        </is>
      </c>
      <c r="F7965" s="0" t="inlineStr">
        <is>
          <t xml:space="preserve">Mazda</t>
        </is>
      </c>
      <c r="G7965" s="0" t="s">
        <v>171</v>
      </c>
      <c r="H7965" s="5">
        <v>120.190000</v>
      </c>
    </row>
    <row r="7966" spans="1:9">
      <c r="A7966" s="22" t="str">
        <f>HYPERLINK("https://app.vivvix.com/360/KMI/IntelliDrive/ApplUI/Pages/CreativePages/CustomReportCreativeDetail.aspx?App=23&amp;ReportView=4&amp;Qid=1711279&amp;Row=7958&amp;Col=1","No Title Assigned - #15270554366")</f>
        <v/>
      </c>
      <c r="B7966" s="0" t="s">
        <v>10621</v>
      </c>
      <c r="E7966" s="0" t="inlineStr">
        <is>
          <t xml:space="preserve">Mazda</t>
        </is>
      </c>
      <c r="F7966" s="0" t="inlineStr">
        <is>
          <t xml:space="preserve">Mazda</t>
        </is>
      </c>
      <c r="G7966" s="0" t="s">
        <v>171</v>
      </c>
      <c r="H7966" s="5">
        <v>5.734600</v>
      </c>
    </row>
    <row r="7967" spans="1:9">
      <c r="A7967" s="22" t="str">
        <f>HYPERLINK("https://app.vivvix.com/360/KMI/IntelliDrive/ApplUI/Pages/CreativePages/CustomReportCreativeDetail.aspx?App=23&amp;ReportView=4&amp;Qid=1711279&amp;Row=7959&amp;Col=1","No Title Assigned - #15270554758")</f>
        <v/>
      </c>
      <c r="B7967" s="0" t="s">
        <v>10622</v>
      </c>
      <c r="E7967" s="0" t="inlineStr">
        <is>
          <t xml:space="preserve">Mazda</t>
        </is>
      </c>
      <c r="F7967" s="0" t="inlineStr">
        <is>
          <t xml:space="preserve">Mazda</t>
        </is>
      </c>
      <c r="G7967" s="0" t="s">
        <v>171</v>
      </c>
      <c r="H7967" s="5">
        <v>48.663500</v>
      </c>
    </row>
    <row r="7968" spans="1:9">
      <c r="A7968" s="22" t="str">
        <f>HYPERLINK("https://app.vivvix.com/360/KMI/IntelliDrive/ApplUI/Pages/CreativePages/CustomReportCreativeDetail.aspx?App=23&amp;ReportView=4&amp;Qid=1711279&amp;Row=7960&amp;Col=1","No Title Assigned - #15270554831")</f>
        <v/>
      </c>
      <c r="B7968" s="0" t="s">
        <v>10623</v>
      </c>
      <c r="C7968" s="0" t="s">
        <v>10624</v>
      </c>
      <c r="D7968" s="0" t="s">
        <v>10624</v>
      </c>
      <c r="E7968" s="0" t="inlineStr">
        <is>
          <t xml:space="preserve">Mazda</t>
        </is>
      </c>
      <c r="F7968" s="0" t="inlineStr">
        <is>
          <t xml:space="preserve">Mazda</t>
        </is>
      </c>
      <c r="G7968" s="0" t="s">
        <v>171</v>
      </c>
      <c r="H7968" s="5">
        <v>120.190000</v>
      </c>
    </row>
    <row r="7969" spans="1:9">
      <c r="A7969" s="22" t="str">
        <f>HYPERLINK("https://app.vivvix.com/360/KMI/IntelliDrive/ApplUI/Pages/CreativePages/CustomReportCreativeDetail.aspx?App=23&amp;ReportView=4&amp;Qid=1711279&amp;Row=7961&amp;Col=1","No Title Assigned - #15270554925")</f>
        <v/>
      </c>
      <c r="B7969" s="0" t="s">
        <v>10625</v>
      </c>
      <c r="E7969" s="0" t="inlineStr">
        <is>
          <t xml:space="preserve">Mazda</t>
        </is>
      </c>
      <c r="F7969" s="0" t="inlineStr">
        <is>
          <t xml:space="preserve">Mazda</t>
        </is>
      </c>
      <c r="G7969" s="0" t="s">
        <v>171</v>
      </c>
      <c r="H7969" s="5">
        <v>33.683500</v>
      </c>
    </row>
    <row r="7970" spans="1:9">
      <c r="A7970" s="22" t="str">
        <f>HYPERLINK("https://app.vivvix.com/360/KMI/IntelliDrive/ApplUI/Pages/CreativePages/CustomReportCreativeDetail.aspx?App=23&amp;ReportView=4&amp;Qid=1711279&amp;Row=7962&amp;Col=1","No Title Assigned - #15270555619")</f>
        <v/>
      </c>
      <c r="B7970" s="0" t="s">
        <v>10626</v>
      </c>
      <c r="E7970" s="0" t="inlineStr">
        <is>
          <t xml:space="preserve">Mazda</t>
        </is>
      </c>
      <c r="F7970" s="0" t="inlineStr">
        <is>
          <t xml:space="preserve">Mazda</t>
        </is>
      </c>
      <c r="G7970" s="0" t="s">
        <v>171</v>
      </c>
      <c r="H7970" s="5">
        <v>312.340400</v>
      </c>
    </row>
    <row r="7971" spans="1:9">
      <c r="A7971" s="22" t="str">
        <f>HYPERLINK("https://app.vivvix.com/360/KMI/IntelliDrive/ApplUI/Pages/CreativePages/CustomReportCreativeDetail.aspx?App=23&amp;ReportView=4&amp;Qid=1711279&amp;Row=7963&amp;Col=1","No Title Assigned - #15270555726")</f>
        <v/>
      </c>
      <c r="B7971" s="0" t="s">
        <v>10627</v>
      </c>
      <c r="E7971" s="0" t="inlineStr">
        <is>
          <t xml:space="preserve">Mazda</t>
        </is>
      </c>
      <c r="F7971" s="0" t="inlineStr">
        <is>
          <t xml:space="preserve">Mazda</t>
        </is>
      </c>
      <c r="G7971" s="0" t="s">
        <v>171</v>
      </c>
      <c r="H7971" s="5">
        <v>95.153200</v>
      </c>
    </row>
    <row r="7972" spans="1:9">
      <c r="A7972" s="22" t="str">
        <f>HYPERLINK("https://app.vivvix.com/360/KMI/IntelliDrive/ApplUI/Pages/CreativePages/CustomReportCreativeDetail.aspx?App=23&amp;ReportView=4&amp;Qid=1711279&amp;Row=7964&amp;Col=1","No Title Assigned - #15270556321")</f>
        <v/>
      </c>
      <c r="B7972" s="0" t="s">
        <v>10628</v>
      </c>
      <c r="E7972" s="0" t="inlineStr">
        <is>
          <t xml:space="preserve">Mazda</t>
        </is>
      </c>
      <c r="F7972" s="0" t="inlineStr">
        <is>
          <t xml:space="preserve">Mazda</t>
        </is>
      </c>
      <c r="G7972" s="0" t="s">
        <v>171</v>
      </c>
      <c r="H7972" s="5">
        <v>38.472800</v>
      </c>
    </row>
    <row r="7973" spans="1:9">
      <c r="A7973" s="22" t="str">
        <f>HYPERLINK("https://app.vivvix.com/360/KMI/IntelliDrive/ApplUI/Pages/CreativePages/CustomReportCreativeDetail.aspx?App=23&amp;ReportView=4&amp;Qid=1711279&amp;Row=7965&amp;Col=1","No Title Assigned - #15270556395")</f>
        <v/>
      </c>
      <c r="B7973" s="0" t="s">
        <v>10629</v>
      </c>
      <c r="E7973" s="0" t="inlineStr">
        <is>
          <t xml:space="preserve">Mazda</t>
        </is>
      </c>
      <c r="F7973" s="0" t="inlineStr">
        <is>
          <t xml:space="preserve">Mazda</t>
        </is>
      </c>
      <c r="G7973" s="0" t="s">
        <v>171</v>
      </c>
      <c r="H7973" s="5">
        <v>243.050600</v>
      </c>
    </row>
    <row r="7974" spans="1:9">
      <c r="A7974" s="22" t="str">
        <f>HYPERLINK("https://app.vivvix.com/360/KMI/IntelliDrive/ApplUI/Pages/CreativePages/CustomReportCreativeDetail.aspx?App=23&amp;ReportView=4&amp;Qid=1711279&amp;Row=7966&amp;Col=1","No Title Assigned - #15270556769")</f>
        <v/>
      </c>
      <c r="B7974" s="0" t="s">
        <v>10630</v>
      </c>
      <c r="E7974" s="0" t="inlineStr">
        <is>
          <t xml:space="preserve">Mazda</t>
        </is>
      </c>
      <c r="F7974" s="0" t="inlineStr">
        <is>
          <t xml:space="preserve">Mazda</t>
        </is>
      </c>
      <c r="G7974" s="0" t="s">
        <v>171</v>
      </c>
      <c r="H7974" s="5">
        <v>11.565300</v>
      </c>
    </row>
    <row r="7975" spans="1:9">
      <c r="A7975" s="22" t="str">
        <f>HYPERLINK("https://app.vivvix.com/360/KMI/IntelliDrive/ApplUI/Pages/CreativePages/CustomReportCreativeDetail.aspx?App=23&amp;ReportView=4&amp;Qid=1711279&amp;Row=7967&amp;Col=1","No Title Assigned - #15270556787")</f>
        <v/>
      </c>
      <c r="B7975" s="0" t="s">
        <v>10631</v>
      </c>
      <c r="E7975" s="0" t="inlineStr">
        <is>
          <t xml:space="preserve">Mazda</t>
        </is>
      </c>
      <c r="F7975" s="0" t="inlineStr">
        <is>
          <t xml:space="preserve">Mazda</t>
        </is>
      </c>
      <c r="G7975" s="0" t="s">
        <v>171</v>
      </c>
      <c r="H7975" s="5">
        <v>12.562200</v>
      </c>
    </row>
    <row r="7976" spans="1:9">
      <c r="A7976" s="22" t="str">
        <f>HYPERLINK("https://app.vivvix.com/360/KMI/IntelliDrive/ApplUI/Pages/CreativePages/CustomReportCreativeDetail.aspx?App=23&amp;ReportView=4&amp;Qid=1711279&amp;Row=7968&amp;Col=1","No Title Assigned - #15270557000")</f>
        <v/>
      </c>
      <c r="B7976" s="0" t="s">
        <v>10632</v>
      </c>
      <c r="E7976" s="0" t="inlineStr">
        <is>
          <t xml:space="preserve">Mazda</t>
        </is>
      </c>
      <c r="F7976" s="0" t="inlineStr">
        <is>
          <t xml:space="preserve">Mazda</t>
        </is>
      </c>
      <c r="G7976" s="0" t="s">
        <v>171</v>
      </c>
      <c r="H7976" s="5">
        <v>6.281100</v>
      </c>
    </row>
    <row r="7977" spans="1:9">
      <c r="A7977" s="22" t="str">
        <f>HYPERLINK("https://app.vivvix.com/360/KMI/IntelliDrive/ApplUI/Pages/CreativePages/CustomReportCreativeDetail.aspx?App=23&amp;ReportView=4&amp;Qid=1711279&amp;Row=7969&amp;Col=1","No Title Assigned - #15270558149")</f>
        <v/>
      </c>
      <c r="B7977" s="0" t="s">
        <v>10633</v>
      </c>
      <c r="E7977" s="0" t="inlineStr">
        <is>
          <t xml:space="preserve">Mazda</t>
        </is>
      </c>
      <c r="F7977" s="0" t="inlineStr">
        <is>
          <t xml:space="preserve">Mazda</t>
        </is>
      </c>
      <c r="G7977" s="0" t="s">
        <v>171</v>
      </c>
      <c r="H7977" s="5">
        <v>94.473600</v>
      </c>
    </row>
    <row r="7978" spans="1:9">
      <c r="A7978" s="22" t="str">
        <f>HYPERLINK("https://app.vivvix.com/360/KMI/IntelliDrive/ApplUI/Pages/CreativePages/CustomReportCreativeDetail.aspx?App=23&amp;ReportView=4&amp;Qid=1711279&amp;Row=7970&amp;Col=1","No Title Assigned - #15270558210")</f>
        <v/>
      </c>
      <c r="B7978" s="0" t="s">
        <v>10634</v>
      </c>
      <c r="E7978" s="0" t="inlineStr">
        <is>
          <t xml:space="preserve">Mazda</t>
        </is>
      </c>
      <c r="F7978" s="0" t="inlineStr">
        <is>
          <t xml:space="preserve">Mazda</t>
        </is>
      </c>
      <c r="G7978" s="0" t="s">
        <v>171</v>
      </c>
      <c r="H7978" s="5">
        <v>12.720200</v>
      </c>
    </row>
    <row r="7979" spans="1:9">
      <c r="A7979" s="22" t="str">
        <f>HYPERLINK("https://app.vivvix.com/360/KMI/IntelliDrive/ApplUI/Pages/CreativePages/CustomReportCreativeDetail.aspx?App=23&amp;ReportView=4&amp;Qid=1711279&amp;Row=7971&amp;Col=1","No Title Assigned - #15270558279")</f>
        <v/>
      </c>
      <c r="B7979" s="0" t="s">
        <v>10635</v>
      </c>
      <c r="E7979" s="0" t="inlineStr">
        <is>
          <t xml:space="preserve">Mazda</t>
        </is>
      </c>
      <c r="F7979" s="0" t="inlineStr">
        <is>
          <t xml:space="preserve">Mazda</t>
        </is>
      </c>
      <c r="G7979" s="0" t="s">
        <v>171</v>
      </c>
      <c r="H7979" s="5">
        <v>95.126600</v>
      </c>
    </row>
    <row r="7980" spans="1:9">
      <c r="A7980" s="22" t="str">
        <f>HYPERLINK("https://app.vivvix.com/360/KMI/IntelliDrive/ApplUI/Pages/CreativePages/CustomReportCreativeDetail.aspx?App=23&amp;ReportView=4&amp;Qid=1711279&amp;Row=7972&amp;Col=1","No Title Assigned - #15270558409")</f>
        <v/>
      </c>
      <c r="B7980" s="0" t="s">
        <v>10636</v>
      </c>
      <c r="E7980" s="0" t="inlineStr">
        <is>
          <t xml:space="preserve">Mazda</t>
        </is>
      </c>
      <c r="F7980" s="0" t="inlineStr">
        <is>
          <t xml:space="preserve">Mazda</t>
        </is>
      </c>
      <c r="G7980" s="0" t="s">
        <v>171</v>
      </c>
      <c r="H7980" s="5">
        <v>1.781900</v>
      </c>
    </row>
    <row r="7981" spans="1:9">
      <c r="A7981" s="22" t="str">
        <f>HYPERLINK("https://app.vivvix.com/360/KMI/IntelliDrive/ApplUI/Pages/CreativePages/CustomReportCreativeDetail.aspx?App=23&amp;ReportView=4&amp;Qid=1711279&amp;Row=7973&amp;Col=1","No Title Assigned - #15270558766")</f>
        <v/>
      </c>
      <c r="B7981" s="0" t="s">
        <v>10637</v>
      </c>
      <c r="E7981" s="0" t="inlineStr">
        <is>
          <t xml:space="preserve">Mazda</t>
        </is>
      </c>
      <c r="F7981" s="0" t="inlineStr">
        <is>
          <t xml:space="preserve">Mazda</t>
        </is>
      </c>
      <c r="G7981" s="0" t="s">
        <v>171</v>
      </c>
      <c r="H7981" s="5">
        <v>825.794000</v>
      </c>
    </row>
    <row r="7982" spans="1:9">
      <c r="A7982" s="22" t="str">
        <f>HYPERLINK("https://app.vivvix.com/360/KMI/IntelliDrive/ApplUI/Pages/CreativePages/CustomReportCreativeDetail.aspx?App=23&amp;ReportView=4&amp;Qid=1711279&amp;Row=7974&amp;Col=1","No Title Assigned - #15270559882")</f>
        <v/>
      </c>
      <c r="B7982" s="0" t="s">
        <v>10638</v>
      </c>
      <c r="E7982" s="0" t="inlineStr">
        <is>
          <t xml:space="preserve">Mazda</t>
        </is>
      </c>
      <c r="F7982" s="0" t="inlineStr">
        <is>
          <t xml:space="preserve">Mazda</t>
        </is>
      </c>
      <c r="G7982" s="0" t="s">
        <v>171</v>
      </c>
      <c r="H7982" s="5">
        <v>259.406300</v>
      </c>
    </row>
    <row r="7983" spans="1:9">
      <c r="A7983" s="22" t="str">
        <f>HYPERLINK("https://app.vivvix.com/360/KMI/IntelliDrive/ApplUI/Pages/CreativePages/CustomReportCreativeDetail.aspx?App=23&amp;ReportView=4&amp;Qid=1711279&amp;Row=7975&amp;Col=1","No Title Assigned - #15270559918")</f>
        <v/>
      </c>
      <c r="B7983" s="0" t="s">
        <v>10639</v>
      </c>
      <c r="E7983" s="0" t="inlineStr">
        <is>
          <t xml:space="preserve">Mazda</t>
        </is>
      </c>
      <c r="F7983" s="0" t="inlineStr">
        <is>
          <t xml:space="preserve">Mazda</t>
        </is>
      </c>
      <c r="G7983" s="0" t="s">
        <v>171</v>
      </c>
      <c r="H7983" s="5">
        <v>16.112700</v>
      </c>
    </row>
    <row r="7984" spans="1:9">
      <c r="A7984" s="22" t="str">
        <f>HYPERLINK("https://app.vivvix.com/360/KMI/IntelliDrive/ApplUI/Pages/CreativePages/CustomReportCreativeDetail.aspx?App=23&amp;ReportView=4&amp;Qid=1711279&amp;Row=7976&amp;Col=1","No Title Assigned - #15270560228")</f>
        <v/>
      </c>
      <c r="B7984" s="0" t="s">
        <v>10640</v>
      </c>
      <c r="E7984" s="0" t="inlineStr">
        <is>
          <t xml:space="preserve">Mazda</t>
        </is>
      </c>
      <c r="F7984" s="0" t="inlineStr">
        <is>
          <t xml:space="preserve">Mazda</t>
        </is>
      </c>
      <c r="G7984" s="0" t="s">
        <v>171</v>
      </c>
      <c r="H7984" s="5">
        <v>3.331900</v>
      </c>
    </row>
    <row r="7985" spans="1:9">
      <c r="A7985" s="22" t="str">
        <f>HYPERLINK("https://app.vivvix.com/360/KMI/IntelliDrive/ApplUI/Pages/CreativePages/CustomReportCreativeDetail.aspx?App=23&amp;ReportView=4&amp;Qid=1711279&amp;Row=7977&amp;Col=1","No Title Assigned - #15270560461")</f>
        <v/>
      </c>
      <c r="B7985" s="0" t="s">
        <v>10641</v>
      </c>
      <c r="E7985" s="0" t="inlineStr">
        <is>
          <t xml:space="preserve">Mazda</t>
        </is>
      </c>
      <c r="F7985" s="0" t="inlineStr">
        <is>
          <t xml:space="preserve">Mazda</t>
        </is>
      </c>
      <c r="G7985" s="0" t="s">
        <v>171</v>
      </c>
      <c r="H7985" s="5">
        <v>337.054000</v>
      </c>
    </row>
    <row r="7986" spans="1:9">
      <c r="A7986" s="22" t="str">
        <f>HYPERLINK("https://app.vivvix.com/360/KMI/IntelliDrive/ApplUI/Pages/CreativePages/CustomReportCreativeDetail.aspx?App=23&amp;ReportView=4&amp;Qid=1711279&amp;Row=7978&amp;Col=1","No Title Assigned - #15270560583")</f>
        <v/>
      </c>
      <c r="B7986" s="0" t="s">
        <v>10642</v>
      </c>
      <c r="E7986" s="0" t="inlineStr">
        <is>
          <t xml:space="preserve">Mazda</t>
        </is>
      </c>
      <c r="F7986" s="0" t="inlineStr">
        <is>
          <t xml:space="preserve">Mazda</t>
        </is>
      </c>
      <c r="G7986" s="0" t="s">
        <v>171</v>
      </c>
      <c r="H7986" s="5">
        <v>37.974500</v>
      </c>
    </row>
    <row r="7987" spans="1:9">
      <c r="A7987" s="22" t="str">
        <f>HYPERLINK("https://app.vivvix.com/360/KMI/IntelliDrive/ApplUI/Pages/CreativePages/CustomReportCreativeDetail.aspx?App=23&amp;ReportView=4&amp;Qid=1711279&amp;Row=7979&amp;Col=1","No Title Assigned - #15270560618")</f>
        <v/>
      </c>
      <c r="B7987" s="0" t="s">
        <v>10643</v>
      </c>
      <c r="E7987" s="0" t="inlineStr">
        <is>
          <t xml:space="preserve">Mazda</t>
        </is>
      </c>
      <c r="F7987" s="0" t="inlineStr">
        <is>
          <t xml:space="preserve">Mazda</t>
        </is>
      </c>
      <c r="G7987" s="0" t="s">
        <v>171</v>
      </c>
      <c r="H7987" s="5">
        <v>150.698000</v>
      </c>
    </row>
    <row r="7988" spans="1:9">
      <c r="A7988" s="22" t="str">
        <f>HYPERLINK("https://app.vivvix.com/360/KMI/IntelliDrive/ApplUI/Pages/CreativePages/CustomReportCreativeDetail.aspx?App=23&amp;ReportView=4&amp;Qid=1711279&amp;Row=7980&amp;Col=1","No Title Assigned - #15270560618")</f>
        <v/>
      </c>
      <c r="B7988" s="0" t="s">
        <v>10643</v>
      </c>
      <c r="E7988" s="0" t="inlineStr">
        <is>
          <t xml:space="preserve">Mazda</t>
        </is>
      </c>
      <c r="F7988" s="0" t="inlineStr">
        <is>
          <t xml:space="preserve">Mazda</t>
        </is>
      </c>
      <c r="G7988" s="0" t="s">
        <v>171</v>
      </c>
      <c r="H7988" s="5">
        <v>1249.535200</v>
      </c>
    </row>
    <row r="7989" spans="1:9">
      <c r="A7989" s="22" t="str">
        <f>HYPERLINK("https://app.vivvix.com/360/KMI/IntelliDrive/ApplUI/Pages/CreativePages/CustomReportCreativeDetail.aspx?App=23&amp;ReportView=4&amp;Qid=1711279&amp;Row=7981&amp;Col=1","No Title Assigned - #15270560808")</f>
        <v/>
      </c>
      <c r="B7989" s="0" t="s">
        <v>10644</v>
      </c>
      <c r="E7989" s="0" t="inlineStr">
        <is>
          <t xml:space="preserve">Mazda</t>
        </is>
      </c>
      <c r="F7989" s="0" t="inlineStr">
        <is>
          <t xml:space="preserve">Mazda</t>
        </is>
      </c>
      <c r="G7989" s="0" t="s">
        <v>171</v>
      </c>
      <c r="H7989" s="5">
        <v>15.614300</v>
      </c>
    </row>
    <row r="7990" spans="1:9">
      <c r="A7990" s="22" t="str">
        <f>HYPERLINK("https://app.vivvix.com/360/KMI/IntelliDrive/ApplUI/Pages/CreativePages/CustomReportCreativeDetail.aspx?App=23&amp;ReportView=4&amp;Qid=1711279&amp;Row=7982&amp;Col=1","No Title Assigned - #15270560957")</f>
        <v/>
      </c>
      <c r="B7990" s="0" t="s">
        <v>10645</v>
      </c>
      <c r="E7990" s="0" t="inlineStr">
        <is>
          <t xml:space="preserve">Mazda</t>
        </is>
      </c>
      <c r="F7990" s="0" t="inlineStr">
        <is>
          <t xml:space="preserve">Mazda</t>
        </is>
      </c>
      <c r="G7990" s="0" t="s">
        <v>171</v>
      </c>
      <c r="H7990" s="5">
        <v>786.159700</v>
      </c>
    </row>
    <row r="7991" spans="1:9">
      <c r="A7991" s="22" t="str">
        <f>HYPERLINK("https://app.vivvix.com/360/KMI/IntelliDrive/ApplUI/Pages/CreativePages/CustomReportCreativeDetail.aspx?App=23&amp;ReportView=4&amp;Qid=1711279&amp;Row=7983&amp;Col=1","No Title Assigned - #15270560959")</f>
        <v/>
      </c>
      <c r="B7991" s="0" t="s">
        <v>10646</v>
      </c>
      <c r="E7991" s="0" t="inlineStr">
        <is>
          <t xml:space="preserve">Mazda</t>
        </is>
      </c>
      <c r="F7991" s="0" t="inlineStr">
        <is>
          <t xml:space="preserve">Mazda</t>
        </is>
      </c>
      <c r="G7991" s="0" t="s">
        <v>171</v>
      </c>
      <c r="H7991" s="5">
        <v>5.734600</v>
      </c>
    </row>
    <row r="7992" spans="1:9">
      <c r="A7992" s="22" t="str">
        <f>HYPERLINK("https://app.vivvix.com/360/KMI/IntelliDrive/ApplUI/Pages/CreativePages/CustomReportCreativeDetail.aspx?App=23&amp;ReportView=4&amp;Qid=1711279&amp;Row=7984&amp;Col=1","No Title Assigned - #15270560978")</f>
        <v/>
      </c>
      <c r="B7992" s="0" t="s">
        <v>10647</v>
      </c>
      <c r="E7992" s="0" t="inlineStr">
        <is>
          <t xml:space="preserve">Mazda</t>
        </is>
      </c>
      <c r="F7992" s="0" t="inlineStr">
        <is>
          <t xml:space="preserve">Mazda</t>
        </is>
      </c>
      <c r="G7992" s="0" t="s">
        <v>171</v>
      </c>
      <c r="H7992" s="5">
        <v>15.242100</v>
      </c>
    </row>
    <row r="7993" spans="1:9">
      <c r="A7993" s="22" t="str">
        <f>HYPERLINK("https://app.vivvix.com/360/KMI/IntelliDrive/ApplUI/Pages/CreativePages/CustomReportCreativeDetail.aspx?App=23&amp;ReportView=4&amp;Qid=1711279&amp;Row=7985&amp;Col=1","No Title Assigned - #15270560980")</f>
        <v/>
      </c>
      <c r="B7993" s="0" t="s">
        <v>10648</v>
      </c>
      <c r="C7993" s="0" t="s">
        <v>10649</v>
      </c>
      <c r="D7993" s="0" t="s">
        <v>10649</v>
      </c>
      <c r="E7993" s="0" t="inlineStr">
        <is>
          <t xml:space="preserve">Mazda</t>
        </is>
      </c>
      <c r="F7993" s="0" t="inlineStr">
        <is>
          <t xml:space="preserve">Mazda</t>
        </is>
      </c>
      <c r="G7993" s="0" t="s">
        <v>171</v>
      </c>
      <c r="H7993" s="5">
        <v>10.161400</v>
      </c>
    </row>
    <row r="7994" spans="1:9">
      <c r="A7994" s="22" t="str">
        <f>HYPERLINK("https://app.vivvix.com/360/KMI/IntelliDrive/ApplUI/Pages/CreativePages/CustomReportCreativeDetail.aspx?App=23&amp;ReportView=4&amp;Qid=1711279&amp;Row=7986&amp;Col=1","No Title Assigned - #15270561275")</f>
        <v/>
      </c>
      <c r="B7994" s="0" t="s">
        <v>10650</v>
      </c>
      <c r="E7994" s="0" t="inlineStr">
        <is>
          <t xml:space="preserve">Mazda</t>
        </is>
      </c>
      <c r="F7994" s="0" t="inlineStr">
        <is>
          <t xml:space="preserve">Mazda</t>
        </is>
      </c>
      <c r="G7994" s="0" t="s">
        <v>171</v>
      </c>
      <c r="H7994" s="5">
        <v>10.359100</v>
      </c>
    </row>
    <row r="7995" spans="1:9">
      <c r="A7995" s="22" t="str">
        <f>HYPERLINK("https://app.vivvix.com/360/KMI/IntelliDrive/ApplUI/Pages/CreativePages/CustomReportCreativeDetail.aspx?App=23&amp;ReportView=4&amp;Qid=1711279&amp;Row=7987&amp;Col=1","No Title Assigned - #15270561322")</f>
        <v/>
      </c>
      <c r="B7995" s="0" t="s">
        <v>10651</v>
      </c>
      <c r="E7995" s="0" t="inlineStr">
        <is>
          <t xml:space="preserve">Mazda</t>
        </is>
      </c>
      <c r="F7995" s="0" t="inlineStr">
        <is>
          <t xml:space="preserve">Mazda</t>
        </is>
      </c>
      <c r="G7995" s="0" t="s">
        <v>171</v>
      </c>
      <c r="H7995" s="5">
        <v>9893.250200</v>
      </c>
    </row>
    <row r="7996" spans="1:9">
      <c r="A7996" s="22" t="str">
        <f>HYPERLINK("https://app.vivvix.com/360/KMI/IntelliDrive/ApplUI/Pages/CreativePages/CustomReportCreativeDetail.aspx?App=23&amp;ReportView=4&amp;Qid=1711279&amp;Row=7988&amp;Col=1","No Title Assigned - #15270561322")</f>
        <v/>
      </c>
      <c r="B7996" s="0" t="s">
        <v>10651</v>
      </c>
      <c r="E7996" s="0" t="inlineStr">
        <is>
          <t xml:space="preserve">Mazda</t>
        </is>
      </c>
      <c r="F7996" s="0" t="inlineStr">
        <is>
          <t xml:space="preserve">Mazda</t>
        </is>
      </c>
      <c r="G7996" s="0" t="s">
        <v>171</v>
      </c>
      <c r="H7996" s="5">
        <v>13885.418500</v>
      </c>
    </row>
    <row r="7997" spans="1:9">
      <c r="A7997" s="22" t="str">
        <f>HYPERLINK("https://app.vivvix.com/360/KMI/IntelliDrive/ApplUI/Pages/CreativePages/CustomReportCreativeDetail.aspx?App=23&amp;ReportView=4&amp;Qid=1711279&amp;Row=7989&amp;Col=1","No Title Assigned - #15270561506")</f>
        <v/>
      </c>
      <c r="B7997" s="0" t="s">
        <v>10652</v>
      </c>
      <c r="E7997" s="0" t="inlineStr">
        <is>
          <t xml:space="preserve">Mazda</t>
        </is>
      </c>
      <c r="F7997" s="0" t="inlineStr">
        <is>
          <t xml:space="preserve">Mazda</t>
        </is>
      </c>
      <c r="G7997" s="0" t="s">
        <v>171</v>
      </c>
      <c r="H7997" s="5">
        <v>15.417400</v>
      </c>
    </row>
    <row r="7998" spans="1:9">
      <c r="A7998" s="22" t="str">
        <f>HYPERLINK("https://app.vivvix.com/360/KMI/IntelliDrive/ApplUI/Pages/CreativePages/CustomReportCreativeDetail.aspx?App=23&amp;ReportView=4&amp;Qid=1711279&amp;Row=7990&amp;Col=1","No Title Assigned - #15270561507")</f>
        <v/>
      </c>
      <c r="B7998" s="0" t="s">
        <v>10653</v>
      </c>
      <c r="E7998" s="0" t="inlineStr">
        <is>
          <t xml:space="preserve">Mazda</t>
        </is>
      </c>
      <c r="F7998" s="0" t="inlineStr">
        <is>
          <t xml:space="preserve">Mazda</t>
        </is>
      </c>
      <c r="G7998" s="0" t="s">
        <v>171</v>
      </c>
      <c r="H7998" s="5">
        <v>7.551200</v>
      </c>
    </row>
    <row r="7999" spans="1:9">
      <c r="A7999" s="22" t="str">
        <f>HYPERLINK("https://app.vivvix.com/360/KMI/IntelliDrive/ApplUI/Pages/CreativePages/CustomReportCreativeDetail.aspx?App=23&amp;ReportView=4&amp;Qid=1711279&amp;Row=7991&amp;Col=1","No Title Assigned - #15270562152")</f>
        <v/>
      </c>
      <c r="B7999" s="0" t="s">
        <v>10654</v>
      </c>
      <c r="E7999" s="0" t="inlineStr">
        <is>
          <t xml:space="preserve">Mazda</t>
        </is>
      </c>
      <c r="F7999" s="0" t="inlineStr">
        <is>
          <t xml:space="preserve">Mazda</t>
        </is>
      </c>
      <c r="G7999" s="0" t="s">
        <v>171</v>
      </c>
      <c r="H7999" s="5">
        <v>36.504000</v>
      </c>
    </row>
    <row r="8000" spans="1:9">
      <c r="A8000" s="22" t="str">
        <f>HYPERLINK("https://app.vivvix.com/360/KMI/IntelliDrive/ApplUI/Pages/CreativePages/CustomReportCreativeDetail.aspx?App=23&amp;ReportView=4&amp;Qid=1711279&amp;Row=7992&amp;Col=1","No Title Assigned - #15270562274")</f>
        <v/>
      </c>
      <c r="B8000" s="0" t="s">
        <v>10655</v>
      </c>
      <c r="E8000" s="0" t="inlineStr">
        <is>
          <t xml:space="preserve">Mazda</t>
        </is>
      </c>
      <c r="F8000" s="0" t="inlineStr">
        <is>
          <t xml:space="preserve">Mazda</t>
        </is>
      </c>
      <c r="G8000" s="0" t="s">
        <v>171</v>
      </c>
      <c r="H8000" s="5">
        <v>1953.165300</v>
      </c>
    </row>
    <row r="8001" spans="1:9">
      <c r="A8001" s="22" t="str">
        <f>HYPERLINK("https://app.vivvix.com/360/KMI/IntelliDrive/ApplUI/Pages/CreativePages/CustomReportCreativeDetail.aspx?App=23&amp;ReportView=4&amp;Qid=1711279&amp;Row=7993&amp;Col=1","No Title Assigned - #15270562803")</f>
        <v/>
      </c>
      <c r="B8001" s="0" t="s">
        <v>10656</v>
      </c>
      <c r="E8001" s="0" t="inlineStr">
        <is>
          <t xml:space="preserve">Mazda</t>
        </is>
      </c>
      <c r="F8001" s="0" t="inlineStr">
        <is>
          <t xml:space="preserve">Mazda</t>
        </is>
      </c>
      <c r="G8001" s="0" t="s">
        <v>171</v>
      </c>
      <c r="H8001" s="5">
        <v>17.343800</v>
      </c>
    </row>
    <row r="8002" spans="1:9">
      <c r="A8002" s="22" t="str">
        <f>HYPERLINK("https://app.vivvix.com/360/KMI/IntelliDrive/ApplUI/Pages/CreativePages/CustomReportCreativeDetail.aspx?App=23&amp;ReportView=4&amp;Qid=1711279&amp;Row=7994&amp;Col=1","No Title Assigned - #15270571682")</f>
        <v/>
      </c>
      <c r="B8002" s="0" t="s">
        <v>10657</v>
      </c>
      <c r="C8002" s="0" t="s">
        <v>10658</v>
      </c>
      <c r="D8002" s="0" t="s">
        <v>10658</v>
      </c>
      <c r="E8002" s="0" t="inlineStr">
        <is>
          <t xml:space="preserve">Mazda</t>
        </is>
      </c>
      <c r="F8002" s="0" t="inlineStr">
        <is>
          <t xml:space="preserve">Mazda</t>
        </is>
      </c>
      <c r="G8002" s="0" t="s">
        <v>171</v>
      </c>
      <c r="H8002" s="5">
        <v>12.036800</v>
      </c>
    </row>
    <row r="8003" spans="1:9">
      <c r="A8003" s="22" t="str">
        <f>HYPERLINK("https://app.vivvix.com/360/KMI/IntelliDrive/ApplUI/Pages/CreativePages/CustomReportCreativeDetail.aspx?App=23&amp;ReportView=4&amp;Qid=1711279&amp;Row=7995&amp;Col=1","No Title Assigned - #15270571789")</f>
        <v/>
      </c>
      <c r="B8003" s="0" t="s">
        <v>10659</v>
      </c>
      <c r="E8003" s="0" t="inlineStr">
        <is>
          <t xml:space="preserve">Mazda</t>
        </is>
      </c>
      <c r="F8003" s="0" t="inlineStr">
        <is>
          <t xml:space="preserve">Mazda</t>
        </is>
      </c>
      <c r="G8003" s="0" t="s">
        <v>171</v>
      </c>
      <c r="H8003" s="5">
        <v>37.974500</v>
      </c>
    </row>
    <row r="8004" spans="1:9">
      <c r="A8004" s="22" t="str">
        <f>HYPERLINK("https://app.vivvix.com/360/KMI/IntelliDrive/ApplUI/Pages/CreativePages/CustomReportCreativeDetail.aspx?App=23&amp;ReportView=4&amp;Qid=1711279&amp;Row=7996&amp;Col=1","No Title Assigned - #15270571791")</f>
        <v/>
      </c>
      <c r="B8004" s="0" t="s">
        <v>10660</v>
      </c>
      <c r="E8004" s="0" t="inlineStr">
        <is>
          <t xml:space="preserve">Mazda</t>
        </is>
      </c>
      <c r="F8004" s="0" t="inlineStr">
        <is>
          <t xml:space="preserve">Mazda</t>
        </is>
      </c>
      <c r="G8004" s="0" t="s">
        <v>171</v>
      </c>
      <c r="H8004" s="5">
        <v>1607.219600</v>
      </c>
    </row>
    <row r="8005" spans="1:9">
      <c r="A8005" s="22" t="str">
        <f>HYPERLINK("https://app.vivvix.com/360/KMI/IntelliDrive/ApplUI/Pages/CreativePages/CustomReportCreativeDetail.aspx?App=23&amp;ReportView=4&amp;Qid=1711279&amp;Row=7997&amp;Col=1","No Title Assigned - #15270573000")</f>
        <v/>
      </c>
      <c r="B8005" s="0" t="s">
        <v>10661</v>
      </c>
      <c r="E8005" s="0" t="inlineStr">
        <is>
          <t xml:space="preserve">Mazda</t>
        </is>
      </c>
      <c r="F8005" s="0" t="inlineStr">
        <is>
          <t xml:space="preserve">Mazda</t>
        </is>
      </c>
      <c r="G8005" s="0" t="s">
        <v>171</v>
      </c>
      <c r="H8005" s="5">
        <v>434.295000</v>
      </c>
    </row>
    <row r="8006" spans="1:9">
      <c r="A8006" s="22" t="str">
        <f>HYPERLINK("https://app.vivvix.com/360/KMI/IntelliDrive/ApplUI/Pages/CreativePages/CustomReportCreativeDetail.aspx?App=23&amp;ReportView=4&amp;Qid=1711279&amp;Row=7998&amp;Col=1","No Title Assigned - #15270575901")</f>
        <v/>
      </c>
      <c r="B8006" s="0" t="s">
        <v>10662</v>
      </c>
      <c r="E8006" s="0" t="inlineStr">
        <is>
          <t xml:space="preserve">Mazda</t>
        </is>
      </c>
      <c r="F8006" s="0" t="inlineStr">
        <is>
          <t xml:space="preserve">Mazda</t>
        </is>
      </c>
      <c r="G8006" s="0" t="s">
        <v>171</v>
      </c>
      <c r="H8006" s="5">
        <v>181.578000</v>
      </c>
    </row>
    <row r="8007" spans="1:9">
      <c r="A8007" s="22" t="str">
        <f>HYPERLINK("https://app.vivvix.com/360/KMI/IntelliDrive/ApplUI/Pages/CreativePages/CustomReportCreativeDetail.aspx?App=23&amp;ReportView=4&amp;Qid=1711279&amp;Row=7999&amp;Col=1","No Title Assigned - #15270576035")</f>
        <v/>
      </c>
      <c r="B8007" s="0" t="s">
        <v>10663</v>
      </c>
      <c r="E8007" s="0" t="inlineStr">
        <is>
          <t xml:space="preserve">Mazda</t>
        </is>
      </c>
      <c r="F8007" s="0" t="inlineStr">
        <is>
          <t xml:space="preserve">Mazda</t>
        </is>
      </c>
      <c r="G8007" s="0" t="s">
        <v>171</v>
      </c>
      <c r="H8007" s="5">
        <v>4570.079600</v>
      </c>
    </row>
    <row r="8008" spans="1:9">
      <c r="A8008" s="22" t="str">
        <f>HYPERLINK("https://app.vivvix.com/360/KMI/IntelliDrive/ApplUI/Pages/CreativePages/CustomReportCreativeDetail.aspx?App=23&amp;ReportView=4&amp;Qid=1711279&amp;Row=8000&amp;Col=1","No Title Assigned - #15270576573")</f>
        <v/>
      </c>
      <c r="B8008" s="0" t="s">
        <v>10664</v>
      </c>
      <c r="E8008" s="0" t="inlineStr">
        <is>
          <t xml:space="preserve">Mazda</t>
        </is>
      </c>
      <c r="F8008" s="0" t="inlineStr">
        <is>
          <t xml:space="preserve">Mazda</t>
        </is>
      </c>
      <c r="G8008" s="0" t="s">
        <v>171</v>
      </c>
      <c r="H8008" s="5">
        <v>19.917600</v>
      </c>
    </row>
    <row r="8009" spans="1:9">
      <c r="A8009" s="22" t="str">
        <f>HYPERLINK("https://app.vivvix.com/360/KMI/IntelliDrive/ApplUI/Pages/CreativePages/CustomReportCreativeDetail.aspx?App=23&amp;ReportView=4&amp;Qid=1711279&amp;Row=8001&amp;Col=1","No Title Assigned - #15270576981")</f>
        <v/>
      </c>
      <c r="B8009" s="0" t="s">
        <v>10665</v>
      </c>
      <c r="E8009" s="0" t="inlineStr">
        <is>
          <t xml:space="preserve">Mazda</t>
        </is>
      </c>
      <c r="F8009" s="0" t="inlineStr">
        <is>
          <t xml:space="preserve">Mazda</t>
        </is>
      </c>
      <c r="G8009" s="0" t="s">
        <v>171</v>
      </c>
      <c r="H8009" s="5">
        <v>5893.766200</v>
      </c>
    </row>
    <row r="8010" spans="1:9">
      <c r="A8010" s="22" t="str">
        <f>HYPERLINK("https://app.vivvix.com/360/KMI/IntelliDrive/ApplUI/Pages/CreativePages/CustomReportCreativeDetail.aspx?App=23&amp;ReportView=4&amp;Qid=1711279&amp;Row=8002&amp;Col=1","No Title Assigned - #15270576981")</f>
        <v/>
      </c>
      <c r="B8010" s="0" t="s">
        <v>10665</v>
      </c>
      <c r="E8010" s="0" t="inlineStr">
        <is>
          <t xml:space="preserve">Mazda</t>
        </is>
      </c>
      <c r="F8010" s="0" t="inlineStr">
        <is>
          <t xml:space="preserve">Mazda</t>
        </is>
      </c>
      <c r="G8010" s="0" t="s">
        <v>171</v>
      </c>
      <c r="H8010" s="5">
        <v>2901.018300</v>
      </c>
    </row>
    <row r="8011" spans="1:9">
      <c r="A8011" s="22" t="str">
        <f>HYPERLINK("https://app.vivvix.com/360/KMI/IntelliDrive/ApplUI/Pages/CreativePages/CustomReportCreativeDetail.aspx?App=23&amp;ReportView=4&amp;Qid=1711279&amp;Row=8003&amp;Col=1","No Title Assigned - #15270577712")</f>
        <v/>
      </c>
      <c r="B8011" s="0" t="s">
        <v>10666</v>
      </c>
      <c r="E8011" s="0" t="inlineStr">
        <is>
          <t xml:space="preserve">Mazda</t>
        </is>
      </c>
      <c r="F8011" s="0" t="inlineStr">
        <is>
          <t xml:space="preserve">Mazda</t>
        </is>
      </c>
      <c r="G8011" s="0" t="s">
        <v>171</v>
      </c>
      <c r="H8011" s="5">
        <v>122.760200</v>
      </c>
    </row>
    <row r="8012" spans="1:9">
      <c r="A8012" s="22" t="str">
        <f>HYPERLINK("https://app.vivvix.com/360/KMI/IntelliDrive/ApplUI/Pages/CreativePages/CustomReportCreativeDetail.aspx?App=23&amp;ReportView=4&amp;Qid=1711279&amp;Row=8004&amp;Col=1","No Title Assigned - #15270577712")</f>
        <v/>
      </c>
      <c r="B8012" s="0" t="s">
        <v>10666</v>
      </c>
      <c r="E8012" s="0" t="inlineStr">
        <is>
          <t xml:space="preserve">Mazda</t>
        </is>
      </c>
      <c r="F8012" s="0" t="inlineStr">
        <is>
          <t xml:space="preserve">Mazda</t>
        </is>
      </c>
      <c r="G8012" s="0" t="s">
        <v>171</v>
      </c>
      <c r="H8012" s="5">
        <v>146.170300</v>
      </c>
    </row>
    <row r="8013" spans="1:9">
      <c r="A8013" s="22" t="str">
        <f>HYPERLINK("https://app.vivvix.com/360/KMI/IntelliDrive/ApplUI/Pages/CreativePages/CustomReportCreativeDetail.aspx?App=23&amp;ReportView=4&amp;Qid=1711279&amp;Row=8005&amp;Col=1","No Title Assigned - #15270578903")</f>
        <v/>
      </c>
      <c r="B8013" s="0" t="s">
        <v>10667</v>
      </c>
      <c r="E8013" s="0" t="inlineStr">
        <is>
          <t xml:space="preserve">Mazda</t>
        </is>
      </c>
      <c r="F8013" s="0" t="inlineStr">
        <is>
          <t xml:space="preserve">Mazda</t>
        </is>
      </c>
      <c r="G8013" s="0" t="s">
        <v>171</v>
      </c>
      <c r="H8013" s="5">
        <v>1770.250000</v>
      </c>
    </row>
    <row r="8014" spans="1:9">
      <c r="A8014" s="22" t="str">
        <f>HYPERLINK("https://app.vivvix.com/360/KMI/IntelliDrive/ApplUI/Pages/CreativePages/CustomReportCreativeDetail.aspx?App=23&amp;ReportView=4&amp;Qid=1711279&amp;Row=8006&amp;Col=1","No Title Assigned - #15270578903")</f>
        <v/>
      </c>
      <c r="B8014" s="0" t="s">
        <v>10667</v>
      </c>
      <c r="E8014" s="0" t="inlineStr">
        <is>
          <t xml:space="preserve">Mazda</t>
        </is>
      </c>
      <c r="F8014" s="0" t="inlineStr">
        <is>
          <t xml:space="preserve">Mazda</t>
        </is>
      </c>
      <c r="G8014" s="0" t="s">
        <v>171</v>
      </c>
      <c r="H8014" s="5">
        <v>37.629300</v>
      </c>
    </row>
    <row r="8015" spans="1:9">
      <c r="A8015" s="22" t="str">
        <f>HYPERLINK("https://app.vivvix.com/360/KMI/IntelliDrive/ApplUI/Pages/CreativePages/CustomReportCreativeDetail.aspx?App=23&amp;ReportView=4&amp;Qid=1711279&amp;Row=8007&amp;Col=1","No Title Assigned - #15270579948")</f>
        <v/>
      </c>
      <c r="B8015" s="0" t="s">
        <v>10668</v>
      </c>
      <c r="E8015" s="0" t="inlineStr">
        <is>
          <t xml:space="preserve">Mazda</t>
        </is>
      </c>
      <c r="F8015" s="0" t="inlineStr">
        <is>
          <t xml:space="preserve">Mazda</t>
        </is>
      </c>
      <c r="G8015" s="0" t="s">
        <v>171</v>
      </c>
      <c r="H8015" s="5">
        <v>1064.999200</v>
      </c>
    </row>
    <row r="8016" spans="1:9">
      <c r="A8016" s="22" t="str">
        <f>HYPERLINK("https://app.vivvix.com/360/KMI/IntelliDrive/ApplUI/Pages/CreativePages/CustomReportCreativeDetail.aspx?App=23&amp;ReportView=4&amp;Qid=1711279&amp;Row=8008&amp;Col=1","No Title Assigned - #15270579948")</f>
        <v/>
      </c>
      <c r="B8016" s="0" t="s">
        <v>10668</v>
      </c>
      <c r="E8016" s="0" t="inlineStr">
        <is>
          <t xml:space="preserve">Mazda</t>
        </is>
      </c>
      <c r="F8016" s="0" t="inlineStr">
        <is>
          <t xml:space="preserve">Mazda</t>
        </is>
      </c>
      <c r="G8016" s="0" t="s">
        <v>171</v>
      </c>
      <c r="H8016" s="5">
        <v>204.467900</v>
      </c>
    </row>
    <row r="8017" spans="1:9">
      <c r="A8017" s="22" t="str">
        <f>HYPERLINK("https://app.vivvix.com/360/KMI/IntelliDrive/ApplUI/Pages/CreativePages/CustomReportCreativeDetail.aspx?App=23&amp;ReportView=4&amp;Qid=1711279&amp;Row=8009&amp;Col=1","No Title Assigned - #15270582271")</f>
        <v/>
      </c>
      <c r="B8017" s="0" t="s">
        <v>10669</v>
      </c>
      <c r="C8017" s="0" t="s">
        <v>10670</v>
      </c>
      <c r="D8017" s="0" t="s">
        <v>4407</v>
      </c>
      <c r="E8017" s="0" t="inlineStr">
        <is>
          <t xml:space="preserve">Mazda</t>
        </is>
      </c>
      <c r="F8017" s="0" t="s">
        <v>28</v>
      </c>
      <c r="G8017" s="0" t="s">
        <v>29</v>
      </c>
      <c r="H8017" s="5">
        <v>397.554500</v>
      </c>
    </row>
    <row r="8018" spans="1:9">
      <c r="A8018" s="22" t="str">
        <f>HYPERLINK("https://app.vivvix.com/360/KMI/IntelliDrive/ApplUI/Pages/CreativePages/CustomReportCreativeDetail.aspx?App=23&amp;ReportView=4&amp;Qid=1711279&amp;Row=8010&amp;Col=1","No Title Assigned - #15270586128")</f>
        <v/>
      </c>
      <c r="B8018" s="0" t="s">
        <v>10671</v>
      </c>
      <c r="E8018" s="0" t="inlineStr">
        <is>
          <t xml:space="preserve">Mazda</t>
        </is>
      </c>
      <c r="F8018" s="0" t="inlineStr">
        <is>
          <t xml:space="preserve">Mazda</t>
        </is>
      </c>
      <c r="G8018" s="0" t="s">
        <v>171</v>
      </c>
      <c r="H8018" s="5">
        <v>6.663800</v>
      </c>
    </row>
    <row r="8019" spans="1:9">
      <c r="A8019" s="22" t="str">
        <f>HYPERLINK("https://app.vivvix.com/360/KMI/IntelliDrive/ApplUI/Pages/CreativePages/CustomReportCreativeDetail.aspx?App=23&amp;ReportView=4&amp;Qid=1711279&amp;Row=8011&amp;Col=1","No Title Assigned - #15270587101")</f>
        <v/>
      </c>
      <c r="B8019" s="0" t="s">
        <v>10672</v>
      </c>
      <c r="E8019" s="0" t="inlineStr">
        <is>
          <t xml:space="preserve">Mazda</t>
        </is>
      </c>
      <c r="F8019" s="0" t="inlineStr">
        <is>
          <t xml:space="preserve">Mazda</t>
        </is>
      </c>
      <c r="G8019" s="0" t="s">
        <v>171</v>
      </c>
      <c r="H8019" s="5">
        <v>226.432500</v>
      </c>
    </row>
    <row r="8020" spans="1:9">
      <c r="A8020" s="22" t="str">
        <f>HYPERLINK("https://app.vivvix.com/360/KMI/IntelliDrive/ApplUI/Pages/CreativePages/CustomReportCreativeDetail.aspx?App=23&amp;ReportView=4&amp;Qid=1711279&amp;Row=8012&amp;Col=1","No Title Assigned - #15270587309")</f>
        <v/>
      </c>
      <c r="B8020" s="0" t="s">
        <v>10673</v>
      </c>
      <c r="E8020" s="0" t="inlineStr">
        <is>
          <t xml:space="preserve">Mazda</t>
        </is>
      </c>
      <c r="F8020" s="0" t="inlineStr">
        <is>
          <t xml:space="preserve">Mazda</t>
        </is>
      </c>
      <c r="G8020" s="0" t="s">
        <v>171</v>
      </c>
      <c r="H8020" s="5">
        <v>77.779100</v>
      </c>
    </row>
    <row r="8021" spans="1:9">
      <c r="A8021" s="22" t="str">
        <f>HYPERLINK("https://app.vivvix.com/360/KMI/IntelliDrive/ApplUI/Pages/CreativePages/CustomReportCreativeDetail.aspx?App=23&amp;ReportView=4&amp;Qid=1711279&amp;Row=8013&amp;Col=1","No Title Assigned - #15270587316")</f>
        <v/>
      </c>
      <c r="B8021" s="0" t="s">
        <v>10674</v>
      </c>
      <c r="E8021" s="0" t="inlineStr">
        <is>
          <t xml:space="preserve">Mazda</t>
        </is>
      </c>
      <c r="F8021" s="0" t="inlineStr">
        <is>
          <t xml:space="preserve">Mazda</t>
        </is>
      </c>
      <c r="G8021" s="0" t="s">
        <v>171</v>
      </c>
      <c r="H8021" s="5">
        <v>14.956100</v>
      </c>
    </row>
    <row r="8022" spans="1:9">
      <c r="A8022" s="22" t="str">
        <f>HYPERLINK("https://app.vivvix.com/360/KMI/IntelliDrive/ApplUI/Pages/CreativePages/CustomReportCreativeDetail.aspx?App=23&amp;ReportView=4&amp;Qid=1711279&amp;Row=8014&amp;Col=1","No Title Assigned - #15270587551")</f>
        <v/>
      </c>
      <c r="B8022" s="0" t="s">
        <v>10675</v>
      </c>
      <c r="E8022" s="0" t="inlineStr">
        <is>
          <t xml:space="preserve">Mazda</t>
        </is>
      </c>
      <c r="F8022" s="0" t="inlineStr">
        <is>
          <t xml:space="preserve">Mazda</t>
        </is>
      </c>
      <c r="G8022" s="0" t="s">
        <v>171</v>
      </c>
      <c r="H8022" s="5">
        <v>212.801800</v>
      </c>
    </row>
    <row r="8023" spans="1:9">
      <c r="A8023" s="22" t="str">
        <f>HYPERLINK("https://app.vivvix.com/360/KMI/IntelliDrive/ApplUI/Pages/CreativePages/CustomReportCreativeDetail.aspx?App=23&amp;ReportView=4&amp;Qid=1711279&amp;Row=8015&amp;Col=1","No Title Assigned - #15270587780")</f>
        <v/>
      </c>
      <c r="B8023" s="0" t="s">
        <v>10676</v>
      </c>
      <c r="C8023" s="0" t="s">
        <v>10677</v>
      </c>
      <c r="D8023" s="0" t="s">
        <v>10677</v>
      </c>
      <c r="E8023" s="0" t="inlineStr">
        <is>
          <t xml:space="preserve">Mazda</t>
        </is>
      </c>
      <c r="F8023" s="0" t="inlineStr">
        <is>
          <t xml:space="preserve">Mazda</t>
        </is>
      </c>
      <c r="G8023" s="0" t="s">
        <v>171</v>
      </c>
      <c r="H8023" s="5">
        <v>92.754100</v>
      </c>
    </row>
    <row r="8024" spans="1:9">
      <c r="A8024" s="22" t="str">
        <f>HYPERLINK("https://app.vivvix.com/360/KMI/IntelliDrive/ApplUI/Pages/CreativePages/CustomReportCreativeDetail.aspx?App=23&amp;ReportView=4&amp;Qid=1711279&amp;Row=8016&amp;Col=1","No Title Assigned - #15270588220")</f>
        <v/>
      </c>
      <c r="B8024" s="0" t="s">
        <v>10678</v>
      </c>
      <c r="E8024" s="0" t="inlineStr">
        <is>
          <t xml:space="preserve">Mazda</t>
        </is>
      </c>
      <c r="F8024" s="0" t="inlineStr">
        <is>
          <t xml:space="preserve">Mazda</t>
        </is>
      </c>
      <c r="G8024" s="0" t="s">
        <v>171</v>
      </c>
      <c r="H8024" s="5">
        <v>95.925600</v>
      </c>
    </row>
    <row r="8025" spans="1:9">
      <c r="A8025" s="22" t="str">
        <f>HYPERLINK("https://app.vivvix.com/360/KMI/IntelliDrive/ApplUI/Pages/CreativePages/CustomReportCreativeDetail.aspx?App=23&amp;ReportView=4&amp;Qid=1711279&amp;Row=8017&amp;Col=1","No Title Assigned - #15270588288")</f>
        <v/>
      </c>
      <c r="B8025" s="0" t="s">
        <v>10679</v>
      </c>
      <c r="C8025" s="0" t="s">
        <v>10680</v>
      </c>
      <c r="D8025" s="0" t="s">
        <v>10680</v>
      </c>
      <c r="E8025" s="0" t="inlineStr">
        <is>
          <t xml:space="preserve">Mazda</t>
        </is>
      </c>
      <c r="F8025" s="0" t="inlineStr">
        <is>
          <t xml:space="preserve">Mazda</t>
        </is>
      </c>
      <c r="G8025" s="0" t="s">
        <v>171</v>
      </c>
      <c r="H8025" s="5">
        <v>146.788400</v>
      </c>
    </row>
    <row r="8026" spans="1:9">
      <c r="A8026" s="22" t="str">
        <f>HYPERLINK("https://app.vivvix.com/360/KMI/IntelliDrive/ApplUI/Pages/CreativePages/CustomReportCreativeDetail.aspx?App=23&amp;ReportView=4&amp;Qid=1711279&amp;Row=8018&amp;Col=1","No Title Assigned - #15270588680")</f>
        <v/>
      </c>
      <c r="B8026" s="0" t="s">
        <v>10681</v>
      </c>
      <c r="E8026" s="0" t="inlineStr">
        <is>
          <t xml:space="preserve">Mazda</t>
        </is>
      </c>
      <c r="F8026" s="0" t="inlineStr">
        <is>
          <t xml:space="preserve">Mazda</t>
        </is>
      </c>
      <c r="G8026" s="0" t="s">
        <v>171</v>
      </c>
      <c r="H8026" s="5">
        <v>324.103500</v>
      </c>
    </row>
    <row r="8027" spans="1:9">
      <c r="A8027" s="22" t="str">
        <f>HYPERLINK("https://app.vivvix.com/360/KMI/IntelliDrive/ApplUI/Pages/CreativePages/CustomReportCreativeDetail.aspx?App=23&amp;ReportView=4&amp;Qid=1711279&amp;Row=8019&amp;Col=1","No Title Assigned - #15270589888")</f>
        <v/>
      </c>
      <c r="B8027" s="0" t="s">
        <v>10682</v>
      </c>
      <c r="C8027" s="0" t="s">
        <v>10683</v>
      </c>
      <c r="D8027" s="0" t="s">
        <v>10683</v>
      </c>
      <c r="E8027" s="0" t="inlineStr">
        <is>
          <t xml:space="preserve">Mazda</t>
        </is>
      </c>
      <c r="F8027" s="0" t="s">
        <v>28</v>
      </c>
      <c r="G8027" s="0" t="s">
        <v>29</v>
      </c>
      <c r="H8027" s="5">
        <v>56.009800</v>
      </c>
    </row>
    <row r="8028" spans="1:9">
      <c r="A8028" s="22" t="str">
        <f>HYPERLINK("https://app.vivvix.com/360/KMI/IntelliDrive/ApplUI/Pages/CreativePages/CustomReportCreativeDetail.aspx?App=23&amp;ReportView=4&amp;Qid=1711279&amp;Row=8020&amp;Col=1","No Title Assigned - #15270590280")</f>
        <v/>
      </c>
      <c r="B8028" s="0" t="s">
        <v>10684</v>
      </c>
      <c r="C8028" s="0" t="s">
        <v>10685</v>
      </c>
      <c r="D8028" s="0" t="s">
        <v>10685</v>
      </c>
      <c r="E8028" s="0" t="inlineStr">
        <is>
          <t xml:space="preserve">Mazda</t>
        </is>
      </c>
      <c r="F8028" s="0" t="s">
        <v>28</v>
      </c>
      <c r="G8028" s="0" t="s">
        <v>29</v>
      </c>
      <c r="H8028" s="5">
        <v>39.608600</v>
      </c>
    </row>
    <row r="8029" spans="1:9">
      <c r="A8029" s="22" t="str">
        <f>HYPERLINK("https://app.vivvix.com/360/KMI/IntelliDrive/ApplUI/Pages/CreativePages/CustomReportCreativeDetail.aspx?App=23&amp;ReportView=4&amp;Qid=1711279&amp;Row=8021&amp;Col=1","No Title Assigned - #15270591112")</f>
        <v/>
      </c>
      <c r="B8029" s="0" t="s">
        <v>10686</v>
      </c>
      <c r="C8029" s="0" t="s">
        <v>10687</v>
      </c>
      <c r="D8029" s="0" t="s">
        <v>10687</v>
      </c>
      <c r="E8029" s="0" t="inlineStr">
        <is>
          <t xml:space="preserve">Mazda</t>
        </is>
      </c>
      <c r="F8029" s="0" t="s">
        <v>13</v>
      </c>
      <c r="G8029" s="0" t="s">
        <v>49</v>
      </c>
      <c r="H8029" s="5">
        <v>223.780800</v>
      </c>
    </row>
    <row r="8030" spans="1:9">
      <c r="A8030" s="22" t="str">
        <f>HYPERLINK("https://app.vivvix.com/360/KMI/IntelliDrive/ApplUI/Pages/CreativePages/CustomReportCreativeDetail.aspx?App=23&amp;ReportView=4&amp;Qid=1711279&amp;Row=8022&amp;Col=1","No Title Assigned - #15270591572")</f>
        <v/>
      </c>
      <c r="B8030" s="0" t="s">
        <v>10688</v>
      </c>
      <c r="C8030" s="0" t="s">
        <v>10689</v>
      </c>
      <c r="D8030" s="0" t="s">
        <v>10081</v>
      </c>
      <c r="E8030" s="0" t="inlineStr">
        <is>
          <t xml:space="preserve">Mazda</t>
        </is>
      </c>
      <c r="F8030" s="0" t="s">
        <v>28</v>
      </c>
      <c r="G8030" s="0" t="s">
        <v>29</v>
      </c>
      <c r="H8030" s="5">
        <v>41.703200</v>
      </c>
    </row>
    <row r="8031" spans="1:9">
      <c r="A8031" s="22" t="str">
        <f>HYPERLINK("https://app.vivvix.com/360/KMI/IntelliDrive/ApplUI/Pages/CreativePages/CustomReportCreativeDetail.aspx?App=23&amp;ReportView=4&amp;Qid=1711279&amp;Row=8023&amp;Col=1","No Title Assigned - #15270591572")</f>
        <v/>
      </c>
      <c r="B8031" s="0" t="s">
        <v>10688</v>
      </c>
      <c r="E8031" s="0" t="inlineStr">
        <is>
          <t xml:space="preserve">Mazda</t>
        </is>
      </c>
      <c r="F8031" s="0" t="s">
        <v>28</v>
      </c>
      <c r="G8031" s="0" t="s">
        <v>29</v>
      </c>
      <c r="H8031" s="5">
        <v>186.937900</v>
      </c>
    </row>
    <row r="8032" spans="1:9">
      <c r="A8032" s="22" t="str">
        <f>HYPERLINK("https://app.vivvix.com/360/KMI/IntelliDrive/ApplUI/Pages/CreativePages/CustomReportCreativeDetail.aspx?App=23&amp;ReportView=4&amp;Qid=1711279&amp;Row=8024&amp;Col=1","No Title Assigned - #15270591674")</f>
        <v/>
      </c>
      <c r="B8032" s="0" t="s">
        <v>10690</v>
      </c>
      <c r="C8032" s="0" t="s">
        <v>10691</v>
      </c>
      <c r="D8032" s="0" t="s">
        <v>10691</v>
      </c>
      <c r="E8032" s="0" t="inlineStr">
        <is>
          <t xml:space="preserve">Mazda</t>
        </is>
      </c>
      <c r="F8032" s="0" t="s">
        <v>13</v>
      </c>
      <c r="G8032" s="0" t="s">
        <v>49</v>
      </c>
      <c r="H8032" s="5">
        <v>129.351200</v>
      </c>
    </row>
    <row r="8033" spans="1:9">
      <c r="A8033" s="22" t="str">
        <f>HYPERLINK("https://app.vivvix.com/360/KMI/IntelliDrive/ApplUI/Pages/CreativePages/CustomReportCreativeDetail.aspx?App=23&amp;ReportView=4&amp;Qid=1711279&amp;Row=8025&amp;Col=1","No Title Assigned - #15270591860")</f>
        <v/>
      </c>
      <c r="B8033" s="0" t="s">
        <v>10692</v>
      </c>
      <c r="C8033" s="0" t="s">
        <v>10693</v>
      </c>
      <c r="D8033" s="0" t="s">
        <v>10693</v>
      </c>
      <c r="E8033" s="0" t="inlineStr">
        <is>
          <t xml:space="preserve">Mazda</t>
        </is>
      </c>
      <c r="F8033" s="0" t="s">
        <v>13</v>
      </c>
      <c r="G8033" s="0" t="s">
        <v>49</v>
      </c>
      <c r="H8033" s="5">
        <v>109.933600</v>
      </c>
    </row>
    <row r="8034" spans="1:9">
      <c r="A8034" s="22" t="str">
        <f>HYPERLINK("https://app.vivvix.com/360/KMI/IntelliDrive/ApplUI/Pages/CreativePages/CustomReportCreativeDetail.aspx?App=23&amp;ReportView=4&amp;Qid=1711279&amp;Row=8026&amp;Col=1","No Title Assigned - #15270593558")</f>
        <v/>
      </c>
      <c r="B8034" s="0" t="s">
        <v>10694</v>
      </c>
      <c r="E8034" s="0" t="inlineStr">
        <is>
          <t xml:space="preserve">Mazda</t>
        </is>
      </c>
      <c r="F8034" s="0" t="inlineStr">
        <is>
          <t xml:space="preserve">Mazda</t>
        </is>
      </c>
      <c r="G8034" s="0" t="s">
        <v>171</v>
      </c>
      <c r="H8034" s="5">
        <v>22.671000</v>
      </c>
    </row>
    <row r="8035" spans="1:9">
      <c r="A8035" s="22" t="str">
        <f>HYPERLINK("https://app.vivvix.com/360/KMI/IntelliDrive/ApplUI/Pages/CreativePages/CustomReportCreativeDetail.aspx?App=23&amp;ReportView=4&amp;Qid=1711279&amp;Row=8027&amp;Col=1","No Title Assigned - #15270594792")</f>
        <v/>
      </c>
      <c r="B8035" s="0" t="s">
        <v>10695</v>
      </c>
      <c r="C8035" s="0" t="s">
        <v>10696</v>
      </c>
      <c r="D8035" s="0" t="s">
        <v>10696</v>
      </c>
      <c r="E8035" s="0" t="inlineStr">
        <is>
          <t xml:space="preserve">Mazda</t>
        </is>
      </c>
      <c r="F8035" s="0" t="s">
        <v>28</v>
      </c>
      <c r="G8035" s="0" t="s">
        <v>29</v>
      </c>
      <c r="H8035" s="5">
        <v>112.942800</v>
      </c>
    </row>
    <row r="8036" spans="1:9">
      <c r="A8036" s="22" t="str">
        <f>HYPERLINK("https://app.vivvix.com/360/KMI/IntelliDrive/ApplUI/Pages/CreativePages/CustomReportCreativeDetail.aspx?App=23&amp;ReportView=4&amp;Qid=1711279&amp;Row=8028&amp;Col=1","No Title Assigned - #15270595792")</f>
        <v/>
      </c>
      <c r="B8036" s="0" t="s">
        <v>10697</v>
      </c>
      <c r="C8036" s="0" t="s">
        <v>10698</v>
      </c>
      <c r="D8036" s="0" t="s">
        <v>10698</v>
      </c>
      <c r="E8036" s="0" t="inlineStr">
        <is>
          <t xml:space="preserve">Mazda</t>
        </is>
      </c>
      <c r="F8036" s="0" t="s">
        <v>13</v>
      </c>
      <c r="G8036" s="0" t="s">
        <v>49</v>
      </c>
      <c r="H8036" s="5">
        <v>110.158800</v>
      </c>
    </row>
    <row r="8037" spans="1:9">
      <c r="A8037" s="22" t="str">
        <f>HYPERLINK("https://app.vivvix.com/360/KMI/IntelliDrive/ApplUI/Pages/CreativePages/CustomReportCreativeDetail.aspx?App=23&amp;ReportView=4&amp;Qid=1711279&amp;Row=8029&amp;Col=1","No Title Assigned - #15270596424")</f>
        <v/>
      </c>
      <c r="B8037" s="0" t="s">
        <v>10699</v>
      </c>
      <c r="C8037" s="0" t="s">
        <v>10700</v>
      </c>
      <c r="D8037" s="0" t="s">
        <v>10700</v>
      </c>
      <c r="E8037" s="0" t="inlineStr">
        <is>
          <t xml:space="preserve">Mazda</t>
        </is>
      </c>
      <c r="F8037" s="0" t="s">
        <v>28</v>
      </c>
      <c r="G8037" s="0" t="s">
        <v>29</v>
      </c>
      <c r="H8037" s="5">
        <v>85.892400</v>
      </c>
    </row>
    <row r="8038" spans="1:9">
      <c r="A8038" s="22" t="str">
        <f>HYPERLINK("https://app.vivvix.com/360/KMI/IntelliDrive/ApplUI/Pages/CreativePages/CustomReportCreativeDetail.aspx?App=23&amp;ReportView=4&amp;Qid=1711279&amp;Row=8030&amp;Col=1","No Title Assigned - #15270597388")</f>
        <v/>
      </c>
      <c r="B8038" s="0" t="s">
        <v>10701</v>
      </c>
      <c r="C8038" s="0" t="s">
        <v>10702</v>
      </c>
      <c r="D8038" s="0" t="s">
        <v>10702</v>
      </c>
      <c r="E8038" s="0" t="inlineStr">
        <is>
          <t xml:space="preserve">Mazda</t>
        </is>
      </c>
      <c r="F8038" s="0" t="s">
        <v>28</v>
      </c>
      <c r="G8038" s="0" t="s">
        <v>29</v>
      </c>
      <c r="H8038" s="5">
        <v>4.374900</v>
      </c>
    </row>
    <row r="8039" spans="1:9">
      <c r="A8039" s="22" t="str">
        <f>HYPERLINK("https://app.vivvix.com/360/KMI/IntelliDrive/ApplUI/Pages/CreativePages/CustomReportCreativeDetail.aspx?App=23&amp;ReportView=4&amp;Qid=1711279&amp;Row=8031&amp;Col=1","No Title Assigned - #15270597682")</f>
        <v/>
      </c>
      <c r="B8039" s="0" t="s">
        <v>10703</v>
      </c>
      <c r="C8039" s="0" t="s">
        <v>10704</v>
      </c>
      <c r="D8039" s="0" t="s">
        <v>10704</v>
      </c>
      <c r="E8039" s="0" t="inlineStr">
        <is>
          <t xml:space="preserve">Mazda</t>
        </is>
      </c>
      <c r="F8039" s="0" t="s">
        <v>13</v>
      </c>
      <c r="G8039" s="0" t="s">
        <v>49</v>
      </c>
      <c r="H8039" s="5">
        <v>5841.447800</v>
      </c>
    </row>
    <row r="8040" spans="1:9">
      <c r="A8040" s="22" t="str">
        <f>HYPERLINK("https://app.vivvix.com/360/KMI/IntelliDrive/ApplUI/Pages/CreativePages/CustomReportCreativeDetail.aspx?App=23&amp;ReportView=4&amp;Qid=1711279&amp;Row=8032&amp;Col=1","No Title Assigned - #15270597682")</f>
        <v/>
      </c>
      <c r="B8040" s="0" t="s">
        <v>10703</v>
      </c>
      <c r="E8040" s="0" t="inlineStr">
        <is>
          <t xml:space="preserve">Mazda</t>
        </is>
      </c>
      <c r="F8040" s="0" t="s">
        <v>13</v>
      </c>
      <c r="G8040" s="0" t="s">
        <v>49</v>
      </c>
      <c r="H8040" s="5">
        <v>504.678400</v>
      </c>
    </row>
    <row r="8041" spans="1:9">
      <c r="A8041" s="22" t="str">
        <f>HYPERLINK("https://app.vivvix.com/360/KMI/IntelliDrive/ApplUI/Pages/CreativePages/CustomReportCreativeDetail.aspx?App=23&amp;ReportView=4&amp;Qid=1711279&amp;Row=8033&amp;Col=1","No Title Assigned - #15270598012")</f>
        <v/>
      </c>
      <c r="B8041" s="0" t="s">
        <v>10705</v>
      </c>
      <c r="C8041" s="0" t="s">
        <v>10706</v>
      </c>
      <c r="D8041" s="0" t="s">
        <v>4200</v>
      </c>
      <c r="E8041" s="0" t="inlineStr">
        <is>
          <t xml:space="preserve">Mazda</t>
        </is>
      </c>
      <c r="F8041" s="0" t="s">
        <v>28</v>
      </c>
      <c r="G8041" s="0" t="s">
        <v>29</v>
      </c>
      <c r="H8041" s="5">
        <v>435.355100</v>
      </c>
    </row>
    <row r="8042" spans="1:9">
      <c r="A8042" s="22" t="str">
        <f>HYPERLINK("https://app.vivvix.com/360/KMI/IntelliDrive/ApplUI/Pages/CreativePages/CustomReportCreativeDetail.aspx?App=23&amp;ReportView=4&amp;Qid=1711279&amp;Row=8034&amp;Col=1","No Title Assigned - #15270598616")</f>
        <v/>
      </c>
      <c r="B8042" s="0" t="s">
        <v>10707</v>
      </c>
      <c r="C8042" s="0" t="s">
        <v>10708</v>
      </c>
      <c r="D8042" s="0" t="s">
        <v>10708</v>
      </c>
      <c r="E8042" s="0" t="inlineStr">
        <is>
          <t xml:space="preserve">Mazda</t>
        </is>
      </c>
      <c r="F8042" s="0" t="s">
        <v>28</v>
      </c>
      <c r="G8042" s="0" t="s">
        <v>29</v>
      </c>
      <c r="H8042" s="5">
        <v>22.928500</v>
      </c>
    </row>
    <row r="8043" spans="1:9">
      <c r="A8043" s="22" t="str">
        <f>HYPERLINK("https://app.vivvix.com/360/KMI/IntelliDrive/ApplUI/Pages/CreativePages/CustomReportCreativeDetail.aspx?App=23&amp;ReportView=4&amp;Qid=1711279&amp;Row=8035&amp;Col=1","No Title Assigned - #15270599395")</f>
        <v/>
      </c>
      <c r="B8043" s="0" t="s">
        <v>10709</v>
      </c>
      <c r="E8043" s="0" t="inlineStr">
        <is>
          <t xml:space="preserve">Mazda</t>
        </is>
      </c>
      <c r="F8043" s="0" t="inlineStr">
        <is>
          <t xml:space="preserve">Mazda</t>
        </is>
      </c>
      <c r="G8043" s="0" t="s">
        <v>171</v>
      </c>
      <c r="H8043" s="5">
        <v>5.820300</v>
      </c>
    </row>
    <row r="8044" spans="1:9">
      <c r="A8044" s="22" t="str">
        <f>HYPERLINK("https://app.vivvix.com/360/KMI/IntelliDrive/ApplUI/Pages/CreativePages/CustomReportCreativeDetail.aspx?App=23&amp;ReportView=4&amp;Qid=1711279&amp;Row=8036&amp;Col=1","No Title Assigned - #15270601335")</f>
        <v/>
      </c>
      <c r="B8044" s="0" t="s">
        <v>10710</v>
      </c>
      <c r="C8044" s="0" t="s">
        <v>10711</v>
      </c>
      <c r="D8044" s="0" t="s">
        <v>10711</v>
      </c>
      <c r="E8044" s="0" t="inlineStr">
        <is>
          <t xml:space="preserve">Mazda</t>
        </is>
      </c>
      <c r="F8044" s="0" t="s">
        <v>13</v>
      </c>
      <c r="G8044" s="0" t="s">
        <v>49</v>
      </c>
      <c r="H8044" s="5">
        <v>216.143700</v>
      </c>
    </row>
    <row r="8045" spans="1:9">
      <c r="A8045" s="22" t="str">
        <f>HYPERLINK("https://app.vivvix.com/360/KMI/IntelliDrive/ApplUI/Pages/CreativePages/CustomReportCreativeDetail.aspx?App=23&amp;ReportView=4&amp;Qid=1711279&amp;Row=8037&amp;Col=1","No Title Assigned - #15270601695")</f>
        <v/>
      </c>
      <c r="B8045" s="0" t="s">
        <v>10712</v>
      </c>
      <c r="C8045" s="0" t="s">
        <v>10713</v>
      </c>
      <c r="D8045" s="0" t="s">
        <v>4202</v>
      </c>
      <c r="E8045" s="0" t="inlineStr">
        <is>
          <t xml:space="preserve">Mazda</t>
        </is>
      </c>
      <c r="F8045" s="0" t="s">
        <v>28</v>
      </c>
      <c r="G8045" s="0" t="s">
        <v>29</v>
      </c>
      <c r="H8045" s="5">
        <v>116.098800</v>
      </c>
    </row>
    <row r="8046" spans="1:9">
      <c r="A8046" s="22" t="str">
        <f>HYPERLINK("https://app.vivvix.com/360/KMI/IntelliDrive/ApplUI/Pages/CreativePages/CustomReportCreativeDetail.aspx?App=23&amp;ReportView=4&amp;Qid=1711279&amp;Row=8038&amp;Col=1","No Title Assigned - #15270601814")</f>
        <v/>
      </c>
      <c r="B8046" s="0" t="s">
        <v>10714</v>
      </c>
      <c r="C8046" s="0" t="s">
        <v>10715</v>
      </c>
      <c r="D8046" s="0" t="s">
        <v>10715</v>
      </c>
      <c r="E8046" s="0" t="inlineStr">
        <is>
          <t xml:space="preserve">Mazda</t>
        </is>
      </c>
      <c r="F8046" s="0" t="s">
        <v>28</v>
      </c>
      <c r="G8046" s="0" t="s">
        <v>29</v>
      </c>
      <c r="H8046" s="5">
        <v>1648.234900</v>
      </c>
    </row>
    <row r="8047" spans="1:9">
      <c r="A8047" s="22" t="str">
        <f>HYPERLINK("https://app.vivvix.com/360/KMI/IntelliDrive/ApplUI/Pages/CreativePages/CustomReportCreativeDetail.aspx?App=23&amp;ReportView=4&amp;Qid=1711279&amp;Row=8039&amp;Col=1","No Title Assigned - #15270603085")</f>
        <v/>
      </c>
      <c r="B8047" s="0" t="s">
        <v>10716</v>
      </c>
      <c r="C8047" s="0" t="s">
        <v>10717</v>
      </c>
      <c r="D8047" s="0" t="s">
        <v>10717</v>
      </c>
      <c r="E8047" s="0" t="inlineStr">
        <is>
          <t xml:space="preserve">Mazda</t>
        </is>
      </c>
      <c r="F8047" s="0" t="s">
        <v>13</v>
      </c>
      <c r="G8047" s="0" t="s">
        <v>49</v>
      </c>
      <c r="H8047" s="5">
        <v>125.661900</v>
      </c>
    </row>
    <row r="8048" spans="1:9">
      <c r="A8048" s="22" t="str">
        <f>HYPERLINK("https://app.vivvix.com/360/KMI/IntelliDrive/ApplUI/Pages/CreativePages/CustomReportCreativeDetail.aspx?App=23&amp;ReportView=4&amp;Qid=1711279&amp;Row=8040&amp;Col=1","No Title Assigned - #15270603278")</f>
        <v/>
      </c>
      <c r="B8048" s="0" t="s">
        <v>10718</v>
      </c>
      <c r="C8048" s="0" t="s">
        <v>10719</v>
      </c>
      <c r="D8048" s="0" t="s">
        <v>4202</v>
      </c>
      <c r="E8048" s="0" t="inlineStr">
        <is>
          <t xml:space="preserve">Mazda</t>
        </is>
      </c>
      <c r="F8048" s="0" t="s">
        <v>28</v>
      </c>
      <c r="G8048" s="0" t="s">
        <v>29</v>
      </c>
      <c r="H8048" s="5">
        <v>63.599900</v>
      </c>
    </row>
    <row r="8049" spans="1:9">
      <c r="A8049" s="22" t="str">
        <f>HYPERLINK("https://app.vivvix.com/360/KMI/IntelliDrive/ApplUI/Pages/CreativePages/CustomReportCreativeDetail.aspx?App=23&amp;ReportView=4&amp;Qid=1711279&amp;Row=8041&amp;Col=1","No Title Assigned - #15270603766")</f>
        <v/>
      </c>
      <c r="B8049" s="0" t="s">
        <v>10720</v>
      </c>
      <c r="C8049" s="0" t="s">
        <v>10721</v>
      </c>
      <c r="D8049" s="0" t="s">
        <v>10721</v>
      </c>
      <c r="E8049" s="0" t="inlineStr">
        <is>
          <t xml:space="preserve">Mazda</t>
        </is>
      </c>
      <c r="F8049" s="0" t="s">
        <v>28</v>
      </c>
      <c r="G8049" s="0" t="s">
        <v>29</v>
      </c>
      <c r="H8049" s="5">
        <v>50.245200</v>
      </c>
    </row>
    <row r="8050" spans="1:9">
      <c r="A8050" s="22" t="str">
        <f>HYPERLINK("https://app.vivvix.com/360/KMI/IntelliDrive/ApplUI/Pages/CreativePages/CustomReportCreativeDetail.aspx?App=23&amp;ReportView=4&amp;Qid=1711279&amp;Row=8042&amp;Col=1","No Title Assigned - #15270603871")</f>
        <v/>
      </c>
      <c r="B8050" s="0" t="s">
        <v>10722</v>
      </c>
      <c r="C8050" s="0" t="s">
        <v>10407</v>
      </c>
      <c r="D8050" s="0" t="s">
        <v>10407</v>
      </c>
      <c r="E8050" s="0" t="inlineStr">
        <is>
          <t xml:space="preserve">Mazda</t>
        </is>
      </c>
      <c r="F8050" s="0" t="s">
        <v>13</v>
      </c>
      <c r="G8050" s="0" t="s">
        <v>49</v>
      </c>
      <c r="H8050" s="5">
        <v>62.498500</v>
      </c>
    </row>
    <row r="8051" spans="1:9">
      <c r="A8051" s="22" t="str">
        <f>HYPERLINK("https://app.vivvix.com/360/KMI/IntelliDrive/ApplUI/Pages/CreativePages/CustomReportCreativeDetail.aspx?App=23&amp;ReportView=4&amp;Qid=1711279&amp;Row=8043&amp;Col=1","No Title Assigned - #15270604178")</f>
        <v/>
      </c>
      <c r="B8051" s="0" t="s">
        <v>10723</v>
      </c>
      <c r="C8051" s="0" t="s">
        <v>10724</v>
      </c>
      <c r="D8051" s="0" t="s">
        <v>10724</v>
      </c>
      <c r="E8051" s="0" t="inlineStr">
        <is>
          <t xml:space="preserve">Mazda</t>
        </is>
      </c>
      <c r="F8051" s="0" t="s">
        <v>28</v>
      </c>
      <c r="G8051" s="0" t="s">
        <v>29</v>
      </c>
      <c r="H8051" s="5">
        <v>0.965800</v>
      </c>
    </row>
    <row r="8052" spans="1:9">
      <c r="A8052" s="22" t="str">
        <f>HYPERLINK("https://app.vivvix.com/360/KMI/IntelliDrive/ApplUI/Pages/CreativePages/CustomReportCreativeDetail.aspx?App=23&amp;ReportView=4&amp;Qid=1711279&amp;Row=8044&amp;Col=1","No Title Assigned - #15270604221")</f>
        <v/>
      </c>
      <c r="B8052" s="0" t="s">
        <v>10725</v>
      </c>
      <c r="C8052" s="0" t="s">
        <v>10726</v>
      </c>
      <c r="D8052" s="0" t="s">
        <v>10726</v>
      </c>
      <c r="E8052" s="0" t="inlineStr">
        <is>
          <t xml:space="preserve">Mazda</t>
        </is>
      </c>
      <c r="F8052" s="0" t="s">
        <v>28</v>
      </c>
      <c r="G8052" s="0" t="s">
        <v>29</v>
      </c>
      <c r="H8052" s="5">
        <v>58.049400</v>
      </c>
    </row>
    <row r="8053" spans="1:9">
      <c r="A8053" s="22" t="str">
        <f>HYPERLINK("https://app.vivvix.com/360/KMI/IntelliDrive/ApplUI/Pages/CreativePages/CustomReportCreativeDetail.aspx?App=23&amp;ReportView=4&amp;Qid=1711279&amp;Row=8045&amp;Col=1","No Title Assigned - #15270604225")</f>
        <v/>
      </c>
      <c r="B8053" s="0" t="s">
        <v>10727</v>
      </c>
      <c r="C8053" s="0" t="s">
        <v>10728</v>
      </c>
      <c r="D8053" s="0" t="s">
        <v>10728</v>
      </c>
      <c r="E8053" s="0" t="inlineStr">
        <is>
          <t xml:space="preserve">Mazda</t>
        </is>
      </c>
      <c r="F8053" s="0" t="s">
        <v>13</v>
      </c>
      <c r="G8053" s="0" t="s">
        <v>49</v>
      </c>
      <c r="H8053" s="5">
        <v>525.538000</v>
      </c>
    </row>
    <row r="8054" spans="1:9">
      <c r="A8054" s="22" t="str">
        <f>HYPERLINK("https://app.vivvix.com/360/KMI/IntelliDrive/ApplUI/Pages/CreativePages/CustomReportCreativeDetail.aspx?App=23&amp;ReportView=4&amp;Qid=1711279&amp;Row=8046&amp;Col=1","No Title Assigned - #15270604583")</f>
        <v/>
      </c>
      <c r="B8054" s="0" t="s">
        <v>10729</v>
      </c>
      <c r="C8054" s="0" t="s">
        <v>10730</v>
      </c>
      <c r="D8054" s="0" t="s">
        <v>4200</v>
      </c>
      <c r="E8054" s="0" t="inlineStr">
        <is>
          <t xml:space="preserve">Mazda</t>
        </is>
      </c>
      <c r="F8054" s="0" t="s">
        <v>28</v>
      </c>
      <c r="G8054" s="0" t="s">
        <v>29</v>
      </c>
      <c r="H8054" s="5">
        <v>346.738200</v>
      </c>
    </row>
    <row r="8055" spans="1:9">
      <c r="A8055" s="22" t="str">
        <f>HYPERLINK("https://app.vivvix.com/360/KMI/IntelliDrive/ApplUI/Pages/CreativePages/CustomReportCreativeDetail.aspx?App=23&amp;ReportView=4&amp;Qid=1711279&amp;Row=8047&amp;Col=1","No Title Assigned - #15270605164")</f>
        <v/>
      </c>
      <c r="B8055" s="0" t="s">
        <v>10731</v>
      </c>
      <c r="C8055" s="0" t="s">
        <v>10732</v>
      </c>
      <c r="D8055" s="0" t="s">
        <v>4225</v>
      </c>
      <c r="E8055" s="0" t="inlineStr">
        <is>
          <t xml:space="preserve">Mazda</t>
        </is>
      </c>
      <c r="F8055" s="0" t="s">
        <v>28</v>
      </c>
      <c r="G8055" s="0" t="s">
        <v>29</v>
      </c>
      <c r="H8055" s="5">
        <v>34356.967300</v>
      </c>
    </row>
    <row r="8056" spans="1:9">
      <c r="A8056" s="22" t="str">
        <f>HYPERLINK("https://app.vivvix.com/360/KMI/IntelliDrive/ApplUI/Pages/CreativePages/CustomReportCreativeDetail.aspx?App=23&amp;ReportView=4&amp;Qid=1711279&amp;Row=8048&amp;Col=1","No Title Assigned - #15270605452")</f>
        <v/>
      </c>
      <c r="B8056" s="0" t="s">
        <v>10733</v>
      </c>
      <c r="C8056" s="0" t="s">
        <v>10734</v>
      </c>
      <c r="D8056" s="0" t="s">
        <v>10734</v>
      </c>
      <c r="E8056" s="0" t="inlineStr">
        <is>
          <t xml:space="preserve">Mazda</t>
        </is>
      </c>
      <c r="F8056" s="0" t="inlineStr">
        <is>
          <t xml:space="preserve">Mazda</t>
        </is>
      </c>
      <c r="G8056" s="0" t="s">
        <v>210</v>
      </c>
      <c r="H8056" s="5">
        <v>3906.901800</v>
      </c>
    </row>
    <row r="8057" spans="1:9">
      <c r="A8057" s="22" t="str">
        <f>HYPERLINK("https://app.vivvix.com/360/KMI/IntelliDrive/ApplUI/Pages/CreativePages/CustomReportCreativeDetail.aspx?App=23&amp;ReportView=4&amp;Qid=1711279&amp;Row=8049&amp;Col=1","No Title Assigned - #15270605463")</f>
        <v/>
      </c>
      <c r="B8057" s="0" t="s">
        <v>10735</v>
      </c>
      <c r="C8057" s="0" t="s">
        <v>10736</v>
      </c>
      <c r="D8057" s="0" t="s">
        <v>10736</v>
      </c>
      <c r="E8057" s="0" t="inlineStr">
        <is>
          <t xml:space="preserve">Mazda</t>
        </is>
      </c>
      <c r="F8057" s="0" t="s">
        <v>28</v>
      </c>
      <c r="G8057" s="0" t="s">
        <v>29</v>
      </c>
      <c r="H8057" s="5">
        <v>35.103700</v>
      </c>
    </row>
    <row r="8058" spans="1:9">
      <c r="A8058" s="22" t="str">
        <f>HYPERLINK("https://app.vivvix.com/360/KMI/IntelliDrive/ApplUI/Pages/CreativePages/CustomReportCreativeDetail.aspx?App=23&amp;ReportView=4&amp;Qid=1711279&amp;Row=8050&amp;Col=1","No Title Assigned - #15270605678")</f>
        <v/>
      </c>
      <c r="B8058" s="0" t="s">
        <v>10737</v>
      </c>
      <c r="C8058" s="0" t="s">
        <v>10738</v>
      </c>
      <c r="D8058" s="0" t="s">
        <v>10738</v>
      </c>
      <c r="E8058" s="0" t="inlineStr">
        <is>
          <t xml:space="preserve">Mazda</t>
        </is>
      </c>
      <c r="F8058" s="0" t="s">
        <v>13</v>
      </c>
      <c r="G8058" s="0" t="s">
        <v>49</v>
      </c>
      <c r="H8058" s="5">
        <v>348.376600</v>
      </c>
    </row>
    <row r="8059" spans="1:9">
      <c r="A8059" s="22" t="str">
        <f>HYPERLINK("https://app.vivvix.com/360/KMI/IntelliDrive/ApplUI/Pages/CreativePages/CustomReportCreativeDetail.aspx?App=23&amp;ReportView=4&amp;Qid=1711279&amp;Row=8051&amp;Col=1","No Title Assigned - #15270605723")</f>
        <v/>
      </c>
      <c r="B8059" s="0" t="s">
        <v>10739</v>
      </c>
      <c r="C8059" s="0" t="s">
        <v>10740</v>
      </c>
      <c r="D8059" s="0" t="s">
        <v>8050</v>
      </c>
      <c r="E8059" s="0" t="inlineStr">
        <is>
          <t xml:space="preserve">Mazda</t>
        </is>
      </c>
      <c r="F8059" s="0" t="s">
        <v>28</v>
      </c>
      <c r="G8059" s="0" t="s">
        <v>29</v>
      </c>
      <c r="H8059" s="5">
        <v>5.526000</v>
      </c>
    </row>
    <row r="8060" spans="1:9">
      <c r="A8060" s="22" t="str">
        <f>HYPERLINK("https://app.vivvix.com/360/KMI/IntelliDrive/ApplUI/Pages/CreativePages/CustomReportCreativeDetail.aspx?App=23&amp;ReportView=4&amp;Qid=1711279&amp;Row=8052&amp;Col=1","No Title Assigned - #15270605860")</f>
        <v/>
      </c>
      <c r="B8060" s="0" t="s">
        <v>10741</v>
      </c>
      <c r="E8060" s="0" t="inlineStr">
        <is>
          <t xml:space="preserve">Mazda</t>
        </is>
      </c>
      <c r="F8060" s="0" t="inlineStr">
        <is>
          <t xml:space="preserve">Mazda</t>
        </is>
      </c>
      <c r="G8060" s="0" t="s">
        <v>171</v>
      </c>
      <c r="H8060" s="5">
        <v>146.515300</v>
      </c>
    </row>
    <row r="8061" spans="1:9">
      <c r="A8061" s="22" t="str">
        <f>HYPERLINK("https://app.vivvix.com/360/KMI/IntelliDrive/ApplUI/Pages/CreativePages/CustomReportCreativeDetail.aspx?App=23&amp;ReportView=4&amp;Qid=1711279&amp;Row=8053&amp;Col=1","No Title Assigned - #15270606380")</f>
        <v/>
      </c>
      <c r="B8061" s="0" t="s">
        <v>10742</v>
      </c>
      <c r="E8061" s="0" t="inlineStr">
        <is>
          <t xml:space="preserve">Mazda</t>
        </is>
      </c>
      <c r="F8061" s="0" t="inlineStr">
        <is>
          <t xml:space="preserve">Mazda</t>
        </is>
      </c>
      <c r="G8061" s="0" t="s">
        <v>171</v>
      </c>
      <c r="H8061" s="5">
        <v>769.788500</v>
      </c>
    </row>
    <row r="8062" spans="1:9">
      <c r="A8062" s="22" t="str">
        <f>HYPERLINK("https://app.vivvix.com/360/KMI/IntelliDrive/ApplUI/Pages/CreativePages/CustomReportCreativeDetail.aspx?App=23&amp;ReportView=4&amp;Qid=1711279&amp;Row=8054&amp;Col=1","No Title Assigned - #15270606380")</f>
        <v/>
      </c>
      <c r="B8062" s="0" t="s">
        <v>10742</v>
      </c>
      <c r="E8062" s="0" t="inlineStr">
        <is>
          <t xml:space="preserve">Mazda</t>
        </is>
      </c>
      <c r="F8062" s="0" t="inlineStr">
        <is>
          <t xml:space="preserve">Mazda</t>
        </is>
      </c>
      <c r="G8062" s="0" t="s">
        <v>171</v>
      </c>
      <c r="H8062" s="5">
        <v>14756.185100</v>
      </c>
    </row>
    <row r="8063" spans="1:9">
      <c r="A8063" s="22" t="str">
        <f>HYPERLINK("https://app.vivvix.com/360/KMI/IntelliDrive/ApplUI/Pages/CreativePages/CustomReportCreativeDetail.aspx?App=23&amp;ReportView=4&amp;Qid=1711279&amp;Row=8055&amp;Col=1","No Title Assigned - #15270606795")</f>
        <v/>
      </c>
      <c r="B8063" s="0" t="s">
        <v>10743</v>
      </c>
      <c r="E8063" s="0" t="inlineStr">
        <is>
          <t xml:space="preserve">Mazda</t>
        </is>
      </c>
      <c r="F8063" s="0" t="inlineStr">
        <is>
          <t xml:space="preserve">Mazda</t>
        </is>
      </c>
      <c r="G8063" s="0" t="s">
        <v>171</v>
      </c>
      <c r="H8063" s="5">
        <v>49.310400</v>
      </c>
    </row>
    <row r="8064" spans="1:9">
      <c r="A8064" s="22" t="str">
        <f>HYPERLINK("https://app.vivvix.com/360/KMI/IntelliDrive/ApplUI/Pages/CreativePages/CustomReportCreativeDetail.aspx?App=23&amp;ReportView=4&amp;Qid=1711279&amp;Row=8056&amp;Col=1","No Title Assigned - #15270606795")</f>
        <v/>
      </c>
      <c r="B8064" s="0" t="s">
        <v>10743</v>
      </c>
      <c r="E8064" s="0" t="inlineStr">
        <is>
          <t xml:space="preserve">Mazda</t>
        </is>
      </c>
      <c r="F8064" s="0" t="inlineStr">
        <is>
          <t xml:space="preserve">Mazda</t>
        </is>
      </c>
      <c r="G8064" s="0" t="s">
        <v>171</v>
      </c>
      <c r="H8064" s="5">
        <v>34.440100</v>
      </c>
    </row>
    <row r="8065" spans="1:9">
      <c r="A8065" s="22" t="str">
        <f>HYPERLINK("https://app.vivvix.com/360/KMI/IntelliDrive/ApplUI/Pages/CreativePages/CustomReportCreativeDetail.aspx?App=23&amp;ReportView=4&amp;Qid=1711279&amp;Row=8057&amp;Col=1","No Title Assigned - #15270607568")</f>
        <v/>
      </c>
      <c r="B8065" s="0" t="s">
        <v>10744</v>
      </c>
      <c r="E8065" s="0" t="inlineStr">
        <is>
          <t xml:space="preserve">Mazda</t>
        </is>
      </c>
      <c r="F8065" s="0" t="s">
        <v>13</v>
      </c>
      <c r="G8065" s="0" t="s">
        <v>49</v>
      </c>
      <c r="H8065" s="5">
        <v>2544.393800</v>
      </c>
    </row>
    <row r="8066" spans="1:9">
      <c r="A8066" s="22" t="str">
        <f>HYPERLINK("https://app.vivvix.com/360/KMI/IntelliDrive/ApplUI/Pages/CreativePages/CustomReportCreativeDetail.aspx?App=23&amp;ReportView=4&amp;Qid=1711279&amp;Row=8058&amp;Col=1","No Title Assigned - #15270607568")</f>
        <v/>
      </c>
      <c r="B8066" s="0" t="s">
        <v>10744</v>
      </c>
      <c r="C8066" s="0" t="s">
        <v>10745</v>
      </c>
      <c r="D8066" s="0" t="s">
        <v>10745</v>
      </c>
      <c r="E8066" s="0" t="inlineStr">
        <is>
          <t xml:space="preserve">Mazda</t>
        </is>
      </c>
      <c r="F8066" s="0" t="s">
        <v>13</v>
      </c>
      <c r="G8066" s="0" t="s">
        <v>49</v>
      </c>
      <c r="H8066" s="5">
        <v>374.418400</v>
      </c>
    </row>
    <row r="8067" spans="1:9">
      <c r="A8067" s="22" t="str">
        <f>HYPERLINK("https://app.vivvix.com/360/KMI/IntelliDrive/ApplUI/Pages/CreativePages/CustomReportCreativeDetail.aspx?App=23&amp;ReportView=4&amp;Qid=1711279&amp;Row=8059&amp;Col=1","No Title Assigned - #15270607815")</f>
        <v/>
      </c>
      <c r="B8067" s="0" t="s">
        <v>10746</v>
      </c>
      <c r="C8067" s="0" t="s">
        <v>10747</v>
      </c>
      <c r="D8067" s="0" t="s">
        <v>4335</v>
      </c>
      <c r="E8067" s="0" t="inlineStr">
        <is>
          <t xml:space="preserve">Mazda</t>
        </is>
      </c>
      <c r="F8067" s="0" t="s">
        <v>13</v>
      </c>
      <c r="G8067" s="0" t="s">
        <v>49</v>
      </c>
      <c r="H8067" s="5">
        <v>136.847600</v>
      </c>
    </row>
    <row r="8068" spans="1:9">
      <c r="A8068" s="22" t="str">
        <f>HYPERLINK("https://app.vivvix.com/360/KMI/IntelliDrive/ApplUI/Pages/CreativePages/CustomReportCreativeDetail.aspx?App=23&amp;ReportView=4&amp;Qid=1711279&amp;Row=8060&amp;Col=1","No Title Assigned - #15270607897")</f>
        <v/>
      </c>
      <c r="B8068" s="0" t="s">
        <v>10748</v>
      </c>
      <c r="C8068" s="0" t="s">
        <v>10749</v>
      </c>
      <c r="D8068" s="0" t="s">
        <v>4200</v>
      </c>
      <c r="E8068" s="0" t="inlineStr">
        <is>
          <t xml:space="preserve">Mazda</t>
        </is>
      </c>
      <c r="F8068" s="0" t="s">
        <v>28</v>
      </c>
      <c r="G8068" s="0" t="s">
        <v>29</v>
      </c>
      <c r="H8068" s="5">
        <v>19.234100</v>
      </c>
    </row>
    <row r="8069" spans="1:9">
      <c r="A8069" s="22" t="str">
        <f>HYPERLINK("https://app.vivvix.com/360/KMI/IntelliDrive/ApplUI/Pages/CreativePages/CustomReportCreativeDetail.aspx?App=23&amp;ReportView=4&amp;Qid=1711279&amp;Row=8061&amp;Col=1","No Title Assigned - #15270607943")</f>
        <v/>
      </c>
      <c r="B8069" s="0" t="s">
        <v>10750</v>
      </c>
      <c r="C8069" s="0" t="s">
        <v>10751</v>
      </c>
      <c r="D8069" s="0" t="s">
        <v>10751</v>
      </c>
      <c r="E8069" s="0" t="inlineStr">
        <is>
          <t xml:space="preserve">Mazda</t>
        </is>
      </c>
      <c r="F8069" s="0" t="s">
        <v>13</v>
      </c>
      <c r="G8069" s="0" t="s">
        <v>49</v>
      </c>
      <c r="H8069" s="5">
        <v>39.510200</v>
      </c>
    </row>
    <row r="8070" spans="1:9">
      <c r="A8070" s="22" t="str">
        <f>HYPERLINK("https://app.vivvix.com/360/KMI/IntelliDrive/ApplUI/Pages/CreativePages/CustomReportCreativeDetail.aspx?App=23&amp;ReportView=4&amp;Qid=1711279&amp;Row=8062&amp;Col=1","No Title Assigned - #15270608347")</f>
        <v/>
      </c>
      <c r="B8070" s="0" t="s">
        <v>10752</v>
      </c>
      <c r="C8070" s="0" t="s">
        <v>10753</v>
      </c>
      <c r="D8070" s="0" t="s">
        <v>4202</v>
      </c>
      <c r="E8070" s="0" t="inlineStr">
        <is>
          <t xml:space="preserve">Mazda</t>
        </is>
      </c>
      <c r="F8070" s="0" t="s">
        <v>28</v>
      </c>
      <c r="G8070" s="0" t="s">
        <v>29</v>
      </c>
      <c r="H8070" s="5">
        <v>16920.011200</v>
      </c>
    </row>
    <row r="8071" spans="1:9">
      <c r="A8071" s="22" t="str">
        <f>HYPERLINK("https://app.vivvix.com/360/KMI/IntelliDrive/ApplUI/Pages/CreativePages/CustomReportCreativeDetail.aspx?App=23&amp;ReportView=4&amp;Qid=1711279&amp;Row=8063&amp;Col=1","No Title Assigned - #15270608347")</f>
        <v/>
      </c>
      <c r="B8071" s="0" t="s">
        <v>10752</v>
      </c>
      <c r="E8071" s="0" t="inlineStr">
        <is>
          <t xml:space="preserve">Mazda</t>
        </is>
      </c>
      <c r="F8071" s="0" t="s">
        <v>28</v>
      </c>
      <c r="G8071" s="0" t="s">
        <v>29</v>
      </c>
      <c r="H8071" s="5">
        <v>1598.107100</v>
      </c>
    </row>
    <row r="8072" spans="1:9">
      <c r="A8072" s="22" t="str">
        <f>HYPERLINK("https://app.vivvix.com/360/KMI/IntelliDrive/ApplUI/Pages/CreativePages/CustomReportCreativeDetail.aspx?App=23&amp;ReportView=4&amp;Qid=1711279&amp;Row=8064&amp;Col=1","No Title Assigned - #15270608701")</f>
        <v/>
      </c>
      <c r="B8072" s="0" t="s">
        <v>10754</v>
      </c>
      <c r="C8072" s="0" t="s">
        <v>10755</v>
      </c>
      <c r="D8072" s="0" t="s">
        <v>10755</v>
      </c>
      <c r="E8072" s="0" t="inlineStr">
        <is>
          <t xml:space="preserve">Mazda</t>
        </is>
      </c>
      <c r="F8072" s="0" t="s">
        <v>13</v>
      </c>
      <c r="G8072" s="0" t="s">
        <v>49</v>
      </c>
      <c r="H8072" s="5">
        <v>10214.215500</v>
      </c>
    </row>
    <row r="8073" spans="1:9">
      <c r="A8073" s="22" t="str">
        <f>HYPERLINK("https://app.vivvix.com/360/KMI/IntelliDrive/ApplUI/Pages/CreativePages/CustomReportCreativeDetail.aspx?App=23&amp;ReportView=4&amp;Qid=1711279&amp;Row=8065&amp;Col=1","No Title Assigned - #15270608991")</f>
        <v/>
      </c>
      <c r="B8073" s="0" t="s">
        <v>10756</v>
      </c>
      <c r="C8073" s="0" t="s">
        <v>10757</v>
      </c>
      <c r="D8073" s="0" t="s">
        <v>8808</v>
      </c>
      <c r="E8073" s="0" t="inlineStr">
        <is>
          <t xml:space="preserve">Mazda</t>
        </is>
      </c>
      <c r="F8073" s="0" t="s">
        <v>13</v>
      </c>
      <c r="G8073" s="0" t="s">
        <v>49</v>
      </c>
      <c r="H8073" s="5">
        <v>904.884700</v>
      </c>
    </row>
    <row r="8074" spans="1:9">
      <c r="A8074" s="22" t="str">
        <f>HYPERLINK("https://app.vivvix.com/360/KMI/IntelliDrive/ApplUI/Pages/CreativePages/CustomReportCreativeDetail.aspx?App=23&amp;ReportView=4&amp;Qid=1711279&amp;Row=8066&amp;Col=1","No Title Assigned - #15270609005")</f>
        <v/>
      </c>
      <c r="B8074" s="0" t="s">
        <v>10758</v>
      </c>
      <c r="C8074" s="0" t="s">
        <v>10759</v>
      </c>
      <c r="D8074" s="0" t="s">
        <v>10759</v>
      </c>
      <c r="E8074" s="0" t="inlineStr">
        <is>
          <t xml:space="preserve">Mazda</t>
        </is>
      </c>
      <c r="F8074" s="0" t="s">
        <v>28</v>
      </c>
      <c r="G8074" s="0" t="s">
        <v>29</v>
      </c>
      <c r="H8074" s="5">
        <v>69.836900</v>
      </c>
    </row>
    <row r="8075" spans="1:9">
      <c r="A8075" s="22" t="str">
        <f>HYPERLINK("https://app.vivvix.com/360/KMI/IntelliDrive/ApplUI/Pages/CreativePages/CustomReportCreativeDetail.aspx?App=23&amp;ReportView=4&amp;Qid=1711279&amp;Row=8067&amp;Col=1","No Title Assigned - #15270609015")</f>
        <v/>
      </c>
      <c r="B8075" s="0" t="s">
        <v>10760</v>
      </c>
      <c r="E8075" s="0" t="inlineStr">
        <is>
          <t xml:space="preserve">Mazda</t>
        </is>
      </c>
      <c r="F8075" s="0" t="s">
        <v>13</v>
      </c>
      <c r="G8075" s="0" t="s">
        <v>49</v>
      </c>
      <c r="H8075" s="5">
        <v>56.853900</v>
      </c>
    </row>
    <row r="8076" spans="1:9">
      <c r="A8076" s="22" t="str">
        <f>HYPERLINK("https://app.vivvix.com/360/KMI/IntelliDrive/ApplUI/Pages/CreativePages/CustomReportCreativeDetail.aspx?App=23&amp;ReportView=4&amp;Qid=1711279&amp;Row=8068&amp;Col=1","No Title Assigned - #15270609015")</f>
        <v/>
      </c>
      <c r="B8076" s="0" t="s">
        <v>10760</v>
      </c>
      <c r="C8076" s="0" t="s">
        <v>10761</v>
      </c>
      <c r="D8076" s="0" t="s">
        <v>10761</v>
      </c>
      <c r="E8076" s="0" t="inlineStr">
        <is>
          <t xml:space="preserve">Mazda</t>
        </is>
      </c>
      <c r="F8076" s="0" t="s">
        <v>13</v>
      </c>
      <c r="G8076" s="0" t="s">
        <v>49</v>
      </c>
      <c r="H8076" s="5">
        <v>4728.259600</v>
      </c>
    </row>
    <row r="8077" spans="1:9">
      <c r="A8077" s="22" t="str">
        <f>HYPERLINK("https://app.vivvix.com/360/KMI/IntelliDrive/ApplUI/Pages/CreativePages/CustomReportCreativeDetail.aspx?App=23&amp;ReportView=4&amp;Qid=1711279&amp;Row=8069&amp;Col=1","No Title Assigned - #15270609085")</f>
        <v/>
      </c>
      <c r="B8077" s="0" t="s">
        <v>10762</v>
      </c>
      <c r="C8077" s="0" t="s">
        <v>10763</v>
      </c>
      <c r="D8077" s="0" t="s">
        <v>10763</v>
      </c>
      <c r="E8077" s="0" t="inlineStr">
        <is>
          <t xml:space="preserve">Mazda</t>
        </is>
      </c>
      <c r="F8077" s="0" t="s">
        <v>17</v>
      </c>
      <c r="G8077" s="0" t="s">
        <v>33</v>
      </c>
      <c r="H8077" s="5">
        <v>833.971000</v>
      </c>
    </row>
    <row r="8078" spans="1:9">
      <c r="A8078" s="22" t="str">
        <f>HYPERLINK("https://app.vivvix.com/360/KMI/IntelliDrive/ApplUI/Pages/CreativePages/CustomReportCreativeDetail.aspx?App=23&amp;ReportView=4&amp;Qid=1711279&amp;Row=8070&amp;Col=1","No Title Assigned - #15270609207")</f>
        <v/>
      </c>
      <c r="B8078" s="0" t="s">
        <v>10764</v>
      </c>
      <c r="C8078" s="0" t="s">
        <v>10765</v>
      </c>
      <c r="D8078" s="0" t="s">
        <v>10765</v>
      </c>
      <c r="E8078" s="0" t="inlineStr">
        <is>
          <t xml:space="preserve">Mazda</t>
        </is>
      </c>
      <c r="F8078" s="0" t="s">
        <v>13</v>
      </c>
      <c r="G8078" s="0" t="s">
        <v>49</v>
      </c>
      <c r="H8078" s="5">
        <v>320.424700</v>
      </c>
    </row>
    <row r="8079" spans="1:9">
      <c r="A8079" s="22" t="str">
        <f>HYPERLINK("https://app.vivvix.com/360/KMI/IntelliDrive/ApplUI/Pages/CreativePages/CustomReportCreativeDetail.aspx?App=23&amp;ReportView=4&amp;Qid=1711279&amp;Row=8071&amp;Col=1","No Title Assigned - #15270609207")</f>
        <v/>
      </c>
      <c r="B8079" s="0" t="s">
        <v>10764</v>
      </c>
      <c r="E8079" s="0" t="inlineStr">
        <is>
          <t xml:space="preserve">Mazda</t>
        </is>
      </c>
      <c r="F8079" s="0" t="s">
        <v>13</v>
      </c>
      <c r="G8079" s="0" t="s">
        <v>49</v>
      </c>
      <c r="H8079" s="5">
        <v>103.854600</v>
      </c>
    </row>
    <row r="8080" spans="1:9">
      <c r="A8080" s="22" t="str">
        <f>HYPERLINK("https://app.vivvix.com/360/KMI/IntelliDrive/ApplUI/Pages/CreativePages/CustomReportCreativeDetail.aspx?App=23&amp;ReportView=4&amp;Qid=1711279&amp;Row=8072&amp;Col=1","No Title Assigned - #15270609475")</f>
        <v/>
      </c>
      <c r="B8080" s="0" t="s">
        <v>10766</v>
      </c>
      <c r="C8080" s="0" t="s">
        <v>10767</v>
      </c>
      <c r="D8080" s="0" t="s">
        <v>4407</v>
      </c>
      <c r="E8080" s="0" t="inlineStr">
        <is>
          <t xml:space="preserve">Mazda</t>
        </is>
      </c>
      <c r="F8080" s="0" t="s">
        <v>28</v>
      </c>
      <c r="G8080" s="0" t="s">
        <v>29</v>
      </c>
      <c r="H8080" s="5">
        <v>1037.990200</v>
      </c>
    </row>
    <row r="8081" spans="1:9">
      <c r="A8081" s="22" t="str">
        <f>HYPERLINK("https://app.vivvix.com/360/KMI/IntelliDrive/ApplUI/Pages/CreativePages/CustomReportCreativeDetail.aspx?App=23&amp;ReportView=4&amp;Qid=1711279&amp;Row=8073&amp;Col=1","No Title Assigned - #15270610006")</f>
        <v/>
      </c>
      <c r="B8081" s="0" t="s">
        <v>10768</v>
      </c>
      <c r="E8081" s="0" t="inlineStr">
        <is>
          <t xml:space="preserve">Mazda</t>
        </is>
      </c>
      <c r="F8081" s="0" t="s">
        <v>28</v>
      </c>
      <c r="G8081" s="0" t="s">
        <v>29</v>
      </c>
      <c r="H8081" s="5">
        <v>20.822100</v>
      </c>
    </row>
    <row r="8082" spans="1:9">
      <c r="A8082" s="22" t="str">
        <f>HYPERLINK("https://app.vivvix.com/360/KMI/IntelliDrive/ApplUI/Pages/CreativePages/CustomReportCreativeDetail.aspx?App=23&amp;ReportView=4&amp;Qid=1711279&amp;Row=8074&amp;Col=1","No Title Assigned - #15270610154")</f>
        <v/>
      </c>
      <c r="B8082" s="0" t="s">
        <v>10769</v>
      </c>
      <c r="C8082" s="0" t="s">
        <v>10770</v>
      </c>
      <c r="D8082" s="0" t="s">
        <v>10770</v>
      </c>
      <c r="E8082" s="0" t="inlineStr">
        <is>
          <t xml:space="preserve">Mazda</t>
        </is>
      </c>
      <c r="F8082" s="0" t="s">
        <v>13</v>
      </c>
      <c r="G8082" s="0" t="s">
        <v>49</v>
      </c>
      <c r="H8082" s="5">
        <v>3412.252100</v>
      </c>
    </row>
    <row r="8083" spans="1:9">
      <c r="A8083" s="22" t="str">
        <f>HYPERLINK("https://app.vivvix.com/360/KMI/IntelliDrive/ApplUI/Pages/CreativePages/CustomReportCreativeDetail.aspx?App=23&amp;ReportView=4&amp;Qid=1711279&amp;Row=8075&amp;Col=1","No Title Assigned - #15270610154")</f>
        <v/>
      </c>
      <c r="B8083" s="0" t="s">
        <v>10769</v>
      </c>
      <c r="E8083" s="0" t="inlineStr">
        <is>
          <t xml:space="preserve">Mazda</t>
        </is>
      </c>
      <c r="F8083" s="0" t="s">
        <v>13</v>
      </c>
      <c r="G8083" s="0" t="s">
        <v>49</v>
      </c>
      <c r="H8083" s="5">
        <v>218.452500</v>
      </c>
    </row>
    <row r="8084" spans="1:9">
      <c r="A8084" s="22" t="str">
        <f>HYPERLINK("https://app.vivvix.com/360/KMI/IntelliDrive/ApplUI/Pages/CreativePages/CustomReportCreativeDetail.aspx?App=23&amp;ReportView=4&amp;Qid=1711279&amp;Row=8076&amp;Col=1","No Title Assigned - #15270610902")</f>
        <v/>
      </c>
      <c r="B8084" s="0" t="s">
        <v>10771</v>
      </c>
      <c r="C8084" s="0" t="s">
        <v>10772</v>
      </c>
      <c r="D8084" s="0" t="s">
        <v>10772</v>
      </c>
      <c r="E8084" s="0" t="inlineStr">
        <is>
          <t xml:space="preserve">Mazda</t>
        </is>
      </c>
      <c r="F8084" s="0" t="s">
        <v>28</v>
      </c>
      <c r="G8084" s="0" t="s">
        <v>29</v>
      </c>
      <c r="H8084" s="5">
        <v>65.111200</v>
      </c>
    </row>
    <row r="8085" spans="1:9">
      <c r="A8085" s="22" t="str">
        <f>HYPERLINK("https://app.vivvix.com/360/KMI/IntelliDrive/ApplUI/Pages/CreativePages/CustomReportCreativeDetail.aspx?App=23&amp;ReportView=4&amp;Qid=1711279&amp;Row=8077&amp;Col=1","No Title Assigned - #15270611035")</f>
        <v/>
      </c>
      <c r="B8085" s="0" t="s">
        <v>10773</v>
      </c>
      <c r="E8085" s="0" t="inlineStr">
        <is>
          <t xml:space="preserve">Mazda</t>
        </is>
      </c>
      <c r="F8085" s="0" t="inlineStr">
        <is>
          <t xml:space="preserve">Mazda</t>
        </is>
      </c>
      <c r="G8085" s="0" t="s">
        <v>171</v>
      </c>
      <c r="H8085" s="5">
        <v>70.741200</v>
      </c>
    </row>
    <row r="8086" spans="1:9">
      <c r="A8086" s="22" t="str">
        <f>HYPERLINK("https://app.vivvix.com/360/KMI/IntelliDrive/ApplUI/Pages/CreativePages/CustomReportCreativeDetail.aspx?App=23&amp;ReportView=4&amp;Qid=1711279&amp;Row=8078&amp;Col=1","No Title Assigned - #15270611280")</f>
        <v/>
      </c>
      <c r="B8086" s="0" t="s">
        <v>10774</v>
      </c>
      <c r="C8086" s="0" t="s">
        <v>10775</v>
      </c>
      <c r="D8086" s="0" t="s">
        <v>10775</v>
      </c>
      <c r="E8086" s="0" t="inlineStr">
        <is>
          <t xml:space="preserve">Mazda</t>
        </is>
      </c>
      <c r="F8086" s="0" t="s">
        <v>369</v>
      </c>
      <c r="G8086" s="0" t="s">
        <v>2644</v>
      </c>
      <c r="H8086" s="5">
        <v>46.920900</v>
      </c>
    </row>
    <row r="8087" spans="1:9">
      <c r="A8087" s="22" t="str">
        <f>HYPERLINK("https://app.vivvix.com/360/KMI/IntelliDrive/ApplUI/Pages/CreativePages/CustomReportCreativeDetail.aspx?App=23&amp;ReportView=4&amp;Qid=1711279&amp;Row=8079&amp;Col=1","No Title Assigned - #15270611830")</f>
        <v/>
      </c>
      <c r="B8087" s="0" t="s">
        <v>10776</v>
      </c>
      <c r="C8087" s="0" t="s">
        <v>10777</v>
      </c>
      <c r="D8087" s="0" t="s">
        <v>10777</v>
      </c>
      <c r="E8087" s="0" t="inlineStr">
        <is>
          <t xml:space="preserve">Mazda</t>
        </is>
      </c>
      <c r="F8087" s="0" t="s">
        <v>28</v>
      </c>
      <c r="G8087" s="0" t="s">
        <v>295</v>
      </c>
      <c r="H8087" s="5">
        <v>2964.150600</v>
      </c>
    </row>
    <row r="8088" spans="1:9">
      <c r="A8088" s="22" t="str">
        <f>HYPERLINK("https://app.vivvix.com/360/KMI/IntelliDrive/ApplUI/Pages/CreativePages/CustomReportCreativeDetail.aspx?App=23&amp;ReportView=4&amp;Qid=1711279&amp;Row=8080&amp;Col=1","No Title Assigned - #15270612348")</f>
        <v/>
      </c>
      <c r="B8088" s="0" t="s">
        <v>10778</v>
      </c>
      <c r="E8088" s="0" t="inlineStr">
        <is>
          <t xml:space="preserve">Mazda</t>
        </is>
      </c>
      <c r="F8088" s="0" t="inlineStr">
        <is>
          <t xml:space="preserve">Mazda</t>
        </is>
      </c>
      <c r="G8088" s="0" t="s">
        <v>171</v>
      </c>
      <c r="H8088" s="5">
        <v>797.304000</v>
      </c>
    </row>
    <row r="8089" spans="1:9">
      <c r="A8089" s="22" t="str">
        <f>HYPERLINK("https://app.vivvix.com/360/KMI/IntelliDrive/ApplUI/Pages/CreativePages/CustomReportCreativeDetail.aspx?App=23&amp;ReportView=4&amp;Qid=1711279&amp;Row=8081&amp;Col=1","No Title Assigned - #15270613717")</f>
        <v/>
      </c>
      <c r="B8089" s="0" t="s">
        <v>10779</v>
      </c>
      <c r="C8089" s="0" t="s">
        <v>10780</v>
      </c>
      <c r="D8089" s="0" t="s">
        <v>10780</v>
      </c>
      <c r="E8089" s="0" t="inlineStr">
        <is>
          <t xml:space="preserve">Mazda</t>
        </is>
      </c>
      <c r="F8089" s="0" t="s">
        <v>28</v>
      </c>
      <c r="G8089" s="0" t="s">
        <v>29</v>
      </c>
      <c r="H8089" s="5">
        <v>6.864400</v>
      </c>
    </row>
    <row r="8090" spans="1:9">
      <c r="A8090" s="22" t="str">
        <f>HYPERLINK("https://app.vivvix.com/360/KMI/IntelliDrive/ApplUI/Pages/CreativePages/CustomReportCreativeDetail.aspx?App=23&amp;ReportView=4&amp;Qid=1711279&amp;Row=8082&amp;Col=1","No Title Assigned - #15270613818")</f>
        <v/>
      </c>
      <c r="B8090" s="0" t="s">
        <v>10781</v>
      </c>
      <c r="C8090" s="0" t="s">
        <v>10782</v>
      </c>
      <c r="D8090" s="0" t="s">
        <v>9733</v>
      </c>
      <c r="E8090" s="0" t="inlineStr">
        <is>
          <t xml:space="preserve">Mazda</t>
        </is>
      </c>
      <c r="F8090" s="0" t="s">
        <v>28</v>
      </c>
      <c r="G8090" s="0" t="s">
        <v>29</v>
      </c>
      <c r="H8090" s="5">
        <v>7.544100</v>
      </c>
    </row>
    <row r="8091" spans="1:9">
      <c r="A8091" s="22" t="str">
        <f>HYPERLINK("https://app.vivvix.com/360/KMI/IntelliDrive/ApplUI/Pages/CreativePages/CustomReportCreativeDetail.aspx?App=23&amp;ReportView=4&amp;Qid=1711279&amp;Row=8083&amp;Col=1","No Title Assigned - #15270613971")</f>
        <v/>
      </c>
      <c r="B8091" s="0" t="s">
        <v>10783</v>
      </c>
      <c r="C8091" s="0" t="s">
        <v>10784</v>
      </c>
      <c r="D8091" s="0" t="s">
        <v>10784</v>
      </c>
      <c r="E8091" s="0" t="inlineStr">
        <is>
          <t xml:space="preserve">Mazda</t>
        </is>
      </c>
      <c r="F8091" s="0" t="s">
        <v>28</v>
      </c>
      <c r="G8091" s="0" t="s">
        <v>29</v>
      </c>
      <c r="H8091" s="5">
        <v>365.265400</v>
      </c>
    </row>
    <row r="8092" spans="1:9">
      <c r="A8092" s="22" t="str">
        <f>HYPERLINK("https://app.vivvix.com/360/KMI/IntelliDrive/ApplUI/Pages/CreativePages/CustomReportCreativeDetail.aspx?App=23&amp;ReportView=4&amp;Qid=1711279&amp;Row=8084&amp;Col=1","No Title Assigned - #15270614196")</f>
        <v/>
      </c>
      <c r="B8092" s="0" t="s">
        <v>10785</v>
      </c>
      <c r="C8092" s="0" t="s">
        <v>10786</v>
      </c>
      <c r="D8092" s="0" t="s">
        <v>10786</v>
      </c>
      <c r="E8092" s="0" t="inlineStr">
        <is>
          <t xml:space="preserve">Mazda</t>
        </is>
      </c>
      <c r="F8092" s="0" t="s">
        <v>28</v>
      </c>
      <c r="G8092" s="0" t="s">
        <v>29</v>
      </c>
      <c r="H8092" s="5">
        <v>33.352400</v>
      </c>
    </row>
    <row r="8093" spans="1:9">
      <c r="A8093" s="22" t="str">
        <f>HYPERLINK("https://app.vivvix.com/360/KMI/IntelliDrive/ApplUI/Pages/CreativePages/CustomReportCreativeDetail.aspx?App=23&amp;ReportView=4&amp;Qid=1711279&amp;Row=8085&amp;Col=1","No Title Assigned - #15270614459")</f>
        <v/>
      </c>
      <c r="B8093" s="0" t="s">
        <v>10787</v>
      </c>
      <c r="C8093" s="0" t="s">
        <v>10788</v>
      </c>
      <c r="D8093" s="0" t="s">
        <v>10788</v>
      </c>
      <c r="E8093" s="0" t="inlineStr">
        <is>
          <t xml:space="preserve">Mazda</t>
        </is>
      </c>
      <c r="F8093" s="0" t="inlineStr">
        <is>
          <t xml:space="preserve">Mazda</t>
        </is>
      </c>
      <c r="G8093" s="0" t="s">
        <v>171</v>
      </c>
      <c r="H8093" s="5">
        <v>28.300300</v>
      </c>
    </row>
    <row r="8094" spans="1:9">
      <c r="A8094" s="22" t="str">
        <f>HYPERLINK("https://app.vivvix.com/360/KMI/IntelliDrive/ApplUI/Pages/CreativePages/CustomReportCreativeDetail.aspx?App=23&amp;ReportView=4&amp;Qid=1711279&amp;Row=8086&amp;Col=1","No Title Assigned - #15270614629")</f>
        <v/>
      </c>
      <c r="B8094" s="0" t="s">
        <v>10789</v>
      </c>
      <c r="C8094" s="0" t="s">
        <v>10790</v>
      </c>
      <c r="D8094" s="0" t="s">
        <v>4200</v>
      </c>
      <c r="E8094" s="0" t="inlineStr">
        <is>
          <t xml:space="preserve">Mazda</t>
        </is>
      </c>
      <c r="F8094" s="0" t="s">
        <v>28</v>
      </c>
      <c r="G8094" s="0" t="s">
        <v>29</v>
      </c>
      <c r="H8094" s="5">
        <v>9.237900</v>
      </c>
    </row>
    <row r="8095" spans="1:9">
      <c r="A8095" s="22" t="str">
        <f>HYPERLINK("https://app.vivvix.com/360/KMI/IntelliDrive/ApplUI/Pages/CreativePages/CustomReportCreativeDetail.aspx?App=23&amp;ReportView=4&amp;Qid=1711279&amp;Row=8087&amp;Col=1","No Title Assigned - #15270615730")</f>
        <v/>
      </c>
      <c r="B8095" s="0" t="s">
        <v>10791</v>
      </c>
      <c r="C8095" s="0" t="s">
        <v>10792</v>
      </c>
      <c r="D8095" s="0" t="s">
        <v>10792</v>
      </c>
      <c r="E8095" s="0" t="inlineStr">
        <is>
          <t xml:space="preserve">Mazda</t>
        </is>
      </c>
      <c r="F8095" s="0" t="inlineStr">
        <is>
          <t xml:space="preserve">Mazda</t>
        </is>
      </c>
      <c r="G8095" s="0" t="s">
        <v>171</v>
      </c>
      <c r="H8095" s="5">
        <v>598.417400</v>
      </c>
    </row>
    <row r="8096" spans="1:9">
      <c r="A8096" s="22" t="str">
        <f>HYPERLINK("https://app.vivvix.com/360/KMI/IntelliDrive/ApplUI/Pages/CreativePages/CustomReportCreativeDetail.aspx?App=23&amp;ReportView=4&amp;Qid=1711279&amp;Row=8088&amp;Col=1","No Title Assigned - #15270616619")</f>
        <v/>
      </c>
      <c r="B8096" s="0" t="s">
        <v>10793</v>
      </c>
      <c r="C8096" s="0" t="s">
        <v>10794</v>
      </c>
      <c r="D8096" s="0" t="s">
        <v>10794</v>
      </c>
      <c r="E8096" s="0" t="inlineStr">
        <is>
          <t xml:space="preserve">Mazda</t>
        </is>
      </c>
      <c r="F8096" s="0" t="s">
        <v>13</v>
      </c>
      <c r="G8096" s="0" t="s">
        <v>49</v>
      </c>
      <c r="H8096" s="5">
        <v>35.208000</v>
      </c>
    </row>
    <row r="8097" spans="1:9">
      <c r="A8097" s="22" t="str">
        <f>HYPERLINK("https://app.vivvix.com/360/KMI/IntelliDrive/ApplUI/Pages/CreativePages/CustomReportCreativeDetail.aspx?App=23&amp;ReportView=4&amp;Qid=1711279&amp;Row=8089&amp;Col=1","No Title Assigned - #15270616707")</f>
        <v/>
      </c>
      <c r="B8097" s="0" t="s">
        <v>10795</v>
      </c>
      <c r="C8097" s="0" t="s">
        <v>10796</v>
      </c>
      <c r="D8097" s="0" t="s">
        <v>4333</v>
      </c>
      <c r="E8097" s="0" t="inlineStr">
        <is>
          <t xml:space="preserve">Mazda</t>
        </is>
      </c>
      <c r="F8097" s="0" t="s">
        <v>28</v>
      </c>
      <c r="G8097" s="0" t="s">
        <v>29</v>
      </c>
      <c r="H8097" s="5">
        <v>8.710900</v>
      </c>
    </row>
    <row r="8098" spans="1:9">
      <c r="A8098" s="22" t="str">
        <f>HYPERLINK("https://app.vivvix.com/360/KMI/IntelliDrive/ApplUI/Pages/CreativePages/CustomReportCreativeDetail.aspx?App=23&amp;ReportView=4&amp;Qid=1711279&amp;Row=8090&amp;Col=1","No Title Assigned - #15270616751")</f>
        <v/>
      </c>
      <c r="B8098" s="0" t="s">
        <v>10797</v>
      </c>
      <c r="C8098" s="0" t="s">
        <v>10798</v>
      </c>
      <c r="D8098" s="0" t="s">
        <v>8986</v>
      </c>
      <c r="E8098" s="0" t="inlineStr">
        <is>
          <t xml:space="preserve">Mazda</t>
        </is>
      </c>
      <c r="F8098" s="0" t="s">
        <v>28</v>
      </c>
      <c r="G8098" s="0" t="s">
        <v>29</v>
      </c>
      <c r="H8098" s="5">
        <v>14.027200</v>
      </c>
    </row>
    <row r="8099" spans="1:9">
      <c r="A8099" s="22" t="str">
        <f>HYPERLINK("https://app.vivvix.com/360/KMI/IntelliDrive/ApplUI/Pages/CreativePages/CustomReportCreativeDetail.aspx?App=23&amp;ReportView=4&amp;Qid=1711279&amp;Row=8091&amp;Col=1","No Title Assigned - #15270617187")</f>
        <v/>
      </c>
      <c r="B8099" s="0" t="s">
        <v>10799</v>
      </c>
      <c r="C8099" s="0" t="s">
        <v>10800</v>
      </c>
      <c r="D8099" s="0" t="s">
        <v>10800</v>
      </c>
      <c r="E8099" s="0" t="inlineStr">
        <is>
          <t xml:space="preserve">Mazda</t>
        </is>
      </c>
      <c r="F8099" s="0" t="s">
        <v>28</v>
      </c>
      <c r="G8099" s="0" t="s">
        <v>29</v>
      </c>
      <c r="H8099" s="5">
        <v>206.380800</v>
      </c>
    </row>
    <row r="8100" spans="1:9">
      <c r="A8100" s="22" t="str">
        <f>HYPERLINK("https://app.vivvix.com/360/KMI/IntelliDrive/ApplUI/Pages/CreativePages/CustomReportCreativeDetail.aspx?App=23&amp;ReportView=4&amp;Qid=1711279&amp;Row=8092&amp;Col=1","No Title Assigned - #15270617629")</f>
        <v/>
      </c>
      <c r="B8100" s="0" t="s">
        <v>10801</v>
      </c>
      <c r="E8100" s="0" t="inlineStr">
        <is>
          <t xml:space="preserve">Mazda</t>
        </is>
      </c>
      <c r="F8100" s="0" t="inlineStr">
        <is>
          <t xml:space="preserve">Mazda</t>
        </is>
      </c>
      <c r="G8100" s="0" t="s">
        <v>171</v>
      </c>
      <c r="H8100" s="5">
        <v>54.884500</v>
      </c>
    </row>
    <row r="8101" spans="1:9">
      <c r="A8101" s="22" t="str">
        <f>HYPERLINK("https://app.vivvix.com/360/KMI/IntelliDrive/ApplUI/Pages/CreativePages/CustomReportCreativeDetail.aspx?App=23&amp;ReportView=4&amp;Qid=1711279&amp;Row=8093&amp;Col=1","No Title Assigned - #15270618016")</f>
        <v/>
      </c>
      <c r="B8101" s="0" t="s">
        <v>10802</v>
      </c>
      <c r="C8101" s="0" t="s">
        <v>10803</v>
      </c>
      <c r="D8101" s="0" t="s">
        <v>4204</v>
      </c>
      <c r="E8101" s="0" t="inlineStr">
        <is>
          <t xml:space="preserve">Mazda</t>
        </is>
      </c>
      <c r="F8101" s="0" t="s">
        <v>28</v>
      </c>
      <c r="G8101" s="0" t="s">
        <v>29</v>
      </c>
      <c r="H8101" s="5">
        <v>19.644200</v>
      </c>
    </row>
    <row r="8102" spans="1:9">
      <c r="A8102" s="22" t="str">
        <f>HYPERLINK("https://app.vivvix.com/360/KMI/IntelliDrive/ApplUI/Pages/CreativePages/CustomReportCreativeDetail.aspx?App=23&amp;ReportView=4&amp;Qid=1711279&amp;Row=8094&amp;Col=1","No Title Assigned - #15270618236")</f>
        <v/>
      </c>
      <c r="B8102" s="0" t="s">
        <v>10804</v>
      </c>
      <c r="C8102" s="0" t="s">
        <v>10805</v>
      </c>
      <c r="D8102" s="0" t="s">
        <v>10805</v>
      </c>
      <c r="E8102" s="0" t="inlineStr">
        <is>
          <t xml:space="preserve">Mazda</t>
        </is>
      </c>
      <c r="F8102" s="0" t="s">
        <v>13</v>
      </c>
      <c r="G8102" s="0" t="s">
        <v>49</v>
      </c>
      <c r="H8102" s="5">
        <v>91839.568500</v>
      </c>
    </row>
    <row r="8103" spans="1:9">
      <c r="A8103" s="22" t="str">
        <f>HYPERLINK("https://app.vivvix.com/360/KMI/IntelliDrive/ApplUI/Pages/CreativePages/CustomReportCreativeDetail.aspx?App=23&amp;ReportView=4&amp;Qid=1711279&amp;Row=8095&amp;Col=1","No Title Assigned - #15270618236")</f>
        <v/>
      </c>
      <c r="B8103" s="0" t="s">
        <v>10804</v>
      </c>
      <c r="E8103" s="0" t="inlineStr">
        <is>
          <t xml:space="preserve">Mazda</t>
        </is>
      </c>
      <c r="F8103" s="0" t="s">
        <v>13</v>
      </c>
      <c r="G8103" s="0" t="s">
        <v>49</v>
      </c>
      <c r="H8103" s="5">
        <v>3100.761500</v>
      </c>
    </row>
    <row r="8104" spans="1:9">
      <c r="A8104" s="22" t="str">
        <f>HYPERLINK("https://app.vivvix.com/360/KMI/IntelliDrive/ApplUI/Pages/CreativePages/CustomReportCreativeDetail.aspx?App=23&amp;ReportView=4&amp;Qid=1711279&amp;Row=8096&amp;Col=1","No Title Assigned - #15270618923")</f>
        <v/>
      </c>
      <c r="B8104" s="0" t="s">
        <v>10806</v>
      </c>
      <c r="C8104" s="0" t="s">
        <v>10807</v>
      </c>
      <c r="D8104" s="0" t="s">
        <v>10807</v>
      </c>
      <c r="E8104" s="0" t="inlineStr">
        <is>
          <t xml:space="preserve">Mazda</t>
        </is>
      </c>
      <c r="F8104" s="0" t="s">
        <v>28</v>
      </c>
      <c r="G8104" s="0" t="s">
        <v>29</v>
      </c>
      <c r="H8104" s="5">
        <v>941.096600</v>
      </c>
    </row>
    <row r="8105" spans="1:9">
      <c r="A8105" s="22" t="str">
        <f>HYPERLINK("https://app.vivvix.com/360/KMI/IntelliDrive/ApplUI/Pages/CreativePages/CustomReportCreativeDetail.aspx?App=23&amp;ReportView=4&amp;Qid=1711279&amp;Row=8097&amp;Col=1","No Title Assigned - #15270619475")</f>
        <v/>
      </c>
      <c r="B8105" s="0" t="s">
        <v>10808</v>
      </c>
      <c r="C8105" s="0" t="s">
        <v>10809</v>
      </c>
      <c r="D8105" s="0" t="s">
        <v>10809</v>
      </c>
      <c r="E8105" s="0" t="inlineStr">
        <is>
          <t xml:space="preserve">Mazda</t>
        </is>
      </c>
      <c r="F8105" s="0" t="s">
        <v>28</v>
      </c>
      <c r="G8105" s="0" t="s">
        <v>29</v>
      </c>
      <c r="H8105" s="5">
        <v>70.356800</v>
      </c>
    </row>
    <row r="8106" spans="1:9">
      <c r="A8106" s="22" t="str">
        <f>HYPERLINK("https://app.vivvix.com/360/KMI/IntelliDrive/ApplUI/Pages/CreativePages/CustomReportCreativeDetail.aspx?App=23&amp;ReportView=4&amp;Qid=1711279&amp;Row=8098&amp;Col=1","No Title Assigned - #15270619610")</f>
        <v/>
      </c>
      <c r="B8106" s="0" t="s">
        <v>10810</v>
      </c>
      <c r="C8106" s="0" t="s">
        <v>10811</v>
      </c>
      <c r="D8106" s="0" t="s">
        <v>4200</v>
      </c>
      <c r="E8106" s="0" t="inlineStr">
        <is>
          <t xml:space="preserve">Mazda</t>
        </is>
      </c>
      <c r="F8106" s="0" t="s">
        <v>28</v>
      </c>
      <c r="G8106" s="0" t="s">
        <v>29</v>
      </c>
      <c r="H8106" s="5">
        <v>13.822900</v>
      </c>
    </row>
    <row r="8107" spans="1:9">
      <c r="A8107" s="22" t="str">
        <f>HYPERLINK("https://app.vivvix.com/360/KMI/IntelliDrive/ApplUI/Pages/CreativePages/CustomReportCreativeDetail.aspx?App=23&amp;ReportView=4&amp;Qid=1711279&amp;Row=8099&amp;Col=1","No Title Assigned - #15270619832")</f>
        <v/>
      </c>
      <c r="B8107" s="0" t="s">
        <v>10812</v>
      </c>
      <c r="C8107" s="0" t="s">
        <v>10813</v>
      </c>
      <c r="D8107" s="0" t="s">
        <v>10813</v>
      </c>
      <c r="E8107" s="0" t="inlineStr">
        <is>
          <t xml:space="preserve">Mazda</t>
        </is>
      </c>
      <c r="F8107" s="0" t="s">
        <v>28</v>
      </c>
      <c r="G8107" s="0" t="s">
        <v>29</v>
      </c>
      <c r="H8107" s="5">
        <v>376.555800</v>
      </c>
    </row>
    <row r="8108" spans="1:9">
      <c r="A8108" s="22" t="str">
        <f>HYPERLINK("https://app.vivvix.com/360/KMI/IntelliDrive/ApplUI/Pages/CreativePages/CustomReportCreativeDetail.aspx?App=23&amp;ReportView=4&amp;Qid=1711279&amp;Row=8100&amp;Col=1","No Title Assigned - #15270620148")</f>
        <v/>
      </c>
      <c r="B8108" s="0" t="s">
        <v>10814</v>
      </c>
      <c r="C8108" s="0" t="s">
        <v>10815</v>
      </c>
      <c r="D8108" s="0" t="s">
        <v>4200</v>
      </c>
      <c r="E8108" s="0" t="inlineStr">
        <is>
          <t xml:space="preserve">Mazda</t>
        </is>
      </c>
      <c r="F8108" s="0" t="s">
        <v>28</v>
      </c>
      <c r="G8108" s="0" t="s">
        <v>29</v>
      </c>
      <c r="H8108" s="5">
        <v>14.987400</v>
      </c>
    </row>
    <row r="8109" spans="1:9">
      <c r="A8109" s="22" t="str">
        <f>HYPERLINK("https://app.vivvix.com/360/KMI/IntelliDrive/ApplUI/Pages/CreativePages/CustomReportCreativeDetail.aspx?App=23&amp;ReportView=4&amp;Qid=1711279&amp;Row=8101&amp;Col=1","No Title Assigned - #15270620171")</f>
        <v/>
      </c>
      <c r="B8109" s="0" t="s">
        <v>10816</v>
      </c>
      <c r="C8109" s="0" t="s">
        <v>10817</v>
      </c>
      <c r="D8109" s="0" t="s">
        <v>4204</v>
      </c>
      <c r="E8109" s="0" t="inlineStr">
        <is>
          <t xml:space="preserve">Mazda</t>
        </is>
      </c>
      <c r="F8109" s="0" t="s">
        <v>28</v>
      </c>
      <c r="G8109" s="0" t="s">
        <v>29</v>
      </c>
      <c r="H8109" s="5">
        <v>39.266500</v>
      </c>
    </row>
    <row r="8110" spans="1:9">
      <c r="A8110" s="22" t="str">
        <f>HYPERLINK("https://app.vivvix.com/360/KMI/IntelliDrive/ApplUI/Pages/CreativePages/CustomReportCreativeDetail.aspx?App=23&amp;ReportView=4&amp;Qid=1711279&amp;Row=8102&amp;Col=1","No Title Assigned - #15270620173")</f>
        <v/>
      </c>
      <c r="B8110" s="0" t="s">
        <v>10818</v>
      </c>
      <c r="C8110" s="0" t="s">
        <v>10819</v>
      </c>
      <c r="D8110" s="0" t="s">
        <v>4202</v>
      </c>
      <c r="E8110" s="0" t="inlineStr">
        <is>
          <t xml:space="preserve">Mazda</t>
        </is>
      </c>
      <c r="F8110" s="0" t="s">
        <v>28</v>
      </c>
      <c r="G8110" s="0" t="s">
        <v>29</v>
      </c>
      <c r="H8110" s="5">
        <v>11.333600</v>
      </c>
    </row>
    <row r="8111" spans="1:9">
      <c r="A8111" s="22" t="str">
        <f>HYPERLINK("https://app.vivvix.com/360/KMI/IntelliDrive/ApplUI/Pages/CreativePages/CustomReportCreativeDetail.aspx?App=23&amp;ReportView=4&amp;Qid=1711279&amp;Row=8103&amp;Col=1","No Title Assigned - #15270621843")</f>
        <v/>
      </c>
      <c r="B8111" s="0" t="s">
        <v>10820</v>
      </c>
      <c r="E8111" s="0" t="inlineStr">
        <is>
          <t xml:space="preserve">Mazda</t>
        </is>
      </c>
      <c r="F8111" s="0" t="inlineStr">
        <is>
          <t xml:space="preserve">Mazda</t>
        </is>
      </c>
      <c r="G8111" s="0" t="s">
        <v>171</v>
      </c>
      <c r="H8111" s="5">
        <v>143.799100</v>
      </c>
    </row>
    <row r="8112" spans="1:9">
      <c r="A8112" s="22" t="str">
        <f>HYPERLINK("https://app.vivvix.com/360/KMI/IntelliDrive/ApplUI/Pages/CreativePages/CustomReportCreativeDetail.aspx?App=23&amp;ReportView=4&amp;Qid=1711279&amp;Row=8104&amp;Col=1","No Title Assigned - #15270621843")</f>
        <v/>
      </c>
      <c r="B8112" s="0" t="s">
        <v>10820</v>
      </c>
      <c r="E8112" s="0" t="inlineStr">
        <is>
          <t xml:space="preserve">Mazda</t>
        </is>
      </c>
      <c r="F8112" s="0" t="inlineStr">
        <is>
          <t xml:space="preserve">Mazda</t>
        </is>
      </c>
      <c r="G8112" s="0" t="s">
        <v>171</v>
      </c>
      <c r="H8112" s="5">
        <v>666.404200</v>
      </c>
    </row>
    <row r="8113" spans="1:9">
      <c r="A8113" s="22" t="str">
        <f>HYPERLINK("https://app.vivvix.com/360/KMI/IntelliDrive/ApplUI/Pages/CreativePages/CustomReportCreativeDetail.aspx?App=23&amp;ReportView=4&amp;Qid=1711279&amp;Row=8105&amp;Col=1","No Title Assigned - #15270622094")</f>
        <v/>
      </c>
      <c r="B8113" s="0" t="s">
        <v>10821</v>
      </c>
      <c r="E8113" s="0" t="inlineStr">
        <is>
          <t xml:space="preserve">Mazda</t>
        </is>
      </c>
      <c r="F8113" s="0" t="inlineStr">
        <is>
          <t xml:space="preserve">Mazda</t>
        </is>
      </c>
      <c r="G8113" s="0" t="s">
        <v>171</v>
      </c>
      <c r="H8113" s="5">
        <v>84.700500</v>
      </c>
    </row>
    <row r="8114" spans="1:9">
      <c r="A8114" s="22" t="str">
        <f>HYPERLINK("https://app.vivvix.com/360/KMI/IntelliDrive/ApplUI/Pages/CreativePages/CustomReportCreativeDetail.aspx?App=23&amp;ReportView=4&amp;Qid=1711279&amp;Row=8106&amp;Col=1","No Title Assigned - #15270622951")</f>
        <v/>
      </c>
      <c r="B8114" s="0" t="s">
        <v>10822</v>
      </c>
      <c r="E8114" s="0" t="inlineStr">
        <is>
          <t xml:space="preserve">Mazda</t>
        </is>
      </c>
      <c r="F8114" s="0" t="inlineStr">
        <is>
          <t xml:space="preserve">Mazda</t>
        </is>
      </c>
      <c r="G8114" s="0" t="s">
        <v>171</v>
      </c>
      <c r="H8114" s="5">
        <v>11765.627100</v>
      </c>
    </row>
    <row r="8115" spans="1:9">
      <c r="A8115" s="22" t="str">
        <f>HYPERLINK("https://app.vivvix.com/360/KMI/IntelliDrive/ApplUI/Pages/CreativePages/CustomReportCreativeDetail.aspx?App=23&amp;ReportView=4&amp;Qid=1711279&amp;Row=8107&amp;Col=1","No Title Assigned - #15270622951")</f>
        <v/>
      </c>
      <c r="B8115" s="0" t="s">
        <v>10822</v>
      </c>
      <c r="E8115" s="0" t="inlineStr">
        <is>
          <t xml:space="preserve">Mazda</t>
        </is>
      </c>
      <c r="F8115" s="0" t="inlineStr">
        <is>
          <t xml:space="preserve">Mazda</t>
        </is>
      </c>
      <c r="G8115" s="0" t="s">
        <v>171</v>
      </c>
      <c r="H8115" s="5">
        <v>62.910200</v>
      </c>
    </row>
    <row r="8116" spans="1:9">
      <c r="A8116" s="22" t="str">
        <f>HYPERLINK("https://app.vivvix.com/360/KMI/IntelliDrive/ApplUI/Pages/CreativePages/CustomReportCreativeDetail.aspx?App=23&amp;ReportView=4&amp;Qid=1711279&amp;Row=8108&amp;Col=1","No Title Assigned - #15270623093")</f>
        <v/>
      </c>
      <c r="B8116" s="0" t="s">
        <v>10823</v>
      </c>
      <c r="E8116" s="0" t="inlineStr">
        <is>
          <t xml:space="preserve">Mazda</t>
        </is>
      </c>
      <c r="F8116" s="0" t="inlineStr">
        <is>
          <t xml:space="preserve">Mazda</t>
        </is>
      </c>
      <c r="G8116" s="0" t="s">
        <v>171</v>
      </c>
      <c r="H8116" s="5">
        <v>6.483400</v>
      </c>
    </row>
    <row r="8117" spans="1:9">
      <c r="A8117" s="22" t="str">
        <f>HYPERLINK("https://app.vivvix.com/360/KMI/IntelliDrive/ApplUI/Pages/CreativePages/CustomReportCreativeDetail.aspx?App=23&amp;ReportView=4&amp;Qid=1711279&amp;Row=8109&amp;Col=1","No Title Assigned - #15270623190")</f>
        <v/>
      </c>
      <c r="B8117" s="0" t="s">
        <v>10824</v>
      </c>
      <c r="E8117" s="0" t="inlineStr">
        <is>
          <t xml:space="preserve">Mazda</t>
        </is>
      </c>
      <c r="F8117" s="0" t="inlineStr">
        <is>
          <t xml:space="preserve">Mazda</t>
        </is>
      </c>
      <c r="G8117" s="0" t="s">
        <v>171</v>
      </c>
      <c r="H8117" s="5">
        <v>5.820300</v>
      </c>
    </row>
    <row r="8118" spans="1:9">
      <c r="A8118" s="22" t="str">
        <f>HYPERLINK("https://app.vivvix.com/360/KMI/IntelliDrive/ApplUI/Pages/CreativePages/CustomReportCreativeDetail.aspx?App=23&amp;ReportView=4&amp;Qid=1711279&amp;Row=8110&amp;Col=1","No Title Assigned - #15270625077")</f>
        <v/>
      </c>
      <c r="B8118" s="0" t="s">
        <v>10825</v>
      </c>
      <c r="E8118" s="0" t="inlineStr">
        <is>
          <t xml:space="preserve">Mazda</t>
        </is>
      </c>
      <c r="F8118" s="0" t="inlineStr">
        <is>
          <t xml:space="preserve">Mazda</t>
        </is>
      </c>
      <c r="G8118" s="0" t="s">
        <v>171</v>
      </c>
      <c r="H8118" s="5">
        <v>5.080700</v>
      </c>
    </row>
    <row r="8119" spans="1:9">
      <c r="A8119" s="22" t="str">
        <f>HYPERLINK("https://app.vivvix.com/360/KMI/IntelliDrive/ApplUI/Pages/CreativePages/CustomReportCreativeDetail.aspx?App=23&amp;ReportView=4&amp;Qid=1711279&amp;Row=8111&amp;Col=1","No Title Assigned - #15270627098")</f>
        <v/>
      </c>
      <c r="B8119" s="0" t="s">
        <v>10826</v>
      </c>
      <c r="E8119" s="0" t="inlineStr">
        <is>
          <t xml:space="preserve">Mazda</t>
        </is>
      </c>
      <c r="F8119" s="0" t="inlineStr">
        <is>
          <t xml:space="preserve">Mazda</t>
        </is>
      </c>
      <c r="G8119" s="0" t="s">
        <v>171</v>
      </c>
      <c r="H8119" s="5">
        <v>34.761900</v>
      </c>
    </row>
    <row r="8120" spans="1:9">
      <c r="A8120" s="22" t="str">
        <f>HYPERLINK("https://app.vivvix.com/360/KMI/IntelliDrive/ApplUI/Pages/CreativePages/CustomReportCreativeDetail.aspx?App=23&amp;ReportView=4&amp;Qid=1711279&amp;Row=8112&amp;Col=1","No Title Assigned - #15270627416")</f>
        <v/>
      </c>
      <c r="B8120" s="0" t="s">
        <v>10827</v>
      </c>
      <c r="C8120" s="0" t="s">
        <v>10828</v>
      </c>
      <c r="D8120" s="0" t="s">
        <v>10828</v>
      </c>
      <c r="E8120" s="0" t="inlineStr">
        <is>
          <t xml:space="preserve">Mazda</t>
        </is>
      </c>
      <c r="F8120" s="0" t="inlineStr">
        <is>
          <t xml:space="preserve">Mazda</t>
        </is>
      </c>
      <c r="G8120" s="0" t="s">
        <v>171</v>
      </c>
      <c r="H8120" s="5">
        <v>12.925500</v>
      </c>
    </row>
    <row r="8121" spans="1:9">
      <c r="A8121" s="22" t="str">
        <f>HYPERLINK("https://app.vivvix.com/360/KMI/IntelliDrive/ApplUI/Pages/CreativePages/CustomReportCreativeDetail.aspx?App=23&amp;ReportView=4&amp;Qid=1711279&amp;Row=8113&amp;Col=1","No Title Assigned - #15270627516")</f>
        <v/>
      </c>
      <c r="B8121" s="0" t="s">
        <v>10829</v>
      </c>
      <c r="C8121" s="0" t="s">
        <v>10830</v>
      </c>
      <c r="D8121" s="0" t="s">
        <v>10830</v>
      </c>
      <c r="E8121" s="0" t="inlineStr">
        <is>
          <t xml:space="preserve">Mazda</t>
        </is>
      </c>
      <c r="F8121" s="0" t="inlineStr">
        <is>
          <t xml:space="preserve">Mazda</t>
        </is>
      </c>
      <c r="G8121" s="0" t="s">
        <v>171</v>
      </c>
      <c r="H8121" s="5">
        <v>119.007300</v>
      </c>
    </row>
    <row r="8122" spans="1:9">
      <c r="A8122" s="22" t="str">
        <f>HYPERLINK("https://app.vivvix.com/360/KMI/IntelliDrive/ApplUI/Pages/CreativePages/CustomReportCreativeDetail.aspx?App=23&amp;ReportView=4&amp;Qid=1711279&amp;Row=8114&amp;Col=1","No Title Assigned - #15270627517")</f>
        <v/>
      </c>
      <c r="B8122" s="0" t="s">
        <v>10831</v>
      </c>
      <c r="E8122" s="0" t="inlineStr">
        <is>
          <t xml:space="preserve">Mazda</t>
        </is>
      </c>
      <c r="F8122" s="0" t="inlineStr">
        <is>
          <t xml:space="preserve">Mazda</t>
        </is>
      </c>
      <c r="G8122" s="0" t="s">
        <v>171</v>
      </c>
      <c r="H8122" s="5">
        <v>39.669100</v>
      </c>
    </row>
    <row r="8123" spans="1:9">
      <c r="A8123" s="22" t="str">
        <f>HYPERLINK("https://app.vivvix.com/360/KMI/IntelliDrive/ApplUI/Pages/CreativePages/CustomReportCreativeDetail.aspx?App=23&amp;ReportView=4&amp;Qid=1711279&amp;Row=8115&amp;Col=1","No Title Assigned - #15270627548")</f>
        <v/>
      </c>
      <c r="B8123" s="0" t="s">
        <v>10832</v>
      </c>
      <c r="E8123" s="0" t="inlineStr">
        <is>
          <t xml:space="preserve">Mazda</t>
        </is>
      </c>
      <c r="F8123" s="0" t="inlineStr">
        <is>
          <t xml:space="preserve">Mazda</t>
        </is>
      </c>
      <c r="G8123" s="0" t="s">
        <v>171</v>
      </c>
      <c r="H8123" s="5">
        <v>136.207700</v>
      </c>
    </row>
    <row r="8124" spans="1:9">
      <c r="A8124" s="22" t="str">
        <f>HYPERLINK("https://app.vivvix.com/360/KMI/IntelliDrive/ApplUI/Pages/CreativePages/CustomReportCreativeDetail.aspx?App=23&amp;ReportView=4&amp;Qid=1711279&amp;Row=8116&amp;Col=1","No Title Assigned - #15270627704")</f>
        <v/>
      </c>
      <c r="B8124" s="0" t="s">
        <v>10833</v>
      </c>
      <c r="E8124" s="0" t="inlineStr">
        <is>
          <t xml:space="preserve">Mazda</t>
        </is>
      </c>
      <c r="F8124" s="0" t="inlineStr">
        <is>
          <t xml:space="preserve">Mazda</t>
        </is>
      </c>
      <c r="G8124" s="0" t="s">
        <v>171</v>
      </c>
      <c r="H8124" s="5">
        <v>17.867800</v>
      </c>
    </row>
    <row r="8125" spans="1:9">
      <c r="A8125" s="22" t="str">
        <f>HYPERLINK("https://app.vivvix.com/360/KMI/IntelliDrive/ApplUI/Pages/CreativePages/CustomReportCreativeDetail.aspx?App=23&amp;ReportView=4&amp;Qid=1711279&amp;Row=8117&amp;Col=1","No Title Assigned - #15270627794")</f>
        <v/>
      </c>
      <c r="B8125" s="0" t="s">
        <v>10834</v>
      </c>
      <c r="E8125" s="0" t="inlineStr">
        <is>
          <t xml:space="preserve">Mazda</t>
        </is>
      </c>
      <c r="F8125" s="0" t="inlineStr">
        <is>
          <t xml:space="preserve">Mazda</t>
        </is>
      </c>
      <c r="G8125" s="0" t="s">
        <v>171</v>
      </c>
      <c r="H8125" s="5">
        <v>69.814400</v>
      </c>
    </row>
    <row r="8126" spans="1:9">
      <c r="A8126" s="22" t="str">
        <f>HYPERLINK("https://app.vivvix.com/360/KMI/IntelliDrive/ApplUI/Pages/CreativePages/CustomReportCreativeDetail.aspx?App=23&amp;ReportView=4&amp;Qid=1711279&amp;Row=8118&amp;Col=1","No Title Assigned - #15270627971")</f>
        <v/>
      </c>
      <c r="B8126" s="0" t="s">
        <v>10835</v>
      </c>
      <c r="E8126" s="0" t="inlineStr">
        <is>
          <t xml:space="preserve">Mazda</t>
        </is>
      </c>
      <c r="F8126" s="0" t="inlineStr">
        <is>
          <t xml:space="preserve">Mazda</t>
        </is>
      </c>
      <c r="G8126" s="0" t="s">
        <v>171</v>
      </c>
      <c r="H8126" s="5">
        <v>114.016200</v>
      </c>
    </row>
    <row r="8127" spans="1:9">
      <c r="A8127" s="22" t="str">
        <f>HYPERLINK("https://app.vivvix.com/360/KMI/IntelliDrive/ApplUI/Pages/CreativePages/CustomReportCreativeDetail.aspx?App=23&amp;ReportView=4&amp;Qid=1711279&amp;Row=8119&amp;Col=1","No Title Assigned - #15270627990")</f>
        <v/>
      </c>
      <c r="B8127" s="0" t="s">
        <v>10836</v>
      </c>
      <c r="C8127" s="0" t="s">
        <v>10837</v>
      </c>
      <c r="D8127" s="0" t="s">
        <v>10837</v>
      </c>
      <c r="E8127" s="0" t="inlineStr">
        <is>
          <t xml:space="preserve">Mazda</t>
        </is>
      </c>
      <c r="F8127" s="0" t="inlineStr">
        <is>
          <t xml:space="preserve">Mazda</t>
        </is>
      </c>
      <c r="G8127" s="0" t="s">
        <v>171</v>
      </c>
      <c r="H8127" s="5">
        <v>133.798200</v>
      </c>
    </row>
    <row r="8128" spans="1:9">
      <c r="A8128" s="22" t="str">
        <f>HYPERLINK("https://app.vivvix.com/360/KMI/IntelliDrive/ApplUI/Pages/CreativePages/CustomReportCreativeDetail.aspx?App=23&amp;ReportView=4&amp;Qid=1711279&amp;Row=8120&amp;Col=1","No Title Assigned - #15270628017")</f>
        <v/>
      </c>
      <c r="B8128" s="0" t="s">
        <v>10838</v>
      </c>
      <c r="E8128" s="0" t="inlineStr">
        <is>
          <t xml:space="preserve">Mazda</t>
        </is>
      </c>
      <c r="F8128" s="0" t="inlineStr">
        <is>
          <t xml:space="preserve">Mazda</t>
        </is>
      </c>
      <c r="G8128" s="0" t="s">
        <v>171</v>
      </c>
      <c r="H8128" s="5">
        <v>211.397500</v>
      </c>
    </row>
    <row r="8129" spans="1:9">
      <c r="A8129" s="22" t="str">
        <f>HYPERLINK("https://app.vivvix.com/360/KMI/IntelliDrive/ApplUI/Pages/CreativePages/CustomReportCreativeDetail.aspx?App=23&amp;ReportView=4&amp;Qid=1711279&amp;Row=8121&amp;Col=1","No Title Assigned - #15270628064")</f>
        <v/>
      </c>
      <c r="B8129" s="0" t="s">
        <v>10839</v>
      </c>
      <c r="E8129" s="0" t="inlineStr">
        <is>
          <t xml:space="preserve">Mazda</t>
        </is>
      </c>
      <c r="F8129" s="0" t="inlineStr">
        <is>
          <t xml:space="preserve">Mazda</t>
        </is>
      </c>
      <c r="G8129" s="0" t="s">
        <v>171</v>
      </c>
      <c r="H8129" s="5">
        <v>92.362600</v>
      </c>
    </row>
    <row r="8130" spans="1:9">
      <c r="A8130" s="22" t="str">
        <f>HYPERLINK("https://app.vivvix.com/360/KMI/IntelliDrive/ApplUI/Pages/CreativePages/CustomReportCreativeDetail.aspx?App=23&amp;ReportView=4&amp;Qid=1711279&amp;Row=8122&amp;Col=1","No Title Assigned - #15270628567")</f>
        <v/>
      </c>
      <c r="B8130" s="0" t="s">
        <v>10840</v>
      </c>
      <c r="E8130" s="0" t="inlineStr">
        <is>
          <t xml:space="preserve">Mazda</t>
        </is>
      </c>
      <c r="F8130" s="0" t="inlineStr">
        <is>
          <t xml:space="preserve">Mazda</t>
        </is>
      </c>
      <c r="G8130" s="0" t="s">
        <v>171</v>
      </c>
      <c r="H8130" s="5">
        <v>120.190000</v>
      </c>
    </row>
    <row r="8131" spans="1:9">
      <c r="A8131" s="22" t="str">
        <f>HYPERLINK("https://app.vivvix.com/360/KMI/IntelliDrive/ApplUI/Pages/CreativePages/CustomReportCreativeDetail.aspx?App=23&amp;ReportView=4&amp;Qid=1711279&amp;Row=8123&amp;Col=1","No Title Assigned - #15270628845")</f>
        <v/>
      </c>
      <c r="B8131" s="0" t="s">
        <v>10841</v>
      </c>
      <c r="E8131" s="0" t="inlineStr">
        <is>
          <t xml:space="preserve">Mazda</t>
        </is>
      </c>
      <c r="F8131" s="0" t="inlineStr">
        <is>
          <t xml:space="preserve">Mazda</t>
        </is>
      </c>
      <c r="G8131" s="0" t="s">
        <v>171</v>
      </c>
      <c r="H8131" s="5">
        <v>549.354000</v>
      </c>
    </row>
    <row r="8132" spans="1:9">
      <c r="A8132" s="22" t="str">
        <f>HYPERLINK("https://app.vivvix.com/360/KMI/IntelliDrive/ApplUI/Pages/CreativePages/CustomReportCreativeDetail.aspx?App=23&amp;ReportView=4&amp;Qid=1711279&amp;Row=8124&amp;Col=1","No Title Assigned - #15270628845")</f>
        <v/>
      </c>
      <c r="B8132" s="0" t="s">
        <v>10841</v>
      </c>
      <c r="E8132" s="0" t="inlineStr">
        <is>
          <t xml:space="preserve">Mazda</t>
        </is>
      </c>
      <c r="F8132" s="0" t="inlineStr">
        <is>
          <t xml:space="preserve">Mazda</t>
        </is>
      </c>
      <c r="G8132" s="0" t="s">
        <v>171</v>
      </c>
      <c r="H8132" s="5">
        <v>469.583300</v>
      </c>
    </row>
    <row r="8133" spans="1:9">
      <c r="A8133" s="22" t="str">
        <f>HYPERLINK("https://app.vivvix.com/360/KMI/IntelliDrive/ApplUI/Pages/CreativePages/CustomReportCreativeDetail.aspx?App=23&amp;ReportView=4&amp;Qid=1711279&amp;Row=8125&amp;Col=1","No Title Assigned - #15270628892")</f>
        <v/>
      </c>
      <c r="B8133" s="0" t="s">
        <v>10842</v>
      </c>
      <c r="E8133" s="0" t="inlineStr">
        <is>
          <t xml:space="preserve">Mazda</t>
        </is>
      </c>
      <c r="F8133" s="0" t="inlineStr">
        <is>
          <t xml:space="preserve">Mazda</t>
        </is>
      </c>
      <c r="G8133" s="0" t="s">
        <v>171</v>
      </c>
      <c r="H8133" s="5">
        <v>54.041400</v>
      </c>
    </row>
    <row r="8134" spans="1:9">
      <c r="A8134" s="22" t="str">
        <f>HYPERLINK("https://app.vivvix.com/360/KMI/IntelliDrive/ApplUI/Pages/CreativePages/CustomReportCreativeDetail.aspx?App=23&amp;ReportView=4&amp;Qid=1711279&amp;Row=8126&amp;Col=1","No Title Assigned - #15270629040")</f>
        <v/>
      </c>
      <c r="B8134" s="0" t="s">
        <v>10843</v>
      </c>
      <c r="E8134" s="0" t="inlineStr">
        <is>
          <t xml:space="preserve">Mazda</t>
        </is>
      </c>
      <c r="F8134" s="0" t="inlineStr">
        <is>
          <t xml:space="preserve">Mazda</t>
        </is>
      </c>
      <c r="G8134" s="0" t="s">
        <v>171</v>
      </c>
      <c r="H8134" s="5">
        <v>161.479800</v>
      </c>
    </row>
    <row r="8135" spans="1:9">
      <c r="A8135" s="22" t="str">
        <f>HYPERLINK("https://app.vivvix.com/360/KMI/IntelliDrive/ApplUI/Pages/CreativePages/CustomReportCreativeDetail.aspx?App=23&amp;ReportView=4&amp;Qid=1711279&amp;Row=8127&amp;Col=1","No Title Assigned - #15270629216")</f>
        <v/>
      </c>
      <c r="B8135" s="0" t="s">
        <v>10844</v>
      </c>
      <c r="E8135" s="0" t="inlineStr">
        <is>
          <t xml:space="preserve">Mazda</t>
        </is>
      </c>
      <c r="F8135" s="0" t="inlineStr">
        <is>
          <t xml:space="preserve">Mazda</t>
        </is>
      </c>
      <c r="G8135" s="0" t="s">
        <v>171</v>
      </c>
      <c r="H8135" s="5">
        <v>40.944300</v>
      </c>
    </row>
    <row r="8136" spans="1:9">
      <c r="A8136" s="22" t="str">
        <f>HYPERLINK("https://app.vivvix.com/360/KMI/IntelliDrive/ApplUI/Pages/CreativePages/CustomReportCreativeDetail.aspx?App=23&amp;ReportView=4&amp;Qid=1711279&amp;Row=8128&amp;Col=1","No Title Assigned - #15270629279")</f>
        <v/>
      </c>
      <c r="B8136" s="0" t="s">
        <v>10845</v>
      </c>
      <c r="E8136" s="0" t="inlineStr">
        <is>
          <t xml:space="preserve">Mazda</t>
        </is>
      </c>
      <c r="F8136" s="0" t="inlineStr">
        <is>
          <t xml:space="preserve">Mazda</t>
        </is>
      </c>
      <c r="G8136" s="0" t="s">
        <v>171</v>
      </c>
      <c r="H8136" s="5">
        <v>82.582100</v>
      </c>
    </row>
    <row r="8137" spans="1:9">
      <c r="A8137" s="22" t="str">
        <f>HYPERLINK("https://app.vivvix.com/360/KMI/IntelliDrive/ApplUI/Pages/CreativePages/CustomReportCreativeDetail.aspx?App=23&amp;ReportView=4&amp;Qid=1711279&amp;Row=8129&amp;Col=1","No Title Assigned - #15270629819")</f>
        <v/>
      </c>
      <c r="B8137" s="0" t="s">
        <v>10846</v>
      </c>
      <c r="C8137" s="0" t="s">
        <v>10847</v>
      </c>
      <c r="D8137" s="0" t="s">
        <v>10847</v>
      </c>
      <c r="E8137" s="0" t="inlineStr">
        <is>
          <t xml:space="preserve">Mazda</t>
        </is>
      </c>
      <c r="F8137" s="0" t="inlineStr">
        <is>
          <t xml:space="preserve">Mazda</t>
        </is>
      </c>
      <c r="G8137" s="0" t="s">
        <v>171</v>
      </c>
      <c r="H8137" s="5">
        <v>2219.654300</v>
      </c>
    </row>
    <row r="8138" spans="1:9">
      <c r="A8138" s="22" t="str">
        <f>HYPERLINK("https://app.vivvix.com/360/KMI/IntelliDrive/ApplUI/Pages/CreativePages/CustomReportCreativeDetail.aspx?App=23&amp;ReportView=4&amp;Qid=1711279&amp;Row=8130&amp;Col=1","No Title Assigned - #15270629819")</f>
        <v/>
      </c>
      <c r="B8138" s="0" t="s">
        <v>10846</v>
      </c>
      <c r="E8138" s="0" t="inlineStr">
        <is>
          <t xml:space="preserve">Mazda</t>
        </is>
      </c>
      <c r="F8138" s="0" t="inlineStr">
        <is>
          <t xml:space="preserve">Mazda</t>
        </is>
      </c>
      <c r="G8138" s="0" t="s">
        <v>171</v>
      </c>
      <c r="H8138" s="5">
        <v>317.139200</v>
      </c>
    </row>
    <row r="8139" spans="1:9">
      <c r="A8139" s="22" t="str">
        <f>HYPERLINK("https://app.vivvix.com/360/KMI/IntelliDrive/ApplUI/Pages/CreativePages/CustomReportCreativeDetail.aspx?App=23&amp;ReportView=4&amp;Qid=1711279&amp;Row=8131&amp;Col=1","No Title Assigned - #15270629826")</f>
        <v/>
      </c>
      <c r="B8139" s="0" t="s">
        <v>10848</v>
      </c>
      <c r="E8139" s="0" t="inlineStr">
        <is>
          <t xml:space="preserve">Mazda</t>
        </is>
      </c>
      <c r="F8139" s="0" t="inlineStr">
        <is>
          <t xml:space="preserve">Mazda</t>
        </is>
      </c>
      <c r="G8139" s="0" t="s">
        <v>171</v>
      </c>
      <c r="H8139" s="5">
        <v>246.823500</v>
      </c>
    </row>
    <row r="8140" spans="1:9">
      <c r="A8140" s="22" t="str">
        <f>HYPERLINK("https://app.vivvix.com/360/KMI/IntelliDrive/ApplUI/Pages/CreativePages/CustomReportCreativeDetail.aspx?App=23&amp;ReportView=4&amp;Qid=1711279&amp;Row=8132&amp;Col=1","No Title Assigned - #15270630311")</f>
        <v/>
      </c>
      <c r="B8140" s="0" t="s">
        <v>10849</v>
      </c>
      <c r="C8140" s="0" t="s">
        <v>10850</v>
      </c>
      <c r="D8140" s="0" t="s">
        <v>10850</v>
      </c>
      <c r="E8140" s="0" t="inlineStr">
        <is>
          <t xml:space="preserve">Mazda</t>
        </is>
      </c>
      <c r="F8140" s="0" t="inlineStr">
        <is>
          <t xml:space="preserve">Mazda</t>
        </is>
      </c>
      <c r="G8140" s="0" t="s">
        <v>171</v>
      </c>
      <c r="H8140" s="5">
        <v>19.688000</v>
      </c>
    </row>
    <row r="8141" spans="1:9">
      <c r="A8141" s="22" t="str">
        <f>HYPERLINK("https://app.vivvix.com/360/KMI/IntelliDrive/ApplUI/Pages/CreativePages/CustomReportCreativeDetail.aspx?App=23&amp;ReportView=4&amp;Qid=1711279&amp;Row=8133&amp;Col=1","No Title Assigned - #15270630615")</f>
        <v/>
      </c>
      <c r="B8141" s="0" t="s">
        <v>10851</v>
      </c>
      <c r="E8141" s="0" t="inlineStr">
        <is>
          <t xml:space="preserve">Mazda</t>
        </is>
      </c>
      <c r="F8141" s="0" t="inlineStr">
        <is>
          <t xml:space="preserve">Mazda</t>
        </is>
      </c>
      <c r="G8141" s="0" t="s">
        <v>171</v>
      </c>
      <c r="H8141" s="5">
        <v>49.249100</v>
      </c>
    </row>
    <row r="8142" spans="1:9">
      <c r="A8142" s="22" t="str">
        <f>HYPERLINK("https://app.vivvix.com/360/KMI/IntelliDrive/ApplUI/Pages/CreativePages/CustomReportCreativeDetail.aspx?App=23&amp;ReportView=4&amp;Qid=1711279&amp;Row=8134&amp;Col=1","No Title Assigned - #15270630636")</f>
        <v/>
      </c>
      <c r="B8142" s="0" t="s">
        <v>10852</v>
      </c>
      <c r="E8142" s="0" t="inlineStr">
        <is>
          <t xml:space="preserve">Mazda</t>
        </is>
      </c>
      <c r="F8142" s="0" t="inlineStr">
        <is>
          <t xml:space="preserve">Mazda</t>
        </is>
      </c>
      <c r="G8142" s="0" t="s">
        <v>171</v>
      </c>
      <c r="H8142" s="5">
        <v>44.512200</v>
      </c>
    </row>
    <row r="8143" spans="1:9">
      <c r="A8143" s="22" t="str">
        <f>HYPERLINK("https://app.vivvix.com/360/KMI/IntelliDrive/ApplUI/Pages/CreativePages/CustomReportCreativeDetail.aspx?App=23&amp;ReportView=4&amp;Qid=1711279&amp;Row=8135&amp;Col=1","No Title Assigned - #15270630731")</f>
        <v/>
      </c>
      <c r="B8143" s="0" t="s">
        <v>10853</v>
      </c>
      <c r="E8143" s="0" t="inlineStr">
        <is>
          <t xml:space="preserve">Mazda</t>
        </is>
      </c>
      <c r="F8143" s="0" t="inlineStr">
        <is>
          <t xml:space="preserve">Mazda</t>
        </is>
      </c>
      <c r="G8143" s="0" t="s">
        <v>171</v>
      </c>
      <c r="H8143" s="5">
        <v>68.756900</v>
      </c>
    </row>
    <row r="8144" spans="1:9">
      <c r="A8144" s="22" t="str">
        <f>HYPERLINK("https://app.vivvix.com/360/KMI/IntelliDrive/ApplUI/Pages/CreativePages/CustomReportCreativeDetail.aspx?App=23&amp;ReportView=4&amp;Qid=1711279&amp;Row=8136&amp;Col=1","No Title Assigned - #15270630753")</f>
        <v/>
      </c>
      <c r="B8144" s="0" t="s">
        <v>10854</v>
      </c>
      <c r="E8144" s="0" t="inlineStr">
        <is>
          <t xml:space="preserve">Mazda</t>
        </is>
      </c>
      <c r="F8144" s="0" t="inlineStr">
        <is>
          <t xml:space="preserve">Mazda</t>
        </is>
      </c>
      <c r="G8144" s="0" t="s">
        <v>171</v>
      </c>
      <c r="H8144" s="5">
        <v>23.805500</v>
      </c>
    </row>
    <row r="8145" spans="1:9">
      <c r="A8145" s="22" t="str">
        <f>HYPERLINK("https://app.vivvix.com/360/KMI/IntelliDrive/ApplUI/Pages/CreativePages/CustomReportCreativeDetail.aspx?App=23&amp;ReportView=4&amp;Qid=1711279&amp;Row=8137&amp;Col=1","No Title Assigned - #15270631850")</f>
        <v/>
      </c>
      <c r="B8145" s="0" t="s">
        <v>10855</v>
      </c>
      <c r="E8145" s="0" t="inlineStr">
        <is>
          <t xml:space="preserve">Mazda</t>
        </is>
      </c>
      <c r="F8145" s="0" t="inlineStr">
        <is>
          <t xml:space="preserve">Mazda</t>
        </is>
      </c>
      <c r="G8145" s="0" t="s">
        <v>171</v>
      </c>
      <c r="H8145" s="5">
        <v>171.749100</v>
      </c>
    </row>
    <row r="8146" spans="1:9">
      <c r="A8146" s="22" t="str">
        <f>HYPERLINK("https://app.vivvix.com/360/KMI/IntelliDrive/ApplUI/Pages/CreativePages/CustomReportCreativeDetail.aspx?App=23&amp;ReportView=4&amp;Qid=1711279&amp;Row=8138&amp;Col=1","No Title Assigned - #15270632031")</f>
        <v/>
      </c>
      <c r="B8146" s="0" t="s">
        <v>10856</v>
      </c>
      <c r="E8146" s="0" t="inlineStr">
        <is>
          <t xml:space="preserve">Mazda</t>
        </is>
      </c>
      <c r="F8146" s="0" t="inlineStr">
        <is>
          <t xml:space="preserve">Mazda</t>
        </is>
      </c>
      <c r="G8146" s="0" t="s">
        <v>171</v>
      </c>
      <c r="H8146" s="5">
        <v>3.563800</v>
      </c>
    </row>
    <row r="8147" spans="1:9">
      <c r="A8147" s="22" t="str">
        <f>HYPERLINK("https://app.vivvix.com/360/KMI/IntelliDrive/ApplUI/Pages/CreativePages/CustomReportCreativeDetail.aspx?App=23&amp;ReportView=4&amp;Qid=1711279&amp;Row=8139&amp;Col=1","No Title Assigned - #15270632653")</f>
        <v/>
      </c>
      <c r="B8147" s="0" t="s">
        <v>10857</v>
      </c>
      <c r="E8147" s="0" t="inlineStr">
        <is>
          <t xml:space="preserve">Mazda</t>
        </is>
      </c>
      <c r="F8147" s="0" t="inlineStr">
        <is>
          <t xml:space="preserve">Mazda</t>
        </is>
      </c>
      <c r="G8147" s="0" t="s">
        <v>171</v>
      </c>
      <c r="H8147" s="5">
        <v>103.730600</v>
      </c>
    </row>
    <row r="8148" spans="1:9">
      <c r="A8148" s="22" t="str">
        <f>HYPERLINK("https://app.vivvix.com/360/KMI/IntelliDrive/ApplUI/Pages/CreativePages/CustomReportCreativeDetail.aspx?App=23&amp;ReportView=4&amp;Qid=1711279&amp;Row=8140&amp;Col=1","No Title Assigned - #15270634004")</f>
        <v/>
      </c>
      <c r="B8148" s="0" t="s">
        <v>10858</v>
      </c>
      <c r="E8148" s="0" t="inlineStr">
        <is>
          <t xml:space="preserve">Mazda</t>
        </is>
      </c>
      <c r="F8148" s="0" t="inlineStr">
        <is>
          <t xml:space="preserve">Mazda</t>
        </is>
      </c>
      <c r="G8148" s="0" t="s">
        <v>171</v>
      </c>
      <c r="H8148" s="5">
        <v>10.991900</v>
      </c>
    </row>
    <row r="8149" spans="1:9">
      <c r="A8149" s="22" t="str">
        <f>HYPERLINK("https://app.vivvix.com/360/KMI/IntelliDrive/ApplUI/Pages/CreativePages/CustomReportCreativeDetail.aspx?App=23&amp;ReportView=4&amp;Qid=1711279&amp;Row=8141&amp;Col=1","No Title Assigned - #15270634249")</f>
        <v/>
      </c>
      <c r="B8149" s="0" t="s">
        <v>10859</v>
      </c>
      <c r="C8149" s="0" t="s">
        <v>10860</v>
      </c>
      <c r="D8149" s="0" t="s">
        <v>10860</v>
      </c>
      <c r="E8149" s="0" t="inlineStr">
        <is>
          <t xml:space="preserve">Mazda</t>
        </is>
      </c>
      <c r="F8149" s="0" t="s">
        <v>13</v>
      </c>
      <c r="G8149" s="0" t="s">
        <v>49</v>
      </c>
      <c r="H8149" s="5">
        <v>10527.274700</v>
      </c>
    </row>
    <row r="8150" spans="1:9">
      <c r="A8150" s="22" t="str">
        <f>HYPERLINK("https://app.vivvix.com/360/KMI/IntelliDrive/ApplUI/Pages/CreativePages/CustomReportCreativeDetail.aspx?App=23&amp;ReportView=4&amp;Qid=1711279&amp;Row=8142&amp;Col=1","No Title Assigned - #15270634249")</f>
        <v/>
      </c>
      <c r="B8150" s="0" t="s">
        <v>10859</v>
      </c>
      <c r="E8150" s="0" t="inlineStr">
        <is>
          <t xml:space="preserve">Mazda</t>
        </is>
      </c>
      <c r="F8150" s="0" t="s">
        <v>13</v>
      </c>
      <c r="G8150" s="0" t="s">
        <v>49</v>
      </c>
      <c r="H8150" s="5">
        <v>89114.052700</v>
      </c>
    </row>
    <row r="8151" spans="1:9">
      <c r="A8151" s="22" t="str">
        <f>HYPERLINK("https://app.vivvix.com/360/KMI/IntelliDrive/ApplUI/Pages/CreativePages/CustomReportCreativeDetail.aspx?App=23&amp;ReportView=4&amp;Qid=1711279&amp;Row=8143&amp;Col=1","No Title Assigned - #15270634398")</f>
        <v/>
      </c>
      <c r="B8151" s="0" t="s">
        <v>10861</v>
      </c>
      <c r="E8151" s="0" t="inlineStr">
        <is>
          <t xml:space="preserve">Mazda</t>
        </is>
      </c>
      <c r="F8151" s="0" t="inlineStr">
        <is>
          <t xml:space="preserve">Mazda</t>
        </is>
      </c>
      <c r="G8151" s="0" t="s">
        <v>171</v>
      </c>
      <c r="H8151" s="5">
        <v>120.190000</v>
      </c>
    </row>
    <row r="8152" spans="1:9">
      <c r="A8152" s="22" t="str">
        <f>HYPERLINK("https://app.vivvix.com/360/KMI/IntelliDrive/ApplUI/Pages/CreativePages/CustomReportCreativeDetail.aspx?App=23&amp;ReportView=4&amp;Qid=1711279&amp;Row=8144&amp;Col=1","No Title Assigned - #15270634600")</f>
        <v/>
      </c>
      <c r="B8152" s="0" t="s">
        <v>10862</v>
      </c>
      <c r="E8152" s="0" t="inlineStr">
        <is>
          <t xml:space="preserve">Mazda</t>
        </is>
      </c>
      <c r="F8152" s="0" t="inlineStr">
        <is>
          <t xml:space="preserve">Mazda</t>
        </is>
      </c>
      <c r="G8152" s="0" t="s">
        <v>171</v>
      </c>
      <c r="H8152" s="5">
        <v>61.771400</v>
      </c>
    </row>
    <row r="8153" spans="1:9">
      <c r="A8153" s="22" t="str">
        <f>HYPERLINK("https://app.vivvix.com/360/KMI/IntelliDrive/ApplUI/Pages/CreativePages/CustomReportCreativeDetail.aspx?App=23&amp;ReportView=4&amp;Qid=1711279&amp;Row=8145&amp;Col=1","No Title Assigned - #15270634616")</f>
        <v/>
      </c>
      <c r="B8153" s="0" t="s">
        <v>10863</v>
      </c>
      <c r="E8153" s="0" t="inlineStr">
        <is>
          <t xml:space="preserve">Mazda</t>
        </is>
      </c>
      <c r="F8153" s="0" t="inlineStr">
        <is>
          <t xml:space="preserve">Mazda</t>
        </is>
      </c>
      <c r="G8153" s="0" t="s">
        <v>171</v>
      </c>
      <c r="H8153" s="5">
        <v>8135.008800</v>
      </c>
    </row>
    <row r="8154" spans="1:9">
      <c r="A8154" s="22" t="str">
        <f>HYPERLINK("https://app.vivvix.com/360/KMI/IntelliDrive/ApplUI/Pages/CreativePages/CustomReportCreativeDetail.aspx?App=23&amp;ReportView=4&amp;Qid=1711279&amp;Row=8146&amp;Col=1","No Title Assigned - #15270634659")</f>
        <v/>
      </c>
      <c r="B8154" s="0" t="s">
        <v>10864</v>
      </c>
      <c r="C8154" s="0" t="s">
        <v>10865</v>
      </c>
      <c r="D8154" s="0" t="s">
        <v>10865</v>
      </c>
      <c r="E8154" s="0" t="inlineStr">
        <is>
          <t xml:space="preserve">Mazda</t>
        </is>
      </c>
      <c r="F8154" s="0" t="inlineStr">
        <is>
          <t xml:space="preserve">Mazda</t>
        </is>
      </c>
      <c r="G8154" s="0" t="s">
        <v>171</v>
      </c>
      <c r="H8154" s="5">
        <v>49.109800</v>
      </c>
    </row>
    <row r="8155" spans="1:9">
      <c r="A8155" s="22" t="str">
        <f>HYPERLINK("https://app.vivvix.com/360/KMI/IntelliDrive/ApplUI/Pages/CreativePages/CustomReportCreativeDetail.aspx?App=23&amp;ReportView=4&amp;Qid=1711279&amp;Row=8147&amp;Col=1","No Title Assigned - #15270634687")</f>
        <v/>
      </c>
      <c r="B8155" s="0" t="s">
        <v>10866</v>
      </c>
      <c r="E8155" s="0" t="inlineStr">
        <is>
          <t xml:space="preserve">Mazda</t>
        </is>
      </c>
      <c r="F8155" s="0" t="inlineStr">
        <is>
          <t xml:space="preserve">Mazda</t>
        </is>
      </c>
      <c r="G8155" s="0" t="s">
        <v>171</v>
      </c>
      <c r="H8155" s="5">
        <v>34.689300</v>
      </c>
    </row>
    <row r="8156" spans="1:9">
      <c r="A8156" s="22" t="str">
        <f>HYPERLINK("https://app.vivvix.com/360/KMI/IntelliDrive/ApplUI/Pages/CreativePages/CustomReportCreativeDetail.aspx?App=23&amp;ReportView=4&amp;Qid=1711279&amp;Row=8148&amp;Col=1","No Title Assigned - #15270634804")</f>
        <v/>
      </c>
      <c r="B8156" s="0" t="s">
        <v>10867</v>
      </c>
      <c r="E8156" s="0" t="inlineStr">
        <is>
          <t xml:space="preserve">Mazda</t>
        </is>
      </c>
      <c r="F8156" s="0" t="inlineStr">
        <is>
          <t xml:space="preserve">Mazda</t>
        </is>
      </c>
      <c r="G8156" s="0" t="s">
        <v>171</v>
      </c>
      <c r="H8156" s="5">
        <v>9147.286200</v>
      </c>
    </row>
    <row r="8157" spans="1:9">
      <c r="A8157" s="22" t="str">
        <f>HYPERLINK("https://app.vivvix.com/360/KMI/IntelliDrive/ApplUI/Pages/CreativePages/CustomReportCreativeDetail.aspx?App=23&amp;ReportView=4&amp;Qid=1711279&amp;Row=8149&amp;Col=1","No Title Assigned - #15270634948")</f>
        <v/>
      </c>
      <c r="B8157" s="0" t="s">
        <v>10868</v>
      </c>
      <c r="E8157" s="0" t="inlineStr">
        <is>
          <t xml:space="preserve">Mazda</t>
        </is>
      </c>
      <c r="F8157" s="0" t="inlineStr">
        <is>
          <t xml:space="preserve">Mazda</t>
        </is>
      </c>
      <c r="G8157" s="0" t="s">
        <v>171</v>
      </c>
      <c r="H8157" s="5">
        <v>59.834000</v>
      </c>
    </row>
    <row r="8158" spans="1:9">
      <c r="A8158" s="22" t="str">
        <f>HYPERLINK("https://app.vivvix.com/360/KMI/IntelliDrive/ApplUI/Pages/CreativePages/CustomReportCreativeDetail.aspx?App=23&amp;ReportView=4&amp;Qid=1711279&amp;Row=8150&amp;Col=1","No Title Assigned - #15270635247")</f>
        <v/>
      </c>
      <c r="B8158" s="0" t="s">
        <v>10869</v>
      </c>
      <c r="E8158" s="0" t="inlineStr">
        <is>
          <t xml:space="preserve">Mazda</t>
        </is>
      </c>
      <c r="F8158" s="0" t="inlineStr">
        <is>
          <t xml:space="preserve">Mazda</t>
        </is>
      </c>
      <c r="G8158" s="0" t="s">
        <v>171</v>
      </c>
      <c r="H8158" s="5">
        <v>161.479800</v>
      </c>
    </row>
    <row r="8159" spans="1:9">
      <c r="A8159" s="22" t="str">
        <f>HYPERLINK("https://app.vivvix.com/360/KMI/IntelliDrive/ApplUI/Pages/CreativePages/CustomReportCreativeDetail.aspx?App=23&amp;ReportView=4&amp;Qid=1711279&amp;Row=8151&amp;Col=1","No Title Assigned - #15270635368")</f>
        <v/>
      </c>
      <c r="B8159" s="0" t="s">
        <v>10870</v>
      </c>
      <c r="E8159" s="0" t="inlineStr">
        <is>
          <t xml:space="preserve">Mazda</t>
        </is>
      </c>
      <c r="F8159" s="0" t="inlineStr">
        <is>
          <t xml:space="preserve">Mazda</t>
        </is>
      </c>
      <c r="G8159" s="0" t="s">
        <v>171</v>
      </c>
      <c r="H8159" s="5">
        <v>67.418300</v>
      </c>
    </row>
    <row r="8160" spans="1:9">
      <c r="A8160" s="22" t="str">
        <f>HYPERLINK("https://app.vivvix.com/360/KMI/IntelliDrive/ApplUI/Pages/CreativePages/CustomReportCreativeDetail.aspx?App=23&amp;ReportView=4&amp;Qid=1711279&amp;Row=8152&amp;Col=1","No Title Assigned - #15270635460")</f>
        <v/>
      </c>
      <c r="B8160" s="0" t="s">
        <v>10871</v>
      </c>
      <c r="E8160" s="0" t="inlineStr">
        <is>
          <t xml:space="preserve">Mazda</t>
        </is>
      </c>
      <c r="F8160" s="0" t="inlineStr">
        <is>
          <t xml:space="preserve">Mazda</t>
        </is>
      </c>
      <c r="G8160" s="0" t="s">
        <v>171</v>
      </c>
      <c r="H8160" s="5">
        <v>64.651200</v>
      </c>
    </row>
    <row r="8161" spans="1:9">
      <c r="A8161" s="22" t="str">
        <f>HYPERLINK("https://app.vivvix.com/360/KMI/IntelliDrive/ApplUI/Pages/CreativePages/CustomReportCreativeDetail.aspx?App=23&amp;ReportView=4&amp;Qid=1711279&amp;Row=8153&amp;Col=1","No Title Assigned - #15270635487")</f>
        <v/>
      </c>
      <c r="B8161" s="0" t="s">
        <v>10872</v>
      </c>
      <c r="E8161" s="0" t="inlineStr">
        <is>
          <t xml:space="preserve">Mazda</t>
        </is>
      </c>
      <c r="F8161" s="0" t="inlineStr">
        <is>
          <t xml:space="preserve">Mazda</t>
        </is>
      </c>
      <c r="G8161" s="0" t="s">
        <v>171</v>
      </c>
      <c r="H8161" s="5">
        <v>55.004400</v>
      </c>
    </row>
    <row r="8162" spans="1:9">
      <c r="A8162" s="22" t="str">
        <f>HYPERLINK("https://app.vivvix.com/360/KMI/IntelliDrive/ApplUI/Pages/CreativePages/CustomReportCreativeDetail.aspx?App=23&amp;ReportView=4&amp;Qid=1711279&amp;Row=8154&amp;Col=1","No Title Assigned - #15270635745")</f>
        <v/>
      </c>
      <c r="B8162" s="0" t="s">
        <v>10873</v>
      </c>
      <c r="E8162" s="0" t="inlineStr">
        <is>
          <t xml:space="preserve">Mazda</t>
        </is>
      </c>
      <c r="F8162" s="0" t="inlineStr">
        <is>
          <t xml:space="preserve">Mazda</t>
        </is>
      </c>
      <c r="G8162" s="0" t="s">
        <v>171</v>
      </c>
      <c r="H8162" s="5">
        <v>59.834000</v>
      </c>
    </row>
    <row r="8163" spans="1:9">
      <c r="A8163" s="22" t="str">
        <f>HYPERLINK("https://app.vivvix.com/360/KMI/IntelliDrive/ApplUI/Pages/CreativePages/CustomReportCreativeDetail.aspx?App=23&amp;ReportView=4&amp;Qid=1711279&amp;Row=8155&amp;Col=1","No Title Assigned - #15270637602")</f>
        <v/>
      </c>
      <c r="B8163" s="0" t="s">
        <v>10874</v>
      </c>
      <c r="E8163" s="0" t="inlineStr">
        <is>
          <t xml:space="preserve">Mazda</t>
        </is>
      </c>
      <c r="F8163" s="0" t="inlineStr">
        <is>
          <t xml:space="preserve">Mazda</t>
        </is>
      </c>
      <c r="G8163" s="0" t="s">
        <v>171</v>
      </c>
      <c r="H8163" s="5">
        <v>60.019700</v>
      </c>
    </row>
    <row r="8164" spans="1:9">
      <c r="A8164" s="22" t="str">
        <f>HYPERLINK("https://app.vivvix.com/360/KMI/IntelliDrive/ApplUI/Pages/CreativePages/CustomReportCreativeDetail.aspx?App=23&amp;ReportView=4&amp;Qid=1711279&amp;Row=8156&amp;Col=1","No Title Assigned - #15270637619")</f>
        <v/>
      </c>
      <c r="B8164" s="0" t="s">
        <v>10875</v>
      </c>
      <c r="E8164" s="0" t="inlineStr">
        <is>
          <t xml:space="preserve">Mazda</t>
        </is>
      </c>
      <c r="F8164" s="0" t="inlineStr">
        <is>
          <t xml:space="preserve">Mazda</t>
        </is>
      </c>
      <c r="G8164" s="0" t="s">
        <v>171</v>
      </c>
      <c r="H8164" s="5">
        <v>236.384800</v>
      </c>
    </row>
    <row r="8165" spans="1:9">
      <c r="A8165" s="22" t="str">
        <f>HYPERLINK("https://app.vivvix.com/360/KMI/IntelliDrive/ApplUI/Pages/CreativePages/CustomReportCreativeDetail.aspx?App=23&amp;ReportView=4&amp;Qid=1711279&amp;Row=8157&amp;Col=1","No Title Assigned - #15270639650")</f>
        <v/>
      </c>
      <c r="B8165" s="0" t="s">
        <v>10876</v>
      </c>
      <c r="C8165" s="0" t="s">
        <v>10877</v>
      </c>
      <c r="D8165" s="0" t="s">
        <v>10877</v>
      </c>
      <c r="E8165" s="0" t="inlineStr">
        <is>
          <t xml:space="preserve">Mazda</t>
        </is>
      </c>
      <c r="F8165" s="0" t="inlineStr">
        <is>
          <t xml:space="preserve">Mazda</t>
        </is>
      </c>
      <c r="G8165" s="0" t="s">
        <v>171</v>
      </c>
      <c r="H8165" s="5">
        <v>54.884500</v>
      </c>
    </row>
    <row r="8166" spans="1:9">
      <c r="A8166" s="22" t="str">
        <f>HYPERLINK("https://app.vivvix.com/360/KMI/IntelliDrive/ApplUI/Pages/CreativePages/CustomReportCreativeDetail.aspx?App=23&amp;ReportView=4&amp;Qid=1711279&amp;Row=8158&amp;Col=1","No Title Assigned - #15270642826")</f>
        <v/>
      </c>
      <c r="B8166" s="0" t="s">
        <v>10878</v>
      </c>
      <c r="E8166" s="0" t="inlineStr">
        <is>
          <t xml:space="preserve">Mazda</t>
        </is>
      </c>
      <c r="F8166" s="0" t="inlineStr">
        <is>
          <t xml:space="preserve">Mazda</t>
        </is>
      </c>
      <c r="G8166" s="0" t="s">
        <v>171</v>
      </c>
      <c r="H8166" s="5">
        <v>29.313700</v>
      </c>
    </row>
    <row r="8167" spans="1:9">
      <c r="A8167" s="22" t="str">
        <f>HYPERLINK("https://app.vivvix.com/360/KMI/IntelliDrive/ApplUI/Pages/CreativePages/CustomReportCreativeDetail.aspx?App=23&amp;ReportView=4&amp;Qid=1711279&amp;Row=8159&amp;Col=1","No Title Assigned - #15270645894")</f>
        <v/>
      </c>
      <c r="B8167" s="0" t="s">
        <v>10879</v>
      </c>
      <c r="E8167" s="0" t="inlineStr">
        <is>
          <t xml:space="preserve">Mazda</t>
        </is>
      </c>
      <c r="F8167" s="0" t="inlineStr">
        <is>
          <t xml:space="preserve">Mazda</t>
        </is>
      </c>
      <c r="G8167" s="0" t="s">
        <v>171</v>
      </c>
      <c r="H8167" s="5">
        <v>8.973800</v>
      </c>
    </row>
    <row r="8168" spans="1:9">
      <c r="A8168" s="22" t="str">
        <f>HYPERLINK("https://app.vivvix.com/360/KMI/IntelliDrive/ApplUI/Pages/CreativePages/CustomReportCreativeDetail.aspx?App=23&amp;ReportView=4&amp;Qid=1711279&amp;Row=8160&amp;Col=1","No Title Assigned - #15270646177")</f>
        <v/>
      </c>
      <c r="B8168" s="0" t="s">
        <v>10880</v>
      </c>
      <c r="E8168" s="0" t="inlineStr">
        <is>
          <t xml:space="preserve">Mazda</t>
        </is>
      </c>
      <c r="F8168" s="0" t="inlineStr">
        <is>
          <t xml:space="preserve">Mazda</t>
        </is>
      </c>
      <c r="G8168" s="0" t="s">
        <v>171</v>
      </c>
      <c r="H8168" s="5">
        <v>12866.503900</v>
      </c>
    </row>
    <row r="8169" spans="1:9">
      <c r="A8169" s="22" t="str">
        <f>HYPERLINK("https://app.vivvix.com/360/KMI/IntelliDrive/ApplUI/Pages/CreativePages/CustomReportCreativeDetail.aspx?App=23&amp;ReportView=4&amp;Qid=1711279&amp;Row=8161&amp;Col=1","No Title Assigned - #15270652864")</f>
        <v/>
      </c>
      <c r="B8169" s="0" t="s">
        <v>10881</v>
      </c>
      <c r="E8169" s="0" t="inlineStr">
        <is>
          <t xml:space="preserve">Mazda</t>
        </is>
      </c>
      <c r="F8169" s="0" t="inlineStr">
        <is>
          <t xml:space="preserve">Mazda</t>
        </is>
      </c>
      <c r="G8169" s="0" t="s">
        <v>171</v>
      </c>
      <c r="H8169" s="5">
        <v>15.271500</v>
      </c>
    </row>
    <row r="8170" spans="1:9">
      <c r="A8170" s="22" t="str">
        <f>HYPERLINK("https://app.vivvix.com/360/KMI/IntelliDrive/ApplUI/Pages/CreativePages/CustomReportCreativeDetail.aspx?App=23&amp;ReportView=4&amp;Qid=1711279&amp;Row=8162&amp;Col=1","No Title Assigned - #15270652885")</f>
        <v/>
      </c>
      <c r="B8170" s="0" t="s">
        <v>10882</v>
      </c>
      <c r="E8170" s="0" t="inlineStr">
        <is>
          <t xml:space="preserve">Mazda</t>
        </is>
      </c>
      <c r="F8170" s="0" t="inlineStr">
        <is>
          <t xml:space="preserve">Mazda</t>
        </is>
      </c>
      <c r="G8170" s="0" t="s">
        <v>171</v>
      </c>
      <c r="H8170" s="5">
        <v>52.261700</v>
      </c>
    </row>
    <row r="8171" spans="1:9">
      <c r="A8171" s="22" t="str">
        <f>HYPERLINK("https://app.vivvix.com/360/KMI/IntelliDrive/ApplUI/Pages/CreativePages/CustomReportCreativeDetail.aspx?App=23&amp;ReportView=4&amp;Qid=1711279&amp;Row=8163&amp;Col=1","No Title Assigned - #15270654114")</f>
        <v/>
      </c>
      <c r="B8171" s="0" t="s">
        <v>10883</v>
      </c>
      <c r="E8171" s="0" t="inlineStr">
        <is>
          <t xml:space="preserve">Mazda</t>
        </is>
      </c>
      <c r="F8171" s="0" t="inlineStr">
        <is>
          <t xml:space="preserve">Mazda</t>
        </is>
      </c>
      <c r="G8171" s="0" t="s">
        <v>171</v>
      </c>
      <c r="H8171" s="5">
        <v>88.134700</v>
      </c>
    </row>
    <row r="8172" spans="1:9">
      <c r="A8172" s="22" t="str">
        <f>HYPERLINK("https://app.vivvix.com/360/KMI/IntelliDrive/ApplUI/Pages/CreativePages/CustomReportCreativeDetail.aspx?App=23&amp;ReportView=4&amp;Qid=1711279&amp;Row=8164&amp;Col=1","No Title Assigned - #15270666894")</f>
        <v/>
      </c>
      <c r="B8172" s="0" t="s">
        <v>10884</v>
      </c>
      <c r="E8172" s="0" t="inlineStr">
        <is>
          <t xml:space="preserve">Mazda</t>
        </is>
      </c>
      <c r="F8172" s="0" t="inlineStr">
        <is>
          <t xml:space="preserve">Mazda</t>
        </is>
      </c>
      <c r="G8172" s="0" t="s">
        <v>171</v>
      </c>
      <c r="H8172" s="5">
        <v>173.217000</v>
      </c>
    </row>
    <row r="8173" spans="1:9">
      <c r="A8173" s="22" t="str">
        <f>HYPERLINK("https://app.vivvix.com/360/KMI/IntelliDrive/ApplUI/Pages/CreativePages/CustomReportCreativeDetail.aspx?App=23&amp;ReportView=4&amp;Qid=1711279&amp;Row=8165&amp;Col=1","No Title Assigned - #15270666903")</f>
        <v/>
      </c>
      <c r="B8173" s="0" t="s">
        <v>10885</v>
      </c>
      <c r="C8173" s="0" t="s">
        <v>10886</v>
      </c>
      <c r="D8173" s="0" t="s">
        <v>10886</v>
      </c>
      <c r="E8173" s="0" t="inlineStr">
        <is>
          <t xml:space="preserve">Mazda</t>
        </is>
      </c>
      <c r="F8173" s="0" t="s">
        <v>28</v>
      </c>
      <c r="G8173" s="0" t="s">
        <v>29</v>
      </c>
      <c r="H8173" s="5">
        <v>175.021700</v>
      </c>
    </row>
    <row r="8174" spans="1:9">
      <c r="A8174" s="22" t="str">
        <f>HYPERLINK("https://app.vivvix.com/360/KMI/IntelliDrive/ApplUI/Pages/CreativePages/CustomReportCreativeDetail.aspx?App=23&amp;ReportView=4&amp;Qid=1711279&amp;Row=8166&amp;Col=1","No Title Assigned - #15270667296")</f>
        <v/>
      </c>
      <c r="B8174" s="0" t="s">
        <v>10887</v>
      </c>
      <c r="E8174" s="0" t="inlineStr">
        <is>
          <t xml:space="preserve">Mazda</t>
        </is>
      </c>
      <c r="F8174" s="0" t="inlineStr">
        <is>
          <t xml:space="preserve">Mazda</t>
        </is>
      </c>
      <c r="G8174" s="0" t="s">
        <v>171</v>
      </c>
      <c r="H8174" s="5">
        <v>65.506300</v>
      </c>
    </row>
    <row r="8175" spans="1:9">
      <c r="A8175" s="22" t="str">
        <f>HYPERLINK("https://app.vivvix.com/360/KMI/IntelliDrive/ApplUI/Pages/CreativePages/CustomReportCreativeDetail.aspx?App=23&amp;ReportView=4&amp;Qid=1711279&amp;Row=8167&amp;Col=1","No Title Assigned - #15270667539")</f>
        <v/>
      </c>
      <c r="B8175" s="0" t="s">
        <v>10888</v>
      </c>
      <c r="C8175" s="0" t="s">
        <v>10889</v>
      </c>
      <c r="D8175" s="0" t="s">
        <v>10889</v>
      </c>
      <c r="E8175" s="0" t="inlineStr">
        <is>
          <t xml:space="preserve">Mazda</t>
        </is>
      </c>
      <c r="F8175" s="0" t="s">
        <v>13</v>
      </c>
      <c r="G8175" s="0" t="s">
        <v>49</v>
      </c>
      <c r="H8175" s="5">
        <v>21037.802000</v>
      </c>
    </row>
    <row r="8176" spans="1:9">
      <c r="A8176" s="22" t="str">
        <f>HYPERLINK("https://app.vivvix.com/360/KMI/IntelliDrive/ApplUI/Pages/CreativePages/CustomReportCreativeDetail.aspx?App=23&amp;ReportView=4&amp;Qid=1711279&amp;Row=8168&amp;Col=1","No Title Assigned - #15270667539")</f>
        <v/>
      </c>
      <c r="B8176" s="0" t="s">
        <v>10888</v>
      </c>
      <c r="E8176" s="0" t="inlineStr">
        <is>
          <t xml:space="preserve">Mazda</t>
        </is>
      </c>
      <c r="F8176" s="0" t="s">
        <v>13</v>
      </c>
      <c r="G8176" s="0" t="s">
        <v>49</v>
      </c>
      <c r="H8176" s="5">
        <v>769.847600</v>
      </c>
    </row>
    <row r="8177" spans="1:9">
      <c r="A8177" s="22" t="str">
        <f>HYPERLINK("https://app.vivvix.com/360/KMI/IntelliDrive/ApplUI/Pages/CreativePages/CustomReportCreativeDetail.aspx?App=23&amp;ReportView=4&amp;Qid=1711279&amp;Row=8169&amp;Col=1","No Title Assigned - #15270672040")</f>
        <v/>
      </c>
      <c r="B8177" s="0" t="s">
        <v>10890</v>
      </c>
      <c r="E8177" s="0" t="inlineStr">
        <is>
          <t xml:space="preserve">Mazda</t>
        </is>
      </c>
      <c r="F8177" s="0" t="inlineStr">
        <is>
          <t xml:space="preserve">Mazda</t>
        </is>
      </c>
      <c r="G8177" s="0" t="s">
        <v>171</v>
      </c>
      <c r="H8177" s="5">
        <v>220.219200</v>
      </c>
    </row>
    <row r="8178" spans="1:9">
      <c r="A8178" s="22" t="str">
        <f>HYPERLINK("https://app.vivvix.com/360/KMI/IntelliDrive/ApplUI/Pages/CreativePages/CustomReportCreativeDetail.aspx?App=23&amp;ReportView=4&amp;Qid=1711279&amp;Row=8170&amp;Col=1","No Title Assigned - #15270672547")</f>
        <v/>
      </c>
      <c r="B8178" s="0" t="s">
        <v>10891</v>
      </c>
      <c r="C8178" s="0" t="s">
        <v>10892</v>
      </c>
      <c r="D8178" s="0" t="s">
        <v>10892</v>
      </c>
      <c r="E8178" s="0" t="inlineStr">
        <is>
          <t xml:space="preserve">Mazda</t>
        </is>
      </c>
      <c r="F8178" s="0" t="s">
        <v>13</v>
      </c>
      <c r="G8178" s="0" t="s">
        <v>49</v>
      </c>
      <c r="H8178" s="5">
        <v>203.536800</v>
      </c>
    </row>
    <row r="8179" spans="1:9">
      <c r="A8179" s="22" t="str">
        <f>HYPERLINK("https://app.vivvix.com/360/KMI/IntelliDrive/ApplUI/Pages/CreativePages/CustomReportCreativeDetail.aspx?App=23&amp;ReportView=4&amp;Qid=1711279&amp;Row=8171&amp;Col=1","No Title Assigned - #15270672547")</f>
        <v/>
      </c>
      <c r="B8179" s="0" t="s">
        <v>10891</v>
      </c>
      <c r="E8179" s="0" t="inlineStr">
        <is>
          <t xml:space="preserve">Mazda</t>
        </is>
      </c>
      <c r="F8179" s="0" t="s">
        <v>13</v>
      </c>
      <c r="G8179" s="0" t="s">
        <v>49</v>
      </c>
      <c r="H8179" s="5">
        <v>544.956400</v>
      </c>
    </row>
    <row r="8180" spans="1:9">
      <c r="A8180" s="22" t="str">
        <f>HYPERLINK("https://app.vivvix.com/360/KMI/IntelliDrive/ApplUI/Pages/CreativePages/CustomReportCreativeDetail.aspx?App=23&amp;ReportView=4&amp;Qid=1711279&amp;Row=8172&amp;Col=1","No Title Assigned - #15270673927")</f>
        <v/>
      </c>
      <c r="B8180" s="0" t="s">
        <v>10893</v>
      </c>
      <c r="C8180" s="0" t="s">
        <v>10894</v>
      </c>
      <c r="D8180" s="0" t="s">
        <v>10894</v>
      </c>
      <c r="E8180" s="0" t="inlineStr">
        <is>
          <t xml:space="preserve">Mazda</t>
        </is>
      </c>
      <c r="F8180" s="0" t="s">
        <v>13</v>
      </c>
      <c r="G8180" s="0" t="s">
        <v>49</v>
      </c>
      <c r="H8180" s="5">
        <v>33.226600</v>
      </c>
    </row>
    <row r="8181" spans="1:9">
      <c r="A8181" s="22" t="str">
        <f>HYPERLINK("https://app.vivvix.com/360/KMI/IntelliDrive/ApplUI/Pages/CreativePages/CustomReportCreativeDetail.aspx?App=23&amp;ReportView=4&amp;Qid=1711279&amp;Row=8173&amp;Col=1","No Title Assigned - #15270674160")</f>
        <v/>
      </c>
      <c r="B8181" s="0" t="s">
        <v>10895</v>
      </c>
      <c r="C8181" s="0" t="s">
        <v>10896</v>
      </c>
      <c r="D8181" s="0" t="s">
        <v>10896</v>
      </c>
      <c r="E8181" s="0" t="inlineStr">
        <is>
          <t xml:space="preserve">Mazda</t>
        </is>
      </c>
      <c r="F8181" s="0" t="s">
        <v>13</v>
      </c>
      <c r="G8181" s="0" t="s">
        <v>49</v>
      </c>
      <c r="H8181" s="5">
        <v>105.675000</v>
      </c>
    </row>
    <row r="8182" spans="1:9">
      <c r="A8182" s="22" t="str">
        <f>HYPERLINK("https://app.vivvix.com/360/KMI/IntelliDrive/ApplUI/Pages/CreativePages/CustomReportCreativeDetail.aspx?App=23&amp;ReportView=4&amp;Qid=1711279&amp;Row=8174&amp;Col=1","No Title Assigned - #15270674302")</f>
        <v/>
      </c>
      <c r="B8182" s="0" t="s">
        <v>10897</v>
      </c>
      <c r="C8182" s="0" t="s">
        <v>10898</v>
      </c>
      <c r="D8182" s="0" t="s">
        <v>4204</v>
      </c>
      <c r="E8182" s="0" t="inlineStr">
        <is>
          <t xml:space="preserve">Mazda</t>
        </is>
      </c>
      <c r="F8182" s="0" t="s">
        <v>28</v>
      </c>
      <c r="G8182" s="0" t="s">
        <v>29</v>
      </c>
      <c r="H8182" s="5">
        <v>5971.124200</v>
      </c>
    </row>
    <row r="8183" spans="1:9">
      <c r="A8183" s="22" t="str">
        <f>HYPERLINK("https://app.vivvix.com/360/KMI/IntelliDrive/ApplUI/Pages/CreativePages/CustomReportCreativeDetail.aspx?App=23&amp;ReportView=4&amp;Qid=1711279&amp;Row=8175&amp;Col=1","No Title Assigned - #15270674783")</f>
        <v/>
      </c>
      <c r="B8183" s="0" t="s">
        <v>10899</v>
      </c>
      <c r="E8183" s="0" t="inlineStr">
        <is>
          <t xml:space="preserve">Mazda</t>
        </is>
      </c>
      <c r="F8183" s="0" t="inlineStr">
        <is>
          <t xml:space="preserve">Mazda</t>
        </is>
      </c>
      <c r="G8183" s="0" t="s">
        <v>171</v>
      </c>
      <c r="H8183" s="5">
        <v>778.383700</v>
      </c>
    </row>
    <row r="8184" spans="1:9">
      <c r="A8184" s="22" t="str">
        <f>HYPERLINK("https://app.vivvix.com/360/KMI/IntelliDrive/ApplUI/Pages/CreativePages/CustomReportCreativeDetail.aspx?App=23&amp;ReportView=4&amp;Qid=1711279&amp;Row=8176&amp;Col=1","No Title Assigned - #15270675099")</f>
        <v/>
      </c>
      <c r="B8184" s="0" t="s">
        <v>10900</v>
      </c>
      <c r="C8184" s="0" t="s">
        <v>10901</v>
      </c>
      <c r="D8184" s="0" t="s">
        <v>8588</v>
      </c>
      <c r="E8184" s="0" t="inlineStr">
        <is>
          <t xml:space="preserve">Mazda</t>
        </is>
      </c>
      <c r="F8184" s="0" t="s">
        <v>13</v>
      </c>
      <c r="G8184" s="0" t="s">
        <v>49</v>
      </c>
      <c r="H8184" s="5">
        <v>42.719800</v>
      </c>
    </row>
    <row r="8185" spans="1:9">
      <c r="A8185" s="22" t="str">
        <f>HYPERLINK("https://app.vivvix.com/360/KMI/IntelliDrive/ApplUI/Pages/CreativePages/CustomReportCreativeDetail.aspx?App=23&amp;ReportView=4&amp;Qid=1711279&amp;Row=8177&amp;Col=1","No Title Assigned - #15270675990")</f>
        <v/>
      </c>
      <c r="B8185" s="0" t="s">
        <v>10902</v>
      </c>
      <c r="C8185" s="0" t="s">
        <v>10903</v>
      </c>
      <c r="D8185" s="0" t="s">
        <v>4200</v>
      </c>
      <c r="E8185" s="0" t="inlineStr">
        <is>
          <t xml:space="preserve">Mazda</t>
        </is>
      </c>
      <c r="F8185" s="0" t="s">
        <v>28</v>
      </c>
      <c r="G8185" s="0" t="s">
        <v>29</v>
      </c>
      <c r="H8185" s="5">
        <v>66.686900</v>
      </c>
    </row>
    <row r="8186" spans="1:9">
      <c r="A8186" s="22" t="str">
        <f>HYPERLINK("https://app.vivvix.com/360/KMI/IntelliDrive/ApplUI/Pages/CreativePages/CustomReportCreativeDetail.aspx?App=23&amp;ReportView=4&amp;Qid=1711279&amp;Row=8178&amp;Col=1","No Title Assigned - #15270676337")</f>
        <v/>
      </c>
      <c r="B8186" s="0" t="s">
        <v>10904</v>
      </c>
      <c r="E8186" s="0" t="inlineStr">
        <is>
          <t xml:space="preserve">Mazda</t>
        </is>
      </c>
      <c r="F8186" s="0" t="inlineStr">
        <is>
          <t xml:space="preserve">Mazda</t>
        </is>
      </c>
      <c r="G8186" s="0" t="s">
        <v>171</v>
      </c>
      <c r="H8186" s="5">
        <v>19.467300</v>
      </c>
    </row>
    <row r="8187" spans="1:9">
      <c r="A8187" s="22" t="str">
        <f>HYPERLINK("https://app.vivvix.com/360/KMI/IntelliDrive/ApplUI/Pages/CreativePages/CustomReportCreativeDetail.aspx?App=23&amp;ReportView=4&amp;Qid=1711279&amp;Row=8179&amp;Col=1","No Title Assigned - #15270677628")</f>
        <v/>
      </c>
      <c r="B8187" s="0" t="s">
        <v>10905</v>
      </c>
      <c r="C8187" s="0" t="s">
        <v>10906</v>
      </c>
      <c r="D8187" s="0" t="s">
        <v>4204</v>
      </c>
      <c r="E8187" s="0" t="inlineStr">
        <is>
          <t xml:space="preserve">Mazda</t>
        </is>
      </c>
      <c r="F8187" s="0" t="s">
        <v>28</v>
      </c>
      <c r="G8187" s="0" t="s">
        <v>29</v>
      </c>
      <c r="H8187" s="5">
        <v>58.049400</v>
      </c>
    </row>
    <row r="8188" spans="1:9">
      <c r="A8188" s="22" t="str">
        <f>HYPERLINK("https://app.vivvix.com/360/KMI/IntelliDrive/ApplUI/Pages/CreativePages/CustomReportCreativeDetail.aspx?App=23&amp;ReportView=4&amp;Qid=1711279&amp;Row=8180&amp;Col=1","No Title Assigned - #15270678694")</f>
        <v/>
      </c>
      <c r="B8188" s="0" t="s">
        <v>10907</v>
      </c>
      <c r="C8188" s="0" t="s">
        <v>10908</v>
      </c>
      <c r="D8188" s="0" t="s">
        <v>10908</v>
      </c>
      <c r="E8188" s="0" t="inlineStr">
        <is>
          <t xml:space="preserve">Mazda</t>
        </is>
      </c>
      <c r="F8188" s="0" t="s">
        <v>13</v>
      </c>
      <c r="G8188" s="0" t="s">
        <v>49</v>
      </c>
      <c r="H8188" s="5">
        <v>724.116500</v>
      </c>
    </row>
    <row r="8189" spans="1:9">
      <c r="A8189" s="22" t="str">
        <f>HYPERLINK("https://app.vivvix.com/360/KMI/IntelliDrive/ApplUI/Pages/CreativePages/CustomReportCreativeDetail.aspx?App=23&amp;ReportView=4&amp;Qid=1711279&amp;Row=8181&amp;Col=1","No Title Assigned - #15270679260")</f>
        <v/>
      </c>
      <c r="B8189" s="0" t="s">
        <v>10909</v>
      </c>
      <c r="C8189" s="0" t="s">
        <v>10910</v>
      </c>
      <c r="D8189" s="0" t="s">
        <v>10910</v>
      </c>
      <c r="E8189" s="0" t="inlineStr">
        <is>
          <t xml:space="preserve">Mazda</t>
        </is>
      </c>
      <c r="F8189" s="0" t="s">
        <v>28</v>
      </c>
      <c r="G8189" s="0" t="s">
        <v>29</v>
      </c>
      <c r="H8189" s="5">
        <v>34.904200</v>
      </c>
    </row>
    <row r="8190" spans="1:9">
      <c r="A8190" s="22" t="str">
        <f>HYPERLINK("https://app.vivvix.com/360/KMI/IntelliDrive/ApplUI/Pages/CreativePages/CustomReportCreativeDetail.aspx?App=23&amp;ReportView=4&amp;Qid=1711279&amp;Row=8182&amp;Col=1","No Title Assigned - #15270681784")</f>
        <v/>
      </c>
      <c r="B8190" s="0" t="s">
        <v>10911</v>
      </c>
      <c r="E8190" s="0" t="inlineStr">
        <is>
          <t xml:space="preserve">Mazda</t>
        </is>
      </c>
      <c r="F8190" s="0" t="inlineStr">
        <is>
          <t xml:space="preserve">Mazda</t>
        </is>
      </c>
      <c r="G8190" s="0" t="s">
        <v>171</v>
      </c>
      <c r="H8190" s="5">
        <v>66.107000</v>
      </c>
    </row>
    <row r="8191" spans="1:9">
      <c r="A8191" s="22" t="str">
        <f>HYPERLINK("https://app.vivvix.com/360/KMI/IntelliDrive/ApplUI/Pages/CreativePages/CustomReportCreativeDetail.aspx?App=23&amp;ReportView=4&amp;Qid=1711279&amp;Row=8183&amp;Col=1","No Title Assigned - #15270682670")</f>
        <v/>
      </c>
      <c r="B8191" s="0" t="s">
        <v>10912</v>
      </c>
      <c r="C8191" s="0" t="s">
        <v>10913</v>
      </c>
      <c r="D8191" s="0" t="s">
        <v>10913</v>
      </c>
      <c r="E8191" s="0" t="inlineStr">
        <is>
          <t xml:space="preserve">Mazda</t>
        </is>
      </c>
      <c r="F8191" s="0" t="s">
        <v>52</v>
      </c>
      <c r="G8191" s="0" t="s">
        <v>325</v>
      </c>
      <c r="H8191" s="5">
        <v>1985.375800</v>
      </c>
    </row>
    <row r="8192" spans="1:9">
      <c r="A8192" s="22" t="str">
        <f>HYPERLINK("https://app.vivvix.com/360/KMI/IntelliDrive/ApplUI/Pages/CreativePages/CustomReportCreativeDetail.aspx?App=23&amp;ReportView=4&amp;Qid=1711279&amp;Row=8184&amp;Col=1","No Title Assigned - #15270682728")</f>
        <v/>
      </c>
      <c r="B8192" s="0" t="s">
        <v>10914</v>
      </c>
      <c r="C8192" s="0" t="s">
        <v>10915</v>
      </c>
      <c r="D8192" s="0" t="s">
        <v>10915</v>
      </c>
      <c r="E8192" s="0" t="inlineStr">
        <is>
          <t xml:space="preserve">Mazda</t>
        </is>
      </c>
      <c r="F8192" s="0" t="s">
        <v>28</v>
      </c>
      <c r="G8192" s="0" t="s">
        <v>29</v>
      </c>
      <c r="H8192" s="5">
        <v>232.099600</v>
      </c>
    </row>
    <row r="8193" spans="1:9">
      <c r="A8193" s="22" t="str">
        <f>HYPERLINK("https://app.vivvix.com/360/KMI/IntelliDrive/ApplUI/Pages/CreativePages/CustomReportCreativeDetail.aspx?App=23&amp;ReportView=4&amp;Qid=1711279&amp;Row=8185&amp;Col=1","No Title Assigned - #15270683280")</f>
        <v/>
      </c>
      <c r="B8193" s="0" t="s">
        <v>10916</v>
      </c>
      <c r="C8193" s="0" t="s">
        <v>10917</v>
      </c>
      <c r="D8193" s="0" t="s">
        <v>9919</v>
      </c>
      <c r="E8193" s="0" t="inlineStr">
        <is>
          <t xml:space="preserve">Mazda</t>
        </is>
      </c>
      <c r="F8193" s="0" t="s">
        <v>13</v>
      </c>
      <c r="G8193" s="0" t="s">
        <v>49</v>
      </c>
      <c r="H8193" s="5">
        <v>138.995500</v>
      </c>
    </row>
    <row r="8194" spans="1:9">
      <c r="A8194" s="22" t="str">
        <f>HYPERLINK("https://app.vivvix.com/360/KMI/IntelliDrive/ApplUI/Pages/CreativePages/CustomReportCreativeDetail.aspx?App=23&amp;ReportView=4&amp;Qid=1711279&amp;Row=8186&amp;Col=1","No Title Assigned - #15270683528")</f>
        <v/>
      </c>
      <c r="B8194" s="0" t="s">
        <v>10918</v>
      </c>
      <c r="C8194" s="0" t="s">
        <v>10919</v>
      </c>
      <c r="D8194" s="0" t="s">
        <v>10919</v>
      </c>
      <c r="E8194" s="0" t="inlineStr">
        <is>
          <t xml:space="preserve">Mazda</t>
        </is>
      </c>
      <c r="F8194" s="0" t="s">
        <v>13</v>
      </c>
      <c r="G8194" s="0" t="s">
        <v>49</v>
      </c>
      <c r="H8194" s="5">
        <v>278.248600</v>
      </c>
    </row>
    <row r="8195" spans="1:9">
      <c r="A8195" s="22" t="str">
        <f>HYPERLINK("https://app.vivvix.com/360/KMI/IntelliDrive/ApplUI/Pages/CreativePages/CustomReportCreativeDetail.aspx?App=23&amp;ReportView=4&amp;Qid=1711279&amp;Row=8187&amp;Col=1","No Title Assigned - #15270685844")</f>
        <v/>
      </c>
      <c r="B8195" s="0" t="s">
        <v>10920</v>
      </c>
      <c r="C8195" s="0" t="s">
        <v>10921</v>
      </c>
      <c r="D8195" s="0" t="s">
        <v>4225</v>
      </c>
      <c r="E8195" s="0" t="inlineStr">
        <is>
          <t xml:space="preserve">Mazda</t>
        </is>
      </c>
      <c r="F8195" s="0" t="s">
        <v>28</v>
      </c>
      <c r="G8195" s="0" t="s">
        <v>29</v>
      </c>
      <c r="H8195" s="5">
        <v>87.892600</v>
      </c>
    </row>
    <row r="8196" spans="1:9">
      <c r="A8196" s="22" t="str">
        <f>HYPERLINK("https://app.vivvix.com/360/KMI/IntelliDrive/ApplUI/Pages/CreativePages/CustomReportCreativeDetail.aspx?App=23&amp;ReportView=4&amp;Qid=1711279&amp;Row=8188&amp;Col=1","No Title Assigned - #15270685862")</f>
        <v/>
      </c>
      <c r="B8196" s="0" t="s">
        <v>10922</v>
      </c>
      <c r="C8196" s="0" t="s">
        <v>10923</v>
      </c>
      <c r="D8196" s="0" t="s">
        <v>10923</v>
      </c>
      <c r="E8196" s="0" t="inlineStr">
        <is>
          <t xml:space="preserve">Mazda</t>
        </is>
      </c>
      <c r="F8196" s="0" t="s">
        <v>13</v>
      </c>
      <c r="G8196" s="0" t="s">
        <v>49</v>
      </c>
      <c r="H8196" s="5">
        <v>139.535400</v>
      </c>
    </row>
    <row r="8197" spans="1:9">
      <c r="A8197" s="22" t="str">
        <f>HYPERLINK("https://app.vivvix.com/360/KMI/IntelliDrive/ApplUI/Pages/CreativePages/CustomReportCreativeDetail.aspx?App=23&amp;ReportView=4&amp;Qid=1711279&amp;Row=8189&amp;Col=1","No Title Assigned - #15270685959")</f>
        <v/>
      </c>
      <c r="B8197" s="0" t="s">
        <v>10924</v>
      </c>
      <c r="C8197" s="0" t="s">
        <v>10925</v>
      </c>
      <c r="D8197" s="0" t="s">
        <v>5370</v>
      </c>
      <c r="E8197" s="0" t="inlineStr">
        <is>
          <t xml:space="preserve">Mazda</t>
        </is>
      </c>
      <c r="F8197" s="0" t="s">
        <v>28</v>
      </c>
      <c r="G8197" s="0" t="s">
        <v>29</v>
      </c>
      <c r="H8197" s="5">
        <v>171.255800</v>
      </c>
    </row>
    <row r="8198" spans="1:9">
      <c r="A8198" s="22" t="str">
        <f>HYPERLINK("https://app.vivvix.com/360/KMI/IntelliDrive/ApplUI/Pages/CreativePages/CustomReportCreativeDetail.aspx?App=23&amp;ReportView=4&amp;Qid=1711279&amp;Row=8190&amp;Col=1","No Title Assigned - #15270687302")</f>
        <v/>
      </c>
      <c r="B8198" s="0" t="s">
        <v>10926</v>
      </c>
      <c r="E8198" s="0" t="inlineStr">
        <is>
          <t xml:space="preserve">Mazda</t>
        </is>
      </c>
      <c r="F8198" s="0" t="inlineStr">
        <is>
          <t xml:space="preserve">Mazda</t>
        </is>
      </c>
      <c r="G8198" s="0" t="s">
        <v>171</v>
      </c>
      <c r="H8198" s="5">
        <v>470.594000</v>
      </c>
    </row>
    <row r="8199" spans="1:9">
      <c r="A8199" s="22" t="str">
        <f>HYPERLINK("https://app.vivvix.com/360/KMI/IntelliDrive/ApplUI/Pages/CreativePages/CustomReportCreativeDetail.aspx?App=23&amp;ReportView=4&amp;Qid=1711279&amp;Row=8191&amp;Col=1","No Title Assigned - #15270687860")</f>
        <v/>
      </c>
      <c r="B8199" s="0" t="s">
        <v>10927</v>
      </c>
      <c r="C8199" s="0" t="s">
        <v>10928</v>
      </c>
      <c r="D8199" s="0" t="s">
        <v>4202</v>
      </c>
      <c r="E8199" s="0" t="inlineStr">
        <is>
          <t xml:space="preserve">Mazda</t>
        </is>
      </c>
      <c r="F8199" s="0" t="s">
        <v>28</v>
      </c>
      <c r="G8199" s="0" t="s">
        <v>29</v>
      </c>
      <c r="H8199" s="5">
        <v>208.948500</v>
      </c>
    </row>
    <row r="8200" spans="1:9">
      <c r="A8200" s="22" t="str">
        <f>HYPERLINK("https://app.vivvix.com/360/KMI/IntelliDrive/ApplUI/Pages/CreativePages/CustomReportCreativeDetail.aspx?App=23&amp;ReportView=4&amp;Qid=1711279&amp;Row=8192&amp;Col=1","No Title Assigned - #15270688536")</f>
        <v/>
      </c>
      <c r="B8200" s="0" t="s">
        <v>10929</v>
      </c>
      <c r="C8200" s="0" t="s">
        <v>10930</v>
      </c>
      <c r="D8200" s="0" t="s">
        <v>10930</v>
      </c>
      <c r="E8200" s="0" t="inlineStr">
        <is>
          <t xml:space="preserve">Mazda</t>
        </is>
      </c>
      <c r="F8200" s="0" t="s">
        <v>28</v>
      </c>
      <c r="G8200" s="0" t="s">
        <v>29</v>
      </c>
      <c r="H8200" s="5">
        <v>30.948500</v>
      </c>
    </row>
    <row r="8201" spans="1:9">
      <c r="A8201" s="22" t="str">
        <f>HYPERLINK("https://app.vivvix.com/360/KMI/IntelliDrive/ApplUI/Pages/CreativePages/CustomReportCreativeDetail.aspx?App=23&amp;ReportView=4&amp;Qid=1711279&amp;Row=8193&amp;Col=1","No Title Assigned - #15270688622")</f>
        <v/>
      </c>
      <c r="B8201" s="0" t="s">
        <v>10931</v>
      </c>
      <c r="E8201" s="0" t="inlineStr">
        <is>
          <t xml:space="preserve">Mazda</t>
        </is>
      </c>
      <c r="F8201" s="0" t="inlineStr">
        <is>
          <t xml:space="preserve">Mazda</t>
        </is>
      </c>
      <c r="G8201" s="0" t="s">
        <v>171</v>
      </c>
      <c r="H8201" s="5">
        <v>48.520000</v>
      </c>
    </row>
    <row r="8202" spans="1:9">
      <c r="A8202" s="22" t="str">
        <f>HYPERLINK("https://app.vivvix.com/360/KMI/IntelliDrive/ApplUI/Pages/CreativePages/CustomReportCreativeDetail.aspx?App=23&amp;ReportView=4&amp;Qid=1711279&amp;Row=8194&amp;Col=1","No Title Assigned - #15270689489")</f>
        <v/>
      </c>
      <c r="B8202" s="0" t="s">
        <v>10932</v>
      </c>
      <c r="E8202" s="0" t="inlineStr">
        <is>
          <t xml:space="preserve">Mazda</t>
        </is>
      </c>
      <c r="F8202" s="0" t="inlineStr">
        <is>
          <t xml:space="preserve">Mazda</t>
        </is>
      </c>
      <c r="G8202" s="0" t="s">
        <v>171</v>
      </c>
      <c r="H8202" s="5">
        <v>830.540600</v>
      </c>
    </row>
    <row r="8203" spans="1:9">
      <c r="A8203" s="22" t="str">
        <f>HYPERLINK("https://app.vivvix.com/360/KMI/IntelliDrive/ApplUI/Pages/CreativePages/CustomReportCreativeDetail.aspx?App=23&amp;ReportView=4&amp;Qid=1711279&amp;Row=8195&amp;Col=1","No Title Assigned - #15270690785")</f>
        <v/>
      </c>
      <c r="B8203" s="0" t="s">
        <v>10933</v>
      </c>
      <c r="C8203" s="0" t="s">
        <v>10934</v>
      </c>
      <c r="D8203" s="0" t="s">
        <v>4430</v>
      </c>
      <c r="E8203" s="0" t="inlineStr">
        <is>
          <t xml:space="preserve">Mazda</t>
        </is>
      </c>
      <c r="F8203" s="0" t="s">
        <v>28</v>
      </c>
      <c r="G8203" s="0" t="s">
        <v>29</v>
      </c>
      <c r="H8203" s="5">
        <v>472.794200</v>
      </c>
    </row>
    <row r="8204" spans="1:9">
      <c r="A8204" s="22" t="str">
        <f>HYPERLINK("https://app.vivvix.com/360/KMI/IntelliDrive/ApplUI/Pages/CreativePages/CustomReportCreativeDetail.aspx?App=23&amp;ReportView=4&amp;Qid=1711279&amp;Row=8196&amp;Col=1","No Title Assigned - #15270691807")</f>
        <v/>
      </c>
      <c r="B8204" s="0" t="s">
        <v>10935</v>
      </c>
      <c r="C8204" s="0" t="s">
        <v>10936</v>
      </c>
      <c r="D8204" s="0" t="s">
        <v>10936</v>
      </c>
      <c r="E8204" s="0" t="inlineStr">
        <is>
          <t xml:space="preserve">Mazda</t>
        </is>
      </c>
      <c r="F8204" s="0" t="s">
        <v>13</v>
      </c>
      <c r="G8204" s="0" t="s">
        <v>49</v>
      </c>
      <c r="H8204" s="5">
        <v>1411.940700</v>
      </c>
    </row>
    <row r="8205" spans="1:9">
      <c r="A8205" s="22" t="str">
        <f>HYPERLINK("https://app.vivvix.com/360/KMI/IntelliDrive/ApplUI/Pages/CreativePages/CustomReportCreativeDetail.aspx?App=23&amp;ReportView=4&amp;Qid=1711279&amp;Row=8197&amp;Col=1","No Title Assigned - #15270692260")</f>
        <v/>
      </c>
      <c r="B8205" s="0" t="s">
        <v>10937</v>
      </c>
      <c r="C8205" s="0" t="s">
        <v>10938</v>
      </c>
      <c r="D8205" s="0" t="s">
        <v>10938</v>
      </c>
      <c r="E8205" s="0" t="inlineStr">
        <is>
          <t xml:space="preserve">Mazda</t>
        </is>
      </c>
      <c r="F8205" s="0" t="s">
        <v>28</v>
      </c>
      <c r="G8205" s="0" t="s">
        <v>29</v>
      </c>
      <c r="H8205" s="5">
        <v>28.241500</v>
      </c>
    </row>
    <row r="8206" spans="1:9">
      <c r="A8206" s="22" t="str">
        <f>HYPERLINK("https://app.vivvix.com/360/KMI/IntelliDrive/ApplUI/Pages/CreativePages/CustomReportCreativeDetail.aspx?App=23&amp;ReportView=4&amp;Qid=1711279&amp;Row=8198&amp;Col=1","No Title Assigned - #15270692853")</f>
        <v/>
      </c>
      <c r="B8206" s="0" t="s">
        <v>10939</v>
      </c>
      <c r="E8206" s="0" t="inlineStr">
        <is>
          <t xml:space="preserve">Mazda</t>
        </is>
      </c>
      <c r="F8206" s="0" t="inlineStr">
        <is>
          <t xml:space="preserve">Mazda</t>
        </is>
      </c>
      <c r="G8206" s="0" t="s">
        <v>171</v>
      </c>
      <c r="H8206" s="5">
        <v>98.221000</v>
      </c>
    </row>
    <row r="8207" spans="1:9">
      <c r="A8207" s="22" t="str">
        <f>HYPERLINK("https://app.vivvix.com/360/KMI/IntelliDrive/ApplUI/Pages/CreativePages/CustomReportCreativeDetail.aspx?App=23&amp;ReportView=4&amp;Qid=1711279&amp;Row=8199&amp;Col=1","No Title Assigned - #15270693259")</f>
        <v/>
      </c>
      <c r="B8207" s="0" t="s">
        <v>10940</v>
      </c>
      <c r="C8207" s="0" t="s">
        <v>10941</v>
      </c>
      <c r="D8207" s="0" t="s">
        <v>4200</v>
      </c>
      <c r="E8207" s="0" t="inlineStr">
        <is>
          <t xml:space="preserve">Mazda</t>
        </is>
      </c>
      <c r="F8207" s="0" t="s">
        <v>28</v>
      </c>
      <c r="G8207" s="0" t="s">
        <v>29</v>
      </c>
      <c r="H8207" s="5">
        <v>58.049400</v>
      </c>
    </row>
    <row r="8208" spans="1:9">
      <c r="A8208" s="22" t="str">
        <f>HYPERLINK("https://app.vivvix.com/360/KMI/IntelliDrive/ApplUI/Pages/CreativePages/CustomReportCreativeDetail.aspx?App=23&amp;ReportView=4&amp;Qid=1711279&amp;Row=8200&amp;Col=1","No Title Assigned - #15270693503")</f>
        <v/>
      </c>
      <c r="B8208" s="0" t="s">
        <v>10942</v>
      </c>
      <c r="C8208" s="0" t="s">
        <v>10943</v>
      </c>
      <c r="D8208" s="0" t="s">
        <v>4335</v>
      </c>
      <c r="E8208" s="0" t="inlineStr">
        <is>
          <t xml:space="preserve">Mazda</t>
        </is>
      </c>
      <c r="F8208" s="0" t="s">
        <v>13</v>
      </c>
      <c r="G8208" s="0" t="s">
        <v>49</v>
      </c>
      <c r="H8208" s="5">
        <v>929.889600</v>
      </c>
    </row>
    <row r="8209" spans="1:9">
      <c r="A8209" s="22" t="str">
        <f>HYPERLINK("https://app.vivvix.com/360/KMI/IntelliDrive/ApplUI/Pages/CreativePages/CustomReportCreativeDetail.aspx?App=23&amp;ReportView=4&amp;Qid=1711279&amp;Row=8201&amp;Col=1","No Title Assigned - #15270695088")</f>
        <v/>
      </c>
      <c r="B8209" s="0" t="s">
        <v>10944</v>
      </c>
      <c r="C8209" s="0" t="s">
        <v>10945</v>
      </c>
      <c r="D8209" s="0" t="s">
        <v>10945</v>
      </c>
      <c r="E8209" s="0" t="inlineStr">
        <is>
          <t xml:space="preserve">Mazda</t>
        </is>
      </c>
      <c r="F8209" s="0" t="s">
        <v>28</v>
      </c>
      <c r="G8209" s="0" t="s">
        <v>29</v>
      </c>
      <c r="H8209" s="5">
        <v>52.976300</v>
      </c>
    </row>
    <row r="8210" spans="1:9">
      <c r="A8210" s="22" t="str">
        <f>HYPERLINK("https://app.vivvix.com/360/KMI/IntelliDrive/ApplUI/Pages/CreativePages/CustomReportCreativeDetail.aspx?App=23&amp;ReportView=4&amp;Qid=1711279&amp;Row=8202&amp;Col=1","No Title Assigned - #15270696050")</f>
        <v/>
      </c>
      <c r="B8210" s="0" t="s">
        <v>10946</v>
      </c>
      <c r="C8210" s="0" t="s">
        <v>10947</v>
      </c>
      <c r="D8210" s="0" t="s">
        <v>10947</v>
      </c>
      <c r="E8210" s="0" t="inlineStr">
        <is>
          <t xml:space="preserve">Mazda</t>
        </is>
      </c>
      <c r="F8210" s="0" t="s">
        <v>13</v>
      </c>
      <c r="G8210" s="0" t="s">
        <v>49</v>
      </c>
      <c r="H8210" s="5">
        <v>1610.439800</v>
      </c>
    </row>
    <row r="8211" spans="1:9">
      <c r="A8211" s="22" t="str">
        <f>HYPERLINK("https://app.vivvix.com/360/KMI/IntelliDrive/ApplUI/Pages/CreativePages/CustomReportCreativeDetail.aspx?App=23&amp;ReportView=4&amp;Qid=1711279&amp;Row=8203&amp;Col=1","No Title Assigned - #15270696436")</f>
        <v/>
      </c>
      <c r="B8211" s="0" t="s">
        <v>10948</v>
      </c>
      <c r="C8211" s="0" t="s">
        <v>10949</v>
      </c>
      <c r="D8211" s="0" t="s">
        <v>10949</v>
      </c>
      <c r="E8211" s="0" t="inlineStr">
        <is>
          <t xml:space="preserve">Mazda</t>
        </is>
      </c>
      <c r="F8211" s="0" t="s">
        <v>13</v>
      </c>
      <c r="G8211" s="0" t="s">
        <v>49</v>
      </c>
      <c r="H8211" s="5">
        <v>674.259700</v>
      </c>
    </row>
    <row r="8212" spans="1:9">
      <c r="A8212" s="22" t="str">
        <f>HYPERLINK("https://app.vivvix.com/360/KMI/IntelliDrive/ApplUI/Pages/CreativePages/CustomReportCreativeDetail.aspx?App=23&amp;ReportView=4&amp;Qid=1711279&amp;Row=8204&amp;Col=1","No Title Assigned - #15270696578")</f>
        <v/>
      </c>
      <c r="B8212" s="0" t="s">
        <v>10950</v>
      </c>
      <c r="C8212" s="0" t="s">
        <v>10951</v>
      </c>
      <c r="D8212" s="0" t="s">
        <v>10951</v>
      </c>
      <c r="E8212" s="0" t="inlineStr">
        <is>
          <t xml:space="preserve">Mazda</t>
        </is>
      </c>
      <c r="F8212" s="0" t="s">
        <v>28</v>
      </c>
      <c r="G8212" s="0" t="s">
        <v>29</v>
      </c>
      <c r="H8212" s="5">
        <v>52.976300</v>
      </c>
    </row>
    <row r="8213" spans="1:9">
      <c r="A8213" s="22" t="str">
        <f>HYPERLINK("https://app.vivvix.com/360/KMI/IntelliDrive/ApplUI/Pages/CreativePages/CustomReportCreativeDetail.aspx?App=23&amp;ReportView=4&amp;Qid=1711279&amp;Row=8205&amp;Col=1","No Title Assigned - #15270697098")</f>
        <v/>
      </c>
      <c r="B8213" s="0" t="s">
        <v>10952</v>
      </c>
      <c r="C8213" s="0" t="s">
        <v>10953</v>
      </c>
      <c r="D8213" s="0" t="s">
        <v>4333</v>
      </c>
      <c r="E8213" s="0" t="inlineStr">
        <is>
          <t xml:space="preserve">Mazda</t>
        </is>
      </c>
      <c r="F8213" s="0" t="s">
        <v>28</v>
      </c>
      <c r="G8213" s="0" t="s">
        <v>29</v>
      </c>
      <c r="H8213" s="5">
        <v>402.630900</v>
      </c>
    </row>
    <row r="8214" spans="1:9">
      <c r="A8214" s="22" t="str">
        <f>HYPERLINK("https://app.vivvix.com/360/KMI/IntelliDrive/ApplUI/Pages/CreativePages/CustomReportCreativeDetail.aspx?App=23&amp;ReportView=4&amp;Qid=1711279&amp;Row=8206&amp;Col=1","No Title Assigned - #15270697800")</f>
        <v/>
      </c>
      <c r="B8214" s="0" t="s">
        <v>10954</v>
      </c>
      <c r="C8214" s="0" t="s">
        <v>10955</v>
      </c>
      <c r="D8214" s="0" t="s">
        <v>10955</v>
      </c>
      <c r="E8214" s="0" t="inlineStr">
        <is>
          <t xml:space="preserve">Mazda</t>
        </is>
      </c>
      <c r="F8214" s="0" t="s">
        <v>13</v>
      </c>
      <c r="G8214" s="0" t="s">
        <v>49</v>
      </c>
      <c r="H8214" s="5">
        <v>1649.517300</v>
      </c>
    </row>
    <row r="8215" spans="1:9">
      <c r="A8215" s="22" t="str">
        <f>HYPERLINK("https://app.vivvix.com/360/KMI/IntelliDrive/ApplUI/Pages/CreativePages/CustomReportCreativeDetail.aspx?App=23&amp;ReportView=4&amp;Qid=1711279&amp;Row=8207&amp;Col=1","No Title Assigned - #15270697800")</f>
        <v/>
      </c>
      <c r="B8215" s="0" t="s">
        <v>10954</v>
      </c>
      <c r="E8215" s="0" t="inlineStr">
        <is>
          <t xml:space="preserve">Mazda</t>
        </is>
      </c>
      <c r="F8215" s="0" t="s">
        <v>13</v>
      </c>
      <c r="G8215" s="0" t="s">
        <v>49</v>
      </c>
      <c r="H8215" s="5">
        <v>6401.482700</v>
      </c>
    </row>
    <row r="8216" spans="1:9">
      <c r="A8216" s="22" t="str">
        <f>HYPERLINK("https://app.vivvix.com/360/KMI/IntelliDrive/ApplUI/Pages/CreativePages/CustomReportCreativeDetail.aspx?App=23&amp;ReportView=4&amp;Qid=1711279&amp;Row=8208&amp;Col=1","No Title Assigned - #15270697831")</f>
        <v/>
      </c>
      <c r="B8216" s="0" t="s">
        <v>10956</v>
      </c>
      <c r="C8216" s="0" t="s">
        <v>10957</v>
      </c>
      <c r="D8216" s="0" t="s">
        <v>10957</v>
      </c>
      <c r="E8216" s="0" t="inlineStr">
        <is>
          <t xml:space="preserve">Mazda</t>
        </is>
      </c>
      <c r="F8216" s="0" t="s">
        <v>28</v>
      </c>
      <c r="G8216" s="0" t="s">
        <v>29</v>
      </c>
      <c r="H8216" s="5">
        <v>52.101300</v>
      </c>
    </row>
    <row r="8217" spans="1:9">
      <c r="A8217" s="22" t="str">
        <f>HYPERLINK("https://app.vivvix.com/360/KMI/IntelliDrive/ApplUI/Pages/CreativePages/CustomReportCreativeDetail.aspx?App=23&amp;ReportView=4&amp;Qid=1711279&amp;Row=8209&amp;Col=1","No Title Assigned - #15270699504")</f>
        <v/>
      </c>
      <c r="B8217" s="0" t="s">
        <v>10958</v>
      </c>
      <c r="E8217" s="0" t="inlineStr">
        <is>
          <t xml:space="preserve">Mazda</t>
        </is>
      </c>
      <c r="F8217" s="0" t="inlineStr">
        <is>
          <t xml:space="preserve">Mazda</t>
        </is>
      </c>
      <c r="G8217" s="0" t="s">
        <v>171</v>
      </c>
      <c r="H8217" s="5">
        <v>169.791800</v>
      </c>
    </row>
    <row r="8218" spans="1:9">
      <c r="A8218" s="22" t="str">
        <f>HYPERLINK("https://app.vivvix.com/360/KMI/IntelliDrive/ApplUI/Pages/CreativePages/CustomReportCreativeDetail.aspx?App=23&amp;ReportView=4&amp;Qid=1711279&amp;Row=8210&amp;Col=1","No Title Assigned - #15270699904")</f>
        <v/>
      </c>
      <c r="B8218" s="0" t="s">
        <v>10959</v>
      </c>
      <c r="C8218" s="0" t="s">
        <v>10960</v>
      </c>
      <c r="D8218" s="0" t="s">
        <v>10960</v>
      </c>
      <c r="E8218" s="0" t="inlineStr">
        <is>
          <t xml:space="preserve">Mazda</t>
        </is>
      </c>
      <c r="F8218" s="0" t="s">
        <v>28</v>
      </c>
      <c r="G8218" s="0" t="s">
        <v>29</v>
      </c>
      <c r="H8218" s="5">
        <v>13.211300</v>
      </c>
    </row>
    <row r="8219" spans="1:9">
      <c r="A8219" s="22" t="str">
        <f>HYPERLINK("https://app.vivvix.com/360/KMI/IntelliDrive/ApplUI/Pages/CreativePages/CustomReportCreativeDetail.aspx?App=23&amp;ReportView=4&amp;Qid=1711279&amp;Row=8211&amp;Col=1","No Title Assigned - #15270700353")</f>
        <v/>
      </c>
      <c r="B8219" s="0" t="s">
        <v>10961</v>
      </c>
      <c r="C8219" s="0" t="s">
        <v>10962</v>
      </c>
      <c r="D8219" s="0" t="s">
        <v>10962</v>
      </c>
      <c r="E8219" s="0" t="inlineStr">
        <is>
          <t xml:space="preserve">Mazda</t>
        </is>
      </c>
      <c r="F8219" s="0" t="s">
        <v>369</v>
      </c>
      <c r="G8219" s="0" t="s">
        <v>370</v>
      </c>
      <c r="H8219" s="5">
        <v>774.750400</v>
      </c>
    </row>
    <row r="8220" spans="1:9">
      <c r="A8220" s="22" t="str">
        <f>HYPERLINK("https://app.vivvix.com/360/KMI/IntelliDrive/ApplUI/Pages/CreativePages/CustomReportCreativeDetail.aspx?App=23&amp;ReportView=4&amp;Qid=1711279&amp;Row=8212&amp;Col=1","No Title Assigned - #15270701115")</f>
        <v/>
      </c>
      <c r="B8220" s="0" t="s">
        <v>10963</v>
      </c>
      <c r="C8220" s="0" t="s">
        <v>10964</v>
      </c>
      <c r="D8220" s="0" t="s">
        <v>10964</v>
      </c>
      <c r="E8220" s="0" t="inlineStr">
        <is>
          <t xml:space="preserve">Mazda</t>
        </is>
      </c>
      <c r="F8220" s="0" t="s">
        <v>13</v>
      </c>
      <c r="G8220" s="0" t="s">
        <v>49</v>
      </c>
      <c r="H8220" s="5">
        <v>1191.314600</v>
      </c>
    </row>
    <row r="8221" spans="1:9">
      <c r="A8221" s="22" t="str">
        <f>HYPERLINK("https://app.vivvix.com/360/KMI/IntelliDrive/ApplUI/Pages/CreativePages/CustomReportCreativeDetail.aspx?App=23&amp;ReportView=4&amp;Qid=1711279&amp;Row=8213&amp;Col=1","No Title Assigned - #15270701115")</f>
        <v/>
      </c>
      <c r="B8221" s="0" t="s">
        <v>10963</v>
      </c>
      <c r="E8221" s="0" t="inlineStr">
        <is>
          <t xml:space="preserve">Mazda</t>
        </is>
      </c>
      <c r="F8221" s="0" t="s">
        <v>13</v>
      </c>
      <c r="G8221" s="0" t="s">
        <v>49</v>
      </c>
      <c r="H8221" s="5">
        <v>614.419900</v>
      </c>
    </row>
    <row r="8222" spans="1:9">
      <c r="A8222" s="22" t="str">
        <f>HYPERLINK("https://app.vivvix.com/360/KMI/IntelliDrive/ApplUI/Pages/CreativePages/CustomReportCreativeDetail.aspx?App=23&amp;ReportView=4&amp;Qid=1711279&amp;Row=8214&amp;Col=1","No Title Assigned - #15270701158")</f>
        <v/>
      </c>
      <c r="B8222" s="0" t="s">
        <v>10965</v>
      </c>
      <c r="C8222" s="0" t="s">
        <v>10966</v>
      </c>
      <c r="D8222" s="0" t="s">
        <v>8894</v>
      </c>
      <c r="E8222" s="0" t="inlineStr">
        <is>
          <t xml:space="preserve">Mazda</t>
        </is>
      </c>
      <c r="F8222" s="0" t="s">
        <v>13</v>
      </c>
      <c r="G8222" s="0" t="s">
        <v>49</v>
      </c>
      <c r="H8222" s="5">
        <v>513.306100</v>
      </c>
    </row>
    <row r="8223" spans="1:9">
      <c r="A8223" s="22" t="str">
        <f>HYPERLINK("https://app.vivvix.com/360/KMI/IntelliDrive/ApplUI/Pages/CreativePages/CustomReportCreativeDetail.aspx?App=23&amp;ReportView=4&amp;Qid=1711279&amp;Row=8215&amp;Col=1","No Title Assigned - #15270701945")</f>
        <v/>
      </c>
      <c r="B8223" s="0" t="s">
        <v>10967</v>
      </c>
      <c r="C8223" s="0" t="s">
        <v>10968</v>
      </c>
      <c r="D8223" s="0" t="s">
        <v>4333</v>
      </c>
      <c r="E8223" s="0" t="inlineStr">
        <is>
          <t xml:space="preserve">Mazda</t>
        </is>
      </c>
      <c r="F8223" s="0" t="s">
        <v>28</v>
      </c>
      <c r="G8223" s="0" t="s">
        <v>29</v>
      </c>
      <c r="H8223" s="5">
        <v>159.785200</v>
      </c>
    </row>
    <row r="8224" spans="1:9">
      <c r="A8224" s="22" t="str">
        <f>HYPERLINK("https://app.vivvix.com/360/KMI/IntelliDrive/ApplUI/Pages/CreativePages/CustomReportCreativeDetail.aspx?App=23&amp;ReportView=4&amp;Qid=1711279&amp;Row=8216&amp;Col=1","No Title Assigned - #15270702309")</f>
        <v/>
      </c>
      <c r="B8224" s="0" t="s">
        <v>10969</v>
      </c>
      <c r="E8224" s="0" t="inlineStr">
        <is>
          <t xml:space="preserve">Mazda</t>
        </is>
      </c>
      <c r="F8224" s="0" t="inlineStr">
        <is>
          <t xml:space="preserve">Mazda</t>
        </is>
      </c>
      <c r="G8224" s="0" t="s">
        <v>171</v>
      </c>
      <c r="H8224" s="5">
        <v>50.422300</v>
      </c>
    </row>
    <row r="8225" spans="1:9">
      <c r="A8225" s="22" t="str">
        <f>HYPERLINK("https://app.vivvix.com/360/KMI/IntelliDrive/ApplUI/Pages/CreativePages/CustomReportCreativeDetail.aspx?App=23&amp;ReportView=4&amp;Qid=1711279&amp;Row=8217&amp;Col=1","No Title Assigned - #15270702395")</f>
        <v/>
      </c>
      <c r="B8225" s="0" t="s">
        <v>10970</v>
      </c>
      <c r="C8225" s="0" t="s">
        <v>10971</v>
      </c>
      <c r="D8225" s="0" t="s">
        <v>10971</v>
      </c>
      <c r="E8225" s="0" t="inlineStr">
        <is>
          <t xml:space="preserve">Mazda</t>
        </is>
      </c>
      <c r="F8225" s="0" t="s">
        <v>13</v>
      </c>
      <c r="G8225" s="0" t="s">
        <v>49</v>
      </c>
      <c r="H8225" s="5">
        <v>255.340300</v>
      </c>
    </row>
    <row r="8226" spans="1:9">
      <c r="A8226" s="22" t="str">
        <f>HYPERLINK("https://app.vivvix.com/360/KMI/IntelliDrive/ApplUI/Pages/CreativePages/CustomReportCreativeDetail.aspx?App=23&amp;ReportView=4&amp;Qid=1711279&amp;Row=8218&amp;Col=1","No Title Assigned - #15270702425")</f>
        <v/>
      </c>
      <c r="B8226" s="0" t="s">
        <v>10972</v>
      </c>
      <c r="C8226" s="0" t="s">
        <v>10973</v>
      </c>
      <c r="D8226" s="0" t="s">
        <v>10973</v>
      </c>
      <c r="E8226" s="0" t="inlineStr">
        <is>
          <t xml:space="preserve">Mazda</t>
        </is>
      </c>
      <c r="F8226" s="0" t="s">
        <v>28</v>
      </c>
      <c r="G8226" s="0" t="s">
        <v>29</v>
      </c>
      <c r="H8226" s="5">
        <v>12.036800</v>
      </c>
    </row>
    <row r="8227" spans="1:9">
      <c r="A8227" s="22" t="str">
        <f>HYPERLINK("https://app.vivvix.com/360/KMI/IntelliDrive/ApplUI/Pages/CreativePages/CustomReportCreativeDetail.aspx?App=23&amp;ReportView=4&amp;Qid=1711279&amp;Row=8219&amp;Col=1","No Title Assigned - #15270702680")</f>
        <v/>
      </c>
      <c r="B8227" s="0" t="s">
        <v>10974</v>
      </c>
      <c r="E8227" s="0" t="inlineStr">
        <is>
          <t xml:space="preserve">Mazda</t>
        </is>
      </c>
      <c r="F8227" s="0" t="inlineStr">
        <is>
          <t xml:space="preserve">Mazda</t>
        </is>
      </c>
      <c r="G8227" s="0" t="s">
        <v>171</v>
      </c>
      <c r="H8227" s="5">
        <v>817.499700</v>
      </c>
    </row>
    <row r="8228" spans="1:9">
      <c r="A8228" s="22" t="str">
        <f>HYPERLINK("https://app.vivvix.com/360/KMI/IntelliDrive/ApplUI/Pages/CreativePages/CustomReportCreativeDetail.aspx?App=23&amp;ReportView=4&amp;Qid=1711279&amp;Row=8220&amp;Col=1","No Title Assigned - #15270702903")</f>
        <v/>
      </c>
      <c r="B8228" s="0" t="s">
        <v>10975</v>
      </c>
      <c r="C8228" s="0" t="s">
        <v>10976</v>
      </c>
      <c r="D8228" s="0" t="s">
        <v>4200</v>
      </c>
      <c r="E8228" s="0" t="inlineStr">
        <is>
          <t xml:space="preserve">Mazda</t>
        </is>
      </c>
      <c r="F8228" s="0" t="s">
        <v>28</v>
      </c>
      <c r="G8228" s="0" t="s">
        <v>29</v>
      </c>
      <c r="H8228" s="5">
        <v>123.960000</v>
      </c>
    </row>
    <row r="8229" spans="1:9">
      <c r="A8229" s="22" t="str">
        <f>HYPERLINK("https://app.vivvix.com/360/KMI/IntelliDrive/ApplUI/Pages/CreativePages/CustomReportCreativeDetail.aspx?App=23&amp;ReportView=4&amp;Qid=1711279&amp;Row=8221&amp;Col=1","No Title Assigned - #15270703031")</f>
        <v/>
      </c>
      <c r="B8229" s="0" t="s">
        <v>10977</v>
      </c>
      <c r="C8229" s="0" t="s">
        <v>10978</v>
      </c>
      <c r="D8229" s="0" t="s">
        <v>10978</v>
      </c>
      <c r="E8229" s="0" t="inlineStr">
        <is>
          <t xml:space="preserve">Mazda</t>
        </is>
      </c>
      <c r="F8229" s="0" t="s">
        <v>28</v>
      </c>
      <c r="G8229" s="0" t="s">
        <v>29</v>
      </c>
      <c r="H8229" s="5">
        <v>87.892100</v>
      </c>
    </row>
    <row r="8230" spans="1:9">
      <c r="A8230" s="22" t="str">
        <f>HYPERLINK("https://app.vivvix.com/360/KMI/IntelliDrive/ApplUI/Pages/CreativePages/CustomReportCreativeDetail.aspx?App=23&amp;ReportView=4&amp;Qid=1711279&amp;Row=8222&amp;Col=1","No Title Assigned - #15270703059")</f>
        <v/>
      </c>
      <c r="B8230" s="0" t="s">
        <v>10979</v>
      </c>
      <c r="C8230" s="0" t="s">
        <v>10980</v>
      </c>
      <c r="D8230" s="0" t="s">
        <v>10980</v>
      </c>
      <c r="E8230" s="0" t="inlineStr">
        <is>
          <t xml:space="preserve">Mazda</t>
        </is>
      </c>
      <c r="F8230" s="0" t="inlineStr">
        <is>
          <t xml:space="preserve">Mazda</t>
        </is>
      </c>
      <c r="G8230" s="0" t="s">
        <v>210</v>
      </c>
      <c r="H8230" s="5">
        <v>211.730900</v>
      </c>
    </row>
    <row r="8231" spans="1:9">
      <c r="A8231" s="22" t="str">
        <f>HYPERLINK("https://app.vivvix.com/360/KMI/IntelliDrive/ApplUI/Pages/CreativePages/CustomReportCreativeDetail.aspx?App=23&amp;ReportView=4&amp;Qid=1711279&amp;Row=8223&amp;Col=1","No Title Assigned - #15270703059")</f>
        <v/>
      </c>
      <c r="B8231" s="0" t="s">
        <v>10979</v>
      </c>
      <c r="E8231" s="0" t="inlineStr">
        <is>
          <t xml:space="preserve">Mazda</t>
        </is>
      </c>
      <c r="F8231" s="0" t="inlineStr">
        <is>
          <t xml:space="preserve">Mazda</t>
        </is>
      </c>
      <c r="G8231" s="0" t="s">
        <v>210</v>
      </c>
      <c r="H8231" s="5">
        <v>883.433700</v>
      </c>
    </row>
    <row r="8232" spans="1:9">
      <c r="A8232" s="22" t="str">
        <f>HYPERLINK("https://app.vivvix.com/360/KMI/IntelliDrive/ApplUI/Pages/CreativePages/CustomReportCreativeDetail.aspx?App=23&amp;ReportView=4&amp;Qid=1711279&amp;Row=8224&amp;Col=1","No Title Assigned - #15270703283")</f>
        <v/>
      </c>
      <c r="B8232" s="0" t="s">
        <v>10981</v>
      </c>
      <c r="C8232" s="0" t="s">
        <v>10982</v>
      </c>
      <c r="D8232" s="0" t="s">
        <v>10982</v>
      </c>
      <c r="E8232" s="0" t="inlineStr">
        <is>
          <t xml:space="preserve">Mazda</t>
        </is>
      </c>
      <c r="F8232" s="0" t="s">
        <v>28</v>
      </c>
      <c r="G8232" s="0" t="s">
        <v>29</v>
      </c>
      <c r="H8232" s="5">
        <v>56.309700</v>
      </c>
    </row>
    <row r="8233" spans="1:9">
      <c r="A8233" s="22" t="str">
        <f>HYPERLINK("https://app.vivvix.com/360/KMI/IntelliDrive/ApplUI/Pages/CreativePages/CustomReportCreativeDetail.aspx?App=23&amp;ReportView=4&amp;Qid=1711279&amp;Row=8225&amp;Col=1","No Title Assigned - #15270703333")</f>
        <v/>
      </c>
      <c r="B8233" s="0" t="s">
        <v>10983</v>
      </c>
      <c r="C8233" s="0" t="s">
        <v>10984</v>
      </c>
      <c r="D8233" s="0" t="s">
        <v>4204</v>
      </c>
      <c r="E8233" s="0" t="inlineStr">
        <is>
          <t xml:space="preserve">Mazda</t>
        </is>
      </c>
      <c r="F8233" s="0" t="s">
        <v>28</v>
      </c>
      <c r="G8233" s="0" t="s">
        <v>29</v>
      </c>
      <c r="H8233" s="5">
        <v>6.785000</v>
      </c>
    </row>
    <row r="8234" spans="1:9">
      <c r="A8234" s="22" t="str">
        <f>HYPERLINK("https://app.vivvix.com/360/KMI/IntelliDrive/ApplUI/Pages/CreativePages/CustomReportCreativeDetail.aspx?App=23&amp;ReportView=4&amp;Qid=1711279&amp;Row=8226&amp;Col=1","No Title Assigned - #15270703496")</f>
        <v/>
      </c>
      <c r="B8234" s="0" t="s">
        <v>10985</v>
      </c>
      <c r="C8234" s="0" t="s">
        <v>10986</v>
      </c>
      <c r="D8234" s="0" t="s">
        <v>10986</v>
      </c>
      <c r="E8234" s="0" t="inlineStr">
        <is>
          <t xml:space="preserve">Mazda</t>
        </is>
      </c>
      <c r="F8234" s="0" t="s">
        <v>28</v>
      </c>
      <c r="G8234" s="0" t="s">
        <v>29</v>
      </c>
      <c r="H8234" s="5">
        <v>2.663400</v>
      </c>
    </row>
    <row r="8235" spans="1:9">
      <c r="A8235" s="22" t="str">
        <f>HYPERLINK("https://app.vivvix.com/360/KMI/IntelliDrive/ApplUI/Pages/CreativePages/CustomReportCreativeDetail.aspx?App=23&amp;ReportView=4&amp;Qid=1711279&amp;Row=8227&amp;Col=1","No Title Assigned - #15270703654")</f>
        <v/>
      </c>
      <c r="B8235" s="0" t="s">
        <v>10987</v>
      </c>
      <c r="C8235" s="0" t="s">
        <v>10988</v>
      </c>
      <c r="D8235" s="0" t="s">
        <v>10988</v>
      </c>
      <c r="E8235" s="0" t="inlineStr">
        <is>
          <t xml:space="preserve">Mazda</t>
        </is>
      </c>
      <c r="F8235" s="0" t="s">
        <v>13</v>
      </c>
      <c r="G8235" s="0" t="s">
        <v>49</v>
      </c>
      <c r="H8235" s="5">
        <v>659.266200</v>
      </c>
    </row>
    <row r="8236" spans="1:9">
      <c r="A8236" s="22" t="str">
        <f>HYPERLINK("https://app.vivvix.com/360/KMI/IntelliDrive/ApplUI/Pages/CreativePages/CustomReportCreativeDetail.aspx?App=23&amp;ReportView=4&amp;Qid=1711279&amp;Row=8228&amp;Col=1","No Title Assigned - #15270703874")</f>
        <v/>
      </c>
      <c r="B8236" s="0" t="s">
        <v>10989</v>
      </c>
      <c r="C8236" s="0" t="s">
        <v>10990</v>
      </c>
      <c r="D8236" s="0" t="s">
        <v>10990</v>
      </c>
      <c r="E8236" s="0" t="inlineStr">
        <is>
          <t xml:space="preserve">Mazda</t>
        </is>
      </c>
      <c r="F8236" s="0" t="s">
        <v>28</v>
      </c>
      <c r="G8236" s="0" t="s">
        <v>29</v>
      </c>
      <c r="H8236" s="5">
        <v>508.894900</v>
      </c>
    </row>
    <row r="8237" spans="1:9">
      <c r="A8237" s="22" t="str">
        <f>HYPERLINK("https://app.vivvix.com/360/KMI/IntelliDrive/ApplUI/Pages/CreativePages/CustomReportCreativeDetail.aspx?App=23&amp;ReportView=4&amp;Qid=1711279&amp;Row=8229&amp;Col=1","No Title Assigned - #15270704025")</f>
        <v/>
      </c>
      <c r="B8237" s="0" t="s">
        <v>10991</v>
      </c>
      <c r="C8237" s="0" t="s">
        <v>10992</v>
      </c>
      <c r="D8237" s="0" t="s">
        <v>10992</v>
      </c>
      <c r="E8237" s="0" t="inlineStr">
        <is>
          <t xml:space="preserve">Mazda</t>
        </is>
      </c>
      <c r="F8237" s="0" t="s">
        <v>13</v>
      </c>
      <c r="G8237" s="0" t="s">
        <v>49</v>
      </c>
      <c r="H8237" s="5">
        <v>1277.756700</v>
      </c>
    </row>
    <row r="8238" spans="1:9">
      <c r="A8238" s="22" t="str">
        <f>HYPERLINK("https://app.vivvix.com/360/KMI/IntelliDrive/ApplUI/Pages/CreativePages/CustomReportCreativeDetail.aspx?App=23&amp;ReportView=4&amp;Qid=1711279&amp;Row=8230&amp;Col=1","No Title Assigned - #15270704098")</f>
        <v/>
      </c>
      <c r="B8238" s="0" t="s">
        <v>10993</v>
      </c>
      <c r="E8238" s="0" t="inlineStr">
        <is>
          <t xml:space="preserve">Mazda</t>
        </is>
      </c>
      <c r="F8238" s="0" t="inlineStr">
        <is>
          <t xml:space="preserve">Mazda</t>
        </is>
      </c>
      <c r="G8238" s="0" t="s">
        <v>171</v>
      </c>
      <c r="H8238" s="5">
        <v>40.564200</v>
      </c>
    </row>
    <row r="8239" spans="1:9">
      <c r="A8239" s="22" t="str">
        <f>HYPERLINK("https://app.vivvix.com/360/KMI/IntelliDrive/ApplUI/Pages/CreativePages/CustomReportCreativeDetail.aspx?App=23&amp;ReportView=4&amp;Qid=1711279&amp;Row=8231&amp;Col=1","No Title Assigned - #15270704384")</f>
        <v/>
      </c>
      <c r="B8239" s="0" t="s">
        <v>10994</v>
      </c>
      <c r="C8239" s="0" t="s">
        <v>10995</v>
      </c>
      <c r="D8239" s="0" t="s">
        <v>8050</v>
      </c>
      <c r="E8239" s="0" t="inlineStr">
        <is>
          <t xml:space="preserve">Mazda</t>
        </is>
      </c>
      <c r="F8239" s="0" t="s">
        <v>28</v>
      </c>
      <c r="G8239" s="0" t="s">
        <v>29</v>
      </c>
      <c r="H8239" s="5">
        <v>183.110000</v>
      </c>
    </row>
    <row r="8240" spans="1:9">
      <c r="A8240" s="22" t="str">
        <f>HYPERLINK("https://app.vivvix.com/360/KMI/IntelliDrive/ApplUI/Pages/CreativePages/CustomReportCreativeDetail.aspx?App=23&amp;ReportView=4&amp;Qid=1711279&amp;Row=8232&amp;Col=1","No Title Assigned - #15270704711")</f>
        <v/>
      </c>
      <c r="B8240" s="0" t="s">
        <v>10996</v>
      </c>
      <c r="C8240" s="0" t="s">
        <v>10997</v>
      </c>
      <c r="D8240" s="0" t="s">
        <v>10997</v>
      </c>
      <c r="E8240" s="0" t="inlineStr">
        <is>
          <t xml:space="preserve">Mazda</t>
        </is>
      </c>
      <c r="F8240" s="0" t="s">
        <v>28</v>
      </c>
      <c r="G8240" s="0" t="s">
        <v>29</v>
      </c>
      <c r="H8240" s="5">
        <v>14310.390600</v>
      </c>
    </row>
    <row r="8241" spans="1:9">
      <c r="A8241" s="22" t="str">
        <f>HYPERLINK("https://app.vivvix.com/360/KMI/IntelliDrive/ApplUI/Pages/CreativePages/CustomReportCreativeDetail.aspx?App=23&amp;ReportView=4&amp;Qid=1711279&amp;Row=8233&amp;Col=1","No Title Assigned - #15270705038")</f>
        <v/>
      </c>
      <c r="B8241" s="0" t="s">
        <v>10998</v>
      </c>
      <c r="C8241" s="0" t="s">
        <v>10999</v>
      </c>
      <c r="D8241" s="0" t="s">
        <v>10999</v>
      </c>
      <c r="E8241" s="0" t="inlineStr">
        <is>
          <t xml:space="preserve">Mazda</t>
        </is>
      </c>
      <c r="F8241" s="0" t="s">
        <v>13</v>
      </c>
      <c r="G8241" s="0" t="s">
        <v>49</v>
      </c>
      <c r="H8241" s="5">
        <v>9031.059000</v>
      </c>
    </row>
    <row r="8242" spans="1:9">
      <c r="A8242" s="22" t="str">
        <f>HYPERLINK("https://app.vivvix.com/360/KMI/IntelliDrive/ApplUI/Pages/CreativePages/CustomReportCreativeDetail.aspx?App=23&amp;ReportView=4&amp;Qid=1711279&amp;Row=8234&amp;Col=1","No Title Assigned - #15270705038")</f>
        <v/>
      </c>
      <c r="B8242" s="0" t="s">
        <v>10998</v>
      </c>
      <c r="E8242" s="0" t="inlineStr">
        <is>
          <t xml:space="preserve">Mazda</t>
        </is>
      </c>
      <c r="F8242" s="0" t="s">
        <v>13</v>
      </c>
      <c r="G8242" s="0" t="s">
        <v>49</v>
      </c>
      <c r="H8242" s="5">
        <v>378.640600</v>
      </c>
    </row>
    <row r="8243" spans="1:9">
      <c r="A8243" s="22" t="str">
        <f>HYPERLINK("https://app.vivvix.com/360/KMI/IntelliDrive/ApplUI/Pages/CreativePages/CustomReportCreativeDetail.aspx?App=23&amp;ReportView=4&amp;Qid=1711279&amp;Row=8235&amp;Col=1","No Title Assigned - #15270705137")</f>
        <v/>
      </c>
      <c r="B8243" s="0" t="s">
        <v>11000</v>
      </c>
      <c r="C8243" s="0" t="s">
        <v>11001</v>
      </c>
      <c r="D8243" s="0" t="s">
        <v>11001</v>
      </c>
      <c r="E8243" s="0" t="inlineStr">
        <is>
          <t xml:space="preserve">Mazda</t>
        </is>
      </c>
      <c r="F8243" s="0" t="s">
        <v>28</v>
      </c>
      <c r="G8243" s="0" t="s">
        <v>29</v>
      </c>
      <c r="H8243" s="5">
        <v>411.104000</v>
      </c>
    </row>
    <row r="8244" spans="1:9">
      <c r="A8244" s="22" t="str">
        <f>HYPERLINK("https://app.vivvix.com/360/KMI/IntelliDrive/ApplUI/Pages/CreativePages/CustomReportCreativeDetail.aspx?App=23&amp;ReportView=4&amp;Qid=1711279&amp;Row=8236&amp;Col=1","No Title Assigned - #15270705196")</f>
        <v/>
      </c>
      <c r="B8244" s="0" t="s">
        <v>11002</v>
      </c>
      <c r="C8244" s="0" t="s">
        <v>11003</v>
      </c>
      <c r="D8244" s="0" t="s">
        <v>9973</v>
      </c>
      <c r="E8244" s="0" t="inlineStr">
        <is>
          <t xml:space="preserve">Mazda</t>
        </is>
      </c>
      <c r="F8244" s="0" t="s">
        <v>13</v>
      </c>
      <c r="G8244" s="0" t="s">
        <v>49</v>
      </c>
      <c r="H8244" s="5">
        <v>1006.536000</v>
      </c>
    </row>
    <row r="8245" spans="1:9">
      <c r="A8245" s="22" t="str">
        <f>HYPERLINK("https://app.vivvix.com/360/KMI/IntelliDrive/ApplUI/Pages/CreativePages/CustomReportCreativeDetail.aspx?App=23&amp;ReportView=4&amp;Qid=1711279&amp;Row=8237&amp;Col=1","No Title Assigned - #15270705347")</f>
        <v/>
      </c>
      <c r="B8245" s="0" t="s">
        <v>11004</v>
      </c>
      <c r="C8245" s="0" t="s">
        <v>11005</v>
      </c>
      <c r="D8245" s="0" t="s">
        <v>11005</v>
      </c>
      <c r="E8245" s="0" t="inlineStr">
        <is>
          <t xml:space="preserve">Mazda</t>
        </is>
      </c>
      <c r="F8245" s="0" t="s">
        <v>28</v>
      </c>
      <c r="G8245" s="0" t="s">
        <v>29</v>
      </c>
      <c r="H8245" s="5">
        <v>517.912000</v>
      </c>
    </row>
    <row r="8246" spans="1:9">
      <c r="A8246" s="22" t="str">
        <f>HYPERLINK("https://app.vivvix.com/360/KMI/IntelliDrive/ApplUI/Pages/CreativePages/CustomReportCreativeDetail.aspx?App=23&amp;ReportView=4&amp;Qid=1711279&amp;Row=8238&amp;Col=1","No Title Assigned - #15270705375")</f>
        <v/>
      </c>
      <c r="B8246" s="0" t="s">
        <v>11006</v>
      </c>
      <c r="E8246" s="0" t="inlineStr">
        <is>
          <t xml:space="preserve">Mazda</t>
        </is>
      </c>
      <c r="F8246" s="0" t="inlineStr">
        <is>
          <t xml:space="preserve">Mazda</t>
        </is>
      </c>
      <c r="G8246" s="0" t="s">
        <v>171</v>
      </c>
      <c r="H8246" s="5">
        <v>67.461800</v>
      </c>
    </row>
    <row r="8247" spans="1:9">
      <c r="A8247" s="22" t="str">
        <f>HYPERLINK("https://app.vivvix.com/360/KMI/IntelliDrive/ApplUI/Pages/CreativePages/CustomReportCreativeDetail.aspx?App=23&amp;ReportView=4&amp;Qid=1711279&amp;Row=8239&amp;Col=1","No Title Assigned - #15270705650")</f>
        <v/>
      </c>
      <c r="B8247" s="0" t="s">
        <v>11007</v>
      </c>
      <c r="C8247" s="0" t="s">
        <v>11008</v>
      </c>
      <c r="D8247" s="0" t="s">
        <v>11008</v>
      </c>
      <c r="E8247" s="0" t="inlineStr">
        <is>
          <t xml:space="preserve">Mazda</t>
        </is>
      </c>
      <c r="F8247" s="0" t="s">
        <v>28</v>
      </c>
      <c r="G8247" s="0" t="s">
        <v>29</v>
      </c>
      <c r="H8247" s="5">
        <v>57.826300</v>
      </c>
    </row>
    <row r="8248" spans="1:9">
      <c r="A8248" s="22" t="str">
        <f>HYPERLINK("https://app.vivvix.com/360/KMI/IntelliDrive/ApplUI/Pages/CreativePages/CustomReportCreativeDetail.aspx?App=23&amp;ReportView=4&amp;Qid=1711279&amp;Row=8240&amp;Col=1","No Title Assigned - #15270705656")</f>
        <v/>
      </c>
      <c r="B8248" s="0" t="s">
        <v>11009</v>
      </c>
      <c r="E8248" s="0" t="inlineStr">
        <is>
          <t xml:space="preserve">Mazda</t>
        </is>
      </c>
      <c r="F8248" s="0" t="s">
        <v>28</v>
      </c>
      <c r="G8248" s="0" t="s">
        <v>29</v>
      </c>
      <c r="H8248" s="5">
        <v>65.035900</v>
      </c>
    </row>
    <row r="8249" spans="1:9">
      <c r="A8249" s="22" t="str">
        <f>HYPERLINK("https://app.vivvix.com/360/KMI/IntelliDrive/ApplUI/Pages/CreativePages/CustomReportCreativeDetail.aspx?App=23&amp;ReportView=4&amp;Qid=1711279&amp;Row=8241&amp;Col=1","No Title Assigned - #15270705809")</f>
        <v/>
      </c>
      <c r="B8249" s="0" t="s">
        <v>11010</v>
      </c>
      <c r="C8249" s="0" t="s">
        <v>11011</v>
      </c>
      <c r="D8249" s="0" t="s">
        <v>11011</v>
      </c>
      <c r="E8249" s="0" t="inlineStr">
        <is>
          <t xml:space="preserve">Mazda</t>
        </is>
      </c>
      <c r="F8249" s="0" t="s">
        <v>28</v>
      </c>
      <c r="G8249" s="0" t="s">
        <v>29</v>
      </c>
      <c r="H8249" s="5">
        <v>52.976300</v>
      </c>
    </row>
    <row r="8250" spans="1:9">
      <c r="A8250" s="22" t="str">
        <f>HYPERLINK("https://app.vivvix.com/360/KMI/IntelliDrive/ApplUI/Pages/CreativePages/CustomReportCreativeDetail.aspx?App=23&amp;ReportView=4&amp;Qid=1711279&amp;Row=8242&amp;Col=1","No Title Assigned - #15270705891")</f>
        <v/>
      </c>
      <c r="B8250" s="0" t="s">
        <v>11012</v>
      </c>
      <c r="C8250" s="0" t="s">
        <v>11013</v>
      </c>
      <c r="D8250" s="0" t="s">
        <v>11013</v>
      </c>
      <c r="E8250" s="0" t="inlineStr">
        <is>
          <t xml:space="preserve">Mazda</t>
        </is>
      </c>
      <c r="F8250" s="0" t="inlineStr">
        <is>
          <t xml:space="preserve">Mazda</t>
        </is>
      </c>
      <c r="G8250" s="0" t="s">
        <v>171</v>
      </c>
      <c r="H8250" s="5">
        <v>105.811400</v>
      </c>
    </row>
    <row r="8251" spans="1:9">
      <c r="A8251" s="22" t="str">
        <f>HYPERLINK("https://app.vivvix.com/360/KMI/IntelliDrive/ApplUI/Pages/CreativePages/CustomReportCreativeDetail.aspx?App=23&amp;ReportView=4&amp;Qid=1711279&amp;Row=8243&amp;Col=1","No Title Assigned - #15270705891")</f>
        <v/>
      </c>
      <c r="B8251" s="0" t="s">
        <v>11012</v>
      </c>
      <c r="E8251" s="0" t="inlineStr">
        <is>
          <t xml:space="preserve">Mazda</t>
        </is>
      </c>
      <c r="F8251" s="0" t="inlineStr">
        <is>
          <t xml:space="preserve">Mazda</t>
        </is>
      </c>
      <c r="G8251" s="0" t="s">
        <v>171</v>
      </c>
      <c r="H8251" s="5">
        <v>814.610900</v>
      </c>
    </row>
    <row r="8252" spans="1:9">
      <c r="A8252" s="22" t="str">
        <f>HYPERLINK("https://app.vivvix.com/360/KMI/IntelliDrive/ApplUI/Pages/CreativePages/CustomReportCreativeDetail.aspx?App=23&amp;ReportView=4&amp;Qid=1711279&amp;Row=8244&amp;Col=1","No Title Assigned - #15270705922")</f>
        <v/>
      </c>
      <c r="B8252" s="0" t="s">
        <v>11014</v>
      </c>
      <c r="E8252" s="0" t="inlineStr">
        <is>
          <t xml:space="preserve">Mazda</t>
        </is>
      </c>
      <c r="F8252" s="0" t="inlineStr">
        <is>
          <t xml:space="preserve">Mazda</t>
        </is>
      </c>
      <c r="G8252" s="0" t="s">
        <v>171</v>
      </c>
      <c r="H8252" s="5">
        <v>93.241000</v>
      </c>
    </row>
    <row r="8253" spans="1:9">
      <c r="A8253" s="22" t="str">
        <f>HYPERLINK("https://app.vivvix.com/360/KMI/IntelliDrive/ApplUI/Pages/CreativePages/CustomReportCreativeDetail.aspx?App=23&amp;ReportView=4&amp;Qid=1711279&amp;Row=8245&amp;Col=1","No Title Assigned - #15270706011")</f>
        <v/>
      </c>
      <c r="B8253" s="0" t="s">
        <v>11015</v>
      </c>
      <c r="C8253" s="0" t="s">
        <v>11016</v>
      </c>
      <c r="D8253" s="0" t="s">
        <v>4781</v>
      </c>
      <c r="E8253" s="0" t="inlineStr">
        <is>
          <t xml:space="preserve">Mazda</t>
        </is>
      </c>
      <c r="F8253" s="0" t="s">
        <v>28</v>
      </c>
      <c r="G8253" s="0" t="s">
        <v>29</v>
      </c>
      <c r="H8253" s="5">
        <v>249.692400</v>
      </c>
    </row>
    <row r="8254" spans="1:9">
      <c r="A8254" s="22" t="str">
        <f>HYPERLINK("https://app.vivvix.com/360/KMI/IntelliDrive/ApplUI/Pages/CreativePages/CustomReportCreativeDetail.aspx?App=23&amp;ReportView=4&amp;Qid=1711279&amp;Row=8246&amp;Col=1","No Title Assigned - #15270706021")</f>
        <v/>
      </c>
      <c r="B8254" s="0" t="s">
        <v>11017</v>
      </c>
      <c r="C8254" s="0" t="s">
        <v>11018</v>
      </c>
      <c r="D8254" s="0" t="s">
        <v>4335</v>
      </c>
      <c r="E8254" s="0" t="inlineStr">
        <is>
          <t xml:space="preserve">Mazda</t>
        </is>
      </c>
      <c r="F8254" s="0" t="s">
        <v>13</v>
      </c>
      <c r="G8254" s="0" t="s">
        <v>49</v>
      </c>
      <c r="H8254" s="5">
        <v>147.749400</v>
      </c>
    </row>
    <row r="8255" spans="1:9">
      <c r="A8255" s="22" t="str">
        <f>HYPERLINK("https://app.vivvix.com/360/KMI/IntelliDrive/ApplUI/Pages/CreativePages/CustomReportCreativeDetail.aspx?App=23&amp;ReportView=4&amp;Qid=1711279&amp;Row=8247&amp;Col=1","No Title Assigned - #15270706514")</f>
        <v/>
      </c>
      <c r="B8255" s="0" t="s">
        <v>11019</v>
      </c>
      <c r="C8255" s="0" t="s">
        <v>11020</v>
      </c>
      <c r="D8255" s="0" t="s">
        <v>11020</v>
      </c>
      <c r="E8255" s="0" t="inlineStr">
        <is>
          <t xml:space="preserve">Mazda</t>
        </is>
      </c>
      <c r="F8255" s="0" t="s">
        <v>28</v>
      </c>
      <c r="G8255" s="0" t="s">
        <v>29</v>
      </c>
      <c r="H8255" s="5">
        <v>862.439700</v>
      </c>
    </row>
    <row r="8256" spans="1:9">
      <c r="A8256" s="22" t="str">
        <f>HYPERLINK("https://app.vivvix.com/360/KMI/IntelliDrive/ApplUI/Pages/CreativePages/CustomReportCreativeDetail.aspx?App=23&amp;ReportView=4&amp;Qid=1711279&amp;Row=8248&amp;Col=1","No Title Assigned - #15270707007")</f>
        <v/>
      </c>
      <c r="B8256" s="0" t="s">
        <v>11021</v>
      </c>
      <c r="C8256" s="0" t="s">
        <v>11022</v>
      </c>
      <c r="D8256" s="0" t="s">
        <v>11022</v>
      </c>
      <c r="E8256" s="0" t="inlineStr">
        <is>
          <t xml:space="preserve">Mazda</t>
        </is>
      </c>
      <c r="F8256" s="0" t="s">
        <v>28</v>
      </c>
      <c r="G8256" s="0" t="s">
        <v>29</v>
      </c>
      <c r="H8256" s="5">
        <v>2.731900</v>
      </c>
    </row>
    <row r="8257" spans="1:9">
      <c r="A8257" s="22" t="str">
        <f>HYPERLINK("https://app.vivvix.com/360/KMI/IntelliDrive/ApplUI/Pages/CreativePages/CustomReportCreativeDetail.aspx?App=23&amp;ReportView=4&amp;Qid=1711279&amp;Row=8249&amp;Col=1","No Title Assigned - #15270707417")</f>
        <v/>
      </c>
      <c r="B8257" s="0" t="s">
        <v>11023</v>
      </c>
      <c r="C8257" s="0" t="s">
        <v>11024</v>
      </c>
      <c r="D8257" s="0" t="s">
        <v>11024</v>
      </c>
      <c r="E8257" s="0" t="inlineStr">
        <is>
          <t xml:space="preserve">Mazda</t>
        </is>
      </c>
      <c r="F8257" s="0" t="s">
        <v>28</v>
      </c>
      <c r="G8257" s="0" t="s">
        <v>29</v>
      </c>
      <c r="H8257" s="5">
        <v>90.487800</v>
      </c>
    </row>
    <row r="8258" spans="1:9">
      <c r="A8258" s="22" t="str">
        <f>HYPERLINK("https://app.vivvix.com/360/KMI/IntelliDrive/ApplUI/Pages/CreativePages/CustomReportCreativeDetail.aspx?App=23&amp;ReportView=4&amp;Qid=1711279&amp;Row=8250&amp;Col=1","No Title Assigned - #15270707492")</f>
        <v/>
      </c>
      <c r="B8258" s="0" t="s">
        <v>11025</v>
      </c>
      <c r="C8258" s="0" t="s">
        <v>11026</v>
      </c>
      <c r="D8258" s="0" t="s">
        <v>10992</v>
      </c>
      <c r="E8258" s="0" t="inlineStr">
        <is>
          <t xml:space="preserve">Mazda</t>
        </is>
      </c>
      <c r="F8258" s="0" t="s">
        <v>13</v>
      </c>
      <c r="G8258" s="0" t="s">
        <v>49</v>
      </c>
      <c r="H8258" s="5">
        <v>134.879400</v>
      </c>
    </row>
    <row r="8259" spans="1:9">
      <c r="A8259" s="22" t="str">
        <f>HYPERLINK("https://app.vivvix.com/360/KMI/IntelliDrive/ApplUI/Pages/CreativePages/CustomReportCreativeDetail.aspx?App=23&amp;ReportView=4&amp;Qid=1711279&amp;Row=8251&amp;Col=1","No Title Assigned - #15270707574")</f>
        <v/>
      </c>
      <c r="B8259" s="0" t="s">
        <v>11027</v>
      </c>
      <c r="C8259" s="0" t="s">
        <v>11028</v>
      </c>
      <c r="D8259" s="0" t="s">
        <v>8050</v>
      </c>
      <c r="E8259" s="0" t="inlineStr">
        <is>
          <t xml:space="preserve">Mazda</t>
        </is>
      </c>
      <c r="F8259" s="0" t="s">
        <v>28</v>
      </c>
      <c r="G8259" s="0" t="s">
        <v>29</v>
      </c>
      <c r="H8259" s="5">
        <v>26.466700</v>
      </c>
    </row>
    <row r="8260" spans="1:9">
      <c r="A8260" s="22" t="str">
        <f>HYPERLINK("https://app.vivvix.com/360/KMI/IntelliDrive/ApplUI/Pages/CreativePages/CustomReportCreativeDetail.aspx?App=23&amp;ReportView=4&amp;Qid=1711279&amp;Row=8252&amp;Col=1","No Title Assigned - #15270707832")</f>
        <v/>
      </c>
      <c r="B8260" s="0" t="s">
        <v>11029</v>
      </c>
      <c r="C8260" s="0" t="s">
        <v>11030</v>
      </c>
      <c r="D8260" s="0" t="s">
        <v>11030</v>
      </c>
      <c r="E8260" s="0" t="inlineStr">
        <is>
          <t xml:space="preserve">Mazda</t>
        </is>
      </c>
      <c r="F8260" s="0" t="s">
        <v>21</v>
      </c>
      <c r="G8260" s="0" t="s">
        <v>22</v>
      </c>
      <c r="H8260" s="5">
        <v>1695.341700</v>
      </c>
    </row>
    <row r="8261" spans="1:9">
      <c r="A8261" s="22" t="str">
        <f>HYPERLINK("https://app.vivvix.com/360/KMI/IntelliDrive/ApplUI/Pages/CreativePages/CustomReportCreativeDetail.aspx?App=23&amp;ReportView=4&amp;Qid=1711279&amp;Row=8253&amp;Col=1","No Title Assigned - #15270707921")</f>
        <v/>
      </c>
      <c r="B8261" s="0" t="s">
        <v>11031</v>
      </c>
      <c r="C8261" s="0" t="s">
        <v>11032</v>
      </c>
      <c r="D8261" s="0" t="s">
        <v>11032</v>
      </c>
      <c r="E8261" s="0" t="inlineStr">
        <is>
          <t xml:space="preserve">Mazda</t>
        </is>
      </c>
      <c r="F8261" s="0" t="s">
        <v>28</v>
      </c>
      <c r="G8261" s="0" t="s">
        <v>29</v>
      </c>
      <c r="H8261" s="5">
        <v>813.527800</v>
      </c>
    </row>
    <row r="8262" spans="1:9">
      <c r="A8262" s="22" t="str">
        <f>HYPERLINK("https://app.vivvix.com/360/KMI/IntelliDrive/ApplUI/Pages/CreativePages/CustomReportCreativeDetail.aspx?App=23&amp;ReportView=4&amp;Qid=1711279&amp;Row=8254&amp;Col=1","No Title Assigned - #15270708626")</f>
        <v/>
      </c>
      <c r="B8262" s="0" t="s">
        <v>11033</v>
      </c>
      <c r="E8262" s="0" t="inlineStr">
        <is>
          <t xml:space="preserve">Mazda</t>
        </is>
      </c>
      <c r="F8262" s="0" t="inlineStr">
        <is>
          <t xml:space="preserve">Mazda</t>
        </is>
      </c>
      <c r="G8262" s="0" t="s">
        <v>171</v>
      </c>
      <c r="H8262" s="5">
        <v>13.084500</v>
      </c>
    </row>
    <row r="8263" spans="1:9">
      <c r="A8263" s="22" t="str">
        <f>HYPERLINK("https://app.vivvix.com/360/KMI/IntelliDrive/ApplUI/Pages/CreativePages/CustomReportCreativeDetail.aspx?App=23&amp;ReportView=4&amp;Qid=1711279&amp;Row=8255&amp;Col=1","No Title Assigned - #15270708657")</f>
        <v/>
      </c>
      <c r="B8263" s="0" t="s">
        <v>11034</v>
      </c>
      <c r="C8263" s="0" t="s">
        <v>11035</v>
      </c>
      <c r="D8263" s="0" t="s">
        <v>11035</v>
      </c>
      <c r="E8263" s="0" t="inlineStr">
        <is>
          <t xml:space="preserve">Mazda</t>
        </is>
      </c>
      <c r="F8263" s="0" t="s">
        <v>52</v>
      </c>
      <c r="G8263" s="0" t="s">
        <v>325</v>
      </c>
      <c r="H8263" s="5">
        <v>52674.524600</v>
      </c>
    </row>
    <row r="8264" spans="1:9">
      <c r="A8264" s="22" t="str">
        <f>HYPERLINK("https://app.vivvix.com/360/KMI/IntelliDrive/ApplUI/Pages/CreativePages/CustomReportCreativeDetail.aspx?App=23&amp;ReportView=4&amp;Qid=1711279&amp;Row=8256&amp;Col=1","No Title Assigned - #15270708870")</f>
        <v/>
      </c>
      <c r="B8264" s="0" t="s">
        <v>11036</v>
      </c>
      <c r="C8264" s="0" t="s">
        <v>11037</v>
      </c>
      <c r="D8264" s="0" t="s">
        <v>11037</v>
      </c>
      <c r="E8264" s="0" t="inlineStr">
        <is>
          <t xml:space="preserve">Mazda</t>
        </is>
      </c>
      <c r="F8264" s="0" t="s">
        <v>28</v>
      </c>
      <c r="G8264" s="0" t="s">
        <v>29</v>
      </c>
      <c r="H8264" s="5">
        <v>598.416400</v>
      </c>
    </row>
    <row r="8265" spans="1:9">
      <c r="A8265" s="22" t="str">
        <f>HYPERLINK("https://app.vivvix.com/360/KMI/IntelliDrive/ApplUI/Pages/CreativePages/CustomReportCreativeDetail.aspx?App=23&amp;ReportView=4&amp;Qid=1711279&amp;Row=8257&amp;Col=1","No Title Assigned - #15270709050")</f>
        <v/>
      </c>
      <c r="B8265" s="0" t="s">
        <v>11038</v>
      </c>
      <c r="C8265" s="0" t="s">
        <v>11039</v>
      </c>
      <c r="D8265" s="0" t="s">
        <v>11039</v>
      </c>
      <c r="E8265" s="0" t="inlineStr">
        <is>
          <t xml:space="preserve">Mazda</t>
        </is>
      </c>
      <c r="F8265" s="0" t="s">
        <v>17</v>
      </c>
      <c r="G8265" s="0" t="s">
        <v>33</v>
      </c>
      <c r="H8265" s="5">
        <v>949.557800</v>
      </c>
    </row>
    <row r="8266" spans="1:9">
      <c r="A8266" s="22" t="str">
        <f>HYPERLINK("https://app.vivvix.com/360/KMI/IntelliDrive/ApplUI/Pages/CreativePages/CustomReportCreativeDetail.aspx?App=23&amp;ReportView=4&amp;Qid=1711279&amp;Row=8258&amp;Col=1","No Title Assigned - #15270709066")</f>
        <v/>
      </c>
      <c r="B8266" s="0" t="s">
        <v>11040</v>
      </c>
      <c r="C8266" s="0" t="s">
        <v>11041</v>
      </c>
      <c r="D8266" s="0" t="s">
        <v>11041</v>
      </c>
      <c r="E8266" s="0" t="inlineStr">
        <is>
          <t xml:space="preserve">Mazda</t>
        </is>
      </c>
      <c r="F8266" s="0" t="s">
        <v>28</v>
      </c>
      <c r="G8266" s="0" t="s">
        <v>29</v>
      </c>
      <c r="H8266" s="5">
        <v>7155.195300</v>
      </c>
    </row>
    <row r="8267" spans="1:9">
      <c r="A8267" s="22" t="str">
        <f>HYPERLINK("https://app.vivvix.com/360/KMI/IntelliDrive/ApplUI/Pages/CreativePages/CustomReportCreativeDetail.aspx?App=23&amp;ReportView=4&amp;Qid=1711279&amp;Row=8259&amp;Col=1","No Title Assigned - #15270709089")</f>
        <v/>
      </c>
      <c r="B8267" s="0" t="s">
        <v>11042</v>
      </c>
      <c r="C8267" s="0" t="s">
        <v>5434</v>
      </c>
      <c r="D8267" s="0" t="s">
        <v>5434</v>
      </c>
      <c r="E8267" s="0" t="inlineStr">
        <is>
          <t xml:space="preserve">Mazda</t>
        </is>
      </c>
      <c r="F8267" s="0" t="s">
        <v>28</v>
      </c>
      <c r="G8267" s="0" t="s">
        <v>29</v>
      </c>
      <c r="H8267" s="5">
        <v>5843.204100</v>
      </c>
    </row>
    <row r="8268" spans="1:9">
      <c r="A8268" s="22" t="str">
        <f>HYPERLINK("https://app.vivvix.com/360/KMI/IntelliDrive/ApplUI/Pages/CreativePages/CustomReportCreativeDetail.aspx?App=23&amp;ReportView=4&amp;Qid=1711279&amp;Row=8260&amp;Col=1","No Title Assigned - #15270709093")</f>
        <v/>
      </c>
      <c r="B8268" s="0" t="s">
        <v>11043</v>
      </c>
      <c r="C8268" s="0" t="s">
        <v>11044</v>
      </c>
      <c r="D8268" s="0" t="s">
        <v>11044</v>
      </c>
      <c r="E8268" s="0" t="inlineStr">
        <is>
          <t xml:space="preserve">Mazda</t>
        </is>
      </c>
      <c r="F8268" s="0" t="s">
        <v>13</v>
      </c>
      <c r="G8268" s="0" t="s">
        <v>49</v>
      </c>
      <c r="H8268" s="5">
        <v>74.802500</v>
      </c>
    </row>
    <row r="8269" spans="1:9">
      <c r="A8269" s="22" t="str">
        <f>HYPERLINK("https://app.vivvix.com/360/KMI/IntelliDrive/ApplUI/Pages/CreativePages/CustomReportCreativeDetail.aspx?App=23&amp;ReportView=4&amp;Qid=1711279&amp;Row=8261&amp;Col=1","No Title Assigned - #15270709335")</f>
        <v/>
      </c>
      <c r="B8269" s="0" t="s">
        <v>11045</v>
      </c>
      <c r="C8269" s="0" t="s">
        <v>11046</v>
      </c>
      <c r="D8269" s="0" t="s">
        <v>11046</v>
      </c>
      <c r="E8269" s="0" t="inlineStr">
        <is>
          <t xml:space="preserve">Mazda</t>
        </is>
      </c>
      <c r="F8269" s="0" t="s">
        <v>13</v>
      </c>
      <c r="G8269" s="0" t="s">
        <v>49</v>
      </c>
      <c r="H8269" s="5">
        <v>311.951600</v>
      </c>
    </row>
    <row r="8270" spans="1:9">
      <c r="A8270" s="22" t="str">
        <f>HYPERLINK("https://app.vivvix.com/360/KMI/IntelliDrive/ApplUI/Pages/CreativePages/CustomReportCreativeDetail.aspx?App=23&amp;ReportView=4&amp;Qid=1711279&amp;Row=8262&amp;Col=1","No Title Assigned - #15270709367")</f>
        <v/>
      </c>
      <c r="B8270" s="0" t="s">
        <v>11047</v>
      </c>
      <c r="C8270" s="0" t="s">
        <v>11048</v>
      </c>
      <c r="D8270" s="0" t="s">
        <v>11048</v>
      </c>
      <c r="E8270" s="0" t="inlineStr">
        <is>
          <t xml:space="preserve">Mazda</t>
        </is>
      </c>
      <c r="F8270" s="0" t="s">
        <v>28</v>
      </c>
      <c r="G8270" s="0" t="s">
        <v>29</v>
      </c>
      <c r="H8270" s="5">
        <v>1155.475900</v>
      </c>
    </row>
    <row r="8271" spans="1:9">
      <c r="A8271" s="22" t="str">
        <f>HYPERLINK("https://app.vivvix.com/360/KMI/IntelliDrive/ApplUI/Pages/CreativePages/CustomReportCreativeDetail.aspx?App=23&amp;ReportView=4&amp;Qid=1711279&amp;Row=8263&amp;Col=1","No Title Assigned - #15270709632")</f>
        <v/>
      </c>
      <c r="B8271" s="0" t="s">
        <v>11049</v>
      </c>
      <c r="C8271" s="0" t="s">
        <v>11050</v>
      </c>
      <c r="D8271" s="0" t="s">
        <v>11050</v>
      </c>
      <c r="E8271" s="0" t="inlineStr">
        <is>
          <t xml:space="preserve">Mazda</t>
        </is>
      </c>
      <c r="F8271" s="0" t="inlineStr">
        <is>
          <t xml:space="preserve">Mazda</t>
        </is>
      </c>
      <c r="G8271" s="0" t="s">
        <v>171</v>
      </c>
      <c r="H8271" s="5">
        <v>192.669600</v>
      </c>
    </row>
    <row r="8272" spans="1:9">
      <c r="A8272" s="22" t="str">
        <f>HYPERLINK("https://app.vivvix.com/360/KMI/IntelliDrive/ApplUI/Pages/CreativePages/CustomReportCreativeDetail.aspx?App=23&amp;ReportView=4&amp;Qid=1711279&amp;Row=8264&amp;Col=1","No Title Assigned - #15270709634")</f>
        <v/>
      </c>
      <c r="B8272" s="0" t="s">
        <v>11051</v>
      </c>
      <c r="E8272" s="0" t="inlineStr">
        <is>
          <t xml:space="preserve">Mazda</t>
        </is>
      </c>
      <c r="F8272" s="0" t="inlineStr">
        <is>
          <t xml:space="preserve">Mazda</t>
        </is>
      </c>
      <c r="G8272" s="0" t="s">
        <v>171</v>
      </c>
      <c r="H8272" s="5">
        <v>17.917600</v>
      </c>
    </row>
    <row r="8273" spans="1:9">
      <c r="A8273" s="22" t="str">
        <f>HYPERLINK("https://app.vivvix.com/360/KMI/IntelliDrive/ApplUI/Pages/CreativePages/CustomReportCreativeDetail.aspx?App=23&amp;ReportView=4&amp;Qid=1711279&amp;Row=8265&amp;Col=1","No Title Assigned - #15270709643")</f>
        <v/>
      </c>
      <c r="B8273" s="0" t="s">
        <v>11052</v>
      </c>
      <c r="C8273" s="0" t="s">
        <v>11053</v>
      </c>
      <c r="D8273" s="0" t="s">
        <v>11053</v>
      </c>
      <c r="E8273" s="0" t="inlineStr">
        <is>
          <t xml:space="preserve">Mazda</t>
        </is>
      </c>
      <c r="F8273" s="0" t="s">
        <v>13</v>
      </c>
      <c r="G8273" s="0" t="s">
        <v>49</v>
      </c>
      <c r="H8273" s="5">
        <v>429.396200</v>
      </c>
    </row>
    <row r="8274" spans="1:9">
      <c r="A8274" s="22" t="str">
        <f>HYPERLINK("https://app.vivvix.com/360/KMI/IntelliDrive/ApplUI/Pages/CreativePages/CustomReportCreativeDetail.aspx?App=23&amp;ReportView=4&amp;Qid=1711279&amp;Row=8266&amp;Col=1","No Title Assigned - #15270709777")</f>
        <v/>
      </c>
      <c r="B8274" s="0" t="s">
        <v>11054</v>
      </c>
      <c r="E8274" s="0" t="inlineStr">
        <is>
          <t xml:space="preserve">Mazda</t>
        </is>
      </c>
      <c r="F8274" s="0" t="inlineStr">
        <is>
          <t xml:space="preserve">Mazda</t>
        </is>
      </c>
      <c r="G8274" s="0" t="s">
        <v>171</v>
      </c>
      <c r="H8274" s="5">
        <v>2258.887900</v>
      </c>
    </row>
    <row r="8275" spans="1:9">
      <c r="A8275" s="22" t="str">
        <f>HYPERLINK("https://app.vivvix.com/360/KMI/IntelliDrive/ApplUI/Pages/CreativePages/CustomReportCreativeDetail.aspx?App=23&amp;ReportView=4&amp;Qid=1711279&amp;Row=8267&amp;Col=1","No Title Assigned - #15270709951")</f>
        <v/>
      </c>
      <c r="B8275" s="0" t="s">
        <v>11055</v>
      </c>
      <c r="E8275" s="0" t="inlineStr">
        <is>
          <t xml:space="preserve">Mazda</t>
        </is>
      </c>
      <c r="F8275" s="0" t="s">
        <v>21</v>
      </c>
      <c r="G8275" s="0" t="s">
        <v>22</v>
      </c>
      <c r="H8275" s="5">
        <v>3872.579900</v>
      </c>
    </row>
    <row r="8276" spans="1:9">
      <c r="A8276" s="22" t="str">
        <f>HYPERLINK("https://app.vivvix.com/360/KMI/IntelliDrive/ApplUI/Pages/CreativePages/CustomReportCreativeDetail.aspx?App=23&amp;ReportView=4&amp;Qid=1711279&amp;Row=8268&amp;Col=1","No Title Assigned - #15270710028")</f>
        <v/>
      </c>
      <c r="B8276" s="0" t="s">
        <v>11056</v>
      </c>
      <c r="C8276" s="0" t="s">
        <v>11057</v>
      </c>
      <c r="D8276" s="0" t="s">
        <v>11057</v>
      </c>
      <c r="E8276" s="0" t="inlineStr">
        <is>
          <t xml:space="preserve">Mazda</t>
        </is>
      </c>
      <c r="F8276" s="0" t="s">
        <v>17</v>
      </c>
      <c r="G8276" s="0" t="s">
        <v>33</v>
      </c>
      <c r="H8276" s="5">
        <v>1535.472500</v>
      </c>
    </row>
    <row r="8277" spans="1:9">
      <c r="A8277" s="22" t="str">
        <f>HYPERLINK("https://app.vivvix.com/360/KMI/IntelliDrive/ApplUI/Pages/CreativePages/CustomReportCreativeDetail.aspx?App=23&amp;ReportView=4&amp;Qid=1711279&amp;Row=8269&amp;Col=1","No Title Assigned - #15270710384")</f>
        <v/>
      </c>
      <c r="B8277" s="0" t="s">
        <v>11058</v>
      </c>
      <c r="E8277" s="0" t="inlineStr">
        <is>
          <t xml:space="preserve">Mazda</t>
        </is>
      </c>
      <c r="F8277" s="0" t="s">
        <v>28</v>
      </c>
      <c r="G8277" s="0" t="s">
        <v>29</v>
      </c>
      <c r="H8277" s="5">
        <v>598.416400</v>
      </c>
    </row>
    <row r="8278" spans="1:9">
      <c r="A8278" s="22" t="str">
        <f>HYPERLINK("https://app.vivvix.com/360/KMI/IntelliDrive/ApplUI/Pages/CreativePages/CustomReportCreativeDetail.aspx?App=23&amp;ReportView=4&amp;Qid=1711279&amp;Row=8270&amp;Col=1","No Title Assigned - #15270710420")</f>
        <v/>
      </c>
      <c r="B8278" s="0" t="s">
        <v>11059</v>
      </c>
      <c r="C8278" s="0" t="s">
        <v>11060</v>
      </c>
      <c r="D8278" s="0" t="s">
        <v>9574</v>
      </c>
      <c r="E8278" s="0" t="inlineStr">
        <is>
          <t xml:space="preserve">Mazda</t>
        </is>
      </c>
      <c r="F8278" s="0" t="s">
        <v>13</v>
      </c>
      <c r="G8278" s="0" t="s">
        <v>49</v>
      </c>
      <c r="H8278" s="5">
        <v>124.298300</v>
      </c>
    </row>
    <row r="8279" spans="1:9">
      <c r="A8279" s="22" t="str">
        <f>HYPERLINK("https://app.vivvix.com/360/KMI/IntelliDrive/ApplUI/Pages/CreativePages/CustomReportCreativeDetail.aspx?App=23&amp;ReportView=4&amp;Qid=1711279&amp;Row=8271&amp;Col=1","No Title Assigned - #15270710496")</f>
        <v/>
      </c>
      <c r="B8279" s="0" t="s">
        <v>11061</v>
      </c>
      <c r="C8279" s="0" t="s">
        <v>11062</v>
      </c>
      <c r="D8279" s="0" t="s">
        <v>4204</v>
      </c>
      <c r="E8279" s="0" t="inlineStr">
        <is>
          <t xml:space="preserve">Mazda</t>
        </is>
      </c>
      <c r="F8279" s="0" t="s">
        <v>28</v>
      </c>
      <c r="G8279" s="0" t="s">
        <v>29</v>
      </c>
      <c r="H8279" s="5">
        <v>173.504400</v>
      </c>
    </row>
    <row r="8280" spans="1:9">
      <c r="A8280" s="22" t="str">
        <f>HYPERLINK("https://app.vivvix.com/360/KMI/IntelliDrive/ApplUI/Pages/CreativePages/CustomReportCreativeDetail.aspx?App=23&amp;ReportView=4&amp;Qid=1711279&amp;Row=8272&amp;Col=1","No Title Assigned - #15270710539")</f>
        <v/>
      </c>
      <c r="B8280" s="0" t="s">
        <v>11063</v>
      </c>
      <c r="C8280" s="0" t="s">
        <v>11064</v>
      </c>
      <c r="D8280" s="0" t="s">
        <v>11064</v>
      </c>
      <c r="E8280" s="0" t="inlineStr">
        <is>
          <t xml:space="preserve">Mazda</t>
        </is>
      </c>
      <c r="F8280" s="0" t="s">
        <v>28</v>
      </c>
      <c r="G8280" s="0" t="s">
        <v>29</v>
      </c>
      <c r="H8280" s="5">
        <v>537.281500</v>
      </c>
    </row>
    <row r="8281" spans="1:9">
      <c r="A8281" s="22" t="str">
        <f>HYPERLINK("https://app.vivvix.com/360/KMI/IntelliDrive/ApplUI/Pages/CreativePages/CustomReportCreativeDetail.aspx?App=23&amp;ReportView=4&amp;Qid=1711279&amp;Row=8273&amp;Col=1","No Title Assigned - #15270710557")</f>
        <v/>
      </c>
      <c r="B8281" s="0" t="s">
        <v>11065</v>
      </c>
      <c r="E8281" s="0" t="inlineStr">
        <is>
          <t xml:space="preserve">Mazda</t>
        </is>
      </c>
      <c r="F8281" s="0" t="inlineStr">
        <is>
          <t xml:space="preserve">Mazda</t>
        </is>
      </c>
      <c r="G8281" s="0" t="s">
        <v>171</v>
      </c>
      <c r="H8281" s="5">
        <v>126.532700</v>
      </c>
    </row>
    <row r="8282" spans="1:9">
      <c r="A8282" s="22" t="str">
        <f>HYPERLINK("https://app.vivvix.com/360/KMI/IntelliDrive/ApplUI/Pages/CreativePages/CustomReportCreativeDetail.aspx?App=23&amp;ReportView=4&amp;Qid=1711279&amp;Row=8274&amp;Col=1","No Title Assigned - #15270710570")</f>
        <v/>
      </c>
      <c r="B8282" s="0" t="s">
        <v>11066</v>
      </c>
      <c r="E8282" s="0" t="inlineStr">
        <is>
          <t xml:space="preserve">Mazda</t>
        </is>
      </c>
      <c r="F8282" s="0" t="inlineStr">
        <is>
          <t xml:space="preserve">Mazda</t>
        </is>
      </c>
      <c r="G8282" s="0" t="s">
        <v>171</v>
      </c>
      <c r="H8282" s="5">
        <v>44.298000</v>
      </c>
    </row>
    <row r="8283" spans="1:9">
      <c r="A8283" s="22" t="str">
        <f>HYPERLINK("https://app.vivvix.com/360/KMI/IntelliDrive/ApplUI/Pages/CreativePages/CustomReportCreativeDetail.aspx?App=23&amp;ReportView=4&amp;Qid=1711279&amp;Row=8275&amp;Col=1","No Title Assigned - #15270710651")</f>
        <v/>
      </c>
      <c r="B8283" s="0" t="s">
        <v>11067</v>
      </c>
      <c r="E8283" s="0" t="inlineStr">
        <is>
          <t xml:space="preserve">Mazda</t>
        </is>
      </c>
      <c r="F8283" s="0" t="inlineStr">
        <is>
          <t xml:space="preserve">Mazda</t>
        </is>
      </c>
      <c r="G8283" s="0" t="s">
        <v>171</v>
      </c>
      <c r="H8283" s="5">
        <v>91.915200</v>
      </c>
    </row>
    <row r="8284" spans="1:9">
      <c r="A8284" s="22" t="str">
        <f>HYPERLINK("https://app.vivvix.com/360/KMI/IntelliDrive/ApplUI/Pages/CreativePages/CustomReportCreativeDetail.aspx?App=23&amp;ReportView=4&amp;Qid=1711279&amp;Row=8276&amp;Col=1","No Title Assigned - #15270710725")</f>
        <v/>
      </c>
      <c r="B8284" s="0" t="s">
        <v>11068</v>
      </c>
      <c r="E8284" s="0" t="inlineStr">
        <is>
          <t xml:space="preserve">Mazda</t>
        </is>
      </c>
      <c r="F8284" s="0" t="inlineStr">
        <is>
          <t xml:space="preserve">Mazda</t>
        </is>
      </c>
      <c r="G8284" s="0" t="s">
        <v>171</v>
      </c>
      <c r="H8284" s="5">
        <v>4354.268200</v>
      </c>
    </row>
    <row r="8285" spans="1:9">
      <c r="A8285" s="22" t="str">
        <f>HYPERLINK("https://app.vivvix.com/360/KMI/IntelliDrive/ApplUI/Pages/CreativePages/CustomReportCreativeDetail.aspx?App=23&amp;ReportView=4&amp;Qid=1711279&amp;Row=8277&amp;Col=1","No Title Assigned - #15270710788")</f>
        <v/>
      </c>
      <c r="B8285" s="0" t="s">
        <v>11069</v>
      </c>
      <c r="E8285" s="0" t="inlineStr">
        <is>
          <t xml:space="preserve">Mazda</t>
        </is>
      </c>
      <c r="F8285" s="0" t="inlineStr">
        <is>
          <t xml:space="preserve">Mazda</t>
        </is>
      </c>
      <c r="G8285" s="0" t="s">
        <v>171</v>
      </c>
      <c r="H8285" s="5">
        <v>18.458600</v>
      </c>
    </row>
    <row r="8286" spans="1:9">
      <c r="A8286" s="22" t="str">
        <f>HYPERLINK("https://app.vivvix.com/360/KMI/IntelliDrive/ApplUI/Pages/CreativePages/CustomReportCreativeDetail.aspx?App=23&amp;ReportView=4&amp;Qid=1711279&amp;Row=8278&amp;Col=1","No Title Assigned - #15270710988")</f>
        <v/>
      </c>
      <c r="B8286" s="0" t="s">
        <v>11070</v>
      </c>
      <c r="E8286" s="0" t="inlineStr">
        <is>
          <t xml:space="preserve">Mazda</t>
        </is>
      </c>
      <c r="F8286" s="0" t="inlineStr">
        <is>
          <t xml:space="preserve">Mazda</t>
        </is>
      </c>
      <c r="G8286" s="0" t="s">
        <v>171</v>
      </c>
      <c r="H8286" s="5">
        <v>1.952500</v>
      </c>
    </row>
    <row r="8287" spans="1:9">
      <c r="A8287" s="22" t="str">
        <f>HYPERLINK("https://app.vivvix.com/360/KMI/IntelliDrive/ApplUI/Pages/CreativePages/CustomReportCreativeDetail.aspx?App=23&amp;ReportView=4&amp;Qid=1711279&amp;Row=8279&amp;Col=1","No Title Assigned - #15270712078")</f>
        <v/>
      </c>
      <c r="B8287" s="0" t="s">
        <v>11071</v>
      </c>
      <c r="E8287" s="0" t="inlineStr">
        <is>
          <t xml:space="preserve">Mazda</t>
        </is>
      </c>
      <c r="F8287" s="0" t="inlineStr">
        <is>
          <t xml:space="preserve">Mazda</t>
        </is>
      </c>
      <c r="G8287" s="0" t="s">
        <v>171</v>
      </c>
      <c r="H8287" s="5">
        <v>18.001400</v>
      </c>
    </row>
    <row r="8288" spans="1:9">
      <c r="A8288" s="22" t="str">
        <f>HYPERLINK("https://app.vivvix.com/360/KMI/IntelliDrive/ApplUI/Pages/CreativePages/CustomReportCreativeDetail.aspx?App=23&amp;ReportView=4&amp;Qid=1711279&amp;Row=8280&amp;Col=1","No Title Assigned - #15270712298")</f>
        <v/>
      </c>
      <c r="B8288" s="0" t="s">
        <v>11072</v>
      </c>
      <c r="E8288" s="0" t="inlineStr">
        <is>
          <t xml:space="preserve">Mazda</t>
        </is>
      </c>
      <c r="F8288" s="0" t="inlineStr">
        <is>
          <t xml:space="preserve">Mazda</t>
        </is>
      </c>
      <c r="G8288" s="0" t="s">
        <v>171</v>
      </c>
      <c r="H8288" s="5">
        <v>12.396300</v>
      </c>
    </row>
    <row r="8289" spans="1:9">
      <c r="A8289" s="22" t="str">
        <f>HYPERLINK("https://app.vivvix.com/360/KMI/IntelliDrive/ApplUI/Pages/CreativePages/CustomReportCreativeDetail.aspx?App=23&amp;ReportView=4&amp;Qid=1711279&amp;Row=8281&amp;Col=1","No Title Assigned - #15270712336")</f>
        <v/>
      </c>
      <c r="B8289" s="0" t="s">
        <v>11073</v>
      </c>
      <c r="E8289" s="0" t="inlineStr">
        <is>
          <t xml:space="preserve">Mazda</t>
        </is>
      </c>
      <c r="F8289" s="0" t="inlineStr">
        <is>
          <t xml:space="preserve">Mazda</t>
        </is>
      </c>
      <c r="G8289" s="0" t="s">
        <v>171</v>
      </c>
      <c r="H8289" s="5">
        <v>5.080700</v>
      </c>
    </row>
    <row r="8290" spans="1:9">
      <c r="A8290" s="22" t="str">
        <f>HYPERLINK("https://app.vivvix.com/360/KMI/IntelliDrive/ApplUI/Pages/CreativePages/CustomReportCreativeDetail.aspx?App=23&amp;ReportView=4&amp;Qid=1711279&amp;Row=8282&amp;Col=1","No Title Assigned - #15270712411")</f>
        <v/>
      </c>
      <c r="B8290" s="0" t="s">
        <v>11074</v>
      </c>
      <c r="E8290" s="0" t="inlineStr">
        <is>
          <t xml:space="preserve">Mazda</t>
        </is>
      </c>
      <c r="F8290" s="0" t="inlineStr">
        <is>
          <t xml:space="preserve">Mazda</t>
        </is>
      </c>
      <c r="G8290" s="0" t="s">
        <v>171</v>
      </c>
      <c r="H8290" s="5">
        <v>37.416800</v>
      </c>
    </row>
    <row r="8291" spans="1:9">
      <c r="A8291" s="22" t="str">
        <f>HYPERLINK("https://app.vivvix.com/360/KMI/IntelliDrive/ApplUI/Pages/CreativePages/CustomReportCreativeDetail.aspx?App=23&amp;ReportView=4&amp;Qid=1711279&amp;Row=8283&amp;Col=1","No Title Assigned - #15270712530")</f>
        <v/>
      </c>
      <c r="B8291" s="0" t="s">
        <v>11075</v>
      </c>
      <c r="E8291" s="0" t="inlineStr">
        <is>
          <t xml:space="preserve">Mazda</t>
        </is>
      </c>
      <c r="F8291" s="0" t="inlineStr">
        <is>
          <t xml:space="preserve">Mazda</t>
        </is>
      </c>
      <c r="G8291" s="0" t="s">
        <v>171</v>
      </c>
      <c r="H8291" s="5">
        <v>45.853200</v>
      </c>
    </row>
    <row r="8292" spans="1:9">
      <c r="A8292" s="22" t="str">
        <f>HYPERLINK("https://app.vivvix.com/360/KMI/IntelliDrive/ApplUI/Pages/CreativePages/CustomReportCreativeDetail.aspx?App=23&amp;ReportView=4&amp;Qid=1711279&amp;Row=8284&amp;Col=1","No Title Assigned - #15270712546")</f>
        <v/>
      </c>
      <c r="B8292" s="0" t="s">
        <v>11076</v>
      </c>
      <c r="E8292" s="0" t="inlineStr">
        <is>
          <t xml:space="preserve">Mazda</t>
        </is>
      </c>
      <c r="F8292" s="0" t="inlineStr">
        <is>
          <t xml:space="preserve">Mazda</t>
        </is>
      </c>
      <c r="G8292" s="0" t="s">
        <v>171</v>
      </c>
      <c r="H8292" s="5">
        <v>17.929400</v>
      </c>
    </row>
    <row r="8293" spans="1:9">
      <c r="A8293" s="22" t="str">
        <f>HYPERLINK("https://app.vivvix.com/360/KMI/IntelliDrive/ApplUI/Pages/CreativePages/CustomReportCreativeDetail.aspx?App=23&amp;ReportView=4&amp;Qid=1711279&amp;Row=8285&amp;Col=1","No Title Assigned - #15270712875")</f>
        <v/>
      </c>
      <c r="B8293" s="0" t="s">
        <v>11077</v>
      </c>
      <c r="C8293" s="0" t="s">
        <v>11078</v>
      </c>
      <c r="D8293" s="0" t="s">
        <v>11078</v>
      </c>
      <c r="E8293" s="0" t="inlineStr">
        <is>
          <t xml:space="preserve">Mazda</t>
        </is>
      </c>
      <c r="F8293" s="0" t="inlineStr">
        <is>
          <t xml:space="preserve">Mazda</t>
        </is>
      </c>
      <c r="G8293" s="0" t="s">
        <v>171</v>
      </c>
      <c r="H8293" s="5">
        <v>36.472900</v>
      </c>
    </row>
    <row r="8294" spans="1:9">
      <c r="A8294" s="22" t="str">
        <f>HYPERLINK("https://app.vivvix.com/360/KMI/IntelliDrive/ApplUI/Pages/CreativePages/CustomReportCreativeDetail.aspx?App=23&amp;ReportView=4&amp;Qid=1711279&amp;Row=8286&amp;Col=1","No Title Assigned - #15270713007")</f>
        <v/>
      </c>
      <c r="B8294" s="0" t="s">
        <v>11079</v>
      </c>
      <c r="E8294" s="0" t="inlineStr">
        <is>
          <t xml:space="preserve">Mazda</t>
        </is>
      </c>
      <c r="F8294" s="0" t="inlineStr">
        <is>
          <t xml:space="preserve">Mazda</t>
        </is>
      </c>
      <c r="G8294" s="0" t="s">
        <v>171</v>
      </c>
      <c r="H8294" s="5">
        <v>42614.003900</v>
      </c>
    </row>
    <row r="8295" spans="1:9">
      <c r="A8295" s="22" t="str">
        <f>HYPERLINK("https://app.vivvix.com/360/KMI/IntelliDrive/ApplUI/Pages/CreativePages/CustomReportCreativeDetail.aspx?App=23&amp;ReportView=4&amp;Qid=1711279&amp;Row=8287&amp;Col=1","No Title Assigned - #15270713363")</f>
        <v/>
      </c>
      <c r="B8295" s="0" t="s">
        <v>11080</v>
      </c>
      <c r="E8295" s="0" t="inlineStr">
        <is>
          <t xml:space="preserve">Mazda</t>
        </is>
      </c>
      <c r="F8295" s="0" t="inlineStr">
        <is>
          <t xml:space="preserve">Mazda</t>
        </is>
      </c>
      <c r="G8295" s="0" t="s">
        <v>171</v>
      </c>
      <c r="H8295" s="5">
        <v>322.959600</v>
      </c>
    </row>
    <row r="8296" spans="1:9">
      <c r="A8296" s="22" t="str">
        <f>HYPERLINK("https://app.vivvix.com/360/KMI/IntelliDrive/ApplUI/Pages/CreativePages/CustomReportCreativeDetail.aspx?App=23&amp;ReportView=4&amp;Qid=1711279&amp;Row=8288&amp;Col=1","No Title Assigned - #15270713403")</f>
        <v/>
      </c>
      <c r="B8296" s="0" t="s">
        <v>11081</v>
      </c>
      <c r="E8296" s="0" t="inlineStr">
        <is>
          <t xml:space="preserve">Mazda</t>
        </is>
      </c>
      <c r="F8296" s="0" t="inlineStr">
        <is>
          <t xml:space="preserve">Mazda</t>
        </is>
      </c>
      <c r="G8296" s="0" t="s">
        <v>171</v>
      </c>
      <c r="H8296" s="5">
        <v>151.223900</v>
      </c>
    </row>
    <row r="8297" spans="1:9">
      <c r="A8297" s="22" t="str">
        <f>HYPERLINK("https://app.vivvix.com/360/KMI/IntelliDrive/ApplUI/Pages/CreativePages/CustomReportCreativeDetail.aspx?App=23&amp;ReportView=4&amp;Qid=1711279&amp;Row=8289&amp;Col=1","No Title Assigned - #15270713440")</f>
        <v/>
      </c>
      <c r="B8297" s="0" t="s">
        <v>11082</v>
      </c>
      <c r="E8297" s="0" t="inlineStr">
        <is>
          <t xml:space="preserve">Mazda</t>
        </is>
      </c>
      <c r="F8297" s="0" t="inlineStr">
        <is>
          <t xml:space="preserve">Mazda</t>
        </is>
      </c>
      <c r="G8297" s="0" t="s">
        <v>171</v>
      </c>
      <c r="H8297" s="5">
        <v>126.532700</v>
      </c>
    </row>
    <row r="8298" spans="1:9">
      <c r="A8298" s="22" t="str">
        <f>HYPERLINK("https://app.vivvix.com/360/KMI/IntelliDrive/ApplUI/Pages/CreativePages/CustomReportCreativeDetail.aspx?App=23&amp;ReportView=4&amp;Qid=1711279&amp;Row=8290&amp;Col=1","No Title Assigned - #15270713497")</f>
        <v/>
      </c>
      <c r="B8298" s="0" t="s">
        <v>11083</v>
      </c>
      <c r="E8298" s="0" t="inlineStr">
        <is>
          <t xml:space="preserve">Mazda</t>
        </is>
      </c>
      <c r="F8298" s="0" t="inlineStr">
        <is>
          <t xml:space="preserve">Mazda</t>
        </is>
      </c>
      <c r="G8298" s="0" t="s">
        <v>171</v>
      </c>
      <c r="H8298" s="5">
        <v>2304.483900</v>
      </c>
    </row>
    <row r="8299" spans="1:9">
      <c r="A8299" s="22" t="str">
        <f>HYPERLINK("https://app.vivvix.com/360/KMI/IntelliDrive/ApplUI/Pages/CreativePages/CustomReportCreativeDetail.aspx?App=23&amp;ReportView=4&amp;Qid=1711279&amp;Row=8291&amp;Col=1","No Title Assigned - #15270713497")</f>
        <v/>
      </c>
      <c r="B8299" s="0" t="s">
        <v>11083</v>
      </c>
      <c r="E8299" s="0" t="inlineStr">
        <is>
          <t xml:space="preserve">Mazda</t>
        </is>
      </c>
      <c r="F8299" s="0" t="inlineStr">
        <is>
          <t xml:space="preserve">Mazda</t>
        </is>
      </c>
      <c r="G8299" s="0" t="s">
        <v>171</v>
      </c>
      <c r="H8299" s="5">
        <v>20.726500</v>
      </c>
    </row>
    <row r="8300" spans="1:9">
      <c r="A8300" s="22" t="str">
        <f>HYPERLINK("https://app.vivvix.com/360/KMI/IntelliDrive/ApplUI/Pages/CreativePages/CustomReportCreativeDetail.aspx?App=23&amp;ReportView=4&amp;Qid=1711279&amp;Row=8292&amp;Col=1","No Title Assigned - #15270713600")</f>
        <v/>
      </c>
      <c r="B8300" s="0" t="s">
        <v>11084</v>
      </c>
      <c r="E8300" s="0" t="inlineStr">
        <is>
          <t xml:space="preserve">Mazda</t>
        </is>
      </c>
      <c r="F8300" s="0" t="inlineStr">
        <is>
          <t xml:space="preserve">Mazda</t>
        </is>
      </c>
      <c r="G8300" s="0" t="s">
        <v>171</v>
      </c>
      <c r="H8300" s="5">
        <v>54.173900</v>
      </c>
    </row>
    <row r="8301" spans="1:9">
      <c r="A8301" s="22" t="str">
        <f>HYPERLINK("https://app.vivvix.com/360/KMI/IntelliDrive/ApplUI/Pages/CreativePages/CustomReportCreativeDetail.aspx?App=23&amp;ReportView=4&amp;Qid=1711279&amp;Row=8293&amp;Col=1","No Title Assigned - #15270713895")</f>
        <v/>
      </c>
      <c r="B8301" s="0" t="s">
        <v>11085</v>
      </c>
      <c r="E8301" s="0" t="inlineStr">
        <is>
          <t xml:space="preserve">Mazda</t>
        </is>
      </c>
      <c r="F8301" s="0" t="inlineStr">
        <is>
          <t xml:space="preserve">Mazda</t>
        </is>
      </c>
      <c r="G8301" s="0" t="s">
        <v>171</v>
      </c>
      <c r="H8301" s="5">
        <v>23745.890600</v>
      </c>
    </row>
    <row r="8302" spans="1:9">
      <c r="A8302" s="22" t="str">
        <f>HYPERLINK("https://app.vivvix.com/360/KMI/IntelliDrive/ApplUI/Pages/CreativePages/CustomReportCreativeDetail.aspx?App=23&amp;ReportView=4&amp;Qid=1711279&amp;Row=8294&amp;Col=1","No Title Assigned - #15270714122")</f>
        <v/>
      </c>
      <c r="B8302" s="0" t="s">
        <v>11086</v>
      </c>
      <c r="E8302" s="0" t="inlineStr">
        <is>
          <t xml:space="preserve">Mazda</t>
        </is>
      </c>
      <c r="F8302" s="0" t="inlineStr">
        <is>
          <t xml:space="preserve">Mazda</t>
        </is>
      </c>
      <c r="G8302" s="0" t="s">
        <v>171</v>
      </c>
      <c r="H8302" s="5">
        <v>30.006500</v>
      </c>
    </row>
    <row r="8303" spans="1:9">
      <c r="A8303" s="22" t="str">
        <f>HYPERLINK("https://app.vivvix.com/360/KMI/IntelliDrive/ApplUI/Pages/CreativePages/CustomReportCreativeDetail.aspx?App=23&amp;ReportView=4&amp;Qid=1711279&amp;Row=8295&amp;Col=1","No Title Assigned - #15270714129")</f>
        <v/>
      </c>
      <c r="B8303" s="0" t="s">
        <v>11087</v>
      </c>
      <c r="C8303" s="0" t="s">
        <v>11088</v>
      </c>
      <c r="D8303" s="0" t="s">
        <v>11088</v>
      </c>
      <c r="E8303" s="0" t="inlineStr">
        <is>
          <t xml:space="preserve">Mazda</t>
        </is>
      </c>
      <c r="F8303" s="0" t="inlineStr">
        <is>
          <t xml:space="preserve">Mazda</t>
        </is>
      </c>
      <c r="G8303" s="0" t="s">
        <v>171</v>
      </c>
      <c r="H8303" s="5">
        <v>184.920000</v>
      </c>
    </row>
    <row r="8304" spans="1:9">
      <c r="A8304" s="22" t="str">
        <f>HYPERLINK("https://app.vivvix.com/360/KMI/IntelliDrive/ApplUI/Pages/CreativePages/CustomReportCreativeDetail.aspx?App=23&amp;ReportView=4&amp;Qid=1711279&amp;Row=8296&amp;Col=1","No Title Assigned - #15270714134")</f>
        <v/>
      </c>
      <c r="B8304" s="0" t="s">
        <v>11089</v>
      </c>
      <c r="E8304" s="0" t="inlineStr">
        <is>
          <t xml:space="preserve">Mazda</t>
        </is>
      </c>
      <c r="F8304" s="0" t="inlineStr">
        <is>
          <t xml:space="preserve">Mazda</t>
        </is>
      </c>
      <c r="G8304" s="0" t="s">
        <v>171</v>
      </c>
      <c r="H8304" s="5">
        <v>257.804400</v>
      </c>
    </row>
    <row r="8305" spans="1:9">
      <c r="A8305" s="22" t="str">
        <f>HYPERLINK("https://app.vivvix.com/360/KMI/IntelliDrive/ApplUI/Pages/CreativePages/CustomReportCreativeDetail.aspx?App=23&amp;ReportView=4&amp;Qid=1711279&amp;Row=8297&amp;Col=1","No Title Assigned - #15270714251")</f>
        <v/>
      </c>
      <c r="B8305" s="0" t="s">
        <v>11090</v>
      </c>
      <c r="E8305" s="0" t="inlineStr">
        <is>
          <t xml:space="preserve">Mazda</t>
        </is>
      </c>
      <c r="F8305" s="0" t="inlineStr">
        <is>
          <t xml:space="preserve">Mazda</t>
        </is>
      </c>
      <c r="G8305" s="0" t="s">
        <v>171</v>
      </c>
      <c r="H8305" s="5">
        <v>50.740400</v>
      </c>
    </row>
    <row r="8306" spans="1:9">
      <c r="A8306" s="22" t="str">
        <f>HYPERLINK("https://app.vivvix.com/360/KMI/IntelliDrive/ApplUI/Pages/CreativePages/CustomReportCreativeDetail.aspx?App=23&amp;ReportView=4&amp;Qid=1711279&amp;Row=8298&amp;Col=1","No Title Assigned - #15270714595")</f>
        <v/>
      </c>
      <c r="B8306" s="0" t="s">
        <v>11091</v>
      </c>
      <c r="E8306" s="0" t="inlineStr">
        <is>
          <t xml:space="preserve">Mazda</t>
        </is>
      </c>
      <c r="F8306" s="0" t="inlineStr">
        <is>
          <t xml:space="preserve">Mazda</t>
        </is>
      </c>
      <c r="G8306" s="0" t="s">
        <v>171</v>
      </c>
      <c r="H8306" s="5">
        <v>685.635000</v>
      </c>
    </row>
    <row r="8307" spans="1:9">
      <c r="A8307" s="22" t="str">
        <f>HYPERLINK("https://app.vivvix.com/360/KMI/IntelliDrive/ApplUI/Pages/CreativePages/CustomReportCreativeDetail.aspx?App=23&amp;ReportView=4&amp;Qid=1711279&amp;Row=8299&amp;Col=1","No Title Assigned - #15270715011")</f>
        <v/>
      </c>
      <c r="B8307" s="0" t="s">
        <v>11092</v>
      </c>
      <c r="E8307" s="0" t="inlineStr">
        <is>
          <t xml:space="preserve">Mazda</t>
        </is>
      </c>
      <c r="F8307" s="0" t="inlineStr">
        <is>
          <t xml:space="preserve">Mazda</t>
        </is>
      </c>
      <c r="G8307" s="0" t="s">
        <v>171</v>
      </c>
      <c r="H8307" s="5">
        <v>576.013200</v>
      </c>
    </row>
    <row r="8308" spans="1:9">
      <c r="A8308" s="22" t="str">
        <f>HYPERLINK("https://app.vivvix.com/360/KMI/IntelliDrive/ApplUI/Pages/CreativePages/CustomReportCreativeDetail.aspx?App=23&amp;ReportView=4&amp;Qid=1711279&amp;Row=8300&amp;Col=1","No Title Assigned - #15270715011")</f>
        <v/>
      </c>
      <c r="B8308" s="0" t="s">
        <v>11092</v>
      </c>
      <c r="E8308" s="0" t="inlineStr">
        <is>
          <t xml:space="preserve">Mazda</t>
        </is>
      </c>
      <c r="F8308" s="0" t="inlineStr">
        <is>
          <t xml:space="preserve">Mazda</t>
        </is>
      </c>
      <c r="G8308" s="0" t="s">
        <v>171</v>
      </c>
      <c r="H8308" s="5">
        <v>11.402100</v>
      </c>
    </row>
    <row r="8309" spans="1:9">
      <c r="A8309" s="22" t="str">
        <f>HYPERLINK("https://app.vivvix.com/360/KMI/IntelliDrive/ApplUI/Pages/CreativePages/CustomReportCreativeDetail.aspx?App=23&amp;ReportView=4&amp;Qid=1711279&amp;Row=8301&amp;Col=1","No Title Assigned - #15270715441")</f>
        <v/>
      </c>
      <c r="B8309" s="0" t="s">
        <v>11093</v>
      </c>
      <c r="C8309" s="0" t="s">
        <v>11094</v>
      </c>
      <c r="D8309" s="0" t="s">
        <v>11094</v>
      </c>
      <c r="E8309" s="0" t="inlineStr">
        <is>
          <t xml:space="preserve">Mazda</t>
        </is>
      </c>
      <c r="F8309" s="0" t="inlineStr">
        <is>
          <t xml:space="preserve">Mazda</t>
        </is>
      </c>
      <c r="G8309" s="0" t="s">
        <v>171</v>
      </c>
      <c r="H8309" s="5">
        <v>22.949800</v>
      </c>
    </row>
    <row r="8310" spans="1:9">
      <c r="A8310" s="22" t="str">
        <f>HYPERLINK("https://app.vivvix.com/360/KMI/IntelliDrive/ApplUI/Pages/CreativePages/CustomReportCreativeDetail.aspx?App=23&amp;ReportView=4&amp;Qid=1711279&amp;Row=8302&amp;Col=1","No Title Assigned - #15270715442")</f>
        <v/>
      </c>
      <c r="B8310" s="0" t="s">
        <v>11095</v>
      </c>
      <c r="E8310" s="0" t="inlineStr">
        <is>
          <t xml:space="preserve">Mazda</t>
        </is>
      </c>
      <c r="F8310" s="0" t="inlineStr">
        <is>
          <t xml:space="preserve">Mazda</t>
        </is>
      </c>
      <c r="G8310" s="0" t="s">
        <v>171</v>
      </c>
      <c r="H8310" s="5">
        <v>16.943700</v>
      </c>
    </row>
    <row r="8311" spans="1:9">
      <c r="A8311" s="22" t="str">
        <f>HYPERLINK("https://app.vivvix.com/360/KMI/IntelliDrive/ApplUI/Pages/CreativePages/CustomReportCreativeDetail.aspx?App=23&amp;ReportView=4&amp;Qid=1711279&amp;Row=8303&amp;Col=1","No Title Assigned - #15270715453")</f>
        <v/>
      </c>
      <c r="B8311" s="0" t="s">
        <v>11096</v>
      </c>
      <c r="E8311" s="0" t="inlineStr">
        <is>
          <t xml:space="preserve">Mazda</t>
        </is>
      </c>
      <c r="F8311" s="0" t="inlineStr">
        <is>
          <t xml:space="preserve">Mazda</t>
        </is>
      </c>
      <c r="G8311" s="0" t="s">
        <v>171</v>
      </c>
      <c r="H8311" s="5">
        <v>30.006500</v>
      </c>
    </row>
    <row r="8312" spans="1:9">
      <c r="A8312" s="22" t="str">
        <f>HYPERLINK("https://app.vivvix.com/360/KMI/IntelliDrive/ApplUI/Pages/CreativePages/CustomReportCreativeDetail.aspx?App=23&amp;ReportView=4&amp;Qid=1711279&amp;Row=8304&amp;Col=1","No Title Assigned - #15270715664")</f>
        <v/>
      </c>
      <c r="B8312" s="0" t="s">
        <v>11097</v>
      </c>
      <c r="E8312" s="0" t="inlineStr">
        <is>
          <t xml:space="preserve">Mazda</t>
        </is>
      </c>
      <c r="F8312" s="0" t="inlineStr">
        <is>
          <t xml:space="preserve">Mazda</t>
        </is>
      </c>
      <c r="G8312" s="0" t="s">
        <v>171</v>
      </c>
      <c r="H8312" s="5">
        <v>21.405800</v>
      </c>
    </row>
    <row r="8313" spans="1:9">
      <c r="A8313" s="22" t="str">
        <f>HYPERLINK("https://app.vivvix.com/360/KMI/IntelliDrive/ApplUI/Pages/CreativePages/CustomReportCreativeDetail.aspx?App=23&amp;ReportView=4&amp;Qid=1711279&amp;Row=8305&amp;Col=1","No Title Assigned - #15270715937")</f>
        <v/>
      </c>
      <c r="B8313" s="0" t="s">
        <v>11098</v>
      </c>
      <c r="E8313" s="0" t="inlineStr">
        <is>
          <t xml:space="preserve">Mazda</t>
        </is>
      </c>
      <c r="F8313" s="0" t="inlineStr">
        <is>
          <t xml:space="preserve">Mazda</t>
        </is>
      </c>
      <c r="G8313" s="0" t="s">
        <v>171</v>
      </c>
      <c r="H8313" s="5">
        <v>52.084200</v>
      </c>
    </row>
    <row r="8314" spans="1:9">
      <c r="A8314" s="22" t="str">
        <f>HYPERLINK("https://app.vivvix.com/360/KMI/IntelliDrive/ApplUI/Pages/CreativePages/CustomReportCreativeDetail.aspx?App=23&amp;ReportView=4&amp;Qid=1711279&amp;Row=8306&amp;Col=1","No Title Assigned - #15270716362")</f>
        <v/>
      </c>
      <c r="B8314" s="0" t="s">
        <v>11099</v>
      </c>
      <c r="E8314" s="0" t="inlineStr">
        <is>
          <t xml:space="preserve">Mazda</t>
        </is>
      </c>
      <c r="F8314" s="0" t="inlineStr">
        <is>
          <t xml:space="preserve">Mazda</t>
        </is>
      </c>
      <c r="G8314" s="0" t="s">
        <v>171</v>
      </c>
      <c r="H8314" s="5">
        <v>41.736200</v>
      </c>
    </row>
    <row r="8315" spans="1:9">
      <c r="A8315" s="22" t="str">
        <f>HYPERLINK("https://app.vivvix.com/360/KMI/IntelliDrive/ApplUI/Pages/CreativePages/CustomReportCreativeDetail.aspx?App=23&amp;ReportView=4&amp;Qid=1711279&amp;Row=8307&amp;Col=1","No Title Assigned - #15270716364")</f>
        <v/>
      </c>
      <c r="B8315" s="0" t="s">
        <v>11100</v>
      </c>
      <c r="E8315" s="0" t="inlineStr">
        <is>
          <t xml:space="preserve">Mazda</t>
        </is>
      </c>
      <c r="F8315" s="0" t="inlineStr">
        <is>
          <t xml:space="preserve">Mazda</t>
        </is>
      </c>
      <c r="G8315" s="0" t="s">
        <v>171</v>
      </c>
      <c r="H8315" s="5">
        <v>8.646400</v>
      </c>
    </row>
    <row r="8316" spans="1:9">
      <c r="A8316" s="22" t="str">
        <f>HYPERLINK("https://app.vivvix.com/360/KMI/IntelliDrive/ApplUI/Pages/CreativePages/CustomReportCreativeDetail.aspx?App=23&amp;ReportView=4&amp;Qid=1711279&amp;Row=8308&amp;Col=1","No Title Assigned - #15270716474")</f>
        <v/>
      </c>
      <c r="B8316" s="0" t="s">
        <v>11101</v>
      </c>
      <c r="E8316" s="0" t="inlineStr">
        <is>
          <t xml:space="preserve">Mazda</t>
        </is>
      </c>
      <c r="F8316" s="0" t="inlineStr">
        <is>
          <t xml:space="preserve">Mazda</t>
        </is>
      </c>
      <c r="G8316" s="0" t="s">
        <v>171</v>
      </c>
      <c r="H8316" s="5">
        <v>61.234300</v>
      </c>
    </row>
    <row r="8317" spans="1:9">
      <c r="A8317" s="22" t="str">
        <f>HYPERLINK("https://app.vivvix.com/360/KMI/IntelliDrive/ApplUI/Pages/CreativePages/CustomReportCreativeDetail.aspx?App=23&amp;ReportView=4&amp;Qid=1711279&amp;Row=8309&amp;Col=1","No Title Assigned - #15270716481")</f>
        <v/>
      </c>
      <c r="B8317" s="0" t="s">
        <v>11102</v>
      </c>
      <c r="E8317" s="0" t="inlineStr">
        <is>
          <t xml:space="preserve">Mazda</t>
        </is>
      </c>
      <c r="F8317" s="0" t="inlineStr">
        <is>
          <t xml:space="preserve">Mazda</t>
        </is>
      </c>
      <c r="G8317" s="0" t="s">
        <v>171</v>
      </c>
      <c r="H8317" s="5">
        <v>5.080700</v>
      </c>
    </row>
    <row r="8318" spans="1:9">
      <c r="A8318" s="22" t="str">
        <f>HYPERLINK("https://app.vivvix.com/360/KMI/IntelliDrive/ApplUI/Pages/CreativePages/CustomReportCreativeDetail.aspx?App=23&amp;ReportView=4&amp;Qid=1711279&amp;Row=8310&amp;Col=1","No Title Assigned - #15270716661")</f>
        <v/>
      </c>
      <c r="B8318" s="0" t="s">
        <v>11103</v>
      </c>
      <c r="E8318" s="0" t="inlineStr">
        <is>
          <t xml:space="preserve">Mazda</t>
        </is>
      </c>
      <c r="F8318" s="0" t="inlineStr">
        <is>
          <t xml:space="preserve">Mazda</t>
        </is>
      </c>
      <c r="G8318" s="0" t="s">
        <v>171</v>
      </c>
      <c r="H8318" s="5">
        <v>517.379600</v>
      </c>
    </row>
    <row r="8319" spans="1:9">
      <c r="A8319" s="22" t="str">
        <f>HYPERLINK("https://app.vivvix.com/360/KMI/IntelliDrive/ApplUI/Pages/CreativePages/CustomReportCreativeDetail.aspx?App=23&amp;ReportView=4&amp;Qid=1711279&amp;Row=8311&amp;Col=1","No Title Assigned - #15270716871")</f>
        <v/>
      </c>
      <c r="B8319" s="0" t="s">
        <v>11104</v>
      </c>
      <c r="E8319" s="0" t="inlineStr">
        <is>
          <t xml:space="preserve">Mazda</t>
        </is>
      </c>
      <c r="F8319" s="0" t="inlineStr">
        <is>
          <t xml:space="preserve">Mazda</t>
        </is>
      </c>
      <c r="G8319" s="0" t="s">
        <v>171</v>
      </c>
      <c r="H8319" s="5">
        <v>22.149000</v>
      </c>
    </row>
    <row r="8320" spans="1:9">
      <c r="A8320" s="22" t="str">
        <f>HYPERLINK("https://app.vivvix.com/360/KMI/IntelliDrive/ApplUI/Pages/CreativePages/CustomReportCreativeDetail.aspx?App=23&amp;ReportView=4&amp;Qid=1711279&amp;Row=8312&amp;Col=1","No Title Assigned - #15270716872")</f>
        <v/>
      </c>
      <c r="B8320" s="0" t="s">
        <v>11105</v>
      </c>
      <c r="E8320" s="0" t="inlineStr">
        <is>
          <t xml:space="preserve">Mazda</t>
        </is>
      </c>
      <c r="F8320" s="0" t="inlineStr">
        <is>
          <t xml:space="preserve">Mazda</t>
        </is>
      </c>
      <c r="G8320" s="0" t="s">
        <v>171</v>
      </c>
      <c r="H8320" s="5">
        <v>22.149000</v>
      </c>
    </row>
    <row r="8321" spans="1:9">
      <c r="A8321" s="22" t="str">
        <f>HYPERLINK("https://app.vivvix.com/360/KMI/IntelliDrive/ApplUI/Pages/CreativePages/CustomReportCreativeDetail.aspx?App=23&amp;ReportView=4&amp;Qid=1711279&amp;Row=8313&amp;Col=1","No Title Assigned - #15270717132")</f>
        <v/>
      </c>
      <c r="B8321" s="0" t="s">
        <v>11106</v>
      </c>
      <c r="E8321" s="0" t="inlineStr">
        <is>
          <t xml:space="preserve">Mazda</t>
        </is>
      </c>
      <c r="F8321" s="0" t="inlineStr">
        <is>
          <t xml:space="preserve">Mazda</t>
        </is>
      </c>
      <c r="G8321" s="0" t="s">
        <v>171</v>
      </c>
      <c r="H8321" s="5">
        <v>128.170800</v>
      </c>
    </row>
    <row r="8322" spans="1:9">
      <c r="A8322" s="22" t="str">
        <f>HYPERLINK("https://app.vivvix.com/360/KMI/IntelliDrive/ApplUI/Pages/CreativePages/CustomReportCreativeDetail.aspx?App=23&amp;ReportView=4&amp;Qid=1711279&amp;Row=8314&amp;Col=1","No Title Assigned - #15270717274")</f>
        <v/>
      </c>
      <c r="B8322" s="0" t="s">
        <v>11107</v>
      </c>
      <c r="E8322" s="0" t="inlineStr">
        <is>
          <t xml:space="preserve">Mazda</t>
        </is>
      </c>
      <c r="F8322" s="0" t="inlineStr">
        <is>
          <t xml:space="preserve">Mazda</t>
        </is>
      </c>
      <c r="G8322" s="0" t="s">
        <v>171</v>
      </c>
      <c r="H8322" s="5">
        <v>27.522200</v>
      </c>
    </row>
    <row r="8323" spans="1:9">
      <c r="A8323" s="22" t="str">
        <f>HYPERLINK("https://app.vivvix.com/360/KMI/IntelliDrive/ApplUI/Pages/CreativePages/CustomReportCreativeDetail.aspx?App=23&amp;ReportView=4&amp;Qid=1711279&amp;Row=8315&amp;Col=1","No Title Assigned - #15270717300")</f>
        <v/>
      </c>
      <c r="B8323" s="0" t="s">
        <v>11108</v>
      </c>
      <c r="E8323" s="0" t="inlineStr">
        <is>
          <t xml:space="preserve">Mazda</t>
        </is>
      </c>
      <c r="F8323" s="0" t="inlineStr">
        <is>
          <t xml:space="preserve">Mazda</t>
        </is>
      </c>
      <c r="G8323" s="0" t="s">
        <v>171</v>
      </c>
      <c r="H8323" s="5">
        <v>563.442300</v>
      </c>
    </row>
    <row r="8324" spans="1:9">
      <c r="A8324" s="22" t="str">
        <f>HYPERLINK("https://app.vivvix.com/360/KMI/IntelliDrive/ApplUI/Pages/CreativePages/CustomReportCreativeDetail.aspx?App=23&amp;ReportView=4&amp;Qid=1711279&amp;Row=8316&amp;Col=1","No Title Assigned - #15270717380")</f>
        <v/>
      </c>
      <c r="B8324" s="0" t="s">
        <v>11109</v>
      </c>
      <c r="E8324" s="0" t="inlineStr">
        <is>
          <t xml:space="preserve">Mazda</t>
        </is>
      </c>
      <c r="F8324" s="0" t="inlineStr">
        <is>
          <t xml:space="preserve">Mazda</t>
        </is>
      </c>
      <c r="G8324" s="0" t="s">
        <v>171</v>
      </c>
      <c r="H8324" s="5">
        <v>45.400800</v>
      </c>
    </row>
    <row r="8325" spans="1:9">
      <c r="A8325" s="22" t="str">
        <f>HYPERLINK("https://app.vivvix.com/360/KMI/IntelliDrive/ApplUI/Pages/CreativePages/CustomReportCreativeDetail.aspx?App=23&amp;ReportView=4&amp;Qid=1711279&amp;Row=8317&amp;Col=1","No Title Assigned - #15270717793")</f>
        <v/>
      </c>
      <c r="B8325" s="0" t="s">
        <v>11110</v>
      </c>
      <c r="E8325" s="0" t="inlineStr">
        <is>
          <t xml:space="preserve">Mazda</t>
        </is>
      </c>
      <c r="F8325" s="0" t="inlineStr">
        <is>
          <t xml:space="preserve">Mazda</t>
        </is>
      </c>
      <c r="G8325" s="0" t="s">
        <v>171</v>
      </c>
      <c r="H8325" s="5">
        <v>46.476900</v>
      </c>
    </row>
    <row r="8326" spans="1:9">
      <c r="A8326" s="22" t="str">
        <f>HYPERLINK("https://app.vivvix.com/360/KMI/IntelliDrive/ApplUI/Pages/CreativePages/CustomReportCreativeDetail.aspx?App=23&amp;ReportView=4&amp;Qid=1711279&amp;Row=8318&amp;Col=1","No Title Assigned - #15270717793")</f>
        <v/>
      </c>
      <c r="B8326" s="0" t="s">
        <v>11110</v>
      </c>
      <c r="E8326" s="0" t="inlineStr">
        <is>
          <t xml:space="preserve">Mazda</t>
        </is>
      </c>
      <c r="F8326" s="0" t="inlineStr">
        <is>
          <t xml:space="preserve">Mazda</t>
        </is>
      </c>
      <c r="G8326" s="0" t="s">
        <v>171</v>
      </c>
      <c r="H8326" s="5">
        <v>30685.000000</v>
      </c>
    </row>
    <row r="8327" spans="1:9">
      <c r="A8327" s="22" t="str">
        <f>HYPERLINK("https://app.vivvix.com/360/KMI/IntelliDrive/ApplUI/Pages/CreativePages/CustomReportCreativeDetail.aspx?App=23&amp;ReportView=4&amp;Qid=1711279&amp;Row=8319&amp;Col=1","No Title Assigned - #15270717891")</f>
        <v/>
      </c>
      <c r="B8327" s="0" t="s">
        <v>11111</v>
      </c>
      <c r="E8327" s="0" t="inlineStr">
        <is>
          <t xml:space="preserve">Mazda</t>
        </is>
      </c>
      <c r="F8327" s="0" t="inlineStr">
        <is>
          <t xml:space="preserve">Mazda</t>
        </is>
      </c>
      <c r="G8327" s="0" t="s">
        <v>171</v>
      </c>
      <c r="H8327" s="5">
        <v>1016.645600</v>
      </c>
    </row>
    <row r="8328" spans="1:9">
      <c r="A8328" s="22" t="str">
        <f>HYPERLINK("https://app.vivvix.com/360/KMI/IntelliDrive/ApplUI/Pages/CreativePages/CustomReportCreativeDetail.aspx?App=23&amp;ReportView=4&amp;Qid=1711279&amp;Row=8320&amp;Col=1","No Title Assigned - #15270717919")</f>
        <v/>
      </c>
      <c r="B8328" s="0" t="s">
        <v>11112</v>
      </c>
      <c r="E8328" s="0" t="inlineStr">
        <is>
          <t xml:space="preserve">Mazda</t>
        </is>
      </c>
      <c r="F8328" s="0" t="inlineStr">
        <is>
          <t xml:space="preserve">Mazda</t>
        </is>
      </c>
      <c r="G8328" s="0" t="s">
        <v>171</v>
      </c>
      <c r="H8328" s="5">
        <v>8.964700</v>
      </c>
    </row>
    <row r="8329" spans="1:9">
      <c r="A8329" s="22" t="str">
        <f>HYPERLINK("https://app.vivvix.com/360/KMI/IntelliDrive/ApplUI/Pages/CreativePages/CustomReportCreativeDetail.aspx?App=23&amp;ReportView=4&amp;Qid=1711279&amp;Row=8321&amp;Col=1","No Title Assigned - #15270717949")</f>
        <v/>
      </c>
      <c r="B8329" s="0" t="s">
        <v>11113</v>
      </c>
      <c r="C8329" s="0" t="s">
        <v>11114</v>
      </c>
      <c r="D8329" s="0" t="s">
        <v>11114</v>
      </c>
      <c r="E8329" s="0" t="inlineStr">
        <is>
          <t xml:space="preserve">Mazda</t>
        </is>
      </c>
      <c r="F8329" s="0" t="inlineStr">
        <is>
          <t xml:space="preserve">Mazda</t>
        </is>
      </c>
      <c r="G8329" s="0" t="s">
        <v>171</v>
      </c>
      <c r="H8329" s="5">
        <v>219.145200</v>
      </c>
    </row>
    <row r="8330" spans="1:9">
      <c r="A8330" s="22" t="str">
        <f>HYPERLINK("https://app.vivvix.com/360/KMI/IntelliDrive/ApplUI/Pages/CreativePages/CustomReportCreativeDetail.aspx?App=23&amp;ReportView=4&amp;Qid=1711279&amp;Row=8322&amp;Col=1","No Title Assigned - #15270717982")</f>
        <v/>
      </c>
      <c r="B8330" s="0" t="s">
        <v>11115</v>
      </c>
      <c r="E8330" s="0" t="inlineStr">
        <is>
          <t xml:space="preserve">Mazda</t>
        </is>
      </c>
      <c r="F8330" s="0" t="inlineStr">
        <is>
          <t xml:space="preserve">Mazda</t>
        </is>
      </c>
      <c r="G8330" s="0" t="s">
        <v>171</v>
      </c>
      <c r="H8330" s="5">
        <v>195.595500</v>
      </c>
    </row>
    <row r="8331" spans="1:9">
      <c r="A8331" s="22" t="str">
        <f>HYPERLINK("https://app.vivvix.com/360/KMI/IntelliDrive/ApplUI/Pages/CreativePages/CustomReportCreativeDetail.aspx?App=23&amp;ReportView=4&amp;Qid=1711279&amp;Row=8323&amp;Col=1","No Title Assigned - #15270718008")</f>
        <v/>
      </c>
      <c r="B8331" s="0" t="s">
        <v>11116</v>
      </c>
      <c r="E8331" s="0" t="inlineStr">
        <is>
          <t xml:space="preserve">Mazda</t>
        </is>
      </c>
      <c r="F8331" s="0" t="inlineStr">
        <is>
          <t xml:space="preserve">Mazda</t>
        </is>
      </c>
      <c r="G8331" s="0" t="s">
        <v>171</v>
      </c>
      <c r="H8331" s="5">
        <v>88.737800</v>
      </c>
    </row>
    <row r="8332" spans="1:9">
      <c r="A8332" s="22" t="str">
        <f>HYPERLINK("https://app.vivvix.com/360/KMI/IntelliDrive/ApplUI/Pages/CreativePages/CustomReportCreativeDetail.aspx?App=23&amp;ReportView=4&amp;Qid=1711279&amp;Row=8324&amp;Col=1","No Title Assigned - #15270718517")</f>
        <v/>
      </c>
      <c r="B8332" s="0" t="s">
        <v>11117</v>
      </c>
      <c r="E8332" s="0" t="inlineStr">
        <is>
          <t xml:space="preserve">Mazda</t>
        </is>
      </c>
      <c r="F8332" s="0" t="inlineStr">
        <is>
          <t xml:space="preserve">Mazda</t>
        </is>
      </c>
      <c r="G8332" s="0" t="s">
        <v>171</v>
      </c>
      <c r="H8332" s="5">
        <v>206.044700</v>
      </c>
    </row>
    <row r="8333" spans="1:9">
      <c r="A8333" s="22" t="str">
        <f>HYPERLINK("https://app.vivvix.com/360/KMI/IntelliDrive/ApplUI/Pages/CreativePages/CustomReportCreativeDetail.aspx?App=23&amp;ReportView=4&amp;Qid=1711279&amp;Row=8325&amp;Col=1","No Title Assigned - #15270718543")</f>
        <v/>
      </c>
      <c r="B8333" s="0" t="s">
        <v>11118</v>
      </c>
      <c r="E8333" s="0" t="inlineStr">
        <is>
          <t xml:space="preserve">Mazda</t>
        </is>
      </c>
      <c r="F8333" s="0" t="inlineStr">
        <is>
          <t xml:space="preserve">Mazda</t>
        </is>
      </c>
      <c r="G8333" s="0" t="s">
        <v>171</v>
      </c>
      <c r="H8333" s="5">
        <v>9047.464500</v>
      </c>
    </row>
    <row r="8334" spans="1:9">
      <c r="A8334" s="22" t="str">
        <f>HYPERLINK("https://app.vivvix.com/360/KMI/IntelliDrive/ApplUI/Pages/CreativePages/CustomReportCreativeDetail.aspx?App=23&amp;ReportView=4&amp;Qid=1711279&amp;Row=8326&amp;Col=1","No Title Assigned - #15270718543")</f>
        <v/>
      </c>
      <c r="B8334" s="0" t="s">
        <v>11118</v>
      </c>
      <c r="E8334" s="0" t="inlineStr">
        <is>
          <t xml:space="preserve">Mazda</t>
        </is>
      </c>
      <c r="F8334" s="0" t="inlineStr">
        <is>
          <t xml:space="preserve">Mazda</t>
        </is>
      </c>
      <c r="G8334" s="0" t="s">
        <v>171</v>
      </c>
      <c r="H8334" s="5">
        <v>35.703900</v>
      </c>
    </row>
    <row r="8335" spans="1:9">
      <c r="A8335" s="22" t="str">
        <f>HYPERLINK("https://app.vivvix.com/360/KMI/IntelliDrive/ApplUI/Pages/CreativePages/CustomReportCreativeDetail.aspx?App=23&amp;ReportView=4&amp;Qid=1711279&amp;Row=8327&amp;Col=1","No Title Assigned - #15270718614")</f>
        <v/>
      </c>
      <c r="B8335" s="0" t="s">
        <v>11119</v>
      </c>
      <c r="E8335" s="0" t="inlineStr">
        <is>
          <t xml:space="preserve">Mazda</t>
        </is>
      </c>
      <c r="F8335" s="0" t="inlineStr">
        <is>
          <t xml:space="preserve">Mazda</t>
        </is>
      </c>
      <c r="G8335" s="0" t="s">
        <v>171</v>
      </c>
      <c r="H8335" s="5">
        <v>139.846700</v>
      </c>
    </row>
    <row r="8336" spans="1:9">
      <c r="A8336" s="22" t="str">
        <f>HYPERLINK("https://app.vivvix.com/360/KMI/IntelliDrive/ApplUI/Pages/CreativePages/CustomReportCreativeDetail.aspx?App=23&amp;ReportView=4&amp;Qid=1711279&amp;Row=8328&amp;Col=1","No Title Assigned - #15270718629")</f>
        <v/>
      </c>
      <c r="B8336" s="0" t="s">
        <v>11120</v>
      </c>
      <c r="E8336" s="0" t="inlineStr">
        <is>
          <t xml:space="preserve">Mazda</t>
        </is>
      </c>
      <c r="F8336" s="0" t="inlineStr">
        <is>
          <t xml:space="preserve">Mazda</t>
        </is>
      </c>
      <c r="G8336" s="0" t="s">
        <v>171</v>
      </c>
      <c r="H8336" s="5">
        <v>10.138200</v>
      </c>
    </row>
    <row r="8337" spans="1:9">
      <c r="A8337" s="22" t="str">
        <f>HYPERLINK("https://app.vivvix.com/360/KMI/IntelliDrive/ApplUI/Pages/CreativePages/CustomReportCreativeDetail.aspx?App=23&amp;ReportView=4&amp;Qid=1711279&amp;Row=8329&amp;Col=1","No Title Assigned - #15270718767")</f>
        <v/>
      </c>
      <c r="B8337" s="0" t="s">
        <v>11121</v>
      </c>
      <c r="E8337" s="0" t="inlineStr">
        <is>
          <t xml:space="preserve">Mazda</t>
        </is>
      </c>
      <c r="F8337" s="0" t="inlineStr">
        <is>
          <t xml:space="preserve">Mazda</t>
        </is>
      </c>
      <c r="G8337" s="0" t="s">
        <v>171</v>
      </c>
      <c r="H8337" s="5">
        <v>12.925500</v>
      </c>
    </row>
    <row r="8338" spans="1:9">
      <c r="A8338" s="22" t="str">
        <f>HYPERLINK("https://app.vivvix.com/360/KMI/IntelliDrive/ApplUI/Pages/CreativePages/CustomReportCreativeDetail.aspx?App=23&amp;ReportView=4&amp;Qid=1711279&amp;Row=8330&amp;Col=1","No Title Assigned - #15270718880")</f>
        <v/>
      </c>
      <c r="B8338" s="0" t="s">
        <v>11122</v>
      </c>
      <c r="E8338" s="0" t="inlineStr">
        <is>
          <t xml:space="preserve">Mazda</t>
        </is>
      </c>
      <c r="F8338" s="0" t="inlineStr">
        <is>
          <t xml:space="preserve">Mazda</t>
        </is>
      </c>
      <c r="G8338" s="0" t="s">
        <v>171</v>
      </c>
      <c r="H8338" s="5">
        <v>11.393000</v>
      </c>
    </row>
    <row r="8339" spans="1:9">
      <c r="A8339" s="22" t="str">
        <f>HYPERLINK("https://app.vivvix.com/360/KMI/IntelliDrive/ApplUI/Pages/CreativePages/CustomReportCreativeDetail.aspx?App=23&amp;ReportView=4&amp;Qid=1711279&amp;Row=8331&amp;Col=1","No Title Assigned - #15270718958")</f>
        <v/>
      </c>
      <c r="B8339" s="0" t="s">
        <v>11123</v>
      </c>
      <c r="E8339" s="0" t="inlineStr">
        <is>
          <t xml:space="preserve">Mazda</t>
        </is>
      </c>
      <c r="F8339" s="0" t="inlineStr">
        <is>
          <t xml:space="preserve">Mazda</t>
        </is>
      </c>
      <c r="G8339" s="0" t="s">
        <v>171</v>
      </c>
      <c r="H8339" s="5">
        <v>1538.953900</v>
      </c>
    </row>
    <row r="8340" spans="1:9">
      <c r="A8340" s="22" t="str">
        <f>HYPERLINK("https://app.vivvix.com/360/KMI/IntelliDrive/ApplUI/Pages/CreativePages/CustomReportCreativeDetail.aspx?App=23&amp;ReportView=4&amp;Qid=1711279&amp;Row=8332&amp;Col=1","No Title Assigned - #15270718999")</f>
        <v/>
      </c>
      <c r="B8340" s="0" t="s">
        <v>11124</v>
      </c>
      <c r="E8340" s="0" t="inlineStr">
        <is>
          <t xml:space="preserve">Mazda</t>
        </is>
      </c>
      <c r="F8340" s="0" t="inlineStr">
        <is>
          <t xml:space="preserve">Mazda</t>
        </is>
      </c>
      <c r="G8340" s="0" t="s">
        <v>171</v>
      </c>
      <c r="H8340" s="5">
        <v>121.660900</v>
      </c>
    </row>
    <row r="8341" spans="1:9">
      <c r="A8341" s="22" t="str">
        <f>HYPERLINK("https://app.vivvix.com/360/KMI/IntelliDrive/ApplUI/Pages/CreativePages/CustomReportCreativeDetail.aspx?App=23&amp;ReportView=4&amp;Qid=1711279&amp;Row=8333&amp;Col=1","No Title Assigned - #15270718999")</f>
        <v/>
      </c>
      <c r="B8341" s="0" t="s">
        <v>11124</v>
      </c>
      <c r="E8341" s="0" t="inlineStr">
        <is>
          <t xml:space="preserve">Mazda</t>
        </is>
      </c>
      <c r="F8341" s="0" t="inlineStr">
        <is>
          <t xml:space="preserve">Mazda</t>
        </is>
      </c>
      <c r="G8341" s="0" t="s">
        <v>171</v>
      </c>
      <c r="H8341" s="5">
        <v>19.467300</v>
      </c>
    </row>
    <row r="8342" spans="1:9">
      <c r="A8342" s="22" t="str">
        <f>HYPERLINK("https://app.vivvix.com/360/KMI/IntelliDrive/ApplUI/Pages/CreativePages/CustomReportCreativeDetail.aspx?App=23&amp;ReportView=4&amp;Qid=1711279&amp;Row=8334&amp;Col=1","No Title Assigned - #15270719004")</f>
        <v/>
      </c>
      <c r="B8342" s="0" t="s">
        <v>11125</v>
      </c>
      <c r="E8342" s="0" t="inlineStr">
        <is>
          <t xml:space="preserve">Mazda</t>
        </is>
      </c>
      <c r="F8342" s="0" t="inlineStr">
        <is>
          <t xml:space="preserve">Mazda</t>
        </is>
      </c>
      <c r="G8342" s="0" t="s">
        <v>171</v>
      </c>
      <c r="H8342" s="5">
        <v>70.452700</v>
      </c>
    </row>
    <row r="8343" spans="1:9">
      <c r="A8343" s="22" t="str">
        <f>HYPERLINK("https://app.vivvix.com/360/KMI/IntelliDrive/ApplUI/Pages/CreativePages/CustomReportCreativeDetail.aspx?App=23&amp;ReportView=4&amp;Qid=1711279&amp;Row=8335&amp;Col=1","No Title Assigned - #15270719139")</f>
        <v/>
      </c>
      <c r="B8343" s="0" t="s">
        <v>11126</v>
      </c>
      <c r="C8343" s="0" t="s">
        <v>11127</v>
      </c>
      <c r="D8343" s="0" t="s">
        <v>11127</v>
      </c>
      <c r="E8343" s="0" t="inlineStr">
        <is>
          <t xml:space="preserve">Mazda</t>
        </is>
      </c>
      <c r="F8343" s="0" t="inlineStr">
        <is>
          <t xml:space="preserve">Mazda</t>
        </is>
      </c>
      <c r="G8343" s="0" t="s">
        <v>171</v>
      </c>
      <c r="H8343" s="5">
        <v>198.991500</v>
      </c>
    </row>
    <row r="8344" spans="1:9">
      <c r="A8344" s="22" t="str">
        <f>HYPERLINK("https://app.vivvix.com/360/KMI/IntelliDrive/ApplUI/Pages/CreativePages/CustomReportCreativeDetail.aspx?App=23&amp;ReportView=4&amp;Qid=1711279&amp;Row=8336&amp;Col=1","No Title Assigned - #15270719485")</f>
        <v/>
      </c>
      <c r="B8344" s="0" t="s">
        <v>11128</v>
      </c>
      <c r="C8344" s="0" t="s">
        <v>11129</v>
      </c>
      <c r="D8344" s="0" t="s">
        <v>11129</v>
      </c>
      <c r="E8344" s="0" t="inlineStr">
        <is>
          <t xml:space="preserve">Mazda</t>
        </is>
      </c>
      <c r="F8344" s="0" t="inlineStr">
        <is>
          <t xml:space="preserve">Mazda</t>
        </is>
      </c>
      <c r="G8344" s="0" t="s">
        <v>171</v>
      </c>
      <c r="H8344" s="5">
        <v>2389.490500</v>
      </c>
    </row>
    <row r="8345" spans="1:9">
      <c r="A8345" s="22" t="str">
        <f>HYPERLINK("https://app.vivvix.com/360/KMI/IntelliDrive/ApplUI/Pages/CreativePages/CustomReportCreativeDetail.aspx?App=23&amp;ReportView=4&amp;Qid=1711279&amp;Row=8337&amp;Col=1","No Title Assigned - #15270719966")</f>
        <v/>
      </c>
      <c r="B8345" s="0" t="s">
        <v>11130</v>
      </c>
      <c r="E8345" s="0" t="inlineStr">
        <is>
          <t xml:space="preserve">Mazda</t>
        </is>
      </c>
      <c r="F8345" s="0" t="inlineStr">
        <is>
          <t xml:space="preserve">Mazda</t>
        </is>
      </c>
      <c r="G8345" s="0" t="s">
        <v>171</v>
      </c>
      <c r="H8345" s="5">
        <v>858.406200</v>
      </c>
    </row>
    <row r="8346" spans="1:9">
      <c r="A8346" s="22" t="str">
        <f>HYPERLINK("https://app.vivvix.com/360/KMI/IntelliDrive/ApplUI/Pages/CreativePages/CustomReportCreativeDetail.aspx?App=23&amp;ReportView=4&amp;Qid=1711279&amp;Row=8338&amp;Col=1","No Title Assigned - #15270720018")</f>
        <v/>
      </c>
      <c r="B8346" s="0" t="s">
        <v>11131</v>
      </c>
      <c r="E8346" s="0" t="inlineStr">
        <is>
          <t xml:space="preserve">Mazda</t>
        </is>
      </c>
      <c r="F8346" s="0" t="inlineStr">
        <is>
          <t xml:space="preserve">Mazda</t>
        </is>
      </c>
      <c r="G8346" s="0" t="s">
        <v>171</v>
      </c>
      <c r="H8346" s="5">
        <v>33.616300</v>
      </c>
    </row>
    <row r="8347" spans="1:9">
      <c r="A8347" s="22" t="str">
        <f>HYPERLINK("https://app.vivvix.com/360/KMI/IntelliDrive/ApplUI/Pages/CreativePages/CustomReportCreativeDetail.aspx?App=23&amp;ReportView=4&amp;Qid=1711279&amp;Row=8339&amp;Col=1","No Title Assigned - #15270720020")</f>
        <v/>
      </c>
      <c r="B8347" s="0" t="s">
        <v>11132</v>
      </c>
      <c r="E8347" s="0" t="inlineStr">
        <is>
          <t xml:space="preserve">Mazda</t>
        </is>
      </c>
      <c r="F8347" s="0" t="inlineStr">
        <is>
          <t xml:space="preserve">Mazda</t>
        </is>
      </c>
      <c r="G8347" s="0" t="s">
        <v>171</v>
      </c>
      <c r="H8347" s="5">
        <v>28722.002000</v>
      </c>
    </row>
    <row r="8348" spans="1:9">
      <c r="A8348" s="22" t="str">
        <f>HYPERLINK("https://app.vivvix.com/360/KMI/IntelliDrive/ApplUI/Pages/CreativePages/CustomReportCreativeDetail.aspx?App=23&amp;ReportView=4&amp;Qid=1711279&amp;Row=8340&amp;Col=1","No Title Assigned - #15270720235")</f>
        <v/>
      </c>
      <c r="B8348" s="0" t="s">
        <v>11133</v>
      </c>
      <c r="E8348" s="0" t="inlineStr">
        <is>
          <t xml:space="preserve">Mazda</t>
        </is>
      </c>
      <c r="F8348" s="0" t="inlineStr">
        <is>
          <t xml:space="preserve">Mazda</t>
        </is>
      </c>
      <c r="G8348" s="0" t="s">
        <v>171</v>
      </c>
      <c r="H8348" s="5">
        <v>6255.109400</v>
      </c>
    </row>
    <row r="8349" spans="1:9">
      <c r="A8349" s="22" t="str">
        <f>HYPERLINK("https://app.vivvix.com/360/KMI/IntelliDrive/ApplUI/Pages/CreativePages/CustomReportCreativeDetail.aspx?App=23&amp;ReportView=4&amp;Qid=1711279&amp;Row=8341&amp;Col=1","No Title Assigned - #15270720235")</f>
        <v/>
      </c>
      <c r="B8349" s="0" t="s">
        <v>11133</v>
      </c>
      <c r="C8349" s="0" t="s">
        <v>11134</v>
      </c>
      <c r="D8349" s="0" t="s">
        <v>11134</v>
      </c>
      <c r="E8349" s="0" t="inlineStr">
        <is>
          <t xml:space="preserve">Mazda</t>
        </is>
      </c>
      <c r="F8349" s="0" t="inlineStr">
        <is>
          <t xml:space="preserve">Mazda</t>
        </is>
      </c>
      <c r="G8349" s="0" t="s">
        <v>171</v>
      </c>
      <c r="H8349" s="5">
        <v>23.953200</v>
      </c>
    </row>
    <row r="8350" spans="1:9">
      <c r="A8350" s="22" t="str">
        <f>HYPERLINK("https://app.vivvix.com/360/KMI/IntelliDrive/ApplUI/Pages/CreativePages/CustomReportCreativeDetail.aspx?App=23&amp;ReportView=4&amp;Qid=1711279&amp;Row=8342&amp;Col=1","No Title Assigned - #15270720367")</f>
        <v/>
      </c>
      <c r="B8350" s="0" t="s">
        <v>11135</v>
      </c>
      <c r="E8350" s="0" t="inlineStr">
        <is>
          <t xml:space="preserve">Mazda</t>
        </is>
      </c>
      <c r="F8350" s="0" t="inlineStr">
        <is>
          <t xml:space="preserve">Mazda</t>
        </is>
      </c>
      <c r="G8350" s="0" t="s">
        <v>171</v>
      </c>
      <c r="H8350" s="5">
        <v>211.397500</v>
      </c>
    </row>
    <row r="8351" spans="1:9">
      <c r="A8351" s="22" t="str">
        <f>HYPERLINK("https://app.vivvix.com/360/KMI/IntelliDrive/ApplUI/Pages/CreativePages/CustomReportCreativeDetail.aspx?App=23&amp;ReportView=4&amp;Qid=1711279&amp;Row=8343&amp;Col=1","No Title Assigned - #15270720493")</f>
        <v/>
      </c>
      <c r="B8351" s="0" t="s">
        <v>11136</v>
      </c>
      <c r="E8351" s="0" t="inlineStr">
        <is>
          <t xml:space="preserve">Mazda</t>
        </is>
      </c>
      <c r="F8351" s="0" t="inlineStr">
        <is>
          <t xml:space="preserve">Mazda</t>
        </is>
      </c>
      <c r="G8351" s="0" t="s">
        <v>171</v>
      </c>
      <c r="H8351" s="5">
        <v>33.616300</v>
      </c>
    </row>
    <row r="8352" spans="1:9">
      <c r="A8352" s="22" t="str">
        <f>HYPERLINK("https://app.vivvix.com/360/KMI/IntelliDrive/ApplUI/Pages/CreativePages/CustomReportCreativeDetail.aspx?App=23&amp;ReportView=4&amp;Qid=1711279&amp;Row=8344&amp;Col=1","No Title Assigned - #15270720512")</f>
        <v/>
      </c>
      <c r="B8352" s="0" t="s">
        <v>11137</v>
      </c>
      <c r="E8352" s="0" t="inlineStr">
        <is>
          <t xml:space="preserve">Mazda</t>
        </is>
      </c>
      <c r="F8352" s="0" t="inlineStr">
        <is>
          <t xml:space="preserve">Mazda</t>
        </is>
      </c>
      <c r="G8352" s="0" t="s">
        <v>171</v>
      </c>
      <c r="H8352" s="5">
        <v>50.037600</v>
      </c>
    </row>
    <row r="8353" spans="1:9">
      <c r="A8353" s="22" t="str">
        <f>HYPERLINK("https://app.vivvix.com/360/KMI/IntelliDrive/ApplUI/Pages/CreativePages/CustomReportCreativeDetail.aspx?App=23&amp;ReportView=4&amp;Qid=1711279&amp;Row=8345&amp;Col=1","No Title Assigned - #15270720613")</f>
        <v/>
      </c>
      <c r="B8353" s="0" t="s">
        <v>11138</v>
      </c>
      <c r="E8353" s="0" t="inlineStr">
        <is>
          <t xml:space="preserve">Mazda</t>
        </is>
      </c>
      <c r="F8353" s="0" t="inlineStr">
        <is>
          <t xml:space="preserve">Mazda</t>
        </is>
      </c>
      <c r="G8353" s="0" t="s">
        <v>171</v>
      </c>
      <c r="H8353" s="5">
        <v>61.771400</v>
      </c>
    </row>
    <row r="8354" spans="1:9">
      <c r="A8354" s="22" t="str">
        <f>HYPERLINK("https://app.vivvix.com/360/KMI/IntelliDrive/ApplUI/Pages/CreativePages/CustomReportCreativeDetail.aspx?App=23&amp;ReportView=4&amp;Qid=1711279&amp;Row=8346&amp;Col=1","No Title Assigned - #15270720643")</f>
        <v/>
      </c>
      <c r="B8354" s="0" t="s">
        <v>11139</v>
      </c>
      <c r="C8354" s="0" t="s">
        <v>11140</v>
      </c>
      <c r="D8354" s="0" t="s">
        <v>11140</v>
      </c>
      <c r="E8354" s="0" t="inlineStr">
        <is>
          <t xml:space="preserve">Mazda</t>
        </is>
      </c>
      <c r="F8354" s="0" t="inlineStr">
        <is>
          <t xml:space="preserve">Mazda</t>
        </is>
      </c>
      <c r="G8354" s="0" t="s">
        <v>171</v>
      </c>
      <c r="H8354" s="5">
        <v>109.773000</v>
      </c>
    </row>
    <row r="8355" spans="1:9">
      <c r="A8355" s="22" t="str">
        <f>HYPERLINK("https://app.vivvix.com/360/KMI/IntelliDrive/ApplUI/Pages/CreativePages/CustomReportCreativeDetail.aspx?App=23&amp;ReportView=4&amp;Qid=1711279&amp;Row=8347&amp;Col=1","No Title Assigned - #15270720643")</f>
        <v/>
      </c>
      <c r="B8355" s="0" t="s">
        <v>11139</v>
      </c>
      <c r="E8355" s="0" t="inlineStr">
        <is>
          <t xml:space="preserve">Mazda</t>
        </is>
      </c>
      <c r="F8355" s="0" t="inlineStr">
        <is>
          <t xml:space="preserve">Mazda</t>
        </is>
      </c>
      <c r="G8355" s="0" t="s">
        <v>171</v>
      </c>
      <c r="H8355" s="5">
        <v>55.835400</v>
      </c>
    </row>
    <row r="8356" spans="1:9">
      <c r="A8356" s="22" t="str">
        <f>HYPERLINK("https://app.vivvix.com/360/KMI/IntelliDrive/ApplUI/Pages/CreativePages/CustomReportCreativeDetail.aspx?App=23&amp;ReportView=4&amp;Qid=1711279&amp;Row=8348&amp;Col=1","No Title Assigned - #15270720703")</f>
        <v/>
      </c>
      <c r="B8356" s="0" t="s">
        <v>11141</v>
      </c>
      <c r="E8356" s="0" t="inlineStr">
        <is>
          <t xml:space="preserve">Mazda</t>
        </is>
      </c>
      <c r="F8356" s="0" t="inlineStr">
        <is>
          <t xml:space="preserve">Mazda</t>
        </is>
      </c>
      <c r="G8356" s="0" t="s">
        <v>171</v>
      </c>
      <c r="H8356" s="5">
        <v>400.752700</v>
      </c>
    </row>
    <row r="8357" spans="1:9">
      <c r="A8357" s="22" t="str">
        <f>HYPERLINK("https://app.vivvix.com/360/KMI/IntelliDrive/ApplUI/Pages/CreativePages/CustomReportCreativeDetail.aspx?App=23&amp;ReportView=4&amp;Qid=1711279&amp;Row=8349&amp;Col=1","No Title Assigned - #15270720894")</f>
        <v/>
      </c>
      <c r="B8357" s="0" t="s">
        <v>11142</v>
      </c>
      <c r="E8357" s="0" t="inlineStr">
        <is>
          <t xml:space="preserve">Mazda</t>
        </is>
      </c>
      <c r="F8357" s="0" t="inlineStr">
        <is>
          <t xml:space="preserve">Mazda</t>
        </is>
      </c>
      <c r="G8357" s="0" t="s">
        <v>171</v>
      </c>
      <c r="H8357" s="5">
        <v>13.501200</v>
      </c>
    </row>
    <row r="8358" spans="1:9">
      <c r="A8358" s="22" t="str">
        <f>HYPERLINK("https://app.vivvix.com/360/KMI/IntelliDrive/ApplUI/Pages/CreativePages/CustomReportCreativeDetail.aspx?App=23&amp;ReportView=4&amp;Qid=1711279&amp;Row=8350&amp;Col=1","No Title Assigned - #15270720977")</f>
        <v/>
      </c>
      <c r="B8358" s="0" t="s">
        <v>11143</v>
      </c>
      <c r="E8358" s="0" t="inlineStr">
        <is>
          <t xml:space="preserve">Mazda</t>
        </is>
      </c>
      <c r="F8358" s="0" t="inlineStr">
        <is>
          <t xml:space="preserve">Mazda</t>
        </is>
      </c>
      <c r="G8358" s="0" t="s">
        <v>171</v>
      </c>
      <c r="H8358" s="5">
        <v>54.917300</v>
      </c>
    </row>
    <row r="8359" spans="1:9">
      <c r="A8359" s="22" t="str">
        <f>HYPERLINK("https://app.vivvix.com/360/KMI/IntelliDrive/ApplUI/Pages/CreativePages/CustomReportCreativeDetail.aspx?App=23&amp;ReportView=4&amp;Qid=1711279&amp;Row=8351&amp;Col=1","No Title Assigned - #15270721228")</f>
        <v/>
      </c>
      <c r="B8359" s="0" t="s">
        <v>11144</v>
      </c>
      <c r="E8359" s="0" t="inlineStr">
        <is>
          <t xml:space="preserve">Mazda</t>
        </is>
      </c>
      <c r="F8359" s="0" t="inlineStr">
        <is>
          <t xml:space="preserve">Mazda</t>
        </is>
      </c>
      <c r="G8359" s="0" t="s">
        <v>171</v>
      </c>
      <c r="H8359" s="5">
        <v>15.349300</v>
      </c>
    </row>
    <row r="8360" spans="1:9">
      <c r="A8360" s="22" t="str">
        <f>HYPERLINK("https://app.vivvix.com/360/KMI/IntelliDrive/ApplUI/Pages/CreativePages/CustomReportCreativeDetail.aspx?App=23&amp;ReportView=4&amp;Qid=1711279&amp;Row=8352&amp;Col=1","No Title Assigned - #15270721285")</f>
        <v/>
      </c>
      <c r="B8360" s="0" t="s">
        <v>11145</v>
      </c>
      <c r="E8360" s="0" t="inlineStr">
        <is>
          <t xml:space="preserve">Mazda</t>
        </is>
      </c>
      <c r="F8360" s="0" t="inlineStr">
        <is>
          <t xml:space="preserve">Mazda</t>
        </is>
      </c>
      <c r="G8360" s="0" t="s">
        <v>171</v>
      </c>
      <c r="H8360" s="5">
        <v>9.561400</v>
      </c>
    </row>
    <row r="8361" spans="1:9">
      <c r="A8361" s="22" t="str">
        <f>HYPERLINK("https://app.vivvix.com/360/KMI/IntelliDrive/ApplUI/Pages/CreativePages/CustomReportCreativeDetail.aspx?App=23&amp;ReportView=4&amp;Qid=1711279&amp;Row=8353&amp;Col=1","No Title Assigned - #15270721443")</f>
        <v/>
      </c>
      <c r="B8361" s="0" t="s">
        <v>11146</v>
      </c>
      <c r="E8361" s="0" t="inlineStr">
        <is>
          <t xml:space="preserve">Mazda</t>
        </is>
      </c>
      <c r="F8361" s="0" t="inlineStr">
        <is>
          <t xml:space="preserve">Mazda</t>
        </is>
      </c>
      <c r="G8361" s="0" t="s">
        <v>171</v>
      </c>
      <c r="H8361" s="5">
        <v>571.635700</v>
      </c>
    </row>
    <row r="8362" spans="1:9">
      <c r="A8362" s="22" t="str">
        <f>HYPERLINK("https://app.vivvix.com/360/KMI/IntelliDrive/ApplUI/Pages/CreativePages/CustomReportCreativeDetail.aspx?App=23&amp;ReportView=4&amp;Qid=1711279&amp;Row=8354&amp;Col=1","No Title Assigned - #15270721731")</f>
        <v/>
      </c>
      <c r="B8362" s="0" t="s">
        <v>11147</v>
      </c>
      <c r="E8362" s="0" t="inlineStr">
        <is>
          <t xml:space="preserve">Mazda</t>
        </is>
      </c>
      <c r="F8362" s="0" t="inlineStr">
        <is>
          <t xml:space="preserve">Mazda</t>
        </is>
      </c>
      <c r="G8362" s="0" t="s">
        <v>171</v>
      </c>
      <c r="H8362" s="5">
        <v>45.700200</v>
      </c>
    </row>
    <row r="8363" spans="1:9">
      <c r="A8363" s="22" t="str">
        <f>HYPERLINK("https://app.vivvix.com/360/KMI/IntelliDrive/ApplUI/Pages/CreativePages/CustomReportCreativeDetail.aspx?App=23&amp;ReportView=4&amp;Qid=1711279&amp;Row=8355&amp;Col=1","No Title Assigned - #15270721785")</f>
        <v/>
      </c>
      <c r="B8363" s="0" t="s">
        <v>11148</v>
      </c>
      <c r="E8363" s="0" t="inlineStr">
        <is>
          <t xml:space="preserve">Mazda</t>
        </is>
      </c>
      <c r="F8363" s="0" t="inlineStr">
        <is>
          <t xml:space="preserve">Mazda</t>
        </is>
      </c>
      <c r="G8363" s="0" t="s">
        <v>171</v>
      </c>
      <c r="H8363" s="5">
        <v>26.653000</v>
      </c>
    </row>
    <row r="8364" spans="1:9">
      <c r="A8364" s="22" t="str">
        <f>HYPERLINK("https://app.vivvix.com/360/KMI/IntelliDrive/ApplUI/Pages/CreativePages/CustomReportCreativeDetail.aspx?App=23&amp;ReportView=4&amp;Qid=1711279&amp;Row=8356&amp;Col=1","No Title Assigned - #15270721937")</f>
        <v/>
      </c>
      <c r="B8364" s="0" t="s">
        <v>11149</v>
      </c>
      <c r="E8364" s="0" t="inlineStr">
        <is>
          <t xml:space="preserve">Mazda</t>
        </is>
      </c>
      <c r="F8364" s="0" t="inlineStr">
        <is>
          <t xml:space="preserve">Mazda</t>
        </is>
      </c>
      <c r="G8364" s="0" t="s">
        <v>171</v>
      </c>
      <c r="H8364" s="5">
        <v>21.573100</v>
      </c>
    </row>
    <row r="8365" spans="1:9">
      <c r="A8365" s="22" t="str">
        <f>HYPERLINK("https://app.vivvix.com/360/KMI/IntelliDrive/ApplUI/Pages/CreativePages/CustomReportCreativeDetail.aspx?App=23&amp;ReportView=4&amp;Qid=1711279&amp;Row=8357&amp;Col=1","No Title Assigned - #15270722036")</f>
        <v/>
      </c>
      <c r="B8365" s="0" t="s">
        <v>11150</v>
      </c>
      <c r="C8365" s="0" t="s">
        <v>11151</v>
      </c>
      <c r="D8365" s="0" t="s">
        <v>11151</v>
      </c>
      <c r="E8365" s="0" t="inlineStr">
        <is>
          <t xml:space="preserve">Mazda</t>
        </is>
      </c>
      <c r="F8365" s="0" t="inlineStr">
        <is>
          <t xml:space="preserve">Mazda</t>
        </is>
      </c>
      <c r="G8365" s="0" t="s">
        <v>171</v>
      </c>
      <c r="H8365" s="5">
        <v>179.762200</v>
      </c>
    </row>
    <row r="8366" spans="1:9">
      <c r="A8366" s="22" t="str">
        <f>HYPERLINK("https://app.vivvix.com/360/KMI/IntelliDrive/ApplUI/Pages/CreativePages/CustomReportCreativeDetail.aspx?App=23&amp;ReportView=4&amp;Qid=1711279&amp;Row=8358&amp;Col=1","No Title Assigned - #15270722036")</f>
        <v/>
      </c>
      <c r="B8366" s="0" t="s">
        <v>11150</v>
      </c>
      <c r="E8366" s="0" t="inlineStr">
        <is>
          <t xml:space="preserve">Mazda</t>
        </is>
      </c>
      <c r="F8366" s="0" t="inlineStr">
        <is>
          <t xml:space="preserve">Mazda</t>
        </is>
      </c>
      <c r="G8366" s="0" t="s">
        <v>171</v>
      </c>
      <c r="H8366" s="5">
        <v>316.725600</v>
      </c>
    </row>
    <row r="8367" spans="1:9">
      <c r="A8367" s="22" t="str">
        <f>HYPERLINK("https://app.vivvix.com/360/KMI/IntelliDrive/ApplUI/Pages/CreativePages/CustomReportCreativeDetail.aspx?App=23&amp;ReportView=4&amp;Qid=1711279&amp;Row=8359&amp;Col=1","No Title Assigned - #15270722156")</f>
        <v/>
      </c>
      <c r="B8367" s="0" t="s">
        <v>11152</v>
      </c>
      <c r="E8367" s="0" t="inlineStr">
        <is>
          <t xml:space="preserve">Mazda</t>
        </is>
      </c>
      <c r="F8367" s="0" t="inlineStr">
        <is>
          <t xml:space="preserve">Mazda</t>
        </is>
      </c>
      <c r="G8367" s="0" t="s">
        <v>171</v>
      </c>
      <c r="H8367" s="5">
        <v>21.974800</v>
      </c>
    </row>
    <row r="8368" spans="1:9">
      <c r="A8368" s="22" t="str">
        <f>HYPERLINK("https://app.vivvix.com/360/KMI/IntelliDrive/ApplUI/Pages/CreativePages/CustomReportCreativeDetail.aspx?App=23&amp;ReportView=4&amp;Qid=1711279&amp;Row=8360&amp;Col=1","No Title Assigned - #15270722221")</f>
        <v/>
      </c>
      <c r="B8368" s="0" t="s">
        <v>11153</v>
      </c>
      <c r="C8368" s="0" t="s">
        <v>11154</v>
      </c>
      <c r="D8368" s="0" t="s">
        <v>11154</v>
      </c>
      <c r="E8368" s="0" t="inlineStr">
        <is>
          <t xml:space="preserve">Mazda</t>
        </is>
      </c>
      <c r="F8368" s="0" t="inlineStr">
        <is>
          <t xml:space="preserve">Mazda</t>
        </is>
      </c>
      <c r="G8368" s="0" t="s">
        <v>171</v>
      </c>
      <c r="H8368" s="5">
        <v>30.006500</v>
      </c>
    </row>
    <row r="8369" spans="1:9">
      <c r="A8369" s="22" t="str">
        <f>HYPERLINK("https://app.vivvix.com/360/KMI/IntelliDrive/ApplUI/Pages/CreativePages/CustomReportCreativeDetail.aspx?App=23&amp;ReportView=4&amp;Qid=1711279&amp;Row=8361&amp;Col=1","No Title Assigned - #15270722353")</f>
        <v/>
      </c>
      <c r="B8369" s="0" t="s">
        <v>11155</v>
      </c>
      <c r="E8369" s="0" t="inlineStr">
        <is>
          <t xml:space="preserve">Mazda</t>
        </is>
      </c>
      <c r="F8369" s="0" t="inlineStr">
        <is>
          <t xml:space="preserve">Mazda</t>
        </is>
      </c>
      <c r="G8369" s="0" t="s">
        <v>171</v>
      </c>
      <c r="H8369" s="5">
        <v>2779.332700</v>
      </c>
    </row>
    <row r="8370" spans="1:9">
      <c r="A8370" s="22" t="str">
        <f>HYPERLINK("https://app.vivvix.com/360/KMI/IntelliDrive/ApplUI/Pages/CreativePages/CustomReportCreativeDetail.aspx?App=23&amp;ReportView=4&amp;Qid=1711279&amp;Row=8362&amp;Col=1","No Title Assigned - #15270722353")</f>
        <v/>
      </c>
      <c r="B8370" s="0" t="s">
        <v>11155</v>
      </c>
      <c r="E8370" s="0" t="inlineStr">
        <is>
          <t xml:space="preserve">Mazda</t>
        </is>
      </c>
      <c r="F8370" s="0" t="inlineStr">
        <is>
          <t xml:space="preserve">Mazda</t>
        </is>
      </c>
      <c r="G8370" s="0" t="s">
        <v>171</v>
      </c>
      <c r="H8370" s="5">
        <v>12.657200</v>
      </c>
    </row>
    <row r="8371" spans="1:9">
      <c r="A8371" s="22" t="str">
        <f>HYPERLINK("https://app.vivvix.com/360/KMI/IntelliDrive/ApplUI/Pages/CreativePages/CustomReportCreativeDetail.aspx?App=23&amp;ReportView=4&amp;Qid=1711279&amp;Row=8363&amp;Col=1","No Title Assigned - #15270722426")</f>
        <v/>
      </c>
      <c r="B8371" s="0" t="s">
        <v>11156</v>
      </c>
      <c r="E8371" s="0" t="inlineStr">
        <is>
          <t xml:space="preserve">Mazda</t>
        </is>
      </c>
      <c r="F8371" s="0" t="inlineStr">
        <is>
          <t xml:space="preserve">Mazda</t>
        </is>
      </c>
      <c r="G8371" s="0" t="s">
        <v>171</v>
      </c>
      <c r="H8371" s="5">
        <v>13.359300</v>
      </c>
    </row>
    <row r="8372" spans="1:9">
      <c r="A8372" s="22" t="str">
        <f>HYPERLINK("https://app.vivvix.com/360/KMI/IntelliDrive/ApplUI/Pages/CreativePages/CustomReportCreativeDetail.aspx?App=23&amp;ReportView=4&amp;Qid=1711279&amp;Row=8364&amp;Col=1","No Title Assigned - #15270722471")</f>
        <v/>
      </c>
      <c r="B8372" s="0" t="s">
        <v>11157</v>
      </c>
      <c r="E8372" s="0" t="inlineStr">
        <is>
          <t xml:space="preserve">Mazda</t>
        </is>
      </c>
      <c r="F8372" s="0" t="inlineStr">
        <is>
          <t xml:space="preserve">Mazda</t>
        </is>
      </c>
      <c r="G8372" s="0" t="s">
        <v>171</v>
      </c>
      <c r="H8372" s="5">
        <v>59.834000</v>
      </c>
    </row>
    <row r="8373" spans="1:9">
      <c r="A8373" s="22" t="str">
        <f>HYPERLINK("https://app.vivvix.com/360/KMI/IntelliDrive/ApplUI/Pages/CreativePages/CustomReportCreativeDetail.aspx?App=23&amp;ReportView=4&amp;Qid=1711279&amp;Row=8365&amp;Col=1","No Title Assigned - #15270722658")</f>
        <v/>
      </c>
      <c r="B8373" s="0" t="s">
        <v>11158</v>
      </c>
      <c r="E8373" s="0" t="inlineStr">
        <is>
          <t xml:space="preserve">Mazda</t>
        </is>
      </c>
      <c r="F8373" s="0" t="inlineStr">
        <is>
          <t xml:space="preserve">Mazda</t>
        </is>
      </c>
      <c r="G8373" s="0" t="s">
        <v>171</v>
      </c>
      <c r="H8373" s="5">
        <v>20.934000</v>
      </c>
    </row>
    <row r="8374" spans="1:9">
      <c r="A8374" s="22" t="str">
        <f>HYPERLINK("https://app.vivvix.com/360/KMI/IntelliDrive/ApplUI/Pages/CreativePages/CustomReportCreativeDetail.aspx?App=23&amp;ReportView=4&amp;Qid=1711279&amp;Row=8366&amp;Col=1","No Title Assigned - #15270722711")</f>
        <v/>
      </c>
      <c r="B8374" s="0" t="s">
        <v>11159</v>
      </c>
      <c r="E8374" s="0" t="inlineStr">
        <is>
          <t xml:space="preserve">Mazda</t>
        </is>
      </c>
      <c r="F8374" s="0" t="inlineStr">
        <is>
          <t xml:space="preserve">Mazda</t>
        </is>
      </c>
      <c r="G8374" s="0" t="s">
        <v>171</v>
      </c>
      <c r="H8374" s="5">
        <v>45.819100</v>
      </c>
    </row>
    <row r="8375" spans="1:9">
      <c r="A8375" s="22" t="str">
        <f>HYPERLINK("https://app.vivvix.com/360/KMI/IntelliDrive/ApplUI/Pages/CreativePages/CustomReportCreativeDetail.aspx?App=23&amp;ReportView=4&amp;Qid=1711279&amp;Row=8367&amp;Col=1","No Title Assigned - #15270722717")</f>
        <v/>
      </c>
      <c r="B8375" s="0" t="s">
        <v>11160</v>
      </c>
      <c r="E8375" s="0" t="inlineStr">
        <is>
          <t xml:space="preserve">Mazda</t>
        </is>
      </c>
      <c r="F8375" s="0" t="inlineStr">
        <is>
          <t xml:space="preserve">Mazda</t>
        </is>
      </c>
      <c r="G8375" s="0" t="s">
        <v>171</v>
      </c>
      <c r="H8375" s="5">
        <v>66.012000</v>
      </c>
    </row>
    <row r="8376" spans="1:9">
      <c r="A8376" s="22" t="str">
        <f>HYPERLINK("https://app.vivvix.com/360/KMI/IntelliDrive/ApplUI/Pages/CreativePages/CustomReportCreativeDetail.aspx?App=23&amp;ReportView=4&amp;Qid=1711279&amp;Row=8368&amp;Col=1","No Title Assigned - #15270722745")</f>
        <v/>
      </c>
      <c r="B8376" s="0" t="s">
        <v>11161</v>
      </c>
      <c r="E8376" s="0" t="inlineStr">
        <is>
          <t xml:space="preserve">Mazda</t>
        </is>
      </c>
      <c r="F8376" s="0" t="inlineStr">
        <is>
          <t xml:space="preserve">Mazda</t>
        </is>
      </c>
      <c r="G8376" s="0" t="s">
        <v>171</v>
      </c>
      <c r="H8376" s="5">
        <v>12.925500</v>
      </c>
    </row>
    <row r="8377" spans="1:9">
      <c r="A8377" s="22" t="str">
        <f>HYPERLINK("https://app.vivvix.com/360/KMI/IntelliDrive/ApplUI/Pages/CreativePages/CustomReportCreativeDetail.aspx?App=23&amp;ReportView=4&amp;Qid=1711279&amp;Row=8369&amp;Col=1","No Title Assigned - #15270722746")</f>
        <v/>
      </c>
      <c r="B8377" s="0" t="s">
        <v>11162</v>
      </c>
      <c r="E8377" s="0" t="inlineStr">
        <is>
          <t xml:space="preserve">Mazda</t>
        </is>
      </c>
      <c r="F8377" s="0" t="inlineStr">
        <is>
          <t xml:space="preserve">Mazda</t>
        </is>
      </c>
      <c r="G8377" s="0" t="s">
        <v>171</v>
      </c>
      <c r="H8377" s="5">
        <v>12.925500</v>
      </c>
    </row>
    <row r="8378" spans="1:9">
      <c r="A8378" s="22" t="str">
        <f>HYPERLINK("https://app.vivvix.com/360/KMI/IntelliDrive/ApplUI/Pages/CreativePages/CustomReportCreativeDetail.aspx?App=23&amp;ReportView=4&amp;Qid=1711279&amp;Row=8370&amp;Col=1","No Title Assigned - #15270722828")</f>
        <v/>
      </c>
      <c r="B8378" s="0" t="s">
        <v>11163</v>
      </c>
      <c r="E8378" s="0" t="inlineStr">
        <is>
          <t xml:space="preserve">Mazda</t>
        </is>
      </c>
      <c r="F8378" s="0" t="inlineStr">
        <is>
          <t xml:space="preserve">Mazda</t>
        </is>
      </c>
      <c r="G8378" s="0" t="s">
        <v>171</v>
      </c>
      <c r="H8378" s="5">
        <v>138.019600</v>
      </c>
    </row>
    <row r="8379" spans="1:9">
      <c r="A8379" s="22" t="str">
        <f>HYPERLINK("https://app.vivvix.com/360/KMI/IntelliDrive/ApplUI/Pages/CreativePages/CustomReportCreativeDetail.aspx?App=23&amp;ReportView=4&amp;Qid=1711279&amp;Row=8371&amp;Col=1","No Title Assigned - #15270723094")</f>
        <v/>
      </c>
      <c r="B8379" s="0" t="s">
        <v>11164</v>
      </c>
      <c r="E8379" s="0" t="inlineStr">
        <is>
          <t xml:space="preserve">Mazda</t>
        </is>
      </c>
      <c r="F8379" s="0" t="inlineStr">
        <is>
          <t xml:space="preserve">Mazda</t>
        </is>
      </c>
      <c r="G8379" s="0" t="s">
        <v>171</v>
      </c>
      <c r="H8379" s="5">
        <v>170.088700</v>
      </c>
    </row>
    <row r="8380" spans="1:9">
      <c r="A8380" s="22" t="str">
        <f>HYPERLINK("https://app.vivvix.com/360/KMI/IntelliDrive/ApplUI/Pages/CreativePages/CustomReportCreativeDetail.aspx?App=23&amp;ReportView=4&amp;Qid=1711279&amp;Row=8372&amp;Col=1","No Title Assigned - #15270723236")</f>
        <v/>
      </c>
      <c r="B8380" s="0" t="s">
        <v>11165</v>
      </c>
      <c r="E8380" s="0" t="inlineStr">
        <is>
          <t xml:space="preserve">Mazda</t>
        </is>
      </c>
      <c r="F8380" s="0" t="inlineStr">
        <is>
          <t xml:space="preserve">Mazda</t>
        </is>
      </c>
      <c r="G8380" s="0" t="s">
        <v>171</v>
      </c>
      <c r="H8380" s="5">
        <v>262.448800</v>
      </c>
    </row>
    <row r="8381" spans="1:9">
      <c r="A8381" s="22" t="str">
        <f>HYPERLINK("https://app.vivvix.com/360/KMI/IntelliDrive/ApplUI/Pages/CreativePages/CustomReportCreativeDetail.aspx?App=23&amp;ReportView=4&amp;Qid=1711279&amp;Row=8373&amp;Col=1","No Title Assigned - #15270723424")</f>
        <v/>
      </c>
      <c r="B8381" s="0" t="s">
        <v>11166</v>
      </c>
      <c r="E8381" s="0" t="inlineStr">
        <is>
          <t xml:space="preserve">Mazda</t>
        </is>
      </c>
      <c r="F8381" s="0" t="inlineStr">
        <is>
          <t xml:space="preserve">Mazda</t>
        </is>
      </c>
      <c r="G8381" s="0" t="s">
        <v>171</v>
      </c>
      <c r="H8381" s="5">
        <v>10.920900</v>
      </c>
    </row>
    <row r="8382" spans="1:9">
      <c r="A8382" s="22" t="str">
        <f>HYPERLINK("https://app.vivvix.com/360/KMI/IntelliDrive/ApplUI/Pages/CreativePages/CustomReportCreativeDetail.aspx?App=23&amp;ReportView=4&amp;Qid=1711279&amp;Row=8374&amp;Col=1","No Title Assigned - #15270723437")</f>
        <v/>
      </c>
      <c r="B8382" s="0" t="s">
        <v>11167</v>
      </c>
      <c r="C8382" s="0" t="s">
        <v>11168</v>
      </c>
      <c r="D8382" s="0" t="s">
        <v>11168</v>
      </c>
      <c r="E8382" s="0" t="inlineStr">
        <is>
          <t xml:space="preserve">Mazda</t>
        </is>
      </c>
      <c r="F8382" s="0" t="inlineStr">
        <is>
          <t xml:space="preserve">Mazda</t>
        </is>
      </c>
      <c r="G8382" s="0" t="s">
        <v>171</v>
      </c>
      <c r="H8382" s="5">
        <v>161.161500</v>
      </c>
    </row>
    <row r="8383" spans="1:9">
      <c r="A8383" s="22" t="str">
        <f>HYPERLINK("https://app.vivvix.com/360/KMI/IntelliDrive/ApplUI/Pages/CreativePages/CustomReportCreativeDetail.aspx?App=23&amp;ReportView=4&amp;Qid=1711279&amp;Row=8375&amp;Col=1","No Title Assigned - #15270723455")</f>
        <v/>
      </c>
      <c r="B8383" s="0" t="s">
        <v>11169</v>
      </c>
      <c r="E8383" s="0" t="inlineStr">
        <is>
          <t xml:space="preserve">Mazda</t>
        </is>
      </c>
      <c r="F8383" s="0" t="inlineStr">
        <is>
          <t xml:space="preserve">Mazda</t>
        </is>
      </c>
      <c r="G8383" s="0" t="s">
        <v>171</v>
      </c>
      <c r="H8383" s="5">
        <v>161.030800</v>
      </c>
    </row>
    <row r="8384" spans="1:9">
      <c r="A8384" s="22" t="str">
        <f>HYPERLINK("https://app.vivvix.com/360/KMI/IntelliDrive/ApplUI/Pages/CreativePages/CustomReportCreativeDetail.aspx?App=23&amp;ReportView=4&amp;Qid=1711279&amp;Row=8376&amp;Col=1","No Title Assigned - #15270724207")</f>
        <v/>
      </c>
      <c r="B8384" s="0" t="s">
        <v>11170</v>
      </c>
      <c r="E8384" s="0" t="inlineStr">
        <is>
          <t xml:space="preserve">Mazda</t>
        </is>
      </c>
      <c r="F8384" s="0" t="inlineStr">
        <is>
          <t xml:space="preserve">Mazda</t>
        </is>
      </c>
      <c r="G8384" s="0" t="s">
        <v>171</v>
      </c>
      <c r="H8384" s="5">
        <v>31.228600</v>
      </c>
    </row>
    <row r="8385" spans="1:9">
      <c r="A8385" s="22" t="str">
        <f>HYPERLINK("https://app.vivvix.com/360/KMI/IntelliDrive/ApplUI/Pages/CreativePages/CustomReportCreativeDetail.aspx?App=23&amp;ReportView=4&amp;Qid=1711279&amp;Row=8377&amp;Col=1","No Title Assigned - #15270724600")</f>
        <v/>
      </c>
      <c r="B8385" s="0" t="s">
        <v>11171</v>
      </c>
      <c r="E8385" s="0" t="inlineStr">
        <is>
          <t xml:space="preserve">Mazda</t>
        </is>
      </c>
      <c r="F8385" s="0" t="inlineStr">
        <is>
          <t xml:space="preserve">Mazda</t>
        </is>
      </c>
      <c r="G8385" s="0" t="s">
        <v>171</v>
      </c>
      <c r="H8385" s="5">
        <v>186.023700</v>
      </c>
    </row>
    <row r="8386" spans="1:9">
      <c r="A8386" s="22" t="str">
        <f>HYPERLINK("https://app.vivvix.com/360/KMI/IntelliDrive/ApplUI/Pages/CreativePages/CustomReportCreativeDetail.aspx?App=23&amp;ReportView=4&amp;Qid=1711279&amp;Row=8378&amp;Col=1","No Title Assigned - #15270724738")</f>
        <v/>
      </c>
      <c r="B8386" s="0" t="s">
        <v>11172</v>
      </c>
      <c r="E8386" s="0" t="inlineStr">
        <is>
          <t xml:space="preserve">Mazda</t>
        </is>
      </c>
      <c r="F8386" s="0" t="inlineStr">
        <is>
          <t xml:space="preserve">Mazda</t>
        </is>
      </c>
      <c r="G8386" s="0" t="s">
        <v>171</v>
      </c>
      <c r="H8386" s="5">
        <v>65.171000</v>
      </c>
    </row>
    <row r="8387" spans="1:9">
      <c r="A8387" s="22" t="str">
        <f>HYPERLINK("https://app.vivvix.com/360/KMI/IntelliDrive/ApplUI/Pages/CreativePages/CustomReportCreativeDetail.aspx?App=23&amp;ReportView=4&amp;Qid=1711279&amp;Row=8379&amp;Col=1","No Title Assigned - #15270725064")</f>
        <v/>
      </c>
      <c r="B8387" s="0" t="s">
        <v>11173</v>
      </c>
      <c r="E8387" s="0" t="inlineStr">
        <is>
          <t xml:space="preserve">Mazda</t>
        </is>
      </c>
      <c r="F8387" s="0" t="inlineStr">
        <is>
          <t xml:space="preserve">Mazda</t>
        </is>
      </c>
      <c r="G8387" s="0" t="s">
        <v>171</v>
      </c>
      <c r="H8387" s="5">
        <v>22.149000</v>
      </c>
    </row>
    <row r="8388" spans="1:9">
      <c r="A8388" s="22" t="str">
        <f>HYPERLINK("https://app.vivvix.com/360/KMI/IntelliDrive/ApplUI/Pages/CreativePages/CustomReportCreativeDetail.aspx?App=23&amp;ReportView=4&amp;Qid=1711279&amp;Row=8380&amp;Col=1","No Title Assigned - #15270725074")</f>
        <v/>
      </c>
      <c r="B8388" s="0" t="s">
        <v>11174</v>
      </c>
      <c r="E8388" s="0" t="inlineStr">
        <is>
          <t xml:space="preserve">Mazda</t>
        </is>
      </c>
      <c r="F8388" s="0" t="inlineStr">
        <is>
          <t xml:space="preserve">Mazda</t>
        </is>
      </c>
      <c r="G8388" s="0" t="s">
        <v>171</v>
      </c>
      <c r="H8388" s="5">
        <v>571.464600</v>
      </c>
    </row>
    <row r="8389" spans="1:9">
      <c r="A8389" s="22" t="str">
        <f>HYPERLINK("https://app.vivvix.com/360/KMI/IntelliDrive/ApplUI/Pages/CreativePages/CustomReportCreativeDetail.aspx?App=23&amp;ReportView=4&amp;Qid=1711279&amp;Row=8381&amp;Col=1","No Title Assigned - #15270725159")</f>
        <v/>
      </c>
      <c r="B8389" s="0" t="s">
        <v>11175</v>
      </c>
      <c r="E8389" s="0" t="inlineStr">
        <is>
          <t xml:space="preserve">Mazda</t>
        </is>
      </c>
      <c r="F8389" s="0" t="inlineStr">
        <is>
          <t xml:space="preserve">Mazda</t>
        </is>
      </c>
      <c r="G8389" s="0" t="s">
        <v>171</v>
      </c>
      <c r="H8389" s="5">
        <v>81.636100</v>
      </c>
    </row>
    <row r="8390" spans="1:9">
      <c r="A8390" s="22" t="str">
        <f>HYPERLINK("https://app.vivvix.com/360/KMI/IntelliDrive/ApplUI/Pages/CreativePages/CustomReportCreativeDetail.aspx?App=23&amp;ReportView=4&amp;Qid=1711279&amp;Row=8382&amp;Col=1","No Title Assigned - #15270725190")</f>
        <v/>
      </c>
      <c r="B8390" s="0" t="s">
        <v>11176</v>
      </c>
      <c r="E8390" s="0" t="inlineStr">
        <is>
          <t xml:space="preserve">Mazda</t>
        </is>
      </c>
      <c r="F8390" s="0" t="inlineStr">
        <is>
          <t xml:space="preserve">Mazda</t>
        </is>
      </c>
      <c r="G8390" s="0" t="s">
        <v>171</v>
      </c>
      <c r="H8390" s="5">
        <v>56.739000</v>
      </c>
    </row>
    <row r="8391" spans="1:9">
      <c r="A8391" s="22" t="str">
        <f>HYPERLINK("https://app.vivvix.com/360/KMI/IntelliDrive/ApplUI/Pages/CreativePages/CustomReportCreativeDetail.aspx?App=23&amp;ReportView=4&amp;Qid=1711279&amp;Row=8383&amp;Col=1","No Title Assigned - #15270726118")</f>
        <v/>
      </c>
      <c r="B8391" s="0" t="s">
        <v>11177</v>
      </c>
      <c r="E8391" s="0" t="inlineStr">
        <is>
          <t xml:space="preserve">Mazda</t>
        </is>
      </c>
      <c r="F8391" s="0" t="inlineStr">
        <is>
          <t xml:space="preserve">Mazda</t>
        </is>
      </c>
      <c r="G8391" s="0" t="s">
        <v>171</v>
      </c>
      <c r="H8391" s="5">
        <v>466.562300</v>
      </c>
    </row>
    <row r="8392" spans="1:9">
      <c r="A8392" s="22" t="str">
        <f>HYPERLINK("https://app.vivvix.com/360/KMI/IntelliDrive/ApplUI/Pages/CreativePages/CustomReportCreativeDetail.aspx?App=23&amp;ReportView=4&amp;Qid=1711279&amp;Row=8384&amp;Col=1","No Title Assigned - #15270726728")</f>
        <v/>
      </c>
      <c r="B8392" s="0" t="s">
        <v>11178</v>
      </c>
      <c r="E8392" s="0" t="inlineStr">
        <is>
          <t xml:space="preserve">Mazda</t>
        </is>
      </c>
      <c r="F8392" s="0" t="inlineStr">
        <is>
          <t xml:space="preserve">Mazda</t>
        </is>
      </c>
      <c r="G8392" s="0" t="s">
        <v>171</v>
      </c>
      <c r="H8392" s="5">
        <v>47.181500</v>
      </c>
    </row>
    <row r="8393" spans="1:9">
      <c r="A8393" s="22" t="str">
        <f>HYPERLINK("https://app.vivvix.com/360/KMI/IntelliDrive/ApplUI/Pages/CreativePages/CustomReportCreativeDetail.aspx?App=23&amp;ReportView=4&amp;Qid=1711279&amp;Row=8385&amp;Col=1","No Title Assigned - #15270726958")</f>
        <v/>
      </c>
      <c r="B8393" s="0" t="s">
        <v>11179</v>
      </c>
      <c r="E8393" s="0" t="inlineStr">
        <is>
          <t xml:space="preserve">Mazda</t>
        </is>
      </c>
      <c r="F8393" s="0" t="inlineStr">
        <is>
          <t xml:space="preserve">Mazda</t>
        </is>
      </c>
      <c r="G8393" s="0" t="s">
        <v>171</v>
      </c>
      <c r="H8393" s="5">
        <v>53.306000</v>
      </c>
    </row>
    <row r="8394" spans="1:9">
      <c r="A8394" s="22" t="str">
        <f>HYPERLINK("https://app.vivvix.com/360/KMI/IntelliDrive/ApplUI/Pages/CreativePages/CustomReportCreativeDetail.aspx?App=23&amp;ReportView=4&amp;Qid=1711279&amp;Row=8386&amp;Col=1","No Title Assigned - #15270727020")</f>
        <v/>
      </c>
      <c r="B8394" s="0" t="s">
        <v>11180</v>
      </c>
      <c r="C8394" s="0" t="s">
        <v>11181</v>
      </c>
      <c r="D8394" s="0" t="s">
        <v>11181</v>
      </c>
      <c r="E8394" s="0" t="inlineStr">
        <is>
          <t xml:space="preserve">Mazda</t>
        </is>
      </c>
      <c r="F8394" s="0" t="inlineStr">
        <is>
          <t xml:space="preserve">Mazda</t>
        </is>
      </c>
      <c r="G8394" s="0" t="s">
        <v>171</v>
      </c>
      <c r="H8394" s="5">
        <v>21.490400</v>
      </c>
    </row>
    <row r="8395" spans="1:9">
      <c r="A8395" s="22" t="str">
        <f>HYPERLINK("https://app.vivvix.com/360/KMI/IntelliDrive/ApplUI/Pages/CreativePages/CustomReportCreativeDetail.aspx?App=23&amp;ReportView=4&amp;Qid=1711279&amp;Row=8387&amp;Col=1","No Title Assigned - #15270727231")</f>
        <v/>
      </c>
      <c r="B8395" s="0" t="s">
        <v>11182</v>
      </c>
      <c r="E8395" s="0" t="inlineStr">
        <is>
          <t xml:space="preserve">Mazda</t>
        </is>
      </c>
      <c r="F8395" s="0" t="inlineStr">
        <is>
          <t xml:space="preserve">Mazda</t>
        </is>
      </c>
      <c r="G8395" s="0" t="s">
        <v>171</v>
      </c>
      <c r="H8395" s="5">
        <v>53.337000</v>
      </c>
    </row>
    <row r="8396" spans="1:9">
      <c r="A8396" s="22" t="str">
        <f>HYPERLINK("https://app.vivvix.com/360/KMI/IntelliDrive/ApplUI/Pages/CreativePages/CustomReportCreativeDetail.aspx?App=23&amp;ReportView=4&amp;Qid=1711279&amp;Row=8388&amp;Col=1","No Title Assigned - #15270727726")</f>
        <v/>
      </c>
      <c r="B8396" s="0" t="s">
        <v>11183</v>
      </c>
      <c r="E8396" s="0" t="inlineStr">
        <is>
          <t xml:space="preserve">Mazda</t>
        </is>
      </c>
      <c r="F8396" s="0" t="inlineStr">
        <is>
          <t xml:space="preserve">Mazda</t>
        </is>
      </c>
      <c r="G8396" s="0" t="s">
        <v>171</v>
      </c>
      <c r="H8396" s="5">
        <v>362.732100</v>
      </c>
    </row>
    <row r="8397" spans="1:9">
      <c r="A8397" s="22" t="str">
        <f>HYPERLINK("https://app.vivvix.com/360/KMI/IntelliDrive/ApplUI/Pages/CreativePages/CustomReportCreativeDetail.aspx?App=23&amp;ReportView=4&amp;Qid=1711279&amp;Row=8389&amp;Col=1","No Title Assigned - #15270728126")</f>
        <v/>
      </c>
      <c r="B8397" s="0" t="s">
        <v>11184</v>
      </c>
      <c r="C8397" s="0" t="s">
        <v>11185</v>
      </c>
      <c r="D8397" s="0" t="s">
        <v>11185</v>
      </c>
      <c r="E8397" s="0" t="inlineStr">
        <is>
          <t xml:space="preserve">Mazda</t>
        </is>
      </c>
      <c r="F8397" s="0" t="inlineStr">
        <is>
          <t xml:space="preserve">Mazda</t>
        </is>
      </c>
      <c r="G8397" s="0" t="s">
        <v>171</v>
      </c>
      <c r="H8397" s="5">
        <v>24.499700</v>
      </c>
    </row>
    <row r="8398" spans="1:9">
      <c r="A8398" s="22" t="str">
        <f>HYPERLINK("https://app.vivvix.com/360/KMI/IntelliDrive/ApplUI/Pages/CreativePages/CustomReportCreativeDetail.aspx?App=23&amp;ReportView=4&amp;Qid=1711279&amp;Row=8390&amp;Col=1","No Title Assigned - #15270728278")</f>
        <v/>
      </c>
      <c r="B8398" s="0" t="s">
        <v>11186</v>
      </c>
      <c r="E8398" s="0" t="inlineStr">
        <is>
          <t xml:space="preserve">Mazda</t>
        </is>
      </c>
      <c r="F8398" s="0" t="inlineStr">
        <is>
          <t xml:space="preserve">Mazda</t>
        </is>
      </c>
      <c r="G8398" s="0" t="s">
        <v>171</v>
      </c>
      <c r="H8398" s="5">
        <v>27.111100</v>
      </c>
    </row>
    <row r="8399" spans="1:9">
      <c r="A8399" s="22" t="str">
        <f>HYPERLINK("https://app.vivvix.com/360/KMI/IntelliDrive/ApplUI/Pages/CreativePages/CustomReportCreativeDetail.aspx?App=23&amp;ReportView=4&amp;Qid=1711279&amp;Row=8391&amp;Col=1","No Title Assigned - #15270728500")</f>
        <v/>
      </c>
      <c r="B8399" s="0" t="s">
        <v>11187</v>
      </c>
      <c r="E8399" s="0" t="inlineStr">
        <is>
          <t xml:space="preserve">Mazda</t>
        </is>
      </c>
      <c r="F8399" s="0" t="inlineStr">
        <is>
          <t xml:space="preserve">Mazda</t>
        </is>
      </c>
      <c r="G8399" s="0" t="s">
        <v>171</v>
      </c>
      <c r="H8399" s="5">
        <v>5902.039100</v>
      </c>
    </row>
    <row r="8400" spans="1:9">
      <c r="A8400" s="22" t="str">
        <f>HYPERLINK("https://app.vivvix.com/360/KMI/IntelliDrive/ApplUI/Pages/CreativePages/CustomReportCreativeDetail.aspx?App=23&amp;ReportView=4&amp;Qid=1711279&amp;Row=8392&amp;Col=1","No Title Assigned - #15270729264")</f>
        <v/>
      </c>
      <c r="B8400" s="0" t="s">
        <v>11188</v>
      </c>
      <c r="C8400" s="0" t="s">
        <v>11189</v>
      </c>
      <c r="D8400" s="0" t="s">
        <v>11189</v>
      </c>
      <c r="E8400" s="0" t="inlineStr">
        <is>
          <t xml:space="preserve">Mazda</t>
        </is>
      </c>
      <c r="F8400" s="0" t="inlineStr">
        <is>
          <t xml:space="preserve">Mazda</t>
        </is>
      </c>
      <c r="G8400" s="0" t="s">
        <v>171</v>
      </c>
      <c r="H8400" s="5">
        <v>52.344900</v>
      </c>
    </row>
    <row r="8401" spans="1:9">
      <c r="A8401" s="22" t="str">
        <f>HYPERLINK("https://app.vivvix.com/360/KMI/IntelliDrive/ApplUI/Pages/CreativePages/CustomReportCreativeDetail.aspx?App=23&amp;ReportView=4&amp;Qid=1711279&amp;Row=8393&amp;Col=1","No Title Assigned - #15270729392")</f>
        <v/>
      </c>
      <c r="B8401" s="0" t="s">
        <v>11190</v>
      </c>
      <c r="E8401" s="0" t="inlineStr">
        <is>
          <t xml:space="preserve">Mazda</t>
        </is>
      </c>
      <c r="F8401" s="0" t="inlineStr">
        <is>
          <t xml:space="preserve">Mazda</t>
        </is>
      </c>
      <c r="G8401" s="0" t="s">
        <v>171</v>
      </c>
      <c r="H8401" s="5">
        <v>9.100000</v>
      </c>
    </row>
    <row r="8402" spans="1:9">
      <c r="A8402" s="22" t="str">
        <f>HYPERLINK("https://app.vivvix.com/360/KMI/IntelliDrive/ApplUI/Pages/CreativePages/CustomReportCreativeDetail.aspx?App=23&amp;ReportView=4&amp;Qid=1711279&amp;Row=8394&amp;Col=1","No Title Assigned - #15270729683")</f>
        <v/>
      </c>
      <c r="B8402" s="0" t="s">
        <v>11191</v>
      </c>
      <c r="E8402" s="0" t="inlineStr">
        <is>
          <t xml:space="preserve">Mazda</t>
        </is>
      </c>
      <c r="F8402" s="0" t="inlineStr">
        <is>
          <t xml:space="preserve">Mazda</t>
        </is>
      </c>
      <c r="G8402" s="0" t="s">
        <v>171</v>
      </c>
      <c r="H8402" s="5">
        <v>26.668500</v>
      </c>
    </row>
    <row r="8403" spans="1:9">
      <c r="A8403" s="22" t="str">
        <f>HYPERLINK("https://app.vivvix.com/360/KMI/IntelliDrive/ApplUI/Pages/CreativePages/CustomReportCreativeDetail.aspx?App=23&amp;ReportView=4&amp;Qid=1711279&amp;Row=8395&amp;Col=1","No Title Assigned - #15270729691")</f>
        <v/>
      </c>
      <c r="B8403" s="0" t="s">
        <v>11192</v>
      </c>
      <c r="E8403" s="0" t="inlineStr">
        <is>
          <t xml:space="preserve">Mazda</t>
        </is>
      </c>
      <c r="F8403" s="0" t="inlineStr">
        <is>
          <t xml:space="preserve">Mazda</t>
        </is>
      </c>
      <c r="G8403" s="0" t="s">
        <v>171</v>
      </c>
      <c r="H8403" s="5">
        <v>22.938400</v>
      </c>
    </row>
    <row r="8404" spans="1:9">
      <c r="A8404" s="22" t="str">
        <f>HYPERLINK("https://app.vivvix.com/360/KMI/IntelliDrive/ApplUI/Pages/CreativePages/CustomReportCreativeDetail.aspx?App=23&amp;ReportView=4&amp;Qid=1711279&amp;Row=8396&amp;Col=1","No Title Assigned - #15270729774")</f>
        <v/>
      </c>
      <c r="B8404" s="0" t="s">
        <v>11193</v>
      </c>
      <c r="E8404" s="0" t="inlineStr">
        <is>
          <t xml:space="preserve">Mazda</t>
        </is>
      </c>
      <c r="F8404" s="0" t="inlineStr">
        <is>
          <t xml:space="preserve">Mazda</t>
        </is>
      </c>
      <c r="G8404" s="0" t="s">
        <v>171</v>
      </c>
      <c r="H8404" s="5">
        <v>15.778400</v>
      </c>
    </row>
    <row r="8405" spans="1:9">
      <c r="A8405" s="22" t="str">
        <f>HYPERLINK("https://app.vivvix.com/360/KMI/IntelliDrive/ApplUI/Pages/CreativePages/CustomReportCreativeDetail.aspx?App=23&amp;ReportView=4&amp;Qid=1711279&amp;Row=8397&amp;Col=1","No Title Assigned - #15270729800")</f>
        <v/>
      </c>
      <c r="B8405" s="0" t="s">
        <v>11194</v>
      </c>
      <c r="E8405" s="0" t="inlineStr">
        <is>
          <t xml:space="preserve">Mazda</t>
        </is>
      </c>
      <c r="F8405" s="0" t="inlineStr">
        <is>
          <t xml:space="preserve">Mazda</t>
        </is>
      </c>
      <c r="G8405" s="0" t="s">
        <v>171</v>
      </c>
      <c r="H8405" s="5">
        <v>10.304800</v>
      </c>
    </row>
    <row r="8406" spans="1:9">
      <c r="A8406" s="22" t="str">
        <f>HYPERLINK("https://app.vivvix.com/360/KMI/IntelliDrive/ApplUI/Pages/CreativePages/CustomReportCreativeDetail.aspx?App=23&amp;ReportView=4&amp;Qid=1711279&amp;Row=8398&amp;Col=1","No Title Assigned - #15270730111")</f>
        <v/>
      </c>
      <c r="B8406" s="0" t="s">
        <v>11195</v>
      </c>
      <c r="E8406" s="0" t="inlineStr">
        <is>
          <t xml:space="preserve">Mazda</t>
        </is>
      </c>
      <c r="F8406" s="0" t="inlineStr">
        <is>
          <t xml:space="preserve">Mazda</t>
        </is>
      </c>
      <c r="G8406" s="0" t="s">
        <v>171</v>
      </c>
      <c r="H8406" s="5">
        <v>62.586800</v>
      </c>
    </row>
    <row r="8407" spans="1:9">
      <c r="A8407" s="22" t="str">
        <f>HYPERLINK("https://app.vivvix.com/360/KMI/IntelliDrive/ApplUI/Pages/CreativePages/CustomReportCreativeDetail.aspx?App=23&amp;ReportView=4&amp;Qid=1711279&amp;Row=8399&amp;Col=1","No Title Assigned - #15270730878")</f>
        <v/>
      </c>
      <c r="B8407" s="0" t="s">
        <v>11196</v>
      </c>
      <c r="E8407" s="0" t="inlineStr">
        <is>
          <t xml:space="preserve">Mazda</t>
        </is>
      </c>
      <c r="F8407" s="0" t="inlineStr">
        <is>
          <t xml:space="preserve">Mazda</t>
        </is>
      </c>
      <c r="G8407" s="0" t="s">
        <v>171</v>
      </c>
      <c r="H8407" s="5">
        <v>56.381900</v>
      </c>
    </row>
    <row r="8408" spans="1:9">
      <c r="A8408" s="22" t="str">
        <f>HYPERLINK("https://app.vivvix.com/360/KMI/IntelliDrive/ApplUI/Pages/CreativePages/CustomReportCreativeDetail.aspx?App=23&amp;ReportView=4&amp;Qid=1711279&amp;Row=8400&amp;Col=1","No Title Assigned - #15270732155")</f>
        <v/>
      </c>
      <c r="B8408" s="0" t="s">
        <v>11197</v>
      </c>
      <c r="E8408" s="0" t="inlineStr">
        <is>
          <t xml:space="preserve">Mazda</t>
        </is>
      </c>
      <c r="F8408" s="0" t="inlineStr">
        <is>
          <t xml:space="preserve">Mazda</t>
        </is>
      </c>
      <c r="G8408" s="0" t="s">
        <v>171</v>
      </c>
      <c r="H8408" s="5">
        <v>93.241000</v>
      </c>
    </row>
    <row r="8409" spans="1:9">
      <c r="A8409" s="22" t="str">
        <f>HYPERLINK("https://app.vivvix.com/360/KMI/IntelliDrive/ApplUI/Pages/CreativePages/CustomReportCreativeDetail.aspx?App=23&amp;ReportView=4&amp;Qid=1711279&amp;Row=8401&amp;Col=1","No Title Assigned - #15270732637")</f>
        <v/>
      </c>
      <c r="B8409" s="0" t="s">
        <v>11198</v>
      </c>
      <c r="E8409" s="0" t="inlineStr">
        <is>
          <t xml:space="preserve">Mazda</t>
        </is>
      </c>
      <c r="F8409" s="0" t="inlineStr">
        <is>
          <t xml:space="preserve">Mazda</t>
        </is>
      </c>
      <c r="G8409" s="0" t="s">
        <v>171</v>
      </c>
      <c r="H8409" s="5">
        <v>39.669100</v>
      </c>
    </row>
    <row r="8410" spans="1:9">
      <c r="A8410" s="22" t="str">
        <f>HYPERLINK("https://app.vivvix.com/360/KMI/IntelliDrive/ApplUI/Pages/CreativePages/CustomReportCreativeDetail.aspx?App=23&amp;ReportView=4&amp;Qid=1711279&amp;Row=8402&amp;Col=1","No Title Assigned - #15270732846")</f>
        <v/>
      </c>
      <c r="B8410" s="0" t="s">
        <v>11199</v>
      </c>
      <c r="E8410" s="0" t="inlineStr">
        <is>
          <t xml:space="preserve">Mazda</t>
        </is>
      </c>
      <c r="F8410" s="0" t="inlineStr">
        <is>
          <t xml:space="preserve">Mazda</t>
        </is>
      </c>
      <c r="G8410" s="0" t="s">
        <v>171</v>
      </c>
      <c r="H8410" s="5">
        <v>16.568600</v>
      </c>
    </row>
    <row r="8411" spans="1:9">
      <c r="A8411" s="22" t="str">
        <f>HYPERLINK("https://app.vivvix.com/360/KMI/IntelliDrive/ApplUI/Pages/CreativePages/CustomReportCreativeDetail.aspx?App=23&amp;ReportView=4&amp;Qid=1711279&amp;Row=8403&amp;Col=1","No Title Assigned - #15270733075")</f>
        <v/>
      </c>
      <c r="B8411" s="0" t="s">
        <v>11200</v>
      </c>
      <c r="E8411" s="0" t="inlineStr">
        <is>
          <t xml:space="preserve">Mazda</t>
        </is>
      </c>
      <c r="F8411" s="0" t="inlineStr">
        <is>
          <t xml:space="preserve">Mazda</t>
        </is>
      </c>
      <c r="G8411" s="0" t="s">
        <v>171</v>
      </c>
      <c r="H8411" s="5">
        <v>73.445000</v>
      </c>
    </row>
    <row r="8412" spans="1:9">
      <c r="A8412" s="22" t="str">
        <f>HYPERLINK("https://app.vivvix.com/360/KMI/IntelliDrive/ApplUI/Pages/CreativePages/CustomReportCreativeDetail.aspx?App=23&amp;ReportView=4&amp;Qid=1711279&amp;Row=8404&amp;Col=1","No Title Assigned - #15270733557")</f>
        <v/>
      </c>
      <c r="B8412" s="0" t="s">
        <v>11201</v>
      </c>
      <c r="E8412" s="0" t="inlineStr">
        <is>
          <t xml:space="preserve">Mazda</t>
        </is>
      </c>
      <c r="F8412" s="0" t="inlineStr">
        <is>
          <t xml:space="preserve">Mazda</t>
        </is>
      </c>
      <c r="G8412" s="0" t="s">
        <v>171</v>
      </c>
      <c r="H8412" s="5">
        <v>43.625500</v>
      </c>
    </row>
    <row r="8413" spans="1:9">
      <c r="A8413" s="22" t="str">
        <f>HYPERLINK("https://app.vivvix.com/360/KMI/IntelliDrive/ApplUI/Pages/CreativePages/CustomReportCreativeDetail.aspx?App=23&amp;ReportView=4&amp;Qid=1711279&amp;Row=8405&amp;Col=1","No Title Assigned - #15270734036")</f>
        <v/>
      </c>
      <c r="B8413" s="0" t="s">
        <v>11202</v>
      </c>
      <c r="E8413" s="0" t="inlineStr">
        <is>
          <t xml:space="preserve">Mazda</t>
        </is>
      </c>
      <c r="F8413" s="0" t="inlineStr">
        <is>
          <t xml:space="preserve">Mazda</t>
        </is>
      </c>
      <c r="G8413" s="0" t="s">
        <v>171</v>
      </c>
      <c r="H8413" s="5">
        <v>77.102600</v>
      </c>
    </row>
    <row r="8414" spans="1:9">
      <c r="A8414" s="22" t="str">
        <f>HYPERLINK("https://app.vivvix.com/360/KMI/IntelliDrive/ApplUI/Pages/CreativePages/CustomReportCreativeDetail.aspx?App=23&amp;ReportView=4&amp;Qid=1711279&amp;Row=8406&amp;Col=1","No Title Assigned - #15270734951")</f>
        <v/>
      </c>
      <c r="B8414" s="0" t="s">
        <v>11203</v>
      </c>
      <c r="C8414" s="0" t="s">
        <v>11204</v>
      </c>
      <c r="D8414" s="0" t="s">
        <v>11204</v>
      </c>
      <c r="E8414" s="0" t="inlineStr">
        <is>
          <t xml:space="preserve">Mazda</t>
        </is>
      </c>
      <c r="F8414" s="0" t="inlineStr">
        <is>
          <t xml:space="preserve">Mazda</t>
        </is>
      </c>
      <c r="G8414" s="0" t="s">
        <v>171</v>
      </c>
      <c r="H8414" s="5">
        <v>137.614000</v>
      </c>
    </row>
    <row r="8415" spans="1:9">
      <c r="A8415" s="22" t="str">
        <f>HYPERLINK("https://app.vivvix.com/360/KMI/IntelliDrive/ApplUI/Pages/CreativePages/CustomReportCreativeDetail.aspx?App=23&amp;ReportView=4&amp;Qid=1711279&amp;Row=8407&amp;Col=1","No Title Assigned - #15270735368")</f>
        <v/>
      </c>
      <c r="B8415" s="0" t="s">
        <v>11205</v>
      </c>
      <c r="E8415" s="0" t="inlineStr">
        <is>
          <t xml:space="preserve">Mazda</t>
        </is>
      </c>
      <c r="F8415" s="0" t="inlineStr">
        <is>
          <t xml:space="preserve">Mazda</t>
        </is>
      </c>
      <c r="G8415" s="0" t="s">
        <v>171</v>
      </c>
      <c r="H8415" s="5">
        <v>124.141600</v>
      </c>
    </row>
    <row r="8416" spans="1:9">
      <c r="A8416" s="22" t="str">
        <f>HYPERLINK("https://app.vivvix.com/360/KMI/IntelliDrive/ApplUI/Pages/CreativePages/CustomReportCreativeDetail.aspx?App=23&amp;ReportView=4&amp;Qid=1711279&amp;Row=8408&amp;Col=1","No Title Assigned - #15270737090")</f>
        <v/>
      </c>
      <c r="B8416" s="0" t="s">
        <v>11206</v>
      </c>
      <c r="E8416" s="0" t="inlineStr">
        <is>
          <t xml:space="preserve">Mazda</t>
        </is>
      </c>
      <c r="F8416" s="0" t="inlineStr">
        <is>
          <t xml:space="preserve">Mazda</t>
        </is>
      </c>
      <c r="G8416" s="0" t="s">
        <v>171</v>
      </c>
      <c r="H8416" s="5">
        <v>418.520600</v>
      </c>
    </row>
    <row r="8417" spans="1:9">
      <c r="A8417" s="22" t="str">
        <f>HYPERLINK("https://app.vivvix.com/360/KMI/IntelliDrive/ApplUI/Pages/CreativePages/CustomReportCreativeDetail.aspx?App=23&amp;ReportView=4&amp;Qid=1711279&amp;Row=8409&amp;Col=1","No Title Assigned - #15270737872")</f>
        <v/>
      </c>
      <c r="B8417" s="0" t="s">
        <v>11207</v>
      </c>
      <c r="C8417" s="0" t="s">
        <v>11208</v>
      </c>
      <c r="D8417" s="0" t="s">
        <v>11208</v>
      </c>
      <c r="E8417" s="0" t="inlineStr">
        <is>
          <t xml:space="preserve">Mazda</t>
        </is>
      </c>
      <c r="F8417" s="0" t="inlineStr">
        <is>
          <t xml:space="preserve">Mazda</t>
        </is>
      </c>
      <c r="G8417" s="0" t="s">
        <v>171</v>
      </c>
      <c r="H8417" s="5">
        <v>214.948800</v>
      </c>
    </row>
    <row r="8418" spans="1:9">
      <c r="A8418" s="22" t="str">
        <f>HYPERLINK("https://app.vivvix.com/360/KMI/IntelliDrive/ApplUI/Pages/CreativePages/CustomReportCreativeDetail.aspx?App=23&amp;ReportView=4&amp;Qid=1711279&amp;Row=8410&amp;Col=1","No Title Assigned - #15270752459")</f>
        <v/>
      </c>
      <c r="B8418" s="0" t="s">
        <v>11209</v>
      </c>
      <c r="E8418" s="0" t="inlineStr">
        <is>
          <t xml:space="preserve">Mazda</t>
        </is>
      </c>
      <c r="F8418" s="0" t="inlineStr">
        <is>
          <t xml:space="preserve">Mazda</t>
        </is>
      </c>
      <c r="G8418" s="0" t="s">
        <v>171</v>
      </c>
      <c r="H8418" s="5">
        <v>84.639800</v>
      </c>
    </row>
    <row r="8419" spans="1:9">
      <c r="A8419" s="22" t="str">
        <f>HYPERLINK("https://app.vivvix.com/360/KMI/IntelliDrive/ApplUI/Pages/CreativePages/CustomReportCreativeDetail.aspx?App=23&amp;ReportView=4&amp;Qid=1711279&amp;Row=8411&amp;Col=1","No Title Assigned - #15270753028")</f>
        <v/>
      </c>
      <c r="B8419" s="0" t="s">
        <v>11210</v>
      </c>
      <c r="E8419" s="0" t="inlineStr">
        <is>
          <t xml:space="preserve">Mazda</t>
        </is>
      </c>
      <c r="F8419" s="0" t="inlineStr">
        <is>
          <t xml:space="preserve">Mazda</t>
        </is>
      </c>
      <c r="G8419" s="0" t="s">
        <v>171</v>
      </c>
      <c r="H8419" s="5">
        <v>31.975200</v>
      </c>
    </row>
    <row r="8420" spans="1:9">
      <c r="A8420" s="22" t="str">
        <f>HYPERLINK("https://app.vivvix.com/360/KMI/IntelliDrive/ApplUI/Pages/CreativePages/CustomReportCreativeDetail.aspx?App=23&amp;ReportView=4&amp;Qid=1711279&amp;Row=8412&amp;Col=1","No Title Assigned - #15270753076")</f>
        <v/>
      </c>
      <c r="B8420" s="0" t="s">
        <v>11211</v>
      </c>
      <c r="E8420" s="0" t="inlineStr">
        <is>
          <t xml:space="preserve">Mazda</t>
        </is>
      </c>
      <c r="F8420" s="0" t="inlineStr">
        <is>
          <t xml:space="preserve">Mazda</t>
        </is>
      </c>
      <c r="G8420" s="0" t="s">
        <v>171</v>
      </c>
      <c r="H8420" s="5">
        <v>211.792300</v>
      </c>
    </row>
    <row r="8421" spans="1:9">
      <c r="A8421" s="22" t="str">
        <f>HYPERLINK("https://app.vivvix.com/360/KMI/IntelliDrive/ApplUI/Pages/CreativePages/CustomReportCreativeDetail.aspx?App=23&amp;ReportView=4&amp;Qid=1711279&amp;Row=8413&amp;Col=1","No Title Assigned - #15270753087")</f>
        <v/>
      </c>
      <c r="B8421" s="0" t="s">
        <v>11212</v>
      </c>
      <c r="E8421" s="0" t="inlineStr">
        <is>
          <t xml:space="preserve">Mazda</t>
        </is>
      </c>
      <c r="F8421" s="0" t="inlineStr">
        <is>
          <t xml:space="preserve">Mazda</t>
        </is>
      </c>
      <c r="G8421" s="0" t="s">
        <v>171</v>
      </c>
      <c r="H8421" s="5">
        <v>886.770500</v>
      </c>
    </row>
    <row r="8422" spans="1:9">
      <c r="A8422" s="22" t="str">
        <f>HYPERLINK("https://app.vivvix.com/360/KMI/IntelliDrive/ApplUI/Pages/CreativePages/CustomReportCreativeDetail.aspx?App=23&amp;ReportView=4&amp;Qid=1711279&amp;Row=8414&amp;Col=1","No Title Assigned - #15270753087")</f>
        <v/>
      </c>
      <c r="B8422" s="0" t="s">
        <v>11212</v>
      </c>
      <c r="E8422" s="0" t="inlineStr">
        <is>
          <t xml:space="preserve">Mazda</t>
        </is>
      </c>
      <c r="F8422" s="0" t="inlineStr">
        <is>
          <t xml:space="preserve">Mazda</t>
        </is>
      </c>
      <c r="G8422" s="0" t="s">
        <v>171</v>
      </c>
      <c r="H8422" s="5">
        <v>138.426200</v>
      </c>
    </row>
    <row r="8423" spans="1:9">
      <c r="A8423" s="22" t="str">
        <f>HYPERLINK("https://app.vivvix.com/360/KMI/IntelliDrive/ApplUI/Pages/CreativePages/CustomReportCreativeDetail.aspx?App=23&amp;ReportView=4&amp;Qid=1711279&amp;Row=8415&amp;Col=1","No Title Assigned - #15270753489")</f>
        <v/>
      </c>
      <c r="B8423" s="0" t="s">
        <v>11213</v>
      </c>
      <c r="E8423" s="0" t="inlineStr">
        <is>
          <t xml:space="preserve">Mazda</t>
        </is>
      </c>
      <c r="F8423" s="0" t="inlineStr">
        <is>
          <t xml:space="preserve">Mazda</t>
        </is>
      </c>
      <c r="G8423" s="0" t="s">
        <v>171</v>
      </c>
      <c r="H8423" s="5">
        <v>45.737700</v>
      </c>
    </row>
    <row r="8424" spans="1:9">
      <c r="A8424" s="22" t="str">
        <f>HYPERLINK("https://app.vivvix.com/360/KMI/IntelliDrive/ApplUI/Pages/CreativePages/CustomReportCreativeDetail.aspx?App=23&amp;ReportView=4&amp;Qid=1711279&amp;Row=8416&amp;Col=1","No Title Assigned - #15270753541")</f>
        <v/>
      </c>
      <c r="B8424" s="0" t="s">
        <v>11214</v>
      </c>
      <c r="E8424" s="0" t="inlineStr">
        <is>
          <t xml:space="preserve">Mazda</t>
        </is>
      </c>
      <c r="F8424" s="0" t="inlineStr">
        <is>
          <t xml:space="preserve">Mazda</t>
        </is>
      </c>
      <c r="G8424" s="0" t="s">
        <v>171</v>
      </c>
      <c r="H8424" s="5">
        <v>38.202900</v>
      </c>
    </row>
    <row r="8425" spans="1:9">
      <c r="A8425" s="22" t="str">
        <f>HYPERLINK("https://app.vivvix.com/360/KMI/IntelliDrive/ApplUI/Pages/CreativePages/CustomReportCreativeDetail.aspx?App=23&amp;ReportView=4&amp;Qid=1711279&amp;Row=8417&amp;Col=1","No Title Assigned - #15270754267")</f>
        <v/>
      </c>
      <c r="B8425" s="0" t="s">
        <v>11215</v>
      </c>
      <c r="E8425" s="0" t="inlineStr">
        <is>
          <t xml:space="preserve">Mazda</t>
        </is>
      </c>
      <c r="F8425" s="0" t="inlineStr">
        <is>
          <t xml:space="preserve">Mazda</t>
        </is>
      </c>
      <c r="G8425" s="0" t="s">
        <v>171</v>
      </c>
      <c r="H8425" s="5">
        <v>22.938400</v>
      </c>
    </row>
    <row r="8426" spans="1:9">
      <c r="A8426" s="22" t="str">
        <f>HYPERLINK("https://app.vivvix.com/360/KMI/IntelliDrive/ApplUI/Pages/CreativePages/CustomReportCreativeDetail.aspx?App=23&amp;ReportView=4&amp;Qid=1711279&amp;Row=8418&amp;Col=1","No Title Assigned - #15270754525")</f>
        <v/>
      </c>
      <c r="B8426" s="0" t="s">
        <v>11216</v>
      </c>
      <c r="E8426" s="0" t="inlineStr">
        <is>
          <t xml:space="preserve">Mazda</t>
        </is>
      </c>
      <c r="F8426" s="0" t="inlineStr">
        <is>
          <t xml:space="preserve">Mazda</t>
        </is>
      </c>
      <c r="G8426" s="0" t="s">
        <v>171</v>
      </c>
      <c r="H8426" s="5">
        <v>59.454800</v>
      </c>
    </row>
    <row r="8427" spans="1:9">
      <c r="A8427" s="22" t="str">
        <f>HYPERLINK("https://app.vivvix.com/360/KMI/IntelliDrive/ApplUI/Pages/CreativePages/CustomReportCreativeDetail.aspx?App=23&amp;ReportView=4&amp;Qid=1711279&amp;Row=8419&amp;Col=1","No Title Assigned - #15270754564")</f>
        <v/>
      </c>
      <c r="B8427" s="0" t="s">
        <v>11217</v>
      </c>
      <c r="C8427" s="0" t="s">
        <v>11218</v>
      </c>
      <c r="D8427" s="0" t="s">
        <v>11218</v>
      </c>
      <c r="E8427" s="0" t="inlineStr">
        <is>
          <t xml:space="preserve">Mazda</t>
        </is>
      </c>
      <c r="F8427" s="0" t="inlineStr">
        <is>
          <t xml:space="preserve">Mazda</t>
        </is>
      </c>
      <c r="G8427" s="0" t="s">
        <v>171</v>
      </c>
      <c r="H8427" s="5">
        <v>542.902000</v>
      </c>
    </row>
    <row r="8428" spans="1:9">
      <c r="A8428" s="22" t="str">
        <f>HYPERLINK("https://app.vivvix.com/360/KMI/IntelliDrive/ApplUI/Pages/CreativePages/CustomReportCreativeDetail.aspx?App=23&amp;ReportView=4&amp;Qid=1711279&amp;Row=8420&amp;Col=1","No Title Assigned - #15270754993")</f>
        <v/>
      </c>
      <c r="B8428" s="0" t="s">
        <v>11219</v>
      </c>
      <c r="E8428" s="0" t="inlineStr">
        <is>
          <t xml:space="preserve">Mazda</t>
        </is>
      </c>
      <c r="F8428" s="0" t="inlineStr">
        <is>
          <t xml:space="preserve">Mazda</t>
        </is>
      </c>
      <c r="G8428" s="0" t="s">
        <v>171</v>
      </c>
      <c r="H8428" s="5">
        <v>8469.085900</v>
      </c>
    </row>
    <row r="8429" spans="1:9">
      <c r="A8429" s="22" t="str">
        <f>HYPERLINK("https://app.vivvix.com/360/KMI/IntelliDrive/ApplUI/Pages/CreativePages/CustomReportCreativeDetail.aspx?App=23&amp;ReportView=4&amp;Qid=1711279&amp;Row=8421&amp;Col=1","No Title Assigned - #15270754993")</f>
        <v/>
      </c>
      <c r="B8429" s="0" t="s">
        <v>11219</v>
      </c>
      <c r="E8429" s="0" t="inlineStr">
        <is>
          <t xml:space="preserve">Mazda</t>
        </is>
      </c>
      <c r="F8429" s="0" t="inlineStr">
        <is>
          <t xml:space="preserve">Mazda</t>
        </is>
      </c>
      <c r="G8429" s="0" t="s">
        <v>171</v>
      </c>
      <c r="H8429" s="5">
        <v>278.368300</v>
      </c>
    </row>
    <row r="8430" spans="1:9">
      <c r="A8430" s="22" t="str">
        <f>HYPERLINK("https://app.vivvix.com/360/KMI/IntelliDrive/ApplUI/Pages/CreativePages/CustomReportCreativeDetail.aspx?App=23&amp;ReportView=4&amp;Qid=1711279&amp;Row=8422&amp;Col=1","No Title Assigned - #15270755085")</f>
        <v/>
      </c>
      <c r="B8430" s="0" t="s">
        <v>11220</v>
      </c>
      <c r="E8430" s="0" t="inlineStr">
        <is>
          <t xml:space="preserve">Mazda</t>
        </is>
      </c>
      <c r="F8430" s="0" t="inlineStr">
        <is>
          <t xml:space="preserve">Mazda</t>
        </is>
      </c>
      <c r="G8430" s="0" t="s">
        <v>171</v>
      </c>
      <c r="H8430" s="5">
        <v>10.531500</v>
      </c>
    </row>
    <row r="8431" spans="1:9">
      <c r="A8431" s="22" t="str">
        <f>HYPERLINK("https://app.vivvix.com/360/KMI/IntelliDrive/ApplUI/Pages/CreativePages/CustomReportCreativeDetail.aspx?App=23&amp;ReportView=4&amp;Qid=1711279&amp;Row=8423&amp;Col=1","No Title Assigned - #15270755188")</f>
        <v/>
      </c>
      <c r="B8431" s="0" t="s">
        <v>11221</v>
      </c>
      <c r="E8431" s="0" t="inlineStr">
        <is>
          <t xml:space="preserve">Mazda</t>
        </is>
      </c>
      <c r="F8431" s="0" t="inlineStr">
        <is>
          <t xml:space="preserve">Mazda</t>
        </is>
      </c>
      <c r="G8431" s="0" t="s">
        <v>171</v>
      </c>
      <c r="H8431" s="5">
        <v>488.029200</v>
      </c>
    </row>
    <row r="8432" spans="1:9">
      <c r="A8432" s="22" t="str">
        <f>HYPERLINK("https://app.vivvix.com/360/KMI/IntelliDrive/ApplUI/Pages/CreativePages/CustomReportCreativeDetail.aspx?App=23&amp;ReportView=4&amp;Qid=1711279&amp;Row=8424&amp;Col=1","No Title Assigned - #15270755672")</f>
        <v/>
      </c>
      <c r="B8432" s="0" t="s">
        <v>11222</v>
      </c>
      <c r="C8432" s="0" t="s">
        <v>11223</v>
      </c>
      <c r="D8432" s="0" t="s">
        <v>11223</v>
      </c>
      <c r="E8432" s="0" t="inlineStr">
        <is>
          <t xml:space="preserve">Mazda</t>
        </is>
      </c>
      <c r="F8432" s="0" t="inlineStr">
        <is>
          <t xml:space="preserve">Mazda</t>
        </is>
      </c>
      <c r="G8432" s="0" t="s">
        <v>171</v>
      </c>
      <c r="H8432" s="5">
        <v>225.273400</v>
      </c>
    </row>
    <row r="8433" spans="1:9">
      <c r="A8433" s="22" t="str">
        <f>HYPERLINK("https://app.vivvix.com/360/KMI/IntelliDrive/ApplUI/Pages/CreativePages/CustomReportCreativeDetail.aspx?App=23&amp;ReportView=4&amp;Qid=1711279&amp;Row=8425&amp;Col=1","No Title Assigned - #15270755824")</f>
        <v/>
      </c>
      <c r="B8433" s="0" t="s">
        <v>11224</v>
      </c>
      <c r="E8433" s="0" t="inlineStr">
        <is>
          <t xml:space="preserve">Mazda</t>
        </is>
      </c>
      <c r="F8433" s="0" t="inlineStr">
        <is>
          <t xml:space="preserve">Mazda</t>
        </is>
      </c>
      <c r="G8433" s="0" t="s">
        <v>171</v>
      </c>
      <c r="H8433" s="5">
        <v>37.073000</v>
      </c>
    </row>
    <row r="8434" spans="1:9">
      <c r="A8434" s="22" t="str">
        <f>HYPERLINK("https://app.vivvix.com/360/KMI/IntelliDrive/ApplUI/Pages/CreativePages/CustomReportCreativeDetail.aspx?App=23&amp;ReportView=4&amp;Qid=1711279&amp;Row=8426&amp;Col=1","No Title Assigned - #15270755994")</f>
        <v/>
      </c>
      <c r="B8434" s="0" t="s">
        <v>11225</v>
      </c>
      <c r="E8434" s="0" t="inlineStr">
        <is>
          <t xml:space="preserve">Mazda</t>
        </is>
      </c>
      <c r="F8434" s="0" t="inlineStr">
        <is>
          <t xml:space="preserve">Mazda</t>
        </is>
      </c>
      <c r="G8434" s="0" t="s">
        <v>171</v>
      </c>
      <c r="H8434" s="5">
        <v>2.450400</v>
      </c>
    </row>
    <row r="8435" spans="1:9">
      <c r="A8435" s="22" t="str">
        <f>HYPERLINK("https://app.vivvix.com/360/KMI/IntelliDrive/ApplUI/Pages/CreativePages/CustomReportCreativeDetail.aspx?App=23&amp;ReportView=4&amp;Qid=1711279&amp;Row=8427&amp;Col=1","No Title Assigned - #15270757112")</f>
        <v/>
      </c>
      <c r="B8435" s="0" t="s">
        <v>11226</v>
      </c>
      <c r="C8435" s="0" t="s">
        <v>11227</v>
      </c>
      <c r="D8435" s="0" t="s">
        <v>11227</v>
      </c>
      <c r="E8435" s="0" t="inlineStr">
        <is>
          <t xml:space="preserve">Mazda</t>
        </is>
      </c>
      <c r="F8435" s="0" t="s">
        <v>13</v>
      </c>
      <c r="G8435" s="0" t="s">
        <v>49</v>
      </c>
      <c r="H8435" s="5">
        <v>5800.043900</v>
      </c>
    </row>
    <row r="8436" spans="1:9">
      <c r="A8436" s="22" t="str">
        <f>HYPERLINK("https://app.vivvix.com/360/KMI/IntelliDrive/ApplUI/Pages/CreativePages/CustomReportCreativeDetail.aspx?App=23&amp;ReportView=4&amp;Qid=1711279&amp;Row=8428&amp;Col=1","No Title Assigned - #15270758254")</f>
        <v/>
      </c>
      <c r="B8436" s="0" t="s">
        <v>11228</v>
      </c>
      <c r="C8436" s="0" t="s">
        <v>11229</v>
      </c>
      <c r="D8436" s="0" t="s">
        <v>4204</v>
      </c>
      <c r="E8436" s="0" t="inlineStr">
        <is>
          <t xml:space="preserve">Mazda</t>
        </is>
      </c>
      <c r="F8436" s="0" t="s">
        <v>28</v>
      </c>
      <c r="G8436" s="0" t="s">
        <v>29</v>
      </c>
      <c r="H8436" s="5">
        <v>22.299100</v>
      </c>
    </row>
    <row r="8437" spans="1:9">
      <c r="A8437" s="22" t="str">
        <f>HYPERLINK("https://app.vivvix.com/360/KMI/IntelliDrive/ApplUI/Pages/CreativePages/CustomReportCreativeDetail.aspx?App=23&amp;ReportView=4&amp;Qid=1711279&amp;Row=8429&amp;Col=1","No Title Assigned - #15270758724")</f>
        <v/>
      </c>
      <c r="B8437" s="0" t="s">
        <v>11230</v>
      </c>
      <c r="C8437" s="0" t="s">
        <v>11231</v>
      </c>
      <c r="D8437" s="0" t="s">
        <v>11231</v>
      </c>
      <c r="E8437" s="0" t="inlineStr">
        <is>
          <t xml:space="preserve">Mazda</t>
        </is>
      </c>
      <c r="F8437" s="0" t="s">
        <v>13</v>
      </c>
      <c r="G8437" s="0" t="s">
        <v>49</v>
      </c>
      <c r="H8437" s="5">
        <v>40.512800</v>
      </c>
    </row>
    <row r="8438" spans="1:9">
      <c r="A8438" s="22" t="str">
        <f>HYPERLINK("https://app.vivvix.com/360/KMI/IntelliDrive/ApplUI/Pages/CreativePages/CustomReportCreativeDetail.aspx?App=23&amp;ReportView=4&amp;Qid=1711279&amp;Row=8430&amp;Col=1","No Title Assigned - #15270759127")</f>
        <v/>
      </c>
      <c r="B8438" s="0" t="s">
        <v>11232</v>
      </c>
      <c r="C8438" s="0" t="s">
        <v>11233</v>
      </c>
      <c r="D8438" s="0" t="s">
        <v>8551</v>
      </c>
      <c r="E8438" s="0" t="inlineStr">
        <is>
          <t xml:space="preserve">Mazda</t>
        </is>
      </c>
      <c r="F8438" s="0" t="s">
        <v>13</v>
      </c>
      <c r="G8438" s="0" t="s">
        <v>49</v>
      </c>
      <c r="H8438" s="5">
        <v>340.542300</v>
      </c>
    </row>
    <row r="8439" spans="1:9">
      <c r="A8439" s="22" t="str">
        <f>HYPERLINK("https://app.vivvix.com/360/KMI/IntelliDrive/ApplUI/Pages/CreativePages/CustomReportCreativeDetail.aspx?App=23&amp;ReportView=4&amp;Qid=1711279&amp;Row=8431&amp;Col=1","No Title Assigned - #15270760075")</f>
        <v/>
      </c>
      <c r="B8439" s="0" t="s">
        <v>11234</v>
      </c>
      <c r="C8439" s="0" t="s">
        <v>11235</v>
      </c>
      <c r="D8439" s="0" t="s">
        <v>11235</v>
      </c>
      <c r="E8439" s="0" t="inlineStr">
        <is>
          <t xml:space="preserve">Mazda</t>
        </is>
      </c>
      <c r="F8439" s="0" t="s">
        <v>28</v>
      </c>
      <c r="G8439" s="0" t="s">
        <v>29</v>
      </c>
      <c r="H8439" s="5">
        <v>1.621000</v>
      </c>
    </row>
    <row r="8440" spans="1:9">
      <c r="A8440" s="22" t="str">
        <f>HYPERLINK("https://app.vivvix.com/360/KMI/IntelliDrive/ApplUI/Pages/CreativePages/CustomReportCreativeDetail.aspx?App=23&amp;ReportView=4&amp;Qid=1711279&amp;Row=8432&amp;Col=1","No Title Assigned - #15270760393")</f>
        <v/>
      </c>
      <c r="B8440" s="0" t="s">
        <v>11236</v>
      </c>
      <c r="C8440" s="0" t="s">
        <v>11237</v>
      </c>
      <c r="D8440" s="0" t="s">
        <v>10770</v>
      </c>
      <c r="E8440" s="0" t="inlineStr">
        <is>
          <t xml:space="preserve">Mazda</t>
        </is>
      </c>
      <c r="F8440" s="0" t="s">
        <v>13</v>
      </c>
      <c r="G8440" s="0" t="s">
        <v>49</v>
      </c>
      <c r="H8440" s="5">
        <v>4003.595500</v>
      </c>
    </row>
    <row r="8441" spans="1:9">
      <c r="A8441" s="22" t="str">
        <f>HYPERLINK("https://app.vivvix.com/360/KMI/IntelliDrive/ApplUI/Pages/CreativePages/CustomReportCreativeDetail.aspx?App=23&amp;ReportView=4&amp;Qid=1711279&amp;Row=8433&amp;Col=1","No Title Assigned - #15270760393")</f>
        <v/>
      </c>
      <c r="B8441" s="0" t="s">
        <v>11236</v>
      </c>
      <c r="E8441" s="0" t="inlineStr">
        <is>
          <t xml:space="preserve">Mazda</t>
        </is>
      </c>
      <c r="F8441" s="0" t="s">
        <v>13</v>
      </c>
      <c r="G8441" s="0" t="s">
        <v>49</v>
      </c>
      <c r="H8441" s="5">
        <v>384.727300</v>
      </c>
    </row>
    <row r="8442" spans="1:9">
      <c r="A8442" s="22" t="str">
        <f>HYPERLINK("https://app.vivvix.com/360/KMI/IntelliDrive/ApplUI/Pages/CreativePages/CustomReportCreativeDetail.aspx?App=23&amp;ReportView=4&amp;Qid=1711279&amp;Row=8434&amp;Col=1","No Title Assigned - #15270760606")</f>
        <v/>
      </c>
      <c r="B8442" s="0" t="s">
        <v>11238</v>
      </c>
      <c r="E8442" s="0" t="inlineStr">
        <is>
          <t xml:space="preserve">Mazda</t>
        </is>
      </c>
      <c r="F8442" s="0" t="inlineStr">
        <is>
          <t xml:space="preserve">Mazda</t>
        </is>
      </c>
      <c r="G8442" s="0" t="s">
        <v>171</v>
      </c>
      <c r="H8442" s="5">
        <v>19588.799500</v>
      </c>
    </row>
    <row r="8443" spans="1:9">
      <c r="A8443" s="22" t="str">
        <f>HYPERLINK("https://app.vivvix.com/360/KMI/IntelliDrive/ApplUI/Pages/CreativePages/CustomReportCreativeDetail.aspx?App=23&amp;ReportView=4&amp;Qid=1711279&amp;Row=8435&amp;Col=1","No Title Assigned - #15270760606")</f>
        <v/>
      </c>
      <c r="B8443" s="0" t="s">
        <v>11238</v>
      </c>
      <c r="C8443" s="0" t="s">
        <v>11239</v>
      </c>
      <c r="D8443" s="0" t="s">
        <v>11239</v>
      </c>
      <c r="E8443" s="0" t="inlineStr">
        <is>
          <t xml:space="preserve">Mazda</t>
        </is>
      </c>
      <c r="F8443" s="0" t="inlineStr">
        <is>
          <t xml:space="preserve">Mazda</t>
        </is>
      </c>
      <c r="G8443" s="0" t="s">
        <v>171</v>
      </c>
      <c r="H8443" s="5">
        <v>44807.814400</v>
      </c>
    </row>
    <row r="8444" spans="1:9">
      <c r="A8444" s="22" t="str">
        <f>HYPERLINK("https://app.vivvix.com/360/KMI/IntelliDrive/ApplUI/Pages/CreativePages/CustomReportCreativeDetail.aspx?App=23&amp;ReportView=4&amp;Qid=1711279&amp;Row=8436&amp;Col=1","No Title Assigned - #15270760610")</f>
        <v/>
      </c>
      <c r="B8444" s="0" t="s">
        <v>11240</v>
      </c>
      <c r="C8444" s="0" t="s">
        <v>11241</v>
      </c>
      <c r="D8444" s="0" t="s">
        <v>11241</v>
      </c>
      <c r="E8444" s="0" t="inlineStr">
        <is>
          <t xml:space="preserve">Mazda</t>
        </is>
      </c>
      <c r="F8444" s="0" t="s">
        <v>13</v>
      </c>
      <c r="G8444" s="0" t="s">
        <v>49</v>
      </c>
      <c r="H8444" s="5">
        <v>55.732500</v>
      </c>
    </row>
    <row r="8445" spans="1:9">
      <c r="A8445" s="22" t="str">
        <f>HYPERLINK("https://app.vivvix.com/360/KMI/IntelliDrive/ApplUI/Pages/CreativePages/CustomReportCreativeDetail.aspx?App=23&amp;ReportView=4&amp;Qid=1711279&amp;Row=8437&amp;Col=1","No Title Assigned - #15270760619")</f>
        <v/>
      </c>
      <c r="B8445" s="0" t="s">
        <v>11242</v>
      </c>
      <c r="C8445" s="0" t="s">
        <v>11243</v>
      </c>
      <c r="D8445" s="0" t="s">
        <v>11243</v>
      </c>
      <c r="E8445" s="0" t="inlineStr">
        <is>
          <t xml:space="preserve">Mazda</t>
        </is>
      </c>
      <c r="F8445" s="0" t="s">
        <v>13</v>
      </c>
      <c r="G8445" s="0" t="s">
        <v>49</v>
      </c>
      <c r="H8445" s="5">
        <v>55.732500</v>
      </c>
    </row>
    <row r="8446" spans="1:9">
      <c r="A8446" s="22" t="str">
        <f>HYPERLINK("https://app.vivvix.com/360/KMI/IntelliDrive/ApplUI/Pages/CreativePages/CustomReportCreativeDetail.aspx?App=23&amp;ReportView=4&amp;Qid=1711279&amp;Row=8438&amp;Col=1","No Title Assigned - #15270760642")</f>
        <v/>
      </c>
      <c r="B8446" s="0" t="s">
        <v>11244</v>
      </c>
      <c r="C8446" s="0" t="s">
        <v>11245</v>
      </c>
      <c r="D8446" s="0" t="s">
        <v>10073</v>
      </c>
      <c r="E8446" s="0" t="inlineStr">
        <is>
          <t xml:space="preserve">Mazda</t>
        </is>
      </c>
      <c r="F8446" s="0" t="s">
        <v>13</v>
      </c>
      <c r="G8446" s="0" t="s">
        <v>49</v>
      </c>
      <c r="H8446" s="5">
        <v>1932.178000</v>
      </c>
    </row>
    <row r="8447" spans="1:9">
      <c r="A8447" s="22" t="str">
        <f>HYPERLINK("https://app.vivvix.com/360/KMI/IntelliDrive/ApplUI/Pages/CreativePages/CustomReportCreativeDetail.aspx?App=23&amp;ReportView=4&amp;Qid=1711279&amp;Row=8439&amp;Col=1","No Title Assigned - #15270760644")</f>
        <v/>
      </c>
      <c r="B8447" s="0" t="s">
        <v>11246</v>
      </c>
      <c r="C8447" s="0" t="s">
        <v>11247</v>
      </c>
      <c r="D8447" s="0" t="s">
        <v>8992</v>
      </c>
      <c r="E8447" s="0" t="inlineStr">
        <is>
          <t xml:space="preserve">Mazda</t>
        </is>
      </c>
      <c r="F8447" s="0" t="s">
        <v>13</v>
      </c>
      <c r="G8447" s="0" t="s">
        <v>49</v>
      </c>
      <c r="H8447" s="5">
        <v>194.558900</v>
      </c>
    </row>
    <row r="8448" spans="1:9">
      <c r="A8448" s="22" t="str">
        <f>HYPERLINK("https://app.vivvix.com/360/KMI/IntelliDrive/ApplUI/Pages/CreativePages/CustomReportCreativeDetail.aspx?App=23&amp;ReportView=4&amp;Qid=1711279&amp;Row=8440&amp;Col=1","No Title Assigned - #15270760698")</f>
        <v/>
      </c>
      <c r="B8448" s="0" t="s">
        <v>11248</v>
      </c>
      <c r="C8448" s="0" t="s">
        <v>11249</v>
      </c>
      <c r="D8448" s="0" t="s">
        <v>11249</v>
      </c>
      <c r="E8448" s="0" t="inlineStr">
        <is>
          <t xml:space="preserve">Mazda</t>
        </is>
      </c>
      <c r="F8448" s="0" t="s">
        <v>13</v>
      </c>
      <c r="G8448" s="0" t="s">
        <v>49</v>
      </c>
      <c r="H8448" s="5">
        <v>412.524900</v>
      </c>
    </row>
    <row r="8449" spans="1:9">
      <c r="A8449" s="22" t="str">
        <f>HYPERLINK("https://app.vivvix.com/360/KMI/IntelliDrive/ApplUI/Pages/CreativePages/CustomReportCreativeDetail.aspx?App=23&amp;ReportView=4&amp;Qid=1711279&amp;Row=8441&amp;Col=1","No Title Assigned - #15270760865")</f>
        <v/>
      </c>
      <c r="B8449" s="0" t="s">
        <v>11250</v>
      </c>
      <c r="C8449" s="0" t="s">
        <v>11251</v>
      </c>
      <c r="D8449" s="0" t="s">
        <v>7399</v>
      </c>
      <c r="E8449" s="0" t="inlineStr">
        <is>
          <t xml:space="preserve">Mazda</t>
        </is>
      </c>
      <c r="F8449" s="0" t="s">
        <v>13</v>
      </c>
      <c r="G8449" s="0" t="s">
        <v>49</v>
      </c>
      <c r="H8449" s="5">
        <v>109.933600</v>
      </c>
    </row>
    <row r="8450" spans="1:9">
      <c r="A8450" s="22" t="str">
        <f>HYPERLINK("https://app.vivvix.com/360/KMI/IntelliDrive/ApplUI/Pages/CreativePages/CustomReportCreativeDetail.aspx?App=23&amp;ReportView=4&amp;Qid=1711279&amp;Row=8442&amp;Col=1","No Title Assigned - #15270761050")</f>
        <v/>
      </c>
      <c r="B8450" s="0" t="s">
        <v>11252</v>
      </c>
      <c r="C8450" s="0" t="s">
        <v>11253</v>
      </c>
      <c r="D8450" s="0" t="s">
        <v>10407</v>
      </c>
      <c r="E8450" s="0" t="inlineStr">
        <is>
          <t xml:space="preserve">Mazda</t>
        </is>
      </c>
      <c r="F8450" s="0" t="s">
        <v>13</v>
      </c>
      <c r="G8450" s="0" t="s">
        <v>49</v>
      </c>
      <c r="H8450" s="5">
        <v>646.230100</v>
      </c>
    </row>
    <row r="8451" spans="1:9">
      <c r="A8451" s="22" t="str">
        <f>HYPERLINK("https://app.vivvix.com/360/KMI/IntelliDrive/ApplUI/Pages/CreativePages/CustomReportCreativeDetail.aspx?App=23&amp;ReportView=4&amp;Qid=1711279&amp;Row=8443&amp;Col=1","No Title Assigned - #15270761110")</f>
        <v/>
      </c>
      <c r="B8451" s="0" t="s">
        <v>11254</v>
      </c>
      <c r="C8451" s="0" t="s">
        <v>11255</v>
      </c>
      <c r="D8451" s="0" t="s">
        <v>8555</v>
      </c>
      <c r="E8451" s="0" t="inlineStr">
        <is>
          <t xml:space="preserve">Mazda</t>
        </is>
      </c>
      <c r="F8451" s="0" t="s">
        <v>13</v>
      </c>
      <c r="G8451" s="0" t="s">
        <v>49</v>
      </c>
      <c r="H8451" s="5">
        <v>43.085900</v>
      </c>
    </row>
    <row r="8452" spans="1:9">
      <c r="A8452" s="22" t="str">
        <f>HYPERLINK("https://app.vivvix.com/360/KMI/IntelliDrive/ApplUI/Pages/CreativePages/CustomReportCreativeDetail.aspx?App=23&amp;ReportView=4&amp;Qid=1711279&amp;Row=8444&amp;Col=1","No Title Assigned - #15270761231")</f>
        <v/>
      </c>
      <c r="B8452" s="0" t="s">
        <v>11256</v>
      </c>
      <c r="C8452" s="0" t="s">
        <v>11257</v>
      </c>
      <c r="D8452" s="0" t="s">
        <v>11258</v>
      </c>
      <c r="E8452" s="0" t="inlineStr">
        <is>
          <t xml:space="preserve">Mazda</t>
        </is>
      </c>
      <c r="F8452" s="0" t="s">
        <v>13</v>
      </c>
      <c r="G8452" s="0" t="s">
        <v>49</v>
      </c>
      <c r="H8452" s="5">
        <v>40.161100</v>
      </c>
    </row>
    <row r="8453" spans="1:9">
      <c r="A8453" s="22" t="str">
        <f>HYPERLINK("https://app.vivvix.com/360/KMI/IntelliDrive/ApplUI/Pages/CreativePages/CustomReportCreativeDetail.aspx?App=23&amp;ReportView=4&amp;Qid=1711279&amp;Row=8445&amp;Col=1","No Title Assigned - #15270761393")</f>
        <v/>
      </c>
      <c r="B8453" s="0" t="s">
        <v>11259</v>
      </c>
      <c r="C8453" s="0" t="s">
        <v>11260</v>
      </c>
      <c r="D8453" s="0" t="s">
        <v>11260</v>
      </c>
      <c r="E8453" s="0" t="inlineStr">
        <is>
          <t xml:space="preserve">Mazda</t>
        </is>
      </c>
      <c r="F8453" s="0" t="s">
        <v>13</v>
      </c>
      <c r="G8453" s="0" t="s">
        <v>49</v>
      </c>
      <c r="H8453" s="5">
        <v>509.722800</v>
      </c>
    </row>
    <row r="8454" spans="1:9">
      <c r="A8454" s="22" t="str">
        <f>HYPERLINK("https://app.vivvix.com/360/KMI/IntelliDrive/ApplUI/Pages/CreativePages/CustomReportCreativeDetail.aspx?App=23&amp;ReportView=4&amp;Qid=1711279&amp;Row=8446&amp;Col=1","No Title Assigned - #15270761436")</f>
        <v/>
      </c>
      <c r="B8454" s="0" t="s">
        <v>11261</v>
      </c>
      <c r="C8454" s="0" t="s">
        <v>11262</v>
      </c>
      <c r="D8454" s="0" t="s">
        <v>11262</v>
      </c>
      <c r="E8454" s="0" t="inlineStr">
        <is>
          <t xml:space="preserve">Mazda</t>
        </is>
      </c>
      <c r="F8454" s="0" t="s">
        <v>13</v>
      </c>
      <c r="G8454" s="0" t="s">
        <v>49</v>
      </c>
      <c r="H8454" s="5">
        <v>2811.604100</v>
      </c>
    </row>
    <row r="8455" spans="1:9">
      <c r="A8455" s="22" t="str">
        <f>HYPERLINK("https://app.vivvix.com/360/KMI/IntelliDrive/ApplUI/Pages/CreativePages/CustomReportCreativeDetail.aspx?App=23&amp;ReportView=4&amp;Qid=1711279&amp;Row=8447&amp;Col=1","No Title Assigned - #15270761439")</f>
        <v/>
      </c>
      <c r="B8455" s="0" t="s">
        <v>11263</v>
      </c>
      <c r="C8455" s="0" t="s">
        <v>11264</v>
      </c>
      <c r="D8455" s="0" t="s">
        <v>9795</v>
      </c>
      <c r="E8455" s="0" t="inlineStr">
        <is>
          <t xml:space="preserve">Mazda</t>
        </is>
      </c>
      <c r="F8455" s="0" t="s">
        <v>13</v>
      </c>
      <c r="G8455" s="0" t="s">
        <v>49</v>
      </c>
      <c r="H8455" s="5">
        <v>44.509500</v>
      </c>
    </row>
    <row r="8456" spans="1:9">
      <c r="A8456" s="22" t="str">
        <f>HYPERLINK("https://app.vivvix.com/360/KMI/IntelliDrive/ApplUI/Pages/CreativePages/CustomReportCreativeDetail.aspx?App=23&amp;ReportView=4&amp;Qid=1711279&amp;Row=8448&amp;Col=1","No Title Assigned - #15270761452")</f>
        <v/>
      </c>
      <c r="B8456" s="0" t="s">
        <v>11265</v>
      </c>
      <c r="C8456" s="0" t="s">
        <v>11266</v>
      </c>
      <c r="D8456" s="0" t="s">
        <v>11266</v>
      </c>
      <c r="E8456" s="0" t="inlineStr">
        <is>
          <t xml:space="preserve">Mazda</t>
        </is>
      </c>
      <c r="F8456" s="0" t="s">
        <v>13</v>
      </c>
      <c r="G8456" s="0" t="s">
        <v>49</v>
      </c>
      <c r="H8456" s="5">
        <v>403.865700</v>
      </c>
    </row>
    <row r="8457" spans="1:9">
      <c r="A8457" s="22" t="str">
        <f>HYPERLINK("https://app.vivvix.com/360/KMI/IntelliDrive/ApplUI/Pages/CreativePages/CustomReportCreativeDetail.aspx?App=23&amp;ReportView=4&amp;Qid=1711279&amp;Row=8449&amp;Col=1","No Title Assigned - #15270761578")</f>
        <v/>
      </c>
      <c r="B8457" s="0" t="s">
        <v>11267</v>
      </c>
      <c r="C8457" s="0" t="s">
        <v>11268</v>
      </c>
      <c r="D8457" s="0" t="s">
        <v>6238</v>
      </c>
      <c r="E8457" s="0" t="inlineStr">
        <is>
          <t xml:space="preserve">Mazda</t>
        </is>
      </c>
      <c r="F8457" s="0" t="s">
        <v>13</v>
      </c>
      <c r="G8457" s="0" t="s">
        <v>49</v>
      </c>
      <c r="H8457" s="5">
        <v>157.001800</v>
      </c>
    </row>
    <row r="8458" spans="1:9">
      <c r="A8458" s="22" t="str">
        <f>HYPERLINK("https://app.vivvix.com/360/KMI/IntelliDrive/ApplUI/Pages/CreativePages/CustomReportCreativeDetail.aspx?App=23&amp;ReportView=4&amp;Qid=1711279&amp;Row=8450&amp;Col=1","No Title Assigned - #15270761695")</f>
        <v/>
      </c>
      <c r="B8458" s="0" t="s">
        <v>11269</v>
      </c>
      <c r="C8458" s="0" t="s">
        <v>11270</v>
      </c>
      <c r="D8458" s="0" t="s">
        <v>11258</v>
      </c>
      <c r="E8458" s="0" t="inlineStr">
        <is>
          <t xml:space="preserve">Mazda</t>
        </is>
      </c>
      <c r="F8458" s="0" t="s">
        <v>13</v>
      </c>
      <c r="G8458" s="0" t="s">
        <v>49</v>
      </c>
      <c r="H8458" s="5">
        <v>91.100100</v>
      </c>
    </row>
    <row r="8459" spans="1:9">
      <c r="A8459" s="22" t="str">
        <f>HYPERLINK("https://app.vivvix.com/360/KMI/IntelliDrive/ApplUI/Pages/CreativePages/CustomReportCreativeDetail.aspx?App=23&amp;ReportView=4&amp;Qid=1711279&amp;Row=8451&amp;Col=1","No Title Assigned - #15270761696")</f>
        <v/>
      </c>
      <c r="B8459" s="0" t="s">
        <v>11271</v>
      </c>
      <c r="C8459" s="0" t="s">
        <v>11272</v>
      </c>
      <c r="D8459" s="0" t="s">
        <v>8779</v>
      </c>
      <c r="E8459" s="0" t="inlineStr">
        <is>
          <t xml:space="preserve">Mazda</t>
        </is>
      </c>
      <c r="F8459" s="0" t="s">
        <v>13</v>
      </c>
      <c r="G8459" s="0" t="s">
        <v>49</v>
      </c>
      <c r="H8459" s="5">
        <v>91.100100</v>
      </c>
    </row>
    <row r="8460" spans="1:9">
      <c r="A8460" s="22" t="str">
        <f>HYPERLINK("https://app.vivvix.com/360/KMI/IntelliDrive/ApplUI/Pages/CreativePages/CustomReportCreativeDetail.aspx?App=23&amp;ReportView=4&amp;Qid=1711279&amp;Row=8452&amp;Col=1","No Title Assigned - #15270761803")</f>
        <v/>
      </c>
      <c r="B8460" s="0" t="s">
        <v>11273</v>
      </c>
      <c r="C8460" s="0" t="s">
        <v>11274</v>
      </c>
      <c r="D8460" s="0" t="s">
        <v>11274</v>
      </c>
      <c r="E8460" s="0" t="inlineStr">
        <is>
          <t xml:space="preserve">Mazda</t>
        </is>
      </c>
      <c r="F8460" s="0" t="s">
        <v>13</v>
      </c>
      <c r="G8460" s="0" t="s">
        <v>49</v>
      </c>
      <c r="H8460" s="5">
        <v>11982.899400</v>
      </c>
    </row>
    <row r="8461" spans="1:9">
      <c r="A8461" s="22" t="str">
        <f>HYPERLINK("https://app.vivvix.com/360/KMI/IntelliDrive/ApplUI/Pages/CreativePages/CustomReportCreativeDetail.aspx?App=23&amp;ReportView=4&amp;Qid=1711279&amp;Row=8453&amp;Col=1","No Title Assigned - #15270762145")</f>
        <v/>
      </c>
      <c r="B8461" s="0" t="s">
        <v>11275</v>
      </c>
      <c r="C8461" s="0" t="s">
        <v>11276</v>
      </c>
      <c r="D8461" s="0" t="s">
        <v>11276</v>
      </c>
      <c r="E8461" s="0" t="inlineStr">
        <is>
          <t xml:space="preserve">Mazda</t>
        </is>
      </c>
      <c r="F8461" s="0" t="s">
        <v>13</v>
      </c>
      <c r="G8461" s="0" t="s">
        <v>49</v>
      </c>
      <c r="H8461" s="5">
        <v>86.365500</v>
      </c>
    </row>
    <row r="8462" spans="1:9">
      <c r="A8462" s="22" t="str">
        <f>HYPERLINK("https://app.vivvix.com/360/KMI/IntelliDrive/ApplUI/Pages/CreativePages/CustomReportCreativeDetail.aspx?App=23&amp;ReportView=4&amp;Qid=1711279&amp;Row=8454&amp;Col=1","No Title Assigned - #15270762402")</f>
        <v/>
      </c>
      <c r="B8462" s="0" t="s">
        <v>11277</v>
      </c>
      <c r="C8462" s="0" t="s">
        <v>11278</v>
      </c>
      <c r="D8462" s="0" t="s">
        <v>10988</v>
      </c>
      <c r="E8462" s="0" t="inlineStr">
        <is>
          <t xml:space="preserve">Mazda</t>
        </is>
      </c>
      <c r="F8462" s="0" t="s">
        <v>13</v>
      </c>
      <c r="G8462" s="0" t="s">
        <v>49</v>
      </c>
      <c r="H8462" s="5">
        <v>9184.238400</v>
      </c>
    </row>
    <row r="8463" spans="1:9">
      <c r="A8463" s="22" t="str">
        <f>HYPERLINK("https://app.vivvix.com/360/KMI/IntelliDrive/ApplUI/Pages/CreativePages/CustomReportCreativeDetail.aspx?App=23&amp;ReportView=4&amp;Qid=1711279&amp;Row=8455&amp;Col=1","No Title Assigned - #15270762402")</f>
        <v/>
      </c>
      <c r="B8463" s="0" t="s">
        <v>11277</v>
      </c>
      <c r="E8463" s="0" t="inlineStr">
        <is>
          <t xml:space="preserve">Mazda</t>
        </is>
      </c>
      <c r="F8463" s="0" t="s">
        <v>13</v>
      </c>
      <c r="G8463" s="0" t="s">
        <v>49</v>
      </c>
      <c r="H8463" s="5">
        <v>55.732500</v>
      </c>
    </row>
    <row r="8464" spans="1:9">
      <c r="A8464" s="22" t="str">
        <f>HYPERLINK("https://app.vivvix.com/360/KMI/IntelliDrive/ApplUI/Pages/CreativePages/CustomReportCreativeDetail.aspx?App=23&amp;ReportView=4&amp;Qid=1711279&amp;Row=8456&amp;Col=1","No Title Assigned - #15270762491")</f>
        <v/>
      </c>
      <c r="B8464" s="0" t="s">
        <v>11279</v>
      </c>
      <c r="C8464" s="0" t="s">
        <v>11280</v>
      </c>
      <c r="D8464" s="0" t="s">
        <v>6420</v>
      </c>
      <c r="E8464" s="0" t="inlineStr">
        <is>
          <t xml:space="preserve">Mazda</t>
        </is>
      </c>
      <c r="F8464" s="0" t="s">
        <v>13</v>
      </c>
      <c r="G8464" s="0" t="s">
        <v>49</v>
      </c>
      <c r="H8464" s="5">
        <v>203.601000</v>
      </c>
    </row>
    <row r="8465" spans="1:9">
      <c r="A8465" s="22" t="str">
        <f>HYPERLINK("https://app.vivvix.com/360/KMI/IntelliDrive/ApplUI/Pages/CreativePages/CustomReportCreativeDetail.aspx?App=23&amp;ReportView=4&amp;Qid=1711279&amp;Row=8457&amp;Col=1","No Title Assigned - #15270762525")</f>
        <v/>
      </c>
      <c r="B8465" s="0" t="s">
        <v>11281</v>
      </c>
      <c r="C8465" s="0" t="s">
        <v>11282</v>
      </c>
      <c r="D8465" s="0" t="s">
        <v>4858</v>
      </c>
      <c r="E8465" s="0" t="inlineStr">
        <is>
          <t xml:space="preserve">Mazda</t>
        </is>
      </c>
      <c r="F8465" s="0" t="inlineStr">
        <is>
          <t xml:space="preserve">Mazda</t>
        </is>
      </c>
      <c r="G8465" s="0" t="s">
        <v>210</v>
      </c>
      <c r="H8465" s="5">
        <v>3962.725900</v>
      </c>
    </row>
    <row r="8466" spans="1:9">
      <c r="A8466" s="22" t="str">
        <f>HYPERLINK("https://app.vivvix.com/360/KMI/IntelliDrive/ApplUI/Pages/CreativePages/CustomReportCreativeDetail.aspx?App=23&amp;ReportView=4&amp;Qid=1711279&amp;Row=8458&amp;Col=1","No Title Assigned - #15270762525")</f>
        <v/>
      </c>
      <c r="B8466" s="0" t="s">
        <v>11281</v>
      </c>
      <c r="E8466" s="0" t="inlineStr">
        <is>
          <t xml:space="preserve">Mazda</t>
        </is>
      </c>
      <c r="F8466" s="0" t="inlineStr">
        <is>
          <t xml:space="preserve">Mazda</t>
        </is>
      </c>
      <c r="G8466" s="0" t="s">
        <v>210</v>
      </c>
      <c r="H8466" s="5">
        <v>1997.438800</v>
      </c>
    </row>
    <row r="8467" spans="1:9">
      <c r="A8467" s="22" t="str">
        <f>HYPERLINK("https://app.vivvix.com/360/KMI/IntelliDrive/ApplUI/Pages/CreativePages/CustomReportCreativeDetail.aspx?App=23&amp;ReportView=4&amp;Qid=1711279&amp;Row=8459&amp;Col=1","No Title Assigned - #15270762622")</f>
        <v/>
      </c>
      <c r="B8467" s="0" t="s">
        <v>11283</v>
      </c>
      <c r="C8467" s="0" t="s">
        <v>11284</v>
      </c>
      <c r="D8467" s="0" t="s">
        <v>6183</v>
      </c>
      <c r="E8467" s="0" t="inlineStr">
        <is>
          <t xml:space="preserve">Mazda</t>
        </is>
      </c>
      <c r="F8467" s="0" t="s">
        <v>13</v>
      </c>
      <c r="G8467" s="0" t="s">
        <v>49</v>
      </c>
      <c r="H8467" s="5">
        <v>1160.288500</v>
      </c>
    </row>
    <row r="8468" spans="1:9">
      <c r="A8468" s="22" t="str">
        <f>HYPERLINK("https://app.vivvix.com/360/KMI/IntelliDrive/ApplUI/Pages/CreativePages/CustomReportCreativeDetail.aspx?App=23&amp;ReportView=4&amp;Qid=1711279&amp;Row=8460&amp;Col=1","No Title Assigned - #15270762904")</f>
        <v/>
      </c>
      <c r="B8468" s="0" t="s">
        <v>11285</v>
      </c>
      <c r="C8468" s="0" t="s">
        <v>11286</v>
      </c>
      <c r="D8468" s="0" t="s">
        <v>7396</v>
      </c>
      <c r="E8468" s="0" t="inlineStr">
        <is>
          <t xml:space="preserve">Mazda</t>
        </is>
      </c>
      <c r="F8468" s="0" t="s">
        <v>13</v>
      </c>
      <c r="G8468" s="0" t="s">
        <v>49</v>
      </c>
      <c r="H8468" s="5">
        <v>61.889300</v>
      </c>
    </row>
    <row r="8469" spans="1:9">
      <c r="A8469" s="22" t="str">
        <f>HYPERLINK("https://app.vivvix.com/360/KMI/IntelliDrive/ApplUI/Pages/CreativePages/CustomReportCreativeDetail.aspx?App=23&amp;ReportView=4&amp;Qid=1711279&amp;Row=8461&amp;Col=1","No Title Assigned - #15270763032")</f>
        <v/>
      </c>
      <c r="B8469" s="0" t="s">
        <v>11287</v>
      </c>
      <c r="C8469" s="0" t="s">
        <v>11288</v>
      </c>
      <c r="D8469" s="0" t="s">
        <v>11288</v>
      </c>
      <c r="E8469" s="0" t="inlineStr">
        <is>
          <t xml:space="preserve">Mazda</t>
        </is>
      </c>
      <c r="F8469" s="0" t="s">
        <v>13</v>
      </c>
      <c r="G8469" s="0" t="s">
        <v>49</v>
      </c>
      <c r="H8469" s="5">
        <v>11770.798800</v>
      </c>
    </row>
    <row r="8470" spans="1:9">
      <c r="A8470" s="22" t="str">
        <f>HYPERLINK("https://app.vivvix.com/360/KMI/IntelliDrive/ApplUI/Pages/CreativePages/CustomReportCreativeDetail.aspx?App=23&amp;ReportView=4&amp;Qid=1711279&amp;Row=8462&amp;Col=1","No Title Assigned - #15270763136")</f>
        <v/>
      </c>
      <c r="B8470" s="0" t="s">
        <v>11289</v>
      </c>
      <c r="E8470" s="0" t="inlineStr">
        <is>
          <t xml:space="preserve">Mazda</t>
        </is>
      </c>
      <c r="F8470" s="0" t="s">
        <v>13</v>
      </c>
      <c r="G8470" s="0" t="s">
        <v>49</v>
      </c>
      <c r="H8470" s="5">
        <v>4518.542600</v>
      </c>
    </row>
    <row r="8471" spans="1:9">
      <c r="A8471" s="22" t="str">
        <f>HYPERLINK("https://app.vivvix.com/360/KMI/IntelliDrive/ApplUI/Pages/CreativePages/CustomReportCreativeDetail.aspx?App=23&amp;ReportView=4&amp;Qid=1711279&amp;Row=8463&amp;Col=1","No Title Assigned - #15270763136")</f>
        <v/>
      </c>
      <c r="B8471" s="0" t="s">
        <v>11289</v>
      </c>
      <c r="C8471" s="0" t="s">
        <v>11290</v>
      </c>
      <c r="D8471" s="0" t="s">
        <v>11290</v>
      </c>
      <c r="E8471" s="0" t="inlineStr">
        <is>
          <t xml:space="preserve">Mazda</t>
        </is>
      </c>
      <c r="F8471" s="0" t="s">
        <v>13</v>
      </c>
      <c r="G8471" s="0" t="s">
        <v>49</v>
      </c>
      <c r="H8471" s="5">
        <v>6022.992500</v>
      </c>
    </row>
    <row r="8472" spans="1:9">
      <c r="A8472" s="22" t="str">
        <f>HYPERLINK("https://app.vivvix.com/360/KMI/IntelliDrive/ApplUI/Pages/CreativePages/CustomReportCreativeDetail.aspx?App=23&amp;ReportView=4&amp;Qid=1711279&amp;Row=8464&amp;Col=1","No Title Assigned - #15270763139")</f>
        <v/>
      </c>
      <c r="B8472" s="0" t="s">
        <v>11291</v>
      </c>
      <c r="C8472" s="0" t="s">
        <v>11292</v>
      </c>
      <c r="D8472" s="0" t="s">
        <v>8439</v>
      </c>
      <c r="E8472" s="0" t="inlineStr">
        <is>
          <t xml:space="preserve">Mazda</t>
        </is>
      </c>
      <c r="F8472" s="0" t="s">
        <v>13</v>
      </c>
      <c r="G8472" s="0" t="s">
        <v>49</v>
      </c>
      <c r="H8472" s="5">
        <v>1130.965500</v>
      </c>
    </row>
    <row r="8473" spans="1:9">
      <c r="A8473" s="22" t="str">
        <f>HYPERLINK("https://app.vivvix.com/360/KMI/IntelliDrive/ApplUI/Pages/CreativePages/CustomReportCreativeDetail.aspx?App=23&amp;ReportView=4&amp;Qid=1711279&amp;Row=8465&amp;Col=1","No Title Assigned - #15270763430")</f>
        <v/>
      </c>
      <c r="B8473" s="0" t="s">
        <v>11293</v>
      </c>
      <c r="C8473" s="0" t="s">
        <v>11294</v>
      </c>
      <c r="D8473" s="0" t="s">
        <v>11294</v>
      </c>
      <c r="E8473" s="0" t="inlineStr">
        <is>
          <t xml:space="preserve">Mazda</t>
        </is>
      </c>
      <c r="F8473" s="0" t="s">
        <v>13</v>
      </c>
      <c r="G8473" s="0" t="s">
        <v>49</v>
      </c>
      <c r="H8473" s="5">
        <v>113.860400</v>
      </c>
    </row>
    <row r="8474" spans="1:9">
      <c r="A8474" s="22" t="str">
        <f>HYPERLINK("https://app.vivvix.com/360/KMI/IntelliDrive/ApplUI/Pages/CreativePages/CustomReportCreativeDetail.aspx?App=23&amp;ReportView=4&amp;Qid=1711279&amp;Row=8466&amp;Col=1","No Title Assigned - #15270763531")</f>
        <v/>
      </c>
      <c r="B8474" s="0" t="s">
        <v>11295</v>
      </c>
      <c r="C8474" s="0" t="s">
        <v>11296</v>
      </c>
      <c r="D8474" s="0" t="s">
        <v>11296</v>
      </c>
      <c r="E8474" s="0" t="inlineStr">
        <is>
          <t xml:space="preserve">Mazda</t>
        </is>
      </c>
      <c r="F8474" s="0" t="s">
        <v>13</v>
      </c>
      <c r="G8474" s="0" t="s">
        <v>49</v>
      </c>
      <c r="H8474" s="5">
        <v>16.613300</v>
      </c>
    </row>
    <row r="8475" spans="1:9">
      <c r="A8475" s="22" t="str">
        <f>HYPERLINK("https://app.vivvix.com/360/KMI/IntelliDrive/ApplUI/Pages/CreativePages/CustomReportCreativeDetail.aspx?App=23&amp;ReportView=4&amp;Qid=1711279&amp;Row=8467&amp;Col=1","No Title Assigned - #15270763672")</f>
        <v/>
      </c>
      <c r="B8475" s="0" t="s">
        <v>11297</v>
      </c>
      <c r="C8475" s="0" t="s">
        <v>11298</v>
      </c>
      <c r="D8475" s="0" t="s">
        <v>6180</v>
      </c>
      <c r="E8475" s="0" t="inlineStr">
        <is>
          <t xml:space="preserve">Mazda</t>
        </is>
      </c>
      <c r="F8475" s="0" t="s">
        <v>13</v>
      </c>
      <c r="G8475" s="0" t="s">
        <v>49</v>
      </c>
      <c r="H8475" s="5">
        <v>20.256400</v>
      </c>
    </row>
    <row r="8476" spans="1:9">
      <c r="A8476" s="22" t="str">
        <f>HYPERLINK("https://app.vivvix.com/360/KMI/IntelliDrive/ApplUI/Pages/CreativePages/CustomReportCreativeDetail.aspx?App=23&amp;ReportView=4&amp;Qid=1711279&amp;Row=8468&amp;Col=1","No Title Assigned - #15270763742")</f>
        <v/>
      </c>
      <c r="B8476" s="0" t="s">
        <v>11299</v>
      </c>
      <c r="C8476" s="0" t="s">
        <v>11300</v>
      </c>
      <c r="D8476" s="0" t="s">
        <v>11300</v>
      </c>
      <c r="E8476" s="0" t="inlineStr">
        <is>
          <t xml:space="preserve">Mazda</t>
        </is>
      </c>
      <c r="F8476" s="0" t="s">
        <v>13</v>
      </c>
      <c r="G8476" s="0" t="s">
        <v>49</v>
      </c>
      <c r="H8476" s="5">
        <v>198.836700</v>
      </c>
    </row>
    <row r="8477" spans="1:9">
      <c r="A8477" s="22" t="str">
        <f>HYPERLINK("https://app.vivvix.com/360/KMI/IntelliDrive/ApplUI/Pages/CreativePages/CustomReportCreativeDetail.aspx?App=23&amp;ReportView=4&amp;Qid=1711279&amp;Row=8469&amp;Col=1","No Title Assigned - #15270763845")</f>
        <v/>
      </c>
      <c r="B8477" s="0" t="s">
        <v>11301</v>
      </c>
      <c r="C8477" s="0" t="s">
        <v>11302</v>
      </c>
      <c r="D8477" s="0" t="s">
        <v>11302</v>
      </c>
      <c r="E8477" s="0" t="inlineStr">
        <is>
          <t xml:space="preserve">Mazda</t>
        </is>
      </c>
      <c r="F8477" s="0" t="s">
        <v>13</v>
      </c>
      <c r="G8477" s="0" t="s">
        <v>49</v>
      </c>
      <c r="H8477" s="5">
        <v>212.065100</v>
      </c>
    </row>
    <row r="8478" spans="1:9">
      <c r="A8478" s="22" t="str">
        <f>HYPERLINK("https://app.vivvix.com/360/KMI/IntelliDrive/ApplUI/Pages/CreativePages/CustomReportCreativeDetail.aspx?App=23&amp;ReportView=4&amp;Qid=1711279&amp;Row=8470&amp;Col=1","No Title Assigned - #15270763942")</f>
        <v/>
      </c>
      <c r="B8478" s="0" t="s">
        <v>11303</v>
      </c>
      <c r="C8478" s="0" t="s">
        <v>11304</v>
      </c>
      <c r="D8478" s="0" t="s">
        <v>4938</v>
      </c>
      <c r="E8478" s="0" t="inlineStr">
        <is>
          <t xml:space="preserve">Mazda</t>
        </is>
      </c>
      <c r="F8478" s="0" t="s">
        <v>13</v>
      </c>
      <c r="G8478" s="0" t="s">
        <v>49</v>
      </c>
      <c r="H8478" s="5">
        <v>51.986200</v>
      </c>
    </row>
    <row r="8479" spans="1:9">
      <c r="A8479" s="22" t="str">
        <f>HYPERLINK("https://app.vivvix.com/360/KMI/IntelliDrive/ApplUI/Pages/CreativePages/CustomReportCreativeDetail.aspx?App=23&amp;ReportView=4&amp;Qid=1711279&amp;Row=8471&amp;Col=1","No Title Assigned - #15270763950")</f>
        <v/>
      </c>
      <c r="B8479" s="0" t="s">
        <v>11305</v>
      </c>
      <c r="C8479" s="0" t="s">
        <v>11306</v>
      </c>
      <c r="D8479" s="0" t="s">
        <v>10738</v>
      </c>
      <c r="E8479" s="0" t="inlineStr">
        <is>
          <t xml:space="preserve">Mazda</t>
        </is>
      </c>
      <c r="F8479" s="0" t="s">
        <v>13</v>
      </c>
      <c r="G8479" s="0" t="s">
        <v>49</v>
      </c>
      <c r="H8479" s="5">
        <v>135.188200</v>
      </c>
    </row>
    <row r="8480" spans="1:9">
      <c r="A8480" s="22" t="str">
        <f>HYPERLINK("https://app.vivvix.com/360/KMI/IntelliDrive/ApplUI/Pages/CreativePages/CustomReportCreativeDetail.aspx?App=23&amp;ReportView=4&amp;Qid=1711279&amp;Row=8472&amp;Col=1","No Title Assigned - #15270764006")</f>
        <v/>
      </c>
      <c r="B8480" s="0" t="s">
        <v>11307</v>
      </c>
      <c r="C8480" s="0" t="s">
        <v>11308</v>
      </c>
      <c r="D8480" s="0" t="s">
        <v>11308</v>
      </c>
      <c r="E8480" s="0" t="inlineStr">
        <is>
          <t xml:space="preserve">Mazda</t>
        </is>
      </c>
      <c r="F8480" s="0" t="s">
        <v>13</v>
      </c>
      <c r="G8480" s="0" t="s">
        <v>49</v>
      </c>
      <c r="H8480" s="5">
        <v>737.140400</v>
      </c>
    </row>
    <row r="8481" spans="1:9">
      <c r="A8481" s="22" t="str">
        <f>HYPERLINK("https://app.vivvix.com/360/KMI/IntelliDrive/ApplUI/Pages/CreativePages/CustomReportCreativeDetail.aspx?App=23&amp;ReportView=4&amp;Qid=1711279&amp;Row=8473&amp;Col=1","No Title Assigned - #15270764086")</f>
        <v/>
      </c>
      <c r="B8481" s="0" t="s">
        <v>11309</v>
      </c>
      <c r="C8481" s="0" t="s">
        <v>11310</v>
      </c>
      <c r="D8481" s="0" t="s">
        <v>11310</v>
      </c>
      <c r="E8481" s="0" t="inlineStr">
        <is>
          <t xml:space="preserve">Mazda</t>
        </is>
      </c>
      <c r="F8481" s="0" t="s">
        <v>13</v>
      </c>
      <c r="G8481" s="0" t="s">
        <v>49</v>
      </c>
      <c r="H8481" s="5">
        <v>21.265800</v>
      </c>
    </row>
    <row r="8482" spans="1:9">
      <c r="A8482" s="22" t="str">
        <f>HYPERLINK("https://app.vivvix.com/360/KMI/IntelliDrive/ApplUI/Pages/CreativePages/CustomReportCreativeDetail.aspx?App=23&amp;ReportView=4&amp;Qid=1711279&amp;Row=8474&amp;Col=1","No Title Assigned - #15270764193")</f>
        <v/>
      </c>
      <c r="B8482" s="0" t="s">
        <v>11311</v>
      </c>
      <c r="C8482" s="0" t="s">
        <v>11312</v>
      </c>
      <c r="D8482" s="0" t="s">
        <v>10770</v>
      </c>
      <c r="E8482" s="0" t="inlineStr">
        <is>
          <t xml:space="preserve">Mazda</t>
        </is>
      </c>
      <c r="F8482" s="0" t="s">
        <v>13</v>
      </c>
      <c r="G8482" s="0" t="s">
        <v>49</v>
      </c>
      <c r="H8482" s="5">
        <v>292.111500</v>
      </c>
    </row>
    <row r="8483" spans="1:9">
      <c r="A8483" s="22" t="str">
        <f>HYPERLINK("https://app.vivvix.com/360/KMI/IntelliDrive/ApplUI/Pages/CreativePages/CustomReportCreativeDetail.aspx?App=23&amp;ReportView=4&amp;Qid=1711279&amp;Row=8475&amp;Col=1","No Title Assigned - #15270764278")</f>
        <v/>
      </c>
      <c r="B8483" s="0" t="s">
        <v>11313</v>
      </c>
      <c r="C8483" s="0" t="s">
        <v>11314</v>
      </c>
      <c r="D8483" s="0" t="s">
        <v>10999</v>
      </c>
      <c r="E8483" s="0" t="inlineStr">
        <is>
          <t xml:space="preserve">Mazda</t>
        </is>
      </c>
      <c r="F8483" s="0" t="s">
        <v>13</v>
      </c>
      <c r="G8483" s="0" t="s">
        <v>49</v>
      </c>
      <c r="H8483" s="5">
        <v>196.213400</v>
      </c>
    </row>
    <row r="8484" spans="1:9">
      <c r="A8484" s="22" t="str">
        <f>HYPERLINK("https://app.vivvix.com/360/KMI/IntelliDrive/ApplUI/Pages/CreativePages/CustomReportCreativeDetail.aspx?App=23&amp;ReportView=4&amp;Qid=1711279&amp;Row=8476&amp;Col=1","No Title Assigned - #15270764286")</f>
        <v/>
      </c>
      <c r="B8484" s="0" t="s">
        <v>11315</v>
      </c>
      <c r="E8484" s="0" t="inlineStr">
        <is>
          <t xml:space="preserve">Mazda</t>
        </is>
      </c>
      <c r="F8484" s="0" t="s">
        <v>13</v>
      </c>
      <c r="G8484" s="0" t="s">
        <v>49</v>
      </c>
      <c r="H8484" s="5">
        <v>859.866400</v>
      </c>
    </row>
    <row r="8485" spans="1:9">
      <c r="A8485" s="22" t="str">
        <f>HYPERLINK("https://app.vivvix.com/360/KMI/IntelliDrive/ApplUI/Pages/CreativePages/CustomReportCreativeDetail.aspx?App=23&amp;ReportView=4&amp;Qid=1711279&amp;Row=8477&amp;Col=1","No Title Assigned - #15270764286")</f>
        <v/>
      </c>
      <c r="B8485" s="0" t="s">
        <v>11315</v>
      </c>
      <c r="C8485" s="0" t="s">
        <v>11316</v>
      </c>
      <c r="D8485" s="0" t="s">
        <v>11316</v>
      </c>
      <c r="E8485" s="0" t="inlineStr">
        <is>
          <t xml:space="preserve">Mazda</t>
        </is>
      </c>
      <c r="F8485" s="0" t="s">
        <v>13</v>
      </c>
      <c r="G8485" s="0" t="s">
        <v>49</v>
      </c>
      <c r="H8485" s="5">
        <v>113.215600</v>
      </c>
    </row>
    <row r="8486" spans="1:9">
      <c r="A8486" s="22" t="str">
        <f>HYPERLINK("https://app.vivvix.com/360/KMI/IntelliDrive/ApplUI/Pages/CreativePages/CustomReportCreativeDetail.aspx?App=23&amp;ReportView=4&amp;Qid=1711279&amp;Row=8478&amp;Col=1","No Title Assigned - #15270764294")</f>
        <v/>
      </c>
      <c r="B8486" s="0" t="s">
        <v>11317</v>
      </c>
      <c r="C8486" s="0" t="s">
        <v>11318</v>
      </c>
      <c r="D8486" s="0" t="s">
        <v>11318</v>
      </c>
      <c r="E8486" s="0" t="inlineStr">
        <is>
          <t xml:space="preserve">Mazda</t>
        </is>
      </c>
      <c r="F8486" s="0" t="s">
        <v>13</v>
      </c>
      <c r="G8486" s="0" t="s">
        <v>49</v>
      </c>
      <c r="H8486" s="5">
        <v>140.180900</v>
      </c>
    </row>
    <row r="8487" spans="1:9">
      <c r="A8487" s="22" t="str">
        <f>HYPERLINK("https://app.vivvix.com/360/KMI/IntelliDrive/ApplUI/Pages/CreativePages/CustomReportCreativeDetail.aspx?App=23&amp;ReportView=4&amp;Qid=1711279&amp;Row=8479&amp;Col=1","No Title Assigned - #15270764384")</f>
        <v/>
      </c>
      <c r="B8487" s="0" t="s">
        <v>11319</v>
      </c>
      <c r="C8487" s="0" t="s">
        <v>11320</v>
      </c>
      <c r="D8487" s="0" t="s">
        <v>10089</v>
      </c>
      <c r="E8487" s="0" t="inlineStr">
        <is>
          <t xml:space="preserve">Mazda</t>
        </is>
      </c>
      <c r="F8487" s="0" t="s">
        <v>13</v>
      </c>
      <c r="G8487" s="0" t="s">
        <v>49</v>
      </c>
      <c r="H8487" s="5">
        <v>136.274200</v>
      </c>
    </row>
    <row r="8488" spans="1:9">
      <c r="A8488" s="22" t="str">
        <f>HYPERLINK("https://app.vivvix.com/360/KMI/IntelliDrive/ApplUI/Pages/CreativePages/CustomReportCreativeDetail.aspx?App=23&amp;ReportView=4&amp;Qid=1711279&amp;Row=8480&amp;Col=1","No Title Assigned - #15270764412")</f>
        <v/>
      </c>
      <c r="B8488" s="0" t="s">
        <v>11321</v>
      </c>
      <c r="C8488" s="0" t="s">
        <v>11322</v>
      </c>
      <c r="D8488" s="0" t="s">
        <v>11322</v>
      </c>
      <c r="E8488" s="0" t="inlineStr">
        <is>
          <t xml:space="preserve">Mazda</t>
        </is>
      </c>
      <c r="F8488" s="0" t="s">
        <v>13</v>
      </c>
      <c r="G8488" s="0" t="s">
        <v>49</v>
      </c>
      <c r="H8488" s="5">
        <v>2958.530400</v>
      </c>
    </row>
    <row r="8489" spans="1:9">
      <c r="A8489" s="22" t="str">
        <f>HYPERLINK("https://app.vivvix.com/360/KMI/IntelliDrive/ApplUI/Pages/CreativePages/CustomReportCreativeDetail.aspx?App=23&amp;ReportView=4&amp;Qid=1711279&amp;Row=8481&amp;Col=1","No Title Assigned - #15270764441")</f>
        <v/>
      </c>
      <c r="B8489" s="0" t="s">
        <v>11323</v>
      </c>
      <c r="C8489" s="0" t="s">
        <v>11324</v>
      </c>
      <c r="D8489" s="0" t="s">
        <v>10860</v>
      </c>
      <c r="E8489" s="0" t="inlineStr">
        <is>
          <t xml:space="preserve">Mazda</t>
        </is>
      </c>
      <c r="F8489" s="0" t="s">
        <v>13</v>
      </c>
      <c r="G8489" s="0" t="s">
        <v>49</v>
      </c>
      <c r="H8489" s="5">
        <v>3320.021200</v>
      </c>
    </row>
    <row r="8490" spans="1:9">
      <c r="A8490" s="22" t="str">
        <f>HYPERLINK("https://app.vivvix.com/360/KMI/IntelliDrive/ApplUI/Pages/CreativePages/CustomReportCreativeDetail.aspx?App=23&amp;ReportView=4&amp;Qid=1711279&amp;Row=8482&amp;Col=1","No Title Assigned - #15270764507")</f>
        <v/>
      </c>
      <c r="B8490" s="0" t="s">
        <v>11325</v>
      </c>
      <c r="C8490" s="0" t="s">
        <v>11326</v>
      </c>
      <c r="D8490" s="0" t="s">
        <v>8555</v>
      </c>
      <c r="E8490" s="0" t="inlineStr">
        <is>
          <t xml:space="preserve">Mazda</t>
        </is>
      </c>
      <c r="F8490" s="0" t="s">
        <v>13</v>
      </c>
      <c r="G8490" s="0" t="s">
        <v>49</v>
      </c>
      <c r="H8490" s="5">
        <v>102.279800</v>
      </c>
    </row>
    <row r="8491" spans="1:9">
      <c r="A8491" s="22" t="str">
        <f>HYPERLINK("https://app.vivvix.com/360/KMI/IntelliDrive/ApplUI/Pages/CreativePages/CustomReportCreativeDetail.aspx?App=23&amp;ReportView=4&amp;Qid=1711279&amp;Row=8483&amp;Col=1","No Title Assigned - #15270764596")</f>
        <v/>
      </c>
      <c r="B8491" s="0" t="s">
        <v>11327</v>
      </c>
      <c r="C8491" s="0" t="s">
        <v>11328</v>
      </c>
      <c r="D8491" s="0" t="s">
        <v>11328</v>
      </c>
      <c r="E8491" s="0" t="inlineStr">
        <is>
          <t xml:space="preserve">Mazda</t>
        </is>
      </c>
      <c r="F8491" s="0" t="s">
        <v>13</v>
      </c>
      <c r="G8491" s="0" t="s">
        <v>49</v>
      </c>
      <c r="H8491" s="5">
        <v>97.958400</v>
      </c>
    </row>
    <row r="8492" spans="1:9">
      <c r="A8492" s="22" t="str">
        <f>HYPERLINK("https://app.vivvix.com/360/KMI/IntelliDrive/ApplUI/Pages/CreativePages/CustomReportCreativeDetail.aspx?App=23&amp;ReportView=4&amp;Qid=1711279&amp;Row=8484&amp;Col=1","No Title Assigned - #15270764666")</f>
        <v/>
      </c>
      <c r="B8492" s="0" t="s">
        <v>11329</v>
      </c>
      <c r="C8492" s="0" t="s">
        <v>11330</v>
      </c>
      <c r="D8492" s="0" t="s">
        <v>7969</v>
      </c>
      <c r="E8492" s="0" t="inlineStr">
        <is>
          <t xml:space="preserve">Mazda</t>
        </is>
      </c>
      <c r="F8492" s="0" t="s">
        <v>13</v>
      </c>
      <c r="G8492" s="0" t="s">
        <v>49</v>
      </c>
      <c r="H8492" s="5">
        <v>55.357800</v>
      </c>
    </row>
    <row r="8493" spans="1:9">
      <c r="A8493" s="22" t="str">
        <f>HYPERLINK("https://app.vivvix.com/360/KMI/IntelliDrive/ApplUI/Pages/CreativePages/CustomReportCreativeDetail.aspx?App=23&amp;ReportView=4&amp;Qid=1711279&amp;Row=8485&amp;Col=1","No Title Assigned - #15270764778")</f>
        <v/>
      </c>
      <c r="B8493" s="0" t="s">
        <v>11331</v>
      </c>
      <c r="C8493" s="0" t="s">
        <v>11332</v>
      </c>
      <c r="D8493" s="0" t="s">
        <v>11332</v>
      </c>
      <c r="E8493" s="0" t="inlineStr">
        <is>
          <t xml:space="preserve">Mazda</t>
        </is>
      </c>
      <c r="F8493" s="0" t="inlineStr">
        <is>
          <t xml:space="preserve">Mazda</t>
        </is>
      </c>
      <c r="G8493" s="0" t="s">
        <v>210</v>
      </c>
      <c r="H8493" s="5">
        <v>1702.508800</v>
      </c>
    </row>
    <row r="8494" spans="1:9">
      <c r="A8494" s="22" t="str">
        <f>HYPERLINK("https://app.vivvix.com/360/KMI/IntelliDrive/ApplUI/Pages/CreativePages/CustomReportCreativeDetail.aspx?App=23&amp;ReportView=4&amp;Qid=1711279&amp;Row=8486&amp;Col=1","No Title Assigned - #15270764806")</f>
        <v/>
      </c>
      <c r="B8494" s="0" t="s">
        <v>11333</v>
      </c>
      <c r="E8494" s="0" t="inlineStr">
        <is>
          <t xml:space="preserve">Mazda</t>
        </is>
      </c>
      <c r="F8494" s="0" t="inlineStr">
        <is>
          <t xml:space="preserve">Mazda</t>
        </is>
      </c>
      <c r="G8494" s="0" t="s">
        <v>171</v>
      </c>
      <c r="H8494" s="5">
        <v>118.662000</v>
      </c>
    </row>
    <row r="8495" spans="1:9">
      <c r="A8495" s="22" t="str">
        <f>HYPERLINK("https://app.vivvix.com/360/KMI/IntelliDrive/ApplUI/Pages/CreativePages/CustomReportCreativeDetail.aspx?App=23&amp;ReportView=4&amp;Qid=1711279&amp;Row=8487&amp;Col=1","No Title Assigned - #15270764808")</f>
        <v/>
      </c>
      <c r="B8495" s="0" t="s">
        <v>11334</v>
      </c>
      <c r="C8495" s="0" t="s">
        <v>11335</v>
      </c>
      <c r="D8495" s="0" t="s">
        <v>11335</v>
      </c>
      <c r="E8495" s="0" t="inlineStr">
        <is>
          <t xml:space="preserve">Mazda</t>
        </is>
      </c>
      <c r="F8495" s="0" t="s">
        <v>13</v>
      </c>
      <c r="G8495" s="0" t="s">
        <v>49</v>
      </c>
      <c r="H8495" s="5">
        <v>216.078400</v>
      </c>
    </row>
    <row r="8496" spans="1:9">
      <c r="A8496" s="22" t="str">
        <f>HYPERLINK("https://app.vivvix.com/360/KMI/IntelliDrive/ApplUI/Pages/CreativePages/CustomReportCreativeDetail.aspx?App=23&amp;ReportView=4&amp;Qid=1711279&amp;Row=8488&amp;Col=1","No Title Assigned - #15270765113")</f>
        <v/>
      </c>
      <c r="B8496" s="0" t="s">
        <v>11336</v>
      </c>
      <c r="C8496" s="0" t="s">
        <v>11337</v>
      </c>
      <c r="D8496" s="0" t="s">
        <v>11337</v>
      </c>
      <c r="E8496" s="0" t="inlineStr">
        <is>
          <t xml:space="preserve">Mazda</t>
        </is>
      </c>
      <c r="F8496" s="0" t="s">
        <v>13</v>
      </c>
      <c r="G8496" s="0" t="s">
        <v>49</v>
      </c>
      <c r="H8496" s="5">
        <v>1692.078300</v>
      </c>
    </row>
    <row r="8497" spans="1:9">
      <c r="A8497" s="22" t="str">
        <f>HYPERLINK("https://app.vivvix.com/360/KMI/IntelliDrive/ApplUI/Pages/CreativePages/CustomReportCreativeDetail.aspx?App=23&amp;ReportView=4&amp;Qid=1711279&amp;Row=8489&amp;Col=1","No Title Assigned - #15270765123")</f>
        <v/>
      </c>
      <c r="B8497" s="0" t="s">
        <v>11338</v>
      </c>
      <c r="C8497" s="0" t="s">
        <v>11339</v>
      </c>
      <c r="D8497" s="0" t="s">
        <v>11339</v>
      </c>
      <c r="E8497" s="0" t="inlineStr">
        <is>
          <t xml:space="preserve">Mazda</t>
        </is>
      </c>
      <c r="F8497" s="0" t="s">
        <v>13</v>
      </c>
      <c r="G8497" s="0" t="s">
        <v>49</v>
      </c>
      <c r="H8497" s="5">
        <v>23332.416000</v>
      </c>
    </row>
    <row r="8498" spans="1:9">
      <c r="A8498" s="22" t="str">
        <f>HYPERLINK("https://app.vivvix.com/360/KMI/IntelliDrive/ApplUI/Pages/CreativePages/CustomReportCreativeDetail.aspx?App=23&amp;ReportView=4&amp;Qid=1711279&amp;Row=8490&amp;Col=1","No Title Assigned - #15270765123")</f>
        <v/>
      </c>
      <c r="B8498" s="0" t="s">
        <v>11338</v>
      </c>
      <c r="E8498" s="0" t="inlineStr">
        <is>
          <t xml:space="preserve">Mazda</t>
        </is>
      </c>
      <c r="F8498" s="0" t="s">
        <v>13</v>
      </c>
      <c r="G8498" s="0" t="s">
        <v>49</v>
      </c>
      <c r="H8498" s="5">
        <v>5.814500</v>
      </c>
    </row>
    <row r="8499" spans="1:9">
      <c r="A8499" s="22" t="str">
        <f>HYPERLINK("https://app.vivvix.com/360/KMI/IntelliDrive/ApplUI/Pages/CreativePages/CustomReportCreativeDetail.aspx?App=23&amp;ReportView=4&amp;Qid=1711279&amp;Row=8491&amp;Col=1","No Title Assigned - #15270765166")</f>
        <v/>
      </c>
      <c r="B8499" s="0" t="s">
        <v>11340</v>
      </c>
      <c r="C8499" s="0" t="s">
        <v>11341</v>
      </c>
      <c r="D8499" s="0" t="s">
        <v>11341</v>
      </c>
      <c r="E8499" s="0" t="inlineStr">
        <is>
          <t xml:space="preserve">Mazda</t>
        </is>
      </c>
      <c r="F8499" s="0" t="s">
        <v>13</v>
      </c>
      <c r="G8499" s="0" t="s">
        <v>49</v>
      </c>
      <c r="H8499" s="5">
        <v>1950.360900</v>
      </c>
    </row>
    <row r="8500" spans="1:9">
      <c r="A8500" s="22" t="str">
        <f>HYPERLINK("https://app.vivvix.com/360/KMI/IntelliDrive/ApplUI/Pages/CreativePages/CustomReportCreativeDetail.aspx?App=23&amp;ReportView=4&amp;Qid=1711279&amp;Row=8492&amp;Col=1","No Title Assigned - #15270765167")</f>
        <v/>
      </c>
      <c r="B8500" s="0" t="s">
        <v>11342</v>
      </c>
      <c r="C8500" s="0" t="s">
        <v>11343</v>
      </c>
      <c r="D8500" s="0" t="s">
        <v>11343</v>
      </c>
      <c r="E8500" s="0" t="inlineStr">
        <is>
          <t xml:space="preserve">Mazda</t>
        </is>
      </c>
      <c r="F8500" s="0" t="s">
        <v>13</v>
      </c>
      <c r="G8500" s="0" t="s">
        <v>49</v>
      </c>
      <c r="H8500" s="5">
        <v>650.120300</v>
      </c>
    </row>
    <row r="8501" spans="1:9">
      <c r="A8501" s="22" t="str">
        <f>HYPERLINK("https://app.vivvix.com/360/KMI/IntelliDrive/ApplUI/Pages/CreativePages/CustomReportCreativeDetail.aspx?App=23&amp;ReportView=4&amp;Qid=1711279&amp;Row=8493&amp;Col=1","No Title Assigned - #15270765185")</f>
        <v/>
      </c>
      <c r="B8501" s="0" t="s">
        <v>11344</v>
      </c>
      <c r="C8501" s="0" t="s">
        <v>11345</v>
      </c>
      <c r="D8501" s="0" t="s">
        <v>11345</v>
      </c>
      <c r="E8501" s="0" t="inlineStr">
        <is>
          <t xml:space="preserve">Mazda</t>
        </is>
      </c>
      <c r="F8501" s="0" t="s">
        <v>13</v>
      </c>
      <c r="G8501" s="0" t="s">
        <v>49</v>
      </c>
      <c r="H8501" s="5">
        <v>132.178100</v>
      </c>
    </row>
    <row r="8502" spans="1:9">
      <c r="A8502" s="22" t="str">
        <f>HYPERLINK("https://app.vivvix.com/360/KMI/IntelliDrive/ApplUI/Pages/CreativePages/CustomReportCreativeDetail.aspx?App=23&amp;ReportView=4&amp;Qid=1711279&amp;Row=8494&amp;Col=1","No Title Assigned - #15270765190")</f>
        <v/>
      </c>
      <c r="B8502" s="0" t="s">
        <v>11346</v>
      </c>
      <c r="C8502" s="0" t="s">
        <v>11347</v>
      </c>
      <c r="D8502" s="0" t="s">
        <v>11347</v>
      </c>
      <c r="E8502" s="0" t="inlineStr">
        <is>
          <t xml:space="preserve">Mazda</t>
        </is>
      </c>
      <c r="F8502" s="0" t="s">
        <v>13</v>
      </c>
      <c r="G8502" s="0" t="s">
        <v>49</v>
      </c>
      <c r="H8502" s="5">
        <v>628.495900</v>
      </c>
    </row>
    <row r="8503" spans="1:9">
      <c r="A8503" s="22" t="str">
        <f>HYPERLINK("https://app.vivvix.com/360/KMI/IntelliDrive/ApplUI/Pages/CreativePages/CustomReportCreativeDetail.aspx?App=23&amp;ReportView=4&amp;Qid=1711279&amp;Row=8495&amp;Col=1","No Title Assigned - #15270765212")</f>
        <v/>
      </c>
      <c r="B8503" s="0" t="s">
        <v>11348</v>
      </c>
      <c r="C8503" s="0" t="s">
        <v>11349</v>
      </c>
      <c r="D8503" s="0" t="s">
        <v>11349</v>
      </c>
      <c r="E8503" s="0" t="inlineStr">
        <is>
          <t xml:space="preserve">Mazda</t>
        </is>
      </c>
      <c r="F8503" s="0" t="inlineStr">
        <is>
          <t xml:space="preserve">Mazda</t>
        </is>
      </c>
      <c r="G8503" s="0" t="s">
        <v>210</v>
      </c>
      <c r="H8503" s="5">
        <v>15793.754100</v>
      </c>
    </row>
    <row r="8504" spans="1:9">
      <c r="A8504" s="22" t="str">
        <f>HYPERLINK("https://app.vivvix.com/360/KMI/IntelliDrive/ApplUI/Pages/CreativePages/CustomReportCreativeDetail.aspx?App=23&amp;ReportView=4&amp;Qid=1711279&amp;Row=8496&amp;Col=1","No Title Assigned - #15270765334")</f>
        <v/>
      </c>
      <c r="B8504" s="0" t="s">
        <v>11350</v>
      </c>
      <c r="E8504" s="0" t="inlineStr">
        <is>
          <t xml:space="preserve">Mazda</t>
        </is>
      </c>
      <c r="F8504" s="0" t="inlineStr">
        <is>
          <t xml:space="preserve">Mazda</t>
        </is>
      </c>
      <c r="G8504" s="0" t="s">
        <v>171</v>
      </c>
      <c r="H8504" s="5">
        <v>30.089900</v>
      </c>
    </row>
    <row r="8505" spans="1:9">
      <c r="A8505" s="22" t="str">
        <f>HYPERLINK("https://app.vivvix.com/360/KMI/IntelliDrive/ApplUI/Pages/CreativePages/CustomReportCreativeDetail.aspx?App=23&amp;ReportView=4&amp;Qid=1711279&amp;Row=8497&amp;Col=1","No Title Assigned - #15270765647")</f>
        <v/>
      </c>
      <c r="B8505" s="0" t="s">
        <v>11351</v>
      </c>
      <c r="E8505" s="0" t="inlineStr">
        <is>
          <t xml:space="preserve">Mazda</t>
        </is>
      </c>
      <c r="F8505" s="0" t="inlineStr">
        <is>
          <t xml:space="preserve">Mazda</t>
        </is>
      </c>
      <c r="G8505" s="0" t="s">
        <v>171</v>
      </c>
      <c r="H8505" s="5">
        <v>31.975200</v>
      </c>
    </row>
    <row r="8506" spans="1:9">
      <c r="A8506" s="22" t="str">
        <f>HYPERLINK("https://app.vivvix.com/360/KMI/IntelliDrive/ApplUI/Pages/CreativePages/CustomReportCreativeDetail.aspx?App=23&amp;ReportView=4&amp;Qid=1711279&amp;Row=8498&amp;Col=1","No Title Assigned - #15270765656")</f>
        <v/>
      </c>
      <c r="B8506" s="0" t="s">
        <v>11352</v>
      </c>
      <c r="E8506" s="0" t="inlineStr">
        <is>
          <t xml:space="preserve">Mazda</t>
        </is>
      </c>
      <c r="F8506" s="0" t="inlineStr">
        <is>
          <t xml:space="preserve">Mazda</t>
        </is>
      </c>
      <c r="G8506" s="0" t="s">
        <v>171</v>
      </c>
      <c r="H8506" s="5">
        <v>1767.858000</v>
      </c>
    </row>
    <row r="8507" spans="1:9">
      <c r="A8507" s="22" t="str">
        <f>HYPERLINK("https://app.vivvix.com/360/KMI/IntelliDrive/ApplUI/Pages/CreativePages/CustomReportCreativeDetail.aspx?App=23&amp;ReportView=4&amp;Qid=1711279&amp;Row=8499&amp;Col=1","No Title Assigned - #15270765782")</f>
        <v/>
      </c>
      <c r="B8507" s="0" t="s">
        <v>11353</v>
      </c>
      <c r="E8507" s="0" t="inlineStr">
        <is>
          <t xml:space="preserve">Mazda</t>
        </is>
      </c>
      <c r="F8507" s="0" t="inlineStr">
        <is>
          <t xml:space="preserve">Mazda</t>
        </is>
      </c>
      <c r="G8507" s="0" t="s">
        <v>171</v>
      </c>
      <c r="H8507" s="5">
        <v>37.953000</v>
      </c>
    </row>
    <row r="8508" spans="1:9">
      <c r="A8508" s="22" t="str">
        <f>HYPERLINK("https://app.vivvix.com/360/KMI/IntelliDrive/ApplUI/Pages/CreativePages/CustomReportCreativeDetail.aspx?App=23&amp;ReportView=4&amp;Qid=1711279&amp;Row=8500&amp;Col=1","No Title Assigned - #15270765789")</f>
        <v/>
      </c>
      <c r="B8508" s="0" t="s">
        <v>11354</v>
      </c>
      <c r="E8508" s="0" t="inlineStr">
        <is>
          <t xml:space="preserve">Mazda</t>
        </is>
      </c>
      <c r="F8508" s="0" t="inlineStr">
        <is>
          <t xml:space="preserve">Mazda</t>
        </is>
      </c>
      <c r="G8508" s="0" t="s">
        <v>171</v>
      </c>
      <c r="H8508" s="5">
        <v>36.977100</v>
      </c>
    </row>
    <row r="8509" spans="1:9">
      <c r="A8509" s="22" t="str">
        <f>HYPERLINK("https://app.vivvix.com/360/KMI/IntelliDrive/ApplUI/Pages/CreativePages/CustomReportCreativeDetail.aspx?App=23&amp;ReportView=4&amp;Qid=1711279&amp;Row=8501&amp;Col=1","No Title Assigned - #15270765795")</f>
        <v/>
      </c>
      <c r="B8509" s="0" t="s">
        <v>11355</v>
      </c>
      <c r="E8509" s="0" t="inlineStr">
        <is>
          <t xml:space="preserve">Mazda</t>
        </is>
      </c>
      <c r="F8509" s="0" t="inlineStr">
        <is>
          <t xml:space="preserve">Mazda</t>
        </is>
      </c>
      <c r="G8509" s="0" t="s">
        <v>171</v>
      </c>
      <c r="H8509" s="5">
        <v>285.257000</v>
      </c>
    </row>
    <row r="8510" spans="1:9">
      <c r="A8510" s="22" t="str">
        <f>HYPERLINK("https://app.vivvix.com/360/KMI/IntelliDrive/ApplUI/Pages/CreativePages/CustomReportCreativeDetail.aspx?App=23&amp;ReportView=4&amp;Qid=1711279&amp;Row=8502&amp;Col=1","No Title Assigned - #15270765824")</f>
        <v/>
      </c>
      <c r="B8510" s="0" t="s">
        <v>11356</v>
      </c>
      <c r="E8510" s="0" t="inlineStr">
        <is>
          <t xml:space="preserve">Mazda</t>
        </is>
      </c>
      <c r="F8510" s="0" t="inlineStr">
        <is>
          <t xml:space="preserve">Mazda</t>
        </is>
      </c>
      <c r="G8510" s="0" t="s">
        <v>171</v>
      </c>
      <c r="H8510" s="5">
        <v>18.891500</v>
      </c>
    </row>
    <row r="8511" spans="1:9">
      <c r="A8511" s="22" t="str">
        <f>HYPERLINK("https://app.vivvix.com/360/KMI/IntelliDrive/ApplUI/Pages/CreativePages/CustomReportCreativeDetail.aspx?App=23&amp;ReportView=4&amp;Qid=1711279&amp;Row=8503&amp;Col=1","No Title Assigned - #15270765827")</f>
        <v/>
      </c>
      <c r="B8511" s="0" t="s">
        <v>11357</v>
      </c>
      <c r="E8511" s="0" t="inlineStr">
        <is>
          <t xml:space="preserve">Mazda</t>
        </is>
      </c>
      <c r="F8511" s="0" t="inlineStr">
        <is>
          <t xml:space="preserve">Mazda</t>
        </is>
      </c>
      <c r="G8511" s="0" t="s">
        <v>171</v>
      </c>
      <c r="H8511" s="5">
        <v>37.783000</v>
      </c>
    </row>
    <row r="8512" spans="1:9">
      <c r="A8512" s="22" t="str">
        <f>HYPERLINK("https://app.vivvix.com/360/KMI/IntelliDrive/ApplUI/Pages/CreativePages/CustomReportCreativeDetail.aspx?App=23&amp;ReportView=4&amp;Qid=1711279&amp;Row=8504&amp;Col=1","No Title Assigned - #15270765969")</f>
        <v/>
      </c>
      <c r="B8512" s="0" t="s">
        <v>11358</v>
      </c>
      <c r="E8512" s="0" t="inlineStr">
        <is>
          <t xml:space="preserve">Mazda</t>
        </is>
      </c>
      <c r="F8512" s="0" t="inlineStr">
        <is>
          <t xml:space="preserve">Mazda</t>
        </is>
      </c>
      <c r="G8512" s="0" t="s">
        <v>171</v>
      </c>
      <c r="H8512" s="5">
        <v>4.323200</v>
      </c>
    </row>
    <row r="8513" spans="1:9">
      <c r="A8513" s="22" t="str">
        <f>HYPERLINK("https://app.vivvix.com/360/KMI/IntelliDrive/ApplUI/Pages/CreativePages/CustomReportCreativeDetail.aspx?App=23&amp;ReportView=4&amp;Qid=1711279&amp;Row=8505&amp;Col=1","No Title Assigned - #15270766003")</f>
        <v/>
      </c>
      <c r="B8513" s="0" t="s">
        <v>11359</v>
      </c>
      <c r="E8513" s="0" t="inlineStr">
        <is>
          <t xml:space="preserve">Mazda</t>
        </is>
      </c>
      <c r="F8513" s="0" t="inlineStr">
        <is>
          <t xml:space="preserve">Mazda</t>
        </is>
      </c>
      <c r="G8513" s="0" t="s">
        <v>171</v>
      </c>
      <c r="H8513" s="5">
        <v>263.125300</v>
      </c>
    </row>
    <row r="8514" spans="1:9">
      <c r="A8514" s="22" t="str">
        <f>HYPERLINK("https://app.vivvix.com/360/KMI/IntelliDrive/ApplUI/Pages/CreativePages/CustomReportCreativeDetail.aspx?App=23&amp;ReportView=4&amp;Qid=1711279&amp;Row=8506&amp;Col=1","No Title Assigned - #15270766047")</f>
        <v/>
      </c>
      <c r="B8514" s="0" t="s">
        <v>11360</v>
      </c>
      <c r="E8514" s="0" t="inlineStr">
        <is>
          <t xml:space="preserve">Mazda</t>
        </is>
      </c>
      <c r="F8514" s="0" t="inlineStr">
        <is>
          <t xml:space="preserve">Mazda</t>
        </is>
      </c>
      <c r="G8514" s="0" t="s">
        <v>171</v>
      </c>
      <c r="H8514" s="5">
        <v>11872.945300</v>
      </c>
    </row>
    <row r="8515" spans="1:9">
      <c r="A8515" s="22" t="str">
        <f>HYPERLINK("https://app.vivvix.com/360/KMI/IntelliDrive/ApplUI/Pages/CreativePages/CustomReportCreativeDetail.aspx?App=23&amp;ReportView=4&amp;Qid=1711279&amp;Row=8507&amp;Col=1","No Title Assigned - #15270766050")</f>
        <v/>
      </c>
      <c r="B8515" s="0" t="s">
        <v>11361</v>
      </c>
      <c r="E8515" s="0" t="inlineStr">
        <is>
          <t xml:space="preserve">Mazda</t>
        </is>
      </c>
      <c r="F8515" s="0" t="inlineStr">
        <is>
          <t xml:space="preserve">Mazda</t>
        </is>
      </c>
      <c r="G8515" s="0" t="s">
        <v>171</v>
      </c>
      <c r="H8515" s="5">
        <v>21.974800</v>
      </c>
    </row>
    <row r="8516" spans="1:9">
      <c r="A8516" s="22" t="str">
        <f>HYPERLINK("https://app.vivvix.com/360/KMI/IntelliDrive/ApplUI/Pages/CreativePages/CustomReportCreativeDetail.aspx?App=23&amp;ReportView=4&amp;Qid=1711279&amp;Row=8508&amp;Col=1","No Title Assigned - #15270766197")</f>
        <v/>
      </c>
      <c r="B8516" s="0" t="s">
        <v>11362</v>
      </c>
      <c r="E8516" s="0" t="inlineStr">
        <is>
          <t xml:space="preserve">Mazda</t>
        </is>
      </c>
      <c r="F8516" s="0" t="inlineStr">
        <is>
          <t xml:space="preserve">Mazda</t>
        </is>
      </c>
      <c r="G8516" s="0" t="s">
        <v>171</v>
      </c>
      <c r="H8516" s="5">
        <v>175.305600</v>
      </c>
    </row>
    <row r="8517" spans="1:9">
      <c r="A8517" s="22" t="str">
        <f>HYPERLINK("https://app.vivvix.com/360/KMI/IntelliDrive/ApplUI/Pages/CreativePages/CustomReportCreativeDetail.aspx?App=23&amp;ReportView=4&amp;Qid=1711279&amp;Row=8509&amp;Col=1","No Title Assigned - #15270766422")</f>
        <v/>
      </c>
      <c r="B8517" s="0" t="s">
        <v>11363</v>
      </c>
      <c r="E8517" s="0" t="inlineStr">
        <is>
          <t xml:space="preserve">Mazda</t>
        </is>
      </c>
      <c r="F8517" s="0" t="inlineStr">
        <is>
          <t xml:space="preserve">Mazda</t>
        </is>
      </c>
      <c r="G8517" s="0" t="s">
        <v>171</v>
      </c>
      <c r="H8517" s="5">
        <v>116.522100</v>
      </c>
    </row>
    <row r="8518" spans="1:9">
      <c r="A8518" s="22" t="str">
        <f>HYPERLINK("https://app.vivvix.com/360/KMI/IntelliDrive/ApplUI/Pages/CreativePages/CustomReportCreativeDetail.aspx?App=23&amp;ReportView=4&amp;Qid=1711279&amp;Row=8510&amp;Col=1","No Title Assigned - #15270766434")</f>
        <v/>
      </c>
      <c r="B8518" s="0" t="s">
        <v>11364</v>
      </c>
      <c r="E8518" s="0" t="inlineStr">
        <is>
          <t xml:space="preserve">Mazda</t>
        </is>
      </c>
      <c r="F8518" s="0" t="inlineStr">
        <is>
          <t xml:space="preserve">Mazda</t>
        </is>
      </c>
      <c r="G8518" s="0" t="s">
        <v>171</v>
      </c>
      <c r="H8518" s="5">
        <v>3.445700</v>
      </c>
    </row>
    <row r="8519" spans="1:9">
      <c r="A8519" s="22" t="str">
        <f>HYPERLINK("https://app.vivvix.com/360/KMI/IntelliDrive/ApplUI/Pages/CreativePages/CustomReportCreativeDetail.aspx?App=23&amp;ReportView=4&amp;Qid=1711279&amp;Row=8511&amp;Col=1","No Title Assigned - #15270766502")</f>
        <v/>
      </c>
      <c r="B8519" s="0" t="s">
        <v>11365</v>
      </c>
      <c r="E8519" s="0" t="inlineStr">
        <is>
          <t xml:space="preserve">Mazda</t>
        </is>
      </c>
      <c r="F8519" s="0" t="inlineStr">
        <is>
          <t xml:space="preserve">Mazda</t>
        </is>
      </c>
      <c r="G8519" s="0" t="s">
        <v>171</v>
      </c>
      <c r="H8519" s="5">
        <v>12236.838900</v>
      </c>
    </row>
    <row r="8520" spans="1:9">
      <c r="A8520" s="22" t="str">
        <f>HYPERLINK("https://app.vivvix.com/360/KMI/IntelliDrive/ApplUI/Pages/CreativePages/CustomReportCreativeDetail.aspx?App=23&amp;ReportView=4&amp;Qid=1711279&amp;Row=8512&amp;Col=1","No Title Assigned - #15270766502")</f>
        <v/>
      </c>
      <c r="B8520" s="0" t="s">
        <v>11365</v>
      </c>
      <c r="E8520" s="0" t="inlineStr">
        <is>
          <t xml:space="preserve">Mazda</t>
        </is>
      </c>
      <c r="F8520" s="0" t="inlineStr">
        <is>
          <t xml:space="preserve">Mazda</t>
        </is>
      </c>
      <c r="G8520" s="0" t="s">
        <v>171</v>
      </c>
      <c r="H8520" s="5">
        <v>60.873500</v>
      </c>
    </row>
    <row r="8521" spans="1:9">
      <c r="A8521" s="22" t="str">
        <f>HYPERLINK("https://app.vivvix.com/360/KMI/IntelliDrive/ApplUI/Pages/CreativePages/CustomReportCreativeDetail.aspx?App=23&amp;ReportView=4&amp;Qid=1711279&amp;Row=8513&amp;Col=1","No Title Assigned - #15270766503")</f>
        <v/>
      </c>
      <c r="B8521" s="0" t="s">
        <v>11366</v>
      </c>
      <c r="E8521" s="0" t="inlineStr">
        <is>
          <t xml:space="preserve">Mazda</t>
        </is>
      </c>
      <c r="F8521" s="0" t="inlineStr">
        <is>
          <t xml:space="preserve">Mazda</t>
        </is>
      </c>
      <c r="G8521" s="0" t="s">
        <v>171</v>
      </c>
      <c r="H8521" s="5">
        <v>210.309600</v>
      </c>
    </row>
    <row r="8522" spans="1:9">
      <c r="A8522" s="22" t="str">
        <f>HYPERLINK("https://app.vivvix.com/360/KMI/IntelliDrive/ApplUI/Pages/CreativePages/CustomReportCreativeDetail.aspx?App=23&amp;ReportView=4&amp;Qid=1711279&amp;Row=8514&amp;Col=1","No Title Assigned - #15270766542")</f>
        <v/>
      </c>
      <c r="B8522" s="0" t="s">
        <v>11367</v>
      </c>
      <c r="E8522" s="0" t="inlineStr">
        <is>
          <t xml:space="preserve">Mazda</t>
        </is>
      </c>
      <c r="F8522" s="0" t="inlineStr">
        <is>
          <t xml:space="preserve">Mazda</t>
        </is>
      </c>
      <c r="G8522" s="0" t="s">
        <v>171</v>
      </c>
      <c r="H8522" s="5">
        <v>308.250700</v>
      </c>
    </row>
    <row r="8523" spans="1:9">
      <c r="A8523" s="22" t="str">
        <f>HYPERLINK("https://app.vivvix.com/360/KMI/IntelliDrive/ApplUI/Pages/CreativePages/CustomReportCreativeDetail.aspx?App=23&amp;ReportView=4&amp;Qid=1711279&amp;Row=8515&amp;Col=1","No Title Assigned - #15270766544")</f>
        <v/>
      </c>
      <c r="B8523" s="0" t="s">
        <v>11368</v>
      </c>
      <c r="E8523" s="0" t="inlineStr">
        <is>
          <t xml:space="preserve">Mazda</t>
        </is>
      </c>
      <c r="F8523" s="0" t="inlineStr">
        <is>
          <t xml:space="preserve">Mazda</t>
        </is>
      </c>
      <c r="G8523" s="0" t="s">
        <v>171</v>
      </c>
      <c r="H8523" s="5">
        <v>308.250700</v>
      </c>
    </row>
    <row r="8524" spans="1:9">
      <c r="A8524" s="22" t="str">
        <f>HYPERLINK("https://app.vivvix.com/360/KMI/IntelliDrive/ApplUI/Pages/CreativePages/CustomReportCreativeDetail.aspx?App=23&amp;ReportView=4&amp;Qid=1711279&amp;Row=8516&amp;Col=1","No Title Assigned - #15270766672")</f>
        <v/>
      </c>
      <c r="B8524" s="0" t="s">
        <v>11369</v>
      </c>
      <c r="C8524" s="0" t="s">
        <v>11370</v>
      </c>
      <c r="D8524" s="0" t="s">
        <v>11370</v>
      </c>
      <c r="E8524" s="0" t="inlineStr">
        <is>
          <t xml:space="preserve">Mazda</t>
        </is>
      </c>
      <c r="F8524" s="0" t="s">
        <v>13</v>
      </c>
      <c r="G8524" s="0" t="s">
        <v>49</v>
      </c>
      <c r="H8524" s="5">
        <v>45731.351600</v>
      </c>
    </row>
    <row r="8525" spans="1:9">
      <c r="A8525" s="22" t="str">
        <f>HYPERLINK("https://app.vivvix.com/360/KMI/IntelliDrive/ApplUI/Pages/CreativePages/CustomReportCreativeDetail.aspx?App=23&amp;ReportView=4&amp;Qid=1711279&amp;Row=8517&amp;Col=1","No Title Assigned - #15270766726")</f>
        <v/>
      </c>
      <c r="B8525" s="0" t="s">
        <v>11371</v>
      </c>
      <c r="E8525" s="0" t="inlineStr">
        <is>
          <t xml:space="preserve">Mazda</t>
        </is>
      </c>
      <c r="F8525" s="0" t="inlineStr">
        <is>
          <t xml:space="preserve">Mazda</t>
        </is>
      </c>
      <c r="G8525" s="0" t="s">
        <v>171</v>
      </c>
      <c r="H8525" s="5">
        <v>429.850300</v>
      </c>
    </row>
    <row r="8526" spans="1:9">
      <c r="A8526" s="22" t="str">
        <f>HYPERLINK("https://app.vivvix.com/360/KMI/IntelliDrive/ApplUI/Pages/CreativePages/CustomReportCreativeDetail.aspx?App=23&amp;ReportView=4&amp;Qid=1711279&amp;Row=8518&amp;Col=1","No Title Assigned - #15270766886")</f>
        <v/>
      </c>
      <c r="B8526" s="0" t="s">
        <v>11372</v>
      </c>
      <c r="C8526" s="0" t="s">
        <v>11373</v>
      </c>
      <c r="D8526" s="0" t="s">
        <v>11373</v>
      </c>
      <c r="E8526" s="0" t="inlineStr">
        <is>
          <t xml:space="preserve">Mazda</t>
        </is>
      </c>
      <c r="F8526" s="0" t="s">
        <v>13</v>
      </c>
      <c r="G8526" s="0" t="s">
        <v>49</v>
      </c>
      <c r="H8526" s="5">
        <v>8184.093400</v>
      </c>
    </row>
    <row r="8527" spans="1:9">
      <c r="A8527" s="22" t="str">
        <f>HYPERLINK("https://app.vivvix.com/360/KMI/IntelliDrive/ApplUI/Pages/CreativePages/CustomReportCreativeDetail.aspx?App=23&amp;ReportView=4&amp;Qid=1711279&amp;Row=8519&amp;Col=1","No Title Assigned - #15270767039")</f>
        <v/>
      </c>
      <c r="B8527" s="0" t="s">
        <v>11374</v>
      </c>
      <c r="C8527" s="0" t="s">
        <v>11375</v>
      </c>
      <c r="D8527" s="0" t="s">
        <v>9753</v>
      </c>
      <c r="E8527" s="0" t="inlineStr">
        <is>
          <t xml:space="preserve">Mazda</t>
        </is>
      </c>
      <c r="F8527" s="0" t="s">
        <v>13</v>
      </c>
      <c r="G8527" s="0" t="s">
        <v>49</v>
      </c>
      <c r="H8527" s="5">
        <v>53.871600</v>
      </c>
    </row>
    <row r="8528" spans="1:9">
      <c r="A8528" s="22" t="str">
        <f>HYPERLINK("https://app.vivvix.com/360/KMI/IntelliDrive/ApplUI/Pages/CreativePages/CustomReportCreativeDetail.aspx?App=23&amp;ReportView=4&amp;Qid=1711279&amp;Row=8520&amp;Col=1","No Title Assigned - #15270767040")</f>
        <v/>
      </c>
      <c r="B8528" s="0" t="s">
        <v>11376</v>
      </c>
      <c r="C8528" s="0" t="s">
        <v>11377</v>
      </c>
      <c r="D8528" s="0" t="s">
        <v>8492</v>
      </c>
      <c r="E8528" s="0" t="inlineStr">
        <is>
          <t xml:space="preserve">Mazda</t>
        </is>
      </c>
      <c r="F8528" s="0" t="s">
        <v>13</v>
      </c>
      <c r="G8528" s="0" t="s">
        <v>49</v>
      </c>
      <c r="H8528" s="5">
        <v>53.871600</v>
      </c>
    </row>
    <row r="8529" spans="1:9">
      <c r="A8529" s="22" t="str">
        <f>HYPERLINK("https://app.vivvix.com/360/KMI/IntelliDrive/ApplUI/Pages/CreativePages/CustomReportCreativeDetail.aspx?App=23&amp;ReportView=4&amp;Qid=1711279&amp;Row=8521&amp;Col=1","No Title Assigned - #15270767044")</f>
        <v/>
      </c>
      <c r="B8529" s="0" t="s">
        <v>11378</v>
      </c>
      <c r="C8529" s="0" t="s">
        <v>11379</v>
      </c>
      <c r="D8529" s="0" t="s">
        <v>8560</v>
      </c>
      <c r="E8529" s="0" t="inlineStr">
        <is>
          <t xml:space="preserve">Mazda</t>
        </is>
      </c>
      <c r="F8529" s="0" t="s">
        <v>13</v>
      </c>
      <c r="G8529" s="0" t="s">
        <v>49</v>
      </c>
      <c r="H8529" s="5">
        <v>1538.076600</v>
      </c>
    </row>
    <row r="8530" spans="1:9">
      <c r="A8530" s="22" t="str">
        <f>HYPERLINK("https://app.vivvix.com/360/KMI/IntelliDrive/ApplUI/Pages/CreativePages/CustomReportCreativeDetail.aspx?App=23&amp;ReportView=4&amp;Qid=1711279&amp;Row=8522&amp;Col=1","No Title Assigned - #15270767046")</f>
        <v/>
      </c>
      <c r="B8530" s="0" t="s">
        <v>11380</v>
      </c>
      <c r="E8530" s="0" t="inlineStr">
        <is>
          <t xml:space="preserve">Mazda</t>
        </is>
      </c>
      <c r="F8530" s="0" t="s">
        <v>13</v>
      </c>
      <c r="G8530" s="0" t="s">
        <v>49</v>
      </c>
      <c r="H8530" s="5">
        <v>16020.488300</v>
      </c>
    </row>
    <row r="8531" spans="1:9">
      <c r="A8531" s="22" t="str">
        <f>HYPERLINK("https://app.vivvix.com/360/KMI/IntelliDrive/ApplUI/Pages/CreativePages/CustomReportCreativeDetail.aspx?App=23&amp;ReportView=4&amp;Qid=1711279&amp;Row=8523&amp;Col=1","No Title Assigned - #15270767046")</f>
        <v/>
      </c>
      <c r="B8531" s="0" t="s">
        <v>11380</v>
      </c>
      <c r="C8531" s="0" t="s">
        <v>11381</v>
      </c>
      <c r="D8531" s="0" t="s">
        <v>8882</v>
      </c>
      <c r="E8531" s="0" t="inlineStr">
        <is>
          <t xml:space="preserve">Mazda</t>
        </is>
      </c>
      <c r="F8531" s="0" t="s">
        <v>13</v>
      </c>
      <c r="G8531" s="0" t="s">
        <v>49</v>
      </c>
      <c r="H8531" s="5">
        <v>455.568300</v>
      </c>
    </row>
    <row r="8532" spans="1:9">
      <c r="A8532" s="22" t="str">
        <f>HYPERLINK("https://app.vivvix.com/360/KMI/IntelliDrive/ApplUI/Pages/CreativePages/CustomReportCreativeDetail.aspx?App=23&amp;ReportView=4&amp;Qid=1711279&amp;Row=8524&amp;Col=1","No Title Assigned - #15270767069")</f>
        <v/>
      </c>
      <c r="B8532" s="0" t="s">
        <v>11382</v>
      </c>
      <c r="E8532" s="0" t="inlineStr">
        <is>
          <t xml:space="preserve">Mazda</t>
        </is>
      </c>
      <c r="F8532" s="0" t="inlineStr">
        <is>
          <t xml:space="preserve">Mazda</t>
        </is>
      </c>
      <c r="G8532" s="0" t="s">
        <v>171</v>
      </c>
      <c r="H8532" s="5">
        <v>958.502300</v>
      </c>
    </row>
    <row r="8533" spans="1:9">
      <c r="A8533" s="22" t="str">
        <f>HYPERLINK("https://app.vivvix.com/360/KMI/IntelliDrive/ApplUI/Pages/CreativePages/CustomReportCreativeDetail.aspx?App=23&amp;ReportView=4&amp;Qid=1711279&amp;Row=8525&amp;Col=1","No Title Assigned - #15270767108")</f>
        <v/>
      </c>
      <c r="B8533" s="0" t="s">
        <v>11383</v>
      </c>
      <c r="C8533" s="0" t="s">
        <v>11384</v>
      </c>
      <c r="D8533" s="0" t="s">
        <v>10400</v>
      </c>
      <c r="E8533" s="0" t="inlineStr">
        <is>
          <t xml:space="preserve">Mazda</t>
        </is>
      </c>
      <c r="F8533" s="0" t="s">
        <v>13</v>
      </c>
      <c r="G8533" s="0" t="s">
        <v>49</v>
      </c>
      <c r="H8533" s="5">
        <v>411.005900</v>
      </c>
    </row>
    <row r="8534" spans="1:9">
      <c r="A8534" s="22" t="str">
        <f>HYPERLINK("https://app.vivvix.com/360/KMI/IntelliDrive/ApplUI/Pages/CreativePages/CustomReportCreativeDetail.aspx?App=23&amp;ReportView=4&amp;Qid=1711279&amp;Row=8526&amp;Col=1","No Title Assigned - #15270767184")</f>
        <v/>
      </c>
      <c r="B8534" s="0" t="s">
        <v>11385</v>
      </c>
      <c r="C8534" s="0" t="s">
        <v>11386</v>
      </c>
      <c r="D8534" s="0" t="s">
        <v>11386</v>
      </c>
      <c r="E8534" s="0" t="inlineStr">
        <is>
          <t xml:space="preserve">Mazda</t>
        </is>
      </c>
      <c r="F8534" s="0" t="s">
        <v>13</v>
      </c>
      <c r="G8534" s="0" t="s">
        <v>49</v>
      </c>
      <c r="H8534" s="5">
        <v>130.985800</v>
      </c>
    </row>
    <row r="8535" spans="1:9">
      <c r="A8535" s="22" t="str">
        <f>HYPERLINK("https://app.vivvix.com/360/KMI/IntelliDrive/ApplUI/Pages/CreativePages/CustomReportCreativeDetail.aspx?App=23&amp;ReportView=4&amp;Qid=1711279&amp;Row=8527&amp;Col=1","No Title Assigned - #15270767196")</f>
        <v/>
      </c>
      <c r="B8535" s="0" t="s">
        <v>11387</v>
      </c>
      <c r="C8535" s="0" t="s">
        <v>11388</v>
      </c>
      <c r="D8535" s="0" t="s">
        <v>10004</v>
      </c>
      <c r="E8535" s="0" t="inlineStr">
        <is>
          <t xml:space="preserve">Mazda</t>
        </is>
      </c>
      <c r="F8535" s="0" t="s">
        <v>13</v>
      </c>
      <c r="G8535" s="0" t="s">
        <v>49</v>
      </c>
      <c r="H8535" s="5">
        <v>1455.904300</v>
      </c>
    </row>
    <row r="8536" spans="1:9">
      <c r="A8536" s="22" t="str">
        <f>HYPERLINK("https://app.vivvix.com/360/KMI/IntelliDrive/ApplUI/Pages/CreativePages/CustomReportCreativeDetail.aspx?App=23&amp;ReportView=4&amp;Qid=1711279&amp;Row=8528&amp;Col=1","No Title Assigned - #15270767214")</f>
        <v/>
      </c>
      <c r="B8536" s="0" t="s">
        <v>11389</v>
      </c>
      <c r="C8536" s="0" t="s">
        <v>11390</v>
      </c>
      <c r="D8536" s="0" t="s">
        <v>11390</v>
      </c>
      <c r="E8536" s="0" t="inlineStr">
        <is>
          <t xml:space="preserve">Mazda</t>
        </is>
      </c>
      <c r="F8536" s="0" t="s">
        <v>13</v>
      </c>
      <c r="G8536" s="0" t="s">
        <v>49</v>
      </c>
      <c r="H8536" s="5">
        <v>5358.341300</v>
      </c>
    </row>
    <row r="8537" spans="1:9">
      <c r="A8537" s="22" t="str">
        <f>HYPERLINK("https://app.vivvix.com/360/KMI/IntelliDrive/ApplUI/Pages/CreativePages/CustomReportCreativeDetail.aspx?App=23&amp;ReportView=4&amp;Qid=1711279&amp;Row=8529&amp;Col=1","No Title Assigned - #15270767261")</f>
        <v/>
      </c>
      <c r="B8537" s="0" t="s">
        <v>11391</v>
      </c>
      <c r="C8537" s="0" t="s">
        <v>11392</v>
      </c>
      <c r="D8537" s="0" t="s">
        <v>4333</v>
      </c>
      <c r="E8537" s="0" t="inlineStr">
        <is>
          <t xml:space="preserve">Mazda</t>
        </is>
      </c>
      <c r="F8537" s="0" t="s">
        <v>28</v>
      </c>
      <c r="G8537" s="0" t="s">
        <v>29</v>
      </c>
      <c r="H8537" s="5">
        <v>11.331300</v>
      </c>
    </row>
    <row r="8538" spans="1:9">
      <c r="A8538" s="22" t="str">
        <f>HYPERLINK("https://app.vivvix.com/360/KMI/IntelliDrive/ApplUI/Pages/CreativePages/CustomReportCreativeDetail.aspx?App=23&amp;ReportView=4&amp;Qid=1711279&amp;Row=8530&amp;Col=1","No Title Assigned - #15270767279")</f>
        <v/>
      </c>
      <c r="B8538" s="0" t="s">
        <v>11393</v>
      </c>
      <c r="C8538" s="0" t="s">
        <v>11394</v>
      </c>
      <c r="D8538" s="0" t="s">
        <v>5514</v>
      </c>
      <c r="E8538" s="0" t="inlineStr">
        <is>
          <t xml:space="preserve">Mazda</t>
        </is>
      </c>
      <c r="F8538" s="0" t="s">
        <v>28</v>
      </c>
      <c r="G8538" s="0" t="s">
        <v>29</v>
      </c>
      <c r="H8538" s="5">
        <v>11.471000</v>
      </c>
    </row>
    <row r="8539" spans="1:9">
      <c r="A8539" s="22" t="str">
        <f>HYPERLINK("https://app.vivvix.com/360/KMI/IntelliDrive/ApplUI/Pages/CreativePages/CustomReportCreativeDetail.aspx?App=23&amp;ReportView=4&amp;Qid=1711279&amp;Row=8531&amp;Col=1","No Title Assigned - #15270767300")</f>
        <v/>
      </c>
      <c r="B8539" s="0" t="s">
        <v>11395</v>
      </c>
      <c r="C8539" s="0" t="s">
        <v>11396</v>
      </c>
      <c r="D8539" s="0" t="s">
        <v>7969</v>
      </c>
      <c r="E8539" s="0" t="inlineStr">
        <is>
          <t xml:space="preserve">Mazda</t>
        </is>
      </c>
      <c r="F8539" s="0" t="s">
        <v>13</v>
      </c>
      <c r="G8539" s="0" t="s">
        <v>49</v>
      </c>
      <c r="H8539" s="5">
        <v>1189.172600</v>
      </c>
    </row>
    <row r="8540" spans="1:9">
      <c r="A8540" s="22" t="str">
        <f>HYPERLINK("https://app.vivvix.com/360/KMI/IntelliDrive/ApplUI/Pages/CreativePages/CustomReportCreativeDetail.aspx?App=23&amp;ReportView=4&amp;Qid=1711279&amp;Row=8532&amp;Col=1","No Title Assigned - #15270767398")</f>
        <v/>
      </c>
      <c r="B8540" s="0" t="s">
        <v>11397</v>
      </c>
      <c r="C8540" s="0" t="s">
        <v>11398</v>
      </c>
      <c r="D8540" s="0" t="s">
        <v>10728</v>
      </c>
      <c r="E8540" s="0" t="inlineStr">
        <is>
          <t xml:space="preserve">Mazda</t>
        </is>
      </c>
      <c r="F8540" s="0" t="s">
        <v>13</v>
      </c>
      <c r="G8540" s="0" t="s">
        <v>49</v>
      </c>
      <c r="H8540" s="5">
        <v>426.592900</v>
      </c>
    </row>
    <row r="8541" spans="1:9">
      <c r="A8541" s="22" t="str">
        <f>HYPERLINK("https://app.vivvix.com/360/KMI/IntelliDrive/ApplUI/Pages/CreativePages/CustomReportCreativeDetail.aspx?App=23&amp;ReportView=4&amp;Qid=1711279&amp;Row=8533&amp;Col=1","No Title Assigned - #15270767407")</f>
        <v/>
      </c>
      <c r="B8541" s="0" t="s">
        <v>11399</v>
      </c>
      <c r="E8541" s="0" t="inlineStr">
        <is>
          <t xml:space="preserve">Mazda</t>
        </is>
      </c>
      <c r="F8541" s="0" t="inlineStr">
        <is>
          <t xml:space="preserve">Mazda</t>
        </is>
      </c>
      <c r="G8541" s="0" t="s">
        <v>171</v>
      </c>
      <c r="H8541" s="5">
        <v>38.438900</v>
      </c>
    </row>
    <row r="8542" spans="1:9">
      <c r="A8542" s="22" t="str">
        <f>HYPERLINK("https://app.vivvix.com/360/KMI/IntelliDrive/ApplUI/Pages/CreativePages/CustomReportCreativeDetail.aspx?App=23&amp;ReportView=4&amp;Qid=1711279&amp;Row=8534&amp;Col=1","No Title Assigned - #15270767494")</f>
        <v/>
      </c>
      <c r="B8542" s="0" t="s">
        <v>11400</v>
      </c>
      <c r="E8542" s="0" t="inlineStr">
        <is>
          <t xml:space="preserve">Mazda</t>
        </is>
      </c>
      <c r="F8542" s="0" t="inlineStr">
        <is>
          <t xml:space="preserve">Mazda</t>
        </is>
      </c>
      <c r="G8542" s="0" t="s">
        <v>171</v>
      </c>
      <c r="H8542" s="5">
        <v>4.764500</v>
      </c>
    </row>
    <row r="8543" spans="1:9">
      <c r="A8543" s="22" t="str">
        <f>HYPERLINK("https://app.vivvix.com/360/KMI/IntelliDrive/ApplUI/Pages/CreativePages/CustomReportCreativeDetail.aspx?App=23&amp;ReportView=4&amp;Qid=1711279&amp;Row=8535&amp;Col=1","No Title Assigned - #15270767507")</f>
        <v/>
      </c>
      <c r="B8543" s="0" t="s">
        <v>11401</v>
      </c>
      <c r="E8543" s="0" t="inlineStr">
        <is>
          <t xml:space="preserve">Mazda</t>
        </is>
      </c>
      <c r="F8543" s="0" t="inlineStr">
        <is>
          <t xml:space="preserve">Mazda</t>
        </is>
      </c>
      <c r="G8543" s="0" t="s">
        <v>171</v>
      </c>
      <c r="H8543" s="5">
        <v>62.586800</v>
      </c>
    </row>
    <row r="8544" spans="1:9">
      <c r="A8544" s="22" t="str">
        <f>HYPERLINK("https://app.vivvix.com/360/KMI/IntelliDrive/ApplUI/Pages/CreativePages/CustomReportCreativeDetail.aspx?App=23&amp;ReportView=4&amp;Qid=1711279&amp;Row=8536&amp;Col=1","No Title Assigned - #15270767561")</f>
        <v/>
      </c>
      <c r="B8544" s="0" t="s">
        <v>11402</v>
      </c>
      <c r="C8544" s="0" t="s">
        <v>11403</v>
      </c>
      <c r="D8544" s="0" t="s">
        <v>11258</v>
      </c>
      <c r="E8544" s="0" t="inlineStr">
        <is>
          <t xml:space="preserve">Mazda</t>
        </is>
      </c>
      <c r="F8544" s="0" t="s">
        <v>13</v>
      </c>
      <c r="G8544" s="0" t="s">
        <v>49</v>
      </c>
      <c r="H8544" s="5">
        <v>493.771300</v>
      </c>
    </row>
    <row r="8545" spans="1:9">
      <c r="A8545" s="22" t="str">
        <f>HYPERLINK("https://app.vivvix.com/360/KMI/IntelliDrive/ApplUI/Pages/CreativePages/CustomReportCreativeDetail.aspx?App=23&amp;ReportView=4&amp;Qid=1711279&amp;Row=8537&amp;Col=1","No Title Assigned - #15270767571")</f>
        <v/>
      </c>
      <c r="B8545" s="0" t="s">
        <v>11404</v>
      </c>
      <c r="C8545" s="0" t="s">
        <v>11405</v>
      </c>
      <c r="D8545" s="0" t="s">
        <v>11405</v>
      </c>
      <c r="E8545" s="0" t="inlineStr">
        <is>
          <t xml:space="preserve">Mazda</t>
        </is>
      </c>
      <c r="F8545" s="0" t="s">
        <v>13</v>
      </c>
      <c r="G8545" s="0" t="s">
        <v>49</v>
      </c>
      <c r="H8545" s="5">
        <v>232.589900</v>
      </c>
    </row>
    <row r="8546" spans="1:9">
      <c r="A8546" s="22" t="str">
        <f>HYPERLINK("https://app.vivvix.com/360/KMI/IntelliDrive/ApplUI/Pages/CreativePages/CustomReportCreativeDetail.aspx?App=23&amp;ReportView=4&amp;Qid=1711279&amp;Row=8538&amp;Col=1","No Title Assigned - #15270767573")</f>
        <v/>
      </c>
      <c r="B8546" s="0" t="s">
        <v>11406</v>
      </c>
      <c r="E8546" s="0" t="inlineStr">
        <is>
          <t xml:space="preserve">Mazda</t>
        </is>
      </c>
      <c r="F8546" s="0" t="inlineStr">
        <is>
          <t xml:space="preserve">Mazda</t>
        </is>
      </c>
      <c r="G8546" s="0" t="s">
        <v>171</v>
      </c>
      <c r="H8546" s="5">
        <v>1540.590500</v>
      </c>
    </row>
    <row r="8547" spans="1:9">
      <c r="A8547" s="22" t="str">
        <f>HYPERLINK("https://app.vivvix.com/360/KMI/IntelliDrive/ApplUI/Pages/CreativePages/CustomReportCreativeDetail.aspx?App=23&amp;ReportView=4&amp;Qid=1711279&amp;Row=8539&amp;Col=1","No Title Assigned - #15270767663")</f>
        <v/>
      </c>
      <c r="B8547" s="0" t="s">
        <v>11407</v>
      </c>
      <c r="C8547" s="0" t="s">
        <v>11408</v>
      </c>
      <c r="D8547" s="0" t="s">
        <v>8506</v>
      </c>
      <c r="E8547" s="0" t="inlineStr">
        <is>
          <t xml:space="preserve">Mazda</t>
        </is>
      </c>
      <c r="F8547" s="0" t="s">
        <v>13</v>
      </c>
      <c r="G8547" s="0" t="s">
        <v>49</v>
      </c>
      <c r="H8547" s="5">
        <v>1021.105500</v>
      </c>
    </row>
    <row r="8548" spans="1:9">
      <c r="A8548" s="22" t="str">
        <f>HYPERLINK("https://app.vivvix.com/360/KMI/IntelliDrive/ApplUI/Pages/CreativePages/CustomReportCreativeDetail.aspx?App=23&amp;ReportView=4&amp;Qid=1711279&amp;Row=8540&amp;Col=1","No Title Assigned - #15270767699")</f>
        <v/>
      </c>
      <c r="B8548" s="0" t="s">
        <v>11409</v>
      </c>
      <c r="C8548" s="0" t="s">
        <v>11410</v>
      </c>
      <c r="D8548" s="0" t="s">
        <v>11410</v>
      </c>
      <c r="E8548" s="0" t="inlineStr">
        <is>
          <t xml:space="preserve">Mazda</t>
        </is>
      </c>
      <c r="F8548" s="0" t="inlineStr">
        <is>
          <t xml:space="preserve">Mazda</t>
        </is>
      </c>
      <c r="G8548" s="0" t="s">
        <v>11411</v>
      </c>
      <c r="H8548" s="5">
        <v>929.999400</v>
      </c>
    </row>
    <row r="8549" spans="1:9">
      <c r="A8549" s="22" t="str">
        <f>HYPERLINK("https://app.vivvix.com/360/KMI/IntelliDrive/ApplUI/Pages/CreativePages/CustomReportCreativeDetail.aspx?App=23&amp;ReportView=4&amp;Qid=1711279&amp;Row=8541&amp;Col=1","No Title Assigned - #15270767699")</f>
        <v/>
      </c>
      <c r="B8549" s="0" t="s">
        <v>11409</v>
      </c>
      <c r="E8549" s="0" t="inlineStr">
        <is>
          <t xml:space="preserve">Mazda</t>
        </is>
      </c>
      <c r="F8549" s="0" t="inlineStr">
        <is>
          <t xml:space="preserve">Mazda</t>
        </is>
      </c>
      <c r="G8549" s="0" t="s">
        <v>11411</v>
      </c>
      <c r="H8549" s="5">
        <v>450.355300</v>
      </c>
    </row>
    <row r="8550" spans="1:9">
      <c r="A8550" s="22" t="str">
        <f>HYPERLINK("https://app.vivvix.com/360/KMI/IntelliDrive/ApplUI/Pages/CreativePages/CustomReportCreativeDetail.aspx?App=23&amp;ReportView=4&amp;Qid=1711279&amp;Row=8542&amp;Col=1","No Title Assigned - #15270767739")</f>
        <v/>
      </c>
      <c r="B8550" s="0" t="s">
        <v>11412</v>
      </c>
      <c r="E8550" s="0" t="inlineStr">
        <is>
          <t xml:space="preserve">Mazda</t>
        </is>
      </c>
      <c r="F8550" s="0" t="inlineStr">
        <is>
          <t xml:space="preserve">Mazda</t>
        </is>
      </c>
      <c r="G8550" s="0" t="s">
        <v>171</v>
      </c>
      <c r="H8550" s="5">
        <v>32.477100</v>
      </c>
    </row>
    <row r="8551" spans="1:9">
      <c r="A8551" s="22" t="str">
        <f>HYPERLINK("https://app.vivvix.com/360/KMI/IntelliDrive/ApplUI/Pages/CreativePages/CustomReportCreativeDetail.aspx?App=23&amp;ReportView=4&amp;Qid=1711279&amp;Row=8543&amp;Col=1","No Title Assigned - #15270767771")</f>
        <v/>
      </c>
      <c r="B8551" s="0" t="s">
        <v>11413</v>
      </c>
      <c r="C8551" s="0" t="s">
        <v>11414</v>
      </c>
      <c r="D8551" s="0" t="s">
        <v>8445</v>
      </c>
      <c r="E8551" s="0" t="inlineStr">
        <is>
          <t xml:space="preserve">Mazda</t>
        </is>
      </c>
      <c r="F8551" s="0" t="s">
        <v>13</v>
      </c>
      <c r="G8551" s="0" t="s">
        <v>49</v>
      </c>
      <c r="H8551" s="5">
        <v>141.043700</v>
      </c>
    </row>
    <row r="8552" spans="1:9">
      <c r="A8552" s="22" t="str">
        <f>HYPERLINK("https://app.vivvix.com/360/KMI/IntelliDrive/ApplUI/Pages/CreativePages/CustomReportCreativeDetail.aspx?App=23&amp;ReportView=4&amp;Qid=1711279&amp;Row=8544&amp;Col=1","No Title Assigned - #15270767888")</f>
        <v/>
      </c>
      <c r="B8552" s="0" t="s">
        <v>11415</v>
      </c>
      <c r="C8552" s="0" t="s">
        <v>11416</v>
      </c>
      <c r="D8552" s="0" t="s">
        <v>11416</v>
      </c>
      <c r="E8552" s="0" t="inlineStr">
        <is>
          <t xml:space="preserve">Mazda</t>
        </is>
      </c>
      <c r="F8552" s="0" t="s">
        <v>13</v>
      </c>
      <c r="G8552" s="0" t="s">
        <v>49</v>
      </c>
      <c r="H8552" s="5">
        <v>206.803800</v>
      </c>
    </row>
    <row r="8553" spans="1:9">
      <c r="A8553" s="22" t="str">
        <f>HYPERLINK("https://app.vivvix.com/360/KMI/IntelliDrive/ApplUI/Pages/CreativePages/CustomReportCreativeDetail.aspx?App=23&amp;ReportView=4&amp;Qid=1711279&amp;Row=8545&amp;Col=1","No Title Assigned - #15270767920")</f>
        <v/>
      </c>
      <c r="B8553" s="0" t="s">
        <v>11417</v>
      </c>
      <c r="C8553" s="0" t="s">
        <v>11418</v>
      </c>
      <c r="D8553" s="0" t="s">
        <v>11418</v>
      </c>
      <c r="E8553" s="0" t="inlineStr">
        <is>
          <t xml:space="preserve">Mazda</t>
        </is>
      </c>
      <c r="F8553" s="0" t="s">
        <v>13</v>
      </c>
      <c r="G8553" s="0" t="s">
        <v>49</v>
      </c>
      <c r="H8553" s="5">
        <v>77598.677400</v>
      </c>
    </row>
    <row r="8554" spans="1:9">
      <c r="A8554" s="22" t="str">
        <f>HYPERLINK("https://app.vivvix.com/360/KMI/IntelliDrive/ApplUI/Pages/CreativePages/CustomReportCreativeDetail.aspx?App=23&amp;ReportView=4&amp;Qid=1711279&amp;Row=8546&amp;Col=1","No Title Assigned - #15270767920")</f>
        <v/>
      </c>
      <c r="B8554" s="0" t="s">
        <v>11417</v>
      </c>
      <c r="E8554" s="0" t="inlineStr">
        <is>
          <t xml:space="preserve">Mazda</t>
        </is>
      </c>
      <c r="F8554" s="0" t="s">
        <v>13</v>
      </c>
      <c r="G8554" s="0" t="s">
        <v>49</v>
      </c>
      <c r="H8554" s="5">
        <v>4931.511200</v>
      </c>
    </row>
    <row r="8555" spans="1:9">
      <c r="A8555" s="22" t="str">
        <f>HYPERLINK("https://app.vivvix.com/360/KMI/IntelliDrive/ApplUI/Pages/CreativePages/CustomReportCreativeDetail.aspx?App=23&amp;ReportView=4&amp;Qid=1711279&amp;Row=8547&amp;Col=1","No Title Assigned - #15270767922")</f>
        <v/>
      </c>
      <c r="B8555" s="0" t="s">
        <v>11419</v>
      </c>
      <c r="C8555" s="0" t="s">
        <v>11420</v>
      </c>
      <c r="D8555" s="0" t="s">
        <v>11420</v>
      </c>
      <c r="E8555" s="0" t="inlineStr">
        <is>
          <t xml:space="preserve">Mazda</t>
        </is>
      </c>
      <c r="F8555" s="0" t="s">
        <v>13</v>
      </c>
      <c r="G8555" s="0" t="s">
        <v>49</v>
      </c>
      <c r="H8555" s="5">
        <v>3140.249300</v>
      </c>
    </row>
    <row r="8556" spans="1:9">
      <c r="A8556" s="22" t="str">
        <f>HYPERLINK("https://app.vivvix.com/360/KMI/IntelliDrive/ApplUI/Pages/CreativePages/CustomReportCreativeDetail.aspx?App=23&amp;ReportView=4&amp;Qid=1711279&amp;Row=8548&amp;Col=1","No Title Assigned - #15270767940")</f>
        <v/>
      </c>
      <c r="B8556" s="0" t="s">
        <v>11421</v>
      </c>
      <c r="C8556" s="0" t="s">
        <v>11422</v>
      </c>
      <c r="D8556" s="0" t="s">
        <v>11422</v>
      </c>
      <c r="E8556" s="0" t="inlineStr">
        <is>
          <t xml:space="preserve">Mazda</t>
        </is>
      </c>
      <c r="F8556" s="0" t="s">
        <v>13</v>
      </c>
      <c r="G8556" s="0" t="s">
        <v>49</v>
      </c>
      <c r="H8556" s="5">
        <v>4409.630400</v>
      </c>
    </row>
    <row r="8557" spans="1:9">
      <c r="A8557" s="22" t="str">
        <f>HYPERLINK("https://app.vivvix.com/360/KMI/IntelliDrive/ApplUI/Pages/CreativePages/CustomReportCreativeDetail.aspx?App=23&amp;ReportView=4&amp;Qid=1711279&amp;Row=8549&amp;Col=1","No Title Assigned - #15270767944")</f>
        <v/>
      </c>
      <c r="B8557" s="0" t="s">
        <v>11423</v>
      </c>
      <c r="E8557" s="0" t="inlineStr">
        <is>
          <t xml:space="preserve">Mazda</t>
        </is>
      </c>
      <c r="F8557" s="0" t="inlineStr">
        <is>
          <t xml:space="preserve">Mazda</t>
        </is>
      </c>
      <c r="G8557" s="0" t="s">
        <v>171</v>
      </c>
      <c r="H8557" s="5">
        <v>13.084500</v>
      </c>
    </row>
    <row r="8558" spans="1:9">
      <c r="A8558" s="22" t="str">
        <f>HYPERLINK("https://app.vivvix.com/360/KMI/IntelliDrive/ApplUI/Pages/CreativePages/CustomReportCreativeDetail.aspx?App=23&amp;ReportView=4&amp;Qid=1711279&amp;Row=8550&amp;Col=1","No Title Assigned - #15270767952")</f>
        <v/>
      </c>
      <c r="B8558" s="0" t="s">
        <v>11424</v>
      </c>
      <c r="E8558" s="0" t="inlineStr">
        <is>
          <t xml:space="preserve">Mazda</t>
        </is>
      </c>
      <c r="F8558" s="0" t="inlineStr">
        <is>
          <t xml:space="preserve">Mazda</t>
        </is>
      </c>
      <c r="G8558" s="0" t="s">
        <v>171</v>
      </c>
      <c r="H8558" s="5">
        <v>526.552600</v>
      </c>
    </row>
    <row r="8559" spans="1:9">
      <c r="A8559" s="22" t="str">
        <f>HYPERLINK("https://app.vivvix.com/360/KMI/IntelliDrive/ApplUI/Pages/CreativePages/CustomReportCreativeDetail.aspx?App=23&amp;ReportView=4&amp;Qid=1711279&amp;Row=8551&amp;Col=1","No Title Assigned - #15270767960")</f>
        <v/>
      </c>
      <c r="B8559" s="0" t="s">
        <v>11425</v>
      </c>
      <c r="E8559" s="0" t="inlineStr">
        <is>
          <t xml:space="preserve">Mazda</t>
        </is>
      </c>
      <c r="F8559" s="0" t="inlineStr">
        <is>
          <t xml:space="preserve">Mazda</t>
        </is>
      </c>
      <c r="G8559" s="0" t="s">
        <v>171</v>
      </c>
      <c r="H8559" s="5">
        <v>2869.583100</v>
      </c>
    </row>
    <row r="8560" spans="1:9">
      <c r="A8560" s="22" t="str">
        <f>HYPERLINK("https://app.vivvix.com/360/KMI/IntelliDrive/ApplUI/Pages/CreativePages/CustomReportCreativeDetail.aspx?App=23&amp;ReportView=4&amp;Qid=1711279&amp;Row=8552&amp;Col=1","No Title Assigned - #15270768099")</f>
        <v/>
      </c>
      <c r="B8560" s="0" t="s">
        <v>11426</v>
      </c>
      <c r="C8560" s="0" t="s">
        <v>11427</v>
      </c>
      <c r="D8560" s="0" t="s">
        <v>11427</v>
      </c>
      <c r="E8560" s="0" t="inlineStr">
        <is>
          <t xml:space="preserve">Mazda</t>
        </is>
      </c>
      <c r="F8560" s="0" t="s">
        <v>13</v>
      </c>
      <c r="G8560" s="0" t="s">
        <v>49</v>
      </c>
      <c r="H8560" s="5">
        <v>815.424800</v>
      </c>
    </row>
    <row r="8561" spans="1:9">
      <c r="A8561" s="22" t="str">
        <f>HYPERLINK("https://app.vivvix.com/360/KMI/IntelliDrive/ApplUI/Pages/CreativePages/CustomReportCreativeDetail.aspx?App=23&amp;ReportView=4&amp;Qid=1711279&amp;Row=8553&amp;Col=1","No Title Assigned - #15270768130")</f>
        <v/>
      </c>
      <c r="B8561" s="0" t="s">
        <v>11428</v>
      </c>
      <c r="C8561" s="0" t="s">
        <v>11429</v>
      </c>
      <c r="D8561" s="0" t="s">
        <v>11429</v>
      </c>
      <c r="E8561" s="0" t="inlineStr">
        <is>
          <t xml:space="preserve">Mazda</t>
        </is>
      </c>
      <c r="F8561" s="0" t="s">
        <v>13</v>
      </c>
      <c r="G8561" s="0" t="s">
        <v>49</v>
      </c>
      <c r="H8561" s="5">
        <v>243.801000</v>
      </c>
    </row>
    <row r="8562" spans="1:9">
      <c r="A8562" s="22" t="str">
        <f>HYPERLINK("https://app.vivvix.com/360/KMI/IntelliDrive/ApplUI/Pages/CreativePages/CustomReportCreativeDetail.aspx?App=23&amp;ReportView=4&amp;Qid=1711279&amp;Row=8554&amp;Col=1","No Title Assigned - #15270768141")</f>
        <v/>
      </c>
      <c r="B8562" s="0" t="s">
        <v>11430</v>
      </c>
      <c r="E8562" s="0" t="inlineStr">
        <is>
          <t xml:space="preserve">Mazda</t>
        </is>
      </c>
      <c r="F8562" s="0" t="inlineStr">
        <is>
          <t xml:space="preserve">Mazda</t>
        </is>
      </c>
      <c r="G8562" s="0" t="s">
        <v>171</v>
      </c>
      <c r="H8562" s="5">
        <v>69.585600</v>
      </c>
    </row>
    <row r="8563" spans="1:9">
      <c r="A8563" s="22" t="str">
        <f>HYPERLINK("https://app.vivvix.com/360/KMI/IntelliDrive/ApplUI/Pages/CreativePages/CustomReportCreativeDetail.aspx?App=23&amp;ReportView=4&amp;Qid=1711279&amp;Row=8555&amp;Col=1","No Title Assigned - #15270768172")</f>
        <v/>
      </c>
      <c r="B8563" s="0" t="s">
        <v>11431</v>
      </c>
      <c r="E8563" s="0" t="inlineStr">
        <is>
          <t xml:space="preserve">Mazda</t>
        </is>
      </c>
      <c r="F8563" s="0" t="inlineStr">
        <is>
          <t xml:space="preserve">Mazda</t>
        </is>
      </c>
      <c r="G8563" s="0" t="s">
        <v>171</v>
      </c>
      <c r="H8563" s="5">
        <v>398.767500</v>
      </c>
    </row>
    <row r="8564" spans="1:9">
      <c r="A8564" s="22" t="str">
        <f>HYPERLINK("https://app.vivvix.com/360/KMI/IntelliDrive/ApplUI/Pages/CreativePages/CustomReportCreativeDetail.aspx?App=23&amp;ReportView=4&amp;Qid=1711279&amp;Row=8556&amp;Col=1","No Title Assigned - #15270768223")</f>
        <v/>
      </c>
      <c r="B8564" s="0" t="s">
        <v>11432</v>
      </c>
      <c r="C8564" s="0" t="s">
        <v>11433</v>
      </c>
      <c r="D8564" s="0" t="s">
        <v>11433</v>
      </c>
      <c r="E8564" s="0" t="inlineStr">
        <is>
          <t xml:space="preserve">Mazda</t>
        </is>
      </c>
      <c r="F8564" s="0" t="s">
        <v>13</v>
      </c>
      <c r="G8564" s="0" t="s">
        <v>49</v>
      </c>
      <c r="H8564" s="5">
        <v>154.360800</v>
      </c>
    </row>
    <row r="8565" spans="1:9">
      <c r="A8565" s="22" t="str">
        <f>HYPERLINK("https://app.vivvix.com/360/KMI/IntelliDrive/ApplUI/Pages/CreativePages/CustomReportCreativeDetail.aspx?App=23&amp;ReportView=4&amp;Qid=1711279&amp;Row=8557&amp;Col=1","No Title Assigned - #15270768276")</f>
        <v/>
      </c>
      <c r="B8565" s="0" t="s">
        <v>11434</v>
      </c>
      <c r="C8565" s="0" t="s">
        <v>11435</v>
      </c>
      <c r="D8565" s="0" t="s">
        <v>11435</v>
      </c>
      <c r="E8565" s="0" t="inlineStr">
        <is>
          <t xml:space="preserve">Mazda</t>
        </is>
      </c>
      <c r="F8565" s="0" t="s">
        <v>13</v>
      </c>
      <c r="G8565" s="0" t="s">
        <v>49</v>
      </c>
      <c r="H8565" s="5">
        <v>90.642000</v>
      </c>
    </row>
    <row r="8566" spans="1:9">
      <c r="A8566" s="22" t="str">
        <f>HYPERLINK("https://app.vivvix.com/360/KMI/IntelliDrive/ApplUI/Pages/CreativePages/CustomReportCreativeDetail.aspx?App=23&amp;ReportView=4&amp;Qid=1711279&amp;Row=8558&amp;Col=1","No Title Assigned - #15270768284")</f>
        <v/>
      </c>
      <c r="B8566" s="0" t="s">
        <v>11436</v>
      </c>
      <c r="C8566" s="0" t="s">
        <v>11437</v>
      </c>
      <c r="D8566" s="0" t="s">
        <v>11437</v>
      </c>
      <c r="E8566" s="0" t="inlineStr">
        <is>
          <t xml:space="preserve">Mazda</t>
        </is>
      </c>
      <c r="F8566" s="0" t="s">
        <v>28</v>
      </c>
      <c r="G8566" s="0" t="s">
        <v>29</v>
      </c>
      <c r="H8566" s="5">
        <v>48.217100</v>
      </c>
    </row>
    <row r="8567" spans="1:9">
      <c r="A8567" s="22" t="str">
        <f>HYPERLINK("https://app.vivvix.com/360/KMI/IntelliDrive/ApplUI/Pages/CreativePages/CustomReportCreativeDetail.aspx?App=23&amp;ReportView=4&amp;Qid=1711279&amp;Row=8559&amp;Col=1","No Title Assigned - #15270768288")</f>
        <v/>
      </c>
      <c r="B8567" s="0" t="s">
        <v>11438</v>
      </c>
      <c r="C8567" s="0" t="s">
        <v>11439</v>
      </c>
      <c r="D8567" s="0" t="s">
        <v>8492</v>
      </c>
      <c r="E8567" s="0" t="inlineStr">
        <is>
          <t xml:space="preserve">Mazda</t>
        </is>
      </c>
      <c r="F8567" s="0" t="s">
        <v>13</v>
      </c>
      <c r="G8567" s="0" t="s">
        <v>49</v>
      </c>
      <c r="H8567" s="5">
        <v>41.857100</v>
      </c>
    </row>
    <row r="8568" spans="1:9">
      <c r="A8568" s="22" t="str">
        <f>HYPERLINK("https://app.vivvix.com/360/KMI/IntelliDrive/ApplUI/Pages/CreativePages/CustomReportCreativeDetail.aspx?App=23&amp;ReportView=4&amp;Qid=1711279&amp;Row=8560&amp;Col=1","No Title Assigned - #15270768341")</f>
        <v/>
      </c>
      <c r="B8568" s="0" t="s">
        <v>11440</v>
      </c>
      <c r="C8568" s="0" t="s">
        <v>11441</v>
      </c>
      <c r="D8568" s="0" t="s">
        <v>11441</v>
      </c>
      <c r="E8568" s="0" t="inlineStr">
        <is>
          <t xml:space="preserve">Mazda</t>
        </is>
      </c>
      <c r="F8568" s="0" t="s">
        <v>13</v>
      </c>
      <c r="G8568" s="0" t="s">
        <v>49</v>
      </c>
      <c r="H8568" s="5">
        <v>2010.939800</v>
      </c>
    </row>
    <row r="8569" spans="1:9">
      <c r="A8569" s="22" t="str">
        <f>HYPERLINK("https://app.vivvix.com/360/KMI/IntelliDrive/ApplUI/Pages/CreativePages/CustomReportCreativeDetail.aspx?App=23&amp;ReportView=4&amp;Qid=1711279&amp;Row=8561&amp;Col=1","No Title Assigned - #15270768364")</f>
        <v/>
      </c>
      <c r="B8569" s="0" t="s">
        <v>11442</v>
      </c>
      <c r="C8569" s="0" t="s">
        <v>11443</v>
      </c>
      <c r="D8569" s="0" t="s">
        <v>8553</v>
      </c>
      <c r="E8569" s="0" t="inlineStr">
        <is>
          <t xml:space="preserve">Mazda</t>
        </is>
      </c>
      <c r="F8569" s="0" t="s">
        <v>13</v>
      </c>
      <c r="G8569" s="0" t="s">
        <v>49</v>
      </c>
      <c r="H8569" s="5">
        <v>494.094100</v>
      </c>
    </row>
    <row r="8570" spans="1:9">
      <c r="A8570" s="22" t="str">
        <f>HYPERLINK("https://app.vivvix.com/360/KMI/IntelliDrive/ApplUI/Pages/CreativePages/CustomReportCreativeDetail.aspx?App=23&amp;ReportView=4&amp;Qid=1711279&amp;Row=8562&amp;Col=1","No Title Assigned - #15270768548")</f>
        <v/>
      </c>
      <c r="B8570" s="0" t="s">
        <v>11444</v>
      </c>
      <c r="E8570" s="0" t="inlineStr">
        <is>
          <t xml:space="preserve">Mazda</t>
        </is>
      </c>
      <c r="F8570" s="0" t="inlineStr">
        <is>
          <t xml:space="preserve">Mazda</t>
        </is>
      </c>
      <c r="G8570" s="0" t="s">
        <v>171</v>
      </c>
      <c r="H8570" s="5">
        <v>27620.348700</v>
      </c>
    </row>
    <row r="8571" spans="1:9">
      <c r="A8571" s="22" t="str">
        <f>HYPERLINK("https://app.vivvix.com/360/KMI/IntelliDrive/ApplUI/Pages/CreativePages/CustomReportCreativeDetail.aspx?App=23&amp;ReportView=4&amp;Qid=1711279&amp;Row=8563&amp;Col=1","No Title Assigned - #15270768548")</f>
        <v/>
      </c>
      <c r="B8571" s="0" t="s">
        <v>11444</v>
      </c>
      <c r="E8571" s="0" t="inlineStr">
        <is>
          <t xml:space="preserve">Mazda</t>
        </is>
      </c>
      <c r="F8571" s="0" t="inlineStr">
        <is>
          <t xml:space="preserve">Mazda</t>
        </is>
      </c>
      <c r="G8571" s="0" t="s">
        <v>171</v>
      </c>
      <c r="H8571" s="5">
        <v>235546.093700</v>
      </c>
    </row>
    <row r="8572" spans="1:9">
      <c r="A8572" s="22" t="str">
        <f>HYPERLINK("https://app.vivvix.com/360/KMI/IntelliDrive/ApplUI/Pages/CreativePages/CustomReportCreativeDetail.aspx?App=23&amp;ReportView=4&amp;Qid=1711279&amp;Row=8564&amp;Col=1","No Title Assigned - #15270768551")</f>
        <v/>
      </c>
      <c r="B8572" s="0" t="s">
        <v>11445</v>
      </c>
      <c r="C8572" s="0" t="s">
        <v>11446</v>
      </c>
      <c r="D8572" s="0" t="s">
        <v>10999</v>
      </c>
      <c r="E8572" s="0" t="inlineStr">
        <is>
          <t xml:space="preserve">Mazda</t>
        </is>
      </c>
      <c r="F8572" s="0" t="s">
        <v>13</v>
      </c>
      <c r="G8572" s="0" t="s">
        <v>49</v>
      </c>
      <c r="H8572" s="5">
        <v>63.659800</v>
      </c>
    </row>
    <row r="8573" spans="1:9">
      <c r="A8573" s="22" t="str">
        <f>HYPERLINK("https://app.vivvix.com/360/KMI/IntelliDrive/ApplUI/Pages/CreativePages/CustomReportCreativeDetail.aspx?App=23&amp;ReportView=4&amp;Qid=1711279&amp;Row=8565&amp;Col=1","No Title Assigned - #15270768608")</f>
        <v/>
      </c>
      <c r="B8573" s="0" t="s">
        <v>11447</v>
      </c>
      <c r="E8573" s="0" t="inlineStr">
        <is>
          <t xml:space="preserve">Mazda</t>
        </is>
      </c>
      <c r="F8573" s="0" t="inlineStr">
        <is>
          <t xml:space="preserve">Mazda</t>
        </is>
      </c>
      <c r="G8573" s="0" t="s">
        <v>171</v>
      </c>
      <c r="H8573" s="5">
        <v>2.292000</v>
      </c>
    </row>
    <row r="8574" spans="1:9">
      <c r="A8574" s="22" t="str">
        <f>HYPERLINK("https://app.vivvix.com/360/KMI/IntelliDrive/ApplUI/Pages/CreativePages/CustomReportCreativeDetail.aspx?App=23&amp;ReportView=4&amp;Qid=1711279&amp;Row=8566&amp;Col=1","No Title Assigned - #15270768630")</f>
        <v/>
      </c>
      <c r="B8574" s="0" t="s">
        <v>11448</v>
      </c>
      <c r="E8574" s="0" t="inlineStr">
        <is>
          <t xml:space="preserve">Mazda</t>
        </is>
      </c>
      <c r="F8574" s="0" t="inlineStr">
        <is>
          <t xml:space="preserve">Mazda</t>
        </is>
      </c>
      <c r="G8574" s="0" t="s">
        <v>171</v>
      </c>
      <c r="H8574" s="5">
        <v>49.815300</v>
      </c>
    </row>
    <row r="8575" spans="1:9">
      <c r="A8575" s="22" t="str">
        <f>HYPERLINK("https://app.vivvix.com/360/KMI/IntelliDrive/ApplUI/Pages/CreativePages/CustomReportCreativeDetail.aspx?App=23&amp;ReportView=4&amp;Qid=1711279&amp;Row=8567&amp;Col=1","No Title Assigned - #15270768633")</f>
        <v/>
      </c>
      <c r="B8575" s="0" t="s">
        <v>11449</v>
      </c>
      <c r="C8575" s="0" t="s">
        <v>11450</v>
      </c>
      <c r="D8575" s="0" t="s">
        <v>10992</v>
      </c>
      <c r="E8575" s="0" t="inlineStr">
        <is>
          <t xml:space="preserve">Mazda</t>
        </is>
      </c>
      <c r="F8575" s="0" t="s">
        <v>13</v>
      </c>
      <c r="G8575" s="0" t="s">
        <v>49</v>
      </c>
      <c r="H8575" s="5">
        <v>301.860100</v>
      </c>
    </row>
    <row r="8576" spans="1:9">
      <c r="A8576" s="22" t="str">
        <f>HYPERLINK("https://app.vivvix.com/360/KMI/IntelliDrive/ApplUI/Pages/CreativePages/CustomReportCreativeDetail.aspx?App=23&amp;ReportView=4&amp;Qid=1711279&amp;Row=8568&amp;Col=1","No Title Assigned - #15270768670")</f>
        <v/>
      </c>
      <c r="B8576" s="0" t="s">
        <v>11451</v>
      </c>
      <c r="C8576" s="0" t="s">
        <v>11452</v>
      </c>
      <c r="D8576" s="0" t="s">
        <v>11452</v>
      </c>
      <c r="E8576" s="0" t="inlineStr">
        <is>
          <t xml:space="preserve">Mazda</t>
        </is>
      </c>
      <c r="F8576" s="0" t="s">
        <v>28</v>
      </c>
      <c r="G8576" s="0" t="s">
        <v>29</v>
      </c>
      <c r="H8576" s="5">
        <v>48.217100</v>
      </c>
    </row>
    <row r="8577" spans="1:9">
      <c r="A8577" s="22" t="str">
        <f>HYPERLINK("https://app.vivvix.com/360/KMI/IntelliDrive/ApplUI/Pages/CreativePages/CustomReportCreativeDetail.aspx?App=23&amp;ReportView=4&amp;Qid=1711279&amp;Row=8569&amp;Col=1","No Title Assigned - #15270768722")</f>
        <v/>
      </c>
      <c r="B8577" s="0" t="s">
        <v>11453</v>
      </c>
      <c r="C8577" s="0" t="s">
        <v>11454</v>
      </c>
      <c r="D8577" s="0" t="s">
        <v>11454</v>
      </c>
      <c r="E8577" s="0" t="inlineStr">
        <is>
          <t xml:space="preserve">Mazda</t>
        </is>
      </c>
      <c r="F8577" s="0" t="s">
        <v>13</v>
      </c>
      <c r="G8577" s="0" t="s">
        <v>49</v>
      </c>
      <c r="H8577" s="5">
        <v>21.265800</v>
      </c>
    </row>
    <row r="8578" spans="1:9">
      <c r="A8578" s="22" t="str">
        <f>HYPERLINK("https://app.vivvix.com/360/KMI/IntelliDrive/ApplUI/Pages/CreativePages/CustomReportCreativeDetail.aspx?App=23&amp;ReportView=4&amp;Qid=1711279&amp;Row=8570&amp;Col=1","No Title Assigned - #15270768723")</f>
        <v/>
      </c>
      <c r="B8578" s="0" t="s">
        <v>11455</v>
      </c>
      <c r="C8578" s="0" t="s">
        <v>11456</v>
      </c>
      <c r="D8578" s="0" t="s">
        <v>9998</v>
      </c>
      <c r="E8578" s="0" t="inlineStr">
        <is>
          <t xml:space="preserve">Mazda</t>
        </is>
      </c>
      <c r="F8578" s="0" t="s">
        <v>13</v>
      </c>
      <c r="G8578" s="0" t="s">
        <v>49</v>
      </c>
      <c r="H8578" s="5">
        <v>31.898700</v>
      </c>
    </row>
    <row r="8579" spans="1:9">
      <c r="A8579" s="22" t="str">
        <f>HYPERLINK("https://app.vivvix.com/360/KMI/IntelliDrive/ApplUI/Pages/CreativePages/CustomReportCreativeDetail.aspx?App=23&amp;ReportView=4&amp;Qid=1711279&amp;Row=8571&amp;Col=1","No Title Assigned - #15270768773")</f>
        <v/>
      </c>
      <c r="B8579" s="0" t="s">
        <v>11457</v>
      </c>
      <c r="E8579" s="0" t="inlineStr">
        <is>
          <t xml:space="preserve">Mazda</t>
        </is>
      </c>
      <c r="F8579" s="0" t="inlineStr">
        <is>
          <t xml:space="preserve">Mazda</t>
        </is>
      </c>
      <c r="G8579" s="0" t="s">
        <v>171</v>
      </c>
      <c r="H8579" s="5">
        <v>2370.302800</v>
      </c>
    </row>
    <row r="8580" spans="1:9">
      <c r="A8580" s="22" t="str">
        <f>HYPERLINK("https://app.vivvix.com/360/KMI/IntelliDrive/ApplUI/Pages/CreativePages/CustomReportCreativeDetail.aspx?App=23&amp;ReportView=4&amp;Qid=1711279&amp;Row=8572&amp;Col=1","No Title Assigned - #15270768831")</f>
        <v/>
      </c>
      <c r="B8580" s="0" t="s">
        <v>11458</v>
      </c>
      <c r="C8580" s="0" t="s">
        <v>11459</v>
      </c>
      <c r="D8580" s="0" t="s">
        <v>11459</v>
      </c>
      <c r="E8580" s="0" t="inlineStr">
        <is>
          <t xml:space="preserve">Mazda</t>
        </is>
      </c>
      <c r="F8580" s="0" t="s">
        <v>13</v>
      </c>
      <c r="G8580" s="0" t="s">
        <v>49</v>
      </c>
      <c r="H8580" s="5">
        <v>61.409800</v>
      </c>
    </row>
    <row r="8581" spans="1:9">
      <c r="A8581" s="22" t="str">
        <f>HYPERLINK("https://app.vivvix.com/360/KMI/IntelliDrive/ApplUI/Pages/CreativePages/CustomReportCreativeDetail.aspx?App=23&amp;ReportView=4&amp;Qid=1711279&amp;Row=8573&amp;Col=1","No Title Assigned - #15270768834")</f>
        <v/>
      </c>
      <c r="B8581" s="0" t="s">
        <v>11460</v>
      </c>
      <c r="C8581" s="0" t="s">
        <v>11461</v>
      </c>
      <c r="D8581" s="0" t="s">
        <v>8779</v>
      </c>
      <c r="E8581" s="0" t="inlineStr">
        <is>
          <t xml:space="preserve">Mazda</t>
        </is>
      </c>
      <c r="F8581" s="0" t="s">
        <v>13</v>
      </c>
      <c r="G8581" s="0" t="s">
        <v>49</v>
      </c>
      <c r="H8581" s="5">
        <v>3957.220500</v>
      </c>
    </row>
    <row r="8582" spans="1:9">
      <c r="A8582" s="22" t="str">
        <f>HYPERLINK("https://app.vivvix.com/360/KMI/IntelliDrive/ApplUI/Pages/CreativePages/CustomReportCreativeDetail.aspx?App=23&amp;ReportView=4&amp;Qid=1711279&amp;Row=8574&amp;Col=1","No Title Assigned - #15270768902")</f>
        <v/>
      </c>
      <c r="B8582" s="0" t="s">
        <v>11462</v>
      </c>
      <c r="C8582" s="0" t="s">
        <v>11463</v>
      </c>
      <c r="D8582" s="0" t="s">
        <v>10073</v>
      </c>
      <c r="E8582" s="0" t="inlineStr">
        <is>
          <t xml:space="preserve">Mazda</t>
        </is>
      </c>
      <c r="F8582" s="0" t="s">
        <v>13</v>
      </c>
      <c r="G8582" s="0" t="s">
        <v>49</v>
      </c>
      <c r="H8582" s="5">
        <v>65.848500</v>
      </c>
    </row>
    <row r="8583" spans="1:9">
      <c r="A8583" s="22" t="str">
        <f>HYPERLINK("https://app.vivvix.com/360/KMI/IntelliDrive/ApplUI/Pages/CreativePages/CustomReportCreativeDetail.aspx?App=23&amp;ReportView=4&amp;Qid=1711279&amp;Row=8575&amp;Col=1","No Title Assigned - #15270768984")</f>
        <v/>
      </c>
      <c r="B8583" s="0" t="s">
        <v>11464</v>
      </c>
      <c r="C8583" s="0" t="s">
        <v>11465</v>
      </c>
      <c r="D8583" s="0" t="s">
        <v>11465</v>
      </c>
      <c r="E8583" s="0" t="inlineStr">
        <is>
          <t xml:space="preserve">Mazda</t>
        </is>
      </c>
      <c r="F8583" s="0" t="s">
        <v>13</v>
      </c>
      <c r="G8583" s="0" t="s">
        <v>49</v>
      </c>
      <c r="H8583" s="5">
        <v>1048.230400</v>
      </c>
    </row>
    <row r="8584" spans="1:9">
      <c r="A8584" s="22" t="str">
        <f>HYPERLINK("https://app.vivvix.com/360/KMI/IntelliDrive/ApplUI/Pages/CreativePages/CustomReportCreativeDetail.aspx?App=23&amp;ReportView=4&amp;Qid=1711279&amp;Row=8576&amp;Col=1","No Title Assigned - #15270769010")</f>
        <v/>
      </c>
      <c r="B8584" s="0" t="s">
        <v>11466</v>
      </c>
      <c r="C8584" s="0" t="s">
        <v>11467</v>
      </c>
      <c r="D8584" s="0" t="s">
        <v>9949</v>
      </c>
      <c r="E8584" s="0" t="inlineStr">
        <is>
          <t xml:space="preserve">Mazda</t>
        </is>
      </c>
      <c r="F8584" s="0" t="s">
        <v>13</v>
      </c>
      <c r="G8584" s="0" t="s">
        <v>49</v>
      </c>
      <c r="H8584" s="5">
        <v>1404.956200</v>
      </c>
    </row>
    <row r="8585" spans="1:9">
      <c r="A8585" s="22" t="str">
        <f>HYPERLINK("https://app.vivvix.com/360/KMI/IntelliDrive/ApplUI/Pages/CreativePages/CustomReportCreativeDetail.aspx?App=23&amp;ReportView=4&amp;Qid=1711279&amp;Row=8577&amp;Col=1","No Title Assigned - #15270769029")</f>
        <v/>
      </c>
      <c r="B8585" s="0" t="s">
        <v>11468</v>
      </c>
      <c r="C8585" s="0" t="s">
        <v>11469</v>
      </c>
      <c r="D8585" s="0" t="s">
        <v>11469</v>
      </c>
      <c r="E8585" s="0" t="inlineStr">
        <is>
          <t xml:space="preserve">Mazda</t>
        </is>
      </c>
      <c r="F8585" s="0" t="s">
        <v>13</v>
      </c>
      <c r="G8585" s="0" t="s">
        <v>49</v>
      </c>
      <c r="H8585" s="5">
        <v>33965.757300</v>
      </c>
    </row>
    <row r="8586" spans="1:9">
      <c r="A8586" s="22" t="str">
        <f>HYPERLINK("https://app.vivvix.com/360/KMI/IntelliDrive/ApplUI/Pages/CreativePages/CustomReportCreativeDetail.aspx?App=23&amp;ReportView=4&amp;Qid=1711279&amp;Row=8578&amp;Col=1","No Title Assigned - #15270769029")</f>
        <v/>
      </c>
      <c r="B8586" s="0" t="s">
        <v>11468</v>
      </c>
      <c r="E8586" s="0" t="inlineStr">
        <is>
          <t xml:space="preserve">Mazda</t>
        </is>
      </c>
      <c r="F8586" s="0" t="s">
        <v>13</v>
      </c>
      <c r="G8586" s="0" t="s">
        <v>49</v>
      </c>
      <c r="H8586" s="5">
        <v>577.729500</v>
      </c>
    </row>
    <row r="8587" spans="1:9">
      <c r="A8587" s="22" t="str">
        <f>HYPERLINK("https://app.vivvix.com/360/KMI/IntelliDrive/ApplUI/Pages/CreativePages/CustomReportCreativeDetail.aspx?App=23&amp;ReportView=4&amp;Qid=1711279&amp;Row=8579&amp;Col=1","No Title Assigned - #15270769043")</f>
        <v/>
      </c>
      <c r="B8587" s="0" t="s">
        <v>11470</v>
      </c>
      <c r="C8587" s="0" t="s">
        <v>11471</v>
      </c>
      <c r="D8587" s="0" t="s">
        <v>10964</v>
      </c>
      <c r="E8587" s="0" t="inlineStr">
        <is>
          <t xml:space="preserve">Mazda</t>
        </is>
      </c>
      <c r="F8587" s="0" t="s">
        <v>13</v>
      </c>
      <c r="G8587" s="0" t="s">
        <v>49</v>
      </c>
      <c r="H8587" s="5">
        <v>503.342500</v>
      </c>
    </row>
    <row r="8588" spans="1:9">
      <c r="A8588" s="22" t="str">
        <f>HYPERLINK("https://app.vivvix.com/360/KMI/IntelliDrive/ApplUI/Pages/CreativePages/CustomReportCreativeDetail.aspx?App=23&amp;ReportView=4&amp;Qid=1711279&amp;Row=8580&amp;Col=1","No Title Assigned - #15270769044")</f>
        <v/>
      </c>
      <c r="B8588" s="0" t="s">
        <v>11472</v>
      </c>
      <c r="C8588" s="0" t="s">
        <v>11473</v>
      </c>
      <c r="D8588" s="0" t="s">
        <v>11473</v>
      </c>
      <c r="E8588" s="0" t="inlineStr">
        <is>
          <t xml:space="preserve">Mazda</t>
        </is>
      </c>
      <c r="F8588" s="0" t="s">
        <v>13</v>
      </c>
      <c r="G8588" s="0" t="s">
        <v>49</v>
      </c>
      <c r="H8588" s="5">
        <v>782.599900</v>
      </c>
    </row>
    <row r="8589" spans="1:9">
      <c r="A8589" s="22" t="str">
        <f>HYPERLINK("https://app.vivvix.com/360/KMI/IntelliDrive/ApplUI/Pages/CreativePages/CustomReportCreativeDetail.aspx?App=23&amp;ReportView=4&amp;Qid=1711279&amp;Row=8581&amp;Col=1","No Title Assigned - #15270769045")</f>
        <v/>
      </c>
      <c r="B8589" s="0" t="s">
        <v>11474</v>
      </c>
      <c r="C8589" s="0" t="s">
        <v>11475</v>
      </c>
      <c r="D8589" s="0" t="s">
        <v>11475</v>
      </c>
      <c r="E8589" s="0" t="inlineStr">
        <is>
          <t xml:space="preserve">Mazda</t>
        </is>
      </c>
      <c r="F8589" s="0" t="s">
        <v>13</v>
      </c>
      <c r="G8589" s="0" t="s">
        <v>49</v>
      </c>
      <c r="H8589" s="5">
        <v>503.342500</v>
      </c>
    </row>
    <row r="8590" spans="1:9">
      <c r="A8590" s="22" t="str">
        <f>HYPERLINK("https://app.vivvix.com/360/KMI/IntelliDrive/ApplUI/Pages/CreativePages/CustomReportCreativeDetail.aspx?App=23&amp;ReportView=4&amp;Qid=1711279&amp;Row=8582&amp;Col=1","No Title Assigned - #15270769046")</f>
        <v/>
      </c>
      <c r="B8590" s="0" t="s">
        <v>11476</v>
      </c>
      <c r="C8590" s="0" t="s">
        <v>11477</v>
      </c>
      <c r="D8590" s="0" t="s">
        <v>11477</v>
      </c>
      <c r="E8590" s="0" t="inlineStr">
        <is>
          <t xml:space="preserve">Mazda</t>
        </is>
      </c>
      <c r="F8590" s="0" t="s">
        <v>13</v>
      </c>
      <c r="G8590" s="0" t="s">
        <v>49</v>
      </c>
      <c r="H8590" s="5">
        <v>646.325700</v>
      </c>
    </row>
    <row r="8591" spans="1:9">
      <c r="A8591" s="22" t="str">
        <f>HYPERLINK("https://app.vivvix.com/360/KMI/IntelliDrive/ApplUI/Pages/CreativePages/CustomReportCreativeDetail.aspx?App=23&amp;ReportView=4&amp;Qid=1711279&amp;Row=8583&amp;Col=1","No Title Assigned - #15270769146")</f>
        <v/>
      </c>
      <c r="B8591" s="0" t="s">
        <v>11478</v>
      </c>
      <c r="C8591" s="0" t="s">
        <v>11479</v>
      </c>
      <c r="D8591" s="0" t="s">
        <v>11479</v>
      </c>
      <c r="E8591" s="0" t="inlineStr">
        <is>
          <t xml:space="preserve">Mazda</t>
        </is>
      </c>
      <c r="F8591" s="0" t="s">
        <v>13</v>
      </c>
      <c r="G8591" s="0" t="s">
        <v>49</v>
      </c>
      <c r="H8591" s="5">
        <v>1299.878200</v>
      </c>
    </row>
    <row r="8592" spans="1:9">
      <c r="A8592" s="22" t="str">
        <f>HYPERLINK("https://app.vivvix.com/360/KMI/IntelliDrive/ApplUI/Pages/CreativePages/CustomReportCreativeDetail.aspx?App=23&amp;ReportView=4&amp;Qid=1711279&amp;Row=8584&amp;Col=1","No Title Assigned - #15270769147")</f>
        <v/>
      </c>
      <c r="B8592" s="0" t="s">
        <v>11480</v>
      </c>
      <c r="C8592" s="0" t="s">
        <v>11481</v>
      </c>
      <c r="D8592" s="0" t="s">
        <v>10698</v>
      </c>
      <c r="E8592" s="0" t="inlineStr">
        <is>
          <t xml:space="preserve">Mazda</t>
        </is>
      </c>
      <c r="F8592" s="0" t="s">
        <v>13</v>
      </c>
      <c r="G8592" s="0" t="s">
        <v>49</v>
      </c>
      <c r="H8592" s="5">
        <v>101.000000</v>
      </c>
    </row>
    <row r="8593" spans="1:9">
      <c r="A8593" s="22" t="str">
        <f>HYPERLINK("https://app.vivvix.com/360/KMI/IntelliDrive/ApplUI/Pages/CreativePages/CustomReportCreativeDetail.aspx?App=23&amp;ReportView=4&amp;Qid=1711279&amp;Row=8585&amp;Col=1","No Title Assigned - #15270769166")</f>
        <v/>
      </c>
      <c r="B8593" s="0" t="s">
        <v>11482</v>
      </c>
      <c r="E8593" s="0" t="inlineStr">
        <is>
          <t xml:space="preserve">Mazda</t>
        </is>
      </c>
      <c r="F8593" s="0" t="inlineStr">
        <is>
          <t xml:space="preserve">Mazda</t>
        </is>
      </c>
      <c r="G8593" s="0" t="s">
        <v>171</v>
      </c>
      <c r="H8593" s="5">
        <v>843.641600</v>
      </c>
    </row>
    <row r="8594" spans="1:9">
      <c r="A8594" s="22" t="str">
        <f>HYPERLINK("https://app.vivvix.com/360/KMI/IntelliDrive/ApplUI/Pages/CreativePages/CustomReportCreativeDetail.aspx?App=23&amp;ReportView=4&amp;Qid=1711279&amp;Row=8586&amp;Col=1","No Title Assigned - #15270769174")</f>
        <v/>
      </c>
      <c r="B8594" s="0" t="s">
        <v>11483</v>
      </c>
      <c r="E8594" s="0" t="inlineStr">
        <is>
          <t xml:space="preserve">Mazda</t>
        </is>
      </c>
      <c r="F8594" s="0" t="inlineStr">
        <is>
          <t xml:space="preserve">Mazda</t>
        </is>
      </c>
      <c r="G8594" s="0" t="s">
        <v>171</v>
      </c>
      <c r="H8594" s="5">
        <v>43.048700</v>
      </c>
    </row>
    <row r="8595" spans="1:9">
      <c r="A8595" s="22" t="str">
        <f>HYPERLINK("https://app.vivvix.com/360/KMI/IntelliDrive/ApplUI/Pages/CreativePages/CustomReportCreativeDetail.aspx?App=23&amp;ReportView=4&amp;Qid=1711279&amp;Row=8587&amp;Col=1","No Title Assigned - #15270769197")</f>
        <v/>
      </c>
      <c r="B8595" s="0" t="s">
        <v>11484</v>
      </c>
      <c r="C8595" s="0" t="s">
        <v>11485</v>
      </c>
      <c r="D8595" s="0" t="s">
        <v>11485</v>
      </c>
      <c r="E8595" s="0" t="inlineStr">
        <is>
          <t xml:space="preserve">Mazda</t>
        </is>
      </c>
      <c r="F8595" s="0" t="inlineStr">
        <is>
          <t xml:space="preserve">Mazda</t>
        </is>
      </c>
      <c r="G8595" s="0" t="s">
        <v>11411</v>
      </c>
      <c r="H8595" s="5">
        <v>450.355300</v>
      </c>
    </row>
    <row r="8596" spans="1:9">
      <c r="A8596" s="22" t="str">
        <f>HYPERLINK("https://app.vivvix.com/360/KMI/IntelliDrive/ApplUI/Pages/CreativePages/CustomReportCreativeDetail.aspx?App=23&amp;ReportView=4&amp;Qid=1711279&amp;Row=8588&amp;Col=1","No Title Assigned - #15270769210")</f>
        <v/>
      </c>
      <c r="B8596" s="0" t="s">
        <v>11486</v>
      </c>
      <c r="C8596" s="0" t="s">
        <v>11487</v>
      </c>
      <c r="D8596" s="0" t="s">
        <v>11487</v>
      </c>
      <c r="E8596" s="0" t="inlineStr">
        <is>
          <t xml:space="preserve">Mazda</t>
        </is>
      </c>
      <c r="F8596" s="0" t="s">
        <v>13</v>
      </c>
      <c r="G8596" s="0" t="s">
        <v>49</v>
      </c>
      <c r="H8596" s="5">
        <v>15757.005900</v>
      </c>
    </row>
    <row r="8597" spans="1:9">
      <c r="A8597" s="22" t="str">
        <f>HYPERLINK("https://app.vivvix.com/360/KMI/IntelliDrive/ApplUI/Pages/CreativePages/CustomReportCreativeDetail.aspx?App=23&amp;ReportView=4&amp;Qid=1711279&amp;Row=8589&amp;Col=1","No Title Assigned - #15270769216")</f>
        <v/>
      </c>
      <c r="B8597" s="0" t="s">
        <v>11488</v>
      </c>
      <c r="C8597" s="0" t="s">
        <v>11489</v>
      </c>
      <c r="D8597" s="0" t="s">
        <v>10988</v>
      </c>
      <c r="E8597" s="0" t="inlineStr">
        <is>
          <t xml:space="preserve">Mazda</t>
        </is>
      </c>
      <c r="F8597" s="0" t="s">
        <v>13</v>
      </c>
      <c r="G8597" s="0" t="s">
        <v>49</v>
      </c>
      <c r="H8597" s="5">
        <v>5.411300</v>
      </c>
    </row>
    <row r="8598" spans="1:9">
      <c r="A8598" s="22" t="str">
        <f>HYPERLINK("https://app.vivvix.com/360/KMI/IntelliDrive/ApplUI/Pages/CreativePages/CustomReportCreativeDetail.aspx?App=23&amp;ReportView=4&amp;Qid=1711279&amp;Row=8590&amp;Col=1","No Title Assigned - #15270769240")</f>
        <v/>
      </c>
      <c r="B8598" s="0" t="s">
        <v>11490</v>
      </c>
      <c r="C8598" s="0" t="s">
        <v>11491</v>
      </c>
      <c r="D8598" s="0" t="s">
        <v>11491</v>
      </c>
      <c r="E8598" s="0" t="inlineStr">
        <is>
          <t xml:space="preserve">Mazda</t>
        </is>
      </c>
      <c r="F8598" s="0" t="s">
        <v>13</v>
      </c>
      <c r="G8598" s="0" t="s">
        <v>49</v>
      </c>
      <c r="H8598" s="5">
        <v>821.677600</v>
      </c>
    </row>
    <row r="8599" spans="1:9">
      <c r="A8599" s="22" t="str">
        <f>HYPERLINK("https://app.vivvix.com/360/KMI/IntelliDrive/ApplUI/Pages/CreativePages/CustomReportCreativeDetail.aspx?App=23&amp;ReportView=4&amp;Qid=1711279&amp;Row=8591&amp;Col=1","No Title Assigned - #15270769383")</f>
        <v/>
      </c>
      <c r="B8599" s="0" t="s">
        <v>11492</v>
      </c>
      <c r="C8599" s="0" t="s">
        <v>11493</v>
      </c>
      <c r="D8599" s="0" t="s">
        <v>9962</v>
      </c>
      <c r="E8599" s="0" t="inlineStr">
        <is>
          <t xml:space="preserve">Mazda</t>
        </is>
      </c>
      <c r="F8599" s="0" t="s">
        <v>13</v>
      </c>
      <c r="G8599" s="0" t="s">
        <v>49</v>
      </c>
      <c r="H8599" s="5">
        <v>52.182300</v>
      </c>
    </row>
    <row r="8600" spans="1:9">
      <c r="A8600" s="22" t="str">
        <f>HYPERLINK("https://app.vivvix.com/360/KMI/IntelliDrive/ApplUI/Pages/CreativePages/CustomReportCreativeDetail.aspx?App=23&amp;ReportView=4&amp;Qid=1711279&amp;Row=8592&amp;Col=1","No Title Assigned - #15270769406")</f>
        <v/>
      </c>
      <c r="B8600" s="0" t="s">
        <v>11494</v>
      </c>
      <c r="E8600" s="0" t="inlineStr">
        <is>
          <t xml:space="preserve">Mazda</t>
        </is>
      </c>
      <c r="F8600" s="0" t="inlineStr">
        <is>
          <t xml:space="preserve">Mazda</t>
        </is>
      </c>
      <c r="G8600" s="0" t="s">
        <v>171</v>
      </c>
      <c r="H8600" s="5">
        <v>32.144600</v>
      </c>
    </row>
    <row r="8601" spans="1:9">
      <c r="A8601" s="22" t="str">
        <f>HYPERLINK("https://app.vivvix.com/360/KMI/IntelliDrive/ApplUI/Pages/CreativePages/CustomReportCreativeDetail.aspx?App=23&amp;ReportView=4&amp;Qid=1711279&amp;Row=8593&amp;Col=1","No Title Assigned - #15270769431")</f>
        <v/>
      </c>
      <c r="B8601" s="0" t="s">
        <v>11495</v>
      </c>
      <c r="C8601" s="0" t="s">
        <v>11496</v>
      </c>
      <c r="D8601" s="0" t="s">
        <v>8506</v>
      </c>
      <c r="E8601" s="0" t="inlineStr">
        <is>
          <t xml:space="preserve">Mazda</t>
        </is>
      </c>
      <c r="F8601" s="0" t="s">
        <v>13</v>
      </c>
      <c r="G8601" s="0" t="s">
        <v>49</v>
      </c>
      <c r="H8601" s="5">
        <v>28.546000</v>
      </c>
    </row>
    <row r="8602" spans="1:9">
      <c r="A8602" s="22" t="str">
        <f>HYPERLINK("https://app.vivvix.com/360/KMI/IntelliDrive/ApplUI/Pages/CreativePages/CustomReportCreativeDetail.aspx?App=23&amp;ReportView=4&amp;Qid=1711279&amp;Row=8594&amp;Col=1","No Title Assigned - #15270769441")</f>
        <v/>
      </c>
      <c r="B8602" s="0" t="s">
        <v>11497</v>
      </c>
      <c r="E8602" s="0" t="inlineStr">
        <is>
          <t xml:space="preserve">Mazda</t>
        </is>
      </c>
      <c r="F8602" s="0" t="inlineStr">
        <is>
          <t xml:space="preserve">Mazda</t>
        </is>
      </c>
      <c r="G8602" s="0" t="s">
        <v>171</v>
      </c>
      <c r="H8602" s="5">
        <v>10.769400</v>
      </c>
    </row>
    <row r="8603" spans="1:9">
      <c r="A8603" s="22" t="str">
        <f>HYPERLINK("https://app.vivvix.com/360/KMI/IntelliDrive/ApplUI/Pages/CreativePages/CustomReportCreativeDetail.aspx?App=23&amp;ReportView=4&amp;Qid=1711279&amp;Row=8595&amp;Col=1","No Title Assigned - #15270769471")</f>
        <v/>
      </c>
      <c r="B8603" s="0" t="s">
        <v>11498</v>
      </c>
      <c r="C8603" s="0" t="s">
        <v>11499</v>
      </c>
      <c r="D8603" s="0" t="s">
        <v>11499</v>
      </c>
      <c r="E8603" s="0" t="inlineStr">
        <is>
          <t xml:space="preserve">Mazda</t>
        </is>
      </c>
      <c r="F8603" s="0" t="s">
        <v>13</v>
      </c>
      <c r="G8603" s="0" t="s">
        <v>49</v>
      </c>
      <c r="H8603" s="5">
        <v>4451.345800</v>
      </c>
    </row>
    <row r="8604" spans="1:9">
      <c r="A8604" s="22" t="str">
        <f>HYPERLINK("https://app.vivvix.com/360/KMI/IntelliDrive/ApplUI/Pages/CreativePages/CustomReportCreativeDetail.aspx?App=23&amp;ReportView=4&amp;Qid=1711279&amp;Row=8596&amp;Col=1","No Title Assigned - #15270769508")</f>
        <v/>
      </c>
      <c r="B8604" s="0" t="s">
        <v>11500</v>
      </c>
      <c r="E8604" s="0" t="inlineStr">
        <is>
          <t xml:space="preserve">Mazda</t>
        </is>
      </c>
      <c r="F8604" s="0" t="inlineStr">
        <is>
          <t xml:space="preserve">Mazda</t>
        </is>
      </c>
      <c r="G8604" s="0" t="s">
        <v>171</v>
      </c>
      <c r="H8604" s="5">
        <v>16.112700</v>
      </c>
    </row>
    <row r="8605" spans="1:9">
      <c r="A8605" s="22" t="str">
        <f>HYPERLINK("https://app.vivvix.com/360/KMI/IntelliDrive/ApplUI/Pages/CreativePages/CustomReportCreativeDetail.aspx?App=23&amp;ReportView=4&amp;Qid=1711279&amp;Row=8597&amp;Col=1","No Title Assigned - #15270769509")</f>
        <v/>
      </c>
      <c r="B8605" s="0" t="s">
        <v>11501</v>
      </c>
      <c r="C8605" s="0" t="s">
        <v>11502</v>
      </c>
      <c r="D8605" s="0" t="s">
        <v>11502</v>
      </c>
      <c r="E8605" s="0" t="inlineStr">
        <is>
          <t xml:space="preserve">Mazda</t>
        </is>
      </c>
      <c r="F8605" s="0" t="s">
        <v>13</v>
      </c>
      <c r="G8605" s="0" t="s">
        <v>49</v>
      </c>
      <c r="H8605" s="5">
        <v>105.675000</v>
      </c>
    </row>
    <row r="8606" spans="1:9">
      <c r="A8606" s="22" t="str">
        <f>HYPERLINK("https://app.vivvix.com/360/KMI/IntelliDrive/ApplUI/Pages/CreativePages/CustomReportCreativeDetail.aspx?App=23&amp;ReportView=4&amp;Qid=1711279&amp;Row=8598&amp;Col=1","No Title Assigned - #15270769516")</f>
        <v/>
      </c>
      <c r="B8606" s="0" t="s">
        <v>11503</v>
      </c>
      <c r="C8606" s="0" t="s">
        <v>11504</v>
      </c>
      <c r="D8606" s="0" t="s">
        <v>11504</v>
      </c>
      <c r="E8606" s="0" t="inlineStr">
        <is>
          <t xml:space="preserve">Mazda</t>
        </is>
      </c>
      <c r="F8606" s="0" t="s">
        <v>13</v>
      </c>
      <c r="G8606" s="0" t="s">
        <v>49</v>
      </c>
      <c r="H8606" s="5">
        <v>471.431500</v>
      </c>
    </row>
    <row r="8607" spans="1:9">
      <c r="A8607" s="22" t="str">
        <f>HYPERLINK("https://app.vivvix.com/360/KMI/IntelliDrive/ApplUI/Pages/CreativePages/CustomReportCreativeDetail.aspx?App=23&amp;ReportView=4&amp;Qid=1711279&amp;Row=8599&amp;Col=1","No Title Assigned - #15270769523")</f>
        <v/>
      </c>
      <c r="B8607" s="0" t="s">
        <v>11505</v>
      </c>
      <c r="C8607" s="0" t="s">
        <v>11506</v>
      </c>
      <c r="D8607" s="0" t="s">
        <v>11506</v>
      </c>
      <c r="E8607" s="0" t="inlineStr">
        <is>
          <t xml:space="preserve">Mazda</t>
        </is>
      </c>
      <c r="F8607" s="0" t="s">
        <v>13</v>
      </c>
      <c r="G8607" s="0" t="s">
        <v>49</v>
      </c>
      <c r="H8607" s="5">
        <v>13023.499000</v>
      </c>
    </row>
    <row r="8608" spans="1:9">
      <c r="A8608" s="22" t="str">
        <f>HYPERLINK("https://app.vivvix.com/360/KMI/IntelliDrive/ApplUI/Pages/CreativePages/CustomReportCreativeDetail.aspx?App=23&amp;ReportView=4&amp;Qid=1711279&amp;Row=8600&amp;Col=1","No Title Assigned - #15270769530")</f>
        <v/>
      </c>
      <c r="B8608" s="0" t="s">
        <v>11507</v>
      </c>
      <c r="C8608" s="0" t="s">
        <v>11508</v>
      </c>
      <c r="D8608" s="0" t="s">
        <v>6238</v>
      </c>
      <c r="E8608" s="0" t="inlineStr">
        <is>
          <t xml:space="preserve">Mazda</t>
        </is>
      </c>
      <c r="F8608" s="0" t="s">
        <v>13</v>
      </c>
      <c r="G8608" s="0" t="s">
        <v>49</v>
      </c>
      <c r="H8608" s="5">
        <v>276.858800</v>
      </c>
    </row>
    <row r="8609" spans="1:9">
      <c r="A8609" s="22" t="str">
        <f>HYPERLINK("https://app.vivvix.com/360/KMI/IntelliDrive/ApplUI/Pages/CreativePages/CustomReportCreativeDetail.aspx?App=23&amp;ReportView=4&amp;Qid=1711279&amp;Row=8601&amp;Col=1","No Title Assigned - #15270769627")</f>
        <v/>
      </c>
      <c r="B8609" s="0" t="s">
        <v>11509</v>
      </c>
      <c r="C8609" s="0" t="s">
        <v>11510</v>
      </c>
      <c r="D8609" s="0" t="s">
        <v>7969</v>
      </c>
      <c r="E8609" s="0" t="inlineStr">
        <is>
          <t xml:space="preserve">Mazda</t>
        </is>
      </c>
      <c r="F8609" s="0" t="s">
        <v>13</v>
      </c>
      <c r="G8609" s="0" t="s">
        <v>49</v>
      </c>
      <c r="H8609" s="5">
        <v>26.367700</v>
      </c>
    </row>
    <row r="8610" spans="1:9">
      <c r="A8610" s="22" t="str">
        <f>HYPERLINK("https://app.vivvix.com/360/KMI/IntelliDrive/ApplUI/Pages/CreativePages/CustomReportCreativeDetail.aspx?App=23&amp;ReportView=4&amp;Qid=1711279&amp;Row=8602&amp;Col=1","No Title Assigned - #15270769785")</f>
        <v/>
      </c>
      <c r="B8610" s="0" t="s">
        <v>11511</v>
      </c>
      <c r="C8610" s="0" t="s">
        <v>11512</v>
      </c>
      <c r="D8610" s="0" t="s">
        <v>11512</v>
      </c>
      <c r="E8610" s="0" t="inlineStr">
        <is>
          <t xml:space="preserve">Mazda</t>
        </is>
      </c>
      <c r="F8610" s="0" t="s">
        <v>13</v>
      </c>
      <c r="G8610" s="0" t="s">
        <v>49</v>
      </c>
      <c r="H8610" s="5">
        <v>3228.171700</v>
      </c>
    </row>
    <row r="8611" spans="1:9">
      <c r="A8611" s="22" t="str">
        <f>HYPERLINK("https://app.vivvix.com/360/KMI/IntelliDrive/ApplUI/Pages/CreativePages/CustomReportCreativeDetail.aspx?App=23&amp;ReportView=4&amp;Qid=1711279&amp;Row=8603&amp;Col=1","No Title Assigned - #15270769848")</f>
        <v/>
      </c>
      <c r="B8611" s="0" t="s">
        <v>11513</v>
      </c>
      <c r="C8611" s="0" t="s">
        <v>11514</v>
      </c>
      <c r="D8611" s="0" t="s">
        <v>11514</v>
      </c>
      <c r="E8611" s="0" t="inlineStr">
        <is>
          <t xml:space="preserve">Mazda</t>
        </is>
      </c>
      <c r="F8611" s="0" t="s">
        <v>13</v>
      </c>
      <c r="G8611" s="0" t="s">
        <v>49</v>
      </c>
      <c r="H8611" s="5">
        <v>45.795600</v>
      </c>
    </row>
    <row r="8612" spans="1:9">
      <c r="A8612" s="22" t="str">
        <f>HYPERLINK("https://app.vivvix.com/360/KMI/IntelliDrive/ApplUI/Pages/CreativePages/CustomReportCreativeDetail.aspx?App=23&amp;ReportView=4&amp;Qid=1711279&amp;Row=8604&amp;Col=1","No Title Assigned - #15270769849")</f>
        <v/>
      </c>
      <c r="B8612" s="0" t="s">
        <v>11515</v>
      </c>
      <c r="E8612" s="0" t="inlineStr">
        <is>
          <t xml:space="preserve">Mazda</t>
        </is>
      </c>
      <c r="F8612" s="0" t="inlineStr">
        <is>
          <t xml:space="preserve">Mazda</t>
        </is>
      </c>
      <c r="G8612" s="0" t="s">
        <v>171</v>
      </c>
      <c r="H8612" s="5">
        <v>627.320900</v>
      </c>
    </row>
    <row r="8613" spans="1:9">
      <c r="A8613" s="22" t="str">
        <f>HYPERLINK("https://app.vivvix.com/360/KMI/IntelliDrive/ApplUI/Pages/CreativePages/CustomReportCreativeDetail.aspx?App=23&amp;ReportView=4&amp;Qid=1711279&amp;Row=8605&amp;Col=1","No Title Assigned - #15270769870")</f>
        <v/>
      </c>
      <c r="B8613" s="0" t="s">
        <v>11516</v>
      </c>
      <c r="C8613" s="0" t="s">
        <v>11517</v>
      </c>
      <c r="D8613" s="0" t="s">
        <v>11517</v>
      </c>
      <c r="E8613" s="0" t="inlineStr">
        <is>
          <t xml:space="preserve">Mazda</t>
        </is>
      </c>
      <c r="F8613" s="0" t="s">
        <v>13</v>
      </c>
      <c r="G8613" s="0" t="s">
        <v>49</v>
      </c>
      <c r="H8613" s="5">
        <v>646.531000</v>
      </c>
    </row>
    <row r="8614" spans="1:9">
      <c r="A8614" s="22" t="str">
        <f>HYPERLINK("https://app.vivvix.com/360/KMI/IntelliDrive/ApplUI/Pages/CreativePages/CustomReportCreativeDetail.aspx?App=23&amp;ReportView=4&amp;Qid=1711279&amp;Row=8606&amp;Col=1","No Title Assigned - #15270769968")</f>
        <v/>
      </c>
      <c r="B8614" s="0" t="s">
        <v>11518</v>
      </c>
      <c r="E8614" s="0" t="inlineStr">
        <is>
          <t xml:space="preserve">Mazda</t>
        </is>
      </c>
      <c r="F8614" s="0" t="inlineStr">
        <is>
          <t xml:space="preserve">Mazda</t>
        </is>
      </c>
      <c r="G8614" s="0" t="s">
        <v>171</v>
      </c>
      <c r="H8614" s="5">
        <v>1887.850100</v>
      </c>
    </row>
    <row r="8615" spans="1:9">
      <c r="A8615" s="22" t="str">
        <f>HYPERLINK("https://app.vivvix.com/360/KMI/IntelliDrive/ApplUI/Pages/CreativePages/CustomReportCreativeDetail.aspx?App=23&amp;ReportView=4&amp;Qid=1711279&amp;Row=8607&amp;Col=1","No Title Assigned - #15270770026")</f>
        <v/>
      </c>
      <c r="B8615" s="0" t="s">
        <v>11519</v>
      </c>
      <c r="E8615" s="0" t="inlineStr">
        <is>
          <t xml:space="preserve">Mazda</t>
        </is>
      </c>
      <c r="F8615" s="0" t="inlineStr">
        <is>
          <t xml:space="preserve">Mazda</t>
        </is>
      </c>
      <c r="G8615" s="0" t="s">
        <v>171</v>
      </c>
      <c r="H8615" s="5">
        <v>45.285300</v>
      </c>
    </row>
    <row r="8616" spans="1:9">
      <c r="A8616" s="22" t="str">
        <f>HYPERLINK("https://app.vivvix.com/360/KMI/IntelliDrive/ApplUI/Pages/CreativePages/CustomReportCreativeDetail.aspx?App=23&amp;ReportView=4&amp;Qid=1711279&amp;Row=8608&amp;Col=1","No Title Assigned - #15270770064")</f>
        <v/>
      </c>
      <c r="B8616" s="0" t="s">
        <v>11520</v>
      </c>
      <c r="C8616" s="0" t="s">
        <v>11521</v>
      </c>
      <c r="D8616" s="0" t="s">
        <v>11258</v>
      </c>
      <c r="E8616" s="0" t="inlineStr">
        <is>
          <t xml:space="preserve">Mazda</t>
        </is>
      </c>
      <c r="F8616" s="0" t="s">
        <v>13</v>
      </c>
      <c r="G8616" s="0" t="s">
        <v>49</v>
      </c>
      <c r="H8616" s="5">
        <v>748.462500</v>
      </c>
    </row>
    <row r="8617" spans="1:9">
      <c r="A8617" s="22" t="str">
        <f>HYPERLINK("https://app.vivvix.com/360/KMI/IntelliDrive/ApplUI/Pages/CreativePages/CustomReportCreativeDetail.aspx?App=23&amp;ReportView=4&amp;Qid=1711279&amp;Row=8609&amp;Col=1","No Title Assigned - #15270770171")</f>
        <v/>
      </c>
      <c r="B8617" s="0" t="s">
        <v>11522</v>
      </c>
      <c r="C8617" s="0" t="s">
        <v>11523</v>
      </c>
      <c r="D8617" s="0" t="s">
        <v>11523</v>
      </c>
      <c r="E8617" s="0" t="inlineStr">
        <is>
          <t xml:space="preserve">Mazda</t>
        </is>
      </c>
      <c r="F8617" s="0" t="s">
        <v>13</v>
      </c>
      <c r="G8617" s="0" t="s">
        <v>49</v>
      </c>
      <c r="H8617" s="5">
        <v>636.961300</v>
      </c>
    </row>
    <row r="8618" spans="1:9">
      <c r="A8618" s="22" t="str">
        <f>HYPERLINK("https://app.vivvix.com/360/KMI/IntelliDrive/ApplUI/Pages/CreativePages/CustomReportCreativeDetail.aspx?App=23&amp;ReportView=4&amp;Qid=1711279&amp;Row=8610&amp;Col=1","No Title Assigned - #15270770235")</f>
        <v/>
      </c>
      <c r="B8618" s="0" t="s">
        <v>11524</v>
      </c>
      <c r="C8618" s="0" t="s">
        <v>11525</v>
      </c>
      <c r="D8618" s="0" t="s">
        <v>11525</v>
      </c>
      <c r="E8618" s="0" t="inlineStr">
        <is>
          <t xml:space="preserve">Mazda</t>
        </is>
      </c>
      <c r="F8618" s="0" t="s">
        <v>13</v>
      </c>
      <c r="G8618" s="0" t="s">
        <v>49</v>
      </c>
      <c r="H8618" s="5">
        <v>1231.856000</v>
      </c>
    </row>
    <row r="8619" spans="1:9">
      <c r="A8619" s="22" t="str">
        <f>HYPERLINK("https://app.vivvix.com/360/KMI/IntelliDrive/ApplUI/Pages/CreativePages/CustomReportCreativeDetail.aspx?App=23&amp;ReportView=4&amp;Qid=1711279&amp;Row=8611&amp;Col=1","No Title Assigned - #15270770242")</f>
        <v/>
      </c>
      <c r="B8619" s="0" t="s">
        <v>11526</v>
      </c>
      <c r="C8619" s="0" t="s">
        <v>11527</v>
      </c>
      <c r="D8619" s="0" t="s">
        <v>11527</v>
      </c>
      <c r="E8619" s="0" t="inlineStr">
        <is>
          <t xml:space="preserve">Mazda</t>
        </is>
      </c>
      <c r="F8619" s="0" t="inlineStr">
        <is>
          <t xml:space="preserve">Mazda</t>
        </is>
      </c>
      <c r="G8619" s="0" t="s">
        <v>210</v>
      </c>
      <c r="H8619" s="5">
        <v>1900.909800</v>
      </c>
    </row>
    <row r="8620" spans="1:9">
      <c r="A8620" s="22" t="str">
        <f>HYPERLINK("https://app.vivvix.com/360/KMI/IntelliDrive/ApplUI/Pages/CreativePages/CustomReportCreativeDetail.aspx?App=23&amp;ReportView=4&amp;Qid=1711279&amp;Row=8612&amp;Col=1","No Title Assigned - #15270770271")</f>
        <v/>
      </c>
      <c r="B8620" s="0" t="s">
        <v>11528</v>
      </c>
      <c r="C8620" s="0" t="s">
        <v>11529</v>
      </c>
      <c r="D8620" s="0" t="s">
        <v>11529</v>
      </c>
      <c r="E8620" s="0" t="inlineStr">
        <is>
          <t xml:space="preserve">Mazda</t>
        </is>
      </c>
      <c r="F8620" s="0" t="s">
        <v>13</v>
      </c>
      <c r="G8620" s="0" t="s">
        <v>49</v>
      </c>
      <c r="H8620" s="5">
        <v>398.118600</v>
      </c>
    </row>
    <row r="8621" spans="1:9">
      <c r="A8621" s="22" t="str">
        <f>HYPERLINK("https://app.vivvix.com/360/KMI/IntelliDrive/ApplUI/Pages/CreativePages/CustomReportCreativeDetail.aspx?App=23&amp;ReportView=4&amp;Qid=1711279&amp;Row=8613&amp;Col=1","No Title Assigned - #15270770648")</f>
        <v/>
      </c>
      <c r="B8621" s="0" t="s">
        <v>11530</v>
      </c>
      <c r="C8621" s="0" t="s">
        <v>11531</v>
      </c>
      <c r="D8621" s="0" t="s">
        <v>11531</v>
      </c>
      <c r="E8621" s="0" t="inlineStr">
        <is>
          <t xml:space="preserve">Mazda</t>
        </is>
      </c>
      <c r="F8621" s="0" t="inlineStr">
        <is>
          <t xml:space="preserve">Mazda</t>
        </is>
      </c>
      <c r="G8621" s="0" t="s">
        <v>210</v>
      </c>
      <c r="H8621" s="5">
        <v>2299.389900</v>
      </c>
    </row>
    <row r="8622" spans="1:9">
      <c r="A8622" s="22" t="str">
        <f>HYPERLINK("https://app.vivvix.com/360/KMI/IntelliDrive/ApplUI/Pages/CreativePages/CustomReportCreativeDetail.aspx?App=23&amp;ReportView=4&amp;Qid=1711279&amp;Row=8614&amp;Col=1","No Title Assigned - #15270770670")</f>
        <v/>
      </c>
      <c r="B8622" s="0" t="s">
        <v>11532</v>
      </c>
      <c r="C8622" s="0" t="s">
        <v>11533</v>
      </c>
      <c r="D8622" s="0" t="s">
        <v>11533</v>
      </c>
      <c r="E8622" s="0" t="inlineStr">
        <is>
          <t xml:space="preserve">Mazda</t>
        </is>
      </c>
      <c r="F8622" s="0" t="s">
        <v>13</v>
      </c>
      <c r="G8622" s="0" t="s">
        <v>49</v>
      </c>
      <c r="H8622" s="5">
        <v>60.562500</v>
      </c>
    </row>
    <row r="8623" spans="1:9">
      <c r="A8623" s="22" t="str">
        <f>HYPERLINK("https://app.vivvix.com/360/KMI/IntelliDrive/ApplUI/Pages/CreativePages/CustomReportCreativeDetail.aspx?App=23&amp;ReportView=4&amp;Qid=1711279&amp;Row=8615&amp;Col=1","No Title Assigned - #15270770950")</f>
        <v/>
      </c>
      <c r="B8623" s="0" t="s">
        <v>11534</v>
      </c>
      <c r="C8623" s="0" t="s">
        <v>11535</v>
      </c>
      <c r="D8623" s="0" t="s">
        <v>11535</v>
      </c>
      <c r="E8623" s="0" t="inlineStr">
        <is>
          <t xml:space="preserve">Mazda</t>
        </is>
      </c>
      <c r="F8623" s="0" t="s">
        <v>13</v>
      </c>
      <c r="G8623" s="0" t="s">
        <v>49</v>
      </c>
      <c r="H8623" s="5">
        <v>220.715600</v>
      </c>
    </row>
    <row r="8624" spans="1:9">
      <c r="A8624" s="22" t="str">
        <f>HYPERLINK("https://app.vivvix.com/360/KMI/IntelliDrive/ApplUI/Pages/CreativePages/CustomReportCreativeDetail.aspx?App=23&amp;ReportView=4&amp;Qid=1711279&amp;Row=8616&amp;Col=1","No Title Assigned - #15270770954")</f>
        <v/>
      </c>
      <c r="B8624" s="0" t="s">
        <v>11536</v>
      </c>
      <c r="C8624" s="0" t="s">
        <v>11537</v>
      </c>
      <c r="D8624" s="0" t="s">
        <v>11537</v>
      </c>
      <c r="E8624" s="0" t="inlineStr">
        <is>
          <t xml:space="preserve">Mazda</t>
        </is>
      </c>
      <c r="F8624" s="0" t="s">
        <v>28</v>
      </c>
      <c r="G8624" s="0" t="s">
        <v>29</v>
      </c>
      <c r="H8624" s="5">
        <v>8522.510900</v>
      </c>
    </row>
    <row r="8625" spans="1:9">
      <c r="A8625" s="22" t="str">
        <f>HYPERLINK("https://app.vivvix.com/360/KMI/IntelliDrive/ApplUI/Pages/CreativePages/CustomReportCreativeDetail.aspx?App=23&amp;ReportView=4&amp;Qid=1711279&amp;Row=8617&amp;Col=1","No Title Assigned - #15270771456")</f>
        <v/>
      </c>
      <c r="B8625" s="0" t="s">
        <v>11538</v>
      </c>
      <c r="C8625" s="0" t="s">
        <v>11539</v>
      </c>
      <c r="D8625" s="0" t="s">
        <v>11539</v>
      </c>
      <c r="E8625" s="0" t="inlineStr">
        <is>
          <t xml:space="preserve">Mazda</t>
        </is>
      </c>
      <c r="F8625" s="0" t="s">
        <v>13</v>
      </c>
      <c r="G8625" s="0" t="s">
        <v>49</v>
      </c>
      <c r="H8625" s="5">
        <v>9984.480400</v>
      </c>
    </row>
    <row r="8626" spans="1:9">
      <c r="A8626" s="22" t="str">
        <f>HYPERLINK("https://app.vivvix.com/360/KMI/IntelliDrive/ApplUI/Pages/CreativePages/CustomReportCreativeDetail.aspx?App=23&amp;ReportView=4&amp;Qid=1711279&amp;Row=8618&amp;Col=1","No Title Assigned - #15270771540")</f>
        <v/>
      </c>
      <c r="B8626" s="0" t="s">
        <v>11540</v>
      </c>
      <c r="C8626" s="0" t="s">
        <v>11541</v>
      </c>
      <c r="D8626" s="0" t="s">
        <v>11541</v>
      </c>
      <c r="E8626" s="0" t="inlineStr">
        <is>
          <t xml:space="preserve">Mazda</t>
        </is>
      </c>
      <c r="F8626" s="0" t="s">
        <v>13</v>
      </c>
      <c r="G8626" s="0" t="s">
        <v>49</v>
      </c>
      <c r="H8626" s="5">
        <v>339.377800</v>
      </c>
    </row>
    <row r="8627" spans="1:9">
      <c r="A8627" s="22" t="str">
        <f>HYPERLINK("https://app.vivvix.com/360/KMI/IntelliDrive/ApplUI/Pages/CreativePages/CustomReportCreativeDetail.aspx?App=23&amp;ReportView=4&amp;Qid=1711279&amp;Row=8619&amp;Col=1","No Title Assigned - #15270771660")</f>
        <v/>
      </c>
      <c r="B8627" s="0" t="s">
        <v>11542</v>
      </c>
      <c r="C8627" s="0" t="s">
        <v>11543</v>
      </c>
      <c r="D8627" s="0" t="s">
        <v>11418</v>
      </c>
      <c r="E8627" s="0" t="inlineStr">
        <is>
          <t xml:space="preserve">Mazda</t>
        </is>
      </c>
      <c r="F8627" s="0" t="s">
        <v>13</v>
      </c>
      <c r="G8627" s="0" t="s">
        <v>49</v>
      </c>
      <c r="H8627" s="5">
        <v>669.492200</v>
      </c>
    </row>
    <row r="8628" spans="1:9">
      <c r="A8628" s="22" t="str">
        <f>HYPERLINK("https://app.vivvix.com/360/KMI/IntelliDrive/ApplUI/Pages/CreativePages/CustomReportCreativeDetail.aspx?App=23&amp;ReportView=4&amp;Qid=1711279&amp;Row=8620&amp;Col=1","No Title Assigned - #15270771708")</f>
        <v/>
      </c>
      <c r="B8628" s="0" t="s">
        <v>11544</v>
      </c>
      <c r="C8628" s="0" t="s">
        <v>11545</v>
      </c>
      <c r="D8628" s="0" t="s">
        <v>10988</v>
      </c>
      <c r="E8628" s="0" t="inlineStr">
        <is>
          <t xml:space="preserve">Mazda</t>
        </is>
      </c>
      <c r="F8628" s="0" t="s">
        <v>13</v>
      </c>
      <c r="G8628" s="0" t="s">
        <v>49</v>
      </c>
      <c r="H8628" s="5">
        <v>1950.677400</v>
      </c>
    </row>
    <row r="8629" spans="1:9">
      <c r="A8629" s="22" t="str">
        <f>HYPERLINK("https://app.vivvix.com/360/KMI/IntelliDrive/ApplUI/Pages/CreativePages/CustomReportCreativeDetail.aspx?App=23&amp;ReportView=4&amp;Qid=1711279&amp;Row=8621&amp;Col=1","No Title Assigned - #15270772045")</f>
        <v/>
      </c>
      <c r="B8629" s="0" t="s">
        <v>11546</v>
      </c>
      <c r="C8629" s="0" t="s">
        <v>11547</v>
      </c>
      <c r="D8629" s="0" t="s">
        <v>11418</v>
      </c>
      <c r="E8629" s="0" t="inlineStr">
        <is>
          <t xml:space="preserve">Mazda</t>
        </is>
      </c>
      <c r="F8629" s="0" t="s">
        <v>13</v>
      </c>
      <c r="G8629" s="0" t="s">
        <v>49</v>
      </c>
      <c r="H8629" s="5">
        <v>150.118800</v>
      </c>
    </row>
    <row r="8630" spans="1:9">
      <c r="A8630" s="22" t="str">
        <f>HYPERLINK("https://app.vivvix.com/360/KMI/IntelliDrive/ApplUI/Pages/CreativePages/CustomReportCreativeDetail.aspx?App=23&amp;ReportView=4&amp;Qid=1711279&amp;Row=8622&amp;Col=1","No Title Assigned - #15270772163")</f>
        <v/>
      </c>
      <c r="B8630" s="0" t="s">
        <v>11548</v>
      </c>
      <c r="E8630" s="0" t="inlineStr">
        <is>
          <t xml:space="preserve">Mazda</t>
        </is>
      </c>
      <c r="F8630" s="0" t="s">
        <v>13</v>
      </c>
      <c r="G8630" s="0" t="s">
        <v>49</v>
      </c>
      <c r="H8630" s="5">
        <v>2307.782600</v>
      </c>
    </row>
    <row r="8631" spans="1:9">
      <c r="A8631" s="22" t="str">
        <f>HYPERLINK("https://app.vivvix.com/360/KMI/IntelliDrive/ApplUI/Pages/CreativePages/CustomReportCreativeDetail.aspx?App=23&amp;ReportView=4&amp;Qid=1711279&amp;Row=8623&amp;Col=1","No Title Assigned - #15270772163")</f>
        <v/>
      </c>
      <c r="B8631" s="0" t="s">
        <v>11548</v>
      </c>
      <c r="C8631" s="0" t="s">
        <v>11549</v>
      </c>
      <c r="D8631" s="0" t="s">
        <v>11549</v>
      </c>
      <c r="E8631" s="0" t="inlineStr">
        <is>
          <t xml:space="preserve">Mazda</t>
        </is>
      </c>
      <c r="F8631" s="0" t="s">
        <v>13</v>
      </c>
      <c r="G8631" s="0" t="s">
        <v>49</v>
      </c>
      <c r="H8631" s="5">
        <v>2010.939800</v>
      </c>
    </row>
    <row r="8632" spans="1:9">
      <c r="A8632" s="22" t="str">
        <f>HYPERLINK("https://app.vivvix.com/360/KMI/IntelliDrive/ApplUI/Pages/CreativePages/CustomReportCreativeDetail.aspx?App=23&amp;ReportView=4&amp;Qid=1711279&amp;Row=8624&amp;Col=1","No Title Assigned - #15270772406")</f>
        <v/>
      </c>
      <c r="B8632" s="0" t="s">
        <v>11550</v>
      </c>
      <c r="C8632" s="0" t="s">
        <v>11551</v>
      </c>
      <c r="D8632" s="0" t="s">
        <v>8818</v>
      </c>
      <c r="E8632" s="0" t="inlineStr">
        <is>
          <t xml:space="preserve">Mazda</t>
        </is>
      </c>
      <c r="F8632" s="0" t="inlineStr">
        <is>
          <t xml:space="preserve">Mazda</t>
        </is>
      </c>
      <c r="G8632" s="0" t="s">
        <v>210</v>
      </c>
      <c r="H8632" s="5">
        <v>411.667000</v>
      </c>
    </row>
    <row r="8633" spans="1:9">
      <c r="A8633" s="22" t="str">
        <f>HYPERLINK("https://app.vivvix.com/360/KMI/IntelliDrive/ApplUI/Pages/CreativePages/CustomReportCreativeDetail.aspx?App=23&amp;ReportView=4&amp;Qid=1711279&amp;Row=8625&amp;Col=1","No Title Assigned - #15270772552")</f>
        <v/>
      </c>
      <c r="B8633" s="0" t="s">
        <v>11552</v>
      </c>
      <c r="E8633" s="0" t="inlineStr">
        <is>
          <t xml:space="preserve">Mazda</t>
        </is>
      </c>
      <c r="F8633" s="0" t="inlineStr">
        <is>
          <t xml:space="preserve">Mazda</t>
        </is>
      </c>
      <c r="G8633" s="0" t="s">
        <v>210</v>
      </c>
      <c r="H8633" s="5">
        <v>1809.591500</v>
      </c>
    </row>
    <row r="8634" spans="1:9">
      <c r="A8634" s="22" t="str">
        <f>HYPERLINK("https://app.vivvix.com/360/KMI/IntelliDrive/ApplUI/Pages/CreativePages/CustomReportCreativeDetail.aspx?App=23&amp;ReportView=4&amp;Qid=1711279&amp;Row=8626&amp;Col=1","No Title Assigned - #15270772552")</f>
        <v/>
      </c>
      <c r="B8634" s="0" t="s">
        <v>11552</v>
      </c>
      <c r="C8634" s="0" t="s">
        <v>11553</v>
      </c>
      <c r="D8634" s="0" t="s">
        <v>11553</v>
      </c>
      <c r="E8634" s="0" t="inlineStr">
        <is>
          <t xml:space="preserve">Mazda</t>
        </is>
      </c>
      <c r="F8634" s="0" t="inlineStr">
        <is>
          <t xml:space="preserve">Mazda</t>
        </is>
      </c>
      <c r="G8634" s="0" t="s">
        <v>210</v>
      </c>
      <c r="H8634" s="5">
        <v>12486.137700</v>
      </c>
    </row>
    <row r="8635" spans="1:9">
      <c r="A8635" s="22" t="str">
        <f>HYPERLINK("https://app.vivvix.com/360/KMI/IntelliDrive/ApplUI/Pages/CreativePages/CustomReportCreativeDetail.aspx?App=23&amp;ReportView=4&amp;Qid=1711279&amp;Row=8627&amp;Col=1","No Title Assigned - #15270772556")</f>
        <v/>
      </c>
      <c r="B8635" s="0" t="s">
        <v>11554</v>
      </c>
      <c r="C8635" s="0" t="s">
        <v>11555</v>
      </c>
      <c r="D8635" s="0" t="s">
        <v>11555</v>
      </c>
      <c r="E8635" s="0" t="inlineStr">
        <is>
          <t xml:space="preserve">Mazda</t>
        </is>
      </c>
      <c r="F8635" s="0" t="s">
        <v>13</v>
      </c>
      <c r="G8635" s="0" t="s">
        <v>49</v>
      </c>
      <c r="H8635" s="5">
        <v>154.222500</v>
      </c>
    </row>
    <row r="8636" spans="1:9">
      <c r="A8636" s="22" t="str">
        <f>HYPERLINK("https://app.vivvix.com/360/KMI/IntelliDrive/ApplUI/Pages/CreativePages/CustomReportCreativeDetail.aspx?App=23&amp;ReportView=4&amp;Qid=1711279&amp;Row=8628&amp;Col=1","No Title Assigned - #15270772560")</f>
        <v/>
      </c>
      <c r="B8636" s="0" t="s">
        <v>11556</v>
      </c>
      <c r="C8636" s="0" t="s">
        <v>11557</v>
      </c>
      <c r="D8636" s="0" t="s">
        <v>11557</v>
      </c>
      <c r="E8636" s="0" t="inlineStr">
        <is>
          <t xml:space="preserve">Mazda</t>
        </is>
      </c>
      <c r="F8636" s="0" t="s">
        <v>13</v>
      </c>
      <c r="G8636" s="0" t="s">
        <v>49</v>
      </c>
      <c r="H8636" s="5">
        <v>27.881600</v>
      </c>
    </row>
    <row r="8637" spans="1:9">
      <c r="A8637" s="22" t="str">
        <f>HYPERLINK("https://app.vivvix.com/360/KMI/IntelliDrive/ApplUI/Pages/CreativePages/CustomReportCreativeDetail.aspx?App=23&amp;ReportView=4&amp;Qid=1711279&amp;Row=8629&amp;Col=1","No Title Assigned - #15270772689")</f>
        <v/>
      </c>
      <c r="B8637" s="0" t="s">
        <v>11558</v>
      </c>
      <c r="C8637" s="0" t="s">
        <v>11559</v>
      </c>
      <c r="D8637" s="0" t="s">
        <v>11560</v>
      </c>
      <c r="E8637" s="0" t="inlineStr">
        <is>
          <t xml:space="preserve">Mazda</t>
        </is>
      </c>
      <c r="F8637" s="0" t="s">
        <v>13</v>
      </c>
      <c r="G8637" s="0" t="s">
        <v>49</v>
      </c>
      <c r="H8637" s="5">
        <v>299.775800</v>
      </c>
    </row>
    <row r="8638" spans="1:9">
      <c r="A8638" s="22" t="str">
        <f>HYPERLINK("https://app.vivvix.com/360/KMI/IntelliDrive/ApplUI/Pages/CreativePages/CustomReportCreativeDetail.aspx?App=23&amp;ReportView=4&amp;Qid=1711279&amp;Row=8630&amp;Col=1","No Title Assigned - #15270772823")</f>
        <v/>
      </c>
      <c r="B8638" s="0" t="s">
        <v>11561</v>
      </c>
      <c r="C8638" s="0" t="s">
        <v>11562</v>
      </c>
      <c r="D8638" s="0" t="s">
        <v>4774</v>
      </c>
      <c r="E8638" s="0" t="inlineStr">
        <is>
          <t xml:space="preserve">Mazda</t>
        </is>
      </c>
      <c r="F8638" s="0" t="s">
        <v>13</v>
      </c>
      <c r="G8638" s="0" t="s">
        <v>49</v>
      </c>
      <c r="H8638" s="5">
        <v>61.889300</v>
      </c>
    </row>
    <row r="8639" spans="1:9">
      <c r="A8639" s="22" t="str">
        <f>HYPERLINK("https://app.vivvix.com/360/KMI/IntelliDrive/ApplUI/Pages/CreativePages/CustomReportCreativeDetail.aspx?App=23&amp;ReportView=4&amp;Qid=1711279&amp;Row=8631&amp;Col=1","No Title Assigned - #15270772853")</f>
        <v/>
      </c>
      <c r="B8639" s="0" t="s">
        <v>11563</v>
      </c>
      <c r="C8639" s="0" t="s">
        <v>11564</v>
      </c>
      <c r="D8639" s="0" t="s">
        <v>10770</v>
      </c>
      <c r="E8639" s="0" t="inlineStr">
        <is>
          <t xml:space="preserve">Mazda</t>
        </is>
      </c>
      <c r="F8639" s="0" t="s">
        <v>13</v>
      </c>
      <c r="G8639" s="0" t="s">
        <v>49</v>
      </c>
      <c r="H8639" s="5">
        <v>86.701100</v>
      </c>
    </row>
    <row r="8640" spans="1:9">
      <c r="A8640" s="22" t="str">
        <f>HYPERLINK("https://app.vivvix.com/360/KMI/IntelliDrive/ApplUI/Pages/CreativePages/CustomReportCreativeDetail.aspx?App=23&amp;ReportView=4&amp;Qid=1711279&amp;Row=8632&amp;Col=1","No Title Assigned - #15270772853")</f>
        <v/>
      </c>
      <c r="B8640" s="0" t="s">
        <v>11563</v>
      </c>
      <c r="E8640" s="0" t="inlineStr">
        <is>
          <t xml:space="preserve">Mazda</t>
        </is>
      </c>
      <c r="F8640" s="0" t="s">
        <v>13</v>
      </c>
      <c r="G8640" s="0" t="s">
        <v>49</v>
      </c>
      <c r="H8640" s="5">
        <v>9505.681600</v>
      </c>
    </row>
    <row r="8641" spans="1:9">
      <c r="A8641" s="22" t="str">
        <f>HYPERLINK("https://app.vivvix.com/360/KMI/IntelliDrive/ApplUI/Pages/CreativePages/CustomReportCreativeDetail.aspx?App=23&amp;ReportView=4&amp;Qid=1711279&amp;Row=8633&amp;Col=1","No Title Assigned - #15270772932")</f>
        <v/>
      </c>
      <c r="B8641" s="0" t="s">
        <v>11565</v>
      </c>
      <c r="C8641" s="0" t="s">
        <v>11258</v>
      </c>
      <c r="D8641" s="0" t="s">
        <v>11258</v>
      </c>
      <c r="E8641" s="0" t="inlineStr">
        <is>
          <t xml:space="preserve">Mazda</t>
        </is>
      </c>
      <c r="F8641" s="0" t="s">
        <v>13</v>
      </c>
      <c r="G8641" s="0" t="s">
        <v>49</v>
      </c>
      <c r="H8641" s="5">
        <v>1409.869300</v>
      </c>
    </row>
    <row r="8642" spans="1:9">
      <c r="A8642" s="22" t="str">
        <f>HYPERLINK("https://app.vivvix.com/360/KMI/IntelliDrive/ApplUI/Pages/CreativePages/CustomReportCreativeDetail.aspx?App=23&amp;ReportView=4&amp;Qid=1711279&amp;Row=8634&amp;Col=1","No Title Assigned - #15270773003")</f>
        <v/>
      </c>
      <c r="B8642" s="0" t="s">
        <v>11566</v>
      </c>
      <c r="E8642" s="0" t="inlineStr">
        <is>
          <t xml:space="preserve">Mazda</t>
        </is>
      </c>
      <c r="F8642" s="0" t="inlineStr">
        <is>
          <t xml:space="preserve">Mazda</t>
        </is>
      </c>
      <c r="G8642" s="0" t="s">
        <v>210</v>
      </c>
      <c r="H8642" s="5">
        <v>1626.771800</v>
      </c>
    </row>
    <row r="8643" spans="1:9">
      <c r="A8643" s="22" t="str">
        <f>HYPERLINK("https://app.vivvix.com/360/KMI/IntelliDrive/ApplUI/Pages/CreativePages/CustomReportCreativeDetail.aspx?App=23&amp;ReportView=4&amp;Qid=1711279&amp;Row=8635&amp;Col=1","No Title Assigned - #15270773004")</f>
        <v/>
      </c>
      <c r="B8643" s="0" t="s">
        <v>11567</v>
      </c>
      <c r="E8643" s="0" t="inlineStr">
        <is>
          <t xml:space="preserve">Mazda</t>
        </is>
      </c>
      <c r="F8643" s="0" t="inlineStr">
        <is>
          <t xml:space="preserve">Mazda</t>
        </is>
      </c>
      <c r="G8643" s="0" t="s">
        <v>171</v>
      </c>
      <c r="H8643" s="5">
        <v>1004.355500</v>
      </c>
    </row>
    <row r="8644" spans="1:9">
      <c r="A8644" s="22" t="str">
        <f>HYPERLINK("https://app.vivvix.com/360/KMI/IntelliDrive/ApplUI/Pages/CreativePages/CustomReportCreativeDetail.aspx?App=23&amp;ReportView=4&amp;Qid=1711279&amp;Row=8636&amp;Col=1","No Title Assigned - #15270773039")</f>
        <v/>
      </c>
      <c r="B8644" s="0" t="s">
        <v>11568</v>
      </c>
      <c r="C8644" s="0" t="s">
        <v>11569</v>
      </c>
      <c r="D8644" s="0" t="s">
        <v>11569</v>
      </c>
      <c r="E8644" s="0" t="inlineStr">
        <is>
          <t xml:space="preserve">Mazda</t>
        </is>
      </c>
      <c r="F8644" s="0" t="s">
        <v>13</v>
      </c>
      <c r="G8644" s="0" t="s">
        <v>49</v>
      </c>
      <c r="H8644" s="5">
        <v>7.227300</v>
      </c>
    </row>
    <row r="8645" spans="1:9">
      <c r="A8645" s="22" t="str">
        <f>HYPERLINK("https://app.vivvix.com/360/KMI/IntelliDrive/ApplUI/Pages/CreativePages/CustomReportCreativeDetail.aspx?App=23&amp;ReportView=4&amp;Qid=1711279&amp;Row=8637&amp;Col=1","No Title Assigned - #15270773082")</f>
        <v/>
      </c>
      <c r="B8645" s="0" t="s">
        <v>11570</v>
      </c>
      <c r="C8645" s="0" t="s">
        <v>11571</v>
      </c>
      <c r="D8645" s="0" t="s">
        <v>11571</v>
      </c>
      <c r="E8645" s="0" t="inlineStr">
        <is>
          <t xml:space="preserve">Mazda</t>
        </is>
      </c>
      <c r="F8645" s="0" t="s">
        <v>21</v>
      </c>
      <c r="G8645" s="0" t="s">
        <v>22</v>
      </c>
      <c r="H8645" s="5">
        <v>1187.504800</v>
      </c>
    </row>
    <row r="8646" spans="1:9">
      <c r="A8646" s="22" t="str">
        <f>HYPERLINK("https://app.vivvix.com/360/KMI/IntelliDrive/ApplUI/Pages/CreativePages/CustomReportCreativeDetail.aspx?App=23&amp;ReportView=4&amp;Qid=1711279&amp;Row=8638&amp;Col=1","No Title Assigned - #15270773126")</f>
        <v/>
      </c>
      <c r="B8646" s="0" t="s">
        <v>11572</v>
      </c>
      <c r="C8646" s="0" t="s">
        <v>11573</v>
      </c>
      <c r="D8646" s="0" t="s">
        <v>11573</v>
      </c>
      <c r="E8646" s="0" t="inlineStr">
        <is>
          <t xml:space="preserve">Mazda</t>
        </is>
      </c>
      <c r="F8646" s="0" t="s">
        <v>13</v>
      </c>
      <c r="G8646" s="0" t="s">
        <v>49</v>
      </c>
      <c r="H8646" s="5">
        <v>850.283900</v>
      </c>
    </row>
    <row r="8647" spans="1:9">
      <c r="A8647" s="22" t="str">
        <f>HYPERLINK("https://app.vivvix.com/360/KMI/IntelliDrive/ApplUI/Pages/CreativePages/CustomReportCreativeDetail.aspx?App=23&amp;ReportView=4&amp;Qid=1711279&amp;Row=8639&amp;Col=1","No Title Assigned - #15270773126")</f>
        <v/>
      </c>
      <c r="B8647" s="0" t="s">
        <v>11572</v>
      </c>
      <c r="C8647" s="0" t="s">
        <v>11574</v>
      </c>
      <c r="D8647" s="0" t="s">
        <v>11574</v>
      </c>
      <c r="E8647" s="0" t="inlineStr">
        <is>
          <t xml:space="preserve">Mazda</t>
        </is>
      </c>
      <c r="F8647" s="0" t="s">
        <v>13</v>
      </c>
      <c r="G8647" s="0" t="s">
        <v>49</v>
      </c>
      <c r="H8647" s="5">
        <v>471.241500</v>
      </c>
    </row>
    <row r="8648" spans="1:9">
      <c r="A8648" s="22" t="str">
        <f>HYPERLINK("https://app.vivvix.com/360/KMI/IntelliDrive/ApplUI/Pages/CreativePages/CustomReportCreativeDetail.aspx?App=23&amp;ReportView=4&amp;Qid=1711279&amp;Row=8640&amp;Col=1","No Title Assigned - #15270773202")</f>
        <v/>
      </c>
      <c r="B8648" s="0" t="s">
        <v>11575</v>
      </c>
      <c r="C8648" s="0" t="s">
        <v>11576</v>
      </c>
      <c r="D8648" s="0" t="s">
        <v>11576</v>
      </c>
      <c r="E8648" s="0" t="inlineStr">
        <is>
          <t xml:space="preserve">Mazda</t>
        </is>
      </c>
      <c r="F8648" s="0" t="s">
        <v>13</v>
      </c>
      <c r="G8648" s="0" t="s">
        <v>49</v>
      </c>
      <c r="H8648" s="5">
        <v>656.395100</v>
      </c>
    </row>
    <row r="8649" spans="1:9">
      <c r="A8649" s="22" t="str">
        <f>HYPERLINK("https://app.vivvix.com/360/KMI/IntelliDrive/ApplUI/Pages/CreativePages/CustomReportCreativeDetail.aspx?App=23&amp;ReportView=4&amp;Qid=1711279&amp;Row=8641&amp;Col=1","No Title Assigned - #15270773252")</f>
        <v/>
      </c>
      <c r="B8649" s="0" t="s">
        <v>11577</v>
      </c>
      <c r="C8649" s="0" t="s">
        <v>11578</v>
      </c>
      <c r="D8649" s="0" t="s">
        <v>11578</v>
      </c>
      <c r="E8649" s="0" t="inlineStr">
        <is>
          <t xml:space="preserve">Mazda</t>
        </is>
      </c>
      <c r="F8649" s="0" t="inlineStr">
        <is>
          <t xml:space="preserve">Mazda</t>
        </is>
      </c>
      <c r="G8649" s="0" t="s">
        <v>210</v>
      </c>
      <c r="H8649" s="5">
        <v>1390.015900</v>
      </c>
    </row>
    <row r="8650" spans="1:9">
      <c r="A8650" s="22" t="str">
        <f>HYPERLINK("https://app.vivvix.com/360/KMI/IntelliDrive/ApplUI/Pages/CreativePages/CustomReportCreativeDetail.aspx?App=23&amp;ReportView=4&amp;Qid=1711279&amp;Row=8642&amp;Col=1","No Title Assigned - #15270773319")</f>
        <v/>
      </c>
      <c r="B8650" s="0" t="s">
        <v>11579</v>
      </c>
      <c r="C8650" s="0" t="s">
        <v>11580</v>
      </c>
      <c r="D8650" s="0" t="s">
        <v>10470</v>
      </c>
      <c r="E8650" s="0" t="inlineStr">
        <is>
          <t xml:space="preserve">Mazda</t>
        </is>
      </c>
      <c r="F8650" s="0" t="s">
        <v>13</v>
      </c>
      <c r="G8650" s="0" t="s">
        <v>49</v>
      </c>
      <c r="H8650" s="5">
        <v>1160.666700</v>
      </c>
    </row>
    <row r="8651" spans="1:9">
      <c r="A8651" s="22" t="str">
        <f>HYPERLINK("https://app.vivvix.com/360/KMI/IntelliDrive/ApplUI/Pages/CreativePages/CustomReportCreativeDetail.aspx?App=23&amp;ReportView=4&amp;Qid=1711279&amp;Row=8643&amp;Col=1","No Title Assigned - #15270773388")</f>
        <v/>
      </c>
      <c r="B8651" s="0" t="s">
        <v>11581</v>
      </c>
      <c r="C8651" s="0" t="s">
        <v>11582</v>
      </c>
      <c r="D8651" s="0" t="s">
        <v>10971</v>
      </c>
      <c r="E8651" s="0" t="inlineStr">
        <is>
          <t xml:space="preserve">Mazda</t>
        </is>
      </c>
      <c r="F8651" s="0" t="s">
        <v>13</v>
      </c>
      <c r="G8651" s="0" t="s">
        <v>49</v>
      </c>
      <c r="H8651" s="5">
        <v>69.365700</v>
      </c>
    </row>
    <row r="8652" spans="1:9">
      <c r="A8652" s="22" t="str">
        <f>HYPERLINK("https://app.vivvix.com/360/KMI/IntelliDrive/ApplUI/Pages/CreativePages/CustomReportCreativeDetail.aspx?App=23&amp;ReportView=4&amp;Qid=1711279&amp;Row=8644&amp;Col=1","No Title Assigned - #15270773433")</f>
        <v/>
      </c>
      <c r="B8652" s="0" t="s">
        <v>11583</v>
      </c>
      <c r="C8652" s="0" t="s">
        <v>11584</v>
      </c>
      <c r="D8652" s="0" t="s">
        <v>11584</v>
      </c>
      <c r="E8652" s="0" t="inlineStr">
        <is>
          <t xml:space="preserve">Mazda</t>
        </is>
      </c>
      <c r="F8652" s="0" t="s">
        <v>13</v>
      </c>
      <c r="G8652" s="0" t="s">
        <v>49</v>
      </c>
      <c r="H8652" s="5">
        <v>5800.043900</v>
      </c>
    </row>
    <row r="8653" spans="1:9">
      <c r="A8653" s="22" t="str">
        <f>HYPERLINK("https://app.vivvix.com/360/KMI/IntelliDrive/ApplUI/Pages/CreativePages/CustomReportCreativeDetail.aspx?App=23&amp;ReportView=4&amp;Qid=1711279&amp;Row=8645&amp;Col=1","No Title Assigned - #15270773459")</f>
        <v/>
      </c>
      <c r="B8653" s="0" t="s">
        <v>11585</v>
      </c>
      <c r="C8653" s="0" t="s">
        <v>11586</v>
      </c>
      <c r="D8653" s="0" t="s">
        <v>4202</v>
      </c>
      <c r="E8653" s="0" t="inlineStr">
        <is>
          <t xml:space="preserve">Mazda</t>
        </is>
      </c>
      <c r="F8653" s="0" t="s">
        <v>28</v>
      </c>
      <c r="G8653" s="0" t="s">
        <v>29</v>
      </c>
      <c r="H8653" s="5">
        <v>4.295200</v>
      </c>
    </row>
    <row r="8654" spans="1:9">
      <c r="A8654" s="22" t="str">
        <f>HYPERLINK("https://app.vivvix.com/360/KMI/IntelliDrive/ApplUI/Pages/CreativePages/CustomReportCreativeDetail.aspx?App=23&amp;ReportView=4&amp;Qid=1711279&amp;Row=8646&amp;Col=1","No Title Assigned - #15270773460")</f>
        <v/>
      </c>
      <c r="B8654" s="0" t="s">
        <v>11587</v>
      </c>
      <c r="C8654" s="0" t="s">
        <v>11588</v>
      </c>
      <c r="D8654" s="0" t="s">
        <v>8610</v>
      </c>
      <c r="E8654" s="0" t="inlineStr">
        <is>
          <t xml:space="preserve">Mazda</t>
        </is>
      </c>
      <c r="F8654" s="0" t="s">
        <v>28</v>
      </c>
      <c r="G8654" s="0" t="s">
        <v>29</v>
      </c>
      <c r="H8654" s="5">
        <v>10.711000</v>
      </c>
    </row>
    <row r="8655" spans="1:9">
      <c r="A8655" s="22" t="str">
        <f>HYPERLINK("https://app.vivvix.com/360/KMI/IntelliDrive/ApplUI/Pages/CreativePages/CustomReportCreativeDetail.aspx?App=23&amp;ReportView=4&amp;Qid=1711279&amp;Row=8647&amp;Col=1","No Title Assigned - #15270773477")</f>
        <v/>
      </c>
      <c r="B8655" s="0" t="s">
        <v>11589</v>
      </c>
      <c r="C8655" s="0" t="s">
        <v>11590</v>
      </c>
      <c r="D8655" s="0" t="s">
        <v>11590</v>
      </c>
      <c r="E8655" s="0" t="inlineStr">
        <is>
          <t xml:space="preserve">Mazda</t>
        </is>
      </c>
      <c r="F8655" s="0" t="s">
        <v>13</v>
      </c>
      <c r="G8655" s="0" t="s">
        <v>49</v>
      </c>
      <c r="H8655" s="5">
        <v>47.062600</v>
      </c>
    </row>
    <row r="8656" spans="1:9">
      <c r="A8656" s="22" t="str">
        <f>HYPERLINK("https://app.vivvix.com/360/KMI/IntelliDrive/ApplUI/Pages/CreativePages/CustomReportCreativeDetail.aspx?App=23&amp;ReportView=4&amp;Qid=1711279&amp;Row=8648&amp;Col=1","No Title Assigned - #15270773481")</f>
        <v/>
      </c>
      <c r="B8656" s="0" t="s">
        <v>11591</v>
      </c>
      <c r="C8656" s="0" t="s">
        <v>11592</v>
      </c>
      <c r="D8656" s="0" t="s">
        <v>4938</v>
      </c>
      <c r="E8656" s="0" t="inlineStr">
        <is>
          <t xml:space="preserve">Mazda</t>
        </is>
      </c>
      <c r="F8656" s="0" t="s">
        <v>13</v>
      </c>
      <c r="G8656" s="0" t="s">
        <v>49</v>
      </c>
      <c r="H8656" s="5">
        <v>66.963200</v>
      </c>
    </row>
    <row r="8657" spans="1:9">
      <c r="A8657" s="22" t="str">
        <f>HYPERLINK("https://app.vivvix.com/360/KMI/IntelliDrive/ApplUI/Pages/CreativePages/CustomReportCreativeDetail.aspx?App=23&amp;ReportView=4&amp;Qid=1711279&amp;Row=8649&amp;Col=1","No Title Assigned - #15270773550")</f>
        <v/>
      </c>
      <c r="B8657" s="0" t="s">
        <v>11593</v>
      </c>
      <c r="C8657" s="0" t="s">
        <v>11594</v>
      </c>
      <c r="D8657" s="0" t="s">
        <v>11594</v>
      </c>
      <c r="E8657" s="0" t="inlineStr">
        <is>
          <t xml:space="preserve">Mazda</t>
        </is>
      </c>
      <c r="F8657" s="0" t="s">
        <v>13</v>
      </c>
      <c r="G8657" s="0" t="s">
        <v>49</v>
      </c>
      <c r="H8657" s="5">
        <v>46.629100</v>
      </c>
    </row>
    <row r="8658" spans="1:9">
      <c r="A8658" s="22" t="str">
        <f>HYPERLINK("https://app.vivvix.com/360/KMI/IntelliDrive/ApplUI/Pages/CreativePages/CustomReportCreativeDetail.aspx?App=23&amp;ReportView=4&amp;Qid=1711279&amp;Row=8650&amp;Col=1","No Title Assigned - #15270773550")</f>
        <v/>
      </c>
      <c r="B8658" s="0" t="s">
        <v>11593</v>
      </c>
      <c r="E8658" s="0" t="inlineStr">
        <is>
          <t xml:space="preserve">Mazda</t>
        </is>
      </c>
      <c r="F8658" s="0" t="s">
        <v>13</v>
      </c>
      <c r="G8658" s="0" t="s">
        <v>49</v>
      </c>
      <c r="H8658" s="5">
        <v>1063.666700</v>
      </c>
    </row>
    <row r="8659" spans="1:9">
      <c r="A8659" s="22" t="str">
        <f>HYPERLINK("https://app.vivvix.com/360/KMI/IntelliDrive/ApplUI/Pages/CreativePages/CustomReportCreativeDetail.aspx?App=23&amp;ReportView=4&amp;Qid=1711279&amp;Row=8651&amp;Col=1","No Title Assigned - #15270773642")</f>
        <v/>
      </c>
      <c r="B8659" s="0" t="s">
        <v>11595</v>
      </c>
      <c r="E8659" s="0" t="inlineStr">
        <is>
          <t xml:space="preserve">Mazda</t>
        </is>
      </c>
      <c r="F8659" s="0" t="s">
        <v>28</v>
      </c>
      <c r="G8659" s="0" t="s">
        <v>29</v>
      </c>
      <c r="H8659" s="5">
        <v>186.867200</v>
      </c>
    </row>
    <row r="8660" spans="1:9">
      <c r="A8660" s="22" t="str">
        <f>HYPERLINK("https://app.vivvix.com/360/KMI/IntelliDrive/ApplUI/Pages/CreativePages/CustomReportCreativeDetail.aspx?App=23&amp;ReportView=4&amp;Qid=1711279&amp;Row=8652&amp;Col=1","No Title Assigned - #15270773895")</f>
        <v/>
      </c>
      <c r="B8660" s="0" t="s">
        <v>11596</v>
      </c>
      <c r="C8660" s="0" t="s">
        <v>11597</v>
      </c>
      <c r="D8660" s="0" t="s">
        <v>11597</v>
      </c>
      <c r="E8660" s="0" t="inlineStr">
        <is>
          <t xml:space="preserve">Mazda</t>
        </is>
      </c>
      <c r="F8660" s="0" t="s">
        <v>13</v>
      </c>
      <c r="G8660" s="0" t="s">
        <v>49</v>
      </c>
      <c r="H8660" s="5">
        <v>102.998400</v>
      </c>
    </row>
    <row r="8661" spans="1:9">
      <c r="A8661" s="22" t="str">
        <f>HYPERLINK("https://app.vivvix.com/360/KMI/IntelliDrive/ApplUI/Pages/CreativePages/CustomReportCreativeDetail.aspx?App=23&amp;ReportView=4&amp;Qid=1711279&amp;Row=8653&amp;Col=1","No Title Assigned - #15270773901")</f>
        <v/>
      </c>
      <c r="B8661" s="0" t="s">
        <v>11598</v>
      </c>
      <c r="C8661" s="0" t="s">
        <v>11599</v>
      </c>
      <c r="D8661" s="0" t="s">
        <v>8506</v>
      </c>
      <c r="E8661" s="0" t="inlineStr">
        <is>
          <t xml:space="preserve">Mazda</t>
        </is>
      </c>
      <c r="F8661" s="0" t="s">
        <v>13</v>
      </c>
      <c r="G8661" s="0" t="s">
        <v>49</v>
      </c>
      <c r="H8661" s="5">
        <v>108.114300</v>
      </c>
    </row>
    <row r="8662" spans="1:9">
      <c r="A8662" s="22" t="str">
        <f>HYPERLINK("https://app.vivvix.com/360/KMI/IntelliDrive/ApplUI/Pages/CreativePages/CustomReportCreativeDetail.aspx?App=23&amp;ReportView=4&amp;Qid=1711279&amp;Row=8654&amp;Col=1","No Title Assigned - #15270773972")</f>
        <v/>
      </c>
      <c r="B8662" s="0" t="s">
        <v>11600</v>
      </c>
      <c r="C8662" s="0" t="s">
        <v>11601</v>
      </c>
      <c r="D8662" s="0" t="s">
        <v>8779</v>
      </c>
      <c r="E8662" s="0" t="inlineStr">
        <is>
          <t xml:space="preserve">Mazda</t>
        </is>
      </c>
      <c r="F8662" s="0" t="s">
        <v>13</v>
      </c>
      <c r="G8662" s="0" t="s">
        <v>49</v>
      </c>
      <c r="H8662" s="5">
        <v>2391.056400</v>
      </c>
    </row>
    <row r="8663" spans="1:9">
      <c r="A8663" s="22" t="str">
        <f>HYPERLINK("https://app.vivvix.com/360/KMI/IntelliDrive/ApplUI/Pages/CreativePages/CustomReportCreativeDetail.aspx?App=23&amp;ReportView=4&amp;Qid=1711279&amp;Row=8655&amp;Col=1","No Title Assigned - #15270773972")</f>
        <v/>
      </c>
      <c r="B8663" s="0" t="s">
        <v>11600</v>
      </c>
      <c r="E8663" s="0" t="inlineStr">
        <is>
          <t xml:space="preserve">Mazda</t>
        </is>
      </c>
      <c r="F8663" s="0" t="s">
        <v>13</v>
      </c>
      <c r="G8663" s="0" t="s">
        <v>49</v>
      </c>
      <c r="H8663" s="5">
        <v>1326.505600</v>
      </c>
    </row>
    <row r="8664" spans="1:9">
      <c r="A8664" s="22" t="str">
        <f>HYPERLINK("https://app.vivvix.com/360/KMI/IntelliDrive/ApplUI/Pages/CreativePages/CustomReportCreativeDetail.aspx?App=23&amp;ReportView=4&amp;Qid=1711279&amp;Row=8656&amp;Col=1","No Title Assigned - #15270774111")</f>
        <v/>
      </c>
      <c r="B8664" s="0" t="s">
        <v>11602</v>
      </c>
      <c r="C8664" s="0" t="s">
        <v>11603</v>
      </c>
      <c r="D8664" s="0" t="s">
        <v>11603</v>
      </c>
      <c r="E8664" s="0" t="inlineStr">
        <is>
          <t xml:space="preserve">Mazda</t>
        </is>
      </c>
      <c r="F8664" s="0" t="s">
        <v>13</v>
      </c>
      <c r="G8664" s="0" t="s">
        <v>49</v>
      </c>
      <c r="H8664" s="5">
        <v>130.434400</v>
      </c>
    </row>
    <row r="8665" spans="1:9">
      <c r="A8665" s="22" t="str">
        <f>HYPERLINK("https://app.vivvix.com/360/KMI/IntelliDrive/ApplUI/Pages/CreativePages/CustomReportCreativeDetail.aspx?App=23&amp;ReportView=4&amp;Qid=1711279&amp;Row=8657&amp;Col=1","No Title Assigned - #15270774202")</f>
        <v/>
      </c>
      <c r="B8665" s="0" t="s">
        <v>11604</v>
      </c>
      <c r="C8665" s="0" t="s">
        <v>11605</v>
      </c>
      <c r="D8665" s="0" t="s">
        <v>11605</v>
      </c>
      <c r="E8665" s="0" t="inlineStr">
        <is>
          <t xml:space="preserve">Mazda</t>
        </is>
      </c>
      <c r="F8665" s="0" t="s">
        <v>13</v>
      </c>
      <c r="G8665" s="0" t="s">
        <v>49</v>
      </c>
      <c r="H8665" s="5">
        <v>397.673400</v>
      </c>
    </row>
    <row r="8666" spans="1:9">
      <c r="A8666" s="22" t="str">
        <f>HYPERLINK("https://app.vivvix.com/360/KMI/IntelliDrive/ApplUI/Pages/CreativePages/CustomReportCreativeDetail.aspx?App=23&amp;ReportView=4&amp;Qid=1711279&amp;Row=8658&amp;Col=1","No Title Assigned - #15270774213")</f>
        <v/>
      </c>
      <c r="B8666" s="0" t="s">
        <v>11606</v>
      </c>
      <c r="C8666" s="0" t="s">
        <v>11607</v>
      </c>
      <c r="D8666" s="0" t="s">
        <v>10400</v>
      </c>
      <c r="E8666" s="0" t="inlineStr">
        <is>
          <t xml:space="preserve">Mazda</t>
        </is>
      </c>
      <c r="F8666" s="0" t="s">
        <v>13</v>
      </c>
      <c r="G8666" s="0" t="s">
        <v>49</v>
      </c>
      <c r="H8666" s="5">
        <v>513.441800</v>
      </c>
    </row>
    <row r="8667" spans="1:9">
      <c r="A8667" s="22" t="str">
        <f>HYPERLINK("https://app.vivvix.com/360/KMI/IntelliDrive/ApplUI/Pages/CreativePages/CustomReportCreativeDetail.aspx?App=23&amp;ReportView=4&amp;Qid=1711279&amp;Row=8659&amp;Col=1","No Title Assigned - #15270774273")</f>
        <v/>
      </c>
      <c r="B8667" s="0" t="s">
        <v>11608</v>
      </c>
      <c r="E8667" s="0" t="inlineStr">
        <is>
          <t xml:space="preserve">Mazda</t>
        </is>
      </c>
      <c r="F8667" s="0" t="inlineStr">
        <is>
          <t xml:space="preserve">Mazda</t>
        </is>
      </c>
      <c r="G8667" s="0" t="s">
        <v>171</v>
      </c>
      <c r="H8667" s="5">
        <v>19.467300</v>
      </c>
    </row>
    <row r="8668" spans="1:9">
      <c r="A8668" s="22" t="str">
        <f>HYPERLINK("https://app.vivvix.com/360/KMI/IntelliDrive/ApplUI/Pages/CreativePages/CustomReportCreativeDetail.aspx?App=23&amp;ReportView=4&amp;Qid=1711279&amp;Row=8660&amp;Col=1","No Title Assigned - #15270774351")</f>
        <v/>
      </c>
      <c r="B8668" s="0" t="s">
        <v>11609</v>
      </c>
      <c r="E8668" s="0" t="inlineStr">
        <is>
          <t xml:space="preserve">Mazda</t>
        </is>
      </c>
      <c r="F8668" s="0" t="inlineStr">
        <is>
          <t xml:space="preserve">Mazda</t>
        </is>
      </c>
      <c r="G8668" s="0" t="s">
        <v>171</v>
      </c>
      <c r="H8668" s="5">
        <v>2029.602100</v>
      </c>
    </row>
    <row r="8669" spans="1:9">
      <c r="A8669" s="22" t="str">
        <f>HYPERLINK("https://app.vivvix.com/360/KMI/IntelliDrive/ApplUI/Pages/CreativePages/CustomReportCreativeDetail.aspx?App=23&amp;ReportView=4&amp;Qid=1711279&amp;Row=8661&amp;Col=1","No Title Assigned - #15270774365")</f>
        <v/>
      </c>
      <c r="B8669" s="0" t="s">
        <v>11610</v>
      </c>
      <c r="C8669" s="0" t="s">
        <v>11611</v>
      </c>
      <c r="D8669" s="0" t="s">
        <v>11611</v>
      </c>
      <c r="E8669" s="0" t="inlineStr">
        <is>
          <t xml:space="preserve">Mazda</t>
        </is>
      </c>
      <c r="F8669" s="0" t="s">
        <v>13</v>
      </c>
      <c r="G8669" s="0" t="s">
        <v>49</v>
      </c>
      <c r="H8669" s="5">
        <v>1386.409100</v>
      </c>
    </row>
    <row r="8670" spans="1:9">
      <c r="A8670" s="22" t="str">
        <f>HYPERLINK("https://app.vivvix.com/360/KMI/IntelliDrive/ApplUI/Pages/CreativePages/CustomReportCreativeDetail.aspx?App=23&amp;ReportView=4&amp;Qid=1711279&amp;Row=8662&amp;Col=1","No Title Assigned - #15270774405")</f>
        <v/>
      </c>
      <c r="B8670" s="0" t="s">
        <v>11612</v>
      </c>
      <c r="C8670" s="0" t="s">
        <v>11613</v>
      </c>
      <c r="D8670" s="0" t="s">
        <v>11613</v>
      </c>
      <c r="E8670" s="0" t="inlineStr">
        <is>
          <t xml:space="preserve">Mazda</t>
        </is>
      </c>
      <c r="F8670" s="0" t="s">
        <v>13</v>
      </c>
      <c r="G8670" s="0" t="s">
        <v>49</v>
      </c>
      <c r="H8670" s="5">
        <v>5810.829100</v>
      </c>
    </row>
    <row r="8671" spans="1:9">
      <c r="A8671" s="22" t="str">
        <f>HYPERLINK("https://app.vivvix.com/360/KMI/IntelliDrive/ApplUI/Pages/CreativePages/CustomReportCreativeDetail.aspx?App=23&amp;ReportView=4&amp;Qid=1711279&amp;Row=8663&amp;Col=1","No Title Assigned - #15270774491")</f>
        <v/>
      </c>
      <c r="B8671" s="0" t="s">
        <v>11614</v>
      </c>
      <c r="C8671" s="0" t="s">
        <v>11615</v>
      </c>
      <c r="D8671" s="0" t="s">
        <v>11615</v>
      </c>
      <c r="E8671" s="0" t="inlineStr">
        <is>
          <t xml:space="preserve">Mazda</t>
        </is>
      </c>
      <c r="F8671" s="0" t="s">
        <v>13</v>
      </c>
      <c r="G8671" s="0" t="s">
        <v>49</v>
      </c>
      <c r="H8671" s="5">
        <v>5810.829100</v>
      </c>
    </row>
    <row r="8672" spans="1:9">
      <c r="A8672" s="22" t="str">
        <f>HYPERLINK("https://app.vivvix.com/360/KMI/IntelliDrive/ApplUI/Pages/CreativePages/CustomReportCreativeDetail.aspx?App=23&amp;ReportView=4&amp;Qid=1711279&amp;Row=8664&amp;Col=1","No Title Assigned - #15270774520")</f>
        <v/>
      </c>
      <c r="B8672" s="0" t="s">
        <v>11616</v>
      </c>
      <c r="C8672" s="0" t="s">
        <v>11617</v>
      </c>
      <c r="D8672" s="0" t="s">
        <v>11617</v>
      </c>
      <c r="E8672" s="0" t="inlineStr">
        <is>
          <t xml:space="preserve">Mazda</t>
        </is>
      </c>
      <c r="F8672" s="0" t="s">
        <v>13</v>
      </c>
      <c r="G8672" s="0" t="s">
        <v>49</v>
      </c>
      <c r="H8672" s="5">
        <v>5004.513700</v>
      </c>
    </row>
    <row r="8673" spans="1:9">
      <c r="A8673" s="22" t="str">
        <f>HYPERLINK("https://app.vivvix.com/360/KMI/IntelliDrive/ApplUI/Pages/CreativePages/CustomReportCreativeDetail.aspx?App=23&amp;ReportView=4&amp;Qid=1711279&amp;Row=8665&amp;Col=1","No Title Assigned - #15270774548")</f>
        <v/>
      </c>
      <c r="B8673" s="0" t="s">
        <v>11618</v>
      </c>
      <c r="C8673" s="0" t="s">
        <v>11619</v>
      </c>
      <c r="D8673" s="0" t="s">
        <v>10453</v>
      </c>
      <c r="E8673" s="0" t="inlineStr">
        <is>
          <t xml:space="preserve">Mazda</t>
        </is>
      </c>
      <c r="F8673" s="0" t="s">
        <v>13</v>
      </c>
      <c r="G8673" s="0" t="s">
        <v>49</v>
      </c>
      <c r="H8673" s="5">
        <v>411.005900</v>
      </c>
    </row>
    <row r="8674" spans="1:9">
      <c r="A8674" s="22" t="str">
        <f>HYPERLINK("https://app.vivvix.com/360/KMI/IntelliDrive/ApplUI/Pages/CreativePages/CustomReportCreativeDetail.aspx?App=23&amp;ReportView=4&amp;Qid=1711279&amp;Row=8666&amp;Col=1","No Title Assigned - #15270774576")</f>
        <v/>
      </c>
      <c r="B8674" s="0" t="s">
        <v>11620</v>
      </c>
      <c r="C8674" s="0" t="s">
        <v>11621</v>
      </c>
      <c r="D8674" s="0" t="s">
        <v>11621</v>
      </c>
      <c r="E8674" s="0" t="inlineStr">
        <is>
          <t xml:space="preserve">Mazda</t>
        </is>
      </c>
      <c r="F8674" s="0" t="inlineStr">
        <is>
          <t xml:space="preserve">Mazda</t>
        </is>
      </c>
      <c r="G8674" s="0" t="s">
        <v>210</v>
      </c>
      <c r="H8674" s="5">
        <v>83.163400</v>
      </c>
    </row>
    <row r="8675" spans="1:9">
      <c r="A8675" s="22" t="str">
        <f>HYPERLINK("https://app.vivvix.com/360/KMI/IntelliDrive/ApplUI/Pages/CreativePages/CustomReportCreativeDetail.aspx?App=23&amp;ReportView=4&amp;Qid=1711279&amp;Row=8667&amp;Col=1","No Title Assigned - #15270774605")</f>
        <v/>
      </c>
      <c r="B8675" s="0" t="s">
        <v>11622</v>
      </c>
      <c r="C8675" s="0" t="s">
        <v>11623</v>
      </c>
      <c r="D8675" s="0" t="s">
        <v>10354</v>
      </c>
      <c r="E8675" s="0" t="inlineStr">
        <is>
          <t xml:space="preserve">Mazda</t>
        </is>
      </c>
      <c r="F8675" s="0" t="s">
        <v>13</v>
      </c>
      <c r="G8675" s="0" t="s">
        <v>49</v>
      </c>
      <c r="H8675" s="5">
        <v>118.690000</v>
      </c>
    </row>
    <row r="8676" spans="1:9">
      <c r="A8676" s="22" t="str">
        <f>HYPERLINK("https://app.vivvix.com/360/KMI/IntelliDrive/ApplUI/Pages/CreativePages/CustomReportCreativeDetail.aspx?App=23&amp;ReportView=4&amp;Qid=1711279&amp;Row=8668&amp;Col=1","No Title Assigned - #15270774675")</f>
        <v/>
      </c>
      <c r="B8676" s="0" t="s">
        <v>11624</v>
      </c>
      <c r="C8676" s="0" t="s">
        <v>11625</v>
      </c>
      <c r="D8676" s="0" t="s">
        <v>11625</v>
      </c>
      <c r="E8676" s="0" t="inlineStr">
        <is>
          <t xml:space="preserve">Mazda</t>
        </is>
      </c>
      <c r="F8676" s="0" t="s">
        <v>13</v>
      </c>
      <c r="G8676" s="0" t="s">
        <v>49</v>
      </c>
      <c r="H8676" s="5">
        <v>558.195800</v>
      </c>
    </row>
    <row r="8677" spans="1:9">
      <c r="A8677" s="22" t="str">
        <f>HYPERLINK("https://app.vivvix.com/360/KMI/IntelliDrive/ApplUI/Pages/CreativePages/CustomReportCreativeDetail.aspx?App=23&amp;ReportView=4&amp;Qid=1711279&amp;Row=8669&amp;Col=1","No Title Assigned - #15270774729")</f>
        <v/>
      </c>
      <c r="B8677" s="0" t="s">
        <v>11626</v>
      </c>
      <c r="C8677" s="0" t="s">
        <v>11627</v>
      </c>
      <c r="D8677" s="0" t="s">
        <v>10988</v>
      </c>
      <c r="E8677" s="0" t="inlineStr">
        <is>
          <t xml:space="preserve">Mazda</t>
        </is>
      </c>
      <c r="F8677" s="0" t="s">
        <v>13</v>
      </c>
      <c r="G8677" s="0" t="s">
        <v>49</v>
      </c>
      <c r="H8677" s="5">
        <v>414.573900</v>
      </c>
    </row>
    <row r="8678" spans="1:9">
      <c r="A8678" s="22" t="str">
        <f>HYPERLINK("https://app.vivvix.com/360/KMI/IntelliDrive/ApplUI/Pages/CreativePages/CustomReportCreativeDetail.aspx?App=23&amp;ReportView=4&amp;Qid=1711279&amp;Row=8670&amp;Col=1","No Title Assigned - #15270774752")</f>
        <v/>
      </c>
      <c r="B8678" s="0" t="s">
        <v>11628</v>
      </c>
      <c r="C8678" s="0" t="s">
        <v>11629</v>
      </c>
      <c r="D8678" s="0" t="s">
        <v>8942</v>
      </c>
      <c r="E8678" s="0" t="inlineStr">
        <is>
          <t xml:space="preserve">Mazda</t>
        </is>
      </c>
      <c r="F8678" s="0" t="s">
        <v>13</v>
      </c>
      <c r="G8678" s="0" t="s">
        <v>49</v>
      </c>
      <c r="H8678" s="5">
        <v>56.071200</v>
      </c>
    </row>
    <row r="8679" spans="1:9">
      <c r="A8679" s="22" t="str">
        <f>HYPERLINK("https://app.vivvix.com/360/KMI/IntelliDrive/ApplUI/Pages/CreativePages/CustomReportCreativeDetail.aspx?App=23&amp;ReportView=4&amp;Qid=1711279&amp;Row=8671&amp;Col=1","No Title Assigned - #15270774885")</f>
        <v/>
      </c>
      <c r="B8679" s="0" t="s">
        <v>11630</v>
      </c>
      <c r="C8679" s="0" t="s">
        <v>11631</v>
      </c>
      <c r="D8679" s="0" t="s">
        <v>11631</v>
      </c>
      <c r="E8679" s="0" t="inlineStr">
        <is>
          <t xml:space="preserve">Mazda</t>
        </is>
      </c>
      <c r="F8679" s="0" t="s">
        <v>13</v>
      </c>
      <c r="G8679" s="0" t="s">
        <v>49</v>
      </c>
      <c r="H8679" s="5">
        <v>206.724900</v>
      </c>
    </row>
    <row r="8680" spans="1:9">
      <c r="A8680" s="22" t="str">
        <f>HYPERLINK("https://app.vivvix.com/360/KMI/IntelliDrive/ApplUI/Pages/CreativePages/CustomReportCreativeDetail.aspx?App=23&amp;ReportView=4&amp;Qid=1711279&amp;Row=8672&amp;Col=1","No Title Assigned - #15270774888")</f>
        <v/>
      </c>
      <c r="B8680" s="0" t="s">
        <v>11632</v>
      </c>
      <c r="C8680" s="0" t="s">
        <v>11633</v>
      </c>
      <c r="D8680" s="0" t="s">
        <v>4225</v>
      </c>
      <c r="E8680" s="0" t="inlineStr">
        <is>
          <t xml:space="preserve">Mazda</t>
        </is>
      </c>
      <c r="F8680" s="0" t="s">
        <v>28</v>
      </c>
      <c r="G8680" s="0" t="s">
        <v>29</v>
      </c>
      <c r="H8680" s="5">
        <v>22.951100</v>
      </c>
    </row>
    <row r="8681" spans="1:9">
      <c r="A8681" s="22" t="str">
        <f>HYPERLINK("https://app.vivvix.com/360/KMI/IntelliDrive/ApplUI/Pages/CreativePages/CustomReportCreativeDetail.aspx?App=23&amp;ReportView=4&amp;Qid=1711279&amp;Row=8673&amp;Col=1","No Title Assigned - #15270774928")</f>
        <v/>
      </c>
      <c r="B8681" s="0" t="s">
        <v>11634</v>
      </c>
      <c r="C8681" s="0" t="s">
        <v>11635</v>
      </c>
      <c r="D8681" s="0" t="s">
        <v>10311</v>
      </c>
      <c r="E8681" s="0" t="inlineStr">
        <is>
          <t xml:space="preserve">Mazda</t>
        </is>
      </c>
      <c r="F8681" s="0" t="s">
        <v>13</v>
      </c>
      <c r="G8681" s="0" t="s">
        <v>49</v>
      </c>
      <c r="H8681" s="5">
        <v>590.533700</v>
      </c>
    </row>
    <row r="8682" spans="1:9">
      <c r="A8682" s="22" t="str">
        <f>HYPERLINK("https://app.vivvix.com/360/KMI/IntelliDrive/ApplUI/Pages/CreativePages/CustomReportCreativeDetail.aspx?App=23&amp;ReportView=4&amp;Qid=1711279&amp;Row=8674&amp;Col=1","No Title Assigned - #15270774957")</f>
        <v/>
      </c>
      <c r="B8682" s="0" t="s">
        <v>11636</v>
      </c>
      <c r="C8682" s="0" t="s">
        <v>11637</v>
      </c>
      <c r="D8682" s="0" t="s">
        <v>7081</v>
      </c>
      <c r="E8682" s="0" t="inlineStr">
        <is>
          <t xml:space="preserve">Mazda</t>
        </is>
      </c>
      <c r="F8682" s="0" t="s">
        <v>13</v>
      </c>
      <c r="G8682" s="0" t="s">
        <v>49</v>
      </c>
      <c r="H8682" s="5">
        <v>113.995900</v>
      </c>
    </row>
    <row r="8683" spans="1:9">
      <c r="A8683" s="22" t="str">
        <f>HYPERLINK("https://app.vivvix.com/360/KMI/IntelliDrive/ApplUI/Pages/CreativePages/CustomReportCreativeDetail.aspx?App=23&amp;ReportView=4&amp;Qid=1711279&amp;Row=8675&amp;Col=1","No Title Assigned - #15270775008")</f>
        <v/>
      </c>
      <c r="B8683" s="0" t="s">
        <v>11638</v>
      </c>
      <c r="C8683" s="0" t="s">
        <v>11639</v>
      </c>
      <c r="D8683" s="0" t="s">
        <v>11639</v>
      </c>
      <c r="E8683" s="0" t="inlineStr">
        <is>
          <t xml:space="preserve">Mazda</t>
        </is>
      </c>
      <c r="F8683" s="0" t="s">
        <v>13</v>
      </c>
      <c r="G8683" s="0" t="s">
        <v>49</v>
      </c>
      <c r="H8683" s="5">
        <v>373.407200</v>
      </c>
    </row>
    <row r="8684" spans="1:9">
      <c r="A8684" s="22" t="str">
        <f>HYPERLINK("https://app.vivvix.com/360/KMI/IntelliDrive/ApplUI/Pages/CreativePages/CustomReportCreativeDetail.aspx?App=23&amp;ReportView=4&amp;Qid=1711279&amp;Row=8676&amp;Col=1","No Title Assigned - #15270775082")</f>
        <v/>
      </c>
      <c r="B8684" s="0" t="s">
        <v>11640</v>
      </c>
      <c r="C8684" s="0" t="s">
        <v>11641</v>
      </c>
      <c r="D8684" s="0" t="s">
        <v>8588</v>
      </c>
      <c r="E8684" s="0" t="inlineStr">
        <is>
          <t xml:space="preserve">Mazda</t>
        </is>
      </c>
      <c r="F8684" s="0" t="s">
        <v>13</v>
      </c>
      <c r="G8684" s="0" t="s">
        <v>49</v>
      </c>
      <c r="H8684" s="5">
        <v>208.689900</v>
      </c>
    </row>
    <row r="8685" spans="1:9">
      <c r="A8685" s="22" t="str">
        <f>HYPERLINK("https://app.vivvix.com/360/KMI/IntelliDrive/ApplUI/Pages/CreativePages/CustomReportCreativeDetail.aspx?App=23&amp;ReportView=4&amp;Qid=1711279&amp;Row=8677&amp;Col=1","No Title Assigned - #15270775104")</f>
        <v/>
      </c>
      <c r="B8685" s="0" t="s">
        <v>11642</v>
      </c>
      <c r="C8685" s="0" t="s">
        <v>11643</v>
      </c>
      <c r="D8685" s="0" t="s">
        <v>11643</v>
      </c>
      <c r="E8685" s="0" t="inlineStr">
        <is>
          <t xml:space="preserve">Mazda</t>
        </is>
      </c>
      <c r="F8685" s="0" t="s">
        <v>13</v>
      </c>
      <c r="G8685" s="0" t="s">
        <v>49</v>
      </c>
      <c r="H8685" s="5">
        <v>160.926600</v>
      </c>
    </row>
    <row r="8686" spans="1:9">
      <c r="A8686" s="22" t="str">
        <f>HYPERLINK("https://app.vivvix.com/360/KMI/IntelliDrive/ApplUI/Pages/CreativePages/CustomReportCreativeDetail.aspx?App=23&amp;ReportView=4&amp;Qid=1711279&amp;Row=8678&amp;Col=1","No Title Assigned - #15270775232")</f>
        <v/>
      </c>
      <c r="B8686" s="0" t="s">
        <v>11644</v>
      </c>
      <c r="C8686" s="0" t="s">
        <v>11645</v>
      </c>
      <c r="D8686" s="0" t="s">
        <v>4774</v>
      </c>
      <c r="E8686" s="0" t="inlineStr">
        <is>
          <t xml:space="preserve">Mazda</t>
        </is>
      </c>
      <c r="F8686" s="0" t="s">
        <v>13</v>
      </c>
      <c r="G8686" s="0" t="s">
        <v>49</v>
      </c>
      <c r="H8686" s="5">
        <v>4084.364900</v>
      </c>
    </row>
    <row r="8687" spans="1:9">
      <c r="A8687" s="22" t="str">
        <f>HYPERLINK("https://app.vivvix.com/360/KMI/IntelliDrive/ApplUI/Pages/CreativePages/CustomReportCreativeDetail.aspx?App=23&amp;ReportView=4&amp;Qid=1711279&amp;Row=8679&amp;Col=1","No Title Assigned - #15270775232")</f>
        <v/>
      </c>
      <c r="B8687" s="0" t="s">
        <v>11644</v>
      </c>
      <c r="E8687" s="0" t="inlineStr">
        <is>
          <t xml:space="preserve">Mazda</t>
        </is>
      </c>
      <c r="F8687" s="0" t="s">
        <v>13</v>
      </c>
      <c r="G8687" s="0" t="s">
        <v>49</v>
      </c>
      <c r="H8687" s="5">
        <v>2527.343200</v>
      </c>
    </row>
    <row r="8688" spans="1:9">
      <c r="A8688" s="22" t="str">
        <f>HYPERLINK("https://app.vivvix.com/360/KMI/IntelliDrive/ApplUI/Pages/CreativePages/CustomReportCreativeDetail.aspx?App=23&amp;ReportView=4&amp;Qid=1711279&amp;Row=8680&amp;Col=1","No Title Assigned - #15270775410")</f>
        <v/>
      </c>
      <c r="B8688" s="0" t="s">
        <v>11646</v>
      </c>
      <c r="C8688" s="0" t="s">
        <v>11647</v>
      </c>
      <c r="D8688" s="0" t="s">
        <v>8476</v>
      </c>
      <c r="E8688" s="0" t="inlineStr">
        <is>
          <t xml:space="preserve">Mazda</t>
        </is>
      </c>
      <c r="F8688" s="0" t="s">
        <v>13</v>
      </c>
      <c r="G8688" s="0" t="s">
        <v>49</v>
      </c>
      <c r="H8688" s="5">
        <v>31.779700</v>
      </c>
    </row>
    <row r="8689" spans="1:9">
      <c r="A8689" s="22" t="str">
        <f>HYPERLINK("https://app.vivvix.com/360/KMI/IntelliDrive/ApplUI/Pages/CreativePages/CustomReportCreativeDetail.aspx?App=23&amp;ReportView=4&amp;Qid=1711279&amp;Row=8681&amp;Col=1","No Title Assigned - #15270775441")</f>
        <v/>
      </c>
      <c r="B8689" s="0" t="s">
        <v>11648</v>
      </c>
      <c r="C8689" s="0" t="s">
        <v>11649</v>
      </c>
      <c r="D8689" s="0" t="s">
        <v>11649</v>
      </c>
      <c r="E8689" s="0" t="inlineStr">
        <is>
          <t xml:space="preserve">Mazda</t>
        </is>
      </c>
      <c r="F8689" s="0" t="s">
        <v>13</v>
      </c>
      <c r="G8689" s="0" t="s">
        <v>49</v>
      </c>
      <c r="H8689" s="5">
        <v>56.884800</v>
      </c>
    </row>
    <row r="8690" spans="1:9">
      <c r="A8690" s="22" t="str">
        <f>HYPERLINK("https://app.vivvix.com/360/KMI/IntelliDrive/ApplUI/Pages/CreativePages/CustomReportCreativeDetail.aspx?App=23&amp;ReportView=4&amp;Qid=1711279&amp;Row=8682&amp;Col=1","No Title Assigned - #15270775544")</f>
        <v/>
      </c>
      <c r="B8690" s="0" t="s">
        <v>11650</v>
      </c>
      <c r="C8690" s="0" t="s">
        <v>11651</v>
      </c>
      <c r="D8690" s="0" t="s">
        <v>11651</v>
      </c>
      <c r="E8690" s="0" t="inlineStr">
        <is>
          <t xml:space="preserve">Mazda</t>
        </is>
      </c>
      <c r="F8690" s="0" t="s">
        <v>13</v>
      </c>
      <c r="G8690" s="0" t="s">
        <v>49</v>
      </c>
      <c r="H8690" s="5">
        <v>1512.897200</v>
      </c>
    </row>
    <row r="8691" spans="1:9">
      <c r="A8691" s="22" t="str">
        <f>HYPERLINK("https://app.vivvix.com/360/KMI/IntelliDrive/ApplUI/Pages/CreativePages/CustomReportCreativeDetail.aspx?App=23&amp;ReportView=4&amp;Qid=1711279&amp;Row=8683&amp;Col=1","No Title Assigned - #15270775650")</f>
        <v/>
      </c>
      <c r="B8691" s="0" t="s">
        <v>11652</v>
      </c>
      <c r="C8691" s="0" t="s">
        <v>11653</v>
      </c>
      <c r="D8691" s="0" t="s">
        <v>11653</v>
      </c>
      <c r="E8691" s="0" t="inlineStr">
        <is>
          <t xml:space="preserve">Mazda</t>
        </is>
      </c>
      <c r="F8691" s="0" t="s">
        <v>13</v>
      </c>
      <c r="G8691" s="0" t="s">
        <v>49</v>
      </c>
      <c r="H8691" s="5">
        <v>216.417300</v>
      </c>
    </row>
    <row r="8692" spans="1:9">
      <c r="A8692" s="22" t="str">
        <f>HYPERLINK("https://app.vivvix.com/360/KMI/IntelliDrive/ApplUI/Pages/CreativePages/CustomReportCreativeDetail.aspx?App=23&amp;ReportView=4&amp;Qid=1711279&amp;Row=8684&amp;Col=1","No Title Assigned - #15270775858")</f>
        <v/>
      </c>
      <c r="B8692" s="0" t="s">
        <v>11654</v>
      </c>
      <c r="C8692" s="0" t="s">
        <v>11655</v>
      </c>
      <c r="D8692" s="0" t="s">
        <v>11655</v>
      </c>
      <c r="E8692" s="0" t="inlineStr">
        <is>
          <t xml:space="preserve">Mazda</t>
        </is>
      </c>
      <c r="F8692" s="0" t="s">
        <v>13</v>
      </c>
      <c r="G8692" s="0" t="s">
        <v>49</v>
      </c>
      <c r="H8692" s="5">
        <v>20541.366000</v>
      </c>
    </row>
    <row r="8693" spans="1:9">
      <c r="A8693" s="22" t="str">
        <f>HYPERLINK("https://app.vivvix.com/360/KMI/IntelliDrive/ApplUI/Pages/CreativePages/CustomReportCreativeDetail.aspx?App=23&amp;ReportView=4&amp;Qid=1711279&amp;Row=8685&amp;Col=1","No Title Assigned - #15270775862")</f>
        <v/>
      </c>
      <c r="B8693" s="0" t="s">
        <v>11656</v>
      </c>
      <c r="C8693" s="0" t="s">
        <v>11657</v>
      </c>
      <c r="D8693" s="0" t="s">
        <v>11657</v>
      </c>
      <c r="E8693" s="0" t="inlineStr">
        <is>
          <t xml:space="preserve">Mazda</t>
        </is>
      </c>
      <c r="F8693" s="0" t="s">
        <v>13</v>
      </c>
      <c r="G8693" s="0" t="s">
        <v>49</v>
      </c>
      <c r="H8693" s="5">
        <v>216.143700</v>
      </c>
    </row>
    <row r="8694" spans="1:9">
      <c r="A8694" s="22" t="str">
        <f>HYPERLINK("https://app.vivvix.com/360/KMI/IntelliDrive/ApplUI/Pages/CreativePages/CustomReportCreativeDetail.aspx?App=23&amp;ReportView=4&amp;Qid=1711279&amp;Row=8686&amp;Col=1","No Title Assigned - #15270775867")</f>
        <v/>
      </c>
      <c r="B8694" s="0" t="s">
        <v>11658</v>
      </c>
      <c r="C8694" s="0" t="s">
        <v>11659</v>
      </c>
      <c r="D8694" s="0" t="s">
        <v>11659</v>
      </c>
      <c r="E8694" s="0" t="inlineStr">
        <is>
          <t xml:space="preserve">Mazda</t>
        </is>
      </c>
      <c r="F8694" s="0" t="inlineStr">
        <is>
          <t xml:space="preserve">Mazda</t>
        </is>
      </c>
      <c r="G8694" s="0" t="s">
        <v>171</v>
      </c>
      <c r="H8694" s="5">
        <v>22.724900</v>
      </c>
    </row>
    <row r="8695" spans="1:9">
      <c r="A8695" s="22" t="str">
        <f>HYPERLINK("https://app.vivvix.com/360/KMI/IntelliDrive/ApplUI/Pages/CreativePages/CustomReportCreativeDetail.aspx?App=23&amp;ReportView=4&amp;Qid=1711279&amp;Row=8687&amp;Col=1","No Title Assigned - #15270775952")</f>
        <v/>
      </c>
      <c r="B8695" s="0" t="s">
        <v>11660</v>
      </c>
      <c r="E8695" s="0" t="inlineStr">
        <is>
          <t xml:space="preserve">Mazda</t>
        </is>
      </c>
      <c r="F8695" s="0" t="inlineStr">
        <is>
          <t xml:space="preserve">Mazda</t>
        </is>
      </c>
      <c r="G8695" s="0" t="s">
        <v>171</v>
      </c>
      <c r="H8695" s="5">
        <v>2285.039800</v>
      </c>
    </row>
    <row r="8696" spans="1:9">
      <c r="A8696" s="22" t="str">
        <f>HYPERLINK("https://app.vivvix.com/360/KMI/IntelliDrive/ApplUI/Pages/CreativePages/CustomReportCreativeDetail.aspx?App=23&amp;ReportView=4&amp;Qid=1711279&amp;Row=8688&amp;Col=1","No Title Assigned - #15270775991")</f>
        <v/>
      </c>
      <c r="B8696" s="0" t="s">
        <v>11661</v>
      </c>
      <c r="C8696" s="0" t="s">
        <v>11662</v>
      </c>
      <c r="D8696" s="0" t="s">
        <v>8779</v>
      </c>
      <c r="E8696" s="0" t="inlineStr">
        <is>
          <t xml:space="preserve">Mazda</t>
        </is>
      </c>
      <c r="F8696" s="0" t="s">
        <v>13</v>
      </c>
      <c r="G8696" s="0" t="s">
        <v>49</v>
      </c>
      <c r="H8696" s="5">
        <v>53.356200</v>
      </c>
    </row>
    <row r="8697" spans="1:9">
      <c r="A8697" s="22" t="str">
        <f>HYPERLINK("https://app.vivvix.com/360/KMI/IntelliDrive/ApplUI/Pages/CreativePages/CustomReportCreativeDetail.aspx?App=23&amp;ReportView=4&amp;Qid=1711279&amp;Row=8689&amp;Col=1","No Title Assigned - #15270776016")</f>
        <v/>
      </c>
      <c r="B8697" s="0" t="s">
        <v>11663</v>
      </c>
      <c r="C8697" s="0" t="s">
        <v>11664</v>
      </c>
      <c r="D8697" s="0" t="s">
        <v>8555</v>
      </c>
      <c r="E8697" s="0" t="inlineStr">
        <is>
          <t xml:space="preserve">Mazda</t>
        </is>
      </c>
      <c r="F8697" s="0" t="s">
        <v>13</v>
      </c>
      <c r="G8697" s="0" t="s">
        <v>49</v>
      </c>
      <c r="H8697" s="5">
        <v>103.731200</v>
      </c>
    </row>
    <row r="8698" spans="1:9">
      <c r="A8698" s="22" t="str">
        <f>HYPERLINK("https://app.vivvix.com/360/KMI/IntelliDrive/ApplUI/Pages/CreativePages/CustomReportCreativeDetail.aspx?App=23&amp;ReportView=4&amp;Qid=1711279&amp;Row=8690&amp;Col=1","No Title Assigned - #15270776088")</f>
        <v/>
      </c>
      <c r="B8698" s="0" t="s">
        <v>11665</v>
      </c>
      <c r="C8698" s="0" t="s">
        <v>11666</v>
      </c>
      <c r="D8698" s="0" t="s">
        <v>8553</v>
      </c>
      <c r="E8698" s="0" t="inlineStr">
        <is>
          <t xml:space="preserve">Mazda</t>
        </is>
      </c>
      <c r="F8698" s="0" t="s">
        <v>13</v>
      </c>
      <c r="G8698" s="0" t="s">
        <v>49</v>
      </c>
      <c r="H8698" s="5">
        <v>616.531200</v>
      </c>
    </row>
    <row r="8699" spans="1:9">
      <c r="A8699" s="22" t="str">
        <f>HYPERLINK("https://app.vivvix.com/360/KMI/IntelliDrive/ApplUI/Pages/CreativePages/CustomReportCreativeDetail.aspx?App=23&amp;ReportView=4&amp;Qid=1711279&amp;Row=8691&amp;Col=1","No Title Assigned - #15270776214")</f>
        <v/>
      </c>
      <c r="B8699" s="0" t="s">
        <v>11667</v>
      </c>
      <c r="C8699" s="0" t="s">
        <v>11668</v>
      </c>
      <c r="D8699" s="0" t="s">
        <v>8492</v>
      </c>
      <c r="E8699" s="0" t="inlineStr">
        <is>
          <t xml:space="preserve">Mazda</t>
        </is>
      </c>
      <c r="F8699" s="0" t="s">
        <v>13</v>
      </c>
      <c r="G8699" s="0" t="s">
        <v>49</v>
      </c>
      <c r="H8699" s="5">
        <v>165.203600</v>
      </c>
    </row>
    <row r="8700" spans="1:9">
      <c r="A8700" s="22" t="str">
        <f>HYPERLINK("https://app.vivvix.com/360/KMI/IntelliDrive/ApplUI/Pages/CreativePages/CustomReportCreativeDetail.aspx?App=23&amp;ReportView=4&amp;Qid=1711279&amp;Row=8692&amp;Col=1","No Title Assigned - #15270776223")</f>
        <v/>
      </c>
      <c r="B8700" s="0" t="s">
        <v>11669</v>
      </c>
      <c r="C8700" s="0" t="s">
        <v>11670</v>
      </c>
      <c r="D8700" s="0" t="s">
        <v>7396</v>
      </c>
      <c r="E8700" s="0" t="inlineStr">
        <is>
          <t xml:space="preserve">Mazda</t>
        </is>
      </c>
      <c r="F8700" s="0" t="s">
        <v>13</v>
      </c>
      <c r="G8700" s="0" t="s">
        <v>49</v>
      </c>
      <c r="H8700" s="5">
        <v>42.719800</v>
      </c>
    </row>
    <row r="8701" spans="1:9">
      <c r="A8701" s="22" t="str">
        <f>HYPERLINK("https://app.vivvix.com/360/KMI/IntelliDrive/ApplUI/Pages/CreativePages/CustomReportCreativeDetail.aspx?App=23&amp;ReportView=4&amp;Qid=1711279&amp;Row=8693&amp;Col=1","No Title Assigned - #15270776225")</f>
        <v/>
      </c>
      <c r="B8701" s="0" t="s">
        <v>11671</v>
      </c>
      <c r="C8701" s="0" t="s">
        <v>11672</v>
      </c>
      <c r="D8701" s="0" t="s">
        <v>8588</v>
      </c>
      <c r="E8701" s="0" t="inlineStr">
        <is>
          <t xml:space="preserve">Mazda</t>
        </is>
      </c>
      <c r="F8701" s="0" t="s">
        <v>13</v>
      </c>
      <c r="G8701" s="0" t="s">
        <v>49</v>
      </c>
      <c r="H8701" s="5">
        <v>42.719800</v>
      </c>
    </row>
    <row r="8702" spans="1:9">
      <c r="A8702" s="22" t="str">
        <f>HYPERLINK("https://app.vivvix.com/360/KMI/IntelliDrive/ApplUI/Pages/CreativePages/CustomReportCreativeDetail.aspx?App=23&amp;ReportView=4&amp;Qid=1711279&amp;Row=8694&amp;Col=1","No Title Assigned - #15270776226")</f>
        <v/>
      </c>
      <c r="B8702" s="0" t="s">
        <v>11673</v>
      </c>
      <c r="C8702" s="0" t="s">
        <v>11674</v>
      </c>
      <c r="D8702" s="0" t="s">
        <v>11674</v>
      </c>
      <c r="E8702" s="0" t="inlineStr">
        <is>
          <t xml:space="preserve">Mazda</t>
        </is>
      </c>
      <c r="F8702" s="0" t="inlineStr">
        <is>
          <t xml:space="preserve">Mazda</t>
        </is>
      </c>
      <c r="G8702" s="0" t="s">
        <v>210</v>
      </c>
      <c r="H8702" s="5">
        <v>661.608200</v>
      </c>
    </row>
    <row r="8703" spans="1:9">
      <c r="A8703" s="22" t="str">
        <f>HYPERLINK("https://app.vivvix.com/360/KMI/IntelliDrive/ApplUI/Pages/CreativePages/CustomReportCreativeDetail.aspx?App=23&amp;ReportView=4&amp;Qid=1711279&amp;Row=8695&amp;Col=1","No Title Assigned - #15270776229")</f>
        <v/>
      </c>
      <c r="B8703" s="0" t="s">
        <v>11675</v>
      </c>
      <c r="C8703" s="0" t="s">
        <v>11676</v>
      </c>
      <c r="D8703" s="0" t="s">
        <v>10770</v>
      </c>
      <c r="E8703" s="0" t="inlineStr">
        <is>
          <t xml:space="preserve">Mazda</t>
        </is>
      </c>
      <c r="F8703" s="0" t="s">
        <v>13</v>
      </c>
      <c r="G8703" s="0" t="s">
        <v>49</v>
      </c>
      <c r="H8703" s="5">
        <v>13.584800</v>
      </c>
    </row>
    <row r="8704" spans="1:9">
      <c r="A8704" s="22" t="str">
        <f>HYPERLINK("https://app.vivvix.com/360/KMI/IntelliDrive/ApplUI/Pages/CreativePages/CustomReportCreativeDetail.aspx?App=23&amp;ReportView=4&amp;Qid=1711279&amp;Row=8696&amp;Col=1","No Title Assigned - #15270776240")</f>
        <v/>
      </c>
      <c r="B8704" s="0" t="s">
        <v>11677</v>
      </c>
      <c r="C8704" s="0" t="s">
        <v>11678</v>
      </c>
      <c r="D8704" s="0" t="s">
        <v>11678</v>
      </c>
      <c r="E8704" s="0" t="inlineStr">
        <is>
          <t xml:space="preserve">Mazda</t>
        </is>
      </c>
      <c r="F8704" s="0" t="s">
        <v>28</v>
      </c>
      <c r="G8704" s="0" t="s">
        <v>29</v>
      </c>
      <c r="H8704" s="5">
        <v>407.966200</v>
      </c>
    </row>
    <row r="8705" spans="1:9">
      <c r="A8705" s="22" t="str">
        <f>HYPERLINK("https://app.vivvix.com/360/KMI/IntelliDrive/ApplUI/Pages/CreativePages/CustomReportCreativeDetail.aspx?App=23&amp;ReportView=4&amp;Qid=1711279&amp;Row=8697&amp;Col=1","No Title Assigned - #15270776296")</f>
        <v/>
      </c>
      <c r="B8705" s="0" t="s">
        <v>11679</v>
      </c>
      <c r="E8705" s="0" t="inlineStr">
        <is>
          <t xml:space="preserve">Mazda</t>
        </is>
      </c>
      <c r="F8705" s="0" t="inlineStr">
        <is>
          <t xml:space="preserve">Mazda</t>
        </is>
      </c>
      <c r="G8705" s="0" t="s">
        <v>171</v>
      </c>
      <c r="H8705" s="5">
        <v>13.532400</v>
      </c>
    </row>
    <row r="8706" spans="1:9">
      <c r="A8706" s="22" t="str">
        <f>HYPERLINK("https://app.vivvix.com/360/KMI/IntelliDrive/ApplUI/Pages/CreativePages/CustomReportCreativeDetail.aspx?App=23&amp;ReportView=4&amp;Qid=1711279&amp;Row=8698&amp;Col=1","No Title Assigned - #15270776386")</f>
        <v/>
      </c>
      <c r="B8706" s="0" t="s">
        <v>11680</v>
      </c>
      <c r="C8706" s="0" t="s">
        <v>11681</v>
      </c>
      <c r="D8706" s="0" t="s">
        <v>11258</v>
      </c>
      <c r="E8706" s="0" t="inlineStr">
        <is>
          <t xml:space="preserve">Mazda</t>
        </is>
      </c>
      <c r="F8706" s="0" t="s">
        <v>13</v>
      </c>
      <c r="G8706" s="0" t="s">
        <v>49</v>
      </c>
      <c r="H8706" s="5">
        <v>718.402700</v>
      </c>
    </row>
    <row r="8707" spans="1:9">
      <c r="A8707" s="22" t="str">
        <f>HYPERLINK("https://app.vivvix.com/360/KMI/IntelliDrive/ApplUI/Pages/CreativePages/CustomReportCreativeDetail.aspx?App=23&amp;ReportView=4&amp;Qid=1711279&amp;Row=8699&amp;Col=1","No Title Assigned - #15270776430")</f>
        <v/>
      </c>
      <c r="B8707" s="0" t="s">
        <v>11682</v>
      </c>
      <c r="E8707" s="0" t="inlineStr">
        <is>
          <t xml:space="preserve">Mazda</t>
        </is>
      </c>
      <c r="F8707" s="0" t="inlineStr">
        <is>
          <t xml:space="preserve">Mazda</t>
        </is>
      </c>
      <c r="G8707" s="0" t="s">
        <v>171</v>
      </c>
      <c r="H8707" s="5">
        <v>3690.301800</v>
      </c>
    </row>
    <row r="8708" spans="1:9">
      <c r="A8708" s="22" t="str">
        <f>HYPERLINK("https://app.vivvix.com/360/KMI/IntelliDrive/ApplUI/Pages/CreativePages/CustomReportCreativeDetail.aspx?App=23&amp;ReportView=4&amp;Qid=1711279&amp;Row=8700&amp;Col=1","No Title Assigned - #15270776451")</f>
        <v/>
      </c>
      <c r="B8708" s="0" t="s">
        <v>11683</v>
      </c>
      <c r="C8708" s="0" t="s">
        <v>11684</v>
      </c>
      <c r="D8708" s="0" t="s">
        <v>4225</v>
      </c>
      <c r="E8708" s="0" t="inlineStr">
        <is>
          <t xml:space="preserve">Mazda</t>
        </is>
      </c>
      <c r="F8708" s="0" t="s">
        <v>28</v>
      </c>
      <c r="G8708" s="0" t="s">
        <v>29</v>
      </c>
      <c r="H8708" s="5">
        <v>952.876200</v>
      </c>
    </row>
    <row r="8709" spans="1:9">
      <c r="A8709" s="22" t="str">
        <f>HYPERLINK("https://app.vivvix.com/360/KMI/IntelliDrive/ApplUI/Pages/CreativePages/CustomReportCreativeDetail.aspx?App=23&amp;ReportView=4&amp;Qid=1711279&amp;Row=8701&amp;Col=1","No Title Assigned - #15270776492")</f>
        <v/>
      </c>
      <c r="B8709" s="0" t="s">
        <v>11685</v>
      </c>
      <c r="C8709" s="0" t="s">
        <v>11686</v>
      </c>
      <c r="D8709" s="0" t="s">
        <v>11686</v>
      </c>
      <c r="E8709" s="0" t="inlineStr">
        <is>
          <t xml:space="preserve">Mazda</t>
        </is>
      </c>
      <c r="F8709" s="0" t="s">
        <v>13</v>
      </c>
      <c r="G8709" s="0" t="s">
        <v>49</v>
      </c>
      <c r="H8709" s="5">
        <v>106.347600</v>
      </c>
    </row>
    <row r="8710" spans="1:9">
      <c r="A8710" s="22" t="str">
        <f>HYPERLINK("https://app.vivvix.com/360/KMI/IntelliDrive/ApplUI/Pages/CreativePages/CustomReportCreativeDetail.aspx?App=23&amp;ReportView=4&amp;Qid=1711279&amp;Row=8702&amp;Col=1","No Title Assigned - #15270776495")</f>
        <v/>
      </c>
      <c r="B8710" s="0" t="s">
        <v>11687</v>
      </c>
      <c r="E8710" s="0" t="inlineStr">
        <is>
          <t xml:space="preserve">Mazda</t>
        </is>
      </c>
      <c r="F8710" s="0" t="inlineStr">
        <is>
          <t xml:space="preserve">Mazda</t>
        </is>
      </c>
      <c r="G8710" s="0" t="s">
        <v>171</v>
      </c>
      <c r="H8710" s="5">
        <v>58.572400</v>
      </c>
    </row>
    <row r="8711" spans="1:9">
      <c r="A8711" s="22" t="str">
        <f>HYPERLINK("https://app.vivvix.com/360/KMI/IntelliDrive/ApplUI/Pages/CreativePages/CustomReportCreativeDetail.aspx?App=23&amp;ReportView=4&amp;Qid=1711279&amp;Row=8703&amp;Col=1","No Title Assigned - #15270776542")</f>
        <v/>
      </c>
      <c r="B8711" s="0" t="s">
        <v>11688</v>
      </c>
      <c r="C8711" s="0" t="s">
        <v>11689</v>
      </c>
      <c r="D8711" s="0" t="s">
        <v>11689</v>
      </c>
      <c r="E8711" s="0" t="inlineStr">
        <is>
          <t xml:space="preserve">Mazda</t>
        </is>
      </c>
      <c r="F8711" s="0" t="s">
        <v>13</v>
      </c>
      <c r="G8711" s="0" t="s">
        <v>49</v>
      </c>
      <c r="H8711" s="5">
        <v>433.197400</v>
      </c>
    </row>
    <row r="8712" spans="1:9">
      <c r="A8712" s="22" t="str">
        <f>HYPERLINK("https://app.vivvix.com/360/KMI/IntelliDrive/ApplUI/Pages/CreativePages/CustomReportCreativeDetail.aspx?App=23&amp;ReportView=4&amp;Qid=1711279&amp;Row=8704&amp;Col=1","No Title Assigned - #15270776593")</f>
        <v/>
      </c>
      <c r="B8712" s="0" t="s">
        <v>11690</v>
      </c>
      <c r="E8712" s="0" t="inlineStr">
        <is>
          <t xml:space="preserve">Mazda</t>
        </is>
      </c>
      <c r="F8712" s="0" t="inlineStr">
        <is>
          <t xml:space="preserve">Mazda</t>
        </is>
      </c>
      <c r="G8712" s="0" t="s">
        <v>171</v>
      </c>
      <c r="H8712" s="5">
        <v>50.029600</v>
      </c>
    </row>
    <row r="8713" spans="1:9">
      <c r="A8713" s="22" t="str">
        <f>HYPERLINK("https://app.vivvix.com/360/KMI/IntelliDrive/ApplUI/Pages/CreativePages/CustomReportCreativeDetail.aspx?App=23&amp;ReportView=4&amp;Qid=1711279&amp;Row=8705&amp;Col=1","No Title Assigned - #15270776627")</f>
        <v/>
      </c>
      <c r="B8713" s="0" t="s">
        <v>11691</v>
      </c>
      <c r="C8713" s="0" t="s">
        <v>11692</v>
      </c>
      <c r="D8713" s="0" t="s">
        <v>10453</v>
      </c>
      <c r="E8713" s="0" t="inlineStr">
        <is>
          <t xml:space="preserve">Mazda</t>
        </is>
      </c>
      <c r="F8713" s="0" t="s">
        <v>13</v>
      </c>
      <c r="G8713" s="0" t="s">
        <v>49</v>
      </c>
      <c r="H8713" s="5">
        <v>157.001800</v>
      </c>
    </row>
    <row r="8714" spans="1:9">
      <c r="A8714" s="22" t="str">
        <f>HYPERLINK("https://app.vivvix.com/360/KMI/IntelliDrive/ApplUI/Pages/CreativePages/CustomReportCreativeDetail.aspx?App=23&amp;ReportView=4&amp;Qid=1711279&amp;Row=8706&amp;Col=1","No Title Assigned - #15270776657")</f>
        <v/>
      </c>
      <c r="B8714" s="0" t="s">
        <v>11693</v>
      </c>
      <c r="C8714" s="0" t="s">
        <v>11694</v>
      </c>
      <c r="D8714" s="0" t="s">
        <v>11694</v>
      </c>
      <c r="E8714" s="0" t="inlineStr">
        <is>
          <t xml:space="preserve">Mazda</t>
        </is>
      </c>
      <c r="F8714" s="0" t="inlineStr">
        <is>
          <t xml:space="preserve">Mazda</t>
        </is>
      </c>
      <c r="G8714" s="0" t="s">
        <v>210</v>
      </c>
      <c r="H8714" s="5">
        <v>886.036500</v>
      </c>
    </row>
    <row r="8715" spans="1:9">
      <c r="A8715" s="22" t="str">
        <f>HYPERLINK("https://app.vivvix.com/360/KMI/IntelliDrive/ApplUI/Pages/CreativePages/CustomReportCreativeDetail.aspx?App=23&amp;ReportView=4&amp;Qid=1711279&amp;Row=8707&amp;Col=1","No Title Assigned - #15270776761")</f>
        <v/>
      </c>
      <c r="B8715" s="0" t="s">
        <v>11695</v>
      </c>
      <c r="C8715" s="0" t="s">
        <v>11696</v>
      </c>
      <c r="D8715" s="0" t="s">
        <v>9887</v>
      </c>
      <c r="E8715" s="0" t="inlineStr">
        <is>
          <t xml:space="preserve">Mazda</t>
        </is>
      </c>
      <c r="F8715" s="0" t="s">
        <v>13</v>
      </c>
      <c r="G8715" s="0" t="s">
        <v>49</v>
      </c>
      <c r="H8715" s="5">
        <v>28.903500</v>
      </c>
    </row>
    <row r="8716" spans="1:9">
      <c r="A8716" s="22" t="str">
        <f>HYPERLINK("https://app.vivvix.com/360/KMI/IntelliDrive/ApplUI/Pages/CreativePages/CustomReportCreativeDetail.aspx?App=23&amp;ReportView=4&amp;Qid=1711279&amp;Row=8708&amp;Col=1","No Title Assigned - #15270776770")</f>
        <v/>
      </c>
      <c r="B8716" s="0" t="s">
        <v>11697</v>
      </c>
      <c r="C8716" s="0" t="s">
        <v>11698</v>
      </c>
      <c r="D8716" s="0" t="s">
        <v>10308</v>
      </c>
      <c r="E8716" s="0" t="inlineStr">
        <is>
          <t xml:space="preserve">Mazda</t>
        </is>
      </c>
      <c r="F8716" s="0" t="s">
        <v>13</v>
      </c>
      <c r="G8716" s="0" t="s">
        <v>49</v>
      </c>
      <c r="H8716" s="5">
        <v>10.822600</v>
      </c>
    </row>
    <row r="8717" spans="1:9">
      <c r="A8717" s="22" t="str">
        <f>HYPERLINK("https://app.vivvix.com/360/KMI/IntelliDrive/ApplUI/Pages/CreativePages/CustomReportCreativeDetail.aspx?App=23&amp;ReportView=4&amp;Qid=1711279&amp;Row=8709&amp;Col=1","No Title Assigned - #15270776772")</f>
        <v/>
      </c>
      <c r="B8717" s="0" t="s">
        <v>11699</v>
      </c>
      <c r="C8717" s="0" t="s">
        <v>11700</v>
      </c>
      <c r="D8717" s="0" t="s">
        <v>8506</v>
      </c>
      <c r="E8717" s="0" t="inlineStr">
        <is>
          <t xml:space="preserve">Mazda</t>
        </is>
      </c>
      <c r="F8717" s="0" t="s">
        <v>13</v>
      </c>
      <c r="G8717" s="0" t="s">
        <v>49</v>
      </c>
      <c r="H8717" s="5">
        <v>248.709500</v>
      </c>
    </row>
    <row r="8718" spans="1:9">
      <c r="A8718" s="22" t="str">
        <f>HYPERLINK("https://app.vivvix.com/360/KMI/IntelliDrive/ApplUI/Pages/CreativePages/CustomReportCreativeDetail.aspx?App=23&amp;ReportView=4&amp;Qid=1711279&amp;Row=8710&amp;Col=1","No Title Assigned - #15270776797")</f>
        <v/>
      </c>
      <c r="B8718" s="0" t="s">
        <v>11701</v>
      </c>
      <c r="C8718" s="0" t="s">
        <v>11702</v>
      </c>
      <c r="D8718" s="0" t="s">
        <v>9832</v>
      </c>
      <c r="E8718" s="0" t="inlineStr">
        <is>
          <t xml:space="preserve">Mazda</t>
        </is>
      </c>
      <c r="F8718" s="0" t="s">
        <v>13</v>
      </c>
      <c r="G8718" s="0" t="s">
        <v>49</v>
      </c>
      <c r="H8718" s="5">
        <v>55.246000</v>
      </c>
    </row>
    <row r="8719" spans="1:9">
      <c r="A8719" s="22" t="str">
        <f>HYPERLINK("https://app.vivvix.com/360/KMI/IntelliDrive/ApplUI/Pages/CreativePages/CustomReportCreativeDetail.aspx?App=23&amp;ReportView=4&amp;Qid=1711279&amp;Row=8711&amp;Col=1","No Title Assigned - #15270776830")</f>
        <v/>
      </c>
      <c r="B8719" s="0" t="s">
        <v>11703</v>
      </c>
      <c r="C8719" s="0" t="s">
        <v>11704</v>
      </c>
      <c r="D8719" s="0" t="s">
        <v>6044</v>
      </c>
      <c r="E8719" s="0" t="inlineStr">
        <is>
          <t xml:space="preserve">Mazda</t>
        </is>
      </c>
      <c r="F8719" s="0" t="s">
        <v>13</v>
      </c>
      <c r="G8719" s="0" t="s">
        <v>49</v>
      </c>
      <c r="H8719" s="5">
        <v>437.142200</v>
      </c>
    </row>
    <row r="8720" spans="1:9">
      <c r="A8720" s="22" t="str">
        <f>HYPERLINK("https://app.vivvix.com/360/KMI/IntelliDrive/ApplUI/Pages/CreativePages/CustomReportCreativeDetail.aspx?App=23&amp;ReportView=4&amp;Qid=1711279&amp;Row=8712&amp;Col=1","No Title Assigned - #15270776843")</f>
        <v/>
      </c>
      <c r="B8720" s="0" t="s">
        <v>11705</v>
      </c>
      <c r="C8720" s="0" t="s">
        <v>11706</v>
      </c>
      <c r="D8720" s="0" t="s">
        <v>11706</v>
      </c>
      <c r="E8720" s="0" t="inlineStr">
        <is>
          <t xml:space="preserve">Mazda</t>
        </is>
      </c>
      <c r="F8720" s="0" t="s">
        <v>13</v>
      </c>
      <c r="G8720" s="0" t="s">
        <v>49</v>
      </c>
      <c r="H8720" s="5">
        <v>130.434400</v>
      </c>
    </row>
    <row r="8721" spans="1:9">
      <c r="A8721" s="22" t="str">
        <f>HYPERLINK("https://app.vivvix.com/360/KMI/IntelliDrive/ApplUI/Pages/CreativePages/CustomReportCreativeDetail.aspx?App=23&amp;ReportView=4&amp;Qid=1711279&amp;Row=8713&amp;Col=1","No Title Assigned - #15270776851")</f>
        <v/>
      </c>
      <c r="B8721" s="0" t="s">
        <v>11707</v>
      </c>
      <c r="C8721" s="0" t="s">
        <v>11708</v>
      </c>
      <c r="D8721" s="0" t="s">
        <v>11708</v>
      </c>
      <c r="E8721" s="0" t="inlineStr">
        <is>
          <t xml:space="preserve">Mazda</t>
        </is>
      </c>
      <c r="F8721" s="0" t="s">
        <v>13</v>
      </c>
      <c r="G8721" s="0" t="s">
        <v>49</v>
      </c>
      <c r="H8721" s="5">
        <v>279.149400</v>
      </c>
    </row>
    <row r="8722" spans="1:9">
      <c r="A8722" s="22" t="str">
        <f>HYPERLINK("https://app.vivvix.com/360/KMI/IntelliDrive/ApplUI/Pages/CreativePages/CustomReportCreativeDetail.aspx?App=23&amp;ReportView=4&amp;Qid=1711279&amp;Row=8714&amp;Col=1","No Title Assigned - #15270776874")</f>
        <v/>
      </c>
      <c r="B8722" s="0" t="s">
        <v>11709</v>
      </c>
      <c r="C8722" s="0" t="s">
        <v>11710</v>
      </c>
      <c r="D8722" s="0" t="s">
        <v>11710</v>
      </c>
      <c r="E8722" s="0" t="inlineStr">
        <is>
          <t xml:space="preserve">Mazda</t>
        </is>
      </c>
      <c r="F8722" s="0" t="s">
        <v>13</v>
      </c>
      <c r="G8722" s="0" t="s">
        <v>49</v>
      </c>
      <c r="H8722" s="5">
        <v>1231.856000</v>
      </c>
    </row>
    <row r="8723" spans="1:9">
      <c r="A8723" s="22" t="str">
        <f>HYPERLINK("https://app.vivvix.com/360/KMI/IntelliDrive/ApplUI/Pages/CreativePages/CustomReportCreativeDetail.aspx?App=23&amp;ReportView=4&amp;Qid=1711279&amp;Row=8715&amp;Col=1","No Title Assigned - #15270776897")</f>
        <v/>
      </c>
      <c r="B8723" s="0" t="s">
        <v>11711</v>
      </c>
      <c r="C8723" s="0" t="s">
        <v>11712</v>
      </c>
      <c r="D8723" s="0" t="s">
        <v>11712</v>
      </c>
      <c r="E8723" s="0" t="inlineStr">
        <is>
          <t xml:space="preserve">Mazda</t>
        </is>
      </c>
      <c r="F8723" s="0" t="inlineStr">
        <is>
          <t xml:space="preserve">Mazda</t>
        </is>
      </c>
      <c r="G8723" s="0" t="s">
        <v>210</v>
      </c>
      <c r="H8723" s="5">
        <v>744.058100</v>
      </c>
    </row>
    <row r="8724" spans="1:9">
      <c r="A8724" s="22" t="str">
        <f>HYPERLINK("https://app.vivvix.com/360/KMI/IntelliDrive/ApplUI/Pages/CreativePages/CustomReportCreativeDetail.aspx?App=23&amp;ReportView=4&amp;Qid=1711279&amp;Row=8716&amp;Col=1","No Title Assigned - #15270776910")</f>
        <v/>
      </c>
      <c r="B8724" s="0" t="s">
        <v>11713</v>
      </c>
      <c r="C8724" s="0" t="s">
        <v>11714</v>
      </c>
      <c r="D8724" s="0" t="s">
        <v>11714</v>
      </c>
      <c r="E8724" s="0" t="inlineStr">
        <is>
          <t xml:space="preserve">Mazda</t>
        </is>
      </c>
      <c r="F8724" s="0" t="s">
        <v>13</v>
      </c>
      <c r="G8724" s="0" t="s">
        <v>49</v>
      </c>
      <c r="H8724" s="5">
        <v>2772.194000</v>
      </c>
    </row>
    <row r="8725" spans="1:9">
      <c r="A8725" s="22" t="str">
        <f>HYPERLINK("https://app.vivvix.com/360/KMI/IntelliDrive/ApplUI/Pages/CreativePages/CustomReportCreativeDetail.aspx?App=23&amp;ReportView=4&amp;Qid=1711279&amp;Row=8717&amp;Col=1","No Title Assigned - #15270776993")</f>
        <v/>
      </c>
      <c r="B8725" s="0" t="s">
        <v>11715</v>
      </c>
      <c r="C8725" s="0" t="s">
        <v>11716</v>
      </c>
      <c r="D8725" s="0" t="s">
        <v>11716</v>
      </c>
      <c r="E8725" s="0" t="inlineStr">
        <is>
          <t xml:space="preserve">Mazda</t>
        </is>
      </c>
      <c r="F8725" s="0" t="s">
        <v>28</v>
      </c>
      <c r="G8725" s="0" t="s">
        <v>29</v>
      </c>
      <c r="H8725" s="5">
        <v>37815.408200</v>
      </c>
    </row>
    <row r="8726" spans="1:9">
      <c r="A8726" s="22" t="str">
        <f>HYPERLINK("https://app.vivvix.com/360/KMI/IntelliDrive/ApplUI/Pages/CreativePages/CustomReportCreativeDetail.aspx?App=23&amp;ReportView=4&amp;Qid=1711279&amp;Row=8718&amp;Col=1","No Title Assigned - #15270777000")</f>
        <v/>
      </c>
      <c r="B8726" s="0" t="s">
        <v>11717</v>
      </c>
      <c r="C8726" s="0" t="s">
        <v>11718</v>
      </c>
      <c r="D8726" s="0" t="s">
        <v>4858</v>
      </c>
      <c r="E8726" s="0" t="inlineStr">
        <is>
          <t xml:space="preserve">Mazda</t>
        </is>
      </c>
      <c r="F8726" s="0" t="inlineStr">
        <is>
          <t xml:space="preserve">Mazda</t>
        </is>
      </c>
      <c r="G8726" s="0" t="s">
        <v>210</v>
      </c>
      <c r="H8726" s="5">
        <v>7442.993700</v>
      </c>
    </row>
    <row r="8727" spans="1:9">
      <c r="A8727" s="22" t="str">
        <f>HYPERLINK("https://app.vivvix.com/360/KMI/IntelliDrive/ApplUI/Pages/CreativePages/CustomReportCreativeDetail.aspx?App=23&amp;ReportView=4&amp;Qid=1711279&amp;Row=8719&amp;Col=1","No Title Assigned - #15270777004")</f>
        <v/>
      </c>
      <c r="B8727" s="0" t="s">
        <v>11719</v>
      </c>
      <c r="C8727" s="0" t="s">
        <v>11720</v>
      </c>
      <c r="D8727" s="0" t="s">
        <v>11720</v>
      </c>
      <c r="E8727" s="0" t="inlineStr">
        <is>
          <t xml:space="preserve">Mazda</t>
        </is>
      </c>
      <c r="F8727" s="0" t="s">
        <v>13</v>
      </c>
      <c r="G8727" s="0" t="s">
        <v>49</v>
      </c>
      <c r="H8727" s="5">
        <v>53.356200</v>
      </c>
    </row>
    <row r="8728" spans="1:9">
      <c r="A8728" s="22" t="str">
        <f>HYPERLINK("https://app.vivvix.com/360/KMI/IntelliDrive/ApplUI/Pages/CreativePages/CustomReportCreativeDetail.aspx?App=23&amp;ReportView=4&amp;Qid=1711279&amp;Row=8720&amp;Col=1","No Title Assigned - #15270777035")</f>
        <v/>
      </c>
      <c r="B8728" s="0" t="s">
        <v>11721</v>
      </c>
      <c r="C8728" s="0" t="s">
        <v>11722</v>
      </c>
      <c r="D8728" s="0" t="s">
        <v>7969</v>
      </c>
      <c r="E8728" s="0" t="inlineStr">
        <is>
          <t xml:space="preserve">Mazda</t>
        </is>
      </c>
      <c r="F8728" s="0" t="s">
        <v>13</v>
      </c>
      <c r="G8728" s="0" t="s">
        <v>49</v>
      </c>
      <c r="H8728" s="5">
        <v>78.090100</v>
      </c>
    </row>
    <row r="8729" spans="1:9">
      <c r="A8729" s="22" t="str">
        <f>HYPERLINK("https://app.vivvix.com/360/KMI/IntelliDrive/ApplUI/Pages/CreativePages/CustomReportCreativeDetail.aspx?App=23&amp;ReportView=4&amp;Qid=1711279&amp;Row=8721&amp;Col=1","No Title Assigned - #15270777087")</f>
        <v/>
      </c>
      <c r="B8729" s="0" t="s">
        <v>11723</v>
      </c>
      <c r="E8729" s="0" t="inlineStr">
        <is>
          <t xml:space="preserve">Mazda</t>
        </is>
      </c>
      <c r="F8729" s="0" t="s">
        <v>13</v>
      </c>
      <c r="G8729" s="0" t="s">
        <v>49</v>
      </c>
      <c r="H8729" s="5">
        <v>635.793900</v>
      </c>
    </row>
    <row r="8730" spans="1:9">
      <c r="A8730" s="22" t="str">
        <f>HYPERLINK("https://app.vivvix.com/360/KMI/IntelliDrive/ApplUI/Pages/CreativePages/CustomReportCreativeDetail.aspx?App=23&amp;ReportView=4&amp;Qid=1711279&amp;Row=8722&amp;Col=1","No Title Assigned - #15270777087")</f>
        <v/>
      </c>
      <c r="B8730" s="0" t="s">
        <v>11723</v>
      </c>
      <c r="C8730" s="0" t="s">
        <v>11724</v>
      </c>
      <c r="D8730" s="0" t="s">
        <v>11724</v>
      </c>
      <c r="E8730" s="0" t="inlineStr">
        <is>
          <t xml:space="preserve">Mazda</t>
        </is>
      </c>
      <c r="F8730" s="0" t="s">
        <v>13</v>
      </c>
      <c r="G8730" s="0" t="s">
        <v>49</v>
      </c>
      <c r="H8730" s="5">
        <v>13152.365200</v>
      </c>
    </row>
    <row r="8731" spans="1:9">
      <c r="A8731" s="22" t="str">
        <f>HYPERLINK("https://app.vivvix.com/360/KMI/IntelliDrive/ApplUI/Pages/CreativePages/CustomReportCreativeDetail.aspx?App=23&amp;ReportView=4&amp;Qid=1711279&amp;Row=8723&amp;Col=1","No Title Assigned - #15270777110")</f>
        <v/>
      </c>
      <c r="B8731" s="0" t="s">
        <v>11725</v>
      </c>
      <c r="C8731" s="0" t="s">
        <v>11726</v>
      </c>
      <c r="D8731" s="0" t="s">
        <v>11726</v>
      </c>
      <c r="E8731" s="0" t="inlineStr">
        <is>
          <t xml:space="preserve">Mazda</t>
        </is>
      </c>
      <c r="F8731" s="0" t="s">
        <v>13</v>
      </c>
      <c r="G8731" s="0" t="s">
        <v>49</v>
      </c>
      <c r="H8731" s="5">
        <v>68.711500</v>
      </c>
    </row>
    <row r="8732" spans="1:9">
      <c r="A8732" s="22" t="str">
        <f>HYPERLINK("https://app.vivvix.com/360/KMI/IntelliDrive/ApplUI/Pages/CreativePages/CustomReportCreativeDetail.aspx?App=23&amp;ReportView=4&amp;Qid=1711279&amp;Row=8724&amp;Col=1","No Title Assigned - #15270777215")</f>
        <v/>
      </c>
      <c r="B8732" s="0" t="s">
        <v>11727</v>
      </c>
      <c r="E8732" s="0" t="inlineStr">
        <is>
          <t xml:space="preserve">Mazda</t>
        </is>
      </c>
      <c r="F8732" s="0" t="inlineStr">
        <is>
          <t xml:space="preserve">Mazda</t>
        </is>
      </c>
      <c r="G8732" s="0" t="s">
        <v>171</v>
      </c>
      <c r="H8732" s="5">
        <v>10.360100</v>
      </c>
    </row>
    <row r="8733" spans="1:9">
      <c r="A8733" s="22" t="str">
        <f>HYPERLINK("https://app.vivvix.com/360/KMI/IntelliDrive/ApplUI/Pages/CreativePages/CustomReportCreativeDetail.aspx?App=23&amp;ReportView=4&amp;Qid=1711279&amp;Row=8725&amp;Col=1","No Title Assigned - #15270777236")</f>
        <v/>
      </c>
      <c r="B8733" s="0" t="s">
        <v>11728</v>
      </c>
      <c r="E8733" s="0" t="inlineStr">
        <is>
          <t xml:space="preserve">Mazda</t>
        </is>
      </c>
      <c r="F8733" s="0" t="inlineStr">
        <is>
          <t xml:space="preserve">Mazda</t>
        </is>
      </c>
      <c r="G8733" s="0" t="s">
        <v>171</v>
      </c>
      <c r="H8733" s="5">
        <v>67.418300</v>
      </c>
    </row>
    <row r="8734" spans="1:9">
      <c r="A8734" s="22" t="str">
        <f>HYPERLINK("https://app.vivvix.com/360/KMI/IntelliDrive/ApplUI/Pages/CreativePages/CustomReportCreativeDetail.aspx?App=23&amp;ReportView=4&amp;Qid=1711279&amp;Row=8726&amp;Col=1","No Title Assigned - #15270777237")</f>
        <v/>
      </c>
      <c r="B8734" s="0" t="s">
        <v>11729</v>
      </c>
      <c r="E8734" s="0" t="inlineStr">
        <is>
          <t xml:space="preserve">Mazda</t>
        </is>
      </c>
      <c r="F8734" s="0" t="inlineStr">
        <is>
          <t xml:space="preserve">Mazda</t>
        </is>
      </c>
      <c r="G8734" s="0" t="s">
        <v>171</v>
      </c>
      <c r="H8734" s="5">
        <v>67.418300</v>
      </c>
    </row>
    <row r="8735" spans="1:9">
      <c r="A8735" s="22" t="str">
        <f>HYPERLINK("https://app.vivvix.com/360/KMI/IntelliDrive/ApplUI/Pages/CreativePages/CustomReportCreativeDetail.aspx?App=23&amp;ReportView=4&amp;Qid=1711279&amp;Row=8727&amp;Col=1","No Title Assigned - #15270777285")</f>
        <v/>
      </c>
      <c r="B8735" s="0" t="s">
        <v>11730</v>
      </c>
      <c r="E8735" s="0" t="inlineStr">
        <is>
          <t xml:space="preserve">Mazda</t>
        </is>
      </c>
      <c r="F8735" s="0" t="s">
        <v>13</v>
      </c>
      <c r="G8735" s="0" t="s">
        <v>49</v>
      </c>
      <c r="H8735" s="5">
        <v>349.172900</v>
      </c>
    </row>
    <row r="8736" spans="1:9">
      <c r="A8736" s="22" t="str">
        <f>HYPERLINK("https://app.vivvix.com/360/KMI/IntelliDrive/ApplUI/Pages/CreativePages/CustomReportCreativeDetail.aspx?App=23&amp;ReportView=4&amp;Qid=1711279&amp;Row=8728&amp;Col=1","No Title Assigned - #15270777285")</f>
        <v/>
      </c>
      <c r="B8736" s="0" t="s">
        <v>11730</v>
      </c>
      <c r="C8736" s="0" t="s">
        <v>11731</v>
      </c>
      <c r="D8736" s="0" t="s">
        <v>11731</v>
      </c>
      <c r="E8736" s="0" t="inlineStr">
        <is>
          <t xml:space="preserve">Mazda</t>
        </is>
      </c>
      <c r="F8736" s="0" t="s">
        <v>13</v>
      </c>
      <c r="G8736" s="0" t="s">
        <v>49</v>
      </c>
      <c r="H8736" s="5">
        <v>78.805000</v>
      </c>
    </row>
    <row r="8737" spans="1:9">
      <c r="A8737" s="22" t="str">
        <f>HYPERLINK("https://app.vivvix.com/360/KMI/IntelliDrive/ApplUI/Pages/CreativePages/CustomReportCreativeDetail.aspx?App=23&amp;ReportView=4&amp;Qid=1711279&amp;Row=8729&amp;Col=1","No Title Assigned - #15270777306")</f>
        <v/>
      </c>
      <c r="B8737" s="0" t="s">
        <v>11732</v>
      </c>
      <c r="E8737" s="0" t="inlineStr">
        <is>
          <t xml:space="preserve">Mazda</t>
        </is>
      </c>
      <c r="F8737" s="0" t="inlineStr">
        <is>
          <t xml:space="preserve">Mazda</t>
        </is>
      </c>
      <c r="G8737" s="0" t="s">
        <v>171</v>
      </c>
      <c r="H8737" s="5">
        <v>291.516800</v>
      </c>
    </row>
    <row r="8738" spans="1:9">
      <c r="A8738" s="22" t="str">
        <f>HYPERLINK("https://app.vivvix.com/360/KMI/IntelliDrive/ApplUI/Pages/CreativePages/CustomReportCreativeDetail.aspx?App=23&amp;ReportView=4&amp;Qid=1711279&amp;Row=8730&amp;Col=1","No Title Assigned - #15270777434")</f>
        <v/>
      </c>
      <c r="B8738" s="0" t="s">
        <v>11733</v>
      </c>
      <c r="C8738" s="0" t="s">
        <v>11734</v>
      </c>
      <c r="D8738" s="0" t="s">
        <v>10089</v>
      </c>
      <c r="E8738" s="0" t="inlineStr">
        <is>
          <t xml:space="preserve">Mazda</t>
        </is>
      </c>
      <c r="F8738" s="0" t="s">
        <v>13</v>
      </c>
      <c r="G8738" s="0" t="s">
        <v>49</v>
      </c>
      <c r="H8738" s="5">
        <v>166.593800</v>
      </c>
    </row>
    <row r="8739" spans="1:9">
      <c r="A8739" s="22" t="str">
        <f>HYPERLINK("https://app.vivvix.com/360/KMI/IntelliDrive/ApplUI/Pages/CreativePages/CustomReportCreativeDetail.aspx?App=23&amp;ReportView=4&amp;Qid=1711279&amp;Row=8731&amp;Col=1","No Title Assigned - #15270777460")</f>
        <v/>
      </c>
      <c r="B8739" s="0" t="s">
        <v>11735</v>
      </c>
      <c r="C8739" s="0" t="s">
        <v>11736</v>
      </c>
      <c r="D8739" s="0" t="s">
        <v>11736</v>
      </c>
      <c r="E8739" s="0" t="inlineStr">
        <is>
          <t xml:space="preserve">Mazda</t>
        </is>
      </c>
      <c r="F8739" s="0" t="s">
        <v>13</v>
      </c>
      <c r="G8739" s="0" t="s">
        <v>49</v>
      </c>
      <c r="H8739" s="5">
        <v>160.926600</v>
      </c>
    </row>
    <row r="8740" spans="1:9">
      <c r="A8740" s="22" t="str">
        <f>HYPERLINK("https://app.vivvix.com/360/KMI/IntelliDrive/ApplUI/Pages/CreativePages/CustomReportCreativeDetail.aspx?App=23&amp;ReportView=4&amp;Qid=1711279&amp;Row=8732&amp;Col=1","No Title Assigned - #15270777541")</f>
        <v/>
      </c>
      <c r="B8740" s="0" t="s">
        <v>11737</v>
      </c>
      <c r="E8740" s="0" t="inlineStr">
        <is>
          <t xml:space="preserve">Mazda</t>
        </is>
      </c>
      <c r="F8740" s="0" t="inlineStr">
        <is>
          <t xml:space="preserve">Mazda</t>
        </is>
      </c>
      <c r="G8740" s="0" t="s">
        <v>171</v>
      </c>
      <c r="H8740" s="5">
        <v>73.506700</v>
      </c>
    </row>
    <row r="8741" spans="1:9">
      <c r="A8741" s="22" t="str">
        <f>HYPERLINK("https://app.vivvix.com/360/KMI/IntelliDrive/ApplUI/Pages/CreativePages/CustomReportCreativeDetail.aspx?App=23&amp;ReportView=4&amp;Qid=1711279&amp;Row=8733&amp;Col=1","No Title Assigned - #15270777561")</f>
        <v/>
      </c>
      <c r="B8741" s="0" t="s">
        <v>11738</v>
      </c>
      <c r="C8741" s="0" t="s">
        <v>11739</v>
      </c>
      <c r="D8741" s="0" t="s">
        <v>8930</v>
      </c>
      <c r="E8741" s="0" t="inlineStr">
        <is>
          <t xml:space="preserve">Mazda</t>
        </is>
      </c>
      <c r="F8741" s="0" t="s">
        <v>13</v>
      </c>
      <c r="G8741" s="0" t="s">
        <v>49</v>
      </c>
      <c r="H8741" s="5">
        <v>23.958900</v>
      </c>
    </row>
    <row r="8742" spans="1:9">
      <c r="A8742" s="22" t="str">
        <f>HYPERLINK("https://app.vivvix.com/360/KMI/IntelliDrive/ApplUI/Pages/CreativePages/CustomReportCreativeDetail.aspx?App=23&amp;ReportView=4&amp;Qid=1711279&amp;Row=8734&amp;Col=1","No Title Assigned - #15270777796")</f>
        <v/>
      </c>
      <c r="B8742" s="0" t="s">
        <v>11740</v>
      </c>
      <c r="E8742" s="0" t="inlineStr">
        <is>
          <t xml:space="preserve">Mazda</t>
        </is>
      </c>
      <c r="F8742" s="0" t="inlineStr">
        <is>
          <t xml:space="preserve">Mazda</t>
        </is>
      </c>
      <c r="G8742" s="0" t="s">
        <v>171</v>
      </c>
      <c r="H8742" s="5">
        <v>4.584000</v>
      </c>
    </row>
    <row r="8743" spans="1:9">
      <c r="A8743" s="22" t="str">
        <f>HYPERLINK("https://app.vivvix.com/360/KMI/IntelliDrive/ApplUI/Pages/CreativePages/CustomReportCreativeDetail.aspx?App=23&amp;ReportView=4&amp;Qid=1711279&amp;Row=8735&amp;Col=1","No Title Assigned - #15270777809")</f>
        <v/>
      </c>
      <c r="B8743" s="0" t="s">
        <v>11741</v>
      </c>
      <c r="C8743" s="0" t="s">
        <v>11742</v>
      </c>
      <c r="D8743" s="0" t="s">
        <v>9290</v>
      </c>
      <c r="E8743" s="0" t="inlineStr">
        <is>
          <t xml:space="preserve">Mazda</t>
        </is>
      </c>
      <c r="F8743" s="0" t="s">
        <v>13</v>
      </c>
      <c r="G8743" s="0" t="s">
        <v>49</v>
      </c>
      <c r="H8743" s="5">
        <v>72.184200</v>
      </c>
    </row>
    <row r="8744" spans="1:9">
      <c r="A8744" s="22" t="str">
        <f>HYPERLINK("https://app.vivvix.com/360/KMI/IntelliDrive/ApplUI/Pages/CreativePages/CustomReportCreativeDetail.aspx?App=23&amp;ReportView=4&amp;Qid=1711279&amp;Row=8736&amp;Col=1","No Title Assigned - #15270777832")</f>
        <v/>
      </c>
      <c r="B8744" s="0" t="s">
        <v>11743</v>
      </c>
      <c r="C8744" s="0" t="s">
        <v>11744</v>
      </c>
      <c r="D8744" s="0" t="s">
        <v>10999</v>
      </c>
      <c r="E8744" s="0" t="inlineStr">
        <is>
          <t xml:space="preserve">Mazda</t>
        </is>
      </c>
      <c r="F8744" s="0" t="s">
        <v>13</v>
      </c>
      <c r="G8744" s="0" t="s">
        <v>49</v>
      </c>
      <c r="H8744" s="5">
        <v>83.926100</v>
      </c>
    </row>
    <row r="8745" spans="1:9">
      <c r="A8745" s="22" t="str">
        <f>HYPERLINK("https://app.vivvix.com/360/KMI/IntelliDrive/ApplUI/Pages/CreativePages/CustomReportCreativeDetail.aspx?App=23&amp;ReportView=4&amp;Qid=1711279&amp;Row=8737&amp;Col=1","No Title Assigned - #15270777863")</f>
        <v/>
      </c>
      <c r="B8745" s="0" t="s">
        <v>11745</v>
      </c>
      <c r="C8745" s="0" t="s">
        <v>11746</v>
      </c>
      <c r="D8745" s="0" t="s">
        <v>11258</v>
      </c>
      <c r="E8745" s="0" t="inlineStr">
        <is>
          <t xml:space="preserve">Mazda</t>
        </is>
      </c>
      <c r="F8745" s="0" t="s">
        <v>13</v>
      </c>
      <c r="G8745" s="0" t="s">
        <v>49</v>
      </c>
      <c r="H8745" s="5">
        <v>553.785400</v>
      </c>
    </row>
    <row r="8746" spans="1:9">
      <c r="A8746" s="22" t="str">
        <f>HYPERLINK("https://app.vivvix.com/360/KMI/IntelliDrive/ApplUI/Pages/CreativePages/CustomReportCreativeDetail.aspx?App=23&amp;ReportView=4&amp;Qid=1711279&amp;Row=8738&amp;Col=1","No Title Assigned - #15270777900")</f>
        <v/>
      </c>
      <c r="B8746" s="0" t="s">
        <v>11747</v>
      </c>
      <c r="C8746" s="0" t="s">
        <v>11748</v>
      </c>
      <c r="D8746" s="0" t="s">
        <v>11611</v>
      </c>
      <c r="E8746" s="0" t="inlineStr">
        <is>
          <t xml:space="preserve">Mazda</t>
        </is>
      </c>
      <c r="F8746" s="0" t="s">
        <v>13</v>
      </c>
      <c r="G8746" s="0" t="s">
        <v>49</v>
      </c>
      <c r="H8746" s="5">
        <v>35.208000</v>
      </c>
    </row>
    <row r="8747" spans="1:9">
      <c r="A8747" s="22" t="str">
        <f>HYPERLINK("https://app.vivvix.com/360/KMI/IntelliDrive/ApplUI/Pages/CreativePages/CustomReportCreativeDetail.aspx?App=23&amp;ReportView=4&amp;Qid=1711279&amp;Row=8739&amp;Col=1","No Title Assigned - #15270777918")</f>
        <v/>
      </c>
      <c r="B8747" s="0" t="s">
        <v>11749</v>
      </c>
      <c r="C8747" s="0" t="s">
        <v>11750</v>
      </c>
      <c r="D8747" s="0" t="s">
        <v>11750</v>
      </c>
      <c r="E8747" s="0" t="inlineStr">
        <is>
          <t xml:space="preserve">Mazda</t>
        </is>
      </c>
      <c r="F8747" s="0" t="inlineStr">
        <is>
          <t xml:space="preserve">Mazda</t>
        </is>
      </c>
      <c r="G8747" s="0" t="s">
        <v>171</v>
      </c>
      <c r="H8747" s="5">
        <v>2285.039800</v>
      </c>
    </row>
    <row r="8748" spans="1:9">
      <c r="A8748" s="22" t="str">
        <f>HYPERLINK("https://app.vivvix.com/360/KMI/IntelliDrive/ApplUI/Pages/CreativePages/CustomReportCreativeDetail.aspx?App=23&amp;ReportView=4&amp;Qid=1711279&amp;Row=8740&amp;Col=1","No Title Assigned - #15270777927")</f>
        <v/>
      </c>
      <c r="B8748" s="0" t="s">
        <v>11751</v>
      </c>
      <c r="C8748" s="0" t="s">
        <v>11752</v>
      </c>
      <c r="D8748" s="0" t="s">
        <v>9769</v>
      </c>
      <c r="E8748" s="0" t="inlineStr">
        <is>
          <t xml:space="preserve">Mazda</t>
        </is>
      </c>
      <c r="F8748" s="0" t="s">
        <v>13</v>
      </c>
      <c r="G8748" s="0" t="s">
        <v>49</v>
      </c>
      <c r="H8748" s="5">
        <v>2259.348300</v>
      </c>
    </row>
    <row r="8749" spans="1:9">
      <c r="A8749" s="22" t="str">
        <f>HYPERLINK("https://app.vivvix.com/360/KMI/IntelliDrive/ApplUI/Pages/CreativePages/CustomReportCreativeDetail.aspx?App=23&amp;ReportView=4&amp;Qid=1711279&amp;Row=8741&amp;Col=1","No Title Assigned - #15270777927")</f>
        <v/>
      </c>
      <c r="B8749" s="0" t="s">
        <v>11751</v>
      </c>
      <c r="E8749" s="0" t="inlineStr">
        <is>
          <t xml:space="preserve">Mazda</t>
        </is>
      </c>
      <c r="F8749" s="0" t="s">
        <v>13</v>
      </c>
      <c r="G8749" s="0" t="s">
        <v>49</v>
      </c>
      <c r="H8749" s="5">
        <v>521.762900</v>
      </c>
    </row>
    <row r="8750" spans="1:9">
      <c r="A8750" s="22" t="str">
        <f>HYPERLINK("https://app.vivvix.com/360/KMI/IntelliDrive/ApplUI/Pages/CreativePages/CustomReportCreativeDetail.aspx?App=23&amp;ReportView=4&amp;Qid=1711279&amp;Row=8742&amp;Col=1","No Title Assigned - #15270777954")</f>
        <v/>
      </c>
      <c r="B8750" s="0" t="s">
        <v>11753</v>
      </c>
      <c r="C8750" s="0" t="s">
        <v>11754</v>
      </c>
      <c r="D8750" s="0" t="s">
        <v>9949</v>
      </c>
      <c r="E8750" s="0" t="inlineStr">
        <is>
          <t xml:space="preserve">Mazda</t>
        </is>
      </c>
      <c r="F8750" s="0" t="s">
        <v>13</v>
      </c>
      <c r="G8750" s="0" t="s">
        <v>49</v>
      </c>
      <c r="H8750" s="5">
        <v>109.436500</v>
      </c>
    </row>
    <row r="8751" spans="1:9">
      <c r="A8751" s="22" t="str">
        <f>HYPERLINK("https://app.vivvix.com/360/KMI/IntelliDrive/ApplUI/Pages/CreativePages/CustomReportCreativeDetail.aspx?App=23&amp;ReportView=4&amp;Qid=1711279&amp;Row=8743&amp;Col=1","No Title Assigned - #15270778007")</f>
        <v/>
      </c>
      <c r="B8751" s="0" t="s">
        <v>11755</v>
      </c>
      <c r="C8751" s="0" t="s">
        <v>11756</v>
      </c>
      <c r="D8751" s="0" t="s">
        <v>10999</v>
      </c>
      <c r="E8751" s="0" t="inlineStr">
        <is>
          <t xml:space="preserve">Mazda</t>
        </is>
      </c>
      <c r="F8751" s="0" t="s">
        <v>13</v>
      </c>
      <c r="G8751" s="0" t="s">
        <v>49</v>
      </c>
      <c r="H8751" s="5">
        <v>290.830400</v>
      </c>
    </row>
    <row r="8752" spans="1:9">
      <c r="A8752" s="22" t="str">
        <f>HYPERLINK("https://app.vivvix.com/360/KMI/IntelliDrive/ApplUI/Pages/CreativePages/CustomReportCreativeDetail.aspx?App=23&amp;ReportView=4&amp;Qid=1711279&amp;Row=8744&amp;Col=1","No Title Assigned - #15270778087")</f>
        <v/>
      </c>
      <c r="B8752" s="0" t="s">
        <v>11757</v>
      </c>
      <c r="C8752" s="0" t="s">
        <v>11758</v>
      </c>
      <c r="D8752" s="0" t="s">
        <v>11758</v>
      </c>
      <c r="E8752" s="0" t="inlineStr">
        <is>
          <t xml:space="preserve">Mazda</t>
        </is>
      </c>
      <c r="F8752" s="0" t="inlineStr">
        <is>
          <t xml:space="preserve">Mazda</t>
        </is>
      </c>
      <c r="G8752" s="0" t="s">
        <v>1992</v>
      </c>
      <c r="H8752" s="5">
        <v>424.329000</v>
      </c>
    </row>
    <row r="8753" spans="1:9">
      <c r="A8753" s="22" t="str">
        <f>HYPERLINK("https://app.vivvix.com/360/KMI/IntelliDrive/ApplUI/Pages/CreativePages/CustomReportCreativeDetail.aspx?App=23&amp;ReportView=4&amp;Qid=1711279&amp;Row=8745&amp;Col=1","No Title Assigned - #15270778125")</f>
        <v/>
      </c>
      <c r="B8753" s="0" t="s">
        <v>11759</v>
      </c>
      <c r="C8753" s="0" t="s">
        <v>11760</v>
      </c>
      <c r="D8753" s="0" t="s">
        <v>8588</v>
      </c>
      <c r="E8753" s="0" t="inlineStr">
        <is>
          <t xml:space="preserve">Mazda</t>
        </is>
      </c>
      <c r="F8753" s="0" t="s">
        <v>13</v>
      </c>
      <c r="G8753" s="0" t="s">
        <v>49</v>
      </c>
      <c r="H8753" s="5">
        <v>431.646100</v>
      </c>
    </row>
    <row r="8754" spans="1:9">
      <c r="A8754" s="22" t="str">
        <f>HYPERLINK("https://app.vivvix.com/360/KMI/IntelliDrive/ApplUI/Pages/CreativePages/CustomReportCreativeDetail.aspx?App=23&amp;ReportView=4&amp;Qid=1711279&amp;Row=8746&amp;Col=1","No Title Assigned - #15270778140")</f>
        <v/>
      </c>
      <c r="B8754" s="0" t="s">
        <v>11761</v>
      </c>
      <c r="C8754" s="0" t="s">
        <v>11762</v>
      </c>
      <c r="D8754" s="0" t="s">
        <v>11762</v>
      </c>
      <c r="E8754" s="0" t="inlineStr">
        <is>
          <t xml:space="preserve">Mazda</t>
        </is>
      </c>
      <c r="F8754" s="0" t="s">
        <v>13</v>
      </c>
      <c r="G8754" s="0" t="s">
        <v>49</v>
      </c>
      <c r="H8754" s="5">
        <v>620.742400</v>
      </c>
    </row>
    <row r="8755" spans="1:9">
      <c r="A8755" s="22" t="str">
        <f>HYPERLINK("https://app.vivvix.com/360/KMI/IntelliDrive/ApplUI/Pages/CreativePages/CustomReportCreativeDetail.aspx?App=23&amp;ReportView=4&amp;Qid=1711279&amp;Row=8747&amp;Col=1","No Title Assigned - #15270778140")</f>
        <v/>
      </c>
      <c r="B8755" s="0" t="s">
        <v>11761</v>
      </c>
      <c r="E8755" s="0" t="inlineStr">
        <is>
          <t xml:space="preserve">Mazda</t>
        </is>
      </c>
      <c r="F8755" s="0" t="s">
        <v>13</v>
      </c>
      <c r="G8755" s="0" t="s">
        <v>49</v>
      </c>
      <c r="H8755" s="5">
        <v>227.726900</v>
      </c>
    </row>
    <row r="8756" spans="1:9">
      <c r="A8756" s="22" t="str">
        <f>HYPERLINK("https://app.vivvix.com/360/KMI/IntelliDrive/ApplUI/Pages/CreativePages/CustomReportCreativeDetail.aspx?App=23&amp;ReportView=4&amp;Qid=1711279&amp;Row=8748&amp;Col=1","No Title Assigned - #15270778183")</f>
        <v/>
      </c>
      <c r="B8756" s="0" t="s">
        <v>11763</v>
      </c>
      <c r="C8756" s="0" t="s">
        <v>11764</v>
      </c>
      <c r="D8756" s="0" t="s">
        <v>11764</v>
      </c>
      <c r="E8756" s="0" t="inlineStr">
        <is>
          <t xml:space="preserve">Mazda</t>
        </is>
      </c>
      <c r="F8756" s="0" t="s">
        <v>13</v>
      </c>
      <c r="G8756" s="0" t="s">
        <v>49</v>
      </c>
      <c r="H8756" s="5">
        <v>13.061900</v>
      </c>
    </row>
    <row r="8757" spans="1:9">
      <c r="A8757" s="22" t="str">
        <f>HYPERLINK("https://app.vivvix.com/360/KMI/IntelliDrive/ApplUI/Pages/CreativePages/CustomReportCreativeDetail.aspx?App=23&amp;ReportView=4&amp;Qid=1711279&amp;Row=8749&amp;Col=1","No Title Assigned - #15270778236")</f>
        <v/>
      </c>
      <c r="B8757" s="0" t="s">
        <v>11765</v>
      </c>
      <c r="C8757" s="0" t="s">
        <v>11766</v>
      </c>
      <c r="D8757" s="0" t="s">
        <v>11766</v>
      </c>
      <c r="E8757" s="0" t="inlineStr">
        <is>
          <t xml:space="preserve">Mazda</t>
        </is>
      </c>
      <c r="F8757" s="0" t="s">
        <v>13</v>
      </c>
      <c r="G8757" s="0" t="s">
        <v>49</v>
      </c>
      <c r="H8757" s="5">
        <v>13023.499000</v>
      </c>
    </row>
    <row r="8758" spans="1:9">
      <c r="A8758" s="22" t="str">
        <f>HYPERLINK("https://app.vivvix.com/360/KMI/IntelliDrive/ApplUI/Pages/CreativePages/CustomReportCreativeDetail.aspx?App=23&amp;ReportView=4&amp;Qid=1711279&amp;Row=8750&amp;Col=1","No Title Assigned - #15270778270")</f>
        <v/>
      </c>
      <c r="B8758" s="0" t="s">
        <v>11767</v>
      </c>
      <c r="E8758" s="0" t="inlineStr">
        <is>
          <t xml:space="preserve">Mazda</t>
        </is>
      </c>
      <c r="F8758" s="0" t="inlineStr">
        <is>
          <t xml:space="preserve">Mazda</t>
        </is>
      </c>
      <c r="G8758" s="0" t="s">
        <v>171</v>
      </c>
      <c r="H8758" s="5">
        <v>140.267400</v>
      </c>
    </row>
    <row r="8759" spans="1:9">
      <c r="A8759" s="22" t="str">
        <f>HYPERLINK("https://app.vivvix.com/360/KMI/IntelliDrive/ApplUI/Pages/CreativePages/CustomReportCreativeDetail.aspx?App=23&amp;ReportView=4&amp;Qid=1711279&amp;Row=8751&amp;Col=1","No Title Assigned - #15270778291")</f>
        <v/>
      </c>
      <c r="B8759" s="0" t="s">
        <v>11768</v>
      </c>
      <c r="C8759" s="0" t="s">
        <v>11769</v>
      </c>
      <c r="D8759" s="0" t="s">
        <v>9088</v>
      </c>
      <c r="E8759" s="0" t="inlineStr">
        <is>
          <t xml:space="preserve">Mazda</t>
        </is>
      </c>
      <c r="F8759" s="0" t="s">
        <v>13</v>
      </c>
      <c r="G8759" s="0" t="s">
        <v>49</v>
      </c>
      <c r="H8759" s="5">
        <v>42.881000</v>
      </c>
    </row>
    <row r="8760" spans="1:9">
      <c r="A8760" s="22" t="str">
        <f>HYPERLINK("https://app.vivvix.com/360/KMI/IntelliDrive/ApplUI/Pages/CreativePages/CustomReportCreativeDetail.aspx?App=23&amp;ReportView=4&amp;Qid=1711279&amp;Row=8752&amp;Col=1","No Title Assigned - #15270778295")</f>
        <v/>
      </c>
      <c r="B8760" s="0" t="s">
        <v>11770</v>
      </c>
      <c r="C8760" s="0" t="s">
        <v>11771</v>
      </c>
      <c r="D8760" s="0" t="s">
        <v>11473</v>
      </c>
      <c r="E8760" s="0" t="inlineStr">
        <is>
          <t xml:space="preserve">Mazda</t>
        </is>
      </c>
      <c r="F8760" s="0" t="s">
        <v>13</v>
      </c>
      <c r="G8760" s="0" t="s">
        <v>49</v>
      </c>
      <c r="H8760" s="5">
        <v>454.536400</v>
      </c>
    </row>
    <row r="8761" spans="1:9">
      <c r="A8761" s="22" t="str">
        <f>HYPERLINK("https://app.vivvix.com/360/KMI/IntelliDrive/ApplUI/Pages/CreativePages/CustomReportCreativeDetail.aspx?App=23&amp;ReportView=4&amp;Qid=1711279&amp;Row=8753&amp;Col=1","No Title Assigned - #15270778507")</f>
        <v/>
      </c>
      <c r="B8761" s="0" t="s">
        <v>11772</v>
      </c>
      <c r="E8761" s="0" t="inlineStr">
        <is>
          <t xml:space="preserve">Mazda</t>
        </is>
      </c>
      <c r="F8761" s="0" t="inlineStr">
        <is>
          <t xml:space="preserve">Mazda</t>
        </is>
      </c>
      <c r="G8761" s="0" t="s">
        <v>171</v>
      </c>
      <c r="H8761" s="5">
        <v>17.867800</v>
      </c>
    </row>
    <row r="8762" spans="1:9">
      <c r="A8762" s="22" t="str">
        <f>HYPERLINK("https://app.vivvix.com/360/KMI/IntelliDrive/ApplUI/Pages/CreativePages/CustomReportCreativeDetail.aspx?App=23&amp;ReportView=4&amp;Qid=1711279&amp;Row=8754&amp;Col=1","No Title Assigned - #15270778627")</f>
        <v/>
      </c>
      <c r="B8762" s="0" t="s">
        <v>11773</v>
      </c>
      <c r="C8762" s="0" t="s">
        <v>11774</v>
      </c>
      <c r="D8762" s="0" t="s">
        <v>11774</v>
      </c>
      <c r="E8762" s="0" t="inlineStr">
        <is>
          <t xml:space="preserve">Mazda</t>
        </is>
      </c>
      <c r="F8762" s="0" t="s">
        <v>13</v>
      </c>
      <c r="G8762" s="0" t="s">
        <v>49</v>
      </c>
      <c r="H8762" s="5">
        <v>1682.197000</v>
      </c>
    </row>
    <row r="8763" spans="1:9">
      <c r="A8763" s="22" t="str">
        <f>HYPERLINK("https://app.vivvix.com/360/KMI/IntelliDrive/ApplUI/Pages/CreativePages/CustomReportCreativeDetail.aspx?App=23&amp;ReportView=4&amp;Qid=1711279&amp;Row=8755&amp;Col=1","No Title Assigned - #15270778925")</f>
        <v/>
      </c>
      <c r="B8763" s="0" t="s">
        <v>11775</v>
      </c>
      <c r="E8763" s="0" t="inlineStr">
        <is>
          <t xml:space="preserve">Mazda</t>
        </is>
      </c>
      <c r="F8763" s="0" t="inlineStr">
        <is>
          <t xml:space="preserve">Mazda</t>
        </is>
      </c>
      <c r="G8763" s="0" t="s">
        <v>171</v>
      </c>
      <c r="H8763" s="5">
        <v>20.025200</v>
      </c>
    </row>
    <row r="8764" spans="1:9">
      <c r="A8764" s="22" t="str">
        <f>HYPERLINK("https://app.vivvix.com/360/KMI/IntelliDrive/ApplUI/Pages/CreativePages/CustomReportCreativeDetail.aspx?App=23&amp;ReportView=4&amp;Qid=1711279&amp;Row=8756&amp;Col=1","No Title Assigned - #15270778926")</f>
        <v/>
      </c>
      <c r="B8764" s="0" t="s">
        <v>11776</v>
      </c>
      <c r="E8764" s="0" t="inlineStr">
        <is>
          <t xml:space="preserve">Mazda</t>
        </is>
      </c>
      <c r="F8764" s="0" t="inlineStr">
        <is>
          <t xml:space="preserve">Mazda</t>
        </is>
      </c>
      <c r="G8764" s="0" t="s">
        <v>171</v>
      </c>
      <c r="H8764" s="5">
        <v>360.310400</v>
      </c>
    </row>
    <row r="8765" spans="1:9">
      <c r="A8765" s="22" t="str">
        <f>HYPERLINK("https://app.vivvix.com/360/KMI/IntelliDrive/ApplUI/Pages/CreativePages/CustomReportCreativeDetail.aspx?App=23&amp;ReportView=4&amp;Qid=1711279&amp;Row=8757&amp;Col=1","No Title Assigned - #15270778933")</f>
        <v/>
      </c>
      <c r="B8765" s="0" t="s">
        <v>11777</v>
      </c>
      <c r="E8765" s="0" t="inlineStr">
        <is>
          <t xml:space="preserve">Mazda</t>
        </is>
      </c>
      <c r="F8765" s="0" t="inlineStr">
        <is>
          <t xml:space="preserve">Mazda</t>
        </is>
      </c>
      <c r="G8765" s="0" t="s">
        <v>171</v>
      </c>
      <c r="H8765" s="5">
        <v>47.633100</v>
      </c>
    </row>
    <row r="8766" spans="1:9">
      <c r="A8766" s="22" t="str">
        <f>HYPERLINK("https://app.vivvix.com/360/KMI/IntelliDrive/ApplUI/Pages/CreativePages/CustomReportCreativeDetail.aspx?App=23&amp;ReportView=4&amp;Qid=1711279&amp;Row=8758&amp;Col=1","No Title Assigned - #15270778965")</f>
        <v/>
      </c>
      <c r="B8766" s="0" t="s">
        <v>11778</v>
      </c>
      <c r="E8766" s="0" t="inlineStr">
        <is>
          <t xml:space="preserve">Mazda</t>
        </is>
      </c>
      <c r="F8766" s="0" t="inlineStr">
        <is>
          <t xml:space="preserve">Mazda</t>
        </is>
      </c>
      <c r="G8766" s="0" t="s">
        <v>171</v>
      </c>
      <c r="H8766" s="5">
        <v>17.305100</v>
      </c>
    </row>
    <row r="8767" spans="1:9">
      <c r="A8767" s="22" t="str">
        <f>HYPERLINK("https://app.vivvix.com/360/KMI/IntelliDrive/ApplUI/Pages/CreativePages/CustomReportCreativeDetail.aspx?App=23&amp;ReportView=4&amp;Qid=1711279&amp;Row=8759&amp;Col=1","No Title Assigned - #15270779078")</f>
        <v/>
      </c>
      <c r="B8767" s="0" t="s">
        <v>11779</v>
      </c>
      <c r="E8767" s="0" t="inlineStr">
        <is>
          <t xml:space="preserve">Mazda</t>
        </is>
      </c>
      <c r="F8767" s="0" t="inlineStr">
        <is>
          <t xml:space="preserve">Mazda</t>
        </is>
      </c>
      <c r="G8767" s="0" t="s">
        <v>171</v>
      </c>
      <c r="H8767" s="5">
        <v>85.032500</v>
      </c>
    </row>
    <row r="8768" spans="1:9">
      <c r="A8768" s="22" t="str">
        <f>HYPERLINK("https://app.vivvix.com/360/KMI/IntelliDrive/ApplUI/Pages/CreativePages/CustomReportCreativeDetail.aspx?App=23&amp;ReportView=4&amp;Qid=1711279&amp;Row=8760&amp;Col=1","No Title Assigned - #15270779180")</f>
        <v/>
      </c>
      <c r="B8768" s="0" t="s">
        <v>11780</v>
      </c>
      <c r="E8768" s="0" t="inlineStr">
        <is>
          <t xml:space="preserve">Mazda</t>
        </is>
      </c>
      <c r="F8768" s="0" t="inlineStr">
        <is>
          <t xml:space="preserve">Mazda</t>
        </is>
      </c>
      <c r="G8768" s="0" t="s">
        <v>171</v>
      </c>
      <c r="H8768" s="5">
        <v>679.016900</v>
      </c>
    </row>
    <row r="8769" spans="1:9">
      <c r="A8769" s="22" t="str">
        <f>HYPERLINK("https://app.vivvix.com/360/KMI/IntelliDrive/ApplUI/Pages/CreativePages/CustomReportCreativeDetail.aspx?App=23&amp;ReportView=4&amp;Qid=1711279&amp;Row=8761&amp;Col=1","No Title Assigned - #15270779185")</f>
        <v/>
      </c>
      <c r="B8769" s="0" t="s">
        <v>11781</v>
      </c>
      <c r="E8769" s="0" t="inlineStr">
        <is>
          <t xml:space="preserve">Mazda</t>
        </is>
      </c>
      <c r="F8769" s="0" t="inlineStr">
        <is>
          <t xml:space="preserve">Mazda</t>
        </is>
      </c>
      <c r="G8769" s="0" t="s">
        <v>171</v>
      </c>
      <c r="H8769" s="5">
        <v>1287.042800</v>
      </c>
    </row>
    <row r="8770" spans="1:9">
      <c r="A8770" s="22" t="str">
        <f>HYPERLINK("https://app.vivvix.com/360/KMI/IntelliDrive/ApplUI/Pages/CreativePages/CustomReportCreativeDetail.aspx?App=23&amp;ReportView=4&amp;Qid=1711279&amp;Row=8762&amp;Col=1","No Title Assigned - #15270779185")</f>
        <v/>
      </c>
      <c r="B8770" s="0" t="s">
        <v>11781</v>
      </c>
      <c r="E8770" s="0" t="inlineStr">
        <is>
          <t xml:space="preserve">Mazda</t>
        </is>
      </c>
      <c r="F8770" s="0" t="inlineStr">
        <is>
          <t xml:space="preserve">Mazda</t>
        </is>
      </c>
      <c r="G8770" s="0" t="s">
        <v>171</v>
      </c>
      <c r="H8770" s="5">
        <v>953.413400</v>
      </c>
    </row>
    <row r="8771" spans="1:9">
      <c r="A8771" s="22" t="str">
        <f>HYPERLINK("https://app.vivvix.com/360/KMI/IntelliDrive/ApplUI/Pages/CreativePages/CustomReportCreativeDetail.aspx?App=23&amp;ReportView=4&amp;Qid=1711279&amp;Row=8763&amp;Col=1","No Title Assigned - #15270779231")</f>
        <v/>
      </c>
      <c r="B8771" s="0" t="s">
        <v>11782</v>
      </c>
      <c r="E8771" s="0" t="inlineStr">
        <is>
          <t xml:space="preserve">Mazda</t>
        </is>
      </c>
      <c r="F8771" s="0" t="inlineStr">
        <is>
          <t xml:space="preserve">Mazda</t>
        </is>
      </c>
      <c r="G8771" s="0" t="s">
        <v>171</v>
      </c>
      <c r="H8771" s="5">
        <v>10.406400</v>
      </c>
    </row>
    <row r="8772" spans="1:9">
      <c r="A8772" s="22" t="str">
        <f>HYPERLINK("https://app.vivvix.com/360/KMI/IntelliDrive/ApplUI/Pages/CreativePages/CustomReportCreativeDetail.aspx?App=23&amp;ReportView=4&amp;Qid=1711279&amp;Row=8764&amp;Col=1","No Title Assigned - #15270779368")</f>
        <v/>
      </c>
      <c r="B8772" s="0" t="s">
        <v>11783</v>
      </c>
      <c r="E8772" s="0" t="inlineStr">
        <is>
          <t xml:space="preserve">Mazda</t>
        </is>
      </c>
      <c r="F8772" s="0" t="inlineStr">
        <is>
          <t xml:space="preserve">Mazda</t>
        </is>
      </c>
      <c r="G8772" s="0" t="s">
        <v>171</v>
      </c>
      <c r="H8772" s="5">
        <v>39.708400</v>
      </c>
    </row>
    <row r="8773" spans="1:9">
      <c r="A8773" s="22" t="str">
        <f>HYPERLINK("https://app.vivvix.com/360/KMI/IntelliDrive/ApplUI/Pages/CreativePages/CustomReportCreativeDetail.aspx?App=23&amp;ReportView=4&amp;Qid=1711279&amp;Row=8765&amp;Col=1","No Title Assigned - #15270779393")</f>
        <v/>
      </c>
      <c r="B8773" s="0" t="s">
        <v>11784</v>
      </c>
      <c r="E8773" s="0" t="inlineStr">
        <is>
          <t xml:space="preserve">Mazda</t>
        </is>
      </c>
      <c r="F8773" s="0" t="inlineStr">
        <is>
          <t xml:space="preserve">Mazda</t>
        </is>
      </c>
      <c r="G8773" s="0" t="s">
        <v>171</v>
      </c>
      <c r="H8773" s="5">
        <v>26.508100</v>
      </c>
    </row>
    <row r="8774" spans="1:9">
      <c r="A8774" s="22" t="str">
        <f>HYPERLINK("https://app.vivvix.com/360/KMI/IntelliDrive/ApplUI/Pages/CreativePages/CustomReportCreativeDetail.aspx?App=23&amp;ReportView=4&amp;Qid=1711279&amp;Row=8766&amp;Col=1","No Title Assigned - #15270779938")</f>
        <v/>
      </c>
      <c r="B8774" s="0" t="s">
        <v>11785</v>
      </c>
      <c r="C8774" s="0" t="s">
        <v>11786</v>
      </c>
      <c r="D8774" s="0" t="s">
        <v>11786</v>
      </c>
      <c r="E8774" s="0" t="inlineStr">
        <is>
          <t xml:space="preserve">Mazda</t>
        </is>
      </c>
      <c r="F8774" s="0" t="s">
        <v>13</v>
      </c>
      <c r="G8774" s="0" t="s">
        <v>49</v>
      </c>
      <c r="H8774" s="5">
        <v>828.998200</v>
      </c>
    </row>
    <row r="8775" spans="1:9">
      <c r="A8775" s="22" t="str">
        <f>HYPERLINK("https://app.vivvix.com/360/KMI/IntelliDrive/ApplUI/Pages/CreativePages/CustomReportCreativeDetail.aspx?App=23&amp;ReportView=4&amp;Qid=1711279&amp;Row=8767&amp;Col=1","No Title Assigned - #15270779940")</f>
        <v/>
      </c>
      <c r="B8775" s="0" t="s">
        <v>11787</v>
      </c>
      <c r="C8775" s="0" t="s">
        <v>11788</v>
      </c>
      <c r="D8775" s="0" t="s">
        <v>11788</v>
      </c>
      <c r="E8775" s="0" t="inlineStr">
        <is>
          <t xml:space="preserve">Mazda</t>
        </is>
      </c>
      <c r="F8775" s="0" t="inlineStr">
        <is>
          <t xml:space="preserve">Mazda</t>
        </is>
      </c>
      <c r="G8775" s="0" t="s">
        <v>210</v>
      </c>
      <c r="H8775" s="5">
        <v>9696.703000</v>
      </c>
    </row>
    <row r="8776" spans="1:9">
      <c r="A8776" s="22" t="str">
        <f>HYPERLINK("https://app.vivvix.com/360/KMI/IntelliDrive/ApplUI/Pages/CreativePages/CustomReportCreativeDetail.aspx?App=23&amp;ReportView=4&amp;Qid=1711279&amp;Row=8768&amp;Col=1","No Title Assigned - #15270780016")</f>
        <v/>
      </c>
      <c r="B8776" s="0" t="s">
        <v>11789</v>
      </c>
      <c r="C8776" s="0" t="s">
        <v>11790</v>
      </c>
      <c r="D8776" s="0" t="s">
        <v>11790</v>
      </c>
      <c r="E8776" s="0" t="inlineStr">
        <is>
          <t xml:space="preserve">Mazda</t>
        </is>
      </c>
      <c r="F8776" s="0" t="s">
        <v>13</v>
      </c>
      <c r="G8776" s="0" t="s">
        <v>49</v>
      </c>
      <c r="H8776" s="5">
        <v>154.360800</v>
      </c>
    </row>
    <row r="8777" spans="1:9">
      <c r="A8777" s="22" t="str">
        <f>HYPERLINK("https://app.vivvix.com/360/KMI/IntelliDrive/ApplUI/Pages/CreativePages/CustomReportCreativeDetail.aspx?App=23&amp;ReportView=4&amp;Qid=1711279&amp;Row=8769&amp;Col=1","No Title Assigned - #15270780105")</f>
        <v/>
      </c>
      <c r="B8777" s="0" t="s">
        <v>11791</v>
      </c>
      <c r="C8777" s="0" t="s">
        <v>11792</v>
      </c>
      <c r="D8777" s="0" t="s">
        <v>9962</v>
      </c>
      <c r="E8777" s="0" t="inlineStr">
        <is>
          <t xml:space="preserve">Mazda</t>
        </is>
      </c>
      <c r="F8777" s="0" t="s">
        <v>13</v>
      </c>
      <c r="G8777" s="0" t="s">
        <v>49</v>
      </c>
      <c r="H8777" s="5">
        <v>142.184100</v>
      </c>
    </row>
    <row r="8778" spans="1:9">
      <c r="A8778" s="22" t="str">
        <f>HYPERLINK("https://app.vivvix.com/360/KMI/IntelliDrive/ApplUI/Pages/CreativePages/CustomReportCreativeDetail.aspx?App=23&amp;ReportView=4&amp;Qid=1711279&amp;Row=8770&amp;Col=1","No Title Assigned - #15270780107")</f>
        <v/>
      </c>
      <c r="B8778" s="0" t="s">
        <v>11793</v>
      </c>
      <c r="C8778" s="0" t="s">
        <v>11794</v>
      </c>
      <c r="D8778" s="0" t="s">
        <v>11794</v>
      </c>
      <c r="E8778" s="0" t="inlineStr">
        <is>
          <t xml:space="preserve">Mazda</t>
        </is>
      </c>
      <c r="F8778" s="0" t="s">
        <v>13</v>
      </c>
      <c r="G8778" s="0" t="s">
        <v>49</v>
      </c>
      <c r="H8778" s="5">
        <v>4523.039500</v>
      </c>
    </row>
    <row r="8779" spans="1:9">
      <c r="A8779" s="22" t="str">
        <f>HYPERLINK("https://app.vivvix.com/360/KMI/IntelliDrive/ApplUI/Pages/CreativePages/CustomReportCreativeDetail.aspx?App=23&amp;ReportView=4&amp;Qid=1711279&amp;Row=8771&amp;Col=1","No Title Assigned - #15270780107")</f>
        <v/>
      </c>
      <c r="B8779" s="0" t="s">
        <v>11793</v>
      </c>
      <c r="E8779" s="0" t="inlineStr">
        <is>
          <t xml:space="preserve">Mazda</t>
        </is>
      </c>
      <c r="F8779" s="0" t="s">
        <v>13</v>
      </c>
      <c r="G8779" s="0" t="s">
        <v>49</v>
      </c>
      <c r="H8779" s="5">
        <v>11485.732400</v>
      </c>
    </row>
    <row r="8780" spans="1:9">
      <c r="A8780" s="22" t="str">
        <f>HYPERLINK("https://app.vivvix.com/360/KMI/IntelliDrive/ApplUI/Pages/CreativePages/CustomReportCreativeDetail.aspx?App=23&amp;ReportView=4&amp;Qid=1711279&amp;Row=8772&amp;Col=1","No Title Assigned - #15270780181")</f>
        <v/>
      </c>
      <c r="B8780" s="0" t="s">
        <v>11795</v>
      </c>
      <c r="E8780" s="0" t="inlineStr">
        <is>
          <t xml:space="preserve">Mazda</t>
        </is>
      </c>
      <c r="F8780" s="0" t="inlineStr">
        <is>
          <t xml:space="preserve">Mazda</t>
        </is>
      </c>
      <c r="G8780" s="0" t="s">
        <v>171</v>
      </c>
      <c r="H8780" s="5">
        <v>40.564200</v>
      </c>
    </row>
    <row r="8781" spans="1:9">
      <c r="A8781" s="22" t="str">
        <f>HYPERLINK("https://app.vivvix.com/360/KMI/IntelliDrive/ApplUI/Pages/CreativePages/CustomReportCreativeDetail.aspx?App=23&amp;ReportView=4&amp;Qid=1711279&amp;Row=8773&amp;Col=1","No Title Assigned - #15270780201")</f>
        <v/>
      </c>
      <c r="B8781" s="0" t="s">
        <v>11796</v>
      </c>
      <c r="C8781" s="0" t="s">
        <v>11797</v>
      </c>
      <c r="D8781" s="0" t="s">
        <v>11797</v>
      </c>
      <c r="E8781" s="0" t="inlineStr">
        <is>
          <t xml:space="preserve">Mazda</t>
        </is>
      </c>
      <c r="F8781" s="0" t="s">
        <v>13</v>
      </c>
      <c r="G8781" s="0" t="s">
        <v>49</v>
      </c>
      <c r="H8781" s="5">
        <v>160.926600</v>
      </c>
    </row>
    <row r="8782" spans="1:9">
      <c r="A8782" s="22" t="str">
        <f>HYPERLINK("https://app.vivvix.com/360/KMI/IntelliDrive/ApplUI/Pages/CreativePages/CustomReportCreativeDetail.aspx?App=23&amp;ReportView=4&amp;Qid=1711279&amp;Row=8774&amp;Col=1","No Title Assigned - #15270780284")</f>
        <v/>
      </c>
      <c r="B8782" s="0" t="s">
        <v>11798</v>
      </c>
      <c r="C8782" s="0" t="s">
        <v>11799</v>
      </c>
      <c r="D8782" s="0" t="s">
        <v>11799</v>
      </c>
      <c r="E8782" s="0" t="inlineStr">
        <is>
          <t xml:space="preserve">Mazda</t>
        </is>
      </c>
      <c r="F8782" s="0" t="inlineStr">
        <is>
          <t xml:space="preserve">Mazda</t>
        </is>
      </c>
      <c r="G8782" s="0" t="s">
        <v>210</v>
      </c>
      <c r="H8782" s="5">
        <v>17347.509200</v>
      </c>
    </row>
    <row r="8783" spans="1:9">
      <c r="A8783" s="22" t="str">
        <f>HYPERLINK("https://app.vivvix.com/360/KMI/IntelliDrive/ApplUI/Pages/CreativePages/CustomReportCreativeDetail.aspx?App=23&amp;ReportView=4&amp;Qid=1711279&amp;Row=8775&amp;Col=1","No Title Assigned - #15270780383")</f>
        <v/>
      </c>
      <c r="B8783" s="0" t="s">
        <v>11800</v>
      </c>
      <c r="C8783" s="0" t="s">
        <v>11801</v>
      </c>
      <c r="D8783" s="0" t="s">
        <v>11801</v>
      </c>
      <c r="E8783" s="0" t="inlineStr">
        <is>
          <t xml:space="preserve">Mazda</t>
        </is>
      </c>
      <c r="F8783" s="0" t="s">
        <v>13</v>
      </c>
      <c r="G8783" s="0" t="s">
        <v>49</v>
      </c>
      <c r="H8783" s="5">
        <v>141.066100</v>
      </c>
    </row>
    <row r="8784" spans="1:9">
      <c r="A8784" s="22" t="str">
        <f>HYPERLINK("https://app.vivvix.com/360/KMI/IntelliDrive/ApplUI/Pages/CreativePages/CustomReportCreativeDetail.aspx?App=23&amp;ReportView=4&amp;Qid=1711279&amp;Row=8776&amp;Col=1","No Title Assigned - #15270780435")</f>
        <v/>
      </c>
      <c r="B8784" s="0" t="s">
        <v>11802</v>
      </c>
      <c r="C8784" s="0" t="s">
        <v>11803</v>
      </c>
      <c r="D8784" s="0" t="s">
        <v>11803</v>
      </c>
      <c r="E8784" s="0" t="inlineStr">
        <is>
          <t xml:space="preserve">Mazda</t>
        </is>
      </c>
      <c r="F8784" s="0" t="s">
        <v>13</v>
      </c>
      <c r="G8784" s="0" t="s">
        <v>49</v>
      </c>
      <c r="H8784" s="5">
        <v>544.655400</v>
      </c>
    </row>
    <row r="8785" spans="1:9">
      <c r="A8785" s="22" t="str">
        <f>HYPERLINK("https://app.vivvix.com/360/KMI/IntelliDrive/ApplUI/Pages/CreativePages/CustomReportCreativeDetail.aspx?App=23&amp;ReportView=4&amp;Qid=1711279&amp;Row=8777&amp;Col=1","No Title Assigned - #15270780522")</f>
        <v/>
      </c>
      <c r="B8785" s="0" t="s">
        <v>11804</v>
      </c>
      <c r="C8785" s="0" t="s">
        <v>11805</v>
      </c>
      <c r="D8785" s="0" t="s">
        <v>11805</v>
      </c>
      <c r="E8785" s="0" t="inlineStr">
        <is>
          <t xml:space="preserve">Mazda</t>
        </is>
      </c>
      <c r="F8785" s="0" t="s">
        <v>13</v>
      </c>
      <c r="G8785" s="0" t="s">
        <v>49</v>
      </c>
      <c r="H8785" s="5">
        <v>503.247900</v>
      </c>
    </row>
    <row r="8786" spans="1:9">
      <c r="A8786" s="22" t="str">
        <f>HYPERLINK("https://app.vivvix.com/360/KMI/IntelliDrive/ApplUI/Pages/CreativePages/CustomReportCreativeDetail.aspx?App=23&amp;ReportView=4&amp;Qid=1711279&amp;Row=8778&amp;Col=1","No Title Assigned - #15270780567")</f>
        <v/>
      </c>
      <c r="B8786" s="0" t="s">
        <v>11806</v>
      </c>
      <c r="C8786" s="0" t="s">
        <v>11807</v>
      </c>
      <c r="D8786" s="0" t="s">
        <v>8506</v>
      </c>
      <c r="E8786" s="0" t="inlineStr">
        <is>
          <t xml:space="preserve">Mazda</t>
        </is>
      </c>
      <c r="F8786" s="0" t="s">
        <v>13</v>
      </c>
      <c r="G8786" s="0" t="s">
        <v>49</v>
      </c>
      <c r="H8786" s="5">
        <v>66.963200</v>
      </c>
    </row>
    <row r="8787" spans="1:9">
      <c r="A8787" s="22" t="str">
        <f>HYPERLINK("https://app.vivvix.com/360/KMI/IntelliDrive/ApplUI/Pages/CreativePages/CustomReportCreativeDetail.aspx?App=23&amp;ReportView=4&amp;Qid=1711279&amp;Row=8779&amp;Col=1","No Title Assigned - #15270780595")</f>
        <v/>
      </c>
      <c r="B8787" s="0" t="s">
        <v>11808</v>
      </c>
      <c r="C8787" s="0" t="s">
        <v>11809</v>
      </c>
      <c r="D8787" s="0" t="s">
        <v>11809</v>
      </c>
      <c r="E8787" s="0" t="inlineStr">
        <is>
          <t xml:space="preserve">Mazda</t>
        </is>
      </c>
      <c r="F8787" s="0" t="s">
        <v>13</v>
      </c>
      <c r="G8787" s="0" t="s">
        <v>49</v>
      </c>
      <c r="H8787" s="5">
        <v>544.135100</v>
      </c>
    </row>
    <row r="8788" spans="1:9">
      <c r="A8788" s="22" t="str">
        <f>HYPERLINK("https://app.vivvix.com/360/KMI/IntelliDrive/ApplUI/Pages/CreativePages/CustomReportCreativeDetail.aspx?App=23&amp;ReportView=4&amp;Qid=1711279&amp;Row=8780&amp;Col=1","No Title Assigned - #15270780649")</f>
        <v/>
      </c>
      <c r="B8788" s="0" t="s">
        <v>11810</v>
      </c>
      <c r="C8788" s="0" t="s">
        <v>11811</v>
      </c>
      <c r="D8788" s="0" t="s">
        <v>11811</v>
      </c>
      <c r="E8788" s="0" t="inlineStr">
        <is>
          <t xml:space="preserve">Mazda</t>
        </is>
      </c>
      <c r="F8788" s="0" t="s">
        <v>13</v>
      </c>
      <c r="G8788" s="0" t="s">
        <v>49</v>
      </c>
      <c r="H8788" s="5">
        <v>48.958400</v>
      </c>
    </row>
    <row r="8789" spans="1:9">
      <c r="A8789" s="22" t="str">
        <f>HYPERLINK("https://app.vivvix.com/360/KMI/IntelliDrive/ApplUI/Pages/CreativePages/CustomReportCreativeDetail.aspx?App=23&amp;ReportView=4&amp;Qid=1711279&amp;Row=8781&amp;Col=1","No Title Assigned - #15270780669")</f>
        <v/>
      </c>
      <c r="B8789" s="0" t="s">
        <v>11812</v>
      </c>
      <c r="C8789" s="0" t="s">
        <v>11813</v>
      </c>
      <c r="D8789" s="0" t="s">
        <v>11813</v>
      </c>
      <c r="E8789" s="0" t="inlineStr">
        <is>
          <t xml:space="preserve">Mazda</t>
        </is>
      </c>
      <c r="F8789" s="0" t="s">
        <v>13</v>
      </c>
      <c r="G8789" s="0" t="s">
        <v>49</v>
      </c>
      <c r="H8789" s="5">
        <v>42.719800</v>
      </c>
    </row>
    <row r="8790" spans="1:9">
      <c r="A8790" s="22" t="str">
        <f>HYPERLINK("https://app.vivvix.com/360/KMI/IntelliDrive/ApplUI/Pages/CreativePages/CustomReportCreativeDetail.aspx?App=23&amp;ReportView=4&amp;Qid=1711279&amp;Row=8782&amp;Col=1","No Title Assigned - #15270780670")</f>
        <v/>
      </c>
      <c r="B8790" s="0" t="s">
        <v>11814</v>
      </c>
      <c r="C8790" s="0" t="s">
        <v>11560</v>
      </c>
      <c r="D8790" s="0" t="s">
        <v>11560</v>
      </c>
      <c r="E8790" s="0" t="inlineStr">
        <is>
          <t xml:space="preserve">Mazda</t>
        </is>
      </c>
      <c r="F8790" s="0" t="s">
        <v>13</v>
      </c>
      <c r="G8790" s="0" t="s">
        <v>49</v>
      </c>
      <c r="H8790" s="5">
        <v>1210.434000</v>
      </c>
    </row>
    <row r="8791" spans="1:9">
      <c r="A8791" s="22" t="str">
        <f>HYPERLINK("https://app.vivvix.com/360/KMI/IntelliDrive/ApplUI/Pages/CreativePages/CustomReportCreativeDetail.aspx?App=23&amp;ReportView=4&amp;Qid=1711279&amp;Row=8783&amp;Col=1","No Title Assigned - #15270780670")</f>
        <v/>
      </c>
      <c r="B8791" s="0" t="s">
        <v>11814</v>
      </c>
      <c r="E8791" s="0" t="inlineStr">
        <is>
          <t xml:space="preserve">Mazda</t>
        </is>
      </c>
      <c r="F8791" s="0" t="s">
        <v>13</v>
      </c>
      <c r="G8791" s="0" t="s">
        <v>49</v>
      </c>
      <c r="H8791" s="5">
        <v>52.258700</v>
      </c>
    </row>
    <row r="8792" spans="1:9">
      <c r="A8792" s="22" t="str">
        <f>HYPERLINK("https://app.vivvix.com/360/KMI/IntelliDrive/ApplUI/Pages/CreativePages/CustomReportCreativeDetail.aspx?App=23&amp;ReportView=4&amp;Qid=1711279&amp;Row=8784&amp;Col=1","No Title Assigned - #15270780675")</f>
        <v/>
      </c>
      <c r="B8792" s="0" t="s">
        <v>11815</v>
      </c>
      <c r="E8792" s="0" t="inlineStr">
        <is>
          <t xml:space="preserve">Mazda</t>
        </is>
      </c>
      <c r="F8792" s="0" t="s">
        <v>13</v>
      </c>
      <c r="G8792" s="0" t="s">
        <v>49</v>
      </c>
      <c r="H8792" s="5">
        <v>9283.894600</v>
      </c>
    </row>
    <row r="8793" spans="1:9">
      <c r="A8793" s="22" t="str">
        <f>HYPERLINK("https://app.vivvix.com/360/KMI/IntelliDrive/ApplUI/Pages/CreativePages/CustomReportCreativeDetail.aspx?App=23&amp;ReportView=4&amp;Qid=1711279&amp;Row=8785&amp;Col=1","No Title Assigned - #15270780675")</f>
        <v/>
      </c>
      <c r="B8793" s="0" t="s">
        <v>11815</v>
      </c>
      <c r="C8793" s="0" t="s">
        <v>11816</v>
      </c>
      <c r="D8793" s="0" t="s">
        <v>8912</v>
      </c>
      <c r="E8793" s="0" t="inlineStr">
        <is>
          <t xml:space="preserve">Mazda</t>
        </is>
      </c>
      <c r="F8793" s="0" t="s">
        <v>13</v>
      </c>
      <c r="G8793" s="0" t="s">
        <v>49</v>
      </c>
      <c r="H8793" s="5">
        <v>1092.008200</v>
      </c>
    </row>
    <row r="8794" spans="1:9">
      <c r="A8794" s="22" t="str">
        <f>HYPERLINK("https://app.vivvix.com/360/KMI/IntelliDrive/ApplUI/Pages/CreativePages/CustomReportCreativeDetail.aspx?App=23&amp;ReportView=4&amp;Qid=1711279&amp;Row=8786&amp;Col=1","No Title Assigned - #15270780769")</f>
        <v/>
      </c>
      <c r="B8794" s="0" t="s">
        <v>11817</v>
      </c>
      <c r="C8794" s="0" t="s">
        <v>11818</v>
      </c>
      <c r="D8794" s="0" t="s">
        <v>11818</v>
      </c>
      <c r="E8794" s="0" t="inlineStr">
        <is>
          <t xml:space="preserve">Mazda</t>
        </is>
      </c>
      <c r="F8794" s="0" t="s">
        <v>13</v>
      </c>
      <c r="G8794" s="0" t="s">
        <v>49</v>
      </c>
      <c r="H8794" s="5">
        <v>207.763000</v>
      </c>
    </row>
    <row r="8795" spans="1:9">
      <c r="A8795" s="22" t="str">
        <f>HYPERLINK("https://app.vivvix.com/360/KMI/IntelliDrive/ApplUI/Pages/CreativePages/CustomReportCreativeDetail.aspx?App=23&amp;ReportView=4&amp;Qid=1711279&amp;Row=8787&amp;Col=1","No Title Assigned - #15270780835")</f>
        <v/>
      </c>
      <c r="B8795" s="0" t="s">
        <v>11819</v>
      </c>
      <c r="C8795" s="0" t="s">
        <v>11820</v>
      </c>
      <c r="D8795" s="0" t="s">
        <v>10728</v>
      </c>
      <c r="E8795" s="0" t="inlineStr">
        <is>
          <t xml:space="preserve">Mazda</t>
        </is>
      </c>
      <c r="F8795" s="0" t="s">
        <v>13</v>
      </c>
      <c r="G8795" s="0" t="s">
        <v>49</v>
      </c>
      <c r="H8795" s="5">
        <v>66.192800</v>
      </c>
    </row>
    <row r="8796" spans="1:9">
      <c r="A8796" s="22" t="str">
        <f>HYPERLINK("https://app.vivvix.com/360/KMI/IntelliDrive/ApplUI/Pages/CreativePages/CustomReportCreativeDetail.aspx?App=23&amp;ReportView=4&amp;Qid=1711279&amp;Row=8788&amp;Col=1","No Title Assigned - #15270780857")</f>
        <v/>
      </c>
      <c r="B8796" s="0" t="s">
        <v>11821</v>
      </c>
      <c r="E8796" s="0" t="inlineStr">
        <is>
          <t xml:space="preserve">Mazda</t>
        </is>
      </c>
      <c r="F8796" s="0" t="inlineStr">
        <is>
          <t xml:space="preserve">Mazda</t>
        </is>
      </c>
      <c r="G8796" s="0" t="s">
        <v>210</v>
      </c>
      <c r="H8796" s="5">
        <v>423.516300</v>
      </c>
    </row>
    <row r="8797" spans="1:9">
      <c r="A8797" s="22" t="str">
        <f>HYPERLINK("https://app.vivvix.com/360/KMI/IntelliDrive/ApplUI/Pages/CreativePages/CustomReportCreativeDetail.aspx?App=23&amp;ReportView=4&amp;Qid=1711279&amp;Row=8789&amp;Col=1","No Title Assigned - #15270780857")</f>
        <v/>
      </c>
      <c r="B8797" s="0" t="s">
        <v>11821</v>
      </c>
      <c r="E8797" s="0" t="inlineStr">
        <is>
          <t xml:space="preserve">Mazda</t>
        </is>
      </c>
      <c r="F8797" s="0" t="inlineStr">
        <is>
          <t xml:space="preserve">Mazda</t>
        </is>
      </c>
      <c r="G8797" s="0" t="s">
        <v>210</v>
      </c>
      <c r="H8797" s="5">
        <v>935.154300</v>
      </c>
    </row>
    <row r="8798" spans="1:9">
      <c r="A8798" s="22" t="str">
        <f>HYPERLINK("https://app.vivvix.com/360/KMI/IntelliDrive/ApplUI/Pages/CreativePages/CustomReportCreativeDetail.aspx?App=23&amp;ReportView=4&amp;Qid=1711279&amp;Row=8790&amp;Col=1","No Title Assigned - #15270781064")</f>
        <v/>
      </c>
      <c r="B8798" s="0" t="s">
        <v>11822</v>
      </c>
      <c r="E8798" s="0" t="inlineStr">
        <is>
          <t xml:space="preserve">Mazda</t>
        </is>
      </c>
      <c r="F8798" s="0" t="inlineStr">
        <is>
          <t xml:space="preserve">Mazda</t>
        </is>
      </c>
      <c r="G8798" s="0" t="s">
        <v>171</v>
      </c>
      <c r="H8798" s="5">
        <v>71.377300</v>
      </c>
    </row>
    <row r="8799" spans="1:9">
      <c r="A8799" s="22" t="str">
        <f>HYPERLINK("https://app.vivvix.com/360/KMI/IntelliDrive/ApplUI/Pages/CreativePages/CustomReportCreativeDetail.aspx?App=23&amp;ReportView=4&amp;Qid=1711279&amp;Row=8791&amp;Col=1","No Title Assigned - #15270781334")</f>
        <v/>
      </c>
      <c r="B8799" s="0" t="s">
        <v>11823</v>
      </c>
      <c r="E8799" s="0" t="inlineStr">
        <is>
          <t xml:space="preserve">Mazda</t>
        </is>
      </c>
      <c r="F8799" s="0" t="inlineStr">
        <is>
          <t xml:space="preserve">Mazda</t>
        </is>
      </c>
      <c r="G8799" s="0" t="s">
        <v>171</v>
      </c>
      <c r="H8799" s="5">
        <v>0.952900</v>
      </c>
    </row>
    <row r="8800" spans="1:9">
      <c r="A8800" s="22" t="str">
        <f>HYPERLINK("https://app.vivvix.com/360/KMI/IntelliDrive/ApplUI/Pages/CreativePages/CustomReportCreativeDetail.aspx?App=23&amp;ReportView=4&amp;Qid=1711279&amp;Row=8792&amp;Col=1","No Title Assigned - #15270781396")</f>
        <v/>
      </c>
      <c r="B8800" s="0" t="s">
        <v>11824</v>
      </c>
      <c r="C8800" s="0" t="s">
        <v>11825</v>
      </c>
      <c r="D8800" s="0" t="s">
        <v>11825</v>
      </c>
      <c r="E8800" s="0" t="inlineStr">
        <is>
          <t xml:space="preserve">Mazda</t>
        </is>
      </c>
      <c r="F8800" s="0" t="s">
        <v>13</v>
      </c>
      <c r="G8800" s="0" t="s">
        <v>49</v>
      </c>
      <c r="H8800" s="5">
        <v>105.675000</v>
      </c>
    </row>
    <row r="8801" spans="1:9">
      <c r="A8801" s="22" t="str">
        <f>HYPERLINK("https://app.vivvix.com/360/KMI/IntelliDrive/ApplUI/Pages/CreativePages/CustomReportCreativeDetail.aspx?App=23&amp;ReportView=4&amp;Qid=1711279&amp;Row=8793&amp;Col=1","No Title Assigned - #15270781498")</f>
        <v/>
      </c>
      <c r="B8801" s="0" t="s">
        <v>11826</v>
      </c>
      <c r="C8801" s="0" t="s">
        <v>11827</v>
      </c>
      <c r="D8801" s="0" t="s">
        <v>11827</v>
      </c>
      <c r="E8801" s="0" t="inlineStr">
        <is>
          <t xml:space="preserve">Mazda</t>
        </is>
      </c>
      <c r="F8801" s="0" t="s">
        <v>13</v>
      </c>
      <c r="G8801" s="0" t="s">
        <v>49</v>
      </c>
      <c r="H8801" s="5">
        <v>20.256400</v>
      </c>
    </row>
    <row r="8802" spans="1:9">
      <c r="A8802" s="22" t="str">
        <f>HYPERLINK("https://app.vivvix.com/360/KMI/IntelliDrive/ApplUI/Pages/CreativePages/CustomReportCreativeDetail.aspx?App=23&amp;ReportView=4&amp;Qid=1711279&amp;Row=8794&amp;Col=1","No Title Assigned - #15270781607")</f>
        <v/>
      </c>
      <c r="B8802" s="0" t="s">
        <v>11828</v>
      </c>
      <c r="C8802" s="0" t="s">
        <v>11829</v>
      </c>
      <c r="D8802" s="0" t="s">
        <v>11829</v>
      </c>
      <c r="E8802" s="0" t="inlineStr">
        <is>
          <t xml:space="preserve">Mazda</t>
        </is>
      </c>
      <c r="F8802" s="0" t="s">
        <v>13</v>
      </c>
      <c r="G8802" s="0" t="s">
        <v>49</v>
      </c>
      <c r="H8802" s="5">
        <v>113.520100</v>
      </c>
    </row>
    <row r="8803" spans="1:9">
      <c r="A8803" s="22" t="str">
        <f>HYPERLINK("https://app.vivvix.com/360/KMI/IntelliDrive/ApplUI/Pages/CreativePages/CustomReportCreativeDetail.aspx?App=23&amp;ReportView=4&amp;Qid=1711279&amp;Row=8795&amp;Col=1","No Title Assigned - #15270781621")</f>
        <v/>
      </c>
      <c r="B8803" s="0" t="s">
        <v>11830</v>
      </c>
      <c r="C8803" s="0" t="s">
        <v>11831</v>
      </c>
      <c r="D8803" s="0" t="s">
        <v>11831</v>
      </c>
      <c r="E8803" s="0" t="inlineStr">
        <is>
          <t xml:space="preserve">Mazda</t>
        </is>
      </c>
      <c r="F8803" s="0" t="s">
        <v>13</v>
      </c>
      <c r="G8803" s="0" t="s">
        <v>49</v>
      </c>
      <c r="H8803" s="5">
        <v>1098.913200</v>
      </c>
    </row>
    <row r="8804" spans="1:9">
      <c r="A8804" s="22" t="str">
        <f>HYPERLINK("https://app.vivvix.com/360/KMI/IntelliDrive/ApplUI/Pages/CreativePages/CustomReportCreativeDetail.aspx?App=23&amp;ReportView=4&amp;Qid=1711279&amp;Row=8796&amp;Col=1","No Title Assigned - #15270781750")</f>
        <v/>
      </c>
      <c r="B8804" s="0" t="s">
        <v>11832</v>
      </c>
      <c r="C8804" s="0" t="s">
        <v>11833</v>
      </c>
      <c r="D8804" s="0" t="s">
        <v>11833</v>
      </c>
      <c r="E8804" s="0" t="inlineStr">
        <is>
          <t xml:space="preserve">Mazda</t>
        </is>
      </c>
      <c r="F8804" s="0" t="s">
        <v>13</v>
      </c>
      <c r="G8804" s="0" t="s">
        <v>49</v>
      </c>
      <c r="H8804" s="5">
        <v>83.277300</v>
      </c>
    </row>
    <row r="8805" spans="1:9">
      <c r="A8805" s="22" t="str">
        <f>HYPERLINK("https://app.vivvix.com/360/KMI/IntelliDrive/ApplUI/Pages/CreativePages/CustomReportCreativeDetail.aspx?App=23&amp;ReportView=4&amp;Qid=1711279&amp;Row=8797&amp;Col=1","No Title Assigned - #15270781900")</f>
        <v/>
      </c>
      <c r="B8805" s="0" t="s">
        <v>11834</v>
      </c>
      <c r="C8805" s="0" t="s">
        <v>11835</v>
      </c>
      <c r="D8805" s="0" t="s">
        <v>8588</v>
      </c>
      <c r="E8805" s="0" t="inlineStr">
        <is>
          <t xml:space="preserve">Mazda</t>
        </is>
      </c>
      <c r="F8805" s="0" t="s">
        <v>13</v>
      </c>
      <c r="G8805" s="0" t="s">
        <v>49</v>
      </c>
      <c r="H8805" s="5">
        <v>98.603600</v>
      </c>
    </row>
    <row r="8806" spans="1:9">
      <c r="A8806" s="22" t="str">
        <f>HYPERLINK("https://app.vivvix.com/360/KMI/IntelliDrive/ApplUI/Pages/CreativePages/CustomReportCreativeDetail.aspx?App=23&amp;ReportView=4&amp;Qid=1711279&amp;Row=8798&amp;Col=1","No Title Assigned - #15270781923")</f>
        <v/>
      </c>
      <c r="B8806" s="0" t="s">
        <v>11836</v>
      </c>
      <c r="C8806" s="0" t="s">
        <v>11837</v>
      </c>
      <c r="D8806" s="0" t="s">
        <v>11837</v>
      </c>
      <c r="E8806" s="0" t="inlineStr">
        <is>
          <t xml:space="preserve">Mazda</t>
        </is>
      </c>
      <c r="F8806" s="0" t="s">
        <v>13</v>
      </c>
      <c r="G8806" s="0" t="s">
        <v>49</v>
      </c>
      <c r="H8806" s="5">
        <v>160.926600</v>
      </c>
    </row>
    <row r="8807" spans="1:9">
      <c r="A8807" s="22" t="str">
        <f>HYPERLINK("https://app.vivvix.com/360/KMI/IntelliDrive/ApplUI/Pages/CreativePages/CustomReportCreativeDetail.aspx?App=23&amp;ReportView=4&amp;Qid=1711279&amp;Row=8799&amp;Col=1","No Title Assigned - #15270782025")</f>
        <v/>
      </c>
      <c r="B8807" s="0" t="s">
        <v>11838</v>
      </c>
      <c r="C8807" s="0" t="s">
        <v>11839</v>
      </c>
      <c r="D8807" s="0" t="s">
        <v>11839</v>
      </c>
      <c r="E8807" s="0" t="inlineStr">
        <is>
          <t xml:space="preserve">Mazda</t>
        </is>
      </c>
      <c r="F8807" s="0" t="s">
        <v>13</v>
      </c>
      <c r="G8807" s="0" t="s">
        <v>49</v>
      </c>
      <c r="H8807" s="5">
        <v>143.151500</v>
      </c>
    </row>
    <row r="8808" spans="1:9">
      <c r="A8808" s="22" t="str">
        <f>HYPERLINK("https://app.vivvix.com/360/KMI/IntelliDrive/ApplUI/Pages/CreativePages/CustomReportCreativeDetail.aspx?App=23&amp;ReportView=4&amp;Qid=1711279&amp;Row=8800&amp;Col=1","No Title Assigned - #15270782040")</f>
        <v/>
      </c>
      <c r="B8808" s="0" t="s">
        <v>11840</v>
      </c>
      <c r="C8808" s="0" t="s">
        <v>11841</v>
      </c>
      <c r="D8808" s="0" t="s">
        <v>11841</v>
      </c>
      <c r="E8808" s="0" t="inlineStr">
        <is>
          <t xml:space="preserve">Mazda</t>
        </is>
      </c>
      <c r="F8808" s="0" t="s">
        <v>13</v>
      </c>
      <c r="G8808" s="0" t="s">
        <v>49</v>
      </c>
      <c r="H8808" s="5">
        <v>173.319900</v>
      </c>
    </row>
    <row r="8809" spans="1:9">
      <c r="A8809" s="22" t="str">
        <f>HYPERLINK("https://app.vivvix.com/360/KMI/IntelliDrive/ApplUI/Pages/CreativePages/CustomReportCreativeDetail.aspx?App=23&amp;ReportView=4&amp;Qid=1711279&amp;Row=8801&amp;Col=1","No Title Assigned - #15270782054")</f>
        <v/>
      </c>
      <c r="B8809" s="0" t="s">
        <v>11842</v>
      </c>
      <c r="C8809" s="0" t="s">
        <v>11843</v>
      </c>
      <c r="D8809" s="0" t="s">
        <v>11843</v>
      </c>
      <c r="E8809" s="0" t="inlineStr">
        <is>
          <t xml:space="preserve">Mazda</t>
        </is>
      </c>
      <c r="F8809" s="0" t="s">
        <v>13</v>
      </c>
      <c r="G8809" s="0" t="s">
        <v>49</v>
      </c>
      <c r="H8809" s="5">
        <v>56.423400</v>
      </c>
    </row>
    <row r="8810" spans="1:9">
      <c r="A8810" s="22" t="str">
        <f>HYPERLINK("https://app.vivvix.com/360/KMI/IntelliDrive/ApplUI/Pages/CreativePages/CustomReportCreativeDetail.aspx?App=23&amp;ReportView=4&amp;Qid=1711279&amp;Row=8802&amp;Col=1","No Title Assigned - #15270782226")</f>
        <v/>
      </c>
      <c r="B8810" s="0" t="s">
        <v>11844</v>
      </c>
      <c r="C8810" s="0" t="s">
        <v>11845</v>
      </c>
      <c r="D8810" s="0" t="s">
        <v>10786</v>
      </c>
      <c r="E8810" s="0" t="inlineStr">
        <is>
          <t xml:space="preserve">Mazda</t>
        </is>
      </c>
      <c r="F8810" s="0" t="s">
        <v>28</v>
      </c>
      <c r="G8810" s="0" t="s">
        <v>29</v>
      </c>
      <c r="H8810" s="5">
        <v>21.611200</v>
      </c>
    </row>
    <row r="8811" spans="1:9">
      <c r="A8811" s="22" t="str">
        <f>HYPERLINK("https://app.vivvix.com/360/KMI/IntelliDrive/ApplUI/Pages/CreativePages/CustomReportCreativeDetail.aspx?App=23&amp;ReportView=4&amp;Qid=1711279&amp;Row=8803&amp;Col=1","No Title Assigned - #15270782412")</f>
        <v/>
      </c>
      <c r="B8811" s="0" t="s">
        <v>11846</v>
      </c>
      <c r="C8811" s="0" t="s">
        <v>11847</v>
      </c>
      <c r="D8811" s="0" t="s">
        <v>11473</v>
      </c>
      <c r="E8811" s="0" t="inlineStr">
        <is>
          <t xml:space="preserve">Mazda</t>
        </is>
      </c>
      <c r="F8811" s="0" t="s">
        <v>13</v>
      </c>
      <c r="G8811" s="0" t="s">
        <v>49</v>
      </c>
      <c r="H8811" s="5">
        <v>155.839000</v>
      </c>
    </row>
    <row r="8812" spans="1:9">
      <c r="A8812" s="22" t="str">
        <f>HYPERLINK("https://app.vivvix.com/360/KMI/IntelliDrive/ApplUI/Pages/CreativePages/CustomReportCreativeDetail.aspx?App=23&amp;ReportView=4&amp;Qid=1711279&amp;Row=8804&amp;Col=1","No Title Assigned - #15270782496")</f>
        <v/>
      </c>
      <c r="B8812" s="0" t="s">
        <v>11848</v>
      </c>
      <c r="C8812" s="0" t="s">
        <v>11849</v>
      </c>
      <c r="D8812" s="0" t="s">
        <v>4204</v>
      </c>
      <c r="E8812" s="0" t="inlineStr">
        <is>
          <t xml:space="preserve">Mazda</t>
        </is>
      </c>
      <c r="F8812" s="0" t="s">
        <v>28</v>
      </c>
      <c r="G8812" s="0" t="s">
        <v>29</v>
      </c>
      <c r="H8812" s="5">
        <v>38497.323400</v>
      </c>
    </row>
    <row r="8813" spans="1:9">
      <c r="A8813" s="22" t="str">
        <f>HYPERLINK("https://app.vivvix.com/360/KMI/IntelliDrive/ApplUI/Pages/CreativePages/CustomReportCreativeDetail.aspx?App=23&amp;ReportView=4&amp;Qid=1711279&amp;Row=8805&amp;Col=1","No Title Assigned - #15270782521")</f>
        <v/>
      </c>
      <c r="B8813" s="0" t="s">
        <v>11850</v>
      </c>
      <c r="E8813" s="0" t="inlineStr">
        <is>
          <t xml:space="preserve">Mazda</t>
        </is>
      </c>
      <c r="F8813" s="0" t="s">
        <v>13</v>
      </c>
      <c r="G8813" s="0" t="s">
        <v>49</v>
      </c>
      <c r="H8813" s="5">
        <v>192.695000</v>
      </c>
    </row>
    <row r="8814" spans="1:9">
      <c r="A8814" s="22" t="str">
        <f>HYPERLINK("https://app.vivvix.com/360/KMI/IntelliDrive/ApplUI/Pages/CreativePages/CustomReportCreativeDetail.aspx?App=23&amp;ReportView=4&amp;Qid=1711279&amp;Row=8806&amp;Col=1","No Title Assigned - #15270782521")</f>
        <v/>
      </c>
      <c r="B8814" s="0" t="s">
        <v>11850</v>
      </c>
      <c r="C8814" s="0" t="s">
        <v>11851</v>
      </c>
      <c r="D8814" s="0" t="s">
        <v>11851</v>
      </c>
      <c r="E8814" s="0" t="inlineStr">
        <is>
          <t xml:space="preserve">Mazda</t>
        </is>
      </c>
      <c r="F8814" s="0" t="s">
        <v>13</v>
      </c>
      <c r="G8814" s="0" t="s">
        <v>49</v>
      </c>
      <c r="H8814" s="5">
        <v>552.572000</v>
      </c>
    </row>
    <row r="8815" spans="1:9">
      <c r="A8815" s="22" t="str">
        <f>HYPERLINK("https://app.vivvix.com/360/KMI/IntelliDrive/ApplUI/Pages/CreativePages/CustomReportCreativeDetail.aspx?App=23&amp;ReportView=4&amp;Qid=1711279&amp;Row=8807&amp;Col=1","No Title Assigned - #15270782857")</f>
        <v/>
      </c>
      <c r="B8815" s="0" t="s">
        <v>11852</v>
      </c>
      <c r="C8815" s="0" t="s">
        <v>11853</v>
      </c>
      <c r="D8815" s="0" t="s">
        <v>11853</v>
      </c>
      <c r="E8815" s="0" t="inlineStr">
        <is>
          <t xml:space="preserve">Mazda</t>
        </is>
      </c>
      <c r="F8815" s="0" t="s">
        <v>13</v>
      </c>
      <c r="G8815" s="0" t="s">
        <v>49</v>
      </c>
      <c r="H8815" s="5">
        <v>42.655600</v>
      </c>
    </row>
    <row r="8816" spans="1:9">
      <c r="A8816" s="22" t="str">
        <f>HYPERLINK("https://app.vivvix.com/360/KMI/IntelliDrive/ApplUI/Pages/CreativePages/CustomReportCreativeDetail.aspx?App=23&amp;ReportView=4&amp;Qid=1711279&amp;Row=8808&amp;Col=1","No Title Assigned - #15270782895")</f>
        <v/>
      </c>
      <c r="B8816" s="0" t="s">
        <v>11854</v>
      </c>
      <c r="C8816" s="0" t="s">
        <v>11855</v>
      </c>
      <c r="D8816" s="0" t="s">
        <v>11855</v>
      </c>
      <c r="E8816" s="0" t="inlineStr">
        <is>
          <t xml:space="preserve">Mazda</t>
        </is>
      </c>
      <c r="F8816" s="0" t="s">
        <v>13</v>
      </c>
      <c r="G8816" s="0" t="s">
        <v>49</v>
      </c>
      <c r="H8816" s="5">
        <v>42.655600</v>
      </c>
    </row>
    <row r="8817" spans="1:9">
      <c r="A8817" s="22" t="str">
        <f>HYPERLINK("https://app.vivvix.com/360/KMI/IntelliDrive/ApplUI/Pages/CreativePages/CustomReportCreativeDetail.aspx?App=23&amp;ReportView=4&amp;Qid=1711279&amp;Row=8809&amp;Col=1","No Title Assigned - #15270783028")</f>
        <v/>
      </c>
      <c r="B8817" s="0" t="s">
        <v>11856</v>
      </c>
      <c r="E8817" s="0" t="inlineStr">
        <is>
          <t xml:space="preserve">Mazda</t>
        </is>
      </c>
      <c r="F8817" s="0" t="inlineStr">
        <is>
          <t xml:space="preserve">Mazda</t>
        </is>
      </c>
      <c r="G8817" s="0" t="s">
        <v>171</v>
      </c>
      <c r="H8817" s="5">
        <v>159.284200</v>
      </c>
    </row>
    <row r="8818" spans="1:9">
      <c r="A8818" s="22" t="str">
        <f>HYPERLINK("https://app.vivvix.com/360/KMI/IntelliDrive/ApplUI/Pages/CreativePages/CustomReportCreativeDetail.aspx?App=23&amp;ReportView=4&amp;Qid=1711279&amp;Row=8810&amp;Col=1","No Title Assigned - #15270783062")</f>
        <v/>
      </c>
      <c r="B8818" s="0" t="s">
        <v>11857</v>
      </c>
      <c r="E8818" s="0" t="inlineStr">
        <is>
          <t xml:space="preserve">Mazda</t>
        </is>
      </c>
      <c r="F8818" s="0" t="inlineStr">
        <is>
          <t xml:space="preserve">Mazda</t>
        </is>
      </c>
      <c r="G8818" s="0" t="s">
        <v>171</v>
      </c>
      <c r="H8818" s="5">
        <v>16.112700</v>
      </c>
    </row>
    <row r="8819" spans="1:9">
      <c r="A8819" s="22" t="str">
        <f>HYPERLINK("https://app.vivvix.com/360/KMI/IntelliDrive/ApplUI/Pages/CreativePages/CustomReportCreativeDetail.aspx?App=23&amp;ReportView=4&amp;Qid=1711279&amp;Row=8811&amp;Col=1","No Title Assigned - #15270783063")</f>
        <v/>
      </c>
      <c r="B8819" s="0" t="s">
        <v>11858</v>
      </c>
      <c r="E8819" s="0" t="inlineStr">
        <is>
          <t xml:space="preserve">Mazda</t>
        </is>
      </c>
      <c r="F8819" s="0" t="inlineStr">
        <is>
          <t xml:space="preserve">Mazda</t>
        </is>
      </c>
      <c r="G8819" s="0" t="s">
        <v>171</v>
      </c>
      <c r="H8819" s="5">
        <v>16.112700</v>
      </c>
    </row>
    <row r="8820" spans="1:9">
      <c r="A8820" s="22" t="str">
        <f>HYPERLINK("https://app.vivvix.com/360/KMI/IntelliDrive/ApplUI/Pages/CreativePages/CustomReportCreativeDetail.aspx?App=23&amp;ReportView=4&amp;Qid=1711279&amp;Row=8812&amp;Col=1","No Title Assigned - #15270783264")</f>
        <v/>
      </c>
      <c r="B8820" s="0" t="s">
        <v>11859</v>
      </c>
      <c r="C8820" s="0" t="s">
        <v>11860</v>
      </c>
      <c r="D8820" s="0" t="s">
        <v>4202</v>
      </c>
      <c r="E8820" s="0" t="inlineStr">
        <is>
          <t xml:space="preserve">Mazda</t>
        </is>
      </c>
      <c r="F8820" s="0" t="s">
        <v>28</v>
      </c>
      <c r="G8820" s="0" t="s">
        <v>29</v>
      </c>
      <c r="H8820" s="5">
        <v>2.663400</v>
      </c>
    </row>
    <row r="8821" spans="1:9">
      <c r="A8821" s="22" t="str">
        <f>HYPERLINK("https://app.vivvix.com/360/KMI/IntelliDrive/ApplUI/Pages/CreativePages/CustomReportCreativeDetail.aspx?App=23&amp;ReportView=4&amp;Qid=1711279&amp;Row=8813&amp;Col=1","No Title Assigned - #15270783579")</f>
        <v/>
      </c>
      <c r="B8821" s="0" t="s">
        <v>11861</v>
      </c>
      <c r="C8821" s="0" t="s">
        <v>11862</v>
      </c>
      <c r="D8821" s="0" t="s">
        <v>11862</v>
      </c>
      <c r="E8821" s="0" t="inlineStr">
        <is>
          <t xml:space="preserve">Mazda</t>
        </is>
      </c>
      <c r="F8821" s="0" t="s">
        <v>13</v>
      </c>
      <c r="G8821" s="0" t="s">
        <v>49</v>
      </c>
      <c r="H8821" s="5">
        <v>43.238600</v>
      </c>
    </row>
    <row r="8822" spans="1:9">
      <c r="A8822" s="22" t="str">
        <f>HYPERLINK("https://app.vivvix.com/360/KMI/IntelliDrive/ApplUI/Pages/CreativePages/CustomReportCreativeDetail.aspx?App=23&amp;ReportView=4&amp;Qid=1711279&amp;Row=8814&amp;Col=1","No Title Assigned - #15270783652")</f>
        <v/>
      </c>
      <c r="B8822" s="0" t="s">
        <v>11863</v>
      </c>
      <c r="C8822" s="0" t="s">
        <v>11864</v>
      </c>
      <c r="D8822" s="0" t="s">
        <v>11864</v>
      </c>
      <c r="E8822" s="0" t="inlineStr">
        <is>
          <t xml:space="preserve">Mazda</t>
        </is>
      </c>
      <c r="F8822" s="0" t="s">
        <v>13</v>
      </c>
      <c r="G8822" s="0" t="s">
        <v>49</v>
      </c>
      <c r="H8822" s="5">
        <v>887.038500</v>
      </c>
    </row>
    <row r="8823" spans="1:9">
      <c r="A8823" s="22" t="str">
        <f>HYPERLINK("https://app.vivvix.com/360/KMI/IntelliDrive/ApplUI/Pages/CreativePages/CustomReportCreativeDetail.aspx?App=23&amp;ReportView=4&amp;Qid=1711279&amp;Row=8815&amp;Col=1","No Title Assigned - #15270783750")</f>
        <v/>
      </c>
      <c r="B8823" s="0" t="s">
        <v>11865</v>
      </c>
      <c r="C8823" s="0" t="s">
        <v>11866</v>
      </c>
      <c r="D8823" s="0" t="s">
        <v>11867</v>
      </c>
      <c r="E8823" s="0" t="inlineStr">
        <is>
          <t xml:space="preserve">Mazda</t>
        </is>
      </c>
      <c r="F8823" s="0" t="inlineStr">
        <is>
          <t xml:space="preserve">Mazda</t>
        </is>
      </c>
      <c r="G8823" s="0" t="s">
        <v>210</v>
      </c>
      <c r="H8823" s="5">
        <v>416.147300</v>
      </c>
    </row>
    <row r="8824" spans="1:9">
      <c r="A8824" s="22" t="str">
        <f>HYPERLINK("https://app.vivvix.com/360/KMI/IntelliDrive/ApplUI/Pages/CreativePages/CustomReportCreativeDetail.aspx?App=23&amp;ReportView=4&amp;Qid=1711279&amp;Row=8816&amp;Col=1","No Title Assigned - #15270784533")</f>
        <v/>
      </c>
      <c r="B8824" s="0" t="s">
        <v>11868</v>
      </c>
      <c r="E8824" s="0" t="inlineStr">
        <is>
          <t xml:space="preserve">Mazda</t>
        </is>
      </c>
      <c r="F8824" s="0" t="inlineStr">
        <is>
          <t xml:space="preserve">Mazda</t>
        </is>
      </c>
      <c r="G8824" s="0" t="s">
        <v>171</v>
      </c>
      <c r="H8824" s="5">
        <v>49.487600</v>
      </c>
    </row>
    <row r="8825" spans="1:9">
      <c r="A8825" s="22" t="str">
        <f>HYPERLINK("https://app.vivvix.com/360/KMI/IntelliDrive/ApplUI/Pages/CreativePages/CustomReportCreativeDetail.aspx?App=23&amp;ReportView=4&amp;Qid=1711279&amp;Row=8817&amp;Col=1","No Title Assigned - #15270784795")</f>
        <v/>
      </c>
      <c r="B8825" s="0" t="s">
        <v>11869</v>
      </c>
      <c r="E8825" s="0" t="inlineStr">
        <is>
          <t xml:space="preserve">Mazda</t>
        </is>
      </c>
      <c r="F8825" s="0" t="inlineStr">
        <is>
          <t xml:space="preserve">Mazda</t>
        </is>
      </c>
      <c r="G8825" s="0" t="s">
        <v>171</v>
      </c>
      <c r="H8825" s="5">
        <v>185.794100</v>
      </c>
    </row>
    <row r="8826" spans="1:9">
      <c r="A8826" s="22" t="str">
        <f>HYPERLINK("https://app.vivvix.com/360/KMI/IntelliDrive/ApplUI/Pages/CreativePages/CustomReportCreativeDetail.aspx?App=23&amp;ReportView=4&amp;Qid=1711279&amp;Row=8818&amp;Col=1","No Title Assigned - #15270785179")</f>
        <v/>
      </c>
      <c r="B8826" s="0" t="s">
        <v>11870</v>
      </c>
      <c r="E8826" s="0" t="inlineStr">
        <is>
          <t xml:space="preserve">Mazda</t>
        </is>
      </c>
      <c r="F8826" s="0" t="inlineStr">
        <is>
          <t xml:space="preserve">Mazda</t>
        </is>
      </c>
      <c r="G8826" s="0" t="s">
        <v>171</v>
      </c>
      <c r="H8826" s="5">
        <v>354.959700</v>
      </c>
    </row>
    <row r="8827" spans="1:9">
      <c r="A8827" s="22" t="str">
        <f>HYPERLINK("https://app.vivvix.com/360/KMI/IntelliDrive/ApplUI/Pages/CreativePages/CustomReportCreativeDetail.aspx?App=23&amp;ReportView=4&amp;Qid=1711279&amp;Row=8819&amp;Col=1","No Title Assigned - #15270785180")</f>
        <v/>
      </c>
      <c r="B8827" s="0" t="s">
        <v>11871</v>
      </c>
      <c r="C8827" s="0" t="s">
        <v>11872</v>
      </c>
      <c r="D8827" s="0" t="s">
        <v>11872</v>
      </c>
      <c r="E8827" s="0" t="inlineStr">
        <is>
          <t xml:space="preserve">Mazda</t>
        </is>
      </c>
      <c r="F8827" s="0" t="s">
        <v>13</v>
      </c>
      <c r="G8827" s="0" t="s">
        <v>49</v>
      </c>
      <c r="H8827" s="5">
        <v>1130.965500</v>
      </c>
    </row>
    <row r="8828" spans="1:9">
      <c r="A8828" s="22" t="str">
        <f>HYPERLINK("https://app.vivvix.com/360/KMI/IntelliDrive/ApplUI/Pages/CreativePages/CustomReportCreativeDetail.aspx?App=23&amp;ReportView=4&amp;Qid=1711279&amp;Row=8820&amp;Col=1","No Title Assigned - #15270785447")</f>
        <v/>
      </c>
      <c r="B8828" s="0" t="s">
        <v>11873</v>
      </c>
      <c r="C8828" s="0" t="s">
        <v>11874</v>
      </c>
      <c r="D8828" s="0" t="s">
        <v>11874</v>
      </c>
      <c r="E8828" s="0" t="inlineStr">
        <is>
          <t xml:space="preserve">Mazda</t>
        </is>
      </c>
      <c r="F8828" s="0" t="s">
        <v>28</v>
      </c>
      <c r="G8828" s="0" t="s">
        <v>29</v>
      </c>
      <c r="H8828" s="5">
        <v>20.593200</v>
      </c>
    </row>
    <row r="8829" spans="1:9">
      <c r="A8829" s="22" t="str">
        <f>HYPERLINK("https://app.vivvix.com/360/KMI/IntelliDrive/ApplUI/Pages/CreativePages/CustomReportCreativeDetail.aspx?App=23&amp;ReportView=4&amp;Qid=1711279&amp;Row=8821&amp;Col=1","No Title Assigned - #15270785523")</f>
        <v/>
      </c>
      <c r="B8829" s="0" t="s">
        <v>11875</v>
      </c>
      <c r="E8829" s="0" t="inlineStr">
        <is>
          <t xml:space="preserve">Mazda</t>
        </is>
      </c>
      <c r="F8829" s="0" t="inlineStr">
        <is>
          <t xml:space="preserve">Mazda</t>
        </is>
      </c>
      <c r="G8829" s="0" t="s">
        <v>171</v>
      </c>
      <c r="H8829" s="5">
        <v>39892.175800</v>
      </c>
    </row>
    <row r="8830" spans="1:9">
      <c r="A8830" s="22" t="str">
        <f>HYPERLINK("https://app.vivvix.com/360/KMI/IntelliDrive/ApplUI/Pages/CreativePages/CustomReportCreativeDetail.aspx?App=23&amp;ReportView=4&amp;Qid=1711279&amp;Row=8822&amp;Col=1","No Title Assigned - #15270785644")</f>
        <v/>
      </c>
      <c r="B8830" s="0" t="s">
        <v>11876</v>
      </c>
      <c r="E8830" s="0" t="inlineStr">
        <is>
          <t xml:space="preserve">Mazda</t>
        </is>
      </c>
      <c r="F8830" s="0" t="inlineStr">
        <is>
          <t xml:space="preserve">Mazda</t>
        </is>
      </c>
      <c r="G8830" s="0" t="s">
        <v>171</v>
      </c>
      <c r="H8830" s="5">
        <v>27.342600</v>
      </c>
    </row>
    <row r="8831" spans="1:9">
      <c r="A8831" s="22" t="str">
        <f>HYPERLINK("https://app.vivvix.com/360/KMI/IntelliDrive/ApplUI/Pages/CreativePages/CustomReportCreativeDetail.aspx?App=23&amp;ReportView=4&amp;Qid=1711279&amp;Row=8823&amp;Col=1","No Title Assigned - #15270785771")</f>
        <v/>
      </c>
      <c r="B8831" s="0" t="s">
        <v>11877</v>
      </c>
      <c r="C8831" s="0" t="s">
        <v>11878</v>
      </c>
      <c r="D8831" s="0" t="s">
        <v>11878</v>
      </c>
      <c r="E8831" s="0" t="inlineStr">
        <is>
          <t xml:space="preserve">Mazda</t>
        </is>
      </c>
      <c r="F8831" s="0" t="s">
        <v>13</v>
      </c>
      <c r="G8831" s="0" t="s">
        <v>49</v>
      </c>
      <c r="H8831" s="5">
        <v>985.864200</v>
      </c>
    </row>
    <row r="8832" spans="1:9">
      <c r="A8832" s="22" t="str">
        <f>HYPERLINK("https://app.vivvix.com/360/KMI/IntelliDrive/ApplUI/Pages/CreativePages/CustomReportCreativeDetail.aspx?App=23&amp;ReportView=4&amp;Qid=1711279&amp;Row=8824&amp;Col=1","No Title Assigned - #15270785867")</f>
        <v/>
      </c>
      <c r="B8832" s="0" t="s">
        <v>11879</v>
      </c>
      <c r="C8832" s="0" t="s">
        <v>11880</v>
      </c>
      <c r="D8832" s="0" t="s">
        <v>11499</v>
      </c>
      <c r="E8832" s="0" t="inlineStr">
        <is>
          <t xml:space="preserve">Mazda</t>
        </is>
      </c>
      <c r="F8832" s="0" t="s">
        <v>13</v>
      </c>
      <c r="G8832" s="0" t="s">
        <v>49</v>
      </c>
      <c r="H8832" s="5">
        <v>213.450600</v>
      </c>
    </row>
    <row r="8833" spans="1:9">
      <c r="A8833" s="22" t="str">
        <f>HYPERLINK("https://app.vivvix.com/360/KMI/IntelliDrive/ApplUI/Pages/CreativePages/CustomReportCreativeDetail.aspx?App=23&amp;ReportView=4&amp;Qid=1711279&amp;Row=8825&amp;Col=1","No Title Assigned - #15270786143")</f>
        <v/>
      </c>
      <c r="B8833" s="0" t="s">
        <v>11881</v>
      </c>
      <c r="E8833" s="0" t="inlineStr">
        <is>
          <t xml:space="preserve">Mazda</t>
        </is>
      </c>
      <c r="F8833" s="0" t="inlineStr">
        <is>
          <t xml:space="preserve">Mazda</t>
        </is>
      </c>
      <c r="G8833" s="0" t="s">
        <v>171</v>
      </c>
      <c r="H8833" s="5">
        <v>11.097700</v>
      </c>
    </row>
    <row r="8834" spans="1:9">
      <c r="A8834" s="22" t="str">
        <f>HYPERLINK("https://app.vivvix.com/360/KMI/IntelliDrive/ApplUI/Pages/CreativePages/CustomReportCreativeDetail.aspx?App=23&amp;ReportView=4&amp;Qid=1711279&amp;Row=8826&amp;Col=1","No Title Assigned - #15270786164")</f>
        <v/>
      </c>
      <c r="B8834" s="0" t="s">
        <v>11882</v>
      </c>
      <c r="C8834" s="0" t="s">
        <v>11883</v>
      </c>
      <c r="D8834" s="0" t="s">
        <v>7081</v>
      </c>
      <c r="E8834" s="0" t="inlineStr">
        <is>
          <t xml:space="preserve">Mazda</t>
        </is>
      </c>
      <c r="F8834" s="0" t="s">
        <v>13</v>
      </c>
      <c r="G8834" s="0" t="s">
        <v>49</v>
      </c>
      <c r="H8834" s="5">
        <v>23.958900</v>
      </c>
    </row>
    <row r="8835" spans="1:9">
      <c r="A8835" s="22" t="str">
        <f>HYPERLINK("https://app.vivvix.com/360/KMI/IntelliDrive/ApplUI/Pages/CreativePages/CustomReportCreativeDetail.aspx?App=23&amp;ReportView=4&amp;Qid=1711279&amp;Row=8827&amp;Col=1","No Title Assigned - #15270786165")</f>
        <v/>
      </c>
      <c r="B8835" s="0" t="s">
        <v>11884</v>
      </c>
      <c r="C8835" s="0" t="s">
        <v>11885</v>
      </c>
      <c r="D8835" s="0" t="s">
        <v>11885</v>
      </c>
      <c r="E8835" s="0" t="inlineStr">
        <is>
          <t xml:space="preserve">Mazda</t>
        </is>
      </c>
      <c r="F8835" s="0" t="s">
        <v>13</v>
      </c>
      <c r="G8835" s="0" t="s">
        <v>49</v>
      </c>
      <c r="H8835" s="5">
        <v>23.958900</v>
      </c>
    </row>
    <row r="8836" spans="1:9">
      <c r="A8836" s="22" t="str">
        <f>HYPERLINK("https://app.vivvix.com/360/KMI/IntelliDrive/ApplUI/Pages/CreativePages/CustomReportCreativeDetail.aspx?App=23&amp;ReportView=4&amp;Qid=1711279&amp;Row=8828&amp;Col=1","No Title Assigned - #15270786378")</f>
        <v/>
      </c>
      <c r="B8836" s="0" t="s">
        <v>11886</v>
      </c>
      <c r="C8836" s="0" t="s">
        <v>11887</v>
      </c>
      <c r="D8836" s="0" t="s">
        <v>8894</v>
      </c>
      <c r="E8836" s="0" t="inlineStr">
        <is>
          <t xml:space="preserve">Mazda</t>
        </is>
      </c>
      <c r="F8836" s="0" t="s">
        <v>13</v>
      </c>
      <c r="G8836" s="0" t="s">
        <v>49</v>
      </c>
      <c r="H8836" s="5">
        <v>207.763000</v>
      </c>
    </row>
    <row r="8837" spans="1:9">
      <c r="A8837" s="22" t="str">
        <f>HYPERLINK("https://app.vivvix.com/360/KMI/IntelliDrive/ApplUI/Pages/CreativePages/CustomReportCreativeDetail.aspx?App=23&amp;ReportView=4&amp;Qid=1711279&amp;Row=8829&amp;Col=1","No Title Assigned - #15270786565")</f>
        <v/>
      </c>
      <c r="B8837" s="0" t="s">
        <v>11888</v>
      </c>
      <c r="C8837" s="0" t="s">
        <v>11889</v>
      </c>
      <c r="D8837" s="0" t="s">
        <v>11889</v>
      </c>
      <c r="E8837" s="0" t="inlineStr">
        <is>
          <t xml:space="preserve">Mazda</t>
        </is>
      </c>
      <c r="F8837" s="0" t="s">
        <v>28</v>
      </c>
      <c r="G8837" s="0" t="s">
        <v>29</v>
      </c>
      <c r="H8837" s="5">
        <v>2132.111600</v>
      </c>
    </row>
    <row r="8838" spans="1:9">
      <c r="A8838" s="22" t="str">
        <f>HYPERLINK("https://app.vivvix.com/360/KMI/IntelliDrive/ApplUI/Pages/CreativePages/CustomReportCreativeDetail.aspx?App=23&amp;ReportView=4&amp;Qid=1711279&amp;Row=8830&amp;Col=1","No Title Assigned - #15270786874")</f>
        <v/>
      </c>
      <c r="B8838" s="0" t="s">
        <v>11890</v>
      </c>
      <c r="E8838" s="0" t="inlineStr">
        <is>
          <t xml:space="preserve">Mazda</t>
        </is>
      </c>
      <c r="F8838" s="0" t="inlineStr">
        <is>
          <t xml:space="preserve">Mazda</t>
        </is>
      </c>
      <c r="G8838" s="0" t="s">
        <v>171</v>
      </c>
      <c r="H8838" s="5">
        <v>18.039500</v>
      </c>
    </row>
    <row r="8839" spans="1:9">
      <c r="A8839" s="22" t="str">
        <f>HYPERLINK("https://app.vivvix.com/360/KMI/IntelliDrive/ApplUI/Pages/CreativePages/CustomReportCreativeDetail.aspx?App=23&amp;ReportView=4&amp;Qid=1711279&amp;Row=8831&amp;Col=1","No Title Assigned - #15270786893")</f>
        <v/>
      </c>
      <c r="B8839" s="0" t="s">
        <v>11891</v>
      </c>
      <c r="C8839" s="0" t="s">
        <v>11892</v>
      </c>
      <c r="D8839" s="0" t="s">
        <v>11892</v>
      </c>
      <c r="E8839" s="0" t="inlineStr">
        <is>
          <t xml:space="preserve">Mazda</t>
        </is>
      </c>
      <c r="F8839" s="0" t="s">
        <v>13</v>
      </c>
      <c r="G8839" s="0" t="s">
        <v>49</v>
      </c>
      <c r="H8839" s="5">
        <v>20689.197200</v>
      </c>
    </row>
    <row r="8840" spans="1:9">
      <c r="A8840" s="22" t="str">
        <f>HYPERLINK("https://app.vivvix.com/360/KMI/IntelliDrive/ApplUI/Pages/CreativePages/CustomReportCreativeDetail.aspx?App=23&amp;ReportView=4&amp;Qid=1711279&amp;Row=8832&amp;Col=1","No Title Assigned - #15270786985")</f>
        <v/>
      </c>
      <c r="B8840" s="0" t="s">
        <v>11893</v>
      </c>
      <c r="C8840" s="0" t="s">
        <v>11894</v>
      </c>
      <c r="D8840" s="0" t="s">
        <v>11894</v>
      </c>
      <c r="E8840" s="0" t="inlineStr">
        <is>
          <t xml:space="preserve">Mazda</t>
        </is>
      </c>
      <c r="F8840" s="0" t="s">
        <v>13</v>
      </c>
      <c r="G8840" s="0" t="s">
        <v>49</v>
      </c>
      <c r="H8840" s="5">
        <v>273.408400</v>
      </c>
    </row>
    <row r="8841" spans="1:9">
      <c r="A8841" s="22" t="str">
        <f>HYPERLINK("https://app.vivvix.com/360/KMI/IntelliDrive/ApplUI/Pages/CreativePages/CustomReportCreativeDetail.aspx?App=23&amp;ReportView=4&amp;Qid=1711279&amp;Row=8833&amp;Col=1","No Title Assigned - #15270787379")</f>
        <v/>
      </c>
      <c r="B8841" s="0" t="s">
        <v>11895</v>
      </c>
      <c r="C8841" s="0" t="s">
        <v>11896</v>
      </c>
      <c r="D8841" s="0" t="s">
        <v>4774</v>
      </c>
      <c r="E8841" s="0" t="inlineStr">
        <is>
          <t xml:space="preserve">Mazda</t>
        </is>
      </c>
      <c r="F8841" s="0" t="s">
        <v>13</v>
      </c>
      <c r="G8841" s="0" t="s">
        <v>49</v>
      </c>
      <c r="H8841" s="5">
        <v>136.274200</v>
      </c>
    </row>
    <row r="8842" spans="1:9">
      <c r="A8842" s="22" t="str">
        <f>HYPERLINK("https://app.vivvix.com/360/KMI/IntelliDrive/ApplUI/Pages/CreativePages/CustomReportCreativeDetail.aspx?App=23&amp;ReportView=4&amp;Qid=1711279&amp;Row=8834&amp;Col=1","No Title Assigned - #15270787430")</f>
        <v/>
      </c>
      <c r="B8842" s="0" t="s">
        <v>11897</v>
      </c>
      <c r="C8842" s="0" t="s">
        <v>11898</v>
      </c>
      <c r="D8842" s="0" t="s">
        <v>11898</v>
      </c>
      <c r="E8842" s="0" t="inlineStr">
        <is>
          <t xml:space="preserve">Mazda</t>
        </is>
      </c>
      <c r="F8842" s="0" t="s">
        <v>28</v>
      </c>
      <c r="G8842" s="0" t="s">
        <v>29</v>
      </c>
      <c r="H8842" s="5">
        <v>307.878500</v>
      </c>
    </row>
    <row r="8843" spans="1:9">
      <c r="A8843" s="22" t="str">
        <f>HYPERLINK("https://app.vivvix.com/360/KMI/IntelliDrive/ApplUI/Pages/CreativePages/CustomReportCreativeDetail.aspx?App=23&amp;ReportView=4&amp;Qid=1711279&amp;Row=8835&amp;Col=1","No Title Assigned - #15270787486")</f>
        <v/>
      </c>
      <c r="B8843" s="0" t="s">
        <v>11899</v>
      </c>
      <c r="C8843" s="0" t="s">
        <v>11900</v>
      </c>
      <c r="D8843" s="0" t="s">
        <v>11900</v>
      </c>
      <c r="E8843" s="0" t="inlineStr">
        <is>
          <t xml:space="preserve">Mazda</t>
        </is>
      </c>
      <c r="F8843" s="0" t="s">
        <v>13</v>
      </c>
      <c r="G8843" s="0" t="s">
        <v>49</v>
      </c>
      <c r="H8843" s="5">
        <v>6280.294400</v>
      </c>
    </row>
    <row r="8844" spans="1:9">
      <c r="A8844" s="22" t="str">
        <f>HYPERLINK("https://app.vivvix.com/360/KMI/IntelliDrive/ApplUI/Pages/CreativePages/CustomReportCreativeDetail.aspx?App=23&amp;ReportView=4&amp;Qid=1711279&amp;Row=8836&amp;Col=1","No Title Assigned - #15270787592")</f>
        <v/>
      </c>
      <c r="B8844" s="0" t="s">
        <v>11901</v>
      </c>
      <c r="E8844" s="0" t="inlineStr">
        <is>
          <t xml:space="preserve">Mazda</t>
        </is>
      </c>
      <c r="F8844" s="0" t="inlineStr">
        <is>
          <t xml:space="preserve">Mazda</t>
        </is>
      </c>
      <c r="G8844" s="0" t="s">
        <v>171</v>
      </c>
      <c r="H8844" s="5">
        <v>48.520000</v>
      </c>
    </row>
    <row r="8845" spans="1:9">
      <c r="A8845" s="22" t="str">
        <f>HYPERLINK("https://app.vivvix.com/360/KMI/IntelliDrive/ApplUI/Pages/CreativePages/CustomReportCreativeDetail.aspx?App=23&amp;ReportView=4&amp;Qid=1711279&amp;Row=8837&amp;Col=1","No Title Assigned - #15270788149")</f>
        <v/>
      </c>
      <c r="B8845" s="0" t="s">
        <v>11902</v>
      </c>
      <c r="C8845" s="0" t="s">
        <v>11903</v>
      </c>
      <c r="D8845" s="0" t="s">
        <v>11903</v>
      </c>
      <c r="E8845" s="0" t="inlineStr">
        <is>
          <t xml:space="preserve">Mazda</t>
        </is>
      </c>
      <c r="F8845" s="0" t="s">
        <v>13</v>
      </c>
      <c r="G8845" s="0" t="s">
        <v>49</v>
      </c>
      <c r="H8845" s="5">
        <v>133.282900</v>
      </c>
    </row>
    <row r="8846" spans="1:9">
      <c r="A8846" s="22" t="str">
        <f>HYPERLINK("https://app.vivvix.com/360/KMI/IntelliDrive/ApplUI/Pages/CreativePages/CustomReportCreativeDetail.aspx?App=23&amp;ReportView=4&amp;Qid=1711279&amp;Row=8838&amp;Col=1","No Title Assigned - #15270788194")</f>
        <v/>
      </c>
      <c r="B8846" s="0" t="s">
        <v>11904</v>
      </c>
      <c r="C8846" s="0" t="s">
        <v>11905</v>
      </c>
      <c r="D8846" s="0" t="s">
        <v>4200</v>
      </c>
      <c r="E8846" s="0" t="inlineStr">
        <is>
          <t xml:space="preserve">Mazda</t>
        </is>
      </c>
      <c r="F8846" s="0" t="s">
        <v>28</v>
      </c>
      <c r="G8846" s="0" t="s">
        <v>29</v>
      </c>
      <c r="H8846" s="5">
        <v>115.714100</v>
      </c>
    </row>
    <row r="8847" spans="1:9">
      <c r="A8847" s="22" t="str">
        <f>HYPERLINK("https://app.vivvix.com/360/KMI/IntelliDrive/ApplUI/Pages/CreativePages/CustomReportCreativeDetail.aspx?App=23&amp;ReportView=4&amp;Qid=1711279&amp;Row=8839&amp;Col=1","No Title Assigned - #15270788204")</f>
        <v/>
      </c>
      <c r="B8847" s="0" t="s">
        <v>11906</v>
      </c>
      <c r="E8847" s="0" t="inlineStr">
        <is>
          <t xml:space="preserve">Mazda</t>
        </is>
      </c>
      <c r="F8847" s="0" t="inlineStr">
        <is>
          <t xml:space="preserve">Mazda</t>
        </is>
      </c>
      <c r="G8847" s="0" t="s">
        <v>171</v>
      </c>
      <c r="H8847" s="5">
        <v>181.491100</v>
      </c>
    </row>
    <row r="8848" spans="1:9">
      <c r="A8848" s="22" t="str">
        <f>HYPERLINK("https://app.vivvix.com/360/KMI/IntelliDrive/ApplUI/Pages/CreativePages/CustomReportCreativeDetail.aspx?App=23&amp;ReportView=4&amp;Qid=1711279&amp;Row=8840&amp;Col=1","No Title Assigned - #15270788217")</f>
        <v/>
      </c>
      <c r="B8848" s="0" t="s">
        <v>11907</v>
      </c>
      <c r="E8848" s="0" t="inlineStr">
        <is>
          <t xml:space="preserve">Mazda</t>
        </is>
      </c>
      <c r="F8848" s="0" t="inlineStr">
        <is>
          <t xml:space="preserve">Mazda</t>
        </is>
      </c>
      <c r="G8848" s="0" t="s">
        <v>171</v>
      </c>
      <c r="H8848" s="5">
        <v>61.233200</v>
      </c>
    </row>
    <row r="8849" spans="1:9">
      <c r="A8849" s="22" t="str">
        <f>HYPERLINK("https://app.vivvix.com/360/KMI/IntelliDrive/ApplUI/Pages/CreativePages/CustomReportCreativeDetail.aspx?App=23&amp;ReportView=4&amp;Qid=1711279&amp;Row=8841&amp;Col=1","No Title Assigned - #15270789305")</f>
        <v/>
      </c>
      <c r="B8849" s="0" t="s">
        <v>11908</v>
      </c>
      <c r="E8849" s="0" t="inlineStr">
        <is>
          <t xml:space="preserve">Mazda</t>
        </is>
      </c>
      <c r="F8849" s="0" t="inlineStr">
        <is>
          <t xml:space="preserve">Mazda</t>
        </is>
      </c>
      <c r="G8849" s="0" t="s">
        <v>171</v>
      </c>
      <c r="H8849" s="5">
        <v>44.512200</v>
      </c>
    </row>
    <row r="8850" spans="1:9">
      <c r="A8850" s="22" t="str">
        <f>HYPERLINK("https://app.vivvix.com/360/KMI/IntelliDrive/ApplUI/Pages/CreativePages/CustomReportCreativeDetail.aspx?App=23&amp;ReportView=4&amp;Qid=1711279&amp;Row=8842&amp;Col=1","No Title Assigned - #15270789362")</f>
        <v/>
      </c>
      <c r="B8850" s="0" t="s">
        <v>11909</v>
      </c>
      <c r="C8850" s="0" t="s">
        <v>11867</v>
      </c>
      <c r="D8850" s="0" t="s">
        <v>11867</v>
      </c>
      <c r="E8850" s="0" t="inlineStr">
        <is>
          <t xml:space="preserve">Mazda</t>
        </is>
      </c>
      <c r="F8850" s="0" t="inlineStr">
        <is>
          <t xml:space="preserve">Mazda</t>
        </is>
      </c>
      <c r="G8850" s="0" t="s">
        <v>210</v>
      </c>
      <c r="H8850" s="5">
        <v>1631.494700</v>
      </c>
    </row>
    <row r="8851" spans="1:9">
      <c r="A8851" s="22" t="str">
        <f>HYPERLINK("https://app.vivvix.com/360/KMI/IntelliDrive/ApplUI/Pages/CreativePages/CustomReportCreativeDetail.aspx?App=23&amp;ReportView=4&amp;Qid=1711279&amp;Row=8843&amp;Col=1","No Title Assigned - #15270789372")</f>
        <v/>
      </c>
      <c r="B8851" s="0" t="s">
        <v>11910</v>
      </c>
      <c r="C8851" s="0" t="s">
        <v>11911</v>
      </c>
      <c r="D8851" s="0" t="s">
        <v>11911</v>
      </c>
      <c r="E8851" s="0" t="inlineStr">
        <is>
          <t xml:space="preserve">Mazda</t>
        </is>
      </c>
      <c r="F8851" s="0" t="s">
        <v>13</v>
      </c>
      <c r="G8851" s="0" t="s">
        <v>49</v>
      </c>
      <c r="H8851" s="5">
        <v>74.384200</v>
      </c>
    </row>
    <row r="8852" spans="1:9">
      <c r="A8852" s="22" t="str">
        <f>HYPERLINK("https://app.vivvix.com/360/KMI/IntelliDrive/ApplUI/Pages/CreativePages/CustomReportCreativeDetail.aspx?App=23&amp;ReportView=4&amp;Qid=1711279&amp;Row=8844&amp;Col=1","No Title Assigned - #15270789427")</f>
        <v/>
      </c>
      <c r="B8852" s="0" t="s">
        <v>11912</v>
      </c>
      <c r="C8852" s="0" t="s">
        <v>11913</v>
      </c>
      <c r="D8852" s="0" t="s">
        <v>11913</v>
      </c>
      <c r="E8852" s="0" t="inlineStr">
        <is>
          <t xml:space="preserve">Mazda</t>
        </is>
      </c>
      <c r="F8852" s="0" t="s">
        <v>13</v>
      </c>
      <c r="G8852" s="0" t="s">
        <v>49</v>
      </c>
      <c r="H8852" s="5">
        <v>90.043800</v>
      </c>
    </row>
    <row r="8853" spans="1:9">
      <c r="A8853" s="22" t="str">
        <f>HYPERLINK("https://app.vivvix.com/360/KMI/IntelliDrive/ApplUI/Pages/CreativePages/CustomReportCreativeDetail.aspx?App=23&amp;ReportView=4&amp;Qid=1711279&amp;Row=8845&amp;Col=1","No Title Assigned - #15270789444")</f>
        <v/>
      </c>
      <c r="B8853" s="0" t="s">
        <v>11914</v>
      </c>
      <c r="C8853" s="0" t="s">
        <v>11915</v>
      </c>
      <c r="D8853" s="0" t="s">
        <v>4335</v>
      </c>
      <c r="E8853" s="0" t="inlineStr">
        <is>
          <t xml:space="preserve">Mazda</t>
        </is>
      </c>
      <c r="F8853" s="0" t="s">
        <v>13</v>
      </c>
      <c r="G8853" s="0" t="s">
        <v>49</v>
      </c>
      <c r="H8853" s="5">
        <v>77.318500</v>
      </c>
    </row>
    <row r="8854" spans="1:9">
      <c r="A8854" s="22" t="str">
        <f>HYPERLINK("https://app.vivvix.com/360/KMI/IntelliDrive/ApplUI/Pages/CreativePages/CustomReportCreativeDetail.aspx?App=23&amp;ReportView=4&amp;Qid=1711279&amp;Row=8846&amp;Col=1","No Title Assigned - #15270789452")</f>
        <v/>
      </c>
      <c r="B8854" s="0" t="s">
        <v>11916</v>
      </c>
      <c r="C8854" s="0" t="s">
        <v>11917</v>
      </c>
      <c r="D8854" s="0" t="s">
        <v>11917</v>
      </c>
      <c r="E8854" s="0" t="inlineStr">
        <is>
          <t xml:space="preserve">Mazda</t>
        </is>
      </c>
      <c r="F8854" s="0" t="inlineStr">
        <is>
          <t xml:space="preserve">Mazda</t>
        </is>
      </c>
      <c r="G8854" s="0" t="s">
        <v>210</v>
      </c>
      <c r="H8854" s="5">
        <v>902.831500</v>
      </c>
    </row>
    <row r="8855" spans="1:9">
      <c r="A8855" s="22" t="str">
        <f>HYPERLINK("https://app.vivvix.com/360/KMI/IntelliDrive/ApplUI/Pages/CreativePages/CustomReportCreativeDetail.aspx?App=23&amp;ReportView=4&amp;Qid=1711279&amp;Row=8847&amp;Col=1","No Title Assigned - #15270789829")</f>
        <v/>
      </c>
      <c r="B8855" s="0" t="s">
        <v>11918</v>
      </c>
      <c r="C8855" s="0" t="s">
        <v>11919</v>
      </c>
      <c r="D8855" s="0" t="s">
        <v>10505</v>
      </c>
      <c r="E8855" s="0" t="inlineStr">
        <is>
          <t xml:space="preserve">Mazda</t>
        </is>
      </c>
      <c r="F8855" s="0" t="s">
        <v>13</v>
      </c>
      <c r="G8855" s="0" t="s">
        <v>49</v>
      </c>
      <c r="H8855" s="5">
        <v>24.772600</v>
      </c>
    </row>
    <row r="8856" spans="1:9">
      <c r="A8856" s="22" t="str">
        <f>HYPERLINK("https://app.vivvix.com/360/KMI/IntelliDrive/ApplUI/Pages/CreativePages/CustomReportCreativeDetail.aspx?App=23&amp;ReportView=4&amp;Qid=1711279&amp;Row=8848&amp;Col=1","No Title Assigned - #15270789955")</f>
        <v/>
      </c>
      <c r="B8856" s="0" t="s">
        <v>11920</v>
      </c>
      <c r="C8856" s="0" t="s">
        <v>11921</v>
      </c>
      <c r="D8856" s="0" t="s">
        <v>9290</v>
      </c>
      <c r="E8856" s="0" t="inlineStr">
        <is>
          <t xml:space="preserve">Mazda</t>
        </is>
      </c>
      <c r="F8856" s="0" t="s">
        <v>13</v>
      </c>
      <c r="G8856" s="0" t="s">
        <v>49</v>
      </c>
      <c r="H8856" s="5">
        <v>323.157800</v>
      </c>
    </row>
    <row r="8857" spans="1:9">
      <c r="A8857" s="22" t="str">
        <f>HYPERLINK("https://app.vivvix.com/360/KMI/IntelliDrive/ApplUI/Pages/CreativePages/CustomReportCreativeDetail.aspx?App=23&amp;ReportView=4&amp;Qid=1711279&amp;Row=8849&amp;Col=1","No Title Assigned - #15270790209")</f>
        <v/>
      </c>
      <c r="B8857" s="0" t="s">
        <v>11922</v>
      </c>
      <c r="E8857" s="0" t="inlineStr">
        <is>
          <t xml:space="preserve">Mazda</t>
        </is>
      </c>
      <c r="F8857" s="0" t="inlineStr">
        <is>
          <t xml:space="preserve">Mazda</t>
        </is>
      </c>
      <c r="G8857" s="0" t="s">
        <v>171</v>
      </c>
      <c r="H8857" s="5">
        <v>360.124800</v>
      </c>
    </row>
    <row r="8858" spans="1:9">
      <c r="A8858" s="22" t="str">
        <f>HYPERLINK("https://app.vivvix.com/360/KMI/IntelliDrive/ApplUI/Pages/CreativePages/CustomReportCreativeDetail.aspx?App=23&amp;ReportView=4&amp;Qid=1711279&amp;Row=8850&amp;Col=1","No Title Assigned - #15270790886")</f>
        <v/>
      </c>
      <c r="B8858" s="0" t="s">
        <v>11923</v>
      </c>
      <c r="C8858" s="0" t="s">
        <v>11924</v>
      </c>
      <c r="D8858" s="0" t="s">
        <v>6044</v>
      </c>
      <c r="E8858" s="0" t="inlineStr">
        <is>
          <t xml:space="preserve">Mazda</t>
        </is>
      </c>
      <c r="F8858" s="0" t="s">
        <v>13</v>
      </c>
      <c r="G8858" s="0" t="s">
        <v>49</v>
      </c>
      <c r="H8858" s="5">
        <v>289.176100</v>
      </c>
    </row>
    <row r="8859" spans="1:9">
      <c r="A8859" s="22" t="str">
        <f>HYPERLINK("https://app.vivvix.com/360/KMI/IntelliDrive/ApplUI/Pages/CreativePages/CustomReportCreativeDetail.aspx?App=23&amp;ReportView=4&amp;Qid=1711279&amp;Row=8851&amp;Col=1","No Title Assigned - #15270791003")</f>
        <v/>
      </c>
      <c r="B8859" s="0" t="s">
        <v>11925</v>
      </c>
      <c r="C8859" s="0" t="s">
        <v>11926</v>
      </c>
      <c r="D8859" s="0" t="s">
        <v>11926</v>
      </c>
      <c r="E8859" s="0" t="inlineStr">
        <is>
          <t xml:space="preserve">Mazda</t>
        </is>
      </c>
      <c r="F8859" s="0" t="inlineStr">
        <is>
          <t xml:space="preserve">Mazda</t>
        </is>
      </c>
      <c r="G8859" s="0" t="s">
        <v>171</v>
      </c>
      <c r="H8859" s="5">
        <v>9.178000</v>
      </c>
    </row>
    <row r="8860" spans="1:9">
      <c r="A8860" s="22" t="str">
        <f>HYPERLINK("https://app.vivvix.com/360/KMI/IntelliDrive/ApplUI/Pages/CreativePages/CustomReportCreativeDetail.aspx?App=23&amp;ReportView=4&amp;Qid=1711279&amp;Row=8852&amp;Col=1","No Title Assigned - #15270791012")</f>
        <v/>
      </c>
      <c r="B8860" s="0" t="s">
        <v>11927</v>
      </c>
      <c r="C8860" s="0" t="s">
        <v>11928</v>
      </c>
      <c r="D8860" s="0" t="s">
        <v>11928</v>
      </c>
      <c r="E8860" s="0" t="inlineStr">
        <is>
          <t xml:space="preserve">Mazda</t>
        </is>
      </c>
      <c r="F8860" s="0" t="s">
        <v>17</v>
      </c>
      <c r="G8860" s="0" t="s">
        <v>97</v>
      </c>
      <c r="H8860" s="5">
        <v>1135.011800</v>
      </c>
    </row>
    <row r="8861" spans="1:9">
      <c r="A8861" s="22" t="str">
        <f>HYPERLINK("https://app.vivvix.com/360/KMI/IntelliDrive/ApplUI/Pages/CreativePages/CustomReportCreativeDetail.aspx?App=23&amp;ReportView=4&amp;Qid=1711279&amp;Row=8853&amp;Col=1","No Title Assigned - #15270791090")</f>
        <v/>
      </c>
      <c r="B8861" s="0" t="s">
        <v>11929</v>
      </c>
      <c r="C8861" s="0" t="s">
        <v>11930</v>
      </c>
      <c r="D8861" s="0" t="s">
        <v>11930</v>
      </c>
      <c r="E8861" s="0" t="inlineStr">
        <is>
          <t xml:space="preserve">Mazda</t>
        </is>
      </c>
      <c r="F8861" s="0" t="s">
        <v>28</v>
      </c>
      <c r="G8861" s="0" t="s">
        <v>29</v>
      </c>
      <c r="H8861" s="5">
        <v>983.451000</v>
      </c>
    </row>
    <row r="8862" spans="1:9">
      <c r="A8862" s="22" t="str">
        <f>HYPERLINK("https://app.vivvix.com/360/KMI/IntelliDrive/ApplUI/Pages/CreativePages/CustomReportCreativeDetail.aspx?App=23&amp;ReportView=4&amp;Qid=1711279&amp;Row=8854&amp;Col=1","No Title Assigned - #15270791378")</f>
        <v/>
      </c>
      <c r="B8862" s="0" t="s">
        <v>11931</v>
      </c>
      <c r="C8862" s="0" t="s">
        <v>11932</v>
      </c>
      <c r="D8862" s="0" t="s">
        <v>11932</v>
      </c>
      <c r="E8862" s="0" t="inlineStr">
        <is>
          <t xml:space="preserve">Mazda</t>
        </is>
      </c>
      <c r="F8862" s="0" t="s">
        <v>13</v>
      </c>
      <c r="G8862" s="0" t="s">
        <v>49</v>
      </c>
      <c r="H8862" s="5">
        <v>31.253600</v>
      </c>
    </row>
    <row r="8863" spans="1:9">
      <c r="A8863" s="22" t="str">
        <f>HYPERLINK("https://app.vivvix.com/360/KMI/IntelliDrive/ApplUI/Pages/CreativePages/CustomReportCreativeDetail.aspx?App=23&amp;ReportView=4&amp;Qid=1711279&amp;Row=8855&amp;Col=1","No Title Assigned - #15270791378")</f>
        <v/>
      </c>
      <c r="B8863" s="0" t="s">
        <v>11931</v>
      </c>
      <c r="E8863" s="0" t="inlineStr">
        <is>
          <t xml:space="preserve">Mazda</t>
        </is>
      </c>
      <c r="F8863" s="0" t="s">
        <v>13</v>
      </c>
      <c r="G8863" s="0" t="s">
        <v>49</v>
      </c>
      <c r="H8863" s="5">
        <v>319.295100</v>
      </c>
    </row>
    <row r="8864" spans="1:9">
      <c r="A8864" s="22" t="str">
        <f>HYPERLINK("https://app.vivvix.com/360/KMI/IntelliDrive/ApplUI/Pages/CreativePages/CustomReportCreativeDetail.aspx?App=23&amp;ReportView=4&amp;Qid=1711279&amp;Row=8856&amp;Col=1","No Title Assigned - #15270792264")</f>
        <v/>
      </c>
      <c r="B8864" s="0" t="s">
        <v>11933</v>
      </c>
      <c r="E8864" s="0" t="inlineStr">
        <is>
          <t xml:space="preserve">Mazda</t>
        </is>
      </c>
      <c r="F8864" s="0" t="s">
        <v>28</v>
      </c>
      <c r="G8864" s="0" t="s">
        <v>29</v>
      </c>
      <c r="H8864" s="5">
        <v>424.622900</v>
      </c>
    </row>
    <row r="8865" spans="1:9">
      <c r="A8865" s="22" t="str">
        <f>HYPERLINK("https://app.vivvix.com/360/KMI/IntelliDrive/ApplUI/Pages/CreativePages/CustomReportCreativeDetail.aspx?App=23&amp;ReportView=4&amp;Qid=1711279&amp;Row=8857&amp;Col=1","No Title Assigned - #15270792491")</f>
        <v/>
      </c>
      <c r="B8865" s="0" t="s">
        <v>11934</v>
      </c>
      <c r="E8865" s="0" t="inlineStr">
        <is>
          <t xml:space="preserve">Mazda</t>
        </is>
      </c>
      <c r="F8865" s="0" t="inlineStr">
        <is>
          <t xml:space="preserve">Mazda</t>
        </is>
      </c>
      <c r="G8865" s="0" t="s">
        <v>171</v>
      </c>
      <c r="H8865" s="5">
        <v>11.393000</v>
      </c>
    </row>
    <row r="8866" spans="1:9">
      <c r="A8866" s="22" t="str">
        <f>HYPERLINK("https://app.vivvix.com/360/KMI/IntelliDrive/ApplUI/Pages/CreativePages/CustomReportCreativeDetail.aspx?App=23&amp;ReportView=4&amp;Qid=1711279&amp;Row=8858&amp;Col=1","No Title Assigned - #15270792724")</f>
        <v/>
      </c>
      <c r="B8866" s="0" t="s">
        <v>11935</v>
      </c>
      <c r="E8866" s="0" t="inlineStr">
        <is>
          <t xml:space="preserve">Mazda</t>
        </is>
      </c>
      <c r="F8866" s="0" t="inlineStr">
        <is>
          <t xml:space="preserve">Mazda</t>
        </is>
      </c>
      <c r="G8866" s="0" t="s">
        <v>171</v>
      </c>
      <c r="H8866" s="5">
        <v>43.958000</v>
      </c>
    </row>
    <row r="8867" spans="1:9">
      <c r="A8867" s="22" t="str">
        <f>HYPERLINK("https://app.vivvix.com/360/KMI/IntelliDrive/ApplUI/Pages/CreativePages/CustomReportCreativeDetail.aspx?App=23&amp;ReportView=4&amp;Qid=1711279&amp;Row=8859&amp;Col=1","No Title Assigned - #15270792787")</f>
        <v/>
      </c>
      <c r="B8867" s="0" t="s">
        <v>11936</v>
      </c>
      <c r="E8867" s="0" t="inlineStr">
        <is>
          <t xml:space="preserve">Mazda</t>
        </is>
      </c>
      <c r="F8867" s="0" t="inlineStr">
        <is>
          <t xml:space="preserve">Mazda</t>
        </is>
      </c>
      <c r="G8867" s="0" t="s">
        <v>171</v>
      </c>
      <c r="H8867" s="5">
        <v>1.711700</v>
      </c>
    </row>
    <row r="8868" spans="1:9">
      <c r="A8868" s="22" t="str">
        <f>HYPERLINK("https://app.vivvix.com/360/KMI/IntelliDrive/ApplUI/Pages/CreativePages/CustomReportCreativeDetail.aspx?App=23&amp;ReportView=4&amp;Qid=1711279&amp;Row=8860&amp;Col=1","No Title Assigned - #15270792884")</f>
        <v/>
      </c>
      <c r="B8868" s="0" t="s">
        <v>11937</v>
      </c>
      <c r="E8868" s="0" t="inlineStr">
        <is>
          <t xml:space="preserve">Mazda</t>
        </is>
      </c>
      <c r="F8868" s="0" t="inlineStr">
        <is>
          <t xml:space="preserve">Mazda</t>
        </is>
      </c>
      <c r="G8868" s="0" t="s">
        <v>171</v>
      </c>
      <c r="H8868" s="5">
        <v>11.770400</v>
      </c>
    </row>
    <row r="8869" spans="1:9">
      <c r="A8869" s="22" t="str">
        <f>HYPERLINK("https://app.vivvix.com/360/KMI/IntelliDrive/ApplUI/Pages/CreativePages/CustomReportCreativeDetail.aspx?App=23&amp;ReportView=4&amp;Qid=1711279&amp;Row=8861&amp;Col=1","No Title Assigned - #15270792953")</f>
        <v/>
      </c>
      <c r="B8869" s="0" t="s">
        <v>11938</v>
      </c>
      <c r="E8869" s="0" t="inlineStr">
        <is>
          <t xml:space="preserve">Mazda</t>
        </is>
      </c>
      <c r="F8869" s="0" t="inlineStr">
        <is>
          <t xml:space="preserve">Mazda</t>
        </is>
      </c>
      <c r="G8869" s="0" t="s">
        <v>171</v>
      </c>
      <c r="H8869" s="5">
        <v>23.249500</v>
      </c>
    </row>
    <row r="8870" spans="1:9">
      <c r="A8870" s="22" t="str">
        <f>HYPERLINK("https://app.vivvix.com/360/KMI/IntelliDrive/ApplUI/Pages/CreativePages/CustomReportCreativeDetail.aspx?App=23&amp;ReportView=4&amp;Qid=1711279&amp;Row=8862&amp;Col=1","No Title Assigned - #15270792958")</f>
        <v/>
      </c>
      <c r="B8870" s="0" t="s">
        <v>11939</v>
      </c>
      <c r="E8870" s="0" t="inlineStr">
        <is>
          <t xml:space="preserve">Mazda</t>
        </is>
      </c>
      <c r="F8870" s="0" t="inlineStr">
        <is>
          <t xml:space="preserve">Mazda</t>
        </is>
      </c>
      <c r="G8870" s="0" t="s">
        <v>171</v>
      </c>
      <c r="H8870" s="5">
        <v>29.313700</v>
      </c>
    </row>
    <row r="8871" spans="1:9">
      <c r="A8871" s="22" t="str">
        <f>HYPERLINK("https://app.vivvix.com/360/KMI/IntelliDrive/ApplUI/Pages/CreativePages/CustomReportCreativeDetail.aspx?App=23&amp;ReportView=4&amp;Qid=1711279&amp;Row=8863&amp;Col=1","No Title Assigned - #15270793125")</f>
        <v/>
      </c>
      <c r="B8871" s="0" t="s">
        <v>11940</v>
      </c>
      <c r="E8871" s="0" t="inlineStr">
        <is>
          <t xml:space="preserve">Mazda</t>
        </is>
      </c>
      <c r="F8871" s="0" t="inlineStr">
        <is>
          <t xml:space="preserve">Mazda</t>
        </is>
      </c>
      <c r="G8871" s="0" t="s">
        <v>171</v>
      </c>
      <c r="H8871" s="5">
        <v>132.686000</v>
      </c>
    </row>
    <row r="8872" spans="1:9">
      <c r="A8872" s="22" t="str">
        <f>HYPERLINK("https://app.vivvix.com/360/KMI/IntelliDrive/ApplUI/Pages/CreativePages/CustomReportCreativeDetail.aspx?App=23&amp;ReportView=4&amp;Qid=1711279&amp;Row=8864&amp;Col=1","No Title Assigned - #15270793482")</f>
        <v/>
      </c>
      <c r="B8872" s="0" t="s">
        <v>11941</v>
      </c>
      <c r="E8872" s="0" t="inlineStr">
        <is>
          <t xml:space="preserve">Mazda</t>
        </is>
      </c>
      <c r="F8872" s="0" t="inlineStr">
        <is>
          <t xml:space="preserve">Mazda</t>
        </is>
      </c>
      <c r="G8872" s="0" t="s">
        <v>171</v>
      </c>
      <c r="H8872" s="5">
        <v>13.611100</v>
      </c>
    </row>
    <row r="8873" spans="1:9">
      <c r="A8873" s="22" t="str">
        <f>HYPERLINK("https://app.vivvix.com/360/KMI/IntelliDrive/ApplUI/Pages/CreativePages/CustomReportCreativeDetail.aspx?App=23&amp;ReportView=4&amp;Qid=1711279&amp;Row=8865&amp;Col=1","No Title Assigned - #15270793728")</f>
        <v/>
      </c>
      <c r="B8873" s="0" t="s">
        <v>11942</v>
      </c>
      <c r="E8873" s="0" t="inlineStr">
        <is>
          <t xml:space="preserve">Mazda</t>
        </is>
      </c>
      <c r="F8873" s="0" t="inlineStr">
        <is>
          <t xml:space="preserve">Mazda</t>
        </is>
      </c>
      <c r="G8873" s="0" t="s">
        <v>171</v>
      </c>
      <c r="H8873" s="5">
        <v>19.170100</v>
      </c>
    </row>
    <row r="8874" spans="1:9">
      <c r="A8874" s="22" t="str">
        <f>HYPERLINK("https://app.vivvix.com/360/KMI/IntelliDrive/ApplUI/Pages/CreativePages/CustomReportCreativeDetail.aspx?App=23&amp;ReportView=4&amp;Qid=1711279&amp;Row=8866&amp;Col=1","No Title Assigned - #15270793984")</f>
        <v/>
      </c>
      <c r="B8874" s="0" t="s">
        <v>11943</v>
      </c>
      <c r="E8874" s="0" t="inlineStr">
        <is>
          <t xml:space="preserve">Mazda</t>
        </is>
      </c>
      <c r="F8874" s="0" t="inlineStr">
        <is>
          <t xml:space="preserve">Mazda</t>
        </is>
      </c>
      <c r="G8874" s="0" t="s">
        <v>171</v>
      </c>
      <c r="H8874" s="5">
        <v>131.414800</v>
      </c>
    </row>
    <row r="8875" spans="1:9">
      <c r="A8875" s="22" t="str">
        <f>HYPERLINK("https://app.vivvix.com/360/KMI/IntelliDrive/ApplUI/Pages/CreativePages/CustomReportCreativeDetail.aspx?App=23&amp;ReportView=4&amp;Qid=1711279&amp;Row=8867&amp;Col=1","No Title Assigned - #15270794002")</f>
        <v/>
      </c>
      <c r="B8875" s="0" t="s">
        <v>11944</v>
      </c>
      <c r="E8875" s="0" t="inlineStr">
        <is>
          <t xml:space="preserve">Mazda</t>
        </is>
      </c>
      <c r="F8875" s="0" t="inlineStr">
        <is>
          <t xml:space="preserve">Mazda</t>
        </is>
      </c>
      <c r="G8875" s="0" t="s">
        <v>171</v>
      </c>
      <c r="H8875" s="5">
        <v>10023.080100</v>
      </c>
    </row>
    <row r="8876" spans="1:9">
      <c r="A8876" s="22" t="str">
        <f>HYPERLINK("https://app.vivvix.com/360/KMI/IntelliDrive/ApplUI/Pages/CreativePages/CustomReportCreativeDetail.aspx?App=23&amp;ReportView=4&amp;Qid=1711279&amp;Row=8868&amp;Col=1","No Title Assigned - #15270794104")</f>
        <v/>
      </c>
      <c r="B8876" s="0" t="s">
        <v>11945</v>
      </c>
      <c r="E8876" s="0" t="inlineStr">
        <is>
          <t xml:space="preserve">Mazda</t>
        </is>
      </c>
      <c r="F8876" s="0" t="inlineStr">
        <is>
          <t xml:space="preserve">Mazda</t>
        </is>
      </c>
      <c r="G8876" s="0" t="s">
        <v>171</v>
      </c>
      <c r="H8876" s="5">
        <v>1617.213200</v>
      </c>
    </row>
    <row r="8877" spans="1:9">
      <c r="A8877" s="22" t="str">
        <f>HYPERLINK("https://app.vivvix.com/360/KMI/IntelliDrive/ApplUI/Pages/CreativePages/CustomReportCreativeDetail.aspx?App=23&amp;ReportView=4&amp;Qid=1711279&amp;Row=8869&amp;Col=1","No Title Assigned - #15270794140")</f>
        <v/>
      </c>
      <c r="B8877" s="0" t="s">
        <v>11946</v>
      </c>
      <c r="E8877" s="0" t="inlineStr">
        <is>
          <t xml:space="preserve">Mazda</t>
        </is>
      </c>
      <c r="F8877" s="0" t="inlineStr">
        <is>
          <t xml:space="preserve">Mazda</t>
        </is>
      </c>
      <c r="G8877" s="0" t="s">
        <v>171</v>
      </c>
      <c r="H8877" s="5">
        <v>246.823500</v>
      </c>
    </row>
    <row r="8878" spans="1:9">
      <c r="A8878" s="22" t="str">
        <f>HYPERLINK("https://app.vivvix.com/360/KMI/IntelliDrive/ApplUI/Pages/CreativePages/CustomReportCreativeDetail.aspx?App=23&amp;ReportView=4&amp;Qid=1711279&amp;Row=8870&amp;Col=1","No Title Assigned - #15270794148")</f>
        <v/>
      </c>
      <c r="B8878" s="0" t="s">
        <v>11947</v>
      </c>
      <c r="E8878" s="0" t="inlineStr">
        <is>
          <t xml:space="preserve">Mazda</t>
        </is>
      </c>
      <c r="F8878" s="0" t="inlineStr">
        <is>
          <t xml:space="preserve">Mazda</t>
        </is>
      </c>
      <c r="G8878" s="0" t="s">
        <v>171</v>
      </c>
      <c r="H8878" s="5">
        <v>3529.708000</v>
      </c>
    </row>
    <row r="8879" spans="1:9">
      <c r="A8879" s="22" t="str">
        <f>HYPERLINK("https://app.vivvix.com/360/KMI/IntelliDrive/ApplUI/Pages/CreativePages/CustomReportCreativeDetail.aspx?App=23&amp;ReportView=4&amp;Qid=1711279&amp;Row=8871&amp;Col=1","No Title Assigned - #15270794148")</f>
        <v/>
      </c>
      <c r="B8879" s="0" t="s">
        <v>11947</v>
      </c>
      <c r="E8879" s="0" t="inlineStr">
        <is>
          <t xml:space="preserve">Mazda</t>
        </is>
      </c>
      <c r="F8879" s="0" t="inlineStr">
        <is>
          <t xml:space="preserve">Mazda</t>
        </is>
      </c>
      <c r="G8879" s="0" t="s">
        <v>171</v>
      </c>
      <c r="H8879" s="5">
        <v>189877.433100</v>
      </c>
    </row>
    <row r="8880" spans="1:9">
      <c r="A8880" s="22" t="str">
        <f>HYPERLINK("https://app.vivvix.com/360/KMI/IntelliDrive/ApplUI/Pages/CreativePages/CustomReportCreativeDetail.aspx?App=23&amp;ReportView=4&amp;Qid=1711279&amp;Row=8872&amp;Col=1","No Title Assigned - #15270794353")</f>
        <v/>
      </c>
      <c r="B8880" s="0" t="s">
        <v>11948</v>
      </c>
      <c r="E8880" s="0" t="inlineStr">
        <is>
          <t xml:space="preserve">Mazda</t>
        </is>
      </c>
      <c r="F8880" s="0" t="inlineStr">
        <is>
          <t xml:space="preserve">Mazda</t>
        </is>
      </c>
      <c r="G8880" s="0" t="s">
        <v>171</v>
      </c>
      <c r="H8880" s="5">
        <v>895.038600</v>
      </c>
    </row>
    <row r="8881" spans="1:9">
      <c r="A8881" s="22" t="str">
        <f>HYPERLINK("https://app.vivvix.com/360/KMI/IntelliDrive/ApplUI/Pages/CreativePages/CustomReportCreativeDetail.aspx?App=23&amp;ReportView=4&amp;Qid=1711279&amp;Row=8873&amp;Col=1","No Title Assigned - #15270794474")</f>
        <v/>
      </c>
      <c r="B8881" s="0" t="s">
        <v>11949</v>
      </c>
      <c r="E8881" s="0" t="inlineStr">
        <is>
          <t xml:space="preserve">Mazda</t>
        </is>
      </c>
      <c r="F8881" s="0" t="inlineStr">
        <is>
          <t xml:space="preserve">Mazda</t>
        </is>
      </c>
      <c r="G8881" s="0" t="s">
        <v>171</v>
      </c>
      <c r="H8881" s="5">
        <v>535.354700</v>
      </c>
    </row>
    <row r="8882" spans="1:9">
      <c r="A8882" s="22" t="str">
        <f>HYPERLINK("https://app.vivvix.com/360/KMI/IntelliDrive/ApplUI/Pages/CreativePages/CustomReportCreativeDetail.aspx?App=23&amp;ReportView=4&amp;Qid=1711279&amp;Row=8874&amp;Col=1","No Title Assigned - #15270794660")</f>
        <v/>
      </c>
      <c r="B8882" s="0" t="s">
        <v>11950</v>
      </c>
      <c r="E8882" s="0" t="inlineStr">
        <is>
          <t xml:space="preserve">Mazda</t>
        </is>
      </c>
      <c r="F8882" s="0" t="inlineStr">
        <is>
          <t xml:space="preserve">Mazda</t>
        </is>
      </c>
      <c r="G8882" s="0" t="s">
        <v>171</v>
      </c>
      <c r="H8882" s="5">
        <v>57.954900</v>
      </c>
    </row>
    <row r="8883" spans="1:9">
      <c r="A8883" s="22" t="str">
        <f>HYPERLINK("https://app.vivvix.com/360/KMI/IntelliDrive/ApplUI/Pages/CreativePages/CustomReportCreativeDetail.aspx?App=23&amp;ReportView=4&amp;Qid=1711279&amp;Row=8875&amp;Col=1","No Title Assigned - #15270794775")</f>
        <v/>
      </c>
      <c r="B8883" s="0" t="s">
        <v>11951</v>
      </c>
      <c r="E8883" s="0" t="inlineStr">
        <is>
          <t xml:space="preserve">Mazda</t>
        </is>
      </c>
      <c r="F8883" s="0" t="inlineStr">
        <is>
          <t xml:space="preserve">Mazda</t>
        </is>
      </c>
      <c r="G8883" s="0" t="s">
        <v>171</v>
      </c>
      <c r="H8883" s="5">
        <v>20.764800</v>
      </c>
    </row>
    <row r="8884" spans="1:9">
      <c r="A8884" s="22" t="str">
        <f>HYPERLINK("https://app.vivvix.com/360/KMI/IntelliDrive/ApplUI/Pages/CreativePages/CustomReportCreativeDetail.aspx?App=23&amp;ReportView=4&amp;Qid=1711279&amp;Row=8876&amp;Col=1","No Title Assigned - #15270794852")</f>
        <v/>
      </c>
      <c r="B8884" s="0" t="s">
        <v>11952</v>
      </c>
      <c r="E8884" s="0" t="inlineStr">
        <is>
          <t xml:space="preserve">Mazda</t>
        </is>
      </c>
      <c r="F8884" s="0" t="inlineStr">
        <is>
          <t xml:space="preserve">Mazda</t>
        </is>
      </c>
      <c r="G8884" s="0" t="s">
        <v>171</v>
      </c>
      <c r="H8884" s="5">
        <v>24.499700</v>
      </c>
    </row>
    <row r="8885" spans="1:9">
      <c r="A8885" s="22" t="str">
        <f>HYPERLINK("https://app.vivvix.com/360/KMI/IntelliDrive/ApplUI/Pages/CreativePages/CustomReportCreativeDetail.aspx?App=23&amp;ReportView=4&amp;Qid=1711279&amp;Row=8877&amp;Col=1","No Title Assigned - #15270794910")</f>
        <v/>
      </c>
      <c r="B8885" s="0" t="s">
        <v>11953</v>
      </c>
      <c r="E8885" s="0" t="inlineStr">
        <is>
          <t xml:space="preserve">Mazda</t>
        </is>
      </c>
      <c r="F8885" s="0" t="inlineStr">
        <is>
          <t xml:space="preserve">Mazda</t>
        </is>
      </c>
      <c r="G8885" s="0" t="s">
        <v>171</v>
      </c>
      <c r="H8885" s="5">
        <v>26.945200</v>
      </c>
    </row>
    <row r="8886" spans="1:9">
      <c r="A8886" s="22" t="str">
        <f>HYPERLINK("https://app.vivvix.com/360/KMI/IntelliDrive/ApplUI/Pages/CreativePages/CustomReportCreativeDetail.aspx?App=23&amp;ReportView=4&amp;Qid=1711279&amp;Row=8878&amp;Col=1","No Title Assigned - #15270795329")</f>
        <v/>
      </c>
      <c r="B8886" s="0" t="s">
        <v>11954</v>
      </c>
      <c r="E8886" s="0" t="inlineStr">
        <is>
          <t xml:space="preserve">Mazda</t>
        </is>
      </c>
      <c r="F8886" s="0" t="inlineStr">
        <is>
          <t xml:space="preserve">Mazda</t>
        </is>
      </c>
      <c r="G8886" s="0" t="s">
        <v>171</v>
      </c>
      <c r="H8886" s="5">
        <v>10.144200</v>
      </c>
    </row>
    <row r="8887" spans="1:9">
      <c r="A8887" s="22" t="str">
        <f>HYPERLINK("https://app.vivvix.com/360/KMI/IntelliDrive/ApplUI/Pages/CreativePages/CustomReportCreativeDetail.aspx?App=23&amp;ReportView=4&amp;Qid=1711279&amp;Row=8879&amp;Col=1","No Title Assigned - #15270795472")</f>
        <v/>
      </c>
      <c r="B8887" s="0" t="s">
        <v>11955</v>
      </c>
      <c r="E8887" s="0" t="inlineStr">
        <is>
          <t xml:space="preserve">Mazda</t>
        </is>
      </c>
      <c r="F8887" s="0" t="inlineStr">
        <is>
          <t xml:space="preserve">Mazda</t>
        </is>
      </c>
      <c r="G8887" s="0" t="s">
        <v>171</v>
      </c>
      <c r="H8887" s="5">
        <v>1.781900</v>
      </c>
    </row>
    <row r="8888" spans="1:9">
      <c r="A8888" s="22" t="str">
        <f>HYPERLINK("https://app.vivvix.com/360/KMI/IntelliDrive/ApplUI/Pages/CreativePages/CustomReportCreativeDetail.aspx?App=23&amp;ReportView=4&amp;Qid=1711279&amp;Row=8880&amp;Col=1","No Title Assigned - #15270795620")</f>
        <v/>
      </c>
      <c r="B8888" s="0" t="s">
        <v>11956</v>
      </c>
      <c r="E8888" s="0" t="inlineStr">
        <is>
          <t xml:space="preserve">Mazda</t>
        </is>
      </c>
      <c r="F8888" s="0" t="inlineStr">
        <is>
          <t xml:space="preserve">Mazda</t>
        </is>
      </c>
      <c r="G8888" s="0" t="s">
        <v>171</v>
      </c>
      <c r="H8888" s="5">
        <v>336.600000</v>
      </c>
    </row>
    <row r="8889" spans="1:9">
      <c r="A8889" s="22" t="str">
        <f>HYPERLINK("https://app.vivvix.com/360/KMI/IntelliDrive/ApplUI/Pages/CreativePages/CustomReportCreativeDetail.aspx?App=23&amp;ReportView=4&amp;Qid=1711279&amp;Row=8881&amp;Col=1","No Title Assigned - #15270795729")</f>
        <v/>
      </c>
      <c r="B8889" s="0" t="s">
        <v>11957</v>
      </c>
      <c r="E8889" s="0" t="inlineStr">
        <is>
          <t xml:space="preserve">Mazda</t>
        </is>
      </c>
      <c r="F8889" s="0" t="inlineStr">
        <is>
          <t xml:space="preserve">Mazda</t>
        </is>
      </c>
      <c r="G8889" s="0" t="s">
        <v>171</v>
      </c>
      <c r="H8889" s="5">
        <v>124.520000</v>
      </c>
    </row>
    <row r="8890" spans="1:9">
      <c r="A8890" s="22" t="str">
        <f>HYPERLINK("https://app.vivvix.com/360/KMI/IntelliDrive/ApplUI/Pages/CreativePages/CustomReportCreativeDetail.aspx?App=23&amp;ReportView=4&amp;Qid=1711279&amp;Row=8882&amp;Col=1","No Title Assigned - #15270795745")</f>
        <v/>
      </c>
      <c r="B8890" s="0" t="s">
        <v>11958</v>
      </c>
      <c r="E8890" s="0" t="inlineStr">
        <is>
          <t xml:space="preserve">Mazda</t>
        </is>
      </c>
      <c r="F8890" s="0" t="inlineStr">
        <is>
          <t xml:space="preserve">Mazda</t>
        </is>
      </c>
      <c r="G8890" s="0" t="s">
        <v>171</v>
      </c>
      <c r="H8890" s="5">
        <v>1.444200</v>
      </c>
    </row>
    <row r="8891" spans="1:9">
      <c r="A8891" s="22" t="str">
        <f>HYPERLINK("https://app.vivvix.com/360/KMI/IntelliDrive/ApplUI/Pages/CreativePages/CustomReportCreativeDetail.aspx?App=23&amp;ReportView=4&amp;Qid=1711279&amp;Row=8883&amp;Col=1","No Title Assigned - #15270795747")</f>
        <v/>
      </c>
      <c r="B8891" s="0" t="s">
        <v>11959</v>
      </c>
      <c r="E8891" s="0" t="inlineStr">
        <is>
          <t xml:space="preserve">Mazda</t>
        </is>
      </c>
      <c r="F8891" s="0" t="inlineStr">
        <is>
          <t xml:space="preserve">Mazda</t>
        </is>
      </c>
      <c r="G8891" s="0" t="s">
        <v>171</v>
      </c>
      <c r="H8891" s="5">
        <v>7.383400</v>
      </c>
    </row>
    <row r="8892" spans="1:9">
      <c r="A8892" s="22" t="str">
        <f>HYPERLINK("https://app.vivvix.com/360/KMI/IntelliDrive/ApplUI/Pages/CreativePages/CustomReportCreativeDetail.aspx?App=23&amp;ReportView=4&amp;Qid=1711279&amp;Row=8884&amp;Col=1","No Title Assigned - #15270795755")</f>
        <v/>
      </c>
      <c r="B8892" s="0" t="s">
        <v>11960</v>
      </c>
      <c r="E8892" s="0" t="inlineStr">
        <is>
          <t xml:space="preserve">Mazda</t>
        </is>
      </c>
      <c r="F8892" s="0" t="inlineStr">
        <is>
          <t xml:space="preserve">Mazda</t>
        </is>
      </c>
      <c r="G8892" s="0" t="s">
        <v>171</v>
      </c>
      <c r="H8892" s="5">
        <v>43.183100</v>
      </c>
    </row>
    <row r="8893" spans="1:9">
      <c r="A8893" s="22" t="str">
        <f>HYPERLINK("https://app.vivvix.com/360/KMI/IntelliDrive/ApplUI/Pages/CreativePages/CustomReportCreativeDetail.aspx?App=23&amp;ReportView=4&amp;Qid=1711279&amp;Row=8885&amp;Col=1","No Title Assigned - #15270795829")</f>
        <v/>
      </c>
      <c r="B8893" s="0" t="s">
        <v>11961</v>
      </c>
      <c r="C8893" s="0" t="s">
        <v>11962</v>
      </c>
      <c r="D8893" s="0" t="s">
        <v>11962</v>
      </c>
      <c r="E8893" s="0" t="inlineStr">
        <is>
          <t xml:space="preserve">Mazda</t>
        </is>
      </c>
      <c r="F8893" s="0" t="inlineStr">
        <is>
          <t xml:space="preserve">Mazda</t>
        </is>
      </c>
      <c r="G8893" s="0" t="s">
        <v>171</v>
      </c>
      <c r="H8893" s="5">
        <v>15.660400</v>
      </c>
    </row>
    <row r="8894" spans="1:9">
      <c r="A8894" s="22" t="str">
        <f>HYPERLINK("https://app.vivvix.com/360/KMI/IntelliDrive/ApplUI/Pages/CreativePages/CustomReportCreativeDetail.aspx?App=23&amp;ReportView=4&amp;Qid=1711279&amp;Row=8886&amp;Col=1","No Title Assigned - #15270796019")</f>
        <v/>
      </c>
      <c r="B8894" s="0" t="s">
        <v>11963</v>
      </c>
      <c r="E8894" s="0" t="inlineStr">
        <is>
          <t xml:space="preserve">Mazda</t>
        </is>
      </c>
      <c r="F8894" s="0" t="inlineStr">
        <is>
          <t xml:space="preserve">Mazda</t>
        </is>
      </c>
      <c r="G8894" s="0" t="s">
        <v>171</v>
      </c>
      <c r="H8894" s="5">
        <v>246.823500</v>
      </c>
    </row>
    <row r="8895" spans="1:9">
      <c r="A8895" s="22" t="str">
        <f>HYPERLINK("https://app.vivvix.com/360/KMI/IntelliDrive/ApplUI/Pages/CreativePages/CustomReportCreativeDetail.aspx?App=23&amp;ReportView=4&amp;Qid=1711279&amp;Row=8887&amp;Col=1","No Title Assigned - #15270796172")</f>
        <v/>
      </c>
      <c r="B8895" s="0" t="s">
        <v>11964</v>
      </c>
      <c r="E8895" s="0" t="inlineStr">
        <is>
          <t xml:space="preserve">Mazda</t>
        </is>
      </c>
      <c r="F8895" s="0" t="inlineStr">
        <is>
          <t xml:space="preserve">Mazda</t>
        </is>
      </c>
      <c r="G8895" s="0" t="s">
        <v>171</v>
      </c>
      <c r="H8895" s="5">
        <v>34.792800</v>
      </c>
    </row>
    <row r="8896" spans="1:9">
      <c r="A8896" s="22" t="str">
        <f>HYPERLINK("https://app.vivvix.com/360/KMI/IntelliDrive/ApplUI/Pages/CreativePages/CustomReportCreativeDetail.aspx?App=23&amp;ReportView=4&amp;Qid=1711279&amp;Row=8888&amp;Col=1","No Title Assigned - #15270796240")</f>
        <v/>
      </c>
      <c r="B8896" s="0" t="s">
        <v>11965</v>
      </c>
      <c r="E8896" s="0" t="inlineStr">
        <is>
          <t xml:space="preserve">Mazda</t>
        </is>
      </c>
      <c r="F8896" s="0" t="inlineStr">
        <is>
          <t xml:space="preserve">Mazda</t>
        </is>
      </c>
      <c r="G8896" s="0" t="s">
        <v>171</v>
      </c>
      <c r="H8896" s="5">
        <v>36.995400</v>
      </c>
    </row>
    <row r="8897" spans="1:9">
      <c r="A8897" s="22" t="str">
        <f>HYPERLINK("https://app.vivvix.com/360/KMI/IntelliDrive/ApplUI/Pages/CreativePages/CustomReportCreativeDetail.aspx?App=23&amp;ReportView=4&amp;Qid=1711279&amp;Row=8889&amp;Col=1","No Title Assigned - #15270796241")</f>
        <v/>
      </c>
      <c r="B8897" s="0" t="s">
        <v>11966</v>
      </c>
      <c r="E8897" s="0" t="inlineStr">
        <is>
          <t xml:space="preserve">Mazda</t>
        </is>
      </c>
      <c r="F8897" s="0" t="inlineStr">
        <is>
          <t xml:space="preserve">Mazda</t>
        </is>
      </c>
      <c r="G8897" s="0" t="s">
        <v>171</v>
      </c>
      <c r="H8897" s="5">
        <v>24.318000</v>
      </c>
    </row>
    <row r="8898" spans="1:9">
      <c r="A8898" s="22" t="str">
        <f>HYPERLINK("https://app.vivvix.com/360/KMI/IntelliDrive/ApplUI/Pages/CreativePages/CustomReportCreativeDetail.aspx?App=23&amp;ReportView=4&amp;Qid=1711279&amp;Row=8890&amp;Col=1","No Title Assigned - #15270796242")</f>
        <v/>
      </c>
      <c r="B8898" s="0" t="s">
        <v>11967</v>
      </c>
      <c r="E8898" s="0" t="inlineStr">
        <is>
          <t xml:space="preserve">Mazda</t>
        </is>
      </c>
      <c r="F8898" s="0" t="inlineStr">
        <is>
          <t xml:space="preserve">Mazda</t>
        </is>
      </c>
      <c r="G8898" s="0" t="s">
        <v>171</v>
      </c>
      <c r="H8898" s="5">
        <v>18.497700</v>
      </c>
    </row>
    <row r="8899" spans="1:9">
      <c r="A8899" s="22" t="str">
        <f>HYPERLINK("https://app.vivvix.com/360/KMI/IntelliDrive/ApplUI/Pages/CreativePages/CustomReportCreativeDetail.aspx?App=23&amp;ReportView=4&amp;Qid=1711279&amp;Row=8891&amp;Col=1","No Title Assigned - #15270796574")</f>
        <v/>
      </c>
      <c r="B8899" s="0" t="s">
        <v>11968</v>
      </c>
      <c r="E8899" s="0" t="inlineStr">
        <is>
          <t xml:space="preserve">Mazda</t>
        </is>
      </c>
      <c r="F8899" s="0" t="inlineStr">
        <is>
          <t xml:space="preserve">Mazda</t>
        </is>
      </c>
      <c r="G8899" s="0" t="s">
        <v>171</v>
      </c>
      <c r="H8899" s="5">
        <v>3.331900</v>
      </c>
    </row>
    <row r="8900" spans="1:9">
      <c r="A8900" s="22" t="str">
        <f>HYPERLINK("https://app.vivvix.com/360/KMI/IntelliDrive/ApplUI/Pages/CreativePages/CustomReportCreativeDetail.aspx?App=23&amp;ReportView=4&amp;Qid=1711279&amp;Row=8892&amp;Col=1","No Title Assigned - #15270796810")</f>
        <v/>
      </c>
      <c r="B8900" s="0" t="s">
        <v>11969</v>
      </c>
      <c r="E8900" s="0" t="inlineStr">
        <is>
          <t xml:space="preserve">Mazda</t>
        </is>
      </c>
      <c r="F8900" s="0" t="inlineStr">
        <is>
          <t xml:space="preserve">Mazda</t>
        </is>
      </c>
      <c r="G8900" s="0" t="s">
        <v>171</v>
      </c>
      <c r="H8900" s="5">
        <v>22.700100</v>
      </c>
    </row>
    <row r="8901" spans="1:9">
      <c r="A8901" s="22" t="str">
        <f>HYPERLINK("https://app.vivvix.com/360/KMI/IntelliDrive/ApplUI/Pages/CreativePages/CustomReportCreativeDetail.aspx?App=23&amp;ReportView=4&amp;Qid=1711279&amp;Row=8893&amp;Col=1","No Title Assigned - #15270797236")</f>
        <v/>
      </c>
      <c r="B8901" s="0" t="s">
        <v>11970</v>
      </c>
      <c r="E8901" s="0" t="inlineStr">
        <is>
          <t xml:space="preserve">Mazda</t>
        </is>
      </c>
      <c r="F8901" s="0" t="inlineStr">
        <is>
          <t xml:space="preserve">Mazda</t>
        </is>
      </c>
      <c r="G8901" s="0" t="s">
        <v>171</v>
      </c>
      <c r="H8901" s="5">
        <v>5.734600</v>
      </c>
    </row>
    <row r="8902" spans="1:9">
      <c r="A8902" s="22" t="str">
        <f>HYPERLINK("https://app.vivvix.com/360/KMI/IntelliDrive/ApplUI/Pages/CreativePages/CustomReportCreativeDetail.aspx?App=23&amp;ReportView=4&amp;Qid=1711279&amp;Row=8894&amp;Col=1","No Title Assigned - #15270797249")</f>
        <v/>
      </c>
      <c r="B8902" s="0" t="s">
        <v>11971</v>
      </c>
      <c r="E8902" s="0" t="inlineStr">
        <is>
          <t xml:space="preserve">Mazda</t>
        </is>
      </c>
      <c r="F8902" s="0" t="inlineStr">
        <is>
          <t xml:space="preserve">Mazda</t>
        </is>
      </c>
      <c r="G8902" s="0" t="s">
        <v>171</v>
      </c>
      <c r="H8902" s="5">
        <v>33.032400</v>
      </c>
    </row>
    <row r="8903" spans="1:9">
      <c r="A8903" s="22" t="str">
        <f>HYPERLINK("https://app.vivvix.com/360/KMI/IntelliDrive/ApplUI/Pages/CreativePages/CustomReportCreativeDetail.aspx?App=23&amp;ReportView=4&amp;Qid=1711279&amp;Row=8895&amp;Col=1","No Title Assigned - #15270797528")</f>
        <v/>
      </c>
      <c r="B8903" s="0" t="s">
        <v>11972</v>
      </c>
      <c r="E8903" s="0" t="inlineStr">
        <is>
          <t xml:space="preserve">Mazda</t>
        </is>
      </c>
      <c r="F8903" s="0" t="inlineStr">
        <is>
          <t xml:space="preserve">Mazda</t>
        </is>
      </c>
      <c r="G8903" s="0" t="s">
        <v>171</v>
      </c>
      <c r="H8903" s="5">
        <v>55.835400</v>
      </c>
    </row>
    <row r="8904" spans="1:9">
      <c r="A8904" s="22" t="str">
        <f>HYPERLINK("https://app.vivvix.com/360/KMI/IntelliDrive/ApplUI/Pages/CreativePages/CustomReportCreativeDetail.aspx?App=23&amp;ReportView=4&amp;Qid=1711279&amp;Row=8896&amp;Col=1","No Title Assigned - #15270797623")</f>
        <v/>
      </c>
      <c r="B8904" s="0" t="s">
        <v>11973</v>
      </c>
      <c r="E8904" s="0" t="inlineStr">
        <is>
          <t xml:space="preserve">Mazda</t>
        </is>
      </c>
      <c r="F8904" s="0" t="inlineStr">
        <is>
          <t xml:space="preserve">Mazda</t>
        </is>
      </c>
      <c r="G8904" s="0" t="s">
        <v>171</v>
      </c>
      <c r="H8904" s="5">
        <v>70.510700</v>
      </c>
    </row>
    <row r="8905" spans="1:9">
      <c r="A8905" s="22" t="str">
        <f>HYPERLINK("https://app.vivvix.com/360/KMI/IntelliDrive/ApplUI/Pages/CreativePages/CustomReportCreativeDetail.aspx?App=23&amp;ReportView=4&amp;Qid=1711279&amp;Row=8897&amp;Col=1","No Title Assigned - #15270797655")</f>
        <v/>
      </c>
      <c r="B8905" s="0" t="s">
        <v>11974</v>
      </c>
      <c r="E8905" s="0" t="inlineStr">
        <is>
          <t xml:space="preserve">Mazda</t>
        </is>
      </c>
      <c r="F8905" s="0" t="inlineStr">
        <is>
          <t xml:space="preserve">Mazda</t>
        </is>
      </c>
      <c r="G8905" s="0" t="s">
        <v>171</v>
      </c>
      <c r="H8905" s="5">
        <v>32.477100</v>
      </c>
    </row>
    <row r="8906" spans="1:9">
      <c r="A8906" s="22" t="str">
        <f>HYPERLINK("https://app.vivvix.com/360/KMI/IntelliDrive/ApplUI/Pages/CreativePages/CustomReportCreativeDetail.aspx?App=23&amp;ReportView=4&amp;Qid=1711279&amp;Row=8898&amp;Col=1","No Title Assigned - #15270797812")</f>
        <v/>
      </c>
      <c r="B8906" s="0" t="s">
        <v>11975</v>
      </c>
      <c r="E8906" s="0" t="inlineStr">
        <is>
          <t xml:space="preserve">Mazda</t>
        </is>
      </c>
      <c r="F8906" s="0" t="inlineStr">
        <is>
          <t xml:space="preserve">Mazda</t>
        </is>
      </c>
      <c r="G8906" s="0" t="s">
        <v>171</v>
      </c>
      <c r="H8906" s="5">
        <v>246.823500</v>
      </c>
    </row>
    <row r="8907" spans="1:9">
      <c r="A8907" s="22" t="str">
        <f>HYPERLINK("https://app.vivvix.com/360/KMI/IntelliDrive/ApplUI/Pages/CreativePages/CustomReportCreativeDetail.aspx?App=23&amp;ReportView=4&amp;Qid=1711279&amp;Row=8899&amp;Col=1","No Title Assigned - #15270797890")</f>
        <v/>
      </c>
      <c r="B8907" s="0" t="s">
        <v>11976</v>
      </c>
      <c r="E8907" s="0" t="inlineStr">
        <is>
          <t xml:space="preserve">Mazda</t>
        </is>
      </c>
      <c r="F8907" s="0" t="inlineStr">
        <is>
          <t xml:space="preserve">Mazda</t>
        </is>
      </c>
      <c r="G8907" s="0" t="s">
        <v>171</v>
      </c>
      <c r="H8907" s="5">
        <v>193.014300</v>
      </c>
    </row>
    <row r="8908" spans="1:9">
      <c r="A8908" s="22" t="str">
        <f>HYPERLINK("https://app.vivvix.com/360/KMI/IntelliDrive/ApplUI/Pages/CreativePages/CustomReportCreativeDetail.aspx?App=23&amp;ReportView=4&amp;Qid=1711279&amp;Row=8900&amp;Col=1","No Title Assigned - #15270797929")</f>
        <v/>
      </c>
      <c r="B8908" s="0" t="s">
        <v>11977</v>
      </c>
      <c r="E8908" s="0" t="inlineStr">
        <is>
          <t xml:space="preserve">Mazda</t>
        </is>
      </c>
      <c r="F8908" s="0" t="inlineStr">
        <is>
          <t xml:space="preserve">Mazda</t>
        </is>
      </c>
      <c r="G8908" s="0" t="s">
        <v>171</v>
      </c>
      <c r="H8908" s="5">
        <v>113.997100</v>
      </c>
    </row>
    <row r="8909" spans="1:9">
      <c r="A8909" s="22" t="str">
        <f>HYPERLINK("https://app.vivvix.com/360/KMI/IntelliDrive/ApplUI/Pages/CreativePages/CustomReportCreativeDetail.aspx?App=23&amp;ReportView=4&amp;Qid=1711279&amp;Row=8901&amp;Col=1","No Title Assigned - #15270797997")</f>
        <v/>
      </c>
      <c r="B8909" s="0" t="s">
        <v>11978</v>
      </c>
      <c r="E8909" s="0" t="inlineStr">
        <is>
          <t xml:space="preserve">Mazda</t>
        </is>
      </c>
      <c r="F8909" s="0" t="inlineStr">
        <is>
          <t xml:space="preserve">Mazda</t>
        </is>
      </c>
      <c r="G8909" s="0" t="s">
        <v>171</v>
      </c>
      <c r="H8909" s="5">
        <v>1852.928300</v>
      </c>
    </row>
    <row r="8910" spans="1:9">
      <c r="A8910" s="22" t="str">
        <f>HYPERLINK("https://app.vivvix.com/360/KMI/IntelliDrive/ApplUI/Pages/CreativePages/CustomReportCreativeDetail.aspx?App=23&amp;ReportView=4&amp;Qid=1711279&amp;Row=8902&amp;Col=1","No Title Assigned - #15270798022")</f>
        <v/>
      </c>
      <c r="B8910" s="0" t="s">
        <v>11979</v>
      </c>
      <c r="E8910" s="0" t="inlineStr">
        <is>
          <t xml:space="preserve">Mazda</t>
        </is>
      </c>
      <c r="F8910" s="0" t="inlineStr">
        <is>
          <t xml:space="preserve">Mazda</t>
        </is>
      </c>
      <c r="G8910" s="0" t="s">
        <v>171</v>
      </c>
      <c r="H8910" s="5">
        <v>1.325700</v>
      </c>
    </row>
    <row r="8911" spans="1:9">
      <c r="A8911" s="22" t="str">
        <f>HYPERLINK("https://app.vivvix.com/360/KMI/IntelliDrive/ApplUI/Pages/CreativePages/CustomReportCreativeDetail.aspx?App=23&amp;ReportView=4&amp;Qid=1711279&amp;Row=8903&amp;Col=1","No Title Assigned - #15270798139")</f>
        <v/>
      </c>
      <c r="B8911" s="0" t="s">
        <v>11980</v>
      </c>
      <c r="E8911" s="0" t="inlineStr">
        <is>
          <t xml:space="preserve">Mazda</t>
        </is>
      </c>
      <c r="F8911" s="0" t="inlineStr">
        <is>
          <t xml:space="preserve">Mazda</t>
        </is>
      </c>
      <c r="G8911" s="0" t="s">
        <v>171</v>
      </c>
      <c r="H8911" s="5">
        <v>4733.615700</v>
      </c>
    </row>
    <row r="8912" spans="1:9">
      <c r="A8912" s="22" t="str">
        <f>HYPERLINK("https://app.vivvix.com/360/KMI/IntelliDrive/ApplUI/Pages/CreativePages/CustomReportCreativeDetail.aspx?App=23&amp;ReportView=4&amp;Qid=1711279&amp;Row=8904&amp;Col=1","No Title Assigned - #15270798249")</f>
        <v/>
      </c>
      <c r="B8912" s="0" t="s">
        <v>11981</v>
      </c>
      <c r="E8912" s="0" t="inlineStr">
        <is>
          <t xml:space="preserve">Mazda</t>
        </is>
      </c>
      <c r="F8912" s="0" t="inlineStr">
        <is>
          <t xml:space="preserve">Mazda</t>
        </is>
      </c>
      <c r="G8912" s="0" t="s">
        <v>171</v>
      </c>
      <c r="H8912" s="5">
        <v>403.850400</v>
      </c>
    </row>
    <row r="8913" spans="1:9">
      <c r="A8913" s="22" t="str">
        <f>HYPERLINK("https://app.vivvix.com/360/KMI/IntelliDrive/ApplUI/Pages/CreativePages/CustomReportCreativeDetail.aspx?App=23&amp;ReportView=4&amp;Qid=1711279&amp;Row=8905&amp;Col=1","No Title Assigned - #15270798436")</f>
        <v/>
      </c>
      <c r="B8913" s="0" t="s">
        <v>11982</v>
      </c>
      <c r="E8913" s="0" t="inlineStr">
        <is>
          <t xml:space="preserve">Mazda</t>
        </is>
      </c>
      <c r="F8913" s="0" t="inlineStr">
        <is>
          <t xml:space="preserve">Mazda</t>
        </is>
      </c>
      <c r="G8913" s="0" t="s">
        <v>171</v>
      </c>
      <c r="H8913" s="5">
        <v>288.124800</v>
      </c>
    </row>
    <row r="8914" spans="1:9">
      <c r="A8914" s="22" t="str">
        <f>HYPERLINK("https://app.vivvix.com/360/KMI/IntelliDrive/ApplUI/Pages/CreativePages/CustomReportCreativeDetail.aspx?App=23&amp;ReportView=4&amp;Qid=1711279&amp;Row=8906&amp;Col=1","No Title Assigned - #15270798880")</f>
        <v/>
      </c>
      <c r="B8914" s="0" t="s">
        <v>11983</v>
      </c>
      <c r="E8914" s="0" t="inlineStr">
        <is>
          <t xml:space="preserve">Mazda</t>
        </is>
      </c>
      <c r="F8914" s="0" t="inlineStr">
        <is>
          <t xml:space="preserve">Mazda</t>
        </is>
      </c>
      <c r="G8914" s="0" t="s">
        <v>171</v>
      </c>
      <c r="H8914" s="5">
        <v>17.343800</v>
      </c>
    </row>
    <row r="8915" spans="1:9">
      <c r="A8915" s="22" t="str">
        <f>HYPERLINK("https://app.vivvix.com/360/KMI/IntelliDrive/ApplUI/Pages/CreativePages/CustomReportCreativeDetail.aspx?App=23&amp;ReportView=4&amp;Qid=1711279&amp;Row=8907&amp;Col=1","No Title Assigned - #15270798908")</f>
        <v/>
      </c>
      <c r="B8915" s="0" t="s">
        <v>11984</v>
      </c>
      <c r="E8915" s="0" t="inlineStr">
        <is>
          <t xml:space="preserve">Mazda</t>
        </is>
      </c>
      <c r="F8915" s="0" t="inlineStr">
        <is>
          <t xml:space="preserve">Mazda</t>
        </is>
      </c>
      <c r="G8915" s="0" t="s">
        <v>171</v>
      </c>
      <c r="H8915" s="5">
        <v>114.582600</v>
      </c>
    </row>
    <row r="8916" spans="1:9">
      <c r="A8916" s="22" t="str">
        <f>HYPERLINK("https://app.vivvix.com/360/KMI/IntelliDrive/ApplUI/Pages/CreativePages/CustomReportCreativeDetail.aspx?App=23&amp;ReportView=4&amp;Qid=1711279&amp;Row=8908&amp;Col=1","No Title Assigned - #15270799129")</f>
        <v/>
      </c>
      <c r="B8916" s="0" t="s">
        <v>11985</v>
      </c>
      <c r="C8916" s="0" t="s">
        <v>11986</v>
      </c>
      <c r="D8916" s="0" t="s">
        <v>11986</v>
      </c>
      <c r="E8916" s="0" t="inlineStr">
        <is>
          <t xml:space="preserve">Mazda</t>
        </is>
      </c>
      <c r="F8916" s="0" t="inlineStr">
        <is>
          <t xml:space="preserve">Mazda</t>
        </is>
      </c>
      <c r="G8916" s="0" t="s">
        <v>171</v>
      </c>
      <c r="H8916" s="5">
        <v>40.564200</v>
      </c>
    </row>
    <row r="8917" spans="1:9">
      <c r="A8917" s="22" t="str">
        <f>HYPERLINK("https://app.vivvix.com/360/KMI/IntelliDrive/ApplUI/Pages/CreativePages/CustomReportCreativeDetail.aspx?App=23&amp;ReportView=4&amp;Qid=1711279&amp;Row=8909&amp;Col=1","No Title Assigned - #15270799341")</f>
        <v/>
      </c>
      <c r="B8917" s="0" t="s">
        <v>11987</v>
      </c>
      <c r="E8917" s="0" t="inlineStr">
        <is>
          <t xml:space="preserve">Mazda</t>
        </is>
      </c>
      <c r="F8917" s="0" t="inlineStr">
        <is>
          <t xml:space="preserve">Mazda</t>
        </is>
      </c>
      <c r="G8917" s="0" t="s">
        <v>171</v>
      </c>
      <c r="H8917" s="5">
        <v>29.197500</v>
      </c>
    </row>
    <row r="8918" spans="1:9">
      <c r="A8918" s="22" t="str">
        <f>HYPERLINK("https://app.vivvix.com/360/KMI/IntelliDrive/ApplUI/Pages/CreativePages/CustomReportCreativeDetail.aspx?App=23&amp;ReportView=4&amp;Qid=1711279&amp;Row=8910&amp;Col=1","No Title Assigned - #15270799414")</f>
        <v/>
      </c>
      <c r="B8918" s="0" t="s">
        <v>11988</v>
      </c>
      <c r="E8918" s="0" t="inlineStr">
        <is>
          <t xml:space="preserve">Mazda</t>
        </is>
      </c>
      <c r="F8918" s="0" t="inlineStr">
        <is>
          <t xml:space="preserve">Mazda</t>
        </is>
      </c>
      <c r="G8918" s="0" t="s">
        <v>171</v>
      </c>
      <c r="H8918" s="5">
        <v>12.720200</v>
      </c>
    </row>
    <row r="8919" spans="1:9">
      <c r="A8919" s="22" t="str">
        <f>HYPERLINK("https://app.vivvix.com/360/KMI/IntelliDrive/ApplUI/Pages/CreativePages/CustomReportCreativeDetail.aspx?App=23&amp;ReportView=4&amp;Qid=1711279&amp;Row=8911&amp;Col=1","No Title Assigned - #15270799415")</f>
        <v/>
      </c>
      <c r="B8919" s="0" t="s">
        <v>11989</v>
      </c>
      <c r="E8919" s="0" t="inlineStr">
        <is>
          <t xml:space="preserve">Mazda</t>
        </is>
      </c>
      <c r="F8919" s="0" t="inlineStr">
        <is>
          <t xml:space="preserve">Mazda</t>
        </is>
      </c>
      <c r="G8919" s="0" t="s">
        <v>171</v>
      </c>
      <c r="H8919" s="5">
        <v>12.720200</v>
      </c>
    </row>
    <row r="8920" spans="1:9">
      <c r="A8920" s="22" t="str">
        <f>HYPERLINK("https://app.vivvix.com/360/KMI/IntelliDrive/ApplUI/Pages/CreativePages/CustomReportCreativeDetail.aspx?App=23&amp;ReportView=4&amp;Qid=1711279&amp;Row=8912&amp;Col=1","No Title Assigned - #15270799656")</f>
        <v/>
      </c>
      <c r="B8920" s="0" t="s">
        <v>11990</v>
      </c>
      <c r="C8920" s="0" t="s">
        <v>11991</v>
      </c>
      <c r="D8920" s="0" t="s">
        <v>11991</v>
      </c>
      <c r="E8920" s="0" t="inlineStr">
        <is>
          <t xml:space="preserve">Mazda</t>
        </is>
      </c>
      <c r="F8920" s="0" t="inlineStr">
        <is>
          <t xml:space="preserve">Mazda</t>
        </is>
      </c>
      <c r="G8920" s="0" t="s">
        <v>171</v>
      </c>
      <c r="H8920" s="5">
        <v>8.958800</v>
      </c>
    </row>
    <row r="8921" spans="1:9">
      <c r="A8921" s="22" t="str">
        <f>HYPERLINK("https://app.vivvix.com/360/KMI/IntelliDrive/ApplUI/Pages/CreativePages/CustomReportCreativeDetail.aspx?App=23&amp;ReportView=4&amp;Qid=1711279&amp;Row=8913&amp;Col=1","No Title Assigned - #15270799695")</f>
        <v/>
      </c>
      <c r="B8921" s="0" t="s">
        <v>11992</v>
      </c>
      <c r="C8921" s="0" t="s">
        <v>11993</v>
      </c>
      <c r="D8921" s="0" t="s">
        <v>11993</v>
      </c>
      <c r="E8921" s="0" t="inlineStr">
        <is>
          <t xml:space="preserve">Mazda</t>
        </is>
      </c>
      <c r="F8921" s="0" t="inlineStr">
        <is>
          <t xml:space="preserve">Mazda</t>
        </is>
      </c>
      <c r="G8921" s="0" t="s">
        <v>171</v>
      </c>
      <c r="H8921" s="5">
        <v>6.281100</v>
      </c>
    </row>
    <row r="8922" spans="1:9">
      <c r="A8922" s="22" t="str">
        <f>HYPERLINK("https://app.vivvix.com/360/KMI/IntelliDrive/ApplUI/Pages/CreativePages/CustomReportCreativeDetail.aspx?App=23&amp;ReportView=4&amp;Qid=1711279&amp;Row=8914&amp;Col=1","No Title Assigned - #15270799828")</f>
        <v/>
      </c>
      <c r="B8922" s="0" t="s">
        <v>11994</v>
      </c>
      <c r="E8922" s="0" t="inlineStr">
        <is>
          <t xml:space="preserve">Mazda</t>
        </is>
      </c>
      <c r="F8922" s="0" t="inlineStr">
        <is>
          <t xml:space="preserve">Mazda</t>
        </is>
      </c>
      <c r="G8922" s="0" t="s">
        <v>171</v>
      </c>
      <c r="H8922" s="5">
        <v>269.773000</v>
      </c>
    </row>
    <row r="8923" spans="1:9">
      <c r="A8923" s="22" t="str">
        <f>HYPERLINK("https://app.vivvix.com/360/KMI/IntelliDrive/ApplUI/Pages/CreativePages/CustomReportCreativeDetail.aspx?App=23&amp;ReportView=4&amp;Qid=1711279&amp;Row=8915&amp;Col=1","No Title Assigned - #15270799904")</f>
        <v/>
      </c>
      <c r="B8923" s="0" t="s">
        <v>11995</v>
      </c>
      <c r="E8923" s="0" t="inlineStr">
        <is>
          <t xml:space="preserve">Mazda</t>
        </is>
      </c>
      <c r="F8923" s="0" t="inlineStr">
        <is>
          <t xml:space="preserve">Mazda</t>
        </is>
      </c>
      <c r="G8923" s="0" t="s">
        <v>171</v>
      </c>
      <c r="H8923" s="5">
        <v>30685.000000</v>
      </c>
    </row>
    <row r="8924" spans="1:9">
      <c r="A8924" s="22" t="str">
        <f>HYPERLINK("https://app.vivvix.com/360/KMI/IntelliDrive/ApplUI/Pages/CreativePages/CustomReportCreativeDetail.aspx?App=23&amp;ReportView=4&amp;Qid=1711279&amp;Row=8916&amp;Col=1","No Title Assigned - #15270800008")</f>
        <v/>
      </c>
      <c r="B8924" s="0" t="s">
        <v>11996</v>
      </c>
      <c r="E8924" s="0" t="inlineStr">
        <is>
          <t xml:space="preserve">Mazda</t>
        </is>
      </c>
      <c r="F8924" s="0" t="inlineStr">
        <is>
          <t xml:space="preserve">Mazda</t>
        </is>
      </c>
      <c r="G8924" s="0" t="s">
        <v>171</v>
      </c>
      <c r="H8924" s="5">
        <v>133.618400</v>
      </c>
    </row>
    <row r="8925" spans="1:9">
      <c r="A8925" s="22" t="str">
        <f>HYPERLINK("https://app.vivvix.com/360/KMI/IntelliDrive/ApplUI/Pages/CreativePages/CustomReportCreativeDetail.aspx?App=23&amp;ReportView=4&amp;Qid=1711279&amp;Row=8917&amp;Col=1","No Title Assigned - #15270800065")</f>
        <v/>
      </c>
      <c r="B8925" s="0" t="s">
        <v>11997</v>
      </c>
      <c r="E8925" s="0" t="inlineStr">
        <is>
          <t xml:space="preserve">Mazda</t>
        </is>
      </c>
      <c r="F8925" s="0" t="inlineStr">
        <is>
          <t xml:space="preserve">Mazda</t>
        </is>
      </c>
      <c r="G8925" s="0" t="s">
        <v>171</v>
      </c>
      <c r="H8925" s="5">
        <v>125.327500</v>
      </c>
    </row>
    <row r="8926" spans="1:9">
      <c r="A8926" s="22" t="str">
        <f>HYPERLINK("https://app.vivvix.com/360/KMI/IntelliDrive/ApplUI/Pages/CreativePages/CustomReportCreativeDetail.aspx?App=23&amp;ReportView=4&amp;Qid=1711279&amp;Row=8918&amp;Col=1","No Title Assigned - #15270800142")</f>
        <v/>
      </c>
      <c r="B8926" s="0" t="s">
        <v>11998</v>
      </c>
      <c r="E8926" s="0" t="inlineStr">
        <is>
          <t xml:space="preserve">Mazda</t>
        </is>
      </c>
      <c r="F8926" s="0" t="inlineStr">
        <is>
          <t xml:space="preserve">Mazda</t>
        </is>
      </c>
      <c r="G8926" s="0" t="s">
        <v>171</v>
      </c>
      <c r="H8926" s="5">
        <v>819.450500</v>
      </c>
    </row>
    <row r="8927" spans="1:9">
      <c r="A8927" s="22" t="str">
        <f>HYPERLINK("https://app.vivvix.com/360/KMI/IntelliDrive/ApplUI/Pages/CreativePages/CustomReportCreativeDetail.aspx?App=23&amp;ReportView=4&amp;Qid=1711279&amp;Row=8919&amp;Col=1","No Title Assigned - #15270800343")</f>
        <v/>
      </c>
      <c r="B8927" s="0" t="s">
        <v>11999</v>
      </c>
      <c r="E8927" s="0" t="inlineStr">
        <is>
          <t xml:space="preserve">Mazda</t>
        </is>
      </c>
      <c r="F8927" s="0" t="s">
        <v>21</v>
      </c>
      <c r="G8927" s="0" t="s">
        <v>22</v>
      </c>
      <c r="H8927" s="5">
        <v>1924.080800</v>
      </c>
    </row>
    <row r="8928" spans="1:9">
      <c r="A8928" s="22" t="str">
        <f>HYPERLINK("https://app.vivvix.com/360/KMI/IntelliDrive/ApplUI/Pages/CreativePages/CustomReportCreativeDetail.aspx?App=23&amp;ReportView=4&amp;Qid=1711279&amp;Row=8920&amp;Col=1","No Title Assigned - #15270800384")</f>
        <v/>
      </c>
      <c r="B8928" s="0" t="s">
        <v>12000</v>
      </c>
      <c r="E8928" s="0" t="inlineStr">
        <is>
          <t xml:space="preserve">Mazda</t>
        </is>
      </c>
      <c r="F8928" s="0" t="inlineStr">
        <is>
          <t xml:space="preserve">Mazda</t>
        </is>
      </c>
      <c r="G8928" s="0" t="s">
        <v>171</v>
      </c>
      <c r="H8928" s="5">
        <v>22.149000</v>
      </c>
    </row>
    <row r="8929" spans="1:9">
      <c r="A8929" s="22" t="str">
        <f>HYPERLINK("https://app.vivvix.com/360/KMI/IntelliDrive/ApplUI/Pages/CreativePages/CustomReportCreativeDetail.aspx?App=23&amp;ReportView=4&amp;Qid=1711279&amp;Row=8921&amp;Col=1","No Title Assigned - #15270800618")</f>
        <v/>
      </c>
      <c r="B8929" s="0" t="s">
        <v>12001</v>
      </c>
      <c r="E8929" s="0" t="inlineStr">
        <is>
          <t xml:space="preserve">Mazda</t>
        </is>
      </c>
      <c r="F8929" s="0" t="inlineStr">
        <is>
          <t xml:space="preserve">Mazda</t>
        </is>
      </c>
      <c r="G8929" s="0" t="s">
        <v>171</v>
      </c>
      <c r="H8929" s="5">
        <v>309.717400</v>
      </c>
    </row>
    <row r="8930" spans="1:9">
      <c r="A8930" s="22" t="str">
        <f>HYPERLINK("https://app.vivvix.com/360/KMI/IntelliDrive/ApplUI/Pages/CreativePages/CustomReportCreativeDetail.aspx?App=23&amp;ReportView=4&amp;Qid=1711279&amp;Row=8922&amp;Col=1","No Title Assigned - #15270800887")</f>
        <v/>
      </c>
      <c r="B8930" s="0" t="s">
        <v>12002</v>
      </c>
      <c r="E8930" s="0" t="inlineStr">
        <is>
          <t xml:space="preserve">Mazda</t>
        </is>
      </c>
      <c r="F8930" s="0" t="inlineStr">
        <is>
          <t xml:space="preserve">Mazda</t>
        </is>
      </c>
      <c r="G8930" s="0" t="s">
        <v>171</v>
      </c>
      <c r="H8930" s="5">
        <v>88.737800</v>
      </c>
    </row>
    <row r="8931" spans="1:9">
      <c r="A8931" s="22" t="str">
        <f>HYPERLINK("https://app.vivvix.com/360/KMI/IntelliDrive/ApplUI/Pages/CreativePages/CustomReportCreativeDetail.aspx?App=23&amp;ReportView=4&amp;Qid=1711279&amp;Row=8923&amp;Col=1","No Title Assigned - #15270800975")</f>
        <v/>
      </c>
      <c r="B8931" s="0" t="s">
        <v>12003</v>
      </c>
      <c r="E8931" s="0" t="inlineStr">
        <is>
          <t xml:space="preserve">Mazda</t>
        </is>
      </c>
      <c r="F8931" s="0" t="inlineStr">
        <is>
          <t xml:space="preserve">Mazda</t>
        </is>
      </c>
      <c r="G8931" s="0" t="s">
        <v>171</v>
      </c>
      <c r="H8931" s="5">
        <v>494.094100</v>
      </c>
    </row>
    <row r="8932" spans="1:9">
      <c r="A8932" s="22" t="str">
        <f>HYPERLINK("https://app.vivvix.com/360/KMI/IntelliDrive/ApplUI/Pages/CreativePages/CustomReportCreativeDetail.aspx?App=23&amp;ReportView=4&amp;Qid=1711279&amp;Row=8924&amp;Col=1","No Title Assigned - #15270801216")</f>
        <v/>
      </c>
      <c r="B8932" s="0" t="s">
        <v>12004</v>
      </c>
      <c r="E8932" s="0" t="inlineStr">
        <is>
          <t xml:space="preserve">Mazda</t>
        </is>
      </c>
      <c r="F8932" s="0" t="inlineStr">
        <is>
          <t xml:space="preserve">Mazda</t>
        </is>
      </c>
      <c r="G8932" s="0" t="s">
        <v>171</v>
      </c>
      <c r="H8932" s="5">
        <v>4642.474300</v>
      </c>
    </row>
    <row r="8933" spans="1:9">
      <c r="A8933" s="22" t="str">
        <f>HYPERLINK("https://app.vivvix.com/360/KMI/IntelliDrive/ApplUI/Pages/CreativePages/CustomReportCreativeDetail.aspx?App=23&amp;ReportView=4&amp;Qid=1711279&amp;Row=8925&amp;Col=1","No Title Assigned - #15270801826")</f>
        <v/>
      </c>
      <c r="B8933" s="0" t="s">
        <v>12005</v>
      </c>
      <c r="E8933" s="0" t="inlineStr">
        <is>
          <t xml:space="preserve">Mazda</t>
        </is>
      </c>
      <c r="F8933" s="0" t="inlineStr">
        <is>
          <t xml:space="preserve">Mazda</t>
        </is>
      </c>
      <c r="G8933" s="0" t="s">
        <v>171</v>
      </c>
      <c r="H8933" s="5">
        <v>558.177700</v>
      </c>
    </row>
    <row r="8934" spans="1:9">
      <c r="A8934" s="22" t="str">
        <f>HYPERLINK("https://app.vivvix.com/360/KMI/IntelliDrive/ApplUI/Pages/CreativePages/CustomReportCreativeDetail.aspx?App=23&amp;ReportView=4&amp;Qid=1711279&amp;Row=8926&amp;Col=1","No Title Assigned - #15270801875")</f>
        <v/>
      </c>
      <c r="B8934" s="0" t="s">
        <v>12006</v>
      </c>
      <c r="E8934" s="0" t="inlineStr">
        <is>
          <t xml:space="preserve">Mazda</t>
        </is>
      </c>
      <c r="F8934" s="0" t="inlineStr">
        <is>
          <t xml:space="preserve">Mazda</t>
        </is>
      </c>
      <c r="G8934" s="0" t="s">
        <v>171</v>
      </c>
      <c r="H8934" s="5">
        <v>363.921500</v>
      </c>
    </row>
    <row r="8935" spans="1:9">
      <c r="A8935" s="22" t="str">
        <f>HYPERLINK("https://app.vivvix.com/360/KMI/IntelliDrive/ApplUI/Pages/CreativePages/CustomReportCreativeDetail.aspx?App=23&amp;ReportView=4&amp;Qid=1711279&amp;Row=8927&amp;Col=1","No Title Assigned - #15270801902")</f>
        <v/>
      </c>
      <c r="B8935" s="0" t="s">
        <v>12007</v>
      </c>
      <c r="E8935" s="0" t="inlineStr">
        <is>
          <t xml:space="preserve">Mazda</t>
        </is>
      </c>
      <c r="F8935" s="0" t="inlineStr">
        <is>
          <t xml:space="preserve">Mazda</t>
        </is>
      </c>
      <c r="G8935" s="0" t="s">
        <v>171</v>
      </c>
      <c r="H8935" s="5">
        <v>306.705400</v>
      </c>
    </row>
    <row r="8936" spans="1:9">
      <c r="A8936" s="22" t="str">
        <f>HYPERLINK("https://app.vivvix.com/360/KMI/IntelliDrive/ApplUI/Pages/CreativePages/CustomReportCreativeDetail.aspx?App=23&amp;ReportView=4&amp;Qid=1711279&amp;Row=8928&amp;Col=1","No Title Assigned - #15270802413")</f>
        <v/>
      </c>
      <c r="B8936" s="0" t="s">
        <v>12008</v>
      </c>
      <c r="E8936" s="0" t="inlineStr">
        <is>
          <t xml:space="preserve">Mazda</t>
        </is>
      </c>
      <c r="F8936" s="0" t="inlineStr">
        <is>
          <t xml:space="preserve">Mazda</t>
        </is>
      </c>
      <c r="G8936" s="0" t="s">
        <v>171</v>
      </c>
      <c r="H8936" s="5">
        <v>23314.505900</v>
      </c>
    </row>
    <row r="8937" spans="1:9">
      <c r="A8937" s="22" t="str">
        <f>HYPERLINK("https://app.vivvix.com/360/KMI/IntelliDrive/ApplUI/Pages/CreativePages/CustomReportCreativeDetail.aspx?App=23&amp;ReportView=4&amp;Qid=1711279&amp;Row=8929&amp;Col=1","No Title Assigned - #15270802444")</f>
        <v/>
      </c>
      <c r="B8937" s="0" t="s">
        <v>12009</v>
      </c>
      <c r="E8937" s="0" t="inlineStr">
        <is>
          <t xml:space="preserve">Mazda</t>
        </is>
      </c>
      <c r="F8937" s="0" t="inlineStr">
        <is>
          <t xml:space="preserve">Mazda</t>
        </is>
      </c>
      <c r="G8937" s="0" t="s">
        <v>171</v>
      </c>
      <c r="H8937" s="5">
        <v>18801.835200</v>
      </c>
    </row>
    <row r="8938" spans="1:9">
      <c r="A8938" s="22" t="str">
        <f>HYPERLINK("https://app.vivvix.com/360/KMI/IntelliDrive/ApplUI/Pages/CreativePages/CustomReportCreativeDetail.aspx?App=23&amp;ReportView=4&amp;Qid=1711279&amp;Row=8930&amp;Col=1","No Title Assigned - #15270802444")</f>
        <v/>
      </c>
      <c r="B8938" s="0" t="s">
        <v>12009</v>
      </c>
      <c r="E8938" s="0" t="inlineStr">
        <is>
          <t xml:space="preserve">Mazda</t>
        </is>
      </c>
      <c r="F8938" s="0" t="inlineStr">
        <is>
          <t xml:space="preserve">Mazda</t>
        </is>
      </c>
      <c r="G8938" s="0" t="s">
        <v>171</v>
      </c>
      <c r="H8938" s="5">
        <v>610.361200</v>
      </c>
    </row>
    <row r="8939" spans="1:9">
      <c r="A8939" s="22" t="str">
        <f>HYPERLINK("https://app.vivvix.com/360/KMI/IntelliDrive/ApplUI/Pages/CreativePages/CustomReportCreativeDetail.aspx?App=23&amp;ReportView=4&amp;Qid=1711279&amp;Row=8931&amp;Col=1","No Title Assigned - #15270802776")</f>
        <v/>
      </c>
      <c r="B8939" s="0" t="s">
        <v>12010</v>
      </c>
      <c r="E8939" s="0" t="inlineStr">
        <is>
          <t xml:space="preserve">Mazda</t>
        </is>
      </c>
      <c r="F8939" s="0" t="inlineStr">
        <is>
          <t xml:space="preserve">Mazda</t>
        </is>
      </c>
      <c r="G8939" s="0" t="s">
        <v>171</v>
      </c>
      <c r="H8939" s="5">
        <v>61.657000</v>
      </c>
    </row>
    <row r="8940" spans="1:9">
      <c r="A8940" s="22" t="str">
        <f>HYPERLINK("https://app.vivvix.com/360/KMI/IntelliDrive/ApplUI/Pages/CreativePages/CustomReportCreativeDetail.aspx?App=23&amp;ReportView=4&amp;Qid=1711279&amp;Row=8932&amp;Col=1","No Title Assigned - #15270803126")</f>
        <v/>
      </c>
      <c r="B8940" s="0" t="s">
        <v>12011</v>
      </c>
      <c r="E8940" s="0" t="inlineStr">
        <is>
          <t xml:space="preserve">Mazda</t>
        </is>
      </c>
      <c r="F8940" s="0" t="inlineStr">
        <is>
          <t xml:space="preserve">Mazda</t>
        </is>
      </c>
      <c r="G8940" s="0" t="s">
        <v>171</v>
      </c>
      <c r="H8940" s="5">
        <v>832.458000</v>
      </c>
    </row>
    <row r="8941" spans="1:9">
      <c r="A8941" s="22" t="str">
        <f>HYPERLINK("https://app.vivvix.com/360/KMI/IntelliDrive/ApplUI/Pages/CreativePages/CustomReportCreativeDetail.aspx?App=23&amp;ReportView=4&amp;Qid=1711279&amp;Row=8933&amp;Col=1","No Title Assigned - #15270803211")</f>
        <v/>
      </c>
      <c r="B8941" s="0" t="s">
        <v>12012</v>
      </c>
      <c r="E8941" s="0" t="inlineStr">
        <is>
          <t xml:space="preserve">Mazda</t>
        </is>
      </c>
      <c r="F8941" s="0" t="inlineStr">
        <is>
          <t xml:space="preserve">Mazda</t>
        </is>
      </c>
      <c r="G8941" s="0" t="s">
        <v>171</v>
      </c>
      <c r="H8941" s="5">
        <v>24.314200</v>
      </c>
    </row>
    <row r="8942" spans="1:9">
      <c r="A8942" s="22" t="str">
        <f>HYPERLINK("https://app.vivvix.com/360/KMI/IntelliDrive/ApplUI/Pages/CreativePages/CustomReportCreativeDetail.aspx?App=23&amp;ReportView=4&amp;Qid=1711279&amp;Row=8934&amp;Col=1","No Title Assigned - #15270803224")</f>
        <v/>
      </c>
      <c r="B8942" s="0" t="s">
        <v>12013</v>
      </c>
      <c r="E8942" s="0" t="inlineStr">
        <is>
          <t xml:space="preserve">Mazda</t>
        </is>
      </c>
      <c r="F8942" s="0" t="inlineStr">
        <is>
          <t xml:space="preserve">Mazda</t>
        </is>
      </c>
      <c r="G8942" s="0" t="s">
        <v>171</v>
      </c>
      <c r="H8942" s="5">
        <v>62.024100</v>
      </c>
    </row>
    <row r="8943" spans="1:9">
      <c r="A8943" s="22" t="str">
        <f>HYPERLINK("https://app.vivvix.com/360/KMI/IntelliDrive/ApplUI/Pages/CreativePages/CustomReportCreativeDetail.aspx?App=23&amp;ReportView=4&amp;Qid=1711279&amp;Row=8935&amp;Col=1","No Title Assigned - #15270803774")</f>
        <v/>
      </c>
      <c r="B8943" s="0" t="s">
        <v>12014</v>
      </c>
      <c r="E8943" s="0" t="inlineStr">
        <is>
          <t xml:space="preserve">Mazda</t>
        </is>
      </c>
      <c r="F8943" s="0" t="inlineStr">
        <is>
          <t xml:space="preserve">Mazda</t>
        </is>
      </c>
      <c r="G8943" s="0" t="s">
        <v>171</v>
      </c>
      <c r="H8943" s="5">
        <v>15897.900400</v>
      </c>
    </row>
    <row r="8944" spans="1:9">
      <c r="A8944" s="22" t="str">
        <f>HYPERLINK("https://app.vivvix.com/360/KMI/IntelliDrive/ApplUI/Pages/CreativePages/CustomReportCreativeDetail.aspx?App=23&amp;ReportView=4&amp;Qid=1711279&amp;Row=8936&amp;Col=1","No Title Assigned - #15270806406")</f>
        <v/>
      </c>
      <c r="B8944" s="0" t="s">
        <v>12015</v>
      </c>
      <c r="E8944" s="0" t="inlineStr">
        <is>
          <t xml:space="preserve">Mazda</t>
        </is>
      </c>
      <c r="F8944" s="0" t="inlineStr">
        <is>
          <t xml:space="preserve">Mazda</t>
        </is>
      </c>
      <c r="G8944" s="0" t="s">
        <v>171</v>
      </c>
      <c r="H8944" s="5">
        <v>2825.589900</v>
      </c>
    </row>
    <row r="8945" spans="1:9">
      <c r="A8945" s="22" t="str">
        <f>HYPERLINK("https://app.vivvix.com/360/KMI/IntelliDrive/ApplUI/Pages/CreativePages/CustomReportCreativeDetail.aspx?App=23&amp;ReportView=4&amp;Qid=1711279&amp;Row=8937&amp;Col=1","No Title Assigned - #15270806406")</f>
        <v/>
      </c>
      <c r="B8945" s="0" t="s">
        <v>12015</v>
      </c>
      <c r="E8945" s="0" t="inlineStr">
        <is>
          <t xml:space="preserve">Mazda</t>
        </is>
      </c>
      <c r="F8945" s="0" t="inlineStr">
        <is>
          <t xml:space="preserve">Mazda</t>
        </is>
      </c>
      <c r="G8945" s="0" t="s">
        <v>171</v>
      </c>
      <c r="H8945" s="5">
        <v>1577.366200</v>
      </c>
    </row>
    <row r="8946" spans="1:9">
      <c r="A8946" s="22" t="str">
        <f>HYPERLINK("https://app.vivvix.com/360/KMI/IntelliDrive/ApplUI/Pages/CreativePages/CustomReportCreativeDetail.aspx?App=23&amp;ReportView=4&amp;Qid=1711279&amp;Row=8938&amp;Col=1","No Title Assigned - #15270806952")</f>
        <v/>
      </c>
      <c r="B8946" s="0" t="s">
        <v>12016</v>
      </c>
      <c r="E8946" s="0" t="inlineStr">
        <is>
          <t xml:space="preserve">Mazda</t>
        </is>
      </c>
      <c r="F8946" s="0" t="inlineStr">
        <is>
          <t xml:space="preserve">Mazda</t>
        </is>
      </c>
      <c r="G8946" s="0" t="s">
        <v>171</v>
      </c>
      <c r="H8946" s="5">
        <v>13.983800</v>
      </c>
    </row>
    <row r="8947" spans="1:9">
      <c r="A8947" s="22" t="str">
        <f>HYPERLINK("https://app.vivvix.com/360/KMI/IntelliDrive/ApplUI/Pages/CreativePages/CustomReportCreativeDetail.aspx?App=23&amp;ReportView=4&amp;Qid=1711279&amp;Row=8939&amp;Col=1","No Title Assigned - #15270807028")</f>
        <v/>
      </c>
      <c r="B8947" s="0" t="s">
        <v>12017</v>
      </c>
      <c r="E8947" s="0" t="inlineStr">
        <is>
          <t xml:space="preserve">Mazda</t>
        </is>
      </c>
      <c r="F8947" s="0" t="inlineStr">
        <is>
          <t xml:space="preserve">Mazda</t>
        </is>
      </c>
      <c r="G8947" s="0" t="s">
        <v>171</v>
      </c>
      <c r="H8947" s="5">
        <v>23840.067800</v>
      </c>
    </row>
    <row r="8948" spans="1:9">
      <c r="A8948" s="22" t="str">
        <f>HYPERLINK("https://app.vivvix.com/360/KMI/IntelliDrive/ApplUI/Pages/CreativePages/CustomReportCreativeDetail.aspx?App=23&amp;ReportView=4&amp;Qid=1711279&amp;Row=8940&amp;Col=1","No Title Assigned - #15270807028")</f>
        <v/>
      </c>
      <c r="B8948" s="0" t="s">
        <v>12017</v>
      </c>
      <c r="E8948" s="0" t="inlineStr">
        <is>
          <t xml:space="preserve">Mazda</t>
        </is>
      </c>
      <c r="F8948" s="0" t="inlineStr">
        <is>
          <t xml:space="preserve">Mazda</t>
        </is>
      </c>
      <c r="G8948" s="0" t="s">
        <v>171</v>
      </c>
      <c r="H8948" s="5">
        <v>13.625000</v>
      </c>
    </row>
    <row r="8949" spans="1:9">
      <c r="A8949" s="22" t="str">
        <f>HYPERLINK("https://app.vivvix.com/360/KMI/IntelliDrive/ApplUI/Pages/CreativePages/CustomReportCreativeDetail.aspx?App=23&amp;ReportView=4&amp;Qid=1711279&amp;Row=8941&amp;Col=1","No Title Assigned - #15270807814")</f>
        <v/>
      </c>
      <c r="B8949" s="0" t="s">
        <v>12018</v>
      </c>
      <c r="E8949" s="0" t="inlineStr">
        <is>
          <t xml:space="preserve">Mazda</t>
        </is>
      </c>
      <c r="F8949" s="0" t="inlineStr">
        <is>
          <t xml:space="preserve">Mazda</t>
        </is>
      </c>
      <c r="G8949" s="0" t="s">
        <v>171</v>
      </c>
      <c r="H8949" s="5">
        <v>45.957600</v>
      </c>
    </row>
    <row r="8950" spans="1:9">
      <c r="A8950" s="22" t="str">
        <f>HYPERLINK("https://app.vivvix.com/360/KMI/IntelliDrive/ApplUI/Pages/CreativePages/CustomReportCreativeDetail.aspx?App=23&amp;ReportView=4&amp;Qid=1711279&amp;Row=8942&amp;Col=1","No Title Assigned - #15270808434")</f>
        <v/>
      </c>
      <c r="B8950" s="0" t="s">
        <v>12019</v>
      </c>
      <c r="E8950" s="0" t="inlineStr">
        <is>
          <t xml:space="preserve">Mazda</t>
        </is>
      </c>
      <c r="F8950" s="0" t="s">
        <v>21</v>
      </c>
      <c r="G8950" s="0" t="s">
        <v>22</v>
      </c>
      <c r="H8950" s="5">
        <v>144749.116700</v>
      </c>
    </row>
    <row r="8951" spans="1:9">
      <c r="A8951" s="22" t="str">
        <f>HYPERLINK("https://app.vivvix.com/360/KMI/IntelliDrive/ApplUI/Pages/CreativePages/CustomReportCreativeDetail.aspx?App=23&amp;ReportView=4&amp;Qid=1711279&amp;Row=8943&amp;Col=1","No Title Assigned - #15270810955")</f>
        <v/>
      </c>
      <c r="B8951" s="0" t="s">
        <v>12020</v>
      </c>
      <c r="E8951" s="0" t="inlineStr">
        <is>
          <t xml:space="preserve">Mazda</t>
        </is>
      </c>
      <c r="F8951" s="0" t="s">
        <v>21</v>
      </c>
      <c r="G8951" s="0" t="s">
        <v>22</v>
      </c>
      <c r="H8951" s="5">
        <v>817.727500</v>
      </c>
    </row>
    <row r="8952" spans="1:9">
      <c r="A8952" s="22" t="str">
        <f>HYPERLINK("https://app.vivvix.com/360/KMI/IntelliDrive/ApplUI/Pages/CreativePages/CustomReportCreativeDetail.aspx?App=23&amp;ReportView=4&amp;Qid=1711279&amp;Row=8944&amp;Col=1","No Title Assigned - #15270810972")</f>
        <v/>
      </c>
      <c r="B8952" s="0" t="s">
        <v>12021</v>
      </c>
      <c r="C8952" s="0" t="s">
        <v>12022</v>
      </c>
      <c r="D8952" s="0" t="s">
        <v>12022</v>
      </c>
      <c r="E8952" s="0" t="inlineStr">
        <is>
          <t xml:space="preserve">Mazda</t>
        </is>
      </c>
      <c r="F8952" s="0" t="inlineStr">
        <is>
          <t xml:space="preserve">Mazda</t>
        </is>
      </c>
      <c r="G8952" s="0" t="s">
        <v>171</v>
      </c>
      <c r="H8952" s="5">
        <v>494.989900</v>
      </c>
    </row>
    <row r="8953" spans="1:9">
      <c r="A8953" s="22" t="str">
        <f>HYPERLINK("https://app.vivvix.com/360/KMI/IntelliDrive/ApplUI/Pages/CreativePages/CustomReportCreativeDetail.aspx?App=23&amp;ReportView=4&amp;Qid=1711279&amp;Row=8945&amp;Col=1","No Title Assigned - #15270813139")</f>
        <v/>
      </c>
      <c r="B8953" s="0" t="s">
        <v>12023</v>
      </c>
      <c r="E8953" s="0" t="inlineStr">
        <is>
          <t xml:space="preserve">Mazda</t>
        </is>
      </c>
      <c r="F8953" s="0" t="inlineStr">
        <is>
          <t xml:space="preserve">Mazda</t>
        </is>
      </c>
      <c r="G8953" s="0" t="s">
        <v>171</v>
      </c>
      <c r="H8953" s="5">
        <v>11875.460300</v>
      </c>
    </row>
    <row r="8954" spans="1:9">
      <c r="A8954" s="22" t="str">
        <f>HYPERLINK("https://app.vivvix.com/360/KMI/IntelliDrive/ApplUI/Pages/CreativePages/CustomReportCreativeDetail.aspx?App=23&amp;ReportView=4&amp;Qid=1711279&amp;Row=8946&amp;Col=1","No Title Assigned - #15270813139")</f>
        <v/>
      </c>
      <c r="B8954" s="0" t="s">
        <v>12023</v>
      </c>
      <c r="E8954" s="0" t="inlineStr">
        <is>
          <t xml:space="preserve">Mazda</t>
        </is>
      </c>
      <c r="F8954" s="0" t="inlineStr">
        <is>
          <t xml:space="preserve">Mazda</t>
        </is>
      </c>
      <c r="G8954" s="0" t="s">
        <v>171</v>
      </c>
      <c r="H8954" s="5">
        <v>8449.507600</v>
      </c>
    </row>
    <row r="8955" spans="1:9">
      <c r="A8955" s="22" t="str">
        <f>HYPERLINK("https://app.vivvix.com/360/KMI/IntelliDrive/ApplUI/Pages/CreativePages/CustomReportCreativeDetail.aspx?App=23&amp;ReportView=4&amp;Qid=1711279&amp;Row=8947&amp;Col=1","No Title Assigned - #15270814038")</f>
        <v/>
      </c>
      <c r="B8955" s="0" t="s">
        <v>12024</v>
      </c>
      <c r="E8955" s="0" t="inlineStr">
        <is>
          <t xml:space="preserve">Mazda</t>
        </is>
      </c>
      <c r="F8955" s="0" t="inlineStr">
        <is>
          <t xml:space="preserve">Mazda</t>
        </is>
      </c>
      <c r="G8955" s="0" t="s">
        <v>171</v>
      </c>
      <c r="H8955" s="5">
        <v>4.780700</v>
      </c>
    </row>
    <row r="8956" spans="1:9">
      <c r="A8956" s="22" t="str">
        <f>HYPERLINK("https://app.vivvix.com/360/KMI/IntelliDrive/ApplUI/Pages/CreativePages/CustomReportCreativeDetail.aspx?App=23&amp;ReportView=4&amp;Qid=1711279&amp;Row=8948&amp;Col=1","No Title Assigned - #15270814255")</f>
        <v/>
      </c>
      <c r="B8956" s="0" t="s">
        <v>12025</v>
      </c>
      <c r="E8956" s="0" t="inlineStr">
        <is>
          <t xml:space="preserve">Mazda</t>
        </is>
      </c>
      <c r="F8956" s="0" t="inlineStr">
        <is>
          <t xml:space="preserve">Mazda</t>
        </is>
      </c>
      <c r="G8956" s="0" t="s">
        <v>171</v>
      </c>
      <c r="H8956" s="5">
        <v>6.281100</v>
      </c>
    </row>
    <row r="8957" spans="1:9">
      <c r="A8957" s="22" t="str">
        <f>HYPERLINK("https://app.vivvix.com/360/KMI/IntelliDrive/ApplUI/Pages/CreativePages/CustomReportCreativeDetail.aspx?App=23&amp;ReportView=4&amp;Qid=1711279&amp;Row=8949&amp;Col=1","No Title Assigned - #15270814485")</f>
        <v/>
      </c>
      <c r="B8957" s="0" t="s">
        <v>12026</v>
      </c>
      <c r="E8957" s="0" t="inlineStr">
        <is>
          <t xml:space="preserve">Mazda</t>
        </is>
      </c>
      <c r="F8957" s="0" t="inlineStr">
        <is>
          <t xml:space="preserve">Mazda</t>
        </is>
      </c>
      <c r="G8957" s="0" t="s">
        <v>171</v>
      </c>
      <c r="H8957" s="5">
        <v>18.348200</v>
      </c>
    </row>
    <row r="8958" spans="1:9">
      <c r="A8958" s="22" t="str">
        <f>HYPERLINK("https://app.vivvix.com/360/KMI/IntelliDrive/ApplUI/Pages/CreativePages/CustomReportCreativeDetail.aspx?App=23&amp;ReportView=4&amp;Qid=1711279&amp;Row=8950&amp;Col=1","No Title Assigned - #15270816243")</f>
        <v/>
      </c>
      <c r="B8958" s="0" t="s">
        <v>12027</v>
      </c>
      <c r="E8958" s="0" t="inlineStr">
        <is>
          <t xml:space="preserve">Mazda</t>
        </is>
      </c>
      <c r="F8958" s="0" t="s">
        <v>21</v>
      </c>
      <c r="G8958" s="0" t="s">
        <v>22</v>
      </c>
      <c r="H8958" s="5">
        <v>1132.750700</v>
      </c>
    </row>
    <row r="8959" spans="1:9">
      <c r="A8959" s="22" t="str">
        <f>HYPERLINK("https://app.vivvix.com/360/KMI/IntelliDrive/ApplUI/Pages/CreativePages/CustomReportCreativeDetail.aspx?App=23&amp;ReportView=4&amp;Qid=1711279&amp;Row=8951&amp;Col=1","No Title Assigned - #15270816903")</f>
        <v/>
      </c>
      <c r="B8959" s="0" t="s">
        <v>12028</v>
      </c>
      <c r="E8959" s="0" t="inlineStr">
        <is>
          <t xml:space="preserve">Mazda</t>
        </is>
      </c>
      <c r="F8959" s="0" t="inlineStr">
        <is>
          <t xml:space="preserve">Mazda</t>
        </is>
      </c>
      <c r="G8959" s="0" t="s">
        <v>171</v>
      </c>
      <c r="H8959" s="5">
        <v>361.759000</v>
      </c>
    </row>
    <row r="8960" spans="1:9">
      <c r="A8960" s="22" t="str">
        <f>HYPERLINK("https://app.vivvix.com/360/KMI/IntelliDrive/ApplUI/Pages/CreativePages/CustomReportCreativeDetail.aspx?App=23&amp;ReportView=4&amp;Qid=1711279&amp;Row=8952&amp;Col=1","No Title Assigned - #15270817116")</f>
        <v/>
      </c>
      <c r="B8960" s="0" t="s">
        <v>12029</v>
      </c>
      <c r="E8960" s="0" t="inlineStr">
        <is>
          <t xml:space="preserve">Mazda</t>
        </is>
      </c>
      <c r="F8960" s="0" t="inlineStr">
        <is>
          <t xml:space="preserve">Mazda</t>
        </is>
      </c>
      <c r="G8960" s="0" t="s">
        <v>171</v>
      </c>
      <c r="H8960" s="5">
        <v>7615.195300</v>
      </c>
    </row>
    <row r="8961" spans="1:9">
      <c r="A8961" s="22" t="str">
        <f>HYPERLINK("https://app.vivvix.com/360/KMI/IntelliDrive/ApplUI/Pages/CreativePages/CustomReportCreativeDetail.aspx?App=23&amp;ReportView=4&amp;Qid=1711279&amp;Row=8953&amp;Col=1","No Title Assigned - #15270817159")</f>
        <v/>
      </c>
      <c r="B8961" s="0" t="s">
        <v>12030</v>
      </c>
      <c r="E8961" s="0" t="inlineStr">
        <is>
          <t xml:space="preserve">Mazda</t>
        </is>
      </c>
      <c r="F8961" s="0" t="inlineStr">
        <is>
          <t xml:space="preserve">Mazda</t>
        </is>
      </c>
      <c r="G8961" s="0" t="s">
        <v>171</v>
      </c>
      <c r="H8961" s="5">
        <v>11.562500</v>
      </c>
    </row>
    <row r="8962" spans="1:9">
      <c r="A8962" s="22" t="str">
        <f>HYPERLINK("https://app.vivvix.com/360/KMI/IntelliDrive/ApplUI/Pages/CreativePages/CustomReportCreativeDetail.aspx?App=23&amp;ReportView=4&amp;Qid=1711279&amp;Row=8954&amp;Col=1","No Title Assigned - #15270818180")</f>
        <v/>
      </c>
      <c r="B8962" s="0" t="s">
        <v>12031</v>
      </c>
      <c r="E8962" s="0" t="inlineStr">
        <is>
          <t xml:space="preserve">Mazda</t>
        </is>
      </c>
      <c r="F8962" s="0" t="inlineStr">
        <is>
          <t xml:space="preserve">Mazda</t>
        </is>
      </c>
      <c r="G8962" s="0" t="s">
        <v>171</v>
      </c>
      <c r="H8962" s="5">
        <v>146.012900</v>
      </c>
    </row>
    <row r="8963" spans="1:9">
      <c r="A8963" s="22" t="str">
        <f>HYPERLINK("https://app.vivvix.com/360/KMI/IntelliDrive/ApplUI/Pages/CreativePages/CustomReportCreativeDetail.aspx?App=23&amp;ReportView=4&amp;Qid=1711279&amp;Row=8955&amp;Col=1","No Title Assigned - #15270825955")</f>
        <v/>
      </c>
      <c r="B8963" s="0" t="s">
        <v>12032</v>
      </c>
      <c r="C8963" s="0" t="s">
        <v>12033</v>
      </c>
      <c r="D8963" s="0" t="s">
        <v>12033</v>
      </c>
      <c r="E8963" s="0" t="inlineStr">
        <is>
          <t xml:space="preserve">Mazda</t>
        </is>
      </c>
      <c r="F8963" s="0" t="inlineStr">
        <is>
          <t xml:space="preserve">Mazda</t>
        </is>
      </c>
      <c r="G8963" s="0" t="s">
        <v>171</v>
      </c>
      <c r="H8963" s="5">
        <v>9.323700</v>
      </c>
    </row>
    <row r="8964" spans="1:9">
      <c r="A8964" s="22" t="str">
        <f>HYPERLINK("https://app.vivvix.com/360/KMI/IntelliDrive/ApplUI/Pages/CreativePages/CustomReportCreativeDetail.aspx?App=23&amp;ReportView=4&amp;Qid=1711279&amp;Row=8956&amp;Col=1","No Title Assigned - #15270826310")</f>
        <v/>
      </c>
      <c r="B8964" s="0" t="s">
        <v>12034</v>
      </c>
      <c r="E8964" s="0" t="inlineStr">
        <is>
          <t xml:space="preserve">Mazda</t>
        </is>
      </c>
      <c r="F8964" s="0" t="inlineStr">
        <is>
          <t xml:space="preserve">Mazda</t>
        </is>
      </c>
      <c r="G8964" s="0" t="s">
        <v>171</v>
      </c>
      <c r="H8964" s="5">
        <v>67.461800</v>
      </c>
    </row>
    <row r="8965" spans="1:9">
      <c r="A8965" s="22" t="str">
        <f>HYPERLINK("https://app.vivvix.com/360/KMI/IntelliDrive/ApplUI/Pages/CreativePages/CustomReportCreativeDetail.aspx?App=23&amp;ReportView=4&amp;Qid=1711279&amp;Row=8957&amp;Col=1","No Title Assigned - #15270826379")</f>
        <v/>
      </c>
      <c r="B8965" s="0" t="s">
        <v>12035</v>
      </c>
      <c r="E8965" s="0" t="inlineStr">
        <is>
          <t xml:space="preserve">Mazda</t>
        </is>
      </c>
      <c r="F8965" s="0" t="inlineStr">
        <is>
          <t xml:space="preserve">Mazda</t>
        </is>
      </c>
      <c r="G8965" s="0" t="s">
        <v>171</v>
      </c>
      <c r="H8965" s="5">
        <v>16.207700</v>
      </c>
    </row>
    <row r="8966" spans="1:9">
      <c r="A8966" s="22" t="str">
        <f>HYPERLINK("https://app.vivvix.com/360/KMI/IntelliDrive/ApplUI/Pages/CreativePages/CustomReportCreativeDetail.aspx?App=23&amp;ReportView=4&amp;Qid=1711279&amp;Row=8958&amp;Col=1","No Title Assigned - #15270826790")</f>
        <v/>
      </c>
      <c r="B8966" s="0" t="s">
        <v>12036</v>
      </c>
      <c r="E8966" s="0" t="inlineStr">
        <is>
          <t xml:space="preserve">Mazda</t>
        </is>
      </c>
      <c r="F8966" s="0" t="inlineStr">
        <is>
          <t xml:space="preserve">Mazda</t>
        </is>
      </c>
      <c r="G8966" s="0" t="s">
        <v>171</v>
      </c>
      <c r="H8966" s="5">
        <v>297.481200</v>
      </c>
    </row>
    <row r="8967" spans="1:9">
      <c r="A8967" s="22" t="str">
        <f>HYPERLINK("https://app.vivvix.com/360/KMI/IntelliDrive/ApplUI/Pages/CreativePages/CustomReportCreativeDetail.aspx?App=23&amp;ReportView=4&amp;Qid=1711279&amp;Row=8959&amp;Col=1","No Title Assigned - #15270827302")</f>
        <v/>
      </c>
      <c r="B8967" s="0" t="s">
        <v>12037</v>
      </c>
      <c r="E8967" s="0" t="inlineStr">
        <is>
          <t xml:space="preserve">Mazda</t>
        </is>
      </c>
      <c r="F8967" s="0" t="inlineStr">
        <is>
          <t xml:space="preserve">Mazda</t>
        </is>
      </c>
      <c r="G8967" s="0" t="s">
        <v>171</v>
      </c>
      <c r="H8967" s="5">
        <v>163.466100</v>
      </c>
    </row>
    <row r="8968" spans="1:9">
      <c r="A8968" s="22" t="str">
        <f>HYPERLINK("https://app.vivvix.com/360/KMI/IntelliDrive/ApplUI/Pages/CreativePages/CustomReportCreativeDetail.aspx?App=23&amp;ReportView=4&amp;Qid=1711279&amp;Row=8960&amp;Col=1","No Title Assigned - #15270827302")</f>
        <v/>
      </c>
      <c r="B8968" s="0" t="s">
        <v>12037</v>
      </c>
      <c r="E8968" s="0" t="inlineStr">
        <is>
          <t xml:space="preserve">Mazda</t>
        </is>
      </c>
      <c r="F8968" s="0" t="inlineStr">
        <is>
          <t xml:space="preserve">Mazda</t>
        </is>
      </c>
      <c r="G8968" s="0" t="s">
        <v>171</v>
      </c>
      <c r="H8968" s="5">
        <v>6385.151500</v>
      </c>
    </row>
    <row r="8969" spans="1:9">
      <c r="A8969" s="22" t="str">
        <f>HYPERLINK("https://app.vivvix.com/360/KMI/IntelliDrive/ApplUI/Pages/CreativePages/CustomReportCreativeDetail.aspx?App=23&amp;ReportView=4&amp;Qid=1711279&amp;Row=8961&amp;Col=1","No Title Assigned - #15270828642")</f>
        <v/>
      </c>
      <c r="B8969" s="0" t="s">
        <v>12038</v>
      </c>
      <c r="E8969" s="0" t="inlineStr">
        <is>
          <t xml:space="preserve">Mazda</t>
        </is>
      </c>
      <c r="F8969" s="0" t="inlineStr">
        <is>
          <t xml:space="preserve">Mazda</t>
        </is>
      </c>
      <c r="G8969" s="0" t="s">
        <v>171</v>
      </c>
      <c r="H8969" s="5">
        <v>91.751700</v>
      </c>
    </row>
    <row r="8970" spans="1:9">
      <c r="A8970" s="22" t="str">
        <f>HYPERLINK("https://app.vivvix.com/360/KMI/IntelliDrive/ApplUI/Pages/CreativePages/CustomReportCreativeDetail.aspx?App=23&amp;ReportView=4&amp;Qid=1711279&amp;Row=8962&amp;Col=1","No Title Assigned - #15270836095")</f>
        <v/>
      </c>
      <c r="B8970" s="0" t="s">
        <v>12039</v>
      </c>
      <c r="E8970" s="0" t="inlineStr">
        <is>
          <t xml:space="preserve">Mazda</t>
        </is>
      </c>
      <c r="F8970" s="0" t="inlineStr">
        <is>
          <t xml:space="preserve">Mazda</t>
        </is>
      </c>
      <c r="G8970" s="0" t="s">
        <v>171</v>
      </c>
      <c r="H8970" s="5">
        <v>11.562500</v>
      </c>
    </row>
    <row r="8971" spans="1:9">
      <c r="A8971" s="22" t="str">
        <f>HYPERLINK("https://app.vivvix.com/360/KMI/IntelliDrive/ApplUI/Pages/CreativePages/CustomReportCreativeDetail.aspx?App=23&amp;ReportView=4&amp;Qid=1711279&amp;Row=8963&amp;Col=1","No Title Assigned - #15270837261")</f>
        <v/>
      </c>
      <c r="B8971" s="0" t="s">
        <v>12040</v>
      </c>
      <c r="C8971" s="0" t="s">
        <v>12041</v>
      </c>
      <c r="D8971" s="0" t="s">
        <v>12041</v>
      </c>
      <c r="E8971" s="0" t="inlineStr">
        <is>
          <t xml:space="preserve">Mazda</t>
        </is>
      </c>
      <c r="F8971" s="0" t="s">
        <v>28</v>
      </c>
      <c r="G8971" s="0" t="s">
        <v>29</v>
      </c>
      <c r="H8971" s="5">
        <v>4.170700</v>
      </c>
    </row>
    <row r="8972" spans="1:9">
      <c r="A8972" s="22" t="str">
        <f>HYPERLINK("https://app.vivvix.com/360/KMI/IntelliDrive/ApplUI/Pages/CreativePages/CustomReportCreativeDetail.aspx?App=23&amp;ReportView=4&amp;Qid=1711279&amp;Row=8964&amp;Col=1","No Title Assigned - #15270837358")</f>
        <v/>
      </c>
      <c r="B8972" s="0" t="s">
        <v>12042</v>
      </c>
      <c r="C8972" s="0" t="s">
        <v>12043</v>
      </c>
      <c r="D8972" s="0" t="s">
        <v>12043</v>
      </c>
      <c r="E8972" s="0" t="inlineStr">
        <is>
          <t xml:space="preserve">Mazda</t>
        </is>
      </c>
      <c r="F8972" s="0" t="s">
        <v>28</v>
      </c>
      <c r="G8972" s="0" t="s">
        <v>29</v>
      </c>
      <c r="H8972" s="5">
        <v>35.103700</v>
      </c>
    </row>
    <row r="8973" spans="1:9">
      <c r="A8973" s="22" t="str">
        <f>HYPERLINK("https://app.vivvix.com/360/KMI/IntelliDrive/ApplUI/Pages/CreativePages/CustomReportCreativeDetail.aspx?App=23&amp;ReportView=4&amp;Qid=1711279&amp;Row=8965&amp;Col=1","No Title Assigned - #15270841105")</f>
        <v/>
      </c>
      <c r="B8973" s="0" t="s">
        <v>12044</v>
      </c>
      <c r="C8973" s="0" t="s">
        <v>12045</v>
      </c>
      <c r="D8973" s="0" t="s">
        <v>12045</v>
      </c>
      <c r="E8973" s="0" t="inlineStr">
        <is>
          <t xml:space="preserve">Mazda</t>
        </is>
      </c>
      <c r="F8973" s="0" t="s">
        <v>13</v>
      </c>
      <c r="G8973" s="0" t="s">
        <v>49</v>
      </c>
      <c r="H8973" s="5">
        <v>985.043400</v>
      </c>
    </row>
    <row r="8974" spans="1:9">
      <c r="A8974" s="22" t="str">
        <f>HYPERLINK("https://app.vivvix.com/360/KMI/IntelliDrive/ApplUI/Pages/CreativePages/CustomReportCreativeDetail.aspx?App=23&amp;ReportView=4&amp;Qid=1711279&amp;Row=8966&amp;Col=1","No Title Assigned - #15270843685")</f>
        <v/>
      </c>
      <c r="B8974" s="0" t="s">
        <v>12046</v>
      </c>
      <c r="C8974" s="0" t="s">
        <v>12047</v>
      </c>
      <c r="D8974" s="0" t="s">
        <v>9196</v>
      </c>
      <c r="E8974" s="0" t="inlineStr">
        <is>
          <t xml:space="preserve">Mazda</t>
        </is>
      </c>
      <c r="F8974" s="0" t="s">
        <v>13</v>
      </c>
      <c r="G8974" s="0" t="s">
        <v>49</v>
      </c>
      <c r="H8974" s="5">
        <v>346.525100</v>
      </c>
    </row>
    <row r="8975" spans="1:9">
      <c r="A8975" s="22" t="str">
        <f>HYPERLINK("https://app.vivvix.com/360/KMI/IntelliDrive/ApplUI/Pages/CreativePages/CustomReportCreativeDetail.aspx?App=23&amp;ReportView=4&amp;Qid=1711279&amp;Row=8967&amp;Col=1","No Title Assigned - #15270843685")</f>
        <v/>
      </c>
      <c r="B8975" s="0" t="s">
        <v>12046</v>
      </c>
      <c r="E8975" s="0" t="inlineStr">
        <is>
          <t xml:space="preserve">Mazda</t>
        </is>
      </c>
      <c r="F8975" s="0" t="s">
        <v>13</v>
      </c>
      <c r="G8975" s="0" t="s">
        <v>49</v>
      </c>
      <c r="H8975" s="5">
        <v>4949.134200</v>
      </c>
    </row>
    <row r="8976" spans="1:9">
      <c r="A8976" s="22" t="str">
        <f>HYPERLINK("https://app.vivvix.com/360/KMI/IntelliDrive/ApplUI/Pages/CreativePages/CustomReportCreativeDetail.aspx?App=23&amp;ReportView=4&amp;Qid=1711279&amp;Row=8968&amp;Col=1","No Title Assigned - #15270844111")</f>
        <v/>
      </c>
      <c r="B8976" s="0" t="s">
        <v>12048</v>
      </c>
      <c r="C8976" s="0" t="s">
        <v>12049</v>
      </c>
      <c r="D8976" s="0" t="s">
        <v>4202</v>
      </c>
      <c r="E8976" s="0" t="inlineStr">
        <is>
          <t xml:space="preserve">Mazda</t>
        </is>
      </c>
      <c r="F8976" s="0" t="s">
        <v>28</v>
      </c>
      <c r="G8976" s="0" t="s">
        <v>29</v>
      </c>
      <c r="H8976" s="5">
        <v>62.286100</v>
      </c>
    </row>
    <row r="8977" spans="1:9">
      <c r="A8977" s="22" t="str">
        <f>HYPERLINK("https://app.vivvix.com/360/KMI/IntelliDrive/ApplUI/Pages/CreativePages/CustomReportCreativeDetail.aspx?App=23&amp;ReportView=4&amp;Qid=1711279&amp;Row=8969&amp;Col=1","No Title Assigned - #15270844112")</f>
        <v/>
      </c>
      <c r="B8977" s="0" t="s">
        <v>12050</v>
      </c>
      <c r="C8977" s="0" t="s">
        <v>12051</v>
      </c>
      <c r="D8977" s="0" t="s">
        <v>4953</v>
      </c>
      <c r="E8977" s="0" t="inlineStr">
        <is>
          <t xml:space="preserve">Mazda</t>
        </is>
      </c>
      <c r="F8977" s="0" t="s">
        <v>28</v>
      </c>
      <c r="G8977" s="0" t="s">
        <v>29</v>
      </c>
      <c r="H8977" s="5">
        <v>62.286100</v>
      </c>
    </row>
    <row r="8978" spans="1:9">
      <c r="A8978" s="22" t="str">
        <f>HYPERLINK("https://app.vivvix.com/360/KMI/IntelliDrive/ApplUI/Pages/CreativePages/CustomReportCreativeDetail.aspx?App=23&amp;ReportView=4&amp;Qid=1711279&amp;Row=8970&amp;Col=1","No Title Assigned - #15270844990")</f>
        <v/>
      </c>
      <c r="B8978" s="0" t="s">
        <v>12052</v>
      </c>
      <c r="E8978" s="0" t="inlineStr">
        <is>
          <t xml:space="preserve">Mazda</t>
        </is>
      </c>
      <c r="F8978" s="0" t="inlineStr">
        <is>
          <t xml:space="preserve">Mazda</t>
        </is>
      </c>
      <c r="G8978" s="0" t="s">
        <v>171</v>
      </c>
      <c r="H8978" s="5">
        <v>8.958800</v>
      </c>
    </row>
    <row r="8979" spans="1:9">
      <c r="A8979" s="22" t="str">
        <f>HYPERLINK("https://app.vivvix.com/360/KMI/IntelliDrive/ApplUI/Pages/CreativePages/CustomReportCreativeDetail.aspx?App=23&amp;ReportView=4&amp;Qid=1711279&amp;Row=8971&amp;Col=1","No Title Assigned - #15270845516")</f>
        <v/>
      </c>
      <c r="B8979" s="0" t="s">
        <v>12053</v>
      </c>
      <c r="C8979" s="0" t="s">
        <v>12054</v>
      </c>
      <c r="D8979" s="0" t="s">
        <v>12054</v>
      </c>
      <c r="E8979" s="0" t="inlineStr">
        <is>
          <t xml:space="preserve">Mazda</t>
        </is>
      </c>
      <c r="F8979" s="0" t="s">
        <v>13</v>
      </c>
      <c r="G8979" s="0" t="s">
        <v>49</v>
      </c>
      <c r="H8979" s="5">
        <v>30632.888000</v>
      </c>
    </row>
    <row r="8980" spans="1:9">
      <c r="A8980" s="22" t="str">
        <f>HYPERLINK("https://app.vivvix.com/360/KMI/IntelliDrive/ApplUI/Pages/CreativePages/CustomReportCreativeDetail.aspx?App=23&amp;ReportView=4&amp;Qid=1711279&amp;Row=8972&amp;Col=1","No Title Assigned - #15270849461")</f>
        <v/>
      </c>
      <c r="B8980" s="0" t="s">
        <v>12055</v>
      </c>
      <c r="C8980" s="0" t="s">
        <v>12056</v>
      </c>
      <c r="D8980" s="0" t="s">
        <v>4208</v>
      </c>
      <c r="E8980" s="0" t="inlineStr">
        <is>
          <t xml:space="preserve">Mazda</t>
        </is>
      </c>
      <c r="F8980" s="0" t="s">
        <v>28</v>
      </c>
      <c r="G8980" s="0" t="s">
        <v>29</v>
      </c>
      <c r="H8980" s="5">
        <v>173.616700</v>
      </c>
    </row>
    <row r="8981" spans="1:9">
      <c r="A8981" s="22" t="str">
        <f>HYPERLINK("https://app.vivvix.com/360/KMI/IntelliDrive/ApplUI/Pages/CreativePages/CustomReportCreativeDetail.aspx?App=23&amp;ReportView=4&amp;Qid=1711279&amp;Row=8973&amp;Col=1","No Title Assigned - #15270849753")</f>
        <v/>
      </c>
      <c r="B8981" s="0" t="s">
        <v>12057</v>
      </c>
      <c r="C8981" s="0" t="s">
        <v>12058</v>
      </c>
      <c r="D8981" s="0" t="s">
        <v>4202</v>
      </c>
      <c r="E8981" s="0" t="inlineStr">
        <is>
          <t xml:space="preserve">Mazda</t>
        </is>
      </c>
      <c r="F8981" s="0" t="s">
        <v>28</v>
      </c>
      <c r="G8981" s="0" t="s">
        <v>29</v>
      </c>
      <c r="H8981" s="5">
        <v>6.460000</v>
      </c>
    </row>
    <row r="8982" spans="1:9">
      <c r="A8982" s="22" t="str">
        <f>HYPERLINK("https://app.vivvix.com/360/KMI/IntelliDrive/ApplUI/Pages/CreativePages/CustomReportCreativeDetail.aspx?App=23&amp;ReportView=4&amp;Qid=1711279&amp;Row=8974&amp;Col=1","No Title Assigned - #15270850686")</f>
        <v/>
      </c>
      <c r="B8982" s="0" t="s">
        <v>12059</v>
      </c>
      <c r="C8982" s="0" t="s">
        <v>12060</v>
      </c>
      <c r="D8982" s="0" t="s">
        <v>5524</v>
      </c>
      <c r="E8982" s="0" t="inlineStr">
        <is>
          <t xml:space="preserve">Mazda</t>
        </is>
      </c>
      <c r="F8982" s="0" t="s">
        <v>17</v>
      </c>
      <c r="G8982" s="0" t="s">
        <v>33</v>
      </c>
      <c r="H8982" s="5">
        <v>190.087400</v>
      </c>
    </row>
    <row r="8983" spans="1:9">
      <c r="A8983" s="22" t="str">
        <f>HYPERLINK("https://app.vivvix.com/360/KMI/IntelliDrive/ApplUI/Pages/CreativePages/CustomReportCreativeDetail.aspx?App=23&amp;ReportView=4&amp;Qid=1711279&amp;Row=8975&amp;Col=1","No Title Assigned - #15270851382")</f>
        <v/>
      </c>
      <c r="B8983" s="0" t="s">
        <v>12061</v>
      </c>
      <c r="C8983" s="0" t="s">
        <v>12062</v>
      </c>
      <c r="D8983" s="0" t="s">
        <v>12062</v>
      </c>
      <c r="E8983" s="0" t="inlineStr">
        <is>
          <t xml:space="preserve">Mazda</t>
        </is>
      </c>
      <c r="F8983" s="0" t="s">
        <v>28</v>
      </c>
      <c r="G8983" s="0" t="s">
        <v>29</v>
      </c>
      <c r="H8983" s="5">
        <v>62.243400</v>
      </c>
    </row>
    <row r="8984" spans="1:9">
      <c r="A8984" s="22" t="str">
        <f>HYPERLINK("https://app.vivvix.com/360/KMI/IntelliDrive/ApplUI/Pages/CreativePages/CustomReportCreativeDetail.aspx?App=23&amp;ReportView=4&amp;Qid=1711279&amp;Row=8976&amp;Col=1","No Title Assigned - #15270852274")</f>
        <v/>
      </c>
      <c r="B8984" s="0" t="s">
        <v>12063</v>
      </c>
      <c r="C8984" s="0" t="s">
        <v>12064</v>
      </c>
      <c r="D8984" s="0" t="s">
        <v>12064</v>
      </c>
      <c r="E8984" s="0" t="inlineStr">
        <is>
          <t xml:space="preserve">Mazda</t>
        </is>
      </c>
      <c r="F8984" s="0" t="s">
        <v>13</v>
      </c>
      <c r="G8984" s="0" t="s">
        <v>49</v>
      </c>
      <c r="H8984" s="5">
        <v>461.509700</v>
      </c>
    </row>
    <row r="8985" spans="1:9">
      <c r="A8985" s="22" t="str">
        <f>HYPERLINK("https://app.vivvix.com/360/KMI/IntelliDrive/ApplUI/Pages/CreativePages/CustomReportCreativeDetail.aspx?App=23&amp;ReportView=4&amp;Qid=1711279&amp;Row=8977&amp;Col=1","No Title Assigned - #15270854257")</f>
        <v/>
      </c>
      <c r="B8985" s="0" t="s">
        <v>12065</v>
      </c>
      <c r="E8985" s="0" t="inlineStr">
        <is>
          <t xml:space="preserve">Mazda</t>
        </is>
      </c>
      <c r="F8985" s="0" t="inlineStr">
        <is>
          <t xml:space="preserve">Mazda</t>
        </is>
      </c>
      <c r="G8985" s="0" t="s">
        <v>171</v>
      </c>
      <c r="H8985" s="5">
        <v>124.889500</v>
      </c>
    </row>
    <row r="8986" spans="1:9">
      <c r="A8986" s="22" t="str">
        <f>HYPERLINK("https://app.vivvix.com/360/KMI/IntelliDrive/ApplUI/Pages/CreativePages/CustomReportCreativeDetail.aspx?App=23&amp;ReportView=4&amp;Qid=1711279&amp;Row=8978&amp;Col=1","No Title Assigned - #15270855073")</f>
        <v/>
      </c>
      <c r="B8986" s="0" t="s">
        <v>12066</v>
      </c>
      <c r="C8986" s="0" t="s">
        <v>12067</v>
      </c>
      <c r="D8986" s="0" t="s">
        <v>12067</v>
      </c>
      <c r="E8986" s="0" t="inlineStr">
        <is>
          <t xml:space="preserve">Mazda</t>
        </is>
      </c>
      <c r="F8986" s="0" t="s">
        <v>13</v>
      </c>
      <c r="G8986" s="0" t="s">
        <v>49</v>
      </c>
      <c r="H8986" s="5">
        <v>41.174100</v>
      </c>
    </row>
    <row r="8987" spans="1:9">
      <c r="A8987" s="22" t="str">
        <f>HYPERLINK("https://app.vivvix.com/360/KMI/IntelliDrive/ApplUI/Pages/CreativePages/CustomReportCreativeDetail.aspx?App=23&amp;ReportView=4&amp;Qid=1711279&amp;Row=8979&amp;Col=1","No Title Assigned - #15270855930")</f>
        <v/>
      </c>
      <c r="B8987" s="0" t="s">
        <v>12068</v>
      </c>
      <c r="E8987" s="0" t="inlineStr">
        <is>
          <t xml:space="preserve">Mazda</t>
        </is>
      </c>
      <c r="F8987" s="0" t="inlineStr">
        <is>
          <t xml:space="preserve">Mazda</t>
        </is>
      </c>
      <c r="G8987" s="0" t="s">
        <v>171</v>
      </c>
      <c r="H8987" s="5">
        <v>12.157100</v>
      </c>
    </row>
    <row r="8988" spans="1:9">
      <c r="A8988" s="22" t="str">
        <f>HYPERLINK("https://app.vivvix.com/360/KMI/IntelliDrive/ApplUI/Pages/CreativePages/CustomReportCreativeDetail.aspx?App=23&amp;ReportView=4&amp;Qid=1711279&amp;Row=8980&amp;Col=1","No Title Assigned - #15270856045")</f>
        <v/>
      </c>
      <c r="B8988" s="0" t="s">
        <v>12069</v>
      </c>
      <c r="E8988" s="0" t="inlineStr">
        <is>
          <t xml:space="preserve">Mazda</t>
        </is>
      </c>
      <c r="F8988" s="0" t="inlineStr">
        <is>
          <t xml:space="preserve">Mazda</t>
        </is>
      </c>
      <c r="G8988" s="0" t="s">
        <v>171</v>
      </c>
      <c r="H8988" s="5">
        <v>317.116600</v>
      </c>
    </row>
    <row r="8989" spans="1:9">
      <c r="A8989" s="22" t="str">
        <f>HYPERLINK("https://app.vivvix.com/360/KMI/IntelliDrive/ApplUI/Pages/CreativePages/CustomReportCreativeDetail.aspx?App=23&amp;ReportView=4&amp;Qid=1711279&amp;Row=8981&amp;Col=1","No Title Assigned - #15270857217")</f>
        <v/>
      </c>
      <c r="B8989" s="0" t="s">
        <v>12070</v>
      </c>
      <c r="C8989" s="0" t="s">
        <v>12071</v>
      </c>
      <c r="D8989" s="0" t="s">
        <v>4200</v>
      </c>
      <c r="E8989" s="0" t="inlineStr">
        <is>
          <t xml:space="preserve">Mazda</t>
        </is>
      </c>
      <c r="F8989" s="0" t="s">
        <v>28</v>
      </c>
      <c r="G8989" s="0" t="s">
        <v>29</v>
      </c>
      <c r="H8989" s="5">
        <v>91.100100</v>
      </c>
    </row>
    <row r="8990" spans="1:9">
      <c r="A8990" s="22" t="str">
        <f>HYPERLINK("https://app.vivvix.com/360/KMI/IntelliDrive/ApplUI/Pages/CreativePages/CustomReportCreativeDetail.aspx?App=23&amp;ReportView=4&amp;Qid=1711279&amp;Row=8982&amp;Col=1","No Title Assigned - #15270857220")</f>
        <v/>
      </c>
      <c r="B8990" s="0" t="s">
        <v>12072</v>
      </c>
      <c r="C8990" s="0" t="s">
        <v>12073</v>
      </c>
      <c r="D8990" s="0" t="s">
        <v>12073</v>
      </c>
      <c r="E8990" s="0" t="inlineStr">
        <is>
          <t xml:space="preserve">Mazda</t>
        </is>
      </c>
      <c r="F8990" s="0" t="s">
        <v>21</v>
      </c>
      <c r="G8990" s="0" t="s">
        <v>22</v>
      </c>
      <c r="H8990" s="5">
        <v>271.268100</v>
      </c>
    </row>
    <row r="8991" spans="1:9">
      <c r="A8991" s="22" t="str">
        <f>HYPERLINK("https://app.vivvix.com/360/KMI/IntelliDrive/ApplUI/Pages/CreativePages/CustomReportCreativeDetail.aspx?App=23&amp;ReportView=4&amp;Qid=1711279&amp;Row=8983&amp;Col=1","No Title Assigned - #15270859057")</f>
        <v/>
      </c>
      <c r="B8991" s="0" t="s">
        <v>12074</v>
      </c>
      <c r="C8991" s="0" t="s">
        <v>12075</v>
      </c>
      <c r="D8991" s="0" t="s">
        <v>9181</v>
      </c>
      <c r="E8991" s="0" t="inlineStr">
        <is>
          <t xml:space="preserve">Mazda</t>
        </is>
      </c>
      <c r="F8991" s="0" t="s">
        <v>28</v>
      </c>
      <c r="G8991" s="0" t="s">
        <v>29</v>
      </c>
      <c r="H8991" s="5">
        <v>62.286100</v>
      </c>
    </row>
    <row r="8992" spans="1:9">
      <c r="A8992" s="22" t="str">
        <f>HYPERLINK("https://app.vivvix.com/360/KMI/IntelliDrive/ApplUI/Pages/CreativePages/CustomReportCreativeDetail.aspx?App=23&amp;ReportView=4&amp;Qid=1711279&amp;Row=8984&amp;Col=1","No Title Assigned - #15270860497")</f>
        <v/>
      </c>
      <c r="B8992" s="0" t="s">
        <v>12076</v>
      </c>
      <c r="C8992" s="0" t="s">
        <v>12077</v>
      </c>
      <c r="D8992" s="0" t="s">
        <v>12077</v>
      </c>
      <c r="E8992" s="0" t="inlineStr">
        <is>
          <t xml:space="preserve">Mazda</t>
        </is>
      </c>
      <c r="F8992" s="0" t="s">
        <v>13</v>
      </c>
      <c r="G8992" s="0" t="s">
        <v>49</v>
      </c>
      <c r="H8992" s="5">
        <v>3808.003900</v>
      </c>
    </row>
    <row r="8993" spans="1:9">
      <c r="A8993" s="22" t="str">
        <f>HYPERLINK("https://app.vivvix.com/360/KMI/IntelliDrive/ApplUI/Pages/CreativePages/CustomReportCreativeDetail.aspx?App=23&amp;ReportView=4&amp;Qid=1711279&amp;Row=8985&amp;Col=1","No Title Assigned - #15270860902")</f>
        <v/>
      </c>
      <c r="B8993" s="0" t="s">
        <v>12078</v>
      </c>
      <c r="C8993" s="0" t="s">
        <v>12079</v>
      </c>
      <c r="D8993" s="0" t="s">
        <v>4202</v>
      </c>
      <c r="E8993" s="0" t="inlineStr">
        <is>
          <t xml:space="preserve">Mazda</t>
        </is>
      </c>
      <c r="F8993" s="0" t="s">
        <v>28</v>
      </c>
      <c r="G8993" s="0" t="s">
        <v>29</v>
      </c>
      <c r="H8993" s="5">
        <v>730.715000</v>
      </c>
    </row>
    <row r="8994" spans="1:9">
      <c r="A8994" s="22" t="str">
        <f>HYPERLINK("https://app.vivvix.com/360/KMI/IntelliDrive/ApplUI/Pages/CreativePages/CustomReportCreativeDetail.aspx?App=23&amp;ReportView=4&amp;Qid=1711279&amp;Row=8986&amp;Col=1","No Title Assigned - #15270861538")</f>
        <v/>
      </c>
      <c r="B8994" s="0" t="s">
        <v>12080</v>
      </c>
      <c r="C8994" s="0" t="s">
        <v>12081</v>
      </c>
      <c r="D8994" s="0" t="s">
        <v>12081</v>
      </c>
      <c r="E8994" s="0" t="inlineStr">
        <is>
          <t xml:space="preserve">Mazda</t>
        </is>
      </c>
      <c r="F8994" s="0" t="s">
        <v>330</v>
      </c>
      <c r="G8994" s="0" t="s">
        <v>331</v>
      </c>
      <c r="H8994" s="5">
        <v>935.467000</v>
      </c>
    </row>
    <row r="8995" spans="1:9">
      <c r="A8995" s="22" t="str">
        <f>HYPERLINK("https://app.vivvix.com/360/KMI/IntelliDrive/ApplUI/Pages/CreativePages/CustomReportCreativeDetail.aspx?App=23&amp;ReportView=4&amp;Qid=1711279&amp;Row=8987&amp;Col=1","No Title Assigned - #15270862234")</f>
        <v/>
      </c>
      <c r="B8995" s="0" t="s">
        <v>12082</v>
      </c>
      <c r="C8995" s="0" t="s">
        <v>12083</v>
      </c>
      <c r="D8995" s="0" t="s">
        <v>10728</v>
      </c>
      <c r="E8995" s="0" t="inlineStr">
        <is>
          <t xml:space="preserve">Mazda</t>
        </is>
      </c>
      <c r="F8995" s="0" t="s">
        <v>13</v>
      </c>
      <c r="G8995" s="0" t="s">
        <v>49</v>
      </c>
      <c r="H8995" s="5">
        <v>411.875900</v>
      </c>
    </row>
    <row r="8996" spans="1:9">
      <c r="A8996" s="22" t="str">
        <f>HYPERLINK("https://app.vivvix.com/360/KMI/IntelliDrive/ApplUI/Pages/CreativePages/CustomReportCreativeDetail.aspx?App=23&amp;ReportView=4&amp;Qid=1711279&amp;Row=8988&amp;Col=1","No Title Assigned - #15270862573")</f>
        <v/>
      </c>
      <c r="B8996" s="0" t="s">
        <v>12084</v>
      </c>
      <c r="E8996" s="0" t="inlineStr">
        <is>
          <t xml:space="preserve">Mazda</t>
        </is>
      </c>
      <c r="F8996" s="0" t="inlineStr">
        <is>
          <t xml:space="preserve">Mazda</t>
        </is>
      </c>
      <c r="G8996" s="0" t="s">
        <v>171</v>
      </c>
      <c r="H8996" s="5">
        <v>3.445700</v>
      </c>
    </row>
    <row r="8997" spans="1:9">
      <c r="A8997" s="22" t="str">
        <f>HYPERLINK("https://app.vivvix.com/360/KMI/IntelliDrive/ApplUI/Pages/CreativePages/CustomReportCreativeDetail.aspx?App=23&amp;ReportView=4&amp;Qid=1711279&amp;Row=8989&amp;Col=1","No Title Assigned - #15270862680")</f>
        <v/>
      </c>
      <c r="B8997" s="0" t="s">
        <v>12085</v>
      </c>
      <c r="E8997" s="0" t="inlineStr">
        <is>
          <t xml:space="preserve">Mazda</t>
        </is>
      </c>
      <c r="F8997" s="0" t="inlineStr">
        <is>
          <t xml:space="preserve">Mazda</t>
        </is>
      </c>
      <c r="G8997" s="0" t="s">
        <v>171</v>
      </c>
      <c r="H8997" s="5">
        <v>37.612600</v>
      </c>
    </row>
    <row r="8998" spans="1:9">
      <c r="A8998" s="22" t="str">
        <f>HYPERLINK("https://app.vivvix.com/360/KMI/IntelliDrive/ApplUI/Pages/CreativePages/CustomReportCreativeDetail.aspx?App=23&amp;ReportView=4&amp;Qid=1711279&amp;Row=8990&amp;Col=1","No Title Assigned - #15270862810")</f>
        <v/>
      </c>
      <c r="B8998" s="0" t="s">
        <v>12086</v>
      </c>
      <c r="C8998" s="0" t="s">
        <v>12087</v>
      </c>
      <c r="D8998" s="0" t="s">
        <v>12087</v>
      </c>
      <c r="E8998" s="0" t="inlineStr">
        <is>
          <t xml:space="preserve">Mazda</t>
        </is>
      </c>
      <c r="F8998" s="0" t="s">
        <v>13</v>
      </c>
      <c r="G8998" s="0" t="s">
        <v>49</v>
      </c>
      <c r="H8998" s="5">
        <v>119.436400</v>
      </c>
    </row>
    <row r="8999" spans="1:9">
      <c r="A8999" s="22" t="str">
        <f>HYPERLINK("https://app.vivvix.com/360/KMI/IntelliDrive/ApplUI/Pages/CreativePages/CustomReportCreativeDetail.aspx?App=23&amp;ReportView=4&amp;Qid=1711279&amp;Row=8991&amp;Col=1","No Title Assigned - #15270863386")</f>
        <v/>
      </c>
      <c r="B8999" s="0" t="s">
        <v>12088</v>
      </c>
      <c r="C8999" s="0" t="s">
        <v>12089</v>
      </c>
      <c r="D8999" s="0" t="s">
        <v>12089</v>
      </c>
      <c r="E8999" s="0" t="inlineStr">
        <is>
          <t xml:space="preserve">Mazda</t>
        </is>
      </c>
      <c r="F8999" s="0" t="inlineStr">
        <is>
          <t xml:space="preserve">Mazda</t>
        </is>
      </c>
      <c r="G8999" s="0" t="s">
        <v>171</v>
      </c>
      <c r="H8999" s="5">
        <v>67.461800</v>
      </c>
    </row>
    <row r="9000" spans="1:9">
      <c r="A9000" s="22" t="str">
        <f>HYPERLINK("https://app.vivvix.com/360/KMI/IntelliDrive/ApplUI/Pages/CreativePages/CustomReportCreativeDetail.aspx?App=23&amp;ReportView=4&amp;Qid=1711279&amp;Row=8992&amp;Col=1","No Title Assigned - #15270863995")</f>
        <v/>
      </c>
      <c r="B9000" s="0" t="s">
        <v>12090</v>
      </c>
      <c r="E9000" s="0" t="inlineStr">
        <is>
          <t xml:space="preserve">Mazda</t>
        </is>
      </c>
      <c r="F9000" s="0" t="inlineStr">
        <is>
          <t xml:space="preserve">Mazda</t>
        </is>
      </c>
      <c r="G9000" s="0" t="s">
        <v>171</v>
      </c>
      <c r="H9000" s="5">
        <v>163762.754900</v>
      </c>
    </row>
    <row r="9001" spans="1:9">
      <c r="A9001" s="22" t="str">
        <f>HYPERLINK("https://app.vivvix.com/360/KMI/IntelliDrive/ApplUI/Pages/CreativePages/CustomReportCreativeDetail.aspx?App=23&amp;ReportView=4&amp;Qid=1711279&amp;Row=8993&amp;Col=1","No Title Assigned - #15270864473")</f>
        <v/>
      </c>
      <c r="B9001" s="0" t="s">
        <v>12091</v>
      </c>
      <c r="C9001" s="0" t="s">
        <v>12092</v>
      </c>
      <c r="D9001" s="0" t="s">
        <v>9574</v>
      </c>
      <c r="E9001" s="0" t="inlineStr">
        <is>
          <t xml:space="preserve">Mazda</t>
        </is>
      </c>
      <c r="F9001" s="0" t="s">
        <v>13</v>
      </c>
      <c r="G9001" s="0" t="s">
        <v>49</v>
      </c>
      <c r="H9001" s="5">
        <v>109.862300</v>
      </c>
    </row>
    <row r="9002" spans="1:9">
      <c r="A9002" s="22" t="str">
        <f>HYPERLINK("https://app.vivvix.com/360/KMI/IntelliDrive/ApplUI/Pages/CreativePages/CustomReportCreativeDetail.aspx?App=23&amp;ReportView=4&amp;Qid=1711279&amp;Row=8994&amp;Col=1","No Title Assigned - #15270864474")</f>
        <v/>
      </c>
      <c r="B9002" s="0" t="s">
        <v>12093</v>
      </c>
      <c r="C9002" s="0" t="s">
        <v>12094</v>
      </c>
      <c r="D9002" s="0" t="s">
        <v>12094</v>
      </c>
      <c r="E9002" s="0" t="inlineStr">
        <is>
          <t xml:space="preserve">Mazda</t>
        </is>
      </c>
      <c r="F9002" s="0" t="s">
        <v>13</v>
      </c>
      <c r="G9002" s="0" t="s">
        <v>49</v>
      </c>
      <c r="H9002" s="5">
        <v>109.862300</v>
      </c>
    </row>
    <row r="9003" spans="1:9">
      <c r="A9003" s="22" t="str">
        <f>HYPERLINK("https://app.vivvix.com/360/KMI/IntelliDrive/ApplUI/Pages/CreativePages/CustomReportCreativeDetail.aspx?App=23&amp;ReportView=4&amp;Qid=1711279&amp;Row=8995&amp;Col=1","No Title Assigned - #15270866820")</f>
        <v/>
      </c>
      <c r="B9003" s="0" t="s">
        <v>12095</v>
      </c>
      <c r="C9003" s="0" t="s">
        <v>12096</v>
      </c>
      <c r="D9003" s="0" t="s">
        <v>12096</v>
      </c>
      <c r="E9003" s="0" t="inlineStr">
        <is>
          <t xml:space="preserve">Mazda</t>
        </is>
      </c>
      <c r="F9003" s="0" t="s">
        <v>28</v>
      </c>
      <c r="G9003" s="0" t="s">
        <v>29</v>
      </c>
      <c r="H9003" s="5">
        <v>12833.276200</v>
      </c>
    </row>
    <row r="9004" spans="1:9">
      <c r="A9004" s="22" t="str">
        <f>HYPERLINK("https://app.vivvix.com/360/KMI/IntelliDrive/ApplUI/Pages/CreativePages/CustomReportCreativeDetail.aspx?App=23&amp;ReportView=4&amp;Qid=1711279&amp;Row=8996&amp;Col=1","No Title Assigned - #15270868686")</f>
        <v/>
      </c>
      <c r="B9004" s="0" t="s">
        <v>12097</v>
      </c>
      <c r="C9004" s="0" t="s">
        <v>12098</v>
      </c>
      <c r="D9004" s="0" t="s">
        <v>11799</v>
      </c>
      <c r="E9004" s="0" t="inlineStr">
        <is>
          <t xml:space="preserve">Mazda</t>
        </is>
      </c>
      <c r="F9004" s="0" t="inlineStr">
        <is>
          <t xml:space="preserve">Mazda</t>
        </is>
      </c>
      <c r="G9004" s="0" t="s">
        <v>210</v>
      </c>
      <c r="H9004" s="5">
        <v>35237.570500</v>
      </c>
    </row>
    <row r="9005" spans="1:9">
      <c r="A9005" s="22" t="str">
        <f>HYPERLINK("https://app.vivvix.com/360/KMI/IntelliDrive/ApplUI/Pages/CreativePages/CustomReportCreativeDetail.aspx?App=23&amp;ReportView=4&amp;Qid=1711279&amp;Row=8997&amp;Col=1","No Title Assigned - #15270870343")</f>
        <v/>
      </c>
      <c r="B9005" s="0" t="s">
        <v>12099</v>
      </c>
      <c r="C9005" s="0" t="s">
        <v>12100</v>
      </c>
      <c r="D9005" s="0" t="s">
        <v>10040</v>
      </c>
      <c r="E9005" s="0" t="inlineStr">
        <is>
          <t xml:space="preserve">Mazda</t>
        </is>
      </c>
      <c r="F9005" s="0" t="s">
        <v>28</v>
      </c>
      <c r="G9005" s="0" t="s">
        <v>29</v>
      </c>
      <c r="H9005" s="5">
        <v>706.720200</v>
      </c>
    </row>
    <row r="9006" spans="1:9">
      <c r="A9006" s="22" t="str">
        <f>HYPERLINK("https://app.vivvix.com/360/KMI/IntelliDrive/ApplUI/Pages/CreativePages/CustomReportCreativeDetail.aspx?App=23&amp;ReportView=4&amp;Qid=1711279&amp;Row=8998&amp;Col=1","No Title Assigned - #15270870674")</f>
        <v/>
      </c>
      <c r="B9006" s="0" t="s">
        <v>12101</v>
      </c>
      <c r="C9006" s="0" t="s">
        <v>12102</v>
      </c>
      <c r="D9006" s="0" t="s">
        <v>6317</v>
      </c>
      <c r="E9006" s="0" t="inlineStr">
        <is>
          <t xml:space="preserve">Mazda</t>
        </is>
      </c>
      <c r="F9006" s="0" t="s">
        <v>28</v>
      </c>
      <c r="G9006" s="0" t="s">
        <v>29</v>
      </c>
      <c r="H9006" s="5">
        <v>38.266600</v>
      </c>
    </row>
    <row r="9007" spans="1:9">
      <c r="A9007" s="22" t="str">
        <f>HYPERLINK("https://app.vivvix.com/360/KMI/IntelliDrive/ApplUI/Pages/CreativePages/CustomReportCreativeDetail.aspx?App=23&amp;ReportView=4&amp;Qid=1711279&amp;Row=8999&amp;Col=1","No Title Assigned - #15270871089")</f>
        <v/>
      </c>
      <c r="B9007" s="0" t="s">
        <v>12103</v>
      </c>
      <c r="C9007" s="0" t="s">
        <v>12104</v>
      </c>
      <c r="D9007" s="0" t="s">
        <v>9998</v>
      </c>
      <c r="E9007" s="0" t="inlineStr">
        <is>
          <t xml:space="preserve">Mazda</t>
        </is>
      </c>
      <c r="F9007" s="0" t="s">
        <v>13</v>
      </c>
      <c r="G9007" s="0" t="s">
        <v>49</v>
      </c>
      <c r="H9007" s="5">
        <v>122.504000</v>
      </c>
    </row>
    <row r="9008" spans="1:9">
      <c r="A9008" s="22" t="str">
        <f>HYPERLINK("https://app.vivvix.com/360/KMI/IntelliDrive/ApplUI/Pages/CreativePages/CustomReportCreativeDetail.aspx?App=23&amp;ReportView=4&amp;Qid=1711279&amp;Row=9000&amp;Col=1","No Title Assigned - #15270871386")</f>
        <v/>
      </c>
      <c r="B9008" s="0" t="s">
        <v>12105</v>
      </c>
      <c r="E9008" s="0" t="inlineStr">
        <is>
          <t xml:space="preserve">Mazda</t>
        </is>
      </c>
      <c r="F9008" s="0" t="inlineStr">
        <is>
          <t xml:space="preserve">Mazda</t>
        </is>
      </c>
      <c r="G9008" s="0" t="s">
        <v>171</v>
      </c>
      <c r="H9008" s="5">
        <v>22.819000</v>
      </c>
    </row>
    <row r="9009" spans="1:9">
      <c r="A9009" s="22" t="str">
        <f>HYPERLINK("https://app.vivvix.com/360/KMI/IntelliDrive/ApplUI/Pages/CreativePages/CustomReportCreativeDetail.aspx?App=23&amp;ReportView=4&amp;Qid=1711279&amp;Row=9001&amp;Col=1","No Title Assigned - #15270871733")</f>
        <v/>
      </c>
      <c r="B9009" s="0" t="s">
        <v>12106</v>
      </c>
      <c r="C9009" s="0" t="s">
        <v>12107</v>
      </c>
      <c r="D9009" s="0" t="s">
        <v>10421</v>
      </c>
      <c r="E9009" s="0" t="inlineStr">
        <is>
          <t xml:space="preserve">Mazda</t>
        </is>
      </c>
      <c r="F9009" s="0" t="inlineStr">
        <is>
          <t xml:space="preserve">Mazda</t>
        </is>
      </c>
      <c r="G9009" s="0" t="s">
        <v>210</v>
      </c>
      <c r="H9009" s="5">
        <v>456.836700</v>
      </c>
    </row>
    <row r="9010" spans="1:9">
      <c r="A9010" s="22" t="str">
        <f>HYPERLINK("https://app.vivvix.com/360/KMI/IntelliDrive/ApplUI/Pages/CreativePages/CustomReportCreativeDetail.aspx?App=23&amp;ReportView=4&amp;Qid=1711279&amp;Row=9002&amp;Col=1","No Title Assigned - #15270872030")</f>
        <v/>
      </c>
      <c r="B9010" s="0" t="s">
        <v>12108</v>
      </c>
      <c r="C9010" s="0" t="s">
        <v>12109</v>
      </c>
      <c r="D9010" s="0" t="s">
        <v>12109</v>
      </c>
      <c r="E9010" s="0" t="inlineStr">
        <is>
          <t xml:space="preserve">Mazda</t>
        </is>
      </c>
      <c r="F9010" s="0" t="s">
        <v>13</v>
      </c>
      <c r="G9010" s="0" t="s">
        <v>49</v>
      </c>
      <c r="H9010" s="5">
        <v>507.625000</v>
      </c>
    </row>
    <row r="9011" spans="1:9">
      <c r="A9011" s="22" t="str">
        <f>HYPERLINK("https://app.vivvix.com/360/KMI/IntelliDrive/ApplUI/Pages/CreativePages/CustomReportCreativeDetail.aspx?App=23&amp;ReportView=4&amp;Qid=1711279&amp;Row=9003&amp;Col=1","No Title Assigned - #15270872120")</f>
        <v/>
      </c>
      <c r="B9011" s="0" t="s">
        <v>12110</v>
      </c>
      <c r="C9011" s="0" t="s">
        <v>12111</v>
      </c>
      <c r="D9011" s="0" t="s">
        <v>10728</v>
      </c>
      <c r="E9011" s="0" t="inlineStr">
        <is>
          <t xml:space="preserve">Mazda</t>
        </is>
      </c>
      <c r="F9011" s="0" t="s">
        <v>13</v>
      </c>
      <c r="G9011" s="0" t="s">
        <v>49</v>
      </c>
      <c r="H9011" s="5">
        <v>37.192100</v>
      </c>
    </row>
    <row r="9012" spans="1:9">
      <c r="A9012" s="22" t="str">
        <f>HYPERLINK("https://app.vivvix.com/360/KMI/IntelliDrive/ApplUI/Pages/CreativePages/CustomReportCreativeDetail.aspx?App=23&amp;ReportView=4&amp;Qid=1711279&amp;Row=9004&amp;Col=1","No Title Assigned - #15270872320")</f>
        <v/>
      </c>
      <c r="B9012" s="0" t="s">
        <v>12112</v>
      </c>
      <c r="C9012" s="0" t="s">
        <v>12113</v>
      </c>
      <c r="D9012" s="0" t="s">
        <v>10008</v>
      </c>
      <c r="E9012" s="0" t="inlineStr">
        <is>
          <t xml:space="preserve">Mazda</t>
        </is>
      </c>
      <c r="F9012" s="0" t="s">
        <v>13</v>
      </c>
      <c r="G9012" s="0" t="s">
        <v>49</v>
      </c>
      <c r="H9012" s="5">
        <v>161.929500</v>
      </c>
    </row>
    <row r="9013" spans="1:9">
      <c r="A9013" s="22" t="str">
        <f>HYPERLINK("https://app.vivvix.com/360/KMI/IntelliDrive/ApplUI/Pages/CreativePages/CustomReportCreativeDetail.aspx?App=23&amp;ReportView=4&amp;Qid=1711279&amp;Row=9005&amp;Col=1","No Title Assigned - #15270872436")</f>
        <v/>
      </c>
      <c r="B9013" s="0" t="s">
        <v>12114</v>
      </c>
      <c r="C9013" s="0" t="s">
        <v>12115</v>
      </c>
      <c r="D9013" s="0" t="s">
        <v>9596</v>
      </c>
      <c r="E9013" s="0" t="inlineStr">
        <is>
          <t xml:space="preserve">Mazda</t>
        </is>
      </c>
      <c r="F9013" s="0" t="s">
        <v>28</v>
      </c>
      <c r="G9013" s="0" t="s">
        <v>29</v>
      </c>
      <c r="H9013" s="5">
        <v>14.426200</v>
      </c>
    </row>
    <row r="9014" spans="1:9">
      <c r="A9014" s="22" t="str">
        <f>HYPERLINK("https://app.vivvix.com/360/KMI/IntelliDrive/ApplUI/Pages/CreativePages/CustomReportCreativeDetail.aspx?App=23&amp;ReportView=4&amp;Qid=1711279&amp;Row=9006&amp;Col=1","No Title Assigned - #15270872580")</f>
        <v/>
      </c>
      <c r="B9014" s="0" t="s">
        <v>12116</v>
      </c>
      <c r="C9014" s="0" t="s">
        <v>12117</v>
      </c>
      <c r="D9014" s="0" t="s">
        <v>12117</v>
      </c>
      <c r="E9014" s="0" t="inlineStr">
        <is>
          <t xml:space="preserve">Mazda</t>
        </is>
      </c>
      <c r="F9014" s="0" t="inlineStr">
        <is>
          <t xml:space="preserve">Mazda</t>
        </is>
      </c>
      <c r="G9014" s="0" t="s">
        <v>171</v>
      </c>
      <c r="H9014" s="5">
        <v>40.564200</v>
      </c>
    </row>
    <row r="9015" spans="1:9">
      <c r="A9015" s="22" t="str">
        <f>HYPERLINK("https://app.vivvix.com/360/KMI/IntelliDrive/ApplUI/Pages/CreativePages/CustomReportCreativeDetail.aspx?App=23&amp;ReportView=4&amp;Qid=1711279&amp;Row=9007&amp;Col=1","No Title Assigned - #15270873069")</f>
        <v/>
      </c>
      <c r="B9015" s="0" t="s">
        <v>12118</v>
      </c>
      <c r="E9015" s="0" t="inlineStr">
        <is>
          <t xml:space="preserve">Mazda</t>
        </is>
      </c>
      <c r="F9015" s="0" t="inlineStr">
        <is>
          <t xml:space="preserve">Mazda</t>
        </is>
      </c>
      <c r="G9015" s="0" t="s">
        <v>171</v>
      </c>
      <c r="H9015" s="5">
        <v>12.993100</v>
      </c>
    </row>
    <row r="9016" spans="1:9">
      <c r="A9016" s="22" t="str">
        <f>HYPERLINK("https://app.vivvix.com/360/KMI/IntelliDrive/ApplUI/Pages/CreativePages/CustomReportCreativeDetail.aspx?App=23&amp;ReportView=4&amp;Qid=1711279&amp;Row=9008&amp;Col=1","No Title Assigned - #15270874982")</f>
        <v/>
      </c>
      <c r="B9016" s="0" t="s">
        <v>12119</v>
      </c>
      <c r="C9016" s="0" t="s">
        <v>12120</v>
      </c>
      <c r="D9016" s="0" t="s">
        <v>5678</v>
      </c>
      <c r="E9016" s="0" t="inlineStr">
        <is>
          <t xml:space="preserve">Mazda</t>
        </is>
      </c>
      <c r="F9016" s="0" t="s">
        <v>21</v>
      </c>
      <c r="G9016" s="0" t="s">
        <v>22</v>
      </c>
      <c r="H9016" s="5">
        <v>659.886800</v>
      </c>
    </row>
    <row r="9017" spans="1:9">
      <c r="A9017" s="22" t="str">
        <f>HYPERLINK("https://app.vivvix.com/360/KMI/IntelliDrive/ApplUI/Pages/CreativePages/CustomReportCreativeDetail.aspx?App=23&amp;ReportView=4&amp;Qid=1711279&amp;Row=9009&amp;Col=1","No Title Assigned - #15270875311")</f>
        <v/>
      </c>
      <c r="B9017" s="0" t="s">
        <v>12121</v>
      </c>
      <c r="C9017" s="0" t="s">
        <v>12122</v>
      </c>
      <c r="D9017" s="0" t="s">
        <v>12122</v>
      </c>
      <c r="E9017" s="0" t="inlineStr">
        <is>
          <t xml:space="preserve">Mazda</t>
        </is>
      </c>
      <c r="F9017" s="0" t="s">
        <v>28</v>
      </c>
      <c r="G9017" s="0" t="s">
        <v>29</v>
      </c>
      <c r="H9017" s="5">
        <v>95.752500</v>
      </c>
    </row>
    <row r="9018" spans="1:9">
      <c r="A9018" s="22" t="str">
        <f>HYPERLINK("https://app.vivvix.com/360/KMI/IntelliDrive/ApplUI/Pages/CreativePages/CustomReportCreativeDetail.aspx?App=23&amp;ReportView=4&amp;Qid=1711279&amp;Row=9010&amp;Col=1","No Title Assigned - #15270876742")</f>
        <v/>
      </c>
      <c r="B9018" s="0" t="s">
        <v>12123</v>
      </c>
      <c r="E9018" s="0" t="inlineStr">
        <is>
          <t xml:space="preserve">Mazda</t>
        </is>
      </c>
      <c r="F9018" s="0" t="inlineStr">
        <is>
          <t xml:space="preserve">Mazda</t>
        </is>
      </c>
      <c r="G9018" s="0" t="s">
        <v>171</v>
      </c>
      <c r="H9018" s="5">
        <v>1955.785100</v>
      </c>
    </row>
    <row r="9019" spans="1:9">
      <c r="A9019" s="22" t="str">
        <f>HYPERLINK("https://app.vivvix.com/360/KMI/IntelliDrive/ApplUI/Pages/CreativePages/CustomReportCreativeDetail.aspx?App=23&amp;ReportView=4&amp;Qid=1711279&amp;Row=9011&amp;Col=1","No Title Assigned - #15270876855")</f>
        <v/>
      </c>
      <c r="B9019" s="0" t="s">
        <v>12124</v>
      </c>
      <c r="E9019" s="0" t="inlineStr">
        <is>
          <t xml:space="preserve">Mazda</t>
        </is>
      </c>
      <c r="F9019" s="0" t="inlineStr">
        <is>
          <t xml:space="preserve">Mazda</t>
        </is>
      </c>
      <c r="G9019" s="0" t="s">
        <v>171</v>
      </c>
      <c r="H9019" s="5">
        <v>43.048700</v>
      </c>
    </row>
    <row r="9020" spans="1:9">
      <c r="A9020" s="22" t="str">
        <f>HYPERLINK("https://app.vivvix.com/360/KMI/IntelliDrive/ApplUI/Pages/CreativePages/CustomReportCreativeDetail.aspx?App=23&amp;ReportView=4&amp;Qid=1711279&amp;Row=9012&amp;Col=1","No Title Assigned - #15270877011")</f>
        <v/>
      </c>
      <c r="B9020" s="0" t="s">
        <v>12125</v>
      </c>
      <c r="E9020" s="0" t="inlineStr">
        <is>
          <t xml:space="preserve">Mazda</t>
        </is>
      </c>
      <c r="F9020" s="0" t="inlineStr">
        <is>
          <t xml:space="preserve">Mazda</t>
        </is>
      </c>
      <c r="G9020" s="0" t="s">
        <v>171</v>
      </c>
      <c r="H9020" s="5">
        <v>940.861700</v>
      </c>
    </row>
    <row r="9021" spans="1:9">
      <c r="A9021" s="22" t="str">
        <f>HYPERLINK("https://app.vivvix.com/360/KMI/IntelliDrive/ApplUI/Pages/CreativePages/CustomReportCreativeDetail.aspx?App=23&amp;ReportView=4&amp;Qid=1711279&amp;Row=9013&amp;Col=1","No Title Assigned - #15270877011")</f>
        <v/>
      </c>
      <c r="B9021" s="0" t="s">
        <v>12125</v>
      </c>
      <c r="E9021" s="0" t="inlineStr">
        <is>
          <t xml:space="preserve">Mazda</t>
        </is>
      </c>
      <c r="F9021" s="0" t="inlineStr">
        <is>
          <t xml:space="preserve">Mazda</t>
        </is>
      </c>
      <c r="G9021" s="0" t="s">
        <v>171</v>
      </c>
      <c r="H9021" s="5">
        <v>33.411200</v>
      </c>
    </row>
    <row r="9022" spans="1:9">
      <c r="A9022" s="22" t="str">
        <f>HYPERLINK("https://app.vivvix.com/360/KMI/IntelliDrive/ApplUI/Pages/CreativePages/CustomReportCreativeDetail.aspx?App=23&amp;ReportView=4&amp;Qid=1711279&amp;Row=9014&amp;Col=1","No Title Assigned - #15270877117")</f>
        <v/>
      </c>
      <c r="B9022" s="0" t="s">
        <v>12126</v>
      </c>
      <c r="C9022" s="0" t="s">
        <v>12127</v>
      </c>
      <c r="D9022" s="0" t="s">
        <v>12127</v>
      </c>
      <c r="E9022" s="0" t="inlineStr">
        <is>
          <t xml:space="preserve">Mazda</t>
        </is>
      </c>
      <c r="F9022" s="0" t="inlineStr">
        <is>
          <t xml:space="preserve">Mazda</t>
        </is>
      </c>
      <c r="G9022" s="0" t="s">
        <v>171</v>
      </c>
      <c r="H9022" s="5">
        <v>631.396800</v>
      </c>
    </row>
    <row r="9023" spans="1:9">
      <c r="A9023" s="22" t="str">
        <f>HYPERLINK("https://app.vivvix.com/360/KMI/IntelliDrive/ApplUI/Pages/CreativePages/CustomReportCreativeDetail.aspx?App=23&amp;ReportView=4&amp;Qid=1711279&amp;Row=9015&amp;Col=1","No Title Assigned - #15270877202")</f>
        <v/>
      </c>
      <c r="B9023" s="0" t="s">
        <v>12128</v>
      </c>
      <c r="E9023" s="0" t="inlineStr">
        <is>
          <t xml:space="preserve">Mazda</t>
        </is>
      </c>
      <c r="F9023" s="0" t="inlineStr">
        <is>
          <t xml:space="preserve">Mazda</t>
        </is>
      </c>
      <c r="G9023" s="0" t="s">
        <v>171</v>
      </c>
      <c r="H9023" s="5">
        <v>45.957600</v>
      </c>
    </row>
    <row r="9024" spans="1:9">
      <c r="A9024" s="22" t="str">
        <f>HYPERLINK("https://app.vivvix.com/360/KMI/IntelliDrive/ApplUI/Pages/CreativePages/CustomReportCreativeDetail.aspx?App=23&amp;ReportView=4&amp;Qid=1711279&amp;Row=9016&amp;Col=1","No Title Assigned - #15270878207")</f>
        <v/>
      </c>
      <c r="B9024" s="0" t="s">
        <v>12129</v>
      </c>
      <c r="E9024" s="0" t="inlineStr">
        <is>
          <t xml:space="preserve">Mazda</t>
        </is>
      </c>
      <c r="F9024" s="0" t="inlineStr">
        <is>
          <t xml:space="preserve">Mazda</t>
        </is>
      </c>
      <c r="G9024" s="0" t="s">
        <v>171</v>
      </c>
      <c r="H9024" s="5">
        <v>73147.440200</v>
      </c>
    </row>
    <row r="9025" spans="1:9">
      <c r="A9025" s="22" t="str">
        <f>HYPERLINK("https://app.vivvix.com/360/KMI/IntelliDrive/ApplUI/Pages/CreativePages/CustomReportCreativeDetail.aspx?App=23&amp;ReportView=4&amp;Qid=1711279&amp;Row=9017&amp;Col=1","No Title Assigned - #15270878207")</f>
        <v/>
      </c>
      <c r="B9025" s="0" t="s">
        <v>12129</v>
      </c>
      <c r="E9025" s="0" t="inlineStr">
        <is>
          <t xml:space="preserve">Mazda</t>
        </is>
      </c>
      <c r="F9025" s="0" t="inlineStr">
        <is>
          <t xml:space="preserve">Mazda</t>
        </is>
      </c>
      <c r="G9025" s="0" t="s">
        <v>171</v>
      </c>
      <c r="H9025" s="5">
        <v>37598.804300</v>
      </c>
    </row>
    <row r="9026" spans="1:9">
      <c r="A9026" s="22" t="str">
        <f>HYPERLINK("https://app.vivvix.com/360/KMI/IntelliDrive/ApplUI/Pages/CreativePages/CustomReportCreativeDetail.aspx?App=23&amp;ReportView=4&amp;Qid=1711279&amp;Row=9018&amp;Col=1","No Title Assigned - #15270878328")</f>
        <v/>
      </c>
      <c r="B9026" s="0" t="s">
        <v>12130</v>
      </c>
      <c r="E9026" s="0" t="inlineStr">
        <is>
          <t xml:space="preserve">Mazda</t>
        </is>
      </c>
      <c r="F9026" s="0" t="inlineStr">
        <is>
          <t xml:space="preserve">Mazda</t>
        </is>
      </c>
      <c r="G9026" s="0" t="s">
        <v>171</v>
      </c>
      <c r="H9026" s="5">
        <v>425.008400</v>
      </c>
    </row>
    <row r="9027" spans="1:9">
      <c r="A9027" s="22" t="str">
        <f>HYPERLINK("https://app.vivvix.com/360/KMI/IntelliDrive/ApplUI/Pages/CreativePages/CustomReportCreativeDetail.aspx?App=23&amp;ReportView=4&amp;Qid=1711279&amp;Row=9019&amp;Col=1","No Title Assigned - #15270878328")</f>
        <v/>
      </c>
      <c r="B9027" s="0" t="s">
        <v>12130</v>
      </c>
      <c r="E9027" s="0" t="inlineStr">
        <is>
          <t xml:space="preserve">Mazda</t>
        </is>
      </c>
      <c r="F9027" s="0" t="inlineStr">
        <is>
          <t xml:space="preserve">Mazda</t>
        </is>
      </c>
      <c r="G9027" s="0" t="s">
        <v>171</v>
      </c>
      <c r="H9027" s="5">
        <v>12728.703600</v>
      </c>
    </row>
    <row r="9028" spans="1:9">
      <c r="A9028" s="22" t="str">
        <f>HYPERLINK("https://app.vivvix.com/360/KMI/IntelliDrive/ApplUI/Pages/CreativePages/CustomReportCreativeDetail.aspx?App=23&amp;ReportView=4&amp;Qid=1711279&amp;Row=9020&amp;Col=1","No Title Assigned - #15270878331")</f>
        <v/>
      </c>
      <c r="B9028" s="0" t="s">
        <v>12131</v>
      </c>
      <c r="E9028" s="0" t="inlineStr">
        <is>
          <t xml:space="preserve">Mazda</t>
        </is>
      </c>
      <c r="F9028" s="0" t="inlineStr">
        <is>
          <t xml:space="preserve">Mazda</t>
        </is>
      </c>
      <c r="G9028" s="0" t="s">
        <v>171</v>
      </c>
      <c r="H9028" s="5">
        <v>17.911800</v>
      </c>
    </row>
    <row r="9029" spans="1:9">
      <c r="A9029" s="22" t="str">
        <f>HYPERLINK("https://app.vivvix.com/360/KMI/IntelliDrive/ApplUI/Pages/CreativePages/CustomReportCreativeDetail.aspx?App=23&amp;ReportView=4&amp;Qid=1711279&amp;Row=9021&amp;Col=1","No Title Assigned - #15270878578")</f>
        <v/>
      </c>
      <c r="B9029" s="0" t="s">
        <v>12132</v>
      </c>
      <c r="C9029" s="0" t="s">
        <v>12133</v>
      </c>
      <c r="D9029" s="0" t="s">
        <v>12133</v>
      </c>
      <c r="E9029" s="0" t="inlineStr">
        <is>
          <t xml:space="preserve">Mazda</t>
        </is>
      </c>
      <c r="F9029" s="0" t="inlineStr">
        <is>
          <t xml:space="preserve">Mazda</t>
        </is>
      </c>
      <c r="G9029" s="0" t="s">
        <v>171</v>
      </c>
      <c r="H9029" s="5">
        <v>197.251500</v>
      </c>
    </row>
    <row r="9030" spans="1:9">
      <c r="A9030" s="22" t="str">
        <f>HYPERLINK("https://app.vivvix.com/360/KMI/IntelliDrive/ApplUI/Pages/CreativePages/CustomReportCreativeDetail.aspx?App=23&amp;ReportView=4&amp;Qid=1711279&amp;Row=9022&amp;Col=1","No Title Assigned - #15270878937")</f>
        <v/>
      </c>
      <c r="B9030" s="0" t="s">
        <v>12134</v>
      </c>
      <c r="E9030" s="0" t="inlineStr">
        <is>
          <t xml:space="preserve">Mazda</t>
        </is>
      </c>
      <c r="F9030" s="0" t="inlineStr">
        <is>
          <t xml:space="preserve">Mazda</t>
        </is>
      </c>
      <c r="G9030" s="0" t="s">
        <v>171</v>
      </c>
      <c r="H9030" s="5">
        <v>603.551300</v>
      </c>
    </row>
    <row r="9031" spans="1:9">
      <c r="A9031" s="22" t="str">
        <f>HYPERLINK("https://app.vivvix.com/360/KMI/IntelliDrive/ApplUI/Pages/CreativePages/CustomReportCreativeDetail.aspx?App=23&amp;ReportView=4&amp;Qid=1711279&amp;Row=9023&amp;Col=1","No Title Assigned - #15270879934")</f>
        <v/>
      </c>
      <c r="B9031" s="0" t="s">
        <v>12135</v>
      </c>
      <c r="E9031" s="0" t="inlineStr">
        <is>
          <t xml:space="preserve">Mazda</t>
        </is>
      </c>
      <c r="F9031" s="0" t="inlineStr">
        <is>
          <t xml:space="preserve">Mazda</t>
        </is>
      </c>
      <c r="G9031" s="0" t="s">
        <v>171</v>
      </c>
      <c r="H9031" s="5">
        <v>442.271700</v>
      </c>
    </row>
    <row r="9032" spans="1:9">
      <c r="A9032" s="22" t="str">
        <f>HYPERLINK("https://app.vivvix.com/360/KMI/IntelliDrive/ApplUI/Pages/CreativePages/CustomReportCreativeDetail.aspx?App=23&amp;ReportView=4&amp;Qid=1711279&amp;Row=9024&amp;Col=1","No Title Assigned - #15270880487")</f>
        <v/>
      </c>
      <c r="B9032" s="0" t="s">
        <v>12136</v>
      </c>
      <c r="E9032" s="0" t="inlineStr">
        <is>
          <t xml:space="preserve">Mazda</t>
        </is>
      </c>
      <c r="F9032" s="0" t="inlineStr">
        <is>
          <t xml:space="preserve">Mazda</t>
        </is>
      </c>
      <c r="G9032" s="0" t="s">
        <v>171</v>
      </c>
      <c r="H9032" s="5">
        <v>39.853500</v>
      </c>
    </row>
    <row r="9033" spans="1:9">
      <c r="A9033" s="22" t="str">
        <f>HYPERLINK("https://app.vivvix.com/360/KMI/IntelliDrive/ApplUI/Pages/CreativePages/CustomReportCreativeDetail.aspx?App=23&amp;ReportView=4&amp;Qid=1711279&amp;Row=9025&amp;Col=1","No Title Assigned - #15270880526")</f>
        <v/>
      </c>
      <c r="B9033" s="0" t="s">
        <v>12137</v>
      </c>
      <c r="E9033" s="0" t="inlineStr">
        <is>
          <t xml:space="preserve">Mazda</t>
        </is>
      </c>
      <c r="F9033" s="0" t="inlineStr">
        <is>
          <t xml:space="preserve">Mazda</t>
        </is>
      </c>
      <c r="G9033" s="0" t="s">
        <v>171</v>
      </c>
      <c r="H9033" s="5">
        <v>546.631100</v>
      </c>
    </row>
    <row r="9034" spans="1:9">
      <c r="A9034" s="22" t="str">
        <f>HYPERLINK("https://app.vivvix.com/360/KMI/IntelliDrive/ApplUI/Pages/CreativePages/CustomReportCreativeDetail.aspx?App=23&amp;ReportView=4&amp;Qid=1711279&amp;Row=9026&amp;Col=1","No Title Assigned - #15270880596")</f>
        <v/>
      </c>
      <c r="B9034" s="0" t="s">
        <v>12138</v>
      </c>
      <c r="E9034" s="0" t="inlineStr">
        <is>
          <t xml:space="preserve">Mazda</t>
        </is>
      </c>
      <c r="F9034" s="0" t="inlineStr">
        <is>
          <t xml:space="preserve">Mazda</t>
        </is>
      </c>
      <c r="G9034" s="0" t="s">
        <v>171</v>
      </c>
      <c r="H9034" s="5">
        <v>12.543200</v>
      </c>
    </row>
    <row r="9035" spans="1:9">
      <c r="A9035" s="22" t="str">
        <f>HYPERLINK("https://app.vivvix.com/360/KMI/IntelliDrive/ApplUI/Pages/CreativePages/CustomReportCreativeDetail.aspx?App=23&amp;ReportView=4&amp;Qid=1711279&amp;Row=9027&amp;Col=1","No Title Assigned - #15270880621")</f>
        <v/>
      </c>
      <c r="B9035" s="0" t="s">
        <v>12139</v>
      </c>
      <c r="E9035" s="0" t="inlineStr">
        <is>
          <t xml:space="preserve">Mazda</t>
        </is>
      </c>
      <c r="F9035" s="0" t="inlineStr">
        <is>
          <t xml:space="preserve">Mazda</t>
        </is>
      </c>
      <c r="G9035" s="0" t="s">
        <v>171</v>
      </c>
      <c r="H9035" s="5">
        <v>17829.279200</v>
      </c>
    </row>
    <row r="9036" spans="1:9">
      <c r="A9036" s="22" t="str">
        <f>HYPERLINK("https://app.vivvix.com/360/KMI/IntelliDrive/ApplUI/Pages/CreativePages/CustomReportCreativeDetail.aspx?App=23&amp;ReportView=4&amp;Qid=1711279&amp;Row=9028&amp;Col=1","No Title Assigned - #15270880621")</f>
        <v/>
      </c>
      <c r="B9036" s="0" t="s">
        <v>12139</v>
      </c>
      <c r="E9036" s="0" t="inlineStr">
        <is>
          <t xml:space="preserve">Mazda</t>
        </is>
      </c>
      <c r="F9036" s="0" t="inlineStr">
        <is>
          <t xml:space="preserve">Mazda</t>
        </is>
      </c>
      <c r="G9036" s="0" t="s">
        <v>171</v>
      </c>
      <c r="H9036" s="5">
        <v>72401.654400</v>
      </c>
    </row>
    <row r="9037" spans="1:9">
      <c r="A9037" s="22" t="str">
        <f>HYPERLINK("https://app.vivvix.com/360/KMI/IntelliDrive/ApplUI/Pages/CreativePages/CustomReportCreativeDetail.aspx?App=23&amp;ReportView=4&amp;Qid=1711279&amp;Row=9029&amp;Col=1","No Title Assigned - #15270880692")</f>
        <v/>
      </c>
      <c r="B9037" s="0" t="s">
        <v>12140</v>
      </c>
      <c r="E9037" s="0" t="inlineStr">
        <is>
          <t xml:space="preserve">Mazda</t>
        </is>
      </c>
      <c r="F9037" s="0" t="inlineStr">
        <is>
          <t xml:space="preserve">Mazda</t>
        </is>
      </c>
      <c r="G9037" s="0" t="s">
        <v>171</v>
      </c>
      <c r="H9037" s="5">
        <v>10.918000</v>
      </c>
    </row>
    <row r="9038" spans="1:9">
      <c r="A9038" s="22" t="str">
        <f>HYPERLINK("https://app.vivvix.com/360/KMI/IntelliDrive/ApplUI/Pages/CreativePages/CustomReportCreativeDetail.aspx?App=23&amp;ReportView=4&amp;Qid=1711279&amp;Row=9030&amp;Col=1","No Title Assigned - #15270880731")</f>
        <v/>
      </c>
      <c r="B9038" s="0" t="s">
        <v>12141</v>
      </c>
      <c r="E9038" s="0" t="inlineStr">
        <is>
          <t xml:space="preserve">Mazda</t>
        </is>
      </c>
      <c r="F9038" s="0" t="inlineStr">
        <is>
          <t xml:space="preserve">Mazda</t>
        </is>
      </c>
      <c r="G9038" s="0" t="s">
        <v>171</v>
      </c>
      <c r="H9038" s="5">
        <v>46306.873300</v>
      </c>
    </row>
    <row r="9039" spans="1:9">
      <c r="A9039" s="22" t="str">
        <f>HYPERLINK("https://app.vivvix.com/360/KMI/IntelliDrive/ApplUI/Pages/CreativePages/CustomReportCreativeDetail.aspx?App=23&amp;ReportView=4&amp;Qid=1711279&amp;Row=9031&amp;Col=1","No Title Assigned - #15270880925")</f>
        <v/>
      </c>
      <c r="B9039" s="0" t="s">
        <v>12142</v>
      </c>
      <c r="E9039" s="0" t="inlineStr">
        <is>
          <t xml:space="preserve">Mazda</t>
        </is>
      </c>
      <c r="F9039" s="0" t="inlineStr">
        <is>
          <t xml:space="preserve">Mazda</t>
        </is>
      </c>
      <c r="G9039" s="0" t="s">
        <v>171</v>
      </c>
      <c r="H9039" s="5">
        <v>19.917600</v>
      </c>
    </row>
    <row r="9040" spans="1:9">
      <c r="A9040" s="22" t="str">
        <f>HYPERLINK("https://app.vivvix.com/360/KMI/IntelliDrive/ApplUI/Pages/CreativePages/CustomReportCreativeDetail.aspx?App=23&amp;ReportView=4&amp;Qid=1711279&amp;Row=9032&amp;Col=1","No Title Assigned - #15270881134")</f>
        <v/>
      </c>
      <c r="B9040" s="0" t="s">
        <v>12143</v>
      </c>
      <c r="E9040" s="0" t="inlineStr">
        <is>
          <t xml:space="preserve">Mazda</t>
        </is>
      </c>
      <c r="F9040" s="0" t="inlineStr">
        <is>
          <t xml:space="preserve">Mazda</t>
        </is>
      </c>
      <c r="G9040" s="0" t="s">
        <v>171</v>
      </c>
      <c r="H9040" s="5">
        <v>24.166600</v>
      </c>
    </row>
    <row r="9041" spans="1:9">
      <c r="A9041" s="22" t="str">
        <f>HYPERLINK("https://app.vivvix.com/360/KMI/IntelliDrive/ApplUI/Pages/CreativePages/CustomReportCreativeDetail.aspx?App=23&amp;ReportView=4&amp;Qid=1711279&amp;Row=9033&amp;Col=1","No Title Assigned - #15270881439")</f>
        <v/>
      </c>
      <c r="B9041" s="0" t="s">
        <v>12144</v>
      </c>
      <c r="E9041" s="0" t="inlineStr">
        <is>
          <t xml:space="preserve">Mazda</t>
        </is>
      </c>
      <c r="F9041" s="0" t="inlineStr">
        <is>
          <t xml:space="preserve">Mazda</t>
        </is>
      </c>
      <c r="G9041" s="0" t="s">
        <v>171</v>
      </c>
      <c r="H9041" s="5">
        <v>83.448400</v>
      </c>
    </row>
    <row r="9042" spans="1:9">
      <c r="A9042" s="22" t="str">
        <f>HYPERLINK("https://app.vivvix.com/360/KMI/IntelliDrive/ApplUI/Pages/CreativePages/CustomReportCreativeDetail.aspx?App=23&amp;ReportView=4&amp;Qid=1711279&amp;Row=9034&amp;Col=1","No Title Assigned - #15270881470")</f>
        <v/>
      </c>
      <c r="B9042" s="0" t="s">
        <v>12145</v>
      </c>
      <c r="E9042" s="0" t="inlineStr">
        <is>
          <t xml:space="preserve">Mazda</t>
        </is>
      </c>
      <c r="F9042" s="0" t="inlineStr">
        <is>
          <t xml:space="preserve">Mazda</t>
        </is>
      </c>
      <c r="G9042" s="0" t="s">
        <v>171</v>
      </c>
      <c r="H9042" s="5">
        <v>150.828000</v>
      </c>
    </row>
    <row r="9043" spans="1:9">
      <c r="A9043" s="22" t="str">
        <f>HYPERLINK("https://app.vivvix.com/360/KMI/IntelliDrive/ApplUI/Pages/CreativePages/CustomReportCreativeDetail.aspx?App=23&amp;ReportView=4&amp;Qid=1711279&amp;Row=9035&amp;Col=1","No Title Assigned - #15270881823")</f>
        <v/>
      </c>
      <c r="B9043" s="0" t="s">
        <v>12146</v>
      </c>
      <c r="E9043" s="0" t="inlineStr">
        <is>
          <t xml:space="preserve">Mazda</t>
        </is>
      </c>
      <c r="F9043" s="0" t="inlineStr">
        <is>
          <t xml:space="preserve">Mazda</t>
        </is>
      </c>
      <c r="G9043" s="0" t="s">
        <v>171</v>
      </c>
      <c r="H9043" s="5">
        <v>10.666900</v>
      </c>
    </row>
    <row r="9044" spans="1:9">
      <c r="A9044" s="22" t="str">
        <f>HYPERLINK("https://app.vivvix.com/360/KMI/IntelliDrive/ApplUI/Pages/CreativePages/CustomReportCreativeDetail.aspx?App=23&amp;ReportView=4&amp;Qid=1711279&amp;Row=9036&amp;Col=1","No Title Assigned - #15270881900")</f>
        <v/>
      </c>
      <c r="B9044" s="0" t="s">
        <v>12147</v>
      </c>
      <c r="E9044" s="0" t="inlineStr">
        <is>
          <t xml:space="preserve">Mazda</t>
        </is>
      </c>
      <c r="F9044" s="0" t="inlineStr">
        <is>
          <t xml:space="preserve">Mazda</t>
        </is>
      </c>
      <c r="G9044" s="0" t="s">
        <v>171</v>
      </c>
      <c r="H9044" s="5">
        <v>69.983200</v>
      </c>
    </row>
    <row r="9045" spans="1:9">
      <c r="A9045" s="22" t="str">
        <f>HYPERLINK("https://app.vivvix.com/360/KMI/IntelliDrive/ApplUI/Pages/CreativePages/CustomReportCreativeDetail.aspx?App=23&amp;ReportView=4&amp;Qid=1711279&amp;Row=9037&amp;Col=1","No Title Assigned - #15270881952")</f>
        <v/>
      </c>
      <c r="B9045" s="0" t="s">
        <v>12148</v>
      </c>
      <c r="E9045" s="0" t="inlineStr">
        <is>
          <t xml:space="preserve">Mazda</t>
        </is>
      </c>
      <c r="F9045" s="0" t="inlineStr">
        <is>
          <t xml:space="preserve">Mazda</t>
        </is>
      </c>
      <c r="G9045" s="0" t="s">
        <v>171</v>
      </c>
      <c r="H9045" s="5">
        <v>68.843500</v>
      </c>
    </row>
    <row r="9046" spans="1:9">
      <c r="A9046" s="22" t="str">
        <f>HYPERLINK("https://app.vivvix.com/360/KMI/IntelliDrive/ApplUI/Pages/CreativePages/CustomReportCreativeDetail.aspx?App=23&amp;ReportView=4&amp;Qid=1711279&amp;Row=9038&amp;Col=1","No Title Assigned - #15270882016")</f>
        <v/>
      </c>
      <c r="B9046" s="0" t="s">
        <v>12149</v>
      </c>
      <c r="E9046" s="0" t="inlineStr">
        <is>
          <t xml:space="preserve">Mazda</t>
        </is>
      </c>
      <c r="F9046" s="0" t="inlineStr">
        <is>
          <t xml:space="preserve">Mazda</t>
        </is>
      </c>
      <c r="G9046" s="0" t="s">
        <v>171</v>
      </c>
      <c r="H9046" s="5">
        <v>5004.402800</v>
      </c>
    </row>
    <row r="9047" spans="1:9">
      <c r="A9047" s="22" t="str">
        <f>HYPERLINK("https://app.vivvix.com/360/KMI/IntelliDrive/ApplUI/Pages/CreativePages/CustomReportCreativeDetail.aspx?App=23&amp;ReportView=4&amp;Qid=1711279&amp;Row=9039&amp;Col=1","No Title Assigned - #15270882071")</f>
        <v/>
      </c>
      <c r="B9047" s="0" t="s">
        <v>12150</v>
      </c>
      <c r="E9047" s="0" t="inlineStr">
        <is>
          <t xml:space="preserve">Mazda</t>
        </is>
      </c>
      <c r="F9047" s="0" t="inlineStr">
        <is>
          <t xml:space="preserve">Mazda</t>
        </is>
      </c>
      <c r="G9047" s="0" t="s">
        <v>171</v>
      </c>
      <c r="H9047" s="5">
        <v>11.393000</v>
      </c>
    </row>
    <row r="9048" spans="1:9">
      <c r="A9048" s="22" t="str">
        <f>HYPERLINK("https://app.vivvix.com/360/KMI/IntelliDrive/ApplUI/Pages/CreativePages/CustomReportCreativeDetail.aspx?App=23&amp;ReportView=4&amp;Qid=1711279&amp;Row=9040&amp;Col=1","No Title Assigned - #15270882137")</f>
        <v/>
      </c>
      <c r="B9048" s="0" t="s">
        <v>12151</v>
      </c>
      <c r="E9048" s="0" t="inlineStr">
        <is>
          <t xml:space="preserve">Mazda</t>
        </is>
      </c>
      <c r="F9048" s="0" t="inlineStr">
        <is>
          <t xml:space="preserve">Mazda</t>
        </is>
      </c>
      <c r="G9048" s="0" t="s">
        <v>171</v>
      </c>
      <c r="H9048" s="5">
        <v>16.204000</v>
      </c>
    </row>
    <row r="9049" spans="1:9">
      <c r="A9049" s="22" t="str">
        <f>HYPERLINK("https://app.vivvix.com/360/KMI/IntelliDrive/ApplUI/Pages/CreativePages/CustomReportCreativeDetail.aspx?App=23&amp;ReportView=4&amp;Qid=1711279&amp;Row=9041&amp;Col=1","No Title Assigned - #15270882195")</f>
        <v/>
      </c>
      <c r="B9049" s="0" t="s">
        <v>12152</v>
      </c>
      <c r="E9049" s="0" t="inlineStr">
        <is>
          <t xml:space="preserve">Mazda</t>
        </is>
      </c>
      <c r="F9049" s="0" t="inlineStr">
        <is>
          <t xml:space="preserve">Mazda</t>
        </is>
      </c>
      <c r="G9049" s="0" t="s">
        <v>171</v>
      </c>
      <c r="H9049" s="5">
        <v>128.506300</v>
      </c>
    </row>
    <row r="9050" spans="1:9">
      <c r="A9050" s="22" t="str">
        <f>HYPERLINK("https://app.vivvix.com/360/KMI/IntelliDrive/ApplUI/Pages/CreativePages/CustomReportCreativeDetail.aspx?App=23&amp;ReportView=4&amp;Qid=1711279&amp;Row=9042&amp;Col=1","No Title Assigned - #15270882197")</f>
        <v/>
      </c>
      <c r="B9050" s="0" t="s">
        <v>12153</v>
      </c>
      <c r="C9050" s="0" t="s">
        <v>12154</v>
      </c>
      <c r="D9050" s="0" t="s">
        <v>12154</v>
      </c>
      <c r="E9050" s="0" t="inlineStr">
        <is>
          <t xml:space="preserve">Mazda</t>
        </is>
      </c>
      <c r="F9050" s="0" t="inlineStr">
        <is>
          <t xml:space="preserve">Mazda</t>
        </is>
      </c>
      <c r="G9050" s="0" t="s">
        <v>171</v>
      </c>
      <c r="H9050" s="5">
        <v>182.775900</v>
      </c>
    </row>
    <row r="9051" spans="1:9">
      <c r="A9051" s="22" t="str">
        <f>HYPERLINK("https://app.vivvix.com/360/KMI/IntelliDrive/ApplUI/Pages/CreativePages/CustomReportCreativeDetail.aspx?App=23&amp;ReportView=4&amp;Qid=1711279&amp;Row=9043&amp;Col=1","No Title Assigned - #15270882197")</f>
        <v/>
      </c>
      <c r="B9051" s="0" t="s">
        <v>12153</v>
      </c>
      <c r="E9051" s="0" t="inlineStr">
        <is>
          <t xml:space="preserve">Mazda</t>
        </is>
      </c>
      <c r="F9051" s="0" t="inlineStr">
        <is>
          <t xml:space="preserve">Mazda</t>
        </is>
      </c>
      <c r="G9051" s="0" t="s">
        <v>171</v>
      </c>
      <c r="H9051" s="5">
        <v>454.011400</v>
      </c>
    </row>
    <row r="9052" spans="1:9">
      <c r="A9052" s="22" t="str">
        <f>HYPERLINK("https://app.vivvix.com/360/KMI/IntelliDrive/ApplUI/Pages/CreativePages/CustomReportCreativeDetail.aspx?App=23&amp;ReportView=4&amp;Qid=1711279&amp;Row=9044&amp;Col=1","No Title Assigned - #15270882198")</f>
        <v/>
      </c>
      <c r="B9052" s="0" t="s">
        <v>12155</v>
      </c>
      <c r="E9052" s="0" t="inlineStr">
        <is>
          <t xml:space="preserve">Mazda</t>
        </is>
      </c>
      <c r="F9052" s="0" t="inlineStr">
        <is>
          <t xml:space="preserve">Mazda</t>
        </is>
      </c>
      <c r="G9052" s="0" t="s">
        <v>171</v>
      </c>
      <c r="H9052" s="5">
        <v>128.506300</v>
      </c>
    </row>
    <row r="9053" spans="1:9">
      <c r="A9053" s="22" t="str">
        <f>HYPERLINK("https://app.vivvix.com/360/KMI/IntelliDrive/ApplUI/Pages/CreativePages/CustomReportCreativeDetail.aspx?App=23&amp;ReportView=4&amp;Qid=1711279&amp;Row=9045&amp;Col=1","No Title Assigned - #15270882271")</f>
        <v/>
      </c>
      <c r="B9053" s="0" t="s">
        <v>12156</v>
      </c>
      <c r="E9053" s="0" t="inlineStr">
        <is>
          <t xml:space="preserve">Mazda</t>
        </is>
      </c>
      <c r="F9053" s="0" t="inlineStr">
        <is>
          <t xml:space="preserve">Mazda</t>
        </is>
      </c>
      <c r="G9053" s="0" t="s">
        <v>171</v>
      </c>
      <c r="H9053" s="5">
        <v>18.001400</v>
      </c>
    </row>
    <row r="9054" spans="1:9">
      <c r="A9054" s="22" t="str">
        <f>HYPERLINK("https://app.vivvix.com/360/KMI/IntelliDrive/ApplUI/Pages/CreativePages/CustomReportCreativeDetail.aspx?App=23&amp;ReportView=4&amp;Qid=1711279&amp;Row=9046&amp;Col=1","No Title Assigned - #15270882366")</f>
        <v/>
      </c>
      <c r="B9054" s="0" t="s">
        <v>12157</v>
      </c>
      <c r="C9054" s="0" t="s">
        <v>12158</v>
      </c>
      <c r="D9054" s="0" t="s">
        <v>12158</v>
      </c>
      <c r="E9054" s="0" t="inlineStr">
        <is>
          <t xml:space="preserve">Mazda</t>
        </is>
      </c>
      <c r="F9054" s="0" t="inlineStr">
        <is>
          <t xml:space="preserve">Mazda</t>
        </is>
      </c>
      <c r="G9054" s="0" t="s">
        <v>171</v>
      </c>
      <c r="H9054" s="5">
        <v>1518.900400</v>
      </c>
    </row>
    <row r="9055" spans="1:9">
      <c r="A9055" s="22" t="str">
        <f>HYPERLINK("https://app.vivvix.com/360/KMI/IntelliDrive/ApplUI/Pages/CreativePages/CustomReportCreativeDetail.aspx?App=23&amp;ReportView=4&amp;Qid=1711279&amp;Row=9047&amp;Col=1","No Title Assigned - #15270882379")</f>
        <v/>
      </c>
      <c r="B9055" s="0" t="s">
        <v>12159</v>
      </c>
      <c r="E9055" s="0" t="inlineStr">
        <is>
          <t xml:space="preserve">Mazda</t>
        </is>
      </c>
      <c r="F9055" s="0" t="inlineStr">
        <is>
          <t xml:space="preserve">Mazda</t>
        </is>
      </c>
      <c r="G9055" s="0" t="s">
        <v>171</v>
      </c>
      <c r="H9055" s="5">
        <v>11.901400</v>
      </c>
    </row>
    <row r="9056" spans="1:9">
      <c r="A9056" s="22" t="str">
        <f>HYPERLINK("https://app.vivvix.com/360/KMI/IntelliDrive/ApplUI/Pages/CreativePages/CustomReportCreativeDetail.aspx?App=23&amp;ReportView=4&amp;Qid=1711279&amp;Row=9048&amp;Col=1","No Title Assigned - #15270882488")</f>
        <v/>
      </c>
      <c r="B9056" s="0" t="s">
        <v>12160</v>
      </c>
      <c r="E9056" s="0" t="inlineStr">
        <is>
          <t xml:space="preserve">Mazda</t>
        </is>
      </c>
      <c r="F9056" s="0" t="inlineStr">
        <is>
          <t xml:space="preserve">Mazda</t>
        </is>
      </c>
      <c r="G9056" s="0" t="s">
        <v>171</v>
      </c>
      <c r="H9056" s="5">
        <v>165.634700</v>
      </c>
    </row>
    <row r="9057" spans="1:9">
      <c r="A9057" s="22" t="str">
        <f>HYPERLINK("https://app.vivvix.com/360/KMI/IntelliDrive/ApplUI/Pages/CreativePages/CustomReportCreativeDetail.aspx?App=23&amp;ReportView=4&amp;Qid=1711279&amp;Row=9049&amp;Col=1","No Title Assigned - #15270882508")</f>
        <v/>
      </c>
      <c r="B9057" s="0" t="s">
        <v>12161</v>
      </c>
      <c r="E9057" s="0" t="inlineStr">
        <is>
          <t xml:space="preserve">Mazda</t>
        </is>
      </c>
      <c r="F9057" s="0" t="inlineStr">
        <is>
          <t xml:space="preserve">Mazda</t>
        </is>
      </c>
      <c r="G9057" s="0" t="s">
        <v>171</v>
      </c>
      <c r="H9057" s="5">
        <v>93.574200</v>
      </c>
    </row>
    <row r="9058" spans="1:9">
      <c r="A9058" s="22" t="str">
        <f>HYPERLINK("https://app.vivvix.com/360/KMI/IntelliDrive/ApplUI/Pages/CreativePages/CustomReportCreativeDetail.aspx?App=23&amp;ReportView=4&amp;Qid=1711279&amp;Row=9050&amp;Col=1","No Title Assigned - #15270882597")</f>
        <v/>
      </c>
      <c r="B9058" s="0" t="s">
        <v>12162</v>
      </c>
      <c r="E9058" s="0" t="inlineStr">
        <is>
          <t xml:space="preserve">Mazda</t>
        </is>
      </c>
      <c r="F9058" s="0" t="inlineStr">
        <is>
          <t xml:space="preserve">Mazda</t>
        </is>
      </c>
      <c r="G9058" s="0" t="s">
        <v>171</v>
      </c>
      <c r="H9058" s="5">
        <v>157.100200</v>
      </c>
    </row>
    <row r="9059" spans="1:9">
      <c r="A9059" s="22" t="str">
        <f>HYPERLINK("https://app.vivvix.com/360/KMI/IntelliDrive/ApplUI/Pages/CreativePages/CustomReportCreativeDetail.aspx?App=23&amp;ReportView=4&amp;Qid=1711279&amp;Row=9051&amp;Col=1","No Title Assigned - #15270882853")</f>
        <v/>
      </c>
      <c r="B9059" s="0" t="s">
        <v>12163</v>
      </c>
      <c r="E9059" s="0" t="inlineStr">
        <is>
          <t xml:space="preserve">Mazda</t>
        </is>
      </c>
      <c r="F9059" s="0" t="inlineStr">
        <is>
          <t xml:space="preserve">Mazda</t>
        </is>
      </c>
      <c r="G9059" s="0" t="s">
        <v>171</v>
      </c>
      <c r="H9059" s="5">
        <v>45.978400</v>
      </c>
    </row>
    <row r="9060" spans="1:9">
      <c r="A9060" s="22" t="str">
        <f>HYPERLINK("https://app.vivvix.com/360/KMI/IntelliDrive/ApplUI/Pages/CreativePages/CustomReportCreativeDetail.aspx?App=23&amp;ReportView=4&amp;Qid=1711279&amp;Row=9052&amp;Col=1","No Title Assigned - #15270882973")</f>
        <v/>
      </c>
      <c r="B9060" s="0" t="s">
        <v>12164</v>
      </c>
      <c r="E9060" s="0" t="inlineStr">
        <is>
          <t xml:space="preserve">Mazda</t>
        </is>
      </c>
      <c r="F9060" s="0" t="inlineStr">
        <is>
          <t xml:space="preserve">Mazda</t>
        </is>
      </c>
      <c r="G9060" s="0" t="s">
        <v>171</v>
      </c>
      <c r="H9060" s="5">
        <v>41782.324400</v>
      </c>
    </row>
    <row r="9061" spans="1:9">
      <c r="A9061" s="22" t="str">
        <f>HYPERLINK("https://app.vivvix.com/360/KMI/IntelliDrive/ApplUI/Pages/CreativePages/CustomReportCreativeDetail.aspx?App=23&amp;ReportView=4&amp;Qid=1711279&amp;Row=9053&amp;Col=1","No Title Assigned - #15270882973")</f>
        <v/>
      </c>
      <c r="B9061" s="0" t="s">
        <v>12164</v>
      </c>
      <c r="E9061" s="0" t="inlineStr">
        <is>
          <t xml:space="preserve">Mazda</t>
        </is>
      </c>
      <c r="F9061" s="0" t="inlineStr">
        <is>
          <t xml:space="preserve">Mazda</t>
        </is>
      </c>
      <c r="G9061" s="0" t="s">
        <v>171</v>
      </c>
      <c r="H9061" s="5">
        <v>4109.212600</v>
      </c>
    </row>
    <row r="9062" spans="1:9">
      <c r="A9062" s="22" t="str">
        <f>HYPERLINK("https://app.vivvix.com/360/KMI/IntelliDrive/ApplUI/Pages/CreativePages/CustomReportCreativeDetail.aspx?App=23&amp;ReportView=4&amp;Qid=1711279&amp;Row=9054&amp;Col=1","No Title Assigned - #15270883217")</f>
        <v/>
      </c>
      <c r="B9062" s="0" t="s">
        <v>12165</v>
      </c>
      <c r="E9062" s="0" t="inlineStr">
        <is>
          <t xml:space="preserve">Mazda</t>
        </is>
      </c>
      <c r="F9062" s="0" t="inlineStr">
        <is>
          <t xml:space="preserve">Mazda</t>
        </is>
      </c>
      <c r="G9062" s="0" t="s">
        <v>171</v>
      </c>
      <c r="H9062" s="5">
        <v>514.370600</v>
      </c>
    </row>
    <row r="9063" spans="1:9">
      <c r="A9063" s="22" t="str">
        <f>HYPERLINK("https://app.vivvix.com/360/KMI/IntelliDrive/ApplUI/Pages/CreativePages/CustomReportCreativeDetail.aspx?App=23&amp;ReportView=4&amp;Qid=1711279&amp;Row=9055&amp;Col=1","No Title Assigned - #15270883342")</f>
        <v/>
      </c>
      <c r="B9063" s="0" t="s">
        <v>12166</v>
      </c>
      <c r="C9063" s="0" t="s">
        <v>12167</v>
      </c>
      <c r="D9063" s="0" t="s">
        <v>12167</v>
      </c>
      <c r="E9063" s="0" t="inlineStr">
        <is>
          <t xml:space="preserve">Mazda</t>
        </is>
      </c>
      <c r="F9063" s="0" t="inlineStr">
        <is>
          <t xml:space="preserve">Mazda</t>
        </is>
      </c>
      <c r="G9063" s="0" t="s">
        <v>171</v>
      </c>
      <c r="H9063" s="5">
        <v>526.663300</v>
      </c>
    </row>
    <row r="9064" spans="1:9">
      <c r="A9064" s="22" t="str">
        <f>HYPERLINK("https://app.vivvix.com/360/KMI/IntelliDrive/ApplUI/Pages/CreativePages/CustomReportCreativeDetail.aspx?App=23&amp;ReportView=4&amp;Qid=1711279&amp;Row=9056&amp;Col=1","No Title Assigned - #15270883342")</f>
        <v/>
      </c>
      <c r="B9064" s="0" t="s">
        <v>12166</v>
      </c>
      <c r="E9064" s="0" t="inlineStr">
        <is>
          <t xml:space="preserve">Mazda</t>
        </is>
      </c>
      <c r="F9064" s="0" t="inlineStr">
        <is>
          <t xml:space="preserve">Mazda</t>
        </is>
      </c>
      <c r="G9064" s="0" t="s">
        <v>171</v>
      </c>
      <c r="H9064" s="5">
        <v>89.515900</v>
      </c>
    </row>
    <row r="9065" spans="1:9">
      <c r="A9065" s="22" t="str">
        <f>HYPERLINK("https://app.vivvix.com/360/KMI/IntelliDrive/ApplUI/Pages/CreativePages/CustomReportCreativeDetail.aspx?App=23&amp;ReportView=4&amp;Qid=1711279&amp;Row=9057&amp;Col=1","No Title Assigned - #15270883515")</f>
        <v/>
      </c>
      <c r="B9065" s="0" t="s">
        <v>12168</v>
      </c>
      <c r="E9065" s="0" t="inlineStr">
        <is>
          <t xml:space="preserve">Mazda</t>
        </is>
      </c>
      <c r="F9065" s="0" t="inlineStr">
        <is>
          <t xml:space="preserve">Mazda</t>
        </is>
      </c>
      <c r="G9065" s="0" t="s">
        <v>171</v>
      </c>
      <c r="H9065" s="5">
        <v>10.637400</v>
      </c>
    </row>
    <row r="9066" spans="1:9">
      <c r="A9066" s="22" t="str">
        <f>HYPERLINK("https://app.vivvix.com/360/KMI/IntelliDrive/ApplUI/Pages/CreativePages/CustomReportCreativeDetail.aspx?App=23&amp;ReportView=4&amp;Qid=1711279&amp;Row=9058&amp;Col=1","No Title Assigned - #15270883724")</f>
        <v/>
      </c>
      <c r="B9066" s="0" t="s">
        <v>12169</v>
      </c>
      <c r="E9066" s="0" t="inlineStr">
        <is>
          <t xml:space="preserve">Mazda</t>
        </is>
      </c>
      <c r="F9066" s="0" t="inlineStr">
        <is>
          <t xml:space="preserve">Mazda</t>
        </is>
      </c>
      <c r="G9066" s="0" t="s">
        <v>171</v>
      </c>
      <c r="H9066" s="5">
        <v>106.757200</v>
      </c>
    </row>
    <row r="9067" spans="1:9">
      <c r="A9067" s="22" t="str">
        <f>HYPERLINK("https://app.vivvix.com/360/KMI/IntelliDrive/ApplUI/Pages/CreativePages/CustomReportCreativeDetail.aspx?App=23&amp;ReportView=4&amp;Qid=1711279&amp;Row=9059&amp;Col=1","No Title Assigned - #15270883917")</f>
        <v/>
      </c>
      <c r="B9067" s="0" t="s">
        <v>12170</v>
      </c>
      <c r="C9067" s="0" t="s">
        <v>12171</v>
      </c>
      <c r="D9067" s="0" t="s">
        <v>12171</v>
      </c>
      <c r="E9067" s="0" t="inlineStr">
        <is>
          <t xml:space="preserve">Mazda</t>
        </is>
      </c>
      <c r="F9067" s="0" t="inlineStr">
        <is>
          <t xml:space="preserve">Mazda</t>
        </is>
      </c>
      <c r="G9067" s="0" t="s">
        <v>171</v>
      </c>
      <c r="H9067" s="5">
        <v>1854.370400</v>
      </c>
    </row>
    <row r="9068" spans="1:9">
      <c r="A9068" s="22" t="str">
        <f>HYPERLINK("https://app.vivvix.com/360/KMI/IntelliDrive/ApplUI/Pages/CreativePages/CustomReportCreativeDetail.aspx?App=23&amp;ReportView=4&amp;Qid=1711279&amp;Row=9060&amp;Col=1","No Title Assigned - #15270883917")</f>
        <v/>
      </c>
      <c r="B9068" s="0" t="s">
        <v>12170</v>
      </c>
      <c r="E9068" s="0" t="inlineStr">
        <is>
          <t xml:space="preserve">Mazda</t>
        </is>
      </c>
      <c r="F9068" s="0" t="inlineStr">
        <is>
          <t xml:space="preserve">Mazda</t>
        </is>
      </c>
      <c r="G9068" s="0" t="s">
        <v>171</v>
      </c>
      <c r="H9068" s="5">
        <v>160.829800</v>
      </c>
    </row>
    <row r="9069" spans="1:9">
      <c r="A9069" s="22" t="str">
        <f>HYPERLINK("https://app.vivvix.com/360/KMI/IntelliDrive/ApplUI/Pages/CreativePages/CustomReportCreativeDetail.aspx?App=23&amp;ReportView=4&amp;Qid=1711279&amp;Row=9061&amp;Col=1","No Title Assigned - #15270885267")</f>
        <v/>
      </c>
      <c r="B9069" s="0" t="s">
        <v>12172</v>
      </c>
      <c r="E9069" s="0" t="inlineStr">
        <is>
          <t xml:space="preserve">Mazda</t>
        </is>
      </c>
      <c r="F9069" s="0" t="inlineStr">
        <is>
          <t xml:space="preserve">Mazda</t>
        </is>
      </c>
      <c r="G9069" s="0" t="s">
        <v>171</v>
      </c>
      <c r="H9069" s="5">
        <v>34.792800</v>
      </c>
    </row>
    <row r="9070" spans="1:9">
      <c r="A9070" s="22" t="str">
        <f>HYPERLINK("https://app.vivvix.com/360/KMI/IntelliDrive/ApplUI/Pages/CreativePages/CustomReportCreativeDetail.aspx?App=23&amp;ReportView=4&amp;Qid=1711279&amp;Row=9062&amp;Col=1","No Title Assigned - #15270885271")</f>
        <v/>
      </c>
      <c r="B9070" s="0" t="s">
        <v>12173</v>
      </c>
      <c r="E9070" s="0" t="inlineStr">
        <is>
          <t xml:space="preserve">Mazda</t>
        </is>
      </c>
      <c r="F9070" s="0" t="inlineStr">
        <is>
          <t xml:space="preserve">Mazda</t>
        </is>
      </c>
      <c r="G9070" s="0" t="s">
        <v>171</v>
      </c>
      <c r="H9070" s="5">
        <v>10965.007800</v>
      </c>
    </row>
    <row r="9071" spans="1:9">
      <c r="A9071" s="22" t="str">
        <f>HYPERLINK("https://app.vivvix.com/360/KMI/IntelliDrive/ApplUI/Pages/CreativePages/CustomReportCreativeDetail.aspx?App=23&amp;ReportView=4&amp;Qid=1711279&amp;Row=9063&amp;Col=1","No Title Assigned - #15270885490")</f>
        <v/>
      </c>
      <c r="B9071" s="0" t="s">
        <v>12174</v>
      </c>
      <c r="E9071" s="0" t="inlineStr">
        <is>
          <t xml:space="preserve">Mazda</t>
        </is>
      </c>
      <c r="F9071" s="0" t="inlineStr">
        <is>
          <t xml:space="preserve">Mazda</t>
        </is>
      </c>
      <c r="G9071" s="0" t="s">
        <v>171</v>
      </c>
      <c r="H9071" s="5">
        <v>217.016600</v>
      </c>
    </row>
    <row r="9072" spans="1:9">
      <c r="A9072" s="22" t="str">
        <f>HYPERLINK("https://app.vivvix.com/360/KMI/IntelliDrive/ApplUI/Pages/CreativePages/CustomReportCreativeDetail.aspx?App=23&amp;ReportView=4&amp;Qid=1711279&amp;Row=9064&amp;Col=1","No Title Assigned - #15270887144")</f>
        <v/>
      </c>
      <c r="B9072" s="0" t="s">
        <v>12175</v>
      </c>
      <c r="E9072" s="0" t="inlineStr">
        <is>
          <t xml:space="preserve">Mazda</t>
        </is>
      </c>
      <c r="F9072" s="0" t="inlineStr">
        <is>
          <t xml:space="preserve">Mazda</t>
        </is>
      </c>
      <c r="G9072" s="0" t="s">
        <v>171</v>
      </c>
      <c r="H9072" s="5">
        <v>118.636400</v>
      </c>
    </row>
    <row r="9073" spans="1:9">
      <c r="A9073" s="22" t="str">
        <f>HYPERLINK("https://app.vivvix.com/360/KMI/IntelliDrive/ApplUI/Pages/CreativePages/CustomReportCreativeDetail.aspx?App=23&amp;ReportView=4&amp;Qid=1711279&amp;Row=9065&amp;Col=1","No Title Assigned - #15270887287")</f>
        <v/>
      </c>
      <c r="B9073" s="0" t="s">
        <v>12176</v>
      </c>
      <c r="E9073" s="0" t="inlineStr">
        <is>
          <t xml:space="preserve">Mazda</t>
        </is>
      </c>
      <c r="F9073" s="0" t="inlineStr">
        <is>
          <t xml:space="preserve">Mazda</t>
        </is>
      </c>
      <c r="G9073" s="0" t="s">
        <v>171</v>
      </c>
      <c r="H9073" s="5">
        <v>330.816800</v>
      </c>
    </row>
    <row r="9074" spans="1:9">
      <c r="A9074" s="22" t="str">
        <f>HYPERLINK("https://app.vivvix.com/360/KMI/IntelliDrive/ApplUI/Pages/CreativePages/CustomReportCreativeDetail.aspx?App=23&amp;ReportView=4&amp;Qid=1711279&amp;Row=9066&amp;Col=1","No Title Assigned - #15270887713")</f>
        <v/>
      </c>
      <c r="B9074" s="0" t="s">
        <v>12177</v>
      </c>
      <c r="C9074" s="0" t="s">
        <v>12178</v>
      </c>
      <c r="D9074" s="0" t="s">
        <v>12178</v>
      </c>
      <c r="E9074" s="0" t="inlineStr">
        <is>
          <t xml:space="preserve">Mazda</t>
        </is>
      </c>
      <c r="F9074" s="0" t="inlineStr">
        <is>
          <t xml:space="preserve">Mazda</t>
        </is>
      </c>
      <c r="G9074" s="0" t="s">
        <v>171</v>
      </c>
      <c r="H9074" s="5">
        <v>1.990500</v>
      </c>
    </row>
    <row r="9075" spans="1:9">
      <c r="A9075" s="22" t="str">
        <f>HYPERLINK("https://app.vivvix.com/360/KMI/IntelliDrive/ApplUI/Pages/CreativePages/CustomReportCreativeDetail.aspx?App=23&amp;ReportView=4&amp;Qid=1711279&amp;Row=9067&amp;Col=1","No Title Assigned - #15270887713")</f>
        <v/>
      </c>
      <c r="B9075" s="0" t="s">
        <v>12177</v>
      </c>
      <c r="E9075" s="0" t="inlineStr">
        <is>
          <t xml:space="preserve">Mazda</t>
        </is>
      </c>
      <c r="F9075" s="0" t="inlineStr">
        <is>
          <t xml:space="preserve">Mazda</t>
        </is>
      </c>
      <c r="G9075" s="0" t="s">
        <v>171</v>
      </c>
      <c r="H9075" s="5">
        <v>801.289800</v>
      </c>
    </row>
    <row r="9076" spans="1:9">
      <c r="A9076" s="22" t="str">
        <f>HYPERLINK("https://app.vivvix.com/360/KMI/IntelliDrive/ApplUI/Pages/CreativePages/CustomReportCreativeDetail.aspx?App=23&amp;ReportView=4&amp;Qid=1711279&amp;Row=9068&amp;Col=1","No Title Assigned - #15270887806")</f>
        <v/>
      </c>
      <c r="B9076" s="0" t="s">
        <v>12179</v>
      </c>
      <c r="E9076" s="0" t="inlineStr">
        <is>
          <t xml:space="preserve">Mazda</t>
        </is>
      </c>
      <c r="F9076" s="0" t="inlineStr">
        <is>
          <t xml:space="preserve">Mazda</t>
        </is>
      </c>
      <c r="G9076" s="0" t="s">
        <v>171</v>
      </c>
      <c r="H9076" s="5">
        <v>46.176000</v>
      </c>
    </row>
    <row r="9077" spans="1:9">
      <c r="A9077" s="22" t="str">
        <f>HYPERLINK("https://app.vivvix.com/360/KMI/IntelliDrive/ApplUI/Pages/CreativePages/CustomReportCreativeDetail.aspx?App=23&amp;ReportView=4&amp;Qid=1711279&amp;Row=9069&amp;Col=1","No Title Assigned - #15270888274")</f>
        <v/>
      </c>
      <c r="B9077" s="0" t="s">
        <v>12180</v>
      </c>
      <c r="E9077" s="0" t="inlineStr">
        <is>
          <t xml:space="preserve">Mazda</t>
        </is>
      </c>
      <c r="F9077" s="0" t="inlineStr">
        <is>
          <t xml:space="preserve">Mazda</t>
        </is>
      </c>
      <c r="G9077" s="0" t="s">
        <v>171</v>
      </c>
      <c r="H9077" s="5">
        <v>38.472800</v>
      </c>
    </row>
    <row r="9078" spans="1:9">
      <c r="A9078" s="22" t="str">
        <f>HYPERLINK("https://app.vivvix.com/360/KMI/IntelliDrive/ApplUI/Pages/CreativePages/CustomReportCreativeDetail.aspx?App=23&amp;ReportView=4&amp;Qid=1711279&amp;Row=9070&amp;Col=1","No Title Assigned - #15270888502")</f>
        <v/>
      </c>
      <c r="B9078" s="0" t="s">
        <v>12181</v>
      </c>
      <c r="E9078" s="0" t="inlineStr">
        <is>
          <t xml:space="preserve">Mazda</t>
        </is>
      </c>
      <c r="F9078" s="0" t="inlineStr">
        <is>
          <t xml:space="preserve">Mazda</t>
        </is>
      </c>
      <c r="G9078" s="0" t="s">
        <v>171</v>
      </c>
      <c r="H9078" s="5">
        <v>30.576100</v>
      </c>
    </row>
    <row r="9079" spans="1:9">
      <c r="A9079" s="22" t="str">
        <f>HYPERLINK("https://app.vivvix.com/360/KMI/IntelliDrive/ApplUI/Pages/CreativePages/CustomReportCreativeDetail.aspx?App=23&amp;ReportView=4&amp;Qid=1711279&amp;Row=9071&amp;Col=1","No Title Assigned - #15270888518")</f>
        <v/>
      </c>
      <c r="B9079" s="0" t="s">
        <v>12182</v>
      </c>
      <c r="E9079" s="0" t="inlineStr">
        <is>
          <t xml:space="preserve">Mazda</t>
        </is>
      </c>
      <c r="F9079" s="0" t="inlineStr">
        <is>
          <t xml:space="preserve">Mazda</t>
        </is>
      </c>
      <c r="G9079" s="0" t="s">
        <v>171</v>
      </c>
      <c r="H9079" s="5">
        <v>855.219200</v>
      </c>
    </row>
    <row r="9080" spans="1:9">
      <c r="A9080" s="22" t="str">
        <f>HYPERLINK("https://app.vivvix.com/360/KMI/IntelliDrive/ApplUI/Pages/CreativePages/CustomReportCreativeDetail.aspx?App=23&amp;ReportView=4&amp;Qid=1711279&amp;Row=9072&amp;Col=1","No Title Assigned - #15270888587")</f>
        <v/>
      </c>
      <c r="B9080" s="0" t="s">
        <v>12183</v>
      </c>
      <c r="E9080" s="0" t="inlineStr">
        <is>
          <t xml:space="preserve">Mazda</t>
        </is>
      </c>
      <c r="F9080" s="0" t="inlineStr">
        <is>
          <t xml:space="preserve">Mazda</t>
        </is>
      </c>
      <c r="G9080" s="0" t="s">
        <v>171</v>
      </c>
      <c r="H9080" s="5">
        <v>3.331900</v>
      </c>
    </row>
    <row r="9081" spans="1:9">
      <c r="A9081" s="22" t="str">
        <f>HYPERLINK("https://app.vivvix.com/360/KMI/IntelliDrive/ApplUI/Pages/CreativePages/CustomReportCreativeDetail.aspx?App=23&amp;ReportView=4&amp;Qid=1711279&amp;Row=9073&amp;Col=1","No Title Assigned - #15270888765")</f>
        <v/>
      </c>
      <c r="B9081" s="0" t="s">
        <v>12184</v>
      </c>
      <c r="E9081" s="0" t="inlineStr">
        <is>
          <t xml:space="preserve">Mazda</t>
        </is>
      </c>
      <c r="F9081" s="0" t="inlineStr">
        <is>
          <t xml:space="preserve">Mazda</t>
        </is>
      </c>
      <c r="G9081" s="0" t="s">
        <v>171</v>
      </c>
      <c r="H9081" s="5">
        <v>248.005400</v>
      </c>
    </row>
    <row r="9082" spans="1:9">
      <c r="A9082" s="22" t="str">
        <f>HYPERLINK("https://app.vivvix.com/360/KMI/IntelliDrive/ApplUI/Pages/CreativePages/CustomReportCreativeDetail.aspx?App=23&amp;ReportView=4&amp;Qid=1711279&amp;Row=9074&amp;Col=1","No Title Assigned - #15270888786")</f>
        <v/>
      </c>
      <c r="B9082" s="0" t="s">
        <v>12185</v>
      </c>
      <c r="E9082" s="0" t="inlineStr">
        <is>
          <t xml:space="preserve">Mazda</t>
        </is>
      </c>
      <c r="F9082" s="0" t="inlineStr">
        <is>
          <t xml:space="preserve">Mazda</t>
        </is>
      </c>
      <c r="G9082" s="0" t="s">
        <v>171</v>
      </c>
      <c r="H9082" s="5">
        <v>425.856600</v>
      </c>
    </row>
    <row r="9083" spans="1:9">
      <c r="A9083" s="22" t="str">
        <f>HYPERLINK("https://app.vivvix.com/360/KMI/IntelliDrive/ApplUI/Pages/CreativePages/CustomReportCreativeDetail.aspx?App=23&amp;ReportView=4&amp;Qid=1711279&amp;Row=9075&amp;Col=1","No Title Assigned - #15270888999")</f>
        <v/>
      </c>
      <c r="B9083" s="0" t="s">
        <v>12186</v>
      </c>
      <c r="E9083" s="0" t="inlineStr">
        <is>
          <t xml:space="preserve">Mazda</t>
        </is>
      </c>
      <c r="F9083" s="0" t="inlineStr">
        <is>
          <t xml:space="preserve">Mazda</t>
        </is>
      </c>
      <c r="G9083" s="0" t="s">
        <v>171</v>
      </c>
      <c r="H9083" s="5">
        <v>6021.541300</v>
      </c>
    </row>
    <row r="9084" spans="1:9">
      <c r="A9084" s="22" t="str">
        <f>HYPERLINK("https://app.vivvix.com/360/KMI/IntelliDrive/ApplUI/Pages/CreativePages/CustomReportCreativeDetail.aspx?App=23&amp;ReportView=4&amp;Qid=1711279&amp;Row=9076&amp;Col=1","No Title Assigned - #15270889085")</f>
        <v/>
      </c>
      <c r="B9084" s="0" t="s">
        <v>12187</v>
      </c>
      <c r="E9084" s="0" t="inlineStr">
        <is>
          <t xml:space="preserve">Mazda</t>
        </is>
      </c>
      <c r="F9084" s="0" t="inlineStr">
        <is>
          <t xml:space="preserve">Mazda</t>
        </is>
      </c>
      <c r="G9084" s="0" t="s">
        <v>171</v>
      </c>
      <c r="H9084" s="5">
        <v>27.935100</v>
      </c>
    </row>
    <row r="9085" spans="1:9">
      <c r="A9085" s="22" t="str">
        <f>HYPERLINK("https://app.vivvix.com/360/KMI/IntelliDrive/ApplUI/Pages/CreativePages/CustomReportCreativeDetail.aspx?App=23&amp;ReportView=4&amp;Qid=1711279&amp;Row=9077&amp;Col=1","No Title Assigned - #15270889093")</f>
        <v/>
      </c>
      <c r="B9085" s="0" t="s">
        <v>12188</v>
      </c>
      <c r="E9085" s="0" t="inlineStr">
        <is>
          <t xml:space="preserve">Mazda</t>
        </is>
      </c>
      <c r="F9085" s="0" t="inlineStr">
        <is>
          <t xml:space="preserve">Mazda</t>
        </is>
      </c>
      <c r="G9085" s="0" t="s">
        <v>171</v>
      </c>
      <c r="H9085" s="5">
        <v>22.849600</v>
      </c>
    </row>
    <row r="9086" spans="1:9">
      <c r="A9086" s="22" t="str">
        <f>HYPERLINK("https://app.vivvix.com/360/KMI/IntelliDrive/ApplUI/Pages/CreativePages/CustomReportCreativeDetail.aspx?App=23&amp;ReportView=4&amp;Qid=1711279&amp;Row=9078&amp;Col=1","No Title Assigned - #15270889184")</f>
        <v/>
      </c>
      <c r="B9086" s="0" t="s">
        <v>12189</v>
      </c>
      <c r="E9086" s="0" t="inlineStr">
        <is>
          <t xml:space="preserve">Mazda</t>
        </is>
      </c>
      <c r="F9086" s="0" t="inlineStr">
        <is>
          <t xml:space="preserve">Mazda</t>
        </is>
      </c>
      <c r="G9086" s="0" t="s">
        <v>171</v>
      </c>
      <c r="H9086" s="5">
        <v>4950.700700</v>
      </c>
    </row>
    <row r="9087" spans="1:9">
      <c r="A9087" s="22" t="str">
        <f>HYPERLINK("https://app.vivvix.com/360/KMI/IntelliDrive/ApplUI/Pages/CreativePages/CustomReportCreativeDetail.aspx?App=23&amp;ReportView=4&amp;Qid=1711279&amp;Row=9079&amp;Col=1","No Title Assigned - #15270889224")</f>
        <v/>
      </c>
      <c r="B9087" s="0" t="s">
        <v>12190</v>
      </c>
      <c r="E9087" s="0" t="inlineStr">
        <is>
          <t xml:space="preserve">Mazda</t>
        </is>
      </c>
      <c r="F9087" s="0" t="inlineStr">
        <is>
          <t xml:space="preserve">Mazda</t>
        </is>
      </c>
      <c r="G9087" s="0" t="s">
        <v>171</v>
      </c>
      <c r="H9087" s="5">
        <v>30.006500</v>
      </c>
    </row>
    <row r="9088" spans="1:9">
      <c r="A9088" s="22" t="str">
        <f>HYPERLINK("https://app.vivvix.com/360/KMI/IntelliDrive/ApplUI/Pages/CreativePages/CustomReportCreativeDetail.aspx?App=23&amp;ReportView=4&amp;Qid=1711279&amp;Row=9080&amp;Col=1","No Title Assigned - #15270890671")</f>
        <v/>
      </c>
      <c r="B9088" s="0" t="s">
        <v>12191</v>
      </c>
      <c r="E9088" s="0" t="inlineStr">
        <is>
          <t xml:space="preserve">Mazda</t>
        </is>
      </c>
      <c r="F9088" s="0" t="inlineStr">
        <is>
          <t xml:space="preserve">Mazda</t>
        </is>
      </c>
      <c r="G9088" s="0" t="s">
        <v>171</v>
      </c>
      <c r="H9088" s="5">
        <v>45.700200</v>
      </c>
    </row>
    <row r="9089" spans="1:9">
      <c r="A9089" s="22" t="str">
        <f>HYPERLINK("https://app.vivvix.com/360/KMI/IntelliDrive/ApplUI/Pages/CreativePages/CustomReportCreativeDetail.aspx?App=23&amp;ReportView=4&amp;Qid=1711279&amp;Row=9081&amp;Col=1","No Title Assigned - #15270890923")</f>
        <v/>
      </c>
      <c r="B9089" s="0" t="s">
        <v>12192</v>
      </c>
      <c r="E9089" s="0" t="inlineStr">
        <is>
          <t xml:space="preserve">Mazda</t>
        </is>
      </c>
      <c r="F9089" s="0" t="inlineStr">
        <is>
          <t xml:space="preserve">Mazda</t>
        </is>
      </c>
      <c r="G9089" s="0" t="s">
        <v>171</v>
      </c>
      <c r="H9089" s="5">
        <v>105.373600</v>
      </c>
    </row>
    <row r="9090" spans="1:9">
      <c r="A9090" s="22" t="str">
        <f>HYPERLINK("https://app.vivvix.com/360/KMI/IntelliDrive/ApplUI/Pages/CreativePages/CustomReportCreativeDetail.aspx?App=23&amp;ReportView=4&amp;Qid=1711279&amp;Row=9082&amp;Col=1","No Title Assigned - #15270891218")</f>
        <v/>
      </c>
      <c r="B9090" s="0" t="s">
        <v>12193</v>
      </c>
      <c r="E9090" s="0" t="inlineStr">
        <is>
          <t xml:space="preserve">Mazda</t>
        </is>
      </c>
      <c r="F9090" s="0" t="inlineStr">
        <is>
          <t xml:space="preserve">Mazda</t>
        </is>
      </c>
      <c r="G9090" s="0" t="s">
        <v>171</v>
      </c>
      <c r="H9090" s="5">
        <v>783.758500</v>
      </c>
    </row>
    <row r="9091" spans="1:9">
      <c r="A9091" s="22" t="str">
        <f>HYPERLINK("https://app.vivvix.com/360/KMI/IntelliDrive/ApplUI/Pages/CreativePages/CustomReportCreativeDetail.aspx?App=23&amp;ReportView=4&amp;Qid=1711279&amp;Row=9083&amp;Col=1","No Title Assigned - #15270891218")</f>
        <v/>
      </c>
      <c r="B9091" s="0" t="s">
        <v>12193</v>
      </c>
      <c r="E9091" s="0" t="inlineStr">
        <is>
          <t xml:space="preserve">Mazda</t>
        </is>
      </c>
      <c r="F9091" s="0" t="inlineStr">
        <is>
          <t xml:space="preserve">Mazda</t>
        </is>
      </c>
      <c r="G9091" s="0" t="s">
        <v>171</v>
      </c>
      <c r="H9091" s="5">
        <v>912.624000</v>
      </c>
    </row>
    <row r="9092" spans="1:9">
      <c r="A9092" s="22" t="str">
        <f>HYPERLINK("https://app.vivvix.com/360/KMI/IntelliDrive/ApplUI/Pages/CreativePages/CustomReportCreativeDetail.aspx?App=23&amp;ReportView=4&amp;Qid=1711279&amp;Row=9084&amp;Col=1","No Title Assigned - #15270891872")</f>
        <v/>
      </c>
      <c r="B9092" s="0" t="s">
        <v>12194</v>
      </c>
      <c r="C9092" s="0" t="s">
        <v>12195</v>
      </c>
      <c r="D9092" s="0" t="s">
        <v>12195</v>
      </c>
      <c r="E9092" s="0" t="inlineStr">
        <is>
          <t xml:space="preserve">Mazda</t>
        </is>
      </c>
      <c r="F9092" s="0" t="inlineStr">
        <is>
          <t xml:space="preserve">Mazda</t>
        </is>
      </c>
      <c r="G9092" s="0" t="s">
        <v>171</v>
      </c>
      <c r="H9092" s="5">
        <v>236.348300</v>
      </c>
    </row>
    <row r="9093" spans="1:9">
      <c r="A9093" s="22" t="str">
        <f>HYPERLINK("https://app.vivvix.com/360/KMI/IntelliDrive/ApplUI/Pages/CreativePages/CustomReportCreativeDetail.aspx?App=23&amp;ReportView=4&amp;Qid=1711279&amp;Row=9085&amp;Col=1","No Title Assigned - #15270891985")</f>
        <v/>
      </c>
      <c r="B9093" s="0" t="s">
        <v>12196</v>
      </c>
      <c r="E9093" s="0" t="inlineStr">
        <is>
          <t xml:space="preserve">Mazda</t>
        </is>
      </c>
      <c r="F9093" s="0" t="inlineStr">
        <is>
          <t xml:space="preserve">Mazda</t>
        </is>
      </c>
      <c r="G9093" s="0" t="s">
        <v>171</v>
      </c>
      <c r="H9093" s="5">
        <v>453.670900</v>
      </c>
    </row>
    <row r="9094" spans="1:9">
      <c r="A9094" s="22" t="str">
        <f>HYPERLINK("https://app.vivvix.com/360/KMI/IntelliDrive/ApplUI/Pages/CreativePages/CustomReportCreativeDetail.aspx?App=23&amp;ReportView=4&amp;Qid=1711279&amp;Row=9086&amp;Col=1","No Title Assigned - #15270892813")</f>
        <v/>
      </c>
      <c r="B9094" s="0" t="s">
        <v>12197</v>
      </c>
      <c r="E9094" s="0" t="inlineStr">
        <is>
          <t xml:space="preserve">Mazda</t>
        </is>
      </c>
      <c r="F9094" s="0" t="inlineStr">
        <is>
          <t xml:space="preserve">Mazda</t>
        </is>
      </c>
      <c r="G9094" s="0" t="s">
        <v>171</v>
      </c>
      <c r="H9094" s="5">
        <v>336318.260900</v>
      </c>
    </row>
    <row r="9095" spans="1:9">
      <c r="A9095" s="22" t="str">
        <f>HYPERLINK("https://app.vivvix.com/360/KMI/IntelliDrive/ApplUI/Pages/CreativePages/CustomReportCreativeDetail.aspx?App=23&amp;ReportView=4&amp;Qid=1711279&amp;Row=9087&amp;Col=1","No Title Assigned - #15270895211")</f>
        <v/>
      </c>
      <c r="B9095" s="0" t="s">
        <v>12198</v>
      </c>
      <c r="E9095" s="0" t="inlineStr">
        <is>
          <t xml:space="preserve">Mazda</t>
        </is>
      </c>
      <c r="F9095" s="0" t="inlineStr">
        <is>
          <t xml:space="preserve">Mazda</t>
        </is>
      </c>
      <c r="G9095" s="0" t="s">
        <v>171</v>
      </c>
      <c r="H9095" s="5">
        <v>120.190000</v>
      </c>
    </row>
    <row r="9096" spans="1:9">
      <c r="A9096" s="22" t="str">
        <f>HYPERLINK("https://app.vivvix.com/360/KMI/IntelliDrive/ApplUI/Pages/CreativePages/CustomReportCreativeDetail.aspx?App=23&amp;ReportView=4&amp;Qid=1711279&amp;Row=9088&amp;Col=1","No Title Assigned - #15270895390")</f>
        <v/>
      </c>
      <c r="B9096" s="0" t="s">
        <v>12199</v>
      </c>
      <c r="E9096" s="0" t="inlineStr">
        <is>
          <t xml:space="preserve">Mazda</t>
        </is>
      </c>
      <c r="F9096" s="0" t="inlineStr">
        <is>
          <t xml:space="preserve">Mazda</t>
        </is>
      </c>
      <c r="G9096" s="0" t="s">
        <v>171</v>
      </c>
      <c r="H9096" s="5">
        <v>63.665100</v>
      </c>
    </row>
    <row r="9097" spans="1:9">
      <c r="A9097" s="22" t="str">
        <f>HYPERLINK("https://app.vivvix.com/360/KMI/IntelliDrive/ApplUI/Pages/CreativePages/CustomReportCreativeDetail.aspx?App=23&amp;ReportView=4&amp;Qid=1711279&amp;Row=9089&amp;Col=1","No Title Assigned - #15270896248")</f>
        <v/>
      </c>
      <c r="B9097" s="0" t="s">
        <v>12200</v>
      </c>
      <c r="E9097" s="0" t="inlineStr">
        <is>
          <t xml:space="preserve">Mazda</t>
        </is>
      </c>
      <c r="F9097" s="0" t="inlineStr">
        <is>
          <t xml:space="preserve">Mazda</t>
        </is>
      </c>
      <c r="G9097" s="0" t="s">
        <v>171</v>
      </c>
      <c r="H9097" s="5">
        <v>110.402000</v>
      </c>
    </row>
    <row r="9098" spans="1:9">
      <c r="A9098" s="22" t="str">
        <f>HYPERLINK("https://app.vivvix.com/360/KMI/IntelliDrive/ApplUI/Pages/CreativePages/CustomReportCreativeDetail.aspx?App=23&amp;ReportView=4&amp;Qid=1711279&amp;Row=9090&amp;Col=1","No Title Assigned - #15270899368")</f>
        <v/>
      </c>
      <c r="B9098" s="0" t="s">
        <v>12201</v>
      </c>
      <c r="C9098" s="0" t="s">
        <v>12202</v>
      </c>
      <c r="D9098" s="0" t="s">
        <v>12202</v>
      </c>
      <c r="E9098" s="0" t="inlineStr">
        <is>
          <t xml:space="preserve">Mazda</t>
        </is>
      </c>
      <c r="F9098" s="0" t="inlineStr">
        <is>
          <t xml:space="preserve">Mazda</t>
        </is>
      </c>
      <c r="G9098" s="0" t="s">
        <v>171</v>
      </c>
      <c r="H9098" s="5">
        <v>5634.971100</v>
      </c>
    </row>
    <row r="9099" spans="1:9">
      <c r="A9099" s="22" t="str">
        <f>HYPERLINK("https://app.vivvix.com/360/KMI/IntelliDrive/ApplUI/Pages/CreativePages/CustomReportCreativeDetail.aspx?App=23&amp;ReportView=4&amp;Qid=1711279&amp;Row=9091&amp;Col=1","No Title Assigned - #15270899368")</f>
        <v/>
      </c>
      <c r="B9099" s="0" t="s">
        <v>12201</v>
      </c>
      <c r="E9099" s="0" t="inlineStr">
        <is>
          <t xml:space="preserve">Mazda</t>
        </is>
      </c>
      <c r="F9099" s="0" t="inlineStr">
        <is>
          <t xml:space="preserve">Mazda</t>
        </is>
      </c>
      <c r="G9099" s="0" t="s">
        <v>171</v>
      </c>
      <c r="H9099" s="5">
        <v>7560.455100</v>
      </c>
    </row>
    <row r="9100" spans="1:9">
      <c r="A9100" s="22" t="str">
        <f>HYPERLINK("https://app.vivvix.com/360/KMI/IntelliDrive/ApplUI/Pages/CreativePages/CustomReportCreativeDetail.aspx?App=23&amp;ReportView=4&amp;Qid=1711279&amp;Row=9092&amp;Col=1","No Title Assigned - #15270900289")</f>
        <v/>
      </c>
      <c r="B9100" s="0" t="s">
        <v>12203</v>
      </c>
      <c r="E9100" s="0" t="inlineStr">
        <is>
          <t xml:space="preserve">Mazda</t>
        </is>
      </c>
      <c r="F9100" s="0" t="inlineStr">
        <is>
          <t xml:space="preserve">Mazda</t>
        </is>
      </c>
      <c r="G9100" s="0" t="s">
        <v>171</v>
      </c>
      <c r="H9100" s="5">
        <v>8.214700</v>
      </c>
    </row>
    <row r="9101" spans="1:9">
      <c r="A9101" s="22" t="str">
        <f>HYPERLINK("https://app.vivvix.com/360/KMI/IntelliDrive/ApplUI/Pages/CreativePages/CustomReportCreativeDetail.aspx?App=23&amp;ReportView=4&amp;Qid=1711279&amp;Row=9093&amp;Col=1","No Title Assigned - #15270912751")</f>
        <v/>
      </c>
      <c r="B9101" s="0" t="s">
        <v>12204</v>
      </c>
      <c r="E9101" s="0" t="inlineStr">
        <is>
          <t xml:space="preserve">Mazda</t>
        </is>
      </c>
      <c r="F9101" s="0" t="inlineStr">
        <is>
          <t xml:space="preserve">Mazda</t>
        </is>
      </c>
      <c r="G9101" s="0" t="s">
        <v>171</v>
      </c>
      <c r="H9101" s="5">
        <v>11.138700</v>
      </c>
    </row>
    <row r="9102" spans="1:9">
      <c r="A9102" s="22" t="str">
        <f>HYPERLINK("https://app.vivvix.com/360/KMI/IntelliDrive/ApplUI/Pages/CreativePages/CustomReportCreativeDetail.aspx?App=23&amp;ReportView=4&amp;Qid=1711279&amp;Row=9094&amp;Col=1","No Title Assigned - #15270916970")</f>
        <v/>
      </c>
      <c r="B9102" s="0" t="s">
        <v>12205</v>
      </c>
      <c r="C9102" s="0" t="s">
        <v>12206</v>
      </c>
      <c r="D9102" s="0" t="s">
        <v>4204</v>
      </c>
      <c r="E9102" s="0" t="inlineStr">
        <is>
          <t xml:space="preserve">Mazda</t>
        </is>
      </c>
      <c r="F9102" s="0" t="s">
        <v>28</v>
      </c>
      <c r="G9102" s="0" t="s">
        <v>29</v>
      </c>
      <c r="H9102" s="5">
        <v>91.028900</v>
      </c>
    </row>
    <row r="9103" spans="1:9">
      <c r="A9103" s="22" t="str">
        <f>HYPERLINK("https://app.vivvix.com/360/KMI/IntelliDrive/ApplUI/Pages/CreativePages/CustomReportCreativeDetail.aspx?App=23&amp;ReportView=4&amp;Qid=1711279&amp;Row=9095&amp;Col=1","No Title Assigned - #15270922578")</f>
        <v/>
      </c>
      <c r="B9103" s="0" t="s">
        <v>12207</v>
      </c>
      <c r="C9103" s="0" t="s">
        <v>12208</v>
      </c>
      <c r="D9103" s="0" t="s">
        <v>12208</v>
      </c>
      <c r="E9103" s="0" t="inlineStr">
        <is>
          <t xml:space="preserve">Mazda</t>
        </is>
      </c>
      <c r="F9103" s="0" t="s">
        <v>13</v>
      </c>
      <c r="G9103" s="0" t="s">
        <v>49</v>
      </c>
      <c r="H9103" s="5">
        <v>1132.750700</v>
      </c>
    </row>
    <row r="9104" spans="1:9">
      <c r="A9104" s="22" t="str">
        <f>HYPERLINK("https://app.vivvix.com/360/KMI/IntelliDrive/ApplUI/Pages/CreativePages/CustomReportCreativeDetail.aspx?App=23&amp;ReportView=4&amp;Qid=1711279&amp;Row=9096&amp;Col=1","No Title Assigned - #15270926873")</f>
        <v/>
      </c>
      <c r="B9104" s="0" t="s">
        <v>12209</v>
      </c>
      <c r="C9104" s="0" t="s">
        <v>12210</v>
      </c>
      <c r="D9104" s="0" t="s">
        <v>6663</v>
      </c>
      <c r="E9104" s="0" t="inlineStr">
        <is>
          <t xml:space="preserve">Mazda</t>
        </is>
      </c>
      <c r="F9104" s="0" t="s">
        <v>28</v>
      </c>
      <c r="G9104" s="0" t="s">
        <v>29</v>
      </c>
      <c r="H9104" s="5">
        <v>289.503100</v>
      </c>
    </row>
    <row r="9105" spans="1:9">
      <c r="A9105" s="22" t="str">
        <f>HYPERLINK("https://app.vivvix.com/360/KMI/IntelliDrive/ApplUI/Pages/CreativePages/CustomReportCreativeDetail.aspx?App=23&amp;ReportView=4&amp;Qid=1711279&amp;Row=9097&amp;Col=1","No Title Assigned - #15270928098")</f>
        <v/>
      </c>
      <c r="B9105" s="0" t="s">
        <v>12211</v>
      </c>
      <c r="C9105" s="0" t="s">
        <v>12212</v>
      </c>
      <c r="D9105" s="0" t="s">
        <v>12212</v>
      </c>
      <c r="E9105" s="0" t="inlineStr">
        <is>
          <t xml:space="preserve">Mazda</t>
        </is>
      </c>
      <c r="F9105" s="0" t="s">
        <v>28</v>
      </c>
      <c r="G9105" s="0" t="s">
        <v>29</v>
      </c>
      <c r="H9105" s="5">
        <v>3.447000</v>
      </c>
    </row>
    <row r="9106" spans="1:9">
      <c r="A9106" s="22" t="str">
        <f>HYPERLINK("https://app.vivvix.com/360/KMI/IntelliDrive/ApplUI/Pages/CreativePages/CustomReportCreativeDetail.aspx?App=23&amp;ReportView=4&amp;Qid=1711279&amp;Row=9098&amp;Col=1","No Title Assigned - #15270929274")</f>
        <v/>
      </c>
      <c r="B9106" s="0" t="s">
        <v>12213</v>
      </c>
      <c r="C9106" s="0" t="s">
        <v>12214</v>
      </c>
      <c r="D9106" s="0" t="s">
        <v>12214</v>
      </c>
      <c r="E9106" s="0" t="inlineStr">
        <is>
          <t xml:space="preserve">Mazda</t>
        </is>
      </c>
      <c r="F9106" s="0" t="s">
        <v>28</v>
      </c>
      <c r="G9106" s="0" t="s">
        <v>29</v>
      </c>
      <c r="H9106" s="5">
        <v>4.170700</v>
      </c>
    </row>
    <row r="9107" spans="1:9">
      <c r="A9107" s="22" t="str">
        <f>HYPERLINK("https://app.vivvix.com/360/KMI/IntelliDrive/ApplUI/Pages/CreativePages/CustomReportCreativeDetail.aspx?App=23&amp;ReportView=4&amp;Qid=1711279&amp;Row=9099&amp;Col=1","No Title Assigned - #15270931772")</f>
        <v/>
      </c>
      <c r="B9107" s="0" t="s">
        <v>12215</v>
      </c>
      <c r="C9107" s="0" t="s">
        <v>12216</v>
      </c>
      <c r="D9107" s="0" t="s">
        <v>12216</v>
      </c>
      <c r="E9107" s="0" t="inlineStr">
        <is>
          <t xml:space="preserve">Mazda</t>
        </is>
      </c>
      <c r="F9107" s="0" t="s">
        <v>28</v>
      </c>
      <c r="G9107" s="0" t="s">
        <v>29</v>
      </c>
      <c r="H9107" s="5">
        <v>180.638900</v>
      </c>
    </row>
    <row r="9108" spans="1:9">
      <c r="A9108" s="22" t="str">
        <f>HYPERLINK("https://app.vivvix.com/360/KMI/IntelliDrive/ApplUI/Pages/CreativePages/CustomReportCreativeDetail.aspx?App=23&amp;ReportView=4&amp;Qid=1711279&amp;Row=9100&amp;Col=1","No Title Assigned - #15270934572")</f>
        <v/>
      </c>
      <c r="B9108" s="0" t="s">
        <v>12217</v>
      </c>
      <c r="C9108" s="0" t="s">
        <v>12218</v>
      </c>
      <c r="D9108" s="0" t="s">
        <v>6656</v>
      </c>
      <c r="E9108" s="0" t="inlineStr">
        <is>
          <t xml:space="preserve">Mazda</t>
        </is>
      </c>
      <c r="F9108" s="0" t="s">
        <v>28</v>
      </c>
      <c r="G9108" s="0" t="s">
        <v>29</v>
      </c>
      <c r="H9108" s="5">
        <v>1117.570500</v>
      </c>
    </row>
    <row r="9109" spans="1:9">
      <c r="A9109" s="22" t="str">
        <f>HYPERLINK("https://app.vivvix.com/360/KMI/IntelliDrive/ApplUI/Pages/CreativePages/CustomReportCreativeDetail.aspx?App=23&amp;ReportView=4&amp;Qid=1711279&amp;Row=9101&amp;Col=1","No Title Assigned - #15270934572")</f>
        <v/>
      </c>
      <c r="B9109" s="0" t="s">
        <v>12217</v>
      </c>
      <c r="E9109" s="0" t="inlineStr">
        <is>
          <t xml:space="preserve">Mazda</t>
        </is>
      </c>
      <c r="F9109" s="0" t="s">
        <v>28</v>
      </c>
      <c r="G9109" s="0" t="s">
        <v>29</v>
      </c>
      <c r="H9109" s="5">
        <v>1144.073800</v>
      </c>
    </row>
    <row r="9110" spans="1:9">
      <c r="A9110" s="22" t="str">
        <f>HYPERLINK("https://app.vivvix.com/360/KMI/IntelliDrive/ApplUI/Pages/CreativePages/CustomReportCreativeDetail.aspx?App=23&amp;ReportView=4&amp;Qid=1711279&amp;Row=9102&amp;Col=1","No Title Assigned - #15270935338")</f>
        <v/>
      </c>
      <c r="B9110" s="0" t="s">
        <v>12219</v>
      </c>
      <c r="C9110" s="0" t="s">
        <v>12220</v>
      </c>
      <c r="D9110" s="0" t="s">
        <v>12220</v>
      </c>
      <c r="E9110" s="0" t="inlineStr">
        <is>
          <t xml:space="preserve">Mazda</t>
        </is>
      </c>
      <c r="F9110" s="0" t="s">
        <v>13</v>
      </c>
      <c r="G9110" s="0" t="s">
        <v>49</v>
      </c>
      <c r="H9110" s="5">
        <v>594.091500</v>
      </c>
    </row>
    <row r="9111" spans="1:9">
      <c r="A9111" s="22" t="str">
        <f>HYPERLINK("https://app.vivvix.com/360/KMI/IntelliDrive/ApplUI/Pages/CreativePages/CustomReportCreativeDetail.aspx?App=23&amp;ReportView=4&amp;Qid=1711279&amp;Row=9103&amp;Col=1","No Title Assigned - #15270936273")</f>
        <v/>
      </c>
      <c r="B9111" s="0" t="s">
        <v>12221</v>
      </c>
      <c r="C9111" s="0" t="s">
        <v>12222</v>
      </c>
      <c r="D9111" s="0" t="s">
        <v>6170</v>
      </c>
      <c r="E9111" s="0" t="inlineStr">
        <is>
          <t xml:space="preserve">Mazda</t>
        </is>
      </c>
      <c r="F9111" s="0" t="s">
        <v>28</v>
      </c>
      <c r="G9111" s="0" t="s">
        <v>29</v>
      </c>
      <c r="H9111" s="5">
        <v>255.965900</v>
      </c>
    </row>
    <row r="9112" spans="1:9">
      <c r="A9112" s="22" t="str">
        <f>HYPERLINK("https://app.vivvix.com/360/KMI/IntelliDrive/ApplUI/Pages/CreativePages/CustomReportCreativeDetail.aspx?App=23&amp;ReportView=4&amp;Qid=1711279&amp;Row=9104&amp;Col=1","No Title Assigned - #15270937994")</f>
        <v/>
      </c>
      <c r="B9112" s="0" t="s">
        <v>12223</v>
      </c>
      <c r="C9112" s="0" t="s">
        <v>12224</v>
      </c>
      <c r="D9112" s="0" t="s">
        <v>12224</v>
      </c>
      <c r="E9112" s="0" t="inlineStr">
        <is>
          <t xml:space="preserve">Mazda</t>
        </is>
      </c>
      <c r="F9112" s="0" t="s">
        <v>28</v>
      </c>
      <c r="G9112" s="0" t="s">
        <v>29</v>
      </c>
      <c r="H9112" s="5">
        <v>647.262600</v>
      </c>
    </row>
    <row r="9113" spans="1:9">
      <c r="A9113" s="22" t="str">
        <f>HYPERLINK("https://app.vivvix.com/360/KMI/IntelliDrive/ApplUI/Pages/CreativePages/CustomReportCreativeDetail.aspx?App=23&amp;ReportView=4&amp;Qid=1711279&amp;Row=9105&amp;Col=1","No Title Assigned - #15270939551")</f>
        <v/>
      </c>
      <c r="B9113" s="0" t="s">
        <v>12225</v>
      </c>
      <c r="C9113" s="0" t="s">
        <v>12226</v>
      </c>
      <c r="D9113" s="0" t="s">
        <v>12226</v>
      </c>
      <c r="E9113" s="0" t="inlineStr">
        <is>
          <t xml:space="preserve">Mazda</t>
        </is>
      </c>
      <c r="F9113" s="0" t="s">
        <v>28</v>
      </c>
      <c r="G9113" s="0" t="s">
        <v>29</v>
      </c>
      <c r="H9113" s="5">
        <v>2.766500</v>
      </c>
    </row>
    <row r="9114" spans="1:9">
      <c r="A9114" s="22" t="str">
        <f>HYPERLINK("https://app.vivvix.com/360/KMI/IntelliDrive/ApplUI/Pages/CreativePages/CustomReportCreativeDetail.aspx?App=23&amp;ReportView=4&amp;Qid=1711279&amp;Row=9106&amp;Col=1","No Title Assigned - #15270939779")</f>
        <v/>
      </c>
      <c r="B9114" s="0" t="s">
        <v>12227</v>
      </c>
      <c r="C9114" s="0" t="s">
        <v>12228</v>
      </c>
      <c r="D9114" s="0" t="s">
        <v>12228</v>
      </c>
      <c r="E9114" s="0" t="inlineStr">
        <is>
          <t xml:space="preserve">Mazda</t>
        </is>
      </c>
      <c r="F9114" s="0" t="s">
        <v>28</v>
      </c>
      <c r="G9114" s="0" t="s">
        <v>29</v>
      </c>
      <c r="H9114" s="5">
        <v>6794.547000</v>
      </c>
    </row>
    <row r="9115" spans="1:9">
      <c r="A9115" s="22" t="str">
        <f>HYPERLINK("https://app.vivvix.com/360/KMI/IntelliDrive/ApplUI/Pages/CreativePages/CustomReportCreativeDetail.aspx?App=23&amp;ReportView=4&amp;Qid=1711279&amp;Row=9107&amp;Col=1","No Title Assigned - #15270940851")</f>
        <v/>
      </c>
      <c r="B9115" s="0" t="s">
        <v>12229</v>
      </c>
      <c r="C9115" s="0" t="s">
        <v>12230</v>
      </c>
      <c r="D9115" s="0" t="s">
        <v>12230</v>
      </c>
      <c r="E9115" s="0" t="inlineStr">
        <is>
          <t xml:space="preserve">Mazda</t>
        </is>
      </c>
      <c r="F9115" s="0" t="s">
        <v>28</v>
      </c>
      <c r="G9115" s="0" t="s">
        <v>29</v>
      </c>
      <c r="H9115" s="5">
        <v>13.480700</v>
      </c>
    </row>
    <row r="9116" spans="1:9">
      <c r="A9116" s="22" t="str">
        <f>HYPERLINK("https://app.vivvix.com/360/KMI/IntelliDrive/ApplUI/Pages/CreativePages/CustomReportCreativeDetail.aspx?App=23&amp;ReportView=4&amp;Qid=1711279&amp;Row=9108&amp;Col=1","No Title Assigned - #15270941914")</f>
        <v/>
      </c>
      <c r="B9116" s="0" t="s">
        <v>12231</v>
      </c>
      <c r="C9116" s="0" t="s">
        <v>12232</v>
      </c>
      <c r="D9116" s="0" t="s">
        <v>8876</v>
      </c>
      <c r="E9116" s="0" t="inlineStr">
        <is>
          <t xml:space="preserve">Mazda</t>
        </is>
      </c>
      <c r="F9116" s="0" t="s">
        <v>28</v>
      </c>
      <c r="G9116" s="0" t="s">
        <v>29</v>
      </c>
      <c r="H9116" s="5">
        <v>19.909800</v>
      </c>
    </row>
    <row r="9117" spans="1:9">
      <c r="A9117" s="22" t="str">
        <f>HYPERLINK("https://app.vivvix.com/360/KMI/IntelliDrive/ApplUI/Pages/CreativePages/CustomReportCreativeDetail.aspx?App=23&amp;ReportView=4&amp;Qid=1711279&amp;Row=9109&amp;Col=1","No Title Assigned - #15270942482")</f>
        <v/>
      </c>
      <c r="B9117" s="0" t="s">
        <v>12233</v>
      </c>
      <c r="E9117" s="0" t="inlineStr">
        <is>
          <t xml:space="preserve">Mazda</t>
        </is>
      </c>
      <c r="F9117" s="0" t="inlineStr">
        <is>
          <t xml:space="preserve">Mazda</t>
        </is>
      </c>
      <c r="G9117" s="0" t="s">
        <v>171</v>
      </c>
      <c r="H9117" s="5">
        <v>11872.945300</v>
      </c>
    </row>
    <row r="9118" spans="1:9">
      <c r="A9118" s="22" t="str">
        <f>HYPERLINK("https://app.vivvix.com/360/KMI/IntelliDrive/ApplUI/Pages/CreativePages/CustomReportCreativeDetail.aspx?App=23&amp;ReportView=4&amp;Qid=1711279&amp;Row=9110&amp;Col=1","No Title Assigned - #15270944747")</f>
        <v/>
      </c>
      <c r="B9118" s="0" t="s">
        <v>12234</v>
      </c>
      <c r="C9118" s="0" t="s">
        <v>12235</v>
      </c>
      <c r="D9118" s="0" t="s">
        <v>9596</v>
      </c>
      <c r="E9118" s="0" t="inlineStr">
        <is>
          <t xml:space="preserve">Mazda</t>
        </is>
      </c>
      <c r="F9118" s="0" t="s">
        <v>28</v>
      </c>
      <c r="G9118" s="0" t="s">
        <v>29</v>
      </c>
      <c r="H9118" s="5">
        <v>211.894000</v>
      </c>
    </row>
    <row r="9119" spans="1:9">
      <c r="A9119" s="22" t="str">
        <f>HYPERLINK("https://app.vivvix.com/360/KMI/IntelliDrive/ApplUI/Pages/CreativePages/CustomReportCreativeDetail.aspx?App=23&amp;ReportView=4&amp;Qid=1711279&amp;Row=9111&amp;Col=1","No Title Assigned - #15270945322")</f>
        <v/>
      </c>
      <c r="B9119" s="0" t="s">
        <v>12236</v>
      </c>
      <c r="C9119" s="0" t="s">
        <v>12237</v>
      </c>
      <c r="D9119" s="0" t="s">
        <v>7497</v>
      </c>
      <c r="E9119" s="0" t="inlineStr">
        <is>
          <t xml:space="preserve">Mazda</t>
        </is>
      </c>
      <c r="F9119" s="0" t="s">
        <v>28</v>
      </c>
      <c r="G9119" s="0" t="s">
        <v>29</v>
      </c>
      <c r="H9119" s="5">
        <v>5.742300</v>
      </c>
    </row>
    <row r="9120" spans="1:9">
      <c r="A9120" s="22" t="str">
        <f>HYPERLINK("https://app.vivvix.com/360/KMI/IntelliDrive/ApplUI/Pages/CreativePages/CustomReportCreativeDetail.aspx?App=23&amp;ReportView=4&amp;Qid=1711279&amp;Row=9112&amp;Col=1","No Title Assigned - #15270946457")</f>
        <v/>
      </c>
      <c r="B9120" s="0" t="s">
        <v>12238</v>
      </c>
      <c r="C9120" s="0" t="s">
        <v>12239</v>
      </c>
      <c r="D9120" s="0" t="s">
        <v>10960</v>
      </c>
      <c r="E9120" s="0" t="inlineStr">
        <is>
          <t xml:space="preserve">Mazda</t>
        </is>
      </c>
      <c r="F9120" s="0" t="s">
        <v>28</v>
      </c>
      <c r="G9120" s="0" t="s">
        <v>29</v>
      </c>
      <c r="H9120" s="5">
        <v>89.033800</v>
      </c>
    </row>
    <row r="9121" spans="1:9">
      <c r="A9121" s="22" t="str">
        <f>HYPERLINK("https://app.vivvix.com/360/KMI/IntelliDrive/ApplUI/Pages/CreativePages/CustomReportCreativeDetail.aspx?App=23&amp;ReportView=4&amp;Qid=1711279&amp;Row=9113&amp;Col=1","No Title Assigned - #15270947415")</f>
        <v/>
      </c>
      <c r="B9121" s="0" t="s">
        <v>12240</v>
      </c>
      <c r="C9121" s="0" t="s">
        <v>12241</v>
      </c>
      <c r="D9121" s="0" t="s">
        <v>4274</v>
      </c>
      <c r="E9121" s="0" t="inlineStr">
        <is>
          <t xml:space="preserve">Mazda</t>
        </is>
      </c>
      <c r="F9121" s="0" t="s">
        <v>28</v>
      </c>
      <c r="G9121" s="0" t="s">
        <v>29</v>
      </c>
      <c r="H9121" s="5">
        <v>17.743900</v>
      </c>
    </row>
    <row r="9122" spans="1:9">
      <c r="A9122" s="22" t="str">
        <f>HYPERLINK("https://app.vivvix.com/360/KMI/IntelliDrive/ApplUI/Pages/CreativePages/CustomReportCreativeDetail.aspx?App=23&amp;ReportView=4&amp;Qid=1711279&amp;Row=9114&amp;Col=1","No Title Assigned - #15270947660")</f>
        <v/>
      </c>
      <c r="B9122" s="0" t="s">
        <v>12242</v>
      </c>
      <c r="C9122" s="0" t="s">
        <v>12243</v>
      </c>
      <c r="D9122" s="0" t="s">
        <v>7472</v>
      </c>
      <c r="E9122" s="0" t="inlineStr">
        <is>
          <t xml:space="preserve">Mazda</t>
        </is>
      </c>
      <c r="F9122" s="0" t="s">
        <v>28</v>
      </c>
      <c r="G9122" s="0" t="s">
        <v>29</v>
      </c>
      <c r="H9122" s="5">
        <v>238.973400</v>
      </c>
    </row>
    <row r="9123" spans="1:9">
      <c r="A9123" s="22" t="str">
        <f>HYPERLINK("https://app.vivvix.com/360/KMI/IntelliDrive/ApplUI/Pages/CreativePages/CustomReportCreativeDetail.aspx?App=23&amp;ReportView=4&amp;Qid=1711279&amp;Row=9115&amp;Col=1","No Title Assigned - #15270947915")</f>
        <v/>
      </c>
      <c r="B9123" s="0" t="s">
        <v>12244</v>
      </c>
      <c r="C9123" s="0" t="s">
        <v>12245</v>
      </c>
      <c r="D9123" s="0" t="s">
        <v>12245</v>
      </c>
      <c r="E9123" s="0" t="inlineStr">
        <is>
          <t xml:space="preserve">Mazda</t>
        </is>
      </c>
      <c r="F9123" s="0" t="s">
        <v>28</v>
      </c>
      <c r="G9123" s="0" t="s">
        <v>29</v>
      </c>
      <c r="H9123" s="5">
        <v>52.976300</v>
      </c>
    </row>
    <row r="9124" spans="1:9">
      <c r="A9124" s="22" t="str">
        <f>HYPERLINK("https://app.vivvix.com/360/KMI/IntelliDrive/ApplUI/Pages/CreativePages/CustomReportCreativeDetail.aspx?App=23&amp;ReportView=4&amp;Qid=1711279&amp;Row=9116&amp;Col=1","No Title Assigned - #15270948030")</f>
        <v/>
      </c>
      <c r="B9124" s="0" t="s">
        <v>12246</v>
      </c>
      <c r="C9124" s="0" t="s">
        <v>12247</v>
      </c>
      <c r="D9124" s="0" t="s">
        <v>6663</v>
      </c>
      <c r="E9124" s="0" t="inlineStr">
        <is>
          <t xml:space="preserve">Mazda</t>
        </is>
      </c>
      <c r="F9124" s="0" t="s">
        <v>28</v>
      </c>
      <c r="G9124" s="0" t="s">
        <v>29</v>
      </c>
      <c r="H9124" s="5">
        <v>391.517800</v>
      </c>
    </row>
    <row r="9125" spans="1:9">
      <c r="A9125" s="22" t="str">
        <f>HYPERLINK("https://app.vivvix.com/360/KMI/IntelliDrive/ApplUI/Pages/CreativePages/CustomReportCreativeDetail.aspx?App=23&amp;ReportView=4&amp;Qid=1711279&amp;Row=9117&amp;Col=1","No Title Assigned - #15270948841")</f>
        <v/>
      </c>
      <c r="B9125" s="0" t="s">
        <v>12248</v>
      </c>
      <c r="C9125" s="0" t="s">
        <v>12249</v>
      </c>
      <c r="D9125" s="0" t="s">
        <v>5530</v>
      </c>
      <c r="E9125" s="0" t="inlineStr">
        <is>
          <t xml:space="preserve">Mazda</t>
        </is>
      </c>
      <c r="F9125" s="0" t="s">
        <v>21</v>
      </c>
      <c r="G9125" s="0" t="s">
        <v>22</v>
      </c>
      <c r="H9125" s="5">
        <v>234.936600</v>
      </c>
    </row>
    <row r="9126" spans="1:9">
      <c r="A9126" s="22" t="str">
        <f>HYPERLINK("https://app.vivvix.com/360/KMI/IntelliDrive/ApplUI/Pages/CreativePages/CustomReportCreativeDetail.aspx?App=23&amp;ReportView=4&amp;Qid=1711279&amp;Row=9118&amp;Col=1","No Title Assigned - #15270949130")</f>
        <v/>
      </c>
      <c r="B9126" s="0" t="s">
        <v>12250</v>
      </c>
      <c r="E9126" s="0" t="inlineStr">
        <is>
          <t xml:space="preserve">Mazda</t>
        </is>
      </c>
      <c r="F9126" s="0" t="inlineStr">
        <is>
          <t xml:space="preserve">Mazda</t>
        </is>
      </c>
      <c r="G9126" s="0" t="s">
        <v>171</v>
      </c>
      <c r="H9126" s="5">
        <v>26.580400</v>
      </c>
    </row>
    <row r="9127" spans="1:9">
      <c r="A9127" s="22" t="str">
        <f>HYPERLINK("https://app.vivvix.com/360/KMI/IntelliDrive/ApplUI/Pages/CreativePages/CustomReportCreativeDetail.aspx?App=23&amp;ReportView=4&amp;Qid=1711279&amp;Row=9119&amp;Col=1","No Title Assigned - #15270949724")</f>
        <v/>
      </c>
      <c r="B9127" s="0" t="s">
        <v>12251</v>
      </c>
      <c r="E9127" s="0" t="inlineStr">
        <is>
          <t xml:space="preserve">Mazda</t>
        </is>
      </c>
      <c r="F9127" s="0" t="inlineStr">
        <is>
          <t xml:space="preserve">Mazda</t>
        </is>
      </c>
      <c r="G9127" s="0" t="s">
        <v>171</v>
      </c>
      <c r="H9127" s="5">
        <v>11746.094600</v>
      </c>
    </row>
    <row r="9128" spans="1:9">
      <c r="A9128" s="22" t="str">
        <f>HYPERLINK("https://app.vivvix.com/360/KMI/IntelliDrive/ApplUI/Pages/CreativePages/CustomReportCreativeDetail.aspx?App=23&amp;ReportView=4&amp;Qid=1711279&amp;Row=9120&amp;Col=1","No Title Assigned - #15270949724")</f>
        <v/>
      </c>
      <c r="B9128" s="0" t="s">
        <v>12251</v>
      </c>
      <c r="E9128" s="0" t="inlineStr">
        <is>
          <t xml:space="preserve">Mazda</t>
        </is>
      </c>
      <c r="F9128" s="0" t="inlineStr">
        <is>
          <t xml:space="preserve">Mazda</t>
        </is>
      </c>
      <c r="G9128" s="0" t="s">
        <v>171</v>
      </c>
      <c r="H9128" s="5">
        <v>8618.403400</v>
      </c>
    </row>
    <row r="9129" spans="1:9">
      <c r="A9129" s="22" t="str">
        <f>HYPERLINK("https://app.vivvix.com/360/KMI/IntelliDrive/ApplUI/Pages/CreativePages/CustomReportCreativeDetail.aspx?App=23&amp;ReportView=4&amp;Qid=1711279&amp;Row=9121&amp;Col=1","No Title Assigned - #15270950997")</f>
        <v/>
      </c>
      <c r="B9129" s="0" t="s">
        <v>12252</v>
      </c>
      <c r="E9129" s="0" t="inlineStr">
        <is>
          <t xml:space="preserve">Mazda</t>
        </is>
      </c>
      <c r="F9129" s="0" t="inlineStr">
        <is>
          <t xml:space="preserve">Mazda</t>
        </is>
      </c>
      <c r="G9129" s="0" t="s">
        <v>171</v>
      </c>
      <c r="H9129" s="5">
        <v>18.348200</v>
      </c>
    </row>
    <row r="9130" spans="1:9">
      <c r="A9130" s="22" t="str">
        <f>HYPERLINK("https://app.vivvix.com/360/KMI/IntelliDrive/ApplUI/Pages/CreativePages/CustomReportCreativeDetail.aspx?App=23&amp;ReportView=4&amp;Qid=1711279&amp;Row=9122&amp;Col=1","No Title Assigned - #15270950997")</f>
        <v/>
      </c>
      <c r="B9130" s="0" t="s">
        <v>12252</v>
      </c>
      <c r="E9130" s="0" t="inlineStr">
        <is>
          <t xml:space="preserve">Mazda</t>
        </is>
      </c>
      <c r="F9130" s="0" t="inlineStr">
        <is>
          <t xml:space="preserve">Mazda</t>
        </is>
      </c>
      <c r="G9130" s="0" t="s">
        <v>171</v>
      </c>
      <c r="H9130" s="5">
        <v>17.724600</v>
      </c>
    </row>
    <row r="9131" spans="1:9">
      <c r="A9131" s="22" t="str">
        <f>HYPERLINK("https://app.vivvix.com/360/KMI/IntelliDrive/ApplUI/Pages/CreativePages/CustomReportCreativeDetail.aspx?App=23&amp;ReportView=4&amp;Qid=1711279&amp;Row=9123&amp;Col=1","No Title Assigned - #15270951567")</f>
        <v/>
      </c>
      <c r="B9131" s="0" t="s">
        <v>12253</v>
      </c>
      <c r="E9131" s="0" t="inlineStr">
        <is>
          <t xml:space="preserve">Mazda</t>
        </is>
      </c>
      <c r="F9131" s="0" t="inlineStr">
        <is>
          <t xml:space="preserve">Mazda</t>
        </is>
      </c>
      <c r="G9131" s="0" t="s">
        <v>171</v>
      </c>
      <c r="H9131" s="5">
        <v>5830.692600</v>
      </c>
    </row>
    <row r="9132" spans="1:9">
      <c r="A9132" s="22" t="str">
        <f>HYPERLINK("https://app.vivvix.com/360/KMI/IntelliDrive/ApplUI/Pages/CreativePages/CustomReportCreativeDetail.aspx?App=23&amp;ReportView=4&amp;Qid=1711279&amp;Row=9124&amp;Col=1","No Title Assigned - #15270951619")</f>
        <v/>
      </c>
      <c r="B9132" s="0" t="s">
        <v>12254</v>
      </c>
      <c r="E9132" s="0" t="inlineStr">
        <is>
          <t xml:space="preserve">Mazda</t>
        </is>
      </c>
      <c r="F9132" s="0" t="inlineStr">
        <is>
          <t xml:space="preserve">Mazda</t>
        </is>
      </c>
      <c r="G9132" s="0" t="s">
        <v>171</v>
      </c>
      <c r="H9132" s="5">
        <v>126.532700</v>
      </c>
    </row>
    <row r="9133" spans="1:9">
      <c r="A9133" s="22" t="str">
        <f>HYPERLINK("https://app.vivvix.com/360/KMI/IntelliDrive/ApplUI/Pages/CreativePages/CustomReportCreativeDetail.aspx?App=23&amp;ReportView=4&amp;Qid=1711279&amp;Row=9125&amp;Col=1","No Title Assigned - #15270951708")</f>
        <v/>
      </c>
      <c r="B9133" s="0" t="s">
        <v>12255</v>
      </c>
      <c r="E9133" s="0" t="inlineStr">
        <is>
          <t xml:space="preserve">Mazda</t>
        </is>
      </c>
      <c r="F9133" s="0" t="inlineStr">
        <is>
          <t xml:space="preserve">Mazda</t>
        </is>
      </c>
      <c r="G9133" s="0" t="s">
        <v>171</v>
      </c>
      <c r="H9133" s="5">
        <v>322.813600</v>
      </c>
    </row>
    <row r="9134" spans="1:9">
      <c r="A9134" s="22" t="str">
        <f>HYPERLINK("https://app.vivvix.com/360/KMI/IntelliDrive/ApplUI/Pages/CreativePages/CustomReportCreativeDetail.aspx?App=23&amp;ReportView=4&amp;Qid=1711279&amp;Row=9126&amp;Col=1","No Title Assigned - #15270951719")</f>
        <v/>
      </c>
      <c r="B9134" s="0" t="s">
        <v>12256</v>
      </c>
      <c r="E9134" s="0" t="inlineStr">
        <is>
          <t xml:space="preserve">Mazda</t>
        </is>
      </c>
      <c r="F9134" s="0" t="inlineStr">
        <is>
          <t xml:space="preserve">Mazda</t>
        </is>
      </c>
      <c r="G9134" s="0" t="s">
        <v>171</v>
      </c>
      <c r="H9134" s="5">
        <v>2980.058500</v>
      </c>
    </row>
    <row r="9135" spans="1:9">
      <c r="A9135" s="22" t="str">
        <f>HYPERLINK("https://app.vivvix.com/360/KMI/IntelliDrive/ApplUI/Pages/CreativePages/CustomReportCreativeDetail.aspx?App=23&amp;ReportView=4&amp;Qid=1711279&amp;Row=9127&amp;Col=1","No Title Assigned - #15270951798")</f>
        <v/>
      </c>
      <c r="B9135" s="0" t="s">
        <v>12257</v>
      </c>
      <c r="E9135" s="0" t="inlineStr">
        <is>
          <t xml:space="preserve">Mazda</t>
        </is>
      </c>
      <c r="F9135" s="0" t="inlineStr">
        <is>
          <t xml:space="preserve">Mazda</t>
        </is>
      </c>
      <c r="G9135" s="0" t="s">
        <v>171</v>
      </c>
      <c r="H9135" s="5">
        <v>794.517800</v>
      </c>
    </row>
    <row r="9136" spans="1:9">
      <c r="A9136" s="22" t="str">
        <f>HYPERLINK("https://app.vivvix.com/360/KMI/IntelliDrive/ApplUI/Pages/CreativePages/CustomReportCreativeDetail.aspx?App=23&amp;ReportView=4&amp;Qid=1711279&amp;Row=9128&amp;Col=1","No Title Assigned - #15270951907")</f>
        <v/>
      </c>
      <c r="B9136" s="0" t="s">
        <v>12258</v>
      </c>
      <c r="E9136" s="0" t="inlineStr">
        <is>
          <t xml:space="preserve">Mazda</t>
        </is>
      </c>
      <c r="F9136" s="0" t="inlineStr">
        <is>
          <t xml:space="preserve">Mazda</t>
        </is>
      </c>
      <c r="G9136" s="0" t="s">
        <v>171</v>
      </c>
      <c r="H9136" s="5">
        <v>41.363100</v>
      </c>
    </row>
    <row r="9137" spans="1:9">
      <c r="A9137" s="22" t="str">
        <f>HYPERLINK("https://app.vivvix.com/360/KMI/IntelliDrive/ApplUI/Pages/CreativePages/CustomReportCreativeDetail.aspx?App=23&amp;ReportView=4&amp;Qid=1711279&amp;Row=9129&amp;Col=1","No Title Assigned - #15270952490")</f>
        <v/>
      </c>
      <c r="B9137" s="0" t="s">
        <v>12259</v>
      </c>
      <c r="E9137" s="0" t="inlineStr">
        <is>
          <t xml:space="preserve">Mazda</t>
        </is>
      </c>
      <c r="F9137" s="0" t="inlineStr">
        <is>
          <t xml:space="preserve">Mazda</t>
        </is>
      </c>
      <c r="G9137" s="0" t="s">
        <v>171</v>
      </c>
      <c r="H9137" s="5">
        <v>17.343800</v>
      </c>
    </row>
    <row r="9138" spans="1:9">
      <c r="A9138" s="22" t="str">
        <f>HYPERLINK("https://app.vivvix.com/360/KMI/IntelliDrive/ApplUI/Pages/CreativePages/CustomReportCreativeDetail.aspx?App=23&amp;ReportView=4&amp;Qid=1711279&amp;Row=9130&amp;Col=1","No Title Assigned - #15270953036")</f>
        <v/>
      </c>
      <c r="B9138" s="0" t="s">
        <v>12260</v>
      </c>
      <c r="E9138" s="0" t="inlineStr">
        <is>
          <t xml:space="preserve">Mazda</t>
        </is>
      </c>
      <c r="F9138" s="0" t="inlineStr">
        <is>
          <t xml:space="preserve">Mazda</t>
        </is>
      </c>
      <c r="G9138" s="0" t="s">
        <v>171</v>
      </c>
      <c r="H9138" s="5">
        <v>45.700200</v>
      </c>
    </row>
    <row r="9139" spans="1:9">
      <c r="A9139" s="22" t="str">
        <f>HYPERLINK("https://app.vivvix.com/360/KMI/IntelliDrive/ApplUI/Pages/CreativePages/CustomReportCreativeDetail.aspx?App=23&amp;ReportView=4&amp;Qid=1711279&amp;Row=9131&amp;Col=1","No Title Assigned - #15270953086")</f>
        <v/>
      </c>
      <c r="B9139" s="0" t="s">
        <v>12261</v>
      </c>
      <c r="E9139" s="0" t="inlineStr">
        <is>
          <t xml:space="preserve">Mazda</t>
        </is>
      </c>
      <c r="F9139" s="0" t="inlineStr">
        <is>
          <t xml:space="preserve">Mazda</t>
        </is>
      </c>
      <c r="G9139" s="0" t="s">
        <v>171</v>
      </c>
      <c r="H9139" s="5">
        <v>9.793900</v>
      </c>
    </row>
    <row r="9140" spans="1:9">
      <c r="A9140" s="22" t="str">
        <f>HYPERLINK("https://app.vivvix.com/360/KMI/IntelliDrive/ApplUI/Pages/CreativePages/CustomReportCreativeDetail.aspx?App=23&amp;ReportView=4&amp;Qid=1711279&amp;Row=9132&amp;Col=1","No Title Assigned - #15270953391")</f>
        <v/>
      </c>
      <c r="B9140" s="0" t="s">
        <v>12262</v>
      </c>
      <c r="E9140" s="0" t="inlineStr">
        <is>
          <t xml:space="preserve">Mazda</t>
        </is>
      </c>
      <c r="F9140" s="0" t="inlineStr">
        <is>
          <t xml:space="preserve">Mazda</t>
        </is>
      </c>
      <c r="G9140" s="0" t="s">
        <v>171</v>
      </c>
      <c r="H9140" s="5">
        <v>990.072800</v>
      </c>
    </row>
    <row r="9141" spans="1:9">
      <c r="A9141" s="22" t="str">
        <f>HYPERLINK("https://app.vivvix.com/360/KMI/IntelliDrive/ApplUI/Pages/CreativePages/CustomReportCreativeDetail.aspx?App=23&amp;ReportView=4&amp;Qid=1711279&amp;Row=9133&amp;Col=1","No Title Assigned - #15270954054")</f>
        <v/>
      </c>
      <c r="B9141" s="0" t="s">
        <v>12263</v>
      </c>
      <c r="E9141" s="0" t="inlineStr">
        <is>
          <t xml:space="preserve">Mazda</t>
        </is>
      </c>
      <c r="F9141" s="0" t="inlineStr">
        <is>
          <t xml:space="preserve">Mazda</t>
        </is>
      </c>
      <c r="G9141" s="0" t="s">
        <v>171</v>
      </c>
      <c r="H9141" s="5">
        <v>3899.266500</v>
      </c>
    </row>
    <row r="9142" spans="1:9">
      <c r="A9142" s="22" t="str">
        <f>HYPERLINK("https://app.vivvix.com/360/KMI/IntelliDrive/ApplUI/Pages/CreativePages/CustomReportCreativeDetail.aspx?App=23&amp;ReportView=4&amp;Qid=1711279&amp;Row=9134&amp;Col=1","No Title Assigned - #15270954054")</f>
        <v/>
      </c>
      <c r="B9142" s="0" t="s">
        <v>12263</v>
      </c>
      <c r="E9142" s="0" t="inlineStr">
        <is>
          <t xml:space="preserve">Mazda</t>
        </is>
      </c>
      <c r="F9142" s="0" t="inlineStr">
        <is>
          <t xml:space="preserve">Mazda</t>
        </is>
      </c>
      <c r="G9142" s="0" t="s">
        <v>171</v>
      </c>
      <c r="H9142" s="5">
        <v>6632.423000</v>
      </c>
    </row>
    <row r="9143" spans="1:9">
      <c r="A9143" s="22" t="str">
        <f>HYPERLINK("https://app.vivvix.com/360/KMI/IntelliDrive/ApplUI/Pages/CreativePages/CustomReportCreativeDetail.aspx?App=23&amp;ReportView=4&amp;Qid=1711279&amp;Row=9135&amp;Col=1","No Title Assigned - #15270954392")</f>
        <v/>
      </c>
      <c r="B9143" s="0" t="s">
        <v>12264</v>
      </c>
      <c r="C9143" s="0" t="s">
        <v>12265</v>
      </c>
      <c r="D9143" s="0" t="s">
        <v>12265</v>
      </c>
      <c r="E9143" s="0" t="inlineStr">
        <is>
          <t xml:space="preserve">Mazda</t>
        </is>
      </c>
      <c r="F9143" s="0" t="inlineStr">
        <is>
          <t xml:space="preserve">Mazda</t>
        </is>
      </c>
      <c r="G9143" s="0" t="s">
        <v>171</v>
      </c>
      <c r="H9143" s="5">
        <v>4665.393200</v>
      </c>
    </row>
    <row r="9144" spans="1:9">
      <c r="A9144" s="22" t="str">
        <f>HYPERLINK("https://app.vivvix.com/360/KMI/IntelliDrive/ApplUI/Pages/CreativePages/CustomReportCreativeDetail.aspx?App=23&amp;ReportView=4&amp;Qid=1711279&amp;Row=9136&amp;Col=1","No Title Assigned - #15270954540")</f>
        <v/>
      </c>
      <c r="B9144" s="0" t="s">
        <v>12266</v>
      </c>
      <c r="E9144" s="0" t="inlineStr">
        <is>
          <t xml:space="preserve">Mazda</t>
        </is>
      </c>
      <c r="F9144" s="0" t="inlineStr">
        <is>
          <t xml:space="preserve">Mazda</t>
        </is>
      </c>
      <c r="G9144" s="0" t="s">
        <v>171</v>
      </c>
      <c r="H9144" s="5">
        <v>360.310400</v>
      </c>
    </row>
    <row r="9145" spans="1:9">
      <c r="A9145" s="22" t="str">
        <f>HYPERLINK("https://app.vivvix.com/360/KMI/IntelliDrive/ApplUI/Pages/CreativePages/CustomReportCreativeDetail.aspx?App=23&amp;ReportView=4&amp;Qid=1711279&amp;Row=9137&amp;Col=1","No Title Assigned - #15270954696")</f>
        <v/>
      </c>
      <c r="B9145" s="0" t="s">
        <v>12267</v>
      </c>
      <c r="E9145" s="0" t="inlineStr">
        <is>
          <t xml:space="preserve">Mazda</t>
        </is>
      </c>
      <c r="F9145" s="0" t="inlineStr">
        <is>
          <t xml:space="preserve">Mazda</t>
        </is>
      </c>
      <c r="G9145" s="0" t="s">
        <v>171</v>
      </c>
      <c r="H9145" s="5">
        <v>760.465000</v>
      </c>
    </row>
    <row r="9146" spans="1:9">
      <c r="A9146" s="22" t="str">
        <f>HYPERLINK("https://app.vivvix.com/360/KMI/IntelliDrive/ApplUI/Pages/CreativePages/CustomReportCreativeDetail.aspx?App=23&amp;ReportView=4&amp;Qid=1711279&amp;Row=9138&amp;Col=1","No Title Assigned - #15270954998")</f>
        <v/>
      </c>
      <c r="B9146" s="0" t="s">
        <v>12268</v>
      </c>
      <c r="E9146" s="0" t="inlineStr">
        <is>
          <t xml:space="preserve">Mazda</t>
        </is>
      </c>
      <c r="F9146" s="0" t="inlineStr">
        <is>
          <t xml:space="preserve">Mazda</t>
        </is>
      </c>
      <c r="G9146" s="0" t="s">
        <v>171</v>
      </c>
      <c r="H9146" s="5">
        <v>2387.817700</v>
      </c>
    </row>
    <row r="9147" spans="1:9">
      <c r="A9147" s="22" t="str">
        <f>HYPERLINK("https://app.vivvix.com/360/KMI/IntelliDrive/ApplUI/Pages/CreativePages/CustomReportCreativeDetail.aspx?App=23&amp;ReportView=4&amp;Qid=1711279&amp;Row=9139&amp;Col=1","No Title Assigned - #15270955117")</f>
        <v/>
      </c>
      <c r="B9147" s="0" t="s">
        <v>12269</v>
      </c>
      <c r="E9147" s="0" t="inlineStr">
        <is>
          <t xml:space="preserve">Mazda</t>
        </is>
      </c>
      <c r="F9147" s="0" t="inlineStr">
        <is>
          <t xml:space="preserve">Mazda</t>
        </is>
      </c>
      <c r="G9147" s="0" t="s">
        <v>171</v>
      </c>
      <c r="H9147" s="5">
        <v>309.634500</v>
      </c>
    </row>
    <row r="9148" spans="1:9">
      <c r="A9148" s="22" t="str">
        <f>HYPERLINK("https://app.vivvix.com/360/KMI/IntelliDrive/ApplUI/Pages/CreativePages/CustomReportCreativeDetail.aspx?App=23&amp;ReportView=4&amp;Qid=1711279&amp;Row=9140&amp;Col=1","No Title Assigned - #15270955172")</f>
        <v/>
      </c>
      <c r="B9148" s="0" t="s">
        <v>12270</v>
      </c>
      <c r="E9148" s="0" t="inlineStr">
        <is>
          <t xml:space="preserve">Mazda</t>
        </is>
      </c>
      <c r="F9148" s="0" t="inlineStr">
        <is>
          <t xml:space="preserve">Mazda</t>
        </is>
      </c>
      <c r="G9148" s="0" t="s">
        <v>171</v>
      </c>
      <c r="H9148" s="5">
        <v>2141.614200</v>
      </c>
    </row>
    <row r="9149" spans="1:9">
      <c r="A9149" s="22" t="str">
        <f>HYPERLINK("https://app.vivvix.com/360/KMI/IntelliDrive/ApplUI/Pages/CreativePages/CustomReportCreativeDetail.aspx?App=23&amp;ReportView=4&amp;Qid=1711279&amp;Row=9141&amp;Col=1","No Title Assigned - #15270955235")</f>
        <v/>
      </c>
      <c r="B9149" s="0" t="s">
        <v>12271</v>
      </c>
      <c r="E9149" s="0" t="inlineStr">
        <is>
          <t xml:space="preserve">Mazda</t>
        </is>
      </c>
      <c r="F9149" s="0" t="inlineStr">
        <is>
          <t xml:space="preserve">Mazda</t>
        </is>
      </c>
      <c r="G9149" s="0" t="s">
        <v>171</v>
      </c>
      <c r="H9149" s="5">
        <v>2.201600</v>
      </c>
    </row>
    <row r="9150" spans="1:9">
      <c r="A9150" s="22" t="str">
        <f>HYPERLINK("https://app.vivvix.com/360/KMI/IntelliDrive/ApplUI/Pages/CreativePages/CustomReportCreativeDetail.aspx?App=23&amp;ReportView=4&amp;Qid=1711279&amp;Row=9142&amp;Col=1","No Title Assigned - #15270956119")</f>
        <v/>
      </c>
      <c r="B9150" s="0" t="s">
        <v>12272</v>
      </c>
      <c r="E9150" s="0" t="inlineStr">
        <is>
          <t xml:space="preserve">Mazda</t>
        </is>
      </c>
      <c r="F9150" s="0" t="inlineStr">
        <is>
          <t xml:space="preserve">Mazda</t>
        </is>
      </c>
      <c r="G9150" s="0" t="s">
        <v>171</v>
      </c>
      <c r="H9150" s="5">
        <v>13649.643000</v>
      </c>
    </row>
    <row r="9151" spans="1:9">
      <c r="A9151" s="22" t="str">
        <f>HYPERLINK("https://app.vivvix.com/360/KMI/IntelliDrive/ApplUI/Pages/CreativePages/CustomReportCreativeDetail.aspx?App=23&amp;ReportView=4&amp;Qid=1711279&amp;Row=9143&amp;Col=1","No Title Assigned - #15270956119")</f>
        <v/>
      </c>
      <c r="B9151" s="0" t="s">
        <v>12272</v>
      </c>
      <c r="E9151" s="0" t="inlineStr">
        <is>
          <t xml:space="preserve">Mazda</t>
        </is>
      </c>
      <c r="F9151" s="0" t="inlineStr">
        <is>
          <t xml:space="preserve">Mazda</t>
        </is>
      </c>
      <c r="G9151" s="0" t="s">
        <v>171</v>
      </c>
      <c r="H9151" s="5">
        <v>6045.368300</v>
      </c>
    </row>
    <row r="9152" spans="1:9">
      <c r="A9152" s="22" t="str">
        <f>HYPERLINK("https://app.vivvix.com/360/KMI/IntelliDrive/ApplUI/Pages/CreativePages/CustomReportCreativeDetail.aspx?App=23&amp;ReportView=4&amp;Qid=1711279&amp;Row=9144&amp;Col=1","No Title Assigned - #15270956157")</f>
        <v/>
      </c>
      <c r="B9152" s="0" t="s">
        <v>12273</v>
      </c>
      <c r="E9152" s="0" t="inlineStr">
        <is>
          <t xml:space="preserve">Mazda</t>
        </is>
      </c>
      <c r="F9152" s="0" t="inlineStr">
        <is>
          <t xml:space="preserve">Mazda</t>
        </is>
      </c>
      <c r="G9152" s="0" t="s">
        <v>171</v>
      </c>
      <c r="H9152" s="5">
        <v>47.363300</v>
      </c>
    </row>
    <row r="9153" spans="1:9">
      <c r="A9153" s="22" t="str">
        <f>HYPERLINK("https://app.vivvix.com/360/KMI/IntelliDrive/ApplUI/Pages/CreativePages/CustomReportCreativeDetail.aspx?App=23&amp;ReportView=4&amp;Qid=1711279&amp;Row=9145&amp;Col=1","No Title Assigned - #15270956756")</f>
        <v/>
      </c>
      <c r="B9153" s="0" t="s">
        <v>12274</v>
      </c>
      <c r="E9153" s="0" t="inlineStr">
        <is>
          <t xml:space="preserve">Mazda</t>
        </is>
      </c>
      <c r="F9153" s="0" t="inlineStr">
        <is>
          <t xml:space="preserve">Mazda</t>
        </is>
      </c>
      <c r="G9153" s="0" t="s">
        <v>171</v>
      </c>
      <c r="H9153" s="5">
        <v>131.392500</v>
      </c>
    </row>
    <row r="9154" spans="1:9">
      <c r="A9154" s="22" t="str">
        <f>HYPERLINK("https://app.vivvix.com/360/KMI/IntelliDrive/ApplUI/Pages/CreativePages/CustomReportCreativeDetail.aspx?App=23&amp;ReportView=4&amp;Qid=1711279&amp;Row=9146&amp;Col=1","No Title Assigned - #15270956872")</f>
        <v/>
      </c>
      <c r="B9154" s="0" t="s">
        <v>12275</v>
      </c>
      <c r="C9154" s="0" t="s">
        <v>12276</v>
      </c>
      <c r="D9154" s="0" t="s">
        <v>12276</v>
      </c>
      <c r="E9154" s="0" t="inlineStr">
        <is>
          <t xml:space="preserve">Mazda</t>
        </is>
      </c>
      <c r="F9154" s="0" t="inlineStr">
        <is>
          <t xml:space="preserve">Mazda</t>
        </is>
      </c>
      <c r="G9154" s="0" t="s">
        <v>171</v>
      </c>
      <c r="H9154" s="5">
        <v>535.109900</v>
      </c>
    </row>
    <row r="9155" spans="1:9">
      <c r="A9155" s="22" t="str">
        <f>HYPERLINK("https://app.vivvix.com/360/KMI/IntelliDrive/ApplUI/Pages/CreativePages/CustomReportCreativeDetail.aspx?App=23&amp;ReportView=4&amp;Qid=1711279&amp;Row=9147&amp;Col=1","No Title Assigned - #15270957676")</f>
        <v/>
      </c>
      <c r="B9155" s="0" t="s">
        <v>12277</v>
      </c>
      <c r="E9155" s="0" t="inlineStr">
        <is>
          <t xml:space="preserve">Mazda</t>
        </is>
      </c>
      <c r="F9155" s="0" t="inlineStr">
        <is>
          <t xml:space="preserve">Mazda</t>
        </is>
      </c>
      <c r="G9155" s="0" t="s">
        <v>171</v>
      </c>
      <c r="H9155" s="5">
        <v>18.930200</v>
      </c>
    </row>
    <row r="9156" spans="1:9">
      <c r="A9156" s="22" t="str">
        <f>HYPERLINK("https://app.vivvix.com/360/KMI/IntelliDrive/ApplUI/Pages/CreativePages/CustomReportCreativeDetail.aspx?App=23&amp;ReportView=4&amp;Qid=1711279&amp;Row=9148&amp;Col=1","No Title Assigned - #15270957693")</f>
        <v/>
      </c>
      <c r="B9156" s="0" t="s">
        <v>12278</v>
      </c>
      <c r="E9156" s="0" t="inlineStr">
        <is>
          <t xml:space="preserve">Mazda</t>
        </is>
      </c>
      <c r="F9156" s="0" t="inlineStr">
        <is>
          <t xml:space="preserve">Mazda</t>
        </is>
      </c>
      <c r="G9156" s="0" t="s">
        <v>171</v>
      </c>
      <c r="H9156" s="5">
        <v>47.015800</v>
      </c>
    </row>
    <row r="9157" spans="1:9">
      <c r="A9157" s="22" t="str">
        <f>HYPERLINK("https://app.vivvix.com/360/KMI/IntelliDrive/ApplUI/Pages/CreativePages/CustomReportCreativeDetail.aspx?App=23&amp;ReportView=4&amp;Qid=1711279&amp;Row=9149&amp;Col=1","No Title Assigned - #15270957785")</f>
        <v/>
      </c>
      <c r="B9157" s="0" t="s">
        <v>12279</v>
      </c>
      <c r="E9157" s="0" t="inlineStr">
        <is>
          <t xml:space="preserve">Mazda</t>
        </is>
      </c>
      <c r="F9157" s="0" t="inlineStr">
        <is>
          <t xml:space="preserve">Mazda</t>
        </is>
      </c>
      <c r="G9157" s="0" t="s">
        <v>171</v>
      </c>
      <c r="H9157" s="5">
        <v>684.320200</v>
      </c>
    </row>
    <row r="9158" spans="1:9">
      <c r="A9158" s="22" t="str">
        <f>HYPERLINK("https://app.vivvix.com/360/KMI/IntelliDrive/ApplUI/Pages/CreativePages/CustomReportCreativeDetail.aspx?App=23&amp;ReportView=4&amp;Qid=1711279&amp;Row=9150&amp;Col=1","No Title Assigned - #15270959730")</f>
        <v/>
      </c>
      <c r="B9158" s="0" t="s">
        <v>12280</v>
      </c>
      <c r="E9158" s="0" t="inlineStr">
        <is>
          <t xml:space="preserve">Mazda</t>
        </is>
      </c>
      <c r="F9158" s="0" t="inlineStr">
        <is>
          <t xml:space="preserve">Mazda</t>
        </is>
      </c>
      <c r="G9158" s="0" t="s">
        <v>171</v>
      </c>
      <c r="H9158" s="5">
        <v>2224.479300</v>
      </c>
    </row>
    <row r="9159" spans="1:9">
      <c r="A9159" s="22" t="str">
        <f>HYPERLINK("https://app.vivvix.com/360/KMI/IntelliDrive/ApplUI/Pages/CreativePages/CustomReportCreativeDetail.aspx?App=23&amp;ReportView=4&amp;Qid=1711279&amp;Row=9151&amp;Col=1","No Title Assigned - #15270959789")</f>
        <v/>
      </c>
      <c r="B9159" s="0" t="s">
        <v>12281</v>
      </c>
      <c r="E9159" s="0" t="inlineStr">
        <is>
          <t xml:space="preserve">Mazda</t>
        </is>
      </c>
      <c r="F9159" s="0" t="inlineStr">
        <is>
          <t xml:space="preserve">Mazda</t>
        </is>
      </c>
      <c r="G9159" s="0" t="s">
        <v>171</v>
      </c>
      <c r="H9159" s="5">
        <v>1196.534700</v>
      </c>
    </row>
    <row r="9160" spans="1:9">
      <c r="A9160" s="22" t="str">
        <f>HYPERLINK("https://app.vivvix.com/360/KMI/IntelliDrive/ApplUI/Pages/CreativePages/CustomReportCreativeDetail.aspx?App=23&amp;ReportView=4&amp;Qid=1711279&amp;Row=9152&amp;Col=1","No Title Assigned - #15270960454")</f>
        <v/>
      </c>
      <c r="B9160" s="0" t="s">
        <v>12282</v>
      </c>
      <c r="E9160" s="0" t="inlineStr">
        <is>
          <t xml:space="preserve">Mazda</t>
        </is>
      </c>
      <c r="F9160" s="0" t="inlineStr">
        <is>
          <t xml:space="preserve">Mazda</t>
        </is>
      </c>
      <c r="G9160" s="0" t="s">
        <v>171</v>
      </c>
      <c r="H9160" s="5">
        <v>119.361800</v>
      </c>
    </row>
    <row r="9161" spans="1:9">
      <c r="A9161" s="22" t="str">
        <f>HYPERLINK("https://app.vivvix.com/360/KMI/IntelliDrive/ApplUI/Pages/CreativePages/CustomReportCreativeDetail.aspx?App=23&amp;ReportView=4&amp;Qid=1711279&amp;Row=9153&amp;Col=1","No Title Assigned - #15270961645")</f>
        <v/>
      </c>
      <c r="B9161" s="0" t="s">
        <v>12283</v>
      </c>
      <c r="E9161" s="0" t="inlineStr">
        <is>
          <t xml:space="preserve">Mazda</t>
        </is>
      </c>
      <c r="F9161" s="0" t="inlineStr">
        <is>
          <t xml:space="preserve">Mazda</t>
        </is>
      </c>
      <c r="G9161" s="0" t="s">
        <v>171</v>
      </c>
      <c r="H9161" s="5">
        <v>27.580700</v>
      </c>
    </row>
    <row r="9162" spans="1:9">
      <c r="A9162" s="22" t="str">
        <f>HYPERLINK("https://app.vivvix.com/360/KMI/IntelliDrive/ApplUI/Pages/CreativePages/CustomReportCreativeDetail.aspx?App=23&amp;ReportView=4&amp;Qid=1711279&amp;Row=9154&amp;Col=1","No Title Assigned - #15270962106")</f>
        <v/>
      </c>
      <c r="B9162" s="0" t="s">
        <v>12284</v>
      </c>
      <c r="E9162" s="0" t="inlineStr">
        <is>
          <t xml:space="preserve">Mazda</t>
        </is>
      </c>
      <c r="F9162" s="0" t="inlineStr">
        <is>
          <t xml:space="preserve">Mazda</t>
        </is>
      </c>
      <c r="G9162" s="0" t="s">
        <v>171</v>
      </c>
      <c r="H9162" s="5">
        <v>41.633600</v>
      </c>
    </row>
    <row r="9163" spans="1:9">
      <c r="A9163" s="22" t="str">
        <f>HYPERLINK("https://app.vivvix.com/360/KMI/IntelliDrive/ApplUI/Pages/CreativePages/CustomReportCreativeDetail.aspx?App=23&amp;ReportView=4&amp;Qid=1711279&amp;Row=9155&amp;Col=1","No Title Assigned - #15270962370")</f>
        <v/>
      </c>
      <c r="B9163" s="0" t="s">
        <v>12285</v>
      </c>
      <c r="E9163" s="0" t="inlineStr">
        <is>
          <t xml:space="preserve">Mazda</t>
        </is>
      </c>
      <c r="F9163" s="0" t="inlineStr">
        <is>
          <t xml:space="preserve">Mazda</t>
        </is>
      </c>
      <c r="G9163" s="0" t="s">
        <v>171</v>
      </c>
      <c r="H9163" s="5">
        <v>92.716100</v>
      </c>
    </row>
    <row r="9164" spans="1:9">
      <c r="A9164" s="22" t="str">
        <f>HYPERLINK("https://app.vivvix.com/360/KMI/IntelliDrive/ApplUI/Pages/CreativePages/CustomReportCreativeDetail.aspx?App=23&amp;ReportView=4&amp;Qid=1711279&amp;Row=9156&amp;Col=1","No Title Assigned - #15270962532")</f>
        <v/>
      </c>
      <c r="B9164" s="0" t="s">
        <v>12286</v>
      </c>
      <c r="E9164" s="0" t="inlineStr">
        <is>
          <t xml:space="preserve">Mazda</t>
        </is>
      </c>
      <c r="F9164" s="0" t="inlineStr">
        <is>
          <t xml:space="preserve">Mazda</t>
        </is>
      </c>
      <c r="G9164" s="0" t="s">
        <v>171</v>
      </c>
      <c r="H9164" s="5">
        <v>255.896500</v>
      </c>
    </row>
    <row r="9165" spans="1:9">
      <c r="A9165" s="22" t="str">
        <f>HYPERLINK("https://app.vivvix.com/360/KMI/IntelliDrive/ApplUI/Pages/CreativePages/CustomReportCreativeDetail.aspx?App=23&amp;ReportView=4&amp;Qid=1711279&amp;Row=9157&amp;Col=1","No Title Assigned - #15270964083")</f>
        <v/>
      </c>
      <c r="B9165" s="0" t="s">
        <v>12287</v>
      </c>
      <c r="E9165" s="0" t="inlineStr">
        <is>
          <t xml:space="preserve">Mazda</t>
        </is>
      </c>
      <c r="F9165" s="0" t="inlineStr">
        <is>
          <t xml:space="preserve">Mazda</t>
        </is>
      </c>
      <c r="G9165" s="0" t="s">
        <v>171</v>
      </c>
      <c r="H9165" s="5">
        <v>471.583500</v>
      </c>
    </row>
    <row r="9166" spans="1:9">
      <c r="A9166" s="22" t="str">
        <f>HYPERLINK("https://app.vivvix.com/360/KMI/IntelliDrive/ApplUI/Pages/CreativePages/CustomReportCreativeDetail.aspx?App=23&amp;ReportView=4&amp;Qid=1711279&amp;Row=9158&amp;Col=1","No Title Assigned - #15270964083")</f>
        <v/>
      </c>
      <c r="B9166" s="0" t="s">
        <v>12287</v>
      </c>
      <c r="E9166" s="0" t="inlineStr">
        <is>
          <t xml:space="preserve">Mazda</t>
        </is>
      </c>
      <c r="F9166" s="0" t="inlineStr">
        <is>
          <t xml:space="preserve">Mazda</t>
        </is>
      </c>
      <c r="G9166" s="0" t="s">
        <v>171</v>
      </c>
      <c r="H9166" s="5">
        <v>332.107000</v>
      </c>
    </row>
    <row r="9167" spans="1:9">
      <c r="A9167" s="22" t="str">
        <f>HYPERLINK("https://app.vivvix.com/360/KMI/IntelliDrive/ApplUI/Pages/CreativePages/CustomReportCreativeDetail.aspx?App=23&amp;ReportView=4&amp;Qid=1711279&amp;Row=9159&amp;Col=1","No Title Assigned - #15270964097")</f>
        <v/>
      </c>
      <c r="B9167" s="0" t="s">
        <v>12288</v>
      </c>
      <c r="E9167" s="0" t="inlineStr">
        <is>
          <t xml:space="preserve">Mazda</t>
        </is>
      </c>
      <c r="F9167" s="0" t="inlineStr">
        <is>
          <t xml:space="preserve">Mazda</t>
        </is>
      </c>
      <c r="G9167" s="0" t="s">
        <v>171</v>
      </c>
      <c r="H9167" s="5">
        <v>188.949300</v>
      </c>
    </row>
    <row r="9168" spans="1:9">
      <c r="A9168" s="22" t="str">
        <f>HYPERLINK("https://app.vivvix.com/360/KMI/IntelliDrive/ApplUI/Pages/CreativePages/CustomReportCreativeDetail.aspx?App=23&amp;ReportView=4&amp;Qid=1711279&amp;Row=9160&amp;Col=1","No Title Assigned - #15270964271")</f>
        <v/>
      </c>
      <c r="B9168" s="0" t="s">
        <v>12289</v>
      </c>
      <c r="E9168" s="0" t="inlineStr">
        <is>
          <t xml:space="preserve">Mazda</t>
        </is>
      </c>
      <c r="F9168" s="0" t="inlineStr">
        <is>
          <t xml:space="preserve">Mazda</t>
        </is>
      </c>
      <c r="G9168" s="0" t="s">
        <v>171</v>
      </c>
      <c r="H9168" s="5">
        <v>1755.249000</v>
      </c>
    </row>
    <row r="9169" spans="1:9">
      <c r="A9169" s="22" t="str">
        <f>HYPERLINK("https://app.vivvix.com/360/KMI/IntelliDrive/ApplUI/Pages/CreativePages/CustomReportCreativeDetail.aspx?App=23&amp;ReportView=4&amp;Qid=1711279&amp;Row=9161&amp;Col=1","No Title Assigned - #15270964275")</f>
        <v/>
      </c>
      <c r="B9169" s="0" t="s">
        <v>12290</v>
      </c>
      <c r="C9169" s="0" t="s">
        <v>12291</v>
      </c>
      <c r="D9169" s="0" t="s">
        <v>12291</v>
      </c>
      <c r="E9169" s="0" t="inlineStr">
        <is>
          <t xml:space="preserve">Mazda</t>
        </is>
      </c>
      <c r="F9169" s="0" t="inlineStr">
        <is>
          <t xml:space="preserve">Mazda</t>
        </is>
      </c>
      <c r="G9169" s="0" t="s">
        <v>171</v>
      </c>
      <c r="H9169" s="5">
        <v>61.297800</v>
      </c>
    </row>
    <row r="9170" spans="1:9">
      <c r="A9170" s="22" t="str">
        <f>HYPERLINK("https://app.vivvix.com/360/KMI/IntelliDrive/ApplUI/Pages/CreativePages/CustomReportCreativeDetail.aspx?App=23&amp;ReportView=4&amp;Qid=1711279&amp;Row=9162&amp;Col=1","No Title Assigned - #15270965820")</f>
        <v/>
      </c>
      <c r="B9170" s="0" t="s">
        <v>12292</v>
      </c>
      <c r="E9170" s="0" t="inlineStr">
        <is>
          <t xml:space="preserve">Mazda</t>
        </is>
      </c>
      <c r="F9170" s="0" t="inlineStr">
        <is>
          <t xml:space="preserve">Mazda</t>
        </is>
      </c>
      <c r="G9170" s="0" t="s">
        <v>171</v>
      </c>
      <c r="H9170" s="5">
        <v>125.966200</v>
      </c>
    </row>
    <row r="9171" spans="1:9">
      <c r="A9171" s="22" t="str">
        <f>HYPERLINK("https://app.vivvix.com/360/KMI/IntelliDrive/ApplUI/Pages/CreativePages/CustomReportCreativeDetail.aspx?App=23&amp;ReportView=4&amp;Qid=1711279&amp;Row=9163&amp;Col=1","No Title Assigned - #15270965858")</f>
        <v/>
      </c>
      <c r="B9171" s="0" t="s">
        <v>12293</v>
      </c>
      <c r="E9171" s="0" t="inlineStr">
        <is>
          <t xml:space="preserve">Mazda</t>
        </is>
      </c>
      <c r="F9171" s="0" t="inlineStr">
        <is>
          <t xml:space="preserve">Mazda</t>
        </is>
      </c>
      <c r="G9171" s="0" t="s">
        <v>171</v>
      </c>
      <c r="H9171" s="5">
        <v>718.952600</v>
      </c>
    </row>
    <row r="9172" spans="1:9">
      <c r="A9172" s="22" t="str">
        <f>HYPERLINK("https://app.vivvix.com/360/KMI/IntelliDrive/ApplUI/Pages/CreativePages/CustomReportCreativeDetail.aspx?App=23&amp;ReportView=4&amp;Qid=1711279&amp;Row=9164&amp;Col=1","No Title Assigned - #15270966007")</f>
        <v/>
      </c>
      <c r="B9172" s="0" t="s">
        <v>12294</v>
      </c>
      <c r="E9172" s="0" t="inlineStr">
        <is>
          <t xml:space="preserve">Mazda</t>
        </is>
      </c>
      <c r="F9172" s="0" t="inlineStr">
        <is>
          <t xml:space="preserve">Mazda</t>
        </is>
      </c>
      <c r="G9172" s="0" t="s">
        <v>171</v>
      </c>
      <c r="H9172" s="5">
        <v>730.819500</v>
      </c>
    </row>
    <row r="9173" spans="1:9">
      <c r="A9173" s="22" t="str">
        <f>HYPERLINK("https://app.vivvix.com/360/KMI/IntelliDrive/ApplUI/Pages/CreativePages/CustomReportCreativeDetail.aspx?App=23&amp;ReportView=4&amp;Qid=1711279&amp;Row=9165&amp;Col=1","No Title Assigned - #15270966570")</f>
        <v/>
      </c>
      <c r="B9173" s="0" t="s">
        <v>12295</v>
      </c>
      <c r="E9173" s="0" t="inlineStr">
        <is>
          <t xml:space="preserve">Mazda</t>
        </is>
      </c>
      <c r="F9173" s="0" t="inlineStr">
        <is>
          <t xml:space="preserve">Mazda</t>
        </is>
      </c>
      <c r="G9173" s="0" t="s">
        <v>171</v>
      </c>
      <c r="H9173" s="5">
        <v>25.231700</v>
      </c>
    </row>
    <row r="9174" spans="1:9">
      <c r="A9174" s="22" t="str">
        <f>HYPERLINK("https://app.vivvix.com/360/KMI/IntelliDrive/ApplUI/Pages/CreativePages/CustomReportCreativeDetail.aspx?App=23&amp;ReportView=4&amp;Qid=1711279&amp;Row=9166&amp;Col=1","No Title Assigned - #15270966606")</f>
        <v/>
      </c>
      <c r="B9174" s="0" t="s">
        <v>12296</v>
      </c>
      <c r="E9174" s="0" t="inlineStr">
        <is>
          <t xml:space="preserve">Mazda</t>
        </is>
      </c>
      <c r="F9174" s="0" t="inlineStr">
        <is>
          <t xml:space="preserve">Mazda</t>
        </is>
      </c>
      <c r="G9174" s="0" t="s">
        <v>171</v>
      </c>
      <c r="H9174" s="5">
        <v>19.727200</v>
      </c>
    </row>
    <row r="9175" spans="1:9">
      <c r="A9175" s="22" t="str">
        <f>HYPERLINK("https://app.vivvix.com/360/KMI/IntelliDrive/ApplUI/Pages/CreativePages/CustomReportCreativeDetail.aspx?App=23&amp;ReportView=4&amp;Qid=1711279&amp;Row=9167&amp;Col=1","No Title Assigned - #15270966608")</f>
        <v/>
      </c>
      <c r="B9175" s="0" t="s">
        <v>12297</v>
      </c>
      <c r="C9175" s="0" t="s">
        <v>12298</v>
      </c>
      <c r="D9175" s="0" t="s">
        <v>12298</v>
      </c>
      <c r="E9175" s="0" t="inlineStr">
        <is>
          <t xml:space="preserve">Mazda</t>
        </is>
      </c>
      <c r="F9175" s="0" t="inlineStr">
        <is>
          <t xml:space="preserve">Mazda</t>
        </is>
      </c>
      <c r="G9175" s="0" t="s">
        <v>171</v>
      </c>
      <c r="H9175" s="5">
        <v>19.727200</v>
      </c>
    </row>
    <row r="9176" spans="1:9">
      <c r="A9176" s="22" t="str">
        <f>HYPERLINK("https://app.vivvix.com/360/KMI/IntelliDrive/ApplUI/Pages/CreativePages/CustomReportCreativeDetail.aspx?App=23&amp;ReportView=4&amp;Qid=1711279&amp;Row=9168&amp;Col=1","No Title Assigned - #15270966695")</f>
        <v/>
      </c>
      <c r="B9176" s="0" t="s">
        <v>12299</v>
      </c>
      <c r="E9176" s="0" t="inlineStr">
        <is>
          <t xml:space="preserve">Mazda</t>
        </is>
      </c>
      <c r="F9176" s="0" t="inlineStr">
        <is>
          <t xml:space="preserve">Mazda</t>
        </is>
      </c>
      <c r="G9176" s="0" t="s">
        <v>171</v>
      </c>
      <c r="H9176" s="5">
        <v>2.964800</v>
      </c>
    </row>
    <row r="9177" spans="1:9">
      <c r="A9177" s="22" t="str">
        <f>HYPERLINK("https://app.vivvix.com/360/KMI/IntelliDrive/ApplUI/Pages/CreativePages/CustomReportCreativeDetail.aspx?App=23&amp;ReportView=4&amp;Qid=1711279&amp;Row=9169&amp;Col=1","No Title Assigned - #15270970152")</f>
        <v/>
      </c>
      <c r="B9177" s="0" t="s">
        <v>12300</v>
      </c>
      <c r="E9177" s="0" t="inlineStr">
        <is>
          <t xml:space="preserve">Mazda</t>
        </is>
      </c>
      <c r="F9177" s="0" t="inlineStr">
        <is>
          <t xml:space="preserve">Mazda</t>
        </is>
      </c>
      <c r="G9177" s="0" t="s">
        <v>171</v>
      </c>
      <c r="H9177" s="5">
        <v>41.633600</v>
      </c>
    </row>
    <row r="9178" spans="1:9">
      <c r="A9178" s="22" t="str">
        <f>HYPERLINK("https://app.vivvix.com/360/KMI/IntelliDrive/ApplUI/Pages/CreativePages/CustomReportCreativeDetail.aspx?App=23&amp;ReportView=4&amp;Qid=1711279&amp;Row=9170&amp;Col=1","No Title Assigned - #15270970685")</f>
        <v/>
      </c>
      <c r="B9178" s="0" t="s">
        <v>12301</v>
      </c>
      <c r="E9178" s="0" t="inlineStr">
        <is>
          <t xml:space="preserve">Mazda</t>
        </is>
      </c>
      <c r="F9178" s="0" t="inlineStr">
        <is>
          <t xml:space="preserve">Mazda</t>
        </is>
      </c>
      <c r="G9178" s="0" t="s">
        <v>171</v>
      </c>
      <c r="H9178" s="5">
        <v>14886.620300</v>
      </c>
    </row>
    <row r="9179" spans="1:9">
      <c r="A9179" s="22" t="str">
        <f>HYPERLINK("https://app.vivvix.com/360/KMI/IntelliDrive/ApplUI/Pages/CreativePages/CustomReportCreativeDetail.aspx?App=23&amp;ReportView=4&amp;Qid=1711279&amp;Row=9171&amp;Col=1","No Title Assigned - #15270970685")</f>
        <v/>
      </c>
      <c r="B9179" s="0" t="s">
        <v>12301</v>
      </c>
      <c r="E9179" s="0" t="inlineStr">
        <is>
          <t xml:space="preserve">Mazda</t>
        </is>
      </c>
      <c r="F9179" s="0" t="inlineStr">
        <is>
          <t xml:space="preserve">Mazda</t>
        </is>
      </c>
      <c r="G9179" s="0" t="s">
        <v>171</v>
      </c>
      <c r="H9179" s="5">
        <v>40320.191400</v>
      </c>
    </row>
    <row r="9180" spans="1:9">
      <c r="A9180" s="22" t="str">
        <f>HYPERLINK("https://app.vivvix.com/360/KMI/IntelliDrive/ApplUI/Pages/CreativePages/CustomReportCreativeDetail.aspx?App=23&amp;ReportView=4&amp;Qid=1711279&amp;Row=9172&amp;Col=1","No Title Assigned - #15270971069")</f>
        <v/>
      </c>
      <c r="B9180" s="0" t="s">
        <v>12302</v>
      </c>
      <c r="E9180" s="0" t="inlineStr">
        <is>
          <t xml:space="preserve">Mazda</t>
        </is>
      </c>
      <c r="F9180" s="0" t="inlineStr">
        <is>
          <t xml:space="preserve">Mazda</t>
        </is>
      </c>
      <c r="G9180" s="0" t="s">
        <v>171</v>
      </c>
      <c r="H9180" s="5">
        <v>1244.112800</v>
      </c>
    </row>
    <row r="9181" spans="1:9">
      <c r="A9181" s="22" t="str">
        <f>HYPERLINK("https://app.vivvix.com/360/KMI/IntelliDrive/ApplUI/Pages/CreativePages/CustomReportCreativeDetail.aspx?App=23&amp;ReportView=4&amp;Qid=1711279&amp;Row=9173&amp;Col=1","No Title Assigned - #15270971154")</f>
        <v/>
      </c>
      <c r="B9181" s="0" t="s">
        <v>12303</v>
      </c>
      <c r="E9181" s="0" t="inlineStr">
        <is>
          <t xml:space="preserve">Mazda</t>
        </is>
      </c>
      <c r="F9181" s="0" t="inlineStr">
        <is>
          <t xml:space="preserve">Mazda</t>
        </is>
      </c>
      <c r="G9181" s="0" t="s">
        <v>171</v>
      </c>
      <c r="H9181" s="5">
        <v>69.224600</v>
      </c>
    </row>
    <row r="9182" spans="1:9">
      <c r="A9182" s="22" t="str">
        <f>HYPERLINK("https://app.vivvix.com/360/KMI/IntelliDrive/ApplUI/Pages/CreativePages/CustomReportCreativeDetail.aspx?App=23&amp;ReportView=4&amp;Qid=1711279&amp;Row=9174&amp;Col=1","No Title Assigned - #15270971286")</f>
        <v/>
      </c>
      <c r="B9182" s="0" t="s">
        <v>12304</v>
      </c>
      <c r="E9182" s="0" t="inlineStr">
        <is>
          <t xml:space="preserve">Mazda</t>
        </is>
      </c>
      <c r="F9182" s="0" t="inlineStr">
        <is>
          <t xml:space="preserve">Mazda</t>
        </is>
      </c>
      <c r="G9182" s="0" t="s">
        <v>171</v>
      </c>
      <c r="H9182" s="5">
        <v>54.269600</v>
      </c>
    </row>
    <row r="9183" spans="1:9">
      <c r="A9183" s="22" t="str">
        <f>HYPERLINK("https://app.vivvix.com/360/KMI/IntelliDrive/ApplUI/Pages/CreativePages/CustomReportCreativeDetail.aspx?App=23&amp;ReportView=4&amp;Qid=1711279&amp;Row=9175&amp;Col=1","No Title Assigned - #15270971388")</f>
        <v/>
      </c>
      <c r="B9183" s="0" t="s">
        <v>12305</v>
      </c>
      <c r="E9183" s="0" t="inlineStr">
        <is>
          <t xml:space="preserve">Mazda</t>
        </is>
      </c>
      <c r="F9183" s="0" t="inlineStr">
        <is>
          <t xml:space="preserve">Mazda</t>
        </is>
      </c>
      <c r="G9183" s="0" t="s">
        <v>171</v>
      </c>
      <c r="H9183" s="5">
        <v>22.403100</v>
      </c>
    </row>
    <row r="9184" spans="1:9">
      <c r="A9184" s="22" t="str">
        <f>HYPERLINK("https://app.vivvix.com/360/KMI/IntelliDrive/ApplUI/Pages/CreativePages/CustomReportCreativeDetail.aspx?App=23&amp;ReportView=4&amp;Qid=1711279&amp;Row=9176&amp;Col=1","No Title Assigned - #15270972737")</f>
        <v/>
      </c>
      <c r="B9184" s="0" t="s">
        <v>12306</v>
      </c>
      <c r="E9184" s="0" t="inlineStr">
        <is>
          <t xml:space="preserve">Mazda</t>
        </is>
      </c>
      <c r="F9184" s="0" t="inlineStr">
        <is>
          <t xml:space="preserve">Mazda</t>
        </is>
      </c>
      <c r="G9184" s="0" t="s">
        <v>171</v>
      </c>
      <c r="H9184" s="5">
        <v>3.717500</v>
      </c>
    </row>
    <row r="9185" spans="1:9">
      <c r="A9185" s="22" t="str">
        <f>HYPERLINK("https://app.vivvix.com/360/KMI/IntelliDrive/ApplUI/Pages/CreativePages/CustomReportCreativeDetail.aspx?App=23&amp;ReportView=4&amp;Qid=1711279&amp;Row=9177&amp;Col=1","No Title Assigned - #15270974030")</f>
        <v/>
      </c>
      <c r="B9185" s="0" t="s">
        <v>12307</v>
      </c>
      <c r="E9185" s="0" t="inlineStr">
        <is>
          <t xml:space="preserve">Mazda</t>
        </is>
      </c>
      <c r="F9185" s="0" t="inlineStr">
        <is>
          <t xml:space="preserve">Mazda</t>
        </is>
      </c>
      <c r="G9185" s="0" t="s">
        <v>171</v>
      </c>
      <c r="H9185" s="5">
        <v>9152.619600</v>
      </c>
    </row>
    <row r="9186" spans="1:9">
      <c r="A9186" s="22" t="str">
        <f>HYPERLINK("https://app.vivvix.com/360/KMI/IntelliDrive/ApplUI/Pages/CreativePages/CustomReportCreativeDetail.aspx?App=23&amp;ReportView=4&amp;Qid=1711279&amp;Row=9178&amp;Col=1","No Title Assigned - #15270976863")</f>
        <v/>
      </c>
      <c r="B9186" s="0" t="s">
        <v>12308</v>
      </c>
      <c r="E9186" s="0" t="inlineStr">
        <is>
          <t xml:space="preserve">Mazda</t>
        </is>
      </c>
      <c r="F9186" s="0" t="inlineStr">
        <is>
          <t xml:space="preserve">Mazda</t>
        </is>
      </c>
      <c r="G9186" s="0" t="s">
        <v>171</v>
      </c>
      <c r="H9186" s="5">
        <v>1595.690300</v>
      </c>
    </row>
    <row r="9187" spans="1:9">
      <c r="A9187" s="22" t="str">
        <f>HYPERLINK("https://app.vivvix.com/360/KMI/IntelliDrive/ApplUI/Pages/CreativePages/CustomReportCreativeDetail.aspx?App=23&amp;ReportView=4&amp;Qid=1711279&amp;Row=9179&amp;Col=1","No Title Assigned - #15270987415")</f>
        <v/>
      </c>
      <c r="B9187" s="0" t="s">
        <v>12309</v>
      </c>
      <c r="E9187" s="0" t="inlineStr">
        <is>
          <t xml:space="preserve">Mazda</t>
        </is>
      </c>
      <c r="F9187" s="0" t="inlineStr">
        <is>
          <t xml:space="preserve">Mazda</t>
        </is>
      </c>
      <c r="G9187" s="0" t="s">
        <v>171</v>
      </c>
      <c r="H9187" s="5">
        <v>506.937200</v>
      </c>
    </row>
    <row r="9188" spans="1:9">
      <c r="A9188" s="22" t="str">
        <f>HYPERLINK("https://app.vivvix.com/360/KMI/IntelliDrive/ApplUI/Pages/CreativePages/CustomReportCreativeDetail.aspx?App=23&amp;ReportView=4&amp;Qid=1711279&amp;Row=9180&amp;Col=1","No Title Assigned - #15270988881")</f>
        <v/>
      </c>
      <c r="B9188" s="0" t="s">
        <v>12310</v>
      </c>
      <c r="E9188" s="0" t="inlineStr">
        <is>
          <t xml:space="preserve">Mazda</t>
        </is>
      </c>
      <c r="F9188" s="0" t="inlineStr">
        <is>
          <t xml:space="preserve">Mazda</t>
        </is>
      </c>
      <c r="G9188" s="0" t="s">
        <v>171</v>
      </c>
      <c r="H9188" s="5">
        <v>109.448700</v>
      </c>
    </row>
    <row r="9189" spans="1:9">
      <c r="A9189" s="22" t="str">
        <f>HYPERLINK("https://app.vivvix.com/360/KMI/IntelliDrive/ApplUI/Pages/CreativePages/CustomReportCreativeDetail.aspx?App=23&amp;ReportView=4&amp;Qid=1711279&amp;Row=9181&amp;Col=1","No Title Assigned - #15270998612")</f>
        <v/>
      </c>
      <c r="B9189" s="0" t="s">
        <v>12311</v>
      </c>
      <c r="E9189" s="0" t="inlineStr">
        <is>
          <t xml:space="preserve">Mazda</t>
        </is>
      </c>
      <c r="F9189" s="0" t="inlineStr">
        <is>
          <t xml:space="preserve">Mazda</t>
        </is>
      </c>
      <c r="G9189" s="0" t="s">
        <v>171</v>
      </c>
      <c r="H9189" s="5">
        <v>23.365400</v>
      </c>
    </row>
    <row r="9190" spans="1:9">
      <c r="A9190" s="22" t="str">
        <f>HYPERLINK("https://app.vivvix.com/360/KMI/IntelliDrive/ApplUI/Pages/CreativePages/CustomReportCreativeDetail.aspx?App=23&amp;ReportView=4&amp;Qid=1711279&amp;Row=9182&amp;Col=1","No Title Assigned - #15271003243")</f>
        <v/>
      </c>
      <c r="B9190" s="0" t="s">
        <v>12312</v>
      </c>
      <c r="E9190" s="0" t="inlineStr">
        <is>
          <t xml:space="preserve">Mazda</t>
        </is>
      </c>
      <c r="F9190" s="0" t="inlineStr">
        <is>
          <t xml:space="preserve">Mazda</t>
        </is>
      </c>
      <c r="G9190" s="0" t="s">
        <v>171</v>
      </c>
      <c r="H9190" s="5">
        <v>18.451200</v>
      </c>
    </row>
    <row r="9191" spans="1:9">
      <c r="A9191" s="22" t="str">
        <f>HYPERLINK("https://app.vivvix.com/360/KMI/IntelliDrive/ApplUI/Pages/CreativePages/CustomReportCreativeDetail.aspx?App=23&amp;ReportView=4&amp;Qid=1711279&amp;Row=9183&amp;Col=1","No Title Assigned - #15271003967")</f>
        <v/>
      </c>
      <c r="B9191" s="0" t="s">
        <v>12313</v>
      </c>
      <c r="E9191" s="0" t="inlineStr">
        <is>
          <t xml:space="preserve">Mazda</t>
        </is>
      </c>
      <c r="F9191" s="0" t="inlineStr">
        <is>
          <t xml:space="preserve">Mazda</t>
        </is>
      </c>
      <c r="G9191" s="0" t="s">
        <v>171</v>
      </c>
      <c r="H9191" s="5">
        <v>12.067100</v>
      </c>
    </row>
    <row r="9192" spans="1:9">
      <c r="A9192" s="22" t="str">
        <f>HYPERLINK("https://app.vivvix.com/360/KMI/IntelliDrive/ApplUI/Pages/CreativePages/CustomReportCreativeDetail.aspx?App=23&amp;ReportView=4&amp;Qid=1711279&amp;Row=9184&amp;Col=1","No Title Assigned - #15271010163")</f>
        <v/>
      </c>
      <c r="B9192" s="0" t="s">
        <v>12314</v>
      </c>
      <c r="C9192" s="0" t="s">
        <v>12315</v>
      </c>
      <c r="D9192" s="0" t="s">
        <v>12315</v>
      </c>
      <c r="E9192" s="0" t="inlineStr">
        <is>
          <t xml:space="preserve">Mazda</t>
        </is>
      </c>
      <c r="F9192" s="0" t="s">
        <v>28</v>
      </c>
      <c r="G9192" s="0" t="s">
        <v>29</v>
      </c>
      <c r="H9192" s="5">
        <v>12.942800</v>
      </c>
    </row>
    <row r="9193" spans="1:9">
      <c r="A9193" s="22" t="str">
        <f>HYPERLINK("https://app.vivvix.com/360/KMI/IntelliDrive/ApplUI/Pages/CreativePages/CustomReportCreativeDetail.aspx?App=23&amp;ReportView=4&amp;Qid=1711279&amp;Row=9185&amp;Col=1","No Title Assigned - #15271011102")</f>
        <v/>
      </c>
      <c r="B9193" s="0" t="s">
        <v>12316</v>
      </c>
      <c r="C9193" s="0" t="s">
        <v>12317</v>
      </c>
      <c r="D9193" s="0" t="s">
        <v>12317</v>
      </c>
      <c r="E9193" s="0" t="inlineStr">
        <is>
          <t xml:space="preserve">Mazda</t>
        </is>
      </c>
      <c r="F9193" s="0" t="s">
        <v>28</v>
      </c>
      <c r="G9193" s="0" t="s">
        <v>29</v>
      </c>
      <c r="H9193" s="5">
        <v>148.761700</v>
      </c>
    </row>
    <row r="9194" spans="1:9">
      <c r="A9194" s="22" t="str">
        <f>HYPERLINK("https://app.vivvix.com/360/KMI/IntelliDrive/ApplUI/Pages/CreativePages/CustomReportCreativeDetail.aspx?App=23&amp;ReportView=4&amp;Qid=1711279&amp;Row=9186&amp;Col=1","No Title Assigned - #15271012092")</f>
        <v/>
      </c>
      <c r="B9194" s="0" t="s">
        <v>12318</v>
      </c>
      <c r="C9194" s="0" t="s">
        <v>12319</v>
      </c>
      <c r="D9194" s="0" t="s">
        <v>12319</v>
      </c>
      <c r="E9194" s="0" t="inlineStr">
        <is>
          <t xml:space="preserve">Mazda</t>
        </is>
      </c>
      <c r="F9194" s="0" t="s">
        <v>666</v>
      </c>
      <c r="G9194" s="0" t="s">
        <v>3673</v>
      </c>
    </row>
    <row r="9195" spans="1:9">
      <c r="A9195" s="22" t="str">
        <f>HYPERLINK("https://app.vivvix.com/360/KMI/IntelliDrive/ApplUI/Pages/CreativePages/CustomReportCreativeDetail.aspx?App=23&amp;ReportView=4&amp;Qid=1711279&amp;Row=9187&amp;Col=1","No Title Assigned - #15271012265")</f>
        <v/>
      </c>
      <c r="B9195" s="0" t="s">
        <v>12320</v>
      </c>
      <c r="C9195" s="0" t="s">
        <v>12321</v>
      </c>
      <c r="D9195" s="0" t="s">
        <v>4244</v>
      </c>
      <c r="E9195" s="0" t="inlineStr">
        <is>
          <t xml:space="preserve">Mazda</t>
        </is>
      </c>
      <c r="F9195" s="0" t="s">
        <v>666</v>
      </c>
      <c r="G9195" s="0" t="s">
        <v>667</v>
      </c>
      <c r="H9195" s="5">
        <v>22.429500</v>
      </c>
    </row>
    <row r="9196" spans="1:9">
      <c r="A9196" s="22" t="str">
        <f>HYPERLINK("https://app.vivvix.com/360/KMI/IntelliDrive/ApplUI/Pages/CreativePages/CustomReportCreativeDetail.aspx?App=23&amp;ReportView=4&amp;Qid=1711279&amp;Row=9188&amp;Col=1","No Title Assigned - #15271012359")</f>
        <v/>
      </c>
      <c r="B9196" s="0" t="s">
        <v>12322</v>
      </c>
      <c r="C9196" s="0" t="s">
        <v>12323</v>
      </c>
      <c r="D9196" s="0" t="s">
        <v>12323</v>
      </c>
      <c r="E9196" s="0" t="inlineStr">
        <is>
          <t xml:space="preserve">Mazda</t>
        </is>
      </c>
      <c r="F9196" s="0" t="s">
        <v>28</v>
      </c>
      <c r="G9196" s="0" t="s">
        <v>29</v>
      </c>
      <c r="H9196" s="5">
        <v>239.196000</v>
      </c>
    </row>
    <row r="9197" spans="1:9">
      <c r="A9197" s="22" t="str">
        <f>HYPERLINK("https://app.vivvix.com/360/KMI/IntelliDrive/ApplUI/Pages/CreativePages/CustomReportCreativeDetail.aspx?App=23&amp;ReportView=4&amp;Qid=1711279&amp;Row=9189&amp;Col=1","No Title Assigned - #15271013798")</f>
        <v/>
      </c>
      <c r="B9197" s="0" t="s">
        <v>12324</v>
      </c>
      <c r="C9197" s="0" t="s">
        <v>12325</v>
      </c>
      <c r="D9197" s="0" t="s">
        <v>12325</v>
      </c>
      <c r="E9197" s="0" t="inlineStr">
        <is>
          <t xml:space="preserve">Mazda</t>
        </is>
      </c>
      <c r="F9197" s="0" t="s">
        <v>28</v>
      </c>
      <c r="G9197" s="0" t="s">
        <v>29</v>
      </c>
      <c r="H9197" s="5">
        <v>1.289700</v>
      </c>
    </row>
    <row r="9198" spans="1:9">
      <c r="A9198" s="22" t="str">
        <f>HYPERLINK("https://app.vivvix.com/360/KMI/IntelliDrive/ApplUI/Pages/CreativePages/CustomReportCreativeDetail.aspx?App=23&amp;ReportView=4&amp;Qid=1711279&amp;Row=9190&amp;Col=1","No Title Assigned - #15271014225")</f>
        <v/>
      </c>
      <c r="B9198" s="0" t="s">
        <v>12326</v>
      </c>
      <c r="C9198" s="0" t="s">
        <v>12327</v>
      </c>
      <c r="D9198" s="0" t="s">
        <v>12327</v>
      </c>
      <c r="E9198" s="0" t="inlineStr">
        <is>
          <t xml:space="preserve">Mazda</t>
        </is>
      </c>
      <c r="F9198" s="0" t="s">
        <v>28</v>
      </c>
      <c r="G9198" s="0" t="s">
        <v>29</v>
      </c>
      <c r="H9198" s="5">
        <v>5510.598000</v>
      </c>
    </row>
    <row r="9199" spans="1:9">
      <c r="A9199" s="22" t="str">
        <f>HYPERLINK("https://app.vivvix.com/360/KMI/IntelliDrive/ApplUI/Pages/CreativePages/CustomReportCreativeDetail.aspx?App=23&amp;ReportView=4&amp;Qid=1711279&amp;Row=9191&amp;Col=1","No Title Assigned - #15271014836")</f>
        <v/>
      </c>
      <c r="B9199" s="0" t="s">
        <v>12328</v>
      </c>
      <c r="E9199" s="0" t="inlineStr">
        <is>
          <t xml:space="preserve">Mazda</t>
        </is>
      </c>
      <c r="F9199" s="0" t="s">
        <v>28</v>
      </c>
      <c r="G9199" s="0" t="s">
        <v>29</v>
      </c>
      <c r="H9199" s="5">
        <v>21.700500</v>
      </c>
    </row>
    <row r="9200" spans="1:9">
      <c r="A9200" s="22" t="str">
        <f>HYPERLINK("https://app.vivvix.com/360/KMI/IntelliDrive/ApplUI/Pages/CreativePages/CustomReportCreativeDetail.aspx?App=23&amp;ReportView=4&amp;Qid=1711279&amp;Row=9192&amp;Col=1","No Title Assigned - #15271015078")</f>
        <v/>
      </c>
      <c r="B9200" s="0" t="s">
        <v>12329</v>
      </c>
      <c r="E9200" s="0" t="inlineStr">
        <is>
          <t xml:space="preserve">Mazda</t>
        </is>
      </c>
      <c r="F9200" s="0" t="inlineStr">
        <is>
          <t xml:space="preserve">Mazda</t>
        </is>
      </c>
      <c r="G9200" s="0" t="s">
        <v>171</v>
      </c>
      <c r="H9200" s="5">
        <v>3.478100</v>
      </c>
    </row>
    <row r="9201" spans="1:9">
      <c r="A9201" s="22" t="str">
        <f>HYPERLINK("https://app.vivvix.com/360/KMI/IntelliDrive/ApplUI/Pages/CreativePages/CustomReportCreativeDetail.aspx?App=23&amp;ReportView=4&amp;Qid=1711279&amp;Row=9193&amp;Col=1","No Title Assigned - #15271016157")</f>
        <v/>
      </c>
      <c r="B9201" s="0" t="s">
        <v>12330</v>
      </c>
      <c r="E9201" s="0" t="inlineStr">
        <is>
          <t xml:space="preserve">Mazda</t>
        </is>
      </c>
      <c r="F9201" s="0" t="inlineStr">
        <is>
          <t xml:space="preserve">Mazda</t>
        </is>
      </c>
      <c r="G9201" s="0" t="s">
        <v>171</v>
      </c>
      <c r="H9201" s="5">
        <v>967.911600</v>
      </c>
    </row>
    <row r="9202" spans="1:9">
      <c r="A9202" s="22" t="str">
        <f>HYPERLINK("https://app.vivvix.com/360/KMI/IntelliDrive/ApplUI/Pages/CreativePages/CustomReportCreativeDetail.aspx?App=23&amp;ReportView=4&amp;Qid=1711279&amp;Row=9194&amp;Col=1","No Title Assigned - #15271016187")</f>
        <v/>
      </c>
      <c r="B9202" s="0" t="s">
        <v>12331</v>
      </c>
      <c r="C9202" s="0" t="s">
        <v>12332</v>
      </c>
      <c r="D9202" s="0" t="s">
        <v>12332</v>
      </c>
      <c r="E9202" s="0" t="inlineStr">
        <is>
          <t xml:space="preserve">Mazda</t>
        </is>
      </c>
      <c r="F9202" s="0" t="s">
        <v>28</v>
      </c>
      <c r="G9202" s="0" t="s">
        <v>29</v>
      </c>
      <c r="H9202" s="5">
        <v>1009.844900</v>
      </c>
    </row>
    <row r="9203" spans="1:9">
      <c r="A9203" s="22" t="str">
        <f>HYPERLINK("https://app.vivvix.com/360/KMI/IntelliDrive/ApplUI/Pages/CreativePages/CustomReportCreativeDetail.aspx?App=23&amp;ReportView=4&amp;Qid=1711279&amp;Row=9195&amp;Col=1","No Title Assigned - #15271016476")</f>
        <v/>
      </c>
      <c r="B9203" s="0" t="s">
        <v>12333</v>
      </c>
      <c r="C9203" s="0" t="s">
        <v>12334</v>
      </c>
      <c r="D9203" s="0" t="s">
        <v>12334</v>
      </c>
      <c r="E9203" s="0" t="inlineStr">
        <is>
          <t xml:space="preserve">Mazda</t>
        </is>
      </c>
      <c r="F9203" s="0" t="s">
        <v>13</v>
      </c>
      <c r="G9203" s="0" t="s">
        <v>49</v>
      </c>
      <c r="H9203" s="5">
        <v>2923.742300</v>
      </c>
    </row>
    <row r="9204" spans="1:9">
      <c r="A9204" s="22" t="str">
        <f>HYPERLINK("https://app.vivvix.com/360/KMI/IntelliDrive/ApplUI/Pages/CreativePages/CustomReportCreativeDetail.aspx?App=23&amp;ReportView=4&amp;Qid=1711279&amp;Row=9196&amp;Col=1","No Title Assigned - #15271017750")</f>
        <v/>
      </c>
      <c r="B9204" s="0" t="s">
        <v>12335</v>
      </c>
      <c r="E9204" s="0" t="inlineStr">
        <is>
          <t xml:space="preserve">Mazda</t>
        </is>
      </c>
      <c r="F9204" s="0" t="inlineStr">
        <is>
          <t xml:space="preserve">Mazda</t>
        </is>
      </c>
      <c r="G9204" s="0" t="s">
        <v>171</v>
      </c>
      <c r="H9204" s="5">
        <v>24.869100</v>
      </c>
    </row>
    <row r="9205" spans="1:9">
      <c r="A9205" s="22" t="str">
        <f>HYPERLINK("https://app.vivvix.com/360/KMI/IntelliDrive/ApplUI/Pages/CreativePages/CustomReportCreativeDetail.aspx?App=23&amp;ReportView=4&amp;Qid=1711279&amp;Row=9197&amp;Col=1","No Title Assigned - #15271017847")</f>
        <v/>
      </c>
      <c r="B9205" s="0" t="s">
        <v>12336</v>
      </c>
      <c r="C9205" s="0" t="s">
        <v>12337</v>
      </c>
      <c r="D9205" s="0" t="s">
        <v>9733</v>
      </c>
      <c r="E9205" s="0" t="inlineStr">
        <is>
          <t xml:space="preserve">Mazda</t>
        </is>
      </c>
      <c r="F9205" s="0" t="s">
        <v>28</v>
      </c>
      <c r="G9205" s="0" t="s">
        <v>29</v>
      </c>
      <c r="H9205" s="5">
        <v>3.242200</v>
      </c>
    </row>
    <row r="9206" spans="1:9">
      <c r="A9206" s="22" t="str">
        <f>HYPERLINK("https://app.vivvix.com/360/KMI/IntelliDrive/ApplUI/Pages/CreativePages/CustomReportCreativeDetail.aspx?App=23&amp;ReportView=4&amp;Qid=1711279&amp;Row=9198&amp;Col=1","No Title Assigned - #15271017848")</f>
        <v/>
      </c>
      <c r="B9206" s="0" t="s">
        <v>12338</v>
      </c>
      <c r="C9206" s="0" t="s">
        <v>12339</v>
      </c>
      <c r="D9206" s="0" t="s">
        <v>7472</v>
      </c>
      <c r="E9206" s="0" t="inlineStr">
        <is>
          <t xml:space="preserve">Mazda</t>
        </is>
      </c>
      <c r="F9206" s="0" t="s">
        <v>28</v>
      </c>
      <c r="G9206" s="0" t="s">
        <v>29</v>
      </c>
      <c r="H9206" s="5">
        <v>3.242200</v>
      </c>
    </row>
    <row r="9207" spans="1:9">
      <c r="A9207" s="22" t="str">
        <f>HYPERLINK("https://app.vivvix.com/360/KMI/IntelliDrive/ApplUI/Pages/CreativePages/CustomReportCreativeDetail.aspx?App=23&amp;ReportView=4&amp;Qid=1711279&amp;Row=9199&amp;Col=1","No Title Assigned - #15271018591")</f>
        <v/>
      </c>
      <c r="B9207" s="0" t="s">
        <v>12340</v>
      </c>
      <c r="C9207" s="0" t="s">
        <v>12341</v>
      </c>
      <c r="D9207" s="0" t="s">
        <v>9733</v>
      </c>
      <c r="E9207" s="0" t="inlineStr">
        <is>
          <t xml:space="preserve">Mazda</t>
        </is>
      </c>
      <c r="F9207" s="0" t="s">
        <v>28</v>
      </c>
      <c r="G9207" s="0" t="s">
        <v>29</v>
      </c>
      <c r="H9207" s="5">
        <v>31.033500</v>
      </c>
    </row>
    <row r="9208" spans="1:9">
      <c r="A9208" s="22" t="str">
        <f>HYPERLINK("https://app.vivvix.com/360/KMI/IntelliDrive/ApplUI/Pages/CreativePages/CustomReportCreativeDetail.aspx?App=23&amp;ReportView=4&amp;Qid=1711279&amp;Row=9200&amp;Col=1","No Title Assigned - #15271020625")</f>
        <v/>
      </c>
      <c r="B9208" s="0" t="s">
        <v>12342</v>
      </c>
      <c r="C9208" s="0" t="s">
        <v>12343</v>
      </c>
      <c r="D9208" s="0" t="s">
        <v>12343</v>
      </c>
      <c r="E9208" s="0" t="inlineStr">
        <is>
          <t xml:space="preserve">Mazda</t>
        </is>
      </c>
      <c r="F9208" s="0" t="s">
        <v>28</v>
      </c>
      <c r="G9208" s="0" t="s">
        <v>29</v>
      </c>
      <c r="H9208" s="5">
        <v>12.740200</v>
      </c>
    </row>
    <row r="9209" spans="1:9">
      <c r="A9209" s="22" t="str">
        <f>HYPERLINK("https://app.vivvix.com/360/KMI/IntelliDrive/ApplUI/Pages/CreativePages/CustomReportCreativeDetail.aspx?App=23&amp;ReportView=4&amp;Qid=1711279&amp;Row=9201&amp;Col=1","No Title Assigned - #15271020903")</f>
        <v/>
      </c>
      <c r="B9209" s="0" t="s">
        <v>12344</v>
      </c>
      <c r="C9209" s="0" t="s">
        <v>12345</v>
      </c>
      <c r="D9209" s="0" t="s">
        <v>4200</v>
      </c>
      <c r="E9209" s="0" t="inlineStr">
        <is>
          <t xml:space="preserve">Mazda</t>
        </is>
      </c>
      <c r="F9209" s="0" t="s">
        <v>28</v>
      </c>
      <c r="G9209" s="0" t="s">
        <v>29</v>
      </c>
      <c r="H9209" s="5">
        <v>31.817500</v>
      </c>
    </row>
    <row r="9210" spans="1:9">
      <c r="A9210" s="22" t="str">
        <f>HYPERLINK("https://app.vivvix.com/360/KMI/IntelliDrive/ApplUI/Pages/CreativePages/CustomReportCreativeDetail.aspx?App=23&amp;ReportView=4&amp;Qid=1711279&amp;Row=9202&amp;Col=1","No Title Assigned - #15271021299")</f>
        <v/>
      </c>
      <c r="B9210" s="0" t="s">
        <v>12346</v>
      </c>
      <c r="C9210" s="0" t="s">
        <v>12347</v>
      </c>
      <c r="D9210" s="0" t="s">
        <v>9962</v>
      </c>
      <c r="E9210" s="0" t="inlineStr">
        <is>
          <t xml:space="preserve">Mazda</t>
        </is>
      </c>
      <c r="F9210" s="0" t="s">
        <v>13</v>
      </c>
      <c r="G9210" s="0" t="s">
        <v>49</v>
      </c>
      <c r="H9210" s="5">
        <v>36.597000</v>
      </c>
    </row>
    <row r="9211" spans="1:9">
      <c r="A9211" s="22" t="str">
        <f>HYPERLINK("https://app.vivvix.com/360/KMI/IntelliDrive/ApplUI/Pages/CreativePages/CustomReportCreativeDetail.aspx?App=23&amp;ReportView=4&amp;Qid=1711279&amp;Row=9203&amp;Col=1","No Title Assigned - #15271022739")</f>
        <v/>
      </c>
      <c r="B9211" s="0" t="s">
        <v>12348</v>
      </c>
      <c r="E9211" s="0" t="inlineStr">
        <is>
          <t xml:space="preserve">Mazda</t>
        </is>
      </c>
      <c r="F9211" s="0" t="s">
        <v>28</v>
      </c>
      <c r="G9211" s="0" t="s">
        <v>29</v>
      </c>
      <c r="H9211" s="5">
        <v>10.410900</v>
      </c>
    </row>
    <row r="9212" spans="1:9">
      <c r="A9212" s="22" t="str">
        <f>HYPERLINK("https://app.vivvix.com/360/KMI/IntelliDrive/ApplUI/Pages/CreativePages/CustomReportCreativeDetail.aspx?App=23&amp;ReportView=4&amp;Qid=1711279&amp;Row=9204&amp;Col=1","No Title Assigned - #15271024795")</f>
        <v/>
      </c>
      <c r="B9212" s="0" t="s">
        <v>12349</v>
      </c>
      <c r="E9212" s="0" t="inlineStr">
        <is>
          <t xml:space="preserve">Mazda</t>
        </is>
      </c>
      <c r="F9212" s="0" t="inlineStr">
        <is>
          <t xml:space="preserve">Mazda</t>
        </is>
      </c>
      <c r="G9212" s="0" t="s">
        <v>171</v>
      </c>
      <c r="H9212" s="5">
        <v>316.744100</v>
      </c>
    </row>
    <row r="9213" spans="1:9">
      <c r="A9213" s="22" t="str">
        <f>HYPERLINK("https://app.vivvix.com/360/KMI/IntelliDrive/ApplUI/Pages/CreativePages/CustomReportCreativeDetail.aspx?App=23&amp;ReportView=4&amp;Qid=1711279&amp;Row=9205&amp;Col=1","No Title Assigned - #15271025431")</f>
        <v/>
      </c>
      <c r="B9213" s="0" t="s">
        <v>12350</v>
      </c>
      <c r="E9213" s="0" t="inlineStr">
        <is>
          <t xml:space="preserve">Mazda</t>
        </is>
      </c>
      <c r="F9213" s="0" t="s">
        <v>28</v>
      </c>
      <c r="G9213" s="0" t="s">
        <v>29</v>
      </c>
      <c r="H9213" s="5">
        <v>25.158600</v>
      </c>
    </row>
    <row r="9214" spans="1:9">
      <c r="A9214" s="22" t="str">
        <f>HYPERLINK("https://app.vivvix.com/360/KMI/IntelliDrive/ApplUI/Pages/CreativePages/CustomReportCreativeDetail.aspx?App=23&amp;ReportView=4&amp;Qid=1711279&amp;Row=9206&amp;Col=1","No Title Assigned - #15271025827")</f>
        <v/>
      </c>
      <c r="B9214" s="0" t="s">
        <v>12351</v>
      </c>
      <c r="C9214" s="0" t="s">
        <v>12352</v>
      </c>
      <c r="D9214" s="0" t="s">
        <v>4774</v>
      </c>
      <c r="E9214" s="0" t="inlineStr">
        <is>
          <t xml:space="preserve">Mazda</t>
        </is>
      </c>
      <c r="F9214" s="0" t="s">
        <v>13</v>
      </c>
      <c r="G9214" s="0" t="s">
        <v>49</v>
      </c>
      <c r="H9214" s="5">
        <v>873.386100</v>
      </c>
    </row>
    <row r="9215" spans="1:9">
      <c r="A9215" s="22" t="str">
        <f>HYPERLINK("https://app.vivvix.com/360/KMI/IntelliDrive/ApplUI/Pages/CreativePages/CustomReportCreativeDetail.aspx?App=23&amp;ReportView=4&amp;Qid=1711279&amp;Row=9207&amp;Col=1","No Title Assigned - #15271025907")</f>
        <v/>
      </c>
      <c r="B9215" s="0" t="s">
        <v>12353</v>
      </c>
      <c r="C9215" s="0" t="s">
        <v>12354</v>
      </c>
      <c r="D9215" s="0" t="s">
        <v>12354</v>
      </c>
      <c r="E9215" s="0" t="inlineStr">
        <is>
          <t xml:space="preserve">Mazda</t>
        </is>
      </c>
      <c r="F9215" s="0" t="s">
        <v>28</v>
      </c>
      <c r="G9215" s="0" t="s">
        <v>29</v>
      </c>
      <c r="H9215" s="5">
        <v>194.354600</v>
      </c>
    </row>
    <row r="9216" spans="1:9">
      <c r="A9216" s="22" t="str">
        <f>HYPERLINK("https://app.vivvix.com/360/KMI/IntelliDrive/ApplUI/Pages/CreativePages/CustomReportCreativeDetail.aspx?App=23&amp;ReportView=4&amp;Qid=1711279&amp;Row=9208&amp;Col=1","No Title Assigned - #15271030416")</f>
        <v/>
      </c>
      <c r="B9216" s="0" t="s">
        <v>12355</v>
      </c>
      <c r="C9216" s="0" t="s">
        <v>12356</v>
      </c>
      <c r="D9216" s="0" t="s">
        <v>8986</v>
      </c>
      <c r="E9216" s="0" t="inlineStr">
        <is>
          <t xml:space="preserve">Mazda</t>
        </is>
      </c>
      <c r="F9216" s="0" t="s">
        <v>28</v>
      </c>
      <c r="G9216" s="0" t="s">
        <v>29</v>
      </c>
      <c r="H9216" s="5">
        <v>2217.037600</v>
      </c>
    </row>
    <row r="9217" spans="1:9">
      <c r="A9217" s="22" t="str">
        <f>HYPERLINK("https://app.vivvix.com/360/KMI/IntelliDrive/ApplUI/Pages/CreativePages/CustomReportCreativeDetail.aspx?App=23&amp;ReportView=4&amp;Qid=1711279&amp;Row=9209&amp;Col=1","No Title Assigned - #15271031085")</f>
        <v/>
      </c>
      <c r="B9217" s="0" t="s">
        <v>12357</v>
      </c>
      <c r="C9217" s="0" t="s">
        <v>12358</v>
      </c>
      <c r="D9217" s="0" t="s">
        <v>4202</v>
      </c>
      <c r="E9217" s="0" t="inlineStr">
        <is>
          <t xml:space="preserve">Mazda</t>
        </is>
      </c>
      <c r="F9217" s="0" t="s">
        <v>28</v>
      </c>
      <c r="G9217" s="0" t="s">
        <v>29</v>
      </c>
      <c r="H9217" s="5">
        <v>455.614900</v>
      </c>
    </row>
    <row r="9218" spans="1:9">
      <c r="A9218" s="22" t="str">
        <f>HYPERLINK("https://app.vivvix.com/360/KMI/IntelliDrive/ApplUI/Pages/CreativePages/CustomReportCreativeDetail.aspx?App=23&amp;ReportView=4&amp;Qid=1711279&amp;Row=9210&amp;Col=1","No Title Assigned - #15271031913")</f>
        <v/>
      </c>
      <c r="B9218" s="0" t="s">
        <v>12359</v>
      </c>
      <c r="C9218" s="0" t="s">
        <v>12360</v>
      </c>
      <c r="D9218" s="0" t="s">
        <v>12360</v>
      </c>
      <c r="E9218" s="0" t="inlineStr">
        <is>
          <t xml:space="preserve">Mazda</t>
        </is>
      </c>
      <c r="F9218" s="0" t="inlineStr">
        <is>
          <t xml:space="preserve">Mazda</t>
        </is>
      </c>
      <c r="G9218" s="0" t="s">
        <v>171</v>
      </c>
      <c r="H9218" s="5">
        <v>96.765100</v>
      </c>
    </row>
    <row r="9219" spans="1:9">
      <c r="A9219" s="22" t="str">
        <f>HYPERLINK("https://app.vivvix.com/360/KMI/IntelliDrive/ApplUI/Pages/CreativePages/CustomReportCreativeDetail.aspx?App=23&amp;ReportView=4&amp;Qid=1711279&amp;Row=9211&amp;Col=1","No Title Assigned - #15271033195")</f>
        <v/>
      </c>
      <c r="B9219" s="0" t="s">
        <v>12361</v>
      </c>
      <c r="C9219" s="0" t="s">
        <v>12362</v>
      </c>
      <c r="D9219" s="0" t="s">
        <v>4200</v>
      </c>
      <c r="E9219" s="0" t="inlineStr">
        <is>
          <t xml:space="preserve">Mazda</t>
        </is>
      </c>
      <c r="F9219" s="0" t="s">
        <v>28</v>
      </c>
      <c r="G9219" s="0" t="s">
        <v>29</v>
      </c>
      <c r="H9219" s="5">
        <v>344.586000</v>
      </c>
    </row>
    <row r="9220" spans="1:9">
      <c r="A9220" s="22" t="str">
        <f>HYPERLINK("https://app.vivvix.com/360/KMI/IntelliDrive/ApplUI/Pages/CreativePages/CustomReportCreativeDetail.aspx?App=23&amp;ReportView=4&amp;Qid=1711279&amp;Row=9212&amp;Col=1","No Title Assigned - #15271033375")</f>
        <v/>
      </c>
      <c r="B9220" s="0" t="s">
        <v>12363</v>
      </c>
      <c r="C9220" s="0" t="s">
        <v>12364</v>
      </c>
      <c r="D9220" s="0" t="s">
        <v>12364</v>
      </c>
      <c r="E9220" s="0" t="inlineStr">
        <is>
          <t xml:space="preserve">Mazda</t>
        </is>
      </c>
      <c r="F9220" s="0" t="s">
        <v>28</v>
      </c>
      <c r="G9220" s="0" t="s">
        <v>29</v>
      </c>
      <c r="H9220" s="5">
        <v>1009.844900</v>
      </c>
    </row>
    <row r="9221" spans="1:9">
      <c r="A9221" s="22" t="str">
        <f>HYPERLINK("https://app.vivvix.com/360/KMI/IntelliDrive/ApplUI/Pages/CreativePages/CustomReportCreativeDetail.aspx?App=23&amp;ReportView=4&amp;Qid=1711279&amp;Row=9213&amp;Col=1","No Title Assigned - #15271034144")</f>
        <v/>
      </c>
      <c r="B9221" s="0" t="s">
        <v>12365</v>
      </c>
      <c r="E9221" s="0" t="inlineStr">
        <is>
          <t xml:space="preserve">Mazda</t>
        </is>
      </c>
      <c r="F9221" s="0" t="inlineStr">
        <is>
          <t xml:space="preserve">Mazda</t>
        </is>
      </c>
      <c r="G9221" s="0" t="s">
        <v>171</v>
      </c>
      <c r="H9221" s="5">
        <v>2.964800</v>
      </c>
    </row>
    <row r="9222" spans="1:9">
      <c r="A9222" s="22" t="str">
        <f>HYPERLINK("https://app.vivvix.com/360/KMI/IntelliDrive/ApplUI/Pages/CreativePages/CustomReportCreativeDetail.aspx?App=23&amp;ReportView=4&amp;Qid=1711279&amp;Row=9214&amp;Col=1","No Title Assigned - #15271035273")</f>
        <v/>
      </c>
      <c r="B9222" s="0" t="s">
        <v>12366</v>
      </c>
      <c r="C9222" s="0" t="s">
        <v>12367</v>
      </c>
      <c r="D9222" s="0" t="s">
        <v>12367</v>
      </c>
      <c r="E9222" s="0" t="inlineStr">
        <is>
          <t xml:space="preserve">Mazda</t>
        </is>
      </c>
      <c r="F9222" s="0" t="s">
        <v>13</v>
      </c>
      <c r="G9222" s="0" t="s">
        <v>49</v>
      </c>
      <c r="H9222" s="5">
        <v>78518.633700</v>
      </c>
    </row>
    <row r="9223" spans="1:9">
      <c r="A9223" s="22" t="str">
        <f>HYPERLINK("https://app.vivvix.com/360/KMI/IntelliDrive/ApplUI/Pages/CreativePages/CustomReportCreativeDetail.aspx?App=23&amp;ReportView=4&amp;Qid=1711279&amp;Row=9215&amp;Col=1","No Title Assigned - #15271035273")</f>
        <v/>
      </c>
      <c r="B9223" s="0" t="s">
        <v>12366</v>
      </c>
      <c r="E9223" s="0" t="inlineStr">
        <is>
          <t xml:space="preserve">Mazda</t>
        </is>
      </c>
      <c r="F9223" s="0" t="s">
        <v>13</v>
      </c>
      <c r="G9223" s="0" t="s">
        <v>49</v>
      </c>
      <c r="H9223" s="5">
        <v>14741.576400</v>
      </c>
    </row>
    <row r="9224" spans="1:9">
      <c r="A9224" s="22" t="str">
        <f>HYPERLINK("https://app.vivvix.com/360/KMI/IntelliDrive/ApplUI/Pages/CreativePages/CustomReportCreativeDetail.aspx?App=23&amp;ReportView=4&amp;Qid=1711279&amp;Row=9216&amp;Col=1","No Title Assigned - #15271035441")</f>
        <v/>
      </c>
      <c r="B9224" s="0" t="s">
        <v>12368</v>
      </c>
      <c r="C9224" s="0" t="s">
        <v>12369</v>
      </c>
      <c r="D9224" s="0" t="s">
        <v>4407</v>
      </c>
      <c r="E9224" s="0" t="inlineStr">
        <is>
          <t xml:space="preserve">Mazda</t>
        </is>
      </c>
      <c r="F9224" s="0" t="s">
        <v>28</v>
      </c>
      <c r="G9224" s="0" t="s">
        <v>29</v>
      </c>
      <c r="H9224" s="5">
        <v>3.322600</v>
      </c>
    </row>
    <row r="9225" spans="1:9">
      <c r="A9225" s="22" t="str">
        <f>HYPERLINK("https://app.vivvix.com/360/KMI/IntelliDrive/ApplUI/Pages/CreativePages/CustomReportCreativeDetail.aspx?App=23&amp;ReportView=4&amp;Qid=1711279&amp;Row=9217&amp;Col=1","No Title Assigned - #15271035622")</f>
        <v/>
      </c>
      <c r="B9225" s="0" t="s">
        <v>12370</v>
      </c>
      <c r="C9225" s="0" t="s">
        <v>12371</v>
      </c>
      <c r="D9225" s="0" t="s">
        <v>12371</v>
      </c>
      <c r="E9225" s="0" t="inlineStr">
        <is>
          <t xml:space="preserve">Mazda</t>
        </is>
      </c>
      <c r="F9225" s="0" t="s">
        <v>52</v>
      </c>
      <c r="G9225" s="0" t="s">
        <v>325</v>
      </c>
      <c r="H9225" s="5">
        <v>138.265400</v>
      </c>
    </row>
    <row r="9226" spans="1:9">
      <c r="A9226" s="22" t="str">
        <f>HYPERLINK("https://app.vivvix.com/360/KMI/IntelliDrive/ApplUI/Pages/CreativePages/CustomReportCreativeDetail.aspx?App=23&amp;ReportView=4&amp;Qid=1711279&amp;Row=9218&amp;Col=1","No Title Assigned - #15271036296")</f>
        <v/>
      </c>
      <c r="B9226" s="0" t="s">
        <v>12372</v>
      </c>
      <c r="C9226" s="0" t="s">
        <v>12373</v>
      </c>
      <c r="D9226" s="0" t="s">
        <v>12373</v>
      </c>
      <c r="E9226" s="0" t="inlineStr">
        <is>
          <t xml:space="preserve">Mazda</t>
        </is>
      </c>
      <c r="F9226" s="0" t="s">
        <v>13</v>
      </c>
      <c r="G9226" s="0" t="s">
        <v>49</v>
      </c>
      <c r="H9226" s="5">
        <v>5787.430900</v>
      </c>
    </row>
    <row r="9227" spans="1:9">
      <c r="A9227" s="22" t="str">
        <f>HYPERLINK("https://app.vivvix.com/360/KMI/IntelliDrive/ApplUI/Pages/CreativePages/CustomReportCreativeDetail.aspx?App=23&amp;ReportView=4&amp;Qid=1711279&amp;Row=9219&amp;Col=1","No Title Assigned - #15271036296")</f>
        <v/>
      </c>
      <c r="B9227" s="0" t="s">
        <v>12372</v>
      </c>
      <c r="E9227" s="0" t="inlineStr">
        <is>
          <t xml:space="preserve">Mazda</t>
        </is>
      </c>
      <c r="F9227" s="0" t="s">
        <v>13</v>
      </c>
      <c r="G9227" s="0" t="s">
        <v>49</v>
      </c>
      <c r="H9227" s="5">
        <v>2599.598700</v>
      </c>
    </row>
    <row r="9228" spans="1:9">
      <c r="A9228" s="22" t="str">
        <f>HYPERLINK("https://app.vivvix.com/360/KMI/IntelliDrive/ApplUI/Pages/CreativePages/CustomReportCreativeDetail.aspx?App=23&amp;ReportView=4&amp;Qid=1711279&amp;Row=9220&amp;Col=1","No Title Assigned - #15271036893")</f>
        <v/>
      </c>
      <c r="B9228" s="0" t="s">
        <v>12374</v>
      </c>
      <c r="C9228" s="0" t="s">
        <v>12375</v>
      </c>
      <c r="D9228" s="0" t="s">
        <v>4202</v>
      </c>
      <c r="E9228" s="0" t="inlineStr">
        <is>
          <t xml:space="preserve">Mazda</t>
        </is>
      </c>
      <c r="F9228" s="0" t="s">
        <v>28</v>
      </c>
      <c r="G9228" s="0" t="s">
        <v>29</v>
      </c>
      <c r="H9228" s="5">
        <v>756.033900</v>
      </c>
    </row>
    <row r="9229" spans="1:9">
      <c r="A9229" s="22" t="str">
        <f>HYPERLINK("https://app.vivvix.com/360/KMI/IntelliDrive/ApplUI/Pages/CreativePages/CustomReportCreativeDetail.aspx?App=23&amp;ReportView=4&amp;Qid=1711279&amp;Row=9221&amp;Col=1","No Title Assigned - #15271037139")</f>
        <v/>
      </c>
      <c r="B9229" s="0" t="s">
        <v>12376</v>
      </c>
      <c r="E9229" s="0" t="inlineStr">
        <is>
          <t xml:space="preserve">Mazda</t>
        </is>
      </c>
      <c r="F9229" s="0" t="inlineStr">
        <is>
          <t xml:space="preserve">Mazda</t>
        </is>
      </c>
      <c r="G9229" s="0" t="s">
        <v>171</v>
      </c>
      <c r="H9229" s="5">
        <v>30.981800</v>
      </c>
    </row>
    <row r="9230" spans="1:9">
      <c r="A9230" s="22" t="str">
        <f>HYPERLINK("https://app.vivvix.com/360/KMI/IntelliDrive/ApplUI/Pages/CreativePages/CustomReportCreativeDetail.aspx?App=23&amp;ReportView=4&amp;Qid=1711279&amp;Row=9222&amp;Col=1","No Title Assigned - #15271037370")</f>
        <v/>
      </c>
      <c r="B9230" s="0" t="s">
        <v>12377</v>
      </c>
      <c r="C9230" s="0" t="s">
        <v>12378</v>
      </c>
      <c r="D9230" s="0" t="s">
        <v>12378</v>
      </c>
      <c r="E9230" s="0" t="inlineStr">
        <is>
          <t xml:space="preserve">Mazda</t>
        </is>
      </c>
      <c r="F9230" s="0" t="s">
        <v>28</v>
      </c>
      <c r="G9230" s="0" t="s">
        <v>29</v>
      </c>
      <c r="H9230" s="5">
        <v>3060.420700</v>
      </c>
    </row>
    <row r="9231" spans="1:9">
      <c r="A9231" s="22" t="str">
        <f>HYPERLINK("https://app.vivvix.com/360/KMI/IntelliDrive/ApplUI/Pages/CreativePages/CustomReportCreativeDetail.aspx?App=23&amp;ReportView=4&amp;Qid=1711279&amp;Row=9223&amp;Col=1","No Title Assigned - #15271037966")</f>
        <v/>
      </c>
      <c r="B9231" s="0" t="s">
        <v>12379</v>
      </c>
      <c r="C9231" s="0" t="s">
        <v>12380</v>
      </c>
      <c r="D9231" s="0" t="s">
        <v>12380</v>
      </c>
      <c r="E9231" s="0" t="inlineStr">
        <is>
          <t xml:space="preserve">Mazda</t>
        </is>
      </c>
      <c r="F9231" s="0" t="inlineStr">
        <is>
          <t xml:space="preserve">Mazda</t>
        </is>
      </c>
      <c r="G9231" s="0" t="s">
        <v>171</v>
      </c>
      <c r="H9231" s="5">
        <v>287.157100</v>
      </c>
    </row>
    <row r="9232" spans="1:9">
      <c r="A9232" s="22" t="str">
        <f>HYPERLINK("https://app.vivvix.com/360/KMI/IntelliDrive/ApplUI/Pages/CreativePages/CustomReportCreativeDetail.aspx?App=23&amp;ReportView=4&amp;Qid=1711279&amp;Row=9224&amp;Col=1","No Title Assigned - #15271038251")</f>
        <v/>
      </c>
      <c r="B9232" s="0" t="s">
        <v>12381</v>
      </c>
      <c r="E9232" s="0" t="inlineStr">
        <is>
          <t xml:space="preserve">Mazda</t>
        </is>
      </c>
      <c r="F9232" s="0" t="inlineStr">
        <is>
          <t xml:space="preserve">Mazda</t>
        </is>
      </c>
      <c r="G9232" s="0" t="s">
        <v>171</v>
      </c>
      <c r="H9232" s="5">
        <v>25.231700</v>
      </c>
    </row>
    <row r="9233" spans="1:9">
      <c r="A9233" s="22" t="str">
        <f>HYPERLINK("https://app.vivvix.com/360/KMI/IntelliDrive/ApplUI/Pages/CreativePages/CustomReportCreativeDetail.aspx?App=23&amp;ReportView=4&amp;Qid=1711279&amp;Row=9225&amp;Col=1","No Title Assigned - #15271039979")</f>
        <v/>
      </c>
      <c r="B9233" s="0" t="s">
        <v>12382</v>
      </c>
      <c r="E9233" s="0" t="inlineStr">
        <is>
          <t xml:space="preserve">Mazda</t>
        </is>
      </c>
      <c r="F9233" s="0" t="inlineStr">
        <is>
          <t xml:space="preserve">Mazda</t>
        </is>
      </c>
      <c r="G9233" s="0" t="s">
        <v>171</v>
      </c>
      <c r="H9233" s="5">
        <v>60.428500</v>
      </c>
    </row>
    <row r="9234" spans="1:9">
      <c r="A9234" s="22" t="str">
        <f>HYPERLINK("https://app.vivvix.com/360/KMI/IntelliDrive/ApplUI/Pages/CreativePages/CustomReportCreativeDetail.aspx?App=23&amp;ReportView=4&amp;Qid=1711279&amp;Row=9226&amp;Col=1","No Title Assigned - #15271039982")</f>
        <v/>
      </c>
      <c r="B9234" s="0" t="s">
        <v>12383</v>
      </c>
      <c r="C9234" s="0" t="s">
        <v>12384</v>
      </c>
      <c r="D9234" s="0" t="s">
        <v>12384</v>
      </c>
      <c r="E9234" s="0" t="inlineStr">
        <is>
          <t xml:space="preserve">Mazda</t>
        </is>
      </c>
      <c r="F9234" s="0" t="inlineStr">
        <is>
          <t xml:space="preserve">Mazda</t>
        </is>
      </c>
      <c r="G9234" s="0" t="s">
        <v>171</v>
      </c>
      <c r="H9234" s="5">
        <v>3006.212600</v>
      </c>
    </row>
    <row r="9235" spans="1:9">
      <c r="A9235" s="22" t="str">
        <f>HYPERLINK("https://app.vivvix.com/360/KMI/IntelliDrive/ApplUI/Pages/CreativePages/CustomReportCreativeDetail.aspx?App=23&amp;ReportView=4&amp;Qid=1711279&amp;Row=9227&amp;Col=1","No Title Assigned - #15271039982")</f>
        <v/>
      </c>
      <c r="B9235" s="0" t="s">
        <v>12383</v>
      </c>
      <c r="E9235" s="0" t="inlineStr">
        <is>
          <t xml:space="preserve">Mazda</t>
        </is>
      </c>
      <c r="F9235" s="0" t="inlineStr">
        <is>
          <t xml:space="preserve">Mazda</t>
        </is>
      </c>
      <c r="G9235" s="0" t="s">
        <v>171</v>
      </c>
      <c r="H9235" s="5">
        <v>28315.148000</v>
      </c>
    </row>
    <row r="9236" spans="1:9">
      <c r="A9236" s="22" t="str">
        <f>HYPERLINK("https://app.vivvix.com/360/KMI/IntelliDrive/ApplUI/Pages/CreativePages/CustomReportCreativeDetail.aspx?App=23&amp;ReportView=4&amp;Qid=1711279&amp;Row=9228&amp;Col=1","No Title Assigned - #15271040456")</f>
        <v/>
      </c>
      <c r="B9236" s="0" t="s">
        <v>12385</v>
      </c>
      <c r="E9236" s="0" t="inlineStr">
        <is>
          <t xml:space="preserve">Mazda</t>
        </is>
      </c>
      <c r="F9236" s="0" t="inlineStr">
        <is>
          <t xml:space="preserve">Mazda</t>
        </is>
      </c>
      <c r="G9236" s="0" t="s">
        <v>171</v>
      </c>
      <c r="H9236" s="5">
        <v>47.746000</v>
      </c>
    </row>
    <row r="9237" spans="1:9">
      <c r="A9237" s="22" t="str">
        <f>HYPERLINK("https://app.vivvix.com/360/KMI/IntelliDrive/ApplUI/Pages/CreativePages/CustomReportCreativeDetail.aspx?App=23&amp;ReportView=4&amp;Qid=1711279&amp;Row=9229&amp;Col=1","No Title Assigned - #15271040798")</f>
        <v/>
      </c>
      <c r="B9237" s="0" t="s">
        <v>12386</v>
      </c>
      <c r="E9237" s="0" t="inlineStr">
        <is>
          <t xml:space="preserve">Mazda</t>
        </is>
      </c>
      <c r="F9237" s="0" t="inlineStr">
        <is>
          <t xml:space="preserve">Mazda</t>
        </is>
      </c>
      <c r="G9237" s="0" t="s">
        <v>171</v>
      </c>
      <c r="H9237" s="5">
        <v>1075.182600</v>
      </c>
    </row>
    <row r="9238" spans="1:9">
      <c r="A9238" s="22" t="str">
        <f>HYPERLINK("https://app.vivvix.com/360/KMI/IntelliDrive/ApplUI/Pages/CreativePages/CustomReportCreativeDetail.aspx?App=23&amp;ReportView=4&amp;Qid=1711279&amp;Row=9230&amp;Col=1","No Title Assigned - #15271040798")</f>
        <v/>
      </c>
      <c r="B9238" s="0" t="s">
        <v>12386</v>
      </c>
      <c r="E9238" s="0" t="inlineStr">
        <is>
          <t xml:space="preserve">Mazda</t>
        </is>
      </c>
      <c r="F9238" s="0" t="inlineStr">
        <is>
          <t xml:space="preserve">Mazda</t>
        </is>
      </c>
      <c r="G9238" s="0" t="s">
        <v>171</v>
      </c>
      <c r="H9238" s="5">
        <v>4.094800</v>
      </c>
    </row>
    <row r="9239" spans="1:9">
      <c r="A9239" s="22" t="str">
        <f>HYPERLINK("https://app.vivvix.com/360/KMI/IntelliDrive/ApplUI/Pages/CreativePages/CustomReportCreativeDetail.aspx?App=23&amp;ReportView=4&amp;Qid=1711279&amp;Row=9231&amp;Col=1","No Title Assigned - #15271041173")</f>
        <v/>
      </c>
      <c r="B9239" s="0" t="s">
        <v>12387</v>
      </c>
      <c r="E9239" s="0" t="inlineStr">
        <is>
          <t xml:space="preserve">Mazda</t>
        </is>
      </c>
      <c r="F9239" s="0" t="s">
        <v>204</v>
      </c>
      <c r="G9239" s="0" t="s">
        <v>205</v>
      </c>
      <c r="H9239" s="5">
        <v>363.653200</v>
      </c>
    </row>
    <row r="9240" spans="1:9">
      <c r="A9240" s="22" t="str">
        <f>HYPERLINK("https://app.vivvix.com/360/KMI/IntelliDrive/ApplUI/Pages/CreativePages/CustomReportCreativeDetail.aspx?App=23&amp;ReportView=4&amp;Qid=1711279&amp;Row=9232&amp;Col=1","No Title Assigned - #15271041937")</f>
        <v/>
      </c>
      <c r="B9240" s="0" t="s">
        <v>12388</v>
      </c>
      <c r="E9240" s="0" t="inlineStr">
        <is>
          <t xml:space="preserve">Mazda</t>
        </is>
      </c>
      <c r="F9240" s="0" t="inlineStr">
        <is>
          <t xml:space="preserve">Mazda</t>
        </is>
      </c>
      <c r="G9240" s="0" t="s">
        <v>171</v>
      </c>
      <c r="H9240" s="5">
        <v>184.800900</v>
      </c>
    </row>
    <row r="9241" spans="1:9">
      <c r="A9241" s="22" t="str">
        <f>HYPERLINK("https://app.vivvix.com/360/KMI/IntelliDrive/ApplUI/Pages/CreativePages/CustomReportCreativeDetail.aspx?App=23&amp;ReportView=4&amp;Qid=1711279&amp;Row=9233&amp;Col=1","No Title Assigned - #15271042641")</f>
        <v/>
      </c>
      <c r="B9241" s="0" t="s">
        <v>12389</v>
      </c>
      <c r="E9241" s="0" t="inlineStr">
        <is>
          <t xml:space="preserve">Mazda</t>
        </is>
      </c>
      <c r="F9241" s="0" t="inlineStr">
        <is>
          <t xml:space="preserve">Mazda</t>
        </is>
      </c>
      <c r="G9241" s="0" t="s">
        <v>171</v>
      </c>
      <c r="H9241" s="5">
        <v>1154.504500</v>
      </c>
    </row>
    <row r="9242" spans="1:9">
      <c r="A9242" s="22" t="str">
        <f>HYPERLINK("https://app.vivvix.com/360/KMI/IntelliDrive/ApplUI/Pages/CreativePages/CustomReportCreativeDetail.aspx?App=23&amp;ReportView=4&amp;Qid=1711279&amp;Row=9234&amp;Col=1","No Title Assigned - #15271043133")</f>
        <v/>
      </c>
      <c r="B9242" s="0" t="s">
        <v>12390</v>
      </c>
      <c r="E9242" s="0" t="inlineStr">
        <is>
          <t xml:space="preserve">Mazda</t>
        </is>
      </c>
      <c r="F9242" s="0" t="inlineStr">
        <is>
          <t xml:space="preserve">Mazda</t>
        </is>
      </c>
      <c r="G9242" s="0" t="s">
        <v>171</v>
      </c>
      <c r="H9242" s="5">
        <v>344.207800</v>
      </c>
    </row>
    <row r="9243" spans="1:9">
      <c r="A9243" s="22" t="str">
        <f>HYPERLINK("https://app.vivvix.com/360/KMI/IntelliDrive/ApplUI/Pages/CreativePages/CustomReportCreativeDetail.aspx?App=23&amp;ReportView=4&amp;Qid=1711279&amp;Row=9235&amp;Col=1","No Title Assigned - #15271043401")</f>
        <v/>
      </c>
      <c r="B9243" s="0" t="s">
        <v>12391</v>
      </c>
      <c r="C9243" s="0" t="s">
        <v>12392</v>
      </c>
      <c r="D9243" s="0" t="s">
        <v>12392</v>
      </c>
      <c r="E9243" s="0" t="inlineStr">
        <is>
          <t xml:space="preserve">Mazda</t>
        </is>
      </c>
      <c r="F9243" s="0" t="s">
        <v>13</v>
      </c>
      <c r="G9243" s="0" t="s">
        <v>49</v>
      </c>
      <c r="H9243" s="5">
        <v>25.354500</v>
      </c>
    </row>
    <row r="9244" spans="1:9">
      <c r="A9244" s="22" t="str">
        <f>HYPERLINK("https://app.vivvix.com/360/KMI/IntelliDrive/ApplUI/Pages/CreativePages/CustomReportCreativeDetail.aspx?App=23&amp;ReportView=4&amp;Qid=1711279&amp;Row=9236&amp;Col=1","No Title Assigned - #15271044616")</f>
        <v/>
      </c>
      <c r="B9244" s="0" t="s">
        <v>12393</v>
      </c>
      <c r="E9244" s="0" t="inlineStr">
        <is>
          <t xml:space="preserve">Mazda</t>
        </is>
      </c>
      <c r="F9244" s="0" t="inlineStr">
        <is>
          <t xml:space="preserve">Mazda</t>
        </is>
      </c>
      <c r="G9244" s="0" t="s">
        <v>171</v>
      </c>
      <c r="H9244" s="5">
        <v>404.250900</v>
      </c>
    </row>
    <row r="9245" spans="1:9">
      <c r="A9245" s="22" t="str">
        <f>HYPERLINK("https://app.vivvix.com/360/KMI/IntelliDrive/ApplUI/Pages/CreativePages/CustomReportCreativeDetail.aspx?App=23&amp;ReportView=4&amp;Qid=1711279&amp;Row=9237&amp;Col=1","No Title Assigned - #15271044713")</f>
        <v/>
      </c>
      <c r="B9245" s="0" t="s">
        <v>12394</v>
      </c>
      <c r="E9245" s="0" t="inlineStr">
        <is>
          <t xml:space="preserve">Mazda</t>
        </is>
      </c>
      <c r="F9245" s="0" t="inlineStr">
        <is>
          <t xml:space="preserve">Mazda</t>
        </is>
      </c>
      <c r="G9245" s="0" t="s">
        <v>171</v>
      </c>
      <c r="H9245" s="5">
        <v>471.082100</v>
      </c>
    </row>
    <row r="9246" spans="1:9">
      <c r="A9246" s="22" t="str">
        <f>HYPERLINK("https://app.vivvix.com/360/KMI/IntelliDrive/ApplUI/Pages/CreativePages/CustomReportCreativeDetail.aspx?App=23&amp;ReportView=4&amp;Qid=1711279&amp;Row=9238&amp;Col=1","No Title Assigned - #15271045124")</f>
        <v/>
      </c>
      <c r="B9246" s="0" t="s">
        <v>12395</v>
      </c>
      <c r="E9246" s="0" t="inlineStr">
        <is>
          <t xml:space="preserve">Mazda</t>
        </is>
      </c>
      <c r="F9246" s="0" t="inlineStr">
        <is>
          <t xml:space="preserve">Mazda</t>
        </is>
      </c>
      <c r="G9246" s="0" t="s">
        <v>171</v>
      </c>
      <c r="H9246" s="5">
        <v>62.983100</v>
      </c>
    </row>
    <row r="9247" spans="1:9">
      <c r="A9247" s="22" t="str">
        <f>HYPERLINK("https://app.vivvix.com/360/KMI/IntelliDrive/ApplUI/Pages/CreativePages/CustomReportCreativeDetail.aspx?App=23&amp;ReportView=4&amp;Qid=1711279&amp;Row=9239&amp;Col=1","No Title Assigned - #15271045285")</f>
        <v/>
      </c>
      <c r="B9247" s="0" t="s">
        <v>12396</v>
      </c>
      <c r="E9247" s="0" t="inlineStr">
        <is>
          <t xml:space="preserve">Mazda</t>
        </is>
      </c>
      <c r="F9247" s="0" t="inlineStr">
        <is>
          <t xml:space="preserve">Mazda</t>
        </is>
      </c>
      <c r="G9247" s="0" t="s">
        <v>171</v>
      </c>
      <c r="H9247" s="5">
        <v>35.765300</v>
      </c>
    </row>
    <row r="9248" spans="1:9">
      <c r="A9248" s="22" t="str">
        <f>HYPERLINK("https://app.vivvix.com/360/KMI/IntelliDrive/ApplUI/Pages/CreativePages/CustomReportCreativeDetail.aspx?App=23&amp;ReportView=4&amp;Qid=1711279&amp;Row=9240&amp;Col=1","No Title Assigned - #15271046242")</f>
        <v/>
      </c>
      <c r="B9248" s="0" t="s">
        <v>12397</v>
      </c>
      <c r="C9248" s="0" t="s">
        <v>12398</v>
      </c>
      <c r="D9248" s="0" t="s">
        <v>12398</v>
      </c>
      <c r="E9248" s="0" t="inlineStr">
        <is>
          <t xml:space="preserve">Mazda</t>
        </is>
      </c>
      <c r="F9248" s="0" t="inlineStr">
        <is>
          <t xml:space="preserve">Mazda</t>
        </is>
      </c>
      <c r="G9248" s="0" t="s">
        <v>171</v>
      </c>
      <c r="H9248" s="5">
        <v>176.292100</v>
      </c>
    </row>
    <row r="9249" spans="1:9">
      <c r="A9249" s="22" t="str">
        <f>HYPERLINK("https://app.vivvix.com/360/KMI/IntelliDrive/ApplUI/Pages/CreativePages/CustomReportCreativeDetail.aspx?App=23&amp;ReportView=4&amp;Qid=1711279&amp;Row=9241&amp;Col=1","No Title Assigned - #15271046793")</f>
        <v/>
      </c>
      <c r="B9249" s="0" t="s">
        <v>12399</v>
      </c>
      <c r="E9249" s="0" t="inlineStr">
        <is>
          <t xml:space="preserve">Mazda</t>
        </is>
      </c>
      <c r="F9249" s="0" t="inlineStr">
        <is>
          <t xml:space="preserve">Mazda</t>
        </is>
      </c>
      <c r="G9249" s="0" t="s">
        <v>171</v>
      </c>
      <c r="H9249" s="5">
        <v>27.941400</v>
      </c>
    </row>
    <row r="9250" spans="1:9">
      <c r="A9250" s="22" t="str">
        <f>HYPERLINK("https://app.vivvix.com/360/KMI/IntelliDrive/ApplUI/Pages/CreativePages/CustomReportCreativeDetail.aspx?App=23&amp;ReportView=4&amp;Qid=1711279&amp;Row=9242&amp;Col=1","No Title Assigned - #15271047412")</f>
        <v/>
      </c>
      <c r="B9250" s="0" t="s">
        <v>12400</v>
      </c>
      <c r="E9250" s="0" t="inlineStr">
        <is>
          <t xml:space="preserve">Mazda</t>
        </is>
      </c>
      <c r="F9250" s="0" t="inlineStr">
        <is>
          <t xml:space="preserve">Mazda</t>
        </is>
      </c>
      <c r="G9250" s="0" t="s">
        <v>171</v>
      </c>
      <c r="H9250" s="5">
        <v>8.515300</v>
      </c>
    </row>
    <row r="9251" spans="1:9">
      <c r="A9251" s="22" t="str">
        <f>HYPERLINK("https://app.vivvix.com/360/KMI/IntelliDrive/ApplUI/Pages/CreativePages/CustomReportCreativeDetail.aspx?App=23&amp;ReportView=4&amp;Qid=1711279&amp;Row=9243&amp;Col=1","No Title Assigned - #15271047516")</f>
        <v/>
      </c>
      <c r="B9251" s="0" t="s">
        <v>12401</v>
      </c>
      <c r="E9251" s="0" t="inlineStr">
        <is>
          <t xml:space="preserve">Mazda</t>
        </is>
      </c>
      <c r="F9251" s="0" t="inlineStr">
        <is>
          <t xml:space="preserve">Mazda</t>
        </is>
      </c>
      <c r="G9251" s="0" t="s">
        <v>171</v>
      </c>
      <c r="H9251" s="5">
        <v>266.422100</v>
      </c>
    </row>
    <row r="9252" spans="1:9">
      <c r="A9252" s="22" t="str">
        <f>HYPERLINK("https://app.vivvix.com/360/KMI/IntelliDrive/ApplUI/Pages/CreativePages/CustomReportCreativeDetail.aspx?App=23&amp;ReportView=4&amp;Qid=1711279&amp;Row=9244&amp;Col=1","No Title Assigned - #15271048012")</f>
        <v/>
      </c>
      <c r="B9252" s="0" t="s">
        <v>12402</v>
      </c>
      <c r="E9252" s="0" t="inlineStr">
        <is>
          <t xml:space="preserve">Mazda</t>
        </is>
      </c>
      <c r="F9252" s="0" t="inlineStr">
        <is>
          <t xml:space="preserve">Mazda</t>
        </is>
      </c>
      <c r="G9252" s="0" t="s">
        <v>171</v>
      </c>
      <c r="H9252" s="5">
        <v>44.806200</v>
      </c>
    </row>
    <row r="9253" spans="1:9">
      <c r="A9253" s="22" t="str">
        <f>HYPERLINK("https://app.vivvix.com/360/KMI/IntelliDrive/ApplUI/Pages/CreativePages/CustomReportCreativeDetail.aspx?App=23&amp;ReportView=4&amp;Qid=1711279&amp;Row=9245&amp;Col=1","No Title Assigned - #15271048036")</f>
        <v/>
      </c>
      <c r="B9253" s="0" t="s">
        <v>12403</v>
      </c>
      <c r="E9253" s="0" t="inlineStr">
        <is>
          <t xml:space="preserve">Mazda</t>
        </is>
      </c>
      <c r="F9253" s="0" t="inlineStr">
        <is>
          <t xml:space="preserve">Mazda</t>
        </is>
      </c>
      <c r="G9253" s="0" t="s">
        <v>171</v>
      </c>
      <c r="H9253" s="5">
        <v>13999.125000</v>
      </c>
    </row>
    <row r="9254" spans="1:9">
      <c r="A9254" s="22" t="str">
        <f>HYPERLINK("https://app.vivvix.com/360/KMI/IntelliDrive/ApplUI/Pages/CreativePages/CustomReportCreativeDetail.aspx?App=23&amp;ReportView=4&amp;Qid=1711279&amp;Row=9246&amp;Col=1","No Title Assigned - #15271049492")</f>
        <v/>
      </c>
      <c r="B9254" s="0" t="s">
        <v>12404</v>
      </c>
      <c r="E9254" s="0" t="inlineStr">
        <is>
          <t xml:space="preserve">Mazda</t>
        </is>
      </c>
      <c r="F9254" s="0" t="inlineStr">
        <is>
          <t xml:space="preserve">Mazda</t>
        </is>
      </c>
      <c r="G9254" s="0" t="s">
        <v>171</v>
      </c>
      <c r="H9254" s="5">
        <v>847.137400</v>
      </c>
    </row>
    <row r="9255" spans="1:9">
      <c r="A9255" s="22" t="str">
        <f>HYPERLINK("https://app.vivvix.com/360/KMI/IntelliDrive/ApplUI/Pages/CreativePages/CustomReportCreativeDetail.aspx?App=23&amp;ReportView=4&amp;Qid=1711279&amp;Row=9247&amp;Col=1","No Title Assigned - #15271049724")</f>
        <v/>
      </c>
      <c r="B9255" s="0" t="s">
        <v>12405</v>
      </c>
      <c r="E9255" s="0" t="inlineStr">
        <is>
          <t xml:space="preserve">Mazda</t>
        </is>
      </c>
      <c r="F9255" s="0" t="inlineStr">
        <is>
          <t xml:space="preserve">Mazda</t>
        </is>
      </c>
      <c r="G9255" s="0" t="s">
        <v>171</v>
      </c>
      <c r="H9255" s="5">
        <v>1306.769900</v>
      </c>
    </row>
    <row r="9256" spans="1:9">
      <c r="A9256" s="22" t="str">
        <f>HYPERLINK("https://app.vivvix.com/360/KMI/IntelliDrive/ApplUI/Pages/CreativePages/CustomReportCreativeDetail.aspx?App=23&amp;ReportView=4&amp;Qid=1711279&amp;Row=9248&amp;Col=1","No Title Assigned - #15271049762")</f>
        <v/>
      </c>
      <c r="B9256" s="0" t="s">
        <v>12406</v>
      </c>
      <c r="E9256" s="0" t="inlineStr">
        <is>
          <t xml:space="preserve">Mazda</t>
        </is>
      </c>
      <c r="F9256" s="0" t="inlineStr">
        <is>
          <t xml:space="preserve">Mazda</t>
        </is>
      </c>
      <c r="G9256" s="0" t="s">
        <v>171</v>
      </c>
      <c r="H9256" s="5">
        <v>58.954300</v>
      </c>
    </row>
    <row r="9257" spans="1:9">
      <c r="A9257" s="22" t="str">
        <f>HYPERLINK("https://app.vivvix.com/360/KMI/IntelliDrive/ApplUI/Pages/CreativePages/CustomReportCreativeDetail.aspx?App=23&amp;ReportView=4&amp;Qid=1711279&amp;Row=9249&amp;Col=1","No Title Assigned - #15271049899")</f>
        <v/>
      </c>
      <c r="B9257" s="0" t="s">
        <v>12407</v>
      </c>
      <c r="E9257" s="0" t="inlineStr">
        <is>
          <t xml:space="preserve">Mazda</t>
        </is>
      </c>
      <c r="F9257" s="0" t="inlineStr">
        <is>
          <t xml:space="preserve">Mazda</t>
        </is>
      </c>
      <c r="G9257" s="0" t="s">
        <v>171</v>
      </c>
      <c r="H9257" s="5">
        <v>4.656900</v>
      </c>
    </row>
    <row r="9258" spans="1:9">
      <c r="A9258" s="22" t="str">
        <f>HYPERLINK("https://app.vivvix.com/360/KMI/IntelliDrive/ApplUI/Pages/CreativePages/CustomReportCreativeDetail.aspx?App=23&amp;ReportView=4&amp;Qid=1711279&amp;Row=9250&amp;Col=1","No Title Assigned - #15271050328")</f>
        <v/>
      </c>
      <c r="B9258" s="0" t="s">
        <v>12408</v>
      </c>
      <c r="E9258" s="0" t="inlineStr">
        <is>
          <t xml:space="preserve">Mazda</t>
        </is>
      </c>
      <c r="F9258" s="0" t="inlineStr">
        <is>
          <t xml:space="preserve">Mazda</t>
        </is>
      </c>
      <c r="G9258" s="0" t="s">
        <v>171</v>
      </c>
      <c r="H9258" s="5">
        <v>227.983400</v>
      </c>
    </row>
    <row r="9259" spans="1:9">
      <c r="A9259" s="22" t="str">
        <f>HYPERLINK("https://app.vivvix.com/360/KMI/IntelliDrive/ApplUI/Pages/CreativePages/CustomReportCreativeDetail.aspx?App=23&amp;ReportView=4&amp;Qid=1711279&amp;Row=9251&amp;Col=1","No Title Assigned - #15271050497")</f>
        <v/>
      </c>
      <c r="B9259" s="0" t="s">
        <v>12409</v>
      </c>
      <c r="E9259" s="0" t="inlineStr">
        <is>
          <t xml:space="preserve">Mazda</t>
        </is>
      </c>
      <c r="F9259" s="0" t="inlineStr">
        <is>
          <t xml:space="preserve">Mazda</t>
        </is>
      </c>
      <c r="G9259" s="0" t="s">
        <v>171</v>
      </c>
      <c r="H9259" s="5">
        <v>5.123800</v>
      </c>
    </row>
    <row r="9260" spans="1:9">
      <c r="A9260" s="22" t="str">
        <f>HYPERLINK("https://app.vivvix.com/360/KMI/IntelliDrive/ApplUI/Pages/CreativePages/CustomReportCreativeDetail.aspx?App=23&amp;ReportView=4&amp;Qid=1711279&amp;Row=9252&amp;Col=1","No Title Assigned - #15271051462")</f>
        <v/>
      </c>
      <c r="B9260" s="0" t="s">
        <v>12410</v>
      </c>
      <c r="E9260" s="0" t="inlineStr">
        <is>
          <t xml:space="preserve">Mazda</t>
        </is>
      </c>
      <c r="F9260" s="0" t="inlineStr">
        <is>
          <t xml:space="preserve">Mazda</t>
        </is>
      </c>
      <c r="G9260" s="0" t="s">
        <v>171</v>
      </c>
      <c r="H9260" s="5">
        <v>7.024000</v>
      </c>
    </row>
    <row r="9261" spans="1:9">
      <c r="A9261" s="22" t="str">
        <f>HYPERLINK("https://app.vivvix.com/360/KMI/IntelliDrive/ApplUI/Pages/CreativePages/CustomReportCreativeDetail.aspx?App=23&amp;ReportView=4&amp;Qid=1711279&amp;Row=9253&amp;Col=1","No Title Assigned - #15271051963")</f>
        <v/>
      </c>
      <c r="B9261" s="0" t="s">
        <v>12411</v>
      </c>
      <c r="E9261" s="0" t="inlineStr">
        <is>
          <t xml:space="preserve">Mazda</t>
        </is>
      </c>
      <c r="F9261" s="0" t="inlineStr">
        <is>
          <t xml:space="preserve">Mazda</t>
        </is>
      </c>
      <c r="G9261" s="0" t="s">
        <v>171</v>
      </c>
      <c r="H9261" s="5">
        <v>42.838100</v>
      </c>
    </row>
    <row r="9262" spans="1:9">
      <c r="A9262" s="22" t="str">
        <f>HYPERLINK("https://app.vivvix.com/360/KMI/IntelliDrive/ApplUI/Pages/CreativePages/CustomReportCreativeDetail.aspx?App=23&amp;ReportView=4&amp;Qid=1711279&amp;Row=9254&amp;Col=1","No Title Assigned - #15271051963")</f>
        <v/>
      </c>
      <c r="B9262" s="0" t="s">
        <v>12411</v>
      </c>
      <c r="E9262" s="0" t="inlineStr">
        <is>
          <t xml:space="preserve">Mazda</t>
        </is>
      </c>
      <c r="F9262" s="0" t="inlineStr">
        <is>
          <t xml:space="preserve">Mazda</t>
        </is>
      </c>
      <c r="G9262" s="0" t="s">
        <v>171</v>
      </c>
      <c r="H9262" s="5">
        <v>402.992500</v>
      </c>
    </row>
    <row r="9263" spans="1:9">
      <c r="A9263" s="22" t="str">
        <f>HYPERLINK("https://app.vivvix.com/360/KMI/IntelliDrive/ApplUI/Pages/CreativePages/CustomReportCreativeDetail.aspx?App=23&amp;ReportView=4&amp;Qid=1711279&amp;Row=9255&amp;Col=1","No Title Assigned - #15271052152")</f>
        <v/>
      </c>
      <c r="B9263" s="0" t="s">
        <v>12412</v>
      </c>
      <c r="E9263" s="0" t="inlineStr">
        <is>
          <t xml:space="preserve">Mazda</t>
        </is>
      </c>
      <c r="F9263" s="0" t="inlineStr">
        <is>
          <t xml:space="preserve">Mazda</t>
        </is>
      </c>
      <c r="G9263" s="0" t="s">
        <v>171</v>
      </c>
      <c r="H9263" s="5">
        <v>5477.829200</v>
      </c>
    </row>
    <row r="9264" spans="1:9">
      <c r="A9264" s="22" t="str">
        <f>HYPERLINK("https://app.vivvix.com/360/KMI/IntelliDrive/ApplUI/Pages/CreativePages/CustomReportCreativeDetail.aspx?App=23&amp;ReportView=4&amp;Qid=1711279&amp;Row=9256&amp;Col=1","No Title Assigned - #15271052433")</f>
        <v/>
      </c>
      <c r="B9264" s="0" t="s">
        <v>12413</v>
      </c>
      <c r="E9264" s="0" t="inlineStr">
        <is>
          <t xml:space="preserve">Mazda</t>
        </is>
      </c>
      <c r="F9264" s="0" t="inlineStr">
        <is>
          <t xml:space="preserve">Mazda</t>
        </is>
      </c>
      <c r="G9264" s="0" t="s">
        <v>171</v>
      </c>
      <c r="H9264" s="5">
        <v>44.165400</v>
      </c>
    </row>
    <row r="9265" spans="1:9">
      <c r="A9265" s="22" t="str">
        <f>HYPERLINK("https://app.vivvix.com/360/KMI/IntelliDrive/ApplUI/Pages/CreativePages/CustomReportCreativeDetail.aspx?App=23&amp;ReportView=4&amp;Qid=1711279&amp;Row=9257&amp;Col=1","No Title Assigned - #15271053792")</f>
        <v/>
      </c>
      <c r="B9265" s="0" t="s">
        <v>12414</v>
      </c>
      <c r="C9265" s="0" t="s">
        <v>12415</v>
      </c>
      <c r="D9265" s="0" t="s">
        <v>12415</v>
      </c>
      <c r="E9265" s="0" t="inlineStr">
        <is>
          <t xml:space="preserve">Mazda</t>
        </is>
      </c>
      <c r="F9265" s="0" t="inlineStr">
        <is>
          <t xml:space="preserve">Mazda</t>
        </is>
      </c>
      <c r="G9265" s="0" t="s">
        <v>171</v>
      </c>
      <c r="H9265" s="5">
        <v>57.660300</v>
      </c>
    </row>
    <row r="9266" spans="1:9">
      <c r="A9266" s="22" t="str">
        <f>HYPERLINK("https://app.vivvix.com/360/KMI/IntelliDrive/ApplUI/Pages/CreativePages/CustomReportCreativeDetail.aspx?App=23&amp;ReportView=4&amp;Qid=1711279&amp;Row=9258&amp;Col=1","No Title Assigned - #15271054733")</f>
        <v/>
      </c>
      <c r="B9266" s="0" t="s">
        <v>12416</v>
      </c>
      <c r="E9266" s="0" t="inlineStr">
        <is>
          <t xml:space="preserve">Mazda</t>
        </is>
      </c>
      <c r="F9266" s="0" t="inlineStr">
        <is>
          <t xml:space="preserve">Mazda</t>
        </is>
      </c>
      <c r="G9266" s="0" t="s">
        <v>171</v>
      </c>
      <c r="H9266" s="5">
        <v>205369.168400</v>
      </c>
    </row>
    <row r="9267" spans="1:9">
      <c r="A9267" s="22" t="str">
        <f>HYPERLINK("https://app.vivvix.com/360/KMI/IntelliDrive/ApplUI/Pages/CreativePages/CustomReportCreativeDetail.aspx?App=23&amp;ReportView=4&amp;Qid=1711279&amp;Row=9259&amp;Col=1","No Title Assigned - #15271055315")</f>
        <v/>
      </c>
      <c r="B9267" s="0" t="s">
        <v>12417</v>
      </c>
      <c r="E9267" s="0" t="inlineStr">
        <is>
          <t xml:space="preserve">Mazda</t>
        </is>
      </c>
      <c r="F9267" s="0" t="inlineStr">
        <is>
          <t xml:space="preserve">Mazda</t>
        </is>
      </c>
      <c r="G9267" s="0" t="s">
        <v>171</v>
      </c>
      <c r="H9267" s="5">
        <v>10.696900</v>
      </c>
    </row>
    <row r="9268" spans="1:9">
      <c r="A9268" s="22" t="str">
        <f>HYPERLINK("https://app.vivvix.com/360/KMI/IntelliDrive/ApplUI/Pages/CreativePages/CustomReportCreativeDetail.aspx?App=23&amp;ReportView=4&amp;Qid=1711279&amp;Row=9260&amp;Col=1","No Title Assigned - #15271055565")</f>
        <v/>
      </c>
      <c r="B9268" s="0" t="s">
        <v>12418</v>
      </c>
      <c r="E9268" s="0" t="inlineStr">
        <is>
          <t xml:space="preserve">Mazda</t>
        </is>
      </c>
      <c r="F9268" s="0" t="inlineStr">
        <is>
          <t xml:space="preserve">Mazda</t>
        </is>
      </c>
      <c r="G9268" s="0" t="s">
        <v>171</v>
      </c>
      <c r="H9268" s="5">
        <v>432.106400</v>
      </c>
    </row>
    <row r="9269" spans="1:9">
      <c r="A9269" s="22" t="str">
        <f>HYPERLINK("https://app.vivvix.com/360/KMI/IntelliDrive/ApplUI/Pages/CreativePages/CustomReportCreativeDetail.aspx?App=23&amp;ReportView=4&amp;Qid=1711279&amp;Row=9261&amp;Col=1","No Title Assigned - #15271055634")</f>
        <v/>
      </c>
      <c r="B9269" s="0" t="s">
        <v>12419</v>
      </c>
      <c r="E9269" s="0" t="inlineStr">
        <is>
          <t xml:space="preserve">Mazda</t>
        </is>
      </c>
      <c r="F9269" s="0" t="inlineStr">
        <is>
          <t xml:space="preserve">Mazda</t>
        </is>
      </c>
      <c r="G9269" s="0" t="s">
        <v>171</v>
      </c>
      <c r="H9269" s="5">
        <v>29.774700</v>
      </c>
    </row>
    <row r="9270" spans="1:9">
      <c r="A9270" s="22" t="str">
        <f>HYPERLINK("https://app.vivvix.com/360/KMI/IntelliDrive/ApplUI/Pages/CreativePages/CustomReportCreativeDetail.aspx?App=23&amp;ReportView=4&amp;Qid=1711279&amp;Row=9262&amp;Col=1","No Title Assigned - #15271057707")</f>
        <v/>
      </c>
      <c r="B9270" s="0" t="s">
        <v>12420</v>
      </c>
      <c r="E9270" s="0" t="inlineStr">
        <is>
          <t xml:space="preserve">Mazda</t>
        </is>
      </c>
      <c r="F9270" s="0" t="inlineStr">
        <is>
          <t xml:space="preserve">Mazda</t>
        </is>
      </c>
      <c r="G9270" s="0" t="s">
        <v>171</v>
      </c>
      <c r="H9270" s="5">
        <v>255043.945500</v>
      </c>
    </row>
    <row r="9271" spans="1:9">
      <c r="A9271" s="22" t="str">
        <f>HYPERLINK("https://app.vivvix.com/360/KMI/IntelliDrive/ApplUI/Pages/CreativePages/CustomReportCreativeDetail.aspx?App=23&amp;ReportView=4&amp;Qid=1711279&amp;Row=9263&amp;Col=1","No Title Assigned - #15271058794")</f>
        <v/>
      </c>
      <c r="B9271" s="0" t="s">
        <v>12421</v>
      </c>
      <c r="E9271" s="0" t="inlineStr">
        <is>
          <t xml:space="preserve">Mazda</t>
        </is>
      </c>
      <c r="F9271" s="0" t="inlineStr">
        <is>
          <t xml:space="preserve">Mazda</t>
        </is>
      </c>
      <c r="G9271" s="0" t="s">
        <v>171</v>
      </c>
      <c r="H9271" s="5">
        <v>3.209600</v>
      </c>
    </row>
    <row r="9272" spans="1:9">
      <c r="A9272" s="22" t="str">
        <f>HYPERLINK("https://app.vivvix.com/360/KMI/IntelliDrive/ApplUI/Pages/CreativePages/CustomReportCreativeDetail.aspx?App=23&amp;ReportView=4&amp;Qid=1711279&amp;Row=9264&amp;Col=1","No Title Assigned - #15271058825")</f>
        <v/>
      </c>
      <c r="B9272" s="0" t="s">
        <v>12422</v>
      </c>
      <c r="E9272" s="0" t="inlineStr">
        <is>
          <t xml:space="preserve">Mazda</t>
        </is>
      </c>
      <c r="F9272" s="0" t="inlineStr">
        <is>
          <t xml:space="preserve">Mazda</t>
        </is>
      </c>
      <c r="G9272" s="0" t="s">
        <v>171</v>
      </c>
      <c r="H9272" s="5">
        <v>893.061200</v>
      </c>
    </row>
    <row r="9273" spans="1:9">
      <c r="A9273" s="22" t="str">
        <f>HYPERLINK("https://app.vivvix.com/360/KMI/IntelliDrive/ApplUI/Pages/CreativePages/CustomReportCreativeDetail.aspx?App=23&amp;ReportView=4&amp;Qid=1711279&amp;Row=9265&amp;Col=1","No Title Assigned - #15271058985")</f>
        <v/>
      </c>
      <c r="B9273" s="0" t="s">
        <v>12423</v>
      </c>
      <c r="E9273" s="0" t="inlineStr">
        <is>
          <t xml:space="preserve">Mazda</t>
        </is>
      </c>
      <c r="F9273" s="0" t="inlineStr">
        <is>
          <t xml:space="preserve">Mazda</t>
        </is>
      </c>
      <c r="G9273" s="0" t="s">
        <v>171</v>
      </c>
      <c r="H9273" s="5">
        <v>54.766700</v>
      </c>
    </row>
    <row r="9274" spans="1:9">
      <c r="A9274" s="22" t="str">
        <f>HYPERLINK("https://app.vivvix.com/360/KMI/IntelliDrive/ApplUI/Pages/CreativePages/CustomReportCreativeDetail.aspx?App=23&amp;ReportView=4&amp;Qid=1711279&amp;Row=9266&amp;Col=1","No Title Assigned - #15271062713")</f>
        <v/>
      </c>
      <c r="B9274" s="0" t="s">
        <v>12424</v>
      </c>
      <c r="E9274" s="0" t="inlineStr">
        <is>
          <t xml:space="preserve">Mazda</t>
        </is>
      </c>
      <c r="F9274" s="0" t="inlineStr">
        <is>
          <t xml:space="preserve">Mazda</t>
        </is>
      </c>
      <c r="G9274" s="0" t="s">
        <v>171</v>
      </c>
      <c r="H9274" s="5">
        <v>6133.854100</v>
      </c>
    </row>
    <row r="9275" spans="1:9">
      <c r="A9275" s="22" t="str">
        <f>HYPERLINK("https://app.vivvix.com/360/KMI/IntelliDrive/ApplUI/Pages/CreativePages/CustomReportCreativeDetail.aspx?App=23&amp;ReportView=4&amp;Qid=1711279&amp;Row=9267&amp;Col=1","No Title Assigned - #15271065267")</f>
        <v/>
      </c>
      <c r="B9275" s="0" t="s">
        <v>12425</v>
      </c>
      <c r="E9275" s="0" t="inlineStr">
        <is>
          <t xml:space="preserve">Mazda</t>
        </is>
      </c>
      <c r="F9275" s="0" t="inlineStr">
        <is>
          <t xml:space="preserve">Mazda</t>
        </is>
      </c>
      <c r="G9275" s="0" t="s">
        <v>171</v>
      </c>
      <c r="H9275" s="5">
        <v>5629.558700</v>
      </c>
    </row>
    <row r="9276" spans="1:9">
      <c r="A9276" s="22" t="str">
        <f>HYPERLINK("https://app.vivvix.com/360/KMI/IntelliDrive/ApplUI/Pages/CreativePages/CustomReportCreativeDetail.aspx?App=23&amp;ReportView=4&amp;Qid=1711279&amp;Row=9268&amp;Col=1","No Title Assigned - #15271068428")</f>
        <v/>
      </c>
      <c r="B9276" s="0" t="s">
        <v>12426</v>
      </c>
      <c r="E9276" s="0" t="inlineStr">
        <is>
          <t xml:space="preserve">Mazda</t>
        </is>
      </c>
      <c r="F9276" s="0" t="inlineStr">
        <is>
          <t xml:space="preserve">Mazda</t>
        </is>
      </c>
      <c r="G9276" s="0" t="s">
        <v>171</v>
      </c>
      <c r="H9276" s="5">
        <v>45.999400</v>
      </c>
    </row>
    <row r="9277" spans="1:9">
      <c r="A9277" s="22" t="str">
        <f>HYPERLINK("https://app.vivvix.com/360/KMI/IntelliDrive/ApplUI/Pages/CreativePages/CustomReportCreativeDetail.aspx?App=23&amp;ReportView=4&amp;Qid=1711279&amp;Row=9269&amp;Col=1","No Title Assigned - #15271068675")</f>
        <v/>
      </c>
      <c r="B9277" s="0" t="s">
        <v>12427</v>
      </c>
      <c r="E9277" s="0" t="inlineStr">
        <is>
          <t xml:space="preserve">Mazda</t>
        </is>
      </c>
      <c r="F9277" s="0" t="inlineStr">
        <is>
          <t xml:space="preserve">Mazda</t>
        </is>
      </c>
      <c r="G9277" s="0" t="s">
        <v>171</v>
      </c>
      <c r="H9277" s="5">
        <v>2.964800</v>
      </c>
    </row>
    <row r="9278" spans="1:9">
      <c r="A9278" s="22" t="str">
        <f>HYPERLINK("https://app.vivvix.com/360/KMI/IntelliDrive/ApplUI/Pages/CreativePages/CustomReportCreativeDetail.aspx?App=23&amp;ReportView=4&amp;Qid=1711279&amp;Row=9270&amp;Col=1","No Title Assigned - #15271069264")</f>
        <v/>
      </c>
      <c r="B9278" s="0" t="s">
        <v>12428</v>
      </c>
      <c r="C9278" s="0" t="s">
        <v>12429</v>
      </c>
      <c r="D9278" s="0" t="s">
        <v>12429</v>
      </c>
      <c r="E9278" s="0" t="inlineStr">
        <is>
          <t xml:space="preserve">Mazda</t>
        </is>
      </c>
      <c r="F9278" s="0" t="inlineStr">
        <is>
          <t xml:space="preserve">Mazda</t>
        </is>
      </c>
      <c r="G9278" s="0" t="s">
        <v>171</v>
      </c>
      <c r="H9278" s="5">
        <v>333.068800</v>
      </c>
    </row>
    <row r="9279" spans="1:9">
      <c r="A9279" s="22" t="str">
        <f>HYPERLINK("https://app.vivvix.com/360/KMI/IntelliDrive/ApplUI/Pages/CreativePages/CustomReportCreativeDetail.aspx?App=23&amp;ReportView=4&amp;Qid=1711279&amp;Row=9271&amp;Col=1","No Title Assigned - #15271070407")</f>
        <v/>
      </c>
      <c r="B9279" s="0" t="s">
        <v>12430</v>
      </c>
      <c r="E9279" s="0" t="inlineStr">
        <is>
          <t xml:space="preserve">Mazda</t>
        </is>
      </c>
      <c r="F9279" s="0" t="inlineStr">
        <is>
          <t xml:space="preserve">Mazda</t>
        </is>
      </c>
      <c r="G9279" s="0" t="s">
        <v>171</v>
      </c>
      <c r="H9279" s="5">
        <v>12.067100</v>
      </c>
    </row>
    <row r="9280" spans="1:9">
      <c r="A9280" s="22" t="str">
        <f>HYPERLINK("https://app.vivvix.com/360/KMI/IntelliDrive/ApplUI/Pages/CreativePages/CustomReportCreativeDetail.aspx?App=23&amp;ReportView=4&amp;Qid=1711279&amp;Row=9272&amp;Col=1","No Title Assigned - #15271070936")</f>
        <v/>
      </c>
      <c r="B9280" s="0" t="s">
        <v>12431</v>
      </c>
      <c r="E9280" s="0" t="inlineStr">
        <is>
          <t xml:space="preserve">Mazda</t>
        </is>
      </c>
      <c r="F9280" s="0" t="inlineStr">
        <is>
          <t xml:space="preserve">Mazda</t>
        </is>
      </c>
      <c r="G9280" s="0" t="s">
        <v>171</v>
      </c>
      <c r="H9280" s="5">
        <v>8.190900</v>
      </c>
    </row>
    <row r="9281" spans="1:9">
      <c r="A9281" s="22" t="str">
        <f>HYPERLINK("https://app.vivvix.com/360/KMI/IntelliDrive/ApplUI/Pages/CreativePages/CustomReportCreativeDetail.aspx?App=23&amp;ReportView=4&amp;Qid=1711279&amp;Row=9273&amp;Col=1","No Title Assigned - #15271071000")</f>
        <v/>
      </c>
      <c r="B9281" s="0" t="s">
        <v>12432</v>
      </c>
      <c r="E9281" s="0" t="inlineStr">
        <is>
          <t xml:space="preserve">Mazda</t>
        </is>
      </c>
      <c r="F9281" s="0" t="inlineStr">
        <is>
          <t xml:space="preserve">Mazda</t>
        </is>
      </c>
      <c r="G9281" s="0" t="s">
        <v>171</v>
      </c>
      <c r="H9281" s="5">
        <v>168.998100</v>
      </c>
    </row>
    <row r="9282" spans="1:9">
      <c r="A9282" s="22" t="str">
        <f>HYPERLINK("https://app.vivvix.com/360/KMI/IntelliDrive/ApplUI/Pages/CreativePages/CustomReportCreativeDetail.aspx?App=23&amp;ReportView=4&amp;Qid=1711279&amp;Row=9274&amp;Col=1","No Title Assigned - #15271072422")</f>
        <v/>
      </c>
      <c r="B9282" s="0" t="s">
        <v>12433</v>
      </c>
      <c r="E9282" s="0" t="inlineStr">
        <is>
          <t xml:space="preserve">Mazda</t>
        </is>
      </c>
      <c r="F9282" s="0" t="inlineStr">
        <is>
          <t xml:space="preserve">Mazda</t>
        </is>
      </c>
      <c r="G9282" s="0" t="s">
        <v>171</v>
      </c>
      <c r="H9282" s="5">
        <v>20.191500</v>
      </c>
    </row>
    <row r="9283" spans="1:9">
      <c r="A9283" s="22" t="str">
        <f>HYPERLINK("https://app.vivvix.com/360/KMI/IntelliDrive/ApplUI/Pages/CreativePages/CustomReportCreativeDetail.aspx?App=23&amp;ReportView=4&amp;Qid=1711279&amp;Row=9275&amp;Col=1","No Title Assigned - #15271082340")</f>
        <v/>
      </c>
      <c r="B9283" s="0" t="s">
        <v>12434</v>
      </c>
      <c r="E9283" s="0" t="inlineStr">
        <is>
          <t xml:space="preserve">Mazda</t>
        </is>
      </c>
      <c r="F9283" s="0" t="inlineStr">
        <is>
          <t xml:space="preserve">Mazda</t>
        </is>
      </c>
      <c r="G9283" s="0" t="s">
        <v>171</v>
      </c>
      <c r="H9283" s="5">
        <v>6.682500</v>
      </c>
    </row>
    <row r="9284" spans="1:9">
      <c r="A9284" s="22" t="str">
        <f>HYPERLINK("https://app.vivvix.com/360/KMI/IntelliDrive/ApplUI/Pages/CreativePages/CustomReportCreativeDetail.aspx?App=23&amp;ReportView=4&amp;Qid=1711279&amp;Row=9276&amp;Col=1","No Title Assigned - #15271083840")</f>
        <v/>
      </c>
      <c r="B9284" s="0" t="s">
        <v>12435</v>
      </c>
      <c r="E9284" s="0" t="inlineStr">
        <is>
          <t xml:space="preserve">Mazda</t>
        </is>
      </c>
      <c r="F9284" s="0" t="inlineStr">
        <is>
          <t xml:space="preserve">Mazda</t>
        </is>
      </c>
      <c r="G9284" s="0" t="s">
        <v>171</v>
      </c>
      <c r="H9284" s="5">
        <v>28.855600</v>
      </c>
    </row>
    <row r="9285" spans="1:9">
      <c r="A9285" s="22" t="str">
        <f>HYPERLINK("https://app.vivvix.com/360/KMI/IntelliDrive/ApplUI/Pages/CreativePages/CustomReportCreativeDetail.aspx?App=23&amp;ReportView=4&amp;Qid=1711279&amp;Row=9277&amp;Col=1","No Title Assigned - #15271084959")</f>
        <v/>
      </c>
      <c r="B9285" s="0" t="s">
        <v>12436</v>
      </c>
      <c r="E9285" s="0" t="inlineStr">
        <is>
          <t xml:space="preserve">Mazda</t>
        </is>
      </c>
      <c r="F9285" s="0" t="inlineStr">
        <is>
          <t xml:space="preserve">Mazda</t>
        </is>
      </c>
      <c r="G9285" s="0" t="s">
        <v>171</v>
      </c>
      <c r="H9285" s="5">
        <v>154.353800</v>
      </c>
    </row>
    <row r="9286" spans="1:9">
      <c r="A9286" s="22" t="str">
        <f>HYPERLINK("https://app.vivvix.com/360/KMI/IntelliDrive/ApplUI/Pages/CreativePages/CustomReportCreativeDetail.aspx?App=23&amp;ReportView=4&amp;Qid=1711279&amp;Row=9278&amp;Col=1","No Title Assigned - #15271085824")</f>
        <v/>
      </c>
      <c r="B9286" s="0" t="s">
        <v>12437</v>
      </c>
      <c r="E9286" s="0" t="inlineStr">
        <is>
          <t xml:space="preserve">Mazda</t>
        </is>
      </c>
      <c r="F9286" s="0" t="inlineStr">
        <is>
          <t xml:space="preserve">Mazda</t>
        </is>
      </c>
      <c r="G9286" s="0" t="s">
        <v>171</v>
      </c>
      <c r="H9286" s="5">
        <v>10995.761100</v>
      </c>
    </row>
    <row r="9287" spans="1:9">
      <c r="A9287" s="22" t="str">
        <f>HYPERLINK("https://app.vivvix.com/360/KMI/IntelliDrive/ApplUI/Pages/CreativePages/CustomReportCreativeDetail.aspx?App=23&amp;ReportView=4&amp;Qid=1711279&amp;Row=9279&amp;Col=1","No Title Assigned - #15271087573")</f>
        <v/>
      </c>
      <c r="B9287" s="0" t="s">
        <v>12438</v>
      </c>
      <c r="C9287" s="0" t="s">
        <v>12439</v>
      </c>
      <c r="D9287" s="0" t="s">
        <v>12439</v>
      </c>
      <c r="E9287" s="0" t="inlineStr">
        <is>
          <t xml:space="preserve">Mazda</t>
        </is>
      </c>
      <c r="F9287" s="0" t="s">
        <v>28</v>
      </c>
      <c r="G9287" s="0" t="s">
        <v>29</v>
      </c>
      <c r="H9287" s="5">
        <v>369.362200</v>
      </c>
    </row>
    <row r="9288" spans="1:9">
      <c r="A9288" s="22" t="str">
        <f>HYPERLINK("https://app.vivvix.com/360/KMI/IntelliDrive/ApplUI/Pages/CreativePages/CustomReportCreativeDetail.aspx?App=23&amp;ReportView=4&amp;Qid=1711279&amp;Row=9280&amp;Col=1","No Title Assigned - #15271087573")</f>
        <v/>
      </c>
      <c r="B9288" s="0" t="s">
        <v>12438</v>
      </c>
      <c r="E9288" s="0" t="inlineStr">
        <is>
          <t xml:space="preserve">Mazda</t>
        </is>
      </c>
      <c r="F9288" s="0" t="s">
        <v>28</v>
      </c>
      <c r="G9288" s="0" t="s">
        <v>29</v>
      </c>
      <c r="H9288" s="5">
        <v>18.520300</v>
      </c>
    </row>
    <row r="9289" spans="1:9">
      <c r="A9289" s="22" t="str">
        <f>HYPERLINK("https://app.vivvix.com/360/KMI/IntelliDrive/ApplUI/Pages/CreativePages/CustomReportCreativeDetail.aspx?App=23&amp;ReportView=4&amp;Qid=1711279&amp;Row=9281&amp;Col=1","No Title Assigned - #15271087807")</f>
        <v/>
      </c>
      <c r="B9289" s="0" t="s">
        <v>12440</v>
      </c>
      <c r="C9289" s="0" t="s">
        <v>12441</v>
      </c>
      <c r="D9289" s="0" t="s">
        <v>6785</v>
      </c>
      <c r="E9289" s="0" t="inlineStr">
        <is>
          <t xml:space="preserve">Mazda</t>
        </is>
      </c>
      <c r="F9289" s="0" t="s">
        <v>28</v>
      </c>
      <c r="G9289" s="0" t="s">
        <v>29</v>
      </c>
      <c r="H9289" s="5">
        <v>6.198600</v>
      </c>
    </row>
    <row r="9290" spans="1:9">
      <c r="A9290" s="22" t="str">
        <f>HYPERLINK("https://app.vivvix.com/360/KMI/IntelliDrive/ApplUI/Pages/CreativePages/CustomReportCreativeDetail.aspx?App=23&amp;ReportView=4&amp;Qid=1711279&amp;Row=9282&amp;Col=1","No Title Assigned - #15271088521")</f>
        <v/>
      </c>
      <c r="B9290" s="0" t="s">
        <v>12442</v>
      </c>
      <c r="C9290" s="0" t="s">
        <v>12443</v>
      </c>
      <c r="D9290" s="0" t="s">
        <v>4200</v>
      </c>
      <c r="E9290" s="0" t="inlineStr">
        <is>
          <t xml:space="preserve">Mazda</t>
        </is>
      </c>
      <c r="F9290" s="0" t="s">
        <v>28</v>
      </c>
      <c r="G9290" s="0" t="s">
        <v>29</v>
      </c>
      <c r="H9290" s="5">
        <v>133.839400</v>
      </c>
    </row>
    <row r="9291" spans="1:9">
      <c r="A9291" s="22" t="str">
        <f>HYPERLINK("https://app.vivvix.com/360/KMI/IntelliDrive/ApplUI/Pages/CreativePages/CustomReportCreativeDetail.aspx?App=23&amp;ReportView=4&amp;Qid=1711279&amp;Row=9283&amp;Col=1","No Title Assigned - #15271091065")</f>
        <v/>
      </c>
      <c r="B9291" s="0" t="s">
        <v>12444</v>
      </c>
      <c r="E9291" s="0" t="inlineStr">
        <is>
          <t xml:space="preserve">Mazda</t>
        </is>
      </c>
      <c r="F9291" s="0" t="inlineStr">
        <is>
          <t xml:space="preserve">Mazda</t>
        </is>
      </c>
      <c r="G9291" s="0" t="s">
        <v>171</v>
      </c>
      <c r="H9291" s="5">
        <v>140.151000</v>
      </c>
    </row>
    <row r="9292" spans="1:9">
      <c r="A9292" s="22" t="str">
        <f>HYPERLINK("https://app.vivvix.com/360/KMI/IntelliDrive/ApplUI/Pages/CreativePages/CustomReportCreativeDetail.aspx?App=23&amp;ReportView=4&amp;Qid=1711279&amp;Row=9284&amp;Col=1","No Title Assigned - #15271091099")</f>
        <v/>
      </c>
      <c r="B9292" s="0" t="s">
        <v>12445</v>
      </c>
      <c r="C9292" s="0" t="s">
        <v>12446</v>
      </c>
      <c r="D9292" s="0" t="s">
        <v>4781</v>
      </c>
      <c r="E9292" s="0" t="inlineStr">
        <is>
          <t xml:space="preserve">Mazda</t>
        </is>
      </c>
      <c r="F9292" s="0" t="s">
        <v>28</v>
      </c>
      <c r="G9292" s="0" t="s">
        <v>29</v>
      </c>
      <c r="H9292" s="5">
        <v>30.670700</v>
      </c>
    </row>
    <row r="9293" spans="1:9">
      <c r="A9293" s="22" t="str">
        <f>HYPERLINK("https://app.vivvix.com/360/KMI/IntelliDrive/ApplUI/Pages/CreativePages/CustomReportCreativeDetail.aspx?App=23&amp;ReportView=4&amp;Qid=1711279&amp;Row=9285&amp;Col=1","No Title Assigned - #15271091818")</f>
        <v/>
      </c>
      <c r="B9293" s="0" t="s">
        <v>12447</v>
      </c>
      <c r="C9293" s="0" t="s">
        <v>12448</v>
      </c>
      <c r="D9293" s="0" t="s">
        <v>12448</v>
      </c>
      <c r="E9293" s="0" t="inlineStr">
        <is>
          <t xml:space="preserve">Mazda</t>
        </is>
      </c>
      <c r="F9293" s="0" t="inlineStr">
        <is>
          <t xml:space="preserve">Mazda</t>
        </is>
      </c>
      <c r="G9293" s="0" t="s">
        <v>171</v>
      </c>
      <c r="H9293" s="5">
        <v>3.467400</v>
      </c>
    </row>
    <row r="9294" spans="1:9">
      <c r="A9294" s="22" t="str">
        <f>HYPERLINK("https://app.vivvix.com/360/KMI/IntelliDrive/ApplUI/Pages/CreativePages/CustomReportCreativeDetail.aspx?App=23&amp;ReportView=4&amp;Qid=1711279&amp;Row=9286&amp;Col=1","No Title Assigned - #15271094866")</f>
        <v/>
      </c>
      <c r="B9294" s="0" t="s">
        <v>12449</v>
      </c>
      <c r="C9294" s="0" t="s">
        <v>12450</v>
      </c>
      <c r="D9294" s="0" t="s">
        <v>7506</v>
      </c>
      <c r="E9294" s="0" t="inlineStr">
        <is>
          <t xml:space="preserve">Mazda</t>
        </is>
      </c>
      <c r="F9294" s="0" t="s">
        <v>28</v>
      </c>
      <c r="G9294" s="0" t="s">
        <v>29</v>
      </c>
      <c r="H9294" s="5">
        <v>9.366600</v>
      </c>
    </row>
    <row r="9295" spans="1:9">
      <c r="A9295" s="22" t="str">
        <f>HYPERLINK("https://app.vivvix.com/360/KMI/IntelliDrive/ApplUI/Pages/CreativePages/CustomReportCreativeDetail.aspx?App=23&amp;ReportView=4&amp;Qid=1711279&amp;Row=9287&amp;Col=1","No Title Assigned - #15271097732")</f>
        <v/>
      </c>
      <c r="B9295" s="0" t="s">
        <v>12451</v>
      </c>
      <c r="C9295" s="0" t="s">
        <v>12452</v>
      </c>
      <c r="D9295" s="0" t="s">
        <v>4200</v>
      </c>
      <c r="E9295" s="0" t="inlineStr">
        <is>
          <t xml:space="preserve">Mazda</t>
        </is>
      </c>
      <c r="F9295" s="0" t="s">
        <v>28</v>
      </c>
      <c r="G9295" s="0" t="s">
        <v>29</v>
      </c>
      <c r="H9295" s="5">
        <v>43.924600</v>
      </c>
    </row>
    <row r="9296" spans="1:9">
      <c r="A9296" s="22" t="str">
        <f>HYPERLINK("https://app.vivvix.com/360/KMI/IntelliDrive/ApplUI/Pages/CreativePages/CustomReportCreativeDetail.aspx?App=23&amp;ReportView=4&amp;Qid=1711279&amp;Row=9288&amp;Col=1","No Title Assigned - #15271097783")</f>
        <v/>
      </c>
      <c r="B9296" s="0" t="s">
        <v>12453</v>
      </c>
      <c r="C9296" s="0" t="s">
        <v>12454</v>
      </c>
      <c r="D9296" s="0" t="s">
        <v>4430</v>
      </c>
      <c r="E9296" s="0" t="inlineStr">
        <is>
          <t xml:space="preserve">Mazda</t>
        </is>
      </c>
      <c r="F9296" s="0" t="s">
        <v>28</v>
      </c>
      <c r="G9296" s="0" t="s">
        <v>29</v>
      </c>
      <c r="H9296" s="5">
        <v>7.632500</v>
      </c>
    </row>
    <row r="9297" spans="1:9">
      <c r="A9297" s="22" t="str">
        <f>HYPERLINK("https://app.vivvix.com/360/KMI/IntelliDrive/ApplUI/Pages/CreativePages/CustomReportCreativeDetail.aspx?App=23&amp;ReportView=4&amp;Qid=1711279&amp;Row=9289&amp;Col=1","No Title Assigned - #15271098120")</f>
        <v/>
      </c>
      <c r="B9297" s="0" t="s">
        <v>12455</v>
      </c>
      <c r="C9297" s="0" t="s">
        <v>12456</v>
      </c>
      <c r="D9297" s="0" t="s">
        <v>12456</v>
      </c>
      <c r="E9297" s="0" t="inlineStr">
        <is>
          <t xml:space="preserve">Mazda</t>
        </is>
      </c>
      <c r="F9297" s="0" t="s">
        <v>13</v>
      </c>
      <c r="G9297" s="0" t="s">
        <v>49</v>
      </c>
      <c r="H9297" s="5">
        <v>1149.177400</v>
      </c>
    </row>
    <row r="9298" spans="1:9">
      <c r="A9298" s="22" t="str">
        <f>HYPERLINK("https://app.vivvix.com/360/KMI/IntelliDrive/ApplUI/Pages/CreativePages/CustomReportCreativeDetail.aspx?App=23&amp;ReportView=4&amp;Qid=1711279&amp;Row=9290&amp;Col=1","No Title Assigned - #15271099602")</f>
        <v/>
      </c>
      <c r="B9298" s="0" t="s">
        <v>12457</v>
      </c>
      <c r="C9298" s="0" t="s">
        <v>12458</v>
      </c>
      <c r="D9298" s="0" t="s">
        <v>12458</v>
      </c>
      <c r="E9298" s="0" t="inlineStr">
        <is>
          <t xml:space="preserve">Mazda</t>
        </is>
      </c>
      <c r="F9298" s="0" t="s">
        <v>28</v>
      </c>
      <c r="G9298" s="0" t="s">
        <v>29</v>
      </c>
      <c r="H9298" s="5">
        <v>73.673800</v>
      </c>
    </row>
    <row r="9299" spans="1:9">
      <c r="A9299" s="22" t="str">
        <f>HYPERLINK("https://app.vivvix.com/360/KMI/IntelliDrive/ApplUI/Pages/CreativePages/CustomReportCreativeDetail.aspx?App=23&amp;ReportView=4&amp;Qid=1711279&amp;Row=9291&amp;Col=1","No Title Assigned - #15271100321")</f>
        <v/>
      </c>
      <c r="B9299" s="0" t="s">
        <v>12459</v>
      </c>
      <c r="C9299" s="0" t="s">
        <v>12460</v>
      </c>
      <c r="D9299" s="0" t="s">
        <v>12460</v>
      </c>
      <c r="E9299" s="0" t="inlineStr">
        <is>
          <t xml:space="preserve">Mazda</t>
        </is>
      </c>
      <c r="F9299" s="0" t="s">
        <v>28</v>
      </c>
      <c r="G9299" s="0" t="s">
        <v>29</v>
      </c>
      <c r="H9299" s="5">
        <v>52189.476600</v>
      </c>
    </row>
    <row r="9300" spans="1:9">
      <c r="A9300" s="22" t="str">
        <f>HYPERLINK("https://app.vivvix.com/360/KMI/IntelliDrive/ApplUI/Pages/CreativePages/CustomReportCreativeDetail.aspx?App=23&amp;ReportView=4&amp;Qid=1711279&amp;Row=9292&amp;Col=1","No Title Assigned - #15271102669")</f>
        <v/>
      </c>
      <c r="B9300" s="0" t="s">
        <v>12461</v>
      </c>
      <c r="C9300" s="0" t="s">
        <v>12462</v>
      </c>
      <c r="D9300" s="0" t="s">
        <v>12462</v>
      </c>
      <c r="E9300" s="0" t="inlineStr">
        <is>
          <t xml:space="preserve">Mazda</t>
        </is>
      </c>
      <c r="F9300" s="0" t="s">
        <v>28</v>
      </c>
      <c r="G9300" s="0" t="s">
        <v>29</v>
      </c>
      <c r="H9300" s="5">
        <v>710.081800</v>
      </c>
    </row>
    <row r="9301" spans="1:9">
      <c r="A9301" s="22" t="str">
        <f>HYPERLINK("https://app.vivvix.com/360/KMI/IntelliDrive/ApplUI/Pages/CreativePages/CustomReportCreativeDetail.aspx?App=23&amp;ReportView=4&amp;Qid=1711279&amp;Row=9293&amp;Col=1","No Title Assigned - #15271104268")</f>
        <v/>
      </c>
      <c r="B9301" s="0" t="s">
        <v>12463</v>
      </c>
      <c r="C9301" s="0" t="s">
        <v>12464</v>
      </c>
      <c r="D9301" s="0" t="s">
        <v>4200</v>
      </c>
      <c r="E9301" s="0" t="inlineStr">
        <is>
          <t xml:space="preserve">Mazda</t>
        </is>
      </c>
      <c r="F9301" s="0" t="s">
        <v>28</v>
      </c>
      <c r="G9301" s="0" t="s">
        <v>29</v>
      </c>
      <c r="H9301" s="5">
        <v>2.532900</v>
      </c>
    </row>
    <row r="9302" spans="1:9">
      <c r="A9302" s="22" t="str">
        <f>HYPERLINK("https://app.vivvix.com/360/KMI/IntelliDrive/ApplUI/Pages/CreativePages/CustomReportCreativeDetail.aspx?App=23&amp;ReportView=4&amp;Qid=1711279&amp;Row=9294&amp;Col=1","No Title Assigned - #15271104526")</f>
        <v/>
      </c>
      <c r="B9302" s="0" t="s">
        <v>12465</v>
      </c>
      <c r="C9302" s="0" t="s">
        <v>12466</v>
      </c>
      <c r="D9302" s="0" t="s">
        <v>4200</v>
      </c>
      <c r="E9302" s="0" t="inlineStr">
        <is>
          <t xml:space="preserve">Mazda</t>
        </is>
      </c>
      <c r="F9302" s="0" t="s">
        <v>28</v>
      </c>
      <c r="G9302" s="0" t="s">
        <v>29</v>
      </c>
      <c r="H9302" s="5">
        <v>9.592700</v>
      </c>
    </row>
    <row r="9303" spans="1:9">
      <c r="A9303" s="22" t="str">
        <f>HYPERLINK("https://app.vivvix.com/360/KMI/IntelliDrive/ApplUI/Pages/CreativePages/CustomReportCreativeDetail.aspx?App=23&amp;ReportView=4&amp;Qid=1711279&amp;Row=9295&amp;Col=1","No Title Assigned - #15271104703")</f>
        <v/>
      </c>
      <c r="B9303" s="0" t="s">
        <v>12467</v>
      </c>
      <c r="C9303" s="0" t="s">
        <v>12468</v>
      </c>
      <c r="D9303" s="0" t="s">
        <v>12468</v>
      </c>
      <c r="E9303" s="0" t="inlineStr">
        <is>
          <t xml:space="preserve">Mazda</t>
        </is>
      </c>
      <c r="F9303" s="0" t="s">
        <v>28</v>
      </c>
      <c r="G9303" s="0" t="s">
        <v>29</v>
      </c>
      <c r="H9303" s="5">
        <v>24.848100</v>
      </c>
    </row>
    <row r="9304" spans="1:9">
      <c r="A9304" s="22" t="str">
        <f>HYPERLINK("https://app.vivvix.com/360/KMI/IntelliDrive/ApplUI/Pages/CreativePages/CustomReportCreativeDetail.aspx?App=23&amp;ReportView=4&amp;Qid=1711279&amp;Row=9296&amp;Col=1","No Title Assigned - #15271109590")</f>
        <v/>
      </c>
      <c r="B9304" s="0" t="s">
        <v>12469</v>
      </c>
      <c r="C9304" s="0" t="s">
        <v>12470</v>
      </c>
      <c r="D9304" s="0" t="s">
        <v>4232</v>
      </c>
      <c r="E9304" s="0" t="inlineStr">
        <is>
          <t xml:space="preserve">Mazda</t>
        </is>
      </c>
      <c r="F9304" s="0" t="s">
        <v>28</v>
      </c>
      <c r="G9304" s="0" t="s">
        <v>29</v>
      </c>
      <c r="H9304" s="5">
        <v>28.546500</v>
      </c>
    </row>
    <row r="9305" spans="1:9">
      <c r="A9305" s="22" t="str">
        <f>HYPERLINK("https://app.vivvix.com/360/KMI/IntelliDrive/ApplUI/Pages/CreativePages/CustomReportCreativeDetail.aspx?App=23&amp;ReportView=4&amp;Qid=1711279&amp;Row=9297&amp;Col=1","No Title Assigned - #15271110035")</f>
        <v/>
      </c>
      <c r="B9305" s="0" t="s">
        <v>12471</v>
      </c>
      <c r="C9305" s="0" t="s">
        <v>12472</v>
      </c>
      <c r="D9305" s="0" t="s">
        <v>12472</v>
      </c>
      <c r="E9305" s="0" t="inlineStr">
        <is>
          <t xml:space="preserve">Mazda</t>
        </is>
      </c>
      <c r="F9305" s="0" t="s">
        <v>28</v>
      </c>
      <c r="G9305" s="0" t="s">
        <v>29</v>
      </c>
      <c r="H9305" s="5">
        <v>47.827500</v>
      </c>
    </row>
    <row r="9306" spans="1:9">
      <c r="A9306" s="22" t="str">
        <f>HYPERLINK("https://app.vivvix.com/360/KMI/IntelliDrive/ApplUI/Pages/CreativePages/CustomReportCreativeDetail.aspx?App=23&amp;ReportView=4&amp;Qid=1711279&amp;Row=9298&amp;Col=1","No Title Assigned - #15271110167")</f>
        <v/>
      </c>
      <c r="B9306" s="0" t="s">
        <v>12473</v>
      </c>
      <c r="E9306" s="0" t="inlineStr">
        <is>
          <t xml:space="preserve">Mazda</t>
        </is>
      </c>
      <c r="F9306" s="0" t="s">
        <v>28</v>
      </c>
      <c r="G9306" s="0" t="s">
        <v>29</v>
      </c>
      <c r="H9306" s="5">
        <v>5.926000</v>
      </c>
    </row>
    <row r="9307" spans="1:9">
      <c r="A9307" s="22" t="str">
        <f>HYPERLINK("https://app.vivvix.com/360/KMI/IntelliDrive/ApplUI/Pages/CreativePages/CustomReportCreativeDetail.aspx?App=23&amp;ReportView=4&amp;Qid=1711279&amp;Row=9299&amp;Col=1","No Title Assigned - #15271110167")</f>
        <v/>
      </c>
      <c r="B9307" s="0" t="s">
        <v>12473</v>
      </c>
      <c r="C9307" s="0" t="s">
        <v>12474</v>
      </c>
      <c r="D9307" s="0" t="s">
        <v>12474</v>
      </c>
      <c r="E9307" s="0" t="inlineStr">
        <is>
          <t xml:space="preserve">Mazda</t>
        </is>
      </c>
      <c r="F9307" s="0" t="s">
        <v>28</v>
      </c>
      <c r="G9307" s="0" t="s">
        <v>29</v>
      </c>
      <c r="H9307" s="5">
        <v>35.993900</v>
      </c>
    </row>
    <row r="9308" spans="1:9">
      <c r="A9308" s="22" t="str">
        <f>HYPERLINK("https://app.vivvix.com/360/KMI/IntelliDrive/ApplUI/Pages/CreativePages/CustomReportCreativeDetail.aspx?App=23&amp;ReportView=4&amp;Qid=1711279&amp;Row=9300&amp;Col=1","No Title Assigned - #15271110860")</f>
        <v/>
      </c>
      <c r="B9308" s="0" t="s">
        <v>12475</v>
      </c>
      <c r="C9308" s="0" t="s">
        <v>12476</v>
      </c>
      <c r="D9308" s="0" t="s">
        <v>12476</v>
      </c>
      <c r="E9308" s="0" t="inlineStr">
        <is>
          <t xml:space="preserve">Mazda</t>
        </is>
      </c>
      <c r="F9308" s="0" t="s">
        <v>28</v>
      </c>
      <c r="G9308" s="0" t="s">
        <v>29</v>
      </c>
      <c r="H9308" s="5">
        <v>21.141500</v>
      </c>
    </row>
    <row r="9309" spans="1:9">
      <c r="A9309" s="22" t="str">
        <f>HYPERLINK("https://app.vivvix.com/360/KMI/IntelliDrive/ApplUI/Pages/CreativePages/CustomReportCreativeDetail.aspx?App=23&amp;ReportView=4&amp;Qid=1711279&amp;Row=9301&amp;Col=1","No Title Assigned - #15271111537")</f>
        <v/>
      </c>
      <c r="B9309" s="0" t="s">
        <v>12477</v>
      </c>
      <c r="C9309" s="0" t="s">
        <v>12478</v>
      </c>
      <c r="D9309" s="0" t="s">
        <v>8859</v>
      </c>
      <c r="E9309" s="0" t="inlineStr">
        <is>
          <t xml:space="preserve">Mazda</t>
        </is>
      </c>
      <c r="F9309" s="0" t="s">
        <v>28</v>
      </c>
      <c r="G9309" s="0" t="s">
        <v>29</v>
      </c>
      <c r="H9309" s="5">
        <v>74.263200</v>
      </c>
    </row>
    <row r="9310" spans="1:9">
      <c r="A9310" s="22" t="str">
        <f>HYPERLINK("https://app.vivvix.com/360/KMI/IntelliDrive/ApplUI/Pages/CreativePages/CustomReportCreativeDetail.aspx?App=23&amp;ReportView=4&amp;Qid=1711279&amp;Row=9302&amp;Col=1","No Title Assigned - #15271111538")</f>
        <v/>
      </c>
      <c r="B9310" s="0" t="s">
        <v>12479</v>
      </c>
      <c r="C9310" s="0" t="s">
        <v>12480</v>
      </c>
      <c r="D9310" s="0" t="s">
        <v>12480</v>
      </c>
      <c r="E9310" s="0" t="inlineStr">
        <is>
          <t xml:space="preserve">Mazda</t>
        </is>
      </c>
      <c r="F9310" s="0" t="s">
        <v>28</v>
      </c>
      <c r="G9310" s="0" t="s">
        <v>29</v>
      </c>
      <c r="H9310" s="5">
        <v>49.508800</v>
      </c>
    </row>
    <row r="9311" spans="1:9">
      <c r="A9311" s="22" t="str">
        <f>HYPERLINK("https://app.vivvix.com/360/KMI/IntelliDrive/ApplUI/Pages/CreativePages/CustomReportCreativeDetail.aspx?App=23&amp;ReportView=4&amp;Qid=1711279&amp;Row=9303&amp;Col=1","No Title Assigned - #15271113112")</f>
        <v/>
      </c>
      <c r="B9311" s="0" t="s">
        <v>12481</v>
      </c>
      <c r="C9311" s="0" t="s">
        <v>12482</v>
      </c>
      <c r="D9311" s="0" t="s">
        <v>4202</v>
      </c>
      <c r="E9311" s="0" t="inlineStr">
        <is>
          <t xml:space="preserve">Mazda</t>
        </is>
      </c>
      <c r="F9311" s="0" t="s">
        <v>28</v>
      </c>
      <c r="G9311" s="0" t="s">
        <v>29</v>
      </c>
      <c r="H9311" s="5">
        <v>147.673700</v>
      </c>
    </row>
    <row r="9312" spans="1:9">
      <c r="A9312" s="22" t="str">
        <f>HYPERLINK("https://app.vivvix.com/360/KMI/IntelliDrive/ApplUI/Pages/CreativePages/CustomReportCreativeDetail.aspx?App=23&amp;ReportView=4&amp;Qid=1711279&amp;Row=9304&amp;Col=1","No Title Assigned - #15271114582")</f>
        <v/>
      </c>
      <c r="B9312" s="0" t="s">
        <v>12483</v>
      </c>
      <c r="C9312" s="0" t="s">
        <v>12484</v>
      </c>
      <c r="D9312" s="0" t="s">
        <v>12484</v>
      </c>
      <c r="E9312" s="0" t="inlineStr">
        <is>
          <t xml:space="preserve">Mazda</t>
        </is>
      </c>
      <c r="F9312" s="0" t="s">
        <v>28</v>
      </c>
      <c r="G9312" s="0" t="s">
        <v>29</v>
      </c>
      <c r="H9312" s="5">
        <v>7349.786600</v>
      </c>
    </row>
    <row r="9313" spans="1:9">
      <c r="A9313" s="22" t="str">
        <f>HYPERLINK("https://app.vivvix.com/360/KMI/IntelliDrive/ApplUI/Pages/CreativePages/CustomReportCreativeDetail.aspx?App=23&amp;ReportView=4&amp;Qid=1711279&amp;Row=9305&amp;Col=1","No Title Assigned - #15271115306")</f>
        <v/>
      </c>
      <c r="B9313" s="0" t="s">
        <v>12485</v>
      </c>
      <c r="E9313" s="0" t="inlineStr">
        <is>
          <t xml:space="preserve">Mazda</t>
        </is>
      </c>
      <c r="F9313" s="0" t="inlineStr">
        <is>
          <t xml:space="preserve">Mazda</t>
        </is>
      </c>
      <c r="G9313" s="0" t="s">
        <v>171</v>
      </c>
      <c r="H9313" s="5">
        <v>20.609400</v>
      </c>
    </row>
    <row r="9314" spans="1:9">
      <c r="A9314" s="22" t="str">
        <f>HYPERLINK("https://app.vivvix.com/360/KMI/IntelliDrive/ApplUI/Pages/CreativePages/CustomReportCreativeDetail.aspx?App=23&amp;ReportView=4&amp;Qid=1711279&amp;Row=9306&amp;Col=1","No Title Assigned - #15271118241")</f>
        <v/>
      </c>
      <c r="B9314" s="0" t="s">
        <v>12486</v>
      </c>
      <c r="C9314" s="0" t="s">
        <v>12487</v>
      </c>
      <c r="D9314" s="0" t="s">
        <v>9346</v>
      </c>
      <c r="E9314" s="0" t="inlineStr">
        <is>
          <t xml:space="preserve">Mazda</t>
        </is>
      </c>
      <c r="F9314" s="0" t="s">
        <v>28</v>
      </c>
      <c r="G9314" s="0" t="s">
        <v>29</v>
      </c>
      <c r="H9314" s="5">
        <v>57.093000</v>
      </c>
    </row>
    <row r="9315" spans="1:9">
      <c r="A9315" s="22" t="str">
        <f>HYPERLINK("https://app.vivvix.com/360/KMI/IntelliDrive/ApplUI/Pages/CreativePages/CustomReportCreativeDetail.aspx?App=23&amp;ReportView=4&amp;Qid=1711279&amp;Row=9307&amp;Col=1","No Title Assigned - #15271118334")</f>
        <v/>
      </c>
      <c r="B9315" s="0" t="s">
        <v>12488</v>
      </c>
      <c r="C9315" s="0" t="s">
        <v>12489</v>
      </c>
      <c r="D9315" s="0" t="s">
        <v>4204</v>
      </c>
      <c r="E9315" s="0" t="inlineStr">
        <is>
          <t xml:space="preserve">Mazda</t>
        </is>
      </c>
      <c r="F9315" s="0" t="s">
        <v>28</v>
      </c>
      <c r="G9315" s="0" t="s">
        <v>29</v>
      </c>
      <c r="H9315" s="5">
        <v>6.247800</v>
      </c>
    </row>
    <row r="9316" spans="1:9">
      <c r="A9316" s="22" t="str">
        <f>HYPERLINK("https://app.vivvix.com/360/KMI/IntelliDrive/ApplUI/Pages/CreativePages/CustomReportCreativeDetail.aspx?App=23&amp;ReportView=4&amp;Qid=1711279&amp;Row=9308&amp;Col=1","No Title Assigned - #15271119028")</f>
        <v/>
      </c>
      <c r="B9316" s="0" t="s">
        <v>12490</v>
      </c>
      <c r="C9316" s="0" t="s">
        <v>12491</v>
      </c>
      <c r="D9316" s="0" t="s">
        <v>4202</v>
      </c>
      <c r="E9316" s="0" t="inlineStr">
        <is>
          <t xml:space="preserve">Mazda</t>
        </is>
      </c>
      <c r="F9316" s="0" t="s">
        <v>28</v>
      </c>
      <c r="G9316" s="0" t="s">
        <v>29</v>
      </c>
      <c r="H9316" s="5">
        <v>6.527100</v>
      </c>
    </row>
    <row r="9317" spans="1:9">
      <c r="A9317" s="22" t="str">
        <f>HYPERLINK("https://app.vivvix.com/360/KMI/IntelliDrive/ApplUI/Pages/CreativePages/CustomReportCreativeDetail.aspx?App=23&amp;ReportView=4&amp;Qid=1711279&amp;Row=9309&amp;Col=1","No Title Assigned - #15271119429")</f>
        <v/>
      </c>
      <c r="B9317" s="0" t="s">
        <v>12492</v>
      </c>
      <c r="E9317" s="0" t="inlineStr">
        <is>
          <t xml:space="preserve">Mazda</t>
        </is>
      </c>
      <c r="F9317" s="0" t="s">
        <v>28</v>
      </c>
      <c r="G9317" s="0" t="s">
        <v>29</v>
      </c>
      <c r="H9317" s="5">
        <v>1990.819100</v>
      </c>
    </row>
    <row r="9318" spans="1:9">
      <c r="A9318" s="22" t="str">
        <f>HYPERLINK("https://app.vivvix.com/360/KMI/IntelliDrive/ApplUI/Pages/CreativePages/CustomReportCreativeDetail.aspx?App=23&amp;ReportView=4&amp;Qid=1711279&amp;Row=9310&amp;Col=1","No Title Assigned - #15271119429")</f>
        <v/>
      </c>
      <c r="B9318" s="0" t="s">
        <v>12492</v>
      </c>
      <c r="C9318" s="0" t="s">
        <v>12493</v>
      </c>
      <c r="D9318" s="0" t="s">
        <v>12493</v>
      </c>
      <c r="E9318" s="0" t="inlineStr">
        <is>
          <t xml:space="preserve">Mazda</t>
        </is>
      </c>
      <c r="F9318" s="0" t="s">
        <v>28</v>
      </c>
      <c r="G9318" s="0" t="s">
        <v>29</v>
      </c>
      <c r="H9318" s="5">
        <v>11370.448700</v>
      </c>
    </row>
    <row r="9319" spans="1:9">
      <c r="A9319" s="22" t="str">
        <f>HYPERLINK("https://app.vivvix.com/360/KMI/IntelliDrive/ApplUI/Pages/CreativePages/CustomReportCreativeDetail.aspx?App=23&amp;ReportView=4&amp;Qid=1711279&amp;Row=9311&amp;Col=1","No Title Assigned - #15271119555")</f>
        <v/>
      </c>
      <c r="B9319" s="0" t="s">
        <v>12494</v>
      </c>
      <c r="C9319" s="0" t="s">
        <v>12495</v>
      </c>
      <c r="D9319" s="0" t="s">
        <v>4333</v>
      </c>
      <c r="E9319" s="0" t="inlineStr">
        <is>
          <t xml:space="preserve">Mazda</t>
        </is>
      </c>
      <c r="F9319" s="0" t="s">
        <v>28</v>
      </c>
      <c r="G9319" s="0" t="s">
        <v>29</v>
      </c>
      <c r="H9319" s="5">
        <v>178.234700</v>
      </c>
    </row>
    <row r="9320" spans="1:9">
      <c r="A9320" s="22" t="str">
        <f>HYPERLINK("https://app.vivvix.com/360/KMI/IntelliDrive/ApplUI/Pages/CreativePages/CustomReportCreativeDetail.aspx?App=23&amp;ReportView=4&amp;Qid=1711279&amp;Row=9312&amp;Col=1","No Title Assigned - #15271120490")</f>
        <v/>
      </c>
      <c r="B9320" s="0" t="s">
        <v>12496</v>
      </c>
      <c r="C9320" s="0" t="s">
        <v>12497</v>
      </c>
      <c r="D9320" s="0" t="s">
        <v>4202</v>
      </c>
      <c r="E9320" s="0" t="inlineStr">
        <is>
          <t xml:space="preserve">Mazda</t>
        </is>
      </c>
      <c r="F9320" s="0" t="s">
        <v>28</v>
      </c>
      <c r="G9320" s="0" t="s">
        <v>29</v>
      </c>
      <c r="H9320" s="5">
        <v>19.871100</v>
      </c>
    </row>
    <row r="9321" spans="1:9">
      <c r="A9321" s="22" t="str">
        <f>HYPERLINK("https://app.vivvix.com/360/KMI/IntelliDrive/ApplUI/Pages/CreativePages/CustomReportCreativeDetail.aspx?App=23&amp;ReportView=4&amp;Qid=1711279&amp;Row=9313&amp;Col=1","No Title Assigned - #15271120557")</f>
        <v/>
      </c>
      <c r="B9321" s="0" t="s">
        <v>12498</v>
      </c>
      <c r="E9321" s="0" t="inlineStr">
        <is>
          <t xml:space="preserve">Mazda</t>
        </is>
      </c>
      <c r="F9321" s="0" t="inlineStr">
        <is>
          <t xml:space="preserve">Mazda</t>
        </is>
      </c>
      <c r="G9321" s="0" t="s">
        <v>171</v>
      </c>
      <c r="H9321" s="5">
        <v>32.559200</v>
      </c>
    </row>
    <row r="9322" spans="1:9">
      <c r="A9322" s="22" t="str">
        <f>HYPERLINK("https://app.vivvix.com/360/KMI/IntelliDrive/ApplUI/Pages/CreativePages/CustomReportCreativeDetail.aspx?App=23&amp;ReportView=4&amp;Qid=1711279&amp;Row=9314&amp;Col=1","No Title Assigned - #15271122247")</f>
        <v/>
      </c>
      <c r="B9322" s="0" t="s">
        <v>12499</v>
      </c>
      <c r="C9322" s="0" t="s">
        <v>12500</v>
      </c>
      <c r="D9322" s="0" t="s">
        <v>4333</v>
      </c>
      <c r="E9322" s="0" t="inlineStr">
        <is>
          <t xml:space="preserve">Mazda</t>
        </is>
      </c>
      <c r="F9322" s="0" t="s">
        <v>28</v>
      </c>
      <c r="G9322" s="0" t="s">
        <v>29</v>
      </c>
      <c r="H9322" s="5">
        <v>683.627100</v>
      </c>
    </row>
    <row r="9323" spans="1:9">
      <c r="A9323" s="22" t="str">
        <f>HYPERLINK("https://app.vivvix.com/360/KMI/IntelliDrive/ApplUI/Pages/CreativePages/CustomReportCreativeDetail.aspx?App=23&amp;ReportView=4&amp;Qid=1711279&amp;Row=9315&amp;Col=1","No Title Assigned - #15271122260")</f>
        <v/>
      </c>
      <c r="B9323" s="0" t="s">
        <v>12501</v>
      </c>
      <c r="C9323" s="0" t="s">
        <v>12502</v>
      </c>
      <c r="D9323" s="0" t="s">
        <v>12502</v>
      </c>
      <c r="E9323" s="0" t="inlineStr">
        <is>
          <t xml:space="preserve">Mazda</t>
        </is>
      </c>
      <c r="F9323" s="0" t="s">
        <v>28</v>
      </c>
      <c r="G9323" s="0" t="s">
        <v>29</v>
      </c>
      <c r="H9323" s="5">
        <v>11.898900</v>
      </c>
    </row>
    <row r="9324" spans="1:9">
      <c r="A9324" s="22" t="str">
        <f>HYPERLINK("https://app.vivvix.com/360/KMI/IntelliDrive/ApplUI/Pages/CreativePages/CustomReportCreativeDetail.aspx?App=23&amp;ReportView=4&amp;Qid=1711279&amp;Row=9316&amp;Col=1","No Title Assigned - #15271122472")</f>
        <v/>
      </c>
      <c r="B9324" s="0" t="s">
        <v>12503</v>
      </c>
      <c r="E9324" s="0" t="inlineStr">
        <is>
          <t xml:space="preserve">Mazda</t>
        </is>
      </c>
      <c r="F9324" s="0" t="inlineStr">
        <is>
          <t xml:space="preserve">Mazda</t>
        </is>
      </c>
      <c r="G9324" s="0" t="s">
        <v>171</v>
      </c>
      <c r="H9324" s="5">
        <v>204.003600</v>
      </c>
    </row>
    <row r="9325" spans="1:9">
      <c r="A9325" s="22" t="str">
        <f>HYPERLINK("https://app.vivvix.com/360/KMI/IntelliDrive/ApplUI/Pages/CreativePages/CustomReportCreativeDetail.aspx?App=23&amp;ReportView=4&amp;Qid=1711279&amp;Row=9317&amp;Col=1","No Title Assigned - #15271122746")</f>
        <v/>
      </c>
      <c r="B9325" s="0" t="s">
        <v>12504</v>
      </c>
      <c r="C9325" s="0" t="s">
        <v>12505</v>
      </c>
      <c r="D9325" s="0" t="s">
        <v>6339</v>
      </c>
      <c r="E9325" s="0" t="inlineStr">
        <is>
          <t xml:space="preserve">Mazda</t>
        </is>
      </c>
      <c r="F9325" s="0" t="s">
        <v>28</v>
      </c>
      <c r="G9325" s="0" t="s">
        <v>29</v>
      </c>
      <c r="H9325" s="5">
        <v>69.416100</v>
      </c>
    </row>
    <row r="9326" spans="1:9">
      <c r="A9326" s="22" t="str">
        <f>HYPERLINK("https://app.vivvix.com/360/KMI/IntelliDrive/ApplUI/Pages/CreativePages/CustomReportCreativeDetail.aspx?App=23&amp;ReportView=4&amp;Qid=1711279&amp;Row=9318&amp;Col=1","No Title Assigned - #15271122746")</f>
        <v/>
      </c>
      <c r="B9326" s="0" t="s">
        <v>12504</v>
      </c>
      <c r="E9326" s="0" t="inlineStr">
        <is>
          <t xml:space="preserve">Mazda</t>
        </is>
      </c>
      <c r="F9326" s="0" t="s">
        <v>28</v>
      </c>
      <c r="G9326" s="0" t="s">
        <v>29</v>
      </c>
      <c r="H9326" s="5">
        <v>967.157500</v>
      </c>
    </row>
    <row r="9327" spans="1:9">
      <c r="A9327" s="22" t="str">
        <f>HYPERLINK("https://app.vivvix.com/360/KMI/IntelliDrive/ApplUI/Pages/CreativePages/CustomReportCreativeDetail.aspx?App=23&amp;ReportView=4&amp;Qid=1711279&amp;Row=9319&amp;Col=1","No Title Assigned - #15271123747")</f>
        <v/>
      </c>
      <c r="B9327" s="0" t="s">
        <v>12506</v>
      </c>
      <c r="C9327" s="0" t="s">
        <v>12507</v>
      </c>
      <c r="D9327" s="0" t="s">
        <v>12507</v>
      </c>
      <c r="E9327" s="0" t="inlineStr">
        <is>
          <t xml:space="preserve">Mazda</t>
        </is>
      </c>
      <c r="F9327" s="0" t="s">
        <v>28</v>
      </c>
      <c r="G9327" s="0" t="s">
        <v>29</v>
      </c>
      <c r="H9327" s="5">
        <v>11.725900</v>
      </c>
    </row>
    <row r="9328" spans="1:9">
      <c r="A9328" s="22" t="str">
        <f>HYPERLINK("https://app.vivvix.com/360/KMI/IntelliDrive/ApplUI/Pages/CreativePages/CustomReportCreativeDetail.aspx?App=23&amp;ReportView=4&amp;Qid=1711279&amp;Row=9320&amp;Col=1","No Title Assigned - #15271125054")</f>
        <v/>
      </c>
      <c r="B9328" s="0" t="s">
        <v>12508</v>
      </c>
      <c r="E9328" s="0" t="inlineStr">
        <is>
          <t xml:space="preserve">Mazda</t>
        </is>
      </c>
      <c r="F9328" s="0" t="inlineStr">
        <is>
          <t xml:space="preserve">Mazda</t>
        </is>
      </c>
      <c r="G9328" s="0" t="s">
        <v>171</v>
      </c>
      <c r="H9328" s="5">
        <v>2.609300</v>
      </c>
    </row>
    <row r="9329" spans="1:9">
      <c r="A9329" s="22" t="str">
        <f>HYPERLINK("https://app.vivvix.com/360/KMI/IntelliDrive/ApplUI/Pages/CreativePages/CustomReportCreativeDetail.aspx?App=23&amp;ReportView=4&amp;Qid=1711279&amp;Row=9321&amp;Col=1","No Title Assigned - #15271125392")</f>
        <v/>
      </c>
      <c r="B9329" s="0" t="s">
        <v>12509</v>
      </c>
      <c r="C9329" s="0" t="s">
        <v>12510</v>
      </c>
      <c r="D9329" s="0" t="s">
        <v>4204</v>
      </c>
      <c r="E9329" s="0" t="inlineStr">
        <is>
          <t xml:space="preserve">Mazda</t>
        </is>
      </c>
      <c r="F9329" s="0" t="s">
        <v>28</v>
      </c>
      <c r="G9329" s="0" t="s">
        <v>29</v>
      </c>
      <c r="H9329" s="5">
        <v>606.945800</v>
      </c>
    </row>
    <row r="9330" spans="1:9">
      <c r="A9330" s="22" t="str">
        <f>HYPERLINK("https://app.vivvix.com/360/KMI/IntelliDrive/ApplUI/Pages/CreativePages/CustomReportCreativeDetail.aspx?App=23&amp;ReportView=4&amp;Qid=1711279&amp;Row=9322&amp;Col=1","No Title Assigned - #15271125849")</f>
        <v/>
      </c>
      <c r="B9330" s="0" t="s">
        <v>12511</v>
      </c>
      <c r="C9330" s="0" t="s">
        <v>12512</v>
      </c>
      <c r="D9330" s="0" t="s">
        <v>12512</v>
      </c>
      <c r="E9330" s="0" t="inlineStr">
        <is>
          <t xml:space="preserve">Mazda</t>
        </is>
      </c>
      <c r="F9330" s="0" t="s">
        <v>28</v>
      </c>
      <c r="G9330" s="0" t="s">
        <v>29</v>
      </c>
      <c r="H9330" s="5">
        <v>47.827500</v>
      </c>
    </row>
    <row r="9331" spans="1:9">
      <c r="A9331" s="22" t="str">
        <f>HYPERLINK("https://app.vivvix.com/360/KMI/IntelliDrive/ApplUI/Pages/CreativePages/CustomReportCreativeDetail.aspx?App=23&amp;ReportView=4&amp;Qid=1711279&amp;Row=9323&amp;Col=1","No Title Assigned - #15271126537")</f>
        <v/>
      </c>
      <c r="B9331" s="0" t="s">
        <v>12513</v>
      </c>
      <c r="E9331" s="0" t="inlineStr">
        <is>
          <t xml:space="preserve">Mazda</t>
        </is>
      </c>
      <c r="F9331" s="0" t="inlineStr">
        <is>
          <t xml:space="preserve">Mazda</t>
        </is>
      </c>
      <c r="G9331" s="0" t="s">
        <v>171</v>
      </c>
      <c r="H9331" s="5">
        <v>24.833700</v>
      </c>
    </row>
    <row r="9332" spans="1:9">
      <c r="A9332" s="22" t="str">
        <f>HYPERLINK("https://app.vivvix.com/360/KMI/IntelliDrive/ApplUI/Pages/CreativePages/CustomReportCreativeDetail.aspx?App=23&amp;ReportView=4&amp;Qid=1711279&amp;Row=9324&amp;Col=1","No Title Assigned - #15271128842")</f>
        <v/>
      </c>
      <c r="B9332" s="0" t="s">
        <v>12514</v>
      </c>
      <c r="E9332" s="0" t="inlineStr">
        <is>
          <t xml:space="preserve">Mazda</t>
        </is>
      </c>
      <c r="F9332" s="0" t="inlineStr">
        <is>
          <t xml:space="preserve">Mazda</t>
        </is>
      </c>
      <c r="G9332" s="0" t="s">
        <v>171</v>
      </c>
      <c r="H9332" s="5">
        <v>335.010700</v>
      </c>
    </row>
    <row r="9333" spans="1:9">
      <c r="A9333" s="22" t="str">
        <f>HYPERLINK("https://app.vivvix.com/360/KMI/IntelliDrive/ApplUI/Pages/CreativePages/CustomReportCreativeDetail.aspx?App=23&amp;ReportView=4&amp;Qid=1711279&amp;Row=9325&amp;Col=1","No Title Assigned - #15271130725")</f>
        <v/>
      </c>
      <c r="B9333" s="0" t="s">
        <v>12515</v>
      </c>
      <c r="E9333" s="0" t="inlineStr">
        <is>
          <t xml:space="preserve">Mazda</t>
        </is>
      </c>
      <c r="F9333" s="0" t="inlineStr">
        <is>
          <t xml:space="preserve">Mazda</t>
        </is>
      </c>
      <c r="G9333" s="0" t="s">
        <v>171</v>
      </c>
      <c r="H9333" s="5">
        <v>39.808800</v>
      </c>
    </row>
    <row r="9334" spans="1:9">
      <c r="A9334" s="22" t="str">
        <f>HYPERLINK("https://app.vivvix.com/360/KMI/IntelliDrive/ApplUI/Pages/CreativePages/CustomReportCreativeDetail.aspx?App=23&amp;ReportView=4&amp;Qid=1711279&amp;Row=9326&amp;Col=1","No Title Assigned - #15271131588")</f>
        <v/>
      </c>
      <c r="B9334" s="0" t="s">
        <v>12516</v>
      </c>
      <c r="E9334" s="0" t="inlineStr">
        <is>
          <t xml:space="preserve">Mazda</t>
        </is>
      </c>
      <c r="F9334" s="0" t="inlineStr">
        <is>
          <t xml:space="preserve">Mazda</t>
        </is>
      </c>
      <c r="G9334" s="0" t="s">
        <v>171</v>
      </c>
      <c r="H9334" s="5">
        <v>1333.676800</v>
      </c>
    </row>
    <row r="9335" spans="1:9">
      <c r="A9335" s="22" t="str">
        <f>HYPERLINK("https://app.vivvix.com/360/KMI/IntelliDrive/ApplUI/Pages/CreativePages/CustomReportCreativeDetail.aspx?App=23&amp;ReportView=4&amp;Qid=1711279&amp;Row=9327&amp;Col=1","No Title Assigned - #15271132990")</f>
        <v/>
      </c>
      <c r="B9335" s="0" t="s">
        <v>12517</v>
      </c>
      <c r="E9335" s="0" t="inlineStr">
        <is>
          <t xml:space="preserve">Mazda</t>
        </is>
      </c>
      <c r="F9335" s="0" t="inlineStr">
        <is>
          <t xml:space="preserve">Mazda</t>
        </is>
      </c>
      <c r="G9335" s="0" t="s">
        <v>171</v>
      </c>
      <c r="H9335" s="5">
        <v>4.796400</v>
      </c>
    </row>
    <row r="9336" spans="1:9">
      <c r="A9336" s="22" t="str">
        <f>HYPERLINK("https://app.vivvix.com/360/KMI/IntelliDrive/ApplUI/Pages/CreativePages/CustomReportCreativeDetail.aspx?App=23&amp;ReportView=4&amp;Qid=1711279&amp;Row=9328&amp;Col=1","No Title Assigned - #15271133428")</f>
        <v/>
      </c>
      <c r="B9336" s="0" t="s">
        <v>12518</v>
      </c>
      <c r="E9336" s="0" t="inlineStr">
        <is>
          <t xml:space="preserve">Mazda</t>
        </is>
      </c>
      <c r="F9336" s="0" t="inlineStr">
        <is>
          <t xml:space="preserve">Mazda</t>
        </is>
      </c>
      <c r="G9336" s="0" t="s">
        <v>171</v>
      </c>
      <c r="H9336" s="5">
        <v>37.961000</v>
      </c>
    </row>
    <row r="9337" spans="1:9">
      <c r="A9337" s="22" t="str">
        <f>HYPERLINK("https://app.vivvix.com/360/KMI/IntelliDrive/ApplUI/Pages/CreativePages/CustomReportCreativeDetail.aspx?App=23&amp;ReportView=4&amp;Qid=1711279&amp;Row=9329&amp;Col=1","No Title Assigned - #15271133832")</f>
        <v/>
      </c>
      <c r="B9337" s="0" t="s">
        <v>12519</v>
      </c>
      <c r="E9337" s="0" t="inlineStr">
        <is>
          <t xml:space="preserve">Mazda</t>
        </is>
      </c>
      <c r="F9337" s="0" t="inlineStr">
        <is>
          <t xml:space="preserve">Mazda</t>
        </is>
      </c>
      <c r="G9337" s="0" t="s">
        <v>171</v>
      </c>
      <c r="H9337" s="5">
        <v>1073.976700</v>
      </c>
    </row>
    <row r="9338" spans="1:9">
      <c r="A9338" s="22" t="str">
        <f>HYPERLINK("https://app.vivvix.com/360/KMI/IntelliDrive/ApplUI/Pages/CreativePages/CustomReportCreativeDetail.aspx?App=23&amp;ReportView=4&amp;Qid=1711279&amp;Row=9330&amp;Col=1","No Title Assigned - #15271134073")</f>
        <v/>
      </c>
      <c r="B9338" s="0" t="s">
        <v>12520</v>
      </c>
      <c r="E9338" s="0" t="inlineStr">
        <is>
          <t xml:space="preserve">Mazda</t>
        </is>
      </c>
      <c r="F9338" s="0" t="inlineStr">
        <is>
          <t xml:space="preserve">Mazda</t>
        </is>
      </c>
      <c r="G9338" s="0" t="s">
        <v>171</v>
      </c>
      <c r="H9338" s="5">
        <v>27.561600</v>
      </c>
    </row>
    <row r="9339" spans="1:9">
      <c r="A9339" s="22" t="str">
        <f>HYPERLINK("https://app.vivvix.com/360/KMI/IntelliDrive/ApplUI/Pages/CreativePages/CustomReportCreativeDetail.aspx?App=23&amp;ReportView=4&amp;Qid=1711279&amp;Row=9331&amp;Col=1","No Title Assigned - #15271134203")</f>
        <v/>
      </c>
      <c r="B9339" s="0" t="s">
        <v>12521</v>
      </c>
      <c r="E9339" s="0" t="inlineStr">
        <is>
          <t xml:space="preserve">Mazda</t>
        </is>
      </c>
      <c r="F9339" s="0" t="inlineStr">
        <is>
          <t xml:space="preserve">Mazda</t>
        </is>
      </c>
      <c r="G9339" s="0" t="s">
        <v>171</v>
      </c>
      <c r="H9339" s="5">
        <v>38.235200</v>
      </c>
    </row>
    <row r="9340" spans="1:9">
      <c r="A9340" s="22" t="str">
        <f>HYPERLINK("https://app.vivvix.com/360/KMI/IntelliDrive/ApplUI/Pages/CreativePages/CustomReportCreativeDetail.aspx?App=23&amp;ReportView=4&amp;Qid=1711279&amp;Row=9332&amp;Col=1","No Title Assigned - #15271134270")</f>
        <v/>
      </c>
      <c r="B9340" s="0" t="s">
        <v>12522</v>
      </c>
      <c r="E9340" s="0" t="inlineStr">
        <is>
          <t xml:space="preserve">Mazda</t>
        </is>
      </c>
      <c r="F9340" s="0" t="inlineStr">
        <is>
          <t xml:space="preserve">Mazda</t>
        </is>
      </c>
      <c r="G9340" s="0" t="s">
        <v>171</v>
      </c>
      <c r="H9340" s="5">
        <v>88.681000</v>
      </c>
    </row>
    <row r="9341" spans="1:9">
      <c r="A9341" s="22" t="str">
        <f>HYPERLINK("https://app.vivvix.com/360/KMI/IntelliDrive/ApplUI/Pages/CreativePages/CustomReportCreativeDetail.aspx?App=23&amp;ReportView=4&amp;Qid=1711279&amp;Row=9333&amp;Col=1","No Title Assigned - #15271134601")</f>
        <v/>
      </c>
      <c r="B9341" s="0" t="s">
        <v>12523</v>
      </c>
      <c r="E9341" s="0" t="inlineStr">
        <is>
          <t xml:space="preserve">Mazda</t>
        </is>
      </c>
      <c r="F9341" s="0" t="inlineStr">
        <is>
          <t xml:space="preserve">Mazda</t>
        </is>
      </c>
      <c r="G9341" s="0" t="s">
        <v>171</v>
      </c>
      <c r="H9341" s="5">
        <v>36.872600</v>
      </c>
    </row>
    <row r="9342" spans="1:9">
      <c r="A9342" s="22" t="str">
        <f>HYPERLINK("https://app.vivvix.com/360/KMI/IntelliDrive/ApplUI/Pages/CreativePages/CustomReportCreativeDetail.aspx?App=23&amp;ReportView=4&amp;Qid=1711279&amp;Row=9334&amp;Col=1","No Title Assigned - #15271134601")</f>
        <v/>
      </c>
      <c r="B9342" s="0" t="s">
        <v>12523</v>
      </c>
      <c r="E9342" s="0" t="inlineStr">
        <is>
          <t xml:space="preserve">Mazda</t>
        </is>
      </c>
      <c r="F9342" s="0" t="inlineStr">
        <is>
          <t xml:space="preserve">Mazda</t>
        </is>
      </c>
      <c r="G9342" s="0" t="s">
        <v>171</v>
      </c>
      <c r="H9342" s="5">
        <v>1036.027000</v>
      </c>
    </row>
    <row r="9343" spans="1:9">
      <c r="A9343" s="22" t="str">
        <f>HYPERLINK("https://app.vivvix.com/360/KMI/IntelliDrive/ApplUI/Pages/CreativePages/CustomReportCreativeDetail.aspx?App=23&amp;ReportView=4&amp;Qid=1711279&amp;Row=9335&amp;Col=1","No Title Assigned - #15271138446")</f>
        <v/>
      </c>
      <c r="B9343" s="0" t="s">
        <v>12524</v>
      </c>
      <c r="E9343" s="0" t="inlineStr">
        <is>
          <t xml:space="preserve">Mazda</t>
        </is>
      </c>
      <c r="F9343" s="0" t="inlineStr">
        <is>
          <t xml:space="preserve">Mazda</t>
        </is>
      </c>
      <c r="G9343" s="0" t="s">
        <v>171</v>
      </c>
      <c r="H9343" s="5">
        <v>1.771000</v>
      </c>
    </row>
    <row r="9344" spans="1:9">
      <c r="A9344" s="22" t="str">
        <f>HYPERLINK("https://app.vivvix.com/360/KMI/IntelliDrive/ApplUI/Pages/CreativePages/CustomReportCreativeDetail.aspx?App=23&amp;ReportView=4&amp;Qid=1711279&amp;Row=9336&amp;Col=1","No Title Assigned - #15271140468")</f>
        <v/>
      </c>
      <c r="B9344" s="0" t="s">
        <v>12525</v>
      </c>
      <c r="E9344" s="0" t="inlineStr">
        <is>
          <t xml:space="preserve">Mazda</t>
        </is>
      </c>
      <c r="F9344" s="0" t="inlineStr">
        <is>
          <t xml:space="preserve">Mazda</t>
        </is>
      </c>
      <c r="G9344" s="0" t="s">
        <v>171</v>
      </c>
      <c r="H9344" s="5">
        <v>4.623200</v>
      </c>
    </row>
    <row r="9345" spans="1:9">
      <c r="A9345" s="22" t="str">
        <f>HYPERLINK("https://app.vivvix.com/360/KMI/IntelliDrive/ApplUI/Pages/CreativePages/CustomReportCreativeDetail.aspx?App=23&amp;ReportView=4&amp;Qid=1711279&amp;Row=9337&amp;Col=1","No Title Assigned - #15271142994")</f>
        <v/>
      </c>
      <c r="B9345" s="0" t="s">
        <v>12526</v>
      </c>
      <c r="E9345" s="0" t="inlineStr">
        <is>
          <t xml:space="preserve">Mazda</t>
        </is>
      </c>
      <c r="F9345" s="0" t="inlineStr">
        <is>
          <t xml:space="preserve">Mazda</t>
        </is>
      </c>
      <c r="G9345" s="0" t="s">
        <v>171</v>
      </c>
      <c r="H9345" s="5">
        <v>59.196900</v>
      </c>
    </row>
    <row r="9346" spans="1:9">
      <c r="A9346" s="22" t="str">
        <f>HYPERLINK("https://app.vivvix.com/360/KMI/IntelliDrive/ApplUI/Pages/CreativePages/CustomReportCreativeDetail.aspx?App=23&amp;ReportView=4&amp;Qid=1711279&amp;Row=9338&amp;Col=1","No Title Assigned - #15271160105")</f>
        <v/>
      </c>
      <c r="B9346" s="0" t="s">
        <v>12527</v>
      </c>
      <c r="E9346" s="0" t="inlineStr">
        <is>
          <t xml:space="preserve">Mazda</t>
        </is>
      </c>
      <c r="F9346" s="0" t="inlineStr">
        <is>
          <t xml:space="preserve">Mazda</t>
        </is>
      </c>
      <c r="G9346" s="0" t="s">
        <v>171</v>
      </c>
      <c r="H9346" s="5">
        <v>2979.524600</v>
      </c>
    </row>
    <row r="9347" spans="1:9">
      <c r="A9347" s="22" t="str">
        <f>HYPERLINK("https://app.vivvix.com/360/KMI/IntelliDrive/ApplUI/Pages/CreativePages/CustomReportCreativeDetail.aspx?App=23&amp;ReportView=4&amp;Qid=1711279&amp;Row=9339&amp;Col=1","No Title Assigned - #15271160236")</f>
        <v/>
      </c>
      <c r="B9347" s="0" t="s">
        <v>12528</v>
      </c>
      <c r="E9347" s="0" t="inlineStr">
        <is>
          <t xml:space="preserve">Mazda</t>
        </is>
      </c>
      <c r="F9347" s="0" t="inlineStr">
        <is>
          <t xml:space="preserve">Mazda</t>
        </is>
      </c>
      <c r="G9347" s="0" t="s">
        <v>171</v>
      </c>
      <c r="H9347" s="5">
        <v>73.577700</v>
      </c>
    </row>
    <row r="9348" spans="1:9">
      <c r="A9348" s="22" t="str">
        <f>HYPERLINK("https://app.vivvix.com/360/KMI/IntelliDrive/ApplUI/Pages/CreativePages/CustomReportCreativeDetail.aspx?App=23&amp;ReportView=4&amp;Qid=1711279&amp;Row=9340&amp;Col=1","No Title Assigned - #15271164678")</f>
        <v/>
      </c>
      <c r="B9348" s="0" t="s">
        <v>12529</v>
      </c>
      <c r="C9348" s="0" t="s">
        <v>12530</v>
      </c>
      <c r="D9348" s="0" t="s">
        <v>12530</v>
      </c>
      <c r="E9348" s="0" t="inlineStr">
        <is>
          <t xml:space="preserve">Mazda</t>
        </is>
      </c>
      <c r="F9348" s="0" t="s">
        <v>13</v>
      </c>
      <c r="G9348" s="0" t="s">
        <v>49</v>
      </c>
      <c r="H9348" s="5">
        <v>9616.008600</v>
      </c>
    </row>
    <row r="9349" spans="1:9">
      <c r="A9349" s="22" t="str">
        <f>HYPERLINK("https://app.vivvix.com/360/KMI/IntelliDrive/ApplUI/Pages/CreativePages/CustomReportCreativeDetail.aspx?App=23&amp;ReportView=4&amp;Qid=1711279&amp;Row=9341&amp;Col=1","No Title Assigned - #15271167780")</f>
        <v/>
      </c>
      <c r="B9349" s="0" t="s">
        <v>12531</v>
      </c>
      <c r="E9349" s="0" t="inlineStr">
        <is>
          <t xml:space="preserve">Mazda</t>
        </is>
      </c>
      <c r="F9349" s="0" t="s">
        <v>21</v>
      </c>
      <c r="G9349" s="0" t="s">
        <v>22</v>
      </c>
      <c r="H9349" s="5">
        <v>237.544500</v>
      </c>
    </row>
    <row r="9350" spans="1:9">
      <c r="A9350" s="22" t="str">
        <f>HYPERLINK("https://app.vivvix.com/360/KMI/IntelliDrive/ApplUI/Pages/CreativePages/CustomReportCreativeDetail.aspx?App=23&amp;ReportView=4&amp;Qid=1711279&amp;Row=9342&amp;Col=1","No Title Assigned - #15271168266")</f>
        <v/>
      </c>
      <c r="B9350" s="0" t="s">
        <v>12532</v>
      </c>
      <c r="C9350" s="0" t="s">
        <v>12533</v>
      </c>
      <c r="D9350" s="0" t="s">
        <v>12533</v>
      </c>
      <c r="E9350" s="0" t="inlineStr">
        <is>
          <t xml:space="preserve">Mazda</t>
        </is>
      </c>
      <c r="F9350" s="0" t="s">
        <v>13</v>
      </c>
      <c r="G9350" s="0" t="s">
        <v>49</v>
      </c>
      <c r="H9350" s="5">
        <v>1490.062700</v>
      </c>
    </row>
    <row r="9351" spans="1:9">
      <c r="A9351" s="22" t="str">
        <f>HYPERLINK("https://app.vivvix.com/360/KMI/IntelliDrive/ApplUI/Pages/CreativePages/CustomReportCreativeDetail.aspx?App=23&amp;ReportView=4&amp;Qid=1711279&amp;Row=9343&amp;Col=1","No Title Assigned - #15271168266")</f>
        <v/>
      </c>
      <c r="B9351" s="0" t="s">
        <v>12532</v>
      </c>
      <c r="E9351" s="0" t="inlineStr">
        <is>
          <t xml:space="preserve">Mazda</t>
        </is>
      </c>
      <c r="F9351" s="0" t="s">
        <v>13</v>
      </c>
      <c r="G9351" s="0" t="s">
        <v>49</v>
      </c>
      <c r="H9351" s="5">
        <v>792.562800</v>
      </c>
    </row>
    <row r="9352" spans="1:9">
      <c r="A9352" s="22" t="str">
        <f>HYPERLINK("https://app.vivvix.com/360/KMI/IntelliDrive/ApplUI/Pages/CreativePages/CustomReportCreativeDetail.aspx?App=23&amp;ReportView=4&amp;Qid=1711279&amp;Row=9344&amp;Col=1","No Title Assigned - #15271168938")</f>
        <v/>
      </c>
      <c r="B9352" s="0" t="s">
        <v>12534</v>
      </c>
      <c r="E9352" s="0" t="inlineStr">
        <is>
          <t xml:space="preserve">Mazda</t>
        </is>
      </c>
      <c r="F9352" s="0" t="s">
        <v>28</v>
      </c>
      <c r="G9352" s="0" t="s">
        <v>29</v>
      </c>
      <c r="H9352" s="5">
        <v>1.684700</v>
      </c>
    </row>
    <row r="9353" spans="1:9">
      <c r="A9353" s="22" t="str">
        <f>HYPERLINK("https://app.vivvix.com/360/KMI/IntelliDrive/ApplUI/Pages/CreativePages/CustomReportCreativeDetail.aspx?App=23&amp;ReportView=4&amp;Qid=1711279&amp;Row=9345&amp;Col=1","No Title Assigned - #15271169679")</f>
        <v/>
      </c>
      <c r="B9353" s="0" t="s">
        <v>12535</v>
      </c>
      <c r="C9353" s="0" t="s">
        <v>12536</v>
      </c>
      <c r="D9353" s="0" t="s">
        <v>12536</v>
      </c>
      <c r="E9353" s="0" t="inlineStr">
        <is>
          <t xml:space="preserve">Mazda</t>
        </is>
      </c>
      <c r="F9353" s="0" t="s">
        <v>28</v>
      </c>
      <c r="G9353" s="0" t="s">
        <v>29</v>
      </c>
      <c r="H9353" s="5">
        <v>16.239600</v>
      </c>
    </row>
    <row r="9354" spans="1:9">
      <c r="A9354" s="22" t="str">
        <f>HYPERLINK("https://app.vivvix.com/360/KMI/IntelliDrive/ApplUI/Pages/CreativePages/CustomReportCreativeDetail.aspx?App=23&amp;ReportView=4&amp;Qid=1711279&amp;Row=9346&amp;Col=1","No Title Assigned - #15271169966")</f>
        <v/>
      </c>
      <c r="B9354" s="0" t="s">
        <v>12537</v>
      </c>
      <c r="C9354" s="0" t="s">
        <v>12538</v>
      </c>
      <c r="D9354" s="0" t="s">
        <v>12538</v>
      </c>
      <c r="E9354" s="0" t="inlineStr">
        <is>
          <t xml:space="preserve">Mazda</t>
        </is>
      </c>
      <c r="F9354" s="0" t="s">
        <v>13</v>
      </c>
      <c r="G9354" s="0" t="s">
        <v>49</v>
      </c>
      <c r="H9354" s="5">
        <v>7499.663600</v>
      </c>
    </row>
    <row r="9355" spans="1:9">
      <c r="A9355" s="22" t="str">
        <f>HYPERLINK("https://app.vivvix.com/360/KMI/IntelliDrive/ApplUI/Pages/CreativePages/CustomReportCreativeDetail.aspx?App=23&amp;ReportView=4&amp;Qid=1711279&amp;Row=9347&amp;Col=1","No Title Assigned - #15271173466")</f>
        <v/>
      </c>
      <c r="B9355" s="0" t="s">
        <v>12539</v>
      </c>
      <c r="E9355" s="0" t="inlineStr">
        <is>
          <t xml:space="preserve">Mazda</t>
        </is>
      </c>
      <c r="F9355" s="0" t="s">
        <v>28</v>
      </c>
      <c r="G9355" s="0" t="s">
        <v>29</v>
      </c>
      <c r="H9355" s="5">
        <v>139.969100</v>
      </c>
    </row>
    <row r="9356" spans="1:9">
      <c r="A9356" s="22" t="str">
        <f>HYPERLINK("https://app.vivvix.com/360/KMI/IntelliDrive/ApplUI/Pages/CreativePages/CustomReportCreativeDetail.aspx?App=23&amp;ReportView=4&amp;Qid=1711279&amp;Row=9348&amp;Col=1","No Title Assigned - #15271173515")</f>
        <v/>
      </c>
      <c r="B9356" s="0" t="s">
        <v>12540</v>
      </c>
      <c r="E9356" s="0" t="inlineStr">
        <is>
          <t xml:space="preserve">Mazda</t>
        </is>
      </c>
      <c r="F9356" s="0" t="s">
        <v>28</v>
      </c>
      <c r="G9356" s="0" t="s">
        <v>29</v>
      </c>
      <c r="H9356" s="5">
        <v>13.424200</v>
      </c>
    </row>
    <row r="9357" spans="1:9">
      <c r="A9357" s="22" t="str">
        <f>HYPERLINK("https://app.vivvix.com/360/KMI/IntelliDrive/ApplUI/Pages/CreativePages/CustomReportCreativeDetail.aspx?App=23&amp;ReportView=4&amp;Qid=1711279&amp;Row=9349&amp;Col=1","No Title Assigned - #15271174940")</f>
        <v/>
      </c>
      <c r="B9357" s="0" t="s">
        <v>12541</v>
      </c>
      <c r="E9357" s="0" t="inlineStr">
        <is>
          <t xml:space="preserve">Mazda</t>
        </is>
      </c>
      <c r="F9357" s="0" t="s">
        <v>28</v>
      </c>
      <c r="G9357" s="0" t="s">
        <v>29</v>
      </c>
      <c r="H9357" s="5">
        <v>291.910200</v>
      </c>
    </row>
    <row r="9358" spans="1:9">
      <c r="A9358" s="22" t="str">
        <f>HYPERLINK("https://app.vivvix.com/360/KMI/IntelliDrive/ApplUI/Pages/CreativePages/CustomReportCreativeDetail.aspx?App=23&amp;ReportView=4&amp;Qid=1711279&amp;Row=9350&amp;Col=1","No Title Assigned - #15271175988")</f>
        <v/>
      </c>
      <c r="B9358" s="0" t="s">
        <v>12542</v>
      </c>
      <c r="E9358" s="0" t="inlineStr">
        <is>
          <t xml:space="preserve">Mazda</t>
        </is>
      </c>
      <c r="F9358" s="0" t="s">
        <v>28</v>
      </c>
      <c r="G9358" s="0" t="s">
        <v>29</v>
      </c>
      <c r="H9358" s="5">
        <v>82.269600</v>
      </c>
    </row>
    <row r="9359" spans="1:9">
      <c r="A9359" s="22" t="str">
        <f>HYPERLINK("https://app.vivvix.com/360/KMI/IntelliDrive/ApplUI/Pages/CreativePages/CustomReportCreativeDetail.aspx?App=23&amp;ReportView=4&amp;Qid=1711279&amp;Row=9351&amp;Col=1","No Title Assigned - #15271177023")</f>
        <v/>
      </c>
      <c r="B9359" s="0" t="s">
        <v>12543</v>
      </c>
      <c r="E9359" s="0" t="inlineStr">
        <is>
          <t xml:space="preserve">Mazda</t>
        </is>
      </c>
      <c r="F9359" s="0" t="s">
        <v>28</v>
      </c>
      <c r="G9359" s="0" t="s">
        <v>29</v>
      </c>
      <c r="H9359" s="5">
        <v>76.057400</v>
      </c>
    </row>
    <row r="9360" spans="1:9">
      <c r="A9360" s="22" t="str">
        <f>HYPERLINK("https://app.vivvix.com/360/KMI/IntelliDrive/ApplUI/Pages/CreativePages/CustomReportCreativeDetail.aspx?App=23&amp;ReportView=4&amp;Qid=1711279&amp;Row=9352&amp;Col=1","No Title Assigned - #15271178293")</f>
        <v/>
      </c>
      <c r="B9360" s="0" t="s">
        <v>12544</v>
      </c>
      <c r="E9360" s="0" t="inlineStr">
        <is>
          <t xml:space="preserve">Mazda</t>
        </is>
      </c>
      <c r="F9360" s="0" t="s">
        <v>28</v>
      </c>
      <c r="G9360" s="0" t="s">
        <v>29</v>
      </c>
      <c r="H9360" s="5">
        <v>619.470400</v>
      </c>
    </row>
    <row r="9361" spans="1:9">
      <c r="A9361" s="22" t="str">
        <f>HYPERLINK("https://app.vivvix.com/360/KMI/IntelliDrive/ApplUI/Pages/CreativePages/CustomReportCreativeDetail.aspx?App=23&amp;ReportView=4&amp;Qid=1711279&amp;Row=9353&amp;Col=1","No Title Assigned - #15271183911")</f>
        <v/>
      </c>
      <c r="B9361" s="0" t="s">
        <v>12545</v>
      </c>
      <c r="E9361" s="0" t="inlineStr">
        <is>
          <t xml:space="preserve">Mazda</t>
        </is>
      </c>
      <c r="F9361" s="0" t="inlineStr">
        <is>
          <t xml:space="preserve">Mazda</t>
        </is>
      </c>
      <c r="G9361" s="0" t="s">
        <v>171</v>
      </c>
      <c r="H9361" s="5">
        <v>41.633600</v>
      </c>
    </row>
    <row r="9362" spans="1:9">
      <c r="A9362" s="22" t="str">
        <f>HYPERLINK("https://app.vivvix.com/360/KMI/IntelliDrive/ApplUI/Pages/CreativePages/CustomReportCreativeDetail.aspx?App=23&amp;ReportView=4&amp;Qid=1711279&amp;Row=9354&amp;Col=1","No Title Assigned - #15271187759")</f>
        <v/>
      </c>
      <c r="B9362" s="0" t="s">
        <v>12546</v>
      </c>
      <c r="C9362" s="0" t="s">
        <v>12547</v>
      </c>
      <c r="D9362" s="0" t="s">
        <v>12547</v>
      </c>
      <c r="E9362" s="0" t="inlineStr">
        <is>
          <t xml:space="preserve">Mazda</t>
        </is>
      </c>
      <c r="F9362" s="0" t="s">
        <v>56</v>
      </c>
      <c r="G9362" s="0" t="s">
        <v>57</v>
      </c>
      <c r="H9362" s="5">
        <v>229.395500</v>
      </c>
    </row>
    <row r="9363" spans="1:9">
      <c r="A9363" s="22" t="str">
        <f>HYPERLINK("https://app.vivvix.com/360/KMI/IntelliDrive/ApplUI/Pages/CreativePages/CustomReportCreativeDetail.aspx?App=23&amp;ReportView=4&amp;Qid=1711279&amp;Row=9355&amp;Col=1","No Title Assigned - #15271190139")</f>
        <v/>
      </c>
      <c r="B9363" s="0" t="s">
        <v>12548</v>
      </c>
      <c r="C9363" s="0" t="s">
        <v>12549</v>
      </c>
      <c r="D9363" s="0" t="s">
        <v>12549</v>
      </c>
      <c r="E9363" s="0" t="inlineStr">
        <is>
          <t xml:space="preserve">Mazda</t>
        </is>
      </c>
      <c r="F9363" s="0" t="s">
        <v>21</v>
      </c>
      <c r="G9363" s="0" t="s">
        <v>22</v>
      </c>
      <c r="H9363" s="5">
        <v>2348.162500</v>
      </c>
    </row>
    <row r="9364" spans="1:9">
      <c r="A9364" s="22" t="str">
        <f>HYPERLINK("https://app.vivvix.com/360/KMI/IntelliDrive/ApplUI/Pages/CreativePages/CustomReportCreativeDetail.aspx?App=23&amp;ReportView=4&amp;Qid=1711279&amp;Row=9356&amp;Col=1","No Title Assigned - #15271193794")</f>
        <v/>
      </c>
      <c r="B9364" s="0" t="s">
        <v>12550</v>
      </c>
      <c r="C9364" s="0" t="s">
        <v>12551</v>
      </c>
      <c r="D9364" s="0" t="s">
        <v>4450</v>
      </c>
      <c r="E9364" s="0" t="inlineStr">
        <is>
          <t xml:space="preserve">Mazda</t>
        </is>
      </c>
      <c r="F9364" s="0" t="s">
        <v>28</v>
      </c>
      <c r="G9364" s="0" t="s">
        <v>29</v>
      </c>
      <c r="H9364" s="5">
        <v>26.148000</v>
      </c>
    </row>
    <row r="9365" spans="1:9">
      <c r="A9365" s="22" t="str">
        <f>HYPERLINK("https://app.vivvix.com/360/KMI/IntelliDrive/ApplUI/Pages/CreativePages/CustomReportCreativeDetail.aspx?App=23&amp;ReportView=4&amp;Qid=1711279&amp;Row=9357&amp;Col=1","No Title Assigned - #15271194690")</f>
        <v/>
      </c>
      <c r="B9365" s="0" t="s">
        <v>12552</v>
      </c>
      <c r="C9365" s="0" t="s">
        <v>12553</v>
      </c>
      <c r="D9365" s="0" t="s">
        <v>4208</v>
      </c>
      <c r="E9365" s="0" t="inlineStr">
        <is>
          <t xml:space="preserve">Mazda</t>
        </is>
      </c>
      <c r="F9365" s="0" t="s">
        <v>28</v>
      </c>
      <c r="G9365" s="0" t="s">
        <v>29</v>
      </c>
      <c r="H9365" s="5">
        <v>130.740000</v>
      </c>
    </row>
    <row r="9366" spans="1:9">
      <c r="A9366" s="22" t="str">
        <f>HYPERLINK("https://app.vivvix.com/360/KMI/IntelliDrive/ApplUI/Pages/CreativePages/CustomReportCreativeDetail.aspx?App=23&amp;ReportView=4&amp;Qid=1711279&amp;Row=9358&amp;Col=1","No Title Assigned - #15271196916")</f>
        <v/>
      </c>
      <c r="B9366" s="0" t="s">
        <v>12554</v>
      </c>
      <c r="E9366" s="0" t="inlineStr">
        <is>
          <t xml:space="preserve">Mazda</t>
        </is>
      </c>
      <c r="F9366" s="0" t="inlineStr">
        <is>
          <t xml:space="preserve">Mazda</t>
        </is>
      </c>
      <c r="G9366" s="0" t="s">
        <v>171</v>
      </c>
      <c r="H9366" s="5">
        <v>11.232000</v>
      </c>
    </row>
    <row r="9367" spans="1:9">
      <c r="A9367" s="22" t="str">
        <f>HYPERLINK("https://app.vivvix.com/360/KMI/IntelliDrive/ApplUI/Pages/CreativePages/CustomReportCreativeDetail.aspx?App=23&amp;ReportView=4&amp;Qid=1711279&amp;Row=9359&amp;Col=1","No Title Assigned - #15271197610")</f>
        <v/>
      </c>
      <c r="B9367" s="0" t="s">
        <v>12555</v>
      </c>
      <c r="C9367" s="0" t="s">
        <v>12556</v>
      </c>
      <c r="D9367" s="0" t="s">
        <v>4204</v>
      </c>
      <c r="E9367" s="0" t="inlineStr">
        <is>
          <t xml:space="preserve">Mazda</t>
        </is>
      </c>
      <c r="F9367" s="0" t="s">
        <v>28</v>
      </c>
      <c r="G9367" s="0" t="s">
        <v>29</v>
      </c>
      <c r="H9367" s="5">
        <v>26.318100</v>
      </c>
    </row>
    <row r="9368" spans="1:9">
      <c r="A9368" s="22" t="str">
        <f>HYPERLINK("https://app.vivvix.com/360/KMI/IntelliDrive/ApplUI/Pages/CreativePages/CustomReportCreativeDetail.aspx?App=23&amp;ReportView=4&amp;Qid=1711279&amp;Row=9360&amp;Col=1","No Title Assigned - #15271198732")</f>
        <v/>
      </c>
      <c r="B9368" s="0" t="s">
        <v>12557</v>
      </c>
      <c r="E9368" s="0" t="inlineStr">
        <is>
          <t xml:space="preserve">Mazda</t>
        </is>
      </c>
      <c r="F9368" s="0" t="s">
        <v>28</v>
      </c>
      <c r="G9368" s="0" t="s">
        <v>29</v>
      </c>
      <c r="H9368" s="5">
        <v>1417.264500</v>
      </c>
    </row>
    <row r="9369" spans="1:9">
      <c r="A9369" s="22" t="str">
        <f>HYPERLINK("https://app.vivvix.com/360/KMI/IntelliDrive/ApplUI/Pages/CreativePages/CustomReportCreativeDetail.aspx?App=23&amp;ReportView=4&amp;Qid=1711279&amp;Row=9361&amp;Col=1","No Title Assigned - #15271199034")</f>
        <v/>
      </c>
      <c r="B9369" s="0" t="s">
        <v>12558</v>
      </c>
      <c r="E9369" s="0" t="inlineStr">
        <is>
          <t xml:space="preserve">Mazda</t>
        </is>
      </c>
      <c r="F9369" s="0" t="s">
        <v>28</v>
      </c>
      <c r="G9369" s="0" t="s">
        <v>29</v>
      </c>
      <c r="H9369" s="5">
        <v>51.558000</v>
      </c>
    </row>
    <row r="9370" spans="1:9">
      <c r="A9370" s="22" t="str">
        <f>HYPERLINK("https://app.vivvix.com/360/KMI/IntelliDrive/ApplUI/Pages/CreativePages/CustomReportCreativeDetail.aspx?App=23&amp;ReportView=4&amp;Qid=1711279&amp;Row=9362&amp;Col=1","No Title Assigned - #15271199891")</f>
        <v/>
      </c>
      <c r="B9370" s="0" t="s">
        <v>12559</v>
      </c>
      <c r="C9370" s="0" t="s">
        <v>12560</v>
      </c>
      <c r="D9370" s="0" t="s">
        <v>7506</v>
      </c>
      <c r="E9370" s="0" t="inlineStr">
        <is>
          <t xml:space="preserve">Mazda</t>
        </is>
      </c>
      <c r="F9370" s="0" t="s">
        <v>28</v>
      </c>
      <c r="G9370" s="0" t="s">
        <v>29</v>
      </c>
      <c r="H9370" s="5">
        <v>472.638900</v>
      </c>
    </row>
    <row r="9371" spans="1:9">
      <c r="A9371" s="22" t="str">
        <f>HYPERLINK("https://app.vivvix.com/360/KMI/IntelliDrive/ApplUI/Pages/CreativePages/CustomReportCreativeDetail.aspx?App=23&amp;ReportView=4&amp;Qid=1711279&amp;Row=9363&amp;Col=1","No Title Assigned - #15271199938")</f>
        <v/>
      </c>
      <c r="B9371" s="0" t="s">
        <v>12561</v>
      </c>
      <c r="C9371" s="0" t="s">
        <v>12562</v>
      </c>
      <c r="D9371" s="0" t="s">
        <v>12562</v>
      </c>
      <c r="E9371" s="0" t="inlineStr">
        <is>
          <t xml:space="preserve">Mazda</t>
        </is>
      </c>
      <c r="F9371" s="0" t="s">
        <v>13</v>
      </c>
      <c r="G9371" s="0" t="s">
        <v>49</v>
      </c>
      <c r="H9371" s="5">
        <v>1037.755000</v>
      </c>
    </row>
    <row r="9372" spans="1:9">
      <c r="A9372" s="22" t="str">
        <f>HYPERLINK("https://app.vivvix.com/360/KMI/IntelliDrive/ApplUI/Pages/CreativePages/CustomReportCreativeDetail.aspx?App=23&amp;ReportView=4&amp;Qid=1711279&amp;Row=9364&amp;Col=1","No Title Assigned - #15271200105")</f>
        <v/>
      </c>
      <c r="B9372" s="0" t="s">
        <v>12563</v>
      </c>
      <c r="C9372" s="0" t="s">
        <v>12564</v>
      </c>
      <c r="D9372" s="0" t="s">
        <v>12564</v>
      </c>
      <c r="E9372" s="0" t="inlineStr">
        <is>
          <t xml:space="preserve">Mazda</t>
        </is>
      </c>
      <c r="F9372" s="0" t="s">
        <v>28</v>
      </c>
      <c r="G9372" s="0" t="s">
        <v>29</v>
      </c>
      <c r="H9372" s="5">
        <v>5.904700</v>
      </c>
    </row>
    <row r="9373" spans="1:9">
      <c r="A9373" s="22" t="str">
        <f>HYPERLINK("https://app.vivvix.com/360/KMI/IntelliDrive/ApplUI/Pages/CreativePages/CustomReportCreativeDetail.aspx?App=23&amp;ReportView=4&amp;Qid=1711279&amp;Row=9365&amp;Col=1","No Title Assigned - #15271200283")</f>
        <v/>
      </c>
      <c r="B9373" s="0" t="s">
        <v>12565</v>
      </c>
      <c r="E9373" s="0" t="inlineStr">
        <is>
          <t xml:space="preserve">Mazda</t>
        </is>
      </c>
      <c r="F9373" s="0" t="s">
        <v>28</v>
      </c>
      <c r="G9373" s="0" t="s">
        <v>29</v>
      </c>
      <c r="H9373" s="5">
        <v>195.125400</v>
      </c>
    </row>
    <row r="9374" spans="1:9">
      <c r="A9374" s="22" t="str">
        <f>HYPERLINK("https://app.vivvix.com/360/KMI/IntelliDrive/ApplUI/Pages/CreativePages/CustomReportCreativeDetail.aspx?App=23&amp;ReportView=4&amp;Qid=1711279&amp;Row=9366&amp;Col=1","No Title Assigned - #15271202778")</f>
        <v/>
      </c>
      <c r="B9374" s="0" t="s">
        <v>12566</v>
      </c>
      <c r="C9374" s="0" t="s">
        <v>12567</v>
      </c>
      <c r="D9374" s="0" t="s">
        <v>12567</v>
      </c>
      <c r="E9374" s="0" t="inlineStr">
        <is>
          <t xml:space="preserve">Mazda</t>
        </is>
      </c>
      <c r="F9374" s="0" t="s">
        <v>28</v>
      </c>
      <c r="G9374" s="0" t="s">
        <v>29</v>
      </c>
      <c r="H9374" s="5">
        <v>4558.083000</v>
      </c>
    </row>
    <row r="9375" spans="1:9">
      <c r="A9375" s="22" t="str">
        <f>HYPERLINK("https://app.vivvix.com/360/KMI/IntelliDrive/ApplUI/Pages/CreativePages/CustomReportCreativeDetail.aspx?App=23&amp;ReportView=4&amp;Qid=1711279&amp;Row=9367&amp;Col=1","No Title Assigned - #15271202778")</f>
        <v/>
      </c>
      <c r="B9375" s="0" t="s">
        <v>12566</v>
      </c>
      <c r="E9375" s="0" t="inlineStr">
        <is>
          <t xml:space="preserve">Mazda</t>
        </is>
      </c>
      <c r="F9375" s="0" t="s">
        <v>28</v>
      </c>
      <c r="G9375" s="0" t="s">
        <v>29</v>
      </c>
      <c r="H9375" s="5">
        <v>15125.596200</v>
      </c>
    </row>
    <row r="9376" spans="1:9">
      <c r="A9376" s="22" t="str">
        <f>HYPERLINK("https://app.vivvix.com/360/KMI/IntelliDrive/ApplUI/Pages/CreativePages/CustomReportCreativeDetail.aspx?App=23&amp;ReportView=4&amp;Qid=1711279&amp;Row=9368&amp;Col=1","No Title Assigned - #15271203547")</f>
        <v/>
      </c>
      <c r="B9376" s="0" t="s">
        <v>12568</v>
      </c>
      <c r="C9376" s="0" t="s">
        <v>12569</v>
      </c>
      <c r="D9376" s="0" t="s">
        <v>12569</v>
      </c>
      <c r="E9376" s="0" t="inlineStr">
        <is>
          <t xml:space="preserve">Mazda</t>
        </is>
      </c>
      <c r="F9376" s="0" t="s">
        <v>28</v>
      </c>
      <c r="G9376" s="0" t="s">
        <v>29</v>
      </c>
      <c r="H9376" s="5">
        <v>1271.153800</v>
      </c>
    </row>
    <row r="9377" spans="1:9">
      <c r="A9377" s="22" t="str">
        <f>HYPERLINK("https://app.vivvix.com/360/KMI/IntelliDrive/ApplUI/Pages/CreativePages/CustomReportCreativeDetail.aspx?App=23&amp;ReportView=4&amp;Qid=1711279&amp;Row=9369&amp;Col=1","No Title Assigned - #15271203728")</f>
        <v/>
      </c>
      <c r="B9377" s="0" t="s">
        <v>12570</v>
      </c>
      <c r="C9377" s="0" t="s">
        <v>12571</v>
      </c>
      <c r="D9377" s="0" t="s">
        <v>4225</v>
      </c>
      <c r="E9377" s="0" t="inlineStr">
        <is>
          <t xml:space="preserve">Mazda</t>
        </is>
      </c>
      <c r="F9377" s="0" t="s">
        <v>28</v>
      </c>
      <c r="G9377" s="0" t="s">
        <v>29</v>
      </c>
      <c r="H9377" s="5">
        <v>5.926000</v>
      </c>
    </row>
    <row r="9378" spans="1:9">
      <c r="A9378" s="22" t="str">
        <f>HYPERLINK("https://app.vivvix.com/360/KMI/IntelliDrive/ApplUI/Pages/CreativePages/CustomReportCreativeDetail.aspx?App=23&amp;ReportView=4&amp;Qid=1711279&amp;Row=9370&amp;Col=1","No Title Assigned - #15271205360")</f>
        <v/>
      </c>
      <c r="B9378" s="0" t="s">
        <v>12572</v>
      </c>
      <c r="C9378" s="0" t="s">
        <v>12573</v>
      </c>
      <c r="D9378" s="0" t="s">
        <v>12573</v>
      </c>
      <c r="E9378" s="0" t="inlineStr">
        <is>
          <t xml:space="preserve">Mazda</t>
        </is>
      </c>
      <c r="F9378" s="0" t="s">
        <v>13</v>
      </c>
      <c r="G9378" s="0" t="s">
        <v>49</v>
      </c>
      <c r="H9378" s="5">
        <v>120.659200</v>
      </c>
    </row>
    <row r="9379" spans="1:9">
      <c r="A9379" s="22" t="str">
        <f>HYPERLINK("https://app.vivvix.com/360/KMI/IntelliDrive/ApplUI/Pages/CreativePages/CustomReportCreativeDetail.aspx?App=23&amp;ReportView=4&amp;Qid=1711279&amp;Row=9371&amp;Col=1","No Title Assigned - #15271206904")</f>
        <v/>
      </c>
      <c r="B9379" s="0" t="s">
        <v>12574</v>
      </c>
      <c r="C9379" s="0" t="s">
        <v>12575</v>
      </c>
      <c r="D9379" s="0" t="s">
        <v>12373</v>
      </c>
      <c r="E9379" s="0" t="inlineStr">
        <is>
          <t xml:space="preserve">Mazda</t>
        </is>
      </c>
      <c r="F9379" s="0" t="s">
        <v>13</v>
      </c>
      <c r="G9379" s="0" t="s">
        <v>49</v>
      </c>
      <c r="H9379" s="5">
        <v>2631.770800</v>
      </c>
    </row>
    <row r="9380" spans="1:9">
      <c r="A9380" s="22" t="str">
        <f>HYPERLINK("https://app.vivvix.com/360/KMI/IntelliDrive/ApplUI/Pages/CreativePages/CustomReportCreativeDetail.aspx?App=23&amp;ReportView=4&amp;Qid=1711279&amp;Row=9372&amp;Col=1","No Title Assigned - #15271206904")</f>
        <v/>
      </c>
      <c r="B9380" s="0" t="s">
        <v>12574</v>
      </c>
      <c r="E9380" s="0" t="inlineStr">
        <is>
          <t xml:space="preserve">Mazda</t>
        </is>
      </c>
      <c r="F9380" s="0" t="s">
        <v>13</v>
      </c>
      <c r="G9380" s="0" t="s">
        <v>49</v>
      </c>
      <c r="H9380" s="5">
        <v>1169.034400</v>
      </c>
    </row>
    <row r="9381" spans="1:9">
      <c r="A9381" s="22" t="str">
        <f>HYPERLINK("https://app.vivvix.com/360/KMI/IntelliDrive/ApplUI/Pages/CreativePages/CustomReportCreativeDetail.aspx?App=23&amp;ReportView=4&amp;Qid=1711279&amp;Row=9373&amp;Col=1","No Title Assigned - #15271206999")</f>
        <v/>
      </c>
      <c r="B9381" s="0" t="s">
        <v>12576</v>
      </c>
      <c r="C9381" s="0" t="s">
        <v>12577</v>
      </c>
      <c r="D9381" s="0" t="s">
        <v>4202</v>
      </c>
      <c r="E9381" s="0" t="inlineStr">
        <is>
          <t xml:space="preserve">Mazda</t>
        </is>
      </c>
      <c r="F9381" s="0" t="s">
        <v>28</v>
      </c>
      <c r="G9381" s="0" t="s">
        <v>29</v>
      </c>
      <c r="H9381" s="5">
        <v>33.082800</v>
      </c>
    </row>
    <row r="9382" spans="1:9">
      <c r="A9382" s="22" t="str">
        <f>HYPERLINK("https://app.vivvix.com/360/KMI/IntelliDrive/ApplUI/Pages/CreativePages/CustomReportCreativeDetail.aspx?App=23&amp;ReportView=4&amp;Qid=1711279&amp;Row=9374&amp;Col=1","No Title Assigned - #15271207022")</f>
        <v/>
      </c>
      <c r="B9382" s="0" t="s">
        <v>12578</v>
      </c>
      <c r="E9382" s="0" t="inlineStr">
        <is>
          <t xml:space="preserve">Mazda</t>
        </is>
      </c>
      <c r="F9382" s="0" t="inlineStr">
        <is>
          <t xml:space="preserve">Mazda</t>
        </is>
      </c>
      <c r="G9382" s="0" t="s">
        <v>171</v>
      </c>
      <c r="H9382" s="5">
        <v>7.969800</v>
      </c>
    </row>
    <row r="9383" spans="1:9">
      <c r="A9383" s="22" t="str">
        <f>HYPERLINK("https://app.vivvix.com/360/KMI/IntelliDrive/ApplUI/Pages/CreativePages/CustomReportCreativeDetail.aspx?App=23&amp;ReportView=4&amp;Qid=1711279&amp;Row=9375&amp;Col=1","No Title Assigned - #15271207087")</f>
        <v/>
      </c>
      <c r="B9383" s="0" t="s">
        <v>12579</v>
      </c>
      <c r="C9383" s="0" t="s">
        <v>12580</v>
      </c>
      <c r="D9383" s="0" t="s">
        <v>12580</v>
      </c>
      <c r="E9383" s="0" t="inlineStr">
        <is>
          <t xml:space="preserve">Mazda</t>
        </is>
      </c>
      <c r="F9383" s="0" t="s">
        <v>28</v>
      </c>
      <c r="G9383" s="0" t="s">
        <v>29</v>
      </c>
      <c r="H9383" s="5">
        <v>48.502400</v>
      </c>
    </row>
    <row r="9384" spans="1:9">
      <c r="A9384" s="22" t="str">
        <f>HYPERLINK("https://app.vivvix.com/360/KMI/IntelliDrive/ApplUI/Pages/CreativePages/CustomReportCreativeDetail.aspx?App=23&amp;ReportView=4&amp;Qid=1711279&amp;Row=9376&amp;Col=1","No Title Assigned - #15271207088")</f>
        <v/>
      </c>
      <c r="B9384" s="0" t="s">
        <v>12581</v>
      </c>
      <c r="C9384" s="0" t="s">
        <v>12582</v>
      </c>
      <c r="D9384" s="0" t="s">
        <v>12582</v>
      </c>
      <c r="E9384" s="0" t="inlineStr">
        <is>
          <t xml:space="preserve">Mazda</t>
        </is>
      </c>
      <c r="F9384" s="0" t="s">
        <v>28</v>
      </c>
      <c r="G9384" s="0" t="s">
        <v>29</v>
      </c>
      <c r="H9384" s="5">
        <v>12.125600</v>
      </c>
    </row>
    <row r="9385" spans="1:9">
      <c r="A9385" s="22" t="str">
        <f>HYPERLINK("https://app.vivvix.com/360/KMI/IntelliDrive/ApplUI/Pages/CreativePages/CustomReportCreativeDetail.aspx?App=23&amp;ReportView=4&amp;Qid=1711279&amp;Row=9377&amp;Col=1","No Title Assigned - #15271208350")</f>
        <v/>
      </c>
      <c r="B9385" s="0" t="s">
        <v>12583</v>
      </c>
      <c r="E9385" s="0" t="inlineStr">
        <is>
          <t xml:space="preserve">Mazda</t>
        </is>
      </c>
      <c r="F9385" s="0" t="inlineStr">
        <is>
          <t xml:space="preserve">Mazda</t>
        </is>
      </c>
      <c r="G9385" s="0" t="s">
        <v>171</v>
      </c>
      <c r="H9385" s="5">
        <v>20.205000</v>
      </c>
    </row>
    <row r="9386" spans="1:9">
      <c r="A9386" s="22" t="str">
        <f>HYPERLINK("https://app.vivvix.com/360/KMI/IntelliDrive/ApplUI/Pages/CreativePages/CustomReportCreativeDetail.aspx?App=23&amp;ReportView=4&amp;Qid=1711279&amp;Row=9378&amp;Col=1","No Title Assigned - #15271208741")</f>
        <v/>
      </c>
      <c r="B9386" s="0" t="s">
        <v>12584</v>
      </c>
      <c r="E9386" s="0" t="inlineStr">
        <is>
          <t xml:space="preserve">Mazda</t>
        </is>
      </c>
      <c r="F9386" s="0" t="inlineStr">
        <is>
          <t xml:space="preserve">Mazda</t>
        </is>
      </c>
      <c r="G9386" s="0" t="s">
        <v>171</v>
      </c>
      <c r="H9386" s="5">
        <v>10.304300</v>
      </c>
    </row>
    <row r="9387" spans="1:9">
      <c r="A9387" s="22" t="str">
        <f>HYPERLINK("https://app.vivvix.com/360/KMI/IntelliDrive/ApplUI/Pages/CreativePages/CustomReportCreativeDetail.aspx?App=23&amp;ReportView=4&amp;Qid=1711279&amp;Row=9379&amp;Col=1","No Title Assigned - #15271209370")</f>
        <v/>
      </c>
      <c r="B9387" s="0" t="s">
        <v>12585</v>
      </c>
      <c r="C9387" s="0" t="s">
        <v>12586</v>
      </c>
      <c r="D9387" s="0" t="s">
        <v>4424</v>
      </c>
      <c r="E9387" s="0" t="inlineStr">
        <is>
          <t xml:space="preserve">Mazda</t>
        </is>
      </c>
      <c r="F9387" s="0" t="s">
        <v>28</v>
      </c>
      <c r="G9387" s="0" t="s">
        <v>29</v>
      </c>
      <c r="H9387" s="5">
        <v>29.470900</v>
      </c>
    </row>
    <row r="9388" spans="1:9">
      <c r="A9388" s="22" t="str">
        <f>HYPERLINK("https://app.vivvix.com/360/KMI/IntelliDrive/ApplUI/Pages/CreativePages/CustomReportCreativeDetail.aspx?App=23&amp;ReportView=4&amp;Qid=1711279&amp;Row=9380&amp;Col=1","No Title Assigned - #15271213940")</f>
        <v/>
      </c>
      <c r="B9388" s="0" t="s">
        <v>12587</v>
      </c>
      <c r="C9388" s="0" t="s">
        <v>12588</v>
      </c>
      <c r="D9388" s="0" t="s">
        <v>12588</v>
      </c>
      <c r="E9388" s="0" t="inlineStr">
        <is>
          <t xml:space="preserve">Mazda</t>
        </is>
      </c>
      <c r="F9388" s="0" t="inlineStr">
        <is>
          <t xml:space="preserve">Mazda</t>
        </is>
      </c>
      <c r="G9388" s="0" t="s">
        <v>171</v>
      </c>
      <c r="H9388" s="5">
        <v>17.660200</v>
      </c>
    </row>
    <row r="9389" spans="1:9">
      <c r="A9389" s="22" t="str">
        <f>HYPERLINK("https://app.vivvix.com/360/KMI/IntelliDrive/ApplUI/Pages/CreativePages/CustomReportCreativeDetail.aspx?App=23&amp;ReportView=4&amp;Qid=1711279&amp;Row=9381&amp;Col=1","No Title Assigned - #15271214501")</f>
        <v/>
      </c>
      <c r="B9389" s="0" t="s">
        <v>12589</v>
      </c>
      <c r="E9389" s="0" t="inlineStr">
        <is>
          <t xml:space="preserve">Mazda</t>
        </is>
      </c>
      <c r="F9389" s="0" t="inlineStr">
        <is>
          <t xml:space="preserve">Mazda</t>
        </is>
      </c>
      <c r="G9389" s="0" t="s">
        <v>171</v>
      </c>
      <c r="H9389" s="5">
        <v>17.724600</v>
      </c>
    </row>
    <row r="9390" spans="1:9">
      <c r="A9390" s="22" t="str">
        <f>HYPERLINK("https://app.vivvix.com/360/KMI/IntelliDrive/ApplUI/Pages/CreativePages/CustomReportCreativeDetail.aspx?App=23&amp;ReportView=4&amp;Qid=1711279&amp;Row=9382&amp;Col=1","No Title Assigned - #15271214637")</f>
        <v/>
      </c>
      <c r="B9390" s="0" t="s">
        <v>12590</v>
      </c>
      <c r="E9390" s="0" t="inlineStr">
        <is>
          <t xml:space="preserve">Mazda</t>
        </is>
      </c>
      <c r="F9390" s="0" t="inlineStr">
        <is>
          <t xml:space="preserve">Mazda</t>
        </is>
      </c>
      <c r="G9390" s="0" t="s">
        <v>171</v>
      </c>
      <c r="H9390" s="5">
        <v>6.077400</v>
      </c>
    </row>
    <row r="9391" spans="1:9">
      <c r="A9391" s="22" t="str">
        <f>HYPERLINK("https://app.vivvix.com/360/KMI/IntelliDrive/ApplUI/Pages/CreativePages/CustomReportCreativeDetail.aspx?App=23&amp;ReportView=4&amp;Qid=1711279&amp;Row=9383&amp;Col=1","No Title Assigned - #15271214999")</f>
        <v/>
      </c>
      <c r="B9391" s="0" t="s">
        <v>12591</v>
      </c>
      <c r="E9391" s="0" t="inlineStr">
        <is>
          <t xml:space="preserve">Mazda</t>
        </is>
      </c>
      <c r="F9391" s="0" t="inlineStr">
        <is>
          <t xml:space="preserve">Mazda</t>
        </is>
      </c>
      <c r="G9391" s="0" t="s">
        <v>171</v>
      </c>
      <c r="H9391" s="5">
        <v>197.655500</v>
      </c>
    </row>
    <row r="9392" spans="1:9">
      <c r="A9392" s="22" t="str">
        <f>HYPERLINK("https://app.vivvix.com/360/KMI/IntelliDrive/ApplUI/Pages/CreativePages/CustomReportCreativeDetail.aspx?App=23&amp;ReportView=4&amp;Qid=1711279&amp;Row=9384&amp;Col=1","No Title Assigned - #15271216231")</f>
        <v/>
      </c>
      <c r="B9392" s="0" t="s">
        <v>12592</v>
      </c>
      <c r="C9392" s="0" t="s">
        <v>12593</v>
      </c>
      <c r="D9392" s="0" t="s">
        <v>12593</v>
      </c>
      <c r="E9392" s="0" t="inlineStr">
        <is>
          <t xml:space="preserve">Mazda</t>
        </is>
      </c>
      <c r="F9392" s="0" t="inlineStr">
        <is>
          <t xml:space="preserve">Mazda</t>
        </is>
      </c>
      <c r="G9392" s="0" t="s">
        <v>171</v>
      </c>
      <c r="H9392" s="5">
        <v>151.472000</v>
      </c>
    </row>
    <row r="9393" spans="1:9">
      <c r="A9393" s="22" t="str">
        <f>HYPERLINK("https://app.vivvix.com/360/KMI/IntelliDrive/ApplUI/Pages/CreativePages/CustomReportCreativeDetail.aspx?App=23&amp;ReportView=4&amp;Qid=1711279&amp;Row=9385&amp;Col=1","No Title Assigned - #15271216291")</f>
        <v/>
      </c>
      <c r="B9393" s="0" t="s">
        <v>12594</v>
      </c>
      <c r="E9393" s="0" t="inlineStr">
        <is>
          <t xml:space="preserve">Mazda</t>
        </is>
      </c>
      <c r="F9393" s="0" t="inlineStr">
        <is>
          <t xml:space="preserve">Mazda</t>
        </is>
      </c>
      <c r="G9393" s="0" t="s">
        <v>171</v>
      </c>
      <c r="H9393" s="5">
        <v>5.871500</v>
      </c>
    </row>
    <row r="9394" spans="1:9">
      <c r="A9394" s="22" t="str">
        <f>HYPERLINK("https://app.vivvix.com/360/KMI/IntelliDrive/ApplUI/Pages/CreativePages/CustomReportCreativeDetail.aspx?App=23&amp;ReportView=4&amp;Qid=1711279&amp;Row=9386&amp;Col=1","No Title Assigned - #15271217424")</f>
        <v/>
      </c>
      <c r="B9394" s="0" t="s">
        <v>12595</v>
      </c>
      <c r="E9394" s="0" t="inlineStr">
        <is>
          <t xml:space="preserve">Mazda</t>
        </is>
      </c>
      <c r="F9394" s="0" t="inlineStr">
        <is>
          <t xml:space="preserve">Mazda</t>
        </is>
      </c>
      <c r="G9394" s="0" t="s">
        <v>171</v>
      </c>
      <c r="H9394" s="5">
        <v>15.262000</v>
      </c>
    </row>
    <row r="9395" spans="1:9">
      <c r="A9395" s="22" t="str">
        <f>HYPERLINK("https://app.vivvix.com/360/KMI/IntelliDrive/ApplUI/Pages/CreativePages/CustomReportCreativeDetail.aspx?App=23&amp;ReportView=4&amp;Qid=1711279&amp;Row=9387&amp;Col=1","No Title Assigned - #15271218074")</f>
        <v/>
      </c>
      <c r="B9395" s="0" t="s">
        <v>12596</v>
      </c>
      <c r="E9395" s="0" t="inlineStr">
        <is>
          <t xml:space="preserve">Mazda</t>
        </is>
      </c>
      <c r="F9395" s="0" t="inlineStr">
        <is>
          <t xml:space="preserve">Mazda</t>
        </is>
      </c>
      <c r="G9395" s="0" t="s">
        <v>171</v>
      </c>
      <c r="H9395" s="5">
        <v>88.113500</v>
      </c>
    </row>
    <row r="9396" spans="1:9">
      <c r="A9396" s="22" t="str">
        <f>HYPERLINK("https://app.vivvix.com/360/KMI/IntelliDrive/ApplUI/Pages/CreativePages/CustomReportCreativeDetail.aspx?App=23&amp;ReportView=4&amp;Qid=1711279&amp;Row=9388&amp;Col=1","No Title Assigned - #15271218173")</f>
        <v/>
      </c>
      <c r="B9396" s="0" t="s">
        <v>12597</v>
      </c>
      <c r="E9396" s="0" t="inlineStr">
        <is>
          <t xml:space="preserve">Mazda</t>
        </is>
      </c>
      <c r="F9396" s="0" t="inlineStr">
        <is>
          <t xml:space="preserve">Mazda</t>
        </is>
      </c>
      <c r="G9396" s="0" t="s">
        <v>171</v>
      </c>
      <c r="H9396" s="5">
        <v>634.326200</v>
      </c>
    </row>
    <row r="9397" spans="1:9">
      <c r="A9397" s="22" t="str">
        <f>HYPERLINK("https://app.vivvix.com/360/KMI/IntelliDrive/ApplUI/Pages/CreativePages/CustomReportCreativeDetail.aspx?App=23&amp;ReportView=4&amp;Qid=1711279&amp;Row=9389&amp;Col=1","No Title Assigned - #15271222224")</f>
        <v/>
      </c>
      <c r="B9397" s="0" t="s">
        <v>12598</v>
      </c>
      <c r="E9397" s="0" t="inlineStr">
        <is>
          <t xml:space="preserve">Mazda</t>
        </is>
      </c>
      <c r="F9397" s="0" t="inlineStr">
        <is>
          <t xml:space="preserve">Mazda</t>
        </is>
      </c>
      <c r="G9397" s="0" t="s">
        <v>171</v>
      </c>
      <c r="H9397" s="5">
        <v>62.983100</v>
      </c>
    </row>
    <row r="9398" spans="1:9">
      <c r="A9398" s="22" t="str">
        <f>HYPERLINK("https://app.vivvix.com/360/KMI/IntelliDrive/ApplUI/Pages/CreativePages/CustomReportCreativeDetail.aspx?App=23&amp;ReportView=4&amp;Qid=1711279&amp;Row=9390&amp;Col=1","No Title Assigned - #15271222463")</f>
        <v/>
      </c>
      <c r="B9398" s="0" t="s">
        <v>12599</v>
      </c>
      <c r="E9398" s="0" t="inlineStr">
        <is>
          <t xml:space="preserve">Mazda</t>
        </is>
      </c>
      <c r="F9398" s="0" t="inlineStr">
        <is>
          <t xml:space="preserve">Mazda</t>
        </is>
      </c>
      <c r="G9398" s="0" t="s">
        <v>171</v>
      </c>
      <c r="H9398" s="5">
        <v>42.393200</v>
      </c>
    </row>
    <row r="9399" spans="1:9">
      <c r="A9399" s="22" t="str">
        <f>HYPERLINK("https://app.vivvix.com/360/KMI/IntelliDrive/ApplUI/Pages/CreativePages/CustomReportCreativeDetail.aspx?App=23&amp;ReportView=4&amp;Qid=1711279&amp;Row=9391&amp;Col=1","No Title Assigned - #15271223245")</f>
        <v/>
      </c>
      <c r="B9399" s="0" t="s">
        <v>12600</v>
      </c>
      <c r="E9399" s="0" t="inlineStr">
        <is>
          <t xml:space="preserve">Mazda</t>
        </is>
      </c>
      <c r="F9399" s="0" t="inlineStr">
        <is>
          <t xml:space="preserve">Mazda</t>
        </is>
      </c>
      <c r="G9399" s="0" t="s">
        <v>171</v>
      </c>
      <c r="H9399" s="5">
        <v>27.123500</v>
      </c>
    </row>
    <row r="9400" spans="1:9">
      <c r="A9400" s="22" t="str">
        <f>HYPERLINK("https://app.vivvix.com/360/KMI/IntelliDrive/ApplUI/Pages/CreativePages/CustomReportCreativeDetail.aspx?App=23&amp;ReportView=4&amp;Qid=1711279&amp;Row=9392&amp;Col=1","No Title Assigned - #15271223310")</f>
        <v/>
      </c>
      <c r="B9400" s="0" t="s">
        <v>12601</v>
      </c>
      <c r="E9400" s="0" t="inlineStr">
        <is>
          <t xml:space="preserve">Mazda</t>
        </is>
      </c>
      <c r="F9400" s="0" t="inlineStr">
        <is>
          <t xml:space="preserve">Mazda</t>
        </is>
      </c>
      <c r="G9400" s="0" t="s">
        <v>171</v>
      </c>
      <c r="H9400" s="5">
        <v>7.631000</v>
      </c>
    </row>
    <row r="9401" spans="1:9">
      <c r="A9401" s="22" t="str">
        <f>HYPERLINK("https://app.vivvix.com/360/KMI/IntelliDrive/ApplUI/Pages/CreativePages/CustomReportCreativeDetail.aspx?App=23&amp;ReportView=4&amp;Qid=1711279&amp;Row=9393&amp;Col=1","No Title Assigned - #15271223499")</f>
        <v/>
      </c>
      <c r="B9401" s="0" t="s">
        <v>12602</v>
      </c>
      <c r="E9401" s="0" t="inlineStr">
        <is>
          <t xml:space="preserve">Mazda</t>
        </is>
      </c>
      <c r="F9401" s="0" t="inlineStr">
        <is>
          <t xml:space="preserve">Mazda</t>
        </is>
      </c>
      <c r="G9401" s="0" t="s">
        <v>171</v>
      </c>
      <c r="H9401" s="5">
        <v>2.892200</v>
      </c>
    </row>
    <row r="9402" spans="1:9">
      <c r="A9402" s="22" t="str">
        <f>HYPERLINK("https://app.vivvix.com/360/KMI/IntelliDrive/ApplUI/Pages/CreativePages/CustomReportCreativeDetail.aspx?App=23&amp;ReportView=4&amp;Qid=1711279&amp;Row=9394&amp;Col=1","No Title Assigned - #15271223631")</f>
        <v/>
      </c>
      <c r="B9402" s="0" t="s">
        <v>12603</v>
      </c>
      <c r="E9402" s="0" t="inlineStr">
        <is>
          <t xml:space="preserve">Mazda</t>
        </is>
      </c>
      <c r="F9402" s="0" t="inlineStr">
        <is>
          <t xml:space="preserve">Mazda</t>
        </is>
      </c>
      <c r="G9402" s="0" t="s">
        <v>171</v>
      </c>
      <c r="H9402" s="5">
        <v>204.345000</v>
      </c>
    </row>
    <row r="9403" spans="1:9">
      <c r="A9403" s="22" t="str">
        <f>HYPERLINK("https://app.vivvix.com/360/KMI/IntelliDrive/ApplUI/Pages/CreativePages/CustomReportCreativeDetail.aspx?App=23&amp;ReportView=4&amp;Qid=1711279&amp;Row=9395&amp;Col=1","No Title Assigned - #15271225121")</f>
        <v/>
      </c>
      <c r="B9403" s="0" t="s">
        <v>12604</v>
      </c>
      <c r="E9403" s="0" t="inlineStr">
        <is>
          <t xml:space="preserve">Mazda</t>
        </is>
      </c>
      <c r="F9403" s="0" t="inlineStr">
        <is>
          <t xml:space="preserve">Mazda</t>
        </is>
      </c>
      <c r="G9403" s="0" t="s">
        <v>171</v>
      </c>
      <c r="H9403" s="5">
        <v>1011.374400</v>
      </c>
    </row>
    <row r="9404" spans="1:9">
      <c r="A9404" s="22" t="str">
        <f>HYPERLINK("https://app.vivvix.com/360/KMI/IntelliDrive/ApplUI/Pages/CreativePages/CustomReportCreativeDetail.aspx?App=23&amp;ReportView=4&amp;Qid=1711279&amp;Row=9396&amp;Col=1","No Title Assigned - #15271225275")</f>
        <v/>
      </c>
      <c r="B9404" s="0" t="s">
        <v>12605</v>
      </c>
      <c r="C9404" s="0" t="s">
        <v>12606</v>
      </c>
      <c r="D9404" s="0" t="s">
        <v>12606</v>
      </c>
      <c r="E9404" s="0" t="inlineStr">
        <is>
          <t xml:space="preserve">Mazda</t>
        </is>
      </c>
      <c r="F9404" s="0" t="inlineStr">
        <is>
          <t xml:space="preserve">Mazda</t>
        </is>
      </c>
      <c r="G9404" s="0" t="s">
        <v>171</v>
      </c>
      <c r="H9404" s="5">
        <v>8.606100</v>
      </c>
    </row>
    <row r="9405" spans="1:9">
      <c r="A9405" s="22" t="str">
        <f>HYPERLINK("https://app.vivvix.com/360/KMI/IntelliDrive/ApplUI/Pages/CreativePages/CustomReportCreativeDetail.aspx?App=23&amp;ReportView=4&amp;Qid=1711279&amp;Row=9397&amp;Col=1","No Title Assigned - #15271225749")</f>
        <v/>
      </c>
      <c r="B9405" s="0" t="s">
        <v>12607</v>
      </c>
      <c r="E9405" s="0" t="inlineStr">
        <is>
          <t xml:space="preserve">Mazda</t>
        </is>
      </c>
      <c r="F9405" s="0" t="inlineStr">
        <is>
          <t xml:space="preserve">Mazda</t>
        </is>
      </c>
      <c r="G9405" s="0" t="s">
        <v>171</v>
      </c>
      <c r="H9405" s="5">
        <v>287.580800</v>
      </c>
    </row>
    <row r="9406" spans="1:9">
      <c r="A9406" s="22" t="str">
        <f>HYPERLINK("https://app.vivvix.com/360/KMI/IntelliDrive/ApplUI/Pages/CreativePages/CustomReportCreativeDetail.aspx?App=23&amp;ReportView=4&amp;Qid=1711279&amp;Row=9398&amp;Col=1","No Title Assigned - #15271225749")</f>
        <v/>
      </c>
      <c r="B9406" s="0" t="s">
        <v>12607</v>
      </c>
      <c r="E9406" s="0" t="inlineStr">
        <is>
          <t xml:space="preserve">Mazda</t>
        </is>
      </c>
      <c r="F9406" s="0" t="inlineStr">
        <is>
          <t xml:space="preserve">Mazda</t>
        </is>
      </c>
      <c r="G9406" s="0" t="s">
        <v>171</v>
      </c>
      <c r="H9406" s="5">
        <v>3108.081000</v>
      </c>
    </row>
    <row r="9407" spans="1:9">
      <c r="A9407" s="22" t="str">
        <f>HYPERLINK("https://app.vivvix.com/360/KMI/IntelliDrive/ApplUI/Pages/CreativePages/CustomReportCreativeDetail.aspx?App=23&amp;ReportView=4&amp;Qid=1711279&amp;Row=9399&amp;Col=1","No Title Assigned - #15271226025")</f>
        <v/>
      </c>
      <c r="B9407" s="0" t="s">
        <v>12608</v>
      </c>
      <c r="E9407" s="0" t="inlineStr">
        <is>
          <t xml:space="preserve">Mazda</t>
        </is>
      </c>
      <c r="F9407" s="0" t="inlineStr">
        <is>
          <t xml:space="preserve">Mazda</t>
        </is>
      </c>
      <c r="G9407" s="0" t="s">
        <v>171</v>
      </c>
      <c r="H9407" s="5">
        <v>7.217700</v>
      </c>
    </row>
    <row r="9408" spans="1:9">
      <c r="A9408" s="22" t="str">
        <f>HYPERLINK("https://app.vivvix.com/360/KMI/IntelliDrive/ApplUI/Pages/CreativePages/CustomReportCreativeDetail.aspx?App=23&amp;ReportView=4&amp;Qid=1711279&amp;Row=9400&amp;Col=1","No Title Assigned - #15271226264")</f>
        <v/>
      </c>
      <c r="B9408" s="0" t="s">
        <v>12609</v>
      </c>
      <c r="C9408" s="0" t="s">
        <v>12610</v>
      </c>
      <c r="D9408" s="0" t="s">
        <v>12610</v>
      </c>
      <c r="E9408" s="0" t="inlineStr">
        <is>
          <t xml:space="preserve">Mazda</t>
        </is>
      </c>
      <c r="F9408" s="0" t="inlineStr">
        <is>
          <t xml:space="preserve">Mazda</t>
        </is>
      </c>
      <c r="G9408" s="0" t="s">
        <v>171</v>
      </c>
      <c r="H9408" s="5">
        <v>10.227700</v>
      </c>
    </row>
    <row r="9409" spans="1:9">
      <c r="A9409" s="22" t="str">
        <f>HYPERLINK("https://app.vivvix.com/360/KMI/IntelliDrive/ApplUI/Pages/CreativePages/CustomReportCreativeDetail.aspx?App=23&amp;ReportView=4&amp;Qid=1711279&amp;Row=9401&amp;Col=1","No Title Assigned - #15271226266")</f>
        <v/>
      </c>
      <c r="B9409" s="0" t="s">
        <v>12611</v>
      </c>
      <c r="E9409" s="0" t="inlineStr">
        <is>
          <t xml:space="preserve">Mazda</t>
        </is>
      </c>
      <c r="F9409" s="0" t="inlineStr">
        <is>
          <t xml:space="preserve">Mazda</t>
        </is>
      </c>
      <c r="G9409" s="0" t="s">
        <v>171</v>
      </c>
      <c r="H9409" s="5">
        <v>42.116400</v>
      </c>
    </row>
    <row r="9410" spans="1:9">
      <c r="A9410" s="22" t="str">
        <f>HYPERLINK("https://app.vivvix.com/360/KMI/IntelliDrive/ApplUI/Pages/CreativePages/CustomReportCreativeDetail.aspx?App=23&amp;ReportView=4&amp;Qid=1711279&amp;Row=9402&amp;Col=1","No Title Assigned - #15271228243")</f>
        <v/>
      </c>
      <c r="B9410" s="0" t="s">
        <v>12612</v>
      </c>
      <c r="E9410" s="0" t="inlineStr">
        <is>
          <t xml:space="preserve">Mazda</t>
        </is>
      </c>
      <c r="F9410" s="0" t="inlineStr">
        <is>
          <t xml:space="preserve">Mazda</t>
        </is>
      </c>
      <c r="G9410" s="0" t="s">
        <v>171</v>
      </c>
      <c r="H9410" s="5">
        <v>0.990300</v>
      </c>
    </row>
    <row r="9411" spans="1:9">
      <c r="A9411" s="22" t="str">
        <f>HYPERLINK("https://app.vivvix.com/360/KMI/IntelliDrive/ApplUI/Pages/CreativePages/CustomReportCreativeDetail.aspx?App=23&amp;ReportView=4&amp;Qid=1711279&amp;Row=9403&amp;Col=1","No Title Assigned - #15271230223")</f>
        <v/>
      </c>
      <c r="B9411" s="0" t="s">
        <v>12613</v>
      </c>
      <c r="E9411" s="0" t="inlineStr">
        <is>
          <t xml:space="preserve">Mazda</t>
        </is>
      </c>
      <c r="F9411" s="0" t="inlineStr">
        <is>
          <t xml:space="preserve">Mazda</t>
        </is>
      </c>
      <c r="G9411" s="0" t="s">
        <v>171</v>
      </c>
      <c r="H9411" s="5">
        <v>429.510800</v>
      </c>
    </row>
    <row r="9412" spans="1:9">
      <c r="A9412" s="22" t="str">
        <f>HYPERLINK("https://app.vivvix.com/360/KMI/IntelliDrive/ApplUI/Pages/CreativePages/CustomReportCreativeDetail.aspx?App=23&amp;ReportView=4&amp;Qid=1711279&amp;Row=9404&amp;Col=1","No Title Assigned - #15271231222")</f>
        <v/>
      </c>
      <c r="B9412" s="0" t="s">
        <v>12614</v>
      </c>
      <c r="C9412" s="0" t="s">
        <v>12615</v>
      </c>
      <c r="D9412" s="0" t="s">
        <v>12615</v>
      </c>
      <c r="E9412" s="0" t="inlineStr">
        <is>
          <t xml:space="preserve">Mazda</t>
        </is>
      </c>
      <c r="F9412" s="0" t="inlineStr">
        <is>
          <t xml:space="preserve">Mazda</t>
        </is>
      </c>
      <c r="G9412" s="0" t="s">
        <v>171</v>
      </c>
      <c r="H9412" s="5">
        <v>4.280600</v>
      </c>
    </row>
    <row r="9413" spans="1:9">
      <c r="A9413" s="22" t="str">
        <f>HYPERLINK("https://app.vivvix.com/360/KMI/IntelliDrive/ApplUI/Pages/CreativePages/CustomReportCreativeDetail.aspx?App=23&amp;ReportView=4&amp;Qid=1711279&amp;Row=9405&amp;Col=1","No Title Assigned - #15271231770")</f>
        <v/>
      </c>
      <c r="B9413" s="0" t="s">
        <v>12616</v>
      </c>
      <c r="E9413" s="0" t="inlineStr">
        <is>
          <t xml:space="preserve">Mazda</t>
        </is>
      </c>
      <c r="F9413" s="0" t="inlineStr">
        <is>
          <t xml:space="preserve">Mazda</t>
        </is>
      </c>
      <c r="G9413" s="0" t="s">
        <v>171</v>
      </c>
      <c r="H9413" s="5">
        <v>153.640800</v>
      </c>
    </row>
    <row r="9414" spans="1:9">
      <c r="A9414" s="22" t="str">
        <f>HYPERLINK("https://app.vivvix.com/360/KMI/IntelliDrive/ApplUI/Pages/CreativePages/CustomReportCreativeDetail.aspx?App=23&amp;ReportView=4&amp;Qid=1711279&amp;Row=9406&amp;Col=1","No Title Assigned - #15271233042")</f>
        <v/>
      </c>
      <c r="B9414" s="0" t="s">
        <v>12617</v>
      </c>
      <c r="E9414" s="0" t="inlineStr">
        <is>
          <t xml:space="preserve">Mazda</t>
        </is>
      </c>
      <c r="F9414" s="0" t="inlineStr">
        <is>
          <t xml:space="preserve">Mazda</t>
        </is>
      </c>
      <c r="G9414" s="0" t="s">
        <v>171</v>
      </c>
      <c r="H9414" s="5">
        <v>153.640800</v>
      </c>
    </row>
    <row r="9415" spans="1:9">
      <c r="A9415" s="22" t="str">
        <f>HYPERLINK("https://app.vivvix.com/360/KMI/IntelliDrive/ApplUI/Pages/CreativePages/CustomReportCreativeDetail.aspx?App=23&amp;ReportView=4&amp;Qid=1711279&amp;Row=9407&amp;Col=1","No Title Assigned - #15271233373")</f>
        <v/>
      </c>
      <c r="B9415" s="0" t="s">
        <v>12618</v>
      </c>
      <c r="E9415" s="0" t="inlineStr">
        <is>
          <t xml:space="preserve">Mazda</t>
        </is>
      </c>
      <c r="F9415" s="0" t="inlineStr">
        <is>
          <t xml:space="preserve">Mazda</t>
        </is>
      </c>
      <c r="G9415" s="0" t="s">
        <v>171</v>
      </c>
      <c r="H9415" s="5">
        <v>11.970100</v>
      </c>
    </row>
    <row r="9416" spans="1:9">
      <c r="A9416" s="22" t="str">
        <f>HYPERLINK("https://app.vivvix.com/360/KMI/IntelliDrive/ApplUI/Pages/CreativePages/CustomReportCreativeDetail.aspx?App=23&amp;ReportView=4&amp;Qid=1711279&amp;Row=9408&amp;Col=1","No Title Assigned - #15271233831")</f>
        <v/>
      </c>
      <c r="B9416" s="0" t="s">
        <v>12619</v>
      </c>
      <c r="C9416" s="0" t="s">
        <v>12620</v>
      </c>
      <c r="D9416" s="0" t="s">
        <v>12620</v>
      </c>
      <c r="E9416" s="0" t="inlineStr">
        <is>
          <t xml:space="preserve">Mazda</t>
        </is>
      </c>
      <c r="F9416" s="0" t="inlineStr">
        <is>
          <t xml:space="preserve">Mazda</t>
        </is>
      </c>
      <c r="G9416" s="0" t="s">
        <v>171</v>
      </c>
      <c r="H9416" s="5">
        <v>33.823000</v>
      </c>
    </row>
    <row r="9417" spans="1:9">
      <c r="A9417" s="22" t="str">
        <f>HYPERLINK("https://app.vivvix.com/360/KMI/IntelliDrive/ApplUI/Pages/CreativePages/CustomReportCreativeDetail.aspx?App=23&amp;ReportView=4&amp;Qid=1711279&amp;Row=9409&amp;Col=1","No Title Assigned - #15271234757")</f>
        <v/>
      </c>
      <c r="B9417" s="0" t="s">
        <v>12621</v>
      </c>
      <c r="C9417" s="0" t="s">
        <v>12622</v>
      </c>
      <c r="D9417" s="0" t="s">
        <v>12622</v>
      </c>
      <c r="E9417" s="0" t="inlineStr">
        <is>
          <t xml:space="preserve">Mazda</t>
        </is>
      </c>
      <c r="F9417" s="0" t="inlineStr">
        <is>
          <t xml:space="preserve">Mazda</t>
        </is>
      </c>
      <c r="G9417" s="0" t="s">
        <v>171</v>
      </c>
      <c r="H9417" s="5">
        <v>13.680700</v>
      </c>
    </row>
    <row r="9418" spans="1:9">
      <c r="A9418" s="22" t="str">
        <f>HYPERLINK("https://app.vivvix.com/360/KMI/IntelliDrive/ApplUI/Pages/CreativePages/CustomReportCreativeDetail.aspx?App=23&amp;ReportView=4&amp;Qid=1711279&amp;Row=9410&amp;Col=1","No Title Assigned - #15271245958")</f>
        <v/>
      </c>
      <c r="B9418" s="0" t="s">
        <v>12623</v>
      </c>
      <c r="C9418" s="0" t="s">
        <v>12624</v>
      </c>
      <c r="D9418" s="0" t="s">
        <v>12624</v>
      </c>
      <c r="E9418" s="0" t="inlineStr">
        <is>
          <t xml:space="preserve">Mazda</t>
        </is>
      </c>
      <c r="F9418" s="0" t="inlineStr">
        <is>
          <t xml:space="preserve">Mazda</t>
        </is>
      </c>
      <c r="G9418" s="0" t="s">
        <v>171</v>
      </c>
      <c r="H9418" s="5">
        <v>80.307500</v>
      </c>
    </row>
    <row r="9419" spans="1:9">
      <c r="A9419" s="22" t="str">
        <f>HYPERLINK("https://app.vivvix.com/360/KMI/IntelliDrive/ApplUI/Pages/CreativePages/CustomReportCreativeDetail.aspx?App=23&amp;ReportView=4&amp;Qid=1711279&amp;Row=9411&amp;Col=1","No Title Assigned - #15271246414")</f>
        <v/>
      </c>
      <c r="B9419" s="0" t="s">
        <v>12625</v>
      </c>
      <c r="C9419" s="0" t="s">
        <v>12626</v>
      </c>
      <c r="D9419" s="0" t="s">
        <v>12626</v>
      </c>
      <c r="E9419" s="0" t="inlineStr">
        <is>
          <t xml:space="preserve">Mazda</t>
        </is>
      </c>
      <c r="F9419" s="0" t="inlineStr">
        <is>
          <t xml:space="preserve">Mazda</t>
        </is>
      </c>
      <c r="G9419" s="0" t="s">
        <v>171</v>
      </c>
      <c r="H9419" s="5">
        <v>52.903800</v>
      </c>
    </row>
    <row r="9420" spans="1:9">
      <c r="A9420" s="22" t="str">
        <f>HYPERLINK("https://app.vivvix.com/360/KMI/IntelliDrive/ApplUI/Pages/CreativePages/CustomReportCreativeDetail.aspx?App=23&amp;ReportView=4&amp;Qid=1711279&amp;Row=9412&amp;Col=1","No Title Assigned - #15271246673")</f>
        <v/>
      </c>
      <c r="B9420" s="0" t="s">
        <v>12627</v>
      </c>
      <c r="E9420" s="0" t="inlineStr">
        <is>
          <t xml:space="preserve">Mazda</t>
        </is>
      </c>
      <c r="F9420" s="0" t="inlineStr">
        <is>
          <t xml:space="preserve">Mazda</t>
        </is>
      </c>
      <c r="G9420" s="0" t="s">
        <v>171</v>
      </c>
      <c r="H9420" s="5">
        <v>17.515800</v>
      </c>
    </row>
    <row r="9421" spans="1:9">
      <c r="A9421" s="22" t="str">
        <f>HYPERLINK("https://app.vivvix.com/360/KMI/IntelliDrive/ApplUI/Pages/CreativePages/CustomReportCreativeDetail.aspx?App=23&amp;ReportView=4&amp;Qid=1711279&amp;Row=9413&amp;Col=1","No Title Assigned - #15271249269")</f>
        <v/>
      </c>
      <c r="B9421" s="0" t="s">
        <v>12628</v>
      </c>
      <c r="E9421" s="0" t="inlineStr">
        <is>
          <t xml:space="preserve">Mazda</t>
        </is>
      </c>
      <c r="F9421" s="0" t="inlineStr">
        <is>
          <t xml:space="preserve">Mazda</t>
        </is>
      </c>
      <c r="G9421" s="0" t="s">
        <v>171</v>
      </c>
      <c r="H9421" s="5">
        <v>13.068700</v>
      </c>
    </row>
    <row r="9422" spans="1:9">
      <c r="A9422" s="22" t="str">
        <f>HYPERLINK("https://app.vivvix.com/360/KMI/IntelliDrive/ApplUI/Pages/CreativePages/CustomReportCreativeDetail.aspx?App=23&amp;ReportView=4&amp;Qid=1711279&amp;Row=9414&amp;Col=1","No Title Assigned - #15271250198")</f>
        <v/>
      </c>
      <c r="B9422" s="0" t="s">
        <v>12629</v>
      </c>
      <c r="E9422" s="0" t="inlineStr">
        <is>
          <t xml:space="preserve">Mazda</t>
        </is>
      </c>
      <c r="F9422" s="0" t="inlineStr">
        <is>
          <t xml:space="preserve">Mazda</t>
        </is>
      </c>
      <c r="G9422" s="0" t="s">
        <v>171</v>
      </c>
      <c r="H9422" s="5">
        <v>7.991400</v>
      </c>
    </row>
    <row r="9423" spans="1:9">
      <c r="A9423" s="22" t="str">
        <f>HYPERLINK("https://app.vivvix.com/360/KMI/IntelliDrive/ApplUI/Pages/CreativePages/CustomReportCreativeDetail.aspx?App=23&amp;ReportView=4&amp;Qid=1711279&amp;Row=9415&amp;Col=1","No Title Assigned - #15271251918")</f>
        <v/>
      </c>
      <c r="B9423" s="0" t="s">
        <v>12630</v>
      </c>
      <c r="E9423" s="0" t="inlineStr">
        <is>
          <t xml:space="preserve">Mazda</t>
        </is>
      </c>
      <c r="F9423" s="0" t="inlineStr">
        <is>
          <t xml:space="preserve">Mazda</t>
        </is>
      </c>
      <c r="G9423" s="0" t="s">
        <v>171</v>
      </c>
      <c r="H9423" s="5">
        <v>26094.738300</v>
      </c>
    </row>
    <row r="9424" spans="1:9">
      <c r="A9424" s="22" t="str">
        <f>HYPERLINK("https://app.vivvix.com/360/KMI/IntelliDrive/ApplUI/Pages/CreativePages/CustomReportCreativeDetail.aspx?App=23&amp;ReportView=4&amp;Qid=1711279&amp;Row=9416&amp;Col=1","No Title Assigned - #15271255855")</f>
        <v/>
      </c>
      <c r="B9424" s="0" t="s">
        <v>12631</v>
      </c>
      <c r="C9424" s="0" t="s">
        <v>12632</v>
      </c>
      <c r="D9424" s="0" t="s">
        <v>12632</v>
      </c>
      <c r="E9424" s="0" t="inlineStr">
        <is>
          <t xml:space="preserve">Mazda</t>
        </is>
      </c>
      <c r="F9424" s="0" t="s">
        <v>13</v>
      </c>
      <c r="G9424" s="0" t="s">
        <v>49</v>
      </c>
      <c r="H9424" s="5">
        <v>80.362900</v>
      </c>
    </row>
    <row r="9425" spans="1:9">
      <c r="A9425" s="22" t="str">
        <f>HYPERLINK("https://app.vivvix.com/360/KMI/IntelliDrive/ApplUI/Pages/CreativePages/CustomReportCreativeDetail.aspx?App=23&amp;ReportView=4&amp;Qid=1711279&amp;Row=9417&amp;Col=1","No Title Assigned - #15271257715")</f>
        <v/>
      </c>
      <c r="B9425" s="0" t="s">
        <v>12633</v>
      </c>
      <c r="C9425" s="0" t="s">
        <v>12634</v>
      </c>
      <c r="D9425" s="0" t="s">
        <v>12634</v>
      </c>
      <c r="E9425" s="0" t="inlineStr">
        <is>
          <t xml:space="preserve">Mazda</t>
        </is>
      </c>
      <c r="F9425" s="0" t="s">
        <v>3108</v>
      </c>
      <c r="G9425" s="0" t="s">
        <v>12635</v>
      </c>
      <c r="H9425" s="5">
        <v>391.425800</v>
      </c>
    </row>
    <row r="9426" spans="1:9">
      <c r="A9426" s="22" t="str">
        <f>HYPERLINK("https://app.vivvix.com/360/KMI/IntelliDrive/ApplUI/Pages/CreativePages/CustomReportCreativeDetail.aspx?App=23&amp;ReportView=4&amp;Qid=1711279&amp;Row=9418&amp;Col=1","No Title Assigned - #15271259654")</f>
        <v/>
      </c>
      <c r="B9426" s="0" t="s">
        <v>12636</v>
      </c>
      <c r="C9426" s="0" t="s">
        <v>12637</v>
      </c>
      <c r="D9426" s="0" t="s">
        <v>4333</v>
      </c>
      <c r="E9426" s="0" t="inlineStr">
        <is>
          <t xml:space="preserve">Mazda</t>
        </is>
      </c>
      <c r="F9426" s="0" t="s">
        <v>28</v>
      </c>
      <c r="G9426" s="0" t="s">
        <v>29</v>
      </c>
      <c r="H9426" s="5">
        <v>14.468100</v>
      </c>
    </row>
    <row r="9427" spans="1:9">
      <c r="A9427" s="22" t="str">
        <f>HYPERLINK("https://app.vivvix.com/360/KMI/IntelliDrive/ApplUI/Pages/CreativePages/CustomReportCreativeDetail.aspx?App=23&amp;ReportView=4&amp;Qid=1711279&amp;Row=9419&amp;Col=1","No Title Assigned - #15271259855")</f>
        <v/>
      </c>
      <c r="B9427" s="0" t="s">
        <v>12638</v>
      </c>
      <c r="C9427" s="0" t="s">
        <v>12639</v>
      </c>
      <c r="D9427" s="0" t="s">
        <v>12639</v>
      </c>
      <c r="E9427" s="0" t="inlineStr">
        <is>
          <t xml:space="preserve">Mazda</t>
        </is>
      </c>
      <c r="F9427" s="0" t="s">
        <v>13</v>
      </c>
      <c r="G9427" s="0" t="s">
        <v>49</v>
      </c>
      <c r="H9427" s="5">
        <v>20874.543800</v>
      </c>
    </row>
    <row r="9428" spans="1:9">
      <c r="A9428" s="22" t="str">
        <f>HYPERLINK("https://app.vivvix.com/360/KMI/IntelliDrive/ApplUI/Pages/CreativePages/CustomReportCreativeDetail.aspx?App=23&amp;ReportView=4&amp;Qid=1711279&amp;Row=9420&amp;Col=1","No Title Assigned - #15271260140")</f>
        <v/>
      </c>
      <c r="B9428" s="0" t="s">
        <v>12640</v>
      </c>
      <c r="C9428" s="0" t="s">
        <v>12641</v>
      </c>
      <c r="D9428" s="0" t="s">
        <v>12641</v>
      </c>
      <c r="E9428" s="0" t="inlineStr">
        <is>
          <t xml:space="preserve">Mazda</t>
        </is>
      </c>
      <c r="F9428" s="0" t="s">
        <v>13</v>
      </c>
      <c r="G9428" s="0" t="s">
        <v>49</v>
      </c>
      <c r="H9428" s="5">
        <v>902.537500</v>
      </c>
    </row>
    <row r="9429" spans="1:9">
      <c r="A9429" s="22" t="str">
        <f>HYPERLINK("https://app.vivvix.com/360/KMI/IntelliDrive/ApplUI/Pages/CreativePages/CustomReportCreativeDetail.aspx?App=23&amp;ReportView=4&amp;Qid=1711279&amp;Row=9421&amp;Col=1","No Title Assigned - #15271260338")</f>
        <v/>
      </c>
      <c r="B9429" s="0" t="s">
        <v>12642</v>
      </c>
      <c r="C9429" s="0" t="s">
        <v>12643</v>
      </c>
      <c r="D9429" s="0" t="s">
        <v>12643</v>
      </c>
      <c r="E9429" s="0" t="inlineStr">
        <is>
          <t xml:space="preserve">Mazda</t>
        </is>
      </c>
      <c r="F9429" s="0" t="s">
        <v>28</v>
      </c>
      <c r="G9429" s="0" t="s">
        <v>29</v>
      </c>
      <c r="H9429" s="5">
        <v>1242.106400</v>
      </c>
    </row>
    <row r="9430" spans="1:9">
      <c r="A9430" s="22" t="str">
        <f>HYPERLINK("https://app.vivvix.com/360/KMI/IntelliDrive/ApplUI/Pages/CreativePages/CustomReportCreativeDetail.aspx?App=23&amp;ReportView=4&amp;Qid=1711279&amp;Row=9422&amp;Col=1","No Title Assigned - #15271262057")</f>
        <v/>
      </c>
      <c r="B9430" s="0" t="s">
        <v>12644</v>
      </c>
      <c r="C9430" s="0" t="s">
        <v>12645</v>
      </c>
      <c r="D9430" s="0" t="s">
        <v>12645</v>
      </c>
      <c r="E9430" s="0" t="inlineStr">
        <is>
          <t xml:space="preserve">Mazda</t>
        </is>
      </c>
      <c r="F9430" s="0" t="s">
        <v>13</v>
      </c>
      <c r="G9430" s="0" t="s">
        <v>49</v>
      </c>
      <c r="H9430" s="5">
        <v>44.055200</v>
      </c>
    </row>
    <row r="9431" spans="1:9">
      <c r="A9431" s="22" t="str">
        <f>HYPERLINK("https://app.vivvix.com/360/KMI/IntelliDrive/ApplUI/Pages/CreativePages/CustomReportCreativeDetail.aspx?App=23&amp;ReportView=4&amp;Qid=1711279&amp;Row=9423&amp;Col=1","No Title Assigned - #15271262057")</f>
        <v/>
      </c>
      <c r="B9431" s="0" t="s">
        <v>12644</v>
      </c>
      <c r="E9431" s="0" t="inlineStr">
        <is>
          <t xml:space="preserve">Mazda</t>
        </is>
      </c>
      <c r="F9431" s="0" t="s">
        <v>13</v>
      </c>
      <c r="G9431" s="0" t="s">
        <v>49</v>
      </c>
      <c r="H9431" s="5">
        <v>26.226000</v>
      </c>
    </row>
    <row r="9432" spans="1:9">
      <c r="A9432" s="22" t="str">
        <f>HYPERLINK("https://app.vivvix.com/360/KMI/IntelliDrive/ApplUI/Pages/CreativePages/CustomReportCreativeDetail.aspx?App=23&amp;ReportView=4&amp;Qid=1711279&amp;Row=9424&amp;Col=1","No Title Assigned - #15271262411")</f>
        <v/>
      </c>
      <c r="B9432" s="0" t="s">
        <v>12646</v>
      </c>
      <c r="C9432" s="0" t="s">
        <v>12647</v>
      </c>
      <c r="D9432" s="0" t="s">
        <v>12647</v>
      </c>
      <c r="E9432" s="0" t="inlineStr">
        <is>
          <t xml:space="preserve">Mazda</t>
        </is>
      </c>
      <c r="F9432" s="0" t="s">
        <v>28</v>
      </c>
      <c r="G9432" s="0" t="s">
        <v>29</v>
      </c>
      <c r="H9432" s="5">
        <v>15.406100</v>
      </c>
    </row>
    <row r="9433" spans="1:9">
      <c r="A9433" s="22" t="str">
        <f>HYPERLINK("https://app.vivvix.com/360/KMI/IntelliDrive/ApplUI/Pages/CreativePages/CustomReportCreativeDetail.aspx?App=23&amp;ReportView=4&amp;Qid=1711279&amp;Row=9425&amp;Col=1","No Title Assigned - #15271263991")</f>
        <v/>
      </c>
      <c r="B9433" s="0" t="s">
        <v>12648</v>
      </c>
      <c r="C9433" s="0" t="s">
        <v>12649</v>
      </c>
      <c r="D9433" s="0" t="s">
        <v>12649</v>
      </c>
      <c r="E9433" s="0" t="inlineStr">
        <is>
          <t xml:space="preserve">Mazda</t>
        </is>
      </c>
      <c r="F9433" s="0" t="s">
        <v>13</v>
      </c>
      <c r="G9433" s="0" t="s">
        <v>49</v>
      </c>
      <c r="H9433" s="5">
        <v>219.631200</v>
      </c>
    </row>
    <row r="9434" spans="1:9">
      <c r="A9434" s="22" t="str">
        <f>HYPERLINK("https://app.vivvix.com/360/KMI/IntelliDrive/ApplUI/Pages/CreativePages/CustomReportCreativeDetail.aspx?App=23&amp;ReportView=4&amp;Qid=1711279&amp;Row=9426&amp;Col=1","No Title Assigned - #15271265472")</f>
        <v/>
      </c>
      <c r="B9434" s="0" t="s">
        <v>12650</v>
      </c>
      <c r="C9434" s="0" t="s">
        <v>12651</v>
      </c>
      <c r="D9434" s="0" t="s">
        <v>12651</v>
      </c>
      <c r="E9434" s="0" t="inlineStr">
        <is>
          <t xml:space="preserve">Mazda</t>
        </is>
      </c>
      <c r="F9434" s="0" t="s">
        <v>13</v>
      </c>
      <c r="G9434" s="0" t="s">
        <v>49</v>
      </c>
      <c r="H9434" s="5">
        <v>59270.319400</v>
      </c>
    </row>
    <row r="9435" spans="1:9">
      <c r="A9435" s="22" t="str">
        <f>HYPERLINK("https://app.vivvix.com/360/KMI/IntelliDrive/ApplUI/Pages/CreativePages/CustomReportCreativeDetail.aspx?App=23&amp;ReportView=4&amp;Qid=1711279&amp;Row=9427&amp;Col=1","No Title Assigned - #15271265900")</f>
        <v/>
      </c>
      <c r="B9435" s="0" t="s">
        <v>12652</v>
      </c>
      <c r="C9435" s="0" t="s">
        <v>12653</v>
      </c>
      <c r="D9435" s="0" t="s">
        <v>12653</v>
      </c>
      <c r="E9435" s="0" t="inlineStr">
        <is>
          <t xml:space="preserve">Mazda</t>
        </is>
      </c>
      <c r="F9435" s="0" t="s">
        <v>28</v>
      </c>
      <c r="G9435" s="0" t="s">
        <v>29</v>
      </c>
      <c r="H9435" s="5">
        <v>6970.838700</v>
      </c>
    </row>
    <row r="9436" spans="1:9">
      <c r="A9436" s="22" t="str">
        <f>HYPERLINK("https://app.vivvix.com/360/KMI/IntelliDrive/ApplUI/Pages/CreativePages/CustomReportCreativeDetail.aspx?App=23&amp;ReportView=4&amp;Qid=1711279&amp;Row=9428&amp;Col=1","No Title Assigned - #15271266139")</f>
        <v/>
      </c>
      <c r="B9436" s="0" t="s">
        <v>12654</v>
      </c>
      <c r="C9436" s="0" t="s">
        <v>12655</v>
      </c>
      <c r="D9436" s="0" t="s">
        <v>12655</v>
      </c>
      <c r="E9436" s="0" t="inlineStr">
        <is>
          <t xml:space="preserve">Mazda</t>
        </is>
      </c>
      <c r="F9436" s="0" t="s">
        <v>13</v>
      </c>
      <c r="G9436" s="0" t="s">
        <v>49</v>
      </c>
      <c r="H9436" s="5">
        <v>7537.387300</v>
      </c>
    </row>
    <row r="9437" spans="1:9">
      <c r="A9437" s="22" t="str">
        <f>HYPERLINK("https://app.vivvix.com/360/KMI/IntelliDrive/ApplUI/Pages/CreativePages/CustomReportCreativeDetail.aspx?App=23&amp;ReportView=4&amp;Qid=1711279&amp;Row=9429&amp;Col=1","No Title Assigned - #15271266608")</f>
        <v/>
      </c>
      <c r="B9437" s="0" t="s">
        <v>12656</v>
      </c>
      <c r="C9437" s="0" t="s">
        <v>12657</v>
      </c>
      <c r="D9437" s="0" t="s">
        <v>12657</v>
      </c>
      <c r="E9437" s="0" t="inlineStr">
        <is>
          <t xml:space="preserve">Mazda</t>
        </is>
      </c>
      <c r="F9437" s="0" t="s">
        <v>28</v>
      </c>
      <c r="G9437" s="0" t="s">
        <v>29</v>
      </c>
      <c r="H9437" s="5">
        <v>1846.357600</v>
      </c>
    </row>
    <row r="9438" spans="1:9">
      <c r="A9438" s="22" t="str">
        <f>HYPERLINK("https://app.vivvix.com/360/KMI/IntelliDrive/ApplUI/Pages/CreativePages/CustomReportCreativeDetail.aspx?App=23&amp;ReportView=4&amp;Qid=1711279&amp;Row=9430&amp;Col=1","No Title Assigned - #15271268368")</f>
        <v/>
      </c>
      <c r="B9438" s="0" t="s">
        <v>12658</v>
      </c>
      <c r="C9438" s="0" t="s">
        <v>12659</v>
      </c>
      <c r="D9438" s="0" t="s">
        <v>12659</v>
      </c>
      <c r="E9438" s="0" t="inlineStr">
        <is>
          <t xml:space="preserve">Mazda</t>
        </is>
      </c>
      <c r="F9438" s="0" t="s">
        <v>28</v>
      </c>
      <c r="G9438" s="0" t="s">
        <v>29</v>
      </c>
      <c r="H9438" s="5">
        <v>17.192000</v>
      </c>
    </row>
    <row r="9439" spans="1:9">
      <c r="A9439" s="22" t="str">
        <f>HYPERLINK("https://app.vivvix.com/360/KMI/IntelliDrive/ApplUI/Pages/CreativePages/CustomReportCreativeDetail.aspx?App=23&amp;ReportView=4&amp;Qid=1711279&amp;Row=9431&amp;Col=1","No Title Assigned - #15271269503")</f>
        <v/>
      </c>
      <c r="B9439" s="0" t="s">
        <v>12660</v>
      </c>
      <c r="C9439" s="0" t="s">
        <v>12661</v>
      </c>
      <c r="D9439" s="0" t="s">
        <v>12661</v>
      </c>
      <c r="E9439" s="0" t="inlineStr">
        <is>
          <t xml:space="preserve">Mazda</t>
        </is>
      </c>
      <c r="F9439" s="0" t="s">
        <v>13</v>
      </c>
      <c r="G9439" s="0" t="s">
        <v>49</v>
      </c>
      <c r="H9439" s="5">
        <v>1160.153400</v>
      </c>
    </row>
    <row r="9440" spans="1:9">
      <c r="A9440" s="22" t="str">
        <f>HYPERLINK("https://app.vivvix.com/360/KMI/IntelliDrive/ApplUI/Pages/CreativePages/CustomReportCreativeDetail.aspx?App=23&amp;ReportView=4&amp;Qid=1711279&amp;Row=9432&amp;Col=1","No Title Assigned - #15271269533")</f>
        <v/>
      </c>
      <c r="B9440" s="0" t="s">
        <v>12662</v>
      </c>
      <c r="C9440" s="0" t="s">
        <v>12663</v>
      </c>
      <c r="D9440" s="0" t="s">
        <v>8779</v>
      </c>
      <c r="E9440" s="0" t="inlineStr">
        <is>
          <t xml:space="preserve">Mazda</t>
        </is>
      </c>
      <c r="F9440" s="0" t="s">
        <v>13</v>
      </c>
      <c r="G9440" s="0" t="s">
        <v>49</v>
      </c>
      <c r="H9440" s="5">
        <v>47740.629400</v>
      </c>
    </row>
    <row r="9441" spans="1:9">
      <c r="A9441" s="22" t="str">
        <f>HYPERLINK("https://app.vivvix.com/360/KMI/IntelliDrive/ApplUI/Pages/CreativePages/CustomReportCreativeDetail.aspx?App=23&amp;ReportView=4&amp;Qid=1711279&amp;Row=9433&amp;Col=1","No Title Assigned - #15271269533")</f>
        <v/>
      </c>
      <c r="B9441" s="0" t="s">
        <v>12662</v>
      </c>
      <c r="E9441" s="0" t="inlineStr">
        <is>
          <t xml:space="preserve">Mazda</t>
        </is>
      </c>
      <c r="F9441" s="0" t="s">
        <v>13</v>
      </c>
      <c r="G9441" s="0" t="s">
        <v>49</v>
      </c>
      <c r="H9441" s="5">
        <v>69612.361800</v>
      </c>
    </row>
    <row r="9442" spans="1:9">
      <c r="A9442" s="22" t="str">
        <f>HYPERLINK("https://app.vivvix.com/360/KMI/IntelliDrive/ApplUI/Pages/CreativePages/CustomReportCreativeDetail.aspx?App=23&amp;ReportView=4&amp;Qid=1711279&amp;Row=9434&amp;Col=1","No Title Assigned - #15271269546")</f>
        <v/>
      </c>
      <c r="B9442" s="0" t="s">
        <v>12664</v>
      </c>
      <c r="E9442" s="0" t="inlineStr">
        <is>
          <t xml:space="preserve">Mazda</t>
        </is>
      </c>
      <c r="F9442" s="0" t="inlineStr">
        <is>
          <t xml:space="preserve">Mazda</t>
        </is>
      </c>
      <c r="G9442" s="0" t="s">
        <v>171</v>
      </c>
      <c r="H9442" s="5">
        <v>25.822700</v>
      </c>
    </row>
    <row r="9443" spans="1:9">
      <c r="A9443" s="22" t="str">
        <f>HYPERLINK("https://app.vivvix.com/360/KMI/IntelliDrive/ApplUI/Pages/CreativePages/CustomReportCreativeDetail.aspx?App=23&amp;ReportView=4&amp;Qid=1711279&amp;Row=9435&amp;Col=1","No Title Assigned - #15271270482")</f>
        <v/>
      </c>
      <c r="B9443" s="0" t="s">
        <v>12665</v>
      </c>
      <c r="C9443" s="0" t="s">
        <v>12666</v>
      </c>
      <c r="D9443" s="0" t="s">
        <v>12666</v>
      </c>
      <c r="E9443" s="0" t="inlineStr">
        <is>
          <t xml:space="preserve">Mazda</t>
        </is>
      </c>
      <c r="F9443" s="0" t="s">
        <v>28</v>
      </c>
      <c r="G9443" s="0" t="s">
        <v>29</v>
      </c>
      <c r="H9443" s="5">
        <v>45.751200</v>
      </c>
    </row>
    <row r="9444" spans="1:9">
      <c r="A9444" s="22" t="str">
        <f>HYPERLINK("https://app.vivvix.com/360/KMI/IntelliDrive/ApplUI/Pages/CreativePages/CustomReportCreativeDetail.aspx?App=23&amp;ReportView=4&amp;Qid=1711279&amp;Row=9436&amp;Col=1","No Title Assigned - #15271271497")</f>
        <v/>
      </c>
      <c r="B9444" s="0" t="s">
        <v>12667</v>
      </c>
      <c r="C9444" s="0" t="s">
        <v>12668</v>
      </c>
      <c r="D9444" s="0" t="s">
        <v>4202</v>
      </c>
      <c r="E9444" s="0" t="inlineStr">
        <is>
          <t xml:space="preserve">Mazda</t>
        </is>
      </c>
      <c r="F9444" s="0" t="s">
        <v>28</v>
      </c>
      <c r="G9444" s="0" t="s">
        <v>29</v>
      </c>
      <c r="H9444" s="5">
        <v>563.798100</v>
      </c>
    </row>
    <row r="9445" spans="1:9">
      <c r="A9445" s="22" t="str">
        <f>HYPERLINK("https://app.vivvix.com/360/KMI/IntelliDrive/ApplUI/Pages/CreativePages/CustomReportCreativeDetail.aspx?App=23&amp;ReportView=4&amp;Qid=1711279&amp;Row=9437&amp;Col=1","No Title Assigned - #15271271497")</f>
        <v/>
      </c>
      <c r="B9445" s="0" t="s">
        <v>12667</v>
      </c>
      <c r="E9445" s="0" t="inlineStr">
        <is>
          <t xml:space="preserve">Mazda</t>
        </is>
      </c>
      <c r="F9445" s="0" t="s">
        <v>28</v>
      </c>
      <c r="G9445" s="0" t="s">
        <v>29</v>
      </c>
      <c r="H9445" s="5">
        <v>1325.994300</v>
      </c>
    </row>
    <row r="9446" spans="1:9">
      <c r="A9446" s="22" t="str">
        <f>HYPERLINK("https://app.vivvix.com/360/KMI/IntelliDrive/ApplUI/Pages/CreativePages/CustomReportCreativeDetail.aspx?App=23&amp;ReportView=4&amp;Qid=1711279&amp;Row=9438&amp;Col=1","No Title Assigned - #15271271508")</f>
        <v/>
      </c>
      <c r="B9446" s="0" t="s">
        <v>12669</v>
      </c>
      <c r="C9446" s="0" t="s">
        <v>12670</v>
      </c>
      <c r="D9446" s="0" t="s">
        <v>4225</v>
      </c>
      <c r="E9446" s="0" t="inlineStr">
        <is>
          <t xml:space="preserve">Mazda</t>
        </is>
      </c>
      <c r="F9446" s="0" t="s">
        <v>28</v>
      </c>
      <c r="G9446" s="0" t="s">
        <v>29</v>
      </c>
      <c r="H9446" s="5">
        <v>12.282400</v>
      </c>
    </row>
    <row r="9447" spans="1:9">
      <c r="A9447" s="22" t="str">
        <f>HYPERLINK("https://app.vivvix.com/360/KMI/IntelliDrive/ApplUI/Pages/CreativePages/CustomReportCreativeDetail.aspx?App=23&amp;ReportView=4&amp;Qid=1711279&amp;Row=9439&amp;Col=1","No Title Assigned - #15271272041")</f>
        <v/>
      </c>
      <c r="B9447" s="0" t="s">
        <v>12671</v>
      </c>
      <c r="C9447" s="0" t="s">
        <v>12672</v>
      </c>
      <c r="D9447" s="0" t="s">
        <v>5994</v>
      </c>
      <c r="E9447" s="0" t="inlineStr">
        <is>
          <t xml:space="preserve">Mazda</t>
        </is>
      </c>
      <c r="F9447" s="0" t="s">
        <v>28</v>
      </c>
      <c r="G9447" s="0" t="s">
        <v>29</v>
      </c>
      <c r="H9447" s="5">
        <v>19.398700</v>
      </c>
    </row>
    <row r="9448" spans="1:9">
      <c r="A9448" s="22" t="str">
        <f>HYPERLINK("https://app.vivvix.com/360/KMI/IntelliDrive/ApplUI/Pages/CreativePages/CustomReportCreativeDetail.aspx?App=23&amp;ReportView=4&amp;Qid=1711279&amp;Row=9440&amp;Col=1","No Title Assigned - #15271272109")</f>
        <v/>
      </c>
      <c r="B9448" s="0" t="s">
        <v>12673</v>
      </c>
      <c r="C9448" s="0" t="s">
        <v>12674</v>
      </c>
      <c r="D9448" s="0" t="s">
        <v>4204</v>
      </c>
      <c r="E9448" s="0" t="inlineStr">
        <is>
          <t xml:space="preserve">Mazda</t>
        </is>
      </c>
      <c r="F9448" s="0" t="s">
        <v>28</v>
      </c>
      <c r="G9448" s="0" t="s">
        <v>29</v>
      </c>
      <c r="H9448" s="5">
        <v>1072.275800</v>
      </c>
    </row>
    <row r="9449" spans="1:9">
      <c r="A9449" s="22" t="str">
        <f>HYPERLINK("https://app.vivvix.com/360/KMI/IntelliDrive/ApplUI/Pages/CreativePages/CustomReportCreativeDetail.aspx?App=23&amp;ReportView=4&amp;Qid=1711279&amp;Row=9441&amp;Col=1","No Title Assigned - #15271272134")</f>
        <v/>
      </c>
      <c r="B9449" s="0" t="s">
        <v>12675</v>
      </c>
      <c r="C9449" s="0" t="s">
        <v>12676</v>
      </c>
      <c r="D9449" s="0" t="s">
        <v>10734</v>
      </c>
      <c r="E9449" s="0" t="inlineStr">
        <is>
          <t xml:space="preserve">Mazda</t>
        </is>
      </c>
      <c r="F9449" s="0" t="inlineStr">
        <is>
          <t xml:space="preserve">Mazda</t>
        </is>
      </c>
      <c r="G9449" s="0" t="s">
        <v>210</v>
      </c>
      <c r="H9449" s="5">
        <v>228.986200</v>
      </c>
    </row>
    <row r="9450" spans="1:9">
      <c r="A9450" s="22" t="str">
        <f>HYPERLINK("https://app.vivvix.com/360/KMI/IntelliDrive/ApplUI/Pages/CreativePages/CustomReportCreativeDetail.aspx?App=23&amp;ReportView=4&amp;Qid=1711279&amp;Row=9442&amp;Col=1","No Title Assigned - #15271272738")</f>
        <v/>
      </c>
      <c r="B9450" s="0" t="s">
        <v>12677</v>
      </c>
      <c r="E9450" s="0" t="inlineStr">
        <is>
          <t xml:space="preserve">Mazda</t>
        </is>
      </c>
      <c r="F9450" s="0" t="inlineStr">
        <is>
          <t xml:space="preserve">Mazda</t>
        </is>
      </c>
      <c r="G9450" s="0" t="s">
        <v>171</v>
      </c>
      <c r="H9450" s="5">
        <v>121.988800</v>
      </c>
    </row>
    <row r="9451" spans="1:9">
      <c r="A9451" s="22" t="str">
        <f>HYPERLINK("https://app.vivvix.com/360/KMI/IntelliDrive/ApplUI/Pages/CreativePages/CustomReportCreativeDetail.aspx?App=23&amp;ReportView=4&amp;Qid=1711279&amp;Row=9443&amp;Col=1","No Title Assigned - #15271273149")</f>
        <v/>
      </c>
      <c r="B9451" s="0" t="s">
        <v>12678</v>
      </c>
      <c r="C9451" s="0" t="s">
        <v>12679</v>
      </c>
      <c r="D9451" s="0" t="s">
        <v>4200</v>
      </c>
      <c r="E9451" s="0" t="inlineStr">
        <is>
          <t xml:space="preserve">Mazda</t>
        </is>
      </c>
      <c r="F9451" s="0" t="s">
        <v>28</v>
      </c>
      <c r="G9451" s="0" t="s">
        <v>29</v>
      </c>
      <c r="H9451" s="5">
        <v>10.895800</v>
      </c>
    </row>
    <row r="9452" spans="1:9">
      <c r="A9452" s="22" t="str">
        <f>HYPERLINK("https://app.vivvix.com/360/KMI/IntelliDrive/ApplUI/Pages/CreativePages/CustomReportCreativeDetail.aspx?App=23&amp;ReportView=4&amp;Qid=1711279&amp;Row=9444&amp;Col=1","No Title Assigned - #15271273173")</f>
        <v/>
      </c>
      <c r="B9452" s="0" t="s">
        <v>12680</v>
      </c>
      <c r="C9452" s="0" t="s">
        <v>12681</v>
      </c>
      <c r="D9452" s="0" t="s">
        <v>12681</v>
      </c>
      <c r="E9452" s="0" t="inlineStr">
        <is>
          <t xml:space="preserve">Mazda</t>
        </is>
      </c>
      <c r="F9452" s="0" t="s">
        <v>28</v>
      </c>
      <c r="G9452" s="0" t="s">
        <v>29</v>
      </c>
      <c r="H9452" s="5">
        <v>140.846300</v>
      </c>
    </row>
    <row r="9453" spans="1:9">
      <c r="A9453" s="22" t="str">
        <f>HYPERLINK("https://app.vivvix.com/360/KMI/IntelliDrive/ApplUI/Pages/CreativePages/CustomReportCreativeDetail.aspx?App=23&amp;ReportView=4&amp;Qid=1711279&amp;Row=9445&amp;Col=1","No Title Assigned - #15271273197")</f>
        <v/>
      </c>
      <c r="B9453" s="0" t="s">
        <v>12682</v>
      </c>
      <c r="C9453" s="0" t="s">
        <v>12683</v>
      </c>
      <c r="D9453" s="0" t="s">
        <v>12683</v>
      </c>
      <c r="E9453" s="0" t="inlineStr">
        <is>
          <t xml:space="preserve">Mazda</t>
        </is>
      </c>
      <c r="F9453" s="0" t="s">
        <v>28</v>
      </c>
      <c r="G9453" s="0" t="s">
        <v>29</v>
      </c>
      <c r="H9453" s="5">
        <v>11.029400</v>
      </c>
    </row>
    <row r="9454" spans="1:9">
      <c r="A9454" s="22" t="str">
        <f>HYPERLINK("https://app.vivvix.com/360/KMI/IntelliDrive/ApplUI/Pages/CreativePages/CustomReportCreativeDetail.aspx?App=23&amp;ReportView=4&amp;Qid=1711279&amp;Row=9446&amp;Col=1","No Title Assigned - #15271273260")</f>
        <v/>
      </c>
      <c r="B9454" s="0" t="s">
        <v>12684</v>
      </c>
      <c r="C9454" s="0" t="s">
        <v>12685</v>
      </c>
      <c r="D9454" s="0" t="s">
        <v>4200</v>
      </c>
      <c r="E9454" s="0" t="inlineStr">
        <is>
          <t xml:space="preserve">Mazda</t>
        </is>
      </c>
      <c r="F9454" s="0" t="s">
        <v>28</v>
      </c>
      <c r="G9454" s="0" t="s">
        <v>29</v>
      </c>
      <c r="H9454" s="5">
        <v>218.873400</v>
      </c>
    </row>
    <row r="9455" spans="1:9">
      <c r="A9455" s="22" t="str">
        <f>HYPERLINK("https://app.vivvix.com/360/KMI/IntelliDrive/ApplUI/Pages/CreativePages/CustomReportCreativeDetail.aspx?App=23&amp;ReportView=4&amp;Qid=1711279&amp;Row=9447&amp;Col=1","No Title Assigned - #15271274040")</f>
        <v/>
      </c>
      <c r="B9455" s="0" t="s">
        <v>12686</v>
      </c>
      <c r="E9455" s="0" t="inlineStr">
        <is>
          <t xml:space="preserve">Mazda</t>
        </is>
      </c>
      <c r="F9455" s="0" t="inlineStr">
        <is>
          <t xml:space="preserve">Mazda</t>
        </is>
      </c>
      <c r="G9455" s="0" t="s">
        <v>171</v>
      </c>
      <c r="H9455" s="5">
        <v>265.068500</v>
      </c>
    </row>
    <row r="9456" spans="1:9">
      <c r="A9456" s="22" t="str">
        <f>HYPERLINK("https://app.vivvix.com/360/KMI/IntelliDrive/ApplUI/Pages/CreativePages/CustomReportCreativeDetail.aspx?App=23&amp;ReportView=4&amp;Qid=1711279&amp;Row=9448&amp;Col=1","No Title Assigned - #15271274193")</f>
        <v/>
      </c>
      <c r="B9456" s="0" t="s">
        <v>12687</v>
      </c>
      <c r="C9456" s="0" t="s">
        <v>12688</v>
      </c>
      <c r="D9456" s="0" t="s">
        <v>12688</v>
      </c>
      <c r="E9456" s="0" t="inlineStr">
        <is>
          <t xml:space="preserve">Mazda</t>
        </is>
      </c>
      <c r="F9456" s="0" t="inlineStr">
        <is>
          <t xml:space="preserve">Mazda</t>
        </is>
      </c>
      <c r="G9456" s="0" t="s">
        <v>171</v>
      </c>
      <c r="H9456" s="5">
        <v>10.857300</v>
      </c>
    </row>
    <row r="9457" spans="1:9">
      <c r="A9457" s="22" t="str">
        <f>HYPERLINK("https://app.vivvix.com/360/KMI/IntelliDrive/ApplUI/Pages/CreativePages/CustomReportCreativeDetail.aspx?App=23&amp;ReportView=4&amp;Qid=1711279&amp;Row=9449&amp;Col=1","No Title Assigned - #15271274193")</f>
        <v/>
      </c>
      <c r="B9457" s="0" t="s">
        <v>12687</v>
      </c>
      <c r="E9457" s="0" t="inlineStr">
        <is>
          <t xml:space="preserve">Mazda</t>
        </is>
      </c>
      <c r="F9457" s="0" t="inlineStr">
        <is>
          <t xml:space="preserve">Mazda</t>
        </is>
      </c>
      <c r="G9457" s="0" t="s">
        <v>171</v>
      </c>
      <c r="H9457" s="5">
        <v>633.465200</v>
      </c>
    </row>
    <row r="9458" spans="1:9">
      <c r="A9458" s="22" t="str">
        <f>HYPERLINK("https://app.vivvix.com/360/KMI/IntelliDrive/ApplUI/Pages/CreativePages/CustomReportCreativeDetail.aspx?App=23&amp;ReportView=4&amp;Qid=1711279&amp;Row=9450&amp;Col=1","No Title Assigned - #15271274578")</f>
        <v/>
      </c>
      <c r="B9458" s="0" t="s">
        <v>12689</v>
      </c>
      <c r="C9458" s="0" t="s">
        <v>12690</v>
      </c>
      <c r="D9458" s="0" t="s">
        <v>4225</v>
      </c>
      <c r="E9458" s="0" t="inlineStr">
        <is>
          <t xml:space="preserve">Mazda</t>
        </is>
      </c>
      <c r="F9458" s="0" t="s">
        <v>28</v>
      </c>
      <c r="G9458" s="0" t="s">
        <v>29</v>
      </c>
      <c r="H9458" s="5">
        <v>19256.739000</v>
      </c>
    </row>
    <row r="9459" spans="1:9">
      <c r="A9459" s="22" t="str">
        <f>HYPERLINK("https://app.vivvix.com/360/KMI/IntelliDrive/ApplUI/Pages/CreativePages/CustomReportCreativeDetail.aspx?App=23&amp;ReportView=4&amp;Qid=1711279&amp;Row=9451&amp;Col=1","No Title Assigned - #15271274969")</f>
        <v/>
      </c>
      <c r="B9459" s="0" t="s">
        <v>12691</v>
      </c>
      <c r="C9459" s="0" t="s">
        <v>12692</v>
      </c>
      <c r="D9459" s="0" t="s">
        <v>12692</v>
      </c>
      <c r="E9459" s="0" t="inlineStr">
        <is>
          <t xml:space="preserve">Mazda</t>
        </is>
      </c>
      <c r="F9459" s="0" t="s">
        <v>28</v>
      </c>
      <c r="G9459" s="0" t="s">
        <v>29</v>
      </c>
      <c r="H9459" s="5">
        <v>162.309200</v>
      </c>
    </row>
    <row r="9460" spans="1:9">
      <c r="A9460" s="22" t="str">
        <f>HYPERLINK("https://app.vivvix.com/360/KMI/IntelliDrive/ApplUI/Pages/CreativePages/CustomReportCreativeDetail.aspx?App=23&amp;ReportView=4&amp;Qid=1711279&amp;Row=9452&amp;Col=1","No Title Assigned - #15271275081")</f>
        <v/>
      </c>
      <c r="B9460" s="0" t="s">
        <v>12693</v>
      </c>
      <c r="C9460" s="0" t="s">
        <v>12694</v>
      </c>
      <c r="D9460" s="0" t="s">
        <v>4200</v>
      </c>
      <c r="E9460" s="0" t="inlineStr">
        <is>
          <t xml:space="preserve">Mazda</t>
        </is>
      </c>
      <c r="F9460" s="0" t="s">
        <v>28</v>
      </c>
      <c r="G9460" s="0" t="s">
        <v>29</v>
      </c>
      <c r="H9460" s="5">
        <v>53.523600</v>
      </c>
    </row>
    <row r="9461" spans="1:9">
      <c r="A9461" s="22" t="str">
        <f>HYPERLINK("https://app.vivvix.com/360/KMI/IntelliDrive/ApplUI/Pages/CreativePages/CustomReportCreativeDetail.aspx?App=23&amp;ReportView=4&amp;Qid=1711279&amp;Row=9453&amp;Col=1","No Title Assigned - #15271276237")</f>
        <v/>
      </c>
      <c r="B9461" s="0" t="s">
        <v>12695</v>
      </c>
      <c r="C9461" s="0" t="s">
        <v>12696</v>
      </c>
      <c r="D9461" s="0" t="s">
        <v>12367</v>
      </c>
      <c r="E9461" s="0" t="inlineStr">
        <is>
          <t xml:space="preserve">Mazda</t>
        </is>
      </c>
      <c r="F9461" s="0" t="s">
        <v>13</v>
      </c>
      <c r="G9461" s="0" t="s">
        <v>49</v>
      </c>
      <c r="H9461" s="5">
        <v>14.487200</v>
      </c>
    </row>
    <row r="9462" spans="1:9">
      <c r="A9462" s="22" t="str">
        <f>HYPERLINK("https://app.vivvix.com/360/KMI/IntelliDrive/ApplUI/Pages/CreativePages/CustomReportCreativeDetail.aspx?App=23&amp;ReportView=4&amp;Qid=1711279&amp;Row=9454&amp;Col=1","No Title Assigned - #15271276914")</f>
        <v/>
      </c>
      <c r="B9462" s="0" t="s">
        <v>12697</v>
      </c>
      <c r="C9462" s="0" t="s">
        <v>12698</v>
      </c>
      <c r="D9462" s="0" t="s">
        <v>7920</v>
      </c>
      <c r="E9462" s="0" t="inlineStr">
        <is>
          <t xml:space="preserve">Mazda</t>
        </is>
      </c>
      <c r="F9462" s="0" t="s">
        <v>28</v>
      </c>
      <c r="G9462" s="0" t="s">
        <v>29</v>
      </c>
      <c r="H9462" s="5">
        <v>332.917800</v>
      </c>
    </row>
    <row r="9463" spans="1:9">
      <c r="A9463" s="22" t="str">
        <f>HYPERLINK("https://app.vivvix.com/360/KMI/IntelliDrive/ApplUI/Pages/CreativePages/CustomReportCreativeDetail.aspx?App=23&amp;ReportView=4&amp;Qid=1711279&amp;Row=9455&amp;Col=1","No Title Assigned - #15271277113")</f>
        <v/>
      </c>
      <c r="B9463" s="0" t="s">
        <v>12699</v>
      </c>
      <c r="C9463" s="0" t="s">
        <v>12700</v>
      </c>
      <c r="D9463" s="0" t="s">
        <v>4225</v>
      </c>
      <c r="E9463" s="0" t="inlineStr">
        <is>
          <t xml:space="preserve">Mazda</t>
        </is>
      </c>
      <c r="F9463" s="0" t="s">
        <v>28</v>
      </c>
      <c r="G9463" s="0" t="s">
        <v>29</v>
      </c>
      <c r="H9463" s="5">
        <v>35.399800</v>
      </c>
    </row>
    <row r="9464" spans="1:9">
      <c r="A9464" s="22" t="str">
        <f>HYPERLINK("https://app.vivvix.com/360/KMI/IntelliDrive/ApplUI/Pages/CreativePages/CustomReportCreativeDetail.aspx?App=23&amp;ReportView=4&amp;Qid=1711279&amp;Row=9456&amp;Col=1","No Title Assigned - #15271277436")</f>
        <v/>
      </c>
      <c r="B9464" s="0" t="s">
        <v>12701</v>
      </c>
      <c r="C9464" s="0" t="s">
        <v>12702</v>
      </c>
      <c r="D9464" s="0" t="s">
        <v>12702</v>
      </c>
      <c r="E9464" s="0" t="inlineStr">
        <is>
          <t xml:space="preserve">Mazda</t>
        </is>
      </c>
      <c r="F9464" s="0" t="s">
        <v>13</v>
      </c>
      <c r="G9464" s="0" t="s">
        <v>49</v>
      </c>
      <c r="H9464" s="5">
        <v>235.809000</v>
      </c>
    </row>
    <row r="9465" spans="1:9">
      <c r="A9465" s="22" t="str">
        <f>HYPERLINK("https://app.vivvix.com/360/KMI/IntelliDrive/ApplUI/Pages/CreativePages/CustomReportCreativeDetail.aspx?App=23&amp;ReportView=4&amp;Qid=1711279&amp;Row=9457&amp;Col=1","No Title Assigned - #15271277757")</f>
        <v/>
      </c>
      <c r="B9465" s="0" t="s">
        <v>12703</v>
      </c>
      <c r="C9465" s="0" t="s">
        <v>12704</v>
      </c>
      <c r="D9465" s="0" t="s">
        <v>6656</v>
      </c>
      <c r="E9465" s="0" t="inlineStr">
        <is>
          <t xml:space="preserve">Mazda</t>
        </is>
      </c>
      <c r="F9465" s="0" t="s">
        <v>28</v>
      </c>
      <c r="G9465" s="0" t="s">
        <v>29</v>
      </c>
      <c r="H9465" s="5">
        <v>202.999300</v>
      </c>
    </row>
    <row r="9466" spans="1:9">
      <c r="A9466" s="22" t="str">
        <f>HYPERLINK("https://app.vivvix.com/360/KMI/IntelliDrive/ApplUI/Pages/CreativePages/CustomReportCreativeDetail.aspx?App=23&amp;ReportView=4&amp;Qid=1711279&amp;Row=9458&amp;Col=1","No Title Assigned - #15271281095")</f>
        <v/>
      </c>
      <c r="B9466" s="0" t="s">
        <v>12705</v>
      </c>
      <c r="C9466" s="0" t="s">
        <v>12706</v>
      </c>
      <c r="D9466" s="0" t="s">
        <v>12367</v>
      </c>
      <c r="E9466" s="0" t="inlineStr">
        <is>
          <t xml:space="preserve">Mazda</t>
        </is>
      </c>
      <c r="F9466" s="0" t="s">
        <v>13</v>
      </c>
      <c r="G9466" s="0" t="s">
        <v>49</v>
      </c>
      <c r="H9466" s="5">
        <v>144.761800</v>
      </c>
    </row>
    <row r="9467" spans="1:9">
      <c r="A9467" s="22" t="str">
        <f>HYPERLINK("https://app.vivvix.com/360/KMI/IntelliDrive/ApplUI/Pages/CreativePages/CustomReportCreativeDetail.aspx?App=23&amp;ReportView=4&amp;Qid=1711279&amp;Row=9459&amp;Col=1","No Title Assigned - #15271281461")</f>
        <v/>
      </c>
      <c r="B9467" s="0" t="s">
        <v>12707</v>
      </c>
      <c r="C9467" s="0" t="s">
        <v>12708</v>
      </c>
      <c r="D9467" s="0" t="s">
        <v>4200</v>
      </c>
      <c r="E9467" s="0" t="inlineStr">
        <is>
          <t xml:space="preserve">Mazda</t>
        </is>
      </c>
      <c r="F9467" s="0" t="s">
        <v>28</v>
      </c>
      <c r="G9467" s="0" t="s">
        <v>29</v>
      </c>
      <c r="H9467" s="5">
        <v>11.110200</v>
      </c>
    </row>
    <row r="9468" spans="1:9">
      <c r="A9468" s="22" t="str">
        <f>HYPERLINK("https://app.vivvix.com/360/KMI/IntelliDrive/ApplUI/Pages/CreativePages/CustomReportCreativeDetail.aspx?App=23&amp;ReportView=4&amp;Qid=1711279&amp;Row=9460&amp;Col=1","No Title Assigned - #15271281482")</f>
        <v/>
      </c>
      <c r="B9468" s="0" t="s">
        <v>12709</v>
      </c>
      <c r="C9468" s="0" t="s">
        <v>12710</v>
      </c>
      <c r="D9468" s="0" t="s">
        <v>4204</v>
      </c>
      <c r="E9468" s="0" t="inlineStr">
        <is>
          <t xml:space="preserve">Mazda</t>
        </is>
      </c>
      <c r="F9468" s="0" t="s">
        <v>28</v>
      </c>
      <c r="G9468" s="0" t="s">
        <v>29</v>
      </c>
      <c r="H9468" s="5">
        <v>5.607800</v>
      </c>
    </row>
    <row r="9469" spans="1:9">
      <c r="A9469" s="22" t="str">
        <f>HYPERLINK("https://app.vivvix.com/360/KMI/IntelliDrive/ApplUI/Pages/CreativePages/CustomReportCreativeDetail.aspx?App=23&amp;ReportView=4&amp;Qid=1711279&amp;Row=9461&amp;Col=1","No Title Assigned - #15271282343")</f>
        <v/>
      </c>
      <c r="B9469" s="0" t="s">
        <v>12711</v>
      </c>
      <c r="C9469" s="0" t="s">
        <v>12712</v>
      </c>
      <c r="D9469" s="0" t="s">
        <v>5977</v>
      </c>
      <c r="E9469" s="0" t="inlineStr">
        <is>
          <t xml:space="preserve">Mazda</t>
        </is>
      </c>
      <c r="F9469" s="0" t="s">
        <v>28</v>
      </c>
      <c r="G9469" s="0" t="s">
        <v>29</v>
      </c>
      <c r="H9469" s="5">
        <v>13.408500</v>
      </c>
    </row>
    <row r="9470" spans="1:9">
      <c r="A9470" s="22" t="str">
        <f>HYPERLINK("https://app.vivvix.com/360/KMI/IntelliDrive/ApplUI/Pages/CreativePages/CustomReportCreativeDetail.aspx?App=23&amp;ReportView=4&amp;Qid=1711279&amp;Row=9462&amp;Col=1","No Title Assigned - #15271282413")</f>
        <v/>
      </c>
      <c r="B9470" s="0" t="s">
        <v>12713</v>
      </c>
      <c r="C9470" s="0" t="s">
        <v>12714</v>
      </c>
      <c r="D9470" s="0" t="s">
        <v>12714</v>
      </c>
      <c r="E9470" s="0" t="inlineStr">
        <is>
          <t xml:space="preserve">Mazda</t>
        </is>
      </c>
      <c r="F9470" s="0" t="s">
        <v>13</v>
      </c>
      <c r="G9470" s="0" t="s">
        <v>49</v>
      </c>
      <c r="H9470" s="5">
        <v>6446.656700</v>
      </c>
    </row>
    <row r="9471" spans="1:9">
      <c r="A9471" s="22" t="str">
        <f>HYPERLINK("https://app.vivvix.com/360/KMI/IntelliDrive/ApplUI/Pages/CreativePages/CustomReportCreativeDetail.aspx?App=23&amp;ReportView=4&amp;Qid=1711279&amp;Row=9463&amp;Col=1","No Title Assigned - #15271283550")</f>
        <v/>
      </c>
      <c r="B9471" s="0" t="s">
        <v>12715</v>
      </c>
      <c r="C9471" s="0" t="s">
        <v>12716</v>
      </c>
      <c r="D9471" s="0" t="s">
        <v>12716</v>
      </c>
      <c r="E9471" s="0" t="inlineStr">
        <is>
          <t xml:space="preserve">Mazda</t>
        </is>
      </c>
      <c r="F9471" s="0" t="s">
        <v>28</v>
      </c>
      <c r="G9471" s="0" t="s">
        <v>29</v>
      </c>
      <c r="H9471" s="5">
        <v>3.121500</v>
      </c>
    </row>
    <row r="9472" spans="1:9">
      <c r="A9472" s="22" t="str">
        <f>HYPERLINK("https://app.vivvix.com/360/KMI/IntelliDrive/ApplUI/Pages/CreativePages/CustomReportCreativeDetail.aspx?App=23&amp;ReportView=4&amp;Qid=1711279&amp;Row=9464&amp;Col=1","No Title Assigned - #15271284271")</f>
        <v/>
      </c>
      <c r="B9472" s="0" t="s">
        <v>12717</v>
      </c>
      <c r="C9472" s="0" t="s">
        <v>12718</v>
      </c>
      <c r="D9472" s="0" t="s">
        <v>4200</v>
      </c>
      <c r="E9472" s="0" t="inlineStr">
        <is>
          <t xml:space="preserve">Mazda</t>
        </is>
      </c>
      <c r="F9472" s="0" t="s">
        <v>28</v>
      </c>
      <c r="G9472" s="0" t="s">
        <v>29</v>
      </c>
      <c r="H9472" s="5">
        <v>7.283200</v>
      </c>
    </row>
    <row r="9473" spans="1:9">
      <c r="A9473" s="22" t="str">
        <f>HYPERLINK("https://app.vivvix.com/360/KMI/IntelliDrive/ApplUI/Pages/CreativePages/CustomReportCreativeDetail.aspx?App=23&amp;ReportView=4&amp;Qid=1711279&amp;Row=9465&amp;Col=1","No Title Assigned - #15271285113")</f>
        <v/>
      </c>
      <c r="B9473" s="0" t="s">
        <v>12719</v>
      </c>
      <c r="C9473" s="0" t="s">
        <v>12720</v>
      </c>
      <c r="D9473" s="0" t="s">
        <v>12720</v>
      </c>
      <c r="E9473" s="0" t="inlineStr">
        <is>
          <t xml:space="preserve">Mazda</t>
        </is>
      </c>
      <c r="F9473" s="0" t="s">
        <v>13</v>
      </c>
      <c r="G9473" s="0" t="s">
        <v>49</v>
      </c>
      <c r="H9473" s="5">
        <v>42.559100</v>
      </c>
    </row>
    <row r="9474" spans="1:9">
      <c r="A9474" s="22" t="str">
        <f>HYPERLINK("https://app.vivvix.com/360/KMI/IntelliDrive/ApplUI/Pages/CreativePages/CustomReportCreativeDetail.aspx?App=23&amp;ReportView=4&amp;Qid=1711279&amp;Row=9466&amp;Col=1","No Title Assigned - #15271285457")</f>
        <v/>
      </c>
      <c r="B9474" s="0" t="s">
        <v>12721</v>
      </c>
      <c r="C9474" s="0" t="s">
        <v>12722</v>
      </c>
      <c r="D9474" s="0" t="s">
        <v>12722</v>
      </c>
      <c r="E9474" s="0" t="inlineStr">
        <is>
          <t xml:space="preserve">Mazda</t>
        </is>
      </c>
      <c r="F9474" s="0" t="s">
        <v>13</v>
      </c>
      <c r="G9474" s="0" t="s">
        <v>49</v>
      </c>
      <c r="H9474" s="5">
        <v>422.721700</v>
      </c>
    </row>
    <row r="9475" spans="1:9">
      <c r="A9475" s="22" t="str">
        <f>HYPERLINK("https://app.vivvix.com/360/KMI/IntelliDrive/ApplUI/Pages/CreativePages/CustomReportCreativeDetail.aspx?App=23&amp;ReportView=4&amp;Qid=1711279&amp;Row=9467&amp;Col=1","No Title Assigned - #15271286472")</f>
        <v/>
      </c>
      <c r="B9475" s="0" t="s">
        <v>12723</v>
      </c>
      <c r="C9475" s="0" t="s">
        <v>12724</v>
      </c>
      <c r="D9475" s="0" t="s">
        <v>8203</v>
      </c>
      <c r="E9475" s="0" t="inlineStr">
        <is>
          <t xml:space="preserve">Mazda</t>
        </is>
      </c>
      <c r="F9475" s="0" t="s">
        <v>28</v>
      </c>
      <c r="G9475" s="0" t="s">
        <v>29</v>
      </c>
      <c r="H9475" s="5">
        <v>38.028700</v>
      </c>
    </row>
    <row r="9476" spans="1:9">
      <c r="A9476" s="22" t="str">
        <f>HYPERLINK("https://app.vivvix.com/360/KMI/IntelliDrive/ApplUI/Pages/CreativePages/CustomReportCreativeDetail.aspx?App=23&amp;ReportView=4&amp;Qid=1711279&amp;Row=9468&amp;Col=1","No Title Assigned - #15271286507")</f>
        <v/>
      </c>
      <c r="B9476" s="0" t="s">
        <v>12725</v>
      </c>
      <c r="C9476" s="0" t="s">
        <v>12726</v>
      </c>
      <c r="D9476" s="0" t="s">
        <v>8610</v>
      </c>
      <c r="E9476" s="0" t="inlineStr">
        <is>
          <t xml:space="preserve">Mazda</t>
        </is>
      </c>
      <c r="F9476" s="0" t="s">
        <v>28</v>
      </c>
      <c r="G9476" s="0" t="s">
        <v>29</v>
      </c>
      <c r="H9476" s="5">
        <v>1550.789000</v>
      </c>
    </row>
    <row r="9477" spans="1:9">
      <c r="A9477" s="22" t="str">
        <f>HYPERLINK("https://app.vivvix.com/360/KMI/IntelliDrive/ApplUI/Pages/CreativePages/CustomReportCreativeDetail.aspx?App=23&amp;ReportView=4&amp;Qid=1711279&amp;Row=9469&amp;Col=1","No Title Assigned - #15271286710")</f>
        <v/>
      </c>
      <c r="B9477" s="0" t="s">
        <v>12727</v>
      </c>
      <c r="C9477" s="0" t="s">
        <v>12728</v>
      </c>
      <c r="D9477" s="0" t="s">
        <v>4200</v>
      </c>
      <c r="E9477" s="0" t="inlineStr">
        <is>
          <t xml:space="preserve">Mazda</t>
        </is>
      </c>
      <c r="F9477" s="0" t="s">
        <v>28</v>
      </c>
      <c r="G9477" s="0" t="s">
        <v>29</v>
      </c>
      <c r="H9477" s="5">
        <v>79.203400</v>
      </c>
    </row>
    <row r="9478" spans="1:9">
      <c r="A9478" s="22" t="str">
        <f>HYPERLINK("https://app.vivvix.com/360/KMI/IntelliDrive/ApplUI/Pages/CreativePages/CustomReportCreativeDetail.aspx?App=23&amp;ReportView=4&amp;Qid=1711279&amp;Row=9470&amp;Col=1","No Title Assigned - #15271286937")</f>
        <v/>
      </c>
      <c r="B9478" s="0" t="s">
        <v>12729</v>
      </c>
      <c r="C9478" s="0" t="s">
        <v>12730</v>
      </c>
      <c r="D9478" s="0" t="s">
        <v>4200</v>
      </c>
      <c r="E9478" s="0" t="inlineStr">
        <is>
          <t xml:space="preserve">Mazda</t>
        </is>
      </c>
      <c r="F9478" s="0" t="s">
        <v>28</v>
      </c>
      <c r="G9478" s="0" t="s">
        <v>29</v>
      </c>
      <c r="H9478" s="5">
        <v>10.895800</v>
      </c>
    </row>
    <row r="9479" spans="1:9">
      <c r="A9479" s="22" t="str">
        <f>HYPERLINK("https://app.vivvix.com/360/KMI/IntelliDrive/ApplUI/Pages/CreativePages/CustomReportCreativeDetail.aspx?App=23&amp;ReportView=4&amp;Qid=1711279&amp;Row=9471&amp;Col=1","No Title Assigned - #15271287160")</f>
        <v/>
      </c>
      <c r="B9479" s="0" t="s">
        <v>12731</v>
      </c>
      <c r="C9479" s="0" t="s">
        <v>12732</v>
      </c>
      <c r="D9479" s="0" t="s">
        <v>12732</v>
      </c>
      <c r="E9479" s="0" t="inlineStr">
        <is>
          <t xml:space="preserve">Mazda</t>
        </is>
      </c>
      <c r="F9479" s="0" t="s">
        <v>28</v>
      </c>
      <c r="G9479" s="0" t="s">
        <v>29</v>
      </c>
      <c r="H9479" s="5">
        <v>4939.246600</v>
      </c>
    </row>
    <row r="9480" spans="1:9">
      <c r="A9480" s="22" t="str">
        <f>HYPERLINK("https://app.vivvix.com/360/KMI/IntelliDrive/ApplUI/Pages/CreativePages/CustomReportCreativeDetail.aspx?App=23&amp;ReportView=4&amp;Qid=1711279&amp;Row=9472&amp;Col=1","No Title Assigned - #15271289010")</f>
        <v/>
      </c>
      <c r="B9480" s="0" t="s">
        <v>12733</v>
      </c>
      <c r="E9480" s="0" t="inlineStr">
        <is>
          <t xml:space="preserve">Mazda</t>
        </is>
      </c>
      <c r="F9480" s="0" t="inlineStr">
        <is>
          <t xml:space="preserve">Mazda</t>
        </is>
      </c>
      <c r="G9480" s="0" t="s">
        <v>171</v>
      </c>
      <c r="H9480" s="5">
        <v>124.744600</v>
      </c>
    </row>
    <row r="9481" spans="1:9">
      <c r="A9481" s="22" t="str">
        <f>HYPERLINK("https://app.vivvix.com/360/KMI/IntelliDrive/ApplUI/Pages/CreativePages/CustomReportCreativeDetail.aspx?App=23&amp;ReportView=4&amp;Qid=1711279&amp;Row=9473&amp;Col=1","No Title Assigned - #15271289535")</f>
        <v/>
      </c>
      <c r="B9481" s="0" t="s">
        <v>12734</v>
      </c>
      <c r="C9481" s="0" t="s">
        <v>12735</v>
      </c>
      <c r="D9481" s="0" t="s">
        <v>12735</v>
      </c>
      <c r="E9481" s="0" t="inlineStr">
        <is>
          <t xml:space="preserve">Mazda</t>
        </is>
      </c>
      <c r="F9481" s="0" t="s">
        <v>28</v>
      </c>
      <c r="G9481" s="0" t="s">
        <v>29</v>
      </c>
      <c r="H9481" s="5">
        <v>25.480400</v>
      </c>
    </row>
    <row r="9482" spans="1:9">
      <c r="A9482" s="22" t="str">
        <f>HYPERLINK("https://app.vivvix.com/360/KMI/IntelliDrive/ApplUI/Pages/CreativePages/CustomReportCreativeDetail.aspx?App=23&amp;ReportView=4&amp;Qid=1711279&amp;Row=9474&amp;Col=1","No Title Assigned - #15271289865")</f>
        <v/>
      </c>
      <c r="B9482" s="0" t="s">
        <v>12736</v>
      </c>
      <c r="C9482" s="0" t="s">
        <v>12737</v>
      </c>
      <c r="D9482" s="0" t="s">
        <v>12737</v>
      </c>
      <c r="E9482" s="0" t="inlineStr">
        <is>
          <t xml:space="preserve">Mazda</t>
        </is>
      </c>
      <c r="F9482" s="0" t="s">
        <v>52</v>
      </c>
      <c r="G9482" s="0" t="s">
        <v>325</v>
      </c>
      <c r="H9482" s="5">
        <v>443.361100</v>
      </c>
    </row>
    <row r="9483" spans="1:9">
      <c r="A9483" s="22" t="str">
        <f>HYPERLINK("https://app.vivvix.com/360/KMI/IntelliDrive/ApplUI/Pages/CreativePages/CustomReportCreativeDetail.aspx?App=23&amp;ReportView=4&amp;Qid=1711279&amp;Row=9475&amp;Col=1","No Title Assigned - #15271289908")</f>
        <v/>
      </c>
      <c r="B9483" s="0" t="s">
        <v>12738</v>
      </c>
      <c r="C9483" s="0" t="s">
        <v>12739</v>
      </c>
      <c r="D9483" s="0" t="s">
        <v>12739</v>
      </c>
      <c r="E9483" s="0" t="inlineStr">
        <is>
          <t xml:space="preserve">Mazda</t>
        </is>
      </c>
      <c r="F9483" s="0" t="s">
        <v>28</v>
      </c>
      <c r="G9483" s="0" t="s">
        <v>29</v>
      </c>
      <c r="H9483" s="5">
        <v>3.454700</v>
      </c>
    </row>
    <row r="9484" spans="1:9">
      <c r="A9484" s="22" t="str">
        <f>HYPERLINK("https://app.vivvix.com/360/KMI/IntelliDrive/ApplUI/Pages/CreativePages/CustomReportCreativeDetail.aspx?App=23&amp;ReportView=4&amp;Qid=1711279&amp;Row=9476&amp;Col=1","No Title Assigned - #15271290145")</f>
        <v/>
      </c>
      <c r="B9484" s="0" t="s">
        <v>12740</v>
      </c>
      <c r="C9484" s="0" t="s">
        <v>12741</v>
      </c>
      <c r="D9484" s="0" t="s">
        <v>12741</v>
      </c>
      <c r="E9484" s="0" t="inlineStr">
        <is>
          <t xml:space="preserve">Mazda</t>
        </is>
      </c>
      <c r="F9484" s="0" t="s">
        <v>13</v>
      </c>
      <c r="G9484" s="0" t="s">
        <v>49</v>
      </c>
      <c r="H9484" s="5">
        <v>91.272200</v>
      </c>
    </row>
    <row r="9485" spans="1:9">
      <c r="A9485" s="22" t="str">
        <f>HYPERLINK("https://app.vivvix.com/360/KMI/IntelliDrive/ApplUI/Pages/CreativePages/CustomReportCreativeDetail.aspx?App=23&amp;ReportView=4&amp;Qid=1711279&amp;Row=9477&amp;Col=1","No Title Assigned - #15271290506")</f>
        <v/>
      </c>
      <c r="B9485" s="0" t="s">
        <v>12742</v>
      </c>
      <c r="C9485" s="0" t="s">
        <v>12743</v>
      </c>
      <c r="D9485" s="0" t="s">
        <v>4225</v>
      </c>
      <c r="E9485" s="0" t="inlineStr">
        <is>
          <t xml:space="preserve">Mazda</t>
        </is>
      </c>
      <c r="F9485" s="0" t="s">
        <v>28</v>
      </c>
      <c r="G9485" s="0" t="s">
        <v>29</v>
      </c>
      <c r="H9485" s="5">
        <v>11.725900</v>
      </c>
    </row>
    <row r="9486" spans="1:9">
      <c r="A9486" s="22" t="str">
        <f>HYPERLINK("https://app.vivvix.com/360/KMI/IntelliDrive/ApplUI/Pages/CreativePages/CustomReportCreativeDetail.aspx?App=23&amp;ReportView=4&amp;Qid=1711279&amp;Row=9478&amp;Col=1","No Title Assigned - #15271290874")</f>
        <v/>
      </c>
      <c r="B9486" s="0" t="s">
        <v>12744</v>
      </c>
      <c r="C9486" s="0" t="s">
        <v>12745</v>
      </c>
      <c r="D9486" s="0" t="s">
        <v>12745</v>
      </c>
      <c r="E9486" s="0" t="inlineStr">
        <is>
          <t xml:space="preserve">Mazda</t>
        </is>
      </c>
      <c r="F9486" s="0" t="s">
        <v>28</v>
      </c>
      <c r="G9486" s="0" t="s">
        <v>29</v>
      </c>
      <c r="H9486" s="5">
        <v>20.870900</v>
      </c>
    </row>
    <row r="9487" spans="1:9">
      <c r="A9487" s="22" t="str">
        <f>HYPERLINK("https://app.vivvix.com/360/KMI/IntelliDrive/ApplUI/Pages/CreativePages/CustomReportCreativeDetail.aspx?App=23&amp;ReportView=4&amp;Qid=1711279&amp;Row=9479&amp;Col=1","No Title Assigned - #15271292062")</f>
        <v/>
      </c>
      <c r="B9487" s="0" t="s">
        <v>12746</v>
      </c>
      <c r="E9487" s="0" t="inlineStr">
        <is>
          <t xml:space="preserve">Mazda</t>
        </is>
      </c>
      <c r="F9487" s="0" t="inlineStr">
        <is>
          <t xml:space="preserve">Mazda</t>
        </is>
      </c>
      <c r="G9487" s="0" t="s">
        <v>171</v>
      </c>
      <c r="H9487" s="5">
        <v>996.538600</v>
      </c>
    </row>
    <row r="9488" spans="1:9">
      <c r="A9488" s="22" t="str">
        <f>HYPERLINK("https://app.vivvix.com/360/KMI/IntelliDrive/ApplUI/Pages/CreativePages/CustomReportCreativeDetail.aspx?App=23&amp;ReportView=4&amp;Qid=1711279&amp;Row=9480&amp;Col=1","No Title Assigned - #15271292312")</f>
        <v/>
      </c>
      <c r="B9488" s="0" t="s">
        <v>12747</v>
      </c>
      <c r="E9488" s="0" t="inlineStr">
        <is>
          <t xml:space="preserve">Mazda</t>
        </is>
      </c>
      <c r="F9488" s="0" t="inlineStr">
        <is>
          <t xml:space="preserve">Mazda</t>
        </is>
      </c>
      <c r="G9488" s="0" t="s">
        <v>171</v>
      </c>
      <c r="H9488" s="5">
        <v>6.832800</v>
      </c>
    </row>
    <row r="9489" spans="1:9">
      <c r="A9489" s="22" t="str">
        <f>HYPERLINK("https://app.vivvix.com/360/KMI/IntelliDrive/ApplUI/Pages/CreativePages/CustomReportCreativeDetail.aspx?App=23&amp;ReportView=4&amp;Qid=1711279&amp;Row=9481&amp;Col=1","No Title Assigned - #15271292359")</f>
        <v/>
      </c>
      <c r="B9489" s="0" t="s">
        <v>12748</v>
      </c>
      <c r="E9489" s="0" t="inlineStr">
        <is>
          <t xml:space="preserve">Mazda</t>
        </is>
      </c>
      <c r="F9489" s="0" t="inlineStr">
        <is>
          <t xml:space="preserve">Mazda</t>
        </is>
      </c>
      <c r="G9489" s="0" t="s">
        <v>171</v>
      </c>
      <c r="H9489" s="5">
        <v>15.909500</v>
      </c>
    </row>
    <row r="9490" spans="1:9">
      <c r="A9490" s="22" t="str">
        <f>HYPERLINK("https://app.vivvix.com/360/KMI/IntelliDrive/ApplUI/Pages/CreativePages/CustomReportCreativeDetail.aspx?App=23&amp;ReportView=4&amp;Qid=1711279&amp;Row=9482&amp;Col=1","No Title Assigned - #15271292359")</f>
        <v/>
      </c>
      <c r="B9490" s="0" t="s">
        <v>12748</v>
      </c>
      <c r="E9490" s="0" t="inlineStr">
        <is>
          <t xml:space="preserve">Mazda</t>
        </is>
      </c>
      <c r="F9490" s="0" t="inlineStr">
        <is>
          <t xml:space="preserve">Mazda</t>
        </is>
      </c>
      <c r="G9490" s="0" t="s">
        <v>171</v>
      </c>
      <c r="H9490" s="5">
        <v>51.856500</v>
      </c>
    </row>
    <row r="9491" spans="1:9">
      <c r="A9491" s="22" t="str">
        <f>HYPERLINK("https://app.vivvix.com/360/KMI/IntelliDrive/ApplUI/Pages/CreativePages/CustomReportCreativeDetail.aspx?App=23&amp;ReportView=4&amp;Qid=1711279&amp;Row=9483&amp;Col=1","No Title Assigned - #15271292580")</f>
        <v/>
      </c>
      <c r="B9491" s="0" t="s">
        <v>12749</v>
      </c>
      <c r="E9491" s="0" t="inlineStr">
        <is>
          <t xml:space="preserve">Mazda</t>
        </is>
      </c>
      <c r="F9491" s="0" t="inlineStr">
        <is>
          <t xml:space="preserve">Mazda</t>
        </is>
      </c>
      <c r="G9491" s="0" t="s">
        <v>171</v>
      </c>
      <c r="H9491" s="5">
        <v>770.655100</v>
      </c>
    </row>
    <row r="9492" spans="1:9">
      <c r="A9492" s="22" t="str">
        <f>HYPERLINK("https://app.vivvix.com/360/KMI/IntelliDrive/ApplUI/Pages/CreativePages/CustomReportCreativeDetail.aspx?App=23&amp;ReportView=4&amp;Qid=1711279&amp;Row=9484&amp;Col=1","No Title Assigned - #15271292719")</f>
        <v/>
      </c>
      <c r="B9492" s="0" t="s">
        <v>12750</v>
      </c>
      <c r="C9492" s="0" t="s">
        <v>12751</v>
      </c>
      <c r="D9492" s="0" t="s">
        <v>12751</v>
      </c>
      <c r="E9492" s="0" t="inlineStr">
        <is>
          <t xml:space="preserve">Mazda</t>
        </is>
      </c>
      <c r="F9492" s="0" t="inlineStr">
        <is>
          <t xml:space="preserve">Mazda</t>
        </is>
      </c>
      <c r="G9492" s="0" t="s">
        <v>171</v>
      </c>
      <c r="H9492" s="5">
        <v>29.103200</v>
      </c>
    </row>
    <row r="9493" spans="1:9">
      <c r="A9493" s="22" t="str">
        <f>HYPERLINK("https://app.vivvix.com/360/KMI/IntelliDrive/ApplUI/Pages/CreativePages/CustomReportCreativeDetail.aspx?App=23&amp;ReportView=4&amp;Qid=1711279&amp;Row=9485&amp;Col=1","No Title Assigned - #15271293151")</f>
        <v/>
      </c>
      <c r="B9493" s="0" t="s">
        <v>12752</v>
      </c>
      <c r="E9493" s="0" t="inlineStr">
        <is>
          <t xml:space="preserve">Mazda</t>
        </is>
      </c>
      <c r="F9493" s="0" t="inlineStr">
        <is>
          <t xml:space="preserve">Mazda</t>
        </is>
      </c>
      <c r="G9493" s="0" t="s">
        <v>171</v>
      </c>
      <c r="H9493" s="5">
        <v>10.195400</v>
      </c>
    </row>
    <row r="9494" spans="1:9">
      <c r="A9494" s="22" t="str">
        <f>HYPERLINK("https://app.vivvix.com/360/KMI/IntelliDrive/ApplUI/Pages/CreativePages/CustomReportCreativeDetail.aspx?App=23&amp;ReportView=4&amp;Qid=1711279&amp;Row=9486&amp;Col=1","No Title Assigned - #15271293187")</f>
        <v/>
      </c>
      <c r="B9494" s="0" t="s">
        <v>12753</v>
      </c>
      <c r="E9494" s="0" t="inlineStr">
        <is>
          <t xml:space="preserve">Mazda</t>
        </is>
      </c>
      <c r="F9494" s="0" t="inlineStr">
        <is>
          <t xml:space="preserve">Mazda</t>
        </is>
      </c>
      <c r="G9494" s="0" t="s">
        <v>171</v>
      </c>
      <c r="H9494" s="5">
        <v>828.155900</v>
      </c>
    </row>
    <row r="9495" spans="1:9">
      <c r="A9495" s="22" t="str">
        <f>HYPERLINK("https://app.vivvix.com/360/KMI/IntelliDrive/ApplUI/Pages/CreativePages/CustomReportCreativeDetail.aspx?App=23&amp;ReportView=4&amp;Qid=1711279&amp;Row=9487&amp;Col=1","No Title Assigned - #15271293954")</f>
        <v/>
      </c>
      <c r="B9495" s="0" t="s">
        <v>12754</v>
      </c>
      <c r="E9495" s="0" t="inlineStr">
        <is>
          <t xml:space="preserve">Mazda</t>
        </is>
      </c>
      <c r="F9495" s="0" t="inlineStr">
        <is>
          <t xml:space="preserve">Mazda</t>
        </is>
      </c>
      <c r="G9495" s="0" t="s">
        <v>171</v>
      </c>
      <c r="H9495" s="5">
        <v>7.024000</v>
      </c>
    </row>
    <row r="9496" spans="1:9">
      <c r="A9496" s="22" t="str">
        <f>HYPERLINK("https://app.vivvix.com/360/KMI/IntelliDrive/ApplUI/Pages/CreativePages/CustomReportCreativeDetail.aspx?App=23&amp;ReportView=4&amp;Qid=1711279&amp;Row=9488&amp;Col=1","No Title Assigned - #15271294291")</f>
        <v/>
      </c>
      <c r="B9496" s="0" t="s">
        <v>12755</v>
      </c>
      <c r="E9496" s="0" t="inlineStr">
        <is>
          <t xml:space="preserve">Mazda</t>
        </is>
      </c>
      <c r="F9496" s="0" t="inlineStr">
        <is>
          <t xml:space="preserve">Mazda</t>
        </is>
      </c>
      <c r="G9496" s="0" t="s">
        <v>171</v>
      </c>
      <c r="H9496" s="5">
        <v>70.274500</v>
      </c>
    </row>
    <row r="9497" spans="1:9">
      <c r="A9497" s="22" t="str">
        <f>HYPERLINK("https://app.vivvix.com/360/KMI/IntelliDrive/ApplUI/Pages/CreativePages/CustomReportCreativeDetail.aspx?App=23&amp;ReportView=4&amp;Qid=1711279&amp;Row=9489&amp;Col=1","No Title Assigned - #15271294419")</f>
        <v/>
      </c>
      <c r="B9497" s="0" t="s">
        <v>12756</v>
      </c>
      <c r="E9497" s="0" t="inlineStr">
        <is>
          <t xml:space="preserve">Mazda</t>
        </is>
      </c>
      <c r="F9497" s="0" t="inlineStr">
        <is>
          <t xml:space="preserve">Mazda</t>
        </is>
      </c>
      <c r="G9497" s="0" t="s">
        <v>171</v>
      </c>
      <c r="H9497" s="5">
        <v>92.716100</v>
      </c>
    </row>
    <row r="9498" spans="1:9">
      <c r="A9498" s="22" t="str">
        <f>HYPERLINK("https://app.vivvix.com/360/KMI/IntelliDrive/ApplUI/Pages/CreativePages/CustomReportCreativeDetail.aspx?App=23&amp;ReportView=4&amp;Qid=1711279&amp;Row=9490&amp;Col=1","No Title Assigned - #15271294522")</f>
        <v/>
      </c>
      <c r="B9498" s="0" t="s">
        <v>12757</v>
      </c>
      <c r="E9498" s="0" t="inlineStr">
        <is>
          <t xml:space="preserve">Mazda</t>
        </is>
      </c>
      <c r="F9498" s="0" t="inlineStr">
        <is>
          <t xml:space="preserve">Mazda</t>
        </is>
      </c>
      <c r="G9498" s="0" t="s">
        <v>171</v>
      </c>
      <c r="H9498" s="5">
        <v>17.499200</v>
      </c>
    </row>
    <row r="9499" spans="1:9">
      <c r="A9499" s="22" t="str">
        <f>HYPERLINK("https://app.vivvix.com/360/KMI/IntelliDrive/ApplUI/Pages/CreativePages/CustomReportCreativeDetail.aspx?App=23&amp;ReportView=4&amp;Qid=1711279&amp;Row=9491&amp;Col=1","No Title Assigned - #15271294534")</f>
        <v/>
      </c>
      <c r="B9499" s="0" t="s">
        <v>12758</v>
      </c>
      <c r="E9499" s="0" t="inlineStr">
        <is>
          <t xml:space="preserve">Mazda</t>
        </is>
      </c>
      <c r="F9499" s="0" t="inlineStr">
        <is>
          <t xml:space="preserve">Mazda</t>
        </is>
      </c>
      <c r="G9499" s="0" t="s">
        <v>171</v>
      </c>
      <c r="H9499" s="5">
        <v>35.601800</v>
      </c>
    </row>
    <row r="9500" spans="1:9">
      <c r="A9500" s="22" t="str">
        <f>HYPERLINK("https://app.vivvix.com/360/KMI/IntelliDrive/ApplUI/Pages/CreativePages/CustomReportCreativeDetail.aspx?App=23&amp;ReportView=4&amp;Qid=1711279&amp;Row=9492&amp;Col=1","No Title Assigned - #15271294614")</f>
        <v/>
      </c>
      <c r="B9500" s="0" t="s">
        <v>12759</v>
      </c>
      <c r="E9500" s="0" t="inlineStr">
        <is>
          <t xml:space="preserve">Mazda</t>
        </is>
      </c>
      <c r="F9500" s="0" t="inlineStr">
        <is>
          <t xml:space="preserve">Mazda</t>
        </is>
      </c>
      <c r="G9500" s="0" t="s">
        <v>171</v>
      </c>
      <c r="H9500" s="5">
        <v>68.932600</v>
      </c>
    </row>
    <row r="9501" spans="1:9">
      <c r="A9501" s="22" t="str">
        <f>HYPERLINK("https://app.vivvix.com/360/KMI/IntelliDrive/ApplUI/Pages/CreativePages/CustomReportCreativeDetail.aspx?App=23&amp;ReportView=4&amp;Qid=1711279&amp;Row=9493&amp;Col=1","No Title Assigned - #15271295114")</f>
        <v/>
      </c>
      <c r="B9501" s="0" t="s">
        <v>12760</v>
      </c>
      <c r="E9501" s="0" t="inlineStr">
        <is>
          <t xml:space="preserve">Mazda</t>
        </is>
      </c>
      <c r="F9501" s="0" t="inlineStr">
        <is>
          <t xml:space="preserve">Mazda</t>
        </is>
      </c>
      <c r="G9501" s="0" t="s">
        <v>171</v>
      </c>
      <c r="H9501" s="5">
        <v>770.655100</v>
      </c>
    </row>
    <row r="9502" spans="1:9">
      <c r="A9502" s="22" t="str">
        <f>HYPERLINK("https://app.vivvix.com/360/KMI/IntelliDrive/ApplUI/Pages/CreativePages/CustomReportCreativeDetail.aspx?App=23&amp;ReportView=4&amp;Qid=1711279&amp;Row=9494&amp;Col=1","No Title Assigned - #15271295174")</f>
        <v/>
      </c>
      <c r="B9502" s="0" t="s">
        <v>12761</v>
      </c>
      <c r="E9502" s="0" t="inlineStr">
        <is>
          <t xml:space="preserve">Mazda</t>
        </is>
      </c>
      <c r="F9502" s="0" t="inlineStr">
        <is>
          <t xml:space="preserve">Mazda</t>
        </is>
      </c>
      <c r="G9502" s="0" t="s">
        <v>171</v>
      </c>
      <c r="H9502" s="5">
        <v>0.324400</v>
      </c>
    </row>
    <row r="9503" spans="1:9">
      <c r="A9503" s="22" t="str">
        <f>HYPERLINK("https://app.vivvix.com/360/KMI/IntelliDrive/ApplUI/Pages/CreativePages/CustomReportCreativeDetail.aspx?App=23&amp;ReportView=4&amp;Qid=1711279&amp;Row=9495&amp;Col=1","No Title Assigned - #15271295659")</f>
        <v/>
      </c>
      <c r="B9503" s="0" t="s">
        <v>12762</v>
      </c>
      <c r="E9503" s="0" t="inlineStr">
        <is>
          <t xml:space="preserve">Mazda</t>
        </is>
      </c>
      <c r="F9503" s="0" t="inlineStr">
        <is>
          <t xml:space="preserve">Mazda</t>
        </is>
      </c>
      <c r="G9503" s="0" t="s">
        <v>171</v>
      </c>
      <c r="H9503" s="5">
        <v>33.900900</v>
      </c>
    </row>
    <row r="9504" spans="1:9">
      <c r="A9504" s="22" t="str">
        <f>HYPERLINK("https://app.vivvix.com/360/KMI/IntelliDrive/ApplUI/Pages/CreativePages/CustomReportCreativeDetail.aspx?App=23&amp;ReportView=4&amp;Qid=1711279&amp;Row=9496&amp;Col=1","No Title Assigned - #15271296195")</f>
        <v/>
      </c>
      <c r="B9504" s="0" t="s">
        <v>12763</v>
      </c>
      <c r="E9504" s="0" t="inlineStr">
        <is>
          <t xml:space="preserve">Mazda</t>
        </is>
      </c>
      <c r="F9504" s="0" t="inlineStr">
        <is>
          <t xml:space="preserve">Mazda</t>
        </is>
      </c>
      <c r="G9504" s="0" t="s">
        <v>171</v>
      </c>
      <c r="H9504" s="5">
        <v>2.161700</v>
      </c>
    </row>
    <row r="9505" spans="1:9">
      <c r="A9505" s="22" t="str">
        <f>HYPERLINK("https://app.vivvix.com/360/KMI/IntelliDrive/ApplUI/Pages/CreativePages/CustomReportCreativeDetail.aspx?App=23&amp;ReportView=4&amp;Qid=1711279&amp;Row=9497&amp;Col=1","No Title Assigned - #15271296386")</f>
        <v/>
      </c>
      <c r="B9505" s="0" t="s">
        <v>12764</v>
      </c>
      <c r="E9505" s="0" t="inlineStr">
        <is>
          <t xml:space="preserve">Mazda</t>
        </is>
      </c>
      <c r="F9505" s="0" t="inlineStr">
        <is>
          <t xml:space="preserve">Mazda</t>
        </is>
      </c>
      <c r="G9505" s="0" t="s">
        <v>171</v>
      </c>
      <c r="H9505" s="5">
        <v>61.535200</v>
      </c>
    </row>
    <row r="9506" spans="1:9">
      <c r="A9506" s="22" t="str">
        <f>HYPERLINK("https://app.vivvix.com/360/KMI/IntelliDrive/ApplUI/Pages/CreativePages/CustomReportCreativeDetail.aspx?App=23&amp;ReportView=4&amp;Qid=1711279&amp;Row=9498&amp;Col=1","No Title Assigned - #15271296791")</f>
        <v/>
      </c>
      <c r="B9506" s="0" t="s">
        <v>12765</v>
      </c>
      <c r="E9506" s="0" t="inlineStr">
        <is>
          <t xml:space="preserve">Mazda</t>
        </is>
      </c>
      <c r="F9506" s="0" t="inlineStr">
        <is>
          <t xml:space="preserve">Mazda</t>
        </is>
      </c>
      <c r="G9506" s="0" t="s">
        <v>171</v>
      </c>
      <c r="H9506" s="5">
        <v>350.054200</v>
      </c>
    </row>
    <row r="9507" spans="1:9">
      <c r="A9507" s="22" t="str">
        <f>HYPERLINK("https://app.vivvix.com/360/KMI/IntelliDrive/ApplUI/Pages/CreativePages/CustomReportCreativeDetail.aspx?App=23&amp;ReportView=4&amp;Qid=1711279&amp;Row=9499&amp;Col=1","No Title Assigned - #15271297313")</f>
        <v/>
      </c>
      <c r="B9507" s="0" t="s">
        <v>12766</v>
      </c>
      <c r="E9507" s="0" t="inlineStr">
        <is>
          <t xml:space="preserve">Mazda</t>
        </is>
      </c>
      <c r="F9507" s="0" t="inlineStr">
        <is>
          <t xml:space="preserve">Mazda</t>
        </is>
      </c>
      <c r="G9507" s="0" t="s">
        <v>171</v>
      </c>
      <c r="H9507" s="5">
        <v>834.928600</v>
      </c>
    </row>
    <row r="9508" spans="1:9">
      <c r="A9508" s="22" t="str">
        <f>HYPERLINK("https://app.vivvix.com/360/KMI/IntelliDrive/ApplUI/Pages/CreativePages/CustomReportCreativeDetail.aspx?App=23&amp;ReportView=4&amp;Qid=1711279&amp;Row=9500&amp;Col=1","No Title Assigned - #15271297318")</f>
        <v/>
      </c>
      <c r="B9508" s="0" t="s">
        <v>12767</v>
      </c>
      <c r="E9508" s="0" t="inlineStr">
        <is>
          <t xml:space="preserve">Mazda</t>
        </is>
      </c>
      <c r="F9508" s="0" t="inlineStr">
        <is>
          <t xml:space="preserve">Mazda</t>
        </is>
      </c>
      <c r="G9508" s="0" t="s">
        <v>171</v>
      </c>
      <c r="H9508" s="5">
        <v>1368.732700</v>
      </c>
    </row>
    <row r="9509" spans="1:9">
      <c r="A9509" s="22" t="str">
        <f>HYPERLINK("https://app.vivvix.com/360/KMI/IntelliDrive/ApplUI/Pages/CreativePages/CustomReportCreativeDetail.aspx?App=23&amp;ReportView=4&amp;Qid=1711279&amp;Row=9501&amp;Col=1","No Title Assigned - #15271297428")</f>
        <v/>
      </c>
      <c r="B9509" s="0" t="s">
        <v>12768</v>
      </c>
      <c r="C9509" s="0" t="s">
        <v>12769</v>
      </c>
      <c r="D9509" s="0" t="s">
        <v>12769</v>
      </c>
      <c r="E9509" s="0" t="inlineStr">
        <is>
          <t xml:space="preserve">Mazda</t>
        </is>
      </c>
      <c r="F9509" s="0" t="inlineStr">
        <is>
          <t xml:space="preserve">Mazda</t>
        </is>
      </c>
      <c r="G9509" s="0" t="s">
        <v>171</v>
      </c>
      <c r="H9509" s="5">
        <v>90.231800</v>
      </c>
    </row>
    <row r="9510" spans="1:9">
      <c r="A9510" s="22" t="str">
        <f>HYPERLINK("https://app.vivvix.com/360/KMI/IntelliDrive/ApplUI/Pages/CreativePages/CustomReportCreativeDetail.aspx?App=23&amp;ReportView=4&amp;Qid=1711279&amp;Row=9502&amp;Col=1","No Title Assigned - #15271297549")</f>
        <v/>
      </c>
      <c r="B9510" s="0" t="s">
        <v>12770</v>
      </c>
      <c r="E9510" s="0" t="inlineStr">
        <is>
          <t xml:space="preserve">Mazda</t>
        </is>
      </c>
      <c r="F9510" s="0" t="inlineStr">
        <is>
          <t xml:space="preserve">Mazda</t>
        </is>
      </c>
      <c r="G9510" s="0" t="s">
        <v>171</v>
      </c>
      <c r="H9510" s="5">
        <v>2.728500</v>
      </c>
    </row>
    <row r="9511" spans="1:9">
      <c r="A9511" s="22" t="str">
        <f>HYPERLINK("https://app.vivvix.com/360/KMI/IntelliDrive/ApplUI/Pages/CreativePages/CustomReportCreativeDetail.aspx?App=23&amp;ReportView=4&amp;Qid=1711279&amp;Row=9503&amp;Col=1","No Title Assigned - #15271298183")</f>
        <v/>
      </c>
      <c r="B9511" s="0" t="s">
        <v>12771</v>
      </c>
      <c r="E9511" s="0" t="inlineStr">
        <is>
          <t xml:space="preserve">Mazda</t>
        </is>
      </c>
      <c r="F9511" s="0" t="inlineStr">
        <is>
          <t xml:space="preserve">Mazda</t>
        </is>
      </c>
      <c r="G9511" s="0" t="s">
        <v>171</v>
      </c>
      <c r="H9511" s="5">
        <v>71.484600</v>
      </c>
    </row>
    <row r="9512" spans="1:9">
      <c r="A9512" s="22" t="str">
        <f>HYPERLINK("https://app.vivvix.com/360/KMI/IntelliDrive/ApplUI/Pages/CreativePages/CustomReportCreativeDetail.aspx?App=23&amp;ReportView=4&amp;Qid=1711279&amp;Row=9504&amp;Col=1","No Title Assigned - #15271298264")</f>
        <v/>
      </c>
      <c r="B9512" s="0" t="s">
        <v>12772</v>
      </c>
      <c r="E9512" s="0" t="inlineStr">
        <is>
          <t xml:space="preserve">Mazda</t>
        </is>
      </c>
      <c r="F9512" s="0" t="inlineStr">
        <is>
          <t xml:space="preserve">Mazda</t>
        </is>
      </c>
      <c r="G9512" s="0" t="s">
        <v>171</v>
      </c>
      <c r="H9512" s="5">
        <v>127.721400</v>
      </c>
    </row>
    <row r="9513" spans="1:9">
      <c r="A9513" s="22" t="str">
        <f>HYPERLINK("https://app.vivvix.com/360/KMI/IntelliDrive/ApplUI/Pages/CreativePages/CustomReportCreativeDetail.aspx?App=23&amp;ReportView=4&amp;Qid=1711279&amp;Row=9505&amp;Col=1","No Title Assigned - #15271298301")</f>
        <v/>
      </c>
      <c r="B9513" s="0" t="s">
        <v>12773</v>
      </c>
      <c r="E9513" s="0" t="inlineStr">
        <is>
          <t xml:space="preserve">Mazda</t>
        </is>
      </c>
      <c r="F9513" s="0" t="inlineStr">
        <is>
          <t xml:space="preserve">Mazda</t>
        </is>
      </c>
      <c r="G9513" s="0" t="s">
        <v>171</v>
      </c>
      <c r="H9513" s="5">
        <v>845.207500</v>
      </c>
    </row>
    <row r="9514" spans="1:9">
      <c r="A9514" s="22" t="str">
        <f>HYPERLINK("https://app.vivvix.com/360/KMI/IntelliDrive/ApplUI/Pages/CreativePages/CustomReportCreativeDetail.aspx?App=23&amp;ReportView=4&amp;Qid=1711279&amp;Row=9506&amp;Col=1","No Title Assigned - #15271298304")</f>
        <v/>
      </c>
      <c r="B9514" s="0" t="s">
        <v>12774</v>
      </c>
      <c r="E9514" s="0" t="inlineStr">
        <is>
          <t xml:space="preserve">Mazda</t>
        </is>
      </c>
      <c r="F9514" s="0" t="inlineStr">
        <is>
          <t xml:space="preserve">Mazda</t>
        </is>
      </c>
      <c r="G9514" s="0" t="s">
        <v>171</v>
      </c>
      <c r="H9514" s="5">
        <v>194.875600</v>
      </c>
    </row>
    <row r="9515" spans="1:9">
      <c r="A9515" s="22" t="str">
        <f>HYPERLINK("https://app.vivvix.com/360/KMI/IntelliDrive/ApplUI/Pages/CreativePages/CustomReportCreativeDetail.aspx?App=23&amp;ReportView=4&amp;Qid=1711279&amp;Row=9507&amp;Col=1","No Title Assigned - #15271298395")</f>
        <v/>
      </c>
      <c r="B9515" s="0" t="s">
        <v>12775</v>
      </c>
      <c r="E9515" s="0" t="inlineStr">
        <is>
          <t xml:space="preserve">Mazda</t>
        </is>
      </c>
      <c r="F9515" s="0" t="inlineStr">
        <is>
          <t xml:space="preserve">Mazda</t>
        </is>
      </c>
      <c r="G9515" s="0" t="s">
        <v>171</v>
      </c>
      <c r="H9515" s="5">
        <v>26.897600</v>
      </c>
    </row>
    <row r="9516" spans="1:9">
      <c r="A9516" s="22" t="str">
        <f>HYPERLINK("https://app.vivvix.com/360/KMI/IntelliDrive/ApplUI/Pages/CreativePages/CustomReportCreativeDetail.aspx?App=23&amp;ReportView=4&amp;Qid=1711279&amp;Row=9508&amp;Col=1","No Title Assigned - #15271298623")</f>
        <v/>
      </c>
      <c r="B9516" s="0" t="s">
        <v>12776</v>
      </c>
      <c r="E9516" s="0" t="inlineStr">
        <is>
          <t xml:space="preserve">Mazda</t>
        </is>
      </c>
      <c r="F9516" s="0" t="inlineStr">
        <is>
          <t xml:space="preserve">Mazda</t>
        </is>
      </c>
      <c r="G9516" s="0" t="s">
        <v>171</v>
      </c>
      <c r="H9516" s="5">
        <v>5.223200</v>
      </c>
    </row>
    <row r="9517" spans="1:9">
      <c r="A9517" s="22" t="str">
        <f>HYPERLINK("https://app.vivvix.com/360/KMI/IntelliDrive/ApplUI/Pages/CreativePages/CustomReportCreativeDetail.aspx?App=23&amp;ReportView=4&amp;Qid=1711279&amp;Row=9509&amp;Col=1","No Title Assigned - #15271298624")</f>
        <v/>
      </c>
      <c r="B9517" s="0" t="s">
        <v>12777</v>
      </c>
      <c r="E9517" s="0" t="inlineStr">
        <is>
          <t xml:space="preserve">Mazda</t>
        </is>
      </c>
      <c r="F9517" s="0" t="inlineStr">
        <is>
          <t xml:space="preserve">Mazda</t>
        </is>
      </c>
      <c r="G9517" s="0" t="s">
        <v>171</v>
      </c>
      <c r="H9517" s="5">
        <v>196.998200</v>
      </c>
    </row>
    <row r="9518" spans="1:9">
      <c r="A9518" s="22" t="str">
        <f>HYPERLINK("https://app.vivvix.com/360/KMI/IntelliDrive/ApplUI/Pages/CreativePages/CustomReportCreativeDetail.aspx?App=23&amp;ReportView=4&amp;Qid=1711279&amp;Row=9510&amp;Col=1","No Title Assigned - #15271300646")</f>
        <v/>
      </c>
      <c r="B9518" s="0" t="s">
        <v>12778</v>
      </c>
      <c r="E9518" s="0" t="inlineStr">
        <is>
          <t xml:space="preserve">Mazda</t>
        </is>
      </c>
      <c r="F9518" s="0" t="inlineStr">
        <is>
          <t xml:space="preserve">Mazda</t>
        </is>
      </c>
      <c r="G9518" s="0" t="s">
        <v>171</v>
      </c>
      <c r="H9518" s="5">
        <v>56.497000</v>
      </c>
    </row>
    <row r="9519" spans="1:9">
      <c r="A9519" s="22" t="str">
        <f>HYPERLINK("https://app.vivvix.com/360/KMI/IntelliDrive/ApplUI/Pages/CreativePages/CustomReportCreativeDetail.aspx?App=23&amp;ReportView=4&amp;Qid=1711279&amp;Row=9511&amp;Col=1","No Title Assigned - #15271301109")</f>
        <v/>
      </c>
      <c r="B9519" s="0" t="s">
        <v>12779</v>
      </c>
      <c r="E9519" s="0" t="inlineStr">
        <is>
          <t xml:space="preserve">Mazda</t>
        </is>
      </c>
      <c r="F9519" s="0" t="inlineStr">
        <is>
          <t xml:space="preserve">Mazda</t>
        </is>
      </c>
      <c r="G9519" s="0" t="s">
        <v>171</v>
      </c>
      <c r="H9519" s="5">
        <v>13717.728900</v>
      </c>
    </row>
    <row r="9520" spans="1:9">
      <c r="A9520" s="22" t="str">
        <f>HYPERLINK("https://app.vivvix.com/360/KMI/IntelliDrive/ApplUI/Pages/CreativePages/CustomReportCreativeDetail.aspx?App=23&amp;ReportView=4&amp;Qid=1711279&amp;Row=9512&amp;Col=1","No Title Assigned - #15271302063")</f>
        <v/>
      </c>
      <c r="B9520" s="0" t="s">
        <v>12780</v>
      </c>
      <c r="E9520" s="0" t="inlineStr">
        <is>
          <t xml:space="preserve">Mazda</t>
        </is>
      </c>
      <c r="F9520" s="0" t="inlineStr">
        <is>
          <t xml:space="preserve">Mazda</t>
        </is>
      </c>
      <c r="G9520" s="0" t="s">
        <v>171</v>
      </c>
      <c r="H9520" s="5">
        <v>74.123400</v>
      </c>
    </row>
    <row r="9521" spans="1:9">
      <c r="A9521" s="22" t="str">
        <f>HYPERLINK("https://app.vivvix.com/360/KMI/IntelliDrive/ApplUI/Pages/CreativePages/CustomReportCreativeDetail.aspx?App=23&amp;ReportView=4&amp;Qid=1711279&amp;Row=9513&amp;Col=1","No Title Assigned - #15271302273")</f>
        <v/>
      </c>
      <c r="B9521" s="0" t="s">
        <v>12781</v>
      </c>
      <c r="E9521" s="0" t="inlineStr">
        <is>
          <t xml:space="preserve">Mazda</t>
        </is>
      </c>
      <c r="F9521" s="0" t="inlineStr">
        <is>
          <t xml:space="preserve">Mazda</t>
        </is>
      </c>
      <c r="G9521" s="0" t="s">
        <v>171</v>
      </c>
      <c r="H9521" s="5">
        <v>7.217700</v>
      </c>
    </row>
    <row r="9522" spans="1:9">
      <c r="A9522" s="22" t="str">
        <f>HYPERLINK("https://app.vivvix.com/360/KMI/IntelliDrive/ApplUI/Pages/CreativePages/CustomReportCreativeDetail.aspx?App=23&amp;ReportView=4&amp;Qid=1711279&amp;Row=9514&amp;Col=1","No Title Assigned - #15271302399")</f>
        <v/>
      </c>
      <c r="B9522" s="0" t="s">
        <v>12782</v>
      </c>
      <c r="C9522" s="0" t="s">
        <v>12783</v>
      </c>
      <c r="D9522" s="0" t="s">
        <v>12783</v>
      </c>
      <c r="E9522" s="0" t="inlineStr">
        <is>
          <t xml:space="preserve">Mazda</t>
        </is>
      </c>
      <c r="F9522" s="0" t="inlineStr">
        <is>
          <t xml:space="preserve">Mazda</t>
        </is>
      </c>
      <c r="G9522" s="0" t="s">
        <v>171</v>
      </c>
      <c r="H9522" s="5">
        <v>12.019100</v>
      </c>
    </row>
    <row r="9523" spans="1:9">
      <c r="A9523" s="22" t="str">
        <f>HYPERLINK("https://app.vivvix.com/360/KMI/IntelliDrive/ApplUI/Pages/CreativePages/CustomReportCreativeDetail.aspx?App=23&amp;ReportView=4&amp;Qid=1711279&amp;Row=9515&amp;Col=1","No Title Assigned - #15271304267")</f>
        <v/>
      </c>
      <c r="B9523" s="0" t="s">
        <v>12784</v>
      </c>
      <c r="C9523" s="0" t="s">
        <v>12785</v>
      </c>
      <c r="D9523" s="0" t="s">
        <v>12785</v>
      </c>
      <c r="E9523" s="0" t="inlineStr">
        <is>
          <t xml:space="preserve">Mazda</t>
        </is>
      </c>
      <c r="F9523" s="0" t="inlineStr">
        <is>
          <t xml:space="preserve">Mazda</t>
        </is>
      </c>
      <c r="G9523" s="0" t="s">
        <v>171</v>
      </c>
      <c r="H9523" s="5">
        <v>13.680700</v>
      </c>
    </row>
    <row r="9524" spans="1:9">
      <c r="A9524" s="22" t="str">
        <f>HYPERLINK("https://app.vivvix.com/360/KMI/IntelliDrive/ApplUI/Pages/CreativePages/CustomReportCreativeDetail.aspx?App=23&amp;ReportView=4&amp;Qid=1711279&amp;Row=9516&amp;Col=1","No Title Assigned - #15271304346")</f>
        <v/>
      </c>
      <c r="B9524" s="0" t="s">
        <v>12786</v>
      </c>
      <c r="E9524" s="0" t="inlineStr">
        <is>
          <t xml:space="preserve">Mazda</t>
        </is>
      </c>
      <c r="F9524" s="0" t="inlineStr">
        <is>
          <t xml:space="preserve">Mazda</t>
        </is>
      </c>
      <c r="G9524" s="0" t="s">
        <v>171</v>
      </c>
      <c r="H9524" s="5">
        <v>3.640300</v>
      </c>
    </row>
    <row r="9525" spans="1:9">
      <c r="A9525" s="22" t="str">
        <f>HYPERLINK("https://app.vivvix.com/360/KMI/IntelliDrive/ApplUI/Pages/CreativePages/CustomReportCreativeDetail.aspx?App=23&amp;ReportView=4&amp;Qid=1711279&amp;Row=9517&amp;Col=1","No Title Assigned - #15271305480")</f>
        <v/>
      </c>
      <c r="B9525" s="0" t="s">
        <v>12787</v>
      </c>
      <c r="E9525" s="0" t="inlineStr">
        <is>
          <t xml:space="preserve">Mazda</t>
        </is>
      </c>
      <c r="F9525" s="0" t="inlineStr">
        <is>
          <t xml:space="preserve">Mazda</t>
        </is>
      </c>
      <c r="G9525" s="0" t="s">
        <v>171</v>
      </c>
      <c r="H9525" s="5">
        <v>12.067100</v>
      </c>
    </row>
    <row r="9526" spans="1:9">
      <c r="A9526" s="22" t="str">
        <f>HYPERLINK("https://app.vivvix.com/360/KMI/IntelliDrive/ApplUI/Pages/CreativePages/CustomReportCreativeDetail.aspx?App=23&amp;ReportView=4&amp;Qid=1711279&amp;Row=9518&amp;Col=1","No Title Assigned - #15271305685")</f>
        <v/>
      </c>
      <c r="B9526" s="0" t="s">
        <v>12788</v>
      </c>
      <c r="E9526" s="0" t="inlineStr">
        <is>
          <t xml:space="preserve">Mazda</t>
        </is>
      </c>
      <c r="F9526" s="0" t="inlineStr">
        <is>
          <t xml:space="preserve">Mazda</t>
        </is>
      </c>
      <c r="G9526" s="0" t="s">
        <v>171</v>
      </c>
      <c r="H9526" s="5">
        <v>98.386300</v>
      </c>
    </row>
    <row r="9527" spans="1:9">
      <c r="A9527" s="22" t="str">
        <f>HYPERLINK("https://app.vivvix.com/360/KMI/IntelliDrive/ApplUI/Pages/CreativePages/CustomReportCreativeDetail.aspx?App=23&amp;ReportView=4&amp;Qid=1711279&amp;Row=9519&amp;Col=1","No Title Assigned - #15271306459")</f>
        <v/>
      </c>
      <c r="B9527" s="0" t="s">
        <v>12789</v>
      </c>
      <c r="E9527" s="0" t="inlineStr">
        <is>
          <t xml:space="preserve">Mazda</t>
        </is>
      </c>
      <c r="F9527" s="0" t="inlineStr">
        <is>
          <t xml:space="preserve">Mazda</t>
        </is>
      </c>
      <c r="G9527" s="0" t="s">
        <v>171</v>
      </c>
      <c r="H9527" s="5">
        <v>91.179700</v>
      </c>
    </row>
    <row r="9528" spans="1:9">
      <c r="A9528" s="22" t="str">
        <f>HYPERLINK("https://app.vivvix.com/360/KMI/IntelliDrive/ApplUI/Pages/CreativePages/CustomReportCreativeDetail.aspx?App=23&amp;ReportView=4&amp;Qid=1711279&amp;Row=9520&amp;Col=1","No Title Assigned - #15271306540")</f>
        <v/>
      </c>
      <c r="B9528" s="0" t="s">
        <v>12790</v>
      </c>
      <c r="E9528" s="0" t="inlineStr">
        <is>
          <t xml:space="preserve">Mazda</t>
        </is>
      </c>
      <c r="F9528" s="0" t="inlineStr">
        <is>
          <t xml:space="preserve">Mazda</t>
        </is>
      </c>
      <c r="G9528" s="0" t="s">
        <v>171</v>
      </c>
      <c r="H9528" s="5">
        <v>5183.940000</v>
      </c>
    </row>
    <row r="9529" spans="1:9">
      <c r="A9529" s="22" t="str">
        <f>HYPERLINK("https://app.vivvix.com/360/KMI/IntelliDrive/ApplUI/Pages/CreativePages/CustomReportCreativeDetail.aspx?App=23&amp;ReportView=4&amp;Qid=1711279&amp;Row=9521&amp;Col=1","No Title Assigned - #15271306540")</f>
        <v/>
      </c>
      <c r="B9529" s="0" t="s">
        <v>12790</v>
      </c>
      <c r="E9529" s="0" t="inlineStr">
        <is>
          <t xml:space="preserve">Mazda</t>
        </is>
      </c>
      <c r="F9529" s="0" t="inlineStr">
        <is>
          <t xml:space="preserve">Mazda</t>
        </is>
      </c>
      <c r="G9529" s="0" t="s">
        <v>171</v>
      </c>
      <c r="H9529" s="5">
        <v>273.957600</v>
      </c>
    </row>
    <row r="9530" spans="1:9">
      <c r="A9530" s="22" t="str">
        <f>HYPERLINK("https://app.vivvix.com/360/KMI/IntelliDrive/ApplUI/Pages/CreativePages/CustomReportCreativeDetail.aspx?App=23&amp;ReportView=4&amp;Qid=1711279&amp;Row=9522&amp;Col=1","No Title Assigned - #15271306557")</f>
        <v/>
      </c>
      <c r="B9530" s="0" t="s">
        <v>12791</v>
      </c>
      <c r="E9530" s="0" t="inlineStr">
        <is>
          <t xml:space="preserve">Mazda</t>
        </is>
      </c>
      <c r="F9530" s="0" t="inlineStr">
        <is>
          <t xml:space="preserve">Mazda</t>
        </is>
      </c>
      <c r="G9530" s="0" t="s">
        <v>171</v>
      </c>
      <c r="H9530" s="5">
        <v>16759.984500</v>
      </c>
    </row>
    <row r="9531" spans="1:9">
      <c r="A9531" s="22" t="str">
        <f>HYPERLINK("https://app.vivvix.com/360/KMI/IntelliDrive/ApplUI/Pages/CreativePages/CustomReportCreativeDetail.aspx?App=23&amp;ReportView=4&amp;Qid=1711279&amp;Row=9523&amp;Col=1","No Title Assigned - #15271312338")</f>
        <v/>
      </c>
      <c r="B9531" s="0" t="s">
        <v>12792</v>
      </c>
      <c r="C9531" s="0" t="s">
        <v>12793</v>
      </c>
      <c r="D9531" s="0" t="s">
        <v>12793</v>
      </c>
      <c r="E9531" s="0" t="inlineStr">
        <is>
          <t xml:space="preserve">Mazda</t>
        </is>
      </c>
      <c r="F9531" s="0" t="inlineStr">
        <is>
          <t xml:space="preserve">Mazda</t>
        </is>
      </c>
      <c r="G9531" s="0" t="s">
        <v>171</v>
      </c>
      <c r="H9531" s="5">
        <v>221.189500</v>
      </c>
    </row>
    <row r="9532" spans="1:9">
      <c r="A9532" s="22" t="str">
        <f>HYPERLINK("https://app.vivvix.com/360/KMI/IntelliDrive/ApplUI/Pages/CreativePages/CustomReportCreativeDetail.aspx?App=23&amp;ReportView=4&amp;Qid=1711279&amp;Row=9524&amp;Col=1","No Title Assigned - #15271314405")</f>
        <v/>
      </c>
      <c r="B9532" s="0" t="s">
        <v>12794</v>
      </c>
      <c r="E9532" s="0" t="inlineStr">
        <is>
          <t xml:space="preserve">Mazda</t>
        </is>
      </c>
      <c r="F9532" s="0" t="inlineStr">
        <is>
          <t xml:space="preserve">Mazda</t>
        </is>
      </c>
      <c r="G9532" s="0" t="s">
        <v>171</v>
      </c>
      <c r="H9532" s="5">
        <v>125.813800</v>
      </c>
    </row>
    <row r="9533" spans="1:9">
      <c r="A9533" s="22" t="str">
        <f>HYPERLINK("https://app.vivvix.com/360/KMI/IntelliDrive/ApplUI/Pages/CreativePages/CustomReportCreativeDetail.aspx?App=23&amp;ReportView=4&amp;Qid=1711279&amp;Row=9525&amp;Col=1","No Title Assigned - #15271316202")</f>
        <v/>
      </c>
      <c r="B9533" s="0" t="s">
        <v>12795</v>
      </c>
      <c r="E9533" s="0" t="inlineStr">
        <is>
          <t xml:space="preserve">Mazda</t>
        </is>
      </c>
      <c r="F9533" s="0" t="inlineStr">
        <is>
          <t xml:space="preserve">Mazda</t>
        </is>
      </c>
      <c r="G9533" s="0" t="s">
        <v>171</v>
      </c>
      <c r="H9533" s="5">
        <v>37.668600</v>
      </c>
    </row>
    <row r="9534" spans="1:9">
      <c r="A9534" s="22" t="str">
        <f>HYPERLINK("https://app.vivvix.com/360/KMI/IntelliDrive/ApplUI/Pages/CreativePages/CustomReportCreativeDetail.aspx?App=23&amp;ReportView=4&amp;Qid=1711279&amp;Row=9526&amp;Col=1","No Title Assigned - #15271316366")</f>
        <v/>
      </c>
      <c r="B9534" s="0" t="s">
        <v>12796</v>
      </c>
      <c r="E9534" s="0" t="inlineStr">
        <is>
          <t xml:space="preserve">Mazda</t>
        </is>
      </c>
      <c r="F9534" s="0" t="inlineStr">
        <is>
          <t xml:space="preserve">Mazda</t>
        </is>
      </c>
      <c r="G9534" s="0" t="s">
        <v>171</v>
      </c>
      <c r="H9534" s="5">
        <v>274.714200</v>
      </c>
    </row>
    <row r="9535" spans="1:9">
      <c r="A9535" s="22" t="str">
        <f>HYPERLINK("https://app.vivvix.com/360/KMI/IntelliDrive/ApplUI/Pages/CreativePages/CustomReportCreativeDetail.aspx?App=23&amp;ReportView=4&amp;Qid=1711279&amp;Row=9527&amp;Col=1","No Title Assigned - #15271317147")</f>
        <v/>
      </c>
      <c r="B9535" s="0" t="s">
        <v>12797</v>
      </c>
      <c r="E9535" s="0" t="inlineStr">
        <is>
          <t xml:space="preserve">Mazda</t>
        </is>
      </c>
      <c r="F9535" s="0" t="inlineStr">
        <is>
          <t xml:space="preserve">Mazda</t>
        </is>
      </c>
      <c r="G9535" s="0" t="s">
        <v>171</v>
      </c>
      <c r="H9535" s="5">
        <v>83.332900</v>
      </c>
    </row>
    <row r="9536" spans="1:9">
      <c r="A9536" s="22" t="str">
        <f>HYPERLINK("https://app.vivvix.com/360/KMI/IntelliDrive/ApplUI/Pages/CreativePages/CustomReportCreativeDetail.aspx?App=23&amp;ReportView=4&amp;Qid=1711279&amp;Row=9528&amp;Col=1","No Title Assigned - #15271317952")</f>
        <v/>
      </c>
      <c r="B9536" s="0" t="s">
        <v>12798</v>
      </c>
      <c r="E9536" s="0" t="inlineStr">
        <is>
          <t xml:space="preserve">Mazda</t>
        </is>
      </c>
      <c r="F9536" s="0" t="inlineStr">
        <is>
          <t xml:space="preserve">Mazda</t>
        </is>
      </c>
      <c r="G9536" s="0" t="s">
        <v>171</v>
      </c>
      <c r="H9536" s="5">
        <v>8.116400</v>
      </c>
    </row>
    <row r="9537" spans="1:9">
      <c r="A9537" s="22" t="str">
        <f>HYPERLINK("https://app.vivvix.com/360/KMI/IntelliDrive/ApplUI/Pages/CreativePages/CustomReportCreativeDetail.aspx?App=23&amp;ReportView=4&amp;Qid=1711279&amp;Row=9529&amp;Col=1","No Title Assigned - #15271325645")</f>
        <v/>
      </c>
      <c r="B9537" s="0" t="s">
        <v>12799</v>
      </c>
      <c r="E9537" s="0" t="inlineStr">
        <is>
          <t xml:space="preserve">Mazda</t>
        </is>
      </c>
      <c r="F9537" s="0" t="inlineStr">
        <is>
          <t xml:space="preserve">Mazda</t>
        </is>
      </c>
      <c r="G9537" s="0" t="s">
        <v>171</v>
      </c>
      <c r="H9537" s="5">
        <v>93.273100</v>
      </c>
    </row>
    <row r="9538" spans="1:9">
      <c r="A9538" s="22" t="str">
        <f>HYPERLINK("https://app.vivvix.com/360/KMI/IntelliDrive/ApplUI/Pages/CreativePages/CustomReportCreativeDetail.aspx?App=23&amp;ReportView=4&amp;Qid=1711279&amp;Row=9530&amp;Col=1","No Title Assigned - #15271327296")</f>
        <v/>
      </c>
      <c r="B9538" s="0" t="s">
        <v>12800</v>
      </c>
      <c r="E9538" s="0" t="inlineStr">
        <is>
          <t xml:space="preserve">Mazda</t>
        </is>
      </c>
      <c r="F9538" s="0" t="inlineStr">
        <is>
          <t xml:space="preserve">Mazda</t>
        </is>
      </c>
      <c r="G9538" s="0" t="s">
        <v>171</v>
      </c>
      <c r="H9538" s="5">
        <v>56.745900</v>
      </c>
    </row>
    <row r="9539" spans="1:9">
      <c r="A9539" s="22" t="str">
        <f>HYPERLINK("https://app.vivvix.com/360/KMI/IntelliDrive/ApplUI/Pages/CreativePages/CustomReportCreativeDetail.aspx?App=23&amp;ReportView=4&amp;Qid=1711279&amp;Row=9531&amp;Col=1","No Title Assigned - #15271327296")</f>
        <v/>
      </c>
      <c r="B9539" s="0" t="s">
        <v>12800</v>
      </c>
      <c r="E9539" s="0" t="inlineStr">
        <is>
          <t xml:space="preserve">Mazda</t>
        </is>
      </c>
      <c r="F9539" s="0" t="inlineStr">
        <is>
          <t xml:space="preserve">Mazda</t>
        </is>
      </c>
      <c r="G9539" s="0" t="s">
        <v>171</v>
      </c>
      <c r="H9539" s="5">
        <v>47.746000</v>
      </c>
    </row>
    <row r="9540" spans="1:9">
      <c r="A9540" s="22" t="str">
        <f>HYPERLINK("https://app.vivvix.com/360/KMI/IntelliDrive/ApplUI/Pages/CreativePages/CustomReportCreativeDetail.aspx?App=23&amp;ReportView=4&amp;Qid=1711279&amp;Row=9532&amp;Col=1","No Title Assigned - #15271328191")</f>
        <v/>
      </c>
      <c r="B9540" s="0" t="s">
        <v>12801</v>
      </c>
      <c r="E9540" s="0" t="inlineStr">
        <is>
          <t xml:space="preserve">Mazda</t>
        </is>
      </c>
      <c r="F9540" s="0" t="inlineStr">
        <is>
          <t xml:space="preserve">Mazda</t>
        </is>
      </c>
      <c r="G9540" s="0" t="s">
        <v>171</v>
      </c>
      <c r="H9540" s="5">
        <v>4.058200</v>
      </c>
    </row>
    <row r="9541" spans="1:9">
      <c r="A9541" s="22" t="str">
        <f>HYPERLINK("https://app.vivvix.com/360/KMI/IntelliDrive/ApplUI/Pages/CreativePages/CustomReportCreativeDetail.aspx?App=23&amp;ReportView=4&amp;Qid=1711279&amp;Row=9533&amp;Col=1","No Title Assigned - #15271328781")</f>
        <v/>
      </c>
      <c r="B9541" s="0" t="s">
        <v>12802</v>
      </c>
      <c r="E9541" s="0" t="inlineStr">
        <is>
          <t xml:space="preserve">Mazda</t>
        </is>
      </c>
      <c r="F9541" s="0" t="inlineStr">
        <is>
          <t xml:space="preserve">Mazda</t>
        </is>
      </c>
      <c r="G9541" s="0" t="s">
        <v>171</v>
      </c>
      <c r="H9541" s="5">
        <v>6.344400</v>
      </c>
    </row>
    <row r="9542" spans="1:9">
      <c r="A9542" s="22" t="str">
        <f>HYPERLINK("https://app.vivvix.com/360/KMI/IntelliDrive/ApplUI/Pages/CreativePages/CustomReportCreativeDetail.aspx?App=23&amp;ReportView=4&amp;Qid=1711279&amp;Row=9534&amp;Col=1","No Title Assigned - #15271329055")</f>
        <v/>
      </c>
      <c r="B9542" s="0" t="s">
        <v>12803</v>
      </c>
      <c r="C9542" s="0" t="s">
        <v>12804</v>
      </c>
      <c r="D9542" s="0" t="s">
        <v>12804</v>
      </c>
      <c r="E9542" s="0" t="inlineStr">
        <is>
          <t xml:space="preserve">Mazda</t>
        </is>
      </c>
      <c r="F9542" s="0" t="inlineStr">
        <is>
          <t xml:space="preserve">Mazda</t>
        </is>
      </c>
      <c r="G9542" s="0" t="s">
        <v>171</v>
      </c>
      <c r="H9542" s="5">
        <v>261.112500</v>
      </c>
    </row>
    <row r="9543" spans="1:9">
      <c r="A9543" s="22" t="str">
        <f>HYPERLINK("https://app.vivvix.com/360/KMI/IntelliDrive/ApplUI/Pages/CreativePages/CustomReportCreativeDetail.aspx?App=23&amp;ReportView=4&amp;Qid=1711279&amp;Row=9535&amp;Col=1","No Title Assigned - #15271329518")</f>
        <v/>
      </c>
      <c r="B9543" s="0" t="s">
        <v>12805</v>
      </c>
      <c r="E9543" s="0" t="inlineStr">
        <is>
          <t xml:space="preserve">Mazda</t>
        </is>
      </c>
      <c r="F9543" s="0" t="inlineStr">
        <is>
          <t xml:space="preserve">Mazda</t>
        </is>
      </c>
      <c r="G9543" s="0" t="s">
        <v>171</v>
      </c>
      <c r="H9543" s="5">
        <v>11.970100</v>
      </c>
    </row>
    <row r="9544" spans="1:9">
      <c r="A9544" s="22" t="str">
        <f>HYPERLINK("https://app.vivvix.com/360/KMI/IntelliDrive/ApplUI/Pages/CreativePages/CustomReportCreativeDetail.aspx?App=23&amp;ReportView=4&amp;Qid=1711279&amp;Row=9536&amp;Col=1","No Title Assigned - #15271331412")</f>
        <v/>
      </c>
      <c r="B9544" s="0" t="s">
        <v>12806</v>
      </c>
      <c r="E9544" s="0" t="inlineStr">
        <is>
          <t xml:space="preserve">Mazda</t>
        </is>
      </c>
      <c r="F9544" s="0" t="s">
        <v>28</v>
      </c>
      <c r="G9544" s="0" t="s">
        <v>29</v>
      </c>
      <c r="H9544" s="5">
        <v>910.175000</v>
      </c>
    </row>
    <row r="9545" spans="1:9">
      <c r="A9545" s="22" t="str">
        <f>HYPERLINK("https://app.vivvix.com/360/KMI/IntelliDrive/ApplUI/Pages/CreativePages/CustomReportCreativeDetail.aspx?App=23&amp;ReportView=4&amp;Qid=1711279&amp;Row=9537&amp;Col=1","No Title Assigned - #15271331412")</f>
        <v/>
      </c>
      <c r="B9545" s="0" t="s">
        <v>12806</v>
      </c>
      <c r="C9545" s="0" t="s">
        <v>12807</v>
      </c>
      <c r="D9545" s="0" t="s">
        <v>12807</v>
      </c>
      <c r="E9545" s="0" t="inlineStr">
        <is>
          <t xml:space="preserve">Mazda</t>
        </is>
      </c>
      <c r="F9545" s="0" t="s">
        <v>28</v>
      </c>
      <c r="G9545" s="0" t="s">
        <v>29</v>
      </c>
      <c r="H9545" s="5">
        <v>1537.666700</v>
      </c>
    </row>
    <row r="9546" spans="1:9">
      <c r="A9546" s="22" t="str">
        <f>HYPERLINK("https://app.vivvix.com/360/KMI/IntelliDrive/ApplUI/Pages/CreativePages/CustomReportCreativeDetail.aspx?App=23&amp;ReportView=4&amp;Qid=1711279&amp;Row=9538&amp;Col=1","No Title Assigned - #15271333418")</f>
        <v/>
      </c>
      <c r="B9546" s="0" t="s">
        <v>12808</v>
      </c>
      <c r="C9546" s="0" t="s">
        <v>12809</v>
      </c>
      <c r="D9546" s="0" t="s">
        <v>12809</v>
      </c>
      <c r="E9546" s="0" t="inlineStr">
        <is>
          <t xml:space="preserve">Mazda</t>
        </is>
      </c>
      <c r="F9546" s="0" t="inlineStr">
        <is>
          <t xml:space="preserve">Mazda</t>
        </is>
      </c>
      <c r="G9546" s="0" t="s">
        <v>1992</v>
      </c>
      <c r="H9546" s="5">
        <v>3010.651600</v>
      </c>
    </row>
    <row r="9547" spans="1:9">
      <c r="A9547" s="22" t="str">
        <f>HYPERLINK("https://app.vivvix.com/360/KMI/IntelliDrive/ApplUI/Pages/CreativePages/CustomReportCreativeDetail.aspx?App=23&amp;ReportView=4&amp;Qid=1711279&amp;Row=9539&amp;Col=1","No Title Assigned - #15271334222")</f>
        <v/>
      </c>
      <c r="B9547" s="0" t="s">
        <v>12810</v>
      </c>
      <c r="C9547" s="0" t="s">
        <v>12811</v>
      </c>
      <c r="D9547" s="0" t="s">
        <v>12811</v>
      </c>
      <c r="E9547" s="0" t="inlineStr">
        <is>
          <t xml:space="preserve">Mazda</t>
        </is>
      </c>
      <c r="F9547" s="0" t="s">
        <v>28</v>
      </c>
      <c r="G9547" s="0" t="s">
        <v>29</v>
      </c>
      <c r="H9547" s="5">
        <v>828.923700</v>
      </c>
    </row>
    <row r="9548" spans="1:9">
      <c r="A9548" s="22" t="str">
        <f>HYPERLINK("https://app.vivvix.com/360/KMI/IntelliDrive/ApplUI/Pages/CreativePages/CustomReportCreativeDetail.aspx?App=23&amp;ReportView=4&amp;Qid=1711279&amp;Row=9540&amp;Col=1","No Title Assigned - #15271335289")</f>
        <v/>
      </c>
      <c r="B9548" s="0" t="s">
        <v>12812</v>
      </c>
      <c r="C9548" s="0" t="s">
        <v>12813</v>
      </c>
      <c r="D9548" s="0" t="s">
        <v>12813</v>
      </c>
      <c r="E9548" s="0" t="inlineStr">
        <is>
          <t xml:space="preserve">Mazda</t>
        </is>
      </c>
      <c r="F9548" s="0" t="s">
        <v>21</v>
      </c>
      <c r="G9548" s="0" t="s">
        <v>22</v>
      </c>
      <c r="H9548" s="5">
        <v>2369.279200</v>
      </c>
    </row>
    <row r="9549" spans="1:9">
      <c r="A9549" s="22" t="str">
        <f>HYPERLINK("https://app.vivvix.com/360/KMI/IntelliDrive/ApplUI/Pages/CreativePages/CustomReportCreativeDetail.aspx?App=23&amp;ReportView=4&amp;Qid=1711279&amp;Row=9541&amp;Col=1","No Title Assigned - #15271335523")</f>
        <v/>
      </c>
      <c r="B9549" s="0" t="s">
        <v>12814</v>
      </c>
      <c r="C9549" s="0" t="s">
        <v>12815</v>
      </c>
      <c r="D9549" s="0" t="s">
        <v>4333</v>
      </c>
      <c r="E9549" s="0" t="inlineStr">
        <is>
          <t xml:space="preserve">Mazda</t>
        </is>
      </c>
      <c r="F9549" s="0" t="s">
        <v>28</v>
      </c>
      <c r="G9549" s="0" t="s">
        <v>29</v>
      </c>
      <c r="H9549" s="5">
        <v>384.208200</v>
      </c>
    </row>
    <row r="9550" spans="1:9">
      <c r="A9550" s="22" t="str">
        <f>HYPERLINK("https://app.vivvix.com/360/KMI/IntelliDrive/ApplUI/Pages/CreativePages/CustomReportCreativeDetail.aspx?App=23&amp;ReportView=4&amp;Qid=1711279&amp;Row=9542&amp;Col=1","No Title Assigned - #15271335524")</f>
        <v/>
      </c>
      <c r="B9550" s="0" t="s">
        <v>12816</v>
      </c>
      <c r="C9550" s="0" t="s">
        <v>12817</v>
      </c>
      <c r="D9550" s="0" t="s">
        <v>4202</v>
      </c>
      <c r="E9550" s="0" t="inlineStr">
        <is>
          <t xml:space="preserve">Mazda</t>
        </is>
      </c>
      <c r="F9550" s="0" t="s">
        <v>28</v>
      </c>
      <c r="G9550" s="0" t="s">
        <v>29</v>
      </c>
      <c r="H9550" s="5">
        <v>1153.626100</v>
      </c>
    </row>
    <row r="9551" spans="1:9">
      <c r="A9551" s="22" t="str">
        <f>HYPERLINK("https://app.vivvix.com/360/KMI/IntelliDrive/ApplUI/Pages/CreativePages/CustomReportCreativeDetail.aspx?App=23&amp;ReportView=4&amp;Qid=1711279&amp;Row=9543&amp;Col=1","No Title Assigned - #15271337055")</f>
        <v/>
      </c>
      <c r="B9551" s="0" t="s">
        <v>12818</v>
      </c>
      <c r="C9551" s="0" t="s">
        <v>12819</v>
      </c>
      <c r="D9551" s="0" t="s">
        <v>12819</v>
      </c>
      <c r="E9551" s="0" t="inlineStr">
        <is>
          <t xml:space="preserve">Mazda</t>
        </is>
      </c>
      <c r="F9551" s="0" t="s">
        <v>28</v>
      </c>
      <c r="G9551" s="0" t="s">
        <v>29</v>
      </c>
      <c r="H9551" s="5">
        <v>12.740200</v>
      </c>
    </row>
    <row r="9552" spans="1:9">
      <c r="A9552" s="22" t="str">
        <f>HYPERLINK("https://app.vivvix.com/360/KMI/IntelliDrive/ApplUI/Pages/CreativePages/CustomReportCreativeDetail.aspx?App=23&amp;ReportView=4&amp;Qid=1711279&amp;Row=9544&amp;Col=1","No Title Assigned - #15271337101")</f>
        <v/>
      </c>
      <c r="B9552" s="0" t="s">
        <v>12820</v>
      </c>
      <c r="C9552" s="0" t="s">
        <v>12821</v>
      </c>
      <c r="D9552" s="0" t="s">
        <v>12821</v>
      </c>
      <c r="E9552" s="0" t="inlineStr">
        <is>
          <t xml:space="preserve">Mazda</t>
        </is>
      </c>
      <c r="F9552" s="0" t="s">
        <v>28</v>
      </c>
      <c r="G9552" s="0" t="s">
        <v>29</v>
      </c>
      <c r="H9552" s="5">
        <v>279.084200</v>
      </c>
    </row>
    <row r="9553" spans="1:9">
      <c r="A9553" s="22" t="str">
        <f>HYPERLINK("https://app.vivvix.com/360/KMI/IntelliDrive/ApplUI/Pages/CreativePages/CustomReportCreativeDetail.aspx?App=23&amp;ReportView=4&amp;Qid=1711279&amp;Row=9545&amp;Col=1","No Title Assigned - #15271337193")</f>
        <v/>
      </c>
      <c r="B9553" s="0" t="s">
        <v>12822</v>
      </c>
      <c r="C9553" s="0" t="s">
        <v>12823</v>
      </c>
      <c r="D9553" s="0" t="s">
        <v>12823</v>
      </c>
      <c r="E9553" s="0" t="inlineStr">
        <is>
          <t xml:space="preserve">Mazda</t>
        </is>
      </c>
      <c r="F9553" s="0" t="s">
        <v>28</v>
      </c>
      <c r="G9553" s="0" t="s">
        <v>29</v>
      </c>
      <c r="H9553" s="5">
        <v>162.309200</v>
      </c>
    </row>
    <row r="9554" spans="1:9">
      <c r="A9554" s="22" t="str">
        <f>HYPERLINK("https://app.vivvix.com/360/KMI/IntelliDrive/ApplUI/Pages/CreativePages/CustomReportCreativeDetail.aspx?App=23&amp;ReportView=4&amp;Qid=1711279&amp;Row=9546&amp;Col=1","No Title Assigned - #15271338367")</f>
        <v/>
      </c>
      <c r="B9554" s="0" t="s">
        <v>12824</v>
      </c>
      <c r="C9554" s="0" t="s">
        <v>12825</v>
      </c>
      <c r="D9554" s="0" t="s">
        <v>12825</v>
      </c>
      <c r="E9554" s="0" t="inlineStr">
        <is>
          <t xml:space="preserve">Mazda</t>
        </is>
      </c>
      <c r="F9554" s="0" t="s">
        <v>28</v>
      </c>
      <c r="G9554" s="0" t="s">
        <v>29</v>
      </c>
      <c r="H9554" s="5">
        <v>243.324200</v>
      </c>
    </row>
    <row r="9555" spans="1:9">
      <c r="A9555" s="22" t="str">
        <f>HYPERLINK("https://app.vivvix.com/360/KMI/IntelliDrive/ApplUI/Pages/CreativePages/CustomReportCreativeDetail.aspx?App=23&amp;ReportView=4&amp;Qid=1711279&amp;Row=9547&amp;Col=1","No Title Assigned - #15271338521")</f>
        <v/>
      </c>
      <c r="B9555" s="0" t="s">
        <v>12826</v>
      </c>
      <c r="C9555" s="0" t="s">
        <v>12827</v>
      </c>
      <c r="D9555" s="0" t="s">
        <v>10409</v>
      </c>
      <c r="E9555" s="0" t="inlineStr">
        <is>
          <t xml:space="preserve">Mazda</t>
        </is>
      </c>
      <c r="F9555" s="0" t="s">
        <v>28</v>
      </c>
      <c r="G9555" s="0" t="s">
        <v>29</v>
      </c>
      <c r="H9555" s="5">
        <v>3875.988400</v>
      </c>
    </row>
    <row r="9556" spans="1:9">
      <c r="A9556" s="22" t="str">
        <f>HYPERLINK("https://app.vivvix.com/360/KMI/IntelliDrive/ApplUI/Pages/CreativePages/CustomReportCreativeDetail.aspx?App=23&amp;ReportView=4&amp;Qid=1711279&amp;Row=9548&amp;Col=1","No Title Assigned - #15271338521")</f>
        <v/>
      </c>
      <c r="B9556" s="0" t="s">
        <v>12826</v>
      </c>
      <c r="E9556" s="0" t="inlineStr">
        <is>
          <t xml:space="preserve">Mazda</t>
        </is>
      </c>
      <c r="F9556" s="0" t="s">
        <v>28</v>
      </c>
      <c r="G9556" s="0" t="s">
        <v>29</v>
      </c>
      <c r="H9556" s="5">
        <v>528.540200</v>
      </c>
    </row>
    <row r="9557" spans="1:9">
      <c r="A9557" s="22" t="str">
        <f>HYPERLINK("https://app.vivvix.com/360/KMI/IntelliDrive/ApplUI/Pages/CreativePages/CustomReportCreativeDetail.aspx?App=23&amp;ReportView=4&amp;Qid=1711279&amp;Row=9549&amp;Col=1","No Title Assigned - #15271338591")</f>
        <v/>
      </c>
      <c r="B9557" s="0" t="s">
        <v>12828</v>
      </c>
      <c r="C9557" s="0" t="s">
        <v>12829</v>
      </c>
      <c r="D9557" s="0" t="s">
        <v>12829</v>
      </c>
      <c r="E9557" s="0" t="inlineStr">
        <is>
          <t xml:space="preserve">Mazda</t>
        </is>
      </c>
      <c r="F9557" s="0" t="s">
        <v>28</v>
      </c>
      <c r="G9557" s="0" t="s">
        <v>29</v>
      </c>
      <c r="H9557" s="5">
        <v>16.616400</v>
      </c>
    </row>
    <row r="9558" spans="1:9">
      <c r="A9558" s="22" t="str">
        <f>HYPERLINK("https://app.vivvix.com/360/KMI/IntelliDrive/ApplUI/Pages/CreativePages/CustomReportCreativeDetail.aspx?App=23&amp;ReportView=4&amp;Qid=1711279&amp;Row=9550&amp;Col=1","No Title Assigned - #15271338907")</f>
        <v/>
      </c>
      <c r="B9558" s="0" t="s">
        <v>12830</v>
      </c>
      <c r="C9558" s="0" t="s">
        <v>12831</v>
      </c>
      <c r="D9558" s="0" t="s">
        <v>12831</v>
      </c>
      <c r="E9558" s="0" t="inlineStr">
        <is>
          <t xml:space="preserve">Mazda</t>
        </is>
      </c>
      <c r="F9558" s="0" t="s">
        <v>28</v>
      </c>
      <c r="G9558" s="0" t="s">
        <v>29</v>
      </c>
      <c r="H9558" s="5">
        <v>2.195600</v>
      </c>
    </row>
    <row r="9559" spans="1:9">
      <c r="A9559" s="22" t="str">
        <f>HYPERLINK("https://app.vivvix.com/360/KMI/IntelliDrive/ApplUI/Pages/CreativePages/CustomReportCreativeDetail.aspx?App=23&amp;ReportView=4&amp;Qid=1711279&amp;Row=9551&amp;Col=1","No Title Assigned - #15271339594")</f>
        <v/>
      </c>
      <c r="B9559" s="0" t="s">
        <v>12832</v>
      </c>
      <c r="C9559" s="0" t="s">
        <v>12833</v>
      </c>
      <c r="D9559" s="0" t="s">
        <v>12833</v>
      </c>
      <c r="E9559" s="0" t="inlineStr">
        <is>
          <t xml:space="preserve">Mazda</t>
        </is>
      </c>
      <c r="F9559" s="0" t="s">
        <v>52</v>
      </c>
      <c r="G9559" s="0" t="s">
        <v>325</v>
      </c>
      <c r="H9559" s="5">
        <v>489.945900</v>
      </c>
    </row>
    <row r="9560" spans="1:9">
      <c r="A9560" s="22" t="str">
        <f>HYPERLINK("https://app.vivvix.com/360/KMI/IntelliDrive/ApplUI/Pages/CreativePages/CustomReportCreativeDetail.aspx?App=23&amp;ReportView=4&amp;Qid=1711279&amp;Row=9552&amp;Col=1","No Title Assigned - #15271340206")</f>
        <v/>
      </c>
      <c r="B9560" s="0" t="s">
        <v>12834</v>
      </c>
      <c r="C9560" s="0" t="s">
        <v>12835</v>
      </c>
      <c r="D9560" s="0" t="s">
        <v>12835</v>
      </c>
      <c r="E9560" s="0" t="inlineStr">
        <is>
          <t xml:space="preserve">Mazda</t>
        </is>
      </c>
      <c r="F9560" s="0" t="s">
        <v>28</v>
      </c>
      <c r="G9560" s="0" t="s">
        <v>29</v>
      </c>
      <c r="H9560" s="5">
        <v>162.309200</v>
      </c>
    </row>
    <row r="9561" spans="1:9">
      <c r="A9561" s="22" t="str">
        <f>HYPERLINK("https://app.vivvix.com/360/KMI/IntelliDrive/ApplUI/Pages/CreativePages/CustomReportCreativeDetail.aspx?App=23&amp;ReportView=4&amp;Qid=1711279&amp;Row=9553&amp;Col=1","No Title Assigned - #15271340923")</f>
        <v/>
      </c>
      <c r="B9561" s="0" t="s">
        <v>12836</v>
      </c>
      <c r="C9561" s="0" t="s">
        <v>12837</v>
      </c>
      <c r="D9561" s="0" t="s">
        <v>12837</v>
      </c>
      <c r="E9561" s="0" t="inlineStr">
        <is>
          <t xml:space="preserve">Mazda</t>
        </is>
      </c>
      <c r="F9561" s="0" t="s">
        <v>28</v>
      </c>
      <c r="G9561" s="0" t="s">
        <v>29</v>
      </c>
      <c r="H9561" s="5">
        <v>53.940500</v>
      </c>
    </row>
    <row r="9562" spans="1:9">
      <c r="A9562" s="22" t="str">
        <f>HYPERLINK("https://app.vivvix.com/360/KMI/IntelliDrive/ApplUI/Pages/CreativePages/CustomReportCreativeDetail.aspx?App=23&amp;ReportView=4&amp;Qid=1711279&amp;Row=9554&amp;Col=1","No Title Assigned - #15271341834")</f>
        <v/>
      </c>
      <c r="B9562" s="0" t="s">
        <v>12838</v>
      </c>
      <c r="C9562" s="0" t="s">
        <v>12839</v>
      </c>
      <c r="D9562" s="0" t="s">
        <v>12839</v>
      </c>
      <c r="E9562" s="0" t="inlineStr">
        <is>
          <t xml:space="preserve">Mazda</t>
        </is>
      </c>
      <c r="F9562" s="0" t="s">
        <v>28</v>
      </c>
      <c r="G9562" s="0" t="s">
        <v>29</v>
      </c>
      <c r="H9562" s="5">
        <v>9.427700</v>
      </c>
    </row>
    <row r="9563" spans="1:9">
      <c r="A9563" s="22" t="str">
        <f>HYPERLINK("https://app.vivvix.com/360/KMI/IntelliDrive/ApplUI/Pages/CreativePages/CustomReportCreativeDetail.aspx?App=23&amp;ReportView=4&amp;Qid=1711279&amp;Row=9555&amp;Col=1","No Title Assigned - #15271342108")</f>
        <v/>
      </c>
      <c r="B9563" s="0" t="s">
        <v>12840</v>
      </c>
      <c r="C9563" s="0" t="s">
        <v>12841</v>
      </c>
      <c r="D9563" s="0" t="s">
        <v>4202</v>
      </c>
      <c r="E9563" s="0" t="inlineStr">
        <is>
          <t xml:space="preserve">Mazda</t>
        </is>
      </c>
      <c r="F9563" s="0" t="s">
        <v>28</v>
      </c>
      <c r="G9563" s="0" t="s">
        <v>29</v>
      </c>
      <c r="H9563" s="5">
        <v>4.374400</v>
      </c>
    </row>
    <row r="9564" spans="1:9">
      <c r="A9564" s="22" t="str">
        <f>HYPERLINK("https://app.vivvix.com/360/KMI/IntelliDrive/ApplUI/Pages/CreativePages/CustomReportCreativeDetail.aspx?App=23&amp;ReportView=4&amp;Qid=1711279&amp;Row=9556&amp;Col=1","No Title Assigned - #15271342109")</f>
        <v/>
      </c>
      <c r="B9564" s="0" t="s">
        <v>12842</v>
      </c>
      <c r="C9564" s="0" t="s">
        <v>12843</v>
      </c>
      <c r="D9564" s="0" t="s">
        <v>4202</v>
      </c>
      <c r="E9564" s="0" t="inlineStr">
        <is>
          <t xml:space="preserve">Mazda</t>
        </is>
      </c>
      <c r="F9564" s="0" t="s">
        <v>28</v>
      </c>
      <c r="G9564" s="0" t="s">
        <v>29</v>
      </c>
      <c r="H9564" s="5">
        <v>4.327900</v>
      </c>
    </row>
    <row r="9565" spans="1:9">
      <c r="A9565" s="22" t="str">
        <f>HYPERLINK("https://app.vivvix.com/360/KMI/IntelliDrive/ApplUI/Pages/CreativePages/CustomReportCreativeDetail.aspx?App=23&amp;ReportView=4&amp;Qid=1711279&amp;Row=9557&amp;Col=1","No Title Assigned - #15271342582")</f>
        <v/>
      </c>
      <c r="B9565" s="0" t="s">
        <v>12844</v>
      </c>
      <c r="C9565" s="0" t="s">
        <v>12845</v>
      </c>
      <c r="D9565" s="0" t="s">
        <v>7920</v>
      </c>
      <c r="E9565" s="0" t="inlineStr">
        <is>
          <t xml:space="preserve">Mazda</t>
        </is>
      </c>
      <c r="F9565" s="0" t="s">
        <v>28</v>
      </c>
      <c r="G9565" s="0" t="s">
        <v>29</v>
      </c>
      <c r="H9565" s="5">
        <v>34.998400</v>
      </c>
    </row>
    <row r="9566" spans="1:9">
      <c r="A9566" s="22" t="str">
        <f>HYPERLINK("https://app.vivvix.com/360/KMI/IntelliDrive/ApplUI/Pages/CreativePages/CustomReportCreativeDetail.aspx?App=23&amp;ReportView=4&amp;Qid=1711279&amp;Row=9558&amp;Col=1","No Title Assigned - #15271342856")</f>
        <v/>
      </c>
      <c r="B9566" s="0" t="s">
        <v>12846</v>
      </c>
      <c r="C9566" s="0" t="s">
        <v>12847</v>
      </c>
      <c r="D9566" s="0" t="s">
        <v>12847</v>
      </c>
      <c r="E9566" s="0" t="inlineStr">
        <is>
          <t xml:space="preserve">Mazda</t>
        </is>
      </c>
      <c r="F9566" s="0" t="s">
        <v>13</v>
      </c>
      <c r="G9566" s="0" t="s">
        <v>49</v>
      </c>
      <c r="H9566" s="5">
        <v>30.948200</v>
      </c>
    </row>
    <row r="9567" spans="1:9">
      <c r="A9567" s="22" t="str">
        <f>HYPERLINK("https://app.vivvix.com/360/KMI/IntelliDrive/ApplUI/Pages/CreativePages/CustomReportCreativeDetail.aspx?App=23&amp;ReportView=4&amp;Qid=1711279&amp;Row=9559&amp;Col=1","No Title Assigned - #15271343143")</f>
        <v/>
      </c>
      <c r="B9567" s="0" t="s">
        <v>12848</v>
      </c>
      <c r="C9567" s="0" t="s">
        <v>12849</v>
      </c>
      <c r="D9567" s="0" t="s">
        <v>12849</v>
      </c>
      <c r="E9567" s="0" t="inlineStr">
        <is>
          <t xml:space="preserve">Mazda</t>
        </is>
      </c>
      <c r="F9567" s="0" t="s">
        <v>28</v>
      </c>
      <c r="G9567" s="0" t="s">
        <v>29</v>
      </c>
      <c r="H9567" s="5">
        <v>19.477700</v>
      </c>
    </row>
    <row r="9568" spans="1:9">
      <c r="A9568" s="22" t="str">
        <f>HYPERLINK("https://app.vivvix.com/360/KMI/IntelliDrive/ApplUI/Pages/CreativePages/CustomReportCreativeDetail.aspx?App=23&amp;ReportView=4&amp;Qid=1711279&amp;Row=9560&amp;Col=1","No Title Assigned - #15271343233")</f>
        <v/>
      </c>
      <c r="B9568" s="0" t="s">
        <v>12850</v>
      </c>
      <c r="C9568" s="0" t="s">
        <v>12851</v>
      </c>
      <c r="D9568" s="0" t="s">
        <v>12851</v>
      </c>
      <c r="E9568" s="0" t="inlineStr">
        <is>
          <t xml:space="preserve">Mazda</t>
        </is>
      </c>
      <c r="F9568" s="0" t="s">
        <v>28</v>
      </c>
      <c r="G9568" s="0" t="s">
        <v>29</v>
      </c>
      <c r="H9568" s="5">
        <v>1.097300</v>
      </c>
    </row>
    <row r="9569" spans="1:9">
      <c r="A9569" s="22" t="str">
        <f>HYPERLINK("https://app.vivvix.com/360/KMI/IntelliDrive/ApplUI/Pages/CreativePages/CustomReportCreativeDetail.aspx?App=23&amp;ReportView=4&amp;Qid=1711279&amp;Row=9561&amp;Col=1","No Title Assigned - #15271343304")</f>
        <v/>
      </c>
      <c r="B9569" s="0" t="s">
        <v>12852</v>
      </c>
      <c r="C9569" s="0" t="s">
        <v>12853</v>
      </c>
      <c r="D9569" s="0" t="s">
        <v>12853</v>
      </c>
      <c r="E9569" s="0" t="inlineStr">
        <is>
          <t xml:space="preserve">Mazda</t>
        </is>
      </c>
      <c r="F9569" s="0" t="s">
        <v>28</v>
      </c>
      <c r="G9569" s="0" t="s">
        <v>29</v>
      </c>
      <c r="H9569" s="5">
        <v>2965.110400</v>
      </c>
    </row>
    <row r="9570" spans="1:9">
      <c r="A9570" s="22" t="str">
        <f>HYPERLINK("https://app.vivvix.com/360/KMI/IntelliDrive/ApplUI/Pages/CreativePages/CustomReportCreativeDetail.aspx?App=23&amp;ReportView=4&amp;Qid=1711279&amp;Row=9562&amp;Col=1","No Title Assigned - #15271343609")</f>
        <v/>
      </c>
      <c r="B9570" s="0" t="s">
        <v>12854</v>
      </c>
      <c r="C9570" s="0" t="s">
        <v>12855</v>
      </c>
      <c r="D9570" s="0" t="s">
        <v>12855</v>
      </c>
      <c r="E9570" s="0" t="inlineStr">
        <is>
          <t xml:space="preserve">Mazda</t>
        </is>
      </c>
      <c r="F9570" s="0" t="s">
        <v>28</v>
      </c>
      <c r="G9570" s="0" t="s">
        <v>29</v>
      </c>
      <c r="H9570" s="5">
        <v>53.077900</v>
      </c>
    </row>
    <row r="9571" spans="1:9">
      <c r="A9571" s="22" t="str">
        <f>HYPERLINK("https://app.vivvix.com/360/KMI/IntelliDrive/ApplUI/Pages/CreativePages/CustomReportCreativeDetail.aspx?App=23&amp;ReportView=4&amp;Qid=1711279&amp;Row=9563&amp;Col=1","No Title Assigned - #15271343846")</f>
        <v/>
      </c>
      <c r="B9571" s="0" t="s">
        <v>12856</v>
      </c>
      <c r="E9571" s="0" t="inlineStr">
        <is>
          <t xml:space="preserve">Mazda</t>
        </is>
      </c>
      <c r="F9571" s="0" t="inlineStr">
        <is>
          <t xml:space="preserve">Mazda</t>
        </is>
      </c>
      <c r="G9571" s="0" t="s">
        <v>171</v>
      </c>
      <c r="H9571" s="5">
        <v>12.154100</v>
      </c>
    </row>
    <row r="9572" spans="1:9">
      <c r="A9572" s="22" t="str">
        <f>HYPERLINK("https://app.vivvix.com/360/KMI/IntelliDrive/ApplUI/Pages/CreativePages/CustomReportCreativeDetail.aspx?App=23&amp;ReportView=4&amp;Qid=1711279&amp;Row=9564&amp;Col=1","No Title Assigned - #15271344459")</f>
        <v/>
      </c>
      <c r="B9572" s="0" t="s">
        <v>12857</v>
      </c>
      <c r="C9572" s="0" t="s">
        <v>12858</v>
      </c>
      <c r="D9572" s="0" t="s">
        <v>12858</v>
      </c>
      <c r="E9572" s="0" t="inlineStr">
        <is>
          <t xml:space="preserve">Mazda</t>
        </is>
      </c>
      <c r="F9572" s="0" t="s">
        <v>28</v>
      </c>
      <c r="G9572" s="0" t="s">
        <v>29</v>
      </c>
      <c r="H9572" s="5">
        <v>444.318200</v>
      </c>
    </row>
    <row r="9573" spans="1:9">
      <c r="A9573" s="22" t="str">
        <f>HYPERLINK("https://app.vivvix.com/360/KMI/IntelliDrive/ApplUI/Pages/CreativePages/CustomReportCreativeDetail.aspx?App=23&amp;ReportView=4&amp;Qid=1711279&amp;Row=9565&amp;Col=1","No Title Assigned - #15271344459")</f>
        <v/>
      </c>
      <c r="B9573" s="0" t="s">
        <v>12857</v>
      </c>
      <c r="E9573" s="0" t="inlineStr">
        <is>
          <t xml:space="preserve">Mazda</t>
        </is>
      </c>
      <c r="F9573" s="0" t="s">
        <v>28</v>
      </c>
      <c r="G9573" s="0" t="s">
        <v>29</v>
      </c>
      <c r="H9573" s="5">
        <v>2.195600</v>
      </c>
    </row>
    <row r="9574" spans="1:9">
      <c r="A9574" s="22" t="str">
        <f>HYPERLINK("https://app.vivvix.com/360/KMI/IntelliDrive/ApplUI/Pages/CreativePages/CustomReportCreativeDetail.aspx?App=23&amp;ReportView=4&amp;Qid=1711279&amp;Row=9566&amp;Col=1","No Title Assigned - #15271345103")</f>
        <v/>
      </c>
      <c r="B9574" s="0" t="s">
        <v>12859</v>
      </c>
      <c r="C9574" s="0" t="s">
        <v>12860</v>
      </c>
      <c r="D9574" s="0" t="s">
        <v>12860</v>
      </c>
      <c r="E9574" s="0" t="inlineStr">
        <is>
          <t xml:space="preserve">Mazda</t>
        </is>
      </c>
      <c r="F9574" s="0" t="s">
        <v>28</v>
      </c>
      <c r="G9574" s="0" t="s">
        <v>29</v>
      </c>
      <c r="H9574" s="5">
        <v>970.049600</v>
      </c>
    </row>
    <row r="9575" spans="1:9">
      <c r="A9575" s="22" t="str">
        <f>HYPERLINK("https://app.vivvix.com/360/KMI/IntelliDrive/ApplUI/Pages/CreativePages/CustomReportCreativeDetail.aspx?App=23&amp;ReportView=4&amp;Qid=1711279&amp;Row=9567&amp;Col=1","No Title Assigned - #15271345106")</f>
        <v/>
      </c>
      <c r="B9575" s="0" t="s">
        <v>12861</v>
      </c>
      <c r="C9575" s="0" t="s">
        <v>12862</v>
      </c>
      <c r="D9575" s="0" t="s">
        <v>12862</v>
      </c>
      <c r="E9575" s="0" t="inlineStr">
        <is>
          <t xml:space="preserve">Mazda</t>
        </is>
      </c>
      <c r="F9575" s="0" t="s">
        <v>28</v>
      </c>
      <c r="G9575" s="0" t="s">
        <v>29</v>
      </c>
      <c r="H9575" s="5">
        <v>485.024800</v>
      </c>
    </row>
    <row r="9576" spans="1:9">
      <c r="A9576" s="22" t="str">
        <f>HYPERLINK("https://app.vivvix.com/360/KMI/IntelliDrive/ApplUI/Pages/CreativePages/CustomReportCreativeDetail.aspx?App=23&amp;ReportView=4&amp;Qid=1711279&amp;Row=9568&amp;Col=1","No Title Assigned - #15271345142")</f>
        <v/>
      </c>
      <c r="B9576" s="0" t="s">
        <v>12863</v>
      </c>
      <c r="C9576" s="0" t="s">
        <v>12864</v>
      </c>
      <c r="D9576" s="0" t="s">
        <v>12864</v>
      </c>
      <c r="E9576" s="0" t="inlineStr">
        <is>
          <t xml:space="preserve">Mazda</t>
        </is>
      </c>
      <c r="F9576" s="0" t="s">
        <v>13</v>
      </c>
      <c r="G9576" s="0" t="s">
        <v>49</v>
      </c>
      <c r="H9576" s="5">
        <v>10466.793000</v>
      </c>
    </row>
    <row r="9577" spans="1:9">
      <c r="A9577" s="22" t="str">
        <f>HYPERLINK("https://app.vivvix.com/360/KMI/IntelliDrive/ApplUI/Pages/CreativePages/CustomReportCreativeDetail.aspx?App=23&amp;ReportView=4&amp;Qid=1711279&amp;Row=9569&amp;Col=1","No Title Assigned - #15271345248")</f>
        <v/>
      </c>
      <c r="B9577" s="0" t="s">
        <v>12865</v>
      </c>
      <c r="C9577" s="0" t="s">
        <v>12866</v>
      </c>
      <c r="D9577" s="0" t="s">
        <v>12866</v>
      </c>
      <c r="E9577" s="0" t="inlineStr">
        <is>
          <t xml:space="preserve">Mazda</t>
        </is>
      </c>
      <c r="F9577" s="0" t="s">
        <v>28</v>
      </c>
      <c r="G9577" s="0" t="s">
        <v>29</v>
      </c>
      <c r="H9577" s="5">
        <v>10498.229400</v>
      </c>
    </row>
    <row r="9578" spans="1:9">
      <c r="A9578" s="22" t="str">
        <f>HYPERLINK("https://app.vivvix.com/360/KMI/IntelliDrive/ApplUI/Pages/CreativePages/CustomReportCreativeDetail.aspx?App=23&amp;ReportView=4&amp;Qid=1711279&amp;Row=9570&amp;Col=1","No Title Assigned - #15271345672")</f>
        <v/>
      </c>
      <c r="B9578" s="0" t="s">
        <v>12867</v>
      </c>
      <c r="C9578" s="0" t="s">
        <v>12868</v>
      </c>
      <c r="D9578" s="0" t="s">
        <v>12868</v>
      </c>
      <c r="E9578" s="0" t="inlineStr">
        <is>
          <t xml:space="preserve">Mazda</t>
        </is>
      </c>
      <c r="F9578" s="0" t="s">
        <v>28</v>
      </c>
      <c r="G9578" s="0" t="s">
        <v>29</v>
      </c>
      <c r="H9578" s="5">
        <v>33.159600</v>
      </c>
    </row>
    <row r="9579" spans="1:9">
      <c r="A9579" s="22" t="str">
        <f>HYPERLINK("https://app.vivvix.com/360/KMI/IntelliDrive/ApplUI/Pages/CreativePages/CustomReportCreativeDetail.aspx?App=23&amp;ReportView=4&amp;Qid=1711279&amp;Row=9571&amp;Col=1","No Title Assigned - #15271345690")</f>
        <v/>
      </c>
      <c r="B9579" s="0" t="s">
        <v>12869</v>
      </c>
      <c r="E9579" s="0" t="inlineStr">
        <is>
          <t xml:space="preserve">Mazda</t>
        </is>
      </c>
      <c r="F9579" s="0" t="inlineStr">
        <is>
          <t xml:space="preserve">Mazda</t>
        </is>
      </c>
      <c r="G9579" s="0" t="s">
        <v>171</v>
      </c>
      <c r="H9579" s="5">
        <v>211.843100</v>
      </c>
    </row>
    <row r="9580" spans="1:9">
      <c r="A9580" s="22" t="str">
        <f>HYPERLINK("https://app.vivvix.com/360/KMI/IntelliDrive/ApplUI/Pages/CreativePages/CustomReportCreativeDetail.aspx?App=23&amp;ReportView=4&amp;Qid=1711279&amp;Row=9572&amp;Col=1","No Title Assigned - #15271345724")</f>
        <v/>
      </c>
      <c r="B9580" s="0" t="s">
        <v>12870</v>
      </c>
      <c r="C9580" s="0" t="s">
        <v>12871</v>
      </c>
      <c r="D9580" s="0" t="s">
        <v>4200</v>
      </c>
      <c r="E9580" s="0" t="inlineStr">
        <is>
          <t xml:space="preserve">Mazda</t>
        </is>
      </c>
      <c r="F9580" s="0" t="s">
        <v>28</v>
      </c>
      <c r="G9580" s="0" t="s">
        <v>29</v>
      </c>
      <c r="H9580" s="5">
        <v>5.859500</v>
      </c>
    </row>
    <row r="9581" spans="1:9">
      <c r="A9581" s="22" t="str">
        <f>HYPERLINK("https://app.vivvix.com/360/KMI/IntelliDrive/ApplUI/Pages/CreativePages/CustomReportCreativeDetail.aspx?App=23&amp;ReportView=4&amp;Qid=1711279&amp;Row=9573&amp;Col=1","No Title Assigned - #15271345901")</f>
        <v/>
      </c>
      <c r="B9581" s="0" t="s">
        <v>12872</v>
      </c>
      <c r="C9581" s="0" t="s">
        <v>12873</v>
      </c>
      <c r="D9581" s="0" t="s">
        <v>4424</v>
      </c>
      <c r="E9581" s="0" t="inlineStr">
        <is>
          <t xml:space="preserve">Mazda</t>
        </is>
      </c>
      <c r="F9581" s="0" t="s">
        <v>28</v>
      </c>
      <c r="G9581" s="0" t="s">
        <v>29</v>
      </c>
      <c r="H9581" s="5">
        <v>33.170800</v>
      </c>
    </row>
    <row r="9582" spans="1:9">
      <c r="A9582" s="22" t="str">
        <f>HYPERLINK("https://app.vivvix.com/360/KMI/IntelliDrive/ApplUI/Pages/CreativePages/CustomReportCreativeDetail.aspx?App=23&amp;ReportView=4&amp;Qid=1711279&amp;Row=9574&amp;Col=1","No Title Assigned - #15271346241")</f>
        <v/>
      </c>
      <c r="B9582" s="0" t="s">
        <v>12874</v>
      </c>
      <c r="C9582" s="0" t="s">
        <v>12875</v>
      </c>
      <c r="D9582" s="0" t="s">
        <v>12875</v>
      </c>
      <c r="E9582" s="0" t="inlineStr">
        <is>
          <t xml:space="preserve">Mazda</t>
        </is>
      </c>
      <c r="F9582" s="0" t="s">
        <v>28</v>
      </c>
      <c r="G9582" s="0" t="s">
        <v>29</v>
      </c>
      <c r="H9582" s="5">
        <v>24940.134800</v>
      </c>
    </row>
    <row r="9583" spans="1:9">
      <c r="A9583" s="22" t="str">
        <f>HYPERLINK("https://app.vivvix.com/360/KMI/IntelliDrive/ApplUI/Pages/CreativePages/CustomReportCreativeDetail.aspx?App=23&amp;ReportView=4&amp;Qid=1711279&amp;Row=9575&amp;Col=1","No Title Assigned - #15271346257")</f>
        <v/>
      </c>
      <c r="B9583" s="0" t="s">
        <v>12876</v>
      </c>
      <c r="C9583" s="0" t="s">
        <v>12877</v>
      </c>
      <c r="D9583" s="0" t="s">
        <v>12877</v>
      </c>
      <c r="E9583" s="0" t="inlineStr">
        <is>
          <t xml:space="preserve">Mazda</t>
        </is>
      </c>
      <c r="F9583" s="0" t="s">
        <v>28</v>
      </c>
      <c r="G9583" s="0" t="s">
        <v>29</v>
      </c>
      <c r="H9583" s="5">
        <v>578.622600</v>
      </c>
    </row>
    <row r="9584" spans="1:9">
      <c r="A9584" s="22" t="str">
        <f>HYPERLINK("https://app.vivvix.com/360/KMI/IntelliDrive/ApplUI/Pages/CreativePages/CustomReportCreativeDetail.aspx?App=23&amp;ReportView=4&amp;Qid=1711279&amp;Row=9576&amp;Col=1","No Title Assigned - #15271346561")</f>
        <v/>
      </c>
      <c r="B9584" s="0" t="s">
        <v>12878</v>
      </c>
      <c r="C9584" s="0" t="s">
        <v>12879</v>
      </c>
      <c r="D9584" s="0" t="s">
        <v>6656</v>
      </c>
      <c r="E9584" s="0" t="inlineStr">
        <is>
          <t xml:space="preserve">Mazda</t>
        </is>
      </c>
      <c r="F9584" s="0" t="s">
        <v>28</v>
      </c>
      <c r="G9584" s="0" t="s">
        <v>29</v>
      </c>
      <c r="H9584" s="5">
        <v>316.258400</v>
      </c>
    </row>
    <row r="9585" spans="1:9">
      <c r="A9585" s="22" t="str">
        <f>HYPERLINK("https://app.vivvix.com/360/KMI/IntelliDrive/ApplUI/Pages/CreativePages/CustomReportCreativeDetail.aspx?App=23&amp;ReportView=4&amp;Qid=1711279&amp;Row=9577&amp;Col=1","No Title Assigned - #15271347023")</f>
        <v/>
      </c>
      <c r="B9585" s="0" t="s">
        <v>12880</v>
      </c>
      <c r="C9585" s="0" t="s">
        <v>12881</v>
      </c>
      <c r="D9585" s="0" t="s">
        <v>12881</v>
      </c>
      <c r="E9585" s="0" t="inlineStr">
        <is>
          <t xml:space="preserve">Mazda</t>
        </is>
      </c>
      <c r="F9585" s="0" t="s">
        <v>28</v>
      </c>
      <c r="G9585" s="0" t="s">
        <v>29</v>
      </c>
      <c r="H9585" s="5">
        <v>1.836000</v>
      </c>
    </row>
    <row r="9586" spans="1:9">
      <c r="A9586" s="22" t="str">
        <f>HYPERLINK("https://app.vivvix.com/360/KMI/IntelliDrive/ApplUI/Pages/CreativePages/CustomReportCreativeDetail.aspx?App=23&amp;ReportView=4&amp;Qid=1711279&amp;Row=9578&amp;Col=1","No Title Assigned - #15271347545")</f>
        <v/>
      </c>
      <c r="B9586" s="0" t="s">
        <v>12882</v>
      </c>
      <c r="C9586" s="0" t="s">
        <v>12883</v>
      </c>
      <c r="D9586" s="0" t="s">
        <v>12883</v>
      </c>
      <c r="E9586" s="0" t="inlineStr">
        <is>
          <t xml:space="preserve">Mazda</t>
        </is>
      </c>
      <c r="F9586" s="0" t="s">
        <v>28</v>
      </c>
      <c r="G9586" s="0" t="s">
        <v>29</v>
      </c>
      <c r="H9586" s="5">
        <v>41.641900</v>
      </c>
    </row>
    <row r="9587" spans="1:9">
      <c r="A9587" s="22" t="str">
        <f>HYPERLINK("https://app.vivvix.com/360/KMI/IntelliDrive/ApplUI/Pages/CreativePages/CustomReportCreativeDetail.aspx?App=23&amp;ReportView=4&amp;Qid=1711279&amp;Row=9579&amp;Col=1","No Title Assigned - #15271347589")</f>
        <v/>
      </c>
      <c r="B9587" s="0" t="s">
        <v>12884</v>
      </c>
      <c r="C9587" s="0" t="s">
        <v>12885</v>
      </c>
      <c r="D9587" s="0" t="s">
        <v>12885</v>
      </c>
      <c r="E9587" s="0" t="inlineStr">
        <is>
          <t xml:space="preserve">Mazda</t>
        </is>
      </c>
      <c r="F9587" s="0" t="s">
        <v>28</v>
      </c>
      <c r="G9587" s="0" t="s">
        <v>29</v>
      </c>
      <c r="H9587" s="5">
        <v>88.477200</v>
      </c>
    </row>
    <row r="9588" spans="1:9">
      <c r="A9588" s="22" t="str">
        <f>HYPERLINK("https://app.vivvix.com/360/KMI/IntelliDrive/ApplUI/Pages/CreativePages/CustomReportCreativeDetail.aspx?App=23&amp;ReportView=4&amp;Qid=1711279&amp;Row=9580&amp;Col=1","No Title Assigned - #15271347871")</f>
        <v/>
      </c>
      <c r="B9588" s="0" t="s">
        <v>12886</v>
      </c>
      <c r="E9588" s="0" t="inlineStr">
        <is>
          <t xml:space="preserve">Mazda</t>
        </is>
      </c>
      <c r="F9588" s="0" t="inlineStr">
        <is>
          <t xml:space="preserve">Mazda</t>
        </is>
      </c>
      <c r="G9588" s="0" t="s">
        <v>171</v>
      </c>
      <c r="H9588" s="5">
        <v>75.357700</v>
      </c>
    </row>
    <row r="9589" spans="1:9">
      <c r="A9589" s="22" t="str">
        <f>HYPERLINK("https://app.vivvix.com/360/KMI/IntelliDrive/ApplUI/Pages/CreativePages/CustomReportCreativeDetail.aspx?App=23&amp;ReportView=4&amp;Qid=1711279&amp;Row=9581&amp;Col=1","No Title Assigned - #15271348353")</f>
        <v/>
      </c>
      <c r="B9589" s="0" t="s">
        <v>12887</v>
      </c>
      <c r="C9589" s="0" t="s">
        <v>12888</v>
      </c>
      <c r="D9589" s="0" t="s">
        <v>4450</v>
      </c>
      <c r="E9589" s="0" t="inlineStr">
        <is>
          <t xml:space="preserve">Mazda</t>
        </is>
      </c>
      <c r="F9589" s="0" t="s">
        <v>28</v>
      </c>
      <c r="G9589" s="0" t="s">
        <v>29</v>
      </c>
      <c r="H9589" s="5">
        <v>11.725900</v>
      </c>
    </row>
    <row r="9590" spans="1:9">
      <c r="A9590" s="22" t="str">
        <f>HYPERLINK("https://app.vivvix.com/360/KMI/IntelliDrive/ApplUI/Pages/CreativePages/CustomReportCreativeDetail.aspx?App=23&amp;ReportView=4&amp;Qid=1711279&amp;Row=9582&amp;Col=1","No Title Assigned - #15271348855")</f>
        <v/>
      </c>
      <c r="B9590" s="0" t="s">
        <v>12889</v>
      </c>
      <c r="C9590" s="0" t="s">
        <v>12890</v>
      </c>
      <c r="D9590" s="0" t="s">
        <v>12890</v>
      </c>
      <c r="E9590" s="0" t="inlineStr">
        <is>
          <t xml:space="preserve">Mazda</t>
        </is>
      </c>
      <c r="F9590" s="0" t="s">
        <v>28</v>
      </c>
      <c r="G9590" s="0" t="s">
        <v>29</v>
      </c>
      <c r="H9590" s="5">
        <v>967.157500</v>
      </c>
    </row>
    <row r="9591" spans="1:9">
      <c r="A9591" s="22" t="str">
        <f>HYPERLINK("https://app.vivvix.com/360/KMI/IntelliDrive/ApplUI/Pages/CreativePages/CustomReportCreativeDetail.aspx?App=23&amp;ReportView=4&amp;Qid=1711279&amp;Row=9583&amp;Col=1","No Title Assigned - #15271348855")</f>
        <v/>
      </c>
      <c r="B9591" s="0" t="s">
        <v>12889</v>
      </c>
      <c r="E9591" s="0" t="inlineStr">
        <is>
          <t xml:space="preserve">Mazda</t>
        </is>
      </c>
      <c r="F9591" s="0" t="s">
        <v>28</v>
      </c>
      <c r="G9591" s="0" t="s">
        <v>29</v>
      </c>
      <c r="H9591" s="5">
        <v>1.072900</v>
      </c>
    </row>
    <row r="9592" spans="1:9">
      <c r="A9592" s="22" t="str">
        <f>HYPERLINK("https://app.vivvix.com/360/KMI/IntelliDrive/ApplUI/Pages/CreativePages/CustomReportCreativeDetail.aspx?App=23&amp;ReportView=4&amp;Qid=1711279&amp;Row=9584&amp;Col=1","No Title Assigned - #15271348902")</f>
        <v/>
      </c>
      <c r="B9592" s="0" t="s">
        <v>12891</v>
      </c>
      <c r="C9592" s="0" t="s">
        <v>12892</v>
      </c>
      <c r="D9592" s="0" t="s">
        <v>4204</v>
      </c>
      <c r="E9592" s="0" t="inlineStr">
        <is>
          <t xml:space="preserve">Mazda</t>
        </is>
      </c>
      <c r="F9592" s="0" t="s">
        <v>28</v>
      </c>
      <c r="G9592" s="0" t="s">
        <v>29</v>
      </c>
      <c r="H9592" s="5">
        <v>7.124800</v>
      </c>
    </row>
    <row r="9593" spans="1:9">
      <c r="A9593" s="22" t="str">
        <f>HYPERLINK("https://app.vivvix.com/360/KMI/IntelliDrive/ApplUI/Pages/CreativePages/CustomReportCreativeDetail.aspx?App=23&amp;ReportView=4&amp;Qid=1711279&amp;Row=9585&amp;Col=1","No Title Assigned - #15271348978")</f>
        <v/>
      </c>
      <c r="B9593" s="0" t="s">
        <v>12893</v>
      </c>
      <c r="C9593" s="0" t="s">
        <v>12894</v>
      </c>
      <c r="D9593" s="0" t="s">
        <v>12894</v>
      </c>
      <c r="E9593" s="0" t="inlineStr">
        <is>
          <t xml:space="preserve">Mazda</t>
        </is>
      </c>
      <c r="F9593" s="0" t="inlineStr">
        <is>
          <t xml:space="preserve">Mazda</t>
        </is>
      </c>
      <c r="G9593" s="0" t="s">
        <v>1992</v>
      </c>
      <c r="H9593" s="5">
        <v>10750.401400</v>
      </c>
    </row>
    <row r="9594" spans="1:9">
      <c r="A9594" s="22" t="str">
        <f>HYPERLINK("https://app.vivvix.com/360/KMI/IntelliDrive/ApplUI/Pages/CreativePages/CustomReportCreativeDetail.aspx?App=23&amp;ReportView=4&amp;Qid=1711279&amp;Row=9586&amp;Col=1","No Title Assigned - #15271349046")</f>
        <v/>
      </c>
      <c r="B9594" s="0" t="s">
        <v>12895</v>
      </c>
      <c r="E9594" s="0" t="inlineStr">
        <is>
          <t xml:space="preserve">Mazda</t>
        </is>
      </c>
      <c r="F9594" s="0" t="inlineStr">
        <is>
          <t xml:space="preserve">Mazda</t>
        </is>
      </c>
      <c r="G9594" s="0" t="s">
        <v>171</v>
      </c>
      <c r="H9594" s="5">
        <v>317.165400</v>
      </c>
    </row>
    <row r="9595" spans="1:9">
      <c r="A9595" s="22" t="str">
        <f>HYPERLINK("https://app.vivvix.com/360/KMI/IntelliDrive/ApplUI/Pages/CreativePages/CustomReportCreativeDetail.aspx?App=23&amp;ReportView=4&amp;Qid=1711279&amp;Row=9587&amp;Col=1","No Title Assigned - #15271349071")</f>
        <v/>
      </c>
      <c r="B9595" s="0" t="s">
        <v>12896</v>
      </c>
      <c r="E9595" s="0" t="inlineStr">
        <is>
          <t xml:space="preserve">Mazda</t>
        </is>
      </c>
      <c r="F9595" s="0" t="inlineStr">
        <is>
          <t xml:space="preserve">Mazda</t>
        </is>
      </c>
      <c r="G9595" s="0" t="s">
        <v>171</v>
      </c>
      <c r="H9595" s="5">
        <v>7.592200</v>
      </c>
    </row>
    <row r="9596" spans="1:9">
      <c r="A9596" s="22" t="str">
        <f>HYPERLINK("https://app.vivvix.com/360/KMI/IntelliDrive/ApplUI/Pages/CreativePages/CustomReportCreativeDetail.aspx?App=23&amp;ReportView=4&amp;Qid=1711279&amp;Row=9588&amp;Col=1","No Title Assigned - #15271349297")</f>
        <v/>
      </c>
      <c r="B9596" s="0" t="s">
        <v>12897</v>
      </c>
      <c r="E9596" s="0" t="inlineStr">
        <is>
          <t xml:space="preserve">Mazda</t>
        </is>
      </c>
      <c r="F9596" s="0" t="inlineStr">
        <is>
          <t xml:space="preserve">Mazda</t>
        </is>
      </c>
      <c r="G9596" s="0" t="s">
        <v>171</v>
      </c>
      <c r="H9596" s="5">
        <v>4.058200</v>
      </c>
    </row>
    <row r="9597" spans="1:9">
      <c r="A9597" s="22" t="str">
        <f>HYPERLINK("https://app.vivvix.com/360/KMI/IntelliDrive/ApplUI/Pages/CreativePages/CustomReportCreativeDetail.aspx?App=23&amp;ReportView=4&amp;Qid=1711279&amp;Row=9589&amp;Col=1","No Title Assigned - #15271349299")</f>
        <v/>
      </c>
      <c r="B9597" s="0" t="s">
        <v>12898</v>
      </c>
      <c r="E9597" s="0" t="inlineStr">
        <is>
          <t xml:space="preserve">Mazda</t>
        </is>
      </c>
      <c r="F9597" s="0" t="inlineStr">
        <is>
          <t xml:space="preserve">Mazda</t>
        </is>
      </c>
      <c r="G9597" s="0" t="s">
        <v>171</v>
      </c>
      <c r="H9597" s="5">
        <v>4.058200</v>
      </c>
    </row>
    <row r="9598" spans="1:9">
      <c r="A9598" s="22" t="str">
        <f>HYPERLINK("https://app.vivvix.com/360/KMI/IntelliDrive/ApplUI/Pages/CreativePages/CustomReportCreativeDetail.aspx?App=23&amp;ReportView=4&amp;Qid=1711279&amp;Row=9590&amp;Col=1","No Title Assigned - #15271349566")</f>
        <v/>
      </c>
      <c r="B9598" s="0" t="s">
        <v>12899</v>
      </c>
      <c r="E9598" s="0" t="inlineStr">
        <is>
          <t xml:space="preserve">Mazda</t>
        </is>
      </c>
      <c r="F9598" s="0" t="inlineStr">
        <is>
          <t xml:space="preserve">Mazda</t>
        </is>
      </c>
      <c r="G9598" s="0" t="s">
        <v>171</v>
      </c>
      <c r="H9598" s="5">
        <v>24.548400</v>
      </c>
    </row>
    <row r="9599" spans="1:9">
      <c r="A9599" s="22" t="str">
        <f>HYPERLINK("https://app.vivvix.com/360/KMI/IntelliDrive/ApplUI/Pages/CreativePages/CustomReportCreativeDetail.aspx?App=23&amp;ReportView=4&amp;Qid=1711279&amp;Row=9591&amp;Col=1","No Title Assigned - #15271349622")</f>
        <v/>
      </c>
      <c r="B9599" s="0" t="s">
        <v>12900</v>
      </c>
      <c r="C9599" s="0" t="s">
        <v>12901</v>
      </c>
      <c r="D9599" s="0" t="s">
        <v>4200</v>
      </c>
      <c r="E9599" s="0" t="inlineStr">
        <is>
          <t xml:space="preserve">Mazda</t>
        </is>
      </c>
      <c r="F9599" s="0" t="s">
        <v>28</v>
      </c>
      <c r="G9599" s="0" t="s">
        <v>29</v>
      </c>
      <c r="H9599" s="5">
        <v>208.590800</v>
      </c>
    </row>
    <row r="9600" spans="1:9">
      <c r="A9600" s="22" t="str">
        <f>HYPERLINK("https://app.vivvix.com/360/KMI/IntelliDrive/ApplUI/Pages/CreativePages/CustomReportCreativeDetail.aspx?App=23&amp;ReportView=4&amp;Qid=1711279&amp;Row=9592&amp;Col=1","No Title Assigned - #15271349917")</f>
        <v/>
      </c>
      <c r="B9600" s="0" t="s">
        <v>12902</v>
      </c>
      <c r="C9600" s="0" t="s">
        <v>12903</v>
      </c>
      <c r="D9600" s="0" t="s">
        <v>12903</v>
      </c>
      <c r="E9600" s="0" t="inlineStr">
        <is>
          <t xml:space="preserve">Mazda</t>
        </is>
      </c>
      <c r="F9600" s="0" t="s">
        <v>28</v>
      </c>
      <c r="G9600" s="0" t="s">
        <v>29</v>
      </c>
      <c r="H9600" s="5">
        <v>31.817500</v>
      </c>
    </row>
    <row r="9601" spans="1:9">
      <c r="A9601" s="22" t="str">
        <f>HYPERLINK("https://app.vivvix.com/360/KMI/IntelliDrive/ApplUI/Pages/CreativePages/CustomReportCreativeDetail.aspx?App=23&amp;ReportView=4&amp;Qid=1711279&amp;Row=9593&amp;Col=1","No Title Assigned - #15271349956")</f>
        <v/>
      </c>
      <c r="B9601" s="0" t="s">
        <v>12904</v>
      </c>
      <c r="C9601" s="0" t="s">
        <v>12905</v>
      </c>
      <c r="D9601" s="0" t="s">
        <v>12905</v>
      </c>
      <c r="E9601" s="0" t="inlineStr">
        <is>
          <t xml:space="preserve">Mazda</t>
        </is>
      </c>
      <c r="F9601" s="0" t="s">
        <v>28</v>
      </c>
      <c r="G9601" s="0" t="s">
        <v>29</v>
      </c>
      <c r="H9601" s="5">
        <v>335.125800</v>
      </c>
    </row>
    <row r="9602" spans="1:9">
      <c r="A9602" s="22" t="str">
        <f>HYPERLINK("https://app.vivvix.com/360/KMI/IntelliDrive/ApplUI/Pages/CreativePages/CustomReportCreativeDetail.aspx?App=23&amp;ReportView=4&amp;Qid=1711279&amp;Row=9594&amp;Col=1","No Title Assigned - #15271350018")</f>
        <v/>
      </c>
      <c r="B9602" s="0" t="s">
        <v>12906</v>
      </c>
      <c r="C9602" s="0" t="s">
        <v>12907</v>
      </c>
      <c r="D9602" s="0" t="s">
        <v>10354</v>
      </c>
      <c r="E9602" s="0" t="inlineStr">
        <is>
          <t xml:space="preserve">Mazda</t>
        </is>
      </c>
      <c r="F9602" s="0" t="s">
        <v>13</v>
      </c>
      <c r="G9602" s="0" t="s">
        <v>49</v>
      </c>
      <c r="H9602" s="5">
        <v>366.793100</v>
      </c>
    </row>
    <row r="9603" spans="1:9">
      <c r="A9603" s="22" t="str">
        <f>HYPERLINK("https://app.vivvix.com/360/KMI/IntelliDrive/ApplUI/Pages/CreativePages/CustomReportCreativeDetail.aspx?App=23&amp;ReportView=4&amp;Qid=1711279&amp;Row=9595&amp;Col=1","No Title Assigned - #15271350197")</f>
        <v/>
      </c>
      <c r="B9603" s="0" t="s">
        <v>12908</v>
      </c>
      <c r="C9603" s="0" t="s">
        <v>12909</v>
      </c>
      <c r="D9603" s="0" t="s">
        <v>12909</v>
      </c>
      <c r="E9603" s="0" t="inlineStr">
        <is>
          <t xml:space="preserve">Mazda</t>
        </is>
      </c>
      <c r="F9603" s="0" t="s">
        <v>28</v>
      </c>
      <c r="G9603" s="0" t="s">
        <v>29</v>
      </c>
      <c r="H9603" s="5">
        <v>28.401500</v>
      </c>
    </row>
    <row r="9604" spans="1:9">
      <c r="A9604" s="22" t="str">
        <f>HYPERLINK("https://app.vivvix.com/360/KMI/IntelliDrive/ApplUI/Pages/CreativePages/CustomReportCreativeDetail.aspx?App=23&amp;ReportView=4&amp;Qid=1711279&amp;Row=9596&amp;Col=1","No Title Assigned - #15271350256")</f>
        <v/>
      </c>
      <c r="B9604" s="0" t="s">
        <v>12910</v>
      </c>
      <c r="C9604" s="0" t="s">
        <v>12911</v>
      </c>
      <c r="D9604" s="0" t="s">
        <v>12911</v>
      </c>
      <c r="E9604" s="0" t="inlineStr">
        <is>
          <t xml:space="preserve">Mazda</t>
        </is>
      </c>
      <c r="F9604" s="0" t="s">
        <v>28</v>
      </c>
      <c r="G9604" s="0" t="s">
        <v>29</v>
      </c>
      <c r="H9604" s="5">
        <v>28.102700</v>
      </c>
    </row>
    <row r="9605" spans="1:9">
      <c r="A9605" s="22" t="str">
        <f>HYPERLINK("https://app.vivvix.com/360/KMI/IntelliDrive/ApplUI/Pages/CreativePages/CustomReportCreativeDetail.aspx?App=23&amp;ReportView=4&amp;Qid=1711279&amp;Row=9597&amp;Col=1","No Title Assigned - #15271350446")</f>
        <v/>
      </c>
      <c r="B9605" s="0" t="s">
        <v>12912</v>
      </c>
      <c r="C9605" s="0" t="s">
        <v>12913</v>
      </c>
      <c r="D9605" s="0" t="s">
        <v>4225</v>
      </c>
      <c r="E9605" s="0" t="inlineStr">
        <is>
          <t xml:space="preserve">Mazda</t>
        </is>
      </c>
      <c r="F9605" s="0" t="s">
        <v>28</v>
      </c>
      <c r="G9605" s="0" t="s">
        <v>29</v>
      </c>
      <c r="H9605" s="5">
        <v>76.480000</v>
      </c>
    </row>
    <row r="9606" spans="1:9">
      <c r="A9606" s="22" t="str">
        <f>HYPERLINK("https://app.vivvix.com/360/KMI/IntelliDrive/ApplUI/Pages/CreativePages/CustomReportCreativeDetail.aspx?App=23&amp;ReportView=4&amp;Qid=1711279&amp;Row=9598&amp;Col=1","No Title Assigned - #15271350873")</f>
        <v/>
      </c>
      <c r="B9606" s="0" t="s">
        <v>12914</v>
      </c>
      <c r="C9606" s="0" t="s">
        <v>12915</v>
      </c>
      <c r="D9606" s="0" t="s">
        <v>12915</v>
      </c>
      <c r="E9606" s="0" t="inlineStr">
        <is>
          <t xml:space="preserve">Mazda</t>
        </is>
      </c>
      <c r="F9606" s="0" t="s">
        <v>28</v>
      </c>
      <c r="G9606" s="0" t="s">
        <v>29</v>
      </c>
      <c r="H9606" s="5">
        <v>35.882000</v>
      </c>
    </row>
    <row r="9607" spans="1:9">
      <c r="A9607" s="22" t="str">
        <f>HYPERLINK("https://app.vivvix.com/360/KMI/IntelliDrive/ApplUI/Pages/CreativePages/CustomReportCreativeDetail.aspx?App=23&amp;ReportView=4&amp;Qid=1711279&amp;Row=9599&amp;Col=1","No Title Assigned - #15271352441")</f>
        <v/>
      </c>
      <c r="B9607" s="0" t="s">
        <v>12916</v>
      </c>
      <c r="C9607" s="0" t="s">
        <v>12917</v>
      </c>
      <c r="D9607" s="0" t="s">
        <v>12917</v>
      </c>
      <c r="E9607" s="0" t="inlineStr">
        <is>
          <t xml:space="preserve">Mazda</t>
        </is>
      </c>
      <c r="F9607" s="0" t="s">
        <v>28</v>
      </c>
      <c r="G9607" s="0" t="s">
        <v>29</v>
      </c>
      <c r="H9607" s="5">
        <v>23.477800</v>
      </c>
    </row>
    <row r="9608" spans="1:9">
      <c r="A9608" s="22" t="str">
        <f>HYPERLINK("https://app.vivvix.com/360/KMI/IntelliDrive/ApplUI/Pages/CreativePages/CustomReportCreativeDetail.aspx?App=23&amp;ReportView=4&amp;Qid=1711279&amp;Row=9600&amp;Col=1","No Title Assigned - #15271352643")</f>
        <v/>
      </c>
      <c r="B9608" s="0" t="s">
        <v>12918</v>
      </c>
      <c r="C9608" s="0" t="s">
        <v>12919</v>
      </c>
      <c r="D9608" s="0" t="s">
        <v>4202</v>
      </c>
      <c r="E9608" s="0" t="inlineStr">
        <is>
          <t xml:space="preserve">Mazda</t>
        </is>
      </c>
      <c r="F9608" s="0" t="s">
        <v>28</v>
      </c>
      <c r="G9608" s="0" t="s">
        <v>29</v>
      </c>
      <c r="H9608" s="5">
        <v>38.210300</v>
      </c>
    </row>
    <row r="9609" spans="1:9">
      <c r="A9609" s="22" t="str">
        <f>HYPERLINK("https://app.vivvix.com/360/KMI/IntelliDrive/ApplUI/Pages/CreativePages/CustomReportCreativeDetail.aspx?App=23&amp;ReportView=4&amp;Qid=1711279&amp;Row=9601&amp;Col=1","No Title Assigned - #15271353032")</f>
        <v/>
      </c>
      <c r="B9609" s="0" t="s">
        <v>12920</v>
      </c>
      <c r="E9609" s="0" t="inlineStr">
        <is>
          <t xml:space="preserve">Mazda</t>
        </is>
      </c>
      <c r="F9609" s="0" t="inlineStr">
        <is>
          <t xml:space="preserve">Mazda</t>
        </is>
      </c>
      <c r="G9609" s="0" t="s">
        <v>171</v>
      </c>
      <c r="H9609" s="5">
        <v>199.122900</v>
      </c>
    </row>
    <row r="9610" spans="1:9">
      <c r="A9610" s="22" t="str">
        <f>HYPERLINK("https://app.vivvix.com/360/KMI/IntelliDrive/ApplUI/Pages/CreativePages/CustomReportCreativeDetail.aspx?App=23&amp;ReportView=4&amp;Qid=1711279&amp;Row=9602&amp;Col=1","No Title Assigned - #15271353043")</f>
        <v/>
      </c>
      <c r="B9610" s="0" t="s">
        <v>12921</v>
      </c>
      <c r="E9610" s="0" t="inlineStr">
        <is>
          <t xml:space="preserve">Mazda</t>
        </is>
      </c>
      <c r="F9610" s="0" t="inlineStr">
        <is>
          <t xml:space="preserve">Mazda</t>
        </is>
      </c>
      <c r="G9610" s="0" t="s">
        <v>171</v>
      </c>
      <c r="H9610" s="5">
        <v>54.625400</v>
      </c>
    </row>
    <row r="9611" spans="1:9">
      <c r="A9611" s="22" t="str">
        <f>HYPERLINK("https://app.vivvix.com/360/KMI/IntelliDrive/ApplUI/Pages/CreativePages/CustomReportCreativeDetail.aspx?App=23&amp;ReportView=4&amp;Qid=1711279&amp;Row=9603&amp;Col=1","No Title Assigned - #15271353107")</f>
        <v/>
      </c>
      <c r="B9611" s="0" t="s">
        <v>12922</v>
      </c>
      <c r="E9611" s="0" t="inlineStr">
        <is>
          <t xml:space="preserve">Mazda</t>
        </is>
      </c>
      <c r="F9611" s="0" t="inlineStr">
        <is>
          <t xml:space="preserve">Mazda</t>
        </is>
      </c>
      <c r="G9611" s="0" t="s">
        <v>171</v>
      </c>
      <c r="H9611" s="5">
        <v>33.574800</v>
      </c>
    </row>
    <row r="9612" spans="1:9">
      <c r="A9612" s="22" t="str">
        <f>HYPERLINK("https://app.vivvix.com/360/KMI/IntelliDrive/ApplUI/Pages/CreativePages/CustomReportCreativeDetail.aspx?App=23&amp;ReportView=4&amp;Qid=1711279&amp;Row=9604&amp;Col=1","No Title Assigned - #15271353842")</f>
        <v/>
      </c>
      <c r="B9612" s="0" t="s">
        <v>12923</v>
      </c>
      <c r="C9612" s="0" t="s">
        <v>12924</v>
      </c>
      <c r="D9612" s="0" t="s">
        <v>12924</v>
      </c>
      <c r="E9612" s="0" t="inlineStr">
        <is>
          <t xml:space="preserve">Mazda</t>
        </is>
      </c>
      <c r="F9612" s="0" t="s">
        <v>28</v>
      </c>
      <c r="G9612" s="0" t="s">
        <v>29</v>
      </c>
      <c r="H9612" s="5">
        <v>3.591300</v>
      </c>
    </row>
    <row r="9613" spans="1:9">
      <c r="A9613" s="22" t="str">
        <f>HYPERLINK("https://app.vivvix.com/360/KMI/IntelliDrive/ApplUI/Pages/CreativePages/CustomReportCreativeDetail.aspx?App=23&amp;ReportView=4&amp;Qid=1711279&amp;Row=9605&amp;Col=1","No Title Assigned - #15271354002")</f>
        <v/>
      </c>
      <c r="B9613" s="0" t="s">
        <v>12925</v>
      </c>
      <c r="C9613" s="0" t="s">
        <v>12926</v>
      </c>
      <c r="D9613" s="0" t="s">
        <v>4202</v>
      </c>
      <c r="E9613" s="0" t="inlineStr">
        <is>
          <t xml:space="preserve">Mazda</t>
        </is>
      </c>
      <c r="F9613" s="0" t="s">
        <v>28</v>
      </c>
      <c r="G9613" s="0" t="s">
        <v>29</v>
      </c>
      <c r="H9613" s="5">
        <v>227.555600</v>
      </c>
    </row>
    <row r="9614" spans="1:9">
      <c r="A9614" s="22" t="str">
        <f>HYPERLINK("https://app.vivvix.com/360/KMI/IntelliDrive/ApplUI/Pages/CreativePages/CustomReportCreativeDetail.aspx?App=23&amp;ReportView=4&amp;Qid=1711279&amp;Row=9606&amp;Col=1","No Title Assigned - #15271354017")</f>
        <v/>
      </c>
      <c r="B9614" s="0" t="s">
        <v>12927</v>
      </c>
      <c r="C9614" s="0" t="s">
        <v>12928</v>
      </c>
      <c r="D9614" s="0" t="s">
        <v>4200</v>
      </c>
      <c r="E9614" s="0" t="inlineStr">
        <is>
          <t xml:space="preserve">Mazda</t>
        </is>
      </c>
      <c r="F9614" s="0" t="s">
        <v>28</v>
      </c>
      <c r="G9614" s="0" t="s">
        <v>29</v>
      </c>
      <c r="H9614" s="5">
        <v>6.527100</v>
      </c>
    </row>
    <row r="9615" spans="1:9">
      <c r="A9615" s="22" t="str">
        <f>HYPERLINK("https://app.vivvix.com/360/KMI/IntelliDrive/ApplUI/Pages/CreativePages/CustomReportCreativeDetail.aspx?App=23&amp;ReportView=4&amp;Qid=1711279&amp;Row=9607&amp;Col=1","No Title Assigned - #15271354265")</f>
        <v/>
      </c>
      <c r="B9615" s="0" t="s">
        <v>12929</v>
      </c>
      <c r="E9615" s="0" t="inlineStr">
        <is>
          <t xml:space="preserve">Mazda</t>
        </is>
      </c>
      <c r="F9615" s="0" t="inlineStr">
        <is>
          <t xml:space="preserve">Mazda</t>
        </is>
      </c>
      <c r="G9615" s="0" t="s">
        <v>171</v>
      </c>
      <c r="H9615" s="5">
        <v>16.176500</v>
      </c>
    </row>
    <row r="9616" spans="1:9">
      <c r="A9616" s="22" t="str">
        <f>HYPERLINK("https://app.vivvix.com/360/KMI/IntelliDrive/ApplUI/Pages/CreativePages/CustomReportCreativeDetail.aspx?App=23&amp;ReportView=4&amp;Qid=1711279&amp;Row=9608&amp;Col=1","No Title Assigned - #15271354718")</f>
        <v/>
      </c>
      <c r="B9616" s="0" t="s">
        <v>12930</v>
      </c>
      <c r="E9616" s="0" t="inlineStr">
        <is>
          <t xml:space="preserve">Mazda</t>
        </is>
      </c>
      <c r="F9616" s="0" t="inlineStr">
        <is>
          <t xml:space="preserve">Mazda</t>
        </is>
      </c>
      <c r="G9616" s="0" t="s">
        <v>171</v>
      </c>
      <c r="H9616" s="5">
        <v>76.016900</v>
      </c>
    </row>
    <row r="9617" spans="1:9">
      <c r="A9617" s="22" t="str">
        <f>HYPERLINK("https://app.vivvix.com/360/KMI/IntelliDrive/ApplUI/Pages/CreativePages/CustomReportCreativeDetail.aspx?App=23&amp;ReportView=4&amp;Qid=1711279&amp;Row=9609&amp;Col=1","No Title Assigned - #15271354873")</f>
        <v/>
      </c>
      <c r="B9617" s="0" t="s">
        <v>12931</v>
      </c>
      <c r="C9617" s="0" t="s">
        <v>12932</v>
      </c>
      <c r="D9617" s="0" t="s">
        <v>12932</v>
      </c>
      <c r="E9617" s="0" t="inlineStr">
        <is>
          <t xml:space="preserve">Mazda</t>
        </is>
      </c>
      <c r="F9617" s="0" t="s">
        <v>28</v>
      </c>
      <c r="G9617" s="0" t="s">
        <v>29</v>
      </c>
      <c r="H9617" s="5">
        <v>894.757100</v>
      </c>
    </row>
    <row r="9618" spans="1:9">
      <c r="A9618" s="22" t="str">
        <f>HYPERLINK("https://app.vivvix.com/360/KMI/IntelliDrive/ApplUI/Pages/CreativePages/CustomReportCreativeDetail.aspx?App=23&amp;ReportView=4&amp;Qid=1711279&amp;Row=9610&amp;Col=1","No Title Assigned - #15271355285")</f>
        <v/>
      </c>
      <c r="B9618" s="0" t="s">
        <v>12933</v>
      </c>
      <c r="C9618" s="0" t="s">
        <v>12934</v>
      </c>
      <c r="D9618" s="0" t="s">
        <v>12934</v>
      </c>
      <c r="E9618" s="0" t="inlineStr">
        <is>
          <t xml:space="preserve">Mazda</t>
        </is>
      </c>
      <c r="F9618" s="0" t="s">
        <v>28</v>
      </c>
      <c r="G9618" s="0" t="s">
        <v>29</v>
      </c>
      <c r="H9618" s="5">
        <v>31.754000</v>
      </c>
    </row>
    <row r="9619" spans="1:9">
      <c r="A9619" s="22" t="str">
        <f>HYPERLINK("https://app.vivvix.com/360/KMI/IntelliDrive/ApplUI/Pages/CreativePages/CustomReportCreativeDetail.aspx?App=23&amp;ReportView=4&amp;Qid=1711279&amp;Row=9611&amp;Col=1","No Title Assigned - #15271355365")</f>
        <v/>
      </c>
      <c r="B9619" s="0" t="s">
        <v>12935</v>
      </c>
      <c r="C9619" s="0" t="s">
        <v>12936</v>
      </c>
      <c r="D9619" s="0" t="s">
        <v>4208</v>
      </c>
      <c r="E9619" s="0" t="inlineStr">
        <is>
          <t xml:space="preserve">Mazda</t>
        </is>
      </c>
      <c r="F9619" s="0" t="s">
        <v>28</v>
      </c>
      <c r="G9619" s="0" t="s">
        <v>29</v>
      </c>
      <c r="H9619" s="5">
        <v>8.985300</v>
      </c>
    </row>
    <row r="9620" spans="1:9">
      <c r="A9620" s="22" t="str">
        <f>HYPERLINK("https://app.vivvix.com/360/KMI/IntelliDrive/ApplUI/Pages/CreativePages/CustomReportCreativeDetail.aspx?App=23&amp;ReportView=4&amp;Qid=1711279&amp;Row=9612&amp;Col=1","No Title Assigned - #15271355565")</f>
        <v/>
      </c>
      <c r="B9620" s="0" t="s">
        <v>12937</v>
      </c>
      <c r="C9620" s="0" t="s">
        <v>12938</v>
      </c>
      <c r="D9620" s="0" t="s">
        <v>4202</v>
      </c>
      <c r="E9620" s="0" t="inlineStr">
        <is>
          <t xml:space="preserve">Mazda</t>
        </is>
      </c>
      <c r="F9620" s="0" t="s">
        <v>28</v>
      </c>
      <c r="G9620" s="0" t="s">
        <v>29</v>
      </c>
      <c r="H9620" s="5">
        <v>31.743600</v>
      </c>
    </row>
    <row r="9621" spans="1:9">
      <c r="A9621" s="22" t="str">
        <f>HYPERLINK("https://app.vivvix.com/360/KMI/IntelliDrive/ApplUI/Pages/CreativePages/CustomReportCreativeDetail.aspx?App=23&amp;ReportView=4&amp;Qid=1711279&amp;Row=9613&amp;Col=1","No Title Assigned - #15271355782")</f>
        <v/>
      </c>
      <c r="B9621" s="0" t="s">
        <v>12939</v>
      </c>
      <c r="C9621" s="0" t="s">
        <v>12940</v>
      </c>
      <c r="D9621" s="0" t="s">
        <v>4204</v>
      </c>
      <c r="E9621" s="0" t="inlineStr">
        <is>
          <t xml:space="preserve">Mazda</t>
        </is>
      </c>
      <c r="F9621" s="0" t="s">
        <v>28</v>
      </c>
      <c r="G9621" s="0" t="s">
        <v>29</v>
      </c>
      <c r="H9621" s="5">
        <v>85.380100</v>
      </c>
    </row>
    <row r="9622" spans="1:9">
      <c r="A9622" s="22" t="str">
        <f>HYPERLINK("https://app.vivvix.com/360/KMI/IntelliDrive/ApplUI/Pages/CreativePages/CustomReportCreativeDetail.aspx?App=23&amp;ReportView=4&amp;Qid=1711279&amp;Row=9614&amp;Col=1","No Title Assigned - #15271355783")</f>
        <v/>
      </c>
      <c r="B9622" s="0" t="s">
        <v>12941</v>
      </c>
      <c r="C9622" s="0" t="s">
        <v>12942</v>
      </c>
      <c r="D9622" s="0" t="s">
        <v>4200</v>
      </c>
      <c r="E9622" s="0" t="inlineStr">
        <is>
          <t xml:space="preserve">Mazda</t>
        </is>
      </c>
      <c r="F9622" s="0" t="s">
        <v>28</v>
      </c>
      <c r="G9622" s="0" t="s">
        <v>29</v>
      </c>
      <c r="H9622" s="5">
        <v>12.942800</v>
      </c>
    </row>
    <row r="9623" spans="1:9">
      <c r="A9623" s="22" t="str">
        <f>HYPERLINK("https://app.vivvix.com/360/KMI/IntelliDrive/ApplUI/Pages/CreativePages/CustomReportCreativeDetail.aspx?App=23&amp;ReportView=4&amp;Qid=1711279&amp;Row=9615&amp;Col=1","No Title Assigned - #15271355889")</f>
        <v/>
      </c>
      <c r="B9623" s="0" t="s">
        <v>12943</v>
      </c>
      <c r="C9623" s="0" t="s">
        <v>12944</v>
      </c>
      <c r="D9623" s="0" t="s">
        <v>12944</v>
      </c>
      <c r="E9623" s="0" t="inlineStr">
        <is>
          <t xml:space="preserve">Mazda</t>
        </is>
      </c>
      <c r="F9623" s="0" t="s">
        <v>28</v>
      </c>
      <c r="G9623" s="0" t="s">
        <v>29</v>
      </c>
      <c r="H9623" s="5">
        <v>21.243100</v>
      </c>
    </row>
    <row r="9624" spans="1:9">
      <c r="A9624" s="22" t="str">
        <f>HYPERLINK("https://app.vivvix.com/360/KMI/IntelliDrive/ApplUI/Pages/CreativePages/CustomReportCreativeDetail.aspx?App=23&amp;ReportView=4&amp;Qid=1711279&amp;Row=9616&amp;Col=1","No Title Assigned - #15271356567")</f>
        <v/>
      </c>
      <c r="B9624" s="0" t="s">
        <v>12945</v>
      </c>
      <c r="C9624" s="0" t="s">
        <v>12946</v>
      </c>
      <c r="D9624" s="0" t="s">
        <v>12946</v>
      </c>
      <c r="E9624" s="0" t="inlineStr">
        <is>
          <t xml:space="preserve">Mazda</t>
        </is>
      </c>
      <c r="F9624" s="0" t="s">
        <v>28</v>
      </c>
      <c r="G9624" s="0" t="s">
        <v>29</v>
      </c>
      <c r="H9624" s="5">
        <v>45.372400</v>
      </c>
    </row>
    <row r="9625" spans="1:9">
      <c r="A9625" s="22" t="str">
        <f>HYPERLINK("https://app.vivvix.com/360/KMI/IntelliDrive/ApplUI/Pages/CreativePages/CustomReportCreativeDetail.aspx?App=23&amp;ReportView=4&amp;Qid=1711279&amp;Row=9617&amp;Col=1","No Title Assigned - #15271357057")</f>
        <v/>
      </c>
      <c r="B9625" s="0" t="s">
        <v>12947</v>
      </c>
      <c r="C9625" s="0" t="s">
        <v>12948</v>
      </c>
      <c r="D9625" s="0" t="s">
        <v>4202</v>
      </c>
      <c r="E9625" s="0" t="inlineStr">
        <is>
          <t xml:space="preserve">Mazda</t>
        </is>
      </c>
      <c r="F9625" s="0" t="s">
        <v>28</v>
      </c>
      <c r="G9625" s="0" t="s">
        <v>29</v>
      </c>
      <c r="H9625" s="5">
        <v>7.632500</v>
      </c>
    </row>
    <row r="9626" spans="1:9">
      <c r="A9626" s="22" t="str">
        <f>HYPERLINK("https://app.vivvix.com/360/KMI/IntelliDrive/ApplUI/Pages/CreativePages/CustomReportCreativeDetail.aspx?App=23&amp;ReportView=4&amp;Qid=1711279&amp;Row=9618&amp;Col=1","No Title Assigned - #15271357216")</f>
        <v/>
      </c>
      <c r="B9626" s="0" t="s">
        <v>12949</v>
      </c>
      <c r="C9626" s="0" t="s">
        <v>12950</v>
      </c>
      <c r="D9626" s="0" t="s">
        <v>12950</v>
      </c>
      <c r="E9626" s="0" t="inlineStr">
        <is>
          <t xml:space="preserve">Mazda</t>
        </is>
      </c>
      <c r="F9626" s="0" t="s">
        <v>28</v>
      </c>
      <c r="G9626" s="0" t="s">
        <v>29</v>
      </c>
      <c r="H9626" s="5">
        <v>406.286500</v>
      </c>
    </row>
    <row r="9627" spans="1:9">
      <c r="A9627" s="22" t="str">
        <f>HYPERLINK("https://app.vivvix.com/360/KMI/IntelliDrive/ApplUI/Pages/CreativePages/CustomReportCreativeDetail.aspx?App=23&amp;ReportView=4&amp;Qid=1711279&amp;Row=9619&amp;Col=1","No Title Assigned - #15271357397")</f>
        <v/>
      </c>
      <c r="B9627" s="0" t="s">
        <v>12951</v>
      </c>
      <c r="C9627" s="0" t="s">
        <v>12952</v>
      </c>
      <c r="D9627" s="0" t="s">
        <v>12952</v>
      </c>
      <c r="E9627" s="0" t="inlineStr">
        <is>
          <t xml:space="preserve">Mazda</t>
        </is>
      </c>
      <c r="F9627" s="0" t="inlineStr">
        <is>
          <t xml:space="preserve">Mazda</t>
        </is>
      </c>
      <c r="G9627" s="0" t="s">
        <v>171</v>
      </c>
      <c r="H9627" s="5">
        <v>446.559100</v>
      </c>
    </row>
    <row r="9628" spans="1:9">
      <c r="A9628" s="22" t="str">
        <f>HYPERLINK("https://app.vivvix.com/360/KMI/IntelliDrive/ApplUI/Pages/CreativePages/CustomReportCreativeDetail.aspx?App=23&amp;ReportView=4&amp;Qid=1711279&amp;Row=9620&amp;Col=1","No Title Assigned - #15271359374")</f>
        <v/>
      </c>
      <c r="B9628" s="0" t="s">
        <v>12953</v>
      </c>
      <c r="C9628" s="0" t="s">
        <v>12954</v>
      </c>
      <c r="D9628" s="0" t="s">
        <v>12954</v>
      </c>
      <c r="E9628" s="0" t="inlineStr">
        <is>
          <t xml:space="preserve">Mazda</t>
        </is>
      </c>
      <c r="F9628" s="0" t="s">
        <v>13</v>
      </c>
      <c r="G9628" s="0" t="s">
        <v>49</v>
      </c>
      <c r="H9628" s="5">
        <v>1126.940000</v>
      </c>
    </row>
    <row r="9629" spans="1:9">
      <c r="A9629" s="22" t="str">
        <f>HYPERLINK("https://app.vivvix.com/360/KMI/IntelliDrive/ApplUI/Pages/CreativePages/CustomReportCreativeDetail.aspx?App=23&amp;ReportView=4&amp;Qid=1711279&amp;Row=9621&amp;Col=1","No Title Assigned - #15271359401")</f>
        <v/>
      </c>
      <c r="B9629" s="0" t="s">
        <v>12955</v>
      </c>
      <c r="E9629" s="0" t="inlineStr">
        <is>
          <t xml:space="preserve">Mazda</t>
        </is>
      </c>
      <c r="F9629" s="0" t="inlineStr">
        <is>
          <t xml:space="preserve">Mazda</t>
        </is>
      </c>
      <c r="G9629" s="0" t="s">
        <v>171</v>
      </c>
      <c r="H9629" s="5">
        <v>30.441600</v>
      </c>
    </row>
    <row r="9630" spans="1:9">
      <c r="A9630" s="22" t="str">
        <f>HYPERLINK("https://app.vivvix.com/360/KMI/IntelliDrive/ApplUI/Pages/CreativePages/CustomReportCreativeDetail.aspx?App=23&amp;ReportView=4&amp;Qid=1711279&amp;Row=9622&amp;Col=1","No Title Assigned - #15271359409")</f>
        <v/>
      </c>
      <c r="B9630" s="0" t="s">
        <v>12956</v>
      </c>
      <c r="E9630" s="0" t="inlineStr">
        <is>
          <t xml:space="preserve">Mazda</t>
        </is>
      </c>
      <c r="F9630" s="0" t="inlineStr">
        <is>
          <t xml:space="preserve">Mazda</t>
        </is>
      </c>
      <c r="G9630" s="0" t="s">
        <v>171</v>
      </c>
      <c r="H9630" s="5">
        <v>12.154100</v>
      </c>
    </row>
    <row r="9631" spans="1:9">
      <c r="A9631" s="22" t="str">
        <f>HYPERLINK("https://app.vivvix.com/360/KMI/IntelliDrive/ApplUI/Pages/CreativePages/CustomReportCreativeDetail.aspx?App=23&amp;ReportView=4&amp;Qid=1711279&amp;Row=9623&amp;Col=1","No Title Assigned - #15271359450")</f>
        <v/>
      </c>
      <c r="B9631" s="0" t="s">
        <v>12957</v>
      </c>
      <c r="E9631" s="0" t="inlineStr">
        <is>
          <t xml:space="preserve">Mazda</t>
        </is>
      </c>
      <c r="F9631" s="0" t="inlineStr">
        <is>
          <t xml:space="preserve">Mazda</t>
        </is>
      </c>
      <c r="G9631" s="0" t="s">
        <v>171</v>
      </c>
      <c r="H9631" s="5">
        <v>82.077200</v>
      </c>
    </row>
    <row r="9632" spans="1:9">
      <c r="A9632" s="22" t="str">
        <f>HYPERLINK("https://app.vivvix.com/360/KMI/IntelliDrive/ApplUI/Pages/CreativePages/CustomReportCreativeDetail.aspx?App=23&amp;ReportView=4&amp;Qid=1711279&amp;Row=9624&amp;Col=1","No Title Assigned - #15271359450")</f>
        <v/>
      </c>
      <c r="B9632" s="0" t="s">
        <v>12957</v>
      </c>
      <c r="C9632" s="0" t="s">
        <v>12958</v>
      </c>
      <c r="D9632" s="0" t="s">
        <v>12958</v>
      </c>
      <c r="E9632" s="0" t="inlineStr">
        <is>
          <t xml:space="preserve">Mazda</t>
        </is>
      </c>
      <c r="F9632" s="0" t="inlineStr">
        <is>
          <t xml:space="preserve">Mazda</t>
        </is>
      </c>
      <c r="G9632" s="0" t="s">
        <v>171</v>
      </c>
      <c r="H9632" s="5">
        <v>29.608800</v>
      </c>
    </row>
    <row r="9633" spans="1:9">
      <c r="A9633" s="22" t="str">
        <f>HYPERLINK("https://app.vivvix.com/360/KMI/IntelliDrive/ApplUI/Pages/CreativePages/CustomReportCreativeDetail.aspx?App=23&amp;ReportView=4&amp;Qid=1711279&amp;Row=9625&amp;Col=1","No Title Assigned - #15271359478")</f>
        <v/>
      </c>
      <c r="B9633" s="0" t="s">
        <v>12959</v>
      </c>
      <c r="E9633" s="0" t="inlineStr">
        <is>
          <t xml:space="preserve">Mazda</t>
        </is>
      </c>
      <c r="F9633" s="0" t="inlineStr">
        <is>
          <t xml:space="preserve">Mazda</t>
        </is>
      </c>
      <c r="G9633" s="0" t="s">
        <v>171</v>
      </c>
      <c r="H9633" s="5">
        <v>6.898900</v>
      </c>
    </row>
    <row r="9634" spans="1:9">
      <c r="A9634" s="22" t="str">
        <f>HYPERLINK("https://app.vivvix.com/360/KMI/IntelliDrive/ApplUI/Pages/CreativePages/CustomReportCreativeDetail.aspx?App=23&amp;ReportView=4&amp;Qid=1711279&amp;Row=9626&amp;Col=1","No Title Assigned - #15271359491")</f>
        <v/>
      </c>
      <c r="B9634" s="0" t="s">
        <v>12960</v>
      </c>
      <c r="E9634" s="0" t="inlineStr">
        <is>
          <t xml:space="preserve">Mazda</t>
        </is>
      </c>
      <c r="F9634" s="0" t="inlineStr">
        <is>
          <t xml:space="preserve">Mazda</t>
        </is>
      </c>
      <c r="G9634" s="0" t="s">
        <v>171</v>
      </c>
      <c r="H9634" s="5">
        <v>7.991400</v>
      </c>
    </row>
    <row r="9635" spans="1:9">
      <c r="A9635" s="22" t="str">
        <f>HYPERLINK("https://app.vivvix.com/360/KMI/IntelliDrive/ApplUI/Pages/CreativePages/CustomReportCreativeDetail.aspx?App=23&amp;ReportView=4&amp;Qid=1711279&amp;Row=9627&amp;Col=1","No Title Assigned - #15271359544")</f>
        <v/>
      </c>
      <c r="B9635" s="0" t="s">
        <v>12961</v>
      </c>
      <c r="E9635" s="0" t="inlineStr">
        <is>
          <t xml:space="preserve">Mazda</t>
        </is>
      </c>
      <c r="F9635" s="0" t="inlineStr">
        <is>
          <t xml:space="preserve">Mazda</t>
        </is>
      </c>
      <c r="G9635" s="0" t="s">
        <v>171</v>
      </c>
      <c r="H9635" s="5">
        <v>2.061000</v>
      </c>
    </row>
    <row r="9636" spans="1:9">
      <c r="A9636" s="22" t="str">
        <f>HYPERLINK("https://app.vivvix.com/360/KMI/IntelliDrive/ApplUI/Pages/CreativePages/CustomReportCreativeDetail.aspx?App=23&amp;ReportView=4&amp;Qid=1711279&amp;Row=9628&amp;Col=1","No Title Assigned - #15271359922")</f>
        <v/>
      </c>
      <c r="B9636" s="0" t="s">
        <v>12962</v>
      </c>
      <c r="E9636" s="0" t="inlineStr">
        <is>
          <t xml:space="preserve">Mazda</t>
        </is>
      </c>
      <c r="F9636" s="0" t="inlineStr">
        <is>
          <t xml:space="preserve">Mazda</t>
        </is>
      </c>
      <c r="G9636" s="0" t="s">
        <v>171</v>
      </c>
      <c r="H9636" s="5">
        <v>1.030500</v>
      </c>
    </row>
    <row r="9637" spans="1:9">
      <c r="A9637" s="22" t="str">
        <f>HYPERLINK("https://app.vivvix.com/360/KMI/IntelliDrive/ApplUI/Pages/CreativePages/CustomReportCreativeDetail.aspx?App=23&amp;ReportView=4&amp;Qid=1711279&amp;Row=9629&amp;Col=1","No Title Assigned - #15271360316")</f>
        <v/>
      </c>
      <c r="B9637" s="0" t="s">
        <v>12963</v>
      </c>
      <c r="E9637" s="0" t="inlineStr">
        <is>
          <t xml:space="preserve">Mazda</t>
        </is>
      </c>
      <c r="F9637" s="0" t="inlineStr">
        <is>
          <t xml:space="preserve">Mazda</t>
        </is>
      </c>
      <c r="G9637" s="0" t="s">
        <v>171</v>
      </c>
      <c r="H9637" s="5">
        <v>4.763400</v>
      </c>
    </row>
    <row r="9638" spans="1:9">
      <c r="A9638" s="22" t="str">
        <f>HYPERLINK("https://app.vivvix.com/360/KMI/IntelliDrive/ApplUI/Pages/CreativePages/CustomReportCreativeDetail.aspx?App=23&amp;ReportView=4&amp;Qid=1711279&amp;Row=9630&amp;Col=1","No Title Assigned - #15271360316")</f>
        <v/>
      </c>
      <c r="B9638" s="0" t="s">
        <v>12963</v>
      </c>
      <c r="E9638" s="0" t="inlineStr">
        <is>
          <t xml:space="preserve">Mazda</t>
        </is>
      </c>
      <c r="F9638" s="0" t="inlineStr">
        <is>
          <t xml:space="preserve">Mazda</t>
        </is>
      </c>
      <c r="G9638" s="0" t="s">
        <v>171</v>
      </c>
      <c r="H9638" s="5">
        <v>82.870100</v>
      </c>
    </row>
    <row r="9639" spans="1:9">
      <c r="A9639" s="22" t="str">
        <f>HYPERLINK("https://app.vivvix.com/360/KMI/IntelliDrive/ApplUI/Pages/CreativePages/CustomReportCreativeDetail.aspx?App=23&amp;ReportView=4&amp;Qid=1711279&amp;Row=9631&amp;Col=1","No Title Assigned - #15271360364")</f>
        <v/>
      </c>
      <c r="B9639" s="0" t="s">
        <v>12964</v>
      </c>
      <c r="C9639" s="0" t="s">
        <v>12965</v>
      </c>
      <c r="D9639" s="0" t="s">
        <v>12965</v>
      </c>
      <c r="E9639" s="0" t="inlineStr">
        <is>
          <t xml:space="preserve">Mazda</t>
        </is>
      </c>
      <c r="F9639" s="0" t="inlineStr">
        <is>
          <t xml:space="preserve">Mazda</t>
        </is>
      </c>
      <c r="G9639" s="0" t="s">
        <v>171</v>
      </c>
      <c r="H9639" s="5">
        <v>13.160200</v>
      </c>
    </row>
    <row r="9640" spans="1:9">
      <c r="A9640" s="22" t="str">
        <f>HYPERLINK("https://app.vivvix.com/360/KMI/IntelliDrive/ApplUI/Pages/CreativePages/CustomReportCreativeDetail.aspx?App=23&amp;ReportView=4&amp;Qid=1711279&amp;Row=9632&amp;Col=1","No Title Assigned - #15271360506")</f>
        <v/>
      </c>
      <c r="B9640" s="0" t="s">
        <v>12966</v>
      </c>
      <c r="E9640" s="0" t="inlineStr">
        <is>
          <t xml:space="preserve">Mazda</t>
        </is>
      </c>
      <c r="F9640" s="0" t="inlineStr">
        <is>
          <t xml:space="preserve">Mazda</t>
        </is>
      </c>
      <c r="G9640" s="0" t="s">
        <v>171</v>
      </c>
      <c r="H9640" s="5">
        <v>6.125500</v>
      </c>
    </row>
    <row r="9641" spans="1:9">
      <c r="A9641" s="22" t="str">
        <f>HYPERLINK("https://app.vivvix.com/360/KMI/IntelliDrive/ApplUI/Pages/CreativePages/CustomReportCreativeDetail.aspx?App=23&amp;ReportView=4&amp;Qid=1711279&amp;Row=9633&amp;Col=1","No Title Assigned - #15271360507")</f>
        <v/>
      </c>
      <c r="B9641" s="0" t="s">
        <v>12967</v>
      </c>
      <c r="E9641" s="0" t="inlineStr">
        <is>
          <t xml:space="preserve">Mazda</t>
        </is>
      </c>
      <c r="F9641" s="0" t="inlineStr">
        <is>
          <t xml:space="preserve">Mazda</t>
        </is>
      </c>
      <c r="G9641" s="0" t="s">
        <v>171</v>
      </c>
      <c r="H9641" s="5">
        <v>6.125500</v>
      </c>
    </row>
    <row r="9642" spans="1:9">
      <c r="A9642" s="22" t="str">
        <f>HYPERLINK("https://app.vivvix.com/360/KMI/IntelliDrive/ApplUI/Pages/CreativePages/CustomReportCreativeDetail.aspx?App=23&amp;ReportView=4&amp;Qid=1711279&amp;Row=9634&amp;Col=1","No Title Assigned - #15271360720")</f>
        <v/>
      </c>
      <c r="B9642" s="0" t="s">
        <v>12968</v>
      </c>
      <c r="E9642" s="0" t="inlineStr">
        <is>
          <t xml:space="preserve">Mazda</t>
        </is>
      </c>
      <c r="F9642" s="0" t="inlineStr">
        <is>
          <t xml:space="preserve">Mazda</t>
        </is>
      </c>
      <c r="G9642" s="0" t="s">
        <v>171</v>
      </c>
      <c r="H9642" s="5">
        <v>261.112500</v>
      </c>
    </row>
    <row r="9643" spans="1:9">
      <c r="A9643" s="22" t="str">
        <f>HYPERLINK("https://app.vivvix.com/360/KMI/IntelliDrive/ApplUI/Pages/CreativePages/CustomReportCreativeDetail.aspx?App=23&amp;ReportView=4&amp;Qid=1711279&amp;Row=9635&amp;Col=1","No Title Assigned - #15271360729")</f>
        <v/>
      </c>
      <c r="B9643" s="0" t="s">
        <v>12969</v>
      </c>
      <c r="E9643" s="0" t="inlineStr">
        <is>
          <t xml:space="preserve">Mazda</t>
        </is>
      </c>
      <c r="F9643" s="0" t="inlineStr">
        <is>
          <t xml:space="preserve">Mazda</t>
        </is>
      </c>
      <c r="G9643" s="0" t="s">
        <v>171</v>
      </c>
      <c r="H9643" s="5">
        <v>45.608500</v>
      </c>
    </row>
    <row r="9644" spans="1:9">
      <c r="A9644" s="22" t="str">
        <f>HYPERLINK("https://app.vivvix.com/360/KMI/IntelliDrive/ApplUI/Pages/CreativePages/CustomReportCreativeDetail.aspx?App=23&amp;ReportView=4&amp;Qid=1711279&amp;Row=9636&amp;Col=1","No Title Assigned - #15271360832")</f>
        <v/>
      </c>
      <c r="B9644" s="0" t="s">
        <v>12970</v>
      </c>
      <c r="E9644" s="0" t="inlineStr">
        <is>
          <t xml:space="preserve">Mazda</t>
        </is>
      </c>
      <c r="F9644" s="0" t="inlineStr">
        <is>
          <t xml:space="preserve">Mazda</t>
        </is>
      </c>
      <c r="G9644" s="0" t="s">
        <v>171</v>
      </c>
      <c r="H9644" s="5">
        <v>4.377500</v>
      </c>
    </row>
    <row r="9645" spans="1:9">
      <c r="A9645" s="22" t="str">
        <f>HYPERLINK("https://app.vivvix.com/360/KMI/IntelliDrive/ApplUI/Pages/CreativePages/CustomReportCreativeDetail.aspx?App=23&amp;ReportView=4&amp;Qid=1711279&amp;Row=9637&amp;Col=1","No Title Assigned - #15271360891")</f>
        <v/>
      </c>
      <c r="B9645" s="0" t="s">
        <v>12971</v>
      </c>
      <c r="E9645" s="0" t="inlineStr">
        <is>
          <t xml:space="preserve">Mazda</t>
        </is>
      </c>
      <c r="F9645" s="0" t="inlineStr">
        <is>
          <t xml:space="preserve">Mazda</t>
        </is>
      </c>
      <c r="G9645" s="0" t="s">
        <v>171</v>
      </c>
      <c r="H9645" s="5">
        <v>13.160200</v>
      </c>
    </row>
    <row r="9646" spans="1:9">
      <c r="A9646" s="22" t="str">
        <f>HYPERLINK("https://app.vivvix.com/360/KMI/IntelliDrive/ApplUI/Pages/CreativePages/CustomReportCreativeDetail.aspx?App=23&amp;ReportView=4&amp;Qid=1711279&amp;Row=9638&amp;Col=1","No Title Assigned - #15271360938")</f>
        <v/>
      </c>
      <c r="B9646" s="0" t="s">
        <v>12972</v>
      </c>
      <c r="E9646" s="0" t="inlineStr">
        <is>
          <t xml:space="preserve">Mazda</t>
        </is>
      </c>
      <c r="F9646" s="0" t="inlineStr">
        <is>
          <t xml:space="preserve">Mazda</t>
        </is>
      </c>
      <c r="G9646" s="0" t="s">
        <v>171</v>
      </c>
      <c r="H9646" s="5">
        <v>58.644800</v>
      </c>
    </row>
    <row r="9647" spans="1:9">
      <c r="A9647" s="22" t="str">
        <f>HYPERLINK("https://app.vivvix.com/360/KMI/IntelliDrive/ApplUI/Pages/CreativePages/CustomReportCreativeDetail.aspx?App=23&amp;ReportView=4&amp;Qid=1711279&amp;Row=9639&amp;Col=1","No Title Assigned - #15271360949")</f>
        <v/>
      </c>
      <c r="B9647" s="0" t="s">
        <v>12973</v>
      </c>
      <c r="E9647" s="0" t="inlineStr">
        <is>
          <t xml:space="preserve">Mazda</t>
        </is>
      </c>
      <c r="F9647" s="0" t="inlineStr">
        <is>
          <t xml:space="preserve">Mazda</t>
        </is>
      </c>
      <c r="G9647" s="0" t="s">
        <v>171</v>
      </c>
      <c r="H9647" s="5">
        <v>902.255000</v>
      </c>
    </row>
    <row r="9648" spans="1:9">
      <c r="A9648" s="22" t="str">
        <f>HYPERLINK("https://app.vivvix.com/360/KMI/IntelliDrive/ApplUI/Pages/CreativePages/CustomReportCreativeDetail.aspx?App=23&amp;ReportView=4&amp;Qid=1711279&amp;Row=9640&amp;Col=1","No Title Assigned - #15271361721")</f>
        <v/>
      </c>
      <c r="B9648" s="0" t="s">
        <v>12974</v>
      </c>
      <c r="E9648" s="0" t="inlineStr">
        <is>
          <t xml:space="preserve">Mazda</t>
        </is>
      </c>
      <c r="F9648" s="0" t="inlineStr">
        <is>
          <t xml:space="preserve">Mazda</t>
        </is>
      </c>
      <c r="G9648" s="0" t="s">
        <v>171</v>
      </c>
      <c r="H9648" s="5">
        <v>16.162200</v>
      </c>
    </row>
    <row r="9649" spans="1:9">
      <c r="A9649" s="22" t="str">
        <f>HYPERLINK("https://app.vivvix.com/360/KMI/IntelliDrive/ApplUI/Pages/CreativePages/CustomReportCreativeDetail.aspx?App=23&amp;ReportView=4&amp;Qid=1711279&amp;Row=9641&amp;Col=1","No Title Assigned - #15271361887")</f>
        <v/>
      </c>
      <c r="B9649" s="0" t="s">
        <v>12975</v>
      </c>
      <c r="E9649" s="0" t="inlineStr">
        <is>
          <t xml:space="preserve">Mazda</t>
        </is>
      </c>
      <c r="F9649" s="0" t="inlineStr">
        <is>
          <t xml:space="preserve">Mazda</t>
        </is>
      </c>
      <c r="G9649" s="0" t="s">
        <v>171</v>
      </c>
      <c r="H9649" s="5">
        <v>160.872300</v>
      </c>
    </row>
    <row r="9650" spans="1:9">
      <c r="A9650" s="22" t="str">
        <f>HYPERLINK("https://app.vivvix.com/360/KMI/IntelliDrive/ApplUI/Pages/CreativePages/CustomReportCreativeDetail.aspx?App=23&amp;ReportView=4&amp;Qid=1711279&amp;Row=9642&amp;Col=1","No Title Assigned - #15271362414")</f>
        <v/>
      </c>
      <c r="B9650" s="0" t="s">
        <v>12976</v>
      </c>
      <c r="E9650" s="0" t="inlineStr">
        <is>
          <t xml:space="preserve">Mazda</t>
        </is>
      </c>
      <c r="F9650" s="0" t="inlineStr">
        <is>
          <t xml:space="preserve">Mazda</t>
        </is>
      </c>
      <c r="G9650" s="0" t="s">
        <v>171</v>
      </c>
      <c r="H9650" s="5">
        <v>211.929400</v>
      </c>
    </row>
    <row r="9651" spans="1:9">
      <c r="A9651" s="22" t="str">
        <f>HYPERLINK("https://app.vivvix.com/360/KMI/IntelliDrive/ApplUI/Pages/CreativePages/CustomReportCreativeDetail.aspx?App=23&amp;ReportView=4&amp;Qid=1711279&amp;Row=9643&amp;Col=1","No Title Assigned - #15271362610")</f>
        <v/>
      </c>
      <c r="B9651" s="0" t="s">
        <v>12977</v>
      </c>
      <c r="E9651" s="0" t="inlineStr">
        <is>
          <t xml:space="preserve">Mazda</t>
        </is>
      </c>
      <c r="F9651" s="0" t="inlineStr">
        <is>
          <t xml:space="preserve">Mazda</t>
        </is>
      </c>
      <c r="G9651" s="0" t="s">
        <v>171</v>
      </c>
      <c r="H9651" s="5">
        <v>30.183000</v>
      </c>
    </row>
    <row r="9652" spans="1:9">
      <c r="A9652" s="22" t="str">
        <f>HYPERLINK("https://app.vivvix.com/360/KMI/IntelliDrive/ApplUI/Pages/CreativePages/CustomReportCreativeDetail.aspx?App=23&amp;ReportView=4&amp;Qid=1711279&amp;Row=9644&amp;Col=1","No Title Assigned - #15271362900")</f>
        <v/>
      </c>
      <c r="B9652" s="0" t="s">
        <v>12978</v>
      </c>
      <c r="E9652" s="0" t="inlineStr">
        <is>
          <t xml:space="preserve">Mazda</t>
        </is>
      </c>
      <c r="F9652" s="0" t="inlineStr">
        <is>
          <t xml:space="preserve">Mazda</t>
        </is>
      </c>
      <c r="G9652" s="0" t="s">
        <v>171</v>
      </c>
      <c r="H9652" s="5">
        <v>20.060900</v>
      </c>
    </row>
    <row r="9653" spans="1:9">
      <c r="A9653" s="22" t="str">
        <f>HYPERLINK("https://app.vivvix.com/360/KMI/IntelliDrive/ApplUI/Pages/CreativePages/CustomReportCreativeDetail.aspx?App=23&amp;ReportView=4&amp;Qid=1711279&amp;Row=9645&amp;Col=1","No Title Assigned - #15271362975")</f>
        <v/>
      </c>
      <c r="B9653" s="0" t="s">
        <v>12979</v>
      </c>
      <c r="E9653" s="0" t="inlineStr">
        <is>
          <t xml:space="preserve">Mazda</t>
        </is>
      </c>
      <c r="F9653" s="0" t="inlineStr">
        <is>
          <t xml:space="preserve">Mazda</t>
        </is>
      </c>
      <c r="G9653" s="0" t="s">
        <v>171</v>
      </c>
      <c r="H9653" s="5">
        <v>189.244700</v>
      </c>
    </row>
    <row r="9654" spans="1:9">
      <c r="A9654" s="22" t="str">
        <f>HYPERLINK("https://app.vivvix.com/360/KMI/IntelliDrive/ApplUI/Pages/CreativePages/CustomReportCreativeDetail.aspx?App=23&amp;ReportView=4&amp;Qid=1711279&amp;Row=9646&amp;Col=1","No Title Assigned - #15271363185")</f>
        <v/>
      </c>
      <c r="B9654" s="0" t="s">
        <v>12980</v>
      </c>
      <c r="C9654" s="0" t="s">
        <v>12981</v>
      </c>
      <c r="D9654" s="0" t="s">
        <v>12981</v>
      </c>
      <c r="E9654" s="0" t="inlineStr">
        <is>
          <t xml:space="preserve">Mazda</t>
        </is>
      </c>
      <c r="F9654" s="0" t="inlineStr">
        <is>
          <t xml:space="preserve">Mazda</t>
        </is>
      </c>
      <c r="G9654" s="0" t="s">
        <v>171</v>
      </c>
      <c r="H9654" s="5">
        <v>450.666800</v>
      </c>
    </row>
    <row r="9655" spans="1:9">
      <c r="A9655" s="22" t="str">
        <f>HYPERLINK("https://app.vivvix.com/360/KMI/IntelliDrive/ApplUI/Pages/CreativePages/CustomReportCreativeDetail.aspx?App=23&amp;ReportView=4&amp;Qid=1711279&amp;Row=9647&amp;Col=1","No Title Assigned - #15271363315")</f>
        <v/>
      </c>
      <c r="B9655" s="0" t="s">
        <v>12982</v>
      </c>
      <c r="E9655" s="0" t="inlineStr">
        <is>
          <t xml:space="preserve">Mazda</t>
        </is>
      </c>
      <c r="F9655" s="0" t="inlineStr">
        <is>
          <t xml:space="preserve">Mazda</t>
        </is>
      </c>
      <c r="G9655" s="0" t="s">
        <v>171</v>
      </c>
      <c r="H9655" s="5">
        <v>2.140300</v>
      </c>
    </row>
    <row r="9656" spans="1:9">
      <c r="A9656" s="22" t="str">
        <f>HYPERLINK("https://app.vivvix.com/360/KMI/IntelliDrive/ApplUI/Pages/CreativePages/CustomReportCreativeDetail.aspx?App=23&amp;ReportView=4&amp;Qid=1711279&amp;Row=9648&amp;Col=1","No Title Assigned - #15271364051")</f>
        <v/>
      </c>
      <c r="B9656" s="0" t="s">
        <v>12983</v>
      </c>
      <c r="E9656" s="0" t="inlineStr">
        <is>
          <t xml:space="preserve">Mazda</t>
        </is>
      </c>
      <c r="F9656" s="0" t="inlineStr">
        <is>
          <t xml:space="preserve">Mazda</t>
        </is>
      </c>
      <c r="G9656" s="0" t="s">
        <v>171</v>
      </c>
      <c r="H9656" s="5">
        <v>92.716100</v>
      </c>
    </row>
    <row r="9657" spans="1:9">
      <c r="A9657" s="22" t="str">
        <f>HYPERLINK("https://app.vivvix.com/360/KMI/IntelliDrive/ApplUI/Pages/CreativePages/CustomReportCreativeDetail.aspx?App=23&amp;ReportView=4&amp;Qid=1711279&amp;Row=9649&amp;Col=1","No Title Assigned - #15271364430")</f>
        <v/>
      </c>
      <c r="B9657" s="0" t="s">
        <v>12984</v>
      </c>
      <c r="E9657" s="0" t="inlineStr">
        <is>
          <t xml:space="preserve">Mazda</t>
        </is>
      </c>
      <c r="F9657" s="0" t="inlineStr">
        <is>
          <t xml:space="preserve">Mazda</t>
        </is>
      </c>
      <c r="G9657" s="0" t="s">
        <v>171</v>
      </c>
      <c r="H9657" s="5">
        <v>42.043600</v>
      </c>
    </row>
    <row r="9658" spans="1:9">
      <c r="A9658" s="22" t="str">
        <f>HYPERLINK("https://app.vivvix.com/360/KMI/IntelliDrive/ApplUI/Pages/CreativePages/CustomReportCreativeDetail.aspx?App=23&amp;ReportView=4&amp;Qid=1711279&amp;Row=9650&amp;Col=1","No Title Assigned - #15271364545")</f>
        <v/>
      </c>
      <c r="B9658" s="0" t="s">
        <v>12985</v>
      </c>
      <c r="E9658" s="0" t="inlineStr">
        <is>
          <t xml:space="preserve">Mazda</t>
        </is>
      </c>
      <c r="F9658" s="0" t="inlineStr">
        <is>
          <t xml:space="preserve">Mazda</t>
        </is>
      </c>
      <c r="G9658" s="0" t="s">
        <v>171</v>
      </c>
      <c r="H9658" s="5">
        <v>16.660200</v>
      </c>
    </row>
    <row r="9659" spans="1:9">
      <c r="A9659" s="22" t="str">
        <f>HYPERLINK("https://app.vivvix.com/360/KMI/IntelliDrive/ApplUI/Pages/CreativePages/CustomReportCreativeDetail.aspx?App=23&amp;ReportView=4&amp;Qid=1711279&amp;Row=9651&amp;Col=1","No Title Assigned - #15271364843")</f>
        <v/>
      </c>
      <c r="B9659" s="0" t="s">
        <v>12986</v>
      </c>
      <c r="E9659" s="0" t="inlineStr">
        <is>
          <t xml:space="preserve">Mazda</t>
        </is>
      </c>
      <c r="F9659" s="0" t="inlineStr">
        <is>
          <t xml:space="preserve">Mazda</t>
        </is>
      </c>
      <c r="G9659" s="0" t="s">
        <v>171</v>
      </c>
      <c r="H9659" s="5">
        <v>738.233400</v>
      </c>
    </row>
    <row r="9660" spans="1:9">
      <c r="A9660" s="22" t="str">
        <f>HYPERLINK("https://app.vivvix.com/360/KMI/IntelliDrive/ApplUI/Pages/CreativePages/CustomReportCreativeDetail.aspx?App=23&amp;ReportView=4&amp;Qid=1711279&amp;Row=9652&amp;Col=1","No Title Assigned - #15271364897")</f>
        <v/>
      </c>
      <c r="B9660" s="0" t="s">
        <v>12987</v>
      </c>
      <c r="E9660" s="0" t="inlineStr">
        <is>
          <t xml:space="preserve">Mazda</t>
        </is>
      </c>
      <c r="F9660" s="0" t="inlineStr">
        <is>
          <t xml:space="preserve">Mazda</t>
        </is>
      </c>
      <c r="G9660" s="0" t="s">
        <v>171</v>
      </c>
      <c r="H9660" s="5">
        <v>311.354200</v>
      </c>
    </row>
    <row r="9661" spans="1:9">
      <c r="A9661" s="22" t="str">
        <f>HYPERLINK("https://app.vivvix.com/360/KMI/IntelliDrive/ApplUI/Pages/CreativePages/CustomReportCreativeDetail.aspx?App=23&amp;ReportView=4&amp;Qid=1711279&amp;Row=9653&amp;Col=1","No Title Assigned - #15271364978")</f>
        <v/>
      </c>
      <c r="B9661" s="0" t="s">
        <v>12988</v>
      </c>
      <c r="E9661" s="0" t="inlineStr">
        <is>
          <t xml:space="preserve">Mazda</t>
        </is>
      </c>
      <c r="F9661" s="0" t="s">
        <v>21</v>
      </c>
      <c r="G9661" s="0" t="s">
        <v>22</v>
      </c>
      <c r="H9661" s="5">
        <v>313.237400</v>
      </c>
    </row>
    <row r="9662" spans="1:9">
      <c r="A9662" s="22" t="str">
        <f>HYPERLINK("https://app.vivvix.com/360/KMI/IntelliDrive/ApplUI/Pages/CreativePages/CustomReportCreativeDetail.aspx?App=23&amp;ReportView=4&amp;Qid=1711279&amp;Row=9654&amp;Col=1","No Title Assigned - #15271364994")</f>
        <v/>
      </c>
      <c r="B9662" s="0" t="s">
        <v>12989</v>
      </c>
      <c r="E9662" s="0" t="inlineStr">
        <is>
          <t xml:space="preserve">Mazda</t>
        </is>
      </c>
      <c r="F9662" s="0" t="inlineStr">
        <is>
          <t xml:space="preserve">Mazda</t>
        </is>
      </c>
      <c r="G9662" s="0" t="s">
        <v>171</v>
      </c>
      <c r="H9662" s="5">
        <v>78.714200</v>
      </c>
    </row>
    <row r="9663" spans="1:9">
      <c r="A9663" s="22" t="str">
        <f>HYPERLINK("https://app.vivvix.com/360/KMI/IntelliDrive/ApplUI/Pages/CreativePages/CustomReportCreativeDetail.aspx?App=23&amp;ReportView=4&amp;Qid=1711279&amp;Row=9655&amp;Col=1","No Title Assigned - #15271365074")</f>
        <v/>
      </c>
      <c r="B9663" s="0" t="s">
        <v>12990</v>
      </c>
      <c r="E9663" s="0" t="inlineStr">
        <is>
          <t xml:space="preserve">Mazda</t>
        </is>
      </c>
      <c r="F9663" s="0" t="s">
        <v>21</v>
      </c>
      <c r="G9663" s="0" t="s">
        <v>22</v>
      </c>
      <c r="H9663" s="5">
        <v>1233.756100</v>
      </c>
    </row>
    <row r="9664" spans="1:9">
      <c r="A9664" s="22" t="str">
        <f>HYPERLINK("https://app.vivvix.com/360/KMI/IntelliDrive/ApplUI/Pages/CreativePages/CustomReportCreativeDetail.aspx?App=23&amp;ReportView=4&amp;Qid=1711279&amp;Row=9656&amp;Col=1","No Title Assigned - #15271365074")</f>
        <v/>
      </c>
      <c r="B9664" s="0" t="s">
        <v>12990</v>
      </c>
      <c r="E9664" s="0" t="inlineStr">
        <is>
          <t xml:space="preserve">Mazda</t>
        </is>
      </c>
      <c r="F9664" s="0" t="s">
        <v>21</v>
      </c>
      <c r="G9664" s="0" t="s">
        <v>22</v>
      </c>
      <c r="H9664" s="5">
        <v>357.705600</v>
      </c>
    </row>
    <row r="9665" spans="1:9">
      <c r="A9665" s="22" t="str">
        <f>HYPERLINK("https://app.vivvix.com/360/KMI/IntelliDrive/ApplUI/Pages/CreativePages/CustomReportCreativeDetail.aspx?App=23&amp;ReportView=4&amp;Qid=1711279&amp;Row=9657&amp;Col=1","No Title Assigned - #15271365199")</f>
        <v/>
      </c>
      <c r="B9665" s="0" t="s">
        <v>12991</v>
      </c>
      <c r="E9665" s="0" t="inlineStr">
        <is>
          <t xml:space="preserve">Mazda</t>
        </is>
      </c>
      <c r="F9665" s="0" t="inlineStr">
        <is>
          <t xml:space="preserve">Mazda</t>
        </is>
      </c>
      <c r="G9665" s="0" t="s">
        <v>171</v>
      </c>
      <c r="H9665" s="5">
        <v>8.757900</v>
      </c>
    </row>
    <row r="9666" spans="1:9">
      <c r="A9666" s="22" t="str">
        <f>HYPERLINK("https://app.vivvix.com/360/KMI/IntelliDrive/ApplUI/Pages/CreativePages/CustomReportCreativeDetail.aspx?App=23&amp;ReportView=4&amp;Qid=1711279&amp;Row=9658&amp;Col=1","No Title Assigned - #15271365361")</f>
        <v/>
      </c>
      <c r="B9666" s="0" t="s">
        <v>12992</v>
      </c>
      <c r="E9666" s="0" t="inlineStr">
        <is>
          <t xml:space="preserve">Mazda</t>
        </is>
      </c>
      <c r="F9666" s="0" t="inlineStr">
        <is>
          <t xml:space="preserve">Mazda</t>
        </is>
      </c>
      <c r="G9666" s="0" t="s">
        <v>171</v>
      </c>
      <c r="H9666" s="5">
        <v>176.411100</v>
      </c>
    </row>
    <row r="9667" spans="1:9">
      <c r="A9667" s="22" t="str">
        <f>HYPERLINK("https://app.vivvix.com/360/KMI/IntelliDrive/ApplUI/Pages/CreativePages/CustomReportCreativeDetail.aspx?App=23&amp;ReportView=4&amp;Qid=1711279&amp;Row=9659&amp;Col=1","No Title Assigned - #15271365494")</f>
        <v/>
      </c>
      <c r="B9667" s="0" t="s">
        <v>12993</v>
      </c>
      <c r="E9667" s="0" t="inlineStr">
        <is>
          <t xml:space="preserve">Mazda</t>
        </is>
      </c>
      <c r="F9667" s="0" t="inlineStr">
        <is>
          <t xml:space="preserve">Mazda</t>
        </is>
      </c>
      <c r="G9667" s="0" t="s">
        <v>171</v>
      </c>
      <c r="H9667" s="5">
        <v>28.997300</v>
      </c>
    </row>
    <row r="9668" spans="1:9">
      <c r="A9668" s="22" t="str">
        <f>HYPERLINK("https://app.vivvix.com/360/KMI/IntelliDrive/ApplUI/Pages/CreativePages/CustomReportCreativeDetail.aspx?App=23&amp;ReportView=4&amp;Qid=1711279&amp;Row=9660&amp;Col=1","No Title Assigned - #15271365752")</f>
        <v/>
      </c>
      <c r="B9668" s="0" t="s">
        <v>12994</v>
      </c>
      <c r="E9668" s="0" t="inlineStr">
        <is>
          <t xml:space="preserve">Mazda</t>
        </is>
      </c>
      <c r="F9668" s="0" t="inlineStr">
        <is>
          <t xml:space="preserve">Mazda</t>
        </is>
      </c>
      <c r="G9668" s="0" t="s">
        <v>171</v>
      </c>
      <c r="H9668" s="5">
        <v>10.126900</v>
      </c>
    </row>
    <row r="9669" spans="1:9">
      <c r="A9669" s="22" t="str">
        <f>HYPERLINK("https://app.vivvix.com/360/KMI/IntelliDrive/ApplUI/Pages/CreativePages/CustomReportCreativeDetail.aspx?App=23&amp;ReportView=4&amp;Qid=1711279&amp;Row=9661&amp;Col=1","No Title Assigned - #15271365819")</f>
        <v/>
      </c>
      <c r="B9669" s="0" t="s">
        <v>12995</v>
      </c>
      <c r="E9669" s="0" t="inlineStr">
        <is>
          <t xml:space="preserve">Mazda</t>
        </is>
      </c>
      <c r="F9669" s="0" t="inlineStr">
        <is>
          <t xml:space="preserve">Mazda</t>
        </is>
      </c>
      <c r="G9669" s="0" t="s">
        <v>171</v>
      </c>
      <c r="H9669" s="5">
        <v>36.438300</v>
      </c>
    </row>
    <row r="9670" spans="1:9">
      <c r="A9670" s="22" t="str">
        <f>HYPERLINK("https://app.vivvix.com/360/KMI/IntelliDrive/ApplUI/Pages/CreativePages/CustomReportCreativeDetail.aspx?App=23&amp;ReportView=4&amp;Qid=1711279&amp;Row=9662&amp;Col=1","No Title Assigned - #15271365834")</f>
        <v/>
      </c>
      <c r="B9670" s="0" t="s">
        <v>12996</v>
      </c>
      <c r="E9670" s="0" t="inlineStr">
        <is>
          <t xml:space="preserve">Mazda</t>
        </is>
      </c>
      <c r="F9670" s="0" t="inlineStr">
        <is>
          <t xml:space="preserve">Mazda</t>
        </is>
      </c>
      <c r="G9670" s="0" t="s">
        <v>171</v>
      </c>
      <c r="H9670" s="5">
        <v>67.498700</v>
      </c>
    </row>
    <row r="9671" spans="1:9">
      <c r="A9671" s="22" t="str">
        <f>HYPERLINK("https://app.vivvix.com/360/KMI/IntelliDrive/ApplUI/Pages/CreativePages/CustomReportCreativeDetail.aspx?App=23&amp;ReportView=4&amp;Qid=1711279&amp;Row=9663&amp;Col=1","No Title Assigned - #15271365983")</f>
        <v/>
      </c>
      <c r="B9671" s="0" t="s">
        <v>12997</v>
      </c>
      <c r="E9671" s="0" t="inlineStr">
        <is>
          <t xml:space="preserve">Mazda</t>
        </is>
      </c>
      <c r="F9671" s="0" t="inlineStr">
        <is>
          <t xml:space="preserve">Mazda</t>
        </is>
      </c>
      <c r="G9671" s="0" t="s">
        <v>171</v>
      </c>
      <c r="H9671" s="5">
        <v>19.503000</v>
      </c>
    </row>
    <row r="9672" spans="1:9">
      <c r="A9672" s="22" t="str">
        <f>HYPERLINK("https://app.vivvix.com/360/KMI/IntelliDrive/ApplUI/Pages/CreativePages/CustomReportCreativeDetail.aspx?App=23&amp;ReportView=4&amp;Qid=1711279&amp;Row=9664&amp;Col=1","No Title Assigned - #15271366080")</f>
        <v/>
      </c>
      <c r="B9672" s="0" t="s">
        <v>12998</v>
      </c>
      <c r="E9672" s="0" t="inlineStr">
        <is>
          <t xml:space="preserve">Mazda</t>
        </is>
      </c>
      <c r="F9672" s="0" t="inlineStr">
        <is>
          <t xml:space="preserve">Mazda</t>
        </is>
      </c>
      <c r="G9672" s="0" t="s">
        <v>171</v>
      </c>
      <c r="H9672" s="5">
        <v>31.006100</v>
      </c>
    </row>
    <row r="9673" spans="1:9">
      <c r="A9673" s="22" t="str">
        <f>HYPERLINK("https://app.vivvix.com/360/KMI/IntelliDrive/ApplUI/Pages/CreativePages/CustomReportCreativeDetail.aspx?App=23&amp;ReportView=4&amp;Qid=1711279&amp;Row=9665&amp;Col=1","No Title Assigned - #15271366160")</f>
        <v/>
      </c>
      <c r="B9673" s="0" t="s">
        <v>12999</v>
      </c>
      <c r="E9673" s="0" t="inlineStr">
        <is>
          <t xml:space="preserve">Mazda</t>
        </is>
      </c>
      <c r="F9673" s="0" t="inlineStr">
        <is>
          <t xml:space="preserve">Mazda</t>
        </is>
      </c>
      <c r="G9673" s="0" t="s">
        <v>171</v>
      </c>
      <c r="H9673" s="5">
        <v>15.997500</v>
      </c>
    </row>
    <row r="9674" spans="1:9">
      <c r="A9674" s="22" t="str">
        <f>HYPERLINK("https://app.vivvix.com/360/KMI/IntelliDrive/ApplUI/Pages/CreativePages/CustomReportCreativeDetail.aspx?App=23&amp;ReportView=4&amp;Qid=1711279&amp;Row=9666&amp;Col=1","No Title Assigned - #15271366508")</f>
        <v/>
      </c>
      <c r="B9674" s="0" t="s">
        <v>13000</v>
      </c>
      <c r="E9674" s="0" t="inlineStr">
        <is>
          <t xml:space="preserve">Mazda</t>
        </is>
      </c>
      <c r="F9674" s="0" t="inlineStr">
        <is>
          <t xml:space="preserve">Mazda</t>
        </is>
      </c>
      <c r="G9674" s="0" t="s">
        <v>171</v>
      </c>
      <c r="H9674" s="5">
        <v>3527.918200</v>
      </c>
    </row>
    <row r="9675" spans="1:9">
      <c r="A9675" s="22" t="str">
        <f>HYPERLINK("https://app.vivvix.com/360/KMI/IntelliDrive/ApplUI/Pages/CreativePages/CustomReportCreativeDetail.aspx?App=23&amp;ReportView=4&amp;Qid=1711279&amp;Row=9667&amp;Col=1","No Title Assigned - #15271367612")</f>
        <v/>
      </c>
      <c r="B9675" s="0" t="s">
        <v>13001</v>
      </c>
      <c r="C9675" s="0" t="s">
        <v>13002</v>
      </c>
      <c r="D9675" s="0" t="s">
        <v>13002</v>
      </c>
      <c r="E9675" s="0" t="inlineStr">
        <is>
          <t xml:space="preserve">Mazda</t>
        </is>
      </c>
      <c r="F9675" s="0" t="s">
        <v>28</v>
      </c>
      <c r="G9675" s="0" t="s">
        <v>29</v>
      </c>
      <c r="H9675" s="5">
        <v>14.434500</v>
      </c>
    </row>
    <row r="9676" spans="1:9">
      <c r="A9676" s="22" t="str">
        <f>HYPERLINK("https://app.vivvix.com/360/KMI/IntelliDrive/ApplUI/Pages/CreativePages/CustomReportCreativeDetail.aspx?App=23&amp;ReportView=4&amp;Qid=1711279&amp;Row=9668&amp;Col=1","No Title Assigned - #15271367673")</f>
        <v/>
      </c>
      <c r="B9676" s="0" t="s">
        <v>13003</v>
      </c>
      <c r="C9676" s="0" t="s">
        <v>13004</v>
      </c>
      <c r="D9676" s="0" t="s">
        <v>4407</v>
      </c>
      <c r="E9676" s="0" t="inlineStr">
        <is>
          <t xml:space="preserve">Mazda</t>
        </is>
      </c>
      <c r="F9676" s="0" t="s">
        <v>28</v>
      </c>
      <c r="G9676" s="0" t="s">
        <v>29</v>
      </c>
      <c r="H9676" s="5">
        <v>6.392700</v>
      </c>
    </row>
    <row r="9677" spans="1:9">
      <c r="A9677" s="22" t="str">
        <f>HYPERLINK("https://app.vivvix.com/360/KMI/IntelliDrive/ApplUI/Pages/CreativePages/CustomReportCreativeDetail.aspx?App=23&amp;ReportView=4&amp;Qid=1711279&amp;Row=9669&amp;Col=1","No Title Assigned - #15271367788")</f>
        <v/>
      </c>
      <c r="B9677" s="0" t="s">
        <v>13005</v>
      </c>
      <c r="E9677" s="0" t="inlineStr">
        <is>
          <t xml:space="preserve">Mazda</t>
        </is>
      </c>
      <c r="F9677" s="0" t="s">
        <v>28</v>
      </c>
      <c r="G9677" s="0" t="s">
        <v>29</v>
      </c>
      <c r="H9677" s="5">
        <v>6593.139200</v>
      </c>
    </row>
    <row r="9678" spans="1:9">
      <c r="A9678" s="22" t="str">
        <f>HYPERLINK("https://app.vivvix.com/360/KMI/IntelliDrive/ApplUI/Pages/CreativePages/CustomReportCreativeDetail.aspx?App=23&amp;ReportView=4&amp;Qid=1711279&amp;Row=9670&amp;Col=1","No Title Assigned - #15271367788")</f>
        <v/>
      </c>
      <c r="B9678" s="0" t="s">
        <v>13005</v>
      </c>
      <c r="C9678" s="0" t="s">
        <v>13006</v>
      </c>
      <c r="D9678" s="0" t="s">
        <v>13006</v>
      </c>
      <c r="E9678" s="0" t="inlineStr">
        <is>
          <t xml:space="preserve">Mazda</t>
        </is>
      </c>
      <c r="F9678" s="0" t="s">
        <v>28</v>
      </c>
      <c r="G9678" s="0" t="s">
        <v>29</v>
      </c>
      <c r="H9678" s="5">
        <v>252307.249400</v>
      </c>
    </row>
    <row r="9679" spans="1:9">
      <c r="A9679" s="22" t="str">
        <f>HYPERLINK("https://app.vivvix.com/360/KMI/IntelliDrive/ApplUI/Pages/CreativePages/CustomReportCreativeDetail.aspx?App=23&amp;ReportView=4&amp;Qid=1711279&amp;Row=9671&amp;Col=1","No Title Assigned - #15271368071")</f>
        <v/>
      </c>
      <c r="B9679" s="0" t="s">
        <v>13007</v>
      </c>
      <c r="C9679" s="0" t="s">
        <v>13008</v>
      </c>
      <c r="D9679" s="0" t="s">
        <v>4200</v>
      </c>
      <c r="E9679" s="0" t="inlineStr">
        <is>
          <t xml:space="preserve">Mazda</t>
        </is>
      </c>
      <c r="F9679" s="0" t="s">
        <v>28</v>
      </c>
      <c r="G9679" s="0" t="s">
        <v>29</v>
      </c>
      <c r="H9679" s="5">
        <v>30.766600</v>
      </c>
    </row>
    <row r="9680" spans="1:9">
      <c r="A9680" s="22" t="str">
        <f>HYPERLINK("https://app.vivvix.com/360/KMI/IntelliDrive/ApplUI/Pages/CreativePages/CustomReportCreativeDetail.aspx?App=23&amp;ReportView=4&amp;Qid=1711279&amp;Row=9672&amp;Col=1","No Title Assigned - #15271368138")</f>
        <v/>
      </c>
      <c r="B9680" s="0" t="s">
        <v>13009</v>
      </c>
      <c r="E9680" s="0" t="inlineStr">
        <is>
          <t xml:space="preserve">Mazda</t>
        </is>
      </c>
      <c r="F9680" s="0" t="inlineStr">
        <is>
          <t xml:space="preserve">Mazda</t>
        </is>
      </c>
      <c r="G9680" s="0" t="s">
        <v>171</v>
      </c>
      <c r="H9680" s="5">
        <v>45.832700</v>
      </c>
    </row>
    <row r="9681" spans="1:9">
      <c r="A9681" s="22" t="str">
        <f>HYPERLINK("https://app.vivvix.com/360/KMI/IntelliDrive/ApplUI/Pages/CreativePages/CustomReportCreativeDetail.aspx?App=23&amp;ReportView=4&amp;Qid=1711279&amp;Row=9673&amp;Col=1","No Title Assigned - #15271368748")</f>
        <v/>
      </c>
      <c r="B9681" s="0" t="s">
        <v>13010</v>
      </c>
      <c r="C9681" s="0" t="s">
        <v>13011</v>
      </c>
      <c r="D9681" s="0" t="s">
        <v>13011</v>
      </c>
      <c r="E9681" s="0" t="inlineStr">
        <is>
          <t xml:space="preserve">Mazda</t>
        </is>
      </c>
      <c r="F9681" s="0" t="s">
        <v>28</v>
      </c>
      <c r="G9681" s="0" t="s">
        <v>29</v>
      </c>
      <c r="H9681" s="5">
        <v>248.563900</v>
      </c>
    </row>
    <row r="9682" spans="1:9">
      <c r="A9682" s="22" t="str">
        <f>HYPERLINK("https://app.vivvix.com/360/KMI/IntelliDrive/ApplUI/Pages/CreativePages/CustomReportCreativeDetail.aspx?App=23&amp;ReportView=4&amp;Qid=1711279&amp;Row=9674&amp;Col=1","No Title Assigned - #15271368897")</f>
        <v/>
      </c>
      <c r="B9682" s="0" t="s">
        <v>13012</v>
      </c>
      <c r="E9682" s="0" t="inlineStr">
        <is>
          <t xml:space="preserve">Mazda</t>
        </is>
      </c>
      <c r="F9682" s="0" t="inlineStr">
        <is>
          <t xml:space="preserve">Mazda</t>
        </is>
      </c>
      <c r="G9682" s="0" t="s">
        <v>171</v>
      </c>
      <c r="H9682" s="5">
        <v>572.970500</v>
      </c>
    </row>
    <row r="9683" spans="1:9">
      <c r="A9683" s="22" t="str">
        <f>HYPERLINK("https://app.vivvix.com/360/KMI/IntelliDrive/ApplUI/Pages/CreativePages/CustomReportCreativeDetail.aspx?App=23&amp;ReportView=4&amp;Qid=1711279&amp;Row=9675&amp;Col=1","No Title Assigned - #15271368956")</f>
        <v/>
      </c>
      <c r="B9683" s="0" t="s">
        <v>13013</v>
      </c>
      <c r="C9683" s="0" t="s">
        <v>13014</v>
      </c>
      <c r="D9683" s="0" t="s">
        <v>8050</v>
      </c>
      <c r="E9683" s="0" t="inlineStr">
        <is>
          <t xml:space="preserve">Mazda</t>
        </is>
      </c>
      <c r="F9683" s="0" t="s">
        <v>28</v>
      </c>
      <c r="G9683" s="0" t="s">
        <v>29</v>
      </c>
      <c r="H9683" s="5">
        <v>13.644200</v>
      </c>
    </row>
    <row r="9684" spans="1:9">
      <c r="A9684" s="22" t="str">
        <f>HYPERLINK("https://app.vivvix.com/360/KMI/IntelliDrive/ApplUI/Pages/CreativePages/CustomReportCreativeDetail.aspx?App=23&amp;ReportView=4&amp;Qid=1711279&amp;Row=9676&amp;Col=1","No Title Assigned - #15271369075")</f>
        <v/>
      </c>
      <c r="B9684" s="0" t="s">
        <v>13015</v>
      </c>
      <c r="C9684" s="0" t="s">
        <v>13016</v>
      </c>
      <c r="D9684" s="0" t="s">
        <v>13016</v>
      </c>
      <c r="E9684" s="0" t="inlineStr">
        <is>
          <t xml:space="preserve">Mazda</t>
        </is>
      </c>
      <c r="F9684" s="0" t="s">
        <v>28</v>
      </c>
      <c r="G9684" s="0" t="s">
        <v>29</v>
      </c>
      <c r="H9684" s="5">
        <v>0.651600</v>
      </c>
    </row>
    <row r="9685" spans="1:9">
      <c r="A9685" s="22" t="str">
        <f>HYPERLINK("https://app.vivvix.com/360/KMI/IntelliDrive/ApplUI/Pages/CreativePages/CustomReportCreativeDetail.aspx?App=23&amp;ReportView=4&amp;Qid=1711279&amp;Row=9677&amp;Col=1","No Title Assigned - #15271369671")</f>
        <v/>
      </c>
      <c r="B9685" s="0" t="s">
        <v>13017</v>
      </c>
      <c r="C9685" s="0" t="s">
        <v>13018</v>
      </c>
      <c r="D9685" s="0" t="s">
        <v>4333</v>
      </c>
      <c r="E9685" s="0" t="inlineStr">
        <is>
          <t xml:space="preserve">Mazda</t>
        </is>
      </c>
      <c r="F9685" s="0" t="s">
        <v>28</v>
      </c>
      <c r="G9685" s="0" t="s">
        <v>29</v>
      </c>
      <c r="H9685" s="5">
        <v>29.428500</v>
      </c>
    </row>
    <row r="9686" spans="1:9">
      <c r="A9686" s="22" t="str">
        <f>HYPERLINK("https://app.vivvix.com/360/KMI/IntelliDrive/ApplUI/Pages/CreativePages/CustomReportCreativeDetail.aspx?App=23&amp;ReportView=4&amp;Qid=1711279&amp;Row=9678&amp;Col=1","No Title Assigned - #15271369680")</f>
        <v/>
      </c>
      <c r="B9686" s="0" t="s">
        <v>13019</v>
      </c>
      <c r="C9686" s="0" t="s">
        <v>13020</v>
      </c>
      <c r="D9686" s="0" t="s">
        <v>13020</v>
      </c>
      <c r="E9686" s="0" t="inlineStr">
        <is>
          <t xml:space="preserve">Mazda</t>
        </is>
      </c>
      <c r="F9686" s="0" t="s">
        <v>28</v>
      </c>
      <c r="G9686" s="0" t="s">
        <v>29</v>
      </c>
      <c r="H9686" s="5">
        <v>41.134800</v>
      </c>
    </row>
    <row r="9687" spans="1:9">
      <c r="A9687" s="22" t="str">
        <f>HYPERLINK("https://app.vivvix.com/360/KMI/IntelliDrive/ApplUI/Pages/CreativePages/CustomReportCreativeDetail.aspx?App=23&amp;ReportView=4&amp;Qid=1711279&amp;Row=9679&amp;Col=1","No Title Assigned - #15271369800")</f>
        <v/>
      </c>
      <c r="B9687" s="0" t="s">
        <v>13021</v>
      </c>
      <c r="C9687" s="0" t="s">
        <v>13022</v>
      </c>
      <c r="D9687" s="0" t="s">
        <v>13022</v>
      </c>
      <c r="E9687" s="0" t="inlineStr">
        <is>
          <t xml:space="preserve">Mazda</t>
        </is>
      </c>
      <c r="F9687" s="0" t="s">
        <v>28</v>
      </c>
      <c r="G9687" s="0" t="s">
        <v>29</v>
      </c>
      <c r="H9687" s="5">
        <v>6091.990700</v>
      </c>
    </row>
    <row r="9688" spans="1:9">
      <c r="A9688" s="22" t="str">
        <f>HYPERLINK("https://app.vivvix.com/360/KMI/IntelliDrive/ApplUI/Pages/CreativePages/CustomReportCreativeDetail.aspx?App=23&amp;ReportView=4&amp;Qid=1711279&amp;Row=9680&amp;Col=1","No Title Assigned - #15271370512")</f>
        <v/>
      </c>
      <c r="B9688" s="0" t="s">
        <v>13023</v>
      </c>
      <c r="C9688" s="0" t="s">
        <v>13024</v>
      </c>
      <c r="D9688" s="0" t="s">
        <v>13024</v>
      </c>
      <c r="E9688" s="0" t="inlineStr">
        <is>
          <t xml:space="preserve">Mazda</t>
        </is>
      </c>
      <c r="F9688" s="0" t="s">
        <v>28</v>
      </c>
      <c r="G9688" s="0" t="s">
        <v>29</v>
      </c>
      <c r="H9688" s="5">
        <v>41.134800</v>
      </c>
    </row>
    <row r="9689" spans="1:9">
      <c r="A9689" s="22" t="str">
        <f>HYPERLINK("https://app.vivvix.com/360/KMI/IntelliDrive/ApplUI/Pages/CreativePages/CustomReportCreativeDetail.aspx?App=23&amp;ReportView=4&amp;Qid=1711279&amp;Row=9681&amp;Col=1","No Title Assigned - #15271373171")</f>
        <v/>
      </c>
      <c r="B9689" s="0" t="s">
        <v>13025</v>
      </c>
      <c r="C9689" s="0" t="s">
        <v>13026</v>
      </c>
      <c r="D9689" s="0" t="s">
        <v>13026</v>
      </c>
      <c r="E9689" s="0" t="inlineStr">
        <is>
          <t xml:space="preserve">Mazda</t>
        </is>
      </c>
      <c r="F9689" s="0" t="s">
        <v>21</v>
      </c>
      <c r="G9689" s="0" t="s">
        <v>22</v>
      </c>
      <c r="H9689" s="5">
        <v>34.248400</v>
      </c>
    </row>
    <row r="9690" spans="1:9">
      <c r="A9690" s="22" t="str">
        <f>HYPERLINK("https://app.vivvix.com/360/KMI/IntelliDrive/ApplUI/Pages/CreativePages/CustomReportCreativeDetail.aspx?App=23&amp;ReportView=4&amp;Qid=1711279&amp;Row=9682&amp;Col=1","No Title Assigned - #15271373810")</f>
        <v/>
      </c>
      <c r="B9690" s="0" t="s">
        <v>13027</v>
      </c>
      <c r="E9690" s="0" t="inlineStr">
        <is>
          <t xml:space="preserve">Mazda</t>
        </is>
      </c>
      <c r="F9690" s="0" t="inlineStr">
        <is>
          <t xml:space="preserve">Mazda</t>
        </is>
      </c>
      <c r="G9690" s="0" t="s">
        <v>171</v>
      </c>
      <c r="H9690" s="5">
        <v>116.435900</v>
      </c>
    </row>
    <row r="9691" spans="1:9">
      <c r="A9691" s="22" t="str">
        <f>HYPERLINK("https://app.vivvix.com/360/KMI/IntelliDrive/ApplUI/Pages/CreativePages/CustomReportCreativeDetail.aspx?App=23&amp;ReportView=4&amp;Qid=1711279&amp;Row=9683&amp;Col=1","No Title Assigned - #15271373907")</f>
        <v/>
      </c>
      <c r="B9691" s="0" t="s">
        <v>13028</v>
      </c>
      <c r="E9691" s="0" t="inlineStr">
        <is>
          <t xml:space="preserve">Mazda</t>
        </is>
      </c>
      <c r="F9691" s="0" t="inlineStr">
        <is>
          <t xml:space="preserve">Mazda</t>
        </is>
      </c>
      <c r="G9691" s="0" t="s">
        <v>171</v>
      </c>
      <c r="H9691" s="5">
        <v>12.251000</v>
      </c>
    </row>
    <row r="9692" spans="1:9">
      <c r="A9692" s="22" t="str">
        <f>HYPERLINK("https://app.vivvix.com/360/KMI/IntelliDrive/ApplUI/Pages/CreativePages/CustomReportCreativeDetail.aspx?App=23&amp;ReportView=4&amp;Qid=1711279&amp;Row=9684&amp;Col=1","No Title Assigned - #15271373910")</f>
        <v/>
      </c>
      <c r="B9692" s="0" t="s">
        <v>13029</v>
      </c>
      <c r="C9692" s="0" t="s">
        <v>13030</v>
      </c>
      <c r="D9692" s="0" t="s">
        <v>13030</v>
      </c>
      <c r="E9692" s="0" t="inlineStr">
        <is>
          <t xml:space="preserve">Mazda</t>
        </is>
      </c>
      <c r="F9692" s="0" t="s">
        <v>13</v>
      </c>
      <c r="G9692" s="0" t="s">
        <v>49</v>
      </c>
      <c r="H9692" s="5">
        <v>25.354500</v>
      </c>
    </row>
    <row r="9693" spans="1:9">
      <c r="A9693" s="22" t="str">
        <f>HYPERLINK("https://app.vivvix.com/360/KMI/IntelliDrive/ApplUI/Pages/CreativePages/CustomReportCreativeDetail.aspx?App=23&amp;ReportView=4&amp;Qid=1711279&amp;Row=9685&amp;Col=1","No Title Assigned - #15271374186")</f>
        <v/>
      </c>
      <c r="B9693" s="0" t="s">
        <v>13031</v>
      </c>
      <c r="C9693" s="0" t="s">
        <v>13032</v>
      </c>
      <c r="D9693" s="0" t="s">
        <v>4450</v>
      </c>
      <c r="E9693" s="0" t="inlineStr">
        <is>
          <t xml:space="preserve">Mazda</t>
        </is>
      </c>
      <c r="F9693" s="0" t="s">
        <v>28</v>
      </c>
      <c r="G9693" s="0" t="s">
        <v>29</v>
      </c>
      <c r="H9693" s="5">
        <v>1.097300</v>
      </c>
    </row>
    <row r="9694" spans="1:9">
      <c r="A9694" s="22" t="str">
        <f>HYPERLINK("https://app.vivvix.com/360/KMI/IntelliDrive/ApplUI/Pages/CreativePages/CustomReportCreativeDetail.aspx?App=23&amp;ReportView=4&amp;Qid=1711279&amp;Row=9686&amp;Col=1","No Title Assigned - #15271374277")</f>
        <v/>
      </c>
      <c r="B9694" s="0" t="s">
        <v>13033</v>
      </c>
      <c r="C9694" s="0" t="s">
        <v>13034</v>
      </c>
      <c r="D9694" s="0" t="s">
        <v>13034</v>
      </c>
      <c r="E9694" s="0" t="inlineStr">
        <is>
          <t xml:space="preserve">Mazda</t>
        </is>
      </c>
      <c r="F9694" s="0" t="s">
        <v>28</v>
      </c>
      <c r="G9694" s="0" t="s">
        <v>29</v>
      </c>
      <c r="H9694" s="5">
        <v>273.704900</v>
      </c>
    </row>
    <row r="9695" spans="1:9">
      <c r="A9695" s="22" t="str">
        <f>HYPERLINK("https://app.vivvix.com/360/KMI/IntelliDrive/ApplUI/Pages/CreativePages/CustomReportCreativeDetail.aspx?App=23&amp;ReportView=4&amp;Qid=1711279&amp;Row=9687&amp;Col=1","No Title Assigned - #15271375690")</f>
        <v/>
      </c>
      <c r="B9695" s="0" t="s">
        <v>13035</v>
      </c>
      <c r="C9695" s="0" t="s">
        <v>13036</v>
      </c>
      <c r="D9695" s="0" t="s">
        <v>13036</v>
      </c>
      <c r="E9695" s="0" t="inlineStr">
        <is>
          <t xml:space="preserve">Mazda</t>
        </is>
      </c>
      <c r="F9695" s="0" t="s">
        <v>28</v>
      </c>
      <c r="G9695" s="0" t="s">
        <v>29</v>
      </c>
      <c r="H9695" s="5">
        <v>41.134800</v>
      </c>
    </row>
    <row r="9696" spans="1:9">
      <c r="A9696" s="22" t="str">
        <f>HYPERLINK("https://app.vivvix.com/360/KMI/IntelliDrive/ApplUI/Pages/CreativePages/CustomReportCreativeDetail.aspx?App=23&amp;ReportView=4&amp;Qid=1711279&amp;Row=9688&amp;Col=1","No Title Assigned - #15271376128")</f>
        <v/>
      </c>
      <c r="B9696" s="0" t="s">
        <v>13037</v>
      </c>
      <c r="C9696" s="0" t="s">
        <v>13038</v>
      </c>
      <c r="D9696" s="0" t="s">
        <v>9596</v>
      </c>
      <c r="E9696" s="0" t="inlineStr">
        <is>
          <t xml:space="preserve">Mazda</t>
        </is>
      </c>
      <c r="F9696" s="0" t="s">
        <v>28</v>
      </c>
      <c r="G9696" s="0" t="s">
        <v>29</v>
      </c>
      <c r="H9696" s="5">
        <v>9.637300</v>
      </c>
    </row>
    <row r="9697" spans="1:9">
      <c r="A9697" s="22" t="str">
        <f>HYPERLINK("https://app.vivvix.com/360/KMI/IntelliDrive/ApplUI/Pages/CreativePages/CustomReportCreativeDetail.aspx?App=23&amp;ReportView=4&amp;Qid=1711279&amp;Row=9689&amp;Col=1","No Title Assigned - #15271376365")</f>
        <v/>
      </c>
      <c r="B9697" s="0" t="s">
        <v>13039</v>
      </c>
      <c r="C9697" s="0" t="s">
        <v>13040</v>
      </c>
      <c r="D9697" s="0" t="s">
        <v>4202</v>
      </c>
      <c r="E9697" s="0" t="inlineStr">
        <is>
          <t xml:space="preserve">Mazda</t>
        </is>
      </c>
      <c r="F9697" s="0" t="s">
        <v>28</v>
      </c>
      <c r="G9697" s="0" t="s">
        <v>29</v>
      </c>
      <c r="H9697" s="5">
        <v>159.229300</v>
      </c>
    </row>
    <row r="9698" spans="1:9">
      <c r="A9698" s="22" t="str">
        <f>HYPERLINK("https://app.vivvix.com/360/KMI/IntelliDrive/ApplUI/Pages/CreativePages/CustomReportCreativeDetail.aspx?App=23&amp;ReportView=4&amp;Qid=1711279&amp;Row=9690&amp;Col=1","No Title Assigned - #15271376892")</f>
        <v/>
      </c>
      <c r="B9698" s="0" t="s">
        <v>13041</v>
      </c>
      <c r="C9698" s="0" t="s">
        <v>13042</v>
      </c>
      <c r="D9698" s="0" t="s">
        <v>13042</v>
      </c>
      <c r="E9698" s="0" t="inlineStr">
        <is>
          <t xml:space="preserve">Mazda</t>
        </is>
      </c>
      <c r="F9698" s="0" t="s">
        <v>28</v>
      </c>
      <c r="G9698" s="0" t="s">
        <v>29</v>
      </c>
      <c r="H9698" s="5">
        <v>23.016900</v>
      </c>
    </row>
    <row r="9699" spans="1:9">
      <c r="A9699" s="22" t="str">
        <f>HYPERLINK("https://app.vivvix.com/360/KMI/IntelliDrive/ApplUI/Pages/CreativePages/CustomReportCreativeDetail.aspx?App=23&amp;ReportView=4&amp;Qid=1711279&amp;Row=9691&amp;Col=1","No Title Assigned - #15271377347")</f>
        <v/>
      </c>
      <c r="B9699" s="0" t="s">
        <v>13043</v>
      </c>
      <c r="E9699" s="0" t="inlineStr">
        <is>
          <t xml:space="preserve">Mazda</t>
        </is>
      </c>
      <c r="F9699" s="0" t="inlineStr">
        <is>
          <t xml:space="preserve">Mazda</t>
        </is>
      </c>
      <c r="G9699" s="0" t="s">
        <v>171</v>
      </c>
      <c r="H9699" s="5">
        <v>26.122200</v>
      </c>
    </row>
    <row r="9700" spans="1:9">
      <c r="A9700" s="22" t="str">
        <f>HYPERLINK("https://app.vivvix.com/360/KMI/IntelliDrive/ApplUI/Pages/CreativePages/CustomReportCreativeDetail.aspx?App=23&amp;ReportView=4&amp;Qid=1711279&amp;Row=9692&amp;Col=1","No Title Assigned - #15271377532")</f>
        <v/>
      </c>
      <c r="B9700" s="0" t="s">
        <v>13044</v>
      </c>
      <c r="C9700" s="0" t="s">
        <v>13045</v>
      </c>
      <c r="D9700" s="0" t="s">
        <v>8551</v>
      </c>
      <c r="E9700" s="0" t="inlineStr">
        <is>
          <t xml:space="preserve">Mazda</t>
        </is>
      </c>
      <c r="F9700" s="0" t="s">
        <v>13</v>
      </c>
      <c r="G9700" s="0" t="s">
        <v>49</v>
      </c>
      <c r="H9700" s="5">
        <v>515.996900</v>
      </c>
    </row>
    <row r="9701" spans="1:9">
      <c r="A9701" s="22" t="str">
        <f>HYPERLINK("https://app.vivvix.com/360/KMI/IntelliDrive/ApplUI/Pages/CreativePages/CustomReportCreativeDetail.aspx?App=23&amp;ReportView=4&amp;Qid=1711279&amp;Row=9693&amp;Col=1","No Title Assigned - #15271377658")</f>
        <v/>
      </c>
      <c r="B9701" s="0" t="s">
        <v>13046</v>
      </c>
      <c r="C9701" s="0" t="s">
        <v>13047</v>
      </c>
      <c r="D9701" s="0" t="s">
        <v>13047</v>
      </c>
      <c r="E9701" s="0" t="inlineStr">
        <is>
          <t xml:space="preserve">Mazda</t>
        </is>
      </c>
      <c r="F9701" s="0" t="s">
        <v>13</v>
      </c>
      <c r="G9701" s="0" t="s">
        <v>49</v>
      </c>
      <c r="H9701" s="5">
        <v>248.827900</v>
      </c>
    </row>
    <row r="9702" spans="1:9">
      <c r="A9702" s="22" t="str">
        <f>HYPERLINK("https://app.vivvix.com/360/KMI/IntelliDrive/ApplUI/Pages/CreativePages/CustomReportCreativeDetail.aspx?App=23&amp;ReportView=4&amp;Qid=1711279&amp;Row=9694&amp;Col=1","No Title Assigned - #15271378445")</f>
        <v/>
      </c>
      <c r="B9702" s="0" t="s">
        <v>13048</v>
      </c>
      <c r="C9702" s="0" t="s">
        <v>13049</v>
      </c>
      <c r="D9702" s="0" t="s">
        <v>13049</v>
      </c>
      <c r="E9702" s="0" t="inlineStr">
        <is>
          <t xml:space="preserve">Mazda</t>
        </is>
      </c>
      <c r="F9702" s="0" t="s">
        <v>28</v>
      </c>
      <c r="G9702" s="0" t="s">
        <v>29</v>
      </c>
      <c r="H9702" s="5">
        <v>2.570600</v>
      </c>
    </row>
    <row r="9703" spans="1:9">
      <c r="A9703" s="22" t="str">
        <f>HYPERLINK("https://app.vivvix.com/360/KMI/IntelliDrive/ApplUI/Pages/CreativePages/CustomReportCreativeDetail.aspx?App=23&amp;ReportView=4&amp;Qid=1711279&amp;Row=9695&amp;Col=1","No Title Assigned - #15271378594")</f>
        <v/>
      </c>
      <c r="B9703" s="0" t="s">
        <v>13050</v>
      </c>
      <c r="E9703" s="0" t="inlineStr">
        <is>
          <t xml:space="preserve">Mazda</t>
        </is>
      </c>
      <c r="F9703" s="0" t="inlineStr">
        <is>
          <t xml:space="preserve">Mazda</t>
        </is>
      </c>
      <c r="G9703" s="0" t="s">
        <v>171</v>
      </c>
      <c r="H9703" s="5">
        <v>4.058200</v>
      </c>
    </row>
    <row r="9704" spans="1:9">
      <c r="A9704" s="22" t="str">
        <f>HYPERLINK("https://app.vivvix.com/360/KMI/IntelliDrive/ApplUI/Pages/CreativePages/CustomReportCreativeDetail.aspx?App=23&amp;ReportView=4&amp;Qid=1711279&amp;Row=9696&amp;Col=1","No Title Assigned - #15271378594")</f>
        <v/>
      </c>
      <c r="B9704" s="0" t="s">
        <v>13050</v>
      </c>
      <c r="E9704" s="0" t="inlineStr">
        <is>
          <t xml:space="preserve">Mazda</t>
        </is>
      </c>
      <c r="F9704" s="0" t="inlineStr">
        <is>
          <t xml:space="preserve">Mazda</t>
        </is>
      </c>
      <c r="G9704" s="0" t="s">
        <v>171</v>
      </c>
      <c r="H9704" s="5">
        <v>857.111100</v>
      </c>
    </row>
    <row r="9705" spans="1:9">
      <c r="A9705" s="22" t="str">
        <f>HYPERLINK("https://app.vivvix.com/360/KMI/IntelliDrive/ApplUI/Pages/CreativePages/CustomReportCreativeDetail.aspx?App=23&amp;ReportView=4&amp;Qid=1711279&amp;Row=9697&amp;Col=1","No Title Assigned - #15271378646")</f>
        <v/>
      </c>
      <c r="B9705" s="0" t="s">
        <v>13051</v>
      </c>
      <c r="C9705" s="0" t="s">
        <v>13052</v>
      </c>
      <c r="D9705" s="0" t="s">
        <v>4200</v>
      </c>
      <c r="E9705" s="0" t="inlineStr">
        <is>
          <t xml:space="preserve">Mazda</t>
        </is>
      </c>
      <c r="F9705" s="0" t="s">
        <v>28</v>
      </c>
      <c r="G9705" s="0" t="s">
        <v>29</v>
      </c>
      <c r="H9705" s="5">
        <v>158.129200</v>
      </c>
    </row>
    <row r="9706" spans="1:9">
      <c r="A9706" s="22" t="str">
        <f>HYPERLINK("https://app.vivvix.com/360/KMI/IntelliDrive/ApplUI/Pages/CreativePages/CustomReportCreativeDetail.aspx?App=23&amp;ReportView=4&amp;Qid=1711279&amp;Row=9698&amp;Col=1","No Title Assigned - #15271378734")</f>
        <v/>
      </c>
      <c r="B9706" s="0" t="s">
        <v>13053</v>
      </c>
      <c r="E9706" s="0" t="inlineStr">
        <is>
          <t xml:space="preserve">Mazda</t>
        </is>
      </c>
      <c r="F9706" s="0" t="inlineStr">
        <is>
          <t xml:space="preserve">Mazda</t>
        </is>
      </c>
      <c r="G9706" s="0" t="s">
        <v>171</v>
      </c>
      <c r="H9706" s="5">
        <v>11.235300</v>
      </c>
    </row>
    <row r="9707" spans="1:9">
      <c r="A9707" s="22" t="str">
        <f>HYPERLINK("https://app.vivvix.com/360/KMI/IntelliDrive/ApplUI/Pages/CreativePages/CustomReportCreativeDetail.aspx?App=23&amp;ReportView=4&amp;Qid=1711279&amp;Row=9699&amp;Col=1","No Title Assigned - #15271378925")</f>
        <v/>
      </c>
      <c r="B9707" s="0" t="s">
        <v>13054</v>
      </c>
      <c r="E9707" s="0" t="inlineStr">
        <is>
          <t xml:space="preserve">Mazda</t>
        </is>
      </c>
      <c r="F9707" s="0" t="inlineStr">
        <is>
          <t xml:space="preserve">Mazda</t>
        </is>
      </c>
      <c r="G9707" s="0" t="s">
        <v>171</v>
      </c>
      <c r="H9707" s="5">
        <v>206.967600</v>
      </c>
    </row>
    <row r="9708" spans="1:9">
      <c r="A9708" s="22" t="str">
        <f>HYPERLINK("https://app.vivvix.com/360/KMI/IntelliDrive/ApplUI/Pages/CreativePages/CustomReportCreativeDetail.aspx?App=23&amp;ReportView=4&amp;Qid=1711279&amp;Row=9700&amp;Col=1","No Title Assigned - #15271382034")</f>
        <v/>
      </c>
      <c r="B9708" s="0" t="s">
        <v>13055</v>
      </c>
      <c r="E9708" s="0" t="inlineStr">
        <is>
          <t xml:space="preserve">Mazda</t>
        </is>
      </c>
      <c r="F9708" s="0" t="inlineStr">
        <is>
          <t xml:space="preserve">Mazda</t>
        </is>
      </c>
      <c r="G9708" s="0" t="s">
        <v>171</v>
      </c>
      <c r="H9708" s="5">
        <v>59.109200</v>
      </c>
    </row>
    <row r="9709" spans="1:9">
      <c r="A9709" s="22" t="str">
        <f>HYPERLINK("https://app.vivvix.com/360/KMI/IntelliDrive/ApplUI/Pages/CreativePages/CustomReportCreativeDetail.aspx?App=23&amp;ReportView=4&amp;Qid=1711279&amp;Row=9701&amp;Col=1","No Title Assigned - #15271385046")</f>
        <v/>
      </c>
      <c r="B9709" s="0" t="s">
        <v>13056</v>
      </c>
      <c r="E9709" s="0" t="inlineStr">
        <is>
          <t xml:space="preserve">Mazda</t>
        </is>
      </c>
      <c r="F9709" s="0" t="inlineStr">
        <is>
          <t xml:space="preserve">Mazda</t>
        </is>
      </c>
      <c r="G9709" s="0" t="s">
        <v>171</v>
      </c>
      <c r="H9709" s="5">
        <v>39.716200</v>
      </c>
    </row>
    <row r="9710" spans="1:9">
      <c r="A9710" s="22" t="str">
        <f>HYPERLINK("https://app.vivvix.com/360/KMI/IntelliDrive/ApplUI/Pages/CreativePages/CustomReportCreativeDetail.aspx?App=23&amp;ReportView=4&amp;Qid=1711279&amp;Row=9702&amp;Col=1","No Title Assigned - #15271391776")</f>
        <v/>
      </c>
      <c r="B9710" s="0" t="s">
        <v>13057</v>
      </c>
      <c r="E9710" s="0" t="inlineStr">
        <is>
          <t xml:space="preserve">Mazda</t>
        </is>
      </c>
      <c r="F9710" s="0" t="inlineStr">
        <is>
          <t xml:space="preserve">Mazda</t>
        </is>
      </c>
      <c r="G9710" s="0" t="s">
        <v>171</v>
      </c>
      <c r="H9710" s="5">
        <v>117.732400</v>
      </c>
    </row>
    <row r="9711" spans="1:9">
      <c r="A9711" s="22" t="str">
        <f>HYPERLINK("https://app.vivvix.com/360/KMI/IntelliDrive/ApplUI/Pages/CreativePages/CustomReportCreativeDetail.aspx?App=23&amp;ReportView=4&amp;Qid=1711279&amp;Row=9703&amp;Col=1","No Title Assigned - #15271394286")</f>
        <v/>
      </c>
      <c r="B9711" s="0" t="s">
        <v>13058</v>
      </c>
      <c r="E9711" s="0" t="inlineStr">
        <is>
          <t xml:space="preserve">Mazda</t>
        </is>
      </c>
      <c r="F9711" s="0" t="inlineStr">
        <is>
          <t xml:space="preserve">Mazda</t>
        </is>
      </c>
      <c r="G9711" s="0" t="s">
        <v>171</v>
      </c>
      <c r="H9711" s="5">
        <v>3003.353500</v>
      </c>
    </row>
    <row r="9712" spans="1:9">
      <c r="A9712" s="22" t="str">
        <f>HYPERLINK("https://app.vivvix.com/360/KMI/IntelliDrive/ApplUI/Pages/CreativePages/CustomReportCreativeDetail.aspx?App=23&amp;ReportView=4&amp;Qid=1711279&amp;Row=9704&amp;Col=1","No Title Assigned - #15271394286")</f>
        <v/>
      </c>
      <c r="B9712" s="0" t="s">
        <v>13058</v>
      </c>
      <c r="C9712" s="0" t="s">
        <v>13059</v>
      </c>
      <c r="D9712" s="0" t="s">
        <v>13059</v>
      </c>
      <c r="E9712" s="0" t="inlineStr">
        <is>
          <t xml:space="preserve">Mazda</t>
        </is>
      </c>
      <c r="F9712" s="0" t="inlineStr">
        <is>
          <t xml:space="preserve">Mazda</t>
        </is>
      </c>
      <c r="G9712" s="0" t="s">
        <v>171</v>
      </c>
      <c r="H9712" s="5">
        <v>1201.285900</v>
      </c>
    </row>
    <row r="9713" spans="1:9">
      <c r="A9713" s="22" t="str">
        <f>HYPERLINK("https://app.vivvix.com/360/KMI/IntelliDrive/ApplUI/Pages/CreativePages/CustomReportCreativeDetail.aspx?App=23&amp;ReportView=4&amp;Qid=1711279&amp;Row=9705&amp;Col=1","No Title Assigned - #15271394877")</f>
        <v/>
      </c>
      <c r="B9713" s="0" t="s">
        <v>13060</v>
      </c>
      <c r="E9713" s="0" t="inlineStr">
        <is>
          <t xml:space="preserve">Mazda</t>
        </is>
      </c>
      <c r="F9713" s="0" t="inlineStr">
        <is>
          <t xml:space="preserve">Mazda</t>
        </is>
      </c>
      <c r="G9713" s="0" t="s">
        <v>171</v>
      </c>
      <c r="H9713" s="5">
        <v>2.061000</v>
      </c>
    </row>
    <row r="9714" spans="1:9">
      <c r="A9714" s="22" t="str">
        <f>HYPERLINK("https://app.vivvix.com/360/KMI/IntelliDrive/ApplUI/Pages/CreativePages/CustomReportCreativeDetail.aspx?App=23&amp;ReportView=4&amp;Qid=1711279&amp;Row=9706&amp;Col=1","No Title Assigned - #15271406042")</f>
        <v/>
      </c>
      <c r="B9714" s="0" t="s">
        <v>13061</v>
      </c>
      <c r="E9714" s="0" t="inlineStr">
        <is>
          <t xml:space="preserve">Mazda</t>
        </is>
      </c>
      <c r="F9714" s="0" t="inlineStr">
        <is>
          <t xml:space="preserve">Mazda</t>
        </is>
      </c>
      <c r="G9714" s="0" t="s">
        <v>171</v>
      </c>
      <c r="H9714" s="5">
        <v>0.744400</v>
      </c>
    </row>
    <row r="9715" spans="1:9">
      <c r="A9715" s="22" t="str">
        <f>HYPERLINK("https://app.vivvix.com/360/KMI/IntelliDrive/ApplUI/Pages/CreativePages/CustomReportCreativeDetail.aspx?App=23&amp;ReportView=4&amp;Qid=1711279&amp;Row=9707&amp;Col=1","No Title Assigned - #15271406933")</f>
        <v/>
      </c>
      <c r="B9715" s="0" t="s">
        <v>13062</v>
      </c>
      <c r="E9715" s="0" t="inlineStr">
        <is>
          <t xml:space="preserve">Mazda</t>
        </is>
      </c>
      <c r="F9715" s="0" t="inlineStr">
        <is>
          <t xml:space="preserve">Mazda</t>
        </is>
      </c>
      <c r="G9715" s="0" t="s">
        <v>171</v>
      </c>
      <c r="H9715" s="5">
        <v>7.217700</v>
      </c>
    </row>
    <row r="9716" spans="1:9">
      <c r="A9716" s="22" t="str">
        <f>HYPERLINK("https://app.vivvix.com/360/KMI/IntelliDrive/ApplUI/Pages/CreativePages/CustomReportCreativeDetail.aspx?App=23&amp;ReportView=4&amp;Qid=1711279&amp;Row=9708&amp;Col=1","No Title Assigned - #15271408828")</f>
        <v/>
      </c>
      <c r="B9716" s="0" t="s">
        <v>13063</v>
      </c>
      <c r="C9716" s="0" t="s">
        <v>13064</v>
      </c>
      <c r="D9716" s="0" t="s">
        <v>13064</v>
      </c>
      <c r="E9716" s="0" t="inlineStr">
        <is>
          <t xml:space="preserve">Mazda</t>
        </is>
      </c>
      <c r="F9716" s="0" t="s">
        <v>21</v>
      </c>
      <c r="G9716" s="0" t="s">
        <v>22</v>
      </c>
      <c r="H9716" s="5">
        <v>417.379000</v>
      </c>
    </row>
    <row r="9717" spans="1:9">
      <c r="A9717" s="22" t="str">
        <f>HYPERLINK("https://app.vivvix.com/360/KMI/IntelliDrive/ApplUI/Pages/CreativePages/CustomReportCreativeDetail.aspx?App=23&amp;ReportView=4&amp;Qid=1711279&amp;Row=9709&amp;Col=1","No Title Assigned - #15271410184")</f>
        <v/>
      </c>
      <c r="B9717" s="0" t="s">
        <v>13065</v>
      </c>
      <c r="C9717" s="0" t="s">
        <v>13066</v>
      </c>
      <c r="D9717" s="0" t="s">
        <v>6170</v>
      </c>
      <c r="E9717" s="0" t="inlineStr">
        <is>
          <t xml:space="preserve">Mazda</t>
        </is>
      </c>
      <c r="F9717" s="0" t="s">
        <v>28</v>
      </c>
      <c r="G9717" s="0" t="s">
        <v>29</v>
      </c>
      <c r="H9717" s="5">
        <v>4.871800</v>
      </c>
    </row>
    <row r="9718" spans="1:9">
      <c r="A9718" s="22" t="str">
        <f>HYPERLINK("https://app.vivvix.com/360/KMI/IntelliDrive/ApplUI/Pages/CreativePages/CustomReportCreativeDetail.aspx?App=23&amp;ReportView=4&amp;Qid=1711279&amp;Row=9710&amp;Col=1","No Title Assigned - #15271410664")</f>
        <v/>
      </c>
      <c r="B9718" s="0" t="s">
        <v>13067</v>
      </c>
      <c r="C9718" s="0" t="s">
        <v>13068</v>
      </c>
      <c r="D9718" s="0" t="s">
        <v>13068</v>
      </c>
      <c r="E9718" s="0" t="inlineStr">
        <is>
          <t xml:space="preserve">Mazda</t>
        </is>
      </c>
      <c r="F9718" s="0" t="s">
        <v>13</v>
      </c>
      <c r="G9718" s="0" t="s">
        <v>49</v>
      </c>
      <c r="H9718" s="5">
        <v>129.504600</v>
      </c>
    </row>
    <row r="9719" spans="1:9">
      <c r="A9719" s="22" t="str">
        <f>HYPERLINK("https://app.vivvix.com/360/KMI/IntelliDrive/ApplUI/Pages/CreativePages/CustomReportCreativeDetail.aspx?App=23&amp;ReportView=4&amp;Qid=1711279&amp;Row=9711&amp;Col=1","No Title Assigned - #15271414529")</f>
        <v/>
      </c>
      <c r="B9719" s="0" t="s">
        <v>13069</v>
      </c>
      <c r="C9719" s="0" t="s">
        <v>13070</v>
      </c>
      <c r="D9719" s="0" t="s">
        <v>4335</v>
      </c>
      <c r="E9719" s="0" t="inlineStr">
        <is>
          <t xml:space="preserve">Mazda</t>
        </is>
      </c>
      <c r="F9719" s="0" t="s">
        <v>13</v>
      </c>
      <c r="G9719" s="0" t="s">
        <v>49</v>
      </c>
      <c r="H9719" s="5">
        <v>16.756000</v>
      </c>
    </row>
    <row r="9720" spans="1:9">
      <c r="A9720" s="22" t="str">
        <f>HYPERLINK("https://app.vivvix.com/360/KMI/IntelliDrive/ApplUI/Pages/CreativePages/CustomReportCreativeDetail.aspx?App=23&amp;ReportView=4&amp;Qid=1711279&amp;Row=9712&amp;Col=1","No Title Assigned - #15271414951")</f>
        <v/>
      </c>
      <c r="B9720" s="0" t="s">
        <v>13071</v>
      </c>
      <c r="C9720" s="0" t="s">
        <v>13072</v>
      </c>
      <c r="D9720" s="0" t="s">
        <v>4774</v>
      </c>
      <c r="E9720" s="0" t="inlineStr">
        <is>
          <t xml:space="preserve">Mazda</t>
        </is>
      </c>
      <c r="F9720" s="0" t="s">
        <v>13</v>
      </c>
      <c r="G9720" s="0" t="s">
        <v>49</v>
      </c>
      <c r="H9720" s="5">
        <v>504.718500</v>
      </c>
    </row>
    <row r="9721" spans="1:9">
      <c r="A9721" s="22" t="str">
        <f>HYPERLINK("https://app.vivvix.com/360/KMI/IntelliDrive/ApplUI/Pages/CreativePages/CustomReportCreativeDetail.aspx?App=23&amp;ReportView=4&amp;Qid=1711279&amp;Row=9713&amp;Col=1","No Title Assigned - #15271415324")</f>
        <v/>
      </c>
      <c r="B9721" s="0" t="s">
        <v>13073</v>
      </c>
      <c r="C9721" s="0" t="s">
        <v>13074</v>
      </c>
      <c r="D9721" s="0" t="s">
        <v>13074</v>
      </c>
      <c r="E9721" s="0" t="inlineStr">
        <is>
          <t xml:space="preserve">Mazda</t>
        </is>
      </c>
      <c r="F9721" s="0" t="inlineStr">
        <is>
          <t xml:space="preserve">Mazda</t>
        </is>
      </c>
      <c r="G9721" s="0" t="s">
        <v>171</v>
      </c>
      <c r="H9721" s="5">
        <v>445.233600</v>
      </c>
    </row>
    <row r="9722" spans="1:9">
      <c r="A9722" s="22" t="str">
        <f>HYPERLINK("https://app.vivvix.com/360/KMI/IntelliDrive/ApplUI/Pages/CreativePages/CustomReportCreativeDetail.aspx?App=23&amp;ReportView=4&amp;Qid=1711279&amp;Row=9714&amp;Col=1","No Title Assigned - #15271415947")</f>
        <v/>
      </c>
      <c r="B9722" s="0" t="s">
        <v>13075</v>
      </c>
      <c r="C9722" s="0" t="s">
        <v>13076</v>
      </c>
      <c r="D9722" s="0" t="s">
        <v>7920</v>
      </c>
      <c r="E9722" s="0" t="inlineStr">
        <is>
          <t xml:space="preserve">Mazda</t>
        </is>
      </c>
      <c r="F9722" s="0" t="s">
        <v>28</v>
      </c>
      <c r="G9722" s="0" t="s">
        <v>29</v>
      </c>
      <c r="H9722" s="5">
        <v>56.570900</v>
      </c>
    </row>
    <row r="9723" spans="1:9">
      <c r="A9723" s="22" t="str">
        <f>HYPERLINK("https://app.vivvix.com/360/KMI/IntelliDrive/ApplUI/Pages/CreativePages/CustomReportCreativeDetail.aspx?App=23&amp;ReportView=4&amp;Qid=1711279&amp;Row=9715&amp;Col=1","No Title Assigned - #15271416076")</f>
        <v/>
      </c>
      <c r="B9723" s="0" t="s">
        <v>13077</v>
      </c>
      <c r="C9723" s="0" t="s">
        <v>13078</v>
      </c>
      <c r="D9723" s="0" t="s">
        <v>13078</v>
      </c>
      <c r="E9723" s="0" t="inlineStr">
        <is>
          <t xml:space="preserve">Mazda</t>
        </is>
      </c>
      <c r="F9723" s="0" t="s">
        <v>13</v>
      </c>
      <c r="G9723" s="0" t="s">
        <v>49</v>
      </c>
      <c r="H9723" s="5">
        <v>26.226000</v>
      </c>
    </row>
    <row r="9724" spans="1:9">
      <c r="A9724" s="22" t="str">
        <f>HYPERLINK("https://app.vivvix.com/360/KMI/IntelliDrive/ApplUI/Pages/CreativePages/CustomReportCreativeDetail.aspx?App=23&amp;ReportView=4&amp;Qid=1711279&amp;Row=9716&amp;Col=1","No Title Assigned - #15271416267")</f>
        <v/>
      </c>
      <c r="B9724" s="0" t="s">
        <v>13079</v>
      </c>
      <c r="C9724" s="0" t="s">
        <v>13080</v>
      </c>
      <c r="D9724" s="0" t="s">
        <v>13080</v>
      </c>
      <c r="E9724" s="0" t="inlineStr">
        <is>
          <t xml:space="preserve">Mazda</t>
        </is>
      </c>
      <c r="F9724" s="0" t="s">
        <v>13</v>
      </c>
      <c r="G9724" s="0" t="s">
        <v>49</v>
      </c>
      <c r="H9724" s="5">
        <v>7.243600</v>
      </c>
    </row>
    <row r="9725" spans="1:9">
      <c r="A9725" s="22" t="str">
        <f>HYPERLINK("https://app.vivvix.com/360/KMI/IntelliDrive/ApplUI/Pages/CreativePages/CustomReportCreativeDetail.aspx?App=23&amp;ReportView=4&amp;Qid=1711279&amp;Row=9717&amp;Col=1","No Title Assigned - #15271416398")</f>
        <v/>
      </c>
      <c r="B9725" s="0" t="s">
        <v>13081</v>
      </c>
      <c r="C9725" s="0" t="s">
        <v>13082</v>
      </c>
      <c r="D9725" s="0" t="s">
        <v>13082</v>
      </c>
      <c r="E9725" s="0" t="inlineStr">
        <is>
          <t xml:space="preserve">Mazda</t>
        </is>
      </c>
      <c r="F9725" s="0" t="inlineStr">
        <is>
          <t xml:space="preserve">Mazda</t>
        </is>
      </c>
      <c r="G9725" s="0" t="s">
        <v>210</v>
      </c>
      <c r="H9725" s="5">
        <v>1281.066900</v>
      </c>
    </row>
    <row r="9726" spans="1:9">
      <c r="A9726" s="22" t="str">
        <f>HYPERLINK("https://app.vivvix.com/360/KMI/IntelliDrive/ApplUI/Pages/CreativePages/CustomReportCreativeDetail.aspx?App=23&amp;ReportView=4&amp;Qid=1711279&amp;Row=9718&amp;Col=1","No Title Assigned - #15271416777")</f>
        <v/>
      </c>
      <c r="B9726" s="0" t="s">
        <v>13083</v>
      </c>
      <c r="E9726" s="0" t="inlineStr">
        <is>
          <t xml:space="preserve">Mazda</t>
        </is>
      </c>
      <c r="F9726" s="0" t="inlineStr">
        <is>
          <t xml:space="preserve">Mazda</t>
        </is>
      </c>
      <c r="G9726" s="0" t="s">
        <v>171</v>
      </c>
      <c r="H9726" s="5">
        <v>659.235300</v>
      </c>
    </row>
    <row r="9727" spans="1:9">
      <c r="A9727" s="22" t="str">
        <f>HYPERLINK("https://app.vivvix.com/360/KMI/IntelliDrive/ApplUI/Pages/CreativePages/CustomReportCreativeDetail.aspx?App=23&amp;ReportView=4&amp;Qid=1711279&amp;Row=9719&amp;Col=1","No Title Assigned - #15271417459")</f>
        <v/>
      </c>
      <c r="B9727" s="0" t="s">
        <v>13084</v>
      </c>
      <c r="C9727" s="0" t="s">
        <v>13085</v>
      </c>
      <c r="D9727" s="0" t="s">
        <v>13085</v>
      </c>
      <c r="E9727" s="0" t="inlineStr">
        <is>
          <t xml:space="preserve">Mazda</t>
        </is>
      </c>
      <c r="F9727" s="0" t="s">
        <v>13</v>
      </c>
      <c r="G9727" s="0" t="s">
        <v>49</v>
      </c>
      <c r="H9727" s="5">
        <v>16.756000</v>
      </c>
    </row>
    <row r="9728" spans="1:9">
      <c r="A9728" s="22" t="str">
        <f>HYPERLINK("https://app.vivvix.com/360/KMI/IntelliDrive/ApplUI/Pages/CreativePages/CustomReportCreativeDetail.aspx?App=23&amp;ReportView=4&amp;Qid=1711279&amp;Row=9720&amp;Col=1","No Title Assigned - #15271417963")</f>
        <v/>
      </c>
      <c r="B9728" s="0" t="s">
        <v>13086</v>
      </c>
      <c r="C9728" s="0" t="s">
        <v>13087</v>
      </c>
      <c r="D9728" s="0" t="s">
        <v>5220</v>
      </c>
      <c r="E9728" s="0" t="inlineStr">
        <is>
          <t xml:space="preserve">Mazda</t>
        </is>
      </c>
      <c r="F9728" s="0" t="s">
        <v>28</v>
      </c>
      <c r="G9728" s="0" t="s">
        <v>29</v>
      </c>
      <c r="H9728" s="5">
        <v>7.598700</v>
      </c>
    </row>
    <row r="9729" spans="1:9">
      <c r="A9729" s="22" t="str">
        <f>HYPERLINK("https://app.vivvix.com/360/KMI/IntelliDrive/ApplUI/Pages/CreativePages/CustomReportCreativeDetail.aspx?App=23&amp;ReportView=4&amp;Qid=1711279&amp;Row=9721&amp;Col=1","No Title Assigned - #15271418980")</f>
        <v/>
      </c>
      <c r="B9729" s="0" t="s">
        <v>13088</v>
      </c>
      <c r="C9729" s="0" t="s">
        <v>13089</v>
      </c>
      <c r="D9729" s="0" t="s">
        <v>13089</v>
      </c>
      <c r="E9729" s="0" t="inlineStr">
        <is>
          <t xml:space="preserve">Mazda</t>
        </is>
      </c>
      <c r="F9729" s="0" t="s">
        <v>13</v>
      </c>
      <c r="G9729" s="0" t="s">
        <v>49</v>
      </c>
      <c r="H9729" s="5">
        <v>41.456700</v>
      </c>
    </row>
    <row r="9730" spans="1:9">
      <c r="A9730" s="22" t="str">
        <f>HYPERLINK("https://app.vivvix.com/360/KMI/IntelliDrive/ApplUI/Pages/CreativePages/CustomReportCreativeDetail.aspx?App=23&amp;ReportView=4&amp;Qid=1711279&amp;Row=9722&amp;Col=1","No Title Assigned - #15271419984")</f>
        <v/>
      </c>
      <c r="B9730" s="0" t="s">
        <v>13090</v>
      </c>
      <c r="C9730" s="0" t="s">
        <v>13091</v>
      </c>
      <c r="D9730" s="0" t="s">
        <v>13091</v>
      </c>
      <c r="E9730" s="0" t="inlineStr">
        <is>
          <t xml:space="preserve">Mazda</t>
        </is>
      </c>
      <c r="F9730" s="0" t="s">
        <v>13</v>
      </c>
      <c r="G9730" s="0" t="s">
        <v>49</v>
      </c>
      <c r="H9730" s="5">
        <v>439.262400</v>
      </c>
    </row>
    <row r="9731" spans="1:9">
      <c r="A9731" s="22" t="str">
        <f>HYPERLINK("https://app.vivvix.com/360/KMI/IntelliDrive/ApplUI/Pages/CreativePages/CustomReportCreativeDetail.aspx?App=23&amp;ReportView=4&amp;Qid=1711279&amp;Row=9723&amp;Col=1","No Title Assigned - #15271420467")</f>
        <v/>
      </c>
      <c r="B9731" s="0" t="s">
        <v>13092</v>
      </c>
      <c r="C9731" s="0" t="s">
        <v>13093</v>
      </c>
      <c r="D9731" s="0" t="s">
        <v>9155</v>
      </c>
      <c r="E9731" s="0" t="inlineStr">
        <is>
          <t xml:space="preserve">Mazda</t>
        </is>
      </c>
      <c r="F9731" s="0" t="s">
        <v>13</v>
      </c>
      <c r="G9731" s="0" t="s">
        <v>49</v>
      </c>
      <c r="H9731" s="5">
        <v>221.060400</v>
      </c>
    </row>
    <row r="9732" spans="1:9">
      <c r="A9732" s="22" t="str">
        <f>HYPERLINK("https://app.vivvix.com/360/KMI/IntelliDrive/ApplUI/Pages/CreativePages/CustomReportCreativeDetail.aspx?App=23&amp;ReportView=4&amp;Qid=1711279&amp;Row=9724&amp;Col=1","No Title Assigned - #15271421758")</f>
        <v/>
      </c>
      <c r="B9732" s="0" t="s">
        <v>13094</v>
      </c>
      <c r="C9732" s="0" t="s">
        <v>13095</v>
      </c>
      <c r="D9732" s="0" t="s">
        <v>13095</v>
      </c>
      <c r="E9732" s="0" t="inlineStr">
        <is>
          <t xml:space="preserve">Mazda</t>
        </is>
      </c>
      <c r="F9732" s="0" t="s">
        <v>28</v>
      </c>
      <c r="G9732" s="0" t="s">
        <v>29</v>
      </c>
      <c r="H9732" s="5">
        <v>64.765100</v>
      </c>
    </row>
    <row r="9733" spans="1:9">
      <c r="A9733" s="22" t="str">
        <f>HYPERLINK("https://app.vivvix.com/360/KMI/IntelliDrive/ApplUI/Pages/CreativePages/CustomReportCreativeDetail.aspx?App=23&amp;ReportView=4&amp;Qid=1711279&amp;Row=9725&amp;Col=1","No Title Assigned - #15271422175")</f>
        <v/>
      </c>
      <c r="B9733" s="0" t="s">
        <v>13096</v>
      </c>
      <c r="C9733" s="0" t="s">
        <v>13097</v>
      </c>
      <c r="D9733" s="0" t="s">
        <v>11560</v>
      </c>
      <c r="E9733" s="0" t="inlineStr">
        <is>
          <t xml:space="preserve">Mazda</t>
        </is>
      </c>
      <c r="F9733" s="0" t="s">
        <v>13</v>
      </c>
      <c r="G9733" s="0" t="s">
        <v>49</v>
      </c>
      <c r="H9733" s="5">
        <v>210.528800</v>
      </c>
    </row>
    <row r="9734" spans="1:9">
      <c r="A9734" s="22" t="str">
        <f>HYPERLINK("https://app.vivvix.com/360/KMI/IntelliDrive/ApplUI/Pages/CreativePages/CustomReportCreativeDetail.aspx?App=23&amp;ReportView=4&amp;Qid=1711279&amp;Row=9726&amp;Col=1","No Title Assigned - #15271422318")</f>
        <v/>
      </c>
      <c r="B9734" s="0" t="s">
        <v>13098</v>
      </c>
      <c r="C9734" s="0" t="s">
        <v>13099</v>
      </c>
      <c r="D9734" s="0" t="s">
        <v>13099</v>
      </c>
      <c r="E9734" s="0" t="inlineStr">
        <is>
          <t xml:space="preserve">Mazda</t>
        </is>
      </c>
      <c r="F9734" s="0" t="s">
        <v>28</v>
      </c>
      <c r="G9734" s="0" t="s">
        <v>29</v>
      </c>
      <c r="H9734" s="5">
        <v>169.952800</v>
      </c>
    </row>
    <row r="9735" spans="1:9">
      <c r="A9735" s="22" t="str">
        <f>HYPERLINK("https://app.vivvix.com/360/KMI/IntelliDrive/ApplUI/Pages/CreativePages/CustomReportCreativeDetail.aspx?App=23&amp;ReportView=4&amp;Qid=1711279&amp;Row=9727&amp;Col=1","No Title Assigned - #15271422673")</f>
        <v/>
      </c>
      <c r="B9735" s="0" t="s">
        <v>13100</v>
      </c>
      <c r="C9735" s="0" t="s">
        <v>13101</v>
      </c>
      <c r="D9735" s="0" t="s">
        <v>13101</v>
      </c>
      <c r="E9735" s="0" t="inlineStr">
        <is>
          <t xml:space="preserve">Mazda</t>
        </is>
      </c>
      <c r="F9735" s="0" t="s">
        <v>13</v>
      </c>
      <c r="G9735" s="0" t="s">
        <v>49</v>
      </c>
      <c r="H9735" s="5">
        <v>1697.603900</v>
      </c>
    </row>
    <row r="9736" spans="1:9">
      <c r="A9736" s="22" t="str">
        <f>HYPERLINK("https://app.vivvix.com/360/KMI/IntelliDrive/ApplUI/Pages/CreativePages/CustomReportCreativeDetail.aspx?App=23&amp;ReportView=4&amp;Qid=1711279&amp;Row=9728&amp;Col=1","No Title Assigned - #15271423865")</f>
        <v/>
      </c>
      <c r="B9736" s="0" t="s">
        <v>13102</v>
      </c>
      <c r="C9736" s="0" t="s">
        <v>13103</v>
      </c>
      <c r="D9736" s="0" t="s">
        <v>9713</v>
      </c>
      <c r="E9736" s="0" t="inlineStr">
        <is>
          <t xml:space="preserve">Mazda</t>
        </is>
      </c>
      <c r="F9736" s="0" t="s">
        <v>13</v>
      </c>
      <c r="G9736" s="0" t="s">
        <v>49</v>
      </c>
      <c r="H9736" s="5">
        <v>208.956100</v>
      </c>
    </row>
    <row r="9737" spans="1:9">
      <c r="A9737" s="22" t="str">
        <f>HYPERLINK("https://app.vivvix.com/360/KMI/IntelliDrive/ApplUI/Pages/CreativePages/CustomReportCreativeDetail.aspx?App=23&amp;ReportView=4&amp;Qid=1711279&amp;Row=9729&amp;Col=1","No Title Assigned - #15271424315")</f>
        <v/>
      </c>
      <c r="B9737" s="0" t="s">
        <v>13104</v>
      </c>
      <c r="C9737" s="0" t="s">
        <v>13105</v>
      </c>
      <c r="D9737" s="0" t="s">
        <v>10407</v>
      </c>
      <c r="E9737" s="0" t="inlineStr">
        <is>
          <t xml:space="preserve">Mazda</t>
        </is>
      </c>
      <c r="F9737" s="0" t="s">
        <v>13</v>
      </c>
      <c r="G9737" s="0" t="s">
        <v>49</v>
      </c>
      <c r="H9737" s="5">
        <v>43.944300</v>
      </c>
    </row>
    <row r="9738" spans="1:9">
      <c r="A9738" s="22" t="str">
        <f>HYPERLINK("https://app.vivvix.com/360/KMI/IntelliDrive/ApplUI/Pages/CreativePages/CustomReportCreativeDetail.aspx?App=23&amp;ReportView=4&amp;Qid=1711279&amp;Row=9730&amp;Col=1","No Title Assigned - #15271424970")</f>
        <v/>
      </c>
      <c r="B9738" s="0" t="s">
        <v>13106</v>
      </c>
      <c r="C9738" s="0" t="s">
        <v>13107</v>
      </c>
      <c r="D9738" s="0" t="s">
        <v>4204</v>
      </c>
      <c r="E9738" s="0" t="inlineStr">
        <is>
          <t xml:space="preserve">Mazda</t>
        </is>
      </c>
      <c r="F9738" s="0" t="s">
        <v>28</v>
      </c>
      <c r="G9738" s="0" t="s">
        <v>29</v>
      </c>
      <c r="H9738" s="5">
        <v>6.527100</v>
      </c>
    </row>
    <row r="9739" spans="1:9">
      <c r="A9739" s="22" t="str">
        <f>HYPERLINK("https://app.vivvix.com/360/KMI/IntelliDrive/ApplUI/Pages/CreativePages/CustomReportCreativeDetail.aspx?App=23&amp;ReportView=4&amp;Qid=1711279&amp;Row=9731&amp;Col=1","No Title Assigned - #15271427068")</f>
        <v/>
      </c>
      <c r="B9739" s="0" t="s">
        <v>13108</v>
      </c>
      <c r="C9739" s="0" t="s">
        <v>13109</v>
      </c>
      <c r="D9739" s="0" t="s">
        <v>13109</v>
      </c>
      <c r="E9739" s="0" t="inlineStr">
        <is>
          <t xml:space="preserve">Mazda</t>
        </is>
      </c>
      <c r="F9739" s="0" t="s">
        <v>13</v>
      </c>
      <c r="G9739" s="0" t="s">
        <v>49</v>
      </c>
      <c r="H9739" s="5">
        <v>124.899900</v>
      </c>
    </row>
    <row r="9740" spans="1:9">
      <c r="A9740" s="22" t="str">
        <f>HYPERLINK("https://app.vivvix.com/360/KMI/IntelliDrive/ApplUI/Pages/CreativePages/CustomReportCreativeDetail.aspx?App=23&amp;ReportView=4&amp;Qid=1711279&amp;Row=9732&amp;Col=1","No Title Assigned - #15271427220")</f>
        <v/>
      </c>
      <c r="B9740" s="0" t="s">
        <v>13110</v>
      </c>
      <c r="C9740" s="0" t="s">
        <v>13111</v>
      </c>
      <c r="D9740" s="0" t="s">
        <v>13111</v>
      </c>
      <c r="E9740" s="0" t="inlineStr">
        <is>
          <t xml:space="preserve">Mazda</t>
        </is>
      </c>
      <c r="F9740" s="0" t="s">
        <v>13</v>
      </c>
      <c r="G9740" s="0" t="s">
        <v>49</v>
      </c>
      <c r="H9740" s="5">
        <v>229.709000</v>
      </c>
    </row>
    <row r="9741" spans="1:9">
      <c r="A9741" s="22" t="str">
        <f>HYPERLINK("https://app.vivvix.com/360/KMI/IntelliDrive/ApplUI/Pages/CreativePages/CustomReportCreativeDetail.aspx?App=23&amp;ReportView=4&amp;Qid=1711279&amp;Row=9733&amp;Col=1","No Title Assigned - #15271428739")</f>
        <v/>
      </c>
      <c r="B9741" s="0" t="s">
        <v>13112</v>
      </c>
      <c r="C9741" s="0" t="s">
        <v>13113</v>
      </c>
      <c r="D9741" s="0" t="s">
        <v>13113</v>
      </c>
      <c r="E9741" s="0" t="inlineStr">
        <is>
          <t xml:space="preserve">Mazda</t>
        </is>
      </c>
      <c r="F9741" s="0" t="s">
        <v>28</v>
      </c>
      <c r="G9741" s="0" t="s">
        <v>29</v>
      </c>
      <c r="H9741" s="5">
        <v>21.141500</v>
      </c>
    </row>
    <row r="9742" spans="1:9">
      <c r="A9742" s="22" t="str">
        <f>HYPERLINK("https://app.vivvix.com/360/KMI/IntelliDrive/ApplUI/Pages/CreativePages/CustomReportCreativeDetail.aspx?App=23&amp;ReportView=4&amp;Qid=1711279&amp;Row=9734&amp;Col=1","No Title Assigned - #15271429620")</f>
        <v/>
      </c>
      <c r="B9742" s="0" t="s">
        <v>13114</v>
      </c>
      <c r="C9742" s="0" t="s">
        <v>13115</v>
      </c>
      <c r="D9742" s="0" t="s">
        <v>4225</v>
      </c>
      <c r="E9742" s="0" t="inlineStr">
        <is>
          <t xml:space="preserve">Mazda</t>
        </is>
      </c>
      <c r="F9742" s="0" t="s">
        <v>28</v>
      </c>
      <c r="G9742" s="0" t="s">
        <v>29</v>
      </c>
      <c r="H9742" s="5">
        <v>21.962300</v>
      </c>
    </row>
    <row r="9743" spans="1:9">
      <c r="A9743" s="22" t="str">
        <f>HYPERLINK("https://app.vivvix.com/360/KMI/IntelliDrive/ApplUI/Pages/CreativePages/CustomReportCreativeDetail.aspx?App=23&amp;ReportView=4&amp;Qid=1711279&amp;Row=9735&amp;Col=1","No Title Assigned - #15271431263")</f>
        <v/>
      </c>
      <c r="B9743" s="0" t="s">
        <v>13116</v>
      </c>
      <c r="C9743" s="0" t="s">
        <v>13117</v>
      </c>
      <c r="D9743" s="0" t="s">
        <v>4774</v>
      </c>
      <c r="E9743" s="0" t="inlineStr">
        <is>
          <t xml:space="preserve">Mazda</t>
        </is>
      </c>
      <c r="F9743" s="0" t="s">
        <v>13</v>
      </c>
      <c r="G9743" s="0" t="s">
        <v>49</v>
      </c>
      <c r="H9743" s="5">
        <v>140.013000</v>
      </c>
    </row>
    <row r="9744" spans="1:9">
      <c r="A9744" s="22" t="str">
        <f>HYPERLINK("https://app.vivvix.com/360/KMI/IntelliDrive/ApplUI/Pages/CreativePages/CustomReportCreativeDetail.aspx?App=23&amp;ReportView=4&amp;Qid=1711279&amp;Row=9736&amp;Col=1","No Title Assigned - #15271431468")</f>
        <v/>
      </c>
      <c r="B9744" s="0" t="s">
        <v>13118</v>
      </c>
      <c r="C9744" s="0" t="s">
        <v>13119</v>
      </c>
      <c r="D9744" s="0" t="s">
        <v>13119</v>
      </c>
      <c r="E9744" s="0" t="inlineStr">
        <is>
          <t xml:space="preserve">Mazda</t>
        </is>
      </c>
      <c r="F9744" s="0" t="s">
        <v>13</v>
      </c>
      <c r="G9744" s="0" t="s">
        <v>49</v>
      </c>
      <c r="H9744" s="5">
        <v>3144.023400</v>
      </c>
    </row>
    <row r="9745" spans="1:9">
      <c r="A9745" s="22" t="str">
        <f>HYPERLINK("https://app.vivvix.com/360/KMI/IntelliDrive/ApplUI/Pages/CreativePages/CustomReportCreativeDetail.aspx?App=23&amp;ReportView=4&amp;Qid=1711279&amp;Row=9737&amp;Col=1","No Title Assigned - #15271431580")</f>
        <v/>
      </c>
      <c r="B9745" s="0" t="s">
        <v>13120</v>
      </c>
      <c r="E9745" s="0" t="inlineStr">
        <is>
          <t xml:space="preserve">Mazda</t>
        </is>
      </c>
      <c r="F9745" s="0" t="s">
        <v>13</v>
      </c>
      <c r="G9745" s="0" t="s">
        <v>49</v>
      </c>
      <c r="H9745" s="5">
        <v>133.221300</v>
      </c>
    </row>
    <row r="9746" spans="1:9">
      <c r="A9746" s="22" t="str">
        <f>HYPERLINK("https://app.vivvix.com/360/KMI/IntelliDrive/ApplUI/Pages/CreativePages/CustomReportCreativeDetail.aspx?App=23&amp;ReportView=4&amp;Qid=1711279&amp;Row=9738&amp;Col=1","No Title Assigned - #15271431580")</f>
        <v/>
      </c>
      <c r="B9746" s="0" t="s">
        <v>13120</v>
      </c>
      <c r="C9746" s="0" t="s">
        <v>13121</v>
      </c>
      <c r="D9746" s="0" t="s">
        <v>13121</v>
      </c>
      <c r="E9746" s="0" t="inlineStr">
        <is>
          <t xml:space="preserve">Mazda</t>
        </is>
      </c>
      <c r="F9746" s="0" t="s">
        <v>13</v>
      </c>
      <c r="G9746" s="0" t="s">
        <v>49</v>
      </c>
      <c r="H9746" s="5">
        <v>3144.023400</v>
      </c>
    </row>
    <row r="9747" spans="1:9">
      <c r="A9747" s="22" t="str">
        <f>HYPERLINK("https://app.vivvix.com/360/KMI/IntelliDrive/ApplUI/Pages/CreativePages/CustomReportCreativeDetail.aspx?App=23&amp;ReportView=4&amp;Qid=1711279&amp;Row=9739&amp;Col=1","No Title Assigned - #15271433434")</f>
        <v/>
      </c>
      <c r="B9747" s="0" t="s">
        <v>13122</v>
      </c>
      <c r="E9747" s="0" t="inlineStr">
        <is>
          <t xml:space="preserve">Mazda</t>
        </is>
      </c>
      <c r="F9747" s="0" t="inlineStr">
        <is>
          <t xml:space="preserve">Mazda</t>
        </is>
      </c>
      <c r="G9747" s="0" t="s">
        <v>171</v>
      </c>
      <c r="H9747" s="5">
        <v>2.964800</v>
      </c>
    </row>
    <row r="9748" spans="1:9">
      <c r="A9748" s="22" t="str">
        <f>HYPERLINK("https://app.vivvix.com/360/KMI/IntelliDrive/ApplUI/Pages/CreativePages/CustomReportCreativeDetail.aspx?App=23&amp;ReportView=4&amp;Qid=1711279&amp;Row=9740&amp;Col=1","No Title Assigned - #15271433483")</f>
        <v/>
      </c>
      <c r="B9748" s="0" t="s">
        <v>13123</v>
      </c>
      <c r="C9748" s="0" t="s">
        <v>13124</v>
      </c>
      <c r="D9748" s="0" t="s">
        <v>4333</v>
      </c>
      <c r="E9748" s="0" t="inlineStr">
        <is>
          <t xml:space="preserve">Mazda</t>
        </is>
      </c>
      <c r="F9748" s="0" t="s">
        <v>28</v>
      </c>
      <c r="G9748" s="0" t="s">
        <v>29</v>
      </c>
      <c r="H9748" s="5">
        <v>33.333200</v>
      </c>
    </row>
    <row r="9749" spans="1:9">
      <c r="A9749" s="22" t="str">
        <f>HYPERLINK("https://app.vivvix.com/360/KMI/IntelliDrive/ApplUI/Pages/CreativePages/CustomReportCreativeDetail.aspx?App=23&amp;ReportView=4&amp;Qid=1711279&amp;Row=9741&amp;Col=1","No Title Assigned - #15271433553")</f>
        <v/>
      </c>
      <c r="B9749" s="0" t="s">
        <v>13125</v>
      </c>
      <c r="C9749" s="0" t="s">
        <v>13126</v>
      </c>
      <c r="D9749" s="0" t="s">
        <v>4202</v>
      </c>
      <c r="E9749" s="0" t="inlineStr">
        <is>
          <t xml:space="preserve">Mazda</t>
        </is>
      </c>
      <c r="F9749" s="0" t="s">
        <v>28</v>
      </c>
      <c r="G9749" s="0" t="s">
        <v>29</v>
      </c>
      <c r="H9749" s="5">
        <v>11.055000</v>
      </c>
    </row>
    <row r="9750" spans="1:9">
      <c r="A9750" s="22" t="str">
        <f>HYPERLINK("https://app.vivvix.com/360/KMI/IntelliDrive/ApplUI/Pages/CreativePages/CustomReportCreativeDetail.aspx?App=23&amp;ReportView=4&amp;Qid=1711279&amp;Row=9742&amp;Col=1","No Title Assigned - #15271434537")</f>
        <v/>
      </c>
      <c r="B9750" s="0" t="s">
        <v>13127</v>
      </c>
      <c r="E9750" s="0" t="inlineStr">
        <is>
          <t xml:space="preserve">Mazda</t>
        </is>
      </c>
      <c r="F9750" s="0" t="s">
        <v>28</v>
      </c>
      <c r="G9750" s="0" t="s">
        <v>29</v>
      </c>
      <c r="H9750" s="5">
        <v>86.707400</v>
      </c>
    </row>
    <row r="9751" spans="1:9">
      <c r="A9751" s="22" t="str">
        <f>HYPERLINK("https://app.vivvix.com/360/KMI/IntelliDrive/ApplUI/Pages/CreativePages/CustomReportCreativeDetail.aspx?App=23&amp;ReportView=4&amp;Qid=1711279&amp;Row=9743&amp;Col=1","No Title Assigned - #15271435210")</f>
        <v/>
      </c>
      <c r="B9751" s="0" t="s">
        <v>13128</v>
      </c>
      <c r="C9751" s="0" t="s">
        <v>13129</v>
      </c>
      <c r="D9751" s="0" t="s">
        <v>4202</v>
      </c>
      <c r="E9751" s="0" t="inlineStr">
        <is>
          <t xml:space="preserve">Mazda</t>
        </is>
      </c>
      <c r="F9751" s="0" t="s">
        <v>28</v>
      </c>
      <c r="G9751" s="0" t="s">
        <v>29</v>
      </c>
      <c r="H9751" s="5">
        <v>628.423100</v>
      </c>
    </row>
    <row r="9752" spans="1:9">
      <c r="A9752" s="22" t="str">
        <f>HYPERLINK("https://app.vivvix.com/360/KMI/IntelliDrive/ApplUI/Pages/CreativePages/CustomReportCreativeDetail.aspx?App=23&amp;ReportView=4&amp;Qid=1711279&amp;Row=9744&amp;Col=1","No Title Assigned - #15271436744")</f>
        <v/>
      </c>
      <c r="B9752" s="0" t="s">
        <v>13130</v>
      </c>
      <c r="C9752" s="0" t="s">
        <v>13131</v>
      </c>
      <c r="D9752" s="0" t="s">
        <v>4204</v>
      </c>
      <c r="E9752" s="0" t="inlineStr">
        <is>
          <t xml:space="preserve">Mazda</t>
        </is>
      </c>
      <c r="F9752" s="0" t="s">
        <v>28</v>
      </c>
      <c r="G9752" s="0" t="s">
        <v>29</v>
      </c>
      <c r="H9752" s="5">
        <v>2321.540700</v>
      </c>
    </row>
    <row r="9753" spans="1:9">
      <c r="A9753" s="22" t="str">
        <f>HYPERLINK("https://app.vivvix.com/360/KMI/IntelliDrive/ApplUI/Pages/CreativePages/CustomReportCreativeDetail.aspx?App=23&amp;ReportView=4&amp;Qid=1711279&amp;Row=9745&amp;Col=1","No Title Assigned - #15271436985")</f>
        <v/>
      </c>
      <c r="B9753" s="0" t="s">
        <v>13132</v>
      </c>
      <c r="C9753" s="0" t="s">
        <v>13133</v>
      </c>
      <c r="D9753" s="0" t="s">
        <v>4225</v>
      </c>
      <c r="E9753" s="0" t="inlineStr">
        <is>
          <t xml:space="preserve">Mazda</t>
        </is>
      </c>
      <c r="F9753" s="0" t="s">
        <v>28</v>
      </c>
      <c r="G9753" s="0" t="s">
        <v>29</v>
      </c>
      <c r="H9753" s="5">
        <v>59.331600</v>
      </c>
    </row>
    <row r="9754" spans="1:9">
      <c r="A9754" s="22" t="str">
        <f>HYPERLINK("https://app.vivvix.com/360/KMI/IntelliDrive/ApplUI/Pages/CreativePages/CustomReportCreativeDetail.aspx?App=23&amp;ReportView=4&amp;Qid=1711279&amp;Row=9746&amp;Col=1","No Title Assigned - #15271437911")</f>
        <v/>
      </c>
      <c r="B9754" s="0" t="s">
        <v>13134</v>
      </c>
      <c r="E9754" s="0" t="inlineStr">
        <is>
          <t xml:space="preserve">Mazda</t>
        </is>
      </c>
      <c r="F9754" s="0" t="inlineStr">
        <is>
          <t xml:space="preserve">Mazda</t>
        </is>
      </c>
      <c r="G9754" s="0" t="s">
        <v>171</v>
      </c>
      <c r="H9754" s="5">
        <v>1539.908200</v>
      </c>
    </row>
    <row r="9755" spans="1:9">
      <c r="A9755" s="22" t="str">
        <f>HYPERLINK("https://app.vivvix.com/360/KMI/IntelliDrive/ApplUI/Pages/CreativePages/CustomReportCreativeDetail.aspx?App=23&amp;ReportView=4&amp;Qid=1711279&amp;Row=9747&amp;Col=1","No Title Assigned - #15271438030")</f>
        <v/>
      </c>
      <c r="B9755" s="0" t="s">
        <v>13135</v>
      </c>
      <c r="C9755" s="0" t="s">
        <v>13136</v>
      </c>
      <c r="D9755" s="0" t="s">
        <v>13136</v>
      </c>
      <c r="E9755" s="0" t="inlineStr">
        <is>
          <t xml:space="preserve">Mazda</t>
        </is>
      </c>
      <c r="F9755" s="0" t="s">
        <v>28</v>
      </c>
      <c r="G9755" s="0" t="s">
        <v>29</v>
      </c>
      <c r="H9755" s="5">
        <v>27389.418000</v>
      </c>
    </row>
    <row r="9756" spans="1:9">
      <c r="A9756" s="22" t="str">
        <f>HYPERLINK("https://app.vivvix.com/360/KMI/IntelliDrive/ApplUI/Pages/CreativePages/CustomReportCreativeDetail.aspx?App=23&amp;ReportView=4&amp;Qid=1711279&amp;Row=9748&amp;Col=1","No Title Assigned - #15271438530")</f>
        <v/>
      </c>
      <c r="B9756" s="0" t="s">
        <v>13137</v>
      </c>
      <c r="C9756" s="0" t="s">
        <v>13138</v>
      </c>
      <c r="D9756" s="0" t="s">
        <v>4202</v>
      </c>
      <c r="E9756" s="0" t="inlineStr">
        <is>
          <t xml:space="preserve">Mazda</t>
        </is>
      </c>
      <c r="F9756" s="0" t="s">
        <v>28</v>
      </c>
      <c r="G9756" s="0" t="s">
        <v>29</v>
      </c>
      <c r="H9756" s="5">
        <v>286.750600</v>
      </c>
    </row>
    <row r="9757" spans="1:9">
      <c r="A9757" s="22" t="str">
        <f>HYPERLINK("https://app.vivvix.com/360/KMI/IntelliDrive/ApplUI/Pages/CreativePages/CustomReportCreativeDetail.aspx?App=23&amp;ReportView=4&amp;Qid=1711279&amp;Row=9749&amp;Col=1","No Title Assigned - #15271438722")</f>
        <v/>
      </c>
      <c r="B9757" s="0" t="s">
        <v>13139</v>
      </c>
      <c r="C9757" s="0" t="s">
        <v>13140</v>
      </c>
      <c r="D9757" s="0" t="s">
        <v>4335</v>
      </c>
      <c r="E9757" s="0" t="inlineStr">
        <is>
          <t xml:space="preserve">Mazda</t>
        </is>
      </c>
      <c r="F9757" s="0" t="s">
        <v>13</v>
      </c>
      <c r="G9757" s="0" t="s">
        <v>49</v>
      </c>
      <c r="H9757" s="5">
        <v>445.233600</v>
      </c>
    </row>
    <row r="9758" spans="1:9">
      <c r="A9758" s="22" t="str">
        <f>HYPERLINK("https://app.vivvix.com/360/KMI/IntelliDrive/ApplUI/Pages/CreativePages/CustomReportCreativeDetail.aspx?App=23&amp;ReportView=4&amp;Qid=1711279&amp;Row=9750&amp;Col=1","No Title Assigned - #15271439721")</f>
        <v/>
      </c>
      <c r="B9758" s="0" t="s">
        <v>13141</v>
      </c>
      <c r="C9758" s="0" t="s">
        <v>13142</v>
      </c>
      <c r="D9758" s="0" t="s">
        <v>8520</v>
      </c>
      <c r="E9758" s="0" t="inlineStr">
        <is>
          <t xml:space="preserve">Mazda</t>
        </is>
      </c>
      <c r="F9758" s="0" t="s">
        <v>13</v>
      </c>
      <c r="G9758" s="0" t="s">
        <v>49</v>
      </c>
      <c r="H9758" s="5">
        <v>41.414600</v>
      </c>
    </row>
    <row r="9759" spans="1:9">
      <c r="A9759" s="22" t="str">
        <f>HYPERLINK("https://app.vivvix.com/360/KMI/IntelliDrive/ApplUI/Pages/CreativePages/CustomReportCreativeDetail.aspx?App=23&amp;ReportView=4&amp;Qid=1711279&amp;Row=9751&amp;Col=1","No Title Assigned - #15271440547")</f>
        <v/>
      </c>
      <c r="B9759" s="0" t="s">
        <v>13143</v>
      </c>
      <c r="E9759" s="0" t="inlineStr">
        <is>
          <t xml:space="preserve">Mazda</t>
        </is>
      </c>
      <c r="F9759" s="0" t="s">
        <v>28</v>
      </c>
      <c r="G9759" s="0" t="s">
        <v>29</v>
      </c>
      <c r="H9759" s="5">
        <v>21.471300</v>
      </c>
    </row>
    <row r="9760" spans="1:9">
      <c r="A9760" s="22" t="str">
        <f>HYPERLINK("https://app.vivvix.com/360/KMI/IntelliDrive/ApplUI/Pages/CreativePages/CustomReportCreativeDetail.aspx?App=23&amp;ReportView=4&amp;Qid=1711279&amp;Row=9752&amp;Col=1","No Title Assigned - #15271440861")</f>
        <v/>
      </c>
      <c r="B9760" s="0" t="s">
        <v>13144</v>
      </c>
      <c r="C9760" s="0" t="s">
        <v>13145</v>
      </c>
      <c r="D9760" s="0" t="s">
        <v>13145</v>
      </c>
      <c r="E9760" s="0" t="inlineStr">
        <is>
          <t xml:space="preserve">Mazda</t>
        </is>
      </c>
      <c r="F9760" s="0" t="s">
        <v>28</v>
      </c>
      <c r="G9760" s="0" t="s">
        <v>29</v>
      </c>
      <c r="H9760" s="5">
        <v>244.731800</v>
      </c>
    </row>
    <row r="9761" spans="1:9">
      <c r="A9761" s="22" t="str">
        <f>HYPERLINK("https://app.vivvix.com/360/KMI/IntelliDrive/ApplUI/Pages/CreativePages/CustomReportCreativeDetail.aspx?App=23&amp;ReportView=4&amp;Qid=1711279&amp;Row=9753&amp;Col=1","No Title Assigned - #15271441248")</f>
        <v/>
      </c>
      <c r="B9761" s="0" t="s">
        <v>13146</v>
      </c>
      <c r="C9761" s="0" t="s">
        <v>13147</v>
      </c>
      <c r="D9761" s="0" t="s">
        <v>4225</v>
      </c>
      <c r="E9761" s="0" t="inlineStr">
        <is>
          <t xml:space="preserve">Mazda</t>
        </is>
      </c>
      <c r="F9761" s="0" t="s">
        <v>28</v>
      </c>
      <c r="G9761" s="0" t="s">
        <v>29</v>
      </c>
      <c r="H9761" s="5">
        <v>323.375100</v>
      </c>
    </row>
    <row r="9762" spans="1:9">
      <c r="A9762" s="22" t="str">
        <f>HYPERLINK("https://app.vivvix.com/360/KMI/IntelliDrive/ApplUI/Pages/CreativePages/CustomReportCreativeDetail.aspx?App=23&amp;ReportView=4&amp;Qid=1711279&amp;Row=9754&amp;Col=1","No Title Assigned - #15271441437")</f>
        <v/>
      </c>
      <c r="B9762" s="0" t="s">
        <v>13148</v>
      </c>
      <c r="C9762" s="0" t="s">
        <v>13149</v>
      </c>
      <c r="D9762" s="0" t="s">
        <v>8551</v>
      </c>
      <c r="E9762" s="0" t="inlineStr">
        <is>
          <t xml:space="preserve">Mazda</t>
        </is>
      </c>
      <c r="F9762" s="0" t="s">
        <v>13</v>
      </c>
      <c r="G9762" s="0" t="s">
        <v>49</v>
      </c>
      <c r="H9762" s="5">
        <v>19.976700</v>
      </c>
    </row>
    <row r="9763" spans="1:9">
      <c r="A9763" s="22" t="str">
        <f>HYPERLINK("https://app.vivvix.com/360/KMI/IntelliDrive/ApplUI/Pages/CreativePages/CustomReportCreativeDetail.aspx?App=23&amp;ReportView=4&amp;Qid=1711279&amp;Row=9755&amp;Col=1","No Title Assigned - #15271441776")</f>
        <v/>
      </c>
      <c r="B9763" s="0" t="s">
        <v>13150</v>
      </c>
      <c r="C9763" s="0" t="s">
        <v>13151</v>
      </c>
      <c r="D9763" s="0" t="s">
        <v>6170</v>
      </c>
      <c r="E9763" s="0" t="inlineStr">
        <is>
          <t xml:space="preserve">Mazda</t>
        </is>
      </c>
      <c r="F9763" s="0" t="s">
        <v>28</v>
      </c>
      <c r="G9763" s="0" t="s">
        <v>29</v>
      </c>
      <c r="H9763" s="5">
        <v>9.401000</v>
      </c>
    </row>
    <row r="9764" spans="1:9">
      <c r="A9764" s="22" t="str">
        <f>HYPERLINK("https://app.vivvix.com/360/KMI/IntelliDrive/ApplUI/Pages/CreativePages/CustomReportCreativeDetail.aspx?App=23&amp;ReportView=4&amp;Qid=1711279&amp;Row=9756&amp;Col=1","No Title Assigned - #15271442148")</f>
        <v/>
      </c>
      <c r="B9764" s="0" t="s">
        <v>13152</v>
      </c>
      <c r="C9764" s="0" t="s">
        <v>13153</v>
      </c>
      <c r="D9764" s="0" t="s">
        <v>13153</v>
      </c>
      <c r="E9764" s="0" t="inlineStr">
        <is>
          <t xml:space="preserve">Mazda</t>
        </is>
      </c>
      <c r="F9764" s="0" t="s">
        <v>28</v>
      </c>
      <c r="G9764" s="0" t="s">
        <v>29</v>
      </c>
      <c r="H9764" s="5">
        <v>13.764700</v>
      </c>
    </row>
    <row r="9765" spans="1:9">
      <c r="A9765" s="22" t="str">
        <f>HYPERLINK("https://app.vivvix.com/360/KMI/IntelliDrive/ApplUI/Pages/CreativePages/CustomReportCreativeDetail.aspx?App=23&amp;ReportView=4&amp;Qid=1711279&amp;Row=9757&amp;Col=1","No Title Assigned - #15271442299")</f>
        <v/>
      </c>
      <c r="B9765" s="0" t="s">
        <v>13154</v>
      </c>
      <c r="C9765" s="0" t="s">
        <v>13155</v>
      </c>
      <c r="D9765" s="0" t="s">
        <v>13155</v>
      </c>
      <c r="E9765" s="0" t="inlineStr">
        <is>
          <t xml:space="preserve">Mazda</t>
        </is>
      </c>
      <c r="F9765" s="0" t="s">
        <v>28</v>
      </c>
      <c r="G9765" s="0" t="s">
        <v>29</v>
      </c>
      <c r="H9765" s="5">
        <v>60.538400</v>
      </c>
    </row>
    <row r="9766" spans="1:9">
      <c r="A9766" s="22" t="str">
        <f>HYPERLINK("https://app.vivvix.com/360/KMI/IntelliDrive/ApplUI/Pages/CreativePages/CustomReportCreativeDetail.aspx?App=23&amp;ReportView=4&amp;Qid=1711279&amp;Row=9758&amp;Col=1","No Title Assigned - #15271442394")</f>
        <v/>
      </c>
      <c r="B9766" s="0" t="s">
        <v>13156</v>
      </c>
      <c r="C9766" s="0" t="s">
        <v>13157</v>
      </c>
      <c r="D9766" s="0" t="s">
        <v>13157</v>
      </c>
      <c r="E9766" s="0" t="inlineStr">
        <is>
          <t xml:space="preserve">Mazda</t>
        </is>
      </c>
      <c r="F9766" s="0" t="s">
        <v>28</v>
      </c>
      <c r="G9766" s="0" t="s">
        <v>29</v>
      </c>
      <c r="H9766" s="5">
        <v>5.857800</v>
      </c>
    </row>
    <row r="9767" spans="1:9">
      <c r="A9767" s="22" t="str">
        <f>HYPERLINK("https://app.vivvix.com/360/KMI/IntelliDrive/ApplUI/Pages/CreativePages/CustomReportCreativeDetail.aspx?App=23&amp;ReportView=4&amp;Qid=1711279&amp;Row=9759&amp;Col=1","No Title Assigned - #15271443308")</f>
        <v/>
      </c>
      <c r="B9767" s="0" t="s">
        <v>13158</v>
      </c>
      <c r="C9767" s="0" t="s">
        <v>13159</v>
      </c>
      <c r="D9767" s="0" t="s">
        <v>4200</v>
      </c>
      <c r="E9767" s="0" t="inlineStr">
        <is>
          <t xml:space="preserve">Mazda</t>
        </is>
      </c>
      <c r="F9767" s="0" t="s">
        <v>28</v>
      </c>
      <c r="G9767" s="0" t="s">
        <v>29</v>
      </c>
      <c r="H9767" s="5">
        <v>1462.656100</v>
      </c>
    </row>
    <row r="9768" spans="1:9">
      <c r="A9768" s="22" t="str">
        <f>HYPERLINK("https://app.vivvix.com/360/KMI/IntelliDrive/ApplUI/Pages/CreativePages/CustomReportCreativeDetail.aspx?App=23&amp;ReportView=4&amp;Qid=1711279&amp;Row=9760&amp;Col=1","No Title Assigned - #15271443391")</f>
        <v/>
      </c>
      <c r="B9768" s="0" t="s">
        <v>13160</v>
      </c>
      <c r="E9768" s="0" t="inlineStr">
        <is>
          <t xml:space="preserve">Mazda</t>
        </is>
      </c>
      <c r="F9768" s="0" t="inlineStr">
        <is>
          <t xml:space="preserve">Mazda</t>
        </is>
      </c>
      <c r="G9768" s="0" t="s">
        <v>171</v>
      </c>
      <c r="H9768" s="5">
        <v>84.582000</v>
      </c>
    </row>
    <row r="9769" spans="1:9">
      <c r="A9769" s="22" t="str">
        <f>HYPERLINK("https://app.vivvix.com/360/KMI/IntelliDrive/ApplUI/Pages/CreativePages/CustomReportCreativeDetail.aspx?App=23&amp;ReportView=4&amp;Qid=1711279&amp;Row=9761&amp;Col=1","No Title Assigned - #15271443749")</f>
        <v/>
      </c>
      <c r="B9769" s="0" t="s">
        <v>13161</v>
      </c>
      <c r="C9769" s="0" t="s">
        <v>13162</v>
      </c>
      <c r="D9769" s="0" t="s">
        <v>4202</v>
      </c>
      <c r="E9769" s="0" t="inlineStr">
        <is>
          <t xml:space="preserve">Mazda</t>
        </is>
      </c>
      <c r="F9769" s="0" t="s">
        <v>28</v>
      </c>
      <c r="G9769" s="0" t="s">
        <v>29</v>
      </c>
      <c r="H9769" s="5">
        <v>11.725900</v>
      </c>
    </row>
    <row r="9770" spans="1:9">
      <c r="A9770" s="22" t="str">
        <f>HYPERLINK("https://app.vivvix.com/360/KMI/IntelliDrive/ApplUI/Pages/CreativePages/CustomReportCreativeDetail.aspx?App=23&amp;ReportView=4&amp;Qid=1711279&amp;Row=9762&amp;Col=1","No Title Assigned - #15271444156")</f>
        <v/>
      </c>
      <c r="B9770" s="0" t="s">
        <v>13163</v>
      </c>
      <c r="C9770" s="0" t="s">
        <v>13164</v>
      </c>
      <c r="D9770" s="0" t="s">
        <v>8912</v>
      </c>
      <c r="E9770" s="0" t="inlineStr">
        <is>
          <t xml:space="preserve">Mazda</t>
        </is>
      </c>
      <c r="F9770" s="0" t="s">
        <v>13</v>
      </c>
      <c r="G9770" s="0" t="s">
        <v>49</v>
      </c>
      <c r="H9770" s="5">
        <v>10.831000</v>
      </c>
    </row>
    <row r="9771" spans="1:9">
      <c r="A9771" s="22" t="str">
        <f>HYPERLINK("https://app.vivvix.com/360/KMI/IntelliDrive/ApplUI/Pages/CreativePages/CustomReportCreativeDetail.aspx?App=23&amp;ReportView=4&amp;Qid=1711279&amp;Row=9763&amp;Col=1","No Title Assigned - #15271444207")</f>
        <v/>
      </c>
      <c r="B9771" s="0" t="s">
        <v>13165</v>
      </c>
      <c r="C9771" s="0" t="s">
        <v>13166</v>
      </c>
      <c r="D9771" s="0" t="s">
        <v>4202</v>
      </c>
      <c r="E9771" s="0" t="inlineStr">
        <is>
          <t xml:space="preserve">Mazda</t>
        </is>
      </c>
      <c r="F9771" s="0" t="s">
        <v>28</v>
      </c>
      <c r="G9771" s="0" t="s">
        <v>29</v>
      </c>
      <c r="H9771" s="5">
        <v>319.369400</v>
      </c>
    </row>
    <row r="9772" spans="1:9">
      <c r="A9772" s="22" t="str">
        <f>HYPERLINK("https://app.vivvix.com/360/KMI/IntelliDrive/ApplUI/Pages/CreativePages/CustomReportCreativeDetail.aspx?App=23&amp;ReportView=4&amp;Qid=1711279&amp;Row=9764&amp;Col=1","No Title Assigned - #15271444282")</f>
        <v/>
      </c>
      <c r="B9772" s="0" t="s">
        <v>13167</v>
      </c>
      <c r="C9772" s="0" t="s">
        <v>13168</v>
      </c>
      <c r="D9772" s="0" t="s">
        <v>8050</v>
      </c>
      <c r="E9772" s="0" t="inlineStr">
        <is>
          <t xml:space="preserve">Mazda</t>
        </is>
      </c>
      <c r="F9772" s="0" t="s">
        <v>28</v>
      </c>
      <c r="G9772" s="0" t="s">
        <v>29</v>
      </c>
      <c r="H9772" s="5">
        <v>420.717200</v>
      </c>
    </row>
    <row r="9773" spans="1:9">
      <c r="A9773" s="22" t="str">
        <f>HYPERLINK("https://app.vivvix.com/360/KMI/IntelliDrive/ApplUI/Pages/CreativePages/CustomReportCreativeDetail.aspx?App=23&amp;ReportView=4&amp;Qid=1711279&amp;Row=9765&amp;Col=1","No Title Assigned - #15271444283")</f>
        <v/>
      </c>
      <c r="B9773" s="0" t="s">
        <v>13169</v>
      </c>
      <c r="C9773" s="0" t="s">
        <v>13170</v>
      </c>
      <c r="D9773" s="0" t="s">
        <v>4202</v>
      </c>
      <c r="E9773" s="0" t="inlineStr">
        <is>
          <t xml:space="preserve">Mazda</t>
        </is>
      </c>
      <c r="F9773" s="0" t="s">
        <v>28</v>
      </c>
      <c r="G9773" s="0" t="s">
        <v>29</v>
      </c>
      <c r="H9773" s="5">
        <v>420.717200</v>
      </c>
    </row>
    <row r="9774" spans="1:9">
      <c r="A9774" s="22" t="str">
        <f>HYPERLINK("https://app.vivvix.com/360/KMI/IntelliDrive/ApplUI/Pages/CreativePages/CustomReportCreativeDetail.aspx?App=23&amp;ReportView=4&amp;Qid=1711279&amp;Row=9766&amp;Col=1","No Title Assigned - #15271444297")</f>
        <v/>
      </c>
      <c r="B9774" s="0" t="s">
        <v>13171</v>
      </c>
      <c r="C9774" s="0" t="s">
        <v>13172</v>
      </c>
      <c r="D9774" s="0" t="s">
        <v>13172</v>
      </c>
      <c r="E9774" s="0" t="inlineStr">
        <is>
          <t xml:space="preserve">Mazda</t>
        </is>
      </c>
      <c r="F9774" s="0" t="s">
        <v>28</v>
      </c>
      <c r="G9774" s="0" t="s">
        <v>29</v>
      </c>
      <c r="H9774" s="5">
        <v>3740.266600</v>
      </c>
    </row>
    <row r="9775" spans="1:9">
      <c r="A9775" s="22" t="str">
        <f>HYPERLINK("https://app.vivvix.com/360/KMI/IntelliDrive/ApplUI/Pages/CreativePages/CustomReportCreativeDetail.aspx?App=23&amp;ReportView=4&amp;Qid=1711279&amp;Row=9767&amp;Col=1","No Title Assigned - #15271445199")</f>
        <v/>
      </c>
      <c r="B9775" s="0" t="s">
        <v>13173</v>
      </c>
      <c r="C9775" s="0" t="s">
        <v>13174</v>
      </c>
      <c r="D9775" s="0" t="s">
        <v>5013</v>
      </c>
      <c r="E9775" s="0" t="inlineStr">
        <is>
          <t xml:space="preserve">Mazda</t>
        </is>
      </c>
      <c r="F9775" s="0" t="s">
        <v>13</v>
      </c>
      <c r="G9775" s="0" t="s">
        <v>49</v>
      </c>
      <c r="H9775" s="5">
        <v>28.887000</v>
      </c>
    </row>
    <row r="9776" spans="1:9">
      <c r="A9776" s="22" t="str">
        <f>HYPERLINK("https://app.vivvix.com/360/KMI/IntelliDrive/ApplUI/Pages/CreativePages/CustomReportCreativeDetail.aspx?App=23&amp;ReportView=4&amp;Qid=1711279&amp;Row=9768&amp;Col=1","No Title Assigned - #15271445281")</f>
        <v/>
      </c>
      <c r="B9776" s="0" t="s">
        <v>13175</v>
      </c>
      <c r="C9776" s="0" t="s">
        <v>13176</v>
      </c>
      <c r="D9776" s="0" t="s">
        <v>13176</v>
      </c>
      <c r="E9776" s="0" t="inlineStr">
        <is>
          <t xml:space="preserve">Mazda</t>
        </is>
      </c>
      <c r="F9776" s="0" t="s">
        <v>28</v>
      </c>
      <c r="G9776" s="0" t="s">
        <v>29</v>
      </c>
      <c r="H9776" s="5">
        <v>424.495400</v>
      </c>
    </row>
    <row r="9777" spans="1:9">
      <c r="A9777" s="22" t="str">
        <f>HYPERLINK("https://app.vivvix.com/360/KMI/IntelliDrive/ApplUI/Pages/CreativePages/CustomReportCreativeDetail.aspx?App=23&amp;ReportView=4&amp;Qid=1711279&amp;Row=9769&amp;Col=1","No Title Assigned - #15271446534")</f>
        <v/>
      </c>
      <c r="B9777" s="0" t="s">
        <v>13177</v>
      </c>
      <c r="C9777" s="0" t="s">
        <v>13178</v>
      </c>
      <c r="D9777" s="0" t="s">
        <v>9181</v>
      </c>
      <c r="E9777" s="0" t="inlineStr">
        <is>
          <t xml:space="preserve">Mazda</t>
        </is>
      </c>
      <c r="F9777" s="0" t="s">
        <v>28</v>
      </c>
      <c r="G9777" s="0" t="s">
        <v>29</v>
      </c>
      <c r="H9777" s="5">
        <v>54.315800</v>
      </c>
    </row>
    <row r="9778" spans="1:9">
      <c r="A9778" s="22" t="str">
        <f>HYPERLINK("https://app.vivvix.com/360/KMI/IntelliDrive/ApplUI/Pages/CreativePages/CustomReportCreativeDetail.aspx?App=23&amp;ReportView=4&amp;Qid=1711279&amp;Row=9770&amp;Col=1","No Title Assigned - #15271447621")</f>
        <v/>
      </c>
      <c r="B9778" s="0" t="s">
        <v>13179</v>
      </c>
      <c r="E9778" s="0" t="inlineStr">
        <is>
          <t xml:space="preserve">Mazda</t>
        </is>
      </c>
      <c r="F9778" s="0" t="inlineStr">
        <is>
          <t xml:space="preserve">Mazda</t>
        </is>
      </c>
      <c r="G9778" s="0" t="s">
        <v>171</v>
      </c>
      <c r="H9778" s="5">
        <v>2403.290900</v>
      </c>
    </row>
    <row r="9779" spans="1:9">
      <c r="A9779" s="22" t="str">
        <f>HYPERLINK("https://app.vivvix.com/360/KMI/IntelliDrive/ApplUI/Pages/CreativePages/CustomReportCreativeDetail.aspx?App=23&amp;ReportView=4&amp;Qid=1711279&amp;Row=9771&amp;Col=1","No Title Assigned - #15271447621")</f>
        <v/>
      </c>
      <c r="B9779" s="0" t="s">
        <v>13179</v>
      </c>
      <c r="E9779" s="0" t="inlineStr">
        <is>
          <t xml:space="preserve">Mazda</t>
        </is>
      </c>
      <c r="F9779" s="0" t="inlineStr">
        <is>
          <t xml:space="preserve">Mazda</t>
        </is>
      </c>
      <c r="G9779" s="0" t="s">
        <v>171</v>
      </c>
      <c r="H9779" s="5">
        <v>2.728500</v>
      </c>
    </row>
    <row r="9780" spans="1:9">
      <c r="A9780" s="22" t="str">
        <f>HYPERLINK("https://app.vivvix.com/360/KMI/IntelliDrive/ApplUI/Pages/CreativePages/CustomReportCreativeDetail.aspx?App=23&amp;ReportView=4&amp;Qid=1711279&amp;Row=9772&amp;Col=1","No Title Assigned - #15271450208")</f>
        <v/>
      </c>
      <c r="B9780" s="0" t="s">
        <v>13180</v>
      </c>
      <c r="C9780" s="0" t="s">
        <v>13181</v>
      </c>
      <c r="D9780" s="0" t="s">
        <v>4202</v>
      </c>
      <c r="E9780" s="0" t="inlineStr">
        <is>
          <t xml:space="preserve">Mazda</t>
        </is>
      </c>
      <c r="F9780" s="0" t="s">
        <v>28</v>
      </c>
      <c r="G9780" s="0" t="s">
        <v>29</v>
      </c>
      <c r="H9780" s="5">
        <v>11.199900</v>
      </c>
    </row>
    <row r="9781" spans="1:9">
      <c r="A9781" s="22" t="str">
        <f>HYPERLINK("https://app.vivvix.com/360/KMI/IntelliDrive/ApplUI/Pages/CreativePages/CustomReportCreativeDetail.aspx?App=23&amp;ReportView=4&amp;Qid=1711279&amp;Row=9773&amp;Col=1","No Title Assigned - #15271450438")</f>
        <v/>
      </c>
      <c r="B9781" s="0" t="s">
        <v>13182</v>
      </c>
      <c r="C9781" s="0" t="s">
        <v>13183</v>
      </c>
      <c r="D9781" s="0" t="s">
        <v>13183</v>
      </c>
      <c r="E9781" s="0" t="inlineStr">
        <is>
          <t xml:space="preserve">Mazda</t>
        </is>
      </c>
      <c r="F9781" s="0" t="inlineStr">
        <is>
          <t xml:space="preserve">Mazda</t>
        </is>
      </c>
      <c r="G9781" s="0" t="s">
        <v>210</v>
      </c>
      <c r="H9781" s="5">
        <v>4793.027700</v>
      </c>
    </row>
    <row r="9782" spans="1:9">
      <c r="A9782" s="22" t="str">
        <f>HYPERLINK("https://app.vivvix.com/360/KMI/IntelliDrive/ApplUI/Pages/CreativePages/CustomReportCreativeDetail.aspx?App=23&amp;ReportView=4&amp;Qid=1711279&amp;Row=9774&amp;Col=1","No Title Assigned - #15271450598")</f>
        <v/>
      </c>
      <c r="B9782" s="0" t="s">
        <v>13184</v>
      </c>
      <c r="C9782" s="0" t="s">
        <v>13185</v>
      </c>
      <c r="D9782" s="0" t="s">
        <v>6404</v>
      </c>
      <c r="E9782" s="0" t="inlineStr">
        <is>
          <t xml:space="preserve">Mazda</t>
        </is>
      </c>
      <c r="F9782" s="0" t="s">
        <v>13</v>
      </c>
      <c r="G9782" s="0" t="s">
        <v>49</v>
      </c>
      <c r="H9782" s="5">
        <v>325.645500</v>
      </c>
    </row>
    <row r="9783" spans="1:9">
      <c r="A9783" s="22" t="str">
        <f>HYPERLINK("https://app.vivvix.com/360/KMI/IntelliDrive/ApplUI/Pages/CreativePages/CustomReportCreativeDetail.aspx?App=23&amp;ReportView=4&amp;Qid=1711279&amp;Row=9775&amp;Col=1","No Title Assigned - #15271451491")</f>
        <v/>
      </c>
      <c r="B9783" s="0" t="s">
        <v>13186</v>
      </c>
      <c r="C9783" s="0" t="s">
        <v>13187</v>
      </c>
      <c r="D9783" s="0" t="s">
        <v>4202</v>
      </c>
      <c r="E9783" s="0" t="inlineStr">
        <is>
          <t xml:space="preserve">Mazda</t>
        </is>
      </c>
      <c r="F9783" s="0" t="s">
        <v>28</v>
      </c>
      <c r="G9783" s="0" t="s">
        <v>29</v>
      </c>
      <c r="H9783" s="5">
        <v>12.282400</v>
      </c>
    </row>
    <row r="9784" spans="1:9">
      <c r="A9784" s="22" t="str">
        <f>HYPERLINK("https://app.vivvix.com/360/KMI/IntelliDrive/ApplUI/Pages/CreativePages/CustomReportCreativeDetail.aspx?App=23&amp;ReportView=4&amp;Qid=1711279&amp;Row=9776&amp;Col=1","No Title Assigned - #15271451651")</f>
        <v/>
      </c>
      <c r="B9784" s="0" t="s">
        <v>13188</v>
      </c>
      <c r="C9784" s="0" t="s">
        <v>13189</v>
      </c>
      <c r="D9784" s="0" t="s">
        <v>9919</v>
      </c>
      <c r="E9784" s="0" t="inlineStr">
        <is>
          <t xml:space="preserve">Mazda</t>
        </is>
      </c>
      <c r="F9784" s="0" t="s">
        <v>13</v>
      </c>
      <c r="G9784" s="0" t="s">
        <v>49</v>
      </c>
      <c r="H9784" s="5">
        <v>436.204200</v>
      </c>
    </row>
    <row r="9785" spans="1:9">
      <c r="A9785" s="22" t="str">
        <f>HYPERLINK("https://app.vivvix.com/360/KMI/IntelliDrive/ApplUI/Pages/CreativePages/CustomReportCreativeDetail.aspx?App=23&amp;ReportView=4&amp;Qid=1711279&amp;Row=9777&amp;Col=1","No Title Assigned - #15271451652")</f>
        <v/>
      </c>
      <c r="B9785" s="0" t="s">
        <v>13190</v>
      </c>
      <c r="C9785" s="0" t="s">
        <v>13191</v>
      </c>
      <c r="D9785" s="0" t="s">
        <v>13191</v>
      </c>
      <c r="E9785" s="0" t="inlineStr">
        <is>
          <t xml:space="preserve">Mazda</t>
        </is>
      </c>
      <c r="F9785" s="0" t="s">
        <v>28</v>
      </c>
      <c r="G9785" s="0" t="s">
        <v>29</v>
      </c>
      <c r="H9785" s="5">
        <v>452.901400</v>
      </c>
    </row>
    <row r="9786" spans="1:9">
      <c r="A9786" s="22" t="str">
        <f>HYPERLINK("https://app.vivvix.com/360/KMI/IntelliDrive/ApplUI/Pages/CreativePages/CustomReportCreativeDetail.aspx?App=23&amp;ReportView=4&amp;Qid=1711279&amp;Row=9778&amp;Col=1","No Title Assigned - #15271451653")</f>
        <v/>
      </c>
      <c r="B9786" s="0" t="s">
        <v>13192</v>
      </c>
      <c r="C9786" s="0" t="s">
        <v>13193</v>
      </c>
      <c r="D9786" s="0" t="s">
        <v>4335</v>
      </c>
      <c r="E9786" s="0" t="inlineStr">
        <is>
          <t xml:space="preserve">Mazda</t>
        </is>
      </c>
      <c r="F9786" s="0" t="s">
        <v>13</v>
      </c>
      <c r="G9786" s="0" t="s">
        <v>49</v>
      </c>
      <c r="H9786" s="5">
        <v>145.401400</v>
      </c>
    </row>
    <row r="9787" spans="1:9">
      <c r="A9787" s="22" t="str">
        <f>HYPERLINK("https://app.vivvix.com/360/KMI/IntelliDrive/ApplUI/Pages/CreativePages/CustomReportCreativeDetail.aspx?App=23&amp;ReportView=4&amp;Qid=1711279&amp;Row=9779&amp;Col=1","No Title Assigned - #15271451677")</f>
        <v/>
      </c>
      <c r="B9787" s="0" t="s">
        <v>13194</v>
      </c>
      <c r="C9787" s="0" t="s">
        <v>13195</v>
      </c>
      <c r="D9787" s="0" t="s">
        <v>4407</v>
      </c>
      <c r="E9787" s="0" t="inlineStr">
        <is>
          <t xml:space="preserve">Mazda</t>
        </is>
      </c>
      <c r="F9787" s="0" t="s">
        <v>28</v>
      </c>
      <c r="G9787" s="0" t="s">
        <v>29</v>
      </c>
      <c r="H9787" s="5">
        <v>4.749500</v>
      </c>
    </row>
    <row r="9788" spans="1:9">
      <c r="A9788" s="22" t="str">
        <f>HYPERLINK("https://app.vivvix.com/360/KMI/IntelliDrive/ApplUI/Pages/CreativePages/CustomReportCreativeDetail.aspx?App=23&amp;ReportView=4&amp;Qid=1711279&amp;Row=9780&amp;Col=1","No Title Assigned - #15271451818")</f>
        <v/>
      </c>
      <c r="B9788" s="0" t="s">
        <v>13196</v>
      </c>
      <c r="C9788" s="0" t="s">
        <v>13197</v>
      </c>
      <c r="D9788" s="0" t="s">
        <v>13197</v>
      </c>
      <c r="E9788" s="0" t="inlineStr">
        <is>
          <t xml:space="preserve">Mazda</t>
        </is>
      </c>
      <c r="F9788" s="0" t="s">
        <v>28</v>
      </c>
      <c r="G9788" s="0" t="s">
        <v>29</v>
      </c>
      <c r="H9788" s="5">
        <v>28.108300</v>
      </c>
    </row>
    <row r="9789" spans="1:9">
      <c r="A9789" s="22" t="str">
        <f>HYPERLINK("https://app.vivvix.com/360/KMI/IntelliDrive/ApplUI/Pages/CreativePages/CustomReportCreativeDetail.aspx?App=23&amp;ReportView=4&amp;Qid=1711279&amp;Row=9781&amp;Col=1","No Title Assigned - #15271451884")</f>
        <v/>
      </c>
      <c r="B9789" s="0" t="s">
        <v>13198</v>
      </c>
      <c r="E9789" s="0" t="inlineStr">
        <is>
          <t xml:space="preserve">Mazda</t>
        </is>
      </c>
      <c r="F9789" s="0" t="inlineStr">
        <is>
          <t xml:space="preserve">Mazda</t>
        </is>
      </c>
      <c r="G9789" s="0" t="s">
        <v>171</v>
      </c>
      <c r="H9789" s="5">
        <v>26.897600</v>
      </c>
    </row>
    <row r="9790" spans="1:9">
      <c r="A9790" s="22" t="str">
        <f>HYPERLINK("https://app.vivvix.com/360/KMI/IntelliDrive/ApplUI/Pages/CreativePages/CustomReportCreativeDetail.aspx?App=23&amp;ReportView=4&amp;Qid=1711279&amp;Row=9782&amp;Col=1","No Title Assigned - #15271452182")</f>
        <v/>
      </c>
      <c r="B9790" s="0" t="s">
        <v>13199</v>
      </c>
      <c r="C9790" s="0" t="s">
        <v>13200</v>
      </c>
      <c r="D9790" s="0" t="s">
        <v>4200</v>
      </c>
      <c r="E9790" s="0" t="inlineStr">
        <is>
          <t xml:space="preserve">Mazda</t>
        </is>
      </c>
      <c r="F9790" s="0" t="s">
        <v>28</v>
      </c>
      <c r="G9790" s="0" t="s">
        <v>29</v>
      </c>
      <c r="H9790" s="5">
        <v>9.248400</v>
      </c>
    </row>
    <row r="9791" spans="1:9">
      <c r="A9791" s="22" t="str">
        <f>HYPERLINK("https://app.vivvix.com/360/KMI/IntelliDrive/ApplUI/Pages/CreativePages/CustomReportCreativeDetail.aspx?App=23&amp;ReportView=4&amp;Qid=1711279&amp;Row=9783&amp;Col=1","No Title Assigned - #15271452868")</f>
        <v/>
      </c>
      <c r="B9791" s="0" t="s">
        <v>13201</v>
      </c>
      <c r="E9791" s="0" t="inlineStr">
        <is>
          <t xml:space="preserve">Mazda</t>
        </is>
      </c>
      <c r="F9791" s="0" t="inlineStr">
        <is>
          <t xml:space="preserve">Mazda</t>
        </is>
      </c>
      <c r="G9791" s="0" t="s">
        <v>171</v>
      </c>
      <c r="H9791" s="5">
        <v>84.374200</v>
      </c>
    </row>
    <row r="9792" spans="1:9">
      <c r="A9792" s="22" t="str">
        <f>HYPERLINK("https://app.vivvix.com/360/KMI/IntelliDrive/ApplUI/Pages/CreativePages/CustomReportCreativeDetail.aspx?App=23&amp;ReportView=4&amp;Qid=1711279&amp;Row=9784&amp;Col=1","No Title Assigned - #15271453440")</f>
        <v/>
      </c>
      <c r="B9792" s="0" t="s">
        <v>13202</v>
      </c>
      <c r="E9792" s="0" t="inlineStr">
        <is>
          <t xml:space="preserve">Mazda</t>
        </is>
      </c>
      <c r="F9792" s="0" t="inlineStr">
        <is>
          <t xml:space="preserve">Mazda</t>
        </is>
      </c>
      <c r="G9792" s="0" t="s">
        <v>171</v>
      </c>
      <c r="H9792" s="5">
        <v>153.640800</v>
      </c>
    </row>
    <row r="9793" spans="1:9">
      <c r="A9793" s="22" t="str">
        <f>HYPERLINK("https://app.vivvix.com/360/KMI/IntelliDrive/ApplUI/Pages/CreativePages/CustomReportCreativeDetail.aspx?App=23&amp;ReportView=4&amp;Qid=1711279&amp;Row=9785&amp;Col=1","No Title Assigned - #15271453598")</f>
        <v/>
      </c>
      <c r="B9793" s="0" t="s">
        <v>13203</v>
      </c>
      <c r="E9793" s="0" t="inlineStr">
        <is>
          <t xml:space="preserve">Mazda</t>
        </is>
      </c>
      <c r="F9793" s="0" t="inlineStr">
        <is>
          <t xml:space="preserve">Mazda</t>
        </is>
      </c>
      <c r="G9793" s="0" t="s">
        <v>171</v>
      </c>
      <c r="H9793" s="5">
        <v>770.655100</v>
      </c>
    </row>
    <row r="9794" spans="1:9">
      <c r="A9794" s="22" t="str">
        <f>HYPERLINK("https://app.vivvix.com/360/KMI/IntelliDrive/ApplUI/Pages/CreativePages/CustomReportCreativeDetail.aspx?App=23&amp;ReportView=4&amp;Qid=1711279&amp;Row=9786&amp;Col=1","No Title Assigned - #15271453891")</f>
        <v/>
      </c>
      <c r="B9794" s="0" t="s">
        <v>13204</v>
      </c>
      <c r="E9794" s="0" t="inlineStr">
        <is>
          <t xml:space="preserve">Mazda</t>
        </is>
      </c>
      <c r="F9794" s="0" t="inlineStr">
        <is>
          <t xml:space="preserve">Mazda</t>
        </is>
      </c>
      <c r="G9794" s="0" t="s">
        <v>171</v>
      </c>
      <c r="H9794" s="5">
        <v>33.650900</v>
      </c>
    </row>
    <row r="9795" spans="1:9">
      <c r="A9795" s="22" t="str">
        <f>HYPERLINK("https://app.vivvix.com/360/KMI/IntelliDrive/ApplUI/Pages/CreativePages/CustomReportCreativeDetail.aspx?App=23&amp;ReportView=4&amp;Qid=1711279&amp;Row=9787&amp;Col=1","No Title Assigned - #15271454014")</f>
        <v/>
      </c>
      <c r="B9795" s="0" t="s">
        <v>13205</v>
      </c>
      <c r="E9795" s="0" t="inlineStr">
        <is>
          <t xml:space="preserve">Mazda</t>
        </is>
      </c>
      <c r="F9795" s="0" t="inlineStr">
        <is>
          <t xml:space="preserve">Mazda</t>
        </is>
      </c>
      <c r="G9795" s="0" t="s">
        <v>171</v>
      </c>
      <c r="H9795" s="5">
        <v>240.207300</v>
      </c>
    </row>
    <row r="9796" spans="1:9">
      <c r="A9796" s="22" t="str">
        <f>HYPERLINK("https://app.vivvix.com/360/KMI/IntelliDrive/ApplUI/Pages/CreativePages/CustomReportCreativeDetail.aspx?App=23&amp;ReportView=4&amp;Qid=1711279&amp;Row=9788&amp;Col=1","No Title Assigned - #15271454190")</f>
        <v/>
      </c>
      <c r="B9796" s="0" t="s">
        <v>13206</v>
      </c>
      <c r="C9796" s="0" t="s">
        <v>13207</v>
      </c>
      <c r="D9796" s="0" t="s">
        <v>13207</v>
      </c>
      <c r="E9796" s="0" t="inlineStr">
        <is>
          <t xml:space="preserve">Mazda</t>
        </is>
      </c>
      <c r="F9796" s="0" t="inlineStr">
        <is>
          <t xml:space="preserve">Mazda</t>
        </is>
      </c>
      <c r="G9796" s="0" t="s">
        <v>171</v>
      </c>
      <c r="H9796" s="5">
        <v>2.964800</v>
      </c>
    </row>
    <row r="9797" spans="1:9">
      <c r="A9797" s="22" t="str">
        <f>HYPERLINK("https://app.vivvix.com/360/KMI/IntelliDrive/ApplUI/Pages/CreativePages/CustomReportCreativeDetail.aspx?App=23&amp;ReportView=4&amp;Qid=1711279&amp;Row=9789&amp;Col=1","No Title Assigned - #15271455294")</f>
        <v/>
      </c>
      <c r="B9797" s="0" t="s">
        <v>13208</v>
      </c>
      <c r="E9797" s="0" t="inlineStr">
        <is>
          <t xml:space="preserve">Mazda</t>
        </is>
      </c>
      <c r="F9797" s="0" t="inlineStr">
        <is>
          <t xml:space="preserve">Mazda</t>
        </is>
      </c>
      <c r="G9797" s="0" t="s">
        <v>171</v>
      </c>
      <c r="H9797" s="5">
        <v>26.676300</v>
      </c>
    </row>
    <row r="9798" spans="1:9">
      <c r="A9798" s="22" t="str">
        <f>HYPERLINK("https://app.vivvix.com/360/KMI/IntelliDrive/ApplUI/Pages/CreativePages/CustomReportCreativeDetail.aspx?App=23&amp;ReportView=4&amp;Qid=1711279&amp;Row=9790&amp;Col=1","No Title Assigned - #15271455335")</f>
        <v/>
      </c>
      <c r="B9798" s="0" t="s">
        <v>13209</v>
      </c>
      <c r="E9798" s="0" t="inlineStr">
        <is>
          <t xml:space="preserve">Mazda</t>
        </is>
      </c>
      <c r="F9798" s="0" t="inlineStr">
        <is>
          <t xml:space="preserve">Mazda</t>
        </is>
      </c>
      <c r="G9798" s="0" t="s">
        <v>171</v>
      </c>
      <c r="H9798" s="5">
        <v>40010.265900</v>
      </c>
    </row>
    <row r="9799" spans="1:9">
      <c r="A9799" s="22" t="str">
        <f>HYPERLINK("https://app.vivvix.com/360/KMI/IntelliDrive/ApplUI/Pages/CreativePages/CustomReportCreativeDetail.aspx?App=23&amp;ReportView=4&amp;Qid=1711279&amp;Row=9791&amp;Col=1","No Title Assigned - #15271455842")</f>
        <v/>
      </c>
      <c r="B9799" s="0" t="s">
        <v>13210</v>
      </c>
      <c r="E9799" s="0" t="inlineStr">
        <is>
          <t xml:space="preserve">Mazda</t>
        </is>
      </c>
      <c r="F9799" s="0" t="inlineStr">
        <is>
          <t xml:space="preserve">Mazda</t>
        </is>
      </c>
      <c r="G9799" s="0" t="s">
        <v>171</v>
      </c>
      <c r="H9799" s="5">
        <v>29.523400</v>
      </c>
    </row>
    <row r="9800" spans="1:9">
      <c r="A9800" s="22" t="str">
        <f>HYPERLINK("https://app.vivvix.com/360/KMI/IntelliDrive/ApplUI/Pages/CreativePages/CustomReportCreativeDetail.aspx?App=23&amp;ReportView=4&amp;Qid=1711279&amp;Row=9792&amp;Col=1","No Title Assigned - #15271455988")</f>
        <v/>
      </c>
      <c r="B9800" s="0" t="s">
        <v>13211</v>
      </c>
      <c r="E9800" s="0" t="inlineStr">
        <is>
          <t xml:space="preserve">Mazda</t>
        </is>
      </c>
      <c r="F9800" s="0" t="inlineStr">
        <is>
          <t xml:space="preserve">Mazda</t>
        </is>
      </c>
      <c r="G9800" s="0" t="s">
        <v>171</v>
      </c>
      <c r="H9800" s="5">
        <v>117.493600</v>
      </c>
    </row>
    <row r="9801" spans="1:9">
      <c r="A9801" s="22" t="str">
        <f>HYPERLINK("https://app.vivvix.com/360/KMI/IntelliDrive/ApplUI/Pages/CreativePages/CustomReportCreativeDetail.aspx?App=23&amp;ReportView=4&amp;Qid=1711279&amp;Row=9793&amp;Col=1","No Title Assigned - #15271456256")</f>
        <v/>
      </c>
      <c r="B9801" s="0" t="s">
        <v>13212</v>
      </c>
      <c r="E9801" s="0" t="inlineStr">
        <is>
          <t xml:space="preserve">Mazda</t>
        </is>
      </c>
      <c r="F9801" s="0" t="inlineStr">
        <is>
          <t xml:space="preserve">Mazda</t>
        </is>
      </c>
      <c r="G9801" s="0" t="s">
        <v>171</v>
      </c>
      <c r="H9801" s="5">
        <v>96.353400</v>
      </c>
    </row>
    <row r="9802" spans="1:9">
      <c r="A9802" s="22" t="str">
        <f>HYPERLINK("https://app.vivvix.com/360/KMI/IntelliDrive/ApplUI/Pages/CreativePages/CustomReportCreativeDetail.aspx?App=23&amp;ReportView=4&amp;Qid=1711279&amp;Row=9794&amp;Col=1","No Title Assigned - #15271456455")</f>
        <v/>
      </c>
      <c r="B9802" s="0" t="s">
        <v>13213</v>
      </c>
      <c r="E9802" s="0" t="inlineStr">
        <is>
          <t xml:space="preserve">Mazda</t>
        </is>
      </c>
      <c r="F9802" s="0" t="inlineStr">
        <is>
          <t xml:space="preserve">Mazda</t>
        </is>
      </c>
      <c r="G9802" s="0" t="s">
        <v>171</v>
      </c>
      <c r="H9802" s="5">
        <v>14.780400</v>
      </c>
    </row>
    <row r="9803" spans="1:9">
      <c r="A9803" s="22" t="str">
        <f>HYPERLINK("https://app.vivvix.com/360/KMI/IntelliDrive/ApplUI/Pages/CreativePages/CustomReportCreativeDetail.aspx?App=23&amp;ReportView=4&amp;Qid=1711279&amp;Row=9795&amp;Col=1","No Title Assigned - #15271457628")</f>
        <v/>
      </c>
      <c r="B9803" s="0" t="s">
        <v>13214</v>
      </c>
      <c r="E9803" s="0" t="inlineStr">
        <is>
          <t xml:space="preserve">Mazda</t>
        </is>
      </c>
      <c r="F9803" s="0" t="inlineStr">
        <is>
          <t xml:space="preserve">Mazda</t>
        </is>
      </c>
      <c r="G9803" s="0" t="s">
        <v>171</v>
      </c>
      <c r="H9803" s="5">
        <v>10.962500</v>
      </c>
    </row>
    <row r="9804" spans="1:9">
      <c r="A9804" s="22" t="str">
        <f>HYPERLINK("https://app.vivvix.com/360/KMI/IntelliDrive/ApplUI/Pages/CreativePages/CustomReportCreativeDetail.aspx?App=23&amp;ReportView=4&amp;Qid=1711279&amp;Row=9796&amp;Col=1","No Title Assigned - #15271458459")</f>
        <v/>
      </c>
      <c r="B9804" s="0" t="s">
        <v>13215</v>
      </c>
      <c r="C9804" s="0" t="s">
        <v>13216</v>
      </c>
      <c r="D9804" s="0" t="s">
        <v>13216</v>
      </c>
      <c r="E9804" s="0" t="inlineStr">
        <is>
          <t xml:space="preserve">Mazda</t>
        </is>
      </c>
      <c r="F9804" s="0" t="inlineStr">
        <is>
          <t xml:space="preserve">Mazda</t>
        </is>
      </c>
      <c r="G9804" s="0" t="s">
        <v>171</v>
      </c>
      <c r="H9804" s="5">
        <v>11.684200</v>
      </c>
    </row>
    <row r="9805" spans="1:9">
      <c r="A9805" s="22" t="str">
        <f>HYPERLINK("https://app.vivvix.com/360/KMI/IntelliDrive/ApplUI/Pages/CreativePages/CustomReportCreativeDetail.aspx?App=23&amp;ReportView=4&amp;Qid=1711279&amp;Row=9797&amp;Col=1","No Title Assigned - #15271459760")</f>
        <v/>
      </c>
      <c r="B9805" s="0" t="s">
        <v>13217</v>
      </c>
      <c r="E9805" s="0" t="inlineStr">
        <is>
          <t xml:space="preserve">Mazda</t>
        </is>
      </c>
      <c r="F9805" s="0" t="inlineStr">
        <is>
          <t xml:space="preserve">Mazda</t>
        </is>
      </c>
      <c r="G9805" s="0" t="s">
        <v>171</v>
      </c>
      <c r="H9805" s="5">
        <v>7.176700</v>
      </c>
    </row>
    <row r="9806" spans="1:9">
      <c r="A9806" s="22" t="str">
        <f>HYPERLINK("https://app.vivvix.com/360/KMI/IntelliDrive/ApplUI/Pages/CreativePages/CustomReportCreativeDetail.aspx?App=23&amp;ReportView=4&amp;Qid=1711279&amp;Row=9798&amp;Col=1","No Title Assigned - #15271460329")</f>
        <v/>
      </c>
      <c r="B9806" s="0" t="s">
        <v>13218</v>
      </c>
      <c r="C9806" s="0" t="s">
        <v>13219</v>
      </c>
      <c r="D9806" s="0" t="s">
        <v>13219</v>
      </c>
      <c r="E9806" s="0" t="inlineStr">
        <is>
          <t xml:space="preserve">Mazda</t>
        </is>
      </c>
      <c r="F9806" s="0" t="inlineStr">
        <is>
          <t xml:space="preserve">Mazda</t>
        </is>
      </c>
      <c r="G9806" s="0" t="s">
        <v>171</v>
      </c>
      <c r="H9806" s="5">
        <v>12.567600</v>
      </c>
    </row>
    <row r="9807" spans="1:9">
      <c r="A9807" s="22" t="str">
        <f>HYPERLINK("https://app.vivvix.com/360/KMI/IntelliDrive/ApplUI/Pages/CreativePages/CustomReportCreativeDetail.aspx?App=23&amp;ReportView=4&amp;Qid=1711279&amp;Row=9799&amp;Col=1","No Title Assigned - #15271460603")</f>
        <v/>
      </c>
      <c r="B9807" s="0" t="s">
        <v>13220</v>
      </c>
      <c r="E9807" s="0" t="inlineStr">
        <is>
          <t xml:space="preserve">Mazda</t>
        </is>
      </c>
      <c r="F9807" s="0" t="inlineStr">
        <is>
          <t xml:space="preserve">Mazda</t>
        </is>
      </c>
      <c r="G9807" s="0" t="s">
        <v>171</v>
      </c>
      <c r="H9807" s="5">
        <v>21.891700</v>
      </c>
    </row>
    <row r="9808" spans="1:9">
      <c r="A9808" s="22" t="str">
        <f>HYPERLINK("https://app.vivvix.com/360/KMI/IntelliDrive/ApplUI/Pages/CreativePages/CustomReportCreativeDetail.aspx?App=23&amp;ReportView=4&amp;Qid=1711279&amp;Row=9800&amp;Col=1","No Title Assigned - #15271461204")</f>
        <v/>
      </c>
      <c r="B9808" s="0" t="s">
        <v>13221</v>
      </c>
      <c r="E9808" s="0" t="inlineStr">
        <is>
          <t xml:space="preserve">Mazda</t>
        </is>
      </c>
      <c r="F9808" s="0" t="inlineStr">
        <is>
          <t xml:space="preserve">Mazda</t>
        </is>
      </c>
      <c r="G9808" s="0" t="s">
        <v>171</v>
      </c>
      <c r="H9808" s="5">
        <v>42.749800</v>
      </c>
    </row>
    <row r="9809" spans="1:9">
      <c r="A9809" s="22" t="str">
        <f>HYPERLINK("https://app.vivvix.com/360/KMI/IntelliDrive/ApplUI/Pages/CreativePages/CustomReportCreativeDetail.aspx?App=23&amp;ReportView=4&amp;Qid=1711279&amp;Row=9801&amp;Col=1","No Title Assigned - #15271461722")</f>
        <v/>
      </c>
      <c r="B9809" s="0" t="s">
        <v>13222</v>
      </c>
      <c r="E9809" s="0" t="inlineStr">
        <is>
          <t xml:space="preserve">Mazda</t>
        </is>
      </c>
      <c r="F9809" s="0" t="inlineStr">
        <is>
          <t xml:space="preserve">Mazda</t>
        </is>
      </c>
      <c r="G9809" s="0" t="s">
        <v>171</v>
      </c>
      <c r="H9809" s="5">
        <v>54.269600</v>
      </c>
    </row>
    <row r="9810" spans="1:9">
      <c r="A9810" s="22" t="str">
        <f>HYPERLINK("https://app.vivvix.com/360/KMI/IntelliDrive/ApplUI/Pages/CreativePages/CustomReportCreativeDetail.aspx?App=23&amp;ReportView=4&amp;Qid=1711279&amp;Row=9802&amp;Col=1","No Title Assigned - #15271461983")</f>
        <v/>
      </c>
      <c r="B9810" s="0" t="s">
        <v>13223</v>
      </c>
      <c r="E9810" s="0" t="inlineStr">
        <is>
          <t xml:space="preserve">Mazda</t>
        </is>
      </c>
      <c r="F9810" s="0" t="inlineStr">
        <is>
          <t xml:space="preserve">Mazda</t>
        </is>
      </c>
      <c r="G9810" s="0" t="s">
        <v>171</v>
      </c>
      <c r="H9810" s="5">
        <v>113.797000</v>
      </c>
    </row>
    <row r="9811" spans="1:9">
      <c r="A9811" s="22" t="str">
        <f>HYPERLINK("https://app.vivvix.com/360/KMI/IntelliDrive/ApplUI/Pages/CreativePages/CustomReportCreativeDetail.aspx?App=23&amp;ReportView=4&amp;Qid=1711279&amp;Row=9803&amp;Col=1","No Title Assigned - #15271462660")</f>
        <v/>
      </c>
      <c r="B9811" s="0" t="s">
        <v>13224</v>
      </c>
      <c r="E9811" s="0" t="inlineStr">
        <is>
          <t xml:space="preserve">Mazda</t>
        </is>
      </c>
      <c r="F9811" s="0" t="inlineStr">
        <is>
          <t xml:space="preserve">Mazda</t>
        </is>
      </c>
      <c r="G9811" s="0" t="s">
        <v>171</v>
      </c>
      <c r="H9811" s="5">
        <v>217.287900</v>
      </c>
    </row>
    <row r="9812" spans="1:9">
      <c r="A9812" s="22" t="str">
        <f>HYPERLINK("https://app.vivvix.com/360/KMI/IntelliDrive/ApplUI/Pages/CreativePages/CustomReportCreativeDetail.aspx?App=23&amp;ReportView=4&amp;Qid=1711279&amp;Row=9804&amp;Col=1","No Title Assigned - #15271463140")</f>
        <v/>
      </c>
      <c r="B9812" s="0" t="s">
        <v>13225</v>
      </c>
      <c r="E9812" s="0" t="inlineStr">
        <is>
          <t xml:space="preserve">Mazda</t>
        </is>
      </c>
      <c r="F9812" s="0" t="inlineStr">
        <is>
          <t xml:space="preserve">Mazda</t>
        </is>
      </c>
      <c r="G9812" s="0" t="s">
        <v>171</v>
      </c>
      <c r="H9812" s="5">
        <v>1.536100</v>
      </c>
    </row>
    <row r="9813" spans="1:9">
      <c r="A9813" s="22" t="str">
        <f>HYPERLINK("https://app.vivvix.com/360/KMI/IntelliDrive/ApplUI/Pages/CreativePages/CustomReportCreativeDetail.aspx?App=23&amp;ReportView=4&amp;Qid=1711279&amp;Row=9805&amp;Col=1","No Title Assigned - #15271463419")</f>
        <v/>
      </c>
      <c r="B9813" s="0" t="s">
        <v>13226</v>
      </c>
      <c r="E9813" s="0" t="inlineStr">
        <is>
          <t xml:space="preserve">Mazda</t>
        </is>
      </c>
      <c r="F9813" s="0" t="inlineStr">
        <is>
          <t xml:space="preserve">Mazda</t>
        </is>
      </c>
      <c r="G9813" s="0" t="s">
        <v>171</v>
      </c>
      <c r="H9813" s="5">
        <v>35.674900</v>
      </c>
    </row>
    <row r="9814" spans="1:9">
      <c r="A9814" s="22" t="str">
        <f>HYPERLINK("https://app.vivvix.com/360/KMI/IntelliDrive/ApplUI/Pages/CreativePages/CustomReportCreativeDetail.aspx?App=23&amp;ReportView=4&amp;Qid=1711279&amp;Row=9806&amp;Col=1","No Title Assigned - #15271464236")</f>
        <v/>
      </c>
      <c r="B9814" s="0" t="s">
        <v>13227</v>
      </c>
      <c r="E9814" s="0" t="inlineStr">
        <is>
          <t xml:space="preserve">Mazda</t>
        </is>
      </c>
      <c r="F9814" s="0" t="inlineStr">
        <is>
          <t xml:space="preserve">Mazda</t>
        </is>
      </c>
      <c r="G9814" s="0" t="s">
        <v>171</v>
      </c>
      <c r="H9814" s="5">
        <v>3.209600</v>
      </c>
    </row>
    <row r="9815" spans="1:9">
      <c r="A9815" s="22" t="str">
        <f>HYPERLINK("https://app.vivvix.com/360/KMI/IntelliDrive/ApplUI/Pages/CreativePages/CustomReportCreativeDetail.aspx?App=23&amp;ReportView=4&amp;Qid=1711279&amp;Row=9807&amp;Col=1","No Title Assigned - #15271464484")</f>
        <v/>
      </c>
      <c r="B9815" s="0" t="s">
        <v>13228</v>
      </c>
      <c r="E9815" s="0" t="inlineStr">
        <is>
          <t xml:space="preserve">Mazda</t>
        </is>
      </c>
      <c r="F9815" s="0" t="inlineStr">
        <is>
          <t xml:space="preserve">Mazda</t>
        </is>
      </c>
      <c r="G9815" s="0" t="s">
        <v>171</v>
      </c>
      <c r="H9815" s="5">
        <v>36.542600</v>
      </c>
    </row>
    <row r="9816" spans="1:9">
      <c r="A9816" s="22" t="str">
        <f>HYPERLINK("https://app.vivvix.com/360/KMI/IntelliDrive/ApplUI/Pages/CreativePages/CustomReportCreativeDetail.aspx?App=23&amp;ReportView=4&amp;Qid=1711279&amp;Row=9808&amp;Col=1","No Title Assigned - #15271465451")</f>
        <v/>
      </c>
      <c r="B9816" s="0" t="s">
        <v>13229</v>
      </c>
      <c r="E9816" s="0" t="inlineStr">
        <is>
          <t xml:space="preserve">Mazda</t>
        </is>
      </c>
      <c r="F9816" s="0" t="inlineStr">
        <is>
          <t xml:space="preserve">Mazda</t>
        </is>
      </c>
      <c r="G9816" s="0" t="s">
        <v>171</v>
      </c>
      <c r="H9816" s="5">
        <v>10.195400</v>
      </c>
    </row>
    <row r="9817" spans="1:9">
      <c r="A9817" s="22" t="str">
        <f>HYPERLINK("https://app.vivvix.com/360/KMI/IntelliDrive/ApplUI/Pages/CreativePages/CustomReportCreativeDetail.aspx?App=23&amp;ReportView=4&amp;Qid=1711279&amp;Row=9809&amp;Col=1","No Title Assigned - #15271465457")</f>
        <v/>
      </c>
      <c r="B9817" s="0" t="s">
        <v>13230</v>
      </c>
      <c r="C9817" s="0" t="s">
        <v>13231</v>
      </c>
      <c r="D9817" s="0" t="s">
        <v>13231</v>
      </c>
      <c r="E9817" s="0" t="inlineStr">
        <is>
          <t xml:space="preserve">Mazda</t>
        </is>
      </c>
      <c r="F9817" s="0" t="inlineStr">
        <is>
          <t xml:space="preserve">Mazda</t>
        </is>
      </c>
      <c r="G9817" s="0" t="s">
        <v>171</v>
      </c>
      <c r="H9817" s="5">
        <v>6.898900</v>
      </c>
    </row>
    <row r="9818" spans="1:9">
      <c r="A9818" s="22" t="str">
        <f>HYPERLINK("https://app.vivvix.com/360/KMI/IntelliDrive/ApplUI/Pages/CreativePages/CustomReportCreativeDetail.aspx?App=23&amp;ReportView=4&amp;Qid=1711279&amp;Row=9810&amp;Col=1","No Title Assigned - #15271466019")</f>
        <v/>
      </c>
      <c r="B9818" s="0" t="s">
        <v>13232</v>
      </c>
      <c r="E9818" s="0" t="inlineStr">
        <is>
          <t xml:space="preserve">Mazda</t>
        </is>
      </c>
      <c r="F9818" s="0" t="inlineStr">
        <is>
          <t xml:space="preserve">Mazda</t>
        </is>
      </c>
      <c r="G9818" s="0" t="s">
        <v>171</v>
      </c>
      <c r="H9818" s="5">
        <v>7.592200</v>
      </c>
    </row>
    <row r="9819" spans="1:9">
      <c r="A9819" s="22" t="str">
        <f>HYPERLINK("https://app.vivvix.com/360/KMI/IntelliDrive/ApplUI/Pages/CreativePages/CustomReportCreativeDetail.aspx?App=23&amp;ReportView=4&amp;Qid=1711279&amp;Row=9811&amp;Col=1","No Title Assigned - #15271467046")</f>
        <v/>
      </c>
      <c r="B9819" s="0" t="s">
        <v>13233</v>
      </c>
      <c r="E9819" s="0" t="inlineStr">
        <is>
          <t xml:space="preserve">Mazda</t>
        </is>
      </c>
      <c r="F9819" s="0" t="inlineStr">
        <is>
          <t xml:space="preserve">Mazda</t>
        </is>
      </c>
      <c r="G9819" s="0" t="s">
        <v>171</v>
      </c>
      <c r="H9819" s="5">
        <v>30.669500</v>
      </c>
    </row>
    <row r="9820" spans="1:9">
      <c r="A9820" s="22" t="str">
        <f>HYPERLINK("https://app.vivvix.com/360/KMI/IntelliDrive/ApplUI/Pages/CreativePages/CustomReportCreativeDetail.aspx?App=23&amp;ReportView=4&amp;Qid=1711279&amp;Row=9812&amp;Col=1","No Title Assigned - #15271467484")</f>
        <v/>
      </c>
      <c r="B9820" s="0" t="s">
        <v>13234</v>
      </c>
      <c r="E9820" s="0" t="inlineStr">
        <is>
          <t xml:space="preserve">Mazda</t>
        </is>
      </c>
      <c r="F9820" s="0" t="inlineStr">
        <is>
          <t xml:space="preserve">Mazda</t>
        </is>
      </c>
      <c r="G9820" s="0" t="s">
        <v>171</v>
      </c>
      <c r="H9820" s="5">
        <v>155.277100</v>
      </c>
    </row>
    <row r="9821" spans="1:9">
      <c r="A9821" s="22" t="str">
        <f>HYPERLINK("https://app.vivvix.com/360/KMI/IntelliDrive/ApplUI/Pages/CreativePages/CustomReportCreativeDetail.aspx?App=23&amp;ReportView=4&amp;Qid=1711279&amp;Row=9813&amp;Col=1","No Title Assigned - #15271467969")</f>
        <v/>
      </c>
      <c r="B9821" s="0" t="s">
        <v>13235</v>
      </c>
      <c r="E9821" s="0" t="inlineStr">
        <is>
          <t xml:space="preserve">Mazda</t>
        </is>
      </c>
      <c r="F9821" s="0" t="inlineStr">
        <is>
          <t xml:space="preserve">Mazda</t>
        </is>
      </c>
      <c r="G9821" s="0" t="s">
        <v>171</v>
      </c>
      <c r="H9821" s="5">
        <v>3114.544900</v>
      </c>
    </row>
    <row r="9822" spans="1:9">
      <c r="A9822" s="22" t="str">
        <f>HYPERLINK("https://app.vivvix.com/360/KMI/IntelliDrive/ApplUI/Pages/CreativePages/CustomReportCreativeDetail.aspx?App=23&amp;ReportView=4&amp;Qid=1711279&amp;Row=9814&amp;Col=1","No Title Assigned - #15271468648")</f>
        <v/>
      </c>
      <c r="B9822" s="0" t="s">
        <v>13236</v>
      </c>
      <c r="E9822" s="0" t="inlineStr">
        <is>
          <t xml:space="preserve">Mazda</t>
        </is>
      </c>
      <c r="F9822" s="0" t="inlineStr">
        <is>
          <t xml:space="preserve">Mazda</t>
        </is>
      </c>
      <c r="G9822" s="0" t="s">
        <v>171</v>
      </c>
      <c r="H9822" s="5">
        <v>59.985700</v>
      </c>
    </row>
    <row r="9823" spans="1:9">
      <c r="A9823" s="22" t="str">
        <f>HYPERLINK("https://app.vivvix.com/360/KMI/IntelliDrive/ApplUI/Pages/CreativePages/CustomReportCreativeDetail.aspx?App=23&amp;ReportView=4&amp;Qid=1711279&amp;Row=9815&amp;Col=1","No Title Assigned - #15271469752")</f>
        <v/>
      </c>
      <c r="B9823" s="0" t="s">
        <v>13237</v>
      </c>
      <c r="E9823" s="0" t="inlineStr">
        <is>
          <t xml:space="preserve">Mazda</t>
        </is>
      </c>
      <c r="F9823" s="0" t="inlineStr">
        <is>
          <t xml:space="preserve">Mazda</t>
        </is>
      </c>
      <c r="G9823" s="0" t="s">
        <v>171</v>
      </c>
      <c r="H9823" s="5">
        <v>72.145200</v>
      </c>
    </row>
    <row r="9824" spans="1:9">
      <c r="A9824" s="22" t="str">
        <f>HYPERLINK("https://app.vivvix.com/360/KMI/IntelliDrive/ApplUI/Pages/CreativePages/CustomReportCreativeDetail.aspx?App=23&amp;ReportView=4&amp;Qid=1711279&amp;Row=9816&amp;Col=1","No Title Assigned - #15271470226")</f>
        <v/>
      </c>
      <c r="B9824" s="0" t="s">
        <v>13238</v>
      </c>
      <c r="E9824" s="0" t="inlineStr">
        <is>
          <t xml:space="preserve">Mazda</t>
        </is>
      </c>
      <c r="F9824" s="0" t="inlineStr">
        <is>
          <t xml:space="preserve">Mazda</t>
        </is>
      </c>
      <c r="G9824" s="0" t="s">
        <v>171</v>
      </c>
      <c r="H9824" s="5">
        <v>823.620600</v>
      </c>
    </row>
    <row r="9825" spans="1:9">
      <c r="A9825" s="22" t="str">
        <f>HYPERLINK("https://app.vivvix.com/360/KMI/IntelliDrive/ApplUI/Pages/CreativePages/CustomReportCreativeDetail.aspx?App=23&amp;ReportView=4&amp;Qid=1711279&amp;Row=9817&amp;Col=1","No Title Assigned - #15271472949")</f>
        <v/>
      </c>
      <c r="B9825" s="0" t="s">
        <v>13239</v>
      </c>
      <c r="E9825" s="0" t="inlineStr">
        <is>
          <t xml:space="preserve">Mazda</t>
        </is>
      </c>
      <c r="F9825" s="0" t="inlineStr">
        <is>
          <t xml:space="preserve">Mazda</t>
        </is>
      </c>
      <c r="G9825" s="0" t="s">
        <v>171</v>
      </c>
      <c r="H9825" s="5">
        <v>5.641600</v>
      </c>
    </row>
    <row r="9826" spans="1:9">
      <c r="A9826" s="22" t="str">
        <f>HYPERLINK("https://app.vivvix.com/360/KMI/IntelliDrive/ApplUI/Pages/CreativePages/CustomReportCreativeDetail.aspx?App=23&amp;ReportView=4&amp;Qid=1711279&amp;Row=9818&amp;Col=1","No Title Assigned - #15271474140")</f>
        <v/>
      </c>
      <c r="B9826" s="0" t="s">
        <v>13240</v>
      </c>
      <c r="E9826" s="0" t="inlineStr">
        <is>
          <t xml:space="preserve">Mazda</t>
        </is>
      </c>
      <c r="F9826" s="0" t="inlineStr">
        <is>
          <t xml:space="preserve">Mazda</t>
        </is>
      </c>
      <c r="G9826" s="0" t="s">
        <v>171</v>
      </c>
      <c r="H9826" s="5">
        <v>18.218400</v>
      </c>
    </row>
    <row r="9827" spans="1:9">
      <c r="A9827" s="22" t="str">
        <f>HYPERLINK("https://app.vivvix.com/360/KMI/IntelliDrive/ApplUI/Pages/CreativePages/CustomReportCreativeDetail.aspx?App=23&amp;ReportView=4&amp;Qid=1711279&amp;Row=9819&amp;Col=1","No Title Assigned - #15271474470")</f>
        <v/>
      </c>
      <c r="B9827" s="0" t="s">
        <v>13241</v>
      </c>
      <c r="E9827" s="0" t="inlineStr">
        <is>
          <t xml:space="preserve">Mazda</t>
        </is>
      </c>
      <c r="F9827" s="0" t="inlineStr">
        <is>
          <t xml:space="preserve">Mazda</t>
        </is>
      </c>
      <c r="G9827" s="0" t="s">
        <v>171</v>
      </c>
      <c r="H9827" s="5">
        <v>7410.101000</v>
      </c>
    </row>
    <row r="9828" spans="1:9">
      <c r="A9828" s="22" t="str">
        <f>HYPERLINK("https://app.vivvix.com/360/KMI/IntelliDrive/ApplUI/Pages/CreativePages/CustomReportCreativeDetail.aspx?App=23&amp;ReportView=4&amp;Qid=1711279&amp;Row=9820&amp;Col=1","No Title Assigned - #15271475557")</f>
        <v/>
      </c>
      <c r="B9828" s="0" t="s">
        <v>13242</v>
      </c>
      <c r="E9828" s="0" t="inlineStr">
        <is>
          <t xml:space="preserve">Mazda</t>
        </is>
      </c>
      <c r="F9828" s="0" t="inlineStr">
        <is>
          <t xml:space="preserve">Mazda</t>
        </is>
      </c>
      <c r="G9828" s="0" t="s">
        <v>171</v>
      </c>
      <c r="H9828" s="5">
        <v>107.999000</v>
      </c>
    </row>
    <row r="9829" spans="1:9">
      <c r="A9829" s="22" t="str">
        <f>HYPERLINK("https://app.vivvix.com/360/KMI/IntelliDrive/ApplUI/Pages/CreativePages/CustomReportCreativeDetail.aspx?App=23&amp;ReportView=4&amp;Qid=1711279&amp;Row=9821&amp;Col=1","No Title Assigned - #15271476207")</f>
        <v/>
      </c>
      <c r="B9829" s="0" t="s">
        <v>13243</v>
      </c>
      <c r="C9829" s="0" t="s">
        <v>13244</v>
      </c>
      <c r="D9829" s="0" t="s">
        <v>13244</v>
      </c>
      <c r="E9829" s="0" t="inlineStr">
        <is>
          <t xml:space="preserve">Mazda</t>
        </is>
      </c>
      <c r="F9829" s="0" t="inlineStr">
        <is>
          <t xml:space="preserve">Mazda</t>
        </is>
      </c>
      <c r="G9829" s="0" t="s">
        <v>171</v>
      </c>
      <c r="H9829" s="5">
        <v>22.665300</v>
      </c>
    </row>
    <row r="9830" spans="1:9">
      <c r="A9830" s="22" t="str">
        <f>HYPERLINK("https://app.vivvix.com/360/KMI/IntelliDrive/ApplUI/Pages/CreativePages/CustomReportCreativeDetail.aspx?App=23&amp;ReportView=4&amp;Qid=1711279&amp;Row=9822&amp;Col=1","No Title Assigned - #15271478206")</f>
        <v/>
      </c>
      <c r="B9830" s="0" t="s">
        <v>13245</v>
      </c>
      <c r="E9830" s="0" t="inlineStr">
        <is>
          <t xml:space="preserve">Mazda</t>
        </is>
      </c>
      <c r="F9830" s="0" t="inlineStr">
        <is>
          <t xml:space="preserve">Mazda</t>
        </is>
      </c>
      <c r="G9830" s="0" t="s">
        <v>171</v>
      </c>
      <c r="H9830" s="5">
        <v>7.631000</v>
      </c>
    </row>
    <row r="9831" spans="1:9">
      <c r="A9831" s="22" t="str">
        <f>HYPERLINK("https://app.vivvix.com/360/KMI/IntelliDrive/ApplUI/Pages/CreativePages/CustomReportCreativeDetail.aspx?App=23&amp;ReportView=4&amp;Qid=1711279&amp;Row=9823&amp;Col=1","No Title Assigned - #15271479655")</f>
        <v/>
      </c>
      <c r="B9831" s="0" t="s">
        <v>13246</v>
      </c>
      <c r="E9831" s="0" t="inlineStr">
        <is>
          <t xml:space="preserve">Mazda</t>
        </is>
      </c>
      <c r="F9831" s="0" t="inlineStr">
        <is>
          <t xml:space="preserve">Mazda</t>
        </is>
      </c>
      <c r="G9831" s="0" t="s">
        <v>171</v>
      </c>
      <c r="H9831" s="5">
        <v>2.140300</v>
      </c>
    </row>
    <row r="9832" spans="1:9">
      <c r="A9832" s="22" t="str">
        <f>HYPERLINK("https://app.vivvix.com/360/KMI/IntelliDrive/ApplUI/Pages/CreativePages/CustomReportCreativeDetail.aspx?App=23&amp;ReportView=4&amp;Qid=1711279&amp;Row=9824&amp;Col=1","No Title Assigned - #15271482187")</f>
        <v/>
      </c>
      <c r="B9832" s="0" t="s">
        <v>13247</v>
      </c>
      <c r="E9832" s="0" t="inlineStr">
        <is>
          <t xml:space="preserve">Mazda</t>
        </is>
      </c>
      <c r="F9832" s="0" t="inlineStr">
        <is>
          <t xml:space="preserve">Mazda</t>
        </is>
      </c>
      <c r="G9832" s="0" t="s">
        <v>171</v>
      </c>
      <c r="H9832" s="5">
        <v>0.324400</v>
      </c>
    </row>
    <row r="9833" spans="1:9">
      <c r="A9833" s="22" t="str">
        <f>HYPERLINK("https://app.vivvix.com/360/KMI/IntelliDrive/ApplUI/Pages/CreativePages/CustomReportCreativeDetail.aspx?App=23&amp;ReportView=4&amp;Qid=1711279&amp;Row=9825&amp;Col=1","No Title Assigned - #15271482189")</f>
        <v/>
      </c>
      <c r="B9833" s="0" t="s">
        <v>13248</v>
      </c>
      <c r="E9833" s="0" t="inlineStr">
        <is>
          <t xml:space="preserve">Mazda</t>
        </is>
      </c>
      <c r="F9833" s="0" t="inlineStr">
        <is>
          <t xml:space="preserve">Mazda</t>
        </is>
      </c>
      <c r="G9833" s="0" t="s">
        <v>171</v>
      </c>
      <c r="H9833" s="5">
        <v>0.324400</v>
      </c>
    </row>
    <row r="9834" spans="1:9">
      <c r="A9834" s="22" t="str">
        <f>HYPERLINK("https://app.vivvix.com/360/KMI/IntelliDrive/ApplUI/Pages/CreativePages/CustomReportCreativeDetail.aspx?App=23&amp;ReportView=4&amp;Qid=1711279&amp;Row=9826&amp;Col=1","No Title Assigned - #15271487092")</f>
        <v/>
      </c>
      <c r="B9834" s="0" t="s">
        <v>13249</v>
      </c>
      <c r="E9834" s="0" t="inlineStr">
        <is>
          <t xml:space="preserve">Mazda</t>
        </is>
      </c>
      <c r="F9834" s="0" t="inlineStr">
        <is>
          <t xml:space="preserve">Mazda</t>
        </is>
      </c>
      <c r="G9834" s="0" t="s">
        <v>171</v>
      </c>
      <c r="H9834" s="5">
        <v>3.311900</v>
      </c>
    </row>
    <row r="9835" spans="1:9">
      <c r="A9835" s="22" t="str">
        <f>HYPERLINK("https://app.vivvix.com/360/KMI/IntelliDrive/ApplUI/Pages/CreativePages/CustomReportCreativeDetail.aspx?App=23&amp;ReportView=4&amp;Qid=1711279&amp;Row=9827&amp;Col=1","No Title Assigned - #15271489263")</f>
        <v/>
      </c>
      <c r="B9835" s="0" t="s">
        <v>13250</v>
      </c>
      <c r="E9835" s="0" t="inlineStr">
        <is>
          <t xml:space="preserve">Mazda</t>
        </is>
      </c>
      <c r="F9835" s="0" t="inlineStr">
        <is>
          <t xml:space="preserve">Mazda</t>
        </is>
      </c>
      <c r="G9835" s="0" t="s">
        <v>171</v>
      </c>
      <c r="H9835" s="5">
        <v>13.054200</v>
      </c>
    </row>
    <row r="9836" spans="1:9">
      <c r="A9836" s="22" t="str">
        <f>HYPERLINK("https://app.vivvix.com/360/KMI/IntelliDrive/ApplUI/Pages/CreativePages/CustomReportCreativeDetail.aspx?App=23&amp;ReportView=4&amp;Qid=1711279&amp;Row=9828&amp;Col=1","No Title Assigned - #15271495410")</f>
        <v/>
      </c>
      <c r="B9836" s="0" t="s">
        <v>13251</v>
      </c>
      <c r="C9836" s="0" t="s">
        <v>13252</v>
      </c>
      <c r="D9836" s="0" t="s">
        <v>13252</v>
      </c>
      <c r="E9836" s="0" t="inlineStr">
        <is>
          <t xml:space="preserve">Mazda</t>
        </is>
      </c>
      <c r="F9836" s="0" t="s">
        <v>13</v>
      </c>
      <c r="G9836" s="0" t="s">
        <v>49</v>
      </c>
      <c r="H9836" s="5">
        <v>97.468700</v>
      </c>
    </row>
    <row r="9837" spans="1:9">
      <c r="A9837" s="22" t="str">
        <f>HYPERLINK("https://app.vivvix.com/360/KMI/IntelliDrive/ApplUI/Pages/CreativePages/CustomReportCreativeDetail.aspx?App=23&amp;ReportView=4&amp;Qid=1711279&amp;Row=9829&amp;Col=1","No Title Assigned - #15271495545")</f>
        <v/>
      </c>
      <c r="B9837" s="0" t="s">
        <v>13253</v>
      </c>
      <c r="C9837" s="0" t="s">
        <v>13254</v>
      </c>
      <c r="D9837" s="0" t="s">
        <v>13254</v>
      </c>
      <c r="E9837" s="0" t="inlineStr">
        <is>
          <t xml:space="preserve">Mazda</t>
        </is>
      </c>
      <c r="F9837" s="0" t="s">
        <v>13</v>
      </c>
      <c r="G9837" s="0" t="s">
        <v>49</v>
      </c>
      <c r="H9837" s="5">
        <v>129.504600</v>
      </c>
    </row>
    <row r="9838" spans="1:9">
      <c r="A9838" s="22" t="str">
        <f>HYPERLINK("https://app.vivvix.com/360/KMI/IntelliDrive/ApplUI/Pages/CreativePages/CustomReportCreativeDetail.aspx?App=23&amp;ReportView=4&amp;Qid=1711279&amp;Row=9830&amp;Col=1","No Title Assigned - #15271497529")</f>
        <v/>
      </c>
      <c r="B9838" s="0" t="s">
        <v>13255</v>
      </c>
      <c r="C9838" s="0" t="s">
        <v>13256</v>
      </c>
      <c r="D9838" s="0" t="s">
        <v>13256</v>
      </c>
      <c r="E9838" s="0" t="inlineStr">
        <is>
          <t xml:space="preserve">Mazda</t>
        </is>
      </c>
      <c r="F9838" s="0" t="s">
        <v>28</v>
      </c>
      <c r="G9838" s="0" t="s">
        <v>29</v>
      </c>
      <c r="H9838" s="5">
        <v>57.607700</v>
      </c>
    </row>
    <row r="9839" spans="1:9">
      <c r="A9839" s="22" t="str">
        <f>HYPERLINK("https://app.vivvix.com/360/KMI/IntelliDrive/ApplUI/Pages/CreativePages/CustomReportCreativeDetail.aspx?App=23&amp;ReportView=4&amp;Qid=1711279&amp;Row=9831&amp;Col=1","No Title Assigned - #15271498178")</f>
        <v/>
      </c>
      <c r="B9839" s="0" t="s">
        <v>13257</v>
      </c>
      <c r="C9839" s="0" t="s">
        <v>13258</v>
      </c>
      <c r="D9839" s="0" t="s">
        <v>13258</v>
      </c>
      <c r="E9839" s="0" t="inlineStr">
        <is>
          <t xml:space="preserve">Mazda</t>
        </is>
      </c>
      <c r="F9839" s="0" t="s">
        <v>28</v>
      </c>
      <c r="G9839" s="0" t="s">
        <v>29</v>
      </c>
      <c r="H9839" s="5">
        <v>7.081000</v>
      </c>
    </row>
    <row r="9840" spans="1:9">
      <c r="A9840" s="22" t="str">
        <f>HYPERLINK("https://app.vivvix.com/360/KMI/IntelliDrive/ApplUI/Pages/CreativePages/CustomReportCreativeDetail.aspx?App=23&amp;ReportView=4&amp;Qid=1711279&amp;Row=9832&amp;Col=1","No Title Assigned - #15271499537")</f>
        <v/>
      </c>
      <c r="B9840" s="0" t="s">
        <v>13259</v>
      </c>
      <c r="C9840" s="0" t="s">
        <v>13260</v>
      </c>
      <c r="D9840" s="0" t="s">
        <v>13260</v>
      </c>
      <c r="E9840" s="0" t="inlineStr">
        <is>
          <t xml:space="preserve">Mazda</t>
        </is>
      </c>
      <c r="F9840" s="0" t="s">
        <v>13</v>
      </c>
      <c r="G9840" s="0" t="s">
        <v>49</v>
      </c>
      <c r="H9840" s="5">
        <v>11496.646400</v>
      </c>
    </row>
    <row r="9841" spans="1:9">
      <c r="A9841" s="22" t="str">
        <f>HYPERLINK("https://app.vivvix.com/360/KMI/IntelliDrive/ApplUI/Pages/CreativePages/CustomReportCreativeDetail.aspx?App=23&amp;ReportView=4&amp;Qid=1711279&amp;Row=9833&amp;Col=1","No Title Assigned - #15271499975")</f>
        <v/>
      </c>
      <c r="B9841" s="0" t="s">
        <v>13261</v>
      </c>
      <c r="C9841" s="0" t="s">
        <v>13262</v>
      </c>
      <c r="D9841" s="0" t="s">
        <v>13262</v>
      </c>
      <c r="E9841" s="0" t="inlineStr">
        <is>
          <t xml:space="preserve">Mazda</t>
        </is>
      </c>
      <c r="F9841" s="0" t="s">
        <v>52</v>
      </c>
      <c r="G9841" s="0" t="s">
        <v>325</v>
      </c>
      <c r="H9841" s="5">
        <v>4926.655700</v>
      </c>
    </row>
    <row r="9842" spans="1:9">
      <c r="A9842" s="22" t="str">
        <f>HYPERLINK("https://app.vivvix.com/360/KMI/IntelliDrive/ApplUI/Pages/CreativePages/CustomReportCreativeDetail.aspx?App=23&amp;ReportView=4&amp;Qid=1711279&amp;Row=9834&amp;Col=1","No Title Assigned - #15271500139")</f>
        <v/>
      </c>
      <c r="B9842" s="0" t="s">
        <v>13263</v>
      </c>
      <c r="C9842" s="0" t="s">
        <v>13264</v>
      </c>
      <c r="D9842" s="0" t="s">
        <v>13264</v>
      </c>
      <c r="E9842" s="0" t="inlineStr">
        <is>
          <t xml:space="preserve">Mazda</t>
        </is>
      </c>
      <c r="F9842" s="0" t="s">
        <v>13</v>
      </c>
      <c r="G9842" s="0" t="s">
        <v>49</v>
      </c>
      <c r="H9842" s="5">
        <v>2920.918900</v>
      </c>
    </row>
    <row r="9843" spans="1:9">
      <c r="A9843" s="22" t="str">
        <f>HYPERLINK("https://app.vivvix.com/360/KMI/IntelliDrive/ApplUI/Pages/CreativePages/CustomReportCreativeDetail.aspx?App=23&amp;ReportView=4&amp;Qid=1711279&amp;Row=9835&amp;Col=1","No Title Assigned - #15271500746")</f>
        <v/>
      </c>
      <c r="B9843" s="0" t="s">
        <v>13265</v>
      </c>
      <c r="C9843" s="0" t="s">
        <v>13266</v>
      </c>
      <c r="D9843" s="0" t="s">
        <v>4200</v>
      </c>
      <c r="E9843" s="0" t="inlineStr">
        <is>
          <t xml:space="preserve">Mazda</t>
        </is>
      </c>
      <c r="F9843" s="0" t="s">
        <v>28</v>
      </c>
      <c r="G9843" s="0" t="s">
        <v>29</v>
      </c>
      <c r="H9843" s="5">
        <v>18.379500</v>
      </c>
    </row>
    <row r="9844" spans="1:9">
      <c r="A9844" s="22" t="str">
        <f>HYPERLINK("https://app.vivvix.com/360/KMI/IntelliDrive/ApplUI/Pages/CreativePages/CustomReportCreativeDetail.aspx?App=23&amp;ReportView=4&amp;Qid=1711279&amp;Row=9836&amp;Col=1","No Title Assigned - #15271500852")</f>
        <v/>
      </c>
      <c r="B9844" s="0" t="s">
        <v>13267</v>
      </c>
      <c r="C9844" s="0" t="s">
        <v>13268</v>
      </c>
      <c r="D9844" s="0" t="s">
        <v>4204</v>
      </c>
      <c r="E9844" s="0" t="inlineStr">
        <is>
          <t xml:space="preserve">Mazda</t>
        </is>
      </c>
      <c r="F9844" s="0" t="s">
        <v>28</v>
      </c>
      <c r="G9844" s="0" t="s">
        <v>29</v>
      </c>
      <c r="H9844" s="5">
        <v>518.438000</v>
      </c>
    </row>
    <row r="9845" spans="1:9">
      <c r="A9845" s="22" t="str">
        <f>HYPERLINK("https://app.vivvix.com/360/KMI/IntelliDrive/ApplUI/Pages/CreativePages/CustomReportCreativeDetail.aspx?App=23&amp;ReportView=4&amp;Qid=1711279&amp;Row=9837&amp;Col=1","No Title Assigned - #15271501059")</f>
        <v/>
      </c>
      <c r="B9845" s="0" t="s">
        <v>13269</v>
      </c>
      <c r="C9845" s="0" t="s">
        <v>13270</v>
      </c>
      <c r="D9845" s="0" t="s">
        <v>13270</v>
      </c>
      <c r="E9845" s="0" t="inlineStr">
        <is>
          <t xml:space="preserve">Mazda</t>
        </is>
      </c>
      <c r="F9845" s="0" t="s">
        <v>13</v>
      </c>
      <c r="G9845" s="0" t="s">
        <v>49</v>
      </c>
      <c r="H9845" s="5">
        <v>10466.793000</v>
      </c>
    </row>
    <row r="9846" spans="1:9">
      <c r="A9846" s="22" t="str">
        <f>HYPERLINK("https://app.vivvix.com/360/KMI/IntelliDrive/ApplUI/Pages/CreativePages/CustomReportCreativeDetail.aspx?App=23&amp;ReportView=4&amp;Qid=1711279&amp;Row=9838&amp;Col=1","No Title Assigned - #15271501458")</f>
        <v/>
      </c>
      <c r="B9846" s="0" t="s">
        <v>13271</v>
      </c>
      <c r="C9846" s="0" t="s">
        <v>13272</v>
      </c>
      <c r="D9846" s="0" t="s">
        <v>13272</v>
      </c>
      <c r="E9846" s="0" t="inlineStr">
        <is>
          <t xml:space="preserve">Mazda</t>
        </is>
      </c>
      <c r="F9846" s="0" t="s">
        <v>28</v>
      </c>
      <c r="G9846" s="0" t="s">
        <v>29</v>
      </c>
      <c r="H9846" s="5">
        <v>394.674900</v>
      </c>
    </row>
    <row r="9847" spans="1:9">
      <c r="A9847" s="22" t="str">
        <f>HYPERLINK("https://app.vivvix.com/360/KMI/IntelliDrive/ApplUI/Pages/CreativePages/CustomReportCreativeDetail.aspx?App=23&amp;ReportView=4&amp;Qid=1711279&amp;Row=9839&amp;Col=1","No Title Assigned - #15271502627")</f>
        <v/>
      </c>
      <c r="B9847" s="0" t="s">
        <v>13273</v>
      </c>
      <c r="C9847" s="0" t="s">
        <v>13274</v>
      </c>
      <c r="D9847" s="0" t="s">
        <v>13274</v>
      </c>
      <c r="E9847" s="0" t="inlineStr">
        <is>
          <t xml:space="preserve">Mazda</t>
        </is>
      </c>
      <c r="F9847" s="0" t="s">
        <v>13</v>
      </c>
      <c r="G9847" s="0" t="s">
        <v>49</v>
      </c>
      <c r="H9847" s="5">
        <v>57.177200</v>
      </c>
    </row>
    <row r="9848" spans="1:9">
      <c r="A9848" s="22" t="str">
        <f>HYPERLINK("https://app.vivvix.com/360/KMI/IntelliDrive/ApplUI/Pages/CreativePages/CustomReportCreativeDetail.aspx?App=23&amp;ReportView=4&amp;Qid=1711279&amp;Row=9840&amp;Col=1","No Title Assigned - #15271502734")</f>
        <v/>
      </c>
      <c r="B9848" s="0" t="s">
        <v>13275</v>
      </c>
      <c r="C9848" s="0" t="s">
        <v>13276</v>
      </c>
      <c r="D9848" s="0" t="s">
        <v>13276</v>
      </c>
      <c r="E9848" s="0" t="inlineStr">
        <is>
          <t xml:space="preserve">Mazda</t>
        </is>
      </c>
      <c r="F9848" s="0" t="s">
        <v>21</v>
      </c>
      <c r="G9848" s="0" t="s">
        <v>22</v>
      </c>
      <c r="H9848" s="5">
        <v>918.888400</v>
      </c>
    </row>
    <row r="9849" spans="1:9">
      <c r="A9849" s="22" t="str">
        <f>HYPERLINK("https://app.vivvix.com/360/KMI/IntelliDrive/ApplUI/Pages/CreativePages/CustomReportCreativeDetail.aspx?App=23&amp;ReportView=4&amp;Qid=1711279&amp;Row=9841&amp;Col=1","No Title Assigned - #15271504002")</f>
        <v/>
      </c>
      <c r="B9849" s="0" t="s">
        <v>13277</v>
      </c>
      <c r="C9849" s="0" t="s">
        <v>13278</v>
      </c>
      <c r="D9849" s="0" t="s">
        <v>13278</v>
      </c>
      <c r="E9849" s="0" t="inlineStr">
        <is>
          <t xml:space="preserve">Mazda</t>
        </is>
      </c>
      <c r="F9849" s="0" t="s">
        <v>28</v>
      </c>
      <c r="G9849" s="0" t="s">
        <v>29</v>
      </c>
      <c r="H9849" s="5">
        <v>49.957900</v>
      </c>
    </row>
    <row r="9850" spans="1:9">
      <c r="A9850" s="22" t="str">
        <f>HYPERLINK("https://app.vivvix.com/360/KMI/IntelliDrive/ApplUI/Pages/CreativePages/CustomReportCreativeDetail.aspx?App=23&amp;ReportView=4&amp;Qid=1711279&amp;Row=9842&amp;Col=1","No Title Assigned - #15271504340")</f>
        <v/>
      </c>
      <c r="B9850" s="0" t="s">
        <v>13279</v>
      </c>
      <c r="C9850" s="0" t="s">
        <v>13280</v>
      </c>
      <c r="D9850" s="0" t="s">
        <v>13280</v>
      </c>
      <c r="E9850" s="0" t="inlineStr">
        <is>
          <t xml:space="preserve">Mazda</t>
        </is>
      </c>
      <c r="F9850" s="0" t="s">
        <v>13</v>
      </c>
      <c r="G9850" s="0" t="s">
        <v>49</v>
      </c>
      <c r="H9850" s="5">
        <v>5958.408800</v>
      </c>
    </row>
    <row r="9851" spans="1:9">
      <c r="A9851" s="22" t="str">
        <f>HYPERLINK("https://app.vivvix.com/360/KMI/IntelliDrive/ApplUI/Pages/CreativePages/CustomReportCreativeDetail.aspx?App=23&amp;ReportView=4&amp;Qid=1711279&amp;Row=9843&amp;Col=1","No Title Assigned - #15271505812")</f>
        <v/>
      </c>
      <c r="B9851" s="0" t="s">
        <v>13281</v>
      </c>
      <c r="C9851" s="0" t="s">
        <v>13282</v>
      </c>
      <c r="D9851" s="0" t="s">
        <v>13282</v>
      </c>
      <c r="E9851" s="0" t="inlineStr">
        <is>
          <t xml:space="preserve">Mazda</t>
        </is>
      </c>
      <c r="F9851" s="0" t="s">
        <v>28</v>
      </c>
      <c r="G9851" s="0" t="s">
        <v>29</v>
      </c>
      <c r="H9851" s="5">
        <v>167.989400</v>
      </c>
    </row>
    <row r="9852" spans="1:9">
      <c r="A9852" s="22" t="str">
        <f>HYPERLINK("https://app.vivvix.com/360/KMI/IntelliDrive/ApplUI/Pages/CreativePages/CustomReportCreativeDetail.aspx?App=23&amp;ReportView=4&amp;Qid=1711279&amp;Row=9844&amp;Col=1","No Title Assigned - #15271507092")</f>
        <v/>
      </c>
      <c r="B9852" s="0" t="s">
        <v>13283</v>
      </c>
      <c r="C9852" s="0" t="s">
        <v>13284</v>
      </c>
      <c r="D9852" s="0" t="s">
        <v>5530</v>
      </c>
      <c r="E9852" s="0" t="inlineStr">
        <is>
          <t xml:space="preserve">Mazda</t>
        </is>
      </c>
      <c r="F9852" s="0" t="s">
        <v>21</v>
      </c>
      <c r="G9852" s="0" t="s">
        <v>22</v>
      </c>
      <c r="H9852" s="5">
        <v>798.920100</v>
      </c>
    </row>
    <row r="9853" spans="1:9">
      <c r="A9853" s="22" t="str">
        <f>HYPERLINK("https://app.vivvix.com/360/KMI/IntelliDrive/ApplUI/Pages/CreativePages/CustomReportCreativeDetail.aspx?App=23&amp;ReportView=4&amp;Qid=1711279&amp;Row=9845&amp;Col=1","No Title Assigned - #15271507807")</f>
        <v/>
      </c>
      <c r="B9853" s="0" t="s">
        <v>13285</v>
      </c>
      <c r="E9853" s="0" t="inlineStr">
        <is>
          <t xml:space="preserve">Mazda</t>
        </is>
      </c>
      <c r="F9853" s="0" t="inlineStr">
        <is>
          <t xml:space="preserve">Mazda</t>
        </is>
      </c>
      <c r="G9853" s="0" t="s">
        <v>171</v>
      </c>
      <c r="H9853" s="5">
        <v>45.662400</v>
      </c>
    </row>
    <row r="9854" spans="1:9">
      <c r="A9854" s="22" t="str">
        <f>HYPERLINK("https://app.vivvix.com/360/KMI/IntelliDrive/ApplUI/Pages/CreativePages/CustomReportCreativeDetail.aspx?App=23&amp;ReportView=4&amp;Qid=1711279&amp;Row=9846&amp;Col=1","No Title Assigned - #15271507808")</f>
        <v/>
      </c>
      <c r="B9854" s="0" t="s">
        <v>13286</v>
      </c>
      <c r="E9854" s="0" t="inlineStr">
        <is>
          <t xml:space="preserve">Mazda</t>
        </is>
      </c>
      <c r="F9854" s="0" t="inlineStr">
        <is>
          <t xml:space="preserve">Mazda</t>
        </is>
      </c>
      <c r="G9854" s="0" t="s">
        <v>171</v>
      </c>
      <c r="H9854" s="5">
        <v>30.441600</v>
      </c>
    </row>
    <row r="9855" spans="1:9">
      <c r="A9855" s="22" t="str">
        <f>HYPERLINK("https://app.vivvix.com/360/KMI/IntelliDrive/ApplUI/Pages/CreativePages/CustomReportCreativeDetail.aspx?App=23&amp;ReportView=4&amp;Qid=1711279&amp;Row=9847&amp;Col=1","No Title Assigned - #15271507809")</f>
        <v/>
      </c>
      <c r="B9855" s="0" t="s">
        <v>13287</v>
      </c>
      <c r="E9855" s="0" t="inlineStr">
        <is>
          <t xml:space="preserve">Mazda</t>
        </is>
      </c>
      <c r="F9855" s="0" t="inlineStr">
        <is>
          <t xml:space="preserve">Mazda</t>
        </is>
      </c>
      <c r="G9855" s="0" t="s">
        <v>171</v>
      </c>
      <c r="H9855" s="5">
        <v>30.441600</v>
      </c>
    </row>
    <row r="9856" spans="1:9">
      <c r="A9856" s="22" t="str">
        <f>HYPERLINK("https://app.vivvix.com/360/KMI/IntelliDrive/ApplUI/Pages/CreativePages/CustomReportCreativeDetail.aspx?App=23&amp;ReportView=4&amp;Qid=1711279&amp;Row=9848&amp;Col=1","No Title Assigned - #15271507811")</f>
        <v/>
      </c>
      <c r="B9856" s="0" t="s">
        <v>13288</v>
      </c>
      <c r="E9856" s="0" t="inlineStr">
        <is>
          <t xml:space="preserve">Mazda</t>
        </is>
      </c>
      <c r="F9856" s="0" t="inlineStr">
        <is>
          <t xml:space="preserve">Mazda</t>
        </is>
      </c>
      <c r="G9856" s="0" t="s">
        <v>171</v>
      </c>
      <c r="H9856" s="5">
        <v>15.220800</v>
      </c>
    </row>
    <row r="9857" spans="1:9">
      <c r="A9857" s="22" t="str">
        <f>HYPERLINK("https://app.vivvix.com/360/KMI/IntelliDrive/ApplUI/Pages/CreativePages/CustomReportCreativeDetail.aspx?App=23&amp;ReportView=4&amp;Qid=1711279&amp;Row=9849&amp;Col=1","No Title Assigned - #15271509114")</f>
        <v/>
      </c>
      <c r="B9857" s="0" t="s">
        <v>13289</v>
      </c>
      <c r="C9857" s="0" t="s">
        <v>13290</v>
      </c>
      <c r="D9857" s="0" t="s">
        <v>4202</v>
      </c>
      <c r="E9857" s="0" t="inlineStr">
        <is>
          <t xml:space="preserve">Mazda</t>
        </is>
      </c>
      <c r="F9857" s="0" t="s">
        <v>28</v>
      </c>
      <c r="G9857" s="0" t="s">
        <v>29</v>
      </c>
      <c r="H9857" s="5">
        <v>5.921900</v>
      </c>
    </row>
    <row r="9858" spans="1:9">
      <c r="A9858" s="22" t="str">
        <f>HYPERLINK("https://app.vivvix.com/360/KMI/IntelliDrive/ApplUI/Pages/CreativePages/CustomReportCreativeDetail.aspx?App=23&amp;ReportView=4&amp;Qid=1711279&amp;Row=9850&amp;Col=1","No Title Assigned - #15271509248")</f>
        <v/>
      </c>
      <c r="B9858" s="0" t="s">
        <v>13291</v>
      </c>
      <c r="C9858" s="0" t="s">
        <v>13292</v>
      </c>
      <c r="D9858" s="0" t="s">
        <v>13292</v>
      </c>
      <c r="E9858" s="0" t="inlineStr">
        <is>
          <t xml:space="preserve">Mazda</t>
        </is>
      </c>
      <c r="F9858" s="0" t="s">
        <v>13</v>
      </c>
      <c r="G9858" s="0" t="s">
        <v>49</v>
      </c>
      <c r="H9858" s="5">
        <v>1717.379300</v>
      </c>
    </row>
    <row r="9859" spans="1:9">
      <c r="A9859" s="22" t="str">
        <f>HYPERLINK("https://app.vivvix.com/360/KMI/IntelliDrive/ApplUI/Pages/CreativePages/CustomReportCreativeDetail.aspx?App=23&amp;ReportView=4&amp;Qid=1711279&amp;Row=9851&amp;Col=1","No Title Assigned - #15271509864")</f>
        <v/>
      </c>
      <c r="B9859" s="0" t="s">
        <v>13293</v>
      </c>
      <c r="C9859" s="0" t="s">
        <v>13294</v>
      </c>
      <c r="D9859" s="0" t="s">
        <v>10311</v>
      </c>
      <c r="E9859" s="0" t="inlineStr">
        <is>
          <t xml:space="preserve">Mazda</t>
        </is>
      </c>
      <c r="F9859" s="0" t="s">
        <v>13</v>
      </c>
      <c r="G9859" s="0" t="s">
        <v>49</v>
      </c>
      <c r="H9859" s="5">
        <v>135.050900</v>
      </c>
    </row>
    <row r="9860" spans="1:9">
      <c r="A9860" s="22" t="str">
        <f>HYPERLINK("https://app.vivvix.com/360/KMI/IntelliDrive/ApplUI/Pages/CreativePages/CustomReportCreativeDetail.aspx?App=23&amp;ReportView=4&amp;Qid=1711279&amp;Row=9852&amp;Col=1","No Title Assigned - #15271510001")</f>
        <v/>
      </c>
      <c r="B9860" s="0" t="s">
        <v>13295</v>
      </c>
      <c r="E9860" s="0" t="inlineStr">
        <is>
          <t xml:space="preserve">Mazda</t>
        </is>
      </c>
      <c r="F9860" s="0" t="inlineStr">
        <is>
          <t xml:space="preserve">Mazda</t>
        </is>
      </c>
      <c r="G9860" s="0" t="s">
        <v>171</v>
      </c>
      <c r="H9860" s="5">
        <v>5891.029300</v>
      </c>
    </row>
    <row r="9861" spans="1:9">
      <c r="A9861" s="22" t="str">
        <f>HYPERLINK("https://app.vivvix.com/360/KMI/IntelliDrive/ApplUI/Pages/CreativePages/CustomReportCreativeDetail.aspx?App=23&amp;ReportView=4&amp;Qid=1711279&amp;Row=9853&amp;Col=1","No Title Assigned - #15271510462")</f>
        <v/>
      </c>
      <c r="B9861" s="0" t="s">
        <v>13296</v>
      </c>
      <c r="C9861" s="0" t="s">
        <v>13297</v>
      </c>
      <c r="D9861" s="0" t="s">
        <v>13297</v>
      </c>
      <c r="E9861" s="0" t="inlineStr">
        <is>
          <t xml:space="preserve">Mazda</t>
        </is>
      </c>
      <c r="F9861" s="0" t="s">
        <v>28</v>
      </c>
      <c r="G9861" s="0" t="s">
        <v>29</v>
      </c>
      <c r="H9861" s="5">
        <v>6294.165200</v>
      </c>
    </row>
    <row r="9862" spans="1:9">
      <c r="A9862" s="22" t="str">
        <f>HYPERLINK("https://app.vivvix.com/360/KMI/IntelliDrive/ApplUI/Pages/CreativePages/CustomReportCreativeDetail.aspx?App=23&amp;ReportView=4&amp;Qid=1711279&amp;Row=9854&amp;Col=1","No Title Assigned - #15271512407")</f>
        <v/>
      </c>
      <c r="B9862" s="0" t="s">
        <v>13298</v>
      </c>
      <c r="C9862" s="0" t="s">
        <v>13299</v>
      </c>
      <c r="D9862" s="0" t="s">
        <v>13299</v>
      </c>
      <c r="E9862" s="0" t="inlineStr">
        <is>
          <t xml:space="preserve">Mazda</t>
        </is>
      </c>
      <c r="F9862" s="0" t="s">
        <v>13</v>
      </c>
      <c r="G9862" s="0" t="s">
        <v>49</v>
      </c>
      <c r="H9862" s="5">
        <v>144.745600</v>
      </c>
    </row>
    <row r="9863" spans="1:9">
      <c r="A9863" s="22" t="str">
        <f>HYPERLINK("https://app.vivvix.com/360/KMI/IntelliDrive/ApplUI/Pages/CreativePages/CustomReportCreativeDetail.aspx?App=23&amp;ReportView=4&amp;Qid=1711279&amp;Row=9855&amp;Col=1","No Title Assigned - #15271512780")</f>
        <v/>
      </c>
      <c r="B9863" s="0" t="s">
        <v>13300</v>
      </c>
      <c r="C9863" s="0" t="s">
        <v>13301</v>
      </c>
      <c r="D9863" s="0" t="s">
        <v>11678</v>
      </c>
      <c r="E9863" s="0" t="inlineStr">
        <is>
          <t xml:space="preserve">Mazda</t>
        </is>
      </c>
      <c r="F9863" s="0" t="s">
        <v>28</v>
      </c>
      <c r="G9863" s="0" t="s">
        <v>29</v>
      </c>
      <c r="H9863" s="5">
        <v>21.700500</v>
      </c>
    </row>
    <row r="9864" spans="1:9">
      <c r="A9864" s="22" t="str">
        <f>HYPERLINK("https://app.vivvix.com/360/KMI/IntelliDrive/ApplUI/Pages/CreativePages/CustomReportCreativeDetail.aspx?App=23&amp;ReportView=4&amp;Qid=1711279&amp;Row=9856&amp;Col=1","No Title Assigned - #15271513201")</f>
        <v/>
      </c>
      <c r="B9864" s="0" t="s">
        <v>13302</v>
      </c>
      <c r="C9864" s="0" t="s">
        <v>13303</v>
      </c>
      <c r="D9864" s="0" t="s">
        <v>8203</v>
      </c>
      <c r="E9864" s="0" t="inlineStr">
        <is>
          <t xml:space="preserve">Mazda</t>
        </is>
      </c>
      <c r="F9864" s="0" t="s">
        <v>28</v>
      </c>
      <c r="G9864" s="0" t="s">
        <v>29</v>
      </c>
      <c r="H9864" s="5">
        <v>5.290600</v>
      </c>
    </row>
    <row r="9865" spans="1:9">
      <c r="A9865" s="22" t="str">
        <f>HYPERLINK("https://app.vivvix.com/360/KMI/IntelliDrive/ApplUI/Pages/CreativePages/CustomReportCreativeDetail.aspx?App=23&amp;ReportView=4&amp;Qid=1711279&amp;Row=9857&amp;Col=1","No Title Assigned - #15271513357")</f>
        <v/>
      </c>
      <c r="B9865" s="0" t="s">
        <v>13304</v>
      </c>
      <c r="C9865" s="0" t="s">
        <v>13305</v>
      </c>
      <c r="D9865" s="0" t="s">
        <v>8876</v>
      </c>
      <c r="E9865" s="0" t="inlineStr">
        <is>
          <t xml:space="preserve">Mazda</t>
        </is>
      </c>
      <c r="F9865" s="0" t="s">
        <v>28</v>
      </c>
      <c r="G9865" s="0" t="s">
        <v>29</v>
      </c>
      <c r="H9865" s="5">
        <v>1.654600</v>
      </c>
    </row>
    <row r="9866" spans="1:9">
      <c r="A9866" s="22" t="str">
        <f>HYPERLINK("https://app.vivvix.com/360/KMI/IntelliDrive/ApplUI/Pages/CreativePages/CustomReportCreativeDetail.aspx?App=23&amp;ReportView=4&amp;Qid=1711279&amp;Row=9858&amp;Col=1","No Title Assigned - #15271514260")</f>
        <v/>
      </c>
      <c r="B9866" s="0" t="s">
        <v>13306</v>
      </c>
      <c r="C9866" s="0" t="s">
        <v>13307</v>
      </c>
      <c r="D9866" s="0" t="s">
        <v>4202</v>
      </c>
      <c r="E9866" s="0" t="inlineStr">
        <is>
          <t xml:space="preserve">Mazda</t>
        </is>
      </c>
      <c r="F9866" s="0" t="s">
        <v>28</v>
      </c>
      <c r="G9866" s="0" t="s">
        <v>29</v>
      </c>
      <c r="H9866" s="5">
        <v>11.029400</v>
      </c>
    </row>
    <row r="9867" spans="1:9">
      <c r="A9867" s="22" t="str">
        <f>HYPERLINK("https://app.vivvix.com/360/KMI/IntelliDrive/ApplUI/Pages/CreativePages/CustomReportCreativeDetail.aspx?App=23&amp;ReportView=4&amp;Qid=1711279&amp;Row=9859&amp;Col=1","No Title Assigned - #15271515573")</f>
        <v/>
      </c>
      <c r="B9867" s="0" t="s">
        <v>13308</v>
      </c>
      <c r="C9867" s="0" t="s">
        <v>13309</v>
      </c>
      <c r="D9867" s="0" t="s">
        <v>4202</v>
      </c>
      <c r="E9867" s="0" t="inlineStr">
        <is>
          <t xml:space="preserve">Mazda</t>
        </is>
      </c>
      <c r="F9867" s="0" t="s">
        <v>28</v>
      </c>
      <c r="G9867" s="0" t="s">
        <v>29</v>
      </c>
      <c r="H9867" s="5">
        <v>963.687600</v>
      </c>
    </row>
    <row r="9868" spans="1:9">
      <c r="A9868" s="22" t="str">
        <f>HYPERLINK("https://app.vivvix.com/360/KMI/IntelliDrive/ApplUI/Pages/CreativePages/CustomReportCreativeDetail.aspx?App=23&amp;ReportView=4&amp;Qid=1711279&amp;Row=9860&amp;Col=1","No Title Assigned - #15271515573")</f>
        <v/>
      </c>
      <c r="B9868" s="0" t="s">
        <v>13308</v>
      </c>
      <c r="E9868" s="0" t="inlineStr">
        <is>
          <t xml:space="preserve">Mazda</t>
        </is>
      </c>
      <c r="F9868" s="0" t="s">
        <v>28</v>
      </c>
      <c r="G9868" s="0" t="s">
        <v>29</v>
      </c>
      <c r="H9868" s="5">
        <v>89.824600</v>
      </c>
    </row>
    <row r="9869" spans="1:9">
      <c r="A9869" s="22" t="str">
        <f>HYPERLINK("https://app.vivvix.com/360/KMI/IntelliDrive/ApplUI/Pages/CreativePages/CustomReportCreativeDetail.aspx?App=23&amp;ReportView=4&amp;Qid=1711279&amp;Row=9861&amp;Col=1","No Title Assigned - #15271515928")</f>
        <v/>
      </c>
      <c r="B9869" s="0" t="s">
        <v>13310</v>
      </c>
      <c r="C9869" s="0" t="s">
        <v>13311</v>
      </c>
      <c r="D9869" s="0" t="s">
        <v>4430</v>
      </c>
      <c r="E9869" s="0" t="inlineStr">
        <is>
          <t xml:space="preserve">Mazda</t>
        </is>
      </c>
      <c r="F9869" s="0" t="s">
        <v>28</v>
      </c>
      <c r="G9869" s="0" t="s">
        <v>29</v>
      </c>
      <c r="H9869" s="5">
        <v>1.262800</v>
      </c>
    </row>
    <row r="9870" spans="1:9">
      <c r="A9870" s="22" t="str">
        <f>HYPERLINK("https://app.vivvix.com/360/KMI/IntelliDrive/ApplUI/Pages/CreativePages/CustomReportCreativeDetail.aspx?App=23&amp;ReportView=4&amp;Qid=1711279&amp;Row=9862&amp;Col=1","No Title Assigned - #15271516091")</f>
        <v/>
      </c>
      <c r="B9870" s="0" t="s">
        <v>13312</v>
      </c>
      <c r="C9870" s="0" t="s">
        <v>13313</v>
      </c>
      <c r="D9870" s="0" t="s">
        <v>4450</v>
      </c>
      <c r="E9870" s="0" t="inlineStr">
        <is>
          <t xml:space="preserve">Mazda</t>
        </is>
      </c>
      <c r="F9870" s="0" t="s">
        <v>28</v>
      </c>
      <c r="G9870" s="0" t="s">
        <v>29</v>
      </c>
      <c r="H9870" s="5">
        <v>23.029300</v>
      </c>
    </row>
    <row r="9871" spans="1:9">
      <c r="A9871" s="22" t="str">
        <f>HYPERLINK("https://app.vivvix.com/360/KMI/IntelliDrive/ApplUI/Pages/CreativePages/CustomReportCreativeDetail.aspx?App=23&amp;ReportView=4&amp;Qid=1711279&amp;Row=9863&amp;Col=1","No Title Assigned - #15271517040")</f>
        <v/>
      </c>
      <c r="B9871" s="0" t="s">
        <v>13314</v>
      </c>
      <c r="C9871" s="0" t="s">
        <v>13315</v>
      </c>
      <c r="D9871" s="0" t="s">
        <v>13315</v>
      </c>
      <c r="E9871" s="0" t="inlineStr">
        <is>
          <t xml:space="preserve">Mazda</t>
        </is>
      </c>
      <c r="F9871" s="0" t="s">
        <v>369</v>
      </c>
      <c r="G9871" s="0" t="s">
        <v>2644</v>
      </c>
      <c r="H9871" s="5">
        <v>1271.618200</v>
      </c>
    </row>
    <row r="9872" spans="1:9">
      <c r="A9872" s="22" t="str">
        <f>HYPERLINK("https://app.vivvix.com/360/KMI/IntelliDrive/ApplUI/Pages/CreativePages/CustomReportCreativeDetail.aspx?App=23&amp;ReportView=4&amp;Qid=1711279&amp;Row=9864&amp;Col=1","No Title Assigned - #15271517772")</f>
        <v/>
      </c>
      <c r="B9872" s="0" t="s">
        <v>13316</v>
      </c>
      <c r="C9872" s="0" t="s">
        <v>13317</v>
      </c>
      <c r="D9872" s="0" t="s">
        <v>4202</v>
      </c>
      <c r="E9872" s="0" t="inlineStr">
        <is>
          <t xml:space="preserve">Mazda</t>
        </is>
      </c>
      <c r="F9872" s="0" t="s">
        <v>28</v>
      </c>
      <c r="G9872" s="0" t="s">
        <v>29</v>
      </c>
      <c r="H9872" s="5">
        <v>6.527100</v>
      </c>
    </row>
    <row r="9873" spans="1:9">
      <c r="A9873" s="22" t="str">
        <f>HYPERLINK("https://app.vivvix.com/360/KMI/IntelliDrive/ApplUI/Pages/CreativePages/CustomReportCreativeDetail.aspx?App=23&amp;ReportView=4&amp;Qid=1711279&amp;Row=9865&amp;Col=1","No Title Assigned - #15271518435")</f>
        <v/>
      </c>
      <c r="B9873" s="0" t="s">
        <v>13318</v>
      </c>
      <c r="C9873" s="0" t="s">
        <v>13319</v>
      </c>
      <c r="D9873" s="0" t="s">
        <v>7920</v>
      </c>
      <c r="E9873" s="0" t="inlineStr">
        <is>
          <t xml:space="preserve">Mazda</t>
        </is>
      </c>
      <c r="F9873" s="0" t="s">
        <v>28</v>
      </c>
      <c r="G9873" s="0" t="s">
        <v>29</v>
      </c>
      <c r="H9873" s="5">
        <v>20.549400</v>
      </c>
    </row>
    <row r="9874" spans="1:9">
      <c r="A9874" s="22" t="str">
        <f>HYPERLINK("https://app.vivvix.com/360/KMI/IntelliDrive/ApplUI/Pages/CreativePages/CustomReportCreativeDetail.aspx?App=23&amp;ReportView=4&amp;Qid=1711279&amp;Row=9866&amp;Col=1","No Title Assigned - #15271518673")</f>
        <v/>
      </c>
      <c r="B9874" s="0" t="s">
        <v>13320</v>
      </c>
      <c r="E9874" s="0" t="inlineStr">
        <is>
          <t xml:space="preserve">Mazda</t>
        </is>
      </c>
      <c r="F9874" s="0" t="inlineStr">
        <is>
          <t xml:space="preserve">Mazda</t>
        </is>
      </c>
      <c r="G9874" s="0" t="s">
        <v>171</v>
      </c>
      <c r="H9874" s="5">
        <v>446.559100</v>
      </c>
    </row>
    <row r="9875" spans="1:9">
      <c r="A9875" s="22" t="str">
        <f>HYPERLINK("https://app.vivvix.com/360/KMI/IntelliDrive/ApplUI/Pages/CreativePages/CustomReportCreativeDetail.aspx?App=23&amp;ReportView=4&amp;Qid=1711279&amp;Row=9867&amp;Col=1","No Title Assigned - #15271520855")</f>
        <v/>
      </c>
      <c r="B9875" s="0" t="s">
        <v>13321</v>
      </c>
      <c r="C9875" s="0" t="s">
        <v>13322</v>
      </c>
      <c r="D9875" s="0" t="s">
        <v>4202</v>
      </c>
      <c r="E9875" s="0" t="inlineStr">
        <is>
          <t xml:space="preserve">Mazda</t>
        </is>
      </c>
      <c r="F9875" s="0" t="s">
        <v>28</v>
      </c>
      <c r="G9875" s="0" t="s">
        <v>29</v>
      </c>
      <c r="H9875" s="5">
        <v>42.713200</v>
      </c>
    </row>
    <row r="9876" spans="1:9">
      <c r="A9876" s="22" t="str">
        <f>HYPERLINK("https://app.vivvix.com/360/KMI/IntelliDrive/ApplUI/Pages/CreativePages/CustomReportCreativeDetail.aspx?App=23&amp;ReportView=4&amp;Qid=1711279&amp;Row=9868&amp;Col=1","No Title Assigned - #15271522734")</f>
        <v/>
      </c>
      <c r="B9876" s="0" t="s">
        <v>13323</v>
      </c>
      <c r="C9876" s="0" t="s">
        <v>13324</v>
      </c>
      <c r="D9876" s="0" t="s">
        <v>4202</v>
      </c>
      <c r="E9876" s="0" t="inlineStr">
        <is>
          <t xml:space="preserve">Mazda</t>
        </is>
      </c>
      <c r="F9876" s="0" t="s">
        <v>28</v>
      </c>
      <c r="G9876" s="0" t="s">
        <v>29</v>
      </c>
      <c r="H9876" s="5">
        <v>30.766600</v>
      </c>
    </row>
    <row r="9877" spans="1:9">
      <c r="A9877" s="22" t="str">
        <f>HYPERLINK("https://app.vivvix.com/360/KMI/IntelliDrive/ApplUI/Pages/CreativePages/CustomReportCreativeDetail.aspx?App=23&amp;ReportView=4&amp;Qid=1711279&amp;Row=9869&amp;Col=1","No Title Assigned - #15271523948")</f>
        <v/>
      </c>
      <c r="B9877" s="0" t="s">
        <v>13325</v>
      </c>
      <c r="C9877" s="0" t="s">
        <v>13326</v>
      </c>
      <c r="D9877" s="0" t="s">
        <v>13326</v>
      </c>
      <c r="E9877" s="0" t="inlineStr">
        <is>
          <t xml:space="preserve">Mazda</t>
        </is>
      </c>
      <c r="F9877" s="0" t="s">
        <v>13</v>
      </c>
      <c r="G9877" s="0" t="s">
        <v>49</v>
      </c>
      <c r="H9877" s="5">
        <v>174634.365400</v>
      </c>
    </row>
    <row r="9878" spans="1:9">
      <c r="A9878" s="22" t="str">
        <f>HYPERLINK("https://app.vivvix.com/360/KMI/IntelliDrive/ApplUI/Pages/CreativePages/CustomReportCreativeDetail.aspx?App=23&amp;ReportView=4&amp;Qid=1711279&amp;Row=9870&amp;Col=1","No Title Assigned - #15271523948")</f>
        <v/>
      </c>
      <c r="B9878" s="0" t="s">
        <v>13325</v>
      </c>
      <c r="E9878" s="0" t="inlineStr">
        <is>
          <t xml:space="preserve">Mazda</t>
        </is>
      </c>
      <c r="F9878" s="0" t="s">
        <v>13</v>
      </c>
      <c r="G9878" s="0" t="s">
        <v>49</v>
      </c>
      <c r="H9878" s="5">
        <v>18433.083800</v>
      </c>
    </row>
    <row r="9879" spans="1:9">
      <c r="A9879" s="22" t="str">
        <f>HYPERLINK("https://app.vivvix.com/360/KMI/IntelliDrive/ApplUI/Pages/CreativePages/CustomReportCreativeDetail.aspx?App=23&amp;ReportView=4&amp;Qid=1711279&amp;Row=9871&amp;Col=1","No Title Assigned - #15271525184")</f>
        <v/>
      </c>
      <c r="B9879" s="0" t="s">
        <v>13327</v>
      </c>
      <c r="C9879" s="0" t="s">
        <v>13328</v>
      </c>
      <c r="D9879" s="0" t="s">
        <v>13328</v>
      </c>
      <c r="E9879" s="0" t="inlineStr">
        <is>
          <t xml:space="preserve">Mazda</t>
        </is>
      </c>
      <c r="F9879" s="0" t="s">
        <v>28</v>
      </c>
      <c r="G9879" s="0" t="s">
        <v>29</v>
      </c>
      <c r="H9879" s="5">
        <v>972.118500</v>
      </c>
    </row>
    <row r="9880" spans="1:9">
      <c r="A9880" s="22" t="str">
        <f>HYPERLINK("https://app.vivvix.com/360/KMI/IntelliDrive/ApplUI/Pages/CreativePages/CustomReportCreativeDetail.aspx?App=23&amp;ReportView=4&amp;Qid=1711279&amp;Row=9872&amp;Col=1","No Title Assigned - #15271525184")</f>
        <v/>
      </c>
      <c r="B9880" s="0" t="s">
        <v>13327</v>
      </c>
      <c r="E9880" s="0" t="inlineStr">
        <is>
          <t xml:space="preserve">Mazda</t>
        </is>
      </c>
      <c r="F9880" s="0" t="s">
        <v>28</v>
      </c>
      <c r="G9880" s="0" t="s">
        <v>29</v>
      </c>
      <c r="H9880" s="5">
        <v>249.098000</v>
      </c>
    </row>
    <row r="9881" spans="1:9">
      <c r="A9881" s="22" t="str">
        <f>HYPERLINK("https://app.vivvix.com/360/KMI/IntelliDrive/ApplUI/Pages/CreativePages/CustomReportCreativeDetail.aspx?App=23&amp;ReportView=4&amp;Qid=1711279&amp;Row=9873&amp;Col=1","No Title Assigned - #15271525197")</f>
        <v/>
      </c>
      <c r="B9881" s="0" t="s">
        <v>13329</v>
      </c>
      <c r="C9881" s="0" t="s">
        <v>13330</v>
      </c>
      <c r="D9881" s="0" t="s">
        <v>4333</v>
      </c>
      <c r="E9881" s="0" t="inlineStr">
        <is>
          <t xml:space="preserve">Mazda</t>
        </is>
      </c>
      <c r="F9881" s="0" t="s">
        <v>28</v>
      </c>
      <c r="G9881" s="0" t="s">
        <v>29</v>
      </c>
      <c r="H9881" s="5">
        <v>43.799900</v>
      </c>
    </row>
    <row r="9882" spans="1:9">
      <c r="A9882" s="22" t="str">
        <f>HYPERLINK("https://app.vivvix.com/360/KMI/IntelliDrive/ApplUI/Pages/CreativePages/CustomReportCreativeDetail.aspx?App=23&amp;ReportView=4&amp;Qid=1711279&amp;Row=9874&amp;Col=1","No Title Assigned - #15271525505")</f>
        <v/>
      </c>
      <c r="B9882" s="0" t="s">
        <v>13331</v>
      </c>
      <c r="C9882" s="0" t="s">
        <v>13332</v>
      </c>
      <c r="D9882" s="0" t="s">
        <v>13332</v>
      </c>
      <c r="E9882" s="0" t="inlineStr">
        <is>
          <t xml:space="preserve">Mazda</t>
        </is>
      </c>
      <c r="F9882" s="0" t="s">
        <v>28</v>
      </c>
      <c r="G9882" s="0" t="s">
        <v>29</v>
      </c>
      <c r="H9882" s="5">
        <v>95.937200</v>
      </c>
    </row>
    <row r="9883" spans="1:9">
      <c r="A9883" s="22" t="str">
        <f>HYPERLINK("https://app.vivvix.com/360/KMI/IntelliDrive/ApplUI/Pages/CreativePages/CustomReportCreativeDetail.aspx?App=23&amp;ReportView=4&amp;Qid=1711279&amp;Row=9875&amp;Col=1","No Title Assigned - #15271525952")</f>
        <v/>
      </c>
      <c r="B9883" s="0" t="s">
        <v>13333</v>
      </c>
      <c r="C9883" s="0" t="s">
        <v>13334</v>
      </c>
      <c r="D9883" s="0" t="s">
        <v>4202</v>
      </c>
      <c r="E9883" s="0" t="inlineStr">
        <is>
          <t xml:space="preserve">Mazda</t>
        </is>
      </c>
      <c r="F9883" s="0" t="s">
        <v>28</v>
      </c>
      <c r="G9883" s="0" t="s">
        <v>29</v>
      </c>
      <c r="H9883" s="5">
        <v>614.336700</v>
      </c>
    </row>
    <row r="9884" spans="1:9">
      <c r="A9884" s="22" t="str">
        <f>HYPERLINK("https://app.vivvix.com/360/KMI/IntelliDrive/ApplUI/Pages/CreativePages/CustomReportCreativeDetail.aspx?App=23&amp;ReportView=4&amp;Qid=1711279&amp;Row=9876&amp;Col=1","No Title Assigned - #15271527536")</f>
        <v/>
      </c>
      <c r="B9884" s="0" t="s">
        <v>13335</v>
      </c>
      <c r="C9884" s="0" t="s">
        <v>13336</v>
      </c>
      <c r="D9884" s="0" t="s">
        <v>13336</v>
      </c>
      <c r="E9884" s="0" t="inlineStr">
        <is>
          <t xml:space="preserve">Mazda</t>
        </is>
      </c>
      <c r="F9884" s="0" t="s">
        <v>28</v>
      </c>
      <c r="G9884" s="0" t="s">
        <v>29</v>
      </c>
      <c r="H9884" s="5">
        <v>4.633400</v>
      </c>
    </row>
    <row r="9885" spans="1:9">
      <c r="A9885" s="22" t="str">
        <f>HYPERLINK("https://app.vivvix.com/360/KMI/IntelliDrive/ApplUI/Pages/CreativePages/CustomReportCreativeDetail.aspx?App=23&amp;ReportView=4&amp;Qid=1711279&amp;Row=9877&amp;Col=1","No Title Assigned - #15271528274")</f>
        <v/>
      </c>
      <c r="B9885" s="0" t="s">
        <v>13337</v>
      </c>
      <c r="C9885" s="0" t="s">
        <v>13338</v>
      </c>
      <c r="D9885" s="0" t="s">
        <v>13338</v>
      </c>
      <c r="E9885" s="0" t="inlineStr">
        <is>
          <t xml:space="preserve">Mazda</t>
        </is>
      </c>
      <c r="F9885" s="0" t="s">
        <v>13</v>
      </c>
      <c r="G9885" s="0" t="s">
        <v>49</v>
      </c>
      <c r="H9885" s="5">
        <v>348.501700</v>
      </c>
    </row>
    <row r="9886" spans="1:9">
      <c r="A9886" s="22" t="str">
        <f>HYPERLINK("https://app.vivvix.com/360/KMI/IntelliDrive/ApplUI/Pages/CreativePages/CustomReportCreativeDetail.aspx?App=23&amp;ReportView=4&amp;Qid=1711279&amp;Row=9878&amp;Col=1","No Title Assigned - #15271528494")</f>
        <v/>
      </c>
      <c r="B9886" s="0" t="s">
        <v>13339</v>
      </c>
      <c r="C9886" s="0" t="s">
        <v>13340</v>
      </c>
      <c r="D9886" s="0" t="s">
        <v>10073</v>
      </c>
      <c r="E9886" s="0" t="inlineStr">
        <is>
          <t xml:space="preserve">Mazda</t>
        </is>
      </c>
      <c r="F9886" s="0" t="s">
        <v>13</v>
      </c>
      <c r="G9886" s="0" t="s">
        <v>49</v>
      </c>
      <c r="H9886" s="5">
        <v>796.924100</v>
      </c>
    </row>
    <row r="9887" spans="1:9">
      <c r="A9887" s="22" t="str">
        <f>HYPERLINK("https://app.vivvix.com/360/KMI/IntelliDrive/ApplUI/Pages/CreativePages/CustomReportCreativeDetail.aspx?App=23&amp;ReportView=4&amp;Qid=1711279&amp;Row=9879&amp;Col=1","No Title Assigned - #15271528879")</f>
        <v/>
      </c>
      <c r="B9887" s="0" t="s">
        <v>13341</v>
      </c>
      <c r="C9887" s="0" t="s">
        <v>13342</v>
      </c>
      <c r="D9887" s="0" t="s">
        <v>13342</v>
      </c>
      <c r="E9887" s="0" t="inlineStr">
        <is>
          <t xml:space="preserve">Mazda</t>
        </is>
      </c>
      <c r="F9887" s="0" t="inlineStr">
        <is>
          <t xml:space="preserve">Mazda</t>
        </is>
      </c>
      <c r="G9887" s="0" t="s">
        <v>210</v>
      </c>
      <c r="H9887" s="5">
        <v>6136.081100</v>
      </c>
    </row>
    <row r="9888" spans="1:9">
      <c r="A9888" s="22" t="str">
        <f>HYPERLINK("https://app.vivvix.com/360/KMI/IntelliDrive/ApplUI/Pages/CreativePages/CustomReportCreativeDetail.aspx?App=23&amp;ReportView=4&amp;Qid=1711279&amp;Row=9880&amp;Col=1","No Title Assigned - #15271530545")</f>
        <v/>
      </c>
      <c r="B9888" s="0" t="s">
        <v>13343</v>
      </c>
      <c r="C9888" s="0" t="s">
        <v>13344</v>
      </c>
      <c r="D9888" s="0" t="s">
        <v>12807</v>
      </c>
      <c r="E9888" s="0" t="inlineStr">
        <is>
          <t xml:space="preserve">Mazda</t>
        </is>
      </c>
      <c r="F9888" s="0" t="s">
        <v>28</v>
      </c>
      <c r="G9888" s="0" t="s">
        <v>29</v>
      </c>
      <c r="H9888" s="5">
        <v>771.069400</v>
      </c>
    </row>
    <row r="9889" spans="1:9">
      <c r="A9889" s="22" t="str">
        <f>HYPERLINK("https://app.vivvix.com/360/KMI/IntelliDrive/ApplUI/Pages/CreativePages/CustomReportCreativeDetail.aspx?App=23&amp;ReportView=4&amp;Qid=1711279&amp;Row=9881&amp;Col=1","No Title Assigned - #15271532026")</f>
        <v/>
      </c>
      <c r="B9889" s="0" t="s">
        <v>13345</v>
      </c>
      <c r="E9889" s="0" t="inlineStr">
        <is>
          <t xml:space="preserve">Mazda</t>
        </is>
      </c>
      <c r="F9889" s="0" t="inlineStr">
        <is>
          <t xml:space="preserve">Mazda</t>
        </is>
      </c>
      <c r="G9889" s="0" t="s">
        <v>171</v>
      </c>
      <c r="H9889" s="5">
        <v>4.979800</v>
      </c>
    </row>
    <row r="9890" spans="1:9">
      <c r="A9890" s="22" t="str">
        <f>HYPERLINK("https://app.vivvix.com/360/KMI/IntelliDrive/ApplUI/Pages/CreativePages/CustomReportCreativeDetail.aspx?App=23&amp;ReportView=4&amp;Qid=1711279&amp;Row=9882&amp;Col=1","No Title Assigned - #15271533078")</f>
        <v/>
      </c>
      <c r="B9890" s="0" t="s">
        <v>13346</v>
      </c>
      <c r="C9890" s="0" t="s">
        <v>13347</v>
      </c>
      <c r="D9890" s="0" t="s">
        <v>13347</v>
      </c>
      <c r="E9890" s="0" t="inlineStr">
        <is>
          <t xml:space="preserve">Mazda</t>
        </is>
      </c>
      <c r="F9890" s="0" t="inlineStr">
        <is>
          <t xml:space="preserve">Mazda</t>
        </is>
      </c>
      <c r="G9890" s="0" t="s">
        <v>171</v>
      </c>
      <c r="H9890" s="5">
        <v>5.866800</v>
      </c>
    </row>
    <row r="9891" spans="1:9">
      <c r="A9891" s="22" t="str">
        <f>HYPERLINK("https://app.vivvix.com/360/KMI/IntelliDrive/ApplUI/Pages/CreativePages/CustomReportCreativeDetail.aspx?App=23&amp;ReportView=4&amp;Qid=1711279&amp;Row=9883&amp;Col=1","No Title Assigned - #15271533619")</f>
        <v/>
      </c>
      <c r="B9891" s="0" t="s">
        <v>13348</v>
      </c>
      <c r="E9891" s="0" t="inlineStr">
        <is>
          <t xml:space="preserve">Mazda</t>
        </is>
      </c>
      <c r="F9891" s="0" t="inlineStr">
        <is>
          <t xml:space="preserve">Mazda</t>
        </is>
      </c>
      <c r="G9891" s="0" t="s">
        <v>171</v>
      </c>
      <c r="H9891" s="5">
        <v>34.270800</v>
      </c>
    </row>
    <row r="9892" spans="1:9">
      <c r="A9892" s="22" t="str">
        <f>HYPERLINK("https://app.vivvix.com/360/KMI/IntelliDrive/ApplUI/Pages/CreativePages/CustomReportCreativeDetail.aspx?App=23&amp;ReportView=4&amp;Qid=1711279&amp;Row=9884&amp;Col=1","No Title Assigned - #15271534260")</f>
        <v/>
      </c>
      <c r="B9892" s="0" t="s">
        <v>13349</v>
      </c>
      <c r="E9892" s="0" t="inlineStr">
        <is>
          <t xml:space="preserve">Mazda</t>
        </is>
      </c>
      <c r="F9892" s="0" t="inlineStr">
        <is>
          <t xml:space="preserve">Mazda</t>
        </is>
      </c>
      <c r="G9892" s="0" t="s">
        <v>171</v>
      </c>
      <c r="H9892" s="5">
        <v>176949.515600</v>
      </c>
    </row>
    <row r="9893" spans="1:9">
      <c r="A9893" s="22" t="str">
        <f>HYPERLINK("https://app.vivvix.com/360/KMI/IntelliDrive/ApplUI/Pages/CreativePages/CustomReportCreativeDetail.aspx?App=23&amp;ReportView=4&amp;Qid=1711279&amp;Row=9885&amp;Col=1","No Title Assigned - #15271534260")</f>
        <v/>
      </c>
      <c r="B9893" s="0" t="s">
        <v>13349</v>
      </c>
      <c r="E9893" s="0" t="inlineStr">
        <is>
          <t xml:space="preserve">Mazda</t>
        </is>
      </c>
      <c r="F9893" s="0" t="inlineStr">
        <is>
          <t xml:space="preserve">Mazda</t>
        </is>
      </c>
      <c r="G9893" s="0" t="s">
        <v>171</v>
      </c>
      <c r="H9893" s="5">
        <v>66.924000</v>
      </c>
    </row>
    <row r="9894" spans="1:9">
      <c r="A9894" s="22" t="str">
        <f>HYPERLINK("https://app.vivvix.com/360/KMI/IntelliDrive/ApplUI/Pages/CreativePages/CustomReportCreativeDetail.aspx?App=23&amp;ReportView=4&amp;Qid=1711279&amp;Row=9886&amp;Col=1","No Title Assigned - #15271534670")</f>
        <v/>
      </c>
      <c r="B9894" s="0" t="s">
        <v>13350</v>
      </c>
      <c r="C9894" s="0" t="s">
        <v>13351</v>
      </c>
      <c r="D9894" s="0" t="s">
        <v>13351</v>
      </c>
      <c r="E9894" s="0" t="inlineStr">
        <is>
          <t xml:space="preserve">Mazda</t>
        </is>
      </c>
      <c r="F9894" s="0" t="inlineStr">
        <is>
          <t xml:space="preserve">Mazda</t>
        </is>
      </c>
      <c r="G9894" s="0" t="s">
        <v>171</v>
      </c>
      <c r="H9894" s="5">
        <v>4.833000</v>
      </c>
    </row>
    <row r="9895" spans="1:9">
      <c r="A9895" s="22" t="str">
        <f>HYPERLINK("https://app.vivvix.com/360/KMI/IntelliDrive/ApplUI/Pages/CreativePages/CustomReportCreativeDetail.aspx?App=23&amp;ReportView=4&amp;Qid=1711279&amp;Row=9887&amp;Col=1","No Title Assigned - #15271534852")</f>
        <v/>
      </c>
      <c r="B9895" s="0" t="s">
        <v>13352</v>
      </c>
      <c r="E9895" s="0" t="inlineStr">
        <is>
          <t xml:space="preserve">Mazda</t>
        </is>
      </c>
      <c r="F9895" s="0" t="inlineStr">
        <is>
          <t xml:space="preserve">Mazda</t>
        </is>
      </c>
      <c r="G9895" s="0" t="s">
        <v>171</v>
      </c>
      <c r="H9895" s="5">
        <v>80.307500</v>
      </c>
    </row>
    <row r="9896" spans="1:9">
      <c r="A9896" s="22" t="str">
        <f>HYPERLINK("https://app.vivvix.com/360/KMI/IntelliDrive/ApplUI/Pages/CreativePages/CustomReportCreativeDetail.aspx?App=23&amp;ReportView=4&amp;Qid=1711279&amp;Row=9888&amp;Col=1","No Title Assigned - #15271535475")</f>
        <v/>
      </c>
      <c r="B9896" s="0" t="s">
        <v>13353</v>
      </c>
      <c r="C9896" s="0" t="s">
        <v>13354</v>
      </c>
      <c r="D9896" s="0" t="s">
        <v>13354</v>
      </c>
      <c r="E9896" s="0" t="inlineStr">
        <is>
          <t xml:space="preserve">Mazda</t>
        </is>
      </c>
      <c r="F9896" s="0" t="s">
        <v>28</v>
      </c>
      <c r="G9896" s="0" t="s">
        <v>29</v>
      </c>
      <c r="H9896" s="5">
        <v>3507.572800</v>
      </c>
    </row>
    <row r="9897" spans="1:9">
      <c r="A9897" s="22" t="str">
        <f>HYPERLINK("https://app.vivvix.com/360/KMI/IntelliDrive/ApplUI/Pages/CreativePages/CustomReportCreativeDetail.aspx?App=23&amp;ReportView=4&amp;Qid=1711279&amp;Row=9889&amp;Col=1","No Title Assigned - #15271535475")</f>
        <v/>
      </c>
      <c r="B9897" s="0" t="s">
        <v>13353</v>
      </c>
      <c r="E9897" s="0" t="inlineStr">
        <is>
          <t xml:space="preserve">Mazda</t>
        </is>
      </c>
      <c r="F9897" s="0" t="s">
        <v>28</v>
      </c>
      <c r="G9897" s="0" t="s">
        <v>29</v>
      </c>
      <c r="H9897" s="5">
        <v>1058.135200</v>
      </c>
    </row>
    <row r="9898" spans="1:9">
      <c r="A9898" s="22" t="str">
        <f>HYPERLINK("https://app.vivvix.com/360/KMI/IntelliDrive/ApplUI/Pages/CreativePages/CustomReportCreativeDetail.aspx?App=23&amp;ReportView=4&amp;Qid=1711279&amp;Row=9890&amp;Col=1","No Title Assigned - #15271535560")</f>
        <v/>
      </c>
      <c r="B9898" s="0" t="s">
        <v>13355</v>
      </c>
      <c r="C9898" s="0" t="s">
        <v>13356</v>
      </c>
      <c r="D9898" s="0" t="s">
        <v>4333</v>
      </c>
      <c r="E9898" s="0" t="inlineStr">
        <is>
          <t xml:space="preserve">Mazda</t>
        </is>
      </c>
      <c r="F9898" s="0" t="s">
        <v>28</v>
      </c>
      <c r="G9898" s="0" t="s">
        <v>29</v>
      </c>
      <c r="H9898" s="5">
        <v>63.635000</v>
      </c>
    </row>
    <row r="9899" spans="1:9">
      <c r="A9899" s="22" t="str">
        <f>HYPERLINK("https://app.vivvix.com/360/KMI/IntelliDrive/ApplUI/Pages/CreativePages/CustomReportCreativeDetail.aspx?App=23&amp;ReportView=4&amp;Qid=1711279&amp;Row=9891&amp;Col=1","No Title Assigned - #15271536502")</f>
        <v/>
      </c>
      <c r="B9899" s="0" t="s">
        <v>13357</v>
      </c>
      <c r="C9899" s="0" t="s">
        <v>13358</v>
      </c>
      <c r="D9899" s="0" t="s">
        <v>4953</v>
      </c>
      <c r="E9899" s="0" t="inlineStr">
        <is>
          <t xml:space="preserve">Mazda</t>
        </is>
      </c>
      <c r="F9899" s="0" t="s">
        <v>28</v>
      </c>
      <c r="G9899" s="0" t="s">
        <v>29</v>
      </c>
      <c r="H9899" s="5">
        <v>62.004600</v>
      </c>
    </row>
    <row r="9900" spans="1:9">
      <c r="A9900" s="22" t="str">
        <f>HYPERLINK("https://app.vivvix.com/360/KMI/IntelliDrive/ApplUI/Pages/CreativePages/CustomReportCreativeDetail.aspx?App=23&amp;ReportView=4&amp;Qid=1711279&amp;Row=9892&amp;Col=1","No Title Assigned - #15271536813")</f>
        <v/>
      </c>
      <c r="B9900" s="0" t="s">
        <v>13359</v>
      </c>
      <c r="C9900" s="0" t="s">
        <v>13360</v>
      </c>
      <c r="D9900" s="0" t="s">
        <v>4202</v>
      </c>
      <c r="E9900" s="0" t="inlineStr">
        <is>
          <t xml:space="preserve">Mazda</t>
        </is>
      </c>
      <c r="F9900" s="0" t="s">
        <v>28</v>
      </c>
      <c r="G9900" s="0" t="s">
        <v>29</v>
      </c>
      <c r="H9900" s="5">
        <v>4.749500</v>
      </c>
    </row>
    <row r="9901" spans="1:9">
      <c r="A9901" s="22" t="str">
        <f>HYPERLINK("https://app.vivvix.com/360/KMI/IntelliDrive/ApplUI/Pages/CreativePages/CustomReportCreativeDetail.aspx?App=23&amp;ReportView=4&amp;Qid=1711279&amp;Row=9893&amp;Col=1","No Title Assigned - #15271536874")</f>
        <v/>
      </c>
      <c r="B9901" s="0" t="s">
        <v>13361</v>
      </c>
      <c r="C9901" s="0" t="s">
        <v>13362</v>
      </c>
      <c r="D9901" s="0" t="s">
        <v>4225</v>
      </c>
      <c r="E9901" s="0" t="inlineStr">
        <is>
          <t xml:space="preserve">Mazda</t>
        </is>
      </c>
      <c r="F9901" s="0" t="s">
        <v>28</v>
      </c>
      <c r="G9901" s="0" t="s">
        <v>29</v>
      </c>
      <c r="H9901" s="5">
        <v>176.665600</v>
      </c>
    </row>
    <row r="9902" spans="1:9">
      <c r="A9902" s="22" t="str">
        <f>HYPERLINK("https://app.vivvix.com/360/KMI/IntelliDrive/ApplUI/Pages/CreativePages/CustomReportCreativeDetail.aspx?App=23&amp;ReportView=4&amp;Qid=1711279&amp;Row=9894&amp;Col=1","No Title Assigned - #15271536897")</f>
        <v/>
      </c>
      <c r="B9902" s="0" t="s">
        <v>13363</v>
      </c>
      <c r="C9902" s="0" t="s">
        <v>13364</v>
      </c>
      <c r="D9902" s="0" t="s">
        <v>13364</v>
      </c>
      <c r="E9902" s="0" t="inlineStr">
        <is>
          <t xml:space="preserve">Mazda</t>
        </is>
      </c>
      <c r="F9902" s="0" t="s">
        <v>13</v>
      </c>
      <c r="G9902" s="0" t="s">
        <v>49</v>
      </c>
      <c r="H9902" s="5">
        <v>41.456700</v>
      </c>
    </row>
    <row r="9903" spans="1:9">
      <c r="A9903" s="22" t="str">
        <f>HYPERLINK("https://app.vivvix.com/360/KMI/IntelliDrive/ApplUI/Pages/CreativePages/CustomReportCreativeDetail.aspx?App=23&amp;ReportView=4&amp;Qid=1711279&amp;Row=9895&amp;Col=1","No Title Assigned - #15271537542")</f>
        <v/>
      </c>
      <c r="B9903" s="0" t="s">
        <v>13365</v>
      </c>
      <c r="C9903" s="0" t="s">
        <v>13366</v>
      </c>
      <c r="D9903" s="0" t="s">
        <v>4204</v>
      </c>
      <c r="E9903" s="0" t="inlineStr">
        <is>
          <t xml:space="preserve">Mazda</t>
        </is>
      </c>
      <c r="F9903" s="0" t="s">
        <v>28</v>
      </c>
      <c r="G9903" s="0" t="s">
        <v>29</v>
      </c>
      <c r="H9903" s="5">
        <v>8784.283700</v>
      </c>
    </row>
    <row r="9904" spans="1:9">
      <c r="A9904" s="22" t="str">
        <f>HYPERLINK("https://app.vivvix.com/360/KMI/IntelliDrive/ApplUI/Pages/CreativePages/CustomReportCreativeDetail.aspx?App=23&amp;ReportView=4&amp;Qid=1711279&amp;Row=9896&amp;Col=1","No Title Assigned - #15271537542")</f>
        <v/>
      </c>
      <c r="B9904" s="0" t="s">
        <v>13365</v>
      </c>
      <c r="E9904" s="0" t="inlineStr">
        <is>
          <t xml:space="preserve">Mazda</t>
        </is>
      </c>
      <c r="F9904" s="0" t="s">
        <v>28</v>
      </c>
      <c r="G9904" s="0" t="s">
        <v>29</v>
      </c>
      <c r="H9904" s="5">
        <v>1719.972500</v>
      </c>
    </row>
    <row r="9905" spans="1:9">
      <c r="A9905" s="22" t="str">
        <f>HYPERLINK("https://app.vivvix.com/360/KMI/IntelliDrive/ApplUI/Pages/CreativePages/CustomReportCreativeDetail.aspx?App=23&amp;ReportView=4&amp;Qid=1711279&amp;Row=9897&amp;Col=1","No Title Assigned - #15271540392")</f>
        <v/>
      </c>
      <c r="B9905" s="0" t="s">
        <v>13367</v>
      </c>
      <c r="C9905" s="0" t="s">
        <v>13368</v>
      </c>
      <c r="D9905" s="0" t="s">
        <v>13368</v>
      </c>
      <c r="E9905" s="0" t="inlineStr">
        <is>
          <t xml:space="preserve">Mazda</t>
        </is>
      </c>
      <c r="F9905" s="0" t="inlineStr">
        <is>
          <t xml:space="preserve">Mazda</t>
        </is>
      </c>
      <c r="G9905" s="0" t="s">
        <v>171</v>
      </c>
      <c r="H9905" s="5">
        <v>118.181600</v>
      </c>
    </row>
    <row r="9906" spans="1:9">
      <c r="A9906" s="22" t="str">
        <f>HYPERLINK("https://app.vivvix.com/360/KMI/IntelliDrive/ApplUI/Pages/CreativePages/CustomReportCreativeDetail.aspx?App=23&amp;ReportView=4&amp;Qid=1711279&amp;Row=9898&amp;Col=1","No Title Assigned - #15271541257")</f>
        <v/>
      </c>
      <c r="B9906" s="0" t="s">
        <v>13369</v>
      </c>
      <c r="E9906" s="0" t="inlineStr">
        <is>
          <t xml:space="preserve">Mazda</t>
        </is>
      </c>
      <c r="F9906" s="0" t="inlineStr">
        <is>
          <t xml:space="preserve">Mazda</t>
        </is>
      </c>
      <c r="G9906" s="0" t="s">
        <v>171</v>
      </c>
      <c r="H9906" s="5">
        <v>2313.937300</v>
      </c>
    </row>
    <row r="9907" spans="1:9">
      <c r="A9907" s="22" t="str">
        <f>HYPERLINK("https://app.vivvix.com/360/KMI/IntelliDrive/ApplUI/Pages/CreativePages/CustomReportCreativeDetail.aspx?App=23&amp;ReportView=4&amp;Qid=1711279&amp;Row=9899&amp;Col=1","No Title Assigned - #15271541957")</f>
        <v/>
      </c>
      <c r="B9907" s="0" t="s">
        <v>13370</v>
      </c>
      <c r="E9907" s="0" t="inlineStr">
        <is>
          <t xml:space="preserve">Mazda</t>
        </is>
      </c>
      <c r="F9907" s="0" t="inlineStr">
        <is>
          <t xml:space="preserve">Mazda</t>
        </is>
      </c>
      <c r="G9907" s="0" t="s">
        <v>171</v>
      </c>
      <c r="H9907" s="5">
        <v>1161.208000</v>
      </c>
    </row>
    <row r="9908" spans="1:9">
      <c r="A9908" s="22" t="str">
        <f>HYPERLINK("https://app.vivvix.com/360/KMI/IntelliDrive/ApplUI/Pages/CreativePages/CustomReportCreativeDetail.aspx?App=23&amp;ReportView=4&amp;Qid=1711279&amp;Row=9900&amp;Col=1","No Title Assigned - #15271542024")</f>
        <v/>
      </c>
      <c r="B9908" s="0" t="s">
        <v>13371</v>
      </c>
      <c r="E9908" s="0" t="inlineStr">
        <is>
          <t xml:space="preserve">Mazda</t>
        </is>
      </c>
      <c r="F9908" s="0" t="inlineStr">
        <is>
          <t xml:space="preserve">Mazda</t>
        </is>
      </c>
      <c r="G9908" s="0" t="s">
        <v>171</v>
      </c>
      <c r="H9908" s="5">
        <v>113.732500</v>
      </c>
    </row>
    <row r="9909" spans="1:9">
      <c r="A9909" s="22" t="str">
        <f>HYPERLINK("https://app.vivvix.com/360/KMI/IntelliDrive/ApplUI/Pages/CreativePages/CustomReportCreativeDetail.aspx?App=23&amp;ReportView=4&amp;Qid=1711279&amp;Row=9901&amp;Col=1","No Title Assigned - #15271542329")</f>
        <v/>
      </c>
      <c r="B9909" s="0" t="s">
        <v>13372</v>
      </c>
      <c r="C9909" s="0" t="s">
        <v>13373</v>
      </c>
      <c r="D9909" s="0" t="s">
        <v>13373</v>
      </c>
      <c r="E9909" s="0" t="inlineStr">
        <is>
          <t xml:space="preserve">Mazda</t>
        </is>
      </c>
      <c r="F9909" s="0" t="inlineStr">
        <is>
          <t xml:space="preserve">Mazda</t>
        </is>
      </c>
      <c r="G9909" s="0" t="s">
        <v>171</v>
      </c>
      <c r="H9909" s="5">
        <v>42.787600</v>
      </c>
    </row>
    <row r="9910" spans="1:9">
      <c r="A9910" s="22" t="str">
        <f>HYPERLINK("https://app.vivvix.com/360/KMI/IntelliDrive/ApplUI/Pages/CreativePages/CustomReportCreativeDetail.aspx?App=23&amp;ReportView=4&amp;Qid=1711279&amp;Row=9902&amp;Col=1","No Title Assigned - #15271542530")</f>
        <v/>
      </c>
      <c r="B9910" s="0" t="s">
        <v>13374</v>
      </c>
      <c r="C9910" s="0" t="s">
        <v>13375</v>
      </c>
      <c r="D9910" s="0" t="s">
        <v>13375</v>
      </c>
      <c r="E9910" s="0" t="inlineStr">
        <is>
          <t xml:space="preserve">Mazda</t>
        </is>
      </c>
      <c r="F9910" s="0" t="inlineStr">
        <is>
          <t xml:space="preserve">Mazda</t>
        </is>
      </c>
      <c r="G9910" s="0" t="s">
        <v>171</v>
      </c>
      <c r="H9910" s="5">
        <v>334.774000</v>
      </c>
    </row>
    <row r="9911" spans="1:9">
      <c r="A9911" s="22" t="str">
        <f>HYPERLINK("https://app.vivvix.com/360/KMI/IntelliDrive/ApplUI/Pages/CreativePages/CustomReportCreativeDetail.aspx?App=23&amp;ReportView=4&amp;Qid=1711279&amp;Row=9903&amp;Col=1","No Title Assigned - #15271542594")</f>
        <v/>
      </c>
      <c r="B9911" s="0" t="s">
        <v>13376</v>
      </c>
      <c r="E9911" s="0" t="inlineStr">
        <is>
          <t xml:space="preserve">Mazda</t>
        </is>
      </c>
      <c r="F9911" s="0" t="inlineStr">
        <is>
          <t xml:space="preserve">Mazda</t>
        </is>
      </c>
      <c r="G9911" s="0" t="s">
        <v>171</v>
      </c>
      <c r="H9911" s="5">
        <v>9.917200</v>
      </c>
    </row>
    <row r="9912" spans="1:9">
      <c r="A9912" s="22" t="str">
        <f>HYPERLINK("https://app.vivvix.com/360/KMI/IntelliDrive/ApplUI/Pages/CreativePages/CustomReportCreativeDetail.aspx?App=23&amp;ReportView=4&amp;Qid=1711279&amp;Row=9904&amp;Col=1","No Title Assigned - #15271542676")</f>
        <v/>
      </c>
      <c r="B9912" s="0" t="s">
        <v>13377</v>
      </c>
      <c r="E9912" s="0" t="inlineStr">
        <is>
          <t xml:space="preserve">Mazda</t>
        </is>
      </c>
      <c r="F9912" s="0" t="inlineStr">
        <is>
          <t xml:space="preserve">Mazda</t>
        </is>
      </c>
      <c r="G9912" s="0" t="s">
        <v>171</v>
      </c>
      <c r="H9912" s="5">
        <v>27.617400</v>
      </c>
    </row>
    <row r="9913" spans="1:9">
      <c r="A9913" s="22" t="str">
        <f>HYPERLINK("https://app.vivvix.com/360/KMI/IntelliDrive/ApplUI/Pages/CreativePages/CustomReportCreativeDetail.aspx?App=23&amp;ReportView=4&amp;Qid=1711279&amp;Row=9905&amp;Col=1","No Title Assigned - #15271543097")</f>
        <v/>
      </c>
      <c r="B9913" s="0" t="s">
        <v>13378</v>
      </c>
      <c r="C9913" s="0" t="s">
        <v>13379</v>
      </c>
      <c r="D9913" s="0" t="s">
        <v>13379</v>
      </c>
      <c r="E9913" s="0" t="inlineStr">
        <is>
          <t xml:space="preserve">Mazda</t>
        </is>
      </c>
      <c r="F9913" s="0" t="inlineStr">
        <is>
          <t xml:space="preserve">Mazda</t>
        </is>
      </c>
      <c r="G9913" s="0" t="s">
        <v>171</v>
      </c>
      <c r="H9913" s="5">
        <v>142.066700</v>
      </c>
    </row>
    <row r="9914" spans="1:9">
      <c r="A9914" s="22" t="str">
        <f>HYPERLINK("https://app.vivvix.com/360/KMI/IntelliDrive/ApplUI/Pages/CreativePages/CustomReportCreativeDetail.aspx?App=23&amp;ReportView=4&amp;Qid=1711279&amp;Row=9906&amp;Col=1","No Title Assigned - #15271543320")</f>
        <v/>
      </c>
      <c r="B9914" s="0" t="s">
        <v>13380</v>
      </c>
      <c r="E9914" s="0" t="inlineStr">
        <is>
          <t xml:space="preserve">Mazda</t>
        </is>
      </c>
      <c r="F9914" s="0" t="inlineStr">
        <is>
          <t xml:space="preserve">Mazda</t>
        </is>
      </c>
      <c r="G9914" s="0" t="s">
        <v>171</v>
      </c>
      <c r="H9914" s="5">
        <v>161.406200</v>
      </c>
    </row>
    <row r="9915" spans="1:9">
      <c r="A9915" s="22" t="str">
        <f>HYPERLINK("https://app.vivvix.com/360/KMI/IntelliDrive/ApplUI/Pages/CreativePages/CustomReportCreativeDetail.aspx?App=23&amp;ReportView=4&amp;Qid=1711279&amp;Row=9907&amp;Col=1","No Title Assigned - #15271545504")</f>
        <v/>
      </c>
      <c r="B9915" s="0" t="s">
        <v>13381</v>
      </c>
      <c r="E9915" s="0" t="inlineStr">
        <is>
          <t xml:space="preserve">Mazda</t>
        </is>
      </c>
      <c r="F9915" s="0" t="inlineStr">
        <is>
          <t xml:space="preserve">Mazda</t>
        </is>
      </c>
      <c r="G9915" s="0" t="s">
        <v>171</v>
      </c>
      <c r="H9915" s="5">
        <v>13.357100</v>
      </c>
    </row>
    <row r="9916" spans="1:9">
      <c r="A9916" s="22" t="str">
        <f>HYPERLINK("https://app.vivvix.com/360/KMI/IntelliDrive/ApplUI/Pages/CreativePages/CustomReportCreativeDetail.aspx?App=23&amp;ReportView=4&amp;Qid=1711279&amp;Row=9908&amp;Col=1","No Title Assigned - #15271545509")</f>
        <v/>
      </c>
      <c r="B9916" s="0" t="s">
        <v>13382</v>
      </c>
      <c r="E9916" s="0" t="inlineStr">
        <is>
          <t xml:space="preserve">Mazda</t>
        </is>
      </c>
      <c r="F9916" s="0" t="inlineStr">
        <is>
          <t xml:space="preserve">Mazda</t>
        </is>
      </c>
      <c r="G9916" s="0" t="s">
        <v>171</v>
      </c>
      <c r="H9916" s="5">
        <v>18.350000</v>
      </c>
    </row>
    <row r="9917" spans="1:9">
      <c r="A9917" s="22" t="str">
        <f>HYPERLINK("https://app.vivvix.com/360/KMI/IntelliDrive/ApplUI/Pages/CreativePages/CustomReportCreativeDetail.aspx?App=23&amp;ReportView=4&amp;Qid=1711279&amp;Row=9909&amp;Col=1","No Title Assigned - #15271546048")</f>
        <v/>
      </c>
      <c r="B9917" s="0" t="s">
        <v>13383</v>
      </c>
      <c r="E9917" s="0" t="inlineStr">
        <is>
          <t xml:space="preserve">Mazda</t>
        </is>
      </c>
      <c r="F9917" s="0" t="inlineStr">
        <is>
          <t xml:space="preserve">Mazda</t>
        </is>
      </c>
      <c r="G9917" s="0" t="s">
        <v>171</v>
      </c>
      <c r="H9917" s="5">
        <v>6.329600</v>
      </c>
    </row>
    <row r="9918" spans="1:9">
      <c r="A9918" s="22" t="str">
        <f>HYPERLINK("https://app.vivvix.com/360/KMI/IntelliDrive/ApplUI/Pages/CreativePages/CustomReportCreativeDetail.aspx?App=23&amp;ReportView=4&amp;Qid=1711279&amp;Row=9910&amp;Col=1","No Title Assigned - #15271546112")</f>
        <v/>
      </c>
      <c r="B9918" s="0" t="s">
        <v>13384</v>
      </c>
      <c r="E9918" s="0" t="inlineStr">
        <is>
          <t xml:space="preserve">Mazda</t>
        </is>
      </c>
      <c r="F9918" s="0" t="inlineStr">
        <is>
          <t xml:space="preserve">Mazda</t>
        </is>
      </c>
      <c r="G9918" s="0" t="s">
        <v>171</v>
      </c>
      <c r="H9918" s="5">
        <v>272.343500</v>
      </c>
    </row>
    <row r="9919" spans="1:9">
      <c r="A9919" s="22" t="str">
        <f>HYPERLINK("https://app.vivvix.com/360/KMI/IntelliDrive/ApplUI/Pages/CreativePages/CustomReportCreativeDetail.aspx?App=23&amp;ReportView=4&amp;Qid=1711279&amp;Row=9911&amp;Col=1","No Title Assigned - #15271546576")</f>
        <v/>
      </c>
      <c r="B9919" s="0" t="s">
        <v>13385</v>
      </c>
      <c r="E9919" s="0" t="inlineStr">
        <is>
          <t xml:space="preserve">Mazda</t>
        </is>
      </c>
      <c r="F9919" s="0" t="inlineStr">
        <is>
          <t xml:space="preserve">Mazda</t>
        </is>
      </c>
      <c r="G9919" s="0" t="s">
        <v>171</v>
      </c>
      <c r="H9919" s="5">
        <v>59.109200</v>
      </c>
    </row>
    <row r="9920" spans="1:9">
      <c r="A9920" s="22" t="str">
        <f>HYPERLINK("https://app.vivvix.com/360/KMI/IntelliDrive/ApplUI/Pages/CreativePages/CustomReportCreativeDetail.aspx?App=23&amp;ReportView=4&amp;Qid=1711279&amp;Row=9912&amp;Col=1","No Title Assigned - #15271546962")</f>
        <v/>
      </c>
      <c r="B9920" s="0" t="s">
        <v>13386</v>
      </c>
      <c r="E9920" s="0" t="inlineStr">
        <is>
          <t xml:space="preserve">Mazda</t>
        </is>
      </c>
      <c r="F9920" s="0" t="inlineStr">
        <is>
          <t xml:space="preserve">Mazda</t>
        </is>
      </c>
      <c r="G9920" s="0" t="s">
        <v>171</v>
      </c>
      <c r="H9920" s="5">
        <v>13.160200</v>
      </c>
    </row>
    <row r="9921" spans="1:9">
      <c r="A9921" s="22" t="str">
        <f>HYPERLINK("https://app.vivvix.com/360/KMI/IntelliDrive/ApplUI/Pages/CreativePages/CustomReportCreativeDetail.aspx?App=23&amp;ReportView=4&amp;Qid=1711279&amp;Row=9913&amp;Col=1","No Title Assigned - #15271548915")</f>
        <v/>
      </c>
      <c r="B9921" s="0" t="s">
        <v>13387</v>
      </c>
      <c r="E9921" s="0" t="inlineStr">
        <is>
          <t xml:space="preserve">Mazda</t>
        </is>
      </c>
      <c r="F9921" s="0" t="inlineStr">
        <is>
          <t xml:space="preserve">Mazda</t>
        </is>
      </c>
      <c r="G9921" s="0" t="s">
        <v>171</v>
      </c>
      <c r="H9921" s="5">
        <v>173.424600</v>
      </c>
    </row>
    <row r="9922" spans="1:9">
      <c r="A9922" s="22" t="str">
        <f>HYPERLINK("https://app.vivvix.com/360/KMI/IntelliDrive/ApplUI/Pages/CreativePages/CustomReportCreativeDetail.aspx?App=23&amp;ReportView=4&amp;Qid=1711279&amp;Row=9914&amp;Col=1","No Title Assigned - #15271560132")</f>
        <v/>
      </c>
      <c r="B9922" s="0" t="s">
        <v>13388</v>
      </c>
      <c r="E9922" s="0" t="inlineStr">
        <is>
          <t xml:space="preserve">Mazda</t>
        </is>
      </c>
      <c r="F9922" s="0" t="inlineStr">
        <is>
          <t xml:space="preserve">Mazda</t>
        </is>
      </c>
      <c r="G9922" s="0" t="s">
        <v>171</v>
      </c>
      <c r="H9922" s="5">
        <v>6.061500</v>
      </c>
    </row>
    <row r="9923" spans="1:9">
      <c r="A9923" s="22" t="str">
        <f>HYPERLINK("https://app.vivvix.com/360/KMI/IntelliDrive/ApplUI/Pages/CreativePages/CustomReportCreativeDetail.aspx?App=23&amp;ReportView=4&amp;Qid=1711279&amp;Row=9915&amp;Col=1","No Title Assigned - #15271561735")</f>
        <v/>
      </c>
      <c r="B9923" s="0" t="s">
        <v>13389</v>
      </c>
      <c r="E9923" s="0" t="inlineStr">
        <is>
          <t xml:space="preserve">Mazda</t>
        </is>
      </c>
      <c r="F9923" s="0" t="inlineStr">
        <is>
          <t xml:space="preserve">Mazda</t>
        </is>
      </c>
      <c r="G9923" s="0" t="s">
        <v>171</v>
      </c>
      <c r="H9923" s="5">
        <v>0.324400</v>
      </c>
    </row>
    <row r="9924" spans="1:9">
      <c r="A9924" s="22" t="str">
        <f>HYPERLINK("https://app.vivvix.com/360/KMI/IntelliDrive/ApplUI/Pages/CreativePages/CustomReportCreativeDetail.aspx?App=23&amp;ReportView=4&amp;Qid=1711279&amp;Row=9916&amp;Col=1","No Title Assigned - #15271564485")</f>
        <v/>
      </c>
      <c r="B9924" s="0" t="s">
        <v>13390</v>
      </c>
      <c r="E9924" s="0" t="inlineStr">
        <is>
          <t xml:space="preserve">Mazda</t>
        </is>
      </c>
      <c r="F9924" s="0" t="inlineStr">
        <is>
          <t xml:space="preserve">Mazda</t>
        </is>
      </c>
      <c r="G9924" s="0" t="s">
        <v>171</v>
      </c>
      <c r="H9924" s="5">
        <v>11710.838500</v>
      </c>
    </row>
    <row r="9925" spans="1:9">
      <c r="A9925" s="22" t="str">
        <f>HYPERLINK("https://app.vivvix.com/360/KMI/IntelliDrive/ApplUI/Pages/CreativePages/CustomReportCreativeDetail.aspx?App=23&amp;ReportView=4&amp;Qid=1711279&amp;Row=9917&amp;Col=1","No Title Assigned - #15271578561")</f>
        <v/>
      </c>
      <c r="B9925" s="0" t="s">
        <v>13391</v>
      </c>
      <c r="E9925" s="0" t="inlineStr">
        <is>
          <t xml:space="preserve">Mazda</t>
        </is>
      </c>
      <c r="F9925" s="0" t="inlineStr">
        <is>
          <t xml:space="preserve">Mazda</t>
        </is>
      </c>
      <c r="G9925" s="0" t="s">
        <v>171</v>
      </c>
      <c r="H9925" s="5">
        <v>83195.387100</v>
      </c>
    </row>
    <row r="9926" spans="1:9">
      <c r="A9926" s="22" t="str">
        <f>HYPERLINK("https://app.vivvix.com/360/KMI/IntelliDrive/ApplUI/Pages/CreativePages/CustomReportCreativeDetail.aspx?App=23&amp;ReportView=4&amp;Qid=1711279&amp;Row=9918&amp;Col=1","No Title Assigned - #15271582191")</f>
        <v/>
      </c>
      <c r="B9926" s="0" t="s">
        <v>13392</v>
      </c>
      <c r="C9926" s="0" t="s">
        <v>13393</v>
      </c>
      <c r="D9926" s="0" t="s">
        <v>13393</v>
      </c>
      <c r="E9926" s="0" t="inlineStr">
        <is>
          <t xml:space="preserve">Mazda</t>
        </is>
      </c>
      <c r="F9926" s="0" t="s">
        <v>52</v>
      </c>
      <c r="G9926" s="0" t="s">
        <v>325</v>
      </c>
      <c r="H9926" s="5">
        <v>11816.169800</v>
      </c>
    </row>
    <row r="9927" spans="1:9">
      <c r="A9927" s="22" t="str">
        <f>HYPERLINK("https://app.vivvix.com/360/KMI/IntelliDrive/ApplUI/Pages/CreativePages/CustomReportCreativeDetail.aspx?App=23&amp;ReportView=4&amp;Qid=1711279&amp;Row=9919&amp;Col=1","No Title Assigned - #15271587238")</f>
        <v/>
      </c>
      <c r="B9927" s="0" t="s">
        <v>13394</v>
      </c>
      <c r="C9927" s="0" t="s">
        <v>13395</v>
      </c>
      <c r="D9927" s="0" t="s">
        <v>13395</v>
      </c>
      <c r="E9927" s="0" t="inlineStr">
        <is>
          <t xml:space="preserve">Mazda</t>
        </is>
      </c>
      <c r="F9927" s="0" t="s">
        <v>13</v>
      </c>
      <c r="G9927" s="0" t="s">
        <v>49</v>
      </c>
      <c r="H9927" s="5">
        <v>227.578500</v>
      </c>
    </row>
    <row r="9928" spans="1:9">
      <c r="A9928" s="22" t="str">
        <f>HYPERLINK("https://app.vivvix.com/360/KMI/IntelliDrive/ApplUI/Pages/CreativePages/CustomReportCreativeDetail.aspx?App=23&amp;ReportView=4&amp;Qid=1711279&amp;Row=9920&amp;Col=1","No Title Assigned - #15271587275")</f>
        <v/>
      </c>
      <c r="B9928" s="0" t="s">
        <v>13396</v>
      </c>
      <c r="C9928" s="0" t="s">
        <v>13397</v>
      </c>
      <c r="D9928" s="0" t="s">
        <v>4225</v>
      </c>
      <c r="E9928" s="0" t="inlineStr">
        <is>
          <t xml:space="preserve">Mazda</t>
        </is>
      </c>
      <c r="F9928" s="0" t="s">
        <v>28</v>
      </c>
      <c r="G9928" s="0" t="s">
        <v>29</v>
      </c>
      <c r="H9928" s="5">
        <v>496.752100</v>
      </c>
    </row>
    <row r="9929" spans="1:9">
      <c r="A9929" s="22" t="str">
        <f>HYPERLINK("https://app.vivvix.com/360/KMI/IntelliDrive/ApplUI/Pages/CreativePages/CustomReportCreativeDetail.aspx?App=23&amp;ReportView=4&amp;Qid=1711279&amp;Row=9921&amp;Col=1","No Title Assigned - #15271588144")</f>
        <v/>
      </c>
      <c r="B9929" s="0" t="s">
        <v>13398</v>
      </c>
      <c r="C9929" s="0" t="s">
        <v>13399</v>
      </c>
      <c r="D9929" s="0" t="s">
        <v>13399</v>
      </c>
      <c r="E9929" s="0" t="inlineStr">
        <is>
          <t xml:space="preserve">Mazda</t>
        </is>
      </c>
      <c r="F9929" s="0" t="s">
        <v>13</v>
      </c>
      <c r="G9929" s="0" t="s">
        <v>49</v>
      </c>
      <c r="H9929" s="5">
        <v>135.626900</v>
      </c>
    </row>
    <row r="9930" spans="1:9">
      <c r="A9930" s="22" t="str">
        <f>HYPERLINK("https://app.vivvix.com/360/KMI/IntelliDrive/ApplUI/Pages/CreativePages/CustomReportCreativeDetail.aspx?App=23&amp;ReportView=4&amp;Qid=1711279&amp;Row=9922&amp;Col=1","No Title Assigned - #15271588238")</f>
        <v/>
      </c>
      <c r="B9930" s="0" t="s">
        <v>13400</v>
      </c>
      <c r="C9930" s="0" t="s">
        <v>13401</v>
      </c>
      <c r="D9930" s="0" t="s">
        <v>13401</v>
      </c>
      <c r="E9930" s="0" t="inlineStr">
        <is>
          <t xml:space="preserve">Mazda</t>
        </is>
      </c>
      <c r="F9930" s="0" t="s">
        <v>13</v>
      </c>
      <c r="G9930" s="0" t="s">
        <v>49</v>
      </c>
      <c r="H9930" s="5">
        <v>6.757400</v>
      </c>
    </row>
    <row r="9931" spans="1:9">
      <c r="A9931" s="22" t="str">
        <f>HYPERLINK("https://app.vivvix.com/360/KMI/IntelliDrive/ApplUI/Pages/CreativePages/CustomReportCreativeDetail.aspx?App=23&amp;ReportView=4&amp;Qid=1711279&amp;Row=9923&amp;Col=1","No Title Assigned - #15271588345")</f>
        <v/>
      </c>
      <c r="B9931" s="0" t="s">
        <v>13402</v>
      </c>
      <c r="C9931" s="0" t="s">
        <v>13403</v>
      </c>
      <c r="D9931" s="0" t="s">
        <v>4200</v>
      </c>
      <c r="E9931" s="0" t="inlineStr">
        <is>
          <t xml:space="preserve">Mazda</t>
        </is>
      </c>
      <c r="F9931" s="0" t="s">
        <v>28</v>
      </c>
      <c r="G9931" s="0" t="s">
        <v>29</v>
      </c>
      <c r="H9931" s="5">
        <v>14.188900</v>
      </c>
    </row>
    <row r="9932" spans="1:9">
      <c r="A9932" s="22" t="str">
        <f>HYPERLINK("https://app.vivvix.com/360/KMI/IntelliDrive/ApplUI/Pages/CreativePages/CustomReportCreativeDetail.aspx?App=23&amp;ReportView=4&amp;Qid=1711279&amp;Row=9924&amp;Col=1","No Title Assigned - #15271589898")</f>
        <v/>
      </c>
      <c r="B9932" s="0" t="s">
        <v>13404</v>
      </c>
      <c r="C9932" s="0" t="s">
        <v>13405</v>
      </c>
      <c r="D9932" s="0" t="s">
        <v>4430</v>
      </c>
      <c r="E9932" s="0" t="inlineStr">
        <is>
          <t xml:space="preserve">Mazda</t>
        </is>
      </c>
      <c r="F9932" s="0" t="s">
        <v>28</v>
      </c>
      <c r="G9932" s="0" t="s">
        <v>29</v>
      </c>
      <c r="H9932" s="5">
        <v>843.045400</v>
      </c>
    </row>
    <row r="9933" spans="1:9">
      <c r="A9933" s="22" t="str">
        <f>HYPERLINK("https://app.vivvix.com/360/KMI/IntelliDrive/ApplUI/Pages/CreativePages/CustomReportCreativeDetail.aspx?App=23&amp;ReportView=4&amp;Qid=1711279&amp;Row=9925&amp;Col=1","No Title Assigned - #15271590970")</f>
        <v/>
      </c>
      <c r="B9933" s="0" t="s">
        <v>13406</v>
      </c>
      <c r="C9933" s="0" t="s">
        <v>13407</v>
      </c>
      <c r="D9933" s="0" t="s">
        <v>13407</v>
      </c>
      <c r="E9933" s="0" t="inlineStr">
        <is>
          <t xml:space="preserve">Mazda</t>
        </is>
      </c>
      <c r="F9933" s="0" t="s">
        <v>13</v>
      </c>
      <c r="G9933" s="0" t="s">
        <v>49</v>
      </c>
      <c r="H9933" s="5">
        <v>14.451400</v>
      </c>
    </row>
    <row r="9934" spans="1:9">
      <c r="A9934" s="22" t="str">
        <f>HYPERLINK("https://app.vivvix.com/360/KMI/IntelliDrive/ApplUI/Pages/CreativePages/CustomReportCreativeDetail.aspx?App=23&amp;ReportView=4&amp;Qid=1711279&amp;Row=9926&amp;Col=1","No Title Assigned - #15271591364")</f>
        <v/>
      </c>
      <c r="B9934" s="0" t="s">
        <v>13408</v>
      </c>
      <c r="C9934" s="0" t="s">
        <v>13409</v>
      </c>
      <c r="D9934" s="0" t="s">
        <v>9238</v>
      </c>
      <c r="E9934" s="0" t="inlineStr">
        <is>
          <t xml:space="preserve">Mazda</t>
        </is>
      </c>
      <c r="F9934" s="0" t="s">
        <v>28</v>
      </c>
      <c r="G9934" s="0" t="s">
        <v>29</v>
      </c>
      <c r="H9934" s="5">
        <v>8.055800</v>
      </c>
    </row>
    <row r="9935" spans="1:9">
      <c r="A9935" s="22" t="str">
        <f>HYPERLINK("https://app.vivvix.com/360/KMI/IntelliDrive/ApplUI/Pages/CreativePages/CustomReportCreativeDetail.aspx?App=23&amp;ReportView=4&amp;Qid=1711279&amp;Row=9927&amp;Col=1","No Title Assigned - #15271595443")</f>
        <v/>
      </c>
      <c r="B9935" s="0" t="s">
        <v>13410</v>
      </c>
      <c r="C9935" s="0" t="s">
        <v>13411</v>
      </c>
      <c r="D9935" s="0" t="s">
        <v>13411</v>
      </c>
      <c r="E9935" s="0" t="inlineStr">
        <is>
          <t xml:space="preserve">Mazda</t>
        </is>
      </c>
      <c r="F9935" s="0" t="s">
        <v>13</v>
      </c>
      <c r="G9935" s="0" t="s">
        <v>49</v>
      </c>
      <c r="H9935" s="5">
        <v>92.387900</v>
      </c>
    </row>
    <row r="9936" spans="1:9">
      <c r="A9936" s="22" t="str">
        <f>HYPERLINK("https://app.vivvix.com/360/KMI/IntelliDrive/ApplUI/Pages/CreativePages/CustomReportCreativeDetail.aspx?App=23&amp;ReportView=4&amp;Qid=1711279&amp;Row=9928&amp;Col=1","No Title Assigned - #15271596307")</f>
        <v/>
      </c>
      <c r="B9936" s="0" t="s">
        <v>13412</v>
      </c>
      <c r="C9936" s="0" t="s">
        <v>13413</v>
      </c>
      <c r="D9936" s="0" t="s">
        <v>4225</v>
      </c>
      <c r="E9936" s="0" t="inlineStr">
        <is>
          <t xml:space="preserve">Mazda</t>
        </is>
      </c>
      <c r="F9936" s="0" t="s">
        <v>28</v>
      </c>
      <c r="G9936" s="0" t="s">
        <v>29</v>
      </c>
      <c r="H9936" s="5">
        <v>7.052200</v>
      </c>
    </row>
    <row r="9937" spans="1:9">
      <c r="A9937" s="22" t="str">
        <f>HYPERLINK("https://app.vivvix.com/360/KMI/IntelliDrive/ApplUI/Pages/CreativePages/CustomReportCreativeDetail.aspx?App=23&amp;ReportView=4&amp;Qid=1711279&amp;Row=9929&amp;Col=1","No Title Assigned - #15271596416")</f>
        <v/>
      </c>
      <c r="B9937" s="0" t="s">
        <v>13414</v>
      </c>
      <c r="C9937" s="0" t="s">
        <v>13415</v>
      </c>
      <c r="D9937" s="0" t="s">
        <v>4335</v>
      </c>
      <c r="E9937" s="0" t="inlineStr">
        <is>
          <t xml:space="preserve">Mazda</t>
        </is>
      </c>
      <c r="F9937" s="0" t="s">
        <v>13</v>
      </c>
      <c r="G9937" s="0" t="s">
        <v>49</v>
      </c>
      <c r="H9937" s="5">
        <v>90.915500</v>
      </c>
    </row>
    <row r="9938" spans="1:9">
      <c r="A9938" s="22" t="str">
        <f>HYPERLINK("https://app.vivvix.com/360/KMI/IntelliDrive/ApplUI/Pages/CreativePages/CustomReportCreativeDetail.aspx?App=23&amp;ReportView=4&amp;Qid=1711279&amp;Row=9930&amp;Col=1","No Title Assigned - #15271601808")</f>
        <v/>
      </c>
      <c r="B9938" s="0" t="s">
        <v>13416</v>
      </c>
      <c r="C9938" s="0" t="s">
        <v>13417</v>
      </c>
      <c r="D9938" s="0" t="s">
        <v>8558</v>
      </c>
      <c r="E9938" s="0" t="inlineStr">
        <is>
          <t xml:space="preserve">Mazda</t>
        </is>
      </c>
      <c r="F9938" s="0" t="s">
        <v>13</v>
      </c>
      <c r="G9938" s="0" t="s">
        <v>49</v>
      </c>
      <c r="H9938" s="5">
        <v>90.047000</v>
      </c>
    </row>
    <row r="9939" spans="1:9">
      <c r="A9939" s="22" t="str">
        <f>HYPERLINK("https://app.vivvix.com/360/KMI/IntelliDrive/ApplUI/Pages/CreativePages/CustomReportCreativeDetail.aspx?App=23&amp;ReportView=4&amp;Qid=1711279&amp;Row=9931&amp;Col=1","No Title Assigned - #15271604207")</f>
        <v/>
      </c>
      <c r="B9939" s="0" t="s">
        <v>13418</v>
      </c>
      <c r="C9939" s="0" t="s">
        <v>13419</v>
      </c>
      <c r="D9939" s="0" t="s">
        <v>4202</v>
      </c>
      <c r="E9939" s="0" t="inlineStr">
        <is>
          <t xml:space="preserve">Mazda</t>
        </is>
      </c>
      <c r="F9939" s="0" t="s">
        <v>28</v>
      </c>
      <c r="G9939" s="0" t="s">
        <v>29</v>
      </c>
      <c r="H9939" s="5">
        <v>41.641900</v>
      </c>
    </row>
    <row r="9940" spans="1:9">
      <c r="A9940" s="22" t="str">
        <f>HYPERLINK("https://app.vivvix.com/360/KMI/IntelliDrive/ApplUI/Pages/CreativePages/CustomReportCreativeDetail.aspx?App=23&amp;ReportView=4&amp;Qid=1711279&amp;Row=9932&amp;Col=1","No Title Assigned - #15271605347")</f>
        <v/>
      </c>
      <c r="B9940" s="0" t="s">
        <v>13420</v>
      </c>
      <c r="E9940" s="0" t="inlineStr">
        <is>
          <t xml:space="preserve">Mazda</t>
        </is>
      </c>
      <c r="F9940" s="0" t="inlineStr">
        <is>
          <t xml:space="preserve">Mazda</t>
        </is>
      </c>
      <c r="G9940" s="0" t="s">
        <v>171</v>
      </c>
      <c r="H9940" s="5">
        <v>56.497000</v>
      </c>
    </row>
    <row r="9941" spans="1:9">
      <c r="A9941" s="22" t="str">
        <f>HYPERLINK("https://app.vivvix.com/360/KMI/IntelliDrive/ApplUI/Pages/CreativePages/CustomReportCreativeDetail.aspx?App=23&amp;ReportView=4&amp;Qid=1711279&amp;Row=9933&amp;Col=1","No Title Assigned - #15271606061")</f>
        <v/>
      </c>
      <c r="B9941" s="0" t="s">
        <v>13421</v>
      </c>
      <c r="C9941" s="0" t="s">
        <v>13422</v>
      </c>
      <c r="D9941" s="0" t="s">
        <v>13422</v>
      </c>
      <c r="E9941" s="0" t="inlineStr">
        <is>
          <t xml:space="preserve">Mazda</t>
        </is>
      </c>
      <c r="F9941" s="0" t="s">
        <v>28</v>
      </c>
      <c r="G9941" s="0" t="s">
        <v>29</v>
      </c>
      <c r="H9941" s="5">
        <v>33.439600</v>
      </c>
    </row>
    <row r="9942" spans="1:9">
      <c r="A9942" s="22" t="str">
        <f>HYPERLINK("https://app.vivvix.com/360/KMI/IntelliDrive/ApplUI/Pages/CreativePages/CustomReportCreativeDetail.aspx?App=23&amp;ReportView=4&amp;Qid=1711279&amp;Row=9934&amp;Col=1","No Title Assigned - #15271606625")</f>
        <v/>
      </c>
      <c r="B9942" s="0" t="s">
        <v>13423</v>
      </c>
      <c r="C9942" s="0" t="s">
        <v>13424</v>
      </c>
      <c r="D9942" s="0" t="s">
        <v>4333</v>
      </c>
      <c r="E9942" s="0" t="inlineStr">
        <is>
          <t xml:space="preserve">Mazda</t>
        </is>
      </c>
      <c r="F9942" s="0" t="s">
        <v>28</v>
      </c>
      <c r="G9942" s="0" t="s">
        <v>29</v>
      </c>
      <c r="H9942" s="5">
        <v>169.373600</v>
      </c>
    </row>
    <row r="9943" spans="1:9">
      <c r="A9943" s="22" t="str">
        <f>HYPERLINK("https://app.vivvix.com/360/KMI/IntelliDrive/ApplUI/Pages/CreativePages/CustomReportCreativeDetail.aspx?App=23&amp;ReportView=4&amp;Qid=1711279&amp;Row=9935&amp;Col=1","No Title Assigned - #15271606625")</f>
        <v/>
      </c>
      <c r="B9943" s="0" t="s">
        <v>13423</v>
      </c>
      <c r="E9943" s="0" t="inlineStr">
        <is>
          <t xml:space="preserve">Mazda</t>
        </is>
      </c>
      <c r="F9943" s="0" t="s">
        <v>28</v>
      </c>
      <c r="G9943" s="0" t="s">
        <v>29</v>
      </c>
      <c r="H9943" s="5">
        <v>115.187600</v>
      </c>
    </row>
    <row r="9944" spans="1:9">
      <c r="A9944" s="22" t="str">
        <f>HYPERLINK("https://app.vivvix.com/360/KMI/IntelliDrive/ApplUI/Pages/CreativePages/CustomReportCreativeDetail.aspx?App=23&amp;ReportView=4&amp;Qid=1711279&amp;Row=9936&amp;Col=1","No Title Assigned - #15271606953")</f>
        <v/>
      </c>
      <c r="B9944" s="0" t="s">
        <v>13425</v>
      </c>
      <c r="C9944" s="0" t="s">
        <v>13426</v>
      </c>
      <c r="D9944" s="0" t="s">
        <v>13426</v>
      </c>
      <c r="E9944" s="0" t="inlineStr">
        <is>
          <t xml:space="preserve">Mazda</t>
        </is>
      </c>
      <c r="F9944" s="0" t="s">
        <v>28</v>
      </c>
      <c r="G9944" s="0" t="s">
        <v>29</v>
      </c>
      <c r="H9944" s="5">
        <v>1000.264400</v>
      </c>
    </row>
    <row r="9945" spans="1:9">
      <c r="A9945" s="22" t="str">
        <f>HYPERLINK("https://app.vivvix.com/360/KMI/IntelliDrive/ApplUI/Pages/CreativePages/CustomReportCreativeDetail.aspx?App=23&amp;ReportView=4&amp;Qid=1711279&amp;Row=9937&amp;Col=1","No Title Assigned - #15271612077")</f>
        <v/>
      </c>
      <c r="B9945" s="0" t="s">
        <v>13427</v>
      </c>
      <c r="E9945" s="0" t="inlineStr">
        <is>
          <t xml:space="preserve">Mazda</t>
        </is>
      </c>
      <c r="F9945" s="0" t="inlineStr">
        <is>
          <t xml:space="preserve">Mazda</t>
        </is>
      </c>
      <c r="G9945" s="0" t="s">
        <v>171</v>
      </c>
      <c r="H9945" s="5">
        <v>2.964800</v>
      </c>
    </row>
    <row r="9946" spans="1:9">
      <c r="A9946" s="22" t="str">
        <f>HYPERLINK("https://app.vivvix.com/360/KMI/IntelliDrive/ApplUI/Pages/CreativePages/CustomReportCreativeDetail.aspx?App=23&amp;ReportView=4&amp;Qid=1711279&amp;Row=9938&amp;Col=1","No Title Assigned - #15271613200")</f>
        <v/>
      </c>
      <c r="B9946" s="0" t="s">
        <v>13428</v>
      </c>
      <c r="C9946" s="0" t="s">
        <v>13429</v>
      </c>
      <c r="D9946" s="0" t="s">
        <v>4225</v>
      </c>
      <c r="E9946" s="0" t="inlineStr">
        <is>
          <t xml:space="preserve">Mazda</t>
        </is>
      </c>
      <c r="F9946" s="0" t="s">
        <v>28</v>
      </c>
      <c r="G9946" s="0" t="s">
        <v>29</v>
      </c>
      <c r="H9946" s="5">
        <v>2047.005000</v>
      </c>
    </row>
    <row r="9947" spans="1:9">
      <c r="A9947" s="22" t="str">
        <f>HYPERLINK("https://app.vivvix.com/360/KMI/IntelliDrive/ApplUI/Pages/CreativePages/CustomReportCreativeDetail.aspx?App=23&amp;ReportView=4&amp;Qid=1711279&amp;Row=9939&amp;Col=1","No Title Assigned - #15271613200")</f>
        <v/>
      </c>
      <c r="B9947" s="0" t="s">
        <v>13428</v>
      </c>
      <c r="E9947" s="0" t="inlineStr">
        <is>
          <t xml:space="preserve">Mazda</t>
        </is>
      </c>
      <c r="F9947" s="0" t="s">
        <v>28</v>
      </c>
      <c r="G9947" s="0" t="s">
        <v>29</v>
      </c>
      <c r="H9947" s="5">
        <v>17915.509800</v>
      </c>
    </row>
    <row r="9948" spans="1:9">
      <c r="A9948" s="22" t="str">
        <f>HYPERLINK("https://app.vivvix.com/360/KMI/IntelliDrive/ApplUI/Pages/CreativePages/CustomReportCreativeDetail.aspx?App=23&amp;ReportView=4&amp;Qid=1711279&amp;Row=9940&amp;Col=1","No Title Assigned - #15271615167")</f>
        <v/>
      </c>
      <c r="B9948" s="0" t="s">
        <v>13430</v>
      </c>
      <c r="C9948" s="0" t="s">
        <v>13431</v>
      </c>
      <c r="D9948" s="0" t="s">
        <v>13431</v>
      </c>
      <c r="E9948" s="0" t="inlineStr">
        <is>
          <t xml:space="preserve">Mazda</t>
        </is>
      </c>
      <c r="F9948" s="0" t="s">
        <v>28</v>
      </c>
      <c r="G9948" s="0" t="s">
        <v>29</v>
      </c>
      <c r="H9948" s="5">
        <v>8792.514100</v>
      </c>
    </row>
    <row r="9949" spans="1:9">
      <c r="A9949" s="22" t="str">
        <f>HYPERLINK("https://app.vivvix.com/360/KMI/IntelliDrive/ApplUI/Pages/CreativePages/CustomReportCreativeDetail.aspx?App=23&amp;ReportView=4&amp;Qid=1711279&amp;Row=9941&amp;Col=1","No Title Assigned - #15271615167")</f>
        <v/>
      </c>
      <c r="B9949" s="0" t="s">
        <v>13430</v>
      </c>
      <c r="E9949" s="0" t="inlineStr">
        <is>
          <t xml:space="preserve">Mazda</t>
        </is>
      </c>
      <c r="F9949" s="0" t="s">
        <v>28</v>
      </c>
      <c r="G9949" s="0" t="s">
        <v>29</v>
      </c>
      <c r="H9949" s="5">
        <v>607.678100</v>
      </c>
    </row>
    <row r="9950" spans="1:9">
      <c r="A9950" s="22" t="str">
        <f>HYPERLINK("https://app.vivvix.com/360/KMI/IntelliDrive/ApplUI/Pages/CreativePages/CustomReportCreativeDetail.aspx?App=23&amp;ReportView=4&amp;Qid=1711279&amp;Row=9942&amp;Col=1","No Title Assigned - #15271615552")</f>
        <v/>
      </c>
      <c r="B9950" s="0" t="s">
        <v>13432</v>
      </c>
      <c r="E9950" s="0" t="inlineStr">
        <is>
          <t xml:space="preserve">Mazda</t>
        </is>
      </c>
      <c r="F9950" s="0" t="inlineStr">
        <is>
          <t xml:space="preserve">Mazda</t>
        </is>
      </c>
      <c r="G9950" s="0" t="s">
        <v>171</v>
      </c>
      <c r="H9950" s="5">
        <v>221.189500</v>
      </c>
    </row>
    <row r="9951" spans="1:9">
      <c r="A9951" s="22" t="str">
        <f>HYPERLINK("https://app.vivvix.com/360/KMI/IntelliDrive/ApplUI/Pages/CreativePages/CustomReportCreativeDetail.aspx?App=23&amp;ReportView=4&amp;Qid=1711279&amp;Row=9943&amp;Col=1","No Title Assigned - #15271615976")</f>
        <v/>
      </c>
      <c r="B9951" s="0" t="s">
        <v>13433</v>
      </c>
      <c r="E9951" s="0" t="inlineStr">
        <is>
          <t xml:space="preserve">Mazda</t>
        </is>
      </c>
      <c r="F9951" s="0" t="inlineStr">
        <is>
          <t xml:space="preserve">Mazda</t>
        </is>
      </c>
      <c r="G9951" s="0" t="s">
        <v>171</v>
      </c>
      <c r="H9951" s="5">
        <v>134.391700</v>
      </c>
    </row>
    <row r="9952" spans="1:9">
      <c r="A9952" s="22" t="str">
        <f>HYPERLINK("https://app.vivvix.com/360/KMI/IntelliDrive/ApplUI/Pages/CreativePages/CustomReportCreativeDetail.aspx?App=23&amp;ReportView=4&amp;Qid=1711279&amp;Row=9944&amp;Col=1","No Title Assigned - #15271617038")</f>
        <v/>
      </c>
      <c r="B9952" s="0" t="s">
        <v>13434</v>
      </c>
      <c r="E9952" s="0" t="inlineStr">
        <is>
          <t xml:space="preserve">Mazda</t>
        </is>
      </c>
      <c r="F9952" s="0" t="inlineStr">
        <is>
          <t xml:space="preserve">Mazda</t>
        </is>
      </c>
      <c r="G9952" s="0" t="s">
        <v>171</v>
      </c>
      <c r="H9952" s="5">
        <v>0.801000</v>
      </c>
    </row>
    <row r="9953" spans="1:9">
      <c r="A9953" s="22" t="str">
        <f>HYPERLINK("https://app.vivvix.com/360/KMI/IntelliDrive/ApplUI/Pages/CreativePages/CustomReportCreativeDetail.aspx?App=23&amp;ReportView=4&amp;Qid=1711279&amp;Row=9945&amp;Col=1","No Title Assigned - #15271617718")</f>
        <v/>
      </c>
      <c r="B9953" s="0" t="s">
        <v>13435</v>
      </c>
      <c r="E9953" s="0" t="inlineStr">
        <is>
          <t xml:space="preserve">Mazda</t>
        </is>
      </c>
      <c r="F9953" s="0" t="inlineStr">
        <is>
          <t xml:space="preserve">Mazda</t>
        </is>
      </c>
      <c r="G9953" s="0" t="s">
        <v>171</v>
      </c>
      <c r="H9953" s="5">
        <v>175.731600</v>
      </c>
    </row>
    <row r="9954" spans="1:9">
      <c r="A9954" s="22" t="str">
        <f>HYPERLINK("https://app.vivvix.com/360/KMI/IntelliDrive/ApplUI/Pages/CreativePages/CustomReportCreativeDetail.aspx?App=23&amp;ReportView=4&amp;Qid=1711279&amp;Row=9946&amp;Col=1","No Title Assigned - #15271618096")</f>
        <v/>
      </c>
      <c r="B9954" s="0" t="s">
        <v>13436</v>
      </c>
      <c r="C9954" s="0" t="s">
        <v>13437</v>
      </c>
      <c r="D9954" s="0" t="s">
        <v>13437</v>
      </c>
      <c r="E9954" s="0" t="inlineStr">
        <is>
          <t xml:space="preserve">Mazda</t>
        </is>
      </c>
      <c r="F9954" s="0" t="inlineStr">
        <is>
          <t xml:space="preserve">Mazda</t>
        </is>
      </c>
      <c r="G9954" s="0" t="s">
        <v>171</v>
      </c>
      <c r="H9954" s="5">
        <v>176.411100</v>
      </c>
    </row>
    <row r="9955" spans="1:9">
      <c r="A9955" s="22" t="str">
        <f>HYPERLINK("https://app.vivvix.com/360/KMI/IntelliDrive/ApplUI/Pages/CreativePages/CustomReportCreativeDetail.aspx?App=23&amp;ReportView=4&amp;Qid=1711279&amp;Row=9947&amp;Col=1","No Title Assigned - #15271618518")</f>
        <v/>
      </c>
      <c r="B9955" s="0" t="s">
        <v>13438</v>
      </c>
      <c r="E9955" s="0" t="inlineStr">
        <is>
          <t xml:space="preserve">Mazda</t>
        </is>
      </c>
      <c r="F9955" s="0" t="inlineStr">
        <is>
          <t xml:space="preserve">Mazda</t>
        </is>
      </c>
      <c r="G9955" s="0" t="s">
        <v>171</v>
      </c>
      <c r="H9955" s="5">
        <v>11.916400</v>
      </c>
    </row>
    <row r="9956" spans="1:9">
      <c r="A9956" s="22" t="str">
        <f>HYPERLINK("https://app.vivvix.com/360/KMI/IntelliDrive/ApplUI/Pages/CreativePages/CustomReportCreativeDetail.aspx?App=23&amp;ReportView=4&amp;Qid=1711279&amp;Row=9948&amp;Col=1","No Title Assigned - #15271621028")</f>
        <v/>
      </c>
      <c r="B9956" s="0" t="s">
        <v>13439</v>
      </c>
      <c r="C9956" s="0" t="s">
        <v>13440</v>
      </c>
      <c r="D9956" s="0" t="s">
        <v>13440</v>
      </c>
      <c r="E9956" s="0" t="inlineStr">
        <is>
          <t xml:space="preserve">Mazda</t>
        </is>
      </c>
      <c r="F9956" s="0" t="inlineStr">
        <is>
          <t xml:space="preserve">Mazda</t>
        </is>
      </c>
      <c r="G9956" s="0" t="s">
        <v>171</v>
      </c>
      <c r="H9956" s="5">
        <v>137.989000</v>
      </c>
    </row>
    <row r="9957" spans="1:9">
      <c r="A9957" s="22" t="str">
        <f>HYPERLINK("https://app.vivvix.com/360/KMI/IntelliDrive/ApplUI/Pages/CreativePages/CustomReportCreativeDetail.aspx?App=23&amp;ReportView=4&amp;Qid=1711279&amp;Row=9949&amp;Col=1","No Title Assigned - #15271622109")</f>
        <v/>
      </c>
      <c r="B9957" s="0" t="s">
        <v>13441</v>
      </c>
      <c r="E9957" s="0" t="inlineStr">
        <is>
          <t xml:space="preserve">Mazda</t>
        </is>
      </c>
      <c r="F9957" s="0" t="inlineStr">
        <is>
          <t xml:space="preserve">Mazda</t>
        </is>
      </c>
      <c r="G9957" s="0" t="s">
        <v>171</v>
      </c>
      <c r="H9957" s="5">
        <v>430.362500</v>
      </c>
    </row>
    <row r="9958" spans="1:9">
      <c r="A9958" s="22" t="str">
        <f>HYPERLINK("https://app.vivvix.com/360/KMI/IntelliDrive/ApplUI/Pages/CreativePages/CustomReportCreativeDetail.aspx?App=23&amp;ReportView=4&amp;Qid=1711279&amp;Row=9950&amp;Col=1","No Title Assigned - #15271622109")</f>
        <v/>
      </c>
      <c r="B9958" s="0" t="s">
        <v>13441</v>
      </c>
      <c r="E9958" s="0" t="inlineStr">
        <is>
          <t xml:space="preserve">Mazda</t>
        </is>
      </c>
      <c r="F9958" s="0" t="inlineStr">
        <is>
          <t xml:space="preserve">Mazda</t>
        </is>
      </c>
      <c r="G9958" s="0" t="s">
        <v>171</v>
      </c>
      <c r="H9958" s="5">
        <v>8.261000</v>
      </c>
    </row>
    <row r="9959" spans="1:9">
      <c r="A9959" s="22" t="str">
        <f>HYPERLINK("https://app.vivvix.com/360/KMI/IntelliDrive/ApplUI/Pages/CreativePages/CustomReportCreativeDetail.aspx?App=23&amp;ReportView=4&amp;Qid=1711279&amp;Row=9951&amp;Col=1","No Title Assigned - #15271623824")</f>
        <v/>
      </c>
      <c r="B9959" s="0" t="s">
        <v>13442</v>
      </c>
      <c r="C9959" s="0" t="s">
        <v>13443</v>
      </c>
      <c r="D9959" s="0" t="s">
        <v>13443</v>
      </c>
      <c r="E9959" s="0" t="inlineStr">
        <is>
          <t xml:space="preserve">Mazda</t>
        </is>
      </c>
      <c r="F9959" s="0" t="inlineStr">
        <is>
          <t xml:space="preserve">Mazda</t>
        </is>
      </c>
      <c r="G9959" s="0" t="s">
        <v>171</v>
      </c>
      <c r="H9959" s="5">
        <v>14.551600</v>
      </c>
    </row>
    <row r="9960" spans="1:9">
      <c r="A9960" s="22" t="str">
        <f>HYPERLINK("https://app.vivvix.com/360/KMI/IntelliDrive/ApplUI/Pages/CreativePages/CustomReportCreativeDetail.aspx?App=23&amp;ReportView=4&amp;Qid=1711279&amp;Row=9952&amp;Col=1","No Title Assigned - #15271623965")</f>
        <v/>
      </c>
      <c r="B9960" s="0" t="s">
        <v>13444</v>
      </c>
      <c r="E9960" s="0" t="inlineStr">
        <is>
          <t xml:space="preserve">Mazda</t>
        </is>
      </c>
      <c r="F9960" s="0" t="inlineStr">
        <is>
          <t xml:space="preserve">Mazda</t>
        </is>
      </c>
      <c r="G9960" s="0" t="s">
        <v>171</v>
      </c>
      <c r="H9960" s="5">
        <v>107.999000</v>
      </c>
    </row>
    <row r="9961" spans="1:9">
      <c r="A9961" s="22" t="str">
        <f>HYPERLINK("https://app.vivvix.com/360/KMI/IntelliDrive/ApplUI/Pages/CreativePages/CustomReportCreativeDetail.aspx?App=23&amp;ReportView=4&amp;Qid=1711279&amp;Row=9953&amp;Col=1","No Title Assigned - #15271624207")</f>
        <v/>
      </c>
      <c r="B9961" s="0" t="s">
        <v>13445</v>
      </c>
      <c r="C9961" s="0" t="s">
        <v>13446</v>
      </c>
      <c r="D9961" s="0" t="s">
        <v>13446</v>
      </c>
      <c r="E9961" s="0" t="inlineStr">
        <is>
          <t xml:space="preserve">Mazda</t>
        </is>
      </c>
      <c r="F9961" s="0" t="inlineStr">
        <is>
          <t xml:space="preserve">Mazda</t>
        </is>
      </c>
      <c r="G9961" s="0" t="s">
        <v>171</v>
      </c>
      <c r="H9961" s="5">
        <v>14886.414800</v>
      </c>
    </row>
    <row r="9962" spans="1:9">
      <c r="A9962" s="22" t="str">
        <f>HYPERLINK("https://app.vivvix.com/360/KMI/IntelliDrive/ApplUI/Pages/CreativePages/CustomReportCreativeDetail.aspx?App=23&amp;ReportView=4&amp;Qid=1711279&amp;Row=9954&amp;Col=1","No Title Assigned - #15271624207")</f>
        <v/>
      </c>
      <c r="B9962" s="0" t="s">
        <v>13445</v>
      </c>
      <c r="E9962" s="0" t="inlineStr">
        <is>
          <t xml:space="preserve">Mazda</t>
        </is>
      </c>
      <c r="F9962" s="0" t="inlineStr">
        <is>
          <t xml:space="preserve">Mazda</t>
        </is>
      </c>
      <c r="G9962" s="0" t="s">
        <v>171</v>
      </c>
      <c r="H9962" s="5">
        <v>47.746000</v>
      </c>
    </row>
    <row r="9963" spans="1:9">
      <c r="A9963" s="22" t="str">
        <f>HYPERLINK("https://app.vivvix.com/360/KMI/IntelliDrive/ApplUI/Pages/CreativePages/CustomReportCreativeDetail.aspx?App=23&amp;ReportView=4&amp;Qid=1711279&amp;Row=9955&amp;Col=1","No Title Assigned - #15271624531")</f>
        <v/>
      </c>
      <c r="B9963" s="0" t="s">
        <v>13447</v>
      </c>
      <c r="E9963" s="0" t="inlineStr">
        <is>
          <t xml:space="preserve">Mazda</t>
        </is>
      </c>
      <c r="F9963" s="0" t="inlineStr">
        <is>
          <t xml:space="preserve">Mazda</t>
        </is>
      </c>
      <c r="G9963" s="0" t="s">
        <v>171</v>
      </c>
      <c r="H9963" s="5">
        <v>42.637700</v>
      </c>
    </row>
    <row r="9964" spans="1:9">
      <c r="A9964" s="22" t="str">
        <f>HYPERLINK("https://app.vivvix.com/360/KMI/IntelliDrive/ApplUI/Pages/CreativePages/CustomReportCreativeDetail.aspx?App=23&amp;ReportView=4&amp;Qid=1711279&amp;Row=9956&amp;Col=1","No Title Assigned - #15271625057")</f>
        <v/>
      </c>
      <c r="B9964" s="0" t="s">
        <v>13448</v>
      </c>
      <c r="E9964" s="0" t="inlineStr">
        <is>
          <t xml:space="preserve">Mazda</t>
        </is>
      </c>
      <c r="F9964" s="0" t="inlineStr">
        <is>
          <t xml:space="preserve">Mazda</t>
        </is>
      </c>
      <c r="G9964" s="0" t="s">
        <v>171</v>
      </c>
      <c r="H9964" s="5">
        <v>25.144500</v>
      </c>
    </row>
    <row r="9965" spans="1:9">
      <c r="A9965" s="22" t="str">
        <f>HYPERLINK("https://app.vivvix.com/360/KMI/IntelliDrive/ApplUI/Pages/CreativePages/CustomReportCreativeDetail.aspx?App=23&amp;ReportView=4&amp;Qid=1711279&amp;Row=9957&amp;Col=1","No Title Assigned - #15271625100")</f>
        <v/>
      </c>
      <c r="B9965" s="0" t="s">
        <v>13449</v>
      </c>
      <c r="E9965" s="0" t="inlineStr">
        <is>
          <t xml:space="preserve">Mazda</t>
        </is>
      </c>
      <c r="F9965" s="0" t="inlineStr">
        <is>
          <t xml:space="preserve">Mazda</t>
        </is>
      </c>
      <c r="G9965" s="0" t="s">
        <v>171</v>
      </c>
      <c r="H9965" s="5">
        <v>29.811500</v>
      </c>
    </row>
    <row r="9966" spans="1:9">
      <c r="A9966" s="22" t="str">
        <f>HYPERLINK("https://app.vivvix.com/360/KMI/IntelliDrive/ApplUI/Pages/CreativePages/CustomReportCreativeDetail.aspx?App=23&amp;ReportView=4&amp;Qid=1711279&amp;Row=9958&amp;Col=1","No Title Assigned - #15271625207")</f>
        <v/>
      </c>
      <c r="B9966" s="0" t="s">
        <v>13450</v>
      </c>
      <c r="E9966" s="0" t="inlineStr">
        <is>
          <t xml:space="preserve">Mazda</t>
        </is>
      </c>
      <c r="F9966" s="0" t="inlineStr">
        <is>
          <t xml:space="preserve">Mazda</t>
        </is>
      </c>
      <c r="G9966" s="0" t="s">
        <v>171</v>
      </c>
      <c r="H9966" s="5">
        <v>62.983100</v>
      </c>
    </row>
    <row r="9967" spans="1:9">
      <c r="A9967" s="22" t="str">
        <f>HYPERLINK("https://app.vivvix.com/360/KMI/IntelliDrive/ApplUI/Pages/CreativePages/CustomReportCreativeDetail.aspx?App=23&amp;ReportView=4&amp;Qid=1711279&amp;Row=9959&amp;Col=1","No Title Assigned - #15271625224")</f>
        <v/>
      </c>
      <c r="B9967" s="0" t="s">
        <v>13451</v>
      </c>
      <c r="C9967" s="0" t="s">
        <v>13452</v>
      </c>
      <c r="D9967" s="0" t="s">
        <v>13452</v>
      </c>
      <c r="E9967" s="0" t="inlineStr">
        <is>
          <t xml:space="preserve">Mazda</t>
        </is>
      </c>
      <c r="F9967" s="0" t="inlineStr">
        <is>
          <t xml:space="preserve">Mazda</t>
        </is>
      </c>
      <c r="G9967" s="0" t="s">
        <v>171</v>
      </c>
      <c r="H9967" s="5">
        <v>113.732500</v>
      </c>
    </row>
    <row r="9968" spans="1:9">
      <c r="A9968" s="22" t="str">
        <f>HYPERLINK("https://app.vivvix.com/360/KMI/IntelliDrive/ApplUI/Pages/CreativePages/CustomReportCreativeDetail.aspx?App=23&amp;ReportView=4&amp;Qid=1711279&amp;Row=9960&amp;Col=1","No Title Assigned - #15271625343")</f>
        <v/>
      </c>
      <c r="B9968" s="0" t="s">
        <v>13453</v>
      </c>
      <c r="E9968" s="0" t="inlineStr">
        <is>
          <t xml:space="preserve">Mazda</t>
        </is>
      </c>
      <c r="F9968" s="0" t="inlineStr">
        <is>
          <t xml:space="preserve">Mazda</t>
        </is>
      </c>
      <c r="G9968" s="0" t="s">
        <v>171</v>
      </c>
      <c r="H9968" s="5">
        <v>619.545300</v>
      </c>
    </row>
    <row r="9969" spans="1:9">
      <c r="A9969" s="22" t="str">
        <f>HYPERLINK("https://app.vivvix.com/360/KMI/IntelliDrive/ApplUI/Pages/CreativePages/CustomReportCreativeDetail.aspx?App=23&amp;ReportView=4&amp;Qid=1711279&amp;Row=9961&amp;Col=1","No Title Assigned - #15271625450")</f>
        <v/>
      </c>
      <c r="B9969" s="0" t="s">
        <v>13454</v>
      </c>
      <c r="E9969" s="0" t="inlineStr">
        <is>
          <t xml:space="preserve">Mazda</t>
        </is>
      </c>
      <c r="F9969" s="0" t="inlineStr">
        <is>
          <t xml:space="preserve">Mazda</t>
        </is>
      </c>
      <c r="G9969" s="0" t="s">
        <v>171</v>
      </c>
      <c r="H9969" s="5">
        <v>5.679300</v>
      </c>
    </row>
    <row r="9970" spans="1:9">
      <c r="A9970" s="22" t="str">
        <f>HYPERLINK("https://app.vivvix.com/360/KMI/IntelliDrive/ApplUI/Pages/CreativePages/CustomReportCreativeDetail.aspx?App=23&amp;ReportView=4&amp;Qid=1711279&amp;Row=9962&amp;Col=1","No Title Assigned - #15271626097")</f>
        <v/>
      </c>
      <c r="B9970" s="0" t="s">
        <v>13455</v>
      </c>
      <c r="C9970" s="0" t="s">
        <v>13456</v>
      </c>
      <c r="D9970" s="0" t="s">
        <v>13456</v>
      </c>
      <c r="E9970" s="0" t="inlineStr">
        <is>
          <t xml:space="preserve">Mazda</t>
        </is>
      </c>
      <c r="F9970" s="0" t="inlineStr">
        <is>
          <t xml:space="preserve">Mazda</t>
        </is>
      </c>
      <c r="G9970" s="0" t="s">
        <v>171</v>
      </c>
      <c r="H9970" s="5">
        <v>2654.205500</v>
      </c>
    </row>
    <row r="9971" spans="1:9">
      <c r="A9971" s="22" t="str">
        <f>HYPERLINK("https://app.vivvix.com/360/KMI/IntelliDrive/ApplUI/Pages/CreativePages/CustomReportCreativeDetail.aspx?App=23&amp;ReportView=4&amp;Qid=1711279&amp;Row=9963&amp;Col=1","No Title Assigned - #15271626097")</f>
        <v/>
      </c>
      <c r="B9971" s="0" t="s">
        <v>13455</v>
      </c>
      <c r="E9971" s="0" t="inlineStr">
        <is>
          <t xml:space="preserve">Mazda</t>
        </is>
      </c>
      <c r="F9971" s="0" t="inlineStr">
        <is>
          <t xml:space="preserve">Mazda</t>
        </is>
      </c>
      <c r="G9971" s="0" t="s">
        <v>171</v>
      </c>
      <c r="H9971" s="5">
        <v>238.291200</v>
      </c>
    </row>
    <row r="9972" spans="1:9">
      <c r="A9972" s="22" t="str">
        <f>HYPERLINK("https://app.vivvix.com/360/KMI/IntelliDrive/ApplUI/Pages/CreativePages/CustomReportCreativeDetail.aspx?App=23&amp;ReportView=4&amp;Qid=1711279&amp;Row=9964&amp;Col=1","No Title Assigned - #15271626152")</f>
        <v/>
      </c>
      <c r="B9972" s="0" t="s">
        <v>13457</v>
      </c>
      <c r="E9972" s="0" t="inlineStr">
        <is>
          <t xml:space="preserve">Mazda</t>
        </is>
      </c>
      <c r="F9972" s="0" t="inlineStr">
        <is>
          <t xml:space="preserve">Mazda</t>
        </is>
      </c>
      <c r="G9972" s="0" t="s">
        <v>171</v>
      </c>
      <c r="H9972" s="5">
        <v>2.964800</v>
      </c>
    </row>
    <row r="9973" spans="1:9">
      <c r="A9973" s="22" t="str">
        <f>HYPERLINK("https://app.vivvix.com/360/KMI/IntelliDrive/ApplUI/Pages/CreativePages/CustomReportCreativeDetail.aspx?App=23&amp;ReportView=4&amp;Qid=1711279&amp;Row=9965&amp;Col=1","No Title Assigned - #15271626153")</f>
        <v/>
      </c>
      <c r="B9973" s="0" t="s">
        <v>13458</v>
      </c>
      <c r="E9973" s="0" t="inlineStr">
        <is>
          <t xml:space="preserve">Mazda</t>
        </is>
      </c>
      <c r="F9973" s="0" t="inlineStr">
        <is>
          <t xml:space="preserve">Mazda</t>
        </is>
      </c>
      <c r="G9973" s="0" t="s">
        <v>171</v>
      </c>
      <c r="H9973" s="5">
        <v>13.859400</v>
      </c>
    </row>
    <row r="9974" spans="1:9">
      <c r="A9974" s="22" t="str">
        <f>HYPERLINK("https://app.vivvix.com/360/KMI/IntelliDrive/ApplUI/Pages/CreativePages/CustomReportCreativeDetail.aspx?App=23&amp;ReportView=4&amp;Qid=1711279&amp;Row=9966&amp;Col=1","No Title Assigned - #15271626232")</f>
        <v/>
      </c>
      <c r="B9974" s="0" t="s">
        <v>13459</v>
      </c>
      <c r="E9974" s="0" t="inlineStr">
        <is>
          <t xml:space="preserve">Mazda</t>
        </is>
      </c>
      <c r="F9974" s="0" t="inlineStr">
        <is>
          <t xml:space="preserve">Mazda</t>
        </is>
      </c>
      <c r="G9974" s="0" t="s">
        <v>171</v>
      </c>
      <c r="H9974" s="5">
        <v>6.125500</v>
      </c>
    </row>
    <row r="9975" spans="1:9">
      <c r="A9975" s="22" t="str">
        <f>HYPERLINK("https://app.vivvix.com/360/KMI/IntelliDrive/ApplUI/Pages/CreativePages/CustomReportCreativeDetail.aspx?App=23&amp;ReportView=4&amp;Qid=1711279&amp;Row=9967&amp;Col=1","No Title Assigned - #15271626246")</f>
        <v/>
      </c>
      <c r="B9975" s="0" t="s">
        <v>13460</v>
      </c>
      <c r="E9975" s="0" t="inlineStr">
        <is>
          <t xml:space="preserve">Mazda</t>
        </is>
      </c>
      <c r="F9975" s="0" t="inlineStr">
        <is>
          <t xml:space="preserve">Mazda</t>
        </is>
      </c>
      <c r="G9975" s="0" t="s">
        <v>171</v>
      </c>
      <c r="H9975" s="5">
        <v>28177.685500</v>
      </c>
    </row>
    <row r="9976" spans="1:9">
      <c r="A9976" s="22" t="str">
        <f>HYPERLINK("https://app.vivvix.com/360/KMI/IntelliDrive/ApplUI/Pages/CreativePages/CustomReportCreativeDetail.aspx?App=23&amp;ReportView=4&amp;Qid=1711279&amp;Row=9968&amp;Col=1","No Title Assigned - #15271626491")</f>
        <v/>
      </c>
      <c r="B9976" s="0" t="s">
        <v>13461</v>
      </c>
      <c r="E9976" s="0" t="inlineStr">
        <is>
          <t xml:space="preserve">Mazda</t>
        </is>
      </c>
      <c r="F9976" s="0" t="inlineStr">
        <is>
          <t xml:space="preserve">Mazda</t>
        </is>
      </c>
      <c r="G9976" s="0" t="s">
        <v>171</v>
      </c>
      <c r="H9976" s="5">
        <v>94.667100</v>
      </c>
    </row>
    <row r="9977" spans="1:9">
      <c r="A9977" s="22" t="str">
        <f>HYPERLINK("https://app.vivvix.com/360/KMI/IntelliDrive/ApplUI/Pages/CreativePages/CustomReportCreativeDetail.aspx?App=23&amp;ReportView=4&amp;Qid=1711279&amp;Row=9969&amp;Col=1","No Title Assigned - #15271626615")</f>
        <v/>
      </c>
      <c r="B9977" s="0" t="s">
        <v>13462</v>
      </c>
      <c r="C9977" s="0" t="s">
        <v>13463</v>
      </c>
      <c r="D9977" s="0" t="s">
        <v>13463</v>
      </c>
      <c r="E9977" s="0" t="inlineStr">
        <is>
          <t xml:space="preserve">Mazda</t>
        </is>
      </c>
      <c r="F9977" s="0" t="inlineStr">
        <is>
          <t xml:space="preserve">Mazda</t>
        </is>
      </c>
      <c r="G9977" s="0" t="s">
        <v>171</v>
      </c>
      <c r="H9977" s="5">
        <v>24.930900</v>
      </c>
    </row>
    <row r="9978" spans="1:9">
      <c r="A9978" s="22" t="str">
        <f>HYPERLINK("https://app.vivvix.com/360/KMI/IntelliDrive/ApplUI/Pages/CreativePages/CustomReportCreativeDetail.aspx?App=23&amp;ReportView=4&amp;Qid=1711279&amp;Row=9970&amp;Col=1","No Title Assigned - #15271626663")</f>
        <v/>
      </c>
      <c r="B9978" s="0" t="s">
        <v>13464</v>
      </c>
      <c r="E9978" s="0" t="inlineStr">
        <is>
          <t xml:space="preserve">Mazda</t>
        </is>
      </c>
      <c r="F9978" s="0" t="inlineStr">
        <is>
          <t xml:space="preserve">Mazda</t>
        </is>
      </c>
      <c r="G9978" s="0" t="s">
        <v>171</v>
      </c>
      <c r="H9978" s="5">
        <v>21.653100</v>
      </c>
    </row>
    <row r="9979" spans="1:9">
      <c r="A9979" s="22" t="str">
        <f>HYPERLINK("https://app.vivvix.com/360/KMI/IntelliDrive/ApplUI/Pages/CreativePages/CustomReportCreativeDetail.aspx?App=23&amp;ReportView=4&amp;Qid=1711279&amp;Row=9971&amp;Col=1","No Title Assigned - #15271626896")</f>
        <v/>
      </c>
      <c r="B9979" s="0" t="s">
        <v>13465</v>
      </c>
      <c r="E9979" s="0" t="inlineStr">
        <is>
          <t xml:space="preserve">Mazda</t>
        </is>
      </c>
      <c r="F9979" s="0" t="inlineStr">
        <is>
          <t xml:space="preserve">Mazda</t>
        </is>
      </c>
      <c r="G9979" s="0" t="s">
        <v>171</v>
      </c>
      <c r="H9979" s="5">
        <v>1.536100</v>
      </c>
    </row>
    <row r="9980" spans="1:9">
      <c r="A9980" s="22" t="str">
        <f>HYPERLINK("https://app.vivvix.com/360/KMI/IntelliDrive/ApplUI/Pages/CreativePages/CustomReportCreativeDetail.aspx?App=23&amp;ReportView=4&amp;Qid=1711279&amp;Row=9972&amp;Col=1","No Title Assigned - #15271627021")</f>
        <v/>
      </c>
      <c r="B9980" s="0" t="s">
        <v>13466</v>
      </c>
      <c r="E9980" s="0" t="inlineStr">
        <is>
          <t xml:space="preserve">Mazda</t>
        </is>
      </c>
      <c r="F9980" s="0" t="inlineStr">
        <is>
          <t xml:space="preserve">Mazda</t>
        </is>
      </c>
      <c r="G9980" s="0" t="s">
        <v>171</v>
      </c>
      <c r="H9980" s="5">
        <v>9.080200</v>
      </c>
    </row>
    <row r="9981" spans="1:9">
      <c r="A9981" s="22" t="str">
        <f>HYPERLINK("https://app.vivvix.com/360/KMI/IntelliDrive/ApplUI/Pages/CreativePages/CustomReportCreativeDetail.aspx?App=23&amp;ReportView=4&amp;Qid=1711279&amp;Row=9973&amp;Col=1","No Title Assigned - #15271627062")</f>
        <v/>
      </c>
      <c r="B9981" s="0" t="s">
        <v>13467</v>
      </c>
      <c r="C9981" s="0" t="s">
        <v>13468</v>
      </c>
      <c r="D9981" s="0" t="s">
        <v>13468</v>
      </c>
      <c r="E9981" s="0" t="inlineStr">
        <is>
          <t xml:space="preserve">Mazda</t>
        </is>
      </c>
      <c r="F9981" s="0" t="inlineStr">
        <is>
          <t xml:space="preserve">Mazda</t>
        </is>
      </c>
      <c r="G9981" s="0" t="s">
        <v>171</v>
      </c>
      <c r="H9981" s="5">
        <v>83.267200</v>
      </c>
    </row>
    <row r="9982" spans="1:9">
      <c r="A9982" s="22" t="str">
        <f>HYPERLINK("https://app.vivvix.com/360/KMI/IntelliDrive/ApplUI/Pages/CreativePages/CustomReportCreativeDetail.aspx?App=23&amp;ReportView=4&amp;Qid=1711279&amp;Row=9974&amp;Col=1","No Title Assigned - #15271627067")</f>
        <v/>
      </c>
      <c r="B9982" s="0" t="s">
        <v>13469</v>
      </c>
      <c r="E9982" s="0" t="inlineStr">
        <is>
          <t xml:space="preserve">Mazda</t>
        </is>
      </c>
      <c r="F9982" s="0" t="inlineStr">
        <is>
          <t xml:space="preserve">Mazda</t>
        </is>
      </c>
      <c r="G9982" s="0" t="s">
        <v>171</v>
      </c>
      <c r="H9982" s="5">
        <v>83.267200</v>
      </c>
    </row>
    <row r="9983" spans="1:9">
      <c r="A9983" s="22" t="str">
        <f>HYPERLINK("https://app.vivvix.com/360/KMI/IntelliDrive/ApplUI/Pages/CreativePages/CustomReportCreativeDetail.aspx?App=23&amp;ReportView=4&amp;Qid=1711279&amp;Row=9975&amp;Col=1","No Title Assigned - #15271628234")</f>
        <v/>
      </c>
      <c r="B9983" s="0" t="s">
        <v>13470</v>
      </c>
      <c r="E9983" s="0" t="inlineStr">
        <is>
          <t xml:space="preserve">Mazda</t>
        </is>
      </c>
      <c r="F9983" s="0" t="inlineStr">
        <is>
          <t xml:space="preserve">Mazda</t>
        </is>
      </c>
      <c r="G9983" s="0" t="s">
        <v>171</v>
      </c>
      <c r="H9983" s="5">
        <v>62.983100</v>
      </c>
    </row>
    <row r="9984" spans="1:9">
      <c r="A9984" s="22" t="str">
        <f>HYPERLINK("https://app.vivvix.com/360/KMI/IntelliDrive/ApplUI/Pages/CreativePages/CustomReportCreativeDetail.aspx?App=23&amp;ReportView=4&amp;Qid=1711279&amp;Row=9976&amp;Col=1","No Title Assigned - #15271628307")</f>
        <v/>
      </c>
      <c r="B9984" s="0" t="s">
        <v>13471</v>
      </c>
      <c r="E9984" s="0" t="inlineStr">
        <is>
          <t xml:space="preserve">Mazda</t>
        </is>
      </c>
      <c r="F9984" s="0" t="inlineStr">
        <is>
          <t xml:space="preserve">Mazda</t>
        </is>
      </c>
      <c r="G9984" s="0" t="s">
        <v>171</v>
      </c>
      <c r="H9984" s="5">
        <v>73.609500</v>
      </c>
    </row>
    <row r="9985" spans="1:9">
      <c r="A9985" s="22" t="str">
        <f>HYPERLINK("https://app.vivvix.com/360/KMI/IntelliDrive/ApplUI/Pages/CreativePages/CustomReportCreativeDetail.aspx?App=23&amp;ReportView=4&amp;Qid=1711279&amp;Row=9977&amp;Col=1","No Title Assigned - #15271628384")</f>
        <v/>
      </c>
      <c r="B9985" s="0" t="s">
        <v>13472</v>
      </c>
      <c r="C9985" s="0" t="s">
        <v>13473</v>
      </c>
      <c r="D9985" s="0" t="s">
        <v>13473</v>
      </c>
      <c r="E9985" s="0" t="inlineStr">
        <is>
          <t xml:space="preserve">Mazda</t>
        </is>
      </c>
      <c r="F9985" s="0" t="inlineStr">
        <is>
          <t xml:space="preserve">Mazda</t>
        </is>
      </c>
      <c r="G9985" s="0" t="s">
        <v>171</v>
      </c>
      <c r="H9985" s="5">
        <v>8.116400</v>
      </c>
    </row>
    <row r="9986" spans="1:9">
      <c r="A9986" s="22" t="str">
        <f>HYPERLINK("https://app.vivvix.com/360/KMI/IntelliDrive/ApplUI/Pages/CreativePages/CustomReportCreativeDetail.aspx?App=23&amp;ReportView=4&amp;Qid=1711279&amp;Row=9978&amp;Col=1","No Title Assigned - #15271628406")</f>
        <v/>
      </c>
      <c r="B9986" s="0" t="s">
        <v>13474</v>
      </c>
      <c r="E9986" s="0" t="inlineStr">
        <is>
          <t xml:space="preserve">Mazda</t>
        </is>
      </c>
      <c r="F9986" s="0" t="inlineStr">
        <is>
          <t xml:space="preserve">Mazda</t>
        </is>
      </c>
      <c r="G9986" s="0" t="s">
        <v>171</v>
      </c>
      <c r="H9986" s="5">
        <v>5.843100</v>
      </c>
    </row>
    <row r="9987" spans="1:9">
      <c r="A9987" s="22" t="str">
        <f>HYPERLINK("https://app.vivvix.com/360/KMI/IntelliDrive/ApplUI/Pages/CreativePages/CustomReportCreativeDetail.aspx?App=23&amp;ReportView=4&amp;Qid=1711279&amp;Row=9979&amp;Col=1","No Title Assigned - #15271628740")</f>
        <v/>
      </c>
      <c r="B9987" s="0" t="s">
        <v>13475</v>
      </c>
      <c r="E9987" s="0" t="inlineStr">
        <is>
          <t xml:space="preserve">Mazda</t>
        </is>
      </c>
      <c r="F9987" s="0" t="inlineStr">
        <is>
          <t xml:space="preserve">Mazda</t>
        </is>
      </c>
      <c r="G9987" s="0" t="s">
        <v>171</v>
      </c>
      <c r="H9987" s="5">
        <v>173.424600</v>
      </c>
    </row>
    <row r="9988" spans="1:9">
      <c r="A9988" s="22" t="str">
        <f>HYPERLINK("https://app.vivvix.com/360/KMI/IntelliDrive/ApplUI/Pages/CreativePages/CustomReportCreativeDetail.aspx?App=23&amp;ReportView=4&amp;Qid=1711279&amp;Row=9980&amp;Col=1","No Title Assigned - #15271629378")</f>
        <v/>
      </c>
      <c r="B9988" s="0" t="s">
        <v>13476</v>
      </c>
      <c r="E9988" s="0" t="inlineStr">
        <is>
          <t xml:space="preserve">Mazda</t>
        </is>
      </c>
      <c r="F9988" s="0" t="inlineStr">
        <is>
          <t xml:space="preserve">Mazda</t>
        </is>
      </c>
      <c r="G9988" s="0" t="s">
        <v>171</v>
      </c>
      <c r="H9988" s="5">
        <v>1541.310200</v>
      </c>
    </row>
    <row r="9989" spans="1:9">
      <c r="A9989" s="22" t="str">
        <f>HYPERLINK("https://app.vivvix.com/360/KMI/IntelliDrive/ApplUI/Pages/CreativePages/CustomReportCreativeDetail.aspx?App=23&amp;ReportView=4&amp;Qid=1711279&amp;Row=9981&amp;Col=1","No Title Assigned - #15271629558")</f>
        <v/>
      </c>
      <c r="B9989" s="0" t="s">
        <v>13477</v>
      </c>
      <c r="E9989" s="0" t="inlineStr">
        <is>
          <t xml:space="preserve">Mazda</t>
        </is>
      </c>
      <c r="F9989" s="0" t="inlineStr">
        <is>
          <t xml:space="preserve">Mazda</t>
        </is>
      </c>
      <c r="G9989" s="0" t="s">
        <v>171</v>
      </c>
      <c r="H9989" s="5">
        <v>19.727200</v>
      </c>
    </row>
    <row r="9990" spans="1:9">
      <c r="A9990" s="22" t="str">
        <f>HYPERLINK("https://app.vivvix.com/360/KMI/IntelliDrive/ApplUI/Pages/CreativePages/CustomReportCreativeDetail.aspx?App=23&amp;ReportView=4&amp;Qid=1711279&amp;Row=9982&amp;Col=1","No Title Assigned - #15271629798")</f>
        <v/>
      </c>
      <c r="B9990" s="0" t="s">
        <v>13478</v>
      </c>
      <c r="E9990" s="0" t="inlineStr">
        <is>
          <t xml:space="preserve">Mazda</t>
        </is>
      </c>
      <c r="F9990" s="0" t="inlineStr">
        <is>
          <t xml:space="preserve">Mazda</t>
        </is>
      </c>
      <c r="G9990" s="0" t="s">
        <v>171</v>
      </c>
      <c r="H9990" s="5">
        <v>786.243100</v>
      </c>
    </row>
    <row r="9991" spans="1:9">
      <c r="A9991" s="22" t="str">
        <f>HYPERLINK("https://app.vivvix.com/360/KMI/IntelliDrive/ApplUI/Pages/CreativePages/CustomReportCreativeDetail.aspx?App=23&amp;ReportView=4&amp;Qid=1711279&amp;Row=9983&amp;Col=1","No Title Assigned - #15271630279")</f>
        <v/>
      </c>
      <c r="B9991" s="0" t="s">
        <v>13479</v>
      </c>
      <c r="C9991" s="0" t="s">
        <v>13480</v>
      </c>
      <c r="D9991" s="0" t="s">
        <v>13480</v>
      </c>
      <c r="E9991" s="0" t="inlineStr">
        <is>
          <t xml:space="preserve">Mazda</t>
        </is>
      </c>
      <c r="F9991" s="0" t="inlineStr">
        <is>
          <t xml:space="preserve">Mazda</t>
        </is>
      </c>
      <c r="G9991" s="0" t="s">
        <v>171</v>
      </c>
      <c r="H9991" s="5">
        <v>105.389400</v>
      </c>
    </row>
    <row r="9992" spans="1:9">
      <c r="A9992" s="22" t="str">
        <f>HYPERLINK("https://app.vivvix.com/360/KMI/IntelliDrive/ApplUI/Pages/CreativePages/CustomReportCreativeDetail.aspx?App=23&amp;ReportView=4&amp;Qid=1711279&amp;Row=9984&amp;Col=1","No Title Assigned - #15271630602")</f>
        <v/>
      </c>
      <c r="B9992" s="0" t="s">
        <v>13481</v>
      </c>
      <c r="E9992" s="0" t="inlineStr">
        <is>
          <t xml:space="preserve">Mazda</t>
        </is>
      </c>
      <c r="F9992" s="0" t="inlineStr">
        <is>
          <t xml:space="preserve">Mazda</t>
        </is>
      </c>
      <c r="G9992" s="0" t="s">
        <v>171</v>
      </c>
      <c r="H9992" s="5">
        <v>752.344500</v>
      </c>
    </row>
    <row r="9993" spans="1:9">
      <c r="A9993" s="22" t="str">
        <f>HYPERLINK("https://app.vivvix.com/360/KMI/IntelliDrive/ApplUI/Pages/CreativePages/CustomReportCreativeDetail.aspx?App=23&amp;ReportView=4&amp;Qid=1711279&amp;Row=9985&amp;Col=1","No Title Assigned - #15271631024")</f>
        <v/>
      </c>
      <c r="B9993" s="0" t="s">
        <v>13482</v>
      </c>
      <c r="E9993" s="0" t="inlineStr">
        <is>
          <t xml:space="preserve">Mazda</t>
        </is>
      </c>
      <c r="F9993" s="0" t="inlineStr">
        <is>
          <t xml:space="preserve">Mazda</t>
        </is>
      </c>
      <c r="G9993" s="0" t="s">
        <v>171</v>
      </c>
      <c r="H9993" s="5">
        <v>7.746800</v>
      </c>
    </row>
    <row r="9994" spans="1:9">
      <c r="A9994" s="22" t="str">
        <f>HYPERLINK("https://app.vivvix.com/360/KMI/IntelliDrive/ApplUI/Pages/CreativePages/CustomReportCreativeDetail.aspx?App=23&amp;ReportView=4&amp;Qid=1711279&amp;Row=9986&amp;Col=1","No Title Assigned - #15271631515")</f>
        <v/>
      </c>
      <c r="B9994" s="0" t="s">
        <v>13483</v>
      </c>
      <c r="E9994" s="0" t="inlineStr">
        <is>
          <t xml:space="preserve">Mazda</t>
        </is>
      </c>
      <c r="F9994" s="0" t="inlineStr">
        <is>
          <t xml:space="preserve">Mazda</t>
        </is>
      </c>
      <c r="G9994" s="0" t="s">
        <v>171</v>
      </c>
      <c r="H9994" s="5">
        <v>1.350900</v>
      </c>
    </row>
    <row r="9995" spans="1:9">
      <c r="A9995" s="22" t="str">
        <f>HYPERLINK("https://app.vivvix.com/360/KMI/IntelliDrive/ApplUI/Pages/CreativePages/CustomReportCreativeDetail.aspx?App=23&amp;ReportView=4&amp;Qid=1711279&amp;Row=9987&amp;Col=1","No Title Assigned - #15271631787")</f>
        <v/>
      </c>
      <c r="B9995" s="0" t="s">
        <v>13484</v>
      </c>
      <c r="E9995" s="0" t="inlineStr">
        <is>
          <t xml:space="preserve">Mazda</t>
        </is>
      </c>
      <c r="F9995" s="0" t="inlineStr">
        <is>
          <t xml:space="preserve">Mazda</t>
        </is>
      </c>
      <c r="G9995" s="0" t="s">
        <v>171</v>
      </c>
      <c r="H9995" s="5">
        <v>11.435200</v>
      </c>
    </row>
    <row r="9996" spans="1:9">
      <c r="A9996" s="22" t="str">
        <f>HYPERLINK("https://app.vivvix.com/360/KMI/IntelliDrive/ApplUI/Pages/CreativePages/CustomReportCreativeDetail.aspx?App=23&amp;ReportView=4&amp;Qid=1711279&amp;Row=9988&amp;Col=1","No Title Assigned - #15271631904")</f>
        <v/>
      </c>
      <c r="B9996" s="0" t="s">
        <v>13485</v>
      </c>
      <c r="E9996" s="0" t="inlineStr">
        <is>
          <t xml:space="preserve">Mazda</t>
        </is>
      </c>
      <c r="F9996" s="0" t="inlineStr">
        <is>
          <t xml:space="preserve">Mazda</t>
        </is>
      </c>
      <c r="G9996" s="0" t="s">
        <v>171</v>
      </c>
      <c r="H9996" s="5">
        <v>17.095700</v>
      </c>
    </row>
    <row r="9997" spans="1:9">
      <c r="A9997" s="22" t="str">
        <f>HYPERLINK("https://app.vivvix.com/360/KMI/IntelliDrive/ApplUI/Pages/CreativePages/CustomReportCreativeDetail.aspx?App=23&amp;ReportView=4&amp;Qid=1711279&amp;Row=9989&amp;Col=1","No Title Assigned - #15271632201")</f>
        <v/>
      </c>
      <c r="B9997" s="0" t="s">
        <v>13486</v>
      </c>
      <c r="E9997" s="0" t="inlineStr">
        <is>
          <t xml:space="preserve">Mazda</t>
        </is>
      </c>
      <c r="F9997" s="0" t="inlineStr">
        <is>
          <t xml:space="preserve">Mazda</t>
        </is>
      </c>
      <c r="G9997" s="0" t="s">
        <v>171</v>
      </c>
      <c r="H9997" s="5">
        <v>7.409800</v>
      </c>
    </row>
    <row r="9998" spans="1:9">
      <c r="A9998" s="22" t="str">
        <f>HYPERLINK("https://app.vivvix.com/360/KMI/IntelliDrive/ApplUI/Pages/CreativePages/CustomReportCreativeDetail.aspx?App=23&amp;ReportView=4&amp;Qid=1711279&amp;Row=9990&amp;Col=1","No Title Assigned - #15271632280")</f>
        <v/>
      </c>
      <c r="B9998" s="0" t="s">
        <v>13487</v>
      </c>
      <c r="E9998" s="0" t="inlineStr">
        <is>
          <t xml:space="preserve">Mazda</t>
        </is>
      </c>
      <c r="F9998" s="0" t="inlineStr">
        <is>
          <t xml:space="preserve">Mazda</t>
        </is>
      </c>
      <c r="G9998" s="0" t="s">
        <v>171</v>
      </c>
      <c r="H9998" s="5">
        <v>4.377500</v>
      </c>
    </row>
    <row r="9999" spans="1:9">
      <c r="A9999" s="22" t="str">
        <f>HYPERLINK("https://app.vivvix.com/360/KMI/IntelliDrive/ApplUI/Pages/CreativePages/CustomReportCreativeDetail.aspx?App=23&amp;ReportView=4&amp;Qid=1711279&amp;Row=9991&amp;Col=1","No Title Assigned - #15271632462")</f>
        <v/>
      </c>
      <c r="B9999" s="0" t="s">
        <v>13488</v>
      </c>
      <c r="E9999" s="0" t="inlineStr">
        <is>
          <t xml:space="preserve">Mazda</t>
        </is>
      </c>
      <c r="F9999" s="0" t="inlineStr">
        <is>
          <t xml:space="preserve">Mazda</t>
        </is>
      </c>
      <c r="G9999" s="0" t="s">
        <v>171</v>
      </c>
      <c r="H9999" s="5">
        <v>9.025500</v>
      </c>
    </row>
    <row r="10000" spans="1:9">
      <c r="A10000" s="22" t="str">
        <f>HYPERLINK("https://app.vivvix.com/360/KMI/IntelliDrive/ApplUI/Pages/CreativePages/CustomReportCreativeDetail.aspx?App=23&amp;ReportView=4&amp;Qid=1711279&amp;Row=9992&amp;Col=1","No Title Assigned - #15271632823")</f>
        <v/>
      </c>
      <c r="B10000" s="0" t="s">
        <v>13489</v>
      </c>
      <c r="E10000" s="0" t="inlineStr">
        <is>
          <t xml:space="preserve">Mazda</t>
        </is>
      </c>
      <c r="F10000" s="0" t="inlineStr">
        <is>
          <t xml:space="preserve">Mazda</t>
        </is>
      </c>
      <c r="G10000" s="0" t="s">
        <v>171</v>
      </c>
      <c r="H10000" s="5">
        <v>17.660200</v>
      </c>
    </row>
    <row r="10001" spans="1:9">
      <c r="A10001" s="22" t="str">
        <f>HYPERLINK("https://app.vivvix.com/360/KMI/IntelliDrive/ApplUI/Pages/CreativePages/CustomReportCreativeDetail.aspx?App=23&amp;ReportView=4&amp;Qid=1711279&amp;Row=9993&amp;Col=1","No Title Assigned - #15271633491")</f>
        <v/>
      </c>
      <c r="B10001" s="0" t="s">
        <v>13490</v>
      </c>
      <c r="E10001" s="0" t="inlineStr">
        <is>
          <t xml:space="preserve">Mazda</t>
        </is>
      </c>
      <c r="F10001" s="0" t="inlineStr">
        <is>
          <t xml:space="preserve">Mazda</t>
        </is>
      </c>
      <c r="G10001" s="0" t="s">
        <v>171</v>
      </c>
      <c r="H10001" s="5">
        <v>62.978900</v>
      </c>
    </row>
    <row r="10002" spans="1:9">
      <c r="A10002" s="22" t="str">
        <f>HYPERLINK("https://app.vivvix.com/360/KMI/IntelliDrive/ApplUI/Pages/CreativePages/CustomReportCreativeDetail.aspx?App=23&amp;ReportView=4&amp;Qid=1711279&amp;Row=9994&amp;Col=1","No Title Assigned - #15271633493")</f>
        <v/>
      </c>
      <c r="B10002" s="0" t="s">
        <v>13491</v>
      </c>
      <c r="E10002" s="0" t="inlineStr">
        <is>
          <t xml:space="preserve">Mazda</t>
        </is>
      </c>
      <c r="F10002" s="0" t="inlineStr">
        <is>
          <t xml:space="preserve">Mazda</t>
        </is>
      </c>
      <c r="G10002" s="0" t="s">
        <v>171</v>
      </c>
      <c r="H10002" s="5">
        <v>3.209600</v>
      </c>
    </row>
    <row r="10003" spans="1:9">
      <c r="A10003" s="22" t="str">
        <f>HYPERLINK("https://app.vivvix.com/360/KMI/IntelliDrive/ApplUI/Pages/CreativePages/CustomReportCreativeDetail.aspx?App=23&amp;ReportView=4&amp;Qid=1711279&amp;Row=9995&amp;Col=1","No Title Assigned - #15271633636")</f>
        <v/>
      </c>
      <c r="B10003" s="0" t="s">
        <v>13492</v>
      </c>
      <c r="E10003" s="0" t="inlineStr">
        <is>
          <t xml:space="preserve">Mazda</t>
        </is>
      </c>
      <c r="F10003" s="0" t="inlineStr">
        <is>
          <t xml:space="preserve">Mazda</t>
        </is>
      </c>
      <c r="G10003" s="0" t="s">
        <v>171</v>
      </c>
      <c r="H10003" s="5">
        <v>22.412500</v>
      </c>
    </row>
    <row r="10004" spans="1:9">
      <c r="A10004" s="22" t="str">
        <f>HYPERLINK("https://app.vivvix.com/360/KMI/IntelliDrive/ApplUI/Pages/CreativePages/CustomReportCreativeDetail.aspx?App=23&amp;ReportView=4&amp;Qid=1711279&amp;Row=9996&amp;Col=1","No Title Assigned - #15271633669")</f>
        <v/>
      </c>
      <c r="B10004" s="0" t="s">
        <v>13493</v>
      </c>
      <c r="E10004" s="0" t="inlineStr">
        <is>
          <t xml:space="preserve">Mazda</t>
        </is>
      </c>
      <c r="F10004" s="0" t="inlineStr">
        <is>
          <t xml:space="preserve">Mazda</t>
        </is>
      </c>
      <c r="G10004" s="0" t="s">
        <v>171</v>
      </c>
      <c r="H10004" s="5">
        <v>9.313800</v>
      </c>
    </row>
    <row r="10005" spans="1:9">
      <c r="A10005" s="22" t="str">
        <f>HYPERLINK("https://app.vivvix.com/360/KMI/IntelliDrive/ApplUI/Pages/CreativePages/CustomReportCreativeDetail.aspx?App=23&amp;ReportView=4&amp;Qid=1711279&amp;Row=9997&amp;Col=1","No Title Assigned - #15271634217")</f>
        <v/>
      </c>
      <c r="B10005" s="0" t="s">
        <v>13494</v>
      </c>
      <c r="E10005" s="0" t="inlineStr">
        <is>
          <t xml:space="preserve">Mazda</t>
        </is>
      </c>
      <c r="F10005" s="0" t="inlineStr">
        <is>
          <t xml:space="preserve">Mazda</t>
        </is>
      </c>
      <c r="G10005" s="0" t="s">
        <v>171</v>
      </c>
      <c r="H10005" s="5">
        <v>50.484200</v>
      </c>
    </row>
    <row r="10006" spans="1:9">
      <c r="A10006" s="22" t="str">
        <f>HYPERLINK("https://app.vivvix.com/360/KMI/IntelliDrive/ApplUI/Pages/CreativePages/CustomReportCreativeDetail.aspx?App=23&amp;ReportView=4&amp;Qid=1711279&amp;Row=9998&amp;Col=1","No Title Assigned - #15271634811")</f>
        <v/>
      </c>
      <c r="B10006" s="0" t="s">
        <v>13495</v>
      </c>
      <c r="C10006" s="0" t="s">
        <v>13496</v>
      </c>
      <c r="D10006" s="0" t="s">
        <v>13496</v>
      </c>
      <c r="E10006" s="0" t="inlineStr">
        <is>
          <t xml:space="preserve">Mazda</t>
        </is>
      </c>
      <c r="F10006" s="0" t="inlineStr">
        <is>
          <t xml:space="preserve">Mazda</t>
        </is>
      </c>
      <c r="G10006" s="0" t="s">
        <v>171</v>
      </c>
      <c r="H10006" s="5">
        <v>92.684500</v>
      </c>
    </row>
    <row r="10007" spans="1:9">
      <c r="A10007" s="22" t="str">
        <f>HYPERLINK("https://app.vivvix.com/360/KMI/IntelliDrive/ApplUI/Pages/CreativePages/CustomReportCreativeDetail.aspx?App=23&amp;ReportView=4&amp;Qid=1711279&amp;Row=9999&amp;Col=1","No Title Assigned - #15271637490")</f>
        <v/>
      </c>
      <c r="B10007" s="0" t="s">
        <v>13497</v>
      </c>
      <c r="C10007" s="0" t="s">
        <v>13498</v>
      </c>
      <c r="D10007" s="0" t="s">
        <v>13498</v>
      </c>
      <c r="E10007" s="0" t="inlineStr">
        <is>
          <t xml:space="preserve">Mazda</t>
        </is>
      </c>
      <c r="F10007" s="0" t="inlineStr">
        <is>
          <t xml:space="preserve">Mazda</t>
        </is>
      </c>
      <c r="G10007" s="0" t="s">
        <v>171</v>
      </c>
      <c r="H10007" s="5">
        <v>121.416500</v>
      </c>
    </row>
    <row r="10008" spans="1:9">
      <c r="A10008" s="22" t="str">
        <f>HYPERLINK("https://app.vivvix.com/360/KMI/IntelliDrive/ApplUI/Pages/CreativePages/CustomReportCreativeDetail.aspx?App=23&amp;ReportView=4&amp;Qid=1711279&amp;Row=10000&amp;Col=1","No Title Assigned - #15271637490")</f>
        <v/>
      </c>
      <c r="B10008" s="0" t="s">
        <v>13497</v>
      </c>
      <c r="E10008" s="0" t="inlineStr">
        <is>
          <t xml:space="preserve">Mazda</t>
        </is>
      </c>
      <c r="F10008" s="0" t="inlineStr">
        <is>
          <t xml:space="preserve">Mazda</t>
        </is>
      </c>
      <c r="G10008" s="0" t="s">
        <v>171</v>
      </c>
      <c r="H10008" s="5">
        <v>1150.616100</v>
      </c>
    </row>
    <row r="10009" spans="1:9">
      <c r="A10009" s="22" t="str">
        <f>HYPERLINK("https://app.vivvix.com/360/KMI/IntelliDrive/ApplUI/Pages/CreativePages/CustomReportCreativeDetail.aspx?App=23&amp;ReportView=4&amp;Qid=1711279&amp;Row=10001&amp;Col=1","No Title Assigned - #15271637915")</f>
        <v/>
      </c>
      <c r="B10009" s="0" t="s">
        <v>13499</v>
      </c>
      <c r="E10009" s="0" t="inlineStr">
        <is>
          <t xml:space="preserve">Mazda</t>
        </is>
      </c>
      <c r="F10009" s="0" t="inlineStr">
        <is>
          <t xml:space="preserve">Mazda</t>
        </is>
      </c>
      <c r="G10009" s="0" t="s">
        <v>171</v>
      </c>
      <c r="H10009" s="5">
        <v>769.954100</v>
      </c>
    </row>
    <row r="10010" spans="1:9">
      <c r="A10010" s="22" t="str">
        <f>HYPERLINK("https://app.vivvix.com/360/KMI/IntelliDrive/ApplUI/Pages/CreativePages/CustomReportCreativeDetail.aspx?App=23&amp;ReportView=4&amp;Qid=1711279&amp;Row=10002&amp;Col=1","No Title Assigned - #15271638005")</f>
        <v/>
      </c>
      <c r="B10010" s="0" t="s">
        <v>13500</v>
      </c>
      <c r="E10010" s="0" t="inlineStr">
        <is>
          <t xml:space="preserve">Mazda</t>
        </is>
      </c>
      <c r="F10010" s="0" t="inlineStr">
        <is>
          <t xml:space="preserve">Mazda</t>
        </is>
      </c>
      <c r="G10010" s="0" t="s">
        <v>171</v>
      </c>
      <c r="H10010" s="5">
        <v>145429.795700</v>
      </c>
    </row>
    <row r="10011" spans="1:9">
      <c r="A10011" s="22" t="str">
        <f>HYPERLINK("https://app.vivvix.com/360/KMI/IntelliDrive/ApplUI/Pages/CreativePages/CustomReportCreativeDetail.aspx?App=23&amp;ReportView=4&amp;Qid=1711279&amp;Row=10003&amp;Col=1","No Title Assigned - #15271638253")</f>
        <v/>
      </c>
      <c r="B10011" s="0" t="s">
        <v>13501</v>
      </c>
      <c r="E10011" s="0" t="inlineStr">
        <is>
          <t xml:space="preserve">Mazda</t>
        </is>
      </c>
      <c r="F10011" s="0" t="inlineStr">
        <is>
          <t xml:space="preserve">Mazda</t>
        </is>
      </c>
      <c r="G10011" s="0" t="s">
        <v>171</v>
      </c>
      <c r="H10011" s="5">
        <v>4394.787200</v>
      </c>
    </row>
    <row r="10012" spans="1:9">
      <c r="A10012" s="22" t="str">
        <f>HYPERLINK("https://app.vivvix.com/360/KMI/IntelliDrive/ApplUI/Pages/CreativePages/CustomReportCreativeDetail.aspx?App=23&amp;ReportView=4&amp;Qid=1711279&amp;Row=10004&amp;Col=1","No Title Assigned - #15271638253")</f>
        <v/>
      </c>
      <c r="B10012" s="0" t="s">
        <v>13501</v>
      </c>
      <c r="E10012" s="0" t="inlineStr">
        <is>
          <t xml:space="preserve">Mazda</t>
        </is>
      </c>
      <c r="F10012" s="0" t="inlineStr">
        <is>
          <t xml:space="preserve">Mazda</t>
        </is>
      </c>
      <c r="G10012" s="0" t="s">
        <v>171</v>
      </c>
      <c r="H10012" s="5">
        <v>45.963600</v>
      </c>
    </row>
    <row r="10013" spans="1:9">
      <c r="A10013" s="22" t="str">
        <f>HYPERLINK("https://app.vivvix.com/360/KMI/IntelliDrive/ApplUI/Pages/CreativePages/CustomReportCreativeDetail.aspx?App=23&amp;ReportView=4&amp;Qid=1711279&amp;Row=10005&amp;Col=1","No Title Assigned - #15271638497")</f>
        <v/>
      </c>
      <c r="B10013" s="0" t="s">
        <v>13502</v>
      </c>
      <c r="E10013" s="0" t="inlineStr">
        <is>
          <t xml:space="preserve">Mazda</t>
        </is>
      </c>
      <c r="F10013" s="0" t="inlineStr">
        <is>
          <t xml:space="preserve">Mazda</t>
        </is>
      </c>
      <c r="G10013" s="0" t="s">
        <v>171</v>
      </c>
      <c r="H10013" s="5">
        <v>17.759200</v>
      </c>
    </row>
    <row r="10014" spans="1:9">
      <c r="A10014" s="22" t="str">
        <f>HYPERLINK("https://app.vivvix.com/360/KMI/IntelliDrive/ApplUI/Pages/CreativePages/CustomReportCreativeDetail.aspx?App=23&amp;ReportView=4&amp;Qid=1711279&amp;Row=10006&amp;Col=1","No Title Assigned - #15271640697")</f>
        <v/>
      </c>
      <c r="B10014" s="0" t="s">
        <v>13503</v>
      </c>
      <c r="E10014" s="0" t="inlineStr">
        <is>
          <t xml:space="preserve">Mazda</t>
        </is>
      </c>
      <c r="F10014" s="0" t="inlineStr">
        <is>
          <t xml:space="preserve">Mazda</t>
        </is>
      </c>
      <c r="G10014" s="0" t="s">
        <v>171</v>
      </c>
      <c r="H10014" s="5">
        <v>405.066600</v>
      </c>
    </row>
    <row r="10015" spans="1:9">
      <c r="A10015" s="22" t="str">
        <f>HYPERLINK("https://app.vivvix.com/360/KMI/IntelliDrive/ApplUI/Pages/CreativePages/CustomReportCreativeDetail.aspx?App=23&amp;ReportView=4&amp;Qid=1711279&amp;Row=10007&amp;Col=1","No Title Assigned - #15271640708")</f>
        <v/>
      </c>
      <c r="B10015" s="0" t="s">
        <v>13504</v>
      </c>
      <c r="E10015" s="0" t="inlineStr">
        <is>
          <t xml:space="preserve">Mazda</t>
        </is>
      </c>
      <c r="F10015" s="0" t="inlineStr">
        <is>
          <t xml:space="preserve">Mazda</t>
        </is>
      </c>
      <c r="G10015" s="0" t="s">
        <v>171</v>
      </c>
      <c r="H10015" s="5">
        <v>2.583200</v>
      </c>
    </row>
    <row r="10016" spans="1:9">
      <c r="A10016" s="22" t="str">
        <f>HYPERLINK("https://app.vivvix.com/360/KMI/IntelliDrive/ApplUI/Pages/CreativePages/CustomReportCreativeDetail.aspx?App=23&amp;ReportView=4&amp;Qid=1711279&amp;Row=10008&amp;Col=1","No Title Assigned - #15271640746")</f>
        <v/>
      </c>
      <c r="B10016" s="0" t="s">
        <v>13505</v>
      </c>
      <c r="E10016" s="0" t="inlineStr">
        <is>
          <t xml:space="preserve">Mazda</t>
        </is>
      </c>
      <c r="F10016" s="0" t="inlineStr">
        <is>
          <t xml:space="preserve">Mazda</t>
        </is>
      </c>
      <c r="G10016" s="0" t="s">
        <v>171</v>
      </c>
      <c r="H10016" s="5">
        <v>64.151600</v>
      </c>
    </row>
    <row r="10017" spans="1:9">
      <c r="A10017" s="22" t="str">
        <f>HYPERLINK("https://app.vivvix.com/360/KMI/IntelliDrive/ApplUI/Pages/CreativePages/CustomReportCreativeDetail.aspx?App=23&amp;ReportView=4&amp;Qid=1711279&amp;Row=10009&amp;Col=1","No Title Assigned - #15271640979")</f>
        <v/>
      </c>
      <c r="B10017" s="0" t="s">
        <v>13506</v>
      </c>
      <c r="E10017" s="0" t="inlineStr">
        <is>
          <t xml:space="preserve">Mazda</t>
        </is>
      </c>
      <c r="F10017" s="0" t="inlineStr">
        <is>
          <t xml:space="preserve">Mazda</t>
        </is>
      </c>
      <c r="G10017" s="0" t="s">
        <v>171</v>
      </c>
      <c r="H10017" s="5">
        <v>7.217700</v>
      </c>
    </row>
    <row r="10018" spans="1:9">
      <c r="A10018" s="22" t="str">
        <f>HYPERLINK("https://app.vivvix.com/360/KMI/IntelliDrive/ApplUI/Pages/CreativePages/CustomReportCreativeDetail.aspx?App=23&amp;ReportView=4&amp;Qid=1711279&amp;Row=10010&amp;Col=1","No Title Assigned - #15271641664")</f>
        <v/>
      </c>
      <c r="B10018" s="0" t="s">
        <v>13507</v>
      </c>
      <c r="E10018" s="0" t="inlineStr">
        <is>
          <t xml:space="preserve">Mazda</t>
        </is>
      </c>
      <c r="F10018" s="0" t="inlineStr">
        <is>
          <t xml:space="preserve">Mazda</t>
        </is>
      </c>
      <c r="G10018" s="0" t="s">
        <v>171</v>
      </c>
      <c r="H10018" s="5">
        <v>8.777100</v>
      </c>
    </row>
    <row r="10019" spans="1:9">
      <c r="A10019" s="22" t="str">
        <f>HYPERLINK("https://app.vivvix.com/360/KMI/IntelliDrive/ApplUI/Pages/CreativePages/CustomReportCreativeDetail.aspx?App=23&amp;ReportView=4&amp;Qid=1711279&amp;Row=10011&amp;Col=1","No Title Assigned - #15271644745")</f>
        <v/>
      </c>
      <c r="B10019" s="0" t="s">
        <v>13508</v>
      </c>
      <c r="E10019" s="0" t="inlineStr">
        <is>
          <t xml:space="preserve">Mazda</t>
        </is>
      </c>
      <c r="F10019" s="0" t="inlineStr">
        <is>
          <t xml:space="preserve">Mazda</t>
        </is>
      </c>
      <c r="G10019" s="0" t="s">
        <v>171</v>
      </c>
      <c r="H10019" s="5">
        <v>2.964800</v>
      </c>
    </row>
    <row r="10020" spans="1:9">
      <c r="A10020" s="22" t="str">
        <f>HYPERLINK("https://app.vivvix.com/360/KMI/IntelliDrive/ApplUI/Pages/CreativePages/CustomReportCreativeDetail.aspx?App=23&amp;ReportView=4&amp;Qid=1711279&amp;Row=10012&amp;Col=1","No Title Assigned - #15271644909")</f>
        <v/>
      </c>
      <c r="B10020" s="0" t="s">
        <v>13509</v>
      </c>
      <c r="E10020" s="0" t="inlineStr">
        <is>
          <t xml:space="preserve">Mazda</t>
        </is>
      </c>
      <c r="F10020" s="0" t="inlineStr">
        <is>
          <t xml:space="preserve">Mazda</t>
        </is>
      </c>
      <c r="G10020" s="0" t="s">
        <v>171</v>
      </c>
      <c r="H10020" s="5">
        <v>86.253600</v>
      </c>
    </row>
    <row r="10021" spans="1:9">
      <c r="A10021" s="22" t="str">
        <f>HYPERLINK("https://app.vivvix.com/360/KMI/IntelliDrive/ApplUI/Pages/CreativePages/CustomReportCreativeDetail.aspx?App=23&amp;ReportView=4&amp;Qid=1711279&amp;Row=10013&amp;Col=1","No Title Assigned - #15271644994")</f>
        <v/>
      </c>
      <c r="B10021" s="0" t="s">
        <v>13510</v>
      </c>
      <c r="C10021" s="0" t="s">
        <v>13511</v>
      </c>
      <c r="D10021" s="0" t="s">
        <v>13511</v>
      </c>
      <c r="E10021" s="0" t="inlineStr">
        <is>
          <t xml:space="preserve">Mazda</t>
        </is>
      </c>
      <c r="F10021" s="0" t="inlineStr">
        <is>
          <t xml:space="preserve">Mazda</t>
        </is>
      </c>
      <c r="G10021" s="0" t="s">
        <v>171</v>
      </c>
      <c r="H10021" s="5">
        <v>20.390800</v>
      </c>
    </row>
    <row r="10022" spans="1:9">
      <c r="A10022" s="22" t="str">
        <f>HYPERLINK("https://app.vivvix.com/360/KMI/IntelliDrive/ApplUI/Pages/CreativePages/CustomReportCreativeDetail.aspx?App=23&amp;ReportView=4&amp;Qid=1711279&amp;Row=10014&amp;Col=1","No Title Assigned - #15271645841")</f>
        <v/>
      </c>
      <c r="B10022" s="0" t="s">
        <v>13512</v>
      </c>
      <c r="E10022" s="0" t="inlineStr">
        <is>
          <t xml:space="preserve">Mazda</t>
        </is>
      </c>
      <c r="F10022" s="0" t="inlineStr">
        <is>
          <t xml:space="preserve">Mazda</t>
        </is>
      </c>
      <c r="G10022" s="0" t="s">
        <v>171</v>
      </c>
      <c r="H10022" s="5">
        <v>35.884200</v>
      </c>
    </row>
    <row r="10023" spans="1:9">
      <c r="A10023" s="22" t="str">
        <f>HYPERLINK("https://app.vivvix.com/360/KMI/IntelliDrive/ApplUI/Pages/CreativePages/CustomReportCreativeDetail.aspx?App=23&amp;ReportView=4&amp;Qid=1711279&amp;Row=10015&amp;Col=1","No Title Assigned - #15271647379")</f>
        <v/>
      </c>
      <c r="B10023" s="0" t="s">
        <v>13513</v>
      </c>
      <c r="E10023" s="0" t="inlineStr">
        <is>
          <t xml:space="preserve">Mazda</t>
        </is>
      </c>
      <c r="F10023" s="0" t="inlineStr">
        <is>
          <t xml:space="preserve">Mazda</t>
        </is>
      </c>
      <c r="G10023" s="0" t="s">
        <v>171</v>
      </c>
      <c r="H10023" s="5">
        <v>270.348300</v>
      </c>
    </row>
    <row r="10024" spans="1:9">
      <c r="A10024" s="22" t="str">
        <f>HYPERLINK("https://app.vivvix.com/360/KMI/IntelliDrive/ApplUI/Pages/CreativePages/CustomReportCreativeDetail.aspx?App=23&amp;ReportView=4&amp;Qid=1711279&amp;Row=10016&amp;Col=1","No Title Assigned - #15271647894")</f>
        <v/>
      </c>
      <c r="B10024" s="0" t="s">
        <v>13514</v>
      </c>
      <c r="E10024" s="0" t="inlineStr">
        <is>
          <t xml:space="preserve">Mazda</t>
        </is>
      </c>
      <c r="F10024" s="0" t="inlineStr">
        <is>
          <t xml:space="preserve">Mazda</t>
        </is>
      </c>
      <c r="G10024" s="0" t="s">
        <v>171</v>
      </c>
      <c r="H10024" s="5">
        <v>128.886400</v>
      </c>
    </row>
    <row r="10025" spans="1:9">
      <c r="A10025" s="22" t="str">
        <f>HYPERLINK("https://app.vivvix.com/360/KMI/IntelliDrive/ApplUI/Pages/CreativePages/CustomReportCreativeDetail.aspx?App=23&amp;ReportView=4&amp;Qid=1711279&amp;Row=10017&amp;Col=1","No Title Assigned - #15271652153")</f>
        <v/>
      </c>
      <c r="B10025" s="0" t="s">
        <v>13515</v>
      </c>
      <c r="E10025" s="0" t="inlineStr">
        <is>
          <t xml:space="preserve">Mazda</t>
        </is>
      </c>
      <c r="F10025" s="0" t="inlineStr">
        <is>
          <t xml:space="preserve">Mazda</t>
        </is>
      </c>
      <c r="G10025" s="0" t="s">
        <v>171</v>
      </c>
      <c r="H10025" s="5">
        <v>59.109200</v>
      </c>
    </row>
    <row r="10026" spans="1:9">
      <c r="A10026" s="22" t="str">
        <f>HYPERLINK("https://app.vivvix.com/360/KMI/IntelliDrive/ApplUI/Pages/CreativePages/CustomReportCreativeDetail.aspx?App=23&amp;ReportView=4&amp;Qid=1711279&amp;Row=10018&amp;Col=1","No Title Assigned - #15271660058")</f>
        <v/>
      </c>
      <c r="B10026" s="0" t="s">
        <v>13516</v>
      </c>
      <c r="C10026" s="0" t="s">
        <v>13517</v>
      </c>
      <c r="D10026" s="0" t="s">
        <v>13517</v>
      </c>
      <c r="E10026" s="0" t="inlineStr">
        <is>
          <t xml:space="preserve">Mazda</t>
        </is>
      </c>
      <c r="F10026" s="0" t="inlineStr">
        <is>
          <t xml:space="preserve">Mazda</t>
        </is>
      </c>
      <c r="G10026" s="0" t="s">
        <v>171</v>
      </c>
      <c r="H10026" s="5">
        <v>34.742100</v>
      </c>
    </row>
    <row r="10027" spans="1:9">
      <c r="A10027" s="22" t="str">
        <f>HYPERLINK("https://app.vivvix.com/360/KMI/IntelliDrive/ApplUI/Pages/CreativePages/CustomReportCreativeDetail.aspx?App=23&amp;ReportView=4&amp;Qid=1711279&amp;Row=10019&amp;Col=1","No Title Assigned - #15271660058")</f>
        <v/>
      </c>
      <c r="B10027" s="0" t="s">
        <v>13516</v>
      </c>
      <c r="E10027" s="0" t="inlineStr">
        <is>
          <t xml:space="preserve">Mazda</t>
        </is>
      </c>
      <c r="F10027" s="0" t="inlineStr">
        <is>
          <t xml:space="preserve">Mazda</t>
        </is>
      </c>
      <c r="G10027" s="0" t="s">
        <v>171</v>
      </c>
      <c r="H10027" s="5">
        <v>26.638800</v>
      </c>
    </row>
    <row r="10028" spans="1:9">
      <c r="A10028" s="22" t="str">
        <f>HYPERLINK("https://app.vivvix.com/360/KMI/IntelliDrive/ApplUI/Pages/CreativePages/CustomReportCreativeDetail.aspx?App=23&amp;ReportView=4&amp;Qid=1711279&amp;Row=10020&amp;Col=1","No Title Assigned - #15271661280")</f>
        <v/>
      </c>
      <c r="B10028" s="0" t="s">
        <v>13518</v>
      </c>
      <c r="C10028" s="0" t="s">
        <v>13519</v>
      </c>
      <c r="D10028" s="0" t="s">
        <v>13519</v>
      </c>
      <c r="E10028" s="0" t="inlineStr">
        <is>
          <t xml:space="preserve">Mazda</t>
        </is>
      </c>
      <c r="F10028" s="0" t="inlineStr">
        <is>
          <t xml:space="preserve">Mazda</t>
        </is>
      </c>
      <c r="G10028" s="0" t="s">
        <v>171</v>
      </c>
      <c r="H10028" s="5">
        <v>256.238000</v>
      </c>
    </row>
    <row r="10029" spans="1:9">
      <c r="A10029" s="22" t="str">
        <f>HYPERLINK("https://app.vivvix.com/360/KMI/IntelliDrive/ApplUI/Pages/CreativePages/CustomReportCreativeDetail.aspx?App=23&amp;ReportView=4&amp;Qid=1711279&amp;Row=10021&amp;Col=1","No Title Assigned - #15271676401")</f>
        <v/>
      </c>
      <c r="B10029" s="0" t="s">
        <v>13520</v>
      </c>
      <c r="C10029" s="0" t="s">
        <v>13521</v>
      </c>
      <c r="D10029" s="0" t="s">
        <v>13521</v>
      </c>
      <c r="E10029" s="0" t="inlineStr">
        <is>
          <t xml:space="preserve">Mazda</t>
        </is>
      </c>
      <c r="F10029" s="0" t="s">
        <v>28</v>
      </c>
      <c r="G10029" s="0" t="s">
        <v>29</v>
      </c>
      <c r="H10029" s="5">
        <v>61.767800</v>
      </c>
    </row>
    <row r="10030" spans="1:9">
      <c r="A10030" s="22" t="str">
        <f>HYPERLINK("https://app.vivvix.com/360/KMI/IntelliDrive/ApplUI/Pages/CreativePages/CustomReportCreativeDetail.aspx?App=23&amp;ReportView=4&amp;Qid=1711279&amp;Row=10022&amp;Col=1","No Title Assigned - #15271677005")</f>
        <v/>
      </c>
      <c r="B10030" s="0" t="s">
        <v>13522</v>
      </c>
      <c r="C10030" s="0" t="s">
        <v>13523</v>
      </c>
      <c r="D10030" s="0" t="s">
        <v>13523</v>
      </c>
      <c r="E10030" s="0" t="inlineStr">
        <is>
          <t xml:space="preserve">Mazda</t>
        </is>
      </c>
      <c r="F10030" s="0" t="inlineStr">
        <is>
          <t xml:space="preserve">Mazda</t>
        </is>
      </c>
      <c r="G10030" s="0" t="s">
        <v>210</v>
      </c>
      <c r="H10030" s="5">
        <v>106.133000</v>
      </c>
    </row>
    <row r="10031" spans="1:9">
      <c r="A10031" s="22" t="str">
        <f>HYPERLINK("https://app.vivvix.com/360/KMI/IntelliDrive/ApplUI/Pages/CreativePages/CustomReportCreativeDetail.aspx?App=23&amp;ReportView=4&amp;Qid=1711279&amp;Row=10023&amp;Col=1","No Title Assigned - #15271677590")</f>
        <v/>
      </c>
      <c r="B10031" s="0" t="s">
        <v>13524</v>
      </c>
      <c r="C10031" s="0" t="s">
        <v>13525</v>
      </c>
      <c r="D10031" s="0" t="s">
        <v>13525</v>
      </c>
      <c r="E10031" s="0" t="inlineStr">
        <is>
          <t xml:space="preserve">Mazda</t>
        </is>
      </c>
      <c r="F10031" s="0" t="s">
        <v>28</v>
      </c>
      <c r="G10031" s="0" t="s">
        <v>29</v>
      </c>
      <c r="H10031" s="5">
        <v>51.906000</v>
      </c>
    </row>
    <row r="10032" spans="1:9">
      <c r="A10032" s="22" t="str">
        <f>HYPERLINK("https://app.vivvix.com/360/KMI/IntelliDrive/ApplUI/Pages/CreativePages/CustomReportCreativeDetail.aspx?App=23&amp;ReportView=4&amp;Qid=1711279&amp;Row=10024&amp;Col=1","No Title Assigned - #15271678094")</f>
        <v/>
      </c>
      <c r="B10032" s="0" t="s">
        <v>13526</v>
      </c>
      <c r="C10032" s="0" t="s">
        <v>13527</v>
      </c>
      <c r="D10032" s="0" t="s">
        <v>13527</v>
      </c>
      <c r="E10032" s="0" t="inlineStr">
        <is>
          <t xml:space="preserve">Mazda</t>
        </is>
      </c>
      <c r="F10032" s="0" t="s">
        <v>28</v>
      </c>
      <c r="G10032" s="0" t="s">
        <v>29</v>
      </c>
      <c r="H10032" s="5">
        <v>101.093900</v>
      </c>
    </row>
    <row r="10033" spans="1:9">
      <c r="A10033" s="22" t="str">
        <f>HYPERLINK("https://app.vivvix.com/360/KMI/IntelliDrive/ApplUI/Pages/CreativePages/CustomReportCreativeDetail.aspx?App=23&amp;ReportView=4&amp;Qid=1711279&amp;Row=10025&amp;Col=1","No Title Assigned - #15271679316")</f>
        <v/>
      </c>
      <c r="B10033" s="0" t="s">
        <v>13528</v>
      </c>
      <c r="C10033" s="0" t="s">
        <v>13529</v>
      </c>
      <c r="D10033" s="0" t="s">
        <v>13529</v>
      </c>
      <c r="E10033" s="0" t="inlineStr">
        <is>
          <t xml:space="preserve">Mazda</t>
        </is>
      </c>
      <c r="F10033" s="0" t="s">
        <v>52</v>
      </c>
      <c r="G10033" s="0" t="s">
        <v>325</v>
      </c>
      <c r="H10033" s="5">
        <v>309.397200</v>
      </c>
    </row>
    <row r="10034" spans="1:9">
      <c r="A10034" s="22" t="str">
        <f>HYPERLINK("https://app.vivvix.com/360/KMI/IntelliDrive/ApplUI/Pages/CreativePages/CustomReportCreativeDetail.aspx?App=23&amp;ReportView=4&amp;Qid=1711279&amp;Row=10026&amp;Col=1","No Title Assigned - #15271681567")</f>
        <v/>
      </c>
      <c r="B10034" s="0" t="s">
        <v>13530</v>
      </c>
      <c r="E10034" s="0" t="inlineStr">
        <is>
          <t xml:space="preserve">Mazda</t>
        </is>
      </c>
      <c r="F10034" s="0" t="inlineStr">
        <is>
          <t xml:space="preserve">Mazda</t>
        </is>
      </c>
      <c r="G10034" s="0" t="s">
        <v>171</v>
      </c>
      <c r="H10034" s="5">
        <v>19.846100</v>
      </c>
    </row>
    <row r="10035" spans="1:9">
      <c r="A10035" s="22" t="str">
        <f>HYPERLINK("https://app.vivvix.com/360/KMI/IntelliDrive/ApplUI/Pages/CreativePages/CustomReportCreativeDetail.aspx?App=23&amp;ReportView=4&amp;Qid=1711279&amp;Row=10027&amp;Col=1","No Title Assigned - #15271684477")</f>
        <v/>
      </c>
      <c r="B10035" s="0" t="s">
        <v>13531</v>
      </c>
      <c r="C10035" s="0" t="s">
        <v>13532</v>
      </c>
      <c r="D10035" s="0" t="s">
        <v>13532</v>
      </c>
      <c r="E10035" s="0" t="inlineStr">
        <is>
          <t xml:space="preserve">Mazda</t>
        </is>
      </c>
      <c r="F10035" s="0" t="s">
        <v>28</v>
      </c>
      <c r="G10035" s="0" t="s">
        <v>29</v>
      </c>
      <c r="H10035" s="5">
        <v>76.441200</v>
      </c>
    </row>
    <row r="10036" spans="1:9">
      <c r="A10036" s="22" t="str">
        <f>HYPERLINK("https://app.vivvix.com/360/KMI/IntelliDrive/ApplUI/Pages/CreativePages/CustomReportCreativeDetail.aspx?App=23&amp;ReportView=4&amp;Qid=1711279&amp;Row=10028&amp;Col=1","No Title Assigned - #15271685026")</f>
        <v/>
      </c>
      <c r="B10036" s="0" t="s">
        <v>13533</v>
      </c>
      <c r="C10036" s="0" t="s">
        <v>13534</v>
      </c>
      <c r="D10036" s="0" t="s">
        <v>13534</v>
      </c>
      <c r="E10036" s="0" t="inlineStr">
        <is>
          <t xml:space="preserve">Mazda</t>
        </is>
      </c>
      <c r="F10036" s="0" t="s">
        <v>28</v>
      </c>
      <c r="G10036" s="0" t="s">
        <v>29</v>
      </c>
      <c r="H10036" s="5">
        <v>73.910700</v>
      </c>
    </row>
    <row r="10037" spans="1:9">
      <c r="A10037" s="22" t="str">
        <f>HYPERLINK("https://app.vivvix.com/360/KMI/IntelliDrive/ApplUI/Pages/CreativePages/CustomReportCreativeDetail.aspx?App=23&amp;ReportView=4&amp;Qid=1711279&amp;Row=10029&amp;Col=1","No Title Assigned - #15271685311")</f>
        <v/>
      </c>
      <c r="B10037" s="0" t="s">
        <v>13535</v>
      </c>
      <c r="C10037" s="0" t="s">
        <v>13536</v>
      </c>
      <c r="D10037" s="0" t="s">
        <v>13536</v>
      </c>
      <c r="E10037" s="0" t="inlineStr">
        <is>
          <t xml:space="preserve">Mazda</t>
        </is>
      </c>
      <c r="F10037" s="0" t="s">
        <v>13</v>
      </c>
      <c r="G10037" s="0" t="s">
        <v>49</v>
      </c>
      <c r="H10037" s="5">
        <v>1175.657900</v>
      </c>
    </row>
    <row r="10038" spans="1:9">
      <c r="A10038" s="22" t="str">
        <f>HYPERLINK("https://app.vivvix.com/360/KMI/IntelliDrive/ApplUI/Pages/CreativePages/CustomReportCreativeDetail.aspx?App=23&amp;ReportView=4&amp;Qid=1711279&amp;Row=10030&amp;Col=1","No Title Assigned - #15271686293")</f>
        <v/>
      </c>
      <c r="B10038" s="0" t="s">
        <v>13537</v>
      </c>
      <c r="E10038" s="0" t="inlineStr">
        <is>
          <t xml:space="preserve">Mazda</t>
        </is>
      </c>
      <c r="F10038" s="0" t="s">
        <v>369</v>
      </c>
      <c r="G10038" s="0" t="s">
        <v>2644</v>
      </c>
      <c r="H10038" s="5">
        <v>2020.297700</v>
      </c>
    </row>
    <row r="10039" spans="1:9">
      <c r="A10039" s="22" t="str">
        <f>HYPERLINK("https://app.vivvix.com/360/KMI/IntelliDrive/ApplUI/Pages/CreativePages/CustomReportCreativeDetail.aspx?App=23&amp;ReportView=4&amp;Qid=1711279&amp;Row=10031&amp;Col=1","No Title Assigned - #15271686293")</f>
        <v/>
      </c>
      <c r="B10039" s="0" t="s">
        <v>13537</v>
      </c>
      <c r="C10039" s="0" t="s">
        <v>13538</v>
      </c>
      <c r="D10039" s="0" t="s">
        <v>13538</v>
      </c>
      <c r="E10039" s="0" t="inlineStr">
        <is>
          <t xml:space="preserve">Mazda</t>
        </is>
      </c>
      <c r="F10039" s="0" t="s">
        <v>369</v>
      </c>
      <c r="G10039" s="0" t="s">
        <v>2644</v>
      </c>
      <c r="H10039" s="5">
        <v>357.841000</v>
      </c>
    </row>
    <row r="10040" spans="1:9">
      <c r="A10040" s="22" t="str">
        <f>HYPERLINK("https://app.vivvix.com/360/KMI/IntelliDrive/ApplUI/Pages/CreativePages/CustomReportCreativeDetail.aspx?App=23&amp;ReportView=4&amp;Qid=1711279&amp;Row=10032&amp;Col=1","No Title Assigned - #15271686742")</f>
        <v/>
      </c>
      <c r="B10040" s="0" t="s">
        <v>13539</v>
      </c>
      <c r="E10040" s="0" t="inlineStr">
        <is>
          <t xml:space="preserve">Mazda</t>
        </is>
      </c>
      <c r="F10040" s="0" t="inlineStr">
        <is>
          <t xml:space="preserve">Mazda</t>
        </is>
      </c>
      <c r="G10040" s="0" t="s">
        <v>171</v>
      </c>
      <c r="H10040" s="5">
        <v>11.280900</v>
      </c>
    </row>
    <row r="10041" spans="1:9">
      <c r="A10041" s="22" t="str">
        <f>HYPERLINK("https://app.vivvix.com/360/KMI/IntelliDrive/ApplUI/Pages/CreativePages/CustomReportCreativeDetail.aspx?App=23&amp;ReportView=4&amp;Qid=1711279&amp;Row=10033&amp;Col=1","No Title Assigned - #15271687211")</f>
        <v/>
      </c>
      <c r="B10041" s="0" t="s">
        <v>13540</v>
      </c>
      <c r="C10041" s="0" t="s">
        <v>13541</v>
      </c>
      <c r="D10041" s="0" t="s">
        <v>13541</v>
      </c>
      <c r="E10041" s="0" t="inlineStr">
        <is>
          <t xml:space="preserve">Mazda</t>
        </is>
      </c>
      <c r="F10041" s="0" t="s">
        <v>13</v>
      </c>
      <c r="G10041" s="0" t="s">
        <v>49</v>
      </c>
      <c r="H10041" s="5">
        <v>2.610000</v>
      </c>
    </row>
    <row r="10042" spans="1:9">
      <c r="A10042" s="22" t="str">
        <f>HYPERLINK("https://app.vivvix.com/360/KMI/IntelliDrive/ApplUI/Pages/CreativePages/CustomReportCreativeDetail.aspx?App=23&amp;ReportView=4&amp;Qid=1711279&amp;Row=10034&amp;Col=1","No Title Assigned - #15271688546")</f>
        <v/>
      </c>
      <c r="B10042" s="0" t="s">
        <v>13542</v>
      </c>
      <c r="C10042" s="0" t="s">
        <v>13543</v>
      </c>
      <c r="D10042" s="0" t="s">
        <v>4200</v>
      </c>
      <c r="E10042" s="0" t="inlineStr">
        <is>
          <t xml:space="preserve">Mazda</t>
        </is>
      </c>
      <c r="F10042" s="0" t="s">
        <v>28</v>
      </c>
      <c r="G10042" s="0" t="s">
        <v>29</v>
      </c>
      <c r="H10042" s="5">
        <v>103.104000</v>
      </c>
    </row>
    <row r="10043" spans="1:9">
      <c r="A10043" s="22" t="str">
        <f>HYPERLINK("https://app.vivvix.com/360/KMI/IntelliDrive/ApplUI/Pages/CreativePages/CustomReportCreativeDetail.aspx?App=23&amp;ReportView=4&amp;Qid=1711279&amp;Row=10035&amp;Col=1","No Title Assigned - #15271689933")</f>
        <v/>
      </c>
      <c r="B10043" s="0" t="s">
        <v>13544</v>
      </c>
      <c r="C10043" s="0" t="s">
        <v>13545</v>
      </c>
      <c r="D10043" s="0" t="s">
        <v>13545</v>
      </c>
      <c r="E10043" s="0" t="inlineStr">
        <is>
          <t xml:space="preserve">Mazda</t>
        </is>
      </c>
      <c r="F10043" s="0" t="s">
        <v>28</v>
      </c>
      <c r="G10043" s="0" t="s">
        <v>29</v>
      </c>
      <c r="H10043" s="5">
        <v>17.499200</v>
      </c>
    </row>
    <row r="10044" spans="1:9">
      <c r="A10044" s="22" t="str">
        <f>HYPERLINK("https://app.vivvix.com/360/KMI/IntelliDrive/ApplUI/Pages/CreativePages/CustomReportCreativeDetail.aspx?App=23&amp;ReportView=4&amp;Qid=1711279&amp;Row=10036&amp;Col=1","No Title Assigned - #15271690371")</f>
        <v/>
      </c>
      <c r="B10044" s="0" t="s">
        <v>13546</v>
      </c>
      <c r="C10044" s="0" t="s">
        <v>13547</v>
      </c>
      <c r="D10044" s="0" t="s">
        <v>4202</v>
      </c>
      <c r="E10044" s="0" t="inlineStr">
        <is>
          <t xml:space="preserve">Mazda</t>
        </is>
      </c>
      <c r="F10044" s="0" t="s">
        <v>28</v>
      </c>
      <c r="G10044" s="0" t="s">
        <v>29</v>
      </c>
      <c r="H10044" s="5">
        <v>13.101200</v>
      </c>
    </row>
    <row r="10045" spans="1:9">
      <c r="A10045" s="22" t="str">
        <f>HYPERLINK("https://app.vivvix.com/360/KMI/IntelliDrive/ApplUI/Pages/CreativePages/CustomReportCreativeDetail.aspx?App=23&amp;ReportView=4&amp;Qid=1711279&amp;Row=10037&amp;Col=1","No Title Assigned - #15271691055")</f>
        <v/>
      </c>
      <c r="B10045" s="0" t="s">
        <v>13548</v>
      </c>
      <c r="C10045" s="0" t="s">
        <v>13549</v>
      </c>
      <c r="D10045" s="0" t="s">
        <v>13549</v>
      </c>
      <c r="E10045" s="0" t="inlineStr">
        <is>
          <t xml:space="preserve">Mazda</t>
        </is>
      </c>
      <c r="F10045" s="0" t="s">
        <v>28</v>
      </c>
      <c r="G10045" s="0" t="s">
        <v>29</v>
      </c>
      <c r="H10045" s="5">
        <v>69699.667700</v>
      </c>
    </row>
    <row r="10046" spans="1:9">
      <c r="A10046" s="22" t="str">
        <f>HYPERLINK("https://app.vivvix.com/360/KMI/IntelliDrive/ApplUI/Pages/CreativePages/CustomReportCreativeDetail.aspx?App=23&amp;ReportView=4&amp;Qid=1711279&amp;Row=10038&amp;Col=1","No Title Assigned - #15271691309")</f>
        <v/>
      </c>
      <c r="B10046" s="0" t="s">
        <v>13550</v>
      </c>
      <c r="C10046" s="0" t="s">
        <v>13551</v>
      </c>
      <c r="D10046" s="0" t="s">
        <v>13551</v>
      </c>
      <c r="E10046" s="0" t="inlineStr">
        <is>
          <t xml:space="preserve">Mazda</t>
        </is>
      </c>
      <c r="F10046" s="0" t="s">
        <v>28</v>
      </c>
      <c r="G10046" s="0" t="s">
        <v>29</v>
      </c>
      <c r="H10046" s="5">
        <v>1571.045000</v>
      </c>
    </row>
    <row r="10047" spans="1:9">
      <c r="A10047" s="22" t="str">
        <f>HYPERLINK("https://app.vivvix.com/360/KMI/IntelliDrive/ApplUI/Pages/CreativePages/CustomReportCreativeDetail.aspx?App=23&amp;ReportView=4&amp;Qid=1711279&amp;Row=10039&amp;Col=1","No Title Assigned - #15271691527")</f>
        <v/>
      </c>
      <c r="B10047" s="0" t="s">
        <v>13552</v>
      </c>
      <c r="C10047" s="0" t="s">
        <v>13553</v>
      </c>
      <c r="D10047" s="0" t="s">
        <v>4200</v>
      </c>
      <c r="E10047" s="0" t="inlineStr">
        <is>
          <t xml:space="preserve">Mazda</t>
        </is>
      </c>
      <c r="F10047" s="0" t="s">
        <v>28</v>
      </c>
      <c r="G10047" s="0" t="s">
        <v>29</v>
      </c>
      <c r="H10047" s="5">
        <v>26.209400</v>
      </c>
    </row>
    <row r="10048" spans="1:9">
      <c r="A10048" s="22" t="str">
        <f>HYPERLINK("https://app.vivvix.com/360/KMI/IntelliDrive/ApplUI/Pages/CreativePages/CustomReportCreativeDetail.aspx?App=23&amp;ReportView=4&amp;Qid=1711279&amp;Row=10040&amp;Col=1","No Title Assigned - #15271691768")</f>
        <v/>
      </c>
      <c r="B10048" s="0" t="s">
        <v>13554</v>
      </c>
      <c r="E10048" s="0" t="inlineStr">
        <is>
          <t xml:space="preserve">Mazda</t>
        </is>
      </c>
      <c r="F10048" s="0" t="s">
        <v>28</v>
      </c>
      <c r="G10048" s="0" t="s">
        <v>29</v>
      </c>
      <c r="H10048" s="5">
        <v>21.141500</v>
      </c>
    </row>
    <row r="10049" spans="1:9">
      <c r="A10049" s="22" t="str">
        <f>HYPERLINK("https://app.vivvix.com/360/KMI/IntelliDrive/ApplUI/Pages/CreativePages/CustomReportCreativeDetail.aspx?App=23&amp;ReportView=4&amp;Qid=1711279&amp;Row=10041&amp;Col=1","No Title Assigned - #15271691768")</f>
        <v/>
      </c>
      <c r="B10049" s="0" t="s">
        <v>13554</v>
      </c>
      <c r="E10049" s="0" t="inlineStr">
        <is>
          <t xml:space="preserve">Mazda</t>
        </is>
      </c>
      <c r="F10049" s="0" t="s">
        <v>28</v>
      </c>
      <c r="G10049" s="0" t="s">
        <v>29</v>
      </c>
      <c r="H10049" s="5">
        <v>13.054200</v>
      </c>
    </row>
    <row r="10050" spans="1:9">
      <c r="A10050" s="22" t="str">
        <f>HYPERLINK("https://app.vivvix.com/360/KMI/IntelliDrive/ApplUI/Pages/CreativePages/CustomReportCreativeDetail.aspx?App=23&amp;ReportView=4&amp;Qid=1711279&amp;Row=10042&amp;Col=1","No Title Assigned - #15271692943")</f>
        <v/>
      </c>
      <c r="B10050" s="0" t="s">
        <v>13555</v>
      </c>
      <c r="C10050" s="0" t="s">
        <v>13556</v>
      </c>
      <c r="D10050" s="0" t="s">
        <v>7472</v>
      </c>
      <c r="E10050" s="0" t="inlineStr">
        <is>
          <t xml:space="preserve">Mazda</t>
        </is>
      </c>
      <c r="F10050" s="0" t="s">
        <v>28</v>
      </c>
      <c r="G10050" s="0" t="s">
        <v>29</v>
      </c>
      <c r="H10050" s="5">
        <v>23.016900</v>
      </c>
    </row>
    <row r="10051" spans="1:9">
      <c r="A10051" s="22" t="str">
        <f>HYPERLINK("https://app.vivvix.com/360/KMI/IntelliDrive/ApplUI/Pages/CreativePages/CustomReportCreativeDetail.aspx?App=23&amp;ReportView=4&amp;Qid=1711279&amp;Row=10043&amp;Col=1","No Title Assigned - #15271694586")</f>
        <v/>
      </c>
      <c r="B10051" s="0" t="s">
        <v>13557</v>
      </c>
      <c r="C10051" s="0" t="s">
        <v>13558</v>
      </c>
      <c r="D10051" s="0" t="s">
        <v>13558</v>
      </c>
      <c r="E10051" s="0" t="inlineStr">
        <is>
          <t xml:space="preserve">Mazda</t>
        </is>
      </c>
      <c r="F10051" s="0" t="s">
        <v>28</v>
      </c>
      <c r="G10051" s="0" t="s">
        <v>29</v>
      </c>
      <c r="H10051" s="5">
        <v>29.412800</v>
      </c>
    </row>
    <row r="10052" spans="1:9">
      <c r="A10052" s="22" t="str">
        <f>HYPERLINK("https://app.vivvix.com/360/KMI/IntelliDrive/ApplUI/Pages/CreativePages/CustomReportCreativeDetail.aspx?App=23&amp;ReportView=4&amp;Qid=1711279&amp;Row=10044&amp;Col=1","No Title Assigned - #15271696493")</f>
        <v/>
      </c>
      <c r="B10052" s="0" t="s">
        <v>13559</v>
      </c>
      <c r="C10052" s="0" t="s">
        <v>13560</v>
      </c>
      <c r="D10052" s="0" t="s">
        <v>4202</v>
      </c>
      <c r="E10052" s="0" t="inlineStr">
        <is>
          <t xml:space="preserve">Mazda</t>
        </is>
      </c>
      <c r="F10052" s="0" t="s">
        <v>28</v>
      </c>
      <c r="G10052" s="0" t="s">
        <v>29</v>
      </c>
      <c r="H10052" s="5">
        <v>8.848500</v>
      </c>
    </row>
    <row r="10053" spans="1:9">
      <c r="A10053" s="22" t="str">
        <f>HYPERLINK("https://app.vivvix.com/360/KMI/IntelliDrive/ApplUI/Pages/CreativePages/CustomReportCreativeDetail.aspx?App=23&amp;ReportView=4&amp;Qid=1711279&amp;Row=10045&amp;Col=1","No Title Assigned - #15271696715")</f>
        <v/>
      </c>
      <c r="B10053" s="0" t="s">
        <v>13561</v>
      </c>
      <c r="C10053" s="0" t="s">
        <v>13562</v>
      </c>
      <c r="D10053" s="0" t="s">
        <v>13562</v>
      </c>
      <c r="E10053" s="0" t="inlineStr">
        <is>
          <t xml:space="preserve">Mazda</t>
        </is>
      </c>
      <c r="F10053" s="0" t="s">
        <v>28</v>
      </c>
      <c r="G10053" s="0" t="s">
        <v>29</v>
      </c>
      <c r="H10053" s="5">
        <v>47.827500</v>
      </c>
    </row>
    <row r="10054" spans="1:9">
      <c r="A10054" s="22" t="str">
        <f>HYPERLINK("https://app.vivvix.com/360/KMI/IntelliDrive/ApplUI/Pages/CreativePages/CustomReportCreativeDetail.aspx?App=23&amp;ReportView=4&amp;Qid=1711279&amp;Row=10046&amp;Col=1","No Title Assigned - #15271696991")</f>
        <v/>
      </c>
      <c r="B10054" s="0" t="s">
        <v>13563</v>
      </c>
      <c r="C10054" s="0" t="s">
        <v>13564</v>
      </c>
      <c r="D10054" s="0" t="s">
        <v>4204</v>
      </c>
      <c r="E10054" s="0" t="inlineStr">
        <is>
          <t xml:space="preserve">Mazda</t>
        </is>
      </c>
      <c r="F10054" s="0" t="s">
        <v>28</v>
      </c>
      <c r="G10054" s="0" t="s">
        <v>29</v>
      </c>
      <c r="H10054" s="5">
        <v>1.262800</v>
      </c>
    </row>
    <row r="10055" spans="1:9">
      <c r="A10055" s="22" t="str">
        <f>HYPERLINK("https://app.vivvix.com/360/KMI/IntelliDrive/ApplUI/Pages/CreativePages/CustomReportCreativeDetail.aspx?App=23&amp;ReportView=4&amp;Qid=1711279&amp;Row=10047&amp;Col=1","No Title Assigned - #15271697550")</f>
        <v/>
      </c>
      <c r="B10055" s="0" t="s">
        <v>13565</v>
      </c>
      <c r="C10055" s="0" t="s">
        <v>13566</v>
      </c>
      <c r="D10055" s="0" t="s">
        <v>10004</v>
      </c>
      <c r="E10055" s="0" t="inlineStr">
        <is>
          <t xml:space="preserve">Mazda</t>
        </is>
      </c>
      <c r="F10055" s="0" t="s">
        <v>13</v>
      </c>
      <c r="G10055" s="0" t="s">
        <v>49</v>
      </c>
      <c r="H10055" s="5">
        <v>4391.397500</v>
      </c>
    </row>
    <row r="10056" spans="1:9">
      <c r="A10056" s="22" t="str">
        <f>HYPERLINK("https://app.vivvix.com/360/KMI/IntelliDrive/ApplUI/Pages/CreativePages/CustomReportCreativeDetail.aspx?App=23&amp;ReportView=4&amp;Qid=1711279&amp;Row=10048&amp;Col=1","No Title Assigned - #15271697784")</f>
        <v/>
      </c>
      <c r="B10056" s="0" t="s">
        <v>13567</v>
      </c>
      <c r="C10056" s="0" t="s">
        <v>13568</v>
      </c>
      <c r="D10056" s="0" t="s">
        <v>13568</v>
      </c>
      <c r="E10056" s="0" t="inlineStr">
        <is>
          <t xml:space="preserve">Mazda</t>
        </is>
      </c>
      <c r="F10056" s="0" t="s">
        <v>28</v>
      </c>
      <c r="G10056" s="0" t="s">
        <v>29</v>
      </c>
      <c r="H10056" s="5">
        <v>417.379000</v>
      </c>
    </row>
    <row r="10057" spans="1:9">
      <c r="A10057" s="22" t="str">
        <f>HYPERLINK("https://app.vivvix.com/360/KMI/IntelliDrive/ApplUI/Pages/CreativePages/CustomReportCreativeDetail.aspx?App=23&amp;ReportView=4&amp;Qid=1711279&amp;Row=10049&amp;Col=1","No Title Assigned - #15271699197")</f>
        <v/>
      </c>
      <c r="B10057" s="0" t="s">
        <v>13569</v>
      </c>
      <c r="C10057" s="0" t="s">
        <v>13570</v>
      </c>
      <c r="D10057" s="0" t="s">
        <v>13570</v>
      </c>
      <c r="E10057" s="0" t="inlineStr">
        <is>
          <t xml:space="preserve">Mazda</t>
        </is>
      </c>
      <c r="F10057" s="0" t="s">
        <v>13</v>
      </c>
      <c r="G10057" s="0" t="s">
        <v>49</v>
      </c>
      <c r="H10057" s="5">
        <v>247.778400</v>
      </c>
    </row>
    <row r="10058" spans="1:9">
      <c r="A10058" s="22" t="str">
        <f>HYPERLINK("https://app.vivvix.com/360/KMI/IntelliDrive/ApplUI/Pages/CreativePages/CustomReportCreativeDetail.aspx?App=23&amp;ReportView=4&amp;Qid=1711279&amp;Row=10050&amp;Col=1","No Title Assigned - #15271699802")</f>
        <v/>
      </c>
      <c r="B10058" s="0" t="s">
        <v>13571</v>
      </c>
      <c r="C10058" s="0" t="s">
        <v>13572</v>
      </c>
      <c r="D10058" s="0" t="s">
        <v>13572</v>
      </c>
      <c r="E10058" s="0" t="inlineStr">
        <is>
          <t xml:space="preserve">Mazda</t>
        </is>
      </c>
      <c r="F10058" s="0" t="s">
        <v>28</v>
      </c>
      <c r="G10058" s="0" t="s">
        <v>29</v>
      </c>
      <c r="H10058" s="5">
        <v>346.965200</v>
      </c>
    </row>
    <row r="10059" spans="1:9">
      <c r="A10059" s="22" t="str">
        <f>HYPERLINK("https://app.vivvix.com/360/KMI/IntelliDrive/ApplUI/Pages/CreativePages/CustomReportCreativeDetail.aspx?App=23&amp;ReportView=4&amp;Qid=1711279&amp;Row=10051&amp;Col=1","No Title Assigned - #15271700208")</f>
        <v/>
      </c>
      <c r="B10059" s="0" t="s">
        <v>13573</v>
      </c>
      <c r="E10059" s="0" t="inlineStr">
        <is>
          <t xml:space="preserve">Mazda</t>
        </is>
      </c>
      <c r="F10059" s="0" t="s">
        <v>28</v>
      </c>
      <c r="G10059" s="0" t="s">
        <v>29</v>
      </c>
      <c r="H10059" s="5">
        <v>521.819300</v>
      </c>
    </row>
    <row r="10060" spans="1:9">
      <c r="A10060" s="22" t="str">
        <f>HYPERLINK("https://app.vivvix.com/360/KMI/IntelliDrive/ApplUI/Pages/CreativePages/CustomReportCreativeDetail.aspx?App=23&amp;ReportView=4&amp;Qid=1711279&amp;Row=10052&amp;Col=1","No Title Assigned - #15271700556")</f>
        <v/>
      </c>
      <c r="B10060" s="0" t="s">
        <v>13574</v>
      </c>
      <c r="C10060" s="0" t="s">
        <v>13575</v>
      </c>
      <c r="D10060" s="0" t="s">
        <v>4333</v>
      </c>
      <c r="E10060" s="0" t="inlineStr">
        <is>
          <t xml:space="preserve">Mazda</t>
        </is>
      </c>
      <c r="F10060" s="0" t="s">
        <v>28</v>
      </c>
      <c r="G10060" s="0" t="s">
        <v>29</v>
      </c>
      <c r="H10060" s="5">
        <v>92.730200</v>
      </c>
    </row>
    <row r="10061" spans="1:9">
      <c r="A10061" s="22" t="str">
        <f>HYPERLINK("https://app.vivvix.com/360/KMI/IntelliDrive/ApplUI/Pages/CreativePages/CustomReportCreativeDetail.aspx?App=23&amp;ReportView=4&amp;Qid=1711279&amp;Row=10053&amp;Col=1","No Title Assigned - #15271700811")</f>
        <v/>
      </c>
      <c r="B10061" s="0" t="s">
        <v>13576</v>
      </c>
      <c r="E10061" s="0" t="inlineStr">
        <is>
          <t xml:space="preserve">Mazda</t>
        </is>
      </c>
      <c r="F10061" s="0" t="s">
        <v>28</v>
      </c>
      <c r="G10061" s="0" t="s">
        <v>29</v>
      </c>
      <c r="H10061" s="5">
        <v>11.771400</v>
      </c>
    </row>
    <row r="10062" spans="1:9">
      <c r="A10062" s="22" t="str">
        <f>HYPERLINK("https://app.vivvix.com/360/KMI/IntelliDrive/ApplUI/Pages/CreativePages/CustomReportCreativeDetail.aspx?App=23&amp;ReportView=4&amp;Qid=1711279&amp;Row=10054&amp;Col=1","No Title Assigned - #15271700982")</f>
        <v/>
      </c>
      <c r="B10062" s="0" t="s">
        <v>13577</v>
      </c>
      <c r="C10062" s="0" t="s">
        <v>13578</v>
      </c>
      <c r="D10062" s="0" t="s">
        <v>4202</v>
      </c>
      <c r="E10062" s="0" t="inlineStr">
        <is>
          <t xml:space="preserve">Mazda</t>
        </is>
      </c>
      <c r="F10062" s="0" t="s">
        <v>28</v>
      </c>
      <c r="G10062" s="0" t="s">
        <v>29</v>
      </c>
      <c r="H10062" s="5">
        <v>360.738200</v>
      </c>
    </row>
    <row r="10063" spans="1:9">
      <c r="A10063" s="22" t="str">
        <f>HYPERLINK("https://app.vivvix.com/360/KMI/IntelliDrive/ApplUI/Pages/CreativePages/CustomReportCreativeDetail.aspx?App=23&amp;ReportView=4&amp;Qid=1711279&amp;Row=10055&amp;Col=1","No Title Assigned - #15271701439")</f>
        <v/>
      </c>
      <c r="B10063" s="0" t="s">
        <v>13579</v>
      </c>
      <c r="E10063" s="0" t="inlineStr">
        <is>
          <t xml:space="preserve">Mazda</t>
        </is>
      </c>
      <c r="F10063" s="0" t="inlineStr">
        <is>
          <t xml:space="preserve">Mazda</t>
        </is>
      </c>
      <c r="G10063" s="0" t="s">
        <v>171</v>
      </c>
      <c r="H10063" s="5">
        <v>32.559200</v>
      </c>
    </row>
    <row r="10064" spans="1:9">
      <c r="A10064" s="22" t="str">
        <f>HYPERLINK("https://app.vivvix.com/360/KMI/IntelliDrive/ApplUI/Pages/CreativePages/CustomReportCreativeDetail.aspx?App=23&amp;ReportView=4&amp;Qid=1711279&amp;Row=10056&amp;Col=1","No Title Assigned - #15271701815")</f>
        <v/>
      </c>
      <c r="B10064" s="0" t="s">
        <v>13580</v>
      </c>
      <c r="E10064" s="0" t="inlineStr">
        <is>
          <t xml:space="preserve">Mazda</t>
        </is>
      </c>
      <c r="F10064" s="0" t="inlineStr">
        <is>
          <t xml:space="preserve">Mazda</t>
        </is>
      </c>
      <c r="G10064" s="0" t="s">
        <v>171</v>
      </c>
      <c r="H10064" s="5">
        <v>5.929600</v>
      </c>
    </row>
    <row r="10065" spans="1:9">
      <c r="A10065" s="22" t="str">
        <f>HYPERLINK("https://app.vivvix.com/360/KMI/IntelliDrive/ApplUI/Pages/CreativePages/CustomReportCreativeDetail.aspx?App=23&amp;ReportView=4&amp;Qid=1711279&amp;Row=10057&amp;Col=1","No Title Assigned - #15271703699")</f>
        <v/>
      </c>
      <c r="B10065" s="0" t="s">
        <v>13581</v>
      </c>
      <c r="E10065" s="0" t="inlineStr">
        <is>
          <t xml:space="preserve">Mazda</t>
        </is>
      </c>
      <c r="F10065" s="0" t="inlineStr">
        <is>
          <t xml:space="preserve">Mazda</t>
        </is>
      </c>
      <c r="G10065" s="0" t="s">
        <v>171</v>
      </c>
      <c r="H10065" s="5">
        <v>95.957400</v>
      </c>
    </row>
    <row r="10066" spans="1:9">
      <c r="A10066" s="22" t="str">
        <f>HYPERLINK("https://app.vivvix.com/360/KMI/IntelliDrive/ApplUI/Pages/CreativePages/CustomReportCreativeDetail.aspx?App=23&amp;ReportView=4&amp;Qid=1711279&amp;Row=10058&amp;Col=1","No Title Assigned - #15271703992")</f>
        <v/>
      </c>
      <c r="B10066" s="0" t="s">
        <v>13582</v>
      </c>
      <c r="E10066" s="0" t="inlineStr">
        <is>
          <t xml:space="preserve">Mazda</t>
        </is>
      </c>
      <c r="F10066" s="0" t="inlineStr">
        <is>
          <t xml:space="preserve">Mazda</t>
        </is>
      </c>
      <c r="G10066" s="0" t="s">
        <v>171</v>
      </c>
      <c r="H10066" s="5">
        <v>182.539200</v>
      </c>
    </row>
    <row r="10067" spans="1:9">
      <c r="A10067" s="22" t="str">
        <f>HYPERLINK("https://app.vivvix.com/360/KMI/IntelliDrive/ApplUI/Pages/CreativePages/CustomReportCreativeDetail.aspx?App=23&amp;ReportView=4&amp;Qid=1711279&amp;Row=10059&amp;Col=1","No Title Assigned - #15271704353")</f>
        <v/>
      </c>
      <c r="B10067" s="0" t="s">
        <v>13583</v>
      </c>
      <c r="C10067" s="0" t="s">
        <v>13584</v>
      </c>
      <c r="D10067" s="0" t="s">
        <v>13584</v>
      </c>
      <c r="E10067" s="0" t="inlineStr">
        <is>
          <t xml:space="preserve">Mazda</t>
        </is>
      </c>
      <c r="F10067" s="0" t="inlineStr">
        <is>
          <t xml:space="preserve">Mazda</t>
        </is>
      </c>
      <c r="G10067" s="0" t="s">
        <v>171</v>
      </c>
      <c r="H10067" s="5">
        <v>91.269600</v>
      </c>
    </row>
    <row r="10068" spans="1:9">
      <c r="A10068" s="22" t="str">
        <f>HYPERLINK("https://app.vivvix.com/360/KMI/IntelliDrive/ApplUI/Pages/CreativePages/CustomReportCreativeDetail.aspx?App=23&amp;ReportView=4&amp;Qid=1711279&amp;Row=10060&amp;Col=1","No Title Assigned - #15271704754")</f>
        <v/>
      </c>
      <c r="B10068" s="0" t="s">
        <v>13585</v>
      </c>
      <c r="C10068" s="0" t="s">
        <v>13586</v>
      </c>
      <c r="D10068" s="0" t="s">
        <v>4202</v>
      </c>
      <c r="E10068" s="0" t="inlineStr">
        <is>
          <t xml:space="preserve">Mazda</t>
        </is>
      </c>
      <c r="F10068" s="0" t="s">
        <v>28</v>
      </c>
      <c r="G10068" s="0" t="s">
        <v>29</v>
      </c>
      <c r="H10068" s="5">
        <v>189.711800</v>
      </c>
    </row>
    <row r="10069" spans="1:9">
      <c r="A10069" s="22" t="str">
        <f>HYPERLINK("https://app.vivvix.com/360/KMI/IntelliDrive/ApplUI/Pages/CreativePages/CustomReportCreativeDetail.aspx?App=23&amp;ReportView=4&amp;Qid=1711279&amp;Row=10061&amp;Col=1","No Title Assigned - #15271705268")</f>
        <v/>
      </c>
      <c r="B10069" s="0" t="s">
        <v>13587</v>
      </c>
      <c r="E10069" s="0" t="inlineStr">
        <is>
          <t xml:space="preserve">Mazda</t>
        </is>
      </c>
      <c r="F10069" s="0" t="s">
        <v>28</v>
      </c>
      <c r="G10069" s="0" t="s">
        <v>29</v>
      </c>
      <c r="H10069" s="5">
        <v>31.066400</v>
      </c>
    </row>
    <row r="10070" spans="1:9">
      <c r="A10070" s="22" t="str">
        <f>HYPERLINK("https://app.vivvix.com/360/KMI/IntelliDrive/ApplUI/Pages/CreativePages/CustomReportCreativeDetail.aspx?App=23&amp;ReportView=4&amp;Qid=1711279&amp;Row=10062&amp;Col=1","No Title Assigned - #15271705588")</f>
        <v/>
      </c>
      <c r="B10070" s="0" t="s">
        <v>13588</v>
      </c>
      <c r="C10070" s="0" t="s">
        <v>13589</v>
      </c>
      <c r="D10070" s="0" t="s">
        <v>13589</v>
      </c>
      <c r="E10070" s="0" t="inlineStr">
        <is>
          <t xml:space="preserve">Mazda</t>
        </is>
      </c>
      <c r="F10070" s="0" t="s">
        <v>28</v>
      </c>
      <c r="G10070" s="0" t="s">
        <v>29</v>
      </c>
      <c r="H10070" s="5">
        <v>38.028700</v>
      </c>
    </row>
    <row r="10071" spans="1:9">
      <c r="A10071" s="22" t="str">
        <f>HYPERLINK("https://app.vivvix.com/360/KMI/IntelliDrive/ApplUI/Pages/CreativePages/CustomReportCreativeDetail.aspx?App=23&amp;ReportView=4&amp;Qid=1711279&amp;Row=10063&amp;Col=1","No Title Assigned - #15271705917")</f>
        <v/>
      </c>
      <c r="B10071" s="0" t="s">
        <v>13590</v>
      </c>
      <c r="C10071" s="0" t="s">
        <v>13591</v>
      </c>
      <c r="D10071" s="0" t="s">
        <v>4202</v>
      </c>
      <c r="E10071" s="0" t="inlineStr">
        <is>
          <t xml:space="preserve">Mazda</t>
        </is>
      </c>
      <c r="F10071" s="0" t="s">
        <v>28</v>
      </c>
      <c r="G10071" s="0" t="s">
        <v>29</v>
      </c>
      <c r="H10071" s="5">
        <v>3.910300</v>
      </c>
    </row>
    <row r="10072" spans="1:9">
      <c r="A10072" s="22" t="str">
        <f>HYPERLINK("https://app.vivvix.com/360/KMI/IntelliDrive/ApplUI/Pages/CreativePages/CustomReportCreativeDetail.aspx?App=23&amp;ReportView=4&amp;Qid=1711279&amp;Row=10064&amp;Col=1","No Title Assigned - #15271707538")</f>
        <v/>
      </c>
      <c r="B10072" s="0" t="s">
        <v>13592</v>
      </c>
      <c r="C10072" s="0" t="s">
        <v>13593</v>
      </c>
      <c r="D10072" s="0" t="s">
        <v>4274</v>
      </c>
      <c r="E10072" s="0" t="inlineStr">
        <is>
          <t xml:space="preserve">Mazda</t>
        </is>
      </c>
      <c r="F10072" s="0" t="s">
        <v>28</v>
      </c>
      <c r="G10072" s="0" t="s">
        <v>29</v>
      </c>
      <c r="H10072" s="5">
        <v>497.089000</v>
      </c>
    </row>
    <row r="10073" spans="1:9">
      <c r="A10073" s="22" t="str">
        <f>HYPERLINK("https://app.vivvix.com/360/KMI/IntelliDrive/ApplUI/Pages/CreativePages/CustomReportCreativeDetail.aspx?App=23&amp;ReportView=4&amp;Qid=1711279&amp;Row=10065&amp;Col=1","No Title Assigned - #15271707540")</f>
        <v/>
      </c>
      <c r="B10073" s="0" t="s">
        <v>13594</v>
      </c>
      <c r="C10073" s="0" t="s">
        <v>13595</v>
      </c>
      <c r="D10073" s="0" t="s">
        <v>13595</v>
      </c>
      <c r="E10073" s="0" t="inlineStr">
        <is>
          <t xml:space="preserve">Mazda</t>
        </is>
      </c>
      <c r="F10073" s="0" t="s">
        <v>13</v>
      </c>
      <c r="G10073" s="0" t="s">
        <v>49</v>
      </c>
      <c r="H10073" s="5">
        <v>26.226000</v>
      </c>
    </row>
    <row r="10074" spans="1:9">
      <c r="A10074" s="22" t="str">
        <f>HYPERLINK("https://app.vivvix.com/360/KMI/IntelliDrive/ApplUI/Pages/CreativePages/CustomReportCreativeDetail.aspx?App=23&amp;ReportView=4&amp;Qid=1711279&amp;Row=10066&amp;Col=1","No Title Assigned - #15271709081")</f>
        <v/>
      </c>
      <c r="B10074" s="0" t="s">
        <v>13596</v>
      </c>
      <c r="E10074" s="0" t="inlineStr">
        <is>
          <t xml:space="preserve">Mazda</t>
        </is>
      </c>
      <c r="F10074" s="0" t="s">
        <v>28</v>
      </c>
      <c r="G10074" s="0" t="s">
        <v>29</v>
      </c>
      <c r="H10074" s="5">
        <v>1.072900</v>
      </c>
    </row>
    <row r="10075" spans="1:9">
      <c r="A10075" s="22" t="str">
        <f>HYPERLINK("https://app.vivvix.com/360/KMI/IntelliDrive/ApplUI/Pages/CreativePages/CustomReportCreativeDetail.aspx?App=23&amp;ReportView=4&amp;Qid=1711279&amp;Row=10067&amp;Col=1","No Title Assigned - #15271709133")</f>
        <v/>
      </c>
      <c r="B10075" s="0" t="s">
        <v>13597</v>
      </c>
      <c r="C10075" s="0" t="s">
        <v>13598</v>
      </c>
      <c r="D10075" s="0" t="s">
        <v>10455</v>
      </c>
      <c r="E10075" s="0" t="inlineStr">
        <is>
          <t xml:space="preserve">Mazda</t>
        </is>
      </c>
      <c r="F10075" s="0" t="s">
        <v>13</v>
      </c>
      <c r="G10075" s="0" t="s">
        <v>49</v>
      </c>
      <c r="H10075" s="5">
        <v>61.251200</v>
      </c>
    </row>
    <row r="10076" spans="1:9">
      <c r="A10076" s="22" t="str">
        <f>HYPERLINK("https://app.vivvix.com/360/KMI/IntelliDrive/ApplUI/Pages/CreativePages/CustomReportCreativeDetail.aspx?App=23&amp;ReportView=4&amp;Qid=1711279&amp;Row=10068&amp;Col=1","No Title Assigned - #15271709135")</f>
        <v/>
      </c>
      <c r="B10076" s="0" t="s">
        <v>13599</v>
      </c>
      <c r="C10076" s="0" t="s">
        <v>13600</v>
      </c>
      <c r="D10076" s="0" t="s">
        <v>13600</v>
      </c>
      <c r="E10076" s="0" t="inlineStr">
        <is>
          <t xml:space="preserve">Mazda</t>
        </is>
      </c>
      <c r="F10076" s="0" t="s">
        <v>28</v>
      </c>
      <c r="G10076" s="0" t="s">
        <v>29</v>
      </c>
      <c r="H10076" s="5">
        <v>30.273700</v>
      </c>
    </row>
    <row r="10077" spans="1:9">
      <c r="A10077" s="22" t="str">
        <f>HYPERLINK("https://app.vivvix.com/360/KMI/IntelliDrive/ApplUI/Pages/CreativePages/CustomReportCreativeDetail.aspx?App=23&amp;ReportView=4&amp;Qid=1711279&amp;Row=10069&amp;Col=1","No Title Assigned - #15271709878")</f>
        <v/>
      </c>
      <c r="B10077" s="0" t="s">
        <v>13601</v>
      </c>
      <c r="C10077" s="0" t="s">
        <v>13602</v>
      </c>
      <c r="D10077" s="0" t="s">
        <v>4204</v>
      </c>
      <c r="E10077" s="0" t="inlineStr">
        <is>
          <t xml:space="preserve">Mazda</t>
        </is>
      </c>
      <c r="F10077" s="0" t="s">
        <v>28</v>
      </c>
      <c r="G10077" s="0" t="s">
        <v>29</v>
      </c>
      <c r="H10077" s="5">
        <v>9.830800</v>
      </c>
    </row>
    <row r="10078" spans="1:9">
      <c r="A10078" s="22" t="str">
        <f>HYPERLINK("https://app.vivvix.com/360/KMI/IntelliDrive/ApplUI/Pages/CreativePages/CustomReportCreativeDetail.aspx?App=23&amp;ReportView=4&amp;Qid=1711279&amp;Row=10070&amp;Col=1","No Title Assigned - #15271710830")</f>
        <v/>
      </c>
      <c r="B10078" s="0" t="s">
        <v>13603</v>
      </c>
      <c r="C10078" s="0" t="s">
        <v>13604</v>
      </c>
      <c r="D10078" s="0" t="s">
        <v>13604</v>
      </c>
      <c r="E10078" s="0" t="inlineStr">
        <is>
          <t xml:space="preserve">Mazda</t>
        </is>
      </c>
      <c r="F10078" s="0" t="s">
        <v>28</v>
      </c>
      <c r="G10078" s="0" t="s">
        <v>29</v>
      </c>
      <c r="H10078" s="5">
        <v>1873.356400</v>
      </c>
    </row>
    <row r="10079" spans="1:9">
      <c r="A10079" s="22" t="str">
        <f>HYPERLINK("https://app.vivvix.com/360/KMI/IntelliDrive/ApplUI/Pages/CreativePages/CustomReportCreativeDetail.aspx?App=23&amp;ReportView=4&amp;Qid=1711279&amp;Row=10071&amp;Col=1","No Title Assigned - #15271710830")</f>
        <v/>
      </c>
      <c r="B10079" s="0" t="s">
        <v>13603</v>
      </c>
      <c r="E10079" s="0" t="inlineStr">
        <is>
          <t xml:space="preserve">Mazda</t>
        </is>
      </c>
      <c r="F10079" s="0" t="s">
        <v>28</v>
      </c>
      <c r="G10079" s="0" t="s">
        <v>29</v>
      </c>
      <c r="H10079" s="5">
        <v>27.531700</v>
      </c>
    </row>
    <row r="10080" spans="1:9">
      <c r="A10080" s="22" t="str">
        <f>HYPERLINK("https://app.vivvix.com/360/KMI/IntelliDrive/ApplUI/Pages/CreativePages/CustomReportCreativeDetail.aspx?App=23&amp;ReportView=4&amp;Qid=1711279&amp;Row=10072&amp;Col=1","No Title Assigned - #15271711231")</f>
        <v/>
      </c>
      <c r="B10080" s="0" t="s">
        <v>13605</v>
      </c>
      <c r="C10080" s="0" t="s">
        <v>13606</v>
      </c>
      <c r="D10080" s="0" t="s">
        <v>4448</v>
      </c>
      <c r="E10080" s="0" t="inlineStr">
        <is>
          <t xml:space="preserve">Mazda</t>
        </is>
      </c>
      <c r="F10080" s="0" t="s">
        <v>17</v>
      </c>
      <c r="G10080" s="0" t="s">
        <v>33</v>
      </c>
      <c r="H10080" s="5">
        <v>685.230700</v>
      </c>
    </row>
    <row r="10081" spans="1:9">
      <c r="A10081" s="22" t="str">
        <f>HYPERLINK("https://app.vivvix.com/360/KMI/IntelliDrive/ApplUI/Pages/CreativePages/CustomReportCreativeDetail.aspx?App=23&amp;ReportView=4&amp;Qid=1711279&amp;Row=10073&amp;Col=1","No Title Assigned - #15271711522")</f>
        <v/>
      </c>
      <c r="B10081" s="0" t="s">
        <v>13607</v>
      </c>
      <c r="C10081" s="0" t="s">
        <v>13608</v>
      </c>
      <c r="D10081" s="0" t="s">
        <v>13608</v>
      </c>
      <c r="E10081" s="0" t="inlineStr">
        <is>
          <t xml:space="preserve">Mazda</t>
        </is>
      </c>
      <c r="F10081" s="0" t="s">
        <v>28</v>
      </c>
      <c r="G10081" s="0" t="s">
        <v>29</v>
      </c>
      <c r="H10081" s="5">
        <v>359.184000</v>
      </c>
    </row>
    <row r="10082" spans="1:9">
      <c r="A10082" s="22" t="str">
        <f>HYPERLINK("https://app.vivvix.com/360/KMI/IntelliDrive/ApplUI/Pages/CreativePages/CustomReportCreativeDetail.aspx?App=23&amp;ReportView=4&amp;Qid=1711279&amp;Row=10074&amp;Col=1","No Title Assigned - #15271713392")</f>
        <v/>
      </c>
      <c r="B10082" s="0" t="s">
        <v>13609</v>
      </c>
      <c r="C10082" s="0" t="s">
        <v>13610</v>
      </c>
      <c r="D10082" s="0" t="s">
        <v>4407</v>
      </c>
      <c r="E10082" s="0" t="inlineStr">
        <is>
          <t xml:space="preserve">Mazda</t>
        </is>
      </c>
      <c r="F10082" s="0" t="s">
        <v>28</v>
      </c>
      <c r="G10082" s="0" t="s">
        <v>29</v>
      </c>
      <c r="H10082" s="5">
        <v>129.009200</v>
      </c>
    </row>
    <row r="10083" spans="1:9">
      <c r="A10083" s="22" t="str">
        <f>HYPERLINK("https://app.vivvix.com/360/KMI/IntelliDrive/ApplUI/Pages/CreativePages/CustomReportCreativeDetail.aspx?App=23&amp;ReportView=4&amp;Qid=1711279&amp;Row=10075&amp;Col=1","No Title Assigned - #15271713731")</f>
        <v/>
      </c>
      <c r="B10083" s="0" t="s">
        <v>13611</v>
      </c>
      <c r="C10083" s="0" t="s">
        <v>13612</v>
      </c>
      <c r="D10083" s="0" t="s">
        <v>13612</v>
      </c>
      <c r="E10083" s="0" t="inlineStr">
        <is>
          <t xml:space="preserve">Mazda</t>
        </is>
      </c>
      <c r="F10083" s="0" t="s">
        <v>13</v>
      </c>
      <c r="G10083" s="0" t="s">
        <v>49</v>
      </c>
      <c r="H10083" s="5">
        <v>153.377000</v>
      </c>
    </row>
    <row r="10084" spans="1:9">
      <c r="A10084" s="22" t="str">
        <f>HYPERLINK("https://app.vivvix.com/360/KMI/IntelliDrive/ApplUI/Pages/CreativePages/CustomReportCreativeDetail.aspx?App=23&amp;ReportView=4&amp;Qid=1711279&amp;Row=10076&amp;Col=1","No Title Assigned - #15271713879")</f>
        <v/>
      </c>
      <c r="B10084" s="0" t="s">
        <v>13613</v>
      </c>
      <c r="C10084" s="0" t="s">
        <v>13614</v>
      </c>
      <c r="D10084" s="0" t="s">
        <v>13614</v>
      </c>
      <c r="E10084" s="0" t="inlineStr">
        <is>
          <t xml:space="preserve">Mazda</t>
        </is>
      </c>
      <c r="F10084" s="0" t="s">
        <v>28</v>
      </c>
      <c r="G10084" s="0" t="s">
        <v>29</v>
      </c>
      <c r="H10084" s="5">
        <v>19.300800</v>
      </c>
    </row>
    <row r="10085" spans="1:9">
      <c r="A10085" s="22" t="str">
        <f>HYPERLINK("https://app.vivvix.com/360/KMI/IntelliDrive/ApplUI/Pages/CreativePages/CustomReportCreativeDetail.aspx?App=23&amp;ReportView=4&amp;Qid=1711279&amp;Row=10077&amp;Col=1","No Title Assigned - #15271713908")</f>
        <v/>
      </c>
      <c r="B10085" s="0" t="s">
        <v>13615</v>
      </c>
      <c r="C10085" s="0" t="s">
        <v>13616</v>
      </c>
      <c r="D10085" s="0" t="s">
        <v>4274</v>
      </c>
      <c r="E10085" s="0" t="inlineStr">
        <is>
          <t xml:space="preserve">Mazda</t>
        </is>
      </c>
      <c r="F10085" s="0" t="s">
        <v>28</v>
      </c>
      <c r="G10085" s="0" t="s">
        <v>29</v>
      </c>
      <c r="H10085" s="5">
        <v>145.482600</v>
      </c>
    </row>
    <row r="10086" spans="1:9">
      <c r="A10086" s="22" t="str">
        <f>HYPERLINK("https://app.vivvix.com/360/KMI/IntelliDrive/ApplUI/Pages/CreativePages/CustomReportCreativeDetail.aspx?App=23&amp;ReportView=4&amp;Qid=1711279&amp;Row=10078&amp;Col=1","No Title Assigned - #15271714250")</f>
        <v/>
      </c>
      <c r="B10086" s="0" t="s">
        <v>13617</v>
      </c>
      <c r="C10086" s="0" t="s">
        <v>13618</v>
      </c>
      <c r="D10086" s="0" t="s">
        <v>4200</v>
      </c>
      <c r="E10086" s="0" t="inlineStr">
        <is>
          <t xml:space="preserve">Mazda</t>
        </is>
      </c>
      <c r="F10086" s="0" t="s">
        <v>28</v>
      </c>
      <c r="G10086" s="0" t="s">
        <v>29</v>
      </c>
      <c r="H10086" s="5">
        <v>132877.468800</v>
      </c>
    </row>
    <row r="10087" spans="1:9">
      <c r="A10087" s="22" t="str">
        <f>HYPERLINK("https://app.vivvix.com/360/KMI/IntelliDrive/ApplUI/Pages/CreativePages/CustomReportCreativeDetail.aspx?App=23&amp;ReportView=4&amp;Qid=1711279&amp;Row=10079&amp;Col=1","No Title Assigned - #15271714539")</f>
        <v/>
      </c>
      <c r="B10087" s="0" t="s">
        <v>13619</v>
      </c>
      <c r="C10087" s="0" t="s">
        <v>13620</v>
      </c>
      <c r="D10087" s="0" t="s">
        <v>4202</v>
      </c>
      <c r="E10087" s="0" t="inlineStr">
        <is>
          <t xml:space="preserve">Mazda</t>
        </is>
      </c>
      <c r="F10087" s="0" t="s">
        <v>28</v>
      </c>
      <c r="G10087" s="0" t="s">
        <v>29</v>
      </c>
      <c r="H10087" s="5">
        <v>14.764100</v>
      </c>
    </row>
    <row r="10088" spans="1:9">
      <c r="A10088" s="22" t="str">
        <f>HYPERLINK("https://app.vivvix.com/360/KMI/IntelliDrive/ApplUI/Pages/CreativePages/CustomReportCreativeDetail.aspx?App=23&amp;ReportView=4&amp;Qid=1711279&amp;Row=10080&amp;Col=1","No Title Assigned - #15271715194")</f>
        <v/>
      </c>
      <c r="B10088" s="0" t="s">
        <v>13621</v>
      </c>
      <c r="C10088" s="0" t="s">
        <v>13622</v>
      </c>
      <c r="D10088" s="0" t="s">
        <v>13622</v>
      </c>
      <c r="E10088" s="0" t="inlineStr">
        <is>
          <t xml:space="preserve">Mazda</t>
        </is>
      </c>
      <c r="F10088" s="0" t="s">
        <v>13</v>
      </c>
      <c r="G10088" s="0" t="s">
        <v>49</v>
      </c>
      <c r="H10088" s="5">
        <v>131.527500</v>
      </c>
    </row>
    <row r="10089" spans="1:9">
      <c r="A10089" s="22" t="str">
        <f>HYPERLINK("https://app.vivvix.com/360/KMI/IntelliDrive/ApplUI/Pages/CreativePages/CustomReportCreativeDetail.aspx?App=23&amp;ReportView=4&amp;Qid=1711279&amp;Row=10081&amp;Col=1","No Title Assigned - #15271715577")</f>
        <v/>
      </c>
      <c r="B10089" s="0" t="s">
        <v>13623</v>
      </c>
      <c r="C10089" s="0" t="s">
        <v>13624</v>
      </c>
      <c r="D10089" s="0" t="s">
        <v>4333</v>
      </c>
      <c r="E10089" s="0" t="inlineStr">
        <is>
          <t xml:space="preserve">Mazda</t>
        </is>
      </c>
      <c r="F10089" s="0" t="s">
        <v>28</v>
      </c>
      <c r="G10089" s="0" t="s">
        <v>29</v>
      </c>
      <c r="H10089" s="5">
        <v>488.555500</v>
      </c>
    </row>
    <row r="10090" spans="1:9">
      <c r="A10090" s="22" t="str">
        <f>HYPERLINK("https://app.vivvix.com/360/KMI/IntelliDrive/ApplUI/Pages/CreativePages/CustomReportCreativeDetail.aspx?App=23&amp;ReportView=4&amp;Qid=1711279&amp;Row=10082&amp;Col=1","No Title Assigned - #15271715612")</f>
        <v/>
      </c>
      <c r="B10090" s="0" t="s">
        <v>13625</v>
      </c>
      <c r="C10090" s="0" t="s">
        <v>13626</v>
      </c>
      <c r="D10090" s="0" t="s">
        <v>4200</v>
      </c>
      <c r="E10090" s="0" t="inlineStr">
        <is>
          <t xml:space="preserve">Mazda</t>
        </is>
      </c>
      <c r="F10090" s="0" t="s">
        <v>28</v>
      </c>
      <c r="G10090" s="0" t="s">
        <v>29</v>
      </c>
      <c r="H10090" s="5">
        <v>73.381600</v>
      </c>
    </row>
    <row r="10091" spans="1:9">
      <c r="A10091" s="22" t="str">
        <f>HYPERLINK("https://app.vivvix.com/360/KMI/IntelliDrive/ApplUI/Pages/CreativePages/CustomReportCreativeDetail.aspx?App=23&amp;ReportView=4&amp;Qid=1711279&amp;Row=10083&amp;Col=1","No Title Assigned - #15271715937")</f>
        <v/>
      </c>
      <c r="B10091" s="0" t="s">
        <v>13627</v>
      </c>
      <c r="C10091" s="0" t="s">
        <v>13628</v>
      </c>
      <c r="D10091" s="0" t="s">
        <v>4204</v>
      </c>
      <c r="E10091" s="0" t="inlineStr">
        <is>
          <t xml:space="preserve">Mazda</t>
        </is>
      </c>
      <c r="F10091" s="0" t="s">
        <v>28</v>
      </c>
      <c r="G10091" s="0" t="s">
        <v>29</v>
      </c>
      <c r="H10091" s="5">
        <v>46.517400</v>
      </c>
    </row>
    <row r="10092" spans="1:9">
      <c r="A10092" s="22" t="str">
        <f>HYPERLINK("https://app.vivvix.com/360/KMI/IntelliDrive/ApplUI/Pages/CreativePages/CustomReportCreativeDetail.aspx?App=23&amp;ReportView=4&amp;Qid=1711279&amp;Row=10084&amp;Col=1","No Title Assigned - #15271717838")</f>
        <v/>
      </c>
      <c r="B10092" s="0" t="s">
        <v>13629</v>
      </c>
      <c r="C10092" s="0" t="s">
        <v>13630</v>
      </c>
      <c r="D10092" s="0" t="s">
        <v>13630</v>
      </c>
      <c r="E10092" s="0" t="inlineStr">
        <is>
          <t xml:space="preserve">Mazda</t>
        </is>
      </c>
      <c r="F10092" s="0" t="s">
        <v>28</v>
      </c>
      <c r="G10092" s="0" t="s">
        <v>29</v>
      </c>
      <c r="H10092" s="5">
        <v>640.804700</v>
      </c>
    </row>
    <row r="10093" spans="1:9">
      <c r="A10093" s="22" t="str">
        <f>HYPERLINK("https://app.vivvix.com/360/KMI/IntelliDrive/ApplUI/Pages/CreativePages/CustomReportCreativeDetail.aspx?App=23&amp;ReportView=4&amp;Qid=1711279&amp;Row=10085&amp;Col=1","No Title Assigned - #15271718672")</f>
        <v/>
      </c>
      <c r="B10093" s="0" t="s">
        <v>13631</v>
      </c>
      <c r="C10093" s="0" t="s">
        <v>13632</v>
      </c>
      <c r="D10093" s="0" t="s">
        <v>4225</v>
      </c>
      <c r="E10093" s="0" t="inlineStr">
        <is>
          <t xml:space="preserve">Mazda</t>
        </is>
      </c>
      <c r="F10093" s="0" t="s">
        <v>28</v>
      </c>
      <c r="G10093" s="0" t="s">
        <v>29</v>
      </c>
      <c r="H10093" s="5">
        <v>2.570600</v>
      </c>
    </row>
    <row r="10094" spans="1:9">
      <c r="A10094" s="22" t="str">
        <f>HYPERLINK("https://app.vivvix.com/360/KMI/IntelliDrive/ApplUI/Pages/CreativePages/CustomReportCreativeDetail.aspx?App=23&amp;ReportView=4&amp;Qid=1711279&amp;Row=10086&amp;Col=1","No Title Assigned - #15271718875")</f>
        <v/>
      </c>
      <c r="B10094" s="0" t="s">
        <v>13633</v>
      </c>
      <c r="C10094" s="0" t="s">
        <v>13634</v>
      </c>
      <c r="D10094" s="0" t="s">
        <v>13634</v>
      </c>
      <c r="E10094" s="0" t="inlineStr">
        <is>
          <t xml:space="preserve">Mazda</t>
        </is>
      </c>
      <c r="F10094" s="0" t="s">
        <v>28</v>
      </c>
      <c r="G10094" s="0" t="s">
        <v>29</v>
      </c>
      <c r="H10094" s="5">
        <v>143.999300</v>
      </c>
    </row>
    <row r="10095" spans="1:9">
      <c r="A10095" s="22" t="str">
        <f>HYPERLINK("https://app.vivvix.com/360/KMI/IntelliDrive/ApplUI/Pages/CreativePages/CustomReportCreativeDetail.aspx?App=23&amp;ReportView=4&amp;Qid=1711279&amp;Row=10087&amp;Col=1","No Title Assigned - #15271719155")</f>
        <v/>
      </c>
      <c r="B10095" s="0" t="s">
        <v>13635</v>
      </c>
      <c r="C10095" s="0" t="s">
        <v>13636</v>
      </c>
      <c r="D10095" s="0" t="s">
        <v>13636</v>
      </c>
      <c r="E10095" s="0" t="inlineStr">
        <is>
          <t xml:space="preserve">Mazda</t>
        </is>
      </c>
      <c r="F10095" s="0" t="s">
        <v>28</v>
      </c>
      <c r="G10095" s="0" t="s">
        <v>29</v>
      </c>
      <c r="H10095" s="5">
        <v>1877.044700</v>
      </c>
    </row>
    <row r="10096" spans="1:9">
      <c r="A10096" s="22" t="str">
        <f>HYPERLINK("https://app.vivvix.com/360/KMI/IntelliDrive/ApplUI/Pages/CreativePages/CustomReportCreativeDetail.aspx?App=23&amp;ReportView=4&amp;Qid=1711279&amp;Row=10088&amp;Col=1","No Title Assigned - #15271719734")</f>
        <v/>
      </c>
      <c r="B10096" s="0" t="s">
        <v>13637</v>
      </c>
      <c r="C10096" s="0" t="s">
        <v>13638</v>
      </c>
      <c r="D10096" s="0" t="s">
        <v>13638</v>
      </c>
      <c r="E10096" s="0" t="inlineStr">
        <is>
          <t xml:space="preserve">Mazda</t>
        </is>
      </c>
      <c r="F10096" s="0" t="s">
        <v>13</v>
      </c>
      <c r="G10096" s="0" t="s">
        <v>49</v>
      </c>
      <c r="H10096" s="5">
        <v>2465.529100</v>
      </c>
    </row>
    <row r="10097" spans="1:9">
      <c r="A10097" s="22" t="str">
        <f>HYPERLINK("https://app.vivvix.com/360/KMI/IntelliDrive/ApplUI/Pages/CreativePages/CustomReportCreativeDetail.aspx?App=23&amp;ReportView=4&amp;Qid=1711279&amp;Row=10089&amp;Col=1","No Title Assigned - #15271720066")</f>
        <v/>
      </c>
      <c r="B10097" s="0" t="s">
        <v>13639</v>
      </c>
      <c r="C10097" s="0" t="s">
        <v>13640</v>
      </c>
      <c r="D10097" s="0" t="s">
        <v>9354</v>
      </c>
      <c r="E10097" s="0" t="inlineStr">
        <is>
          <t xml:space="preserve">Mazda</t>
        </is>
      </c>
      <c r="F10097" s="0" t="s">
        <v>28</v>
      </c>
      <c r="G10097" s="0" t="s">
        <v>29</v>
      </c>
      <c r="H10097" s="5">
        <v>25.901500</v>
      </c>
    </row>
    <row r="10098" spans="1:9">
      <c r="A10098" s="22" t="str">
        <f>HYPERLINK("https://app.vivvix.com/360/KMI/IntelliDrive/ApplUI/Pages/CreativePages/CustomReportCreativeDetail.aspx?App=23&amp;ReportView=4&amp;Qid=1711279&amp;Row=10090&amp;Col=1","No Title Assigned - #15271720652")</f>
        <v/>
      </c>
      <c r="B10098" s="0" t="s">
        <v>13641</v>
      </c>
      <c r="C10098" s="0" t="s">
        <v>13642</v>
      </c>
      <c r="D10098" s="0" t="s">
        <v>4407</v>
      </c>
      <c r="E10098" s="0" t="inlineStr">
        <is>
          <t xml:space="preserve">Mazda</t>
        </is>
      </c>
      <c r="F10098" s="0" t="s">
        <v>28</v>
      </c>
      <c r="G10098" s="0" t="s">
        <v>29</v>
      </c>
      <c r="H10098" s="5">
        <v>7.632500</v>
      </c>
    </row>
    <row r="10099" spans="1:9">
      <c r="A10099" s="22" t="str">
        <f>HYPERLINK("https://app.vivvix.com/360/KMI/IntelliDrive/ApplUI/Pages/CreativePages/CustomReportCreativeDetail.aspx?App=23&amp;ReportView=4&amp;Qid=1711279&amp;Row=10091&amp;Col=1","No Title Assigned - #15271720792")</f>
        <v/>
      </c>
      <c r="B10099" s="0" t="s">
        <v>13643</v>
      </c>
      <c r="C10099" s="0" t="s">
        <v>13644</v>
      </c>
      <c r="D10099" s="0" t="s">
        <v>7591</v>
      </c>
      <c r="E10099" s="0" t="inlineStr">
        <is>
          <t xml:space="preserve">Mazda</t>
        </is>
      </c>
      <c r="F10099" s="0" t="s">
        <v>28</v>
      </c>
      <c r="G10099" s="0" t="s">
        <v>29</v>
      </c>
      <c r="H10099" s="5">
        <v>8.192800</v>
      </c>
    </row>
    <row r="10100" spans="1:9">
      <c r="A10100" s="22" t="str">
        <f>HYPERLINK("https://app.vivvix.com/360/KMI/IntelliDrive/ApplUI/Pages/CreativePages/CustomReportCreativeDetail.aspx?App=23&amp;ReportView=4&amp;Qid=1711279&amp;Row=10092&amp;Col=1","No Title Assigned - #15271722560")</f>
        <v/>
      </c>
      <c r="B10100" s="0" t="s">
        <v>13645</v>
      </c>
      <c r="C10100" s="0" t="s">
        <v>13646</v>
      </c>
      <c r="D10100" s="0" t="s">
        <v>13646</v>
      </c>
      <c r="E10100" s="0" t="inlineStr">
        <is>
          <t xml:space="preserve">Mazda</t>
        </is>
      </c>
      <c r="F10100" s="0" t="s">
        <v>28</v>
      </c>
      <c r="G10100" s="0" t="s">
        <v>29</v>
      </c>
      <c r="H10100" s="5">
        <v>48.074500</v>
      </c>
    </row>
    <row r="10101" spans="1:9">
      <c r="A10101" s="22" t="str">
        <f>HYPERLINK("https://app.vivvix.com/360/KMI/IntelliDrive/ApplUI/Pages/CreativePages/CustomReportCreativeDetail.aspx?App=23&amp;ReportView=4&amp;Qid=1711279&amp;Row=10093&amp;Col=1","No Title Assigned - #15271722748")</f>
        <v/>
      </c>
      <c r="B10101" s="0" t="s">
        <v>13647</v>
      </c>
      <c r="C10101" s="0" t="s">
        <v>13648</v>
      </c>
      <c r="D10101" s="0" t="s">
        <v>4204</v>
      </c>
      <c r="E10101" s="0" t="inlineStr">
        <is>
          <t xml:space="preserve">Mazda</t>
        </is>
      </c>
      <c r="F10101" s="0" t="s">
        <v>28</v>
      </c>
      <c r="G10101" s="0" t="s">
        <v>29</v>
      </c>
      <c r="H10101" s="5">
        <v>9.967800</v>
      </c>
    </row>
    <row r="10102" spans="1:9">
      <c r="A10102" s="22" t="str">
        <f>HYPERLINK("https://app.vivvix.com/360/KMI/IntelliDrive/ApplUI/Pages/CreativePages/CustomReportCreativeDetail.aspx?App=23&amp;ReportView=4&amp;Qid=1711279&amp;Row=10094&amp;Col=1","No Title Assigned - #15271722841")</f>
        <v/>
      </c>
      <c r="B10102" s="0" t="s">
        <v>13649</v>
      </c>
      <c r="C10102" s="0" t="s">
        <v>13650</v>
      </c>
      <c r="D10102" s="0" t="s">
        <v>9376</v>
      </c>
      <c r="E10102" s="0" t="inlineStr">
        <is>
          <t xml:space="preserve">Mazda</t>
        </is>
      </c>
      <c r="F10102" s="0" t="s">
        <v>28</v>
      </c>
      <c r="G10102" s="0" t="s">
        <v>29</v>
      </c>
      <c r="H10102" s="5">
        <v>19.720400</v>
      </c>
    </row>
    <row r="10103" spans="1:9">
      <c r="A10103" s="22" t="str">
        <f>HYPERLINK("https://app.vivvix.com/360/KMI/IntelliDrive/ApplUI/Pages/CreativePages/CustomReportCreativeDetail.aspx?App=23&amp;ReportView=4&amp;Qid=1711279&amp;Row=10095&amp;Col=1","No Title Assigned - #15271723066")</f>
        <v/>
      </c>
      <c r="B10103" s="0" t="s">
        <v>13651</v>
      </c>
      <c r="C10103" s="0" t="s">
        <v>13652</v>
      </c>
      <c r="D10103" s="0" t="s">
        <v>13652</v>
      </c>
      <c r="E10103" s="0" t="inlineStr">
        <is>
          <t xml:space="preserve">Mazda</t>
        </is>
      </c>
      <c r="F10103" s="0" t="s">
        <v>28</v>
      </c>
      <c r="G10103" s="0" t="s">
        <v>29</v>
      </c>
      <c r="H10103" s="5">
        <v>282.828200</v>
      </c>
    </row>
    <row r="10104" spans="1:9">
      <c r="A10104" s="22" t="str">
        <f>HYPERLINK("https://app.vivvix.com/360/KMI/IntelliDrive/ApplUI/Pages/CreativePages/CustomReportCreativeDetail.aspx?App=23&amp;ReportView=4&amp;Qid=1711279&amp;Row=10096&amp;Col=1","No Title Assigned - #15271723192")</f>
        <v/>
      </c>
      <c r="B10104" s="0" t="s">
        <v>13653</v>
      </c>
      <c r="C10104" s="0" t="s">
        <v>13654</v>
      </c>
      <c r="D10104" s="0" t="s">
        <v>13654</v>
      </c>
      <c r="E10104" s="0" t="inlineStr">
        <is>
          <t xml:space="preserve">Mazda</t>
        </is>
      </c>
      <c r="F10104" s="0" t="s">
        <v>28</v>
      </c>
      <c r="G10104" s="0" t="s">
        <v>29</v>
      </c>
      <c r="H10104" s="5">
        <v>440.791200</v>
      </c>
    </row>
    <row r="10105" spans="1:9">
      <c r="A10105" s="22" t="str">
        <f>HYPERLINK("https://app.vivvix.com/360/KMI/IntelliDrive/ApplUI/Pages/CreativePages/CustomReportCreativeDetail.aspx?App=23&amp;ReportView=4&amp;Qid=1711279&amp;Row=10097&amp;Col=1","No Title Assigned - #15271723615")</f>
        <v/>
      </c>
      <c r="B10105" s="0" t="s">
        <v>13655</v>
      </c>
      <c r="C10105" s="0" t="s">
        <v>13656</v>
      </c>
      <c r="D10105" s="0" t="s">
        <v>13656</v>
      </c>
      <c r="E10105" s="0" t="inlineStr">
        <is>
          <t xml:space="preserve">Mazda</t>
        </is>
      </c>
      <c r="F10105" s="0" t="s">
        <v>28</v>
      </c>
      <c r="G10105" s="0" t="s">
        <v>29</v>
      </c>
      <c r="H10105" s="5">
        <v>458.127000</v>
      </c>
    </row>
    <row r="10106" spans="1:9">
      <c r="A10106" s="22" t="str">
        <f>HYPERLINK("https://app.vivvix.com/360/KMI/IntelliDrive/ApplUI/Pages/CreativePages/CustomReportCreativeDetail.aspx?App=23&amp;ReportView=4&amp;Qid=1711279&amp;Row=10098&amp;Col=1","No Title Assigned - #15271723892")</f>
        <v/>
      </c>
      <c r="B10106" s="0" t="s">
        <v>13657</v>
      </c>
      <c r="C10106" s="0" t="s">
        <v>13658</v>
      </c>
      <c r="D10106" s="0" t="s">
        <v>13658</v>
      </c>
      <c r="E10106" s="0" t="inlineStr">
        <is>
          <t xml:space="preserve">Mazda</t>
        </is>
      </c>
      <c r="F10106" s="0" t="s">
        <v>28</v>
      </c>
      <c r="G10106" s="0" t="s">
        <v>29</v>
      </c>
      <c r="H10106" s="5">
        <v>40.475400</v>
      </c>
    </row>
    <row r="10107" spans="1:9">
      <c r="A10107" s="22" t="str">
        <f>HYPERLINK("https://app.vivvix.com/360/KMI/IntelliDrive/ApplUI/Pages/CreativePages/CustomReportCreativeDetail.aspx?App=23&amp;ReportView=4&amp;Qid=1711279&amp;Row=10099&amp;Col=1","No Title Assigned - #15271724514")</f>
        <v/>
      </c>
      <c r="B10107" s="0" t="s">
        <v>13659</v>
      </c>
      <c r="E10107" s="0" t="inlineStr">
        <is>
          <t xml:space="preserve">Mazda</t>
        </is>
      </c>
      <c r="F10107" s="0" t="s">
        <v>28</v>
      </c>
      <c r="G10107" s="0" t="s">
        <v>29</v>
      </c>
      <c r="H10107" s="5">
        <v>14203.999100</v>
      </c>
    </row>
    <row r="10108" spans="1:9">
      <c r="A10108" s="22" t="str">
        <f>HYPERLINK("https://app.vivvix.com/360/KMI/IntelliDrive/ApplUI/Pages/CreativePages/CustomReportCreativeDetail.aspx?App=23&amp;ReportView=4&amp;Qid=1711279&amp;Row=10100&amp;Col=1","No Title Assigned - #15271724514")</f>
        <v/>
      </c>
      <c r="B10108" s="0" t="s">
        <v>13659</v>
      </c>
      <c r="C10108" s="0" t="s">
        <v>13660</v>
      </c>
      <c r="D10108" s="0" t="s">
        <v>4200</v>
      </c>
      <c r="E10108" s="0" t="inlineStr">
        <is>
          <t xml:space="preserve">Mazda</t>
        </is>
      </c>
      <c r="F10108" s="0" t="s">
        <v>28</v>
      </c>
      <c r="G10108" s="0" t="s">
        <v>29</v>
      </c>
      <c r="H10108" s="5">
        <v>347.694600</v>
      </c>
    </row>
    <row r="10109" spans="1:9">
      <c r="A10109" s="22" t="str">
        <f>HYPERLINK("https://app.vivvix.com/360/KMI/IntelliDrive/ApplUI/Pages/CreativePages/CustomReportCreativeDetail.aspx?App=23&amp;ReportView=4&amp;Qid=1711279&amp;Row=10101&amp;Col=1","No Title Assigned - #15271724970")</f>
        <v/>
      </c>
      <c r="B10109" s="0" t="s">
        <v>13661</v>
      </c>
      <c r="E10109" s="0" t="inlineStr">
        <is>
          <t xml:space="preserve">Mazda</t>
        </is>
      </c>
      <c r="F10109" s="0" t="s">
        <v>28</v>
      </c>
      <c r="G10109" s="0" t="s">
        <v>29</v>
      </c>
      <c r="H10109" s="5">
        <v>9.613500</v>
      </c>
    </row>
    <row r="10110" spans="1:9">
      <c r="A10110" s="22" t="str">
        <f>HYPERLINK("https://app.vivvix.com/360/KMI/IntelliDrive/ApplUI/Pages/CreativePages/CustomReportCreativeDetail.aspx?App=23&amp;ReportView=4&amp;Qid=1711279&amp;Row=10102&amp;Col=1","No Title Assigned - #15271726505")</f>
        <v/>
      </c>
      <c r="B10110" s="0" t="s">
        <v>13662</v>
      </c>
      <c r="C10110" s="0" t="s">
        <v>13663</v>
      </c>
      <c r="D10110" s="0" t="s">
        <v>4204</v>
      </c>
      <c r="E10110" s="0" t="inlineStr">
        <is>
          <t xml:space="preserve">Mazda</t>
        </is>
      </c>
      <c r="F10110" s="0" t="s">
        <v>28</v>
      </c>
      <c r="G10110" s="0" t="s">
        <v>29</v>
      </c>
      <c r="H10110" s="5">
        <v>17.155100</v>
      </c>
    </row>
    <row r="10111" spans="1:9">
      <c r="A10111" s="22" t="str">
        <f>HYPERLINK("https://app.vivvix.com/360/KMI/IntelliDrive/ApplUI/Pages/CreativePages/CustomReportCreativeDetail.aspx?App=23&amp;ReportView=4&amp;Qid=1711279&amp;Row=10103&amp;Col=1","No Title Assigned - #15271726514")</f>
        <v/>
      </c>
      <c r="B10111" s="0" t="s">
        <v>13664</v>
      </c>
      <c r="C10111" s="0" t="s">
        <v>13665</v>
      </c>
      <c r="D10111" s="0" t="s">
        <v>12533</v>
      </c>
      <c r="E10111" s="0" t="inlineStr">
        <is>
          <t xml:space="preserve">Mazda</t>
        </is>
      </c>
      <c r="F10111" s="0" t="s">
        <v>13</v>
      </c>
      <c r="G10111" s="0" t="s">
        <v>49</v>
      </c>
      <c r="H10111" s="5">
        <v>5127.700300</v>
      </c>
    </row>
    <row r="10112" spans="1:9">
      <c r="A10112" s="22" t="str">
        <f>HYPERLINK("https://app.vivvix.com/360/KMI/IntelliDrive/ApplUI/Pages/CreativePages/CustomReportCreativeDetail.aspx?App=23&amp;ReportView=4&amp;Qid=1711279&amp;Row=10104&amp;Col=1","No Title Assigned - #15271726748")</f>
        <v/>
      </c>
      <c r="B10112" s="0" t="s">
        <v>13666</v>
      </c>
      <c r="C10112" s="0" t="s">
        <v>13667</v>
      </c>
      <c r="D10112" s="0" t="s">
        <v>13667</v>
      </c>
      <c r="E10112" s="0" t="inlineStr">
        <is>
          <t xml:space="preserve">Mazda</t>
        </is>
      </c>
      <c r="F10112" s="0" t="s">
        <v>28</v>
      </c>
      <c r="G10112" s="0" t="s">
        <v>29</v>
      </c>
      <c r="H10112" s="5">
        <v>538.881500</v>
      </c>
    </row>
    <row r="10113" spans="1:9">
      <c r="A10113" s="22" t="str">
        <f>HYPERLINK("https://app.vivvix.com/360/KMI/IntelliDrive/ApplUI/Pages/CreativePages/CustomReportCreativeDetail.aspx?App=23&amp;ReportView=4&amp;Qid=1711279&amp;Row=10105&amp;Col=1","No Title Assigned - #15271726824")</f>
        <v/>
      </c>
      <c r="B10113" s="0" t="s">
        <v>13668</v>
      </c>
      <c r="C10113" s="0" t="s">
        <v>13669</v>
      </c>
      <c r="D10113" s="0" t="s">
        <v>4333</v>
      </c>
      <c r="E10113" s="0" t="inlineStr">
        <is>
          <t xml:space="preserve">Mazda</t>
        </is>
      </c>
      <c r="F10113" s="0" t="s">
        <v>28</v>
      </c>
      <c r="G10113" s="0" t="s">
        <v>29</v>
      </c>
      <c r="H10113" s="5">
        <v>29.412800</v>
      </c>
    </row>
    <row r="10114" spans="1:9">
      <c r="A10114" s="22" t="str">
        <f>HYPERLINK("https://app.vivvix.com/360/KMI/IntelliDrive/ApplUI/Pages/CreativePages/CustomReportCreativeDetail.aspx?App=23&amp;ReportView=4&amp;Qid=1711279&amp;Row=10106&amp;Col=1","No Title Assigned - #15271727250")</f>
        <v/>
      </c>
      <c r="B10114" s="0" t="s">
        <v>13670</v>
      </c>
      <c r="C10114" s="0" t="s">
        <v>13671</v>
      </c>
      <c r="D10114" s="0" t="s">
        <v>8986</v>
      </c>
      <c r="E10114" s="0" t="inlineStr">
        <is>
          <t xml:space="preserve">Mazda</t>
        </is>
      </c>
      <c r="F10114" s="0" t="s">
        <v>28</v>
      </c>
      <c r="G10114" s="0" t="s">
        <v>29</v>
      </c>
      <c r="H10114" s="5">
        <v>652.668800</v>
      </c>
    </row>
    <row r="10115" spans="1:9">
      <c r="A10115" s="22" t="str">
        <f>HYPERLINK("https://app.vivvix.com/360/KMI/IntelliDrive/ApplUI/Pages/CreativePages/CustomReportCreativeDetail.aspx?App=23&amp;ReportView=4&amp;Qid=1711279&amp;Row=10107&amp;Col=1","No Title Assigned - #15271727614")</f>
        <v/>
      </c>
      <c r="B10115" s="0" t="s">
        <v>13672</v>
      </c>
      <c r="C10115" s="0" t="s">
        <v>13673</v>
      </c>
      <c r="D10115" s="0" t="s">
        <v>13673</v>
      </c>
      <c r="E10115" s="0" t="inlineStr">
        <is>
          <t xml:space="preserve">Mazda</t>
        </is>
      </c>
      <c r="F10115" s="0" t="s">
        <v>28</v>
      </c>
      <c r="G10115" s="0" t="s">
        <v>29</v>
      </c>
      <c r="H10115" s="5">
        <v>472.882900</v>
      </c>
    </row>
    <row r="10116" spans="1:9">
      <c r="A10116" s="22" t="str">
        <f>HYPERLINK("https://app.vivvix.com/360/KMI/IntelliDrive/ApplUI/Pages/CreativePages/CustomReportCreativeDetail.aspx?App=23&amp;ReportView=4&amp;Qid=1711279&amp;Row=10108&amp;Col=1","No Title Assigned - #15271727891")</f>
        <v/>
      </c>
      <c r="B10116" s="0" t="s">
        <v>13674</v>
      </c>
      <c r="C10116" s="0" t="s">
        <v>13675</v>
      </c>
      <c r="D10116" s="0" t="s">
        <v>13675</v>
      </c>
      <c r="E10116" s="0" t="inlineStr">
        <is>
          <t xml:space="preserve">Mazda</t>
        </is>
      </c>
      <c r="F10116" s="0" t="inlineStr">
        <is>
          <t xml:space="preserve">Mazda</t>
        </is>
      </c>
      <c r="G10116" s="0" t="s">
        <v>171</v>
      </c>
      <c r="H10116" s="5">
        <v>540.078900</v>
      </c>
    </row>
    <row r="10117" spans="1:9">
      <c r="A10117" s="22" t="str">
        <f>HYPERLINK("https://app.vivvix.com/360/KMI/IntelliDrive/ApplUI/Pages/CreativePages/CustomReportCreativeDetail.aspx?App=23&amp;ReportView=4&amp;Qid=1711279&amp;Row=10109&amp;Col=1","No Title Assigned - #15271728450")</f>
        <v/>
      </c>
      <c r="B10117" s="0" t="s">
        <v>13676</v>
      </c>
      <c r="C10117" s="0" t="s">
        <v>13677</v>
      </c>
      <c r="D10117" s="0" t="s">
        <v>13677</v>
      </c>
      <c r="E10117" s="0" t="inlineStr">
        <is>
          <t xml:space="preserve">Mazda</t>
        </is>
      </c>
      <c r="F10117" s="0" t="s">
        <v>13</v>
      </c>
      <c r="G10117" s="0" t="s">
        <v>49</v>
      </c>
      <c r="H10117" s="5">
        <v>1739.339600</v>
      </c>
    </row>
    <row r="10118" spans="1:9">
      <c r="A10118" s="22" t="str">
        <f>HYPERLINK("https://app.vivvix.com/360/KMI/IntelliDrive/ApplUI/Pages/CreativePages/CustomReportCreativeDetail.aspx?App=23&amp;ReportView=4&amp;Qid=1711279&amp;Row=10110&amp;Col=1","No Title Assigned - #15271728872")</f>
        <v/>
      </c>
      <c r="B10118" s="0" t="s">
        <v>13678</v>
      </c>
      <c r="E10118" s="0" t="inlineStr">
        <is>
          <t xml:space="preserve">Mazda</t>
        </is>
      </c>
      <c r="F10118" s="0" t="inlineStr">
        <is>
          <t xml:space="preserve">Mazda</t>
        </is>
      </c>
      <c r="G10118" s="0" t="s">
        <v>171</v>
      </c>
      <c r="H10118" s="5">
        <v>19.935400</v>
      </c>
    </row>
    <row r="10119" spans="1:9">
      <c r="A10119" s="22" t="str">
        <f>HYPERLINK("https://app.vivvix.com/360/KMI/IntelliDrive/ApplUI/Pages/CreativePages/CustomReportCreativeDetail.aspx?App=23&amp;ReportView=4&amp;Qid=1711279&amp;Row=10111&amp;Col=1","No Title Assigned - #15271729428")</f>
        <v/>
      </c>
      <c r="B10119" s="0" t="s">
        <v>13679</v>
      </c>
      <c r="C10119" s="0" t="s">
        <v>13680</v>
      </c>
      <c r="D10119" s="0" t="s">
        <v>13680</v>
      </c>
      <c r="E10119" s="0" t="inlineStr">
        <is>
          <t xml:space="preserve">Mazda</t>
        </is>
      </c>
      <c r="F10119" s="0" t="inlineStr">
        <is>
          <t xml:space="preserve">Mazda</t>
        </is>
      </c>
      <c r="G10119" s="0" t="s">
        <v>171</v>
      </c>
      <c r="H10119" s="5">
        <v>11.294400</v>
      </c>
    </row>
    <row r="10120" spans="1:9">
      <c r="A10120" s="22" t="str">
        <f>HYPERLINK("https://app.vivvix.com/360/KMI/IntelliDrive/ApplUI/Pages/CreativePages/CustomReportCreativeDetail.aspx?App=23&amp;ReportView=4&amp;Qid=1711279&amp;Row=10112&amp;Col=1","No Title Assigned - #15271731865")</f>
        <v/>
      </c>
      <c r="B10120" s="0" t="s">
        <v>13681</v>
      </c>
      <c r="E10120" s="0" t="inlineStr">
        <is>
          <t xml:space="preserve">Mazda</t>
        </is>
      </c>
      <c r="F10120" s="0" t="inlineStr">
        <is>
          <t xml:space="preserve">Mazda</t>
        </is>
      </c>
      <c r="G10120" s="0" t="s">
        <v>171</v>
      </c>
      <c r="H10120" s="5">
        <v>56.497000</v>
      </c>
    </row>
    <row r="10121" spans="1:9">
      <c r="A10121" s="22" t="str">
        <f>HYPERLINK("https://app.vivvix.com/360/KMI/IntelliDrive/ApplUI/Pages/CreativePages/CustomReportCreativeDetail.aspx?App=23&amp;ReportView=4&amp;Qid=1711279&amp;Row=10113&amp;Col=1","No Title Assigned - #15271732972")</f>
        <v/>
      </c>
      <c r="B10121" s="0" t="s">
        <v>13682</v>
      </c>
      <c r="E10121" s="0" t="inlineStr">
        <is>
          <t xml:space="preserve">Mazda</t>
        </is>
      </c>
      <c r="F10121" s="0" t="inlineStr">
        <is>
          <t xml:space="preserve">Mazda</t>
        </is>
      </c>
      <c r="G10121" s="0" t="s">
        <v>171</v>
      </c>
      <c r="H10121" s="5">
        <v>254.382600</v>
      </c>
    </row>
    <row r="10122" spans="1:9">
      <c r="A10122" s="22" t="str">
        <f>HYPERLINK("https://app.vivvix.com/360/KMI/IntelliDrive/ApplUI/Pages/CreativePages/CustomReportCreativeDetail.aspx?App=23&amp;ReportView=4&amp;Qid=1711279&amp;Row=10114&amp;Col=1","No Title Assigned - #15271733365")</f>
        <v/>
      </c>
      <c r="B10122" s="0" t="s">
        <v>13683</v>
      </c>
      <c r="C10122" s="0" t="s">
        <v>13684</v>
      </c>
      <c r="D10122" s="0" t="s">
        <v>13684</v>
      </c>
      <c r="E10122" s="0" t="inlineStr">
        <is>
          <t xml:space="preserve">Mazda</t>
        </is>
      </c>
      <c r="F10122" s="0" t="inlineStr">
        <is>
          <t xml:space="preserve">Mazda</t>
        </is>
      </c>
      <c r="G10122" s="0" t="s">
        <v>171</v>
      </c>
      <c r="H10122" s="5">
        <v>131.267000</v>
      </c>
    </row>
    <row r="10123" spans="1:9">
      <c r="A10123" s="22" t="str">
        <f>HYPERLINK("https://app.vivvix.com/360/KMI/IntelliDrive/ApplUI/Pages/CreativePages/CustomReportCreativeDetail.aspx?App=23&amp;ReportView=4&amp;Qid=1711279&amp;Row=10115&amp;Col=1","No Title Assigned - #15271736330")</f>
        <v/>
      </c>
      <c r="B10123" s="0" t="s">
        <v>13685</v>
      </c>
      <c r="C10123" s="0" t="s">
        <v>13686</v>
      </c>
      <c r="D10123" s="0" t="s">
        <v>13686</v>
      </c>
      <c r="E10123" s="0" t="inlineStr">
        <is>
          <t xml:space="preserve">Mazda</t>
        </is>
      </c>
      <c r="F10123" s="0" t="inlineStr">
        <is>
          <t xml:space="preserve">Mazda</t>
        </is>
      </c>
      <c r="G10123" s="0" t="s">
        <v>171</v>
      </c>
      <c r="H10123" s="5">
        <v>1744.812100</v>
      </c>
    </row>
    <row r="10124" spans="1:9">
      <c r="A10124" s="22" t="str">
        <f>HYPERLINK("https://app.vivvix.com/360/KMI/IntelliDrive/ApplUI/Pages/CreativePages/CustomReportCreativeDetail.aspx?App=23&amp;ReportView=4&amp;Qid=1711279&amp;Row=10116&amp;Col=1","No Title Assigned - #15271769094")</f>
        <v/>
      </c>
      <c r="B10124" s="0" t="s">
        <v>13687</v>
      </c>
      <c r="C10124" s="0" t="s">
        <v>13688</v>
      </c>
      <c r="D10124" s="0" t="s">
        <v>13688</v>
      </c>
      <c r="E10124" s="0" t="inlineStr">
        <is>
          <t xml:space="preserve">Mazda</t>
        </is>
      </c>
      <c r="F10124" s="0" t="s">
        <v>13</v>
      </c>
      <c r="G10124" s="0" t="s">
        <v>49</v>
      </c>
      <c r="H10124" s="5">
        <v>3285.663700</v>
      </c>
    </row>
    <row r="10125" spans="1:9">
      <c r="A10125" s="22" t="str">
        <f>HYPERLINK("https://app.vivvix.com/360/KMI/IntelliDrive/ApplUI/Pages/CreativePages/CustomReportCreativeDetail.aspx?App=23&amp;ReportView=4&amp;Qid=1711279&amp;Row=10117&amp;Col=1","No Title Assigned - #15271770394")</f>
        <v/>
      </c>
      <c r="B10125" s="0" t="s">
        <v>13689</v>
      </c>
      <c r="C10125" s="0" t="s">
        <v>13690</v>
      </c>
      <c r="D10125" s="0" t="s">
        <v>13690</v>
      </c>
      <c r="E10125" s="0" t="inlineStr">
        <is>
          <t xml:space="preserve">Mazda</t>
        </is>
      </c>
      <c r="F10125" s="0" t="s">
        <v>13</v>
      </c>
      <c r="G10125" s="0" t="s">
        <v>49</v>
      </c>
      <c r="H10125" s="5">
        <v>5523.654100</v>
      </c>
    </row>
    <row r="10126" spans="1:9">
      <c r="A10126" s="22" t="str">
        <f>HYPERLINK("https://app.vivvix.com/360/KMI/IntelliDrive/ApplUI/Pages/CreativePages/CustomReportCreativeDetail.aspx?App=23&amp;ReportView=4&amp;Qid=1711279&amp;Row=10118&amp;Col=1","No Title Assigned - #15271770734")</f>
        <v/>
      </c>
      <c r="B10126" s="0" t="s">
        <v>13691</v>
      </c>
      <c r="C10126" s="0" t="s">
        <v>13692</v>
      </c>
      <c r="D10126" s="0" t="s">
        <v>13692</v>
      </c>
      <c r="E10126" s="0" t="inlineStr">
        <is>
          <t xml:space="preserve">Mazda</t>
        </is>
      </c>
      <c r="F10126" s="0" t="s">
        <v>28</v>
      </c>
      <c r="G10126" s="0" t="s">
        <v>29</v>
      </c>
      <c r="H10126" s="5">
        <v>181.166400</v>
      </c>
    </row>
    <row r="10127" spans="1:9">
      <c r="A10127" s="22" t="str">
        <f>HYPERLINK("https://app.vivvix.com/360/KMI/IntelliDrive/ApplUI/Pages/CreativePages/CustomReportCreativeDetail.aspx?App=23&amp;ReportView=4&amp;Qid=1711279&amp;Row=10119&amp;Col=1","No Title Assigned - #15271774841")</f>
        <v/>
      </c>
      <c r="B10127" s="0" t="s">
        <v>13693</v>
      </c>
      <c r="C10127" s="0" t="s">
        <v>13694</v>
      </c>
      <c r="D10127" s="0" t="s">
        <v>13694</v>
      </c>
      <c r="E10127" s="0" t="inlineStr">
        <is>
          <t xml:space="preserve">Mazda</t>
        </is>
      </c>
      <c r="F10127" s="0" t="s">
        <v>28</v>
      </c>
      <c r="G10127" s="0" t="s">
        <v>29</v>
      </c>
      <c r="H10127" s="5">
        <v>967.157500</v>
      </c>
    </row>
    <row r="10128" spans="1:9">
      <c r="A10128" s="22" t="str">
        <f>HYPERLINK("https://app.vivvix.com/360/KMI/IntelliDrive/ApplUI/Pages/CreativePages/CustomReportCreativeDetail.aspx?App=23&amp;ReportView=4&amp;Qid=1711279&amp;Row=10120&amp;Col=1","No Title Assigned - #15271775517")</f>
        <v/>
      </c>
      <c r="B10128" s="0" t="s">
        <v>13695</v>
      </c>
      <c r="C10128" s="0" t="s">
        <v>13696</v>
      </c>
      <c r="D10128" s="0" t="s">
        <v>13696</v>
      </c>
      <c r="E10128" s="0" t="inlineStr">
        <is>
          <t xml:space="preserve">Mazda</t>
        </is>
      </c>
      <c r="F10128" s="0" t="s">
        <v>13</v>
      </c>
      <c r="G10128" s="0" t="s">
        <v>49</v>
      </c>
      <c r="H10128" s="5">
        <v>63.783000</v>
      </c>
    </row>
    <row r="10129" spans="1:9">
      <c r="A10129" s="22" t="str">
        <f>HYPERLINK("https://app.vivvix.com/360/KMI/IntelliDrive/ApplUI/Pages/CreativePages/CustomReportCreativeDetail.aspx?App=23&amp;ReportView=4&amp;Qid=1711279&amp;Row=10121&amp;Col=1","No Title Assigned - #15271777241")</f>
        <v/>
      </c>
      <c r="B10129" s="0" t="s">
        <v>13697</v>
      </c>
      <c r="E10129" s="0" t="inlineStr">
        <is>
          <t xml:space="preserve">Mazda</t>
        </is>
      </c>
      <c r="F10129" s="0" t="inlineStr">
        <is>
          <t xml:space="preserve">Mazda</t>
        </is>
      </c>
      <c r="G10129" s="0" t="s">
        <v>171</v>
      </c>
      <c r="H10129" s="5">
        <v>204046.579600</v>
      </c>
    </row>
    <row r="10130" spans="1:9">
      <c r="A10130" s="22" t="str">
        <f>HYPERLINK("https://app.vivvix.com/360/KMI/IntelliDrive/ApplUI/Pages/CreativePages/CustomReportCreativeDetail.aspx?App=23&amp;ReportView=4&amp;Qid=1711279&amp;Row=10122&amp;Col=1","No Title Assigned - #15271777241")</f>
        <v/>
      </c>
      <c r="B10130" s="0" t="s">
        <v>13697</v>
      </c>
      <c r="E10130" s="0" t="inlineStr">
        <is>
          <t xml:space="preserve">Mazda</t>
        </is>
      </c>
      <c r="F10130" s="0" t="inlineStr">
        <is>
          <t xml:space="preserve">Mazda</t>
        </is>
      </c>
      <c r="G10130" s="0" t="s">
        <v>171</v>
      </c>
      <c r="H10130" s="5">
        <v>155.541200</v>
      </c>
    </row>
    <row r="10131" spans="1:9">
      <c r="A10131" s="22" t="str">
        <f>HYPERLINK("https://app.vivvix.com/360/KMI/IntelliDrive/ApplUI/Pages/CreativePages/CustomReportCreativeDetail.aspx?App=23&amp;ReportView=4&amp;Qid=1711279&amp;Row=10123&amp;Col=1","No Title Assigned - #15271779784")</f>
        <v/>
      </c>
      <c r="B10131" s="0" t="s">
        <v>13698</v>
      </c>
      <c r="C10131" s="0" t="s">
        <v>13699</v>
      </c>
      <c r="D10131" s="0" t="s">
        <v>13699</v>
      </c>
      <c r="E10131" s="0" t="inlineStr">
        <is>
          <t xml:space="preserve">Mazda</t>
        </is>
      </c>
      <c r="F10131" s="0" t="inlineStr">
        <is>
          <t xml:space="preserve">Mazda</t>
        </is>
      </c>
      <c r="G10131" s="0" t="s">
        <v>210</v>
      </c>
      <c r="H10131" s="5">
        <v>2379.512900</v>
      </c>
    </row>
    <row r="10132" spans="1:9">
      <c r="A10132" s="22" t="str">
        <f>HYPERLINK("https://app.vivvix.com/360/KMI/IntelliDrive/ApplUI/Pages/CreativePages/CustomReportCreativeDetail.aspx?App=23&amp;ReportView=4&amp;Qid=1711279&amp;Row=10124&amp;Col=1","No Title Assigned - #15271780121")</f>
        <v/>
      </c>
      <c r="B10132" s="0" t="s">
        <v>13700</v>
      </c>
      <c r="C10132" s="0" t="s">
        <v>13701</v>
      </c>
      <c r="D10132" s="0" t="s">
        <v>4407</v>
      </c>
      <c r="E10132" s="0" t="inlineStr">
        <is>
          <t xml:space="preserve">Mazda</t>
        </is>
      </c>
      <c r="F10132" s="0" t="s">
        <v>28</v>
      </c>
      <c r="G10132" s="0" t="s">
        <v>29</v>
      </c>
      <c r="H10132" s="5">
        <v>1.836000</v>
      </c>
    </row>
    <row r="10133" spans="1:9">
      <c r="A10133" s="22" t="str">
        <f>HYPERLINK("https://app.vivvix.com/360/KMI/IntelliDrive/ApplUI/Pages/CreativePages/CustomReportCreativeDetail.aspx?App=23&amp;ReportView=4&amp;Qid=1711279&amp;Row=10125&amp;Col=1","No Title Assigned - #15271780493")</f>
        <v/>
      </c>
      <c r="B10133" s="0" t="s">
        <v>13702</v>
      </c>
      <c r="C10133" s="0" t="s">
        <v>13703</v>
      </c>
      <c r="D10133" s="0" t="s">
        <v>4225</v>
      </c>
      <c r="E10133" s="0" t="inlineStr">
        <is>
          <t xml:space="preserve">Mazda</t>
        </is>
      </c>
      <c r="F10133" s="0" t="s">
        <v>28</v>
      </c>
      <c r="G10133" s="0" t="s">
        <v>29</v>
      </c>
      <c r="H10133" s="5">
        <v>39.750600</v>
      </c>
    </row>
    <row r="10134" spans="1:9">
      <c r="A10134" s="22" t="str">
        <f>HYPERLINK("https://app.vivvix.com/360/KMI/IntelliDrive/ApplUI/Pages/CreativePages/CustomReportCreativeDetail.aspx?App=23&amp;ReportView=4&amp;Qid=1711279&amp;Row=10126&amp;Col=1","No Title Assigned - #15271784583")</f>
        <v/>
      </c>
      <c r="B10134" s="0" t="s">
        <v>13704</v>
      </c>
      <c r="E10134" s="0" t="inlineStr">
        <is>
          <t xml:space="preserve">Mazda</t>
        </is>
      </c>
      <c r="F10134" s="0" t="inlineStr">
        <is>
          <t xml:space="preserve">Mazda</t>
        </is>
      </c>
      <c r="G10134" s="0" t="s">
        <v>171</v>
      </c>
      <c r="H10134" s="5">
        <v>12994.053600</v>
      </c>
    </row>
    <row r="10135" spans="1:9">
      <c r="A10135" s="22" t="str">
        <f>HYPERLINK("https://app.vivvix.com/360/KMI/IntelliDrive/ApplUI/Pages/CreativePages/CustomReportCreativeDetail.aspx?App=23&amp;ReportView=4&amp;Qid=1711279&amp;Row=10127&amp;Col=1","No Title Assigned - #15271784918")</f>
        <v/>
      </c>
      <c r="B10135" s="0" t="s">
        <v>13705</v>
      </c>
      <c r="E10135" s="0" t="inlineStr">
        <is>
          <t xml:space="preserve">Mazda</t>
        </is>
      </c>
      <c r="F10135" s="0" t="inlineStr">
        <is>
          <t xml:space="preserve">Mazda</t>
        </is>
      </c>
      <c r="G10135" s="0" t="s">
        <v>171</v>
      </c>
      <c r="H10135" s="5">
        <v>1783.205000</v>
      </c>
    </row>
    <row r="10136" spans="1:9">
      <c r="A10136" s="22" t="str">
        <f>HYPERLINK("https://app.vivvix.com/360/KMI/IntelliDrive/ApplUI/Pages/CreativePages/CustomReportCreativeDetail.aspx?App=23&amp;ReportView=4&amp;Qid=1711279&amp;Row=10128&amp;Col=1","No Title Assigned - #15271785430")</f>
        <v/>
      </c>
      <c r="B10136" s="0" t="s">
        <v>13706</v>
      </c>
      <c r="C10136" s="0" t="s">
        <v>13707</v>
      </c>
      <c r="D10136" s="0" t="s">
        <v>13707</v>
      </c>
      <c r="E10136" s="0" t="inlineStr">
        <is>
          <t xml:space="preserve">Mazda</t>
        </is>
      </c>
      <c r="F10136" s="0" t="s">
        <v>13</v>
      </c>
      <c r="G10136" s="0" t="s">
        <v>49</v>
      </c>
      <c r="H10136" s="5">
        <v>287.819200</v>
      </c>
    </row>
    <row r="10137" spans="1:9">
      <c r="A10137" s="22" t="str">
        <f>HYPERLINK("https://app.vivvix.com/360/KMI/IntelliDrive/ApplUI/Pages/CreativePages/CustomReportCreativeDetail.aspx?App=23&amp;ReportView=4&amp;Qid=1711279&amp;Row=10129&amp;Col=1","No Title Assigned - #15271785622")</f>
        <v/>
      </c>
      <c r="B10137" s="0" t="s">
        <v>13708</v>
      </c>
      <c r="C10137" s="0" t="s">
        <v>13709</v>
      </c>
      <c r="D10137" s="0" t="s">
        <v>13709</v>
      </c>
      <c r="E10137" s="0" t="inlineStr">
        <is>
          <t xml:space="preserve">Mazda</t>
        </is>
      </c>
      <c r="F10137" s="0" t="s">
        <v>13</v>
      </c>
      <c r="G10137" s="0" t="s">
        <v>49</v>
      </c>
      <c r="H10137" s="5">
        <v>88.930700</v>
      </c>
    </row>
    <row r="10138" spans="1:9">
      <c r="A10138" s="22" t="str">
        <f>HYPERLINK("https://app.vivvix.com/360/KMI/IntelliDrive/ApplUI/Pages/CreativePages/CustomReportCreativeDetail.aspx?App=23&amp;ReportView=4&amp;Qid=1711279&amp;Row=10130&amp;Col=1","No Title Assigned - #15271786313")</f>
        <v/>
      </c>
      <c r="B10138" s="0" t="s">
        <v>13710</v>
      </c>
      <c r="C10138" s="0" t="s">
        <v>13711</v>
      </c>
      <c r="D10138" s="0" t="s">
        <v>13711</v>
      </c>
      <c r="E10138" s="0" t="inlineStr">
        <is>
          <t xml:space="preserve">Mazda</t>
        </is>
      </c>
      <c r="F10138" s="0" t="s">
        <v>13</v>
      </c>
      <c r="G10138" s="0" t="s">
        <v>49</v>
      </c>
      <c r="H10138" s="5">
        <v>41.626800</v>
      </c>
    </row>
    <row r="10139" spans="1:9">
      <c r="A10139" s="22" t="str">
        <f>HYPERLINK("https://app.vivvix.com/360/KMI/IntelliDrive/ApplUI/Pages/CreativePages/CustomReportCreativeDetail.aspx?App=23&amp;ReportView=4&amp;Qid=1711279&amp;Row=10131&amp;Col=1","No Title Assigned - #15271786340")</f>
        <v/>
      </c>
      <c r="B10139" s="0" t="s">
        <v>13712</v>
      </c>
      <c r="C10139" s="0" t="s">
        <v>13713</v>
      </c>
      <c r="D10139" s="0" t="s">
        <v>13713</v>
      </c>
      <c r="E10139" s="0" t="inlineStr">
        <is>
          <t xml:space="preserve">Mazda</t>
        </is>
      </c>
      <c r="F10139" s="0" t="s">
        <v>28</v>
      </c>
      <c r="G10139" s="0" t="s">
        <v>29</v>
      </c>
      <c r="H10139" s="5">
        <v>132.857300</v>
      </c>
    </row>
    <row r="10140" spans="1:9">
      <c r="A10140" s="22" t="str">
        <f>HYPERLINK("https://app.vivvix.com/360/KMI/IntelliDrive/ApplUI/Pages/CreativePages/CustomReportCreativeDetail.aspx?App=23&amp;ReportView=4&amp;Qid=1711279&amp;Row=10132&amp;Col=1","No Title Assigned - #15271786543")</f>
        <v/>
      </c>
      <c r="B10140" s="0" t="s">
        <v>13714</v>
      </c>
      <c r="C10140" s="0" t="s">
        <v>13715</v>
      </c>
      <c r="D10140" s="0" t="s">
        <v>13715</v>
      </c>
      <c r="E10140" s="0" t="inlineStr">
        <is>
          <t xml:space="preserve">Mazda</t>
        </is>
      </c>
      <c r="F10140" s="0" t="inlineStr">
        <is>
          <t xml:space="preserve">Mazda</t>
        </is>
      </c>
      <c r="G10140" s="0" t="s">
        <v>210</v>
      </c>
      <c r="H10140" s="5">
        <v>2137.838200</v>
      </c>
    </row>
    <row r="10141" spans="1:9">
      <c r="A10141" s="22" t="str">
        <f>HYPERLINK("https://app.vivvix.com/360/KMI/IntelliDrive/ApplUI/Pages/CreativePages/CustomReportCreativeDetail.aspx?App=23&amp;ReportView=4&amp;Qid=1711279&amp;Row=10133&amp;Col=1","No Title Assigned - #15271787012")</f>
        <v/>
      </c>
      <c r="B10141" s="0" t="s">
        <v>13716</v>
      </c>
      <c r="C10141" s="0" t="s">
        <v>13717</v>
      </c>
      <c r="D10141" s="0" t="s">
        <v>4202</v>
      </c>
      <c r="E10141" s="0" t="inlineStr">
        <is>
          <t xml:space="preserve">Mazda</t>
        </is>
      </c>
      <c r="F10141" s="0" t="s">
        <v>28</v>
      </c>
      <c r="G10141" s="0" t="s">
        <v>29</v>
      </c>
      <c r="H10141" s="5">
        <v>103.104000</v>
      </c>
    </row>
    <row r="10142" spans="1:9">
      <c r="A10142" s="22" t="str">
        <f>HYPERLINK("https://app.vivvix.com/360/KMI/IntelliDrive/ApplUI/Pages/CreativePages/CustomReportCreativeDetail.aspx?App=23&amp;ReportView=4&amp;Qid=1711279&amp;Row=10134&amp;Col=1","No Title Assigned - #15271787549")</f>
        <v/>
      </c>
      <c r="B10142" s="0" t="s">
        <v>13718</v>
      </c>
      <c r="C10142" s="0" t="s">
        <v>13719</v>
      </c>
      <c r="D10142" s="0" t="s">
        <v>13719</v>
      </c>
      <c r="E10142" s="0" t="inlineStr">
        <is>
          <t xml:space="preserve">Mazda</t>
        </is>
      </c>
      <c r="F10142" s="0" t="s">
        <v>13</v>
      </c>
      <c r="G10142" s="0" t="s">
        <v>49</v>
      </c>
      <c r="H10142" s="5">
        <v>194.256900</v>
      </c>
    </row>
    <row r="10143" spans="1:9">
      <c r="A10143" s="22" t="str">
        <f>HYPERLINK("https://app.vivvix.com/360/KMI/IntelliDrive/ApplUI/Pages/CreativePages/CustomReportCreativeDetail.aspx?App=23&amp;ReportView=4&amp;Qid=1711279&amp;Row=10135&amp;Col=1","No Title Assigned - #15271787887")</f>
        <v/>
      </c>
      <c r="B10143" s="0" t="s">
        <v>13720</v>
      </c>
      <c r="C10143" s="0" t="s">
        <v>13721</v>
      </c>
      <c r="D10143" s="0" t="s">
        <v>13721</v>
      </c>
      <c r="E10143" s="0" t="inlineStr">
        <is>
          <t xml:space="preserve">Mazda</t>
        </is>
      </c>
      <c r="F10143" s="0" t="s">
        <v>13</v>
      </c>
      <c r="G10143" s="0" t="s">
        <v>49</v>
      </c>
      <c r="H10143" s="5">
        <v>1765.596200</v>
      </c>
    </row>
    <row r="10144" spans="1:9">
      <c r="A10144" s="22" t="str">
        <f>HYPERLINK("https://app.vivvix.com/360/KMI/IntelliDrive/ApplUI/Pages/CreativePages/CustomReportCreativeDetail.aspx?App=23&amp;ReportView=4&amp;Qid=1711279&amp;Row=10136&amp;Col=1","No Title Assigned - #15271788036")</f>
        <v/>
      </c>
      <c r="B10144" s="0" t="s">
        <v>13722</v>
      </c>
      <c r="C10144" s="0" t="s">
        <v>13723</v>
      </c>
      <c r="D10144" s="0" t="s">
        <v>4225</v>
      </c>
      <c r="E10144" s="0" t="inlineStr">
        <is>
          <t xml:space="preserve">Mazda</t>
        </is>
      </c>
      <c r="F10144" s="0" t="s">
        <v>28</v>
      </c>
      <c r="G10144" s="0" t="s">
        <v>29</v>
      </c>
      <c r="H10144" s="5">
        <v>724.230500</v>
      </c>
    </row>
    <row r="10145" spans="1:9">
      <c r="A10145" s="22" t="str">
        <f>HYPERLINK("https://app.vivvix.com/360/KMI/IntelliDrive/ApplUI/Pages/CreativePages/CustomReportCreativeDetail.aspx?App=23&amp;ReportView=4&amp;Qid=1711279&amp;Row=10137&amp;Col=1","No Title Assigned - #15271788421")</f>
        <v/>
      </c>
      <c r="B10145" s="0" t="s">
        <v>13724</v>
      </c>
      <c r="C10145" s="0" t="s">
        <v>13725</v>
      </c>
      <c r="D10145" s="0" t="s">
        <v>4202</v>
      </c>
      <c r="E10145" s="0" t="inlineStr">
        <is>
          <t xml:space="preserve">Mazda</t>
        </is>
      </c>
      <c r="F10145" s="0" t="s">
        <v>28</v>
      </c>
      <c r="G10145" s="0" t="s">
        <v>29</v>
      </c>
      <c r="H10145" s="5">
        <v>84.534800</v>
      </c>
    </row>
    <row r="10146" spans="1:9">
      <c r="A10146" s="22" t="str">
        <f>HYPERLINK("https://app.vivvix.com/360/KMI/IntelliDrive/ApplUI/Pages/CreativePages/CustomReportCreativeDetail.aspx?App=23&amp;ReportView=4&amp;Qid=1711279&amp;Row=10138&amp;Col=1","No Title Assigned - #15271788656")</f>
        <v/>
      </c>
      <c r="B10146" s="0" t="s">
        <v>13726</v>
      </c>
      <c r="C10146" s="0" t="s">
        <v>13727</v>
      </c>
      <c r="D10146" s="0" t="s">
        <v>13727</v>
      </c>
      <c r="E10146" s="0" t="inlineStr">
        <is>
          <t xml:space="preserve">Mazda</t>
        </is>
      </c>
      <c r="F10146" s="0" t="inlineStr">
        <is>
          <t xml:space="preserve">Mazda</t>
        </is>
      </c>
      <c r="G10146" s="0" t="s">
        <v>210</v>
      </c>
      <c r="H10146" s="5">
        <v>504.157200</v>
      </c>
    </row>
    <row r="10147" spans="1:9">
      <c r="A10147" s="22" t="str">
        <f>HYPERLINK("https://app.vivvix.com/360/KMI/IntelliDrive/ApplUI/Pages/CreativePages/CustomReportCreativeDetail.aspx?App=23&amp;ReportView=4&amp;Qid=1711279&amp;Row=10139&amp;Col=1","No Title Assigned - #15271789628")</f>
        <v/>
      </c>
      <c r="B10147" s="0" t="s">
        <v>13728</v>
      </c>
      <c r="C10147" s="0" t="s">
        <v>13729</v>
      </c>
      <c r="D10147" s="0" t="s">
        <v>13431</v>
      </c>
      <c r="E10147" s="0" t="inlineStr">
        <is>
          <t xml:space="preserve">Mazda</t>
        </is>
      </c>
      <c r="F10147" s="0" t="s">
        <v>28</v>
      </c>
      <c r="G10147" s="0" t="s">
        <v>29</v>
      </c>
      <c r="H10147" s="5">
        <v>769.551700</v>
      </c>
    </row>
    <row r="10148" spans="1:9">
      <c r="A10148" s="22" t="str">
        <f>HYPERLINK("https://app.vivvix.com/360/KMI/IntelliDrive/ApplUI/Pages/CreativePages/CustomReportCreativeDetail.aspx?App=23&amp;ReportView=4&amp;Qid=1711279&amp;Row=10140&amp;Col=1","No Title Assigned - #15271789809")</f>
        <v/>
      </c>
      <c r="B10148" s="0" t="s">
        <v>13730</v>
      </c>
      <c r="E10148" s="0" t="inlineStr">
        <is>
          <t xml:space="preserve">Mazda</t>
        </is>
      </c>
      <c r="F10148" s="0" t="s">
        <v>28</v>
      </c>
      <c r="G10148" s="0" t="s">
        <v>29</v>
      </c>
      <c r="H10148" s="5">
        <v>9.811600</v>
      </c>
    </row>
    <row r="10149" spans="1:9">
      <c r="A10149" s="22" t="str">
        <f>HYPERLINK("https://app.vivvix.com/360/KMI/IntelliDrive/ApplUI/Pages/CreativePages/CustomReportCreativeDetail.aspx?App=23&amp;ReportView=4&amp;Qid=1711279&amp;Row=10141&amp;Col=1","No Title Assigned - #15271789918")</f>
        <v/>
      </c>
      <c r="B10149" s="0" t="s">
        <v>13731</v>
      </c>
      <c r="C10149" s="0" t="s">
        <v>13732</v>
      </c>
      <c r="D10149" s="0" t="s">
        <v>13732</v>
      </c>
      <c r="E10149" s="0" t="inlineStr">
        <is>
          <t xml:space="preserve">Mazda</t>
        </is>
      </c>
      <c r="F10149" s="0" t="s">
        <v>13</v>
      </c>
      <c r="G10149" s="0" t="s">
        <v>49</v>
      </c>
      <c r="H10149" s="5">
        <v>97.468700</v>
      </c>
    </row>
    <row r="10150" spans="1:9">
      <c r="A10150" s="22" t="str">
        <f>HYPERLINK("https://app.vivvix.com/360/KMI/IntelliDrive/ApplUI/Pages/CreativePages/CustomReportCreativeDetail.aspx?App=23&amp;ReportView=4&amp;Qid=1711279&amp;Row=10142&amp;Col=1","No Title Assigned - #15271790023")</f>
        <v/>
      </c>
      <c r="B10150" s="0" t="s">
        <v>13733</v>
      </c>
      <c r="C10150" s="0" t="s">
        <v>13734</v>
      </c>
      <c r="D10150" s="0" t="s">
        <v>4200</v>
      </c>
      <c r="E10150" s="0" t="inlineStr">
        <is>
          <t xml:space="preserve">Mazda</t>
        </is>
      </c>
      <c r="F10150" s="0" t="s">
        <v>28</v>
      </c>
      <c r="G10150" s="0" t="s">
        <v>29</v>
      </c>
      <c r="H10150" s="5">
        <v>123.061300</v>
      </c>
    </row>
    <row r="10151" spans="1:9">
      <c r="A10151" s="22" t="str">
        <f>HYPERLINK("https://app.vivvix.com/360/KMI/IntelliDrive/ApplUI/Pages/CreativePages/CustomReportCreativeDetail.aspx?App=23&amp;ReportView=4&amp;Qid=1711279&amp;Row=10143&amp;Col=1","No Title Assigned - #15271790643")</f>
        <v/>
      </c>
      <c r="B10151" s="0" t="s">
        <v>13735</v>
      </c>
      <c r="C10151" s="0" t="s">
        <v>13736</v>
      </c>
      <c r="D10151" s="0" t="s">
        <v>4202</v>
      </c>
      <c r="E10151" s="0" t="inlineStr">
        <is>
          <t xml:space="preserve">Mazda</t>
        </is>
      </c>
      <c r="F10151" s="0" t="s">
        <v>28</v>
      </c>
      <c r="G10151" s="0" t="s">
        <v>29</v>
      </c>
      <c r="H10151" s="5">
        <v>25.779000</v>
      </c>
    </row>
    <row r="10152" spans="1:9">
      <c r="A10152" s="22" t="str">
        <f>HYPERLINK("https://app.vivvix.com/360/KMI/IntelliDrive/ApplUI/Pages/CreativePages/CustomReportCreativeDetail.aspx?App=23&amp;ReportView=4&amp;Qid=1711279&amp;Row=10144&amp;Col=1","No Title Assigned - #15271790681")</f>
        <v/>
      </c>
      <c r="B10152" s="0" t="s">
        <v>13737</v>
      </c>
      <c r="C10152" s="0" t="s">
        <v>13738</v>
      </c>
      <c r="D10152" s="0" t="s">
        <v>4208</v>
      </c>
      <c r="E10152" s="0" t="inlineStr">
        <is>
          <t xml:space="preserve">Mazda</t>
        </is>
      </c>
      <c r="F10152" s="0" t="s">
        <v>28</v>
      </c>
      <c r="G10152" s="0" t="s">
        <v>29</v>
      </c>
      <c r="H10152" s="5">
        <v>683.627100</v>
      </c>
    </row>
    <row r="10153" spans="1:9">
      <c r="A10153" s="22" t="str">
        <f>HYPERLINK("https://app.vivvix.com/360/KMI/IntelliDrive/ApplUI/Pages/CreativePages/CustomReportCreativeDetail.aspx?App=23&amp;ReportView=4&amp;Qid=1711279&amp;Row=10145&amp;Col=1","No Title Assigned - #15271791162")</f>
        <v/>
      </c>
      <c r="B10153" s="0" t="s">
        <v>13739</v>
      </c>
      <c r="C10153" s="0" t="s">
        <v>13740</v>
      </c>
      <c r="D10153" s="0" t="s">
        <v>4333</v>
      </c>
      <c r="E10153" s="0" t="inlineStr">
        <is>
          <t xml:space="preserve">Mazda</t>
        </is>
      </c>
      <c r="F10153" s="0" t="s">
        <v>28</v>
      </c>
      <c r="G10153" s="0" t="s">
        <v>29</v>
      </c>
      <c r="H10153" s="5">
        <v>1107.496200</v>
      </c>
    </row>
    <row r="10154" spans="1:9">
      <c r="A10154" s="22" t="str">
        <f>HYPERLINK("https://app.vivvix.com/360/KMI/IntelliDrive/ApplUI/Pages/CreativePages/CustomReportCreativeDetail.aspx?App=23&amp;ReportView=4&amp;Qid=1711279&amp;Row=10146&amp;Col=1","No Title Assigned - #15271791266")</f>
        <v/>
      </c>
      <c r="B10154" s="0" t="s">
        <v>13741</v>
      </c>
      <c r="C10154" s="0" t="s">
        <v>13742</v>
      </c>
      <c r="D10154" s="0" t="s">
        <v>13742</v>
      </c>
      <c r="E10154" s="0" t="inlineStr">
        <is>
          <t xml:space="preserve">Mazda</t>
        </is>
      </c>
      <c r="F10154" s="0" t="s">
        <v>13</v>
      </c>
      <c r="G10154" s="0" t="s">
        <v>49</v>
      </c>
      <c r="H10154" s="5">
        <v>205.309700</v>
      </c>
    </row>
    <row r="10155" spans="1:9">
      <c r="A10155" s="22" t="str">
        <f>HYPERLINK("https://app.vivvix.com/360/KMI/IntelliDrive/ApplUI/Pages/CreativePages/CustomReportCreativeDetail.aspx?App=23&amp;ReportView=4&amp;Qid=1711279&amp;Row=10147&amp;Col=1","No Title Assigned - #15271791684")</f>
        <v/>
      </c>
      <c r="B10155" s="0" t="s">
        <v>13743</v>
      </c>
      <c r="C10155" s="0" t="s">
        <v>13744</v>
      </c>
      <c r="D10155" s="0" t="s">
        <v>4200</v>
      </c>
      <c r="E10155" s="0" t="inlineStr">
        <is>
          <t xml:space="preserve">Mazda</t>
        </is>
      </c>
      <c r="F10155" s="0" t="s">
        <v>28</v>
      </c>
      <c r="G10155" s="0" t="s">
        <v>29</v>
      </c>
      <c r="H10155" s="5">
        <v>11.029400</v>
      </c>
    </row>
    <row r="10156" spans="1:9">
      <c r="A10156" s="22" t="str">
        <f>HYPERLINK("https://app.vivvix.com/360/KMI/IntelliDrive/ApplUI/Pages/CreativePages/CustomReportCreativeDetail.aspx?App=23&amp;ReportView=4&amp;Qid=1711279&amp;Row=10148&amp;Col=1","No Title Assigned - #15271792212")</f>
        <v/>
      </c>
      <c r="B10156" s="0" t="s">
        <v>13745</v>
      </c>
      <c r="C10156" s="0" t="s">
        <v>13746</v>
      </c>
      <c r="D10156" s="0" t="s">
        <v>4333</v>
      </c>
      <c r="E10156" s="0" t="inlineStr">
        <is>
          <t xml:space="preserve">Mazda</t>
        </is>
      </c>
      <c r="F10156" s="0" t="s">
        <v>28</v>
      </c>
      <c r="G10156" s="0" t="s">
        <v>29</v>
      </c>
      <c r="H10156" s="5">
        <v>96.668000</v>
      </c>
    </row>
    <row r="10157" spans="1:9">
      <c r="A10157" s="22" t="str">
        <f>HYPERLINK("https://app.vivvix.com/360/KMI/IntelliDrive/ApplUI/Pages/CreativePages/CustomReportCreativeDetail.aspx?App=23&amp;ReportView=4&amp;Qid=1711279&amp;Row=10149&amp;Col=1","No Title Assigned - #15271792227")</f>
        <v/>
      </c>
      <c r="B10157" s="0" t="s">
        <v>13747</v>
      </c>
      <c r="C10157" s="0" t="s">
        <v>13748</v>
      </c>
      <c r="D10157" s="0" t="s">
        <v>13748</v>
      </c>
      <c r="E10157" s="0" t="inlineStr">
        <is>
          <t xml:space="preserve">Mazda</t>
        </is>
      </c>
      <c r="F10157" s="0" t="s">
        <v>28</v>
      </c>
      <c r="G10157" s="0" t="s">
        <v>29</v>
      </c>
      <c r="H10157" s="5">
        <v>21.141500</v>
      </c>
    </row>
    <row r="10158" spans="1:9">
      <c r="A10158" s="22" t="str">
        <f>HYPERLINK("https://app.vivvix.com/360/KMI/IntelliDrive/ApplUI/Pages/CreativePages/CustomReportCreativeDetail.aspx?App=23&amp;ReportView=4&amp;Qid=1711279&amp;Row=10150&amp;Col=1","No Title Assigned - #15271792432")</f>
        <v/>
      </c>
      <c r="B10158" s="0" t="s">
        <v>13749</v>
      </c>
      <c r="C10158" s="0" t="s">
        <v>13750</v>
      </c>
      <c r="D10158" s="0" t="s">
        <v>13326</v>
      </c>
      <c r="E10158" s="0" t="inlineStr">
        <is>
          <t xml:space="preserve">Mazda</t>
        </is>
      </c>
      <c r="F10158" s="0" t="s">
        <v>13</v>
      </c>
      <c r="G10158" s="0" t="s">
        <v>49</v>
      </c>
      <c r="H10158" s="5">
        <v>52047.832600</v>
      </c>
    </row>
    <row r="10159" spans="1:9">
      <c r="A10159" s="22" t="str">
        <f>HYPERLINK("https://app.vivvix.com/360/KMI/IntelliDrive/ApplUI/Pages/CreativePages/CustomReportCreativeDetail.aspx?App=23&amp;ReportView=4&amp;Qid=1711279&amp;Row=10151&amp;Col=1","No Title Assigned - #15271793410")</f>
        <v/>
      </c>
      <c r="B10159" s="0" t="s">
        <v>13751</v>
      </c>
      <c r="C10159" s="0" t="s">
        <v>13752</v>
      </c>
      <c r="D10159" s="0" t="s">
        <v>13752</v>
      </c>
      <c r="E10159" s="0" t="inlineStr">
        <is>
          <t xml:space="preserve">Mazda</t>
        </is>
      </c>
      <c r="F10159" s="0" t="s">
        <v>13</v>
      </c>
      <c r="G10159" s="0" t="s">
        <v>49</v>
      </c>
      <c r="H10159" s="5">
        <v>669.659900</v>
      </c>
    </row>
    <row r="10160" spans="1:9">
      <c r="A10160" s="22" t="str">
        <f>HYPERLINK("https://app.vivvix.com/360/KMI/IntelliDrive/ApplUI/Pages/CreativePages/CustomReportCreativeDetail.aspx?App=23&amp;ReportView=4&amp;Qid=1711279&amp;Row=10152&amp;Col=1","No Title Assigned - #15271793549")</f>
        <v/>
      </c>
      <c r="B10160" s="0" t="s">
        <v>13753</v>
      </c>
      <c r="C10160" s="0" t="s">
        <v>13754</v>
      </c>
      <c r="D10160" s="0" t="s">
        <v>13754</v>
      </c>
      <c r="E10160" s="0" t="inlineStr">
        <is>
          <t xml:space="preserve">Mazda</t>
        </is>
      </c>
      <c r="F10160" s="0" t="s">
        <v>28</v>
      </c>
      <c r="G10160" s="0" t="s">
        <v>29</v>
      </c>
      <c r="H10160" s="5">
        <v>1051.842600</v>
      </c>
    </row>
    <row r="10161" spans="1:9">
      <c r="A10161" s="22" t="str">
        <f>HYPERLINK("https://app.vivvix.com/360/KMI/IntelliDrive/ApplUI/Pages/CreativePages/CustomReportCreativeDetail.aspx?App=23&amp;ReportView=4&amp;Qid=1711279&amp;Row=10153&amp;Col=1","No Title Assigned - #15271794083")</f>
        <v/>
      </c>
      <c r="B10161" s="0" t="s">
        <v>13755</v>
      </c>
      <c r="C10161" s="0" t="s">
        <v>13756</v>
      </c>
      <c r="D10161" s="0" t="s">
        <v>13756</v>
      </c>
      <c r="E10161" s="0" t="inlineStr">
        <is>
          <t xml:space="preserve">Mazda</t>
        </is>
      </c>
      <c r="F10161" s="0" t="s">
        <v>13</v>
      </c>
      <c r="G10161" s="0" t="s">
        <v>49</v>
      </c>
      <c r="H10161" s="5">
        <v>5108.860200</v>
      </c>
    </row>
    <row r="10162" spans="1:9">
      <c r="A10162" s="22" t="str">
        <f>HYPERLINK("https://app.vivvix.com/360/KMI/IntelliDrive/ApplUI/Pages/CreativePages/CustomReportCreativeDetail.aspx?App=23&amp;ReportView=4&amp;Qid=1711279&amp;Row=10154&amp;Col=1","No Title Assigned - #15271794593")</f>
        <v/>
      </c>
      <c r="B10162" s="0" t="s">
        <v>13757</v>
      </c>
      <c r="C10162" s="0" t="s">
        <v>13758</v>
      </c>
      <c r="D10162" s="0" t="s">
        <v>4225</v>
      </c>
      <c r="E10162" s="0" t="inlineStr">
        <is>
          <t xml:space="preserve">Mazda</t>
        </is>
      </c>
      <c r="F10162" s="0" t="s">
        <v>28</v>
      </c>
      <c r="G10162" s="0" t="s">
        <v>29</v>
      </c>
      <c r="H10162" s="5">
        <v>66.319200</v>
      </c>
    </row>
    <row r="10163" spans="1:9">
      <c r="A10163" s="22" t="str">
        <f>HYPERLINK("https://app.vivvix.com/360/KMI/IntelliDrive/ApplUI/Pages/CreativePages/CustomReportCreativeDetail.aspx?App=23&amp;ReportView=4&amp;Qid=1711279&amp;Row=10155&amp;Col=1","No Title Assigned - #15271794618")</f>
        <v/>
      </c>
      <c r="B10163" s="0" t="s">
        <v>13759</v>
      </c>
      <c r="C10163" s="0" t="s">
        <v>13760</v>
      </c>
      <c r="D10163" s="0" t="s">
        <v>13760</v>
      </c>
      <c r="E10163" s="0" t="inlineStr">
        <is>
          <t xml:space="preserve">Mazda</t>
        </is>
      </c>
      <c r="F10163" s="0" t="s">
        <v>13</v>
      </c>
      <c r="G10163" s="0" t="s">
        <v>49</v>
      </c>
      <c r="H10163" s="5">
        <v>1780.191900</v>
      </c>
    </row>
    <row r="10164" spans="1:9">
      <c r="A10164" s="22" t="str">
        <f>HYPERLINK("https://app.vivvix.com/360/KMI/IntelliDrive/ApplUI/Pages/CreativePages/CustomReportCreativeDetail.aspx?App=23&amp;ReportView=4&amp;Qid=1711279&amp;Row=10156&amp;Col=1","No Title Assigned - #15271795696")</f>
        <v/>
      </c>
      <c r="B10164" s="0" t="s">
        <v>13761</v>
      </c>
      <c r="C10164" s="0" t="s">
        <v>13762</v>
      </c>
      <c r="D10164" s="0" t="s">
        <v>4204</v>
      </c>
      <c r="E10164" s="0" t="inlineStr">
        <is>
          <t xml:space="preserve">Mazda</t>
        </is>
      </c>
      <c r="F10164" s="0" t="s">
        <v>28</v>
      </c>
      <c r="G10164" s="0" t="s">
        <v>29</v>
      </c>
      <c r="H10164" s="5">
        <v>24.754400</v>
      </c>
    </row>
    <row r="10165" spans="1:9">
      <c r="A10165" s="22" t="str">
        <f>HYPERLINK("https://app.vivvix.com/360/KMI/IntelliDrive/ApplUI/Pages/CreativePages/CustomReportCreativeDetail.aspx?App=23&amp;ReportView=4&amp;Qid=1711279&amp;Row=10157&amp;Col=1","No Title Assigned - #15271796056")</f>
        <v/>
      </c>
      <c r="B10165" s="0" t="s">
        <v>13763</v>
      </c>
      <c r="C10165" s="0" t="s">
        <v>13764</v>
      </c>
      <c r="D10165" s="0" t="s">
        <v>4202</v>
      </c>
      <c r="E10165" s="0" t="inlineStr">
        <is>
          <t xml:space="preserve">Mazda</t>
        </is>
      </c>
      <c r="F10165" s="0" t="s">
        <v>28</v>
      </c>
      <c r="G10165" s="0" t="s">
        <v>29</v>
      </c>
      <c r="H10165" s="5">
        <v>683.627100</v>
      </c>
    </row>
    <row r="10166" spans="1:9">
      <c r="A10166" s="22" t="str">
        <f>HYPERLINK("https://app.vivvix.com/360/KMI/IntelliDrive/ApplUI/Pages/CreativePages/CustomReportCreativeDetail.aspx?App=23&amp;ReportView=4&amp;Qid=1711279&amp;Row=10158&amp;Col=1","No Title Assigned - #15271796060")</f>
        <v/>
      </c>
      <c r="B10166" s="0" t="s">
        <v>13765</v>
      </c>
      <c r="C10166" s="0" t="s">
        <v>13766</v>
      </c>
      <c r="D10166" s="0" t="s">
        <v>13766</v>
      </c>
      <c r="E10166" s="0" t="inlineStr">
        <is>
          <t xml:space="preserve">Mazda</t>
        </is>
      </c>
      <c r="F10166" s="0" t="s">
        <v>13</v>
      </c>
      <c r="G10166" s="0" t="s">
        <v>49</v>
      </c>
      <c r="H10166" s="5">
        <v>973.303100</v>
      </c>
    </row>
    <row r="10167" spans="1:9">
      <c r="A10167" s="22" t="str">
        <f>HYPERLINK("https://app.vivvix.com/360/KMI/IntelliDrive/ApplUI/Pages/CreativePages/CustomReportCreativeDetail.aspx?App=23&amp;ReportView=4&amp;Qid=1711279&amp;Row=10159&amp;Col=1","No Title Assigned - #15271796563")</f>
        <v/>
      </c>
      <c r="B10167" s="0" t="s">
        <v>13767</v>
      </c>
      <c r="C10167" s="0" t="s">
        <v>13768</v>
      </c>
      <c r="D10167" s="0" t="s">
        <v>4200</v>
      </c>
      <c r="E10167" s="0" t="inlineStr">
        <is>
          <t xml:space="preserve">Mazda</t>
        </is>
      </c>
      <c r="F10167" s="0" t="s">
        <v>28</v>
      </c>
      <c r="G10167" s="0" t="s">
        <v>29</v>
      </c>
      <c r="H10167" s="5">
        <v>285.905700</v>
      </c>
    </row>
    <row r="10168" spans="1:9">
      <c r="A10168" s="22" t="str">
        <f>HYPERLINK("https://app.vivvix.com/360/KMI/IntelliDrive/ApplUI/Pages/CreativePages/CustomReportCreativeDetail.aspx?App=23&amp;ReportView=4&amp;Qid=1711279&amp;Row=10160&amp;Col=1","No Title Assigned - #15271796700")</f>
        <v/>
      </c>
      <c r="B10168" s="0" t="s">
        <v>13769</v>
      </c>
      <c r="C10168" s="0" t="s">
        <v>13770</v>
      </c>
      <c r="D10168" s="0" t="s">
        <v>13770</v>
      </c>
      <c r="E10168" s="0" t="inlineStr">
        <is>
          <t xml:space="preserve">Mazda</t>
        </is>
      </c>
      <c r="F10168" s="0" t="s">
        <v>28</v>
      </c>
      <c r="G10168" s="0" t="s">
        <v>29</v>
      </c>
      <c r="H10168" s="5">
        <v>16.823400</v>
      </c>
    </row>
    <row r="10169" spans="1:9">
      <c r="A10169" s="22" t="str">
        <f>HYPERLINK("https://app.vivvix.com/360/KMI/IntelliDrive/ApplUI/Pages/CreativePages/CustomReportCreativeDetail.aspx?App=23&amp;ReportView=4&amp;Qid=1711279&amp;Row=10161&amp;Col=1","No Title Assigned - #15271797000")</f>
        <v/>
      </c>
      <c r="B10169" s="0" t="s">
        <v>13771</v>
      </c>
      <c r="C10169" s="0" t="s">
        <v>13772</v>
      </c>
      <c r="D10169" s="0" t="s">
        <v>13772</v>
      </c>
      <c r="E10169" s="0" t="inlineStr">
        <is>
          <t xml:space="preserve">Mazda</t>
        </is>
      </c>
      <c r="F10169" s="0" t="s">
        <v>28</v>
      </c>
      <c r="G10169" s="0" t="s">
        <v>29</v>
      </c>
      <c r="H10169" s="5">
        <v>9.244100</v>
      </c>
    </row>
    <row r="10170" spans="1:9">
      <c r="A10170" s="22" t="str">
        <f>HYPERLINK("https://app.vivvix.com/360/KMI/IntelliDrive/ApplUI/Pages/CreativePages/CustomReportCreativeDetail.aspx?App=23&amp;ReportView=4&amp;Qid=1711279&amp;Row=10162&amp;Col=1","No Title Assigned - #15271797029")</f>
        <v/>
      </c>
      <c r="B10170" s="0" t="s">
        <v>13773</v>
      </c>
      <c r="C10170" s="0" t="s">
        <v>13774</v>
      </c>
      <c r="D10170" s="0" t="s">
        <v>4202</v>
      </c>
      <c r="E10170" s="0" t="inlineStr">
        <is>
          <t xml:space="preserve">Mazda</t>
        </is>
      </c>
      <c r="F10170" s="0" t="s">
        <v>28</v>
      </c>
      <c r="G10170" s="0" t="s">
        <v>29</v>
      </c>
      <c r="H10170" s="5">
        <v>20.800000</v>
      </c>
    </row>
    <row r="10171" spans="1:9">
      <c r="A10171" s="22" t="str">
        <f>HYPERLINK("https://app.vivvix.com/360/KMI/IntelliDrive/ApplUI/Pages/CreativePages/CustomReportCreativeDetail.aspx?App=23&amp;ReportView=4&amp;Qid=1711279&amp;Row=10163&amp;Col=1","No Title Assigned - #15271797219")</f>
        <v/>
      </c>
      <c r="B10171" s="0" t="s">
        <v>13775</v>
      </c>
      <c r="E10171" s="0" t="inlineStr">
        <is>
          <t xml:space="preserve">Mazda</t>
        </is>
      </c>
      <c r="F10171" s="0" t="inlineStr">
        <is>
          <t xml:space="preserve">Mazda</t>
        </is>
      </c>
      <c r="G10171" s="0" t="s">
        <v>171</v>
      </c>
      <c r="H10171" s="5">
        <v>7.631000</v>
      </c>
    </row>
    <row r="10172" spans="1:9">
      <c r="A10172" s="22" t="str">
        <f>HYPERLINK("https://app.vivvix.com/360/KMI/IntelliDrive/ApplUI/Pages/CreativePages/CustomReportCreativeDetail.aspx?App=23&amp;ReportView=4&amp;Qid=1711279&amp;Row=10164&amp;Col=1","No Title Assigned - #15271797287")</f>
        <v/>
      </c>
      <c r="B10172" s="0" t="s">
        <v>13776</v>
      </c>
      <c r="E10172" s="0" t="inlineStr">
        <is>
          <t xml:space="preserve">Mazda</t>
        </is>
      </c>
      <c r="F10172" s="0" t="inlineStr">
        <is>
          <t xml:space="preserve">Mazda</t>
        </is>
      </c>
      <c r="G10172" s="0" t="s">
        <v>171</v>
      </c>
      <c r="H10172" s="5">
        <v>47.746000</v>
      </c>
    </row>
    <row r="10173" spans="1:9">
      <c r="A10173" s="22" t="str">
        <f>HYPERLINK("https://app.vivvix.com/360/KMI/IntelliDrive/ApplUI/Pages/CreativePages/CustomReportCreativeDetail.aspx?App=23&amp;ReportView=4&amp;Qid=1711279&amp;Row=10165&amp;Col=1","No Title Assigned - #15271797740")</f>
        <v/>
      </c>
      <c r="B10173" s="0" t="s">
        <v>13777</v>
      </c>
      <c r="C10173" s="0" t="s">
        <v>13778</v>
      </c>
      <c r="D10173" s="0" t="s">
        <v>13778</v>
      </c>
      <c r="E10173" s="0" t="inlineStr">
        <is>
          <t xml:space="preserve">Mazda</t>
        </is>
      </c>
      <c r="F10173" s="0" t="s">
        <v>28</v>
      </c>
      <c r="G10173" s="0" t="s">
        <v>29</v>
      </c>
      <c r="H10173" s="5">
        <v>342.086500</v>
      </c>
    </row>
    <row r="10174" spans="1:9">
      <c r="A10174" s="22" t="str">
        <f>HYPERLINK("https://app.vivvix.com/360/KMI/IntelliDrive/ApplUI/Pages/CreativePages/CustomReportCreativeDetail.aspx?App=23&amp;ReportView=4&amp;Qid=1711279&amp;Row=10166&amp;Col=1","No Title Assigned - #15271797815")</f>
        <v/>
      </c>
      <c r="B10174" s="0" t="s">
        <v>13779</v>
      </c>
      <c r="C10174" s="0" t="s">
        <v>13780</v>
      </c>
      <c r="D10174" s="0" t="s">
        <v>4225</v>
      </c>
      <c r="E10174" s="0" t="inlineStr">
        <is>
          <t xml:space="preserve">Mazda</t>
        </is>
      </c>
      <c r="F10174" s="0" t="s">
        <v>28</v>
      </c>
      <c r="G10174" s="0" t="s">
        <v>29</v>
      </c>
      <c r="H10174" s="5">
        <v>54.969700</v>
      </c>
    </row>
    <row r="10175" spans="1:9">
      <c r="A10175" s="22" t="str">
        <f>HYPERLINK("https://app.vivvix.com/360/KMI/IntelliDrive/ApplUI/Pages/CreativePages/CustomReportCreativeDetail.aspx?App=23&amp;ReportView=4&amp;Qid=1711279&amp;Row=10167&amp;Col=1","No Title Assigned - #15271797820")</f>
        <v/>
      </c>
      <c r="B10175" s="0" t="s">
        <v>13781</v>
      </c>
      <c r="C10175" s="0" t="s">
        <v>13782</v>
      </c>
      <c r="D10175" s="0" t="s">
        <v>13782</v>
      </c>
      <c r="E10175" s="0" t="inlineStr">
        <is>
          <t xml:space="preserve">Mazda</t>
        </is>
      </c>
      <c r="F10175" s="0" t="s">
        <v>28</v>
      </c>
      <c r="G10175" s="0" t="s">
        <v>29</v>
      </c>
      <c r="H10175" s="5">
        <v>5.926000</v>
      </c>
    </row>
    <row r="10176" spans="1:9">
      <c r="A10176" s="22" t="str">
        <f>HYPERLINK("https://app.vivvix.com/360/KMI/IntelliDrive/ApplUI/Pages/CreativePages/CustomReportCreativeDetail.aspx?App=23&amp;ReportView=4&amp;Qid=1711279&amp;Row=10168&amp;Col=1","No Title Assigned - #15271797847")</f>
        <v/>
      </c>
      <c r="B10176" s="0" t="s">
        <v>13783</v>
      </c>
      <c r="C10176" s="0" t="s">
        <v>13784</v>
      </c>
      <c r="D10176" s="0" t="s">
        <v>4225</v>
      </c>
      <c r="E10176" s="0" t="inlineStr">
        <is>
          <t xml:space="preserve">Mazda</t>
        </is>
      </c>
      <c r="F10176" s="0" t="s">
        <v>28</v>
      </c>
      <c r="G10176" s="0" t="s">
        <v>29</v>
      </c>
      <c r="H10176" s="5">
        <v>3.121500</v>
      </c>
    </row>
    <row r="10177" spans="1:9">
      <c r="A10177" s="22" t="str">
        <f>HYPERLINK("https://app.vivvix.com/360/KMI/IntelliDrive/ApplUI/Pages/CreativePages/CustomReportCreativeDetail.aspx?App=23&amp;ReportView=4&amp;Qid=1711279&amp;Row=10169&amp;Col=1","No Title Assigned - #15271798123")</f>
        <v/>
      </c>
      <c r="B10177" s="0" t="s">
        <v>13785</v>
      </c>
      <c r="C10177" s="0" t="s">
        <v>13786</v>
      </c>
      <c r="D10177" s="0" t="s">
        <v>13786</v>
      </c>
      <c r="E10177" s="0" t="inlineStr">
        <is>
          <t xml:space="preserve">Mazda</t>
        </is>
      </c>
      <c r="F10177" s="0" t="s">
        <v>13</v>
      </c>
      <c r="G10177" s="0" t="s">
        <v>49</v>
      </c>
      <c r="H10177" s="5">
        <v>400.139700</v>
      </c>
    </row>
    <row r="10178" spans="1:9">
      <c r="A10178" s="22" t="str">
        <f>HYPERLINK("https://app.vivvix.com/360/KMI/IntelliDrive/ApplUI/Pages/CreativePages/CustomReportCreativeDetail.aspx?App=23&amp;ReportView=4&amp;Qid=1711279&amp;Row=10170&amp;Col=1","No Title Assigned - #15271798248")</f>
        <v/>
      </c>
      <c r="B10178" s="0" t="s">
        <v>13787</v>
      </c>
      <c r="C10178" s="0" t="s">
        <v>13788</v>
      </c>
      <c r="D10178" s="0" t="s">
        <v>4333</v>
      </c>
      <c r="E10178" s="0" t="inlineStr">
        <is>
          <t xml:space="preserve">Mazda</t>
        </is>
      </c>
      <c r="F10178" s="0" t="s">
        <v>28</v>
      </c>
      <c r="G10178" s="0" t="s">
        <v>29</v>
      </c>
      <c r="H10178" s="5">
        <v>14.922800</v>
      </c>
    </row>
    <row r="10179" spans="1:9">
      <c r="A10179" s="22" t="str">
        <f>HYPERLINK("https://app.vivvix.com/360/KMI/IntelliDrive/ApplUI/Pages/CreativePages/CustomReportCreativeDetail.aspx?App=23&amp;ReportView=4&amp;Qid=1711279&amp;Row=10171&amp;Col=1","No Title Assigned - #15271798742")</f>
        <v/>
      </c>
      <c r="B10179" s="0" t="s">
        <v>13789</v>
      </c>
      <c r="C10179" s="0" t="s">
        <v>13790</v>
      </c>
      <c r="D10179" s="0" t="s">
        <v>13790</v>
      </c>
      <c r="E10179" s="0" t="inlineStr">
        <is>
          <t xml:space="preserve">Mazda</t>
        </is>
      </c>
      <c r="F10179" s="0" t="s">
        <v>28</v>
      </c>
      <c r="G10179" s="0" t="s">
        <v>29</v>
      </c>
      <c r="H10179" s="5">
        <v>38.912500</v>
      </c>
    </row>
    <row r="10180" spans="1:9">
      <c r="A10180" s="22" t="str">
        <f>HYPERLINK("https://app.vivvix.com/360/KMI/IntelliDrive/ApplUI/Pages/CreativePages/CustomReportCreativeDetail.aspx?App=23&amp;ReportView=4&amp;Qid=1711279&amp;Row=10172&amp;Col=1","No Title Assigned - #15271798803")</f>
        <v/>
      </c>
      <c r="B10180" s="0" t="s">
        <v>13791</v>
      </c>
      <c r="C10180" s="0" t="s">
        <v>13792</v>
      </c>
      <c r="D10180" s="0" t="s">
        <v>13792</v>
      </c>
      <c r="E10180" s="0" t="inlineStr">
        <is>
          <t xml:space="preserve">Mazda</t>
        </is>
      </c>
      <c r="F10180" s="0" t="s">
        <v>28</v>
      </c>
      <c r="G10180" s="0" t="s">
        <v>29</v>
      </c>
      <c r="H10180" s="5">
        <v>48.437000</v>
      </c>
    </row>
    <row r="10181" spans="1:9">
      <c r="A10181" s="22" t="str">
        <f>HYPERLINK("https://app.vivvix.com/360/KMI/IntelliDrive/ApplUI/Pages/CreativePages/CustomReportCreativeDetail.aspx?App=23&amp;ReportView=4&amp;Qid=1711279&amp;Row=10173&amp;Col=1","No Title Assigned - #15271799142")</f>
        <v/>
      </c>
      <c r="B10181" s="0" t="s">
        <v>13793</v>
      </c>
      <c r="C10181" s="0" t="s">
        <v>13794</v>
      </c>
      <c r="D10181" s="0" t="s">
        <v>13794</v>
      </c>
      <c r="E10181" s="0" t="inlineStr">
        <is>
          <t xml:space="preserve">Mazda</t>
        </is>
      </c>
      <c r="F10181" s="0" t="s">
        <v>28</v>
      </c>
      <c r="G10181" s="0" t="s">
        <v>29</v>
      </c>
      <c r="H10181" s="5">
        <v>208.440700</v>
      </c>
    </row>
    <row r="10182" spans="1:9">
      <c r="A10182" s="22" t="str">
        <f>HYPERLINK("https://app.vivvix.com/360/KMI/IntelliDrive/ApplUI/Pages/CreativePages/CustomReportCreativeDetail.aspx?App=23&amp;ReportView=4&amp;Qid=1711279&amp;Row=10174&amp;Col=1","No Title Assigned - #15271799296")</f>
        <v/>
      </c>
      <c r="B10182" s="0" t="s">
        <v>13795</v>
      </c>
      <c r="E10182" s="0" t="inlineStr">
        <is>
          <t xml:space="preserve">Mazda</t>
        </is>
      </c>
      <c r="F10182" s="0" t="s">
        <v>28</v>
      </c>
      <c r="G10182" s="0" t="s">
        <v>29</v>
      </c>
      <c r="H10182" s="5">
        <v>1639.629200</v>
      </c>
    </row>
    <row r="10183" spans="1:9">
      <c r="A10183" s="22" t="str">
        <f>HYPERLINK("https://app.vivvix.com/360/KMI/IntelliDrive/ApplUI/Pages/CreativePages/CustomReportCreativeDetail.aspx?App=23&amp;ReportView=4&amp;Qid=1711279&amp;Row=10175&amp;Col=1","No Title Assigned - #15271799296")</f>
        <v/>
      </c>
      <c r="B10183" s="0" t="s">
        <v>13795</v>
      </c>
      <c r="C10183" s="0" t="s">
        <v>13796</v>
      </c>
      <c r="D10183" s="0" t="s">
        <v>13796</v>
      </c>
      <c r="E10183" s="0" t="inlineStr">
        <is>
          <t xml:space="preserve">Mazda</t>
        </is>
      </c>
      <c r="F10183" s="0" t="s">
        <v>28</v>
      </c>
      <c r="G10183" s="0" t="s">
        <v>29</v>
      </c>
      <c r="H10183" s="5">
        <v>17559.701700</v>
      </c>
    </row>
    <row r="10184" spans="1:9">
      <c r="A10184" s="22" t="str">
        <f>HYPERLINK("https://app.vivvix.com/360/KMI/IntelliDrive/ApplUI/Pages/CreativePages/CustomReportCreativeDetail.aspx?App=23&amp;ReportView=4&amp;Qid=1711279&amp;Row=10176&amp;Col=1","No Title Assigned - #15271799368")</f>
        <v/>
      </c>
      <c r="B10184" s="0" t="s">
        <v>13797</v>
      </c>
      <c r="C10184" s="0" t="s">
        <v>13798</v>
      </c>
      <c r="D10184" s="0" t="s">
        <v>13798</v>
      </c>
      <c r="E10184" s="0" t="inlineStr">
        <is>
          <t xml:space="preserve">Mazda</t>
        </is>
      </c>
      <c r="F10184" s="0" t="s">
        <v>28</v>
      </c>
      <c r="G10184" s="0" t="s">
        <v>29</v>
      </c>
      <c r="H10184" s="5">
        <v>231.665500</v>
      </c>
    </row>
    <row r="10185" spans="1:9">
      <c r="A10185" s="22" t="str">
        <f>HYPERLINK("https://app.vivvix.com/360/KMI/IntelliDrive/ApplUI/Pages/CreativePages/CustomReportCreativeDetail.aspx?App=23&amp;ReportView=4&amp;Qid=1711279&amp;Row=10177&amp;Col=1","No Title Assigned - #15271799449")</f>
        <v/>
      </c>
      <c r="B10185" s="0" t="s">
        <v>13799</v>
      </c>
      <c r="C10185" s="0" t="s">
        <v>13800</v>
      </c>
      <c r="D10185" s="0" t="s">
        <v>6656</v>
      </c>
      <c r="E10185" s="0" t="inlineStr">
        <is>
          <t xml:space="preserve">Mazda</t>
        </is>
      </c>
      <c r="F10185" s="0" t="s">
        <v>28</v>
      </c>
      <c r="G10185" s="0" t="s">
        <v>29</v>
      </c>
      <c r="H10185" s="5">
        <v>1397.777700</v>
      </c>
    </row>
    <row r="10186" spans="1:9">
      <c r="A10186" s="22" t="str">
        <f>HYPERLINK("https://app.vivvix.com/360/KMI/IntelliDrive/ApplUI/Pages/CreativePages/CustomReportCreativeDetail.aspx?App=23&amp;ReportView=4&amp;Qid=1711279&amp;Row=10178&amp;Col=1","No Title Assigned - #15271799449")</f>
        <v/>
      </c>
      <c r="B10186" s="0" t="s">
        <v>13799</v>
      </c>
      <c r="E10186" s="0" t="inlineStr">
        <is>
          <t xml:space="preserve">Mazda</t>
        </is>
      </c>
      <c r="F10186" s="0" t="s">
        <v>28</v>
      </c>
      <c r="G10186" s="0" t="s">
        <v>29</v>
      </c>
      <c r="H10186" s="5">
        <v>139.838000</v>
      </c>
    </row>
    <row r="10187" spans="1:9">
      <c r="A10187" s="22" t="str">
        <f>HYPERLINK("https://app.vivvix.com/360/KMI/IntelliDrive/ApplUI/Pages/CreativePages/CustomReportCreativeDetail.aspx?App=23&amp;ReportView=4&amp;Qid=1711279&amp;Row=10179&amp;Col=1","No Title Assigned - #15271800102")</f>
        <v/>
      </c>
      <c r="B10187" s="0" t="s">
        <v>13801</v>
      </c>
      <c r="C10187" s="0" t="s">
        <v>13802</v>
      </c>
      <c r="D10187" s="0" t="s">
        <v>13802</v>
      </c>
      <c r="E10187" s="0" t="inlineStr">
        <is>
          <t xml:space="preserve">Mazda</t>
        </is>
      </c>
      <c r="F10187" s="0" t="inlineStr">
        <is>
          <t xml:space="preserve">Mazda</t>
        </is>
      </c>
      <c r="G10187" s="0" t="s">
        <v>171</v>
      </c>
      <c r="H10187" s="5">
        <v>198.546300</v>
      </c>
    </row>
    <row r="10188" spans="1:9">
      <c r="A10188" s="22" t="str">
        <f>HYPERLINK("https://app.vivvix.com/360/KMI/IntelliDrive/ApplUI/Pages/CreativePages/CustomReportCreativeDetail.aspx?App=23&amp;ReportView=4&amp;Qid=1711279&amp;Row=10180&amp;Col=1","No Title Assigned - #15271800179")</f>
        <v/>
      </c>
      <c r="B10188" s="0" t="s">
        <v>13803</v>
      </c>
      <c r="E10188" s="0" t="inlineStr">
        <is>
          <t xml:space="preserve">Mazda</t>
        </is>
      </c>
      <c r="F10188" s="0" t="inlineStr">
        <is>
          <t xml:space="preserve">Mazda</t>
        </is>
      </c>
      <c r="G10188" s="0" t="s">
        <v>171</v>
      </c>
      <c r="H10188" s="5">
        <v>143.621000</v>
      </c>
    </row>
    <row r="10189" spans="1:9">
      <c r="A10189" s="22" t="str">
        <f>HYPERLINK("https://app.vivvix.com/360/KMI/IntelliDrive/ApplUI/Pages/CreativePages/CustomReportCreativeDetail.aspx?App=23&amp;ReportView=4&amp;Qid=1711279&amp;Row=10181&amp;Col=1","No Title Assigned - #15271800568")</f>
        <v/>
      </c>
      <c r="B10189" s="0" t="s">
        <v>13804</v>
      </c>
      <c r="C10189" s="0" t="s">
        <v>13805</v>
      </c>
      <c r="D10189" s="0" t="s">
        <v>13805</v>
      </c>
      <c r="E10189" s="0" t="inlineStr">
        <is>
          <t xml:space="preserve">Mazda</t>
        </is>
      </c>
      <c r="F10189" s="0" t="inlineStr">
        <is>
          <t xml:space="preserve">Mazda</t>
        </is>
      </c>
      <c r="G10189" s="0" t="s">
        <v>171</v>
      </c>
      <c r="H10189" s="5">
        <v>129.219100</v>
      </c>
    </row>
    <row r="10190" spans="1:9">
      <c r="A10190" s="22" t="str">
        <f>HYPERLINK("https://app.vivvix.com/360/KMI/IntelliDrive/ApplUI/Pages/CreativePages/CustomReportCreativeDetail.aspx?App=23&amp;ReportView=4&amp;Qid=1711279&amp;Row=10182&amp;Col=1","No Title Assigned - #15271800984")</f>
        <v/>
      </c>
      <c r="B10190" s="0" t="s">
        <v>13806</v>
      </c>
      <c r="E10190" s="0" t="inlineStr">
        <is>
          <t xml:space="preserve">Mazda</t>
        </is>
      </c>
      <c r="F10190" s="0" t="inlineStr">
        <is>
          <t xml:space="preserve">Mazda</t>
        </is>
      </c>
      <c r="G10190" s="0" t="s">
        <v>171</v>
      </c>
      <c r="H10190" s="5">
        <v>124.744600</v>
      </c>
    </row>
    <row r="10191" spans="1:9">
      <c r="A10191" s="22" t="str">
        <f>HYPERLINK("https://app.vivvix.com/360/KMI/IntelliDrive/ApplUI/Pages/CreativePages/CustomReportCreativeDetail.aspx?App=23&amp;ReportView=4&amp;Qid=1711279&amp;Row=10183&amp;Col=1","No Title Assigned - #15271801018")</f>
        <v/>
      </c>
      <c r="B10191" s="0" t="s">
        <v>13807</v>
      </c>
      <c r="E10191" s="0" t="inlineStr">
        <is>
          <t xml:space="preserve">Mazda</t>
        </is>
      </c>
      <c r="F10191" s="0" t="inlineStr">
        <is>
          <t xml:space="preserve">Mazda</t>
        </is>
      </c>
      <c r="G10191" s="0" t="s">
        <v>171</v>
      </c>
      <c r="H10191" s="5">
        <v>551.518900</v>
      </c>
    </row>
    <row r="10192" spans="1:9">
      <c r="A10192" s="22" t="str">
        <f>HYPERLINK("https://app.vivvix.com/360/KMI/IntelliDrive/ApplUI/Pages/CreativePages/CustomReportCreativeDetail.aspx?App=23&amp;ReportView=4&amp;Qid=1711279&amp;Row=10184&amp;Col=1","No Title Assigned - #15271801019")</f>
        <v/>
      </c>
      <c r="B10192" s="0" t="s">
        <v>13808</v>
      </c>
      <c r="E10192" s="0" t="inlineStr">
        <is>
          <t xml:space="preserve">Mazda</t>
        </is>
      </c>
      <c r="F10192" s="0" t="inlineStr">
        <is>
          <t xml:space="preserve">Mazda</t>
        </is>
      </c>
      <c r="G10192" s="0" t="s">
        <v>171</v>
      </c>
      <c r="H10192" s="5">
        <v>167.924300</v>
      </c>
    </row>
    <row r="10193" spans="1:9">
      <c r="A10193" s="22" t="str">
        <f>HYPERLINK("https://app.vivvix.com/360/KMI/IntelliDrive/ApplUI/Pages/CreativePages/CustomReportCreativeDetail.aspx?App=23&amp;ReportView=4&amp;Qid=1711279&amp;Row=10185&amp;Col=1","No Title Assigned - #15271801169")</f>
        <v/>
      </c>
      <c r="B10193" s="0" t="s">
        <v>13809</v>
      </c>
      <c r="E10193" s="0" t="inlineStr">
        <is>
          <t xml:space="preserve">Mazda</t>
        </is>
      </c>
      <c r="F10193" s="0" t="inlineStr">
        <is>
          <t xml:space="preserve">Mazda</t>
        </is>
      </c>
      <c r="G10193" s="0" t="s">
        <v>171</v>
      </c>
      <c r="H10193" s="5">
        <v>44.524300</v>
      </c>
    </row>
    <row r="10194" spans="1:9">
      <c r="A10194" s="22" t="str">
        <f>HYPERLINK("https://app.vivvix.com/360/KMI/IntelliDrive/ApplUI/Pages/CreativePages/CustomReportCreativeDetail.aspx?App=23&amp;ReportView=4&amp;Qid=1711279&amp;Row=10186&amp;Col=1","No Title Assigned - #15271801207")</f>
        <v/>
      </c>
      <c r="B10194" s="0" t="s">
        <v>13810</v>
      </c>
      <c r="E10194" s="0" t="inlineStr">
        <is>
          <t xml:space="preserve">Mazda</t>
        </is>
      </c>
      <c r="F10194" s="0" t="inlineStr">
        <is>
          <t xml:space="preserve">Mazda</t>
        </is>
      </c>
      <c r="G10194" s="0" t="s">
        <v>171</v>
      </c>
      <c r="H10194" s="5">
        <v>80.954000</v>
      </c>
    </row>
    <row r="10195" spans="1:9">
      <c r="A10195" s="22" t="str">
        <f>HYPERLINK("https://app.vivvix.com/360/KMI/IntelliDrive/ApplUI/Pages/CreativePages/CustomReportCreativeDetail.aspx?App=23&amp;ReportView=4&amp;Qid=1711279&amp;Row=10187&amp;Col=1","No Title Assigned - #15271801246")</f>
        <v/>
      </c>
      <c r="B10195" s="0" t="s">
        <v>13811</v>
      </c>
      <c r="C10195" s="0" t="s">
        <v>13812</v>
      </c>
      <c r="D10195" s="0" t="s">
        <v>13812</v>
      </c>
      <c r="E10195" s="0" t="inlineStr">
        <is>
          <t xml:space="preserve">Mazda</t>
        </is>
      </c>
      <c r="F10195" s="0" t="inlineStr">
        <is>
          <t xml:space="preserve">Mazda</t>
        </is>
      </c>
      <c r="G10195" s="0" t="s">
        <v>171</v>
      </c>
      <c r="H10195" s="5">
        <v>249.489200</v>
      </c>
    </row>
    <row r="10196" spans="1:9">
      <c r="A10196" s="22" t="str">
        <f>HYPERLINK("https://app.vivvix.com/360/KMI/IntelliDrive/ApplUI/Pages/CreativePages/CustomReportCreativeDetail.aspx?App=23&amp;ReportView=4&amp;Qid=1711279&amp;Row=10188&amp;Col=1","No Title Assigned - #15271801402")</f>
        <v/>
      </c>
      <c r="B10196" s="0" t="s">
        <v>13813</v>
      </c>
      <c r="E10196" s="0" t="inlineStr">
        <is>
          <t xml:space="preserve">Mazda</t>
        </is>
      </c>
      <c r="F10196" s="0" t="inlineStr">
        <is>
          <t xml:space="preserve">Mazda</t>
        </is>
      </c>
      <c r="G10196" s="0" t="s">
        <v>171</v>
      </c>
      <c r="H10196" s="5">
        <v>250.426800</v>
      </c>
    </row>
    <row r="10197" spans="1:9">
      <c r="A10197" s="22" t="str">
        <f>HYPERLINK("https://app.vivvix.com/360/KMI/IntelliDrive/ApplUI/Pages/CreativePages/CustomReportCreativeDetail.aspx?App=23&amp;ReportView=4&amp;Qid=1711279&amp;Row=10189&amp;Col=1","No Title Assigned - #15271801606")</f>
        <v/>
      </c>
      <c r="B10197" s="0" t="s">
        <v>13814</v>
      </c>
      <c r="C10197" s="0" t="s">
        <v>13815</v>
      </c>
      <c r="D10197" s="0" t="s">
        <v>13815</v>
      </c>
      <c r="E10197" s="0" t="inlineStr">
        <is>
          <t xml:space="preserve">Mazda</t>
        </is>
      </c>
      <c r="F10197" s="0" t="inlineStr">
        <is>
          <t xml:space="preserve">Mazda</t>
        </is>
      </c>
      <c r="G10197" s="0" t="s">
        <v>171</v>
      </c>
      <c r="H10197" s="5">
        <v>460.077000</v>
      </c>
    </row>
    <row r="10198" spans="1:9">
      <c r="A10198" s="22" t="str">
        <f>HYPERLINK("https://app.vivvix.com/360/KMI/IntelliDrive/ApplUI/Pages/CreativePages/CustomReportCreativeDetail.aspx?App=23&amp;ReportView=4&amp;Qid=1711279&amp;Row=10190&amp;Col=1","No Title Assigned - #15271801815")</f>
        <v/>
      </c>
      <c r="B10198" s="0" t="s">
        <v>13816</v>
      </c>
      <c r="E10198" s="0" t="inlineStr">
        <is>
          <t xml:space="preserve">Mazda</t>
        </is>
      </c>
      <c r="F10198" s="0" t="inlineStr">
        <is>
          <t xml:space="preserve">Mazda</t>
        </is>
      </c>
      <c r="G10198" s="0" t="s">
        <v>171</v>
      </c>
      <c r="H10198" s="5">
        <v>366.414500</v>
      </c>
    </row>
    <row r="10199" spans="1:9">
      <c r="A10199" s="22" t="str">
        <f>HYPERLINK("https://app.vivvix.com/360/KMI/IntelliDrive/ApplUI/Pages/CreativePages/CustomReportCreativeDetail.aspx?App=23&amp;ReportView=4&amp;Qid=1711279&amp;Row=10191&amp;Col=1","No Title Assigned - #15271802028")</f>
        <v/>
      </c>
      <c r="B10199" s="0" t="s">
        <v>13817</v>
      </c>
      <c r="E10199" s="0" t="inlineStr">
        <is>
          <t xml:space="preserve">Mazda</t>
        </is>
      </c>
      <c r="F10199" s="0" t="inlineStr">
        <is>
          <t xml:space="preserve">Mazda</t>
        </is>
      </c>
      <c r="G10199" s="0" t="s">
        <v>171</v>
      </c>
      <c r="H10199" s="5">
        <v>9.638300</v>
      </c>
    </row>
    <row r="10200" spans="1:9">
      <c r="A10200" s="22" t="str">
        <f>HYPERLINK("https://app.vivvix.com/360/KMI/IntelliDrive/ApplUI/Pages/CreativePages/CustomReportCreativeDetail.aspx?App=23&amp;ReportView=4&amp;Qid=1711279&amp;Row=10192&amp;Col=1","No Title Assigned - #15271802061")</f>
        <v/>
      </c>
      <c r="B10200" s="0" t="s">
        <v>13818</v>
      </c>
      <c r="E10200" s="0" t="inlineStr">
        <is>
          <t xml:space="preserve">Mazda</t>
        </is>
      </c>
      <c r="F10200" s="0" t="inlineStr">
        <is>
          <t xml:space="preserve">Mazda</t>
        </is>
      </c>
      <c r="G10200" s="0" t="s">
        <v>171</v>
      </c>
      <c r="H10200" s="5">
        <v>206.135800</v>
      </c>
    </row>
    <row r="10201" spans="1:9">
      <c r="A10201" s="22" t="str">
        <f>HYPERLINK("https://app.vivvix.com/360/KMI/IntelliDrive/ApplUI/Pages/CreativePages/CustomReportCreativeDetail.aspx?App=23&amp;ReportView=4&amp;Qid=1711279&amp;Row=10193&amp;Col=1","No Title Assigned - #15271802225")</f>
        <v/>
      </c>
      <c r="B10201" s="0" t="s">
        <v>13819</v>
      </c>
      <c r="C10201" s="0" t="s">
        <v>13820</v>
      </c>
      <c r="D10201" s="0" t="s">
        <v>13820</v>
      </c>
      <c r="E10201" s="0" t="inlineStr">
        <is>
          <t xml:space="preserve">Mazda</t>
        </is>
      </c>
      <c r="F10201" s="0" t="inlineStr">
        <is>
          <t xml:space="preserve">Mazda</t>
        </is>
      </c>
      <c r="G10201" s="0" t="s">
        <v>171</v>
      </c>
      <c r="H10201" s="5">
        <v>23.501500</v>
      </c>
    </row>
    <row r="10202" spans="1:9">
      <c r="A10202" s="22" t="str">
        <f>HYPERLINK("https://app.vivvix.com/360/KMI/IntelliDrive/ApplUI/Pages/CreativePages/CustomReportCreativeDetail.aspx?App=23&amp;ReportView=4&amp;Qid=1711279&amp;Row=10194&amp;Col=1","No Title Assigned - #15271802478")</f>
        <v/>
      </c>
      <c r="B10202" s="0" t="s">
        <v>13821</v>
      </c>
      <c r="E10202" s="0" t="inlineStr">
        <is>
          <t xml:space="preserve">Mazda</t>
        </is>
      </c>
      <c r="F10202" s="0" t="inlineStr">
        <is>
          <t xml:space="preserve">Mazda</t>
        </is>
      </c>
      <c r="G10202" s="0" t="s">
        <v>171</v>
      </c>
      <c r="H10202" s="5">
        <v>1204.075400</v>
      </c>
    </row>
    <row r="10203" spans="1:9">
      <c r="A10203" s="22" t="str">
        <f>HYPERLINK("https://app.vivvix.com/360/KMI/IntelliDrive/ApplUI/Pages/CreativePages/CustomReportCreativeDetail.aspx?App=23&amp;ReportView=4&amp;Qid=1711279&amp;Row=10195&amp;Col=1","No Title Assigned - #15271802478")</f>
        <v/>
      </c>
      <c r="B10203" s="0" t="s">
        <v>13821</v>
      </c>
      <c r="E10203" s="0" t="inlineStr">
        <is>
          <t xml:space="preserve">Mazda</t>
        </is>
      </c>
      <c r="F10203" s="0" t="inlineStr">
        <is>
          <t xml:space="preserve">Mazda</t>
        </is>
      </c>
      <c r="G10203" s="0" t="s">
        <v>171</v>
      </c>
      <c r="H10203" s="5">
        <v>15.262000</v>
      </c>
    </row>
    <row r="10204" spans="1:9">
      <c r="A10204" s="22" t="str">
        <f>HYPERLINK("https://app.vivvix.com/360/KMI/IntelliDrive/ApplUI/Pages/CreativePages/CustomReportCreativeDetail.aspx?App=23&amp;ReportView=4&amp;Qid=1711279&amp;Row=10196&amp;Col=1","No Title Assigned - #15271802694")</f>
        <v/>
      </c>
      <c r="B10204" s="0" t="s">
        <v>13822</v>
      </c>
      <c r="E10204" s="0" t="inlineStr">
        <is>
          <t xml:space="preserve">Mazda</t>
        </is>
      </c>
      <c r="F10204" s="0" t="inlineStr">
        <is>
          <t xml:space="preserve">Mazda</t>
        </is>
      </c>
      <c r="G10204" s="0" t="s">
        <v>171</v>
      </c>
      <c r="H10204" s="5">
        <v>42.413500</v>
      </c>
    </row>
    <row r="10205" spans="1:9">
      <c r="A10205" s="22" t="str">
        <f>HYPERLINK("https://app.vivvix.com/360/KMI/IntelliDrive/ApplUI/Pages/CreativePages/CustomReportCreativeDetail.aspx?App=23&amp;ReportView=4&amp;Qid=1711279&amp;Row=10197&amp;Col=1","No Title Assigned - #15271803313")</f>
        <v/>
      </c>
      <c r="B10205" s="0" t="s">
        <v>13823</v>
      </c>
      <c r="E10205" s="0" t="inlineStr">
        <is>
          <t xml:space="preserve">Mazda</t>
        </is>
      </c>
      <c r="F10205" s="0" t="inlineStr">
        <is>
          <t xml:space="preserve">Mazda</t>
        </is>
      </c>
      <c r="G10205" s="0" t="s">
        <v>171</v>
      </c>
      <c r="H10205" s="5">
        <v>1556.638200</v>
      </c>
    </row>
    <row r="10206" spans="1:9">
      <c r="A10206" s="22" t="str">
        <f>HYPERLINK("https://app.vivvix.com/360/KMI/IntelliDrive/ApplUI/Pages/CreativePages/CustomReportCreativeDetail.aspx?App=23&amp;ReportView=4&amp;Qid=1711279&amp;Row=10198&amp;Col=1","No Title Assigned - #15271803664")</f>
        <v/>
      </c>
      <c r="B10206" s="0" t="s">
        <v>13824</v>
      </c>
      <c r="E10206" s="0" t="inlineStr">
        <is>
          <t xml:space="preserve">Mazda</t>
        </is>
      </c>
      <c r="F10206" s="0" t="inlineStr">
        <is>
          <t xml:space="preserve">Mazda</t>
        </is>
      </c>
      <c r="G10206" s="0" t="s">
        <v>171</v>
      </c>
      <c r="H10206" s="5">
        <v>351.713400</v>
      </c>
    </row>
    <row r="10207" spans="1:9">
      <c r="A10207" s="22" t="str">
        <f>HYPERLINK("https://app.vivvix.com/360/KMI/IntelliDrive/ApplUI/Pages/CreativePages/CustomReportCreativeDetail.aspx?App=23&amp;ReportView=4&amp;Qid=1711279&amp;Row=10199&amp;Col=1","No Title Assigned - #15271803676")</f>
        <v/>
      </c>
      <c r="B10207" s="0" t="s">
        <v>13825</v>
      </c>
      <c r="E10207" s="0" t="inlineStr">
        <is>
          <t xml:space="preserve">Mazda</t>
        </is>
      </c>
      <c r="F10207" s="0" t="inlineStr">
        <is>
          <t xml:space="preserve">Mazda</t>
        </is>
      </c>
      <c r="G10207" s="0" t="s">
        <v>171</v>
      </c>
      <c r="H10207" s="5">
        <v>8.689300</v>
      </c>
    </row>
    <row r="10208" spans="1:9">
      <c r="A10208" s="22" t="str">
        <f>HYPERLINK("https://app.vivvix.com/360/KMI/IntelliDrive/ApplUI/Pages/CreativePages/CustomReportCreativeDetail.aspx?App=23&amp;ReportView=4&amp;Qid=1711279&amp;Row=10200&amp;Col=1","No Title Assigned - #15271804054")</f>
        <v/>
      </c>
      <c r="B10208" s="0" t="s">
        <v>13826</v>
      </c>
      <c r="C10208" s="0" t="s">
        <v>13827</v>
      </c>
      <c r="D10208" s="0" t="s">
        <v>13827</v>
      </c>
      <c r="E10208" s="0" t="inlineStr">
        <is>
          <t xml:space="preserve">Mazda</t>
        </is>
      </c>
      <c r="F10208" s="0" t="inlineStr">
        <is>
          <t xml:space="preserve">Mazda</t>
        </is>
      </c>
      <c r="G10208" s="0" t="s">
        <v>171</v>
      </c>
      <c r="H10208" s="5">
        <v>260.499000</v>
      </c>
    </row>
    <row r="10209" spans="1:9">
      <c r="A10209" s="22" t="str">
        <f>HYPERLINK("https://app.vivvix.com/360/KMI/IntelliDrive/ApplUI/Pages/CreativePages/CustomReportCreativeDetail.aspx?App=23&amp;ReportView=4&amp;Qid=1711279&amp;Row=10201&amp;Col=1","No Title Assigned - #15271804119")</f>
        <v/>
      </c>
      <c r="B10209" s="0" t="s">
        <v>13828</v>
      </c>
      <c r="E10209" s="0" t="inlineStr">
        <is>
          <t xml:space="preserve">Mazda</t>
        </is>
      </c>
      <c r="F10209" s="0" t="inlineStr">
        <is>
          <t xml:space="preserve">Mazda</t>
        </is>
      </c>
      <c r="G10209" s="0" t="s">
        <v>171</v>
      </c>
      <c r="H10209" s="5">
        <v>3386.528500</v>
      </c>
    </row>
    <row r="10210" spans="1:9">
      <c r="A10210" s="22" t="str">
        <f>HYPERLINK("https://app.vivvix.com/360/KMI/IntelliDrive/ApplUI/Pages/CreativePages/CustomReportCreativeDetail.aspx?App=23&amp;ReportView=4&amp;Qid=1711279&amp;Row=10202&amp;Col=1","No Title Assigned - #15271804345")</f>
        <v/>
      </c>
      <c r="B10210" s="0" t="s">
        <v>13829</v>
      </c>
      <c r="E10210" s="0" t="inlineStr">
        <is>
          <t xml:space="preserve">Mazda</t>
        </is>
      </c>
      <c r="F10210" s="0" t="inlineStr">
        <is>
          <t xml:space="preserve">Mazda</t>
        </is>
      </c>
      <c r="G10210" s="0" t="s">
        <v>171</v>
      </c>
      <c r="H10210" s="5">
        <v>45.400700</v>
      </c>
    </row>
    <row r="10211" spans="1:9">
      <c r="A10211" s="22" t="str">
        <f>HYPERLINK("https://app.vivvix.com/360/KMI/IntelliDrive/ApplUI/Pages/CreativePages/CustomReportCreativeDetail.aspx?App=23&amp;ReportView=4&amp;Qid=1711279&amp;Row=10203&amp;Col=1","No Title Assigned - #15271804705")</f>
        <v/>
      </c>
      <c r="B10211" s="0" t="s">
        <v>13830</v>
      </c>
      <c r="E10211" s="0" t="inlineStr">
        <is>
          <t xml:space="preserve">Mazda</t>
        </is>
      </c>
      <c r="F10211" s="0" t="inlineStr">
        <is>
          <t xml:space="preserve">Mazda</t>
        </is>
      </c>
      <c r="G10211" s="0" t="s">
        <v>171</v>
      </c>
      <c r="H10211" s="5">
        <v>349.347300</v>
      </c>
    </row>
    <row r="10212" spans="1:9">
      <c r="A10212" s="22" t="str">
        <f>HYPERLINK("https://app.vivvix.com/360/KMI/IntelliDrive/ApplUI/Pages/CreativePages/CustomReportCreativeDetail.aspx?App=23&amp;ReportView=4&amp;Qid=1711279&amp;Row=10204&amp;Col=1","No Title Assigned - #15271804916")</f>
        <v/>
      </c>
      <c r="B10212" s="0" t="s">
        <v>13831</v>
      </c>
      <c r="E10212" s="0" t="inlineStr">
        <is>
          <t xml:space="preserve">Mazda</t>
        </is>
      </c>
      <c r="F10212" s="0" t="inlineStr">
        <is>
          <t xml:space="preserve">Mazda</t>
        </is>
      </c>
      <c r="G10212" s="0" t="s">
        <v>171</v>
      </c>
      <c r="H10212" s="5">
        <v>43.734400</v>
      </c>
    </row>
    <row r="10213" spans="1:9">
      <c r="A10213" s="22" t="str">
        <f>HYPERLINK("https://app.vivvix.com/360/KMI/IntelliDrive/ApplUI/Pages/CreativePages/CustomReportCreativeDetail.aspx?App=23&amp;ReportView=4&amp;Qid=1711279&amp;Row=10205&amp;Col=1","No Title Assigned - #15271805066")</f>
        <v/>
      </c>
      <c r="B10213" s="0" t="s">
        <v>13832</v>
      </c>
      <c r="E10213" s="0" t="inlineStr">
        <is>
          <t xml:space="preserve">Mazda</t>
        </is>
      </c>
      <c r="F10213" s="0" t="inlineStr">
        <is>
          <t xml:space="preserve">Mazda</t>
        </is>
      </c>
      <c r="G10213" s="0" t="s">
        <v>171</v>
      </c>
      <c r="H10213" s="5">
        <v>56.714000</v>
      </c>
    </row>
    <row r="10214" spans="1:9">
      <c r="A10214" s="22" t="str">
        <f>HYPERLINK("https://app.vivvix.com/360/KMI/IntelliDrive/ApplUI/Pages/CreativePages/CustomReportCreativeDetail.aspx?App=23&amp;ReportView=4&amp;Qid=1711279&amp;Row=10206&amp;Col=1","No Title Assigned - #15271805226")</f>
        <v/>
      </c>
      <c r="B10214" s="0" t="s">
        <v>13833</v>
      </c>
      <c r="E10214" s="0" t="inlineStr">
        <is>
          <t xml:space="preserve">Mazda</t>
        </is>
      </c>
      <c r="F10214" s="0" t="inlineStr">
        <is>
          <t xml:space="preserve">Mazda</t>
        </is>
      </c>
      <c r="G10214" s="0" t="s">
        <v>171</v>
      </c>
      <c r="H10214" s="5">
        <v>4.547000</v>
      </c>
    </row>
    <row r="10215" spans="1:9">
      <c r="A10215" s="22" t="str">
        <f>HYPERLINK("https://app.vivvix.com/360/KMI/IntelliDrive/ApplUI/Pages/CreativePages/CustomReportCreativeDetail.aspx?App=23&amp;ReportView=4&amp;Qid=1711279&amp;Row=10207&amp;Col=1","No Title Assigned - #15271805228")</f>
        <v/>
      </c>
      <c r="B10215" s="0" t="s">
        <v>13834</v>
      </c>
      <c r="C10215" s="0" t="s">
        <v>13835</v>
      </c>
      <c r="D10215" s="0" t="s">
        <v>13835</v>
      </c>
      <c r="E10215" s="0" t="inlineStr">
        <is>
          <t xml:space="preserve">Mazda</t>
        </is>
      </c>
      <c r="F10215" s="0" t="inlineStr">
        <is>
          <t xml:space="preserve">Mazda</t>
        </is>
      </c>
      <c r="G10215" s="0" t="s">
        <v>171</v>
      </c>
      <c r="H10215" s="5">
        <v>5.866800</v>
      </c>
    </row>
    <row r="10216" spans="1:9">
      <c r="A10216" s="22" t="str">
        <f>HYPERLINK("https://app.vivvix.com/360/KMI/IntelliDrive/ApplUI/Pages/CreativePages/CustomReportCreativeDetail.aspx?App=23&amp;ReportView=4&amp;Qid=1711279&amp;Row=10208&amp;Col=1","No Title Assigned - #15271805234")</f>
        <v/>
      </c>
      <c r="B10216" s="0" t="s">
        <v>13836</v>
      </c>
      <c r="C10216" s="0" t="s">
        <v>13837</v>
      </c>
      <c r="D10216" s="0" t="s">
        <v>13837</v>
      </c>
      <c r="E10216" s="0" t="inlineStr">
        <is>
          <t xml:space="preserve">Mazda</t>
        </is>
      </c>
      <c r="F10216" s="0" t="inlineStr">
        <is>
          <t xml:space="preserve">Mazda</t>
        </is>
      </c>
      <c r="G10216" s="0" t="s">
        <v>171</v>
      </c>
      <c r="H10216" s="5">
        <v>17.499200</v>
      </c>
    </row>
    <row r="10217" spans="1:9">
      <c r="A10217" s="22" t="str">
        <f>HYPERLINK("https://app.vivvix.com/360/KMI/IntelliDrive/ApplUI/Pages/CreativePages/CustomReportCreativeDetail.aspx?App=23&amp;ReportView=4&amp;Qid=1711279&amp;Row=10209&amp;Col=1","No Title Assigned - #15271805296")</f>
        <v/>
      </c>
      <c r="B10217" s="0" t="s">
        <v>13838</v>
      </c>
      <c r="E10217" s="0" t="inlineStr">
        <is>
          <t xml:space="preserve">Mazda</t>
        </is>
      </c>
      <c r="F10217" s="0" t="inlineStr">
        <is>
          <t xml:space="preserve">Mazda</t>
        </is>
      </c>
      <c r="G10217" s="0" t="s">
        <v>171</v>
      </c>
      <c r="H10217" s="5">
        <v>17.212200</v>
      </c>
    </row>
    <row r="10218" spans="1:9">
      <c r="A10218" s="22" t="str">
        <f>HYPERLINK("https://app.vivvix.com/360/KMI/IntelliDrive/ApplUI/Pages/CreativePages/CustomReportCreativeDetail.aspx?App=23&amp;ReportView=4&amp;Qid=1711279&amp;Row=10210&amp;Col=1","No Title Assigned - #15271805820")</f>
        <v/>
      </c>
      <c r="B10218" s="0" t="s">
        <v>13839</v>
      </c>
      <c r="C10218" s="0" t="s">
        <v>13840</v>
      </c>
      <c r="D10218" s="0" t="s">
        <v>13840</v>
      </c>
      <c r="E10218" s="0" t="inlineStr">
        <is>
          <t xml:space="preserve">Mazda</t>
        </is>
      </c>
      <c r="F10218" s="0" t="inlineStr">
        <is>
          <t xml:space="preserve">Mazda</t>
        </is>
      </c>
      <c r="G10218" s="0" t="s">
        <v>171</v>
      </c>
      <c r="H10218" s="5">
        <v>40.768700</v>
      </c>
    </row>
    <row r="10219" spans="1:9">
      <c r="A10219" s="22" t="str">
        <f>HYPERLINK("https://app.vivvix.com/360/KMI/IntelliDrive/ApplUI/Pages/CreativePages/CustomReportCreativeDetail.aspx?App=23&amp;ReportView=4&amp;Qid=1711279&amp;Row=10211&amp;Col=1","No Title Assigned - #15271806141")</f>
        <v/>
      </c>
      <c r="B10219" s="0" t="s">
        <v>13841</v>
      </c>
      <c r="E10219" s="0" t="inlineStr">
        <is>
          <t xml:space="preserve">Mazda</t>
        </is>
      </c>
      <c r="F10219" s="0" t="s">
        <v>21</v>
      </c>
      <c r="G10219" s="0" t="s">
        <v>22</v>
      </c>
      <c r="H10219" s="5">
        <v>252.052400</v>
      </c>
    </row>
    <row r="10220" spans="1:9">
      <c r="A10220" s="22" t="str">
        <f>HYPERLINK("https://app.vivvix.com/360/KMI/IntelliDrive/ApplUI/Pages/CreativePages/CustomReportCreativeDetail.aspx?App=23&amp;ReportView=4&amp;Qid=1711279&amp;Row=10212&amp;Col=1","No Title Assigned - #15271806160")</f>
        <v/>
      </c>
      <c r="B10220" s="0" t="s">
        <v>13842</v>
      </c>
      <c r="C10220" s="0" t="s">
        <v>13843</v>
      </c>
      <c r="D10220" s="0" t="s">
        <v>13843</v>
      </c>
      <c r="E10220" s="0" t="inlineStr">
        <is>
          <t xml:space="preserve">Mazda</t>
        </is>
      </c>
      <c r="F10220" s="0" t="inlineStr">
        <is>
          <t xml:space="preserve">Mazda</t>
        </is>
      </c>
      <c r="G10220" s="0" t="s">
        <v>171</v>
      </c>
      <c r="H10220" s="5">
        <v>46.114500</v>
      </c>
    </row>
    <row r="10221" spans="1:9">
      <c r="A10221" s="22" t="str">
        <f>HYPERLINK("https://app.vivvix.com/360/KMI/IntelliDrive/ApplUI/Pages/CreativePages/CustomReportCreativeDetail.aspx?App=23&amp;ReportView=4&amp;Qid=1711279&amp;Row=10213&amp;Col=1","No Title Assigned - #15271806189")</f>
        <v/>
      </c>
      <c r="B10221" s="0" t="s">
        <v>13844</v>
      </c>
      <c r="E10221" s="0" t="inlineStr">
        <is>
          <t xml:space="preserve">Mazda</t>
        </is>
      </c>
      <c r="F10221" s="0" t="inlineStr">
        <is>
          <t xml:space="preserve">Mazda</t>
        </is>
      </c>
      <c r="G10221" s="0" t="s">
        <v>171</v>
      </c>
      <c r="H10221" s="5">
        <v>59.493700</v>
      </c>
    </row>
    <row r="10222" spans="1:9">
      <c r="A10222" s="22" t="str">
        <f>HYPERLINK("https://app.vivvix.com/360/KMI/IntelliDrive/ApplUI/Pages/CreativePages/CustomReportCreativeDetail.aspx?App=23&amp;ReportView=4&amp;Qid=1711279&amp;Row=10214&amp;Col=1","No Title Assigned - #15271806226")</f>
        <v/>
      </c>
      <c r="B10222" s="0" t="s">
        <v>13845</v>
      </c>
      <c r="E10222" s="0" t="inlineStr">
        <is>
          <t xml:space="preserve">Mazda</t>
        </is>
      </c>
      <c r="F10222" s="0" t="inlineStr">
        <is>
          <t xml:space="preserve">Mazda</t>
        </is>
      </c>
      <c r="G10222" s="0" t="s">
        <v>171</v>
      </c>
      <c r="H10222" s="5">
        <v>3.949900</v>
      </c>
    </row>
    <row r="10223" spans="1:9">
      <c r="A10223" s="22" t="str">
        <f>HYPERLINK("https://app.vivvix.com/360/KMI/IntelliDrive/ApplUI/Pages/CreativePages/CustomReportCreativeDetail.aspx?App=23&amp;ReportView=4&amp;Qid=1711279&amp;Row=10215&amp;Col=1","No Title Assigned - #15271806534")</f>
        <v/>
      </c>
      <c r="B10223" s="0" t="s">
        <v>13846</v>
      </c>
      <c r="E10223" s="0" t="inlineStr">
        <is>
          <t xml:space="preserve">Mazda</t>
        </is>
      </c>
      <c r="F10223" s="0" t="inlineStr">
        <is>
          <t xml:space="preserve">Mazda</t>
        </is>
      </c>
      <c r="G10223" s="0" t="s">
        <v>171</v>
      </c>
      <c r="H10223" s="5">
        <v>41.633600</v>
      </c>
    </row>
    <row r="10224" spans="1:9">
      <c r="A10224" s="22" t="str">
        <f>HYPERLINK("https://app.vivvix.com/360/KMI/IntelliDrive/ApplUI/Pages/CreativePages/CustomReportCreativeDetail.aspx?App=23&amp;ReportView=4&amp;Qid=1711279&amp;Row=10216&amp;Col=1","No Title Assigned - #15271806863")</f>
        <v/>
      </c>
      <c r="B10224" s="0" t="s">
        <v>13847</v>
      </c>
      <c r="E10224" s="0" t="inlineStr">
        <is>
          <t xml:space="preserve">Mazda</t>
        </is>
      </c>
      <c r="F10224" s="0" t="inlineStr">
        <is>
          <t xml:space="preserve">Mazda</t>
        </is>
      </c>
      <c r="G10224" s="0" t="s">
        <v>171</v>
      </c>
      <c r="H10224" s="5">
        <v>80.342600</v>
      </c>
    </row>
    <row r="10225" spans="1:9">
      <c r="A10225" s="22" t="str">
        <f>HYPERLINK("https://app.vivvix.com/360/KMI/IntelliDrive/ApplUI/Pages/CreativePages/CustomReportCreativeDetail.aspx?App=23&amp;ReportView=4&amp;Qid=1711279&amp;Row=10217&amp;Col=1","No Title Assigned - #15271807200")</f>
        <v/>
      </c>
      <c r="B10225" s="0" t="s">
        <v>13848</v>
      </c>
      <c r="E10225" s="0" t="inlineStr">
        <is>
          <t xml:space="preserve">Mazda</t>
        </is>
      </c>
      <c r="F10225" s="0" t="inlineStr">
        <is>
          <t xml:space="preserve">Mazda</t>
        </is>
      </c>
      <c r="G10225" s="0" t="s">
        <v>171</v>
      </c>
      <c r="H10225" s="5">
        <v>148.478800</v>
      </c>
    </row>
    <row r="10226" spans="1:9">
      <c r="A10226" s="22" t="str">
        <f>HYPERLINK("https://app.vivvix.com/360/KMI/IntelliDrive/ApplUI/Pages/CreativePages/CustomReportCreativeDetail.aspx?App=23&amp;ReportView=4&amp;Qid=1711279&amp;Row=10218&amp;Col=1","No Title Assigned - #15271807200")</f>
        <v/>
      </c>
      <c r="B10226" s="0" t="s">
        <v>13848</v>
      </c>
      <c r="C10226" s="0" t="s">
        <v>13849</v>
      </c>
      <c r="D10226" s="0" t="s">
        <v>13849</v>
      </c>
      <c r="E10226" s="0" t="inlineStr">
        <is>
          <t xml:space="preserve">Mazda</t>
        </is>
      </c>
      <c r="F10226" s="0" t="inlineStr">
        <is>
          <t xml:space="preserve">Mazda</t>
        </is>
      </c>
      <c r="G10226" s="0" t="s">
        <v>171</v>
      </c>
      <c r="H10226" s="5">
        <v>77.160700</v>
      </c>
    </row>
    <row r="10227" spans="1:9">
      <c r="A10227" s="22" t="str">
        <f>HYPERLINK("https://app.vivvix.com/360/KMI/IntelliDrive/ApplUI/Pages/CreativePages/CustomReportCreativeDetail.aspx?App=23&amp;ReportView=4&amp;Qid=1711279&amp;Row=10219&amp;Col=1","No Title Assigned - #15271807560")</f>
        <v/>
      </c>
      <c r="B10227" s="0" t="s">
        <v>13850</v>
      </c>
      <c r="E10227" s="0" t="inlineStr">
        <is>
          <t xml:space="preserve">Mazda</t>
        </is>
      </c>
      <c r="F10227" s="0" t="inlineStr">
        <is>
          <t xml:space="preserve">Mazda</t>
        </is>
      </c>
      <c r="G10227" s="0" t="s">
        <v>171</v>
      </c>
      <c r="H10227" s="5">
        <v>17.515800</v>
      </c>
    </row>
    <row r="10228" spans="1:9">
      <c r="A10228" s="22" t="str">
        <f>HYPERLINK("https://app.vivvix.com/360/KMI/IntelliDrive/ApplUI/Pages/CreativePages/CustomReportCreativeDetail.aspx?App=23&amp;ReportView=4&amp;Qid=1711279&amp;Row=10220&amp;Col=1","No Title Assigned - #15271807759")</f>
        <v/>
      </c>
      <c r="B10228" s="0" t="s">
        <v>13851</v>
      </c>
      <c r="E10228" s="0" t="inlineStr">
        <is>
          <t xml:space="preserve">Mazda</t>
        </is>
      </c>
      <c r="F10228" s="0" t="inlineStr">
        <is>
          <t xml:space="preserve">Mazda</t>
        </is>
      </c>
      <c r="G10228" s="0" t="s">
        <v>171</v>
      </c>
      <c r="H10228" s="5">
        <v>8.028200</v>
      </c>
    </row>
    <row r="10229" spans="1:9">
      <c r="A10229" s="22" t="str">
        <f>HYPERLINK("https://app.vivvix.com/360/KMI/IntelliDrive/ApplUI/Pages/CreativePages/CustomReportCreativeDetail.aspx?App=23&amp;ReportView=4&amp;Qid=1711279&amp;Row=10221&amp;Col=1","No Title Assigned - #15271807789")</f>
        <v/>
      </c>
      <c r="B10229" s="0" t="s">
        <v>13852</v>
      </c>
      <c r="E10229" s="0" t="inlineStr">
        <is>
          <t xml:space="preserve">Mazda</t>
        </is>
      </c>
      <c r="F10229" s="0" t="inlineStr">
        <is>
          <t xml:space="preserve">Mazda</t>
        </is>
      </c>
      <c r="G10229" s="0" t="s">
        <v>171</v>
      </c>
      <c r="H10229" s="5">
        <v>969.819500</v>
      </c>
    </row>
    <row r="10230" spans="1:9">
      <c r="A10230" s="22" t="str">
        <f>HYPERLINK("https://app.vivvix.com/360/KMI/IntelliDrive/ApplUI/Pages/CreativePages/CustomReportCreativeDetail.aspx?App=23&amp;ReportView=4&amp;Qid=1711279&amp;Row=10222&amp;Col=1","No Title Assigned - #15271807789")</f>
        <v/>
      </c>
      <c r="B10230" s="0" t="s">
        <v>13852</v>
      </c>
      <c r="E10230" s="0" t="inlineStr">
        <is>
          <t xml:space="preserve">Mazda</t>
        </is>
      </c>
      <c r="F10230" s="0" t="inlineStr">
        <is>
          <t xml:space="preserve">Mazda</t>
        </is>
      </c>
      <c r="G10230" s="0" t="s">
        <v>171</v>
      </c>
      <c r="H10230" s="5">
        <v>335.649600</v>
      </c>
    </row>
    <row r="10231" spans="1:9">
      <c r="A10231" s="22" t="str">
        <f>HYPERLINK("https://app.vivvix.com/360/KMI/IntelliDrive/ApplUI/Pages/CreativePages/CustomReportCreativeDetail.aspx?App=23&amp;ReportView=4&amp;Qid=1711279&amp;Row=10223&amp;Col=1","No Title Assigned - #15271808125")</f>
        <v/>
      </c>
      <c r="B10231" s="0" t="s">
        <v>13853</v>
      </c>
      <c r="E10231" s="0" t="inlineStr">
        <is>
          <t xml:space="preserve">Mazda</t>
        </is>
      </c>
      <c r="F10231" s="0" t="inlineStr">
        <is>
          <t xml:space="preserve">Mazda</t>
        </is>
      </c>
      <c r="G10231" s="0" t="s">
        <v>171</v>
      </c>
      <c r="H10231" s="5">
        <v>102.263700</v>
      </c>
    </row>
    <row r="10232" spans="1:9">
      <c r="A10232" s="22" t="str">
        <f>HYPERLINK("https://app.vivvix.com/360/KMI/IntelliDrive/ApplUI/Pages/CreativePages/CustomReportCreativeDetail.aspx?App=23&amp;ReportView=4&amp;Qid=1711279&amp;Row=10224&amp;Col=1","No Title Assigned - #15271808163")</f>
        <v/>
      </c>
      <c r="B10232" s="0" t="s">
        <v>13854</v>
      </c>
      <c r="E10232" s="0" t="inlineStr">
        <is>
          <t xml:space="preserve">Mazda</t>
        </is>
      </c>
      <c r="F10232" s="0" t="inlineStr">
        <is>
          <t xml:space="preserve">Mazda</t>
        </is>
      </c>
      <c r="G10232" s="0" t="s">
        <v>171</v>
      </c>
      <c r="H10232" s="5">
        <v>9.882500</v>
      </c>
    </row>
    <row r="10233" spans="1:9">
      <c r="A10233" s="22" t="str">
        <f>HYPERLINK("https://app.vivvix.com/360/KMI/IntelliDrive/ApplUI/Pages/CreativePages/CustomReportCreativeDetail.aspx?App=23&amp;ReportView=4&amp;Qid=1711279&amp;Row=10225&amp;Col=1","No Title Assigned - #15271808337")</f>
        <v/>
      </c>
      <c r="B10233" s="0" t="s">
        <v>13855</v>
      </c>
      <c r="E10233" s="0" t="inlineStr">
        <is>
          <t xml:space="preserve">Mazda</t>
        </is>
      </c>
      <c r="F10233" s="0" t="inlineStr">
        <is>
          <t xml:space="preserve">Mazda</t>
        </is>
      </c>
      <c r="G10233" s="0" t="s">
        <v>171</v>
      </c>
      <c r="H10233" s="5">
        <v>58.650500</v>
      </c>
    </row>
    <row r="10234" spans="1:9">
      <c r="A10234" s="22" t="str">
        <f>HYPERLINK("https://app.vivvix.com/360/KMI/IntelliDrive/ApplUI/Pages/CreativePages/CustomReportCreativeDetail.aspx?App=23&amp;ReportView=4&amp;Qid=1711279&amp;Row=10226&amp;Col=1","No Title Assigned - #15271808366")</f>
        <v/>
      </c>
      <c r="B10234" s="0" t="s">
        <v>13856</v>
      </c>
      <c r="E10234" s="0" t="inlineStr">
        <is>
          <t xml:space="preserve">Mazda</t>
        </is>
      </c>
      <c r="F10234" s="0" t="inlineStr">
        <is>
          <t xml:space="preserve">Mazda</t>
        </is>
      </c>
      <c r="G10234" s="0" t="s">
        <v>171</v>
      </c>
      <c r="H10234" s="5">
        <v>318.748700</v>
      </c>
    </row>
    <row r="10235" spans="1:9">
      <c r="A10235" s="22" t="str">
        <f>HYPERLINK("https://app.vivvix.com/360/KMI/IntelliDrive/ApplUI/Pages/CreativePages/CustomReportCreativeDetail.aspx?App=23&amp;ReportView=4&amp;Qid=1711279&amp;Row=10227&amp;Col=1","No Title Assigned - #15271808906")</f>
        <v/>
      </c>
      <c r="B10235" s="0" t="s">
        <v>13857</v>
      </c>
      <c r="E10235" s="0" t="inlineStr">
        <is>
          <t xml:space="preserve">Mazda</t>
        </is>
      </c>
      <c r="F10235" s="0" t="inlineStr">
        <is>
          <t xml:space="preserve">Mazda</t>
        </is>
      </c>
      <c r="G10235" s="0" t="s">
        <v>171</v>
      </c>
      <c r="H10235" s="5">
        <v>310.090000</v>
      </c>
    </row>
    <row r="10236" spans="1:9">
      <c r="A10236" s="22" t="str">
        <f>HYPERLINK("https://app.vivvix.com/360/KMI/IntelliDrive/ApplUI/Pages/CreativePages/CustomReportCreativeDetail.aspx?App=23&amp;ReportView=4&amp;Qid=1711279&amp;Row=10228&amp;Col=1","No Title Assigned - #15271809041")</f>
        <v/>
      </c>
      <c r="B10236" s="0" t="s">
        <v>13858</v>
      </c>
      <c r="E10236" s="0" t="inlineStr">
        <is>
          <t xml:space="preserve">Mazda</t>
        </is>
      </c>
      <c r="F10236" s="0" t="inlineStr">
        <is>
          <t xml:space="preserve">Mazda</t>
        </is>
      </c>
      <c r="G10236" s="0" t="s">
        <v>171</v>
      </c>
      <c r="H10236" s="5">
        <v>9.222900</v>
      </c>
    </row>
    <row r="10237" spans="1:9">
      <c r="A10237" s="22" t="str">
        <f>HYPERLINK("https://app.vivvix.com/360/KMI/IntelliDrive/ApplUI/Pages/CreativePages/CustomReportCreativeDetail.aspx?App=23&amp;ReportView=4&amp;Qid=1711279&amp;Row=10229&amp;Col=1","No Title Assigned - #15271809149")</f>
        <v/>
      </c>
      <c r="B10237" s="0" t="s">
        <v>13859</v>
      </c>
      <c r="E10237" s="0" t="inlineStr">
        <is>
          <t xml:space="preserve">Mazda</t>
        </is>
      </c>
      <c r="F10237" s="0" t="inlineStr">
        <is>
          <t xml:space="preserve">Mazda</t>
        </is>
      </c>
      <c r="G10237" s="0" t="s">
        <v>171</v>
      </c>
      <c r="H10237" s="5">
        <v>37.412400</v>
      </c>
    </row>
    <row r="10238" spans="1:9">
      <c r="A10238" s="22" t="str">
        <f>HYPERLINK("https://app.vivvix.com/360/KMI/IntelliDrive/ApplUI/Pages/CreativePages/CustomReportCreativeDetail.aspx?App=23&amp;ReportView=4&amp;Qid=1711279&amp;Row=10230&amp;Col=1","No Title Assigned - #15271809462")</f>
        <v/>
      </c>
      <c r="B10238" s="0" t="s">
        <v>13860</v>
      </c>
      <c r="E10238" s="0" t="inlineStr">
        <is>
          <t xml:space="preserve">Mazda</t>
        </is>
      </c>
      <c r="F10238" s="0" t="inlineStr">
        <is>
          <t xml:space="preserve">Mazda</t>
        </is>
      </c>
      <c r="G10238" s="0" t="s">
        <v>171</v>
      </c>
      <c r="H10238" s="5">
        <v>17.780700</v>
      </c>
    </row>
    <row r="10239" spans="1:9">
      <c r="A10239" s="22" t="str">
        <f>HYPERLINK("https://app.vivvix.com/360/KMI/IntelliDrive/ApplUI/Pages/CreativePages/CustomReportCreativeDetail.aspx?App=23&amp;ReportView=4&amp;Qid=1711279&amp;Row=10231&amp;Col=1","No Title Assigned - #15271810149")</f>
        <v/>
      </c>
      <c r="B10239" s="0" t="s">
        <v>13861</v>
      </c>
      <c r="E10239" s="0" t="inlineStr">
        <is>
          <t xml:space="preserve">Mazda</t>
        </is>
      </c>
      <c r="F10239" s="0" t="inlineStr">
        <is>
          <t xml:space="preserve">Mazda</t>
        </is>
      </c>
      <c r="G10239" s="0" t="s">
        <v>171</v>
      </c>
      <c r="H10239" s="5">
        <v>2948.808600</v>
      </c>
    </row>
    <row r="10240" spans="1:9">
      <c r="A10240" s="22" t="str">
        <f>HYPERLINK("https://app.vivvix.com/360/KMI/IntelliDrive/ApplUI/Pages/CreativePages/CustomReportCreativeDetail.aspx?App=23&amp;ReportView=4&amp;Qid=1711279&amp;Row=10232&amp;Col=1","No Title Assigned - #15271810294")</f>
        <v/>
      </c>
      <c r="B10240" s="0" t="s">
        <v>13862</v>
      </c>
      <c r="E10240" s="0" t="inlineStr">
        <is>
          <t xml:space="preserve">Mazda</t>
        </is>
      </c>
      <c r="F10240" s="0" t="inlineStr">
        <is>
          <t xml:space="preserve">Mazda</t>
        </is>
      </c>
      <c r="G10240" s="0" t="s">
        <v>171</v>
      </c>
      <c r="H10240" s="5">
        <v>14.019400</v>
      </c>
    </row>
    <row r="10241" spans="1:9">
      <c r="A10241" s="22" t="str">
        <f>HYPERLINK("https://app.vivvix.com/360/KMI/IntelliDrive/ApplUI/Pages/CreativePages/CustomReportCreativeDetail.aspx?App=23&amp;ReportView=4&amp;Qid=1711279&amp;Row=10233&amp;Col=1","No Title Assigned - #15271810736")</f>
        <v/>
      </c>
      <c r="B10241" s="0" t="s">
        <v>13863</v>
      </c>
      <c r="E10241" s="0" t="inlineStr">
        <is>
          <t xml:space="preserve">Mazda</t>
        </is>
      </c>
      <c r="F10241" s="0" t="inlineStr">
        <is>
          <t xml:space="preserve">Mazda</t>
        </is>
      </c>
      <c r="G10241" s="0" t="s">
        <v>171</v>
      </c>
      <c r="H10241" s="5">
        <v>7.024000</v>
      </c>
    </row>
    <row r="10242" spans="1:9">
      <c r="A10242" s="22" t="str">
        <f>HYPERLINK("https://app.vivvix.com/360/KMI/IntelliDrive/ApplUI/Pages/CreativePages/CustomReportCreativeDetail.aspx?App=23&amp;ReportView=4&amp;Qid=1711279&amp;Row=10234&amp;Col=1","No Title Assigned - #15271811322")</f>
        <v/>
      </c>
      <c r="B10242" s="0" t="s">
        <v>13864</v>
      </c>
      <c r="E10242" s="0" t="inlineStr">
        <is>
          <t xml:space="preserve">Mazda</t>
        </is>
      </c>
      <c r="F10242" s="0" t="inlineStr">
        <is>
          <t xml:space="preserve">Mazda</t>
        </is>
      </c>
      <c r="G10242" s="0" t="s">
        <v>171</v>
      </c>
      <c r="H10242" s="5">
        <v>7.899800</v>
      </c>
    </row>
    <row r="10243" spans="1:9">
      <c r="A10243" s="22" t="str">
        <f>HYPERLINK("https://app.vivvix.com/360/KMI/IntelliDrive/ApplUI/Pages/CreativePages/CustomReportCreativeDetail.aspx?App=23&amp;ReportView=4&amp;Qid=1711279&amp;Row=10235&amp;Col=1","No Title Assigned - #15271811785")</f>
        <v/>
      </c>
      <c r="B10243" s="0" t="s">
        <v>13865</v>
      </c>
      <c r="E10243" s="0" t="inlineStr">
        <is>
          <t xml:space="preserve">Mazda</t>
        </is>
      </c>
      <c r="F10243" s="0" t="inlineStr">
        <is>
          <t xml:space="preserve">Mazda</t>
        </is>
      </c>
      <c r="G10243" s="0" t="s">
        <v>171</v>
      </c>
      <c r="H10243" s="5">
        <v>24.532500</v>
      </c>
    </row>
    <row r="10244" spans="1:9">
      <c r="A10244" s="22" t="str">
        <f>HYPERLINK("https://app.vivvix.com/360/KMI/IntelliDrive/ApplUI/Pages/CreativePages/CustomReportCreativeDetail.aspx?App=23&amp;ReportView=4&amp;Qid=1711279&amp;Row=10236&amp;Col=1","No Title Assigned - #15271811925")</f>
        <v/>
      </c>
      <c r="B10244" s="0" t="s">
        <v>13866</v>
      </c>
      <c r="E10244" s="0" t="inlineStr">
        <is>
          <t xml:space="preserve">Mazda</t>
        </is>
      </c>
      <c r="F10244" s="0" t="inlineStr">
        <is>
          <t xml:space="preserve">Mazda</t>
        </is>
      </c>
      <c r="G10244" s="0" t="s">
        <v>171</v>
      </c>
      <c r="H10244" s="5">
        <v>1596.809100</v>
      </c>
    </row>
    <row r="10245" spans="1:9">
      <c r="A10245" s="22" t="str">
        <f>HYPERLINK("https://app.vivvix.com/360/KMI/IntelliDrive/ApplUI/Pages/CreativePages/CustomReportCreativeDetail.aspx?App=23&amp;ReportView=4&amp;Qid=1711279&amp;Row=10237&amp;Col=1","No Title Assigned - #15271811925")</f>
        <v/>
      </c>
      <c r="B10245" s="0" t="s">
        <v>13866</v>
      </c>
      <c r="E10245" s="0" t="inlineStr">
        <is>
          <t xml:space="preserve">Mazda</t>
        </is>
      </c>
      <c r="F10245" s="0" t="inlineStr">
        <is>
          <t xml:space="preserve">Mazda</t>
        </is>
      </c>
      <c r="G10245" s="0" t="s">
        <v>171</v>
      </c>
      <c r="H10245" s="5">
        <v>39.155600</v>
      </c>
    </row>
    <row r="10246" spans="1:9">
      <c r="A10246" s="22" t="str">
        <f>HYPERLINK("https://app.vivvix.com/360/KMI/IntelliDrive/ApplUI/Pages/CreativePages/CustomReportCreativeDetail.aspx?App=23&amp;ReportView=4&amp;Qid=1711279&amp;Row=10238&amp;Col=1","No Title Assigned - #15271812577")</f>
        <v/>
      </c>
      <c r="B10246" s="0" t="s">
        <v>13867</v>
      </c>
      <c r="E10246" s="0" t="inlineStr">
        <is>
          <t xml:space="preserve">Mazda</t>
        </is>
      </c>
      <c r="F10246" s="0" t="inlineStr">
        <is>
          <t xml:space="preserve">Mazda</t>
        </is>
      </c>
      <c r="G10246" s="0" t="s">
        <v>171</v>
      </c>
      <c r="H10246" s="5">
        <v>1840.011200</v>
      </c>
    </row>
    <row r="10247" spans="1:9">
      <c r="A10247" s="22" t="str">
        <f>HYPERLINK("https://app.vivvix.com/360/KMI/IntelliDrive/ApplUI/Pages/CreativePages/CustomReportCreativeDetail.aspx?App=23&amp;ReportView=4&amp;Qid=1711279&amp;Row=10239&amp;Col=1","No Title Assigned - #15271812577")</f>
        <v/>
      </c>
      <c r="B10247" s="0" t="s">
        <v>13867</v>
      </c>
      <c r="E10247" s="0" t="inlineStr">
        <is>
          <t xml:space="preserve">Mazda</t>
        </is>
      </c>
      <c r="F10247" s="0" t="inlineStr">
        <is>
          <t xml:space="preserve">Mazda</t>
        </is>
      </c>
      <c r="G10247" s="0" t="s">
        <v>171</v>
      </c>
      <c r="H10247" s="5">
        <v>2.964800</v>
      </c>
    </row>
    <row r="10248" spans="1:9">
      <c r="A10248" s="22" t="str">
        <f>HYPERLINK("https://app.vivvix.com/360/KMI/IntelliDrive/ApplUI/Pages/CreativePages/CustomReportCreativeDetail.aspx?App=23&amp;ReportView=4&amp;Qid=1711279&amp;Row=10240&amp;Col=1","No Title Assigned - #15271812846")</f>
        <v/>
      </c>
      <c r="B10248" s="0" t="s">
        <v>13868</v>
      </c>
      <c r="E10248" s="0" t="inlineStr">
        <is>
          <t xml:space="preserve">Mazda</t>
        </is>
      </c>
      <c r="F10248" s="0" t="inlineStr">
        <is>
          <t xml:space="preserve">Mazda</t>
        </is>
      </c>
      <c r="G10248" s="0" t="s">
        <v>171</v>
      </c>
      <c r="H10248" s="5">
        <v>3.072200</v>
      </c>
    </row>
    <row r="10249" spans="1:9">
      <c r="A10249" s="22" t="str">
        <f>HYPERLINK("https://app.vivvix.com/360/KMI/IntelliDrive/ApplUI/Pages/CreativePages/CustomReportCreativeDetail.aspx?App=23&amp;ReportView=4&amp;Qid=1711279&amp;Row=10241&amp;Col=1","No Title Assigned - #15271813055")</f>
        <v/>
      </c>
      <c r="B10249" s="0" t="s">
        <v>13869</v>
      </c>
      <c r="E10249" s="0" t="inlineStr">
        <is>
          <t xml:space="preserve">Mazda</t>
        </is>
      </c>
      <c r="F10249" s="0" t="inlineStr">
        <is>
          <t xml:space="preserve">Mazda</t>
        </is>
      </c>
      <c r="G10249" s="0" t="s">
        <v>171</v>
      </c>
      <c r="H10249" s="5">
        <v>62.983100</v>
      </c>
    </row>
    <row r="10250" spans="1:9">
      <c r="A10250" s="22" t="str">
        <f>HYPERLINK("https://app.vivvix.com/360/KMI/IntelliDrive/ApplUI/Pages/CreativePages/CustomReportCreativeDetail.aspx?App=23&amp;ReportView=4&amp;Qid=1711279&amp;Row=10242&amp;Col=1","No Title Assigned - #15271813332")</f>
        <v/>
      </c>
      <c r="B10250" s="0" t="s">
        <v>13870</v>
      </c>
      <c r="E10250" s="0" t="inlineStr">
        <is>
          <t xml:space="preserve">Mazda</t>
        </is>
      </c>
      <c r="F10250" s="0" t="inlineStr">
        <is>
          <t xml:space="preserve">Mazda</t>
        </is>
      </c>
      <c r="G10250" s="0" t="s">
        <v>171</v>
      </c>
      <c r="H10250" s="5">
        <v>124026.683400</v>
      </c>
    </row>
    <row r="10251" spans="1:9">
      <c r="A10251" s="22" t="str">
        <f>HYPERLINK("https://app.vivvix.com/360/KMI/IntelliDrive/ApplUI/Pages/CreativePages/CustomReportCreativeDetail.aspx?App=23&amp;ReportView=4&amp;Qid=1711279&amp;Row=10243&amp;Col=1","No Title Assigned - #15271813358")</f>
        <v/>
      </c>
      <c r="B10251" s="0" t="s">
        <v>13871</v>
      </c>
      <c r="E10251" s="0" t="inlineStr">
        <is>
          <t xml:space="preserve">Mazda</t>
        </is>
      </c>
      <c r="F10251" s="0" t="inlineStr">
        <is>
          <t xml:space="preserve">Mazda</t>
        </is>
      </c>
      <c r="G10251" s="0" t="s">
        <v>171</v>
      </c>
      <c r="H10251" s="5">
        <v>11.388500</v>
      </c>
    </row>
    <row r="10252" spans="1:9">
      <c r="A10252" s="22" t="str">
        <f>HYPERLINK("https://app.vivvix.com/360/KMI/IntelliDrive/ApplUI/Pages/CreativePages/CustomReportCreativeDetail.aspx?App=23&amp;ReportView=4&amp;Qid=1711279&amp;Row=10244&amp;Col=1","No Title Assigned - #15271817762")</f>
        <v/>
      </c>
      <c r="B10252" s="0" t="s">
        <v>13872</v>
      </c>
      <c r="E10252" s="0" t="inlineStr">
        <is>
          <t xml:space="preserve">Mazda</t>
        </is>
      </c>
      <c r="F10252" s="0" t="inlineStr">
        <is>
          <t xml:space="preserve">Mazda</t>
        </is>
      </c>
      <c r="G10252" s="0" t="s">
        <v>171</v>
      </c>
      <c r="H10252" s="5">
        <v>1307.749000</v>
      </c>
    </row>
    <row r="10253" spans="1:9">
      <c r="A10253" s="22" t="str">
        <f>HYPERLINK("https://app.vivvix.com/360/KMI/IntelliDrive/ApplUI/Pages/CreativePages/CustomReportCreativeDetail.aspx?App=23&amp;ReportView=4&amp;Qid=1711279&amp;Row=10245&amp;Col=1","No Title Assigned - #15271823374")</f>
        <v/>
      </c>
      <c r="B10253" s="0" t="s">
        <v>13873</v>
      </c>
      <c r="E10253" s="0" t="inlineStr">
        <is>
          <t xml:space="preserve">Mazda</t>
        </is>
      </c>
      <c r="F10253" s="0" t="inlineStr">
        <is>
          <t xml:space="preserve">Mazda</t>
        </is>
      </c>
      <c r="G10253" s="0" t="s">
        <v>171</v>
      </c>
      <c r="H10253" s="5">
        <v>128512.567200</v>
      </c>
    </row>
    <row r="10254" spans="1:9">
      <c r="A10254" s="22" t="str">
        <f>HYPERLINK("https://app.vivvix.com/360/KMI/IntelliDrive/ApplUI/Pages/CreativePages/CustomReportCreativeDetail.aspx?App=23&amp;ReportView=4&amp;Qid=1711279&amp;Row=10246&amp;Col=1","No Title Assigned - #15271825180")</f>
        <v/>
      </c>
      <c r="B10254" s="0" t="s">
        <v>13874</v>
      </c>
      <c r="E10254" s="0" t="inlineStr">
        <is>
          <t xml:space="preserve">Mazda</t>
        </is>
      </c>
      <c r="F10254" s="0" t="inlineStr">
        <is>
          <t xml:space="preserve">Mazda</t>
        </is>
      </c>
      <c r="G10254" s="0" t="s">
        <v>171</v>
      </c>
      <c r="H10254" s="5">
        <v>475.354500</v>
      </c>
    </row>
    <row r="10255" spans="1:9">
      <c r="A10255" s="22" t="str">
        <f>HYPERLINK("https://app.vivvix.com/360/KMI/IntelliDrive/ApplUI/Pages/CreativePages/CustomReportCreativeDetail.aspx?App=23&amp;ReportView=4&amp;Qid=1711279&amp;Row=10247&amp;Col=1","No Title Assigned - #15271825972")</f>
        <v/>
      </c>
      <c r="B10255" s="0" t="s">
        <v>13875</v>
      </c>
      <c r="E10255" s="0" t="inlineStr">
        <is>
          <t xml:space="preserve">Mazda</t>
        </is>
      </c>
      <c r="F10255" s="0" t="inlineStr">
        <is>
          <t xml:space="preserve">Mazda</t>
        </is>
      </c>
      <c r="G10255" s="0" t="s">
        <v>171</v>
      </c>
      <c r="H10255" s="5">
        <v>79.528100</v>
      </c>
    </row>
    <row r="10256" spans="1:9">
      <c r="A10256" s="22" t="str">
        <f>HYPERLINK("https://app.vivvix.com/360/KMI/IntelliDrive/ApplUI/Pages/CreativePages/CustomReportCreativeDetail.aspx?App=23&amp;ReportView=4&amp;Qid=1711279&amp;Row=10248&amp;Col=1","No Title Assigned - #15271826512")</f>
        <v/>
      </c>
      <c r="B10256" s="0" t="s">
        <v>13876</v>
      </c>
      <c r="E10256" s="0" t="inlineStr">
        <is>
          <t xml:space="preserve">Mazda</t>
        </is>
      </c>
      <c r="F10256" s="0" t="inlineStr">
        <is>
          <t xml:space="preserve">Mazda</t>
        </is>
      </c>
      <c r="G10256" s="0" t="s">
        <v>171</v>
      </c>
      <c r="H10256" s="5">
        <v>494.330600</v>
      </c>
    </row>
    <row r="10257" spans="1:9">
      <c r="A10257" s="22" t="str">
        <f>HYPERLINK("https://app.vivvix.com/360/KMI/IntelliDrive/ApplUI/Pages/CreativePages/CustomReportCreativeDetail.aspx?App=23&amp;ReportView=4&amp;Qid=1711279&amp;Row=10249&amp;Col=1","No Title Assigned - #15271838485")</f>
        <v/>
      </c>
      <c r="B10257" s="0" t="s">
        <v>13877</v>
      </c>
      <c r="E10257" s="0" t="inlineStr">
        <is>
          <t xml:space="preserve">Mazda</t>
        </is>
      </c>
      <c r="F10257" s="0" t="inlineStr">
        <is>
          <t xml:space="preserve">Mazda</t>
        </is>
      </c>
      <c r="G10257" s="0" t="s">
        <v>171</v>
      </c>
      <c r="H10257" s="5">
        <v>7.115100</v>
      </c>
    </row>
    <row r="10258" spans="1:9">
      <c r="A10258" s="22" t="str">
        <f>HYPERLINK("https://app.vivvix.com/360/KMI/IntelliDrive/ApplUI/Pages/CreativePages/CustomReportCreativeDetail.aspx?App=23&amp;ReportView=4&amp;Qid=1711279&amp;Row=10250&amp;Col=1","No Title Assigned - #15271838814")</f>
        <v/>
      </c>
      <c r="B10258" s="0" t="s">
        <v>13878</v>
      </c>
      <c r="C10258" s="0" t="s">
        <v>13879</v>
      </c>
      <c r="D10258" s="0" t="s">
        <v>13879</v>
      </c>
      <c r="E10258" s="0" t="inlineStr">
        <is>
          <t xml:space="preserve">Mazda</t>
        </is>
      </c>
      <c r="F10258" s="0" t="inlineStr">
        <is>
          <t xml:space="preserve">Mazda</t>
        </is>
      </c>
      <c r="G10258" s="0" t="s">
        <v>171</v>
      </c>
      <c r="H10258" s="5">
        <v>4719.484100</v>
      </c>
    </row>
    <row r="10259" spans="1:9">
      <c r="A10259" s="22" t="str">
        <f>HYPERLINK("https://app.vivvix.com/360/KMI/IntelliDrive/ApplUI/Pages/CreativePages/CustomReportCreativeDetail.aspx?App=23&amp;ReportView=4&amp;Qid=1711279&amp;Row=10251&amp;Col=1","No Title Assigned - #15271838814")</f>
        <v/>
      </c>
      <c r="B10259" s="0" t="s">
        <v>13878</v>
      </c>
      <c r="E10259" s="0" t="inlineStr">
        <is>
          <t xml:space="preserve">Mazda</t>
        </is>
      </c>
      <c r="F10259" s="0" t="inlineStr">
        <is>
          <t xml:space="preserve">Mazda</t>
        </is>
      </c>
      <c r="G10259" s="0" t="s">
        <v>171</v>
      </c>
      <c r="H10259" s="5">
        <v>192.550200</v>
      </c>
    </row>
    <row r="10260" spans="1:9">
      <c r="A10260" s="22" t="str">
        <f>HYPERLINK("https://app.vivvix.com/360/KMI/IntelliDrive/ApplUI/Pages/CreativePages/CustomReportCreativeDetail.aspx?App=23&amp;ReportView=4&amp;Qid=1711279&amp;Row=10252&amp;Col=1","No Title Assigned - #15271839594")</f>
        <v/>
      </c>
      <c r="B10260" s="0" t="s">
        <v>13880</v>
      </c>
      <c r="E10260" s="0" t="inlineStr">
        <is>
          <t xml:space="preserve">Mazda</t>
        </is>
      </c>
      <c r="F10260" s="0" t="inlineStr">
        <is>
          <t xml:space="preserve">Mazda</t>
        </is>
      </c>
      <c r="G10260" s="0" t="s">
        <v>171</v>
      </c>
      <c r="H10260" s="5">
        <v>146.140800</v>
      </c>
    </row>
    <row r="10261" spans="1:9">
      <c r="A10261" s="22" t="str">
        <f>HYPERLINK("https://app.vivvix.com/360/KMI/IntelliDrive/ApplUI/Pages/CreativePages/CustomReportCreativeDetail.aspx?App=23&amp;ReportView=4&amp;Qid=1711279&amp;Row=10253&amp;Col=1","No Title Assigned - #15271840838")</f>
        <v/>
      </c>
      <c r="B10261" s="0" t="s">
        <v>13881</v>
      </c>
      <c r="E10261" s="0" t="inlineStr">
        <is>
          <t xml:space="preserve">Mazda</t>
        </is>
      </c>
      <c r="F10261" s="0" t="inlineStr">
        <is>
          <t xml:space="preserve">Mazda</t>
        </is>
      </c>
      <c r="G10261" s="0" t="s">
        <v>171</v>
      </c>
      <c r="H10261" s="5">
        <v>9.222900</v>
      </c>
    </row>
    <row r="10262" spans="1:9">
      <c r="A10262" s="22" t="str">
        <f>HYPERLINK("https://app.vivvix.com/360/KMI/IntelliDrive/ApplUI/Pages/CreativePages/CustomReportCreativeDetail.aspx?App=23&amp;ReportView=4&amp;Qid=1711279&amp;Row=10254&amp;Col=1","No Title Assigned - #15271845551")</f>
        <v/>
      </c>
      <c r="B10262" s="0" t="s">
        <v>13882</v>
      </c>
      <c r="C10262" s="0" t="s">
        <v>13883</v>
      </c>
      <c r="D10262" s="0" t="s">
        <v>13883</v>
      </c>
      <c r="E10262" s="0" t="inlineStr">
        <is>
          <t xml:space="preserve">Mazda</t>
        </is>
      </c>
      <c r="F10262" s="0" t="inlineStr">
        <is>
          <t xml:space="preserve">Mazda</t>
        </is>
      </c>
      <c r="G10262" s="0" t="s">
        <v>210</v>
      </c>
      <c r="H10262" s="5">
        <v>1448.238400</v>
      </c>
    </row>
    <row r="10263" spans="1:9">
      <c r="A10263" s="22" t="str">
        <f>HYPERLINK("https://app.vivvix.com/360/KMI/IntelliDrive/ApplUI/Pages/CreativePages/CustomReportCreativeDetail.aspx?App=23&amp;ReportView=4&amp;Qid=1711279&amp;Row=10255&amp;Col=1","No Title Assigned - #15271845669")</f>
        <v/>
      </c>
      <c r="B10263" s="0" t="s">
        <v>13884</v>
      </c>
      <c r="C10263" s="0" t="s">
        <v>13885</v>
      </c>
      <c r="D10263" s="0" t="s">
        <v>8560</v>
      </c>
      <c r="E10263" s="0" t="inlineStr">
        <is>
          <t xml:space="preserve">Mazda</t>
        </is>
      </c>
      <c r="F10263" s="0" t="s">
        <v>13</v>
      </c>
      <c r="G10263" s="0" t="s">
        <v>49</v>
      </c>
      <c r="H10263" s="5">
        <v>27.874300</v>
      </c>
    </row>
    <row r="10264" spans="1:9">
      <c r="A10264" s="22" t="str">
        <f>HYPERLINK("https://app.vivvix.com/360/KMI/IntelliDrive/ApplUI/Pages/CreativePages/CustomReportCreativeDetail.aspx?App=23&amp;ReportView=4&amp;Qid=1711279&amp;Row=10256&amp;Col=1","No Title Assigned - #15271846408")</f>
        <v/>
      </c>
      <c r="B10264" s="0" t="s">
        <v>13886</v>
      </c>
      <c r="C10264" s="0" t="s">
        <v>13887</v>
      </c>
      <c r="D10264" s="0" t="s">
        <v>13887</v>
      </c>
      <c r="E10264" s="0" t="inlineStr">
        <is>
          <t xml:space="preserve">Mazda</t>
        </is>
      </c>
      <c r="F10264" s="0" t="s">
        <v>13</v>
      </c>
      <c r="G10264" s="0" t="s">
        <v>49</v>
      </c>
      <c r="H10264" s="5">
        <v>13903.097100</v>
      </c>
    </row>
    <row r="10265" spans="1:9">
      <c r="A10265" s="22" t="str">
        <f>HYPERLINK("https://app.vivvix.com/360/KMI/IntelliDrive/ApplUI/Pages/CreativePages/CustomReportCreativeDetail.aspx?App=23&amp;ReportView=4&amp;Qid=1711279&amp;Row=10257&amp;Col=1","No Title Assigned - #15271846408")</f>
        <v/>
      </c>
      <c r="B10265" s="0" t="s">
        <v>13886</v>
      </c>
      <c r="E10265" s="0" t="inlineStr">
        <is>
          <t xml:space="preserve">Mazda</t>
        </is>
      </c>
      <c r="F10265" s="0" t="s">
        <v>13</v>
      </c>
      <c r="G10265" s="0" t="s">
        <v>49</v>
      </c>
      <c r="H10265" s="5">
        <v>36005.634400</v>
      </c>
    </row>
    <row r="10266" spans="1:9">
      <c r="A10266" s="22" t="str">
        <f>HYPERLINK("https://app.vivvix.com/360/KMI/IntelliDrive/ApplUI/Pages/CreativePages/CustomReportCreativeDetail.aspx?App=23&amp;ReportView=4&amp;Qid=1711279&amp;Row=10258&amp;Col=1","No Title Assigned - #15271846751")</f>
        <v/>
      </c>
      <c r="B10266" s="0" t="s">
        <v>13888</v>
      </c>
      <c r="C10266" s="0" t="s">
        <v>13889</v>
      </c>
      <c r="D10266" s="0" t="s">
        <v>13889</v>
      </c>
      <c r="E10266" s="0" t="inlineStr">
        <is>
          <t xml:space="preserve">Mazda</t>
        </is>
      </c>
      <c r="F10266" s="0" t="s">
        <v>28</v>
      </c>
      <c r="G10266" s="0" t="s">
        <v>29</v>
      </c>
      <c r="H10266" s="5">
        <v>312.942000</v>
      </c>
    </row>
    <row r="10267" spans="1:9">
      <c r="A10267" s="22" t="str">
        <f>HYPERLINK("https://app.vivvix.com/360/KMI/IntelliDrive/ApplUI/Pages/CreativePages/CustomReportCreativeDetail.aspx?App=23&amp;ReportView=4&amp;Qid=1711279&amp;Row=10259&amp;Col=1","No Title Assigned - #15271846851")</f>
        <v/>
      </c>
      <c r="B10267" s="0" t="s">
        <v>13890</v>
      </c>
      <c r="C10267" s="0" t="s">
        <v>13891</v>
      </c>
      <c r="D10267" s="0" t="s">
        <v>13891</v>
      </c>
      <c r="E10267" s="0" t="inlineStr">
        <is>
          <t xml:space="preserve">Mazda</t>
        </is>
      </c>
      <c r="F10267" s="0" t="s">
        <v>28</v>
      </c>
      <c r="G10267" s="0" t="s">
        <v>29</v>
      </c>
      <c r="H10267" s="5">
        <v>13.202700</v>
      </c>
    </row>
    <row r="10268" spans="1:9">
      <c r="A10268" s="22" t="str">
        <f>HYPERLINK("https://app.vivvix.com/360/KMI/IntelliDrive/ApplUI/Pages/CreativePages/CustomReportCreativeDetail.aspx?App=23&amp;ReportView=4&amp;Qid=1711279&amp;Row=10260&amp;Col=1","No Title Assigned - #15271847620")</f>
        <v/>
      </c>
      <c r="B10268" s="0" t="s">
        <v>13892</v>
      </c>
      <c r="C10268" s="0" t="s">
        <v>13893</v>
      </c>
      <c r="D10268" s="0" t="s">
        <v>13893</v>
      </c>
      <c r="E10268" s="0" t="inlineStr">
        <is>
          <t xml:space="preserve">Mazda</t>
        </is>
      </c>
      <c r="F10268" s="0" t="s">
        <v>13</v>
      </c>
      <c r="G10268" s="0" t="s">
        <v>49</v>
      </c>
      <c r="H10268" s="5">
        <v>70.845100</v>
      </c>
    </row>
    <row r="10269" spans="1:9">
      <c r="A10269" s="22" t="str">
        <f>HYPERLINK("https://app.vivvix.com/360/KMI/IntelliDrive/ApplUI/Pages/CreativePages/CustomReportCreativeDetail.aspx?App=23&amp;ReportView=4&amp;Qid=1711279&amp;Row=10261&amp;Col=1","No Title Assigned - #15271847767")</f>
        <v/>
      </c>
      <c r="B10269" s="0" t="s">
        <v>13894</v>
      </c>
      <c r="C10269" s="0" t="s">
        <v>13895</v>
      </c>
      <c r="D10269" s="0" t="s">
        <v>4798</v>
      </c>
      <c r="E10269" s="0" t="inlineStr">
        <is>
          <t xml:space="preserve">Mazda</t>
        </is>
      </c>
      <c r="F10269" s="0" t="s">
        <v>28</v>
      </c>
      <c r="G10269" s="0" t="s">
        <v>29</v>
      </c>
      <c r="H10269" s="5">
        <v>1510.960100</v>
      </c>
    </row>
    <row r="10270" spans="1:9">
      <c r="A10270" s="22" t="str">
        <f>HYPERLINK("https://app.vivvix.com/360/KMI/IntelliDrive/ApplUI/Pages/CreativePages/CustomReportCreativeDetail.aspx?App=23&amp;ReportView=4&amp;Qid=1711279&amp;Row=10262&amp;Col=1","No Title Assigned - #15271850319")</f>
        <v/>
      </c>
      <c r="B10270" s="0" t="s">
        <v>13896</v>
      </c>
      <c r="C10270" s="0" t="s">
        <v>13897</v>
      </c>
      <c r="D10270" s="0" t="s">
        <v>13898</v>
      </c>
      <c r="E10270" s="0" t="inlineStr">
        <is>
          <t xml:space="preserve">Mazda</t>
        </is>
      </c>
      <c r="F10270" s="0" t="s">
        <v>28</v>
      </c>
      <c r="G10270" s="0" t="s">
        <v>29</v>
      </c>
      <c r="H10270" s="5">
        <v>14.706400</v>
      </c>
    </row>
    <row r="10271" spans="1:9">
      <c r="A10271" s="22" t="str">
        <f>HYPERLINK("https://app.vivvix.com/360/KMI/IntelliDrive/ApplUI/Pages/CreativePages/CustomReportCreativeDetail.aspx?App=23&amp;ReportView=4&amp;Qid=1711279&amp;Row=10263&amp;Col=1","No Title Assigned - #15271851425")</f>
        <v/>
      </c>
      <c r="B10271" s="0" t="s">
        <v>13899</v>
      </c>
      <c r="C10271" s="0" t="s">
        <v>13900</v>
      </c>
      <c r="D10271" s="0" t="s">
        <v>13900</v>
      </c>
      <c r="E10271" s="0" t="inlineStr">
        <is>
          <t xml:space="preserve">Mazda</t>
        </is>
      </c>
      <c r="F10271" s="0" t="s">
        <v>28</v>
      </c>
      <c r="G10271" s="0" t="s">
        <v>29</v>
      </c>
      <c r="H10271" s="5">
        <v>237.966400</v>
      </c>
    </row>
    <row r="10272" spans="1:9">
      <c r="A10272" s="22" t="str">
        <f>HYPERLINK("https://app.vivvix.com/360/KMI/IntelliDrive/ApplUI/Pages/CreativePages/CustomReportCreativeDetail.aspx?App=23&amp;ReportView=4&amp;Qid=1711279&amp;Row=10264&amp;Col=1","No Title Assigned - #15271852819")</f>
        <v/>
      </c>
      <c r="B10272" s="0" t="s">
        <v>13901</v>
      </c>
      <c r="C10272" s="0" t="s">
        <v>13902</v>
      </c>
      <c r="D10272" s="0" t="s">
        <v>9707</v>
      </c>
      <c r="E10272" s="0" t="inlineStr">
        <is>
          <t xml:space="preserve">Mazda</t>
        </is>
      </c>
      <c r="F10272" s="0" t="s">
        <v>13</v>
      </c>
      <c r="G10272" s="0" t="s">
        <v>49</v>
      </c>
      <c r="H10272" s="5">
        <v>1029.559100</v>
      </c>
    </row>
    <row r="10273" spans="1:9">
      <c r="A10273" s="22" t="str">
        <f>HYPERLINK("https://app.vivvix.com/360/KMI/IntelliDrive/ApplUI/Pages/CreativePages/CustomReportCreativeDetail.aspx?App=23&amp;ReportView=4&amp;Qid=1711279&amp;Row=10265&amp;Col=1","No Title Assigned - #15271852964")</f>
        <v/>
      </c>
      <c r="B10273" s="0" t="s">
        <v>13903</v>
      </c>
      <c r="C10273" s="0" t="s">
        <v>13904</v>
      </c>
      <c r="D10273" s="0" t="s">
        <v>13904</v>
      </c>
      <c r="E10273" s="0" t="inlineStr">
        <is>
          <t xml:space="preserve">Mazda</t>
        </is>
      </c>
      <c r="F10273" s="0" t="inlineStr">
        <is>
          <t xml:space="preserve">Mazda</t>
        </is>
      </c>
      <c r="G10273" s="0" t="s">
        <v>210</v>
      </c>
      <c r="H10273" s="5">
        <v>904.765400</v>
      </c>
    </row>
    <row r="10274" spans="1:9">
      <c r="A10274" s="22" t="str">
        <f>HYPERLINK("https://app.vivvix.com/360/KMI/IntelliDrive/ApplUI/Pages/CreativePages/CustomReportCreativeDetail.aspx?App=23&amp;ReportView=4&amp;Qid=1711279&amp;Row=10266&amp;Col=1","No Title Assigned - #15271853450")</f>
        <v/>
      </c>
      <c r="B10274" s="0" t="s">
        <v>13905</v>
      </c>
      <c r="C10274" s="0" t="s">
        <v>13906</v>
      </c>
      <c r="D10274" s="0" t="s">
        <v>13906</v>
      </c>
      <c r="E10274" s="0" t="inlineStr">
        <is>
          <t xml:space="preserve">Mazda</t>
        </is>
      </c>
      <c r="F10274" s="0" t="inlineStr">
        <is>
          <t xml:space="preserve">Mazda</t>
        </is>
      </c>
      <c r="G10274" s="0" t="s">
        <v>210</v>
      </c>
      <c r="H10274" s="5">
        <v>920.442000</v>
      </c>
    </row>
    <row r="10275" spans="1:9">
      <c r="A10275" s="22" t="str">
        <f>HYPERLINK("https://app.vivvix.com/360/KMI/IntelliDrive/ApplUI/Pages/CreativePages/CustomReportCreativeDetail.aspx?App=23&amp;ReportView=4&amp;Qid=1711279&amp;Row=10267&amp;Col=1","No Title Assigned - #15271853684")</f>
        <v/>
      </c>
      <c r="B10275" s="0" t="s">
        <v>13907</v>
      </c>
      <c r="C10275" s="0" t="s">
        <v>13908</v>
      </c>
      <c r="D10275" s="0" t="s">
        <v>4586</v>
      </c>
      <c r="E10275" s="0" t="inlineStr">
        <is>
          <t xml:space="preserve">Mazda</t>
        </is>
      </c>
      <c r="F10275" s="0" t="s">
        <v>28</v>
      </c>
      <c r="G10275" s="0" t="s">
        <v>29</v>
      </c>
      <c r="H10275" s="5">
        <v>12.096400</v>
      </c>
    </row>
    <row r="10276" spans="1:9">
      <c r="A10276" s="22" t="str">
        <f>HYPERLINK("https://app.vivvix.com/360/KMI/IntelliDrive/ApplUI/Pages/CreativePages/CustomReportCreativeDetail.aspx?App=23&amp;ReportView=4&amp;Qid=1711279&amp;Row=10268&amp;Col=1","No Title Assigned - #15271853922")</f>
        <v/>
      </c>
      <c r="B10276" s="0" t="s">
        <v>13909</v>
      </c>
      <c r="C10276" s="0" t="s">
        <v>13910</v>
      </c>
      <c r="D10276" s="0" t="s">
        <v>13910</v>
      </c>
      <c r="E10276" s="0" t="inlineStr">
        <is>
          <t xml:space="preserve">Mazda</t>
        </is>
      </c>
      <c r="F10276" s="0" t="s">
        <v>13</v>
      </c>
      <c r="G10276" s="0" t="s">
        <v>49</v>
      </c>
      <c r="H10276" s="5">
        <v>100.405700</v>
      </c>
    </row>
    <row r="10277" spans="1:9">
      <c r="A10277" s="22" t="str">
        <f>HYPERLINK("https://app.vivvix.com/360/KMI/IntelliDrive/ApplUI/Pages/CreativePages/CustomReportCreativeDetail.aspx?App=23&amp;ReportView=4&amp;Qid=1711279&amp;Row=10269&amp;Col=1","No Title Assigned - #15271855088")</f>
        <v/>
      </c>
      <c r="B10277" s="0" t="s">
        <v>13911</v>
      </c>
      <c r="C10277" s="0" t="s">
        <v>13912</v>
      </c>
      <c r="D10277" s="0" t="s">
        <v>13912</v>
      </c>
      <c r="E10277" s="0" t="inlineStr">
        <is>
          <t xml:space="preserve">Mazda</t>
        </is>
      </c>
      <c r="F10277" s="0" t="s">
        <v>13</v>
      </c>
      <c r="G10277" s="0" t="s">
        <v>49</v>
      </c>
      <c r="H10277" s="5">
        <v>760.124100</v>
      </c>
    </row>
    <row r="10278" spans="1:9">
      <c r="A10278" s="22" t="str">
        <f>HYPERLINK("https://app.vivvix.com/360/KMI/IntelliDrive/ApplUI/Pages/CreativePages/CustomReportCreativeDetail.aspx?App=23&amp;ReportView=4&amp;Qid=1711279&amp;Row=10270&amp;Col=1","No Title Assigned - #15271856084")</f>
        <v/>
      </c>
      <c r="B10278" s="0" t="s">
        <v>13913</v>
      </c>
      <c r="C10278" s="0" t="s">
        <v>13914</v>
      </c>
      <c r="D10278" s="0" t="s">
        <v>13914</v>
      </c>
      <c r="E10278" s="0" t="inlineStr">
        <is>
          <t xml:space="preserve">Mazda</t>
        </is>
      </c>
      <c r="F10278" s="0" t="inlineStr">
        <is>
          <t xml:space="preserve">Mazda</t>
        </is>
      </c>
      <c r="G10278" s="0" t="s">
        <v>210</v>
      </c>
      <c r="H10278" s="5">
        <v>1903.052200</v>
      </c>
    </row>
    <row r="10279" spans="1:9">
      <c r="A10279" s="22" t="str">
        <f>HYPERLINK("https://app.vivvix.com/360/KMI/IntelliDrive/ApplUI/Pages/CreativePages/CustomReportCreativeDetail.aspx?App=23&amp;ReportView=4&amp;Qid=1711279&amp;Row=10271&amp;Col=1","No Title Assigned - #15271856504")</f>
        <v/>
      </c>
      <c r="B10279" s="0" t="s">
        <v>13915</v>
      </c>
      <c r="E10279" s="0" t="inlineStr">
        <is>
          <t xml:space="preserve">Mazda</t>
        </is>
      </c>
      <c r="F10279" s="0" t="inlineStr">
        <is>
          <t xml:space="preserve">Mazda</t>
        </is>
      </c>
      <c r="G10279" s="0" t="s">
        <v>171</v>
      </c>
      <c r="H10279" s="5">
        <v>355.646000</v>
      </c>
    </row>
    <row r="10280" spans="1:9">
      <c r="A10280" s="22" t="str">
        <f>HYPERLINK("https://app.vivvix.com/360/KMI/IntelliDrive/ApplUI/Pages/CreativePages/CustomReportCreativeDetail.aspx?App=23&amp;ReportView=4&amp;Qid=1711279&amp;Row=10272&amp;Col=1","No Title Assigned - #15271857809")</f>
        <v/>
      </c>
      <c r="B10280" s="0" t="s">
        <v>13916</v>
      </c>
      <c r="C10280" s="0" t="s">
        <v>13917</v>
      </c>
      <c r="D10280" s="0" t="s">
        <v>13326</v>
      </c>
      <c r="E10280" s="0" t="inlineStr">
        <is>
          <t xml:space="preserve">Mazda</t>
        </is>
      </c>
      <c r="F10280" s="0" t="s">
        <v>13</v>
      </c>
      <c r="G10280" s="0" t="s">
        <v>49</v>
      </c>
      <c r="H10280" s="5">
        <v>2264.319600</v>
      </c>
    </row>
    <row r="10281" spans="1:9">
      <c r="A10281" s="22" t="str">
        <f>HYPERLINK("https://app.vivvix.com/360/KMI/IntelliDrive/ApplUI/Pages/CreativePages/CustomReportCreativeDetail.aspx?App=23&amp;ReportView=4&amp;Qid=1711279&amp;Row=10273&amp;Col=1","No Title Assigned - #15271858465")</f>
        <v/>
      </c>
      <c r="B10281" s="0" t="s">
        <v>13918</v>
      </c>
      <c r="C10281" s="0" t="s">
        <v>13919</v>
      </c>
      <c r="D10281" s="0" t="s">
        <v>13919</v>
      </c>
      <c r="E10281" s="0" t="inlineStr">
        <is>
          <t xml:space="preserve">Mazda</t>
        </is>
      </c>
      <c r="F10281" s="0" t="s">
        <v>13</v>
      </c>
      <c r="G10281" s="0" t="s">
        <v>49</v>
      </c>
      <c r="H10281" s="5">
        <v>1224.329200</v>
      </c>
    </row>
    <row r="10282" spans="1:9">
      <c r="A10282" s="22" t="str">
        <f>HYPERLINK("https://app.vivvix.com/360/KMI/IntelliDrive/ApplUI/Pages/CreativePages/CustomReportCreativeDetail.aspx?App=23&amp;ReportView=4&amp;Qid=1711279&amp;Row=10274&amp;Col=1","No Title Assigned - #15271858757")</f>
        <v/>
      </c>
      <c r="B10282" s="0" t="s">
        <v>13920</v>
      </c>
      <c r="C10282" s="0" t="s">
        <v>13921</v>
      </c>
      <c r="D10282" s="0" t="s">
        <v>4204</v>
      </c>
      <c r="E10282" s="0" t="inlineStr">
        <is>
          <t xml:space="preserve">Mazda</t>
        </is>
      </c>
      <c r="F10282" s="0" t="s">
        <v>28</v>
      </c>
      <c r="G10282" s="0" t="s">
        <v>29</v>
      </c>
      <c r="H10282" s="5">
        <v>41.090400</v>
      </c>
    </row>
    <row r="10283" spans="1:9">
      <c r="A10283" s="22" t="str">
        <f>HYPERLINK("https://app.vivvix.com/360/KMI/IntelliDrive/ApplUI/Pages/CreativePages/CustomReportCreativeDetail.aspx?App=23&amp;ReportView=4&amp;Qid=1711279&amp;Row=10275&amp;Col=1","No Title Assigned - #15271858804")</f>
        <v/>
      </c>
      <c r="B10283" s="0" t="s">
        <v>13922</v>
      </c>
      <c r="E10283" s="0" t="inlineStr">
        <is>
          <t xml:space="preserve">Mazda</t>
        </is>
      </c>
      <c r="F10283" s="0" t="inlineStr">
        <is>
          <t xml:space="preserve">Mazda</t>
        </is>
      </c>
      <c r="G10283" s="0" t="s">
        <v>171</v>
      </c>
      <c r="H10283" s="5">
        <v>19.028000</v>
      </c>
    </row>
    <row r="10284" spans="1:9">
      <c r="A10284" s="22" t="str">
        <f>HYPERLINK("https://app.vivvix.com/360/KMI/IntelliDrive/ApplUI/Pages/CreativePages/CustomReportCreativeDetail.aspx?App=23&amp;ReportView=4&amp;Qid=1711279&amp;Row=10276&amp;Col=1","No Title Assigned - #15271859106")</f>
        <v/>
      </c>
      <c r="B10284" s="0" t="s">
        <v>13923</v>
      </c>
      <c r="C10284" s="0" t="s">
        <v>13924</v>
      </c>
      <c r="D10284" s="0" t="s">
        <v>13924</v>
      </c>
      <c r="E10284" s="0" t="inlineStr">
        <is>
          <t xml:space="preserve">Mazda</t>
        </is>
      </c>
      <c r="F10284" s="0" t="s">
        <v>13</v>
      </c>
      <c r="G10284" s="0" t="s">
        <v>49</v>
      </c>
      <c r="H10284" s="5">
        <v>26.226000</v>
      </c>
    </row>
    <row r="10285" spans="1:9">
      <c r="A10285" s="22" t="str">
        <f>HYPERLINK("https://app.vivvix.com/360/KMI/IntelliDrive/ApplUI/Pages/CreativePages/CustomReportCreativeDetail.aspx?App=23&amp;ReportView=4&amp;Qid=1711279&amp;Row=10277&amp;Col=1","No Title Assigned - #15271859416")</f>
        <v/>
      </c>
      <c r="B10285" s="0" t="s">
        <v>13925</v>
      </c>
      <c r="C10285" s="0" t="s">
        <v>13926</v>
      </c>
      <c r="D10285" s="0" t="s">
        <v>13926</v>
      </c>
      <c r="E10285" s="0" t="inlineStr">
        <is>
          <t xml:space="preserve">Mazda</t>
        </is>
      </c>
      <c r="F10285" s="0" t="s">
        <v>28</v>
      </c>
      <c r="G10285" s="0" t="s">
        <v>29</v>
      </c>
      <c r="H10285" s="5">
        <v>37.784500</v>
      </c>
    </row>
    <row r="10286" spans="1:9">
      <c r="A10286" s="22" t="str">
        <f>HYPERLINK("https://app.vivvix.com/360/KMI/IntelliDrive/ApplUI/Pages/CreativePages/CustomReportCreativeDetail.aspx?App=23&amp;ReportView=4&amp;Qid=1711279&amp;Row=10278&amp;Col=1","No Title Assigned - #15271860200")</f>
        <v/>
      </c>
      <c r="B10286" s="0" t="s">
        <v>13927</v>
      </c>
      <c r="C10286" s="0" t="s">
        <v>13928</v>
      </c>
      <c r="D10286" s="0" t="s">
        <v>13928</v>
      </c>
      <c r="E10286" s="0" t="inlineStr">
        <is>
          <t xml:space="preserve">Mazda</t>
        </is>
      </c>
      <c r="F10286" s="0" t="s">
        <v>13</v>
      </c>
      <c r="G10286" s="0" t="s">
        <v>49</v>
      </c>
      <c r="H10286" s="5">
        <v>133.379900</v>
      </c>
    </row>
    <row r="10287" spans="1:9">
      <c r="A10287" s="22" t="str">
        <f>HYPERLINK("https://app.vivvix.com/360/KMI/IntelliDrive/ApplUI/Pages/CreativePages/CustomReportCreativeDetail.aspx?App=23&amp;ReportView=4&amp;Qid=1711279&amp;Row=10279&amp;Col=1","No Title Assigned - #15271861363")</f>
        <v/>
      </c>
      <c r="B10287" s="0" t="s">
        <v>13929</v>
      </c>
      <c r="C10287" s="0" t="s">
        <v>13930</v>
      </c>
      <c r="D10287" s="0" t="s">
        <v>4202</v>
      </c>
      <c r="E10287" s="0" t="inlineStr">
        <is>
          <t xml:space="preserve">Mazda</t>
        </is>
      </c>
      <c r="F10287" s="0" t="s">
        <v>28</v>
      </c>
      <c r="G10287" s="0" t="s">
        <v>29</v>
      </c>
      <c r="H10287" s="5">
        <v>5.290600</v>
      </c>
    </row>
    <row r="10288" spans="1:9">
      <c r="A10288" s="22" t="str">
        <f>HYPERLINK("https://app.vivvix.com/360/KMI/IntelliDrive/ApplUI/Pages/CreativePages/CustomReportCreativeDetail.aspx?App=23&amp;ReportView=4&amp;Qid=1711279&amp;Row=10280&amp;Col=1","No Title Assigned - #15271861620")</f>
        <v/>
      </c>
      <c r="B10288" s="0" t="s">
        <v>13931</v>
      </c>
      <c r="C10288" s="0" t="s">
        <v>13932</v>
      </c>
      <c r="D10288" s="0" t="s">
        <v>13932</v>
      </c>
      <c r="E10288" s="0" t="inlineStr">
        <is>
          <t xml:space="preserve">Mazda</t>
        </is>
      </c>
      <c r="F10288" s="0" t="s">
        <v>13</v>
      </c>
      <c r="G10288" s="0" t="s">
        <v>49</v>
      </c>
      <c r="H10288" s="5">
        <v>16.681100</v>
      </c>
    </row>
    <row r="10289" spans="1:9">
      <c r="A10289" s="22" t="str">
        <f>HYPERLINK("https://app.vivvix.com/360/KMI/IntelliDrive/ApplUI/Pages/CreativePages/CustomReportCreativeDetail.aspx?App=23&amp;ReportView=4&amp;Qid=1711279&amp;Row=10281&amp;Col=1","No Title Assigned - #15271861738")</f>
        <v/>
      </c>
      <c r="B10289" s="0" t="s">
        <v>13933</v>
      </c>
      <c r="C10289" s="0" t="s">
        <v>13934</v>
      </c>
      <c r="D10289" s="0" t="s">
        <v>13934</v>
      </c>
      <c r="E10289" s="0" t="inlineStr">
        <is>
          <t xml:space="preserve">Mazda</t>
        </is>
      </c>
      <c r="F10289" s="0" t="s">
        <v>13</v>
      </c>
      <c r="G10289" s="0" t="s">
        <v>49</v>
      </c>
      <c r="H10289" s="5">
        <v>18450.947300</v>
      </c>
    </row>
    <row r="10290" spans="1:9">
      <c r="A10290" s="22" t="str">
        <f>HYPERLINK("https://app.vivvix.com/360/KMI/IntelliDrive/ApplUI/Pages/CreativePages/CustomReportCreativeDetail.aspx?App=23&amp;ReportView=4&amp;Qid=1711279&amp;Row=10282&amp;Col=1","No Title Assigned - #15271862034")</f>
        <v/>
      </c>
      <c r="B10290" s="0" t="s">
        <v>13935</v>
      </c>
      <c r="C10290" s="0" t="s">
        <v>13936</v>
      </c>
      <c r="D10290" s="0" t="s">
        <v>13936</v>
      </c>
      <c r="E10290" s="0" t="inlineStr">
        <is>
          <t xml:space="preserve">Mazda</t>
        </is>
      </c>
      <c r="F10290" s="0" t="s">
        <v>28</v>
      </c>
      <c r="G10290" s="0" t="s">
        <v>29</v>
      </c>
      <c r="H10290" s="5">
        <v>26.425500</v>
      </c>
    </row>
    <row r="10291" spans="1:9">
      <c r="A10291" s="22" t="str">
        <f>HYPERLINK("https://app.vivvix.com/360/KMI/IntelliDrive/ApplUI/Pages/CreativePages/CustomReportCreativeDetail.aspx?App=23&amp;ReportView=4&amp;Qid=1711279&amp;Row=10283&amp;Col=1","No Title Assigned - #15271862034")</f>
        <v/>
      </c>
      <c r="B10291" s="0" t="s">
        <v>13935</v>
      </c>
      <c r="E10291" s="0" t="inlineStr">
        <is>
          <t xml:space="preserve">Mazda</t>
        </is>
      </c>
      <c r="F10291" s="0" t="s">
        <v>28</v>
      </c>
      <c r="G10291" s="0" t="s">
        <v>29</v>
      </c>
      <c r="H10291" s="5">
        <v>67.262300</v>
      </c>
    </row>
    <row r="10292" spans="1:9">
      <c r="A10292" s="22" t="str">
        <f>HYPERLINK("https://app.vivvix.com/360/KMI/IntelliDrive/ApplUI/Pages/CreativePages/CustomReportCreativeDetail.aspx?App=23&amp;ReportView=4&amp;Qid=1711279&amp;Row=10284&amp;Col=1","No Title Assigned - #15271862298")</f>
        <v/>
      </c>
      <c r="B10292" s="0" t="s">
        <v>13937</v>
      </c>
      <c r="C10292" s="0" t="s">
        <v>13938</v>
      </c>
      <c r="D10292" s="0" t="s">
        <v>13938</v>
      </c>
      <c r="E10292" s="0" t="inlineStr">
        <is>
          <t xml:space="preserve">Mazda</t>
        </is>
      </c>
      <c r="F10292" s="0" t="s">
        <v>13</v>
      </c>
      <c r="G10292" s="0" t="s">
        <v>49</v>
      </c>
      <c r="H10292" s="5">
        <v>259.002100</v>
      </c>
    </row>
    <row r="10293" spans="1:9">
      <c r="A10293" s="22" t="str">
        <f>HYPERLINK("https://app.vivvix.com/360/KMI/IntelliDrive/ApplUI/Pages/CreativePages/CustomReportCreativeDetail.aspx?App=23&amp;ReportView=4&amp;Qid=1711279&amp;Row=10285&amp;Col=1","No Title Assigned - #15271862318")</f>
        <v/>
      </c>
      <c r="B10293" s="0" t="s">
        <v>13939</v>
      </c>
      <c r="C10293" s="0" t="s">
        <v>13940</v>
      </c>
      <c r="D10293" s="0" t="s">
        <v>13898</v>
      </c>
      <c r="E10293" s="0" t="inlineStr">
        <is>
          <t xml:space="preserve">Mazda</t>
        </is>
      </c>
      <c r="F10293" s="0" t="s">
        <v>28</v>
      </c>
      <c r="G10293" s="0" t="s">
        <v>29</v>
      </c>
      <c r="H10293" s="5">
        <v>13.408500</v>
      </c>
    </row>
    <row r="10294" spans="1:9">
      <c r="A10294" s="22" t="str">
        <f>HYPERLINK("https://app.vivvix.com/360/KMI/IntelliDrive/ApplUI/Pages/CreativePages/CustomReportCreativeDetail.aspx?App=23&amp;ReportView=4&amp;Qid=1711279&amp;Row=10286&amp;Col=1","No Title Assigned - #15271862555")</f>
        <v/>
      </c>
      <c r="B10294" s="0" t="s">
        <v>13941</v>
      </c>
      <c r="C10294" s="0" t="s">
        <v>13898</v>
      </c>
      <c r="D10294" s="0" t="s">
        <v>13898</v>
      </c>
      <c r="E10294" s="0" t="inlineStr">
        <is>
          <t xml:space="preserve">Mazda</t>
        </is>
      </c>
      <c r="F10294" s="0" t="s">
        <v>28</v>
      </c>
      <c r="G10294" s="0" t="s">
        <v>29</v>
      </c>
      <c r="H10294" s="5">
        <v>429.118000</v>
      </c>
    </row>
    <row r="10295" spans="1:9">
      <c r="A10295" s="22" t="str">
        <f>HYPERLINK("https://app.vivvix.com/360/KMI/IntelliDrive/ApplUI/Pages/CreativePages/CustomReportCreativeDetail.aspx?App=23&amp;ReportView=4&amp;Qid=1711279&amp;Row=10287&amp;Col=1","No Title Assigned - #15271863244")</f>
        <v/>
      </c>
      <c r="B10295" s="0" t="s">
        <v>13942</v>
      </c>
      <c r="C10295" s="0" t="s">
        <v>13943</v>
      </c>
      <c r="D10295" s="0" t="s">
        <v>8986</v>
      </c>
      <c r="E10295" s="0" t="inlineStr">
        <is>
          <t xml:space="preserve">Mazda</t>
        </is>
      </c>
      <c r="F10295" s="0" t="s">
        <v>28</v>
      </c>
      <c r="G10295" s="0" t="s">
        <v>29</v>
      </c>
      <c r="H10295" s="5">
        <v>11.693800</v>
      </c>
    </row>
    <row r="10296" spans="1:9">
      <c r="A10296" s="22" t="str">
        <f>HYPERLINK("https://app.vivvix.com/360/KMI/IntelliDrive/ApplUI/Pages/CreativePages/CustomReportCreativeDetail.aspx?App=23&amp;ReportView=4&amp;Qid=1711279&amp;Row=10288&amp;Col=1","No Title Assigned - #15271863745")</f>
        <v/>
      </c>
      <c r="B10296" s="0" t="s">
        <v>13944</v>
      </c>
      <c r="C10296" s="0" t="s">
        <v>13945</v>
      </c>
      <c r="D10296" s="0" t="s">
        <v>4202</v>
      </c>
      <c r="E10296" s="0" t="inlineStr">
        <is>
          <t xml:space="preserve">Mazda</t>
        </is>
      </c>
      <c r="F10296" s="0" t="s">
        <v>28</v>
      </c>
      <c r="G10296" s="0" t="s">
        <v>29</v>
      </c>
      <c r="H10296" s="5">
        <v>166.567600</v>
      </c>
    </row>
    <row r="10297" spans="1:9">
      <c r="A10297" s="22" t="str">
        <f>HYPERLINK("https://app.vivvix.com/360/KMI/IntelliDrive/ApplUI/Pages/CreativePages/CustomReportCreativeDetail.aspx?App=23&amp;ReportView=4&amp;Qid=1711279&amp;Row=10289&amp;Col=1","No Title Assigned - #15271863811")</f>
        <v/>
      </c>
      <c r="B10297" s="0" t="s">
        <v>13946</v>
      </c>
      <c r="C10297" s="0" t="s">
        <v>13947</v>
      </c>
      <c r="D10297" s="0" t="s">
        <v>4202</v>
      </c>
      <c r="E10297" s="0" t="inlineStr">
        <is>
          <t xml:space="preserve">Mazda</t>
        </is>
      </c>
      <c r="F10297" s="0" t="s">
        <v>28</v>
      </c>
      <c r="G10297" s="0" t="s">
        <v>29</v>
      </c>
      <c r="H10297" s="5">
        <v>33.082800</v>
      </c>
    </row>
    <row r="10298" spans="1:9">
      <c r="A10298" s="22" t="str">
        <f>HYPERLINK("https://app.vivvix.com/360/KMI/IntelliDrive/ApplUI/Pages/CreativePages/CustomReportCreativeDetail.aspx?App=23&amp;ReportView=4&amp;Qid=1711279&amp;Row=10290&amp;Col=1","No Title Assigned - #15271863835")</f>
        <v/>
      </c>
      <c r="B10298" s="0" t="s">
        <v>13948</v>
      </c>
      <c r="C10298" s="0" t="s">
        <v>13949</v>
      </c>
      <c r="D10298" s="0" t="s">
        <v>13949</v>
      </c>
      <c r="E10298" s="0" t="inlineStr">
        <is>
          <t xml:space="preserve">Mazda</t>
        </is>
      </c>
      <c r="F10298" s="0" t="s">
        <v>13</v>
      </c>
      <c r="G10298" s="0" t="s">
        <v>49</v>
      </c>
      <c r="H10298" s="5">
        <v>28.588600</v>
      </c>
    </row>
    <row r="10299" spans="1:9">
      <c r="A10299" s="22" t="str">
        <f>HYPERLINK("https://app.vivvix.com/360/KMI/IntelliDrive/ApplUI/Pages/CreativePages/CustomReportCreativeDetail.aspx?App=23&amp;ReportView=4&amp;Qid=1711279&amp;Row=10291&amp;Col=1","No Title Assigned - #15271864125")</f>
        <v/>
      </c>
      <c r="B10299" s="0" t="s">
        <v>13950</v>
      </c>
      <c r="E10299" s="0" t="inlineStr">
        <is>
          <t xml:space="preserve">Mazda</t>
        </is>
      </c>
      <c r="F10299" s="0" t="inlineStr">
        <is>
          <t xml:space="preserve">Mazda</t>
        </is>
      </c>
      <c r="G10299" s="0" t="s">
        <v>171</v>
      </c>
      <c r="H10299" s="5">
        <v>593.256300</v>
      </c>
    </row>
    <row r="10300" spans="1:9">
      <c r="A10300" s="22" t="str">
        <f>HYPERLINK("https://app.vivvix.com/360/KMI/IntelliDrive/ApplUI/Pages/CreativePages/CustomReportCreativeDetail.aspx?App=23&amp;ReportView=4&amp;Qid=1711279&amp;Row=10292&amp;Col=1","No Title Assigned - #15271864328")</f>
        <v/>
      </c>
      <c r="B10300" s="0" t="s">
        <v>13951</v>
      </c>
      <c r="E10300" s="0" t="inlineStr">
        <is>
          <t xml:space="preserve">Mazda</t>
        </is>
      </c>
      <c r="F10300" s="0" t="inlineStr">
        <is>
          <t xml:space="preserve">Mazda</t>
        </is>
      </c>
      <c r="G10300" s="0" t="s">
        <v>171</v>
      </c>
      <c r="H10300" s="5">
        <v>927.246000</v>
      </c>
    </row>
    <row r="10301" spans="1:9">
      <c r="A10301" s="22" t="str">
        <f>HYPERLINK("https://app.vivvix.com/360/KMI/IntelliDrive/ApplUI/Pages/CreativePages/CustomReportCreativeDetail.aspx?App=23&amp;ReportView=4&amp;Qid=1711279&amp;Row=10293&amp;Col=1","No Title Assigned - #15271864505")</f>
        <v/>
      </c>
      <c r="B10301" s="0" t="s">
        <v>13952</v>
      </c>
      <c r="E10301" s="0" t="inlineStr">
        <is>
          <t xml:space="preserve">Mazda</t>
        </is>
      </c>
      <c r="F10301" s="0" t="inlineStr">
        <is>
          <t xml:space="preserve">Mazda</t>
        </is>
      </c>
      <c r="G10301" s="0" t="s">
        <v>171</v>
      </c>
      <c r="H10301" s="5">
        <v>52413.926700</v>
      </c>
    </row>
    <row r="10302" spans="1:9">
      <c r="A10302" s="22" t="str">
        <f>HYPERLINK("https://app.vivvix.com/360/KMI/IntelliDrive/ApplUI/Pages/CreativePages/CustomReportCreativeDetail.aspx?App=23&amp;ReportView=4&amp;Qid=1711279&amp;Row=10294&amp;Col=1","No Title Assigned - #15271866211")</f>
        <v/>
      </c>
      <c r="B10302" s="0" t="s">
        <v>13953</v>
      </c>
      <c r="C10302" s="0" t="s">
        <v>13954</v>
      </c>
      <c r="D10302" s="0" t="s">
        <v>4333</v>
      </c>
      <c r="E10302" s="0" t="inlineStr">
        <is>
          <t xml:space="preserve">Mazda</t>
        </is>
      </c>
      <c r="F10302" s="0" t="s">
        <v>28</v>
      </c>
      <c r="G10302" s="0" t="s">
        <v>29</v>
      </c>
      <c r="H10302" s="5">
        <v>37.585900</v>
      </c>
    </row>
    <row r="10303" spans="1:9">
      <c r="A10303" s="22" t="str">
        <f>HYPERLINK("https://app.vivvix.com/360/KMI/IntelliDrive/ApplUI/Pages/CreativePages/CustomReportCreativeDetail.aspx?App=23&amp;ReportView=4&amp;Qid=1711279&amp;Row=10295&amp;Col=1","No Title Assigned - #15271866810")</f>
        <v/>
      </c>
      <c r="B10303" s="0" t="s">
        <v>13955</v>
      </c>
      <c r="C10303" s="0" t="s">
        <v>13956</v>
      </c>
      <c r="D10303" s="0" t="s">
        <v>13956</v>
      </c>
      <c r="E10303" s="0" t="inlineStr">
        <is>
          <t xml:space="preserve">Mazda</t>
        </is>
      </c>
      <c r="F10303" s="0" t="s">
        <v>28</v>
      </c>
      <c r="G10303" s="0" t="s">
        <v>29</v>
      </c>
      <c r="H10303" s="5">
        <v>78.127500</v>
      </c>
    </row>
    <row r="10304" spans="1:9">
      <c r="A10304" s="22" t="str">
        <f>HYPERLINK("https://app.vivvix.com/360/KMI/IntelliDrive/ApplUI/Pages/CreativePages/CustomReportCreativeDetail.aspx?App=23&amp;ReportView=4&amp;Qid=1711279&amp;Row=10296&amp;Col=1","No Title Assigned - #15271867921")</f>
        <v/>
      </c>
      <c r="B10304" s="0" t="s">
        <v>13957</v>
      </c>
      <c r="C10304" s="0" t="s">
        <v>13958</v>
      </c>
      <c r="D10304" s="0" t="s">
        <v>4204</v>
      </c>
      <c r="E10304" s="0" t="inlineStr">
        <is>
          <t xml:space="preserve">Mazda</t>
        </is>
      </c>
      <c r="F10304" s="0" t="s">
        <v>28</v>
      </c>
      <c r="G10304" s="0" t="s">
        <v>29</v>
      </c>
      <c r="H10304" s="5">
        <v>17.886800</v>
      </c>
    </row>
    <row r="10305" spans="1:9">
      <c r="A10305" s="22" t="str">
        <f>HYPERLINK("https://app.vivvix.com/360/KMI/IntelliDrive/ApplUI/Pages/CreativePages/CustomReportCreativeDetail.aspx?App=23&amp;ReportView=4&amp;Qid=1711279&amp;Row=10297&amp;Col=1","No Title Assigned - #15271868102")</f>
        <v/>
      </c>
      <c r="B10305" s="0" t="s">
        <v>13959</v>
      </c>
      <c r="E10305" s="0" t="inlineStr">
        <is>
          <t xml:space="preserve">Mazda</t>
        </is>
      </c>
      <c r="F10305" s="0" t="inlineStr">
        <is>
          <t xml:space="preserve">Mazda</t>
        </is>
      </c>
      <c r="G10305" s="0" t="s">
        <v>171</v>
      </c>
      <c r="H10305" s="5">
        <v>19.802100</v>
      </c>
    </row>
    <row r="10306" spans="1:9">
      <c r="A10306" s="22" t="str">
        <f>HYPERLINK("https://app.vivvix.com/360/KMI/IntelliDrive/ApplUI/Pages/CreativePages/CustomReportCreativeDetail.aspx?App=23&amp;ReportView=4&amp;Qid=1711279&amp;Row=10298&amp;Col=1","No Title Assigned - #15271868244")</f>
        <v/>
      </c>
      <c r="B10306" s="0" t="s">
        <v>13960</v>
      </c>
      <c r="E10306" s="0" t="inlineStr">
        <is>
          <t xml:space="preserve">Mazda</t>
        </is>
      </c>
      <c r="F10306" s="0" t="inlineStr">
        <is>
          <t xml:space="preserve">Mazda</t>
        </is>
      </c>
      <c r="G10306" s="0" t="s">
        <v>171</v>
      </c>
      <c r="H10306" s="5">
        <v>242.386100</v>
      </c>
    </row>
    <row r="10307" spans="1:9">
      <c r="A10307" s="22" t="str">
        <f>HYPERLINK("https://app.vivvix.com/360/KMI/IntelliDrive/ApplUI/Pages/CreativePages/CustomReportCreativeDetail.aspx?App=23&amp;ReportView=4&amp;Qid=1711279&amp;Row=10299&amp;Col=1","No Title Assigned - #15271868522")</f>
        <v/>
      </c>
      <c r="B10307" s="0" t="s">
        <v>13961</v>
      </c>
      <c r="E10307" s="0" t="inlineStr">
        <is>
          <t xml:space="preserve">Mazda</t>
        </is>
      </c>
      <c r="F10307" s="0" t="inlineStr">
        <is>
          <t xml:space="preserve">Mazda</t>
        </is>
      </c>
      <c r="G10307" s="0" t="s">
        <v>171</v>
      </c>
      <c r="H10307" s="5">
        <v>78.931900</v>
      </c>
    </row>
    <row r="10308" spans="1:9">
      <c r="A10308" s="22" t="str">
        <f>HYPERLINK("https://app.vivvix.com/360/KMI/IntelliDrive/ApplUI/Pages/CreativePages/CustomReportCreativeDetail.aspx?App=23&amp;ReportView=4&amp;Qid=1711279&amp;Row=10300&amp;Col=1","No Title Assigned - #15271868532")</f>
        <v/>
      </c>
      <c r="B10308" s="0" t="s">
        <v>13962</v>
      </c>
      <c r="E10308" s="0" t="inlineStr">
        <is>
          <t xml:space="preserve">Mazda</t>
        </is>
      </c>
      <c r="F10308" s="0" t="inlineStr">
        <is>
          <t xml:space="preserve">Mazda</t>
        </is>
      </c>
      <c r="G10308" s="0" t="s">
        <v>171</v>
      </c>
      <c r="H10308" s="5">
        <v>38.815000</v>
      </c>
    </row>
    <row r="10309" spans="1:9">
      <c r="A10309" s="22" t="str">
        <f>HYPERLINK("https://app.vivvix.com/360/KMI/IntelliDrive/ApplUI/Pages/CreativePages/CustomReportCreativeDetail.aspx?App=23&amp;ReportView=4&amp;Qid=1711279&amp;Row=10301&amp;Col=1","No Title Assigned - #15271868563")</f>
        <v/>
      </c>
      <c r="B10309" s="0" t="s">
        <v>13963</v>
      </c>
      <c r="E10309" s="0" t="inlineStr">
        <is>
          <t xml:space="preserve">Mazda</t>
        </is>
      </c>
      <c r="F10309" s="0" t="inlineStr">
        <is>
          <t xml:space="preserve">Mazda</t>
        </is>
      </c>
      <c r="G10309" s="0" t="s">
        <v>171</v>
      </c>
      <c r="H10309" s="5">
        <v>51.645400</v>
      </c>
    </row>
    <row r="10310" spans="1:9">
      <c r="A10310" s="22" t="str">
        <f>HYPERLINK("https://app.vivvix.com/360/KMI/IntelliDrive/ApplUI/Pages/CreativePages/CustomReportCreativeDetail.aspx?App=23&amp;ReportView=4&amp;Qid=1711279&amp;Row=10302&amp;Col=1","No Title Assigned - #15271868681")</f>
        <v/>
      </c>
      <c r="B10310" s="0" t="s">
        <v>13964</v>
      </c>
      <c r="E10310" s="0" t="inlineStr">
        <is>
          <t xml:space="preserve">Mazda</t>
        </is>
      </c>
      <c r="F10310" s="0" t="inlineStr">
        <is>
          <t xml:space="preserve">Mazda</t>
        </is>
      </c>
      <c r="G10310" s="0" t="s">
        <v>171</v>
      </c>
      <c r="H10310" s="5">
        <v>7410.146100</v>
      </c>
    </row>
    <row r="10311" spans="1:9">
      <c r="A10311" s="22" t="str">
        <f>HYPERLINK("https://app.vivvix.com/360/KMI/IntelliDrive/ApplUI/Pages/CreativePages/CustomReportCreativeDetail.aspx?App=23&amp;ReportView=4&amp;Qid=1711279&amp;Row=10303&amp;Col=1","No Title Assigned - #15271868975")</f>
        <v/>
      </c>
      <c r="B10311" s="0" t="s">
        <v>13965</v>
      </c>
      <c r="E10311" s="0" t="inlineStr">
        <is>
          <t xml:space="preserve">Mazda</t>
        </is>
      </c>
      <c r="F10311" s="0" t="inlineStr">
        <is>
          <t xml:space="preserve">Mazda</t>
        </is>
      </c>
      <c r="G10311" s="0" t="s">
        <v>171</v>
      </c>
      <c r="H10311" s="5">
        <v>965.712000</v>
      </c>
    </row>
    <row r="10312" spans="1:9">
      <c r="A10312" s="22" t="str">
        <f>HYPERLINK("https://app.vivvix.com/360/KMI/IntelliDrive/ApplUI/Pages/CreativePages/CustomReportCreativeDetail.aspx?App=23&amp;ReportView=4&amp;Qid=1711279&amp;Row=10304&amp;Col=1","No Title Assigned - #15271868980")</f>
        <v/>
      </c>
      <c r="B10312" s="0" t="s">
        <v>13966</v>
      </c>
      <c r="E10312" s="0" t="inlineStr">
        <is>
          <t xml:space="preserve">Mazda</t>
        </is>
      </c>
      <c r="F10312" s="0" t="inlineStr">
        <is>
          <t xml:space="preserve">Mazda</t>
        </is>
      </c>
      <c r="G10312" s="0" t="s">
        <v>171</v>
      </c>
      <c r="H10312" s="5">
        <v>5.843000</v>
      </c>
    </row>
    <row r="10313" spans="1:9">
      <c r="A10313" s="22" t="str">
        <f>HYPERLINK("https://app.vivvix.com/360/KMI/IntelliDrive/ApplUI/Pages/CreativePages/CustomReportCreativeDetail.aspx?App=23&amp;ReportView=4&amp;Qid=1711279&amp;Row=10305&amp;Col=1","No Title Assigned - #15271869026")</f>
        <v/>
      </c>
      <c r="B10313" s="0" t="s">
        <v>13967</v>
      </c>
      <c r="E10313" s="0" t="inlineStr">
        <is>
          <t xml:space="preserve">Mazda</t>
        </is>
      </c>
      <c r="F10313" s="0" t="inlineStr">
        <is>
          <t xml:space="preserve">Mazda</t>
        </is>
      </c>
      <c r="G10313" s="0" t="s">
        <v>171</v>
      </c>
      <c r="H10313" s="5">
        <v>1.771000</v>
      </c>
    </row>
    <row r="10314" spans="1:9">
      <c r="A10314" s="22" t="str">
        <f>HYPERLINK("https://app.vivvix.com/360/KMI/IntelliDrive/ApplUI/Pages/CreativePages/CustomReportCreativeDetail.aspx?App=23&amp;ReportView=4&amp;Qid=1711279&amp;Row=10306&amp;Col=1","No Title Assigned - #15271869277")</f>
        <v/>
      </c>
      <c r="B10314" s="0" t="s">
        <v>13968</v>
      </c>
      <c r="C10314" s="0" t="s">
        <v>13969</v>
      </c>
      <c r="D10314" s="0" t="s">
        <v>4274</v>
      </c>
      <c r="E10314" s="0" t="inlineStr">
        <is>
          <t xml:space="preserve">Mazda</t>
        </is>
      </c>
      <c r="F10314" s="0" t="s">
        <v>28</v>
      </c>
      <c r="G10314" s="0" t="s">
        <v>29</v>
      </c>
      <c r="H10314" s="5">
        <v>51.143600</v>
      </c>
    </row>
    <row r="10315" spans="1:9">
      <c r="A10315" s="22" t="str">
        <f>HYPERLINK("https://app.vivvix.com/360/KMI/IntelliDrive/ApplUI/Pages/CreativePages/CustomReportCreativeDetail.aspx?App=23&amp;ReportView=4&amp;Qid=1711279&amp;Row=10307&amp;Col=1","No Title Assigned - #15271869887")</f>
        <v/>
      </c>
      <c r="B10315" s="0" t="s">
        <v>13970</v>
      </c>
      <c r="E10315" s="0" t="inlineStr">
        <is>
          <t xml:space="preserve">Mazda</t>
        </is>
      </c>
      <c r="F10315" s="0" t="s">
        <v>28</v>
      </c>
      <c r="G10315" s="0" t="s">
        <v>29</v>
      </c>
      <c r="H10315" s="5">
        <v>13745.872100</v>
      </c>
    </row>
    <row r="10316" spans="1:9">
      <c r="A10316" s="22" t="str">
        <f>HYPERLINK("https://app.vivvix.com/360/KMI/IntelliDrive/ApplUI/Pages/CreativePages/CustomReportCreativeDetail.aspx?App=23&amp;ReportView=4&amp;Qid=1711279&amp;Row=10308&amp;Col=1","No Title Assigned - #15271869887")</f>
        <v/>
      </c>
      <c r="B10316" s="0" t="s">
        <v>13970</v>
      </c>
      <c r="C10316" s="0" t="s">
        <v>13971</v>
      </c>
      <c r="D10316" s="0" t="s">
        <v>12807</v>
      </c>
      <c r="E10316" s="0" t="inlineStr">
        <is>
          <t xml:space="preserve">Mazda</t>
        </is>
      </c>
      <c r="F10316" s="0" t="s">
        <v>28</v>
      </c>
      <c r="G10316" s="0" t="s">
        <v>29</v>
      </c>
      <c r="H10316" s="5">
        <v>1.289700</v>
      </c>
    </row>
    <row r="10317" spans="1:9">
      <c r="A10317" s="22" t="str">
        <f>HYPERLINK("https://app.vivvix.com/360/KMI/IntelliDrive/ApplUI/Pages/CreativePages/CustomReportCreativeDetail.aspx?App=23&amp;ReportView=4&amp;Qid=1711279&amp;Row=10309&amp;Col=1","No Title Assigned - #15271870211")</f>
        <v/>
      </c>
      <c r="B10317" s="0" t="s">
        <v>13972</v>
      </c>
      <c r="E10317" s="0" t="inlineStr">
        <is>
          <t xml:space="preserve">Mazda</t>
        </is>
      </c>
      <c r="F10317" s="0" t="s">
        <v>28</v>
      </c>
      <c r="G10317" s="0" t="s">
        <v>29</v>
      </c>
      <c r="H10317" s="5">
        <v>22.641200</v>
      </c>
    </row>
    <row r="10318" spans="1:9">
      <c r="A10318" s="22" t="str">
        <f>HYPERLINK("https://app.vivvix.com/360/KMI/IntelliDrive/ApplUI/Pages/CreativePages/CustomReportCreativeDetail.aspx?App=23&amp;ReportView=4&amp;Qid=1711279&amp;Row=10310&amp;Col=1","No Title Assigned - #15271870244")</f>
        <v/>
      </c>
      <c r="B10318" s="0" t="s">
        <v>13973</v>
      </c>
      <c r="C10318" s="0" t="s">
        <v>13974</v>
      </c>
      <c r="D10318" s="0" t="s">
        <v>13974</v>
      </c>
      <c r="E10318" s="0" t="inlineStr">
        <is>
          <t xml:space="preserve">Mazda</t>
        </is>
      </c>
      <c r="F10318" s="0" t="s">
        <v>13</v>
      </c>
      <c r="G10318" s="0" t="s">
        <v>49</v>
      </c>
      <c r="H10318" s="5">
        <v>3.402300</v>
      </c>
    </row>
    <row r="10319" spans="1:9">
      <c r="A10319" s="22" t="str">
        <f>HYPERLINK("https://app.vivvix.com/360/KMI/IntelliDrive/ApplUI/Pages/CreativePages/CustomReportCreativeDetail.aspx?App=23&amp;ReportView=4&amp;Qid=1711279&amp;Row=10311&amp;Col=1","No Title Assigned - #15271870410")</f>
        <v/>
      </c>
      <c r="B10319" s="0" t="s">
        <v>13975</v>
      </c>
      <c r="C10319" s="0" t="s">
        <v>13976</v>
      </c>
      <c r="D10319" s="0" t="s">
        <v>9376</v>
      </c>
      <c r="E10319" s="0" t="inlineStr">
        <is>
          <t xml:space="preserve">Mazda</t>
        </is>
      </c>
      <c r="F10319" s="0" t="s">
        <v>28</v>
      </c>
      <c r="G10319" s="0" t="s">
        <v>29</v>
      </c>
      <c r="H10319" s="5">
        <v>40.667400</v>
      </c>
    </row>
    <row r="10320" spans="1:9">
      <c r="A10320" s="22" t="str">
        <f>HYPERLINK("https://app.vivvix.com/360/KMI/IntelliDrive/ApplUI/Pages/CreativePages/CustomReportCreativeDetail.aspx?App=23&amp;ReportView=4&amp;Qid=1711279&amp;Row=10312&amp;Col=1","No Title Assigned - #15271870680")</f>
        <v/>
      </c>
      <c r="B10320" s="0" t="s">
        <v>13977</v>
      </c>
      <c r="C10320" s="0" t="s">
        <v>13978</v>
      </c>
      <c r="D10320" s="0" t="s">
        <v>7472</v>
      </c>
      <c r="E10320" s="0" t="inlineStr">
        <is>
          <t xml:space="preserve">Mazda</t>
        </is>
      </c>
      <c r="F10320" s="0" t="s">
        <v>28</v>
      </c>
      <c r="G10320" s="0" t="s">
        <v>29</v>
      </c>
      <c r="H10320" s="5">
        <v>138.657000</v>
      </c>
    </row>
    <row r="10321" spans="1:9">
      <c r="A10321" s="22" t="str">
        <f>HYPERLINK("https://app.vivvix.com/360/KMI/IntelliDrive/ApplUI/Pages/CreativePages/CustomReportCreativeDetail.aspx?App=23&amp;ReportView=4&amp;Qid=1711279&amp;Row=10313&amp;Col=1","No Title Assigned - #15271870882")</f>
        <v/>
      </c>
      <c r="B10321" s="0" t="s">
        <v>13979</v>
      </c>
      <c r="C10321" s="0" t="s">
        <v>13980</v>
      </c>
      <c r="D10321" s="0" t="s">
        <v>6656</v>
      </c>
      <c r="E10321" s="0" t="inlineStr">
        <is>
          <t xml:space="preserve">Mazda</t>
        </is>
      </c>
      <c r="F10321" s="0" t="s">
        <v>28</v>
      </c>
      <c r="G10321" s="0" t="s">
        <v>29</v>
      </c>
      <c r="H10321" s="5">
        <v>792.791900</v>
      </c>
    </row>
    <row r="10322" spans="1:9">
      <c r="A10322" s="22" t="str">
        <f>HYPERLINK("https://app.vivvix.com/360/KMI/IntelliDrive/ApplUI/Pages/CreativePages/CustomReportCreativeDetail.aspx?App=23&amp;ReportView=4&amp;Qid=1711279&amp;Row=10314&amp;Col=1","No Title Assigned - #15271870882")</f>
        <v/>
      </c>
      <c r="B10322" s="0" t="s">
        <v>13979</v>
      </c>
      <c r="E10322" s="0" t="inlineStr">
        <is>
          <t xml:space="preserve">Mazda</t>
        </is>
      </c>
      <c r="F10322" s="0" t="s">
        <v>28</v>
      </c>
      <c r="G10322" s="0" t="s">
        <v>29</v>
      </c>
      <c r="H10322" s="5">
        <v>171.480100</v>
      </c>
    </row>
    <row r="10323" spans="1:9">
      <c r="A10323" s="22" t="str">
        <f>HYPERLINK("https://app.vivvix.com/360/KMI/IntelliDrive/ApplUI/Pages/CreativePages/CustomReportCreativeDetail.aspx?App=23&amp;ReportView=4&amp;Qid=1711279&amp;Row=10315&amp;Col=1","No Title Assigned - #15271870966")</f>
        <v/>
      </c>
      <c r="B10323" s="0" t="s">
        <v>13981</v>
      </c>
      <c r="C10323" s="0" t="s">
        <v>13982</v>
      </c>
      <c r="D10323" s="0" t="s">
        <v>13982</v>
      </c>
      <c r="E10323" s="0" t="inlineStr">
        <is>
          <t xml:space="preserve">Mazda</t>
        </is>
      </c>
      <c r="F10323" s="0" t="s">
        <v>28</v>
      </c>
      <c r="G10323" s="0" t="s">
        <v>29</v>
      </c>
      <c r="H10323" s="5">
        <v>434.088200</v>
      </c>
    </row>
    <row r="10324" spans="1:9">
      <c r="A10324" s="22" t="str">
        <f>HYPERLINK("https://app.vivvix.com/360/KMI/IntelliDrive/ApplUI/Pages/CreativePages/CustomReportCreativeDetail.aspx?App=23&amp;ReportView=4&amp;Qid=1711279&amp;Row=10316&amp;Col=1","No Title Assigned - #15271871276")</f>
        <v/>
      </c>
      <c r="B10324" s="0" t="s">
        <v>13983</v>
      </c>
      <c r="E10324" s="0" t="inlineStr">
        <is>
          <t xml:space="preserve">Mazda</t>
        </is>
      </c>
      <c r="F10324" s="0" t="inlineStr">
        <is>
          <t xml:space="preserve">Mazda</t>
        </is>
      </c>
      <c r="G10324" s="0" t="s">
        <v>171</v>
      </c>
      <c r="H10324" s="5">
        <v>4971.559400</v>
      </c>
    </row>
    <row r="10325" spans="1:9">
      <c r="A10325" s="22" t="str">
        <f>HYPERLINK("https://app.vivvix.com/360/KMI/IntelliDrive/ApplUI/Pages/CreativePages/CustomReportCreativeDetail.aspx?App=23&amp;ReportView=4&amp;Qid=1711279&amp;Row=10317&amp;Col=1","No Title Assigned - #15271871276")</f>
        <v/>
      </c>
      <c r="B10325" s="0" t="s">
        <v>13983</v>
      </c>
      <c r="E10325" s="0" t="inlineStr">
        <is>
          <t xml:space="preserve">Mazda</t>
        </is>
      </c>
      <c r="F10325" s="0" t="inlineStr">
        <is>
          <t xml:space="preserve">Mazda</t>
        </is>
      </c>
      <c r="G10325" s="0" t="s">
        <v>171</v>
      </c>
      <c r="H10325" s="5">
        <v>147.181800</v>
      </c>
    </row>
    <row r="10326" spans="1:9">
      <c r="A10326" s="22" t="str">
        <f>HYPERLINK("https://app.vivvix.com/360/KMI/IntelliDrive/ApplUI/Pages/CreativePages/CustomReportCreativeDetail.aspx?App=23&amp;ReportView=4&amp;Qid=1711279&amp;Row=10318&amp;Col=1","No Title Assigned - #15271871369")</f>
        <v/>
      </c>
      <c r="B10326" s="0" t="s">
        <v>13984</v>
      </c>
      <c r="C10326" s="0" t="s">
        <v>13985</v>
      </c>
      <c r="D10326" s="0" t="s">
        <v>13985</v>
      </c>
      <c r="E10326" s="0" t="inlineStr">
        <is>
          <t xml:space="preserve">Mazda</t>
        </is>
      </c>
      <c r="F10326" s="0" t="s">
        <v>28</v>
      </c>
      <c r="G10326" s="0" t="s">
        <v>29</v>
      </c>
      <c r="H10326" s="5">
        <v>330.838500</v>
      </c>
    </row>
    <row r="10327" spans="1:9">
      <c r="A10327" s="22" t="str">
        <f>HYPERLINK("https://app.vivvix.com/360/KMI/IntelliDrive/ApplUI/Pages/CreativePages/CustomReportCreativeDetail.aspx?App=23&amp;ReportView=4&amp;Qid=1711279&amp;Row=10319&amp;Col=1","No Title Assigned - #15271871451")</f>
        <v/>
      </c>
      <c r="B10327" s="0" t="s">
        <v>13986</v>
      </c>
      <c r="E10327" s="0" t="inlineStr">
        <is>
          <t xml:space="preserve">Mazda</t>
        </is>
      </c>
      <c r="F10327" s="0" t="s">
        <v>28</v>
      </c>
      <c r="G10327" s="0" t="s">
        <v>29</v>
      </c>
      <c r="H10327" s="5">
        <v>231.086300</v>
      </c>
    </row>
    <row r="10328" spans="1:9">
      <c r="A10328" s="22" t="str">
        <f>HYPERLINK("https://app.vivvix.com/360/KMI/IntelliDrive/ApplUI/Pages/CreativePages/CustomReportCreativeDetail.aspx?App=23&amp;ReportView=4&amp;Qid=1711279&amp;Row=10320&amp;Col=1","No Title Assigned - #15271871451")</f>
        <v/>
      </c>
      <c r="B10328" s="0" t="s">
        <v>13986</v>
      </c>
      <c r="C10328" s="0" t="s">
        <v>13987</v>
      </c>
      <c r="D10328" s="0" t="s">
        <v>13987</v>
      </c>
      <c r="E10328" s="0" t="inlineStr">
        <is>
          <t xml:space="preserve">Mazda</t>
        </is>
      </c>
      <c r="F10328" s="0" t="s">
        <v>28</v>
      </c>
      <c r="G10328" s="0" t="s">
        <v>29</v>
      </c>
      <c r="H10328" s="5">
        <v>53.000700</v>
      </c>
    </row>
    <row r="10329" spans="1:9">
      <c r="A10329" s="22" t="str">
        <f>HYPERLINK("https://app.vivvix.com/360/KMI/IntelliDrive/ApplUI/Pages/CreativePages/CustomReportCreativeDetail.aspx?App=23&amp;ReportView=4&amp;Qid=1711279&amp;Row=10321&amp;Col=1","No Title Assigned - #15271871525")</f>
        <v/>
      </c>
      <c r="B10329" s="0" t="s">
        <v>13988</v>
      </c>
      <c r="C10329" s="0" t="s">
        <v>13989</v>
      </c>
      <c r="D10329" s="0" t="s">
        <v>13989</v>
      </c>
      <c r="E10329" s="0" t="inlineStr">
        <is>
          <t xml:space="preserve">Mazda</t>
        </is>
      </c>
      <c r="F10329" s="0" t="s">
        <v>13</v>
      </c>
      <c r="G10329" s="0" t="s">
        <v>49</v>
      </c>
      <c r="H10329" s="5">
        <v>12393.495900</v>
      </c>
    </row>
    <row r="10330" spans="1:9">
      <c r="A10330" s="22" t="str">
        <f>HYPERLINK("https://app.vivvix.com/360/KMI/IntelliDrive/ApplUI/Pages/CreativePages/CustomReportCreativeDetail.aspx?App=23&amp;ReportView=4&amp;Qid=1711279&amp;Row=10322&amp;Col=1","No Title Assigned - #15271873764")</f>
        <v/>
      </c>
      <c r="B10330" s="0" t="s">
        <v>13990</v>
      </c>
      <c r="C10330" s="0" t="s">
        <v>13991</v>
      </c>
      <c r="D10330" s="0" t="s">
        <v>13991</v>
      </c>
      <c r="E10330" s="0" t="inlineStr">
        <is>
          <t xml:space="preserve">Mazda</t>
        </is>
      </c>
      <c r="F10330" s="0" t="s">
        <v>13</v>
      </c>
      <c r="G10330" s="0" t="s">
        <v>49</v>
      </c>
      <c r="H10330" s="5">
        <v>219.631200</v>
      </c>
    </row>
    <row r="10331" spans="1:9">
      <c r="A10331" s="22" t="str">
        <f>HYPERLINK("https://app.vivvix.com/360/KMI/IntelliDrive/ApplUI/Pages/CreativePages/CustomReportCreativeDetail.aspx?App=23&amp;ReportView=4&amp;Qid=1711279&amp;Row=10323&amp;Col=1","No Title Assigned - #15271873865")</f>
        <v/>
      </c>
      <c r="B10331" s="0" t="s">
        <v>13992</v>
      </c>
      <c r="C10331" s="0" t="s">
        <v>13993</v>
      </c>
      <c r="D10331" s="0" t="s">
        <v>13993</v>
      </c>
      <c r="E10331" s="0" t="inlineStr">
        <is>
          <t xml:space="preserve">Mazda</t>
        </is>
      </c>
      <c r="F10331" s="0" t="inlineStr">
        <is>
          <t xml:space="preserve">Mazda</t>
        </is>
      </c>
      <c r="G10331" s="0" t="s">
        <v>171</v>
      </c>
      <c r="H10331" s="5">
        <v>784.083100</v>
      </c>
    </row>
    <row r="10332" spans="1:9">
      <c r="A10332" s="22" t="str">
        <f>HYPERLINK("https://app.vivvix.com/360/KMI/IntelliDrive/ApplUI/Pages/CreativePages/CustomReportCreativeDetail.aspx?App=23&amp;ReportView=4&amp;Qid=1711279&amp;Row=10324&amp;Col=1","No Title Assigned - #15271877327")</f>
        <v/>
      </c>
      <c r="B10332" s="0" t="s">
        <v>13994</v>
      </c>
      <c r="C10332" s="0" t="s">
        <v>13995</v>
      </c>
      <c r="D10332" s="0" t="s">
        <v>12666</v>
      </c>
      <c r="E10332" s="0" t="inlineStr">
        <is>
          <t xml:space="preserve">Mazda</t>
        </is>
      </c>
      <c r="F10332" s="0" t="s">
        <v>28</v>
      </c>
      <c r="G10332" s="0" t="s">
        <v>29</v>
      </c>
      <c r="H10332" s="5">
        <v>4.092200</v>
      </c>
    </row>
    <row r="10333" spans="1:9">
      <c r="A10333" s="22" t="str">
        <f>HYPERLINK("https://app.vivvix.com/360/KMI/IntelliDrive/ApplUI/Pages/CreativePages/CustomReportCreativeDetail.aspx?App=23&amp;ReportView=4&amp;Qid=1711279&amp;Row=10325&amp;Col=1","No Title Assigned - #15271878075")</f>
        <v/>
      </c>
      <c r="B10333" s="0" t="s">
        <v>13996</v>
      </c>
      <c r="C10333" s="0" t="s">
        <v>13997</v>
      </c>
      <c r="D10333" s="0" t="s">
        <v>13997</v>
      </c>
      <c r="E10333" s="0" t="inlineStr">
        <is>
          <t xml:space="preserve">Mazda</t>
        </is>
      </c>
      <c r="F10333" s="0" t="inlineStr">
        <is>
          <t xml:space="preserve">Mazda</t>
        </is>
      </c>
      <c r="G10333" s="0" t="s">
        <v>171</v>
      </c>
      <c r="H10333" s="5">
        <v>221.189500</v>
      </c>
    </row>
    <row r="10334" spans="1:9">
      <c r="A10334" s="22" t="str">
        <f>HYPERLINK("https://app.vivvix.com/360/KMI/IntelliDrive/ApplUI/Pages/CreativePages/CustomReportCreativeDetail.aspx?App=23&amp;ReportView=4&amp;Qid=1711279&amp;Row=10326&amp;Col=1","No Title Assigned - #15271878619")</f>
        <v/>
      </c>
      <c r="B10334" s="0" t="s">
        <v>13998</v>
      </c>
      <c r="E10334" s="0" t="inlineStr">
        <is>
          <t xml:space="preserve">Mazda</t>
        </is>
      </c>
      <c r="F10334" s="0" t="inlineStr">
        <is>
          <t xml:space="preserve">Mazda</t>
        </is>
      </c>
      <c r="G10334" s="0" t="s">
        <v>171</v>
      </c>
      <c r="H10334" s="5">
        <v>6.344400</v>
      </c>
    </row>
    <row r="10335" spans="1:9">
      <c r="A10335" s="22" t="str">
        <f>HYPERLINK("https://app.vivvix.com/360/KMI/IntelliDrive/ApplUI/Pages/CreativePages/CustomReportCreativeDetail.aspx?App=23&amp;ReportView=4&amp;Qid=1711279&amp;Row=10327&amp;Col=1","No Title Assigned - #15271878744")</f>
        <v/>
      </c>
      <c r="B10335" s="0" t="s">
        <v>13999</v>
      </c>
      <c r="E10335" s="0" t="inlineStr">
        <is>
          <t xml:space="preserve">Mazda</t>
        </is>
      </c>
      <c r="F10335" s="0" t="inlineStr">
        <is>
          <t xml:space="preserve">Mazda</t>
        </is>
      </c>
      <c r="G10335" s="0" t="s">
        <v>171</v>
      </c>
      <c r="H10335" s="5">
        <v>28.433700</v>
      </c>
    </row>
    <row r="10336" spans="1:9">
      <c r="A10336" s="22" t="str">
        <f>HYPERLINK("https://app.vivvix.com/360/KMI/IntelliDrive/ApplUI/Pages/CreativePages/CustomReportCreativeDetail.aspx?App=23&amp;ReportView=4&amp;Qid=1711279&amp;Row=10328&amp;Col=1","No Title Assigned - #15271879019")</f>
        <v/>
      </c>
      <c r="B10336" s="0" t="s">
        <v>14000</v>
      </c>
      <c r="C10336" s="0" t="s">
        <v>14001</v>
      </c>
      <c r="D10336" s="0" t="s">
        <v>4430</v>
      </c>
      <c r="E10336" s="0" t="inlineStr">
        <is>
          <t xml:space="preserve">Mazda</t>
        </is>
      </c>
      <c r="F10336" s="0" t="s">
        <v>28</v>
      </c>
      <c r="G10336" s="0" t="s">
        <v>29</v>
      </c>
      <c r="H10336" s="5">
        <v>5.290600</v>
      </c>
    </row>
    <row r="10337" spans="1:9">
      <c r="A10337" s="22" t="str">
        <f>HYPERLINK("https://app.vivvix.com/360/KMI/IntelliDrive/ApplUI/Pages/CreativePages/CustomReportCreativeDetail.aspx?App=23&amp;ReportView=4&amp;Qid=1711279&amp;Row=10329&amp;Col=1","No Title Assigned - #15271879477")</f>
        <v/>
      </c>
      <c r="B10337" s="0" t="s">
        <v>14002</v>
      </c>
      <c r="C10337" s="0" t="s">
        <v>14003</v>
      </c>
      <c r="D10337" s="0" t="s">
        <v>4798</v>
      </c>
      <c r="E10337" s="0" t="inlineStr">
        <is>
          <t xml:space="preserve">Mazda</t>
        </is>
      </c>
      <c r="F10337" s="0" t="s">
        <v>28</v>
      </c>
      <c r="G10337" s="0" t="s">
        <v>29</v>
      </c>
      <c r="H10337" s="5">
        <v>118.326000</v>
      </c>
    </row>
    <row r="10338" spans="1:9">
      <c r="A10338" s="22" t="str">
        <f>HYPERLINK("https://app.vivvix.com/360/KMI/IntelliDrive/ApplUI/Pages/CreativePages/CustomReportCreativeDetail.aspx?App=23&amp;ReportView=4&amp;Qid=1711279&amp;Row=10330&amp;Col=1","No Title Assigned - #15271879704")</f>
        <v/>
      </c>
      <c r="B10338" s="0" t="s">
        <v>14004</v>
      </c>
      <c r="E10338" s="0" t="inlineStr">
        <is>
          <t xml:space="preserve">Mazda</t>
        </is>
      </c>
      <c r="F10338" s="0" t="inlineStr">
        <is>
          <t xml:space="preserve">Mazda</t>
        </is>
      </c>
      <c r="G10338" s="0" t="s">
        <v>171</v>
      </c>
      <c r="H10338" s="5">
        <v>60.586300</v>
      </c>
    </row>
    <row r="10339" spans="1:9">
      <c r="A10339" s="22" t="str">
        <f>HYPERLINK("https://app.vivvix.com/360/KMI/IntelliDrive/ApplUI/Pages/CreativePages/CustomReportCreativeDetail.aspx?App=23&amp;ReportView=4&amp;Qid=1711279&amp;Row=10331&amp;Col=1","No Title Assigned - #15271879737")</f>
        <v/>
      </c>
      <c r="B10339" s="0" t="s">
        <v>14005</v>
      </c>
      <c r="E10339" s="0" t="inlineStr">
        <is>
          <t xml:space="preserve">Mazda</t>
        </is>
      </c>
      <c r="F10339" s="0" t="inlineStr">
        <is>
          <t xml:space="preserve">Mazda</t>
        </is>
      </c>
      <c r="G10339" s="0" t="s">
        <v>171</v>
      </c>
      <c r="H10339" s="5">
        <v>29.146300</v>
      </c>
    </row>
    <row r="10340" spans="1:9">
      <c r="A10340" s="22" t="str">
        <f>HYPERLINK("https://app.vivvix.com/360/KMI/IntelliDrive/ApplUI/Pages/CreativePages/CustomReportCreativeDetail.aspx?App=23&amp;ReportView=4&amp;Qid=1711279&amp;Row=10332&amp;Col=1","No Title Assigned - #15271879758")</f>
        <v/>
      </c>
      <c r="B10340" s="0" t="s">
        <v>14006</v>
      </c>
      <c r="C10340" s="0" t="s">
        <v>14007</v>
      </c>
      <c r="D10340" s="0" t="s">
        <v>14007</v>
      </c>
      <c r="E10340" s="0" t="inlineStr">
        <is>
          <t xml:space="preserve">Mazda</t>
        </is>
      </c>
      <c r="F10340" s="0" t="inlineStr">
        <is>
          <t xml:space="preserve">Mazda</t>
        </is>
      </c>
      <c r="G10340" s="0" t="s">
        <v>171</v>
      </c>
      <c r="H10340" s="5">
        <v>2.701800</v>
      </c>
    </row>
    <row r="10341" spans="1:9">
      <c r="A10341" s="22" t="str">
        <f>HYPERLINK("https://app.vivvix.com/360/KMI/IntelliDrive/ApplUI/Pages/CreativePages/CustomReportCreativeDetail.aspx?App=23&amp;ReportView=4&amp;Qid=1711279&amp;Row=10333&amp;Col=1","No Title Assigned - #15271880018")</f>
        <v/>
      </c>
      <c r="B10341" s="0" t="s">
        <v>14008</v>
      </c>
      <c r="C10341" s="0" t="s">
        <v>14009</v>
      </c>
      <c r="D10341" s="0" t="s">
        <v>13431</v>
      </c>
      <c r="E10341" s="0" t="inlineStr">
        <is>
          <t xml:space="preserve">Mazda</t>
        </is>
      </c>
      <c r="F10341" s="0" t="s">
        <v>28</v>
      </c>
      <c r="G10341" s="0" t="s">
        <v>29</v>
      </c>
      <c r="H10341" s="5">
        <v>311.721900</v>
      </c>
    </row>
    <row r="10342" spans="1:9">
      <c r="A10342" s="22" t="str">
        <f>HYPERLINK("https://app.vivvix.com/360/KMI/IntelliDrive/ApplUI/Pages/CreativePages/CustomReportCreativeDetail.aspx?App=23&amp;ReportView=4&amp;Qid=1711279&amp;Row=10334&amp;Col=1","No Title Assigned - #15271880651")</f>
        <v/>
      </c>
      <c r="B10342" s="0" t="s">
        <v>14010</v>
      </c>
      <c r="E10342" s="0" t="inlineStr">
        <is>
          <t xml:space="preserve">Mazda</t>
        </is>
      </c>
      <c r="F10342" s="0" t="s">
        <v>28</v>
      </c>
      <c r="G10342" s="0" t="s">
        <v>29</v>
      </c>
      <c r="H10342" s="5">
        <v>53.905800</v>
      </c>
    </row>
    <row r="10343" spans="1:9">
      <c r="A10343" s="22" t="str">
        <f>HYPERLINK("https://app.vivvix.com/360/KMI/IntelliDrive/ApplUI/Pages/CreativePages/CustomReportCreativeDetail.aspx?App=23&amp;ReportView=4&amp;Qid=1711279&amp;Row=10335&amp;Col=1","No Title Assigned - #15271880651")</f>
        <v/>
      </c>
      <c r="B10343" s="0" t="s">
        <v>14010</v>
      </c>
      <c r="C10343" s="0" t="s">
        <v>14011</v>
      </c>
      <c r="D10343" s="0" t="s">
        <v>14011</v>
      </c>
      <c r="E10343" s="0" t="inlineStr">
        <is>
          <t xml:space="preserve">Mazda</t>
        </is>
      </c>
      <c r="F10343" s="0" t="s">
        <v>28</v>
      </c>
      <c r="G10343" s="0" t="s">
        <v>29</v>
      </c>
      <c r="H10343" s="5">
        <v>33.023700</v>
      </c>
    </row>
    <row r="10344" spans="1:9">
      <c r="A10344" s="22" t="str">
        <f>HYPERLINK("https://app.vivvix.com/360/KMI/IntelliDrive/ApplUI/Pages/CreativePages/CustomReportCreativeDetail.aspx?App=23&amp;ReportView=4&amp;Qid=1711279&amp;Row=10336&amp;Col=1","No Title Assigned - #15271881000")</f>
        <v/>
      </c>
      <c r="B10344" s="0" t="s">
        <v>14012</v>
      </c>
      <c r="C10344" s="0" t="s">
        <v>14013</v>
      </c>
      <c r="D10344" s="0" t="s">
        <v>14013</v>
      </c>
      <c r="E10344" s="0" t="inlineStr">
        <is>
          <t xml:space="preserve">Mazda</t>
        </is>
      </c>
      <c r="F10344" s="0" t="inlineStr">
        <is>
          <t xml:space="preserve">Mazda</t>
        </is>
      </c>
      <c r="G10344" s="0" t="s">
        <v>171</v>
      </c>
      <c r="H10344" s="5">
        <v>32.612800</v>
      </c>
    </row>
    <row r="10345" spans="1:9">
      <c r="A10345" s="22" t="str">
        <f>HYPERLINK("https://app.vivvix.com/360/KMI/IntelliDrive/ApplUI/Pages/CreativePages/CustomReportCreativeDetail.aspx?App=23&amp;ReportView=4&amp;Qid=1711279&amp;Row=10337&amp;Col=1","No Title Assigned - #15271882021")</f>
        <v/>
      </c>
      <c r="B10345" s="0" t="s">
        <v>14014</v>
      </c>
      <c r="C10345" s="0" t="s">
        <v>14015</v>
      </c>
      <c r="D10345" s="0" t="s">
        <v>4424</v>
      </c>
      <c r="E10345" s="0" t="inlineStr">
        <is>
          <t xml:space="preserve">Mazda</t>
        </is>
      </c>
      <c r="F10345" s="0" t="s">
        <v>28</v>
      </c>
      <c r="G10345" s="0" t="s">
        <v>29</v>
      </c>
      <c r="H10345" s="5">
        <v>7.632500</v>
      </c>
    </row>
    <row r="10346" spans="1:9">
      <c r="A10346" s="22" t="str">
        <f>HYPERLINK("https://app.vivvix.com/360/KMI/IntelliDrive/ApplUI/Pages/CreativePages/CustomReportCreativeDetail.aspx?App=23&amp;ReportView=4&amp;Qid=1711279&amp;Row=10338&amp;Col=1","No Title Assigned - #15271882090")</f>
        <v/>
      </c>
      <c r="B10346" s="0" t="s">
        <v>14016</v>
      </c>
      <c r="C10346" s="0" t="s">
        <v>14017</v>
      </c>
      <c r="D10346" s="0" t="s">
        <v>13604</v>
      </c>
      <c r="E10346" s="0" t="inlineStr">
        <is>
          <t xml:space="preserve">Mazda</t>
        </is>
      </c>
      <c r="F10346" s="0" t="s">
        <v>28</v>
      </c>
      <c r="G10346" s="0" t="s">
        <v>29</v>
      </c>
      <c r="H10346" s="5">
        <v>1.836000</v>
      </c>
    </row>
    <row r="10347" spans="1:9">
      <c r="A10347" s="22" t="str">
        <f>HYPERLINK("https://app.vivvix.com/360/KMI/IntelliDrive/ApplUI/Pages/CreativePages/CustomReportCreativeDetail.aspx?App=23&amp;ReportView=4&amp;Qid=1711279&amp;Row=10339&amp;Col=1","No Title Assigned - #15271882986")</f>
        <v/>
      </c>
      <c r="B10347" s="0" t="s">
        <v>14018</v>
      </c>
      <c r="C10347" s="0" t="s">
        <v>14019</v>
      </c>
      <c r="D10347" s="0" t="s">
        <v>4200</v>
      </c>
      <c r="E10347" s="0" t="inlineStr">
        <is>
          <t xml:space="preserve">Mazda</t>
        </is>
      </c>
      <c r="F10347" s="0" t="s">
        <v>28</v>
      </c>
      <c r="G10347" s="0" t="s">
        <v>29</v>
      </c>
      <c r="H10347" s="5">
        <v>144.370900</v>
      </c>
    </row>
    <row r="10348" spans="1:9">
      <c r="A10348" s="22" t="str">
        <f>HYPERLINK("https://app.vivvix.com/360/KMI/IntelliDrive/ApplUI/Pages/CreativePages/CustomReportCreativeDetail.aspx?App=23&amp;ReportView=4&amp;Qid=1711279&amp;Row=10340&amp;Col=1","No Title Assigned - #15271882993")</f>
        <v/>
      </c>
      <c r="B10348" s="0" t="s">
        <v>14020</v>
      </c>
      <c r="C10348" s="0" t="s">
        <v>14021</v>
      </c>
      <c r="D10348" s="0" t="s">
        <v>8876</v>
      </c>
      <c r="E10348" s="0" t="inlineStr">
        <is>
          <t xml:space="preserve">Mazda</t>
        </is>
      </c>
      <c r="F10348" s="0" t="s">
        <v>28</v>
      </c>
      <c r="G10348" s="0" t="s">
        <v>29</v>
      </c>
      <c r="H10348" s="5">
        <v>184.876000</v>
      </c>
    </row>
    <row r="10349" spans="1:9">
      <c r="A10349" s="22" t="str">
        <f>HYPERLINK("https://app.vivvix.com/360/KMI/IntelliDrive/ApplUI/Pages/CreativePages/CustomReportCreativeDetail.aspx?App=23&amp;ReportView=4&amp;Qid=1711279&amp;Row=10341&amp;Col=1","No Title Assigned - #15271883126")</f>
        <v/>
      </c>
      <c r="B10349" s="0" t="s">
        <v>14022</v>
      </c>
      <c r="E10349" s="0" t="inlineStr">
        <is>
          <t xml:space="preserve">Mazda</t>
        </is>
      </c>
      <c r="F10349" s="0" t="s">
        <v>28</v>
      </c>
      <c r="G10349" s="0" t="s">
        <v>29</v>
      </c>
      <c r="H10349" s="5">
        <v>438.536900</v>
      </c>
    </row>
    <row r="10350" spans="1:9">
      <c r="A10350" s="22" t="str">
        <f>HYPERLINK("https://app.vivvix.com/360/KMI/IntelliDrive/ApplUI/Pages/CreativePages/CustomReportCreativeDetail.aspx?App=23&amp;ReportView=4&amp;Qid=1711279&amp;Row=10342&amp;Col=1","No Title Assigned - #15271883126")</f>
        <v/>
      </c>
      <c r="B10350" s="0" t="s">
        <v>14022</v>
      </c>
      <c r="C10350" s="0" t="s">
        <v>14023</v>
      </c>
      <c r="D10350" s="0" t="s">
        <v>14023</v>
      </c>
      <c r="E10350" s="0" t="inlineStr">
        <is>
          <t xml:space="preserve">Mazda</t>
        </is>
      </c>
      <c r="F10350" s="0" t="s">
        <v>28</v>
      </c>
      <c r="G10350" s="0" t="s">
        <v>29</v>
      </c>
      <c r="H10350" s="5">
        <v>171.480100</v>
      </c>
    </row>
    <row r="10351" spans="1:9">
      <c r="A10351" s="22" t="str">
        <f>HYPERLINK("https://app.vivvix.com/360/KMI/IntelliDrive/ApplUI/Pages/CreativePages/CustomReportCreativeDetail.aspx?App=23&amp;ReportView=4&amp;Qid=1711279&amp;Row=10343&amp;Col=1","No Title Assigned - #15271883740")</f>
        <v/>
      </c>
      <c r="B10351" s="0" t="s">
        <v>14024</v>
      </c>
      <c r="C10351" s="0" t="s">
        <v>14025</v>
      </c>
      <c r="D10351" s="0" t="s">
        <v>14025</v>
      </c>
      <c r="E10351" s="0" t="inlineStr">
        <is>
          <t xml:space="preserve">Mazda</t>
        </is>
      </c>
      <c r="F10351" s="0" t="s">
        <v>28</v>
      </c>
      <c r="G10351" s="0" t="s">
        <v>29</v>
      </c>
      <c r="H10351" s="5">
        <v>3896.896500</v>
      </c>
    </row>
    <row r="10352" spans="1:9">
      <c r="A10352" s="22" t="str">
        <f>HYPERLINK("https://app.vivvix.com/360/KMI/IntelliDrive/ApplUI/Pages/CreativePages/CustomReportCreativeDetail.aspx?App=23&amp;ReportView=4&amp;Qid=1711279&amp;Row=10344&amp;Col=1","No Title Assigned - #15271883740")</f>
        <v/>
      </c>
      <c r="B10352" s="0" t="s">
        <v>14024</v>
      </c>
      <c r="E10352" s="0" t="inlineStr">
        <is>
          <t xml:space="preserve">Mazda</t>
        </is>
      </c>
      <c r="F10352" s="0" t="s">
        <v>28</v>
      </c>
      <c r="G10352" s="0" t="s">
        <v>29</v>
      </c>
      <c r="H10352" s="5">
        <v>321.566700</v>
      </c>
    </row>
    <row r="10353" spans="1:9">
      <c r="A10353" s="22" t="str">
        <f>HYPERLINK("https://app.vivvix.com/360/KMI/IntelliDrive/ApplUI/Pages/CreativePages/CustomReportCreativeDetail.aspx?App=23&amp;ReportView=4&amp;Qid=1711279&amp;Row=10345&amp;Col=1","No Title Assigned - #15271885627")</f>
        <v/>
      </c>
      <c r="B10353" s="0" t="s">
        <v>14026</v>
      </c>
      <c r="C10353" s="0" t="s">
        <v>14027</v>
      </c>
      <c r="D10353" s="0" t="s">
        <v>4225</v>
      </c>
      <c r="E10353" s="0" t="inlineStr">
        <is>
          <t xml:space="preserve">Mazda</t>
        </is>
      </c>
      <c r="F10353" s="0" t="s">
        <v>28</v>
      </c>
      <c r="G10353" s="0" t="s">
        <v>29</v>
      </c>
      <c r="H10353" s="5">
        <v>1140.848400</v>
      </c>
    </row>
    <row r="10354" spans="1:9">
      <c r="A10354" s="22" t="str">
        <f>HYPERLINK("https://app.vivvix.com/360/KMI/IntelliDrive/ApplUI/Pages/CreativePages/CustomReportCreativeDetail.aspx?App=23&amp;ReportView=4&amp;Qid=1711279&amp;Row=10346&amp;Col=1","No Title Assigned - #15271885829")</f>
        <v/>
      </c>
      <c r="B10354" s="0" t="s">
        <v>14028</v>
      </c>
      <c r="C10354" s="0" t="s">
        <v>14029</v>
      </c>
      <c r="D10354" s="0" t="s">
        <v>6311</v>
      </c>
      <c r="E10354" s="0" t="inlineStr">
        <is>
          <t xml:space="preserve">Mazda</t>
        </is>
      </c>
      <c r="F10354" s="0" t="s">
        <v>21</v>
      </c>
      <c r="G10354" s="0" t="s">
        <v>22</v>
      </c>
      <c r="H10354" s="5">
        <v>685.964000</v>
      </c>
    </row>
    <row r="10355" spans="1:9">
      <c r="A10355" s="22" t="str">
        <f>HYPERLINK("https://app.vivvix.com/360/KMI/IntelliDrive/ApplUI/Pages/CreativePages/CustomReportCreativeDetail.aspx?App=23&amp;ReportView=4&amp;Qid=1711279&amp;Row=10347&amp;Col=1","No Title Assigned - #15271889921")</f>
        <v/>
      </c>
      <c r="B10355" s="0" t="s">
        <v>14030</v>
      </c>
      <c r="C10355" s="0" t="s">
        <v>14031</v>
      </c>
      <c r="D10355" s="0" t="s">
        <v>4204</v>
      </c>
      <c r="E10355" s="0" t="inlineStr">
        <is>
          <t xml:space="preserve">Mazda</t>
        </is>
      </c>
      <c r="F10355" s="0" t="s">
        <v>28</v>
      </c>
      <c r="G10355" s="0" t="s">
        <v>29</v>
      </c>
      <c r="H10355" s="5">
        <v>3.910300</v>
      </c>
    </row>
    <row r="10356" spans="1:9">
      <c r="A10356" s="22" t="str">
        <f>HYPERLINK("https://app.vivvix.com/360/KMI/IntelliDrive/ApplUI/Pages/CreativePages/CustomReportCreativeDetail.aspx?App=23&amp;ReportView=4&amp;Qid=1711279&amp;Row=10348&amp;Col=1","No Title Assigned - #15271893933")</f>
        <v/>
      </c>
      <c r="B10356" s="0" t="s">
        <v>14032</v>
      </c>
      <c r="E10356" s="0" t="inlineStr">
        <is>
          <t xml:space="preserve">Mazda</t>
        </is>
      </c>
      <c r="F10356" s="0" t="s">
        <v>28</v>
      </c>
      <c r="G10356" s="0" t="s">
        <v>29</v>
      </c>
      <c r="H10356" s="5">
        <v>36.913600</v>
      </c>
    </row>
    <row r="10357" spans="1:9">
      <c r="A10357" s="22" t="str">
        <f>HYPERLINK("https://app.vivvix.com/360/KMI/IntelliDrive/ApplUI/Pages/CreativePages/CustomReportCreativeDetail.aspx?App=23&amp;ReportView=4&amp;Qid=1711279&amp;Row=10349&amp;Col=1","No Title Assigned - #15271893933")</f>
        <v/>
      </c>
      <c r="B10357" s="0" t="s">
        <v>14032</v>
      </c>
      <c r="C10357" s="0" t="s">
        <v>14033</v>
      </c>
      <c r="D10357" s="0" t="s">
        <v>14033</v>
      </c>
      <c r="E10357" s="0" t="inlineStr">
        <is>
          <t xml:space="preserve">Mazda</t>
        </is>
      </c>
      <c r="F10357" s="0" t="s">
        <v>28</v>
      </c>
      <c r="G10357" s="0" t="s">
        <v>29</v>
      </c>
      <c r="H10357" s="5">
        <v>33.023700</v>
      </c>
    </row>
    <row r="10358" spans="1:9">
      <c r="A10358" s="22" t="str">
        <f>HYPERLINK("https://app.vivvix.com/360/KMI/IntelliDrive/ApplUI/Pages/CreativePages/CustomReportCreativeDetail.aspx?App=23&amp;ReportView=4&amp;Qid=1711279&amp;Row=10350&amp;Col=1","No Title Assigned - #15271895804")</f>
        <v/>
      </c>
      <c r="B10358" s="0" t="s">
        <v>14034</v>
      </c>
      <c r="C10358" s="0" t="s">
        <v>14035</v>
      </c>
      <c r="D10358" s="0" t="s">
        <v>4768</v>
      </c>
      <c r="E10358" s="0" t="inlineStr">
        <is>
          <t xml:space="preserve">Mazda</t>
        </is>
      </c>
      <c r="F10358" s="0" t="s">
        <v>13</v>
      </c>
      <c r="G10358" s="0" t="s">
        <v>49</v>
      </c>
      <c r="H10358" s="5">
        <v>37.144800</v>
      </c>
    </row>
    <row r="10359" spans="1:9">
      <c r="A10359" s="22" t="str">
        <f>HYPERLINK("https://app.vivvix.com/360/KMI/IntelliDrive/ApplUI/Pages/CreativePages/CustomReportCreativeDetail.aspx?App=23&amp;ReportView=4&amp;Qid=1711279&amp;Row=10351&amp;Col=1","No Title Assigned - #15271896106")</f>
        <v/>
      </c>
      <c r="B10359" s="0" t="s">
        <v>14036</v>
      </c>
      <c r="C10359" s="0" t="s">
        <v>14037</v>
      </c>
      <c r="D10359" s="0" t="s">
        <v>14037</v>
      </c>
      <c r="E10359" s="0" t="inlineStr">
        <is>
          <t xml:space="preserve">Mazda</t>
        </is>
      </c>
      <c r="F10359" s="0" t="s">
        <v>28</v>
      </c>
      <c r="G10359" s="0" t="s">
        <v>29</v>
      </c>
      <c r="H10359" s="5">
        <v>41.134800</v>
      </c>
    </row>
    <row r="10360" spans="1:9">
      <c r="A10360" s="22" t="str">
        <f>HYPERLINK("https://app.vivvix.com/360/KMI/IntelliDrive/ApplUI/Pages/CreativePages/CustomReportCreativeDetail.aspx?App=23&amp;ReportView=4&amp;Qid=1711279&amp;Row=10352&amp;Col=1","No Title Assigned - #15271914018")</f>
        <v/>
      </c>
      <c r="B10360" s="0" t="s">
        <v>14038</v>
      </c>
      <c r="C10360" s="0" t="s">
        <v>14039</v>
      </c>
      <c r="D10360" s="0" t="s">
        <v>4333</v>
      </c>
      <c r="E10360" s="0" t="inlineStr">
        <is>
          <t xml:space="preserve">Mazda</t>
        </is>
      </c>
      <c r="F10360" s="0" t="s">
        <v>28</v>
      </c>
      <c r="G10360" s="0" t="s">
        <v>29</v>
      </c>
      <c r="H10360" s="5">
        <v>35898.605600</v>
      </c>
    </row>
    <row r="10361" spans="1:9">
      <c r="A10361" s="22" t="str">
        <f>HYPERLINK("https://app.vivvix.com/360/KMI/IntelliDrive/ApplUI/Pages/CreativePages/CustomReportCreativeDetail.aspx?App=23&amp;ReportView=4&amp;Qid=1711279&amp;Row=10353&amp;Col=1","No Title Assigned - #15271917704")</f>
        <v/>
      </c>
      <c r="B10361" s="0" t="s">
        <v>14040</v>
      </c>
      <c r="C10361" s="0" t="s">
        <v>14041</v>
      </c>
      <c r="D10361" s="0" t="s">
        <v>14041</v>
      </c>
      <c r="E10361" s="0" t="inlineStr">
        <is>
          <t xml:space="preserve">Mazda</t>
        </is>
      </c>
      <c r="F10361" s="0" t="inlineStr">
        <is>
          <t xml:space="preserve">Mazda</t>
        </is>
      </c>
      <c r="G10361" s="0" t="s">
        <v>210</v>
      </c>
      <c r="H10361" s="5">
        <v>225.377000</v>
      </c>
    </row>
    <row r="10362" spans="1:9">
      <c r="A10362" s="22" t="str">
        <f>HYPERLINK("https://app.vivvix.com/360/KMI/IntelliDrive/ApplUI/Pages/CreativePages/CustomReportCreativeDetail.aspx?App=23&amp;ReportView=4&amp;Qid=1711279&amp;Row=10354&amp;Col=1","No Title Assigned - #15271918069")</f>
        <v/>
      </c>
      <c r="B10362" s="0" t="s">
        <v>14042</v>
      </c>
      <c r="C10362" s="0" t="s">
        <v>14043</v>
      </c>
      <c r="D10362" s="0" t="s">
        <v>4225</v>
      </c>
      <c r="E10362" s="0" t="inlineStr">
        <is>
          <t xml:space="preserve">Mazda</t>
        </is>
      </c>
      <c r="F10362" s="0" t="s">
        <v>28</v>
      </c>
      <c r="G10362" s="0" t="s">
        <v>29</v>
      </c>
      <c r="H10362" s="5">
        <v>13.692400</v>
      </c>
    </row>
    <row r="10363" spans="1:9">
      <c r="A10363" s="22" t="str">
        <f>HYPERLINK("https://app.vivvix.com/360/KMI/IntelliDrive/ApplUI/Pages/CreativePages/CustomReportCreativeDetail.aspx?App=23&amp;ReportView=4&amp;Qid=1711279&amp;Row=10355&amp;Col=1","No Title Assigned - #15271919024")</f>
        <v/>
      </c>
      <c r="B10363" s="0" t="s">
        <v>14044</v>
      </c>
      <c r="C10363" s="0" t="s">
        <v>14045</v>
      </c>
      <c r="D10363" s="0" t="s">
        <v>9376</v>
      </c>
      <c r="E10363" s="0" t="inlineStr">
        <is>
          <t xml:space="preserve">Mazda</t>
        </is>
      </c>
      <c r="F10363" s="0" t="s">
        <v>28</v>
      </c>
      <c r="G10363" s="0" t="s">
        <v>29</v>
      </c>
      <c r="H10363" s="5">
        <v>7.176000</v>
      </c>
    </row>
    <row r="10364" spans="1:9">
      <c r="A10364" s="22" t="str">
        <f>HYPERLINK("https://app.vivvix.com/360/KMI/IntelliDrive/ApplUI/Pages/CreativePages/CustomReportCreativeDetail.aspx?App=23&amp;ReportView=4&amp;Qid=1711279&amp;Row=10356&amp;Col=1","No Title Assigned - #15271919482")</f>
        <v/>
      </c>
      <c r="B10364" s="0" t="s">
        <v>14046</v>
      </c>
      <c r="E10364" s="0" t="inlineStr">
        <is>
          <t xml:space="preserve">Mazda</t>
        </is>
      </c>
      <c r="F10364" s="0" t="inlineStr">
        <is>
          <t xml:space="preserve">Mazda</t>
        </is>
      </c>
      <c r="G10364" s="0" t="s">
        <v>171</v>
      </c>
      <c r="H10364" s="5">
        <v>84.786400</v>
      </c>
    </row>
    <row r="10365" spans="1:9">
      <c r="A10365" s="22" t="str">
        <f>HYPERLINK("https://app.vivvix.com/360/KMI/IntelliDrive/ApplUI/Pages/CreativePages/CustomReportCreativeDetail.aspx?App=23&amp;ReportView=4&amp;Qid=1711279&amp;Row=10357&amp;Col=1","No Title Assigned - #15271919972")</f>
        <v/>
      </c>
      <c r="B10365" s="0" t="s">
        <v>14047</v>
      </c>
      <c r="C10365" s="0" t="s">
        <v>14048</v>
      </c>
      <c r="D10365" s="0" t="s">
        <v>14048</v>
      </c>
      <c r="E10365" s="0" t="inlineStr">
        <is>
          <t xml:space="preserve">Mazda</t>
        </is>
      </c>
      <c r="F10365" s="0" t="s">
        <v>13</v>
      </c>
      <c r="G10365" s="0" t="s">
        <v>49</v>
      </c>
      <c r="H10365" s="5">
        <v>15917.924800</v>
      </c>
    </row>
    <row r="10366" spans="1:9">
      <c r="A10366" s="22" t="str">
        <f>HYPERLINK("https://app.vivvix.com/360/KMI/IntelliDrive/ApplUI/Pages/CreativePages/CustomReportCreativeDetail.aspx?App=23&amp;ReportView=4&amp;Qid=1711279&amp;Row=10358&amp;Col=1","No Title Assigned - #15271920017")</f>
        <v/>
      </c>
      <c r="B10366" s="0" t="s">
        <v>14049</v>
      </c>
      <c r="C10366" s="0" t="s">
        <v>14050</v>
      </c>
      <c r="D10366" s="0" t="s">
        <v>4202</v>
      </c>
      <c r="E10366" s="0" t="inlineStr">
        <is>
          <t xml:space="preserve">Mazda</t>
        </is>
      </c>
      <c r="F10366" s="0" t="s">
        <v>28</v>
      </c>
      <c r="G10366" s="0" t="s">
        <v>29</v>
      </c>
      <c r="H10366" s="5">
        <v>253.537500</v>
      </c>
    </row>
    <row r="10367" spans="1:9">
      <c r="A10367" s="22" t="str">
        <f>HYPERLINK("https://app.vivvix.com/360/KMI/IntelliDrive/ApplUI/Pages/CreativePages/CustomReportCreativeDetail.aspx?App=23&amp;ReportView=4&amp;Qid=1711279&amp;Row=10359&amp;Col=1","No Title Assigned - #15271920877")</f>
        <v/>
      </c>
      <c r="B10367" s="0" t="s">
        <v>14051</v>
      </c>
      <c r="C10367" s="0" t="s">
        <v>14052</v>
      </c>
      <c r="D10367" s="0" t="s">
        <v>14052</v>
      </c>
      <c r="E10367" s="0" t="inlineStr">
        <is>
          <t xml:space="preserve">Mazda</t>
        </is>
      </c>
      <c r="F10367" s="0" t="s">
        <v>13</v>
      </c>
      <c r="G10367" s="0" t="s">
        <v>49</v>
      </c>
      <c r="H10367" s="5">
        <v>24.178400</v>
      </c>
    </row>
    <row r="10368" spans="1:9">
      <c r="A10368" s="22" t="str">
        <f>HYPERLINK("https://app.vivvix.com/360/KMI/IntelliDrive/ApplUI/Pages/CreativePages/CustomReportCreativeDetail.aspx?App=23&amp;ReportView=4&amp;Qid=1711279&amp;Row=10360&amp;Col=1","No Title Assigned - #15271922164")</f>
        <v/>
      </c>
      <c r="B10368" s="0" t="s">
        <v>14053</v>
      </c>
      <c r="C10368" s="0" t="s">
        <v>14054</v>
      </c>
      <c r="D10368" s="0" t="s">
        <v>4202</v>
      </c>
      <c r="E10368" s="0" t="inlineStr">
        <is>
          <t xml:space="preserve">Mazda</t>
        </is>
      </c>
      <c r="F10368" s="0" t="s">
        <v>28</v>
      </c>
      <c r="G10368" s="0" t="s">
        <v>29</v>
      </c>
      <c r="H10368" s="5">
        <v>9.144500</v>
      </c>
    </row>
    <row r="10369" spans="1:9">
      <c r="A10369" s="22" t="str">
        <f>HYPERLINK("https://app.vivvix.com/360/KMI/IntelliDrive/ApplUI/Pages/CreativePages/CustomReportCreativeDetail.aspx?App=23&amp;ReportView=4&amp;Qid=1711279&amp;Row=10361&amp;Col=1","No Title Assigned - #15271922527")</f>
        <v/>
      </c>
      <c r="B10369" s="0" t="s">
        <v>14055</v>
      </c>
      <c r="C10369" s="0" t="s">
        <v>14056</v>
      </c>
      <c r="D10369" s="0" t="s">
        <v>4202</v>
      </c>
      <c r="E10369" s="0" t="inlineStr">
        <is>
          <t xml:space="preserve">Mazda</t>
        </is>
      </c>
      <c r="F10369" s="0" t="s">
        <v>28</v>
      </c>
      <c r="G10369" s="0" t="s">
        <v>29</v>
      </c>
      <c r="H10369" s="5">
        <v>449.884300</v>
      </c>
    </row>
    <row r="10370" spans="1:9">
      <c r="A10370" s="22" t="str">
        <f>HYPERLINK("https://app.vivvix.com/360/KMI/IntelliDrive/ApplUI/Pages/CreativePages/CustomReportCreativeDetail.aspx?App=23&amp;ReportView=4&amp;Qid=1711279&amp;Row=10362&amp;Col=1","No Title Assigned - #15271923906")</f>
        <v/>
      </c>
      <c r="B10370" s="0" t="s">
        <v>14057</v>
      </c>
      <c r="E10370" s="0" t="inlineStr">
        <is>
          <t xml:space="preserve">Mazda</t>
        </is>
      </c>
      <c r="F10370" s="0" t="inlineStr">
        <is>
          <t xml:space="preserve">Mazda</t>
        </is>
      </c>
      <c r="G10370" s="0" t="s">
        <v>171</v>
      </c>
      <c r="H10370" s="5">
        <v>20116.175100</v>
      </c>
    </row>
    <row r="10371" spans="1:9">
      <c r="A10371" s="22" t="str">
        <f>HYPERLINK("https://app.vivvix.com/360/KMI/IntelliDrive/ApplUI/Pages/CreativePages/CustomReportCreativeDetail.aspx?App=23&amp;ReportView=4&amp;Qid=1711279&amp;Row=10363&amp;Col=1","No Title Assigned - #15271923906")</f>
        <v/>
      </c>
      <c r="B10371" s="0" t="s">
        <v>14057</v>
      </c>
      <c r="E10371" s="0" t="inlineStr">
        <is>
          <t xml:space="preserve">Mazda</t>
        </is>
      </c>
      <c r="F10371" s="0" t="inlineStr">
        <is>
          <t xml:space="preserve">Mazda</t>
        </is>
      </c>
      <c r="G10371" s="0" t="s">
        <v>171</v>
      </c>
      <c r="H10371" s="5">
        <v>17042.598100</v>
      </c>
    </row>
    <row r="10372" spans="1:9">
      <c r="A10372" s="22" t="str">
        <f>HYPERLINK("https://app.vivvix.com/360/KMI/IntelliDrive/ApplUI/Pages/CreativePages/CustomReportCreativeDetail.aspx?App=23&amp;ReportView=4&amp;Qid=1711279&amp;Row=10364&amp;Col=1","No Title Assigned - #15271923909")</f>
        <v/>
      </c>
      <c r="B10372" s="0" t="s">
        <v>14058</v>
      </c>
      <c r="C10372" s="0" t="s">
        <v>14059</v>
      </c>
      <c r="D10372" s="0" t="s">
        <v>12666</v>
      </c>
      <c r="E10372" s="0" t="inlineStr">
        <is>
          <t xml:space="preserve">Mazda</t>
        </is>
      </c>
      <c r="F10372" s="0" t="s">
        <v>28</v>
      </c>
      <c r="G10372" s="0" t="s">
        <v>29</v>
      </c>
      <c r="H10372" s="5">
        <v>57.572400</v>
      </c>
    </row>
    <row r="10373" spans="1:9">
      <c r="A10373" s="22" t="str">
        <f>HYPERLINK("https://app.vivvix.com/360/KMI/IntelliDrive/ApplUI/Pages/CreativePages/CustomReportCreativeDetail.aspx?App=23&amp;ReportView=4&amp;Qid=1711279&amp;Row=10365&amp;Col=1","No Title Assigned - #15271923911")</f>
        <v/>
      </c>
      <c r="B10373" s="0" t="s">
        <v>14060</v>
      </c>
      <c r="C10373" s="0" t="s">
        <v>14061</v>
      </c>
      <c r="D10373" s="0" t="s">
        <v>14061</v>
      </c>
      <c r="E10373" s="0" t="inlineStr">
        <is>
          <t xml:space="preserve">Mazda</t>
        </is>
      </c>
      <c r="F10373" s="0" t="s">
        <v>28</v>
      </c>
      <c r="G10373" s="0" t="s">
        <v>29</v>
      </c>
      <c r="H10373" s="5">
        <v>7167.329700</v>
      </c>
    </row>
    <row r="10374" spans="1:9">
      <c r="A10374" s="22" t="str">
        <f>HYPERLINK("https://app.vivvix.com/360/KMI/IntelliDrive/ApplUI/Pages/CreativePages/CustomReportCreativeDetail.aspx?App=23&amp;ReportView=4&amp;Qid=1711279&amp;Row=10366&amp;Col=1","No Title Assigned - #15271924981")</f>
        <v/>
      </c>
      <c r="B10374" s="0" t="s">
        <v>14062</v>
      </c>
      <c r="C10374" s="0" t="s">
        <v>14063</v>
      </c>
      <c r="D10374" s="0" t="s">
        <v>4200</v>
      </c>
      <c r="E10374" s="0" t="inlineStr">
        <is>
          <t xml:space="preserve">Mazda</t>
        </is>
      </c>
      <c r="F10374" s="0" t="s">
        <v>28</v>
      </c>
      <c r="G10374" s="0" t="s">
        <v>29</v>
      </c>
      <c r="H10374" s="5">
        <v>5.926000</v>
      </c>
    </row>
    <row r="10375" spans="1:9">
      <c r="A10375" s="22" t="str">
        <f>HYPERLINK("https://app.vivvix.com/360/KMI/IntelliDrive/ApplUI/Pages/CreativePages/CustomReportCreativeDetail.aspx?App=23&amp;ReportView=4&amp;Qid=1711279&amp;Row=10367&amp;Col=1","No Title Assigned - #15271925675")</f>
        <v/>
      </c>
      <c r="B10375" s="0" t="s">
        <v>14064</v>
      </c>
      <c r="C10375" s="0" t="s">
        <v>14065</v>
      </c>
      <c r="D10375" s="0" t="s">
        <v>14065</v>
      </c>
      <c r="E10375" s="0" t="inlineStr">
        <is>
          <t xml:space="preserve">Mazda</t>
        </is>
      </c>
      <c r="F10375" s="0" t="s">
        <v>28</v>
      </c>
      <c r="G10375" s="0" t="s">
        <v>29</v>
      </c>
      <c r="H10375" s="5">
        <v>429.720600</v>
      </c>
    </row>
    <row r="10376" spans="1:9">
      <c r="A10376" s="22" t="str">
        <f>HYPERLINK("https://app.vivvix.com/360/KMI/IntelliDrive/ApplUI/Pages/CreativePages/CustomReportCreativeDetail.aspx?App=23&amp;ReportView=4&amp;Qid=1711279&amp;Row=10368&amp;Col=1","No Title Assigned - #15271926228")</f>
        <v/>
      </c>
      <c r="B10376" s="0" t="s">
        <v>14066</v>
      </c>
      <c r="C10376" s="0" t="s">
        <v>14067</v>
      </c>
      <c r="D10376" s="0" t="s">
        <v>14067</v>
      </c>
      <c r="E10376" s="0" t="inlineStr">
        <is>
          <t xml:space="preserve">Mazda</t>
        </is>
      </c>
      <c r="F10376" s="0" t="s">
        <v>13</v>
      </c>
      <c r="G10376" s="0" t="s">
        <v>49</v>
      </c>
      <c r="H10376" s="5">
        <v>81.604100</v>
      </c>
    </row>
    <row r="10377" spans="1:9">
      <c r="A10377" s="22" t="str">
        <f>HYPERLINK("https://app.vivvix.com/360/KMI/IntelliDrive/ApplUI/Pages/CreativePages/CustomReportCreativeDetail.aspx?App=23&amp;ReportView=4&amp;Qid=1711279&amp;Row=10369&amp;Col=1","No Title Assigned - #15271926603")</f>
        <v/>
      </c>
      <c r="B10377" s="0" t="s">
        <v>14068</v>
      </c>
      <c r="C10377" s="0" t="s">
        <v>14069</v>
      </c>
      <c r="D10377" s="0" t="s">
        <v>14069</v>
      </c>
      <c r="E10377" s="0" t="inlineStr">
        <is>
          <t xml:space="preserve">Mazda</t>
        </is>
      </c>
      <c r="F10377" s="0" t="s">
        <v>13</v>
      </c>
      <c r="G10377" s="0" t="s">
        <v>49</v>
      </c>
      <c r="H10377" s="5">
        <v>166.123400</v>
      </c>
    </row>
    <row r="10378" spans="1:9">
      <c r="A10378" s="22" t="str">
        <f>HYPERLINK("https://app.vivvix.com/360/KMI/IntelliDrive/ApplUI/Pages/CreativePages/CustomReportCreativeDetail.aspx?App=23&amp;ReportView=4&amp;Qid=1711279&amp;Row=10370&amp;Col=1","No Title Assigned - #15271927959")</f>
        <v/>
      </c>
      <c r="B10378" s="0" t="s">
        <v>14070</v>
      </c>
      <c r="C10378" s="0" t="s">
        <v>14071</v>
      </c>
      <c r="D10378" s="0" t="s">
        <v>14071</v>
      </c>
      <c r="E10378" s="0" t="inlineStr">
        <is>
          <t xml:space="preserve">Mazda</t>
        </is>
      </c>
      <c r="F10378" s="0" t="s">
        <v>13</v>
      </c>
      <c r="G10378" s="0" t="s">
        <v>49</v>
      </c>
      <c r="H10378" s="5">
        <v>506.187200</v>
      </c>
    </row>
    <row r="10379" spans="1:9">
      <c r="A10379" s="22" t="str">
        <f>HYPERLINK("https://app.vivvix.com/360/KMI/IntelliDrive/ApplUI/Pages/CreativePages/CustomReportCreativeDetail.aspx?App=23&amp;ReportView=4&amp;Qid=1711279&amp;Row=10371&amp;Col=1","No Title Assigned - #15271928355")</f>
        <v/>
      </c>
      <c r="B10379" s="0" t="s">
        <v>14072</v>
      </c>
      <c r="C10379" s="0" t="s">
        <v>14073</v>
      </c>
      <c r="D10379" s="0" t="s">
        <v>14073</v>
      </c>
      <c r="E10379" s="0" t="inlineStr">
        <is>
          <t xml:space="preserve">Mazda</t>
        </is>
      </c>
      <c r="F10379" s="0" t="s">
        <v>28</v>
      </c>
      <c r="G10379" s="0" t="s">
        <v>29</v>
      </c>
      <c r="H10379" s="5">
        <v>693.826400</v>
      </c>
    </row>
    <row r="10380" spans="1:9">
      <c r="A10380" s="22" t="str">
        <f>HYPERLINK("https://app.vivvix.com/360/KMI/IntelliDrive/ApplUI/Pages/CreativePages/CustomReportCreativeDetail.aspx?App=23&amp;ReportView=4&amp;Qid=1711279&amp;Row=10372&amp;Col=1","No Title Assigned - #15271930199")</f>
        <v/>
      </c>
      <c r="B10380" s="0" t="s">
        <v>14074</v>
      </c>
      <c r="C10380" s="0" t="s">
        <v>14075</v>
      </c>
      <c r="D10380" s="0" t="s">
        <v>14075</v>
      </c>
      <c r="E10380" s="0" t="inlineStr">
        <is>
          <t xml:space="preserve">Mazda</t>
        </is>
      </c>
      <c r="F10380" s="0" t="s">
        <v>13</v>
      </c>
      <c r="G10380" s="0" t="s">
        <v>49</v>
      </c>
      <c r="H10380" s="5">
        <v>19.125200</v>
      </c>
    </row>
    <row r="10381" spans="1:9">
      <c r="A10381" s="22" t="str">
        <f>HYPERLINK("https://app.vivvix.com/360/KMI/IntelliDrive/ApplUI/Pages/CreativePages/CustomReportCreativeDetail.aspx?App=23&amp;ReportView=4&amp;Qid=1711279&amp;Row=10373&amp;Col=1","No Title Assigned - #15271930918")</f>
        <v/>
      </c>
      <c r="B10381" s="0" t="s">
        <v>14076</v>
      </c>
      <c r="C10381" s="0" t="s">
        <v>14077</v>
      </c>
      <c r="D10381" s="0" t="s">
        <v>14077</v>
      </c>
      <c r="E10381" s="0" t="inlineStr">
        <is>
          <t xml:space="preserve">Mazda</t>
        </is>
      </c>
      <c r="F10381" s="0" t="s">
        <v>13</v>
      </c>
      <c r="G10381" s="0" t="s">
        <v>49</v>
      </c>
      <c r="H10381" s="5">
        <v>224.273900</v>
      </c>
    </row>
    <row r="10382" spans="1:9">
      <c r="A10382" s="22" t="str">
        <f>HYPERLINK("https://app.vivvix.com/360/KMI/IntelliDrive/ApplUI/Pages/CreativePages/CustomReportCreativeDetail.aspx?App=23&amp;ReportView=4&amp;Qid=1711279&amp;Row=10374&amp;Col=1","No Title Assigned - #15271931707")</f>
        <v/>
      </c>
      <c r="B10382" s="0" t="s">
        <v>14078</v>
      </c>
      <c r="C10382" s="0" t="s">
        <v>14079</v>
      </c>
      <c r="D10382" s="0" t="s">
        <v>14079</v>
      </c>
      <c r="E10382" s="0" t="inlineStr">
        <is>
          <t xml:space="preserve">Mazda</t>
        </is>
      </c>
      <c r="F10382" s="0" t="s">
        <v>13</v>
      </c>
      <c r="G10382" s="0" t="s">
        <v>49</v>
      </c>
      <c r="H10382" s="5">
        <v>85.467000</v>
      </c>
    </row>
    <row r="10383" spans="1:9">
      <c r="A10383" s="22" t="str">
        <f>HYPERLINK("https://app.vivvix.com/360/KMI/IntelliDrive/ApplUI/Pages/CreativePages/CustomReportCreativeDetail.aspx?App=23&amp;ReportView=4&amp;Qid=1711279&amp;Row=10375&amp;Col=1","No Title Assigned - #15271931898")</f>
        <v/>
      </c>
      <c r="B10383" s="0" t="s">
        <v>14080</v>
      </c>
      <c r="C10383" s="0" t="s">
        <v>14081</v>
      </c>
      <c r="D10383" s="0" t="s">
        <v>14081</v>
      </c>
      <c r="E10383" s="0" t="inlineStr">
        <is>
          <t xml:space="preserve">Mazda</t>
        </is>
      </c>
      <c r="F10383" s="0" t="s">
        <v>13</v>
      </c>
      <c r="G10383" s="0" t="s">
        <v>49</v>
      </c>
      <c r="H10383" s="5">
        <v>123.144700</v>
      </c>
    </row>
    <row r="10384" spans="1:9">
      <c r="A10384" s="22" t="str">
        <f>HYPERLINK("https://app.vivvix.com/360/KMI/IntelliDrive/ApplUI/Pages/CreativePages/CustomReportCreativeDetail.aspx?App=23&amp;ReportView=4&amp;Qid=1711279&amp;Row=10376&amp;Col=1","No Title Assigned - #15271933419")</f>
        <v/>
      </c>
      <c r="B10384" s="0" t="s">
        <v>14082</v>
      </c>
      <c r="E10384" s="0" t="inlineStr">
        <is>
          <t xml:space="preserve">Mazda</t>
        </is>
      </c>
      <c r="F10384" s="0" t="inlineStr">
        <is>
          <t xml:space="preserve">Mazda</t>
        </is>
      </c>
      <c r="G10384" s="0" t="s">
        <v>171</v>
      </c>
      <c r="H10384" s="5">
        <v>331.650600</v>
      </c>
    </row>
    <row r="10385" spans="1:9">
      <c r="A10385" s="22" t="str">
        <f>HYPERLINK("https://app.vivvix.com/360/KMI/IntelliDrive/ApplUI/Pages/CreativePages/CustomReportCreativeDetail.aspx?App=23&amp;ReportView=4&amp;Qid=1711279&amp;Row=10377&amp;Col=1","No Title Assigned - #15271933536")</f>
        <v/>
      </c>
      <c r="B10385" s="0" t="s">
        <v>14083</v>
      </c>
      <c r="C10385" s="0" t="s">
        <v>14084</v>
      </c>
      <c r="D10385" s="0" t="s">
        <v>14084</v>
      </c>
      <c r="E10385" s="0" t="inlineStr">
        <is>
          <t xml:space="preserve">Mazda</t>
        </is>
      </c>
      <c r="F10385" s="0" t="s">
        <v>28</v>
      </c>
      <c r="G10385" s="0" t="s">
        <v>29</v>
      </c>
      <c r="H10385" s="5">
        <v>37.376100</v>
      </c>
    </row>
    <row r="10386" spans="1:9">
      <c r="A10386" s="22" t="str">
        <f>HYPERLINK("https://app.vivvix.com/360/KMI/IntelliDrive/ApplUI/Pages/CreativePages/CustomReportCreativeDetail.aspx?App=23&amp;ReportView=4&amp;Qid=1711279&amp;Row=10378&amp;Col=1","No Title Assigned - #15271933796")</f>
        <v/>
      </c>
      <c r="B10386" s="0" t="s">
        <v>14085</v>
      </c>
      <c r="C10386" s="0" t="s">
        <v>14086</v>
      </c>
      <c r="D10386" s="0" t="s">
        <v>14086</v>
      </c>
      <c r="E10386" s="0" t="inlineStr">
        <is>
          <t xml:space="preserve">Mazda</t>
        </is>
      </c>
      <c r="F10386" s="0" t="s">
        <v>28</v>
      </c>
      <c r="G10386" s="0" t="s">
        <v>29</v>
      </c>
      <c r="H10386" s="5">
        <v>152.165000</v>
      </c>
    </row>
    <row r="10387" spans="1:9">
      <c r="A10387" s="22" t="str">
        <f>HYPERLINK("https://app.vivvix.com/360/KMI/IntelliDrive/ApplUI/Pages/CreativePages/CustomReportCreativeDetail.aspx?App=23&amp;ReportView=4&amp;Qid=1711279&amp;Row=10379&amp;Col=1","No Title Assigned - #15271933887")</f>
        <v/>
      </c>
      <c r="B10387" s="0" t="s">
        <v>14087</v>
      </c>
      <c r="C10387" s="0" t="s">
        <v>14088</v>
      </c>
      <c r="D10387" s="0" t="s">
        <v>14088</v>
      </c>
      <c r="E10387" s="0" t="inlineStr">
        <is>
          <t xml:space="preserve">Mazda</t>
        </is>
      </c>
      <c r="F10387" s="0" t="s">
        <v>13</v>
      </c>
      <c r="G10387" s="0" t="s">
        <v>49</v>
      </c>
      <c r="H10387" s="5">
        <v>99.918400</v>
      </c>
    </row>
    <row r="10388" spans="1:9">
      <c r="A10388" s="22" t="str">
        <f>HYPERLINK("https://app.vivvix.com/360/KMI/IntelliDrive/ApplUI/Pages/CreativePages/CustomReportCreativeDetail.aspx?App=23&amp;ReportView=4&amp;Qid=1711279&amp;Row=10380&amp;Col=1","No Title Assigned - #15271933888")</f>
        <v/>
      </c>
      <c r="B10388" s="0" t="s">
        <v>14089</v>
      </c>
      <c r="C10388" s="0" t="s">
        <v>14090</v>
      </c>
      <c r="D10388" s="0" t="s">
        <v>14090</v>
      </c>
      <c r="E10388" s="0" t="inlineStr">
        <is>
          <t xml:space="preserve">Mazda</t>
        </is>
      </c>
      <c r="F10388" s="0" t="s">
        <v>13</v>
      </c>
      <c r="G10388" s="0" t="s">
        <v>49</v>
      </c>
      <c r="H10388" s="5">
        <v>353.937500</v>
      </c>
    </row>
    <row r="10389" spans="1:9">
      <c r="A10389" s="22" t="str">
        <f>HYPERLINK("https://app.vivvix.com/360/KMI/IntelliDrive/ApplUI/Pages/CreativePages/CustomReportCreativeDetail.aspx?App=23&amp;ReportView=4&amp;Qid=1711279&amp;Row=10381&amp;Col=1","No Title Assigned - #15271934195")</f>
        <v/>
      </c>
      <c r="B10389" s="0" t="s">
        <v>14091</v>
      </c>
      <c r="C10389" s="0" t="s">
        <v>14092</v>
      </c>
      <c r="D10389" s="0" t="s">
        <v>14092</v>
      </c>
      <c r="E10389" s="0" t="inlineStr">
        <is>
          <t xml:space="preserve">Mazda</t>
        </is>
      </c>
      <c r="F10389" s="0" t="s">
        <v>28</v>
      </c>
      <c r="G10389" s="0" t="s">
        <v>29</v>
      </c>
      <c r="H10389" s="5">
        <v>3072.125900</v>
      </c>
    </row>
    <row r="10390" spans="1:9">
      <c r="A10390" s="22" t="str">
        <f>HYPERLINK("https://app.vivvix.com/360/KMI/IntelliDrive/ApplUI/Pages/CreativePages/CustomReportCreativeDetail.aspx?App=23&amp;ReportView=4&amp;Qid=1711279&amp;Row=10382&amp;Col=1","No Title Assigned - #15271935044")</f>
        <v/>
      </c>
      <c r="B10390" s="0" t="s">
        <v>14093</v>
      </c>
      <c r="C10390" s="0" t="s">
        <v>14094</v>
      </c>
      <c r="D10390" s="0" t="s">
        <v>6170</v>
      </c>
      <c r="E10390" s="0" t="inlineStr">
        <is>
          <t xml:space="preserve">Mazda</t>
        </is>
      </c>
      <c r="F10390" s="0" t="s">
        <v>28</v>
      </c>
      <c r="G10390" s="0" t="s">
        <v>29</v>
      </c>
      <c r="H10390" s="5">
        <v>232.967300</v>
      </c>
    </row>
    <row r="10391" spans="1:9">
      <c r="A10391" s="22" t="str">
        <f>HYPERLINK("https://app.vivvix.com/360/KMI/IntelliDrive/ApplUI/Pages/CreativePages/CustomReportCreativeDetail.aspx?App=23&amp;ReportView=4&amp;Qid=1711279&amp;Row=10383&amp;Col=1","No Title Assigned - #15271935044")</f>
        <v/>
      </c>
      <c r="B10391" s="0" t="s">
        <v>14093</v>
      </c>
      <c r="E10391" s="0" t="inlineStr">
        <is>
          <t xml:space="preserve">Mazda</t>
        </is>
      </c>
      <c r="F10391" s="0" t="s">
        <v>28</v>
      </c>
      <c r="G10391" s="0" t="s">
        <v>29</v>
      </c>
      <c r="H10391" s="5">
        <v>458.127000</v>
      </c>
    </row>
    <row r="10392" spans="1:9">
      <c r="A10392" s="22" t="str">
        <f>HYPERLINK("https://app.vivvix.com/360/KMI/IntelliDrive/ApplUI/Pages/CreativePages/CustomReportCreativeDetail.aspx?App=23&amp;ReportView=4&amp;Qid=1711279&amp;Row=10384&amp;Col=1","No Title Assigned - #15271935187")</f>
        <v/>
      </c>
      <c r="B10392" s="0" t="s">
        <v>14095</v>
      </c>
      <c r="E10392" s="0" t="inlineStr">
        <is>
          <t xml:space="preserve">Mazda</t>
        </is>
      </c>
      <c r="F10392" s="0" t="inlineStr">
        <is>
          <t xml:space="preserve">Mazda</t>
        </is>
      </c>
      <c r="G10392" s="0" t="s">
        <v>171</v>
      </c>
      <c r="H10392" s="5">
        <v>25.231700</v>
      </c>
    </row>
    <row r="10393" spans="1:9">
      <c r="A10393" s="22" t="str">
        <f>HYPERLINK("https://app.vivvix.com/360/KMI/IntelliDrive/ApplUI/Pages/CreativePages/CustomReportCreativeDetail.aspx?App=23&amp;ReportView=4&amp;Qid=1711279&amp;Row=10385&amp;Col=1","No Title Assigned - #15271936263")</f>
        <v/>
      </c>
      <c r="B10393" s="0" t="s">
        <v>14096</v>
      </c>
      <c r="C10393" s="0" t="s">
        <v>14097</v>
      </c>
      <c r="D10393" s="0" t="s">
        <v>14097</v>
      </c>
      <c r="E10393" s="0" t="inlineStr">
        <is>
          <t xml:space="preserve">Mazda</t>
        </is>
      </c>
      <c r="F10393" s="0" t="s">
        <v>13</v>
      </c>
      <c r="G10393" s="0" t="s">
        <v>49</v>
      </c>
      <c r="H10393" s="5">
        <v>144.745600</v>
      </c>
    </row>
    <row r="10394" spans="1:9">
      <c r="A10394" s="22" t="str">
        <f>HYPERLINK("https://app.vivvix.com/360/KMI/IntelliDrive/ApplUI/Pages/CreativePages/CustomReportCreativeDetail.aspx?App=23&amp;ReportView=4&amp;Qid=1711279&amp;Row=10386&amp;Col=1","No Title Assigned - #15271936560")</f>
        <v/>
      </c>
      <c r="B10394" s="0" t="s">
        <v>14098</v>
      </c>
      <c r="C10394" s="0" t="s">
        <v>14099</v>
      </c>
      <c r="D10394" s="0" t="s">
        <v>4200</v>
      </c>
      <c r="E10394" s="0" t="inlineStr">
        <is>
          <t xml:space="preserve">Mazda</t>
        </is>
      </c>
      <c r="F10394" s="0" t="s">
        <v>28</v>
      </c>
      <c r="G10394" s="0" t="s">
        <v>29</v>
      </c>
      <c r="H10394" s="5">
        <v>1.289700</v>
      </c>
    </row>
    <row r="10395" spans="1:9">
      <c r="A10395" s="22" t="str">
        <f>HYPERLINK("https://app.vivvix.com/360/KMI/IntelliDrive/ApplUI/Pages/CreativePages/CustomReportCreativeDetail.aspx?App=23&amp;ReportView=4&amp;Qid=1711279&amp;Row=10387&amp;Col=1","No Title Assigned - #15271937764")</f>
        <v/>
      </c>
      <c r="B10395" s="0" t="s">
        <v>14100</v>
      </c>
      <c r="C10395" s="0" t="s">
        <v>14101</v>
      </c>
      <c r="D10395" s="0" t="s">
        <v>14101</v>
      </c>
      <c r="E10395" s="0" t="inlineStr">
        <is>
          <t xml:space="preserve">Mazda</t>
        </is>
      </c>
      <c r="F10395" s="0" t="s">
        <v>369</v>
      </c>
      <c r="G10395" s="0" t="s">
        <v>370</v>
      </c>
      <c r="H10395" s="5">
        <v>1120.851000</v>
      </c>
    </row>
    <row r="10396" spans="1:9">
      <c r="A10396" s="22" t="str">
        <f>HYPERLINK("https://app.vivvix.com/360/KMI/IntelliDrive/ApplUI/Pages/CreativePages/CustomReportCreativeDetail.aspx?App=23&amp;ReportView=4&amp;Qid=1711279&amp;Row=10388&amp;Col=1","No Title Assigned - #15271937770")</f>
        <v/>
      </c>
      <c r="B10396" s="0" t="s">
        <v>14102</v>
      </c>
      <c r="C10396" s="0" t="s">
        <v>14103</v>
      </c>
      <c r="D10396" s="0" t="s">
        <v>14103</v>
      </c>
      <c r="E10396" s="0" t="inlineStr">
        <is>
          <t xml:space="preserve">Mazda</t>
        </is>
      </c>
      <c r="F10396" s="0" t="s">
        <v>369</v>
      </c>
      <c r="G10396" s="0" t="s">
        <v>370</v>
      </c>
      <c r="H10396" s="5">
        <v>183.708800</v>
      </c>
    </row>
    <row r="10397" spans="1:9">
      <c r="A10397" s="22" t="str">
        <f>HYPERLINK("https://app.vivvix.com/360/KMI/IntelliDrive/ApplUI/Pages/CreativePages/CustomReportCreativeDetail.aspx?App=23&amp;ReportView=4&amp;Qid=1711279&amp;Row=10389&amp;Col=1","No Title Assigned - #15271937818")</f>
        <v/>
      </c>
      <c r="B10397" s="0" t="s">
        <v>14104</v>
      </c>
      <c r="C10397" s="0" t="s">
        <v>14105</v>
      </c>
      <c r="D10397" s="0" t="s">
        <v>14105</v>
      </c>
      <c r="E10397" s="0" t="inlineStr">
        <is>
          <t xml:space="preserve">Mazda</t>
        </is>
      </c>
      <c r="F10397" s="0" t="s">
        <v>28</v>
      </c>
      <c r="G10397" s="0" t="s">
        <v>29</v>
      </c>
      <c r="H10397" s="5">
        <v>317.282000</v>
      </c>
    </row>
    <row r="10398" spans="1:9">
      <c r="A10398" s="22" t="str">
        <f>HYPERLINK("https://app.vivvix.com/360/KMI/IntelliDrive/ApplUI/Pages/CreativePages/CustomReportCreativeDetail.aspx?App=23&amp;ReportView=4&amp;Qid=1711279&amp;Row=10390&amp;Col=1","No Title Assigned - #15271938015")</f>
        <v/>
      </c>
      <c r="B10398" s="0" t="s">
        <v>14106</v>
      </c>
      <c r="C10398" s="0" t="s">
        <v>14107</v>
      </c>
      <c r="D10398" s="0" t="s">
        <v>4418</v>
      </c>
      <c r="E10398" s="0" t="inlineStr">
        <is>
          <t xml:space="preserve">Mazda</t>
        </is>
      </c>
      <c r="F10398" s="0" t="s">
        <v>28</v>
      </c>
      <c r="G10398" s="0" t="s">
        <v>29</v>
      </c>
      <c r="H10398" s="5">
        <v>11.898900</v>
      </c>
    </row>
    <row r="10399" spans="1:9">
      <c r="A10399" s="22" t="str">
        <f>HYPERLINK("https://app.vivvix.com/360/KMI/IntelliDrive/ApplUI/Pages/CreativePages/CustomReportCreativeDetail.aspx?App=23&amp;ReportView=4&amp;Qid=1711279&amp;Row=10391&amp;Col=1","No Title Assigned - #15271938462")</f>
        <v/>
      </c>
      <c r="B10399" s="0" t="s">
        <v>14108</v>
      </c>
      <c r="C10399" s="0" t="s">
        <v>14109</v>
      </c>
      <c r="D10399" s="0" t="s">
        <v>14109</v>
      </c>
      <c r="E10399" s="0" t="inlineStr">
        <is>
          <t xml:space="preserve">Mazda</t>
        </is>
      </c>
      <c r="F10399" s="0" t="s">
        <v>28</v>
      </c>
      <c r="G10399" s="0" t="s">
        <v>29</v>
      </c>
      <c r="H10399" s="5">
        <v>70.125800</v>
      </c>
    </row>
    <row r="10400" spans="1:9">
      <c r="A10400" s="22" t="str">
        <f>HYPERLINK("https://app.vivvix.com/360/KMI/IntelliDrive/ApplUI/Pages/CreativePages/CustomReportCreativeDetail.aspx?App=23&amp;ReportView=4&amp;Qid=1711279&amp;Row=10392&amp;Col=1","No Title Assigned - #15271938649")</f>
        <v/>
      </c>
      <c r="B10400" s="0" t="s">
        <v>14110</v>
      </c>
      <c r="C10400" s="0" t="s">
        <v>14111</v>
      </c>
      <c r="D10400" s="0" t="s">
        <v>4418</v>
      </c>
      <c r="E10400" s="0" t="inlineStr">
        <is>
          <t xml:space="preserve">Mazda</t>
        </is>
      </c>
      <c r="F10400" s="0" t="s">
        <v>28</v>
      </c>
      <c r="G10400" s="0" t="s">
        <v>29</v>
      </c>
      <c r="H10400" s="5">
        <v>33.333200</v>
      </c>
    </row>
    <row r="10401" spans="1:9">
      <c r="A10401" s="22" t="str">
        <f>HYPERLINK("https://app.vivvix.com/360/KMI/IntelliDrive/ApplUI/Pages/CreativePages/CustomReportCreativeDetail.aspx?App=23&amp;ReportView=4&amp;Qid=1711279&amp;Row=10393&amp;Col=1","No Title Assigned - #15271940782")</f>
        <v/>
      </c>
      <c r="B10401" s="0" t="s">
        <v>14112</v>
      </c>
      <c r="C10401" s="0" t="s">
        <v>14113</v>
      </c>
      <c r="D10401" s="0" t="s">
        <v>4274</v>
      </c>
      <c r="E10401" s="0" t="inlineStr">
        <is>
          <t xml:space="preserve">Mazda</t>
        </is>
      </c>
      <c r="F10401" s="0" t="s">
        <v>28</v>
      </c>
      <c r="G10401" s="0" t="s">
        <v>29</v>
      </c>
      <c r="H10401" s="5">
        <v>6.527100</v>
      </c>
    </row>
    <row r="10402" spans="1:9">
      <c r="A10402" s="22" t="str">
        <f>HYPERLINK("https://app.vivvix.com/360/KMI/IntelliDrive/ApplUI/Pages/CreativePages/CustomReportCreativeDetail.aspx?App=23&amp;ReportView=4&amp;Qid=1711279&amp;Row=10394&amp;Col=1","No Title Assigned - #15271941127")</f>
        <v/>
      </c>
      <c r="B10402" s="0" t="s">
        <v>14114</v>
      </c>
      <c r="C10402" s="0" t="s">
        <v>14115</v>
      </c>
      <c r="D10402" s="0" t="s">
        <v>14115</v>
      </c>
      <c r="E10402" s="0" t="inlineStr">
        <is>
          <t xml:space="preserve">Mazda</t>
        </is>
      </c>
      <c r="F10402" s="0" t="s">
        <v>28</v>
      </c>
      <c r="G10402" s="0" t="s">
        <v>29</v>
      </c>
      <c r="H10402" s="5">
        <v>24.754400</v>
      </c>
    </row>
    <row r="10403" spans="1:9">
      <c r="A10403" s="22" t="str">
        <f>HYPERLINK("https://app.vivvix.com/360/KMI/IntelliDrive/ApplUI/Pages/CreativePages/CustomReportCreativeDetail.aspx?App=23&amp;ReportView=4&amp;Qid=1711279&amp;Row=10395&amp;Col=1","No Title Assigned - #15271941921")</f>
        <v/>
      </c>
      <c r="B10403" s="0" t="s">
        <v>14116</v>
      </c>
      <c r="E10403" s="0" t="inlineStr">
        <is>
          <t xml:space="preserve">Mazda</t>
        </is>
      </c>
      <c r="F10403" s="0" t="inlineStr">
        <is>
          <t xml:space="preserve">Mazda</t>
        </is>
      </c>
      <c r="G10403" s="0" t="s">
        <v>171</v>
      </c>
      <c r="H10403" s="5">
        <v>66.512900</v>
      </c>
    </row>
    <row r="10404" spans="1:9">
      <c r="A10404" s="22" t="str">
        <f>HYPERLINK("https://app.vivvix.com/360/KMI/IntelliDrive/ApplUI/Pages/CreativePages/CustomReportCreativeDetail.aspx?App=23&amp;ReportView=4&amp;Qid=1711279&amp;Row=10396&amp;Col=1","No Title Assigned - #15271941921")</f>
        <v/>
      </c>
      <c r="B10404" s="0" t="s">
        <v>14116</v>
      </c>
      <c r="E10404" s="0" t="inlineStr">
        <is>
          <t xml:space="preserve">Mazda</t>
        </is>
      </c>
      <c r="F10404" s="0" t="inlineStr">
        <is>
          <t xml:space="preserve">Mazda</t>
        </is>
      </c>
      <c r="G10404" s="0" t="s">
        <v>171</v>
      </c>
      <c r="H10404" s="5">
        <v>412.632000</v>
      </c>
    </row>
    <row r="10405" spans="1:9">
      <c r="A10405" s="22" t="str">
        <f>HYPERLINK("https://app.vivvix.com/360/KMI/IntelliDrive/ApplUI/Pages/CreativePages/CustomReportCreativeDetail.aspx?App=23&amp;ReportView=4&amp;Qid=1711279&amp;Row=10397&amp;Col=1","No Title Assigned - #15271942839")</f>
        <v/>
      </c>
      <c r="B10405" s="0" t="s">
        <v>14117</v>
      </c>
      <c r="C10405" s="0" t="s">
        <v>14118</v>
      </c>
      <c r="D10405" s="0" t="s">
        <v>14025</v>
      </c>
      <c r="E10405" s="0" t="inlineStr">
        <is>
          <t xml:space="preserve">Mazda</t>
        </is>
      </c>
      <c r="F10405" s="0" t="s">
        <v>28</v>
      </c>
      <c r="G10405" s="0" t="s">
        <v>29</v>
      </c>
      <c r="H10405" s="5">
        <v>153.029400</v>
      </c>
    </row>
    <row r="10406" spans="1:9">
      <c r="A10406" s="22" t="str">
        <f>HYPERLINK("https://app.vivvix.com/360/KMI/IntelliDrive/ApplUI/Pages/CreativePages/CustomReportCreativeDetail.aspx?App=23&amp;ReportView=4&amp;Qid=1711279&amp;Row=10398&amp;Col=1","No Title Assigned - #15271943972")</f>
        <v/>
      </c>
      <c r="B10406" s="0" t="s">
        <v>14119</v>
      </c>
      <c r="C10406" s="0" t="s">
        <v>14120</v>
      </c>
      <c r="D10406" s="0" t="s">
        <v>14120</v>
      </c>
      <c r="E10406" s="0" t="inlineStr">
        <is>
          <t xml:space="preserve">Mazda</t>
        </is>
      </c>
      <c r="F10406" s="0" t="s">
        <v>28</v>
      </c>
      <c r="G10406" s="0" t="s">
        <v>29</v>
      </c>
      <c r="H10406" s="5">
        <v>98.566000</v>
      </c>
    </row>
    <row r="10407" spans="1:9">
      <c r="A10407" s="22" t="str">
        <f>HYPERLINK("https://app.vivvix.com/360/KMI/IntelliDrive/ApplUI/Pages/CreativePages/CustomReportCreativeDetail.aspx?App=23&amp;ReportView=4&amp;Qid=1711279&amp;Row=10399&amp;Col=1","No Title Assigned - #15271943972")</f>
        <v/>
      </c>
      <c r="B10407" s="0" t="s">
        <v>14119</v>
      </c>
      <c r="E10407" s="0" t="inlineStr">
        <is>
          <t xml:space="preserve">Mazda</t>
        </is>
      </c>
      <c r="F10407" s="0" t="s">
        <v>28</v>
      </c>
      <c r="G10407" s="0" t="s">
        <v>29</v>
      </c>
      <c r="H10407" s="5">
        <v>100.017700</v>
      </c>
    </row>
    <row r="10408" spans="1:9">
      <c r="A10408" s="22" t="str">
        <f>HYPERLINK("https://app.vivvix.com/360/KMI/IntelliDrive/ApplUI/Pages/CreativePages/CustomReportCreativeDetail.aspx?App=23&amp;ReportView=4&amp;Qid=1711279&amp;Row=10400&amp;Col=1","No Title Assigned - #15271944062")</f>
        <v/>
      </c>
      <c r="B10408" s="0" t="s">
        <v>14121</v>
      </c>
      <c r="C10408" s="0" t="s">
        <v>14122</v>
      </c>
      <c r="D10408" s="0" t="s">
        <v>4225</v>
      </c>
      <c r="E10408" s="0" t="inlineStr">
        <is>
          <t xml:space="preserve">Mazda</t>
        </is>
      </c>
      <c r="F10408" s="0" t="s">
        <v>28</v>
      </c>
      <c r="G10408" s="0" t="s">
        <v>29</v>
      </c>
      <c r="H10408" s="5">
        <v>16.434300</v>
      </c>
    </row>
    <row r="10409" spans="1:9">
      <c r="A10409" s="22" t="str">
        <f>HYPERLINK("https://app.vivvix.com/360/KMI/IntelliDrive/ApplUI/Pages/CreativePages/CustomReportCreativeDetail.aspx?App=23&amp;ReportView=4&amp;Qid=1711279&amp;Row=10401&amp;Col=1","No Title Assigned - #15271944664")</f>
        <v/>
      </c>
      <c r="B10409" s="0" t="s">
        <v>14123</v>
      </c>
      <c r="C10409" s="0" t="s">
        <v>14124</v>
      </c>
      <c r="D10409" s="0" t="s">
        <v>4204</v>
      </c>
      <c r="E10409" s="0" t="inlineStr">
        <is>
          <t xml:space="preserve">Mazda</t>
        </is>
      </c>
      <c r="F10409" s="0" t="s">
        <v>28</v>
      </c>
      <c r="G10409" s="0" t="s">
        <v>29</v>
      </c>
      <c r="H10409" s="5">
        <v>0.357900</v>
      </c>
    </row>
    <row r="10410" spans="1:9">
      <c r="A10410" s="22" t="str">
        <f>HYPERLINK("https://app.vivvix.com/360/KMI/IntelliDrive/ApplUI/Pages/CreativePages/CustomReportCreativeDetail.aspx?App=23&amp;ReportView=4&amp;Qid=1711279&amp;Row=10402&amp;Col=1","No Title Assigned - #15271944768")</f>
        <v/>
      </c>
      <c r="B10410" s="0" t="s">
        <v>14125</v>
      </c>
      <c r="C10410" s="0" t="s">
        <v>14126</v>
      </c>
      <c r="D10410" s="0" t="s">
        <v>4418</v>
      </c>
      <c r="E10410" s="0" t="inlineStr">
        <is>
          <t xml:space="preserve">Mazda</t>
        </is>
      </c>
      <c r="F10410" s="0" t="s">
        <v>28</v>
      </c>
      <c r="G10410" s="0" t="s">
        <v>29</v>
      </c>
      <c r="H10410" s="5">
        <v>51.558000</v>
      </c>
    </row>
    <row r="10411" spans="1:9">
      <c r="A10411" s="22" t="str">
        <f>HYPERLINK("https://app.vivvix.com/360/KMI/IntelliDrive/ApplUI/Pages/CreativePages/CustomReportCreativeDetail.aspx?App=23&amp;ReportView=4&amp;Qid=1711279&amp;Row=10403&amp;Col=1","No Title Assigned - #15271944882")</f>
        <v/>
      </c>
      <c r="B10411" s="0" t="s">
        <v>14127</v>
      </c>
      <c r="C10411" s="0" t="s">
        <v>14128</v>
      </c>
      <c r="D10411" s="0" t="s">
        <v>14128</v>
      </c>
      <c r="E10411" s="0" t="inlineStr">
        <is>
          <t xml:space="preserve">Mazda</t>
        </is>
      </c>
      <c r="F10411" s="0" t="s">
        <v>28</v>
      </c>
      <c r="G10411" s="0" t="s">
        <v>29</v>
      </c>
      <c r="H10411" s="5">
        <v>1.164700</v>
      </c>
    </row>
    <row r="10412" spans="1:9">
      <c r="A10412" s="22" t="str">
        <f>HYPERLINK("https://app.vivvix.com/360/KMI/IntelliDrive/ApplUI/Pages/CreativePages/CustomReportCreativeDetail.aspx?App=23&amp;ReportView=4&amp;Qid=1711279&amp;Row=10404&amp;Col=1","No Title Assigned - #15271946034")</f>
        <v/>
      </c>
      <c r="B10412" s="0" t="s">
        <v>14129</v>
      </c>
      <c r="C10412" s="0" t="s">
        <v>14130</v>
      </c>
      <c r="D10412" s="0" t="s">
        <v>10772</v>
      </c>
      <c r="E10412" s="0" t="inlineStr">
        <is>
          <t xml:space="preserve">Mazda</t>
        </is>
      </c>
      <c r="F10412" s="0" t="s">
        <v>28</v>
      </c>
      <c r="G10412" s="0" t="s">
        <v>29</v>
      </c>
      <c r="H10412" s="5">
        <v>16.278900</v>
      </c>
    </row>
    <row r="10413" spans="1:9">
      <c r="A10413" s="22" t="str">
        <f>HYPERLINK("https://app.vivvix.com/360/KMI/IntelliDrive/ApplUI/Pages/CreativePages/CustomReportCreativeDetail.aspx?App=23&amp;ReportView=4&amp;Qid=1711279&amp;Row=10405&amp;Col=1","No Title Assigned - #15271946132")</f>
        <v/>
      </c>
      <c r="B10413" s="0" t="s">
        <v>14131</v>
      </c>
      <c r="C10413" s="0" t="s">
        <v>14132</v>
      </c>
      <c r="D10413" s="0" t="s">
        <v>4418</v>
      </c>
      <c r="E10413" s="0" t="inlineStr">
        <is>
          <t xml:space="preserve">Mazda</t>
        </is>
      </c>
      <c r="F10413" s="0" t="s">
        <v>28</v>
      </c>
      <c r="G10413" s="0" t="s">
        <v>29</v>
      </c>
      <c r="H10413" s="5">
        <v>1.836000</v>
      </c>
    </row>
    <row r="10414" spans="1:9">
      <c r="A10414" s="22" t="str">
        <f>HYPERLINK("https://app.vivvix.com/360/KMI/IntelliDrive/ApplUI/Pages/CreativePages/CustomReportCreativeDetail.aspx?App=23&amp;ReportView=4&amp;Qid=1711279&amp;Row=10406&amp;Col=1","No Title Assigned - #15271947196")</f>
        <v/>
      </c>
      <c r="B10414" s="0" t="s">
        <v>14133</v>
      </c>
      <c r="C10414" s="0" t="s">
        <v>14134</v>
      </c>
      <c r="D10414" s="0" t="s">
        <v>14134</v>
      </c>
      <c r="E10414" s="0" t="inlineStr">
        <is>
          <t xml:space="preserve">Mazda</t>
        </is>
      </c>
      <c r="F10414" s="0" t="s">
        <v>28</v>
      </c>
      <c r="G10414" s="0" t="s">
        <v>29</v>
      </c>
      <c r="H10414" s="5">
        <v>1.616300</v>
      </c>
    </row>
    <row r="10415" spans="1:9">
      <c r="A10415" s="22" t="str">
        <f>HYPERLINK("https://app.vivvix.com/360/KMI/IntelliDrive/ApplUI/Pages/CreativePages/CustomReportCreativeDetail.aspx?App=23&amp;ReportView=4&amp;Qid=1711279&amp;Row=10407&amp;Col=1","No Title Assigned - #15271947216")</f>
        <v/>
      </c>
      <c r="B10415" s="0" t="s">
        <v>14135</v>
      </c>
      <c r="C10415" s="0" t="s">
        <v>14136</v>
      </c>
      <c r="D10415" s="0" t="s">
        <v>14136</v>
      </c>
      <c r="E10415" s="0" t="inlineStr">
        <is>
          <t xml:space="preserve">Mazda</t>
        </is>
      </c>
      <c r="F10415" s="0" t="s">
        <v>13</v>
      </c>
      <c r="G10415" s="0" t="s">
        <v>49</v>
      </c>
      <c r="H10415" s="5">
        <v>627.510600</v>
      </c>
    </row>
    <row r="10416" spans="1:9">
      <c r="A10416" s="22" t="str">
        <f>HYPERLINK("https://app.vivvix.com/360/KMI/IntelliDrive/ApplUI/Pages/CreativePages/CustomReportCreativeDetail.aspx?App=23&amp;ReportView=4&amp;Qid=1711279&amp;Row=10408&amp;Col=1","No Title Assigned - #15271947225")</f>
        <v/>
      </c>
      <c r="B10416" s="0" t="s">
        <v>14137</v>
      </c>
      <c r="C10416" s="0" t="s">
        <v>14138</v>
      </c>
      <c r="D10416" s="0" t="s">
        <v>4202</v>
      </c>
      <c r="E10416" s="0" t="inlineStr">
        <is>
          <t xml:space="preserve">Mazda</t>
        </is>
      </c>
      <c r="F10416" s="0" t="s">
        <v>28</v>
      </c>
      <c r="G10416" s="0" t="s">
        <v>29</v>
      </c>
      <c r="H10416" s="5">
        <v>5.290600</v>
      </c>
    </row>
    <row r="10417" spans="1:9">
      <c r="A10417" s="22" t="str">
        <f>HYPERLINK("https://app.vivvix.com/360/KMI/IntelliDrive/ApplUI/Pages/CreativePages/CustomReportCreativeDetail.aspx?App=23&amp;ReportView=4&amp;Qid=1711279&amp;Row=10409&amp;Col=1","No Title Assigned - #15271948273")</f>
        <v/>
      </c>
      <c r="B10417" s="0" t="s">
        <v>14139</v>
      </c>
      <c r="C10417" s="0" t="s">
        <v>14140</v>
      </c>
      <c r="D10417" s="0" t="s">
        <v>14140</v>
      </c>
      <c r="E10417" s="0" t="inlineStr">
        <is>
          <t xml:space="preserve">Mazda</t>
        </is>
      </c>
      <c r="F10417" s="0" t="s">
        <v>13</v>
      </c>
      <c r="G10417" s="0" t="s">
        <v>49</v>
      </c>
      <c r="H10417" s="5">
        <v>339.578000</v>
      </c>
    </row>
    <row r="10418" spans="1:9">
      <c r="A10418" s="22" t="str">
        <f>HYPERLINK("https://app.vivvix.com/360/KMI/IntelliDrive/ApplUI/Pages/CreativePages/CustomReportCreativeDetail.aspx?App=23&amp;ReportView=4&amp;Qid=1711279&amp;Row=10410&amp;Col=1","No Title Assigned - #15271948872")</f>
        <v/>
      </c>
      <c r="B10418" s="0" t="s">
        <v>14141</v>
      </c>
      <c r="C10418" s="0" t="s">
        <v>14142</v>
      </c>
      <c r="D10418" s="0" t="s">
        <v>14142</v>
      </c>
      <c r="E10418" s="0" t="inlineStr">
        <is>
          <t xml:space="preserve">Mazda</t>
        </is>
      </c>
      <c r="F10418" s="0" t="s">
        <v>28</v>
      </c>
      <c r="G10418" s="0" t="s">
        <v>29</v>
      </c>
      <c r="H10418" s="5">
        <v>2.579400</v>
      </c>
    </row>
    <row r="10419" spans="1:9">
      <c r="A10419" s="22" t="str">
        <f>HYPERLINK("https://app.vivvix.com/360/KMI/IntelliDrive/ApplUI/Pages/CreativePages/CustomReportCreativeDetail.aspx?App=23&amp;ReportView=4&amp;Qid=1711279&amp;Row=10411&amp;Col=1","No Title Assigned - #15271949176")</f>
        <v/>
      </c>
      <c r="B10419" s="0" t="s">
        <v>14143</v>
      </c>
      <c r="C10419" s="0" t="s">
        <v>14144</v>
      </c>
      <c r="D10419" s="0" t="s">
        <v>4418</v>
      </c>
      <c r="E10419" s="0" t="inlineStr">
        <is>
          <t xml:space="preserve">Mazda</t>
        </is>
      </c>
      <c r="F10419" s="0" t="s">
        <v>28</v>
      </c>
      <c r="G10419" s="0" t="s">
        <v>29</v>
      </c>
      <c r="H10419" s="5">
        <v>324.954300</v>
      </c>
    </row>
    <row r="10420" spans="1:9">
      <c r="A10420" s="22" t="str">
        <f>HYPERLINK("https://app.vivvix.com/360/KMI/IntelliDrive/ApplUI/Pages/CreativePages/CustomReportCreativeDetail.aspx?App=23&amp;ReportView=4&amp;Qid=1711279&amp;Row=10412&amp;Col=1","No Title Assigned - #15271949309")</f>
        <v/>
      </c>
      <c r="B10420" s="0" t="s">
        <v>14145</v>
      </c>
      <c r="C10420" s="0" t="s">
        <v>14146</v>
      </c>
      <c r="D10420" s="0" t="s">
        <v>14146</v>
      </c>
      <c r="E10420" s="0" t="inlineStr">
        <is>
          <t xml:space="preserve">Mazda</t>
        </is>
      </c>
      <c r="F10420" s="0" t="s">
        <v>28</v>
      </c>
      <c r="G10420" s="0" t="s">
        <v>29</v>
      </c>
      <c r="H10420" s="5">
        <v>11.898900</v>
      </c>
    </row>
    <row r="10421" spans="1:9">
      <c r="A10421" s="22" t="str">
        <f>HYPERLINK("https://app.vivvix.com/360/KMI/IntelliDrive/ApplUI/Pages/CreativePages/CustomReportCreativeDetail.aspx?App=23&amp;ReportView=4&amp;Qid=1711279&amp;Row=10413&amp;Col=1","No Title Assigned - #15271949569")</f>
        <v/>
      </c>
      <c r="B10421" s="0" t="s">
        <v>14147</v>
      </c>
      <c r="C10421" s="0" t="s">
        <v>14148</v>
      </c>
      <c r="D10421" s="0" t="s">
        <v>4200</v>
      </c>
      <c r="E10421" s="0" t="inlineStr">
        <is>
          <t xml:space="preserve">Mazda</t>
        </is>
      </c>
      <c r="F10421" s="0" t="s">
        <v>28</v>
      </c>
      <c r="G10421" s="0" t="s">
        <v>29</v>
      </c>
      <c r="H10421" s="5">
        <v>6.211300</v>
      </c>
    </row>
    <row r="10422" spans="1:9">
      <c r="A10422" s="22" t="str">
        <f>HYPERLINK("https://app.vivvix.com/360/KMI/IntelliDrive/ApplUI/Pages/CreativePages/CustomReportCreativeDetail.aspx?App=23&amp;ReportView=4&amp;Qid=1711279&amp;Row=10414&amp;Col=1","No Title Assigned - #15271949717")</f>
        <v/>
      </c>
      <c r="B10422" s="0" t="s">
        <v>14149</v>
      </c>
      <c r="C10422" s="0" t="s">
        <v>14150</v>
      </c>
      <c r="D10422" s="0" t="s">
        <v>4200</v>
      </c>
      <c r="E10422" s="0" t="inlineStr">
        <is>
          <t xml:space="preserve">Mazda</t>
        </is>
      </c>
      <c r="F10422" s="0" t="s">
        <v>28</v>
      </c>
      <c r="G10422" s="0" t="s">
        <v>29</v>
      </c>
      <c r="H10422" s="5">
        <v>121.387100</v>
      </c>
    </row>
    <row r="10423" spans="1:9">
      <c r="A10423" s="22" t="str">
        <f>HYPERLINK("https://app.vivvix.com/360/KMI/IntelliDrive/ApplUI/Pages/CreativePages/CustomReportCreativeDetail.aspx?App=23&amp;ReportView=4&amp;Qid=1711279&amp;Row=10415&amp;Col=1","No Title Assigned - #15271949795")</f>
        <v/>
      </c>
      <c r="B10423" s="0" t="s">
        <v>14151</v>
      </c>
      <c r="C10423" s="0" t="s">
        <v>14152</v>
      </c>
      <c r="D10423" s="0" t="s">
        <v>14152</v>
      </c>
      <c r="E10423" s="0" t="inlineStr">
        <is>
          <t xml:space="preserve">Mazda</t>
        </is>
      </c>
      <c r="F10423" s="0" t="s">
        <v>28</v>
      </c>
      <c r="G10423" s="0" t="s">
        <v>29</v>
      </c>
      <c r="H10423" s="5">
        <v>1402.173600</v>
      </c>
    </row>
    <row r="10424" spans="1:9">
      <c r="A10424" s="22" t="str">
        <f>HYPERLINK("https://app.vivvix.com/360/KMI/IntelliDrive/ApplUI/Pages/CreativePages/CustomReportCreativeDetail.aspx?App=23&amp;ReportView=4&amp;Qid=1711279&amp;Row=10416&amp;Col=1","No Title Assigned - #15271949798")</f>
        <v/>
      </c>
      <c r="B10424" s="0" t="s">
        <v>14153</v>
      </c>
      <c r="C10424" s="0" t="s">
        <v>14154</v>
      </c>
      <c r="D10424" s="0" t="s">
        <v>11349</v>
      </c>
      <c r="E10424" s="0" t="inlineStr">
        <is>
          <t xml:space="preserve">Mazda</t>
        </is>
      </c>
      <c r="F10424" s="0" t="inlineStr">
        <is>
          <t xml:space="preserve">Mazda</t>
        </is>
      </c>
      <c r="G10424" s="0" t="s">
        <v>210</v>
      </c>
      <c r="H10424" s="5">
        <v>214.130400</v>
      </c>
    </row>
    <row r="10425" spans="1:9">
      <c r="A10425" s="22" t="str">
        <f>HYPERLINK("https://app.vivvix.com/360/KMI/IntelliDrive/ApplUI/Pages/CreativePages/CustomReportCreativeDetail.aspx?App=23&amp;ReportView=4&amp;Qid=1711279&amp;Row=10417&amp;Col=1","No Title Assigned - #15271949963")</f>
        <v/>
      </c>
      <c r="B10425" s="0" t="s">
        <v>14155</v>
      </c>
      <c r="C10425" s="0" t="s">
        <v>14156</v>
      </c>
      <c r="D10425" s="0" t="s">
        <v>4200</v>
      </c>
      <c r="E10425" s="0" t="inlineStr">
        <is>
          <t xml:space="preserve">Mazda</t>
        </is>
      </c>
      <c r="F10425" s="0" t="s">
        <v>28</v>
      </c>
      <c r="G10425" s="0" t="s">
        <v>29</v>
      </c>
      <c r="H10425" s="5">
        <v>1194.224800</v>
      </c>
    </row>
    <row r="10426" spans="1:9">
      <c r="A10426" s="22" t="str">
        <f>HYPERLINK("https://app.vivvix.com/360/KMI/IntelliDrive/ApplUI/Pages/CreativePages/CustomReportCreativeDetail.aspx?App=23&amp;ReportView=4&amp;Qid=1711279&amp;Row=10418&amp;Col=1","No Title Assigned - #15271949963")</f>
        <v/>
      </c>
      <c r="B10426" s="0" t="s">
        <v>14155</v>
      </c>
      <c r="E10426" s="0" t="inlineStr">
        <is>
          <t xml:space="preserve">Mazda</t>
        </is>
      </c>
      <c r="F10426" s="0" t="s">
        <v>28</v>
      </c>
      <c r="G10426" s="0" t="s">
        <v>29</v>
      </c>
      <c r="H10426" s="5">
        <v>79.989600</v>
      </c>
    </row>
    <row r="10427" spans="1:9">
      <c r="A10427" s="22" t="str">
        <f>HYPERLINK("https://app.vivvix.com/360/KMI/IntelliDrive/ApplUI/Pages/CreativePages/CustomReportCreativeDetail.aspx?App=23&amp;ReportView=4&amp;Qid=1711279&amp;Row=10419&amp;Col=1","No Title Assigned - #15271950257")</f>
        <v/>
      </c>
      <c r="B10427" s="0" t="s">
        <v>14157</v>
      </c>
      <c r="E10427" s="0" t="inlineStr">
        <is>
          <t xml:space="preserve">Mazda</t>
        </is>
      </c>
      <c r="F10427" s="0" t="inlineStr">
        <is>
          <t xml:space="preserve">Mazda</t>
        </is>
      </c>
      <c r="G10427" s="0" t="s">
        <v>171</v>
      </c>
      <c r="H10427" s="5">
        <v>2.065400</v>
      </c>
    </row>
    <row r="10428" spans="1:9">
      <c r="A10428" s="22" t="str">
        <f>HYPERLINK("https://app.vivvix.com/360/KMI/IntelliDrive/ApplUI/Pages/CreativePages/CustomReportCreativeDetail.aspx?App=23&amp;ReportView=4&amp;Qid=1711279&amp;Row=10420&amp;Col=1","No Title Assigned - #15271950258")</f>
        <v/>
      </c>
      <c r="B10428" s="0" t="s">
        <v>14158</v>
      </c>
      <c r="E10428" s="0" t="inlineStr">
        <is>
          <t xml:space="preserve">Mazda</t>
        </is>
      </c>
      <c r="F10428" s="0" t="inlineStr">
        <is>
          <t xml:space="preserve">Mazda</t>
        </is>
      </c>
      <c r="G10428" s="0" t="s">
        <v>171</v>
      </c>
      <c r="H10428" s="5">
        <v>3.809600</v>
      </c>
    </row>
    <row r="10429" spans="1:9">
      <c r="A10429" s="22" t="str">
        <f>HYPERLINK("https://app.vivvix.com/360/KMI/IntelliDrive/ApplUI/Pages/CreativePages/CustomReportCreativeDetail.aspx?App=23&amp;ReportView=4&amp;Qid=1711279&amp;Row=10421&amp;Col=1","No Title Assigned - #15271950275")</f>
        <v/>
      </c>
      <c r="B10429" s="0" t="s">
        <v>14159</v>
      </c>
      <c r="C10429" s="0" t="s">
        <v>14160</v>
      </c>
      <c r="D10429" s="0" t="s">
        <v>14160</v>
      </c>
      <c r="E10429" s="0" t="inlineStr">
        <is>
          <t xml:space="preserve">Mazda</t>
        </is>
      </c>
      <c r="F10429" s="0" t="s">
        <v>13</v>
      </c>
      <c r="G10429" s="0" t="s">
        <v>49</v>
      </c>
      <c r="H10429" s="5">
        <v>24.178400</v>
      </c>
    </row>
    <row r="10430" spans="1:9">
      <c r="A10430" s="22" t="str">
        <f>HYPERLINK("https://app.vivvix.com/360/KMI/IntelliDrive/ApplUI/Pages/CreativePages/CustomReportCreativeDetail.aspx?App=23&amp;ReportView=4&amp;Qid=1711279&amp;Row=10422&amp;Col=1","No Title Assigned - #15271950370")</f>
        <v/>
      </c>
      <c r="B10430" s="0" t="s">
        <v>14161</v>
      </c>
      <c r="E10430" s="0" t="inlineStr">
        <is>
          <t xml:space="preserve">Mazda</t>
        </is>
      </c>
      <c r="F10430" s="0" t="s">
        <v>13</v>
      </c>
      <c r="G10430" s="0" t="s">
        <v>49</v>
      </c>
      <c r="H10430" s="5">
        <v>8.322500</v>
      </c>
    </row>
    <row r="10431" spans="1:9">
      <c r="A10431" s="22" t="str">
        <f>HYPERLINK("https://app.vivvix.com/360/KMI/IntelliDrive/ApplUI/Pages/CreativePages/CustomReportCreativeDetail.aspx?App=23&amp;ReportView=4&amp;Qid=1711279&amp;Row=10423&amp;Col=1","No Title Assigned - #15271950370")</f>
        <v/>
      </c>
      <c r="B10431" s="0" t="s">
        <v>14161</v>
      </c>
      <c r="C10431" s="0" t="s">
        <v>14162</v>
      </c>
      <c r="D10431" s="0" t="s">
        <v>14162</v>
      </c>
      <c r="E10431" s="0" t="inlineStr">
        <is>
          <t xml:space="preserve">Mazda</t>
        </is>
      </c>
      <c r="F10431" s="0" t="s">
        <v>13</v>
      </c>
      <c r="G10431" s="0" t="s">
        <v>49</v>
      </c>
      <c r="H10431" s="5">
        <v>574.686600</v>
      </c>
    </row>
    <row r="10432" spans="1:9">
      <c r="A10432" s="22" t="str">
        <f>HYPERLINK("https://app.vivvix.com/360/KMI/IntelliDrive/ApplUI/Pages/CreativePages/CustomReportCreativeDetail.aspx?App=23&amp;ReportView=4&amp;Qid=1711279&amp;Row=10424&amp;Col=1","No Title Assigned - #15271950372")</f>
        <v/>
      </c>
      <c r="B10432" s="0" t="s">
        <v>14163</v>
      </c>
      <c r="C10432" s="0" t="s">
        <v>14164</v>
      </c>
      <c r="D10432" s="0" t="s">
        <v>14164</v>
      </c>
      <c r="E10432" s="0" t="inlineStr">
        <is>
          <t xml:space="preserve">Mazda</t>
        </is>
      </c>
      <c r="F10432" s="0" t="s">
        <v>28</v>
      </c>
      <c r="G10432" s="0" t="s">
        <v>29</v>
      </c>
      <c r="H10432" s="5">
        <v>100.445800</v>
      </c>
    </row>
    <row r="10433" spans="1:9">
      <c r="A10433" s="22" t="str">
        <f>HYPERLINK("https://app.vivvix.com/360/KMI/IntelliDrive/ApplUI/Pages/CreativePages/CustomReportCreativeDetail.aspx?App=23&amp;ReportView=4&amp;Qid=1711279&amp;Row=10425&amp;Col=1","No Title Assigned - #15271950432")</f>
        <v/>
      </c>
      <c r="B10433" s="0" t="s">
        <v>14165</v>
      </c>
      <c r="C10433" s="0" t="s">
        <v>14166</v>
      </c>
      <c r="D10433" s="0" t="s">
        <v>6170</v>
      </c>
      <c r="E10433" s="0" t="inlineStr">
        <is>
          <t xml:space="preserve">Mazda</t>
        </is>
      </c>
      <c r="F10433" s="0" t="s">
        <v>28</v>
      </c>
      <c r="G10433" s="0" t="s">
        <v>29</v>
      </c>
      <c r="H10433" s="5">
        <v>30.766600</v>
      </c>
    </row>
    <row r="10434" spans="1:9">
      <c r="A10434" s="22" t="str">
        <f>HYPERLINK("https://app.vivvix.com/360/KMI/IntelliDrive/ApplUI/Pages/CreativePages/CustomReportCreativeDetail.aspx?App=23&amp;ReportView=4&amp;Qid=1711279&amp;Row=10426&amp;Col=1","No Title Assigned - #15271950924")</f>
        <v/>
      </c>
      <c r="B10434" s="0" t="s">
        <v>14167</v>
      </c>
      <c r="C10434" s="0" t="s">
        <v>14168</v>
      </c>
      <c r="D10434" s="0" t="s">
        <v>14168</v>
      </c>
      <c r="E10434" s="0" t="inlineStr">
        <is>
          <t xml:space="preserve">Mazda</t>
        </is>
      </c>
      <c r="F10434" s="0" t="s">
        <v>28</v>
      </c>
      <c r="G10434" s="0" t="s">
        <v>29</v>
      </c>
      <c r="H10434" s="5">
        <v>4047.303100</v>
      </c>
    </row>
    <row r="10435" spans="1:9">
      <c r="A10435" s="22" t="str">
        <f>HYPERLINK("https://app.vivvix.com/360/KMI/IntelliDrive/ApplUI/Pages/CreativePages/CustomReportCreativeDetail.aspx?App=23&amp;ReportView=4&amp;Qid=1711279&amp;Row=10427&amp;Col=1","No Title Assigned - #15271951023")</f>
        <v/>
      </c>
      <c r="B10435" s="0" t="s">
        <v>14169</v>
      </c>
      <c r="C10435" s="0" t="s">
        <v>14170</v>
      </c>
      <c r="D10435" s="0" t="s">
        <v>6656</v>
      </c>
      <c r="E10435" s="0" t="inlineStr">
        <is>
          <t xml:space="preserve">Mazda</t>
        </is>
      </c>
      <c r="F10435" s="0" t="s">
        <v>28</v>
      </c>
      <c r="G10435" s="0" t="s">
        <v>29</v>
      </c>
      <c r="H10435" s="5">
        <v>372.692200</v>
      </c>
    </row>
    <row r="10436" spans="1:9">
      <c r="A10436" s="22" t="str">
        <f>HYPERLINK("https://app.vivvix.com/360/KMI/IntelliDrive/ApplUI/Pages/CreativePages/CustomReportCreativeDetail.aspx?App=23&amp;ReportView=4&amp;Qid=1711279&amp;Row=10428&amp;Col=1","No Title Assigned - #15271951148")</f>
        <v/>
      </c>
      <c r="B10436" s="0" t="s">
        <v>14171</v>
      </c>
      <c r="C10436" s="0" t="s">
        <v>14172</v>
      </c>
      <c r="D10436" s="0" t="s">
        <v>6656</v>
      </c>
      <c r="E10436" s="0" t="inlineStr">
        <is>
          <t xml:space="preserve">Mazda</t>
        </is>
      </c>
      <c r="F10436" s="0" t="s">
        <v>28</v>
      </c>
      <c r="G10436" s="0" t="s">
        <v>29</v>
      </c>
      <c r="H10436" s="5">
        <v>9.860200</v>
      </c>
    </row>
    <row r="10437" spans="1:9">
      <c r="A10437" s="22" t="str">
        <f>HYPERLINK("https://app.vivvix.com/360/KMI/IntelliDrive/ApplUI/Pages/CreativePages/CustomReportCreativeDetail.aspx?App=23&amp;ReportView=4&amp;Qid=1711279&amp;Row=10429&amp;Col=1","No Title Assigned - #15271951257")</f>
        <v/>
      </c>
      <c r="B10437" s="0" t="s">
        <v>14173</v>
      </c>
      <c r="C10437" s="0" t="s">
        <v>14174</v>
      </c>
      <c r="D10437" s="0" t="s">
        <v>14174</v>
      </c>
      <c r="E10437" s="0" t="inlineStr">
        <is>
          <t xml:space="preserve">Mazda</t>
        </is>
      </c>
      <c r="F10437" s="0" t="s">
        <v>13</v>
      </c>
      <c r="G10437" s="0" t="s">
        <v>49</v>
      </c>
      <c r="H10437" s="5">
        <v>194.937400</v>
      </c>
    </row>
    <row r="10438" spans="1:9">
      <c r="A10438" s="22" t="str">
        <f>HYPERLINK("https://app.vivvix.com/360/KMI/IntelliDrive/ApplUI/Pages/CreativePages/CustomReportCreativeDetail.aspx?App=23&amp;ReportView=4&amp;Qid=1711279&amp;Row=10430&amp;Col=1","No Title Assigned - #15271951626")</f>
        <v/>
      </c>
      <c r="B10438" s="0" t="s">
        <v>14175</v>
      </c>
      <c r="C10438" s="0" t="s">
        <v>14176</v>
      </c>
      <c r="D10438" s="0" t="s">
        <v>4202</v>
      </c>
      <c r="E10438" s="0" t="inlineStr">
        <is>
          <t xml:space="preserve">Mazda</t>
        </is>
      </c>
      <c r="F10438" s="0" t="s">
        <v>28</v>
      </c>
      <c r="G10438" s="0" t="s">
        <v>29</v>
      </c>
      <c r="H10438" s="5">
        <v>25.779000</v>
      </c>
    </row>
    <row r="10439" spans="1:9">
      <c r="A10439" s="22" t="str">
        <f>HYPERLINK("https://app.vivvix.com/360/KMI/IntelliDrive/ApplUI/Pages/CreativePages/CustomReportCreativeDetail.aspx?App=23&amp;ReportView=4&amp;Qid=1711279&amp;Row=10431&amp;Col=1","No Title Assigned - #15271952307")</f>
        <v/>
      </c>
      <c r="B10439" s="0" t="s">
        <v>14177</v>
      </c>
      <c r="E10439" s="0" t="inlineStr">
        <is>
          <t xml:space="preserve">Mazda</t>
        </is>
      </c>
      <c r="F10439" s="0" t="inlineStr">
        <is>
          <t xml:space="preserve">Mazda</t>
        </is>
      </c>
      <c r="G10439" s="0" t="s">
        <v>171</v>
      </c>
      <c r="H10439" s="5">
        <v>4.468400</v>
      </c>
    </row>
    <row r="10440" spans="1:9">
      <c r="A10440" s="22" t="str">
        <f>HYPERLINK("https://app.vivvix.com/360/KMI/IntelliDrive/ApplUI/Pages/CreativePages/CustomReportCreativeDetail.aspx?App=23&amp;ReportView=4&amp;Qid=1711279&amp;Row=10432&amp;Col=1","No Title Assigned - #15271952330")</f>
        <v/>
      </c>
      <c r="B10440" s="0" t="s">
        <v>14178</v>
      </c>
      <c r="C10440" s="0" t="s">
        <v>14179</v>
      </c>
      <c r="D10440" s="0" t="s">
        <v>14179</v>
      </c>
      <c r="E10440" s="0" t="inlineStr">
        <is>
          <t xml:space="preserve">Mazda</t>
        </is>
      </c>
      <c r="F10440" s="0" t="s">
        <v>13</v>
      </c>
      <c r="G10440" s="0" t="s">
        <v>49</v>
      </c>
      <c r="H10440" s="5">
        <v>82.012800</v>
      </c>
    </row>
    <row r="10441" spans="1:9">
      <c r="A10441" s="22" t="str">
        <f>HYPERLINK("https://app.vivvix.com/360/KMI/IntelliDrive/ApplUI/Pages/CreativePages/CustomReportCreativeDetail.aspx?App=23&amp;ReportView=4&amp;Qid=1711279&amp;Row=10433&amp;Col=1","No Title Assigned - #15271952579")</f>
        <v/>
      </c>
      <c r="B10441" s="0" t="s">
        <v>14180</v>
      </c>
      <c r="C10441" s="0" t="s">
        <v>14181</v>
      </c>
      <c r="D10441" s="0" t="s">
        <v>14181</v>
      </c>
      <c r="E10441" s="0" t="inlineStr">
        <is>
          <t xml:space="preserve">Mazda</t>
        </is>
      </c>
      <c r="F10441" s="0" t="s">
        <v>13</v>
      </c>
      <c r="G10441" s="0" t="s">
        <v>49</v>
      </c>
      <c r="H10441" s="5">
        <v>1045.342400</v>
      </c>
    </row>
    <row r="10442" spans="1:9">
      <c r="A10442" s="22" t="str">
        <f>HYPERLINK("https://app.vivvix.com/360/KMI/IntelliDrive/ApplUI/Pages/CreativePages/CustomReportCreativeDetail.aspx?App=23&amp;ReportView=4&amp;Qid=1711279&amp;Row=10434&amp;Col=1","No Title Assigned - #15271952625")</f>
        <v/>
      </c>
      <c r="B10442" s="0" t="s">
        <v>14182</v>
      </c>
      <c r="C10442" s="0" t="s">
        <v>14183</v>
      </c>
      <c r="D10442" s="0" t="s">
        <v>4781</v>
      </c>
      <c r="E10442" s="0" t="inlineStr">
        <is>
          <t xml:space="preserve">Mazda</t>
        </is>
      </c>
      <c r="F10442" s="0" t="s">
        <v>28</v>
      </c>
      <c r="G10442" s="0" t="s">
        <v>29</v>
      </c>
      <c r="H10442" s="5">
        <v>2.579400</v>
      </c>
    </row>
    <row r="10443" spans="1:9">
      <c r="A10443" s="22" t="str">
        <f>HYPERLINK("https://app.vivvix.com/360/KMI/IntelliDrive/ApplUI/Pages/CreativePages/CustomReportCreativeDetail.aspx?App=23&amp;ReportView=4&amp;Qid=1711279&amp;Row=10435&amp;Col=1","No Title Assigned - #15271952656")</f>
        <v/>
      </c>
      <c r="B10443" s="0" t="s">
        <v>14184</v>
      </c>
      <c r="C10443" s="0" t="s">
        <v>14185</v>
      </c>
      <c r="D10443" s="0" t="s">
        <v>14185</v>
      </c>
      <c r="E10443" s="0" t="inlineStr">
        <is>
          <t xml:space="preserve">Mazda</t>
        </is>
      </c>
      <c r="F10443" s="0" t="s">
        <v>28</v>
      </c>
      <c r="G10443" s="0" t="s">
        <v>29</v>
      </c>
      <c r="H10443" s="5">
        <v>29.470900</v>
      </c>
    </row>
    <row r="10444" spans="1:9">
      <c r="A10444" s="22" t="str">
        <f>HYPERLINK("https://app.vivvix.com/360/KMI/IntelliDrive/ApplUI/Pages/CreativePages/CustomReportCreativeDetail.aspx?App=23&amp;ReportView=4&amp;Qid=1711279&amp;Row=10436&amp;Col=1","No Title Assigned - #15271952673")</f>
        <v/>
      </c>
      <c r="B10444" s="0" t="s">
        <v>14186</v>
      </c>
      <c r="C10444" s="0" t="s">
        <v>14187</v>
      </c>
      <c r="D10444" s="0" t="s">
        <v>14187</v>
      </c>
      <c r="E10444" s="0" t="inlineStr">
        <is>
          <t xml:space="preserve">Mazda</t>
        </is>
      </c>
      <c r="F10444" s="0" t="s">
        <v>13</v>
      </c>
      <c r="G10444" s="0" t="s">
        <v>49</v>
      </c>
      <c r="H10444" s="5">
        <v>219.631200</v>
      </c>
    </row>
    <row r="10445" spans="1:9">
      <c r="A10445" s="22" t="str">
        <f>HYPERLINK("https://app.vivvix.com/360/KMI/IntelliDrive/ApplUI/Pages/CreativePages/CustomReportCreativeDetail.aspx?App=23&amp;ReportView=4&amp;Qid=1711279&amp;Row=10437&amp;Col=1","No Title Assigned - #15271952745")</f>
        <v/>
      </c>
      <c r="B10445" s="0" t="s">
        <v>14188</v>
      </c>
      <c r="C10445" s="0" t="s">
        <v>14189</v>
      </c>
      <c r="D10445" s="0" t="s">
        <v>14189</v>
      </c>
      <c r="E10445" s="0" t="inlineStr">
        <is>
          <t xml:space="preserve">Mazda</t>
        </is>
      </c>
      <c r="F10445" s="0" t="s">
        <v>28</v>
      </c>
      <c r="G10445" s="0" t="s">
        <v>29</v>
      </c>
      <c r="H10445" s="5">
        <v>8.496400</v>
      </c>
    </row>
    <row r="10446" spans="1:9">
      <c r="A10446" s="22" t="str">
        <f>HYPERLINK("https://app.vivvix.com/360/KMI/IntelliDrive/ApplUI/Pages/CreativePages/CustomReportCreativeDetail.aspx?App=23&amp;ReportView=4&amp;Qid=1711279&amp;Row=10438&amp;Col=1","No Title Assigned - #15271953026")</f>
        <v/>
      </c>
      <c r="B10446" s="0" t="s">
        <v>14190</v>
      </c>
      <c r="C10446" s="0" t="s">
        <v>14191</v>
      </c>
      <c r="D10446" s="0" t="s">
        <v>4200</v>
      </c>
      <c r="E10446" s="0" t="inlineStr">
        <is>
          <t xml:space="preserve">Mazda</t>
        </is>
      </c>
      <c r="F10446" s="0" t="s">
        <v>28</v>
      </c>
      <c r="G10446" s="0" t="s">
        <v>29</v>
      </c>
      <c r="H10446" s="5">
        <v>1.836000</v>
      </c>
    </row>
    <row r="10447" spans="1:9">
      <c r="A10447" s="22" t="str">
        <f>HYPERLINK("https://app.vivvix.com/360/KMI/IntelliDrive/ApplUI/Pages/CreativePages/CustomReportCreativeDetail.aspx?App=23&amp;ReportView=4&amp;Qid=1711279&amp;Row=10439&amp;Col=1","No Title Assigned - #15271953287")</f>
        <v/>
      </c>
      <c r="B10447" s="0" t="s">
        <v>14192</v>
      </c>
      <c r="C10447" s="0" t="s">
        <v>14193</v>
      </c>
      <c r="D10447" s="0" t="s">
        <v>14193</v>
      </c>
      <c r="E10447" s="0" t="inlineStr">
        <is>
          <t xml:space="preserve">Mazda</t>
        </is>
      </c>
      <c r="F10447" s="0" t="s">
        <v>13</v>
      </c>
      <c r="G10447" s="0" t="s">
        <v>49</v>
      </c>
      <c r="H10447" s="5">
        <v>789.207400</v>
      </c>
    </row>
    <row r="10448" spans="1:9">
      <c r="A10448" s="22" t="str">
        <f>HYPERLINK("https://app.vivvix.com/360/KMI/IntelliDrive/ApplUI/Pages/CreativePages/CustomReportCreativeDetail.aspx?App=23&amp;ReportView=4&amp;Qid=1711279&amp;Row=10440&amp;Col=1","No Title Assigned - #15271953291")</f>
        <v/>
      </c>
      <c r="B10448" s="0" t="s">
        <v>14194</v>
      </c>
      <c r="C10448" s="0" t="s">
        <v>14195</v>
      </c>
      <c r="D10448" s="0" t="s">
        <v>4452</v>
      </c>
      <c r="E10448" s="0" t="inlineStr">
        <is>
          <t xml:space="preserve">Mazda</t>
        </is>
      </c>
      <c r="F10448" s="0" t="s">
        <v>369</v>
      </c>
      <c r="G10448" s="0" t="s">
        <v>370</v>
      </c>
      <c r="H10448" s="5">
        <v>8.964600</v>
      </c>
    </row>
    <row r="10449" spans="1:9">
      <c r="A10449" s="22" t="str">
        <f>HYPERLINK("https://app.vivvix.com/360/KMI/IntelliDrive/ApplUI/Pages/CreativePages/CustomReportCreativeDetail.aspx?App=23&amp;ReportView=4&amp;Qid=1711279&amp;Row=10441&amp;Col=1","No Title Assigned - #15271953830")</f>
        <v/>
      </c>
      <c r="B10449" s="0" t="s">
        <v>14196</v>
      </c>
      <c r="C10449" s="0" t="s">
        <v>14197</v>
      </c>
      <c r="D10449" s="0" t="s">
        <v>14197</v>
      </c>
      <c r="E10449" s="0" t="inlineStr">
        <is>
          <t xml:space="preserve">Mazda</t>
        </is>
      </c>
      <c r="F10449" s="0" t="s">
        <v>13</v>
      </c>
      <c r="G10449" s="0" t="s">
        <v>49</v>
      </c>
      <c r="H10449" s="5">
        <v>100.405700</v>
      </c>
    </row>
    <row r="10450" spans="1:9">
      <c r="A10450" s="22" t="str">
        <f>HYPERLINK("https://app.vivvix.com/360/KMI/IntelliDrive/ApplUI/Pages/CreativePages/CustomReportCreativeDetail.aspx?App=23&amp;ReportView=4&amp;Qid=1711279&amp;Row=10442&amp;Col=1","No Title Assigned - #15271955062")</f>
        <v/>
      </c>
      <c r="B10450" s="0" t="s">
        <v>14198</v>
      </c>
      <c r="C10450" s="0" t="s">
        <v>14199</v>
      </c>
      <c r="D10450" s="0" t="s">
        <v>14199</v>
      </c>
      <c r="E10450" s="0" t="inlineStr">
        <is>
          <t xml:space="preserve">Mazda</t>
        </is>
      </c>
      <c r="F10450" s="0" t="s">
        <v>28</v>
      </c>
      <c r="G10450" s="0" t="s">
        <v>29</v>
      </c>
      <c r="H10450" s="5">
        <v>1058.190800</v>
      </c>
    </row>
    <row r="10451" spans="1:9">
      <c r="A10451" s="22" t="str">
        <f>HYPERLINK("https://app.vivvix.com/360/KMI/IntelliDrive/ApplUI/Pages/CreativePages/CustomReportCreativeDetail.aspx?App=23&amp;ReportView=4&amp;Qid=1711279&amp;Row=10443&amp;Col=1","No Title Assigned - #15271955063")</f>
        <v/>
      </c>
      <c r="B10451" s="0" t="s">
        <v>14200</v>
      </c>
      <c r="C10451" s="0" t="s">
        <v>14201</v>
      </c>
      <c r="D10451" s="0" t="s">
        <v>14201</v>
      </c>
      <c r="E10451" s="0" t="inlineStr">
        <is>
          <t xml:space="preserve">Mazda</t>
        </is>
      </c>
      <c r="F10451" s="0" t="s">
        <v>13</v>
      </c>
      <c r="G10451" s="0" t="s">
        <v>49</v>
      </c>
      <c r="H10451" s="5">
        <v>11042.813500</v>
      </c>
    </row>
    <row r="10452" spans="1:9">
      <c r="A10452" s="22" t="str">
        <f>HYPERLINK("https://app.vivvix.com/360/KMI/IntelliDrive/ApplUI/Pages/CreativePages/CustomReportCreativeDetail.aspx?App=23&amp;ReportView=4&amp;Qid=1711279&amp;Row=10444&amp;Col=1","No Title Assigned - #15271955602")</f>
        <v/>
      </c>
      <c r="B10452" s="0" t="s">
        <v>14202</v>
      </c>
      <c r="C10452" s="0" t="s">
        <v>14203</v>
      </c>
      <c r="D10452" s="0" t="s">
        <v>14203</v>
      </c>
      <c r="E10452" s="0" t="inlineStr">
        <is>
          <t xml:space="preserve">Mazda</t>
        </is>
      </c>
      <c r="F10452" s="0" t="s">
        <v>13</v>
      </c>
      <c r="G10452" s="0" t="s">
        <v>49</v>
      </c>
      <c r="H10452" s="5">
        <v>280.385900</v>
      </c>
    </row>
    <row r="10453" spans="1:9">
      <c r="A10453" s="22" t="str">
        <f>HYPERLINK("https://app.vivvix.com/360/KMI/IntelliDrive/ApplUI/Pages/CreativePages/CustomReportCreativeDetail.aspx?App=23&amp;ReportView=4&amp;Qid=1711279&amp;Row=10445&amp;Col=1","No Title Assigned - #15271955782")</f>
        <v/>
      </c>
      <c r="B10453" s="0" t="s">
        <v>14204</v>
      </c>
      <c r="C10453" s="0" t="s">
        <v>14205</v>
      </c>
      <c r="D10453" s="0" t="s">
        <v>14205</v>
      </c>
      <c r="E10453" s="0" t="inlineStr">
        <is>
          <t xml:space="preserve">Mazda</t>
        </is>
      </c>
      <c r="F10453" s="0" t="s">
        <v>13</v>
      </c>
      <c r="G10453" s="0" t="s">
        <v>49</v>
      </c>
      <c r="H10453" s="5">
        <v>22016.771800</v>
      </c>
    </row>
    <row r="10454" spans="1:9">
      <c r="A10454" s="22" t="str">
        <f>HYPERLINK("https://app.vivvix.com/360/KMI/IntelliDrive/ApplUI/Pages/CreativePages/CustomReportCreativeDetail.aspx?App=23&amp;ReportView=4&amp;Qid=1711279&amp;Row=10446&amp;Col=1","No Title Assigned - #15271956020")</f>
        <v/>
      </c>
      <c r="B10454" s="0" t="s">
        <v>14206</v>
      </c>
      <c r="C10454" s="0" t="s">
        <v>14207</v>
      </c>
      <c r="D10454" s="0" t="s">
        <v>14207</v>
      </c>
      <c r="E10454" s="0" t="inlineStr">
        <is>
          <t xml:space="preserve">Mazda</t>
        </is>
      </c>
      <c r="F10454" s="0" t="s">
        <v>13</v>
      </c>
      <c r="G10454" s="0" t="s">
        <v>49</v>
      </c>
      <c r="H10454" s="5">
        <v>19.125200</v>
      </c>
    </row>
    <row r="10455" spans="1:9">
      <c r="A10455" s="22" t="str">
        <f>HYPERLINK("https://app.vivvix.com/360/KMI/IntelliDrive/ApplUI/Pages/CreativePages/CustomReportCreativeDetail.aspx?App=23&amp;ReportView=4&amp;Qid=1711279&amp;Row=10447&amp;Col=1","No Title Assigned - #15271956206")</f>
        <v/>
      </c>
      <c r="B10455" s="0" t="s">
        <v>14208</v>
      </c>
      <c r="C10455" s="0" t="s">
        <v>14209</v>
      </c>
      <c r="D10455" s="0" t="s">
        <v>14209</v>
      </c>
      <c r="E10455" s="0" t="inlineStr">
        <is>
          <t xml:space="preserve">Mazda</t>
        </is>
      </c>
      <c r="F10455" s="0" t="s">
        <v>28</v>
      </c>
      <c r="G10455" s="0" t="s">
        <v>29</v>
      </c>
      <c r="H10455" s="5">
        <v>442.158700</v>
      </c>
    </row>
    <row r="10456" spans="1:9">
      <c r="A10456" s="22" t="str">
        <f>HYPERLINK("https://app.vivvix.com/360/KMI/IntelliDrive/ApplUI/Pages/CreativePages/CustomReportCreativeDetail.aspx?App=23&amp;ReportView=4&amp;Qid=1711279&amp;Row=10448&amp;Col=1","No Title Assigned - #15271956721")</f>
        <v/>
      </c>
      <c r="B10456" s="0" t="s">
        <v>14210</v>
      </c>
      <c r="C10456" s="0" t="s">
        <v>14211</v>
      </c>
      <c r="D10456" s="0" t="s">
        <v>4202</v>
      </c>
      <c r="E10456" s="0" t="inlineStr">
        <is>
          <t xml:space="preserve">Mazda</t>
        </is>
      </c>
      <c r="F10456" s="0" t="s">
        <v>28</v>
      </c>
      <c r="G10456" s="0" t="s">
        <v>29</v>
      </c>
      <c r="H10456" s="5">
        <v>3.672000</v>
      </c>
    </row>
    <row r="10457" spans="1:9">
      <c r="A10457" s="22" t="str">
        <f>HYPERLINK("https://app.vivvix.com/360/KMI/IntelliDrive/ApplUI/Pages/CreativePages/CustomReportCreativeDetail.aspx?App=23&amp;ReportView=4&amp;Qid=1711279&amp;Row=10449&amp;Col=1","No Title Assigned - #15271956730")</f>
        <v/>
      </c>
      <c r="B10457" s="0" t="s">
        <v>14212</v>
      </c>
      <c r="C10457" s="0" t="s">
        <v>14213</v>
      </c>
      <c r="D10457" s="0" t="s">
        <v>14213</v>
      </c>
      <c r="E10457" s="0" t="inlineStr">
        <is>
          <t xml:space="preserve">Mazda</t>
        </is>
      </c>
      <c r="F10457" s="0" t="s">
        <v>13</v>
      </c>
      <c r="G10457" s="0" t="s">
        <v>49</v>
      </c>
      <c r="H10457" s="5">
        <v>624.340300</v>
      </c>
    </row>
    <row r="10458" spans="1:9">
      <c r="A10458" s="22" t="str">
        <f>HYPERLINK("https://app.vivvix.com/360/KMI/IntelliDrive/ApplUI/Pages/CreativePages/CustomReportCreativeDetail.aspx?App=23&amp;ReportView=4&amp;Qid=1711279&amp;Row=10450&amp;Col=1","No Title Assigned - #15271956745")</f>
        <v/>
      </c>
      <c r="B10458" s="0" t="s">
        <v>14214</v>
      </c>
      <c r="C10458" s="0" t="s">
        <v>14215</v>
      </c>
      <c r="D10458" s="0" t="s">
        <v>14215</v>
      </c>
      <c r="E10458" s="0" t="inlineStr">
        <is>
          <t xml:space="preserve">Mazda</t>
        </is>
      </c>
      <c r="F10458" s="0" t="s">
        <v>13</v>
      </c>
      <c r="G10458" s="0" t="s">
        <v>49</v>
      </c>
      <c r="H10458" s="5">
        <v>1572.544700</v>
      </c>
    </row>
    <row r="10459" spans="1:9">
      <c r="A10459" s="22" t="str">
        <f>HYPERLINK("https://app.vivvix.com/360/KMI/IntelliDrive/ApplUI/Pages/CreativePages/CustomReportCreativeDetail.aspx?App=23&amp;ReportView=4&amp;Qid=1711279&amp;Row=10451&amp;Col=1","No Title Assigned - #15271957571")</f>
        <v/>
      </c>
      <c r="B10459" s="0" t="s">
        <v>14216</v>
      </c>
      <c r="C10459" s="0" t="s">
        <v>14217</v>
      </c>
      <c r="D10459" s="0" t="s">
        <v>13898</v>
      </c>
      <c r="E10459" s="0" t="inlineStr">
        <is>
          <t xml:space="preserve">Mazda</t>
        </is>
      </c>
      <c r="F10459" s="0" t="s">
        <v>28</v>
      </c>
      <c r="G10459" s="0" t="s">
        <v>29</v>
      </c>
      <c r="H10459" s="5">
        <v>1.305600</v>
      </c>
    </row>
    <row r="10460" spans="1:9">
      <c r="A10460" s="22" t="str">
        <f>HYPERLINK("https://app.vivvix.com/360/KMI/IntelliDrive/ApplUI/Pages/CreativePages/CustomReportCreativeDetail.aspx?App=23&amp;ReportView=4&amp;Qid=1711279&amp;Row=10452&amp;Col=1","No Title Assigned - #15271957650")</f>
        <v/>
      </c>
      <c r="B10460" s="0" t="s">
        <v>14218</v>
      </c>
      <c r="C10460" s="0" t="s">
        <v>14219</v>
      </c>
      <c r="D10460" s="0" t="s">
        <v>4202</v>
      </c>
      <c r="E10460" s="0" t="inlineStr">
        <is>
          <t xml:space="preserve">Mazda</t>
        </is>
      </c>
      <c r="F10460" s="0" t="s">
        <v>28</v>
      </c>
      <c r="G10460" s="0" t="s">
        <v>29</v>
      </c>
      <c r="H10460" s="5">
        <v>28.546500</v>
      </c>
    </row>
    <row r="10461" spans="1:9">
      <c r="A10461" s="22" t="str">
        <f>HYPERLINK("https://app.vivvix.com/360/KMI/IntelliDrive/ApplUI/Pages/CreativePages/CustomReportCreativeDetail.aspx?App=23&amp;ReportView=4&amp;Qid=1711279&amp;Row=10453&amp;Col=1","No Title Assigned - #15271959375")</f>
        <v/>
      </c>
      <c r="B10461" s="0" t="s">
        <v>14220</v>
      </c>
      <c r="C10461" s="0" t="s">
        <v>14221</v>
      </c>
      <c r="D10461" s="0" t="s">
        <v>14221</v>
      </c>
      <c r="E10461" s="0" t="inlineStr">
        <is>
          <t xml:space="preserve">Mazda</t>
        </is>
      </c>
      <c r="F10461" s="0" t="s">
        <v>666</v>
      </c>
      <c r="G10461" s="0" t="s">
        <v>667</v>
      </c>
      <c r="H10461" s="5">
        <v>67.288500</v>
      </c>
    </row>
    <row r="10462" spans="1:9">
      <c r="A10462" s="22" t="str">
        <f>HYPERLINK("https://app.vivvix.com/360/KMI/IntelliDrive/ApplUI/Pages/CreativePages/CustomReportCreativeDetail.aspx?App=23&amp;ReportView=4&amp;Qid=1711279&amp;Row=10454&amp;Col=1","No Title Assigned - #15271959376")</f>
        <v/>
      </c>
      <c r="B10462" s="0" t="s">
        <v>14222</v>
      </c>
      <c r="C10462" s="0" t="s">
        <v>14223</v>
      </c>
      <c r="D10462" s="0" t="s">
        <v>14223</v>
      </c>
      <c r="E10462" s="0" t="inlineStr">
        <is>
          <t xml:space="preserve">Mazda</t>
        </is>
      </c>
      <c r="F10462" s="0" t="s">
        <v>666</v>
      </c>
      <c r="G10462" s="0" t="s">
        <v>667</v>
      </c>
      <c r="H10462" s="5">
        <v>44.859000</v>
      </c>
    </row>
    <row r="10463" spans="1:9">
      <c r="A10463" s="22" t="str">
        <f>HYPERLINK("https://app.vivvix.com/360/KMI/IntelliDrive/ApplUI/Pages/CreativePages/CustomReportCreativeDetail.aspx?App=23&amp;ReportView=4&amp;Qid=1711279&amp;Row=10455&amp;Col=1","No Title Assigned - #15271959397")</f>
        <v/>
      </c>
      <c r="B10463" s="0" t="s">
        <v>14224</v>
      </c>
      <c r="C10463" s="0" t="s">
        <v>14225</v>
      </c>
      <c r="D10463" s="0" t="s">
        <v>14225</v>
      </c>
      <c r="E10463" s="0" t="inlineStr">
        <is>
          <t xml:space="preserve">Mazda</t>
        </is>
      </c>
      <c r="F10463" s="0" t="s">
        <v>666</v>
      </c>
      <c r="G10463" s="0" t="s">
        <v>667</v>
      </c>
      <c r="H10463" s="5">
        <v>22.429500</v>
      </c>
    </row>
    <row r="10464" spans="1:9">
      <c r="A10464" s="22" t="str">
        <f>HYPERLINK("https://app.vivvix.com/360/KMI/IntelliDrive/ApplUI/Pages/CreativePages/CustomReportCreativeDetail.aspx?App=23&amp;ReportView=4&amp;Qid=1711279&amp;Row=10456&amp;Col=1","No Title Assigned - #15271959405")</f>
        <v/>
      </c>
      <c r="B10464" s="0" t="s">
        <v>14226</v>
      </c>
      <c r="C10464" s="0" t="s">
        <v>14227</v>
      </c>
      <c r="D10464" s="0" t="s">
        <v>14227</v>
      </c>
      <c r="E10464" s="0" t="inlineStr">
        <is>
          <t xml:space="preserve">Mazda</t>
        </is>
      </c>
      <c r="F10464" s="0" t="s">
        <v>666</v>
      </c>
      <c r="G10464" s="0" t="s">
        <v>667</v>
      </c>
      <c r="H10464" s="5">
        <v>67.288500</v>
      </c>
    </row>
    <row r="10465" spans="1:9">
      <c r="A10465" s="22" t="str">
        <f>HYPERLINK("https://app.vivvix.com/360/KMI/IntelliDrive/ApplUI/Pages/CreativePages/CustomReportCreativeDetail.aspx?App=23&amp;ReportView=4&amp;Qid=1711279&amp;Row=10457&amp;Col=1","No Title Assigned - #15271959614")</f>
        <v/>
      </c>
      <c r="B10465" s="0" t="s">
        <v>14228</v>
      </c>
      <c r="C10465" s="0" t="s">
        <v>14229</v>
      </c>
      <c r="D10465" s="0" t="s">
        <v>11799</v>
      </c>
      <c r="E10465" s="0" t="inlineStr">
        <is>
          <t xml:space="preserve">Mazda</t>
        </is>
      </c>
      <c r="F10465" s="0" t="inlineStr">
        <is>
          <t xml:space="preserve">Mazda</t>
        </is>
      </c>
      <c r="G10465" s="0" t="s">
        <v>210</v>
      </c>
      <c r="H10465" s="5">
        <v>870.567500</v>
      </c>
    </row>
    <row r="10466" spans="1:9">
      <c r="A10466" s="22" t="str">
        <f>HYPERLINK("https://app.vivvix.com/360/KMI/IntelliDrive/ApplUI/Pages/CreativePages/CustomReportCreativeDetail.aspx?App=23&amp;ReportView=4&amp;Qid=1711279&amp;Row=10458&amp;Col=1","No Title Assigned - #15271959698")</f>
        <v/>
      </c>
      <c r="B10466" s="0" t="s">
        <v>14230</v>
      </c>
      <c r="C10466" s="0" t="s">
        <v>14231</v>
      </c>
      <c r="D10466" s="0" t="s">
        <v>14231</v>
      </c>
      <c r="E10466" s="0" t="inlineStr">
        <is>
          <t xml:space="preserve">Mazda</t>
        </is>
      </c>
      <c r="F10466" s="0" t="s">
        <v>28</v>
      </c>
      <c r="G10466" s="0" t="s">
        <v>29</v>
      </c>
      <c r="H10466" s="5">
        <v>117.269300</v>
      </c>
    </row>
    <row r="10467" spans="1:9">
      <c r="A10467" s="22" t="str">
        <f>HYPERLINK("https://app.vivvix.com/360/KMI/IntelliDrive/ApplUI/Pages/CreativePages/CustomReportCreativeDetail.aspx?App=23&amp;ReportView=4&amp;Qid=1711279&amp;Row=10459&amp;Col=1","No Title Assigned - #15271959892")</f>
        <v/>
      </c>
      <c r="B10467" s="0" t="s">
        <v>14232</v>
      </c>
      <c r="C10467" s="0" t="s">
        <v>14233</v>
      </c>
      <c r="D10467" s="0" t="s">
        <v>14233</v>
      </c>
      <c r="E10467" s="0" t="inlineStr">
        <is>
          <t xml:space="preserve">Mazda</t>
        </is>
      </c>
      <c r="F10467" s="0" t="inlineStr">
        <is>
          <t xml:space="preserve">Mazda</t>
        </is>
      </c>
      <c r="G10467" s="0" t="s">
        <v>171</v>
      </c>
      <c r="H10467" s="5">
        <v>90.299900</v>
      </c>
    </row>
    <row r="10468" spans="1:9">
      <c r="A10468" s="22" t="str">
        <f>HYPERLINK("https://app.vivvix.com/360/KMI/IntelliDrive/ApplUI/Pages/CreativePages/CustomReportCreativeDetail.aspx?App=23&amp;ReportView=4&amp;Qid=1711279&amp;Row=10460&amp;Col=1","No Title Assigned - #15271959892")</f>
        <v/>
      </c>
      <c r="B10468" s="0" t="s">
        <v>14232</v>
      </c>
      <c r="E10468" s="0" t="inlineStr">
        <is>
          <t xml:space="preserve">Mazda</t>
        </is>
      </c>
      <c r="F10468" s="0" t="inlineStr">
        <is>
          <t xml:space="preserve">Mazda</t>
        </is>
      </c>
      <c r="G10468" s="0" t="s">
        <v>171</v>
      </c>
      <c r="H10468" s="5">
        <v>44.340500</v>
      </c>
    </row>
    <row r="10469" spans="1:9">
      <c r="A10469" s="22" t="str">
        <f>HYPERLINK("https://app.vivvix.com/360/KMI/IntelliDrive/ApplUI/Pages/CreativePages/CustomReportCreativeDetail.aspx?App=23&amp;ReportView=4&amp;Qid=1711279&amp;Row=10461&amp;Col=1","No Title Assigned - #15271959893")</f>
        <v/>
      </c>
      <c r="B10469" s="0" t="s">
        <v>14234</v>
      </c>
      <c r="C10469" s="0" t="s">
        <v>14235</v>
      </c>
      <c r="D10469" s="0" t="s">
        <v>14235</v>
      </c>
      <c r="E10469" s="0" t="inlineStr">
        <is>
          <t xml:space="preserve">Mazda</t>
        </is>
      </c>
      <c r="F10469" s="0" t="s">
        <v>28</v>
      </c>
      <c r="G10469" s="0" t="s">
        <v>29</v>
      </c>
      <c r="H10469" s="5">
        <v>213.117800</v>
      </c>
    </row>
    <row r="10470" spans="1:9">
      <c r="A10470" s="22" t="str">
        <f>HYPERLINK("https://app.vivvix.com/360/KMI/IntelliDrive/ApplUI/Pages/CreativePages/CustomReportCreativeDetail.aspx?App=23&amp;ReportView=4&amp;Qid=1711279&amp;Row=10462&amp;Col=1","No Title Assigned - #15271960727")</f>
        <v/>
      </c>
      <c r="B10470" s="0" t="s">
        <v>14236</v>
      </c>
      <c r="E10470" s="0" t="inlineStr">
        <is>
          <t xml:space="preserve">Mazda</t>
        </is>
      </c>
      <c r="F10470" s="0" t="s">
        <v>13</v>
      </c>
      <c r="G10470" s="0" t="s">
        <v>49</v>
      </c>
      <c r="H10470" s="5">
        <v>64.189100</v>
      </c>
    </row>
    <row r="10471" spans="1:9">
      <c r="A10471" s="22" t="str">
        <f>HYPERLINK("https://app.vivvix.com/360/KMI/IntelliDrive/ApplUI/Pages/CreativePages/CustomReportCreativeDetail.aspx?App=23&amp;ReportView=4&amp;Qid=1711279&amp;Row=10463&amp;Col=1","No Title Assigned - #15271960727")</f>
        <v/>
      </c>
      <c r="B10471" s="0" t="s">
        <v>14236</v>
      </c>
      <c r="C10471" s="0" t="s">
        <v>14237</v>
      </c>
      <c r="D10471" s="0" t="s">
        <v>14237</v>
      </c>
      <c r="E10471" s="0" t="inlineStr">
        <is>
          <t xml:space="preserve">Mazda</t>
        </is>
      </c>
      <c r="F10471" s="0" t="s">
        <v>13</v>
      </c>
      <c r="G10471" s="0" t="s">
        <v>49</v>
      </c>
      <c r="H10471" s="5">
        <v>7990.660200</v>
      </c>
    </row>
    <row r="10472" spans="1:9">
      <c r="A10472" s="22" t="str">
        <f>HYPERLINK("https://app.vivvix.com/360/KMI/IntelliDrive/ApplUI/Pages/CreativePages/CustomReportCreativeDetail.aspx?App=23&amp;ReportView=4&amp;Qid=1711279&amp;Row=10464&amp;Col=1","No Title Assigned - #15271965102")</f>
        <v/>
      </c>
      <c r="B10472" s="0" t="s">
        <v>14238</v>
      </c>
      <c r="C10472" s="0" t="s">
        <v>14239</v>
      </c>
      <c r="D10472" s="0" t="s">
        <v>4335</v>
      </c>
      <c r="E10472" s="0" t="inlineStr">
        <is>
          <t xml:space="preserve">Mazda</t>
        </is>
      </c>
      <c r="F10472" s="0" t="s">
        <v>13</v>
      </c>
      <c r="G10472" s="0" t="s">
        <v>49</v>
      </c>
      <c r="H10472" s="5">
        <v>385.745700</v>
      </c>
    </row>
    <row r="10473" spans="1:9">
      <c r="A10473" s="22" t="str">
        <f>HYPERLINK("https://app.vivvix.com/360/KMI/IntelliDrive/ApplUI/Pages/CreativePages/CustomReportCreativeDetail.aspx?App=23&amp;ReportView=4&amp;Qid=1711279&amp;Row=10465&amp;Col=1","No Title Assigned - #15271965102")</f>
        <v/>
      </c>
      <c r="B10473" s="0" t="s">
        <v>14238</v>
      </c>
      <c r="E10473" s="0" t="inlineStr">
        <is>
          <t xml:space="preserve">Mazda</t>
        </is>
      </c>
      <c r="F10473" s="0" t="s">
        <v>13</v>
      </c>
      <c r="G10473" s="0" t="s">
        <v>49</v>
      </c>
      <c r="H10473" s="5">
        <v>46.622200</v>
      </c>
    </row>
    <row r="10474" spans="1:9">
      <c r="A10474" s="22" t="str">
        <f>HYPERLINK("https://app.vivvix.com/360/KMI/IntelliDrive/ApplUI/Pages/CreativePages/CustomReportCreativeDetail.aspx?App=23&amp;ReportView=4&amp;Qid=1711279&amp;Row=10466&amp;Col=1","No Title Assigned - #15271969846")</f>
        <v/>
      </c>
      <c r="B10474" s="0" t="s">
        <v>14240</v>
      </c>
      <c r="E10474" s="0" t="inlineStr">
        <is>
          <t xml:space="preserve">Mazda</t>
        </is>
      </c>
      <c r="F10474" s="0" t="inlineStr">
        <is>
          <t xml:space="preserve">Mazda</t>
        </is>
      </c>
      <c r="G10474" s="0" t="s">
        <v>171</v>
      </c>
      <c r="H10474" s="5">
        <v>343.250900</v>
      </c>
    </row>
    <row r="10475" spans="1:9">
      <c r="A10475" s="22" t="str">
        <f>HYPERLINK("https://app.vivvix.com/360/KMI/IntelliDrive/ApplUI/Pages/CreativePages/CustomReportCreativeDetail.aspx?App=23&amp;ReportView=4&amp;Qid=1711279&amp;Row=10467&amp;Col=1","No Title Assigned - #15271970995")</f>
        <v/>
      </c>
      <c r="B10475" s="0" t="s">
        <v>14241</v>
      </c>
      <c r="E10475" s="0" t="inlineStr">
        <is>
          <t xml:space="preserve">Mazda</t>
        </is>
      </c>
      <c r="F10475" s="0" t="inlineStr">
        <is>
          <t xml:space="preserve">Mazda</t>
        </is>
      </c>
      <c r="G10475" s="0" t="s">
        <v>171</v>
      </c>
      <c r="H10475" s="5">
        <v>28.328700</v>
      </c>
    </row>
    <row r="10476" spans="1:9">
      <c r="A10476" s="22" t="str">
        <f>HYPERLINK("https://app.vivvix.com/360/KMI/IntelliDrive/ApplUI/Pages/CreativePages/CustomReportCreativeDetail.aspx?App=23&amp;ReportView=4&amp;Qid=1711279&amp;Row=10468&amp;Col=1","No Title Assigned - #15271987885")</f>
        <v/>
      </c>
      <c r="B10476" s="0" t="s">
        <v>14242</v>
      </c>
      <c r="E10476" s="0" t="inlineStr">
        <is>
          <t xml:space="preserve">Mazda</t>
        </is>
      </c>
      <c r="F10476" s="0" t="inlineStr">
        <is>
          <t xml:space="preserve">Mazda</t>
        </is>
      </c>
      <c r="G10476" s="0" t="s">
        <v>171</v>
      </c>
      <c r="H10476" s="5">
        <v>1.744200</v>
      </c>
    </row>
    <row r="10477" spans="1:9">
      <c r="A10477" s="22" t="str">
        <f>HYPERLINK("https://app.vivvix.com/360/KMI/IntelliDrive/ApplUI/Pages/CreativePages/CustomReportCreativeDetail.aspx?App=23&amp;ReportView=4&amp;Qid=1711279&amp;Row=10469&amp;Col=1","No Title Assigned - #15271990598")</f>
        <v/>
      </c>
      <c r="B10477" s="0" t="s">
        <v>14243</v>
      </c>
      <c r="E10477" s="0" t="inlineStr">
        <is>
          <t xml:space="preserve">Mazda</t>
        </is>
      </c>
      <c r="F10477" s="0" t="inlineStr">
        <is>
          <t xml:space="preserve">Mazda</t>
        </is>
      </c>
      <c r="G10477" s="0" t="s">
        <v>171</v>
      </c>
      <c r="H10477" s="5">
        <v>7.631000</v>
      </c>
    </row>
    <row r="10478" spans="1:9">
      <c r="A10478" s="22" t="str">
        <f>HYPERLINK("https://app.vivvix.com/360/KMI/IntelliDrive/ApplUI/Pages/CreativePages/CustomReportCreativeDetail.aspx?App=23&amp;ReportView=4&amp;Qid=1711279&amp;Row=10470&amp;Col=1","No Title Assigned - #15271990747")</f>
        <v/>
      </c>
      <c r="B10478" s="0" t="s">
        <v>14244</v>
      </c>
      <c r="E10478" s="0" t="inlineStr">
        <is>
          <t xml:space="preserve">Mazda</t>
        </is>
      </c>
      <c r="F10478" s="0" t="inlineStr">
        <is>
          <t xml:space="preserve">Mazda</t>
        </is>
      </c>
      <c r="G10478" s="0" t="s">
        <v>171</v>
      </c>
      <c r="H10478" s="5">
        <v>829.684600</v>
      </c>
    </row>
    <row r="10479" spans="1:9">
      <c r="A10479" s="22" t="str">
        <f>HYPERLINK("https://app.vivvix.com/360/KMI/IntelliDrive/ApplUI/Pages/CreativePages/CustomReportCreativeDetail.aspx?App=23&amp;ReportView=4&amp;Qid=1711279&amp;Row=10471&amp;Col=1","No Title Assigned - #15271991131")</f>
        <v/>
      </c>
      <c r="B10479" s="0" t="s">
        <v>14245</v>
      </c>
      <c r="C10479" s="0" t="s">
        <v>14246</v>
      </c>
      <c r="D10479" s="0" t="s">
        <v>14246</v>
      </c>
      <c r="E10479" s="0" t="inlineStr">
        <is>
          <t xml:space="preserve">Mazda</t>
        </is>
      </c>
      <c r="F10479" s="0" t="inlineStr">
        <is>
          <t xml:space="preserve">Mazda</t>
        </is>
      </c>
      <c r="G10479" s="0" t="s">
        <v>171</v>
      </c>
      <c r="H10479" s="5">
        <v>6.693700</v>
      </c>
    </row>
    <row r="10480" spans="1:9">
      <c r="A10480" s="22" t="str">
        <f>HYPERLINK("https://app.vivvix.com/360/KMI/IntelliDrive/ApplUI/Pages/CreativePages/CustomReportCreativeDetail.aspx?App=23&amp;ReportView=4&amp;Qid=1711279&amp;Row=10472&amp;Col=1","No Title Assigned - #15271992408")</f>
        <v/>
      </c>
      <c r="B10480" s="0" t="s">
        <v>14247</v>
      </c>
      <c r="C10480" s="0" t="s">
        <v>14248</v>
      </c>
      <c r="D10480" s="0" t="s">
        <v>14248</v>
      </c>
      <c r="E10480" s="0" t="inlineStr">
        <is>
          <t xml:space="preserve">Mazda</t>
        </is>
      </c>
      <c r="F10480" s="0" t="inlineStr">
        <is>
          <t xml:space="preserve">Mazda</t>
        </is>
      </c>
      <c r="G10480" s="0" t="s">
        <v>171</v>
      </c>
      <c r="H10480" s="5">
        <v>19.085200</v>
      </c>
    </row>
    <row r="10481" spans="1:9">
      <c r="A10481" s="22" t="str">
        <f>HYPERLINK("https://app.vivvix.com/360/KMI/IntelliDrive/ApplUI/Pages/CreativePages/CustomReportCreativeDetail.aspx?App=23&amp;ReportView=4&amp;Qid=1711279&amp;Row=10473&amp;Col=1","No Title Assigned - #15271992409")</f>
        <v/>
      </c>
      <c r="B10481" s="0" t="s">
        <v>14249</v>
      </c>
      <c r="E10481" s="0" t="inlineStr">
        <is>
          <t xml:space="preserve">Mazda</t>
        </is>
      </c>
      <c r="F10481" s="0" t="inlineStr">
        <is>
          <t xml:space="preserve">Mazda</t>
        </is>
      </c>
      <c r="G10481" s="0" t="s">
        <v>171</v>
      </c>
      <c r="H10481" s="5">
        <v>9.542600</v>
      </c>
    </row>
    <row r="10482" spans="1:9">
      <c r="A10482" s="22" t="str">
        <f>HYPERLINK("https://app.vivvix.com/360/KMI/IntelliDrive/ApplUI/Pages/CreativePages/CustomReportCreativeDetail.aspx?App=23&amp;ReportView=4&amp;Qid=1711279&amp;Row=10474&amp;Col=1","No Title Assigned - #15271993891")</f>
        <v/>
      </c>
      <c r="B10482" s="0" t="s">
        <v>14250</v>
      </c>
      <c r="E10482" s="0" t="inlineStr">
        <is>
          <t xml:space="preserve">Mazda</t>
        </is>
      </c>
      <c r="F10482" s="0" t="inlineStr">
        <is>
          <t xml:space="preserve">Mazda</t>
        </is>
      </c>
      <c r="G10482" s="0" t="s">
        <v>171</v>
      </c>
      <c r="H10482" s="5">
        <v>3950.926200</v>
      </c>
    </row>
    <row r="10483" spans="1:9">
      <c r="A10483" s="22" t="str">
        <f>HYPERLINK("https://app.vivvix.com/360/KMI/IntelliDrive/ApplUI/Pages/CreativePages/CustomReportCreativeDetail.aspx?App=23&amp;ReportView=4&amp;Qid=1711279&amp;Row=10475&amp;Col=1","No Title Assigned - #15271995154")</f>
        <v/>
      </c>
      <c r="B10483" s="0" t="s">
        <v>14251</v>
      </c>
      <c r="C10483" s="0" t="s">
        <v>14252</v>
      </c>
      <c r="D10483" s="0" t="s">
        <v>14252</v>
      </c>
      <c r="E10483" s="0" t="inlineStr">
        <is>
          <t xml:space="preserve">Mazda</t>
        </is>
      </c>
      <c r="F10483" s="0" t="inlineStr">
        <is>
          <t xml:space="preserve">Mazda</t>
        </is>
      </c>
      <c r="G10483" s="0" t="s">
        <v>171</v>
      </c>
      <c r="H10483" s="5">
        <v>45.371200</v>
      </c>
    </row>
    <row r="10484" spans="1:9">
      <c r="A10484" s="22" t="str">
        <f>HYPERLINK("https://app.vivvix.com/360/KMI/IntelliDrive/ApplUI/Pages/CreativePages/CustomReportCreativeDetail.aspx?App=23&amp;ReportView=4&amp;Qid=1711279&amp;Row=10476&amp;Col=1","No Title Assigned - #15271995790")</f>
        <v/>
      </c>
      <c r="B10484" s="0" t="s">
        <v>14253</v>
      </c>
      <c r="E10484" s="0" t="inlineStr">
        <is>
          <t xml:space="preserve">Mazda</t>
        </is>
      </c>
      <c r="F10484" s="0" t="inlineStr">
        <is>
          <t xml:space="preserve">Mazda</t>
        </is>
      </c>
      <c r="G10484" s="0" t="s">
        <v>171</v>
      </c>
      <c r="H10484" s="5">
        <v>11.407200</v>
      </c>
    </row>
    <row r="10485" spans="1:9">
      <c r="A10485" s="22" t="str">
        <f>HYPERLINK("https://app.vivvix.com/360/KMI/IntelliDrive/ApplUI/Pages/CreativePages/CustomReportCreativeDetail.aspx?App=23&amp;ReportView=4&amp;Qid=1711279&amp;Row=10477&amp;Col=1","No Title Assigned - #15271996218")</f>
        <v/>
      </c>
      <c r="B10485" s="0" t="s">
        <v>14254</v>
      </c>
      <c r="E10485" s="0" t="inlineStr">
        <is>
          <t xml:space="preserve">Mazda</t>
        </is>
      </c>
      <c r="F10485" s="0" t="inlineStr">
        <is>
          <t xml:space="preserve">Mazda</t>
        </is>
      </c>
      <c r="G10485" s="0" t="s">
        <v>171</v>
      </c>
      <c r="H10485" s="5">
        <v>2187.496800</v>
      </c>
    </row>
    <row r="10486" spans="1:9">
      <c r="A10486" s="22" t="str">
        <f>HYPERLINK("https://app.vivvix.com/360/KMI/IntelliDrive/ApplUI/Pages/CreativePages/CustomReportCreativeDetail.aspx?App=23&amp;ReportView=4&amp;Qid=1711279&amp;Row=10478&amp;Col=1","No Title Assigned - #15271997582")</f>
        <v/>
      </c>
      <c r="B10486" s="0" t="s">
        <v>14255</v>
      </c>
      <c r="E10486" s="0" t="inlineStr">
        <is>
          <t xml:space="preserve">Mazda</t>
        </is>
      </c>
      <c r="F10486" s="0" t="inlineStr">
        <is>
          <t xml:space="preserve">Mazda</t>
        </is>
      </c>
      <c r="G10486" s="0" t="s">
        <v>171</v>
      </c>
      <c r="H10486" s="5">
        <v>17.759200</v>
      </c>
    </row>
    <row r="10487" spans="1:9">
      <c r="A10487" s="22" t="str">
        <f>HYPERLINK("https://app.vivvix.com/360/KMI/IntelliDrive/ApplUI/Pages/CreativePages/CustomReportCreativeDetail.aspx?App=23&amp;ReportView=4&amp;Qid=1711279&amp;Row=10479&amp;Col=1","No Title Assigned - #15271997893")</f>
        <v/>
      </c>
      <c r="B10487" s="0" t="s">
        <v>14256</v>
      </c>
      <c r="E10487" s="0" t="inlineStr">
        <is>
          <t xml:space="preserve">Mazda</t>
        </is>
      </c>
      <c r="F10487" s="0" t="inlineStr">
        <is>
          <t xml:space="preserve">Mazda</t>
        </is>
      </c>
      <c r="G10487" s="0" t="s">
        <v>171</v>
      </c>
      <c r="H10487" s="5">
        <v>13.385600</v>
      </c>
    </row>
    <row r="10488" spans="1:9">
      <c r="A10488" s="22" t="str">
        <f>HYPERLINK("https://app.vivvix.com/360/KMI/IntelliDrive/ApplUI/Pages/CreativePages/CustomReportCreativeDetail.aspx?App=23&amp;ReportView=4&amp;Qid=1711279&amp;Row=10480&amp;Col=1","No Title Assigned - #15271998079")</f>
        <v/>
      </c>
      <c r="B10488" s="0" t="s">
        <v>14257</v>
      </c>
      <c r="E10488" s="0" t="inlineStr">
        <is>
          <t xml:space="preserve">Mazda</t>
        </is>
      </c>
      <c r="F10488" s="0" t="inlineStr">
        <is>
          <t xml:space="preserve">Mazda</t>
        </is>
      </c>
      <c r="G10488" s="0" t="s">
        <v>171</v>
      </c>
      <c r="H10488" s="5">
        <v>1967.284200</v>
      </c>
    </row>
    <row r="10489" spans="1:9">
      <c r="A10489" s="22" t="str">
        <f>HYPERLINK("https://app.vivvix.com/360/KMI/IntelliDrive/ApplUI/Pages/CreativePages/CustomReportCreativeDetail.aspx?App=23&amp;ReportView=4&amp;Qid=1711279&amp;Row=10481&amp;Col=1","No Title Assigned - #15271999017")</f>
        <v/>
      </c>
      <c r="B10489" s="0" t="s">
        <v>14258</v>
      </c>
      <c r="E10489" s="0" t="inlineStr">
        <is>
          <t xml:space="preserve">Mazda</t>
        </is>
      </c>
      <c r="F10489" s="0" t="inlineStr">
        <is>
          <t xml:space="preserve">Mazda</t>
        </is>
      </c>
      <c r="G10489" s="0" t="s">
        <v>171</v>
      </c>
      <c r="H10489" s="5">
        <v>1442.292900</v>
      </c>
    </row>
    <row r="10490" spans="1:9">
      <c r="A10490" s="22" t="str">
        <f>HYPERLINK("https://app.vivvix.com/360/KMI/IntelliDrive/ApplUI/Pages/CreativePages/CustomReportCreativeDetail.aspx?App=23&amp;ReportView=4&amp;Qid=1711279&amp;Row=10482&amp;Col=1","No Title Assigned - #15271999017")</f>
        <v/>
      </c>
      <c r="B10490" s="0" t="s">
        <v>14258</v>
      </c>
      <c r="E10490" s="0" t="inlineStr">
        <is>
          <t xml:space="preserve">Mazda</t>
        </is>
      </c>
      <c r="F10490" s="0" t="inlineStr">
        <is>
          <t xml:space="preserve">Mazda</t>
        </is>
      </c>
      <c r="G10490" s="0" t="s">
        <v>171</v>
      </c>
      <c r="H10490" s="5">
        <v>68.932600</v>
      </c>
    </row>
    <row r="10491" spans="1:9">
      <c r="A10491" s="22" t="str">
        <f>HYPERLINK("https://app.vivvix.com/360/KMI/IntelliDrive/ApplUI/Pages/CreativePages/CustomReportCreativeDetail.aspx?App=23&amp;ReportView=4&amp;Qid=1711279&amp;Row=10483&amp;Col=1","No Title Assigned - #15271999405")</f>
        <v/>
      </c>
      <c r="B10491" s="0" t="s">
        <v>14259</v>
      </c>
      <c r="E10491" s="0" t="inlineStr">
        <is>
          <t xml:space="preserve">Mazda</t>
        </is>
      </c>
      <c r="F10491" s="0" t="inlineStr">
        <is>
          <t xml:space="preserve">Mazda</t>
        </is>
      </c>
      <c r="G10491" s="0" t="s">
        <v>171</v>
      </c>
      <c r="H10491" s="5">
        <v>3.538800</v>
      </c>
    </row>
    <row r="10492" spans="1:9">
      <c r="A10492" s="22" t="str">
        <f>HYPERLINK("https://app.vivvix.com/360/KMI/IntelliDrive/ApplUI/Pages/CreativePages/CustomReportCreativeDetail.aspx?App=23&amp;ReportView=4&amp;Qid=1711279&amp;Row=10484&amp;Col=1","No Title Assigned - #15272000496")</f>
        <v/>
      </c>
      <c r="B10492" s="0" t="s">
        <v>14260</v>
      </c>
      <c r="E10492" s="0" t="inlineStr">
        <is>
          <t xml:space="preserve">Mazda</t>
        </is>
      </c>
      <c r="F10492" s="0" t="inlineStr">
        <is>
          <t xml:space="preserve">Mazda</t>
        </is>
      </c>
      <c r="G10492" s="0" t="s">
        <v>171</v>
      </c>
      <c r="H10492" s="5">
        <v>468.091600</v>
      </c>
    </row>
    <row r="10493" spans="1:9">
      <c r="A10493" s="22" t="str">
        <f>HYPERLINK("https://app.vivvix.com/360/KMI/IntelliDrive/ApplUI/Pages/CreativePages/CustomReportCreativeDetail.aspx?App=23&amp;ReportView=4&amp;Qid=1711279&amp;Row=10485&amp;Col=1","No Title Assigned - #15272000496")</f>
        <v/>
      </c>
      <c r="B10493" s="0" t="s">
        <v>14260</v>
      </c>
      <c r="E10493" s="0" t="inlineStr">
        <is>
          <t xml:space="preserve">Mazda</t>
        </is>
      </c>
      <c r="F10493" s="0" t="inlineStr">
        <is>
          <t xml:space="preserve">Mazda</t>
        </is>
      </c>
      <c r="G10493" s="0" t="s">
        <v>171</v>
      </c>
      <c r="H10493" s="5">
        <v>23.839400</v>
      </c>
    </row>
    <row r="10494" spans="1:9">
      <c r="A10494" s="22" t="str">
        <f>HYPERLINK("https://app.vivvix.com/360/KMI/IntelliDrive/ApplUI/Pages/CreativePages/CustomReportCreativeDetail.aspx?App=23&amp;ReportView=4&amp;Qid=1711279&amp;Row=10486&amp;Col=1","No Title Assigned - #15272000973")</f>
        <v/>
      </c>
      <c r="B10494" s="0" t="s">
        <v>14261</v>
      </c>
      <c r="C10494" s="0" t="s">
        <v>14262</v>
      </c>
      <c r="D10494" s="0" t="s">
        <v>14262</v>
      </c>
      <c r="E10494" s="0" t="inlineStr">
        <is>
          <t xml:space="preserve">Mazda</t>
        </is>
      </c>
      <c r="F10494" s="0" t="s">
        <v>28</v>
      </c>
      <c r="G10494" s="0" t="s">
        <v>29</v>
      </c>
      <c r="H10494" s="5">
        <v>24.018200</v>
      </c>
    </row>
    <row r="10495" spans="1:9">
      <c r="A10495" s="22" t="str">
        <f>HYPERLINK("https://app.vivvix.com/360/KMI/IntelliDrive/ApplUI/Pages/CreativePages/CustomReportCreativeDetail.aspx?App=23&amp;ReportView=4&amp;Qid=1711279&amp;Row=10487&amp;Col=1","No Title Assigned - #15272001219")</f>
        <v/>
      </c>
      <c r="B10495" s="0" t="s">
        <v>14263</v>
      </c>
      <c r="E10495" s="0" t="inlineStr">
        <is>
          <t xml:space="preserve">Mazda</t>
        </is>
      </c>
      <c r="F10495" s="0" t="inlineStr">
        <is>
          <t xml:space="preserve">Mazda</t>
        </is>
      </c>
      <c r="G10495" s="0" t="s">
        <v>171</v>
      </c>
      <c r="H10495" s="5">
        <v>9.048300</v>
      </c>
    </row>
    <row r="10496" spans="1:9">
      <c r="A10496" s="22" t="str">
        <f>HYPERLINK("https://app.vivvix.com/360/KMI/IntelliDrive/ApplUI/Pages/CreativePages/CustomReportCreativeDetail.aspx?App=23&amp;ReportView=4&amp;Qid=1711279&amp;Row=10488&amp;Col=1","No Title Assigned - #15272002990")</f>
        <v/>
      </c>
      <c r="B10496" s="0" t="s">
        <v>14264</v>
      </c>
      <c r="E10496" s="0" t="inlineStr">
        <is>
          <t xml:space="preserve">Mazda</t>
        </is>
      </c>
      <c r="F10496" s="0" t="s">
        <v>204</v>
      </c>
      <c r="G10496" s="0" t="s">
        <v>205</v>
      </c>
      <c r="H10496" s="5">
        <v>795.941000</v>
      </c>
    </row>
    <row r="10497" spans="1:9">
      <c r="A10497" s="22" t="str">
        <f>HYPERLINK("https://app.vivvix.com/360/KMI/IntelliDrive/ApplUI/Pages/CreativePages/CustomReportCreativeDetail.aspx?App=23&amp;ReportView=4&amp;Qid=1711279&amp;Row=10489&amp;Col=1","No Title Assigned - #15272003187")</f>
        <v/>
      </c>
      <c r="B10497" s="0" t="s">
        <v>14265</v>
      </c>
      <c r="E10497" s="0" t="inlineStr">
        <is>
          <t xml:space="preserve">Mazda</t>
        </is>
      </c>
      <c r="F10497" s="0" t="inlineStr">
        <is>
          <t xml:space="preserve">Mazda</t>
        </is>
      </c>
      <c r="G10497" s="0" t="s">
        <v>171</v>
      </c>
      <c r="H10497" s="5">
        <v>15.490900</v>
      </c>
    </row>
    <row r="10498" spans="1:9">
      <c r="A10498" s="22" t="str">
        <f>HYPERLINK("https://app.vivvix.com/360/KMI/IntelliDrive/ApplUI/Pages/CreativePages/CustomReportCreativeDetail.aspx?App=23&amp;ReportView=4&amp;Qid=1711279&amp;Row=10490&amp;Col=1","No Title Assigned - #15272004928")</f>
        <v/>
      </c>
      <c r="B10498" s="0" t="s">
        <v>14266</v>
      </c>
      <c r="E10498" s="0" t="inlineStr">
        <is>
          <t xml:space="preserve">Mazda</t>
        </is>
      </c>
      <c r="F10498" s="0" t="s">
        <v>204</v>
      </c>
      <c r="G10498" s="0" t="s">
        <v>205</v>
      </c>
      <c r="H10498" s="5">
        <v>43.095000</v>
      </c>
    </row>
    <row r="10499" spans="1:9">
      <c r="A10499" s="22" t="str">
        <f>HYPERLINK("https://app.vivvix.com/360/KMI/IntelliDrive/ApplUI/Pages/CreativePages/CustomReportCreativeDetail.aspx?App=23&amp;ReportView=4&amp;Qid=1711279&amp;Row=10491&amp;Col=1","No Title Assigned - #15272005518")</f>
        <v/>
      </c>
      <c r="B10499" s="0" t="s">
        <v>14267</v>
      </c>
      <c r="E10499" s="0" t="inlineStr">
        <is>
          <t xml:space="preserve">Mazda</t>
        </is>
      </c>
      <c r="F10499" s="0" t="s">
        <v>28</v>
      </c>
      <c r="G10499" s="0" t="s">
        <v>29</v>
      </c>
      <c r="H10499" s="5">
        <v>791.042100</v>
      </c>
    </row>
    <row r="10500" spans="1:9">
      <c r="A10500" s="22" t="str">
        <f>HYPERLINK("https://app.vivvix.com/360/KMI/IntelliDrive/ApplUI/Pages/CreativePages/CustomReportCreativeDetail.aspx?App=23&amp;ReportView=4&amp;Qid=1711279&amp;Row=10492&amp;Col=1","No Title Assigned - #15272005518")</f>
        <v/>
      </c>
      <c r="B10500" s="0" t="s">
        <v>14267</v>
      </c>
      <c r="C10500" s="0" t="s">
        <v>14268</v>
      </c>
      <c r="D10500" s="0" t="s">
        <v>14268</v>
      </c>
      <c r="E10500" s="0" t="inlineStr">
        <is>
          <t xml:space="preserve">Mazda</t>
        </is>
      </c>
      <c r="F10500" s="0" t="s">
        <v>28</v>
      </c>
      <c r="G10500" s="0" t="s">
        <v>29</v>
      </c>
      <c r="H10500" s="5">
        <v>66.999800</v>
      </c>
    </row>
    <row r="10501" spans="1:9">
      <c r="A10501" s="22" t="str">
        <f>HYPERLINK("https://app.vivvix.com/360/KMI/IntelliDrive/ApplUI/Pages/CreativePages/CustomReportCreativeDetail.aspx?App=23&amp;ReportView=4&amp;Qid=1711279&amp;Row=10493&amp;Col=1","No Title Assigned - #15272005791")</f>
        <v/>
      </c>
      <c r="B10501" s="0" t="s">
        <v>14269</v>
      </c>
      <c r="C10501" s="0" t="s">
        <v>14270</v>
      </c>
      <c r="D10501" s="0" t="s">
        <v>14270</v>
      </c>
      <c r="E10501" s="0" t="inlineStr">
        <is>
          <t xml:space="preserve">Mazda</t>
        </is>
      </c>
      <c r="F10501" s="0" t="s">
        <v>13</v>
      </c>
      <c r="G10501" s="0" t="s">
        <v>49</v>
      </c>
      <c r="H10501" s="5">
        <v>46030.166300</v>
      </c>
    </row>
    <row r="10502" spans="1:9">
      <c r="A10502" s="22" t="str">
        <f>HYPERLINK("https://app.vivvix.com/360/KMI/IntelliDrive/ApplUI/Pages/CreativePages/CustomReportCreativeDetail.aspx?App=23&amp;ReportView=4&amp;Qid=1711279&amp;Row=10494&amp;Col=1","No Title Assigned - #15272005791")</f>
        <v/>
      </c>
      <c r="B10502" s="0" t="s">
        <v>14269</v>
      </c>
      <c r="E10502" s="0" t="inlineStr">
        <is>
          <t xml:space="preserve">Mazda</t>
        </is>
      </c>
      <c r="F10502" s="0" t="s">
        <v>13</v>
      </c>
      <c r="G10502" s="0" t="s">
        <v>49</v>
      </c>
      <c r="H10502" s="5">
        <v>57147.757800</v>
      </c>
    </row>
    <row r="10503" spans="1:9">
      <c r="A10503" s="22" t="str">
        <f>HYPERLINK("https://app.vivvix.com/360/KMI/IntelliDrive/ApplUI/Pages/CreativePages/CustomReportCreativeDetail.aspx?App=23&amp;ReportView=4&amp;Qid=1711279&amp;Row=10495&amp;Col=1","No Title Assigned - #15272007436")</f>
        <v/>
      </c>
      <c r="B10503" s="0" t="s">
        <v>14271</v>
      </c>
      <c r="C10503" s="0" t="s">
        <v>14272</v>
      </c>
      <c r="D10503" s="0" t="s">
        <v>4335</v>
      </c>
      <c r="E10503" s="0" t="inlineStr">
        <is>
          <t xml:space="preserve">Mazda</t>
        </is>
      </c>
      <c r="F10503" s="0" t="s">
        <v>13</v>
      </c>
      <c r="G10503" s="0" t="s">
        <v>49</v>
      </c>
      <c r="H10503" s="5">
        <v>8970.368000</v>
      </c>
    </row>
    <row r="10504" spans="1:9">
      <c r="A10504" s="22" t="str">
        <f>HYPERLINK("https://app.vivvix.com/360/KMI/IntelliDrive/ApplUI/Pages/CreativePages/CustomReportCreativeDetail.aspx?App=23&amp;ReportView=4&amp;Qid=1711279&amp;Row=10496&amp;Col=1","No Title Assigned - #15272007436")</f>
        <v/>
      </c>
      <c r="B10504" s="0" t="s">
        <v>14271</v>
      </c>
      <c r="E10504" s="0" t="inlineStr">
        <is>
          <t xml:space="preserve">Mazda</t>
        </is>
      </c>
      <c r="F10504" s="0" t="s">
        <v>13</v>
      </c>
      <c r="G10504" s="0" t="s">
        <v>49</v>
      </c>
      <c r="H10504" s="5">
        <v>14861.999000</v>
      </c>
    </row>
    <row r="10505" spans="1:9">
      <c r="A10505" s="22" t="str">
        <f>HYPERLINK("https://app.vivvix.com/360/KMI/IntelliDrive/ApplUI/Pages/CreativePages/CustomReportCreativeDetail.aspx?App=23&amp;ReportView=4&amp;Qid=1711279&amp;Row=10497&amp;Col=1","No Title Assigned - #15272007674")</f>
        <v/>
      </c>
      <c r="B10505" s="0" t="s">
        <v>14273</v>
      </c>
      <c r="E10505" s="0" t="inlineStr">
        <is>
          <t xml:space="preserve">Mazda</t>
        </is>
      </c>
      <c r="F10505" s="0" t="s">
        <v>13</v>
      </c>
      <c r="G10505" s="0" t="s">
        <v>49</v>
      </c>
      <c r="H10505" s="5">
        <v>747.708800</v>
      </c>
    </row>
    <row r="10506" spans="1:9">
      <c r="A10506" s="22" t="str">
        <f>HYPERLINK("https://app.vivvix.com/360/KMI/IntelliDrive/ApplUI/Pages/CreativePages/CustomReportCreativeDetail.aspx?App=23&amp;ReportView=4&amp;Qid=1711279&amp;Row=10498&amp;Col=1","No Title Assigned - #15272007674")</f>
        <v/>
      </c>
      <c r="B10506" s="0" t="s">
        <v>14273</v>
      </c>
      <c r="C10506" s="0" t="s">
        <v>14274</v>
      </c>
      <c r="D10506" s="0" t="s">
        <v>14274</v>
      </c>
      <c r="E10506" s="0" t="inlineStr">
        <is>
          <t xml:space="preserve">Mazda</t>
        </is>
      </c>
      <c r="F10506" s="0" t="s">
        <v>13</v>
      </c>
      <c r="G10506" s="0" t="s">
        <v>49</v>
      </c>
      <c r="H10506" s="5">
        <v>90.412500</v>
      </c>
    </row>
    <row r="10507" spans="1:9">
      <c r="A10507" s="22" t="str">
        <f>HYPERLINK("https://app.vivvix.com/360/KMI/IntelliDrive/ApplUI/Pages/CreativePages/CustomReportCreativeDetail.aspx?App=23&amp;ReportView=4&amp;Qid=1711279&amp;Row=10499&amp;Col=1","No Title Assigned - #15272007777")</f>
        <v/>
      </c>
      <c r="B10507" s="0" t="s">
        <v>14275</v>
      </c>
      <c r="C10507" s="0" t="s">
        <v>14276</v>
      </c>
      <c r="D10507" s="0" t="s">
        <v>14276</v>
      </c>
      <c r="E10507" s="0" t="inlineStr">
        <is>
          <t xml:space="preserve">Mazda</t>
        </is>
      </c>
      <c r="F10507" s="0" t="s">
        <v>28</v>
      </c>
      <c r="G10507" s="0" t="s">
        <v>29</v>
      </c>
      <c r="H10507" s="5">
        <v>28.959100</v>
      </c>
    </row>
    <row r="10508" spans="1:9">
      <c r="A10508" s="22" t="str">
        <f>HYPERLINK("https://app.vivvix.com/360/KMI/IntelliDrive/ApplUI/Pages/CreativePages/CustomReportCreativeDetail.aspx?App=23&amp;ReportView=4&amp;Qid=1711279&amp;Row=10500&amp;Col=1","No Title Assigned - #15272008077")</f>
        <v/>
      </c>
      <c r="B10508" s="0" t="s">
        <v>14277</v>
      </c>
      <c r="C10508" s="0" t="s">
        <v>14278</v>
      </c>
      <c r="D10508" s="0" t="s">
        <v>14278</v>
      </c>
      <c r="E10508" s="0" t="inlineStr">
        <is>
          <t xml:space="preserve">Mazda</t>
        </is>
      </c>
      <c r="F10508" s="0" t="s">
        <v>13</v>
      </c>
      <c r="G10508" s="0" t="s">
        <v>49</v>
      </c>
      <c r="H10508" s="5">
        <v>2324.398600</v>
      </c>
    </row>
    <row r="10509" spans="1:9">
      <c r="A10509" s="22" t="str">
        <f>HYPERLINK("https://app.vivvix.com/360/KMI/IntelliDrive/ApplUI/Pages/CreativePages/CustomReportCreativeDetail.aspx?App=23&amp;ReportView=4&amp;Qid=1711279&amp;Row=10501&amp;Col=1","No Title Assigned - #15272008440")</f>
        <v/>
      </c>
      <c r="B10509" s="0" t="s">
        <v>14279</v>
      </c>
      <c r="C10509" s="0" t="s">
        <v>14280</v>
      </c>
      <c r="D10509" s="0" t="s">
        <v>4200</v>
      </c>
      <c r="E10509" s="0" t="inlineStr">
        <is>
          <t xml:space="preserve">Mazda</t>
        </is>
      </c>
      <c r="F10509" s="0" t="s">
        <v>28</v>
      </c>
      <c r="G10509" s="0" t="s">
        <v>29</v>
      </c>
      <c r="H10509" s="5">
        <v>46.058600</v>
      </c>
    </row>
    <row r="10510" spans="1:9">
      <c r="A10510" s="22" t="str">
        <f>HYPERLINK("https://app.vivvix.com/360/KMI/IntelliDrive/ApplUI/Pages/CreativePages/CustomReportCreativeDetail.aspx?App=23&amp;ReportView=4&amp;Qid=1711279&amp;Row=10502&amp;Col=1","No Title Assigned - #15272010582")</f>
        <v/>
      </c>
      <c r="B10510" s="0" t="s">
        <v>14281</v>
      </c>
      <c r="C10510" s="0" t="s">
        <v>14282</v>
      </c>
      <c r="D10510" s="0" t="s">
        <v>14282</v>
      </c>
      <c r="E10510" s="0" t="inlineStr">
        <is>
          <t xml:space="preserve">Mazda</t>
        </is>
      </c>
      <c r="F10510" s="0" t="s">
        <v>13</v>
      </c>
      <c r="G10510" s="0" t="s">
        <v>49</v>
      </c>
      <c r="H10510" s="5">
        <v>831.160600</v>
      </c>
    </row>
    <row r="10511" spans="1:9">
      <c r="A10511" s="22" t="str">
        <f>HYPERLINK("https://app.vivvix.com/360/KMI/IntelliDrive/ApplUI/Pages/CreativePages/CustomReportCreativeDetail.aspx?App=23&amp;ReportView=4&amp;Qid=1711279&amp;Row=10503&amp;Col=1","No Title Assigned - #15272011037")</f>
        <v/>
      </c>
      <c r="B10511" s="0" t="s">
        <v>14283</v>
      </c>
      <c r="C10511" s="0" t="s">
        <v>14284</v>
      </c>
      <c r="D10511" s="0" t="s">
        <v>14284</v>
      </c>
      <c r="E10511" s="0" t="inlineStr">
        <is>
          <t xml:space="preserve">Mazda</t>
        </is>
      </c>
      <c r="F10511" s="0" t="s">
        <v>13</v>
      </c>
      <c r="G10511" s="0" t="s">
        <v>49</v>
      </c>
      <c r="H10511" s="5">
        <v>1391.331100</v>
      </c>
    </row>
    <row r="10512" spans="1:9">
      <c r="A10512" s="22" t="str">
        <f>HYPERLINK("https://app.vivvix.com/360/KMI/IntelliDrive/ApplUI/Pages/CreativePages/CustomReportCreativeDetail.aspx?App=23&amp;ReportView=4&amp;Qid=1711279&amp;Row=10504&amp;Col=1","No Title Assigned - #15272014967")</f>
        <v/>
      </c>
      <c r="B10512" s="0" t="s">
        <v>14285</v>
      </c>
      <c r="E10512" s="0" t="inlineStr">
        <is>
          <t xml:space="preserve">Mazda</t>
        </is>
      </c>
      <c r="F10512" s="0" t="s">
        <v>13</v>
      </c>
      <c r="G10512" s="0" t="s">
        <v>49</v>
      </c>
      <c r="H10512" s="5">
        <v>256.162900</v>
      </c>
    </row>
    <row r="10513" spans="1:9">
      <c r="A10513" s="22" t="str">
        <f>HYPERLINK("https://app.vivvix.com/360/KMI/IntelliDrive/ApplUI/Pages/CreativePages/CustomReportCreativeDetail.aspx?App=23&amp;ReportView=4&amp;Qid=1711279&amp;Row=10505&amp;Col=1","No Title Assigned - #15272014967")</f>
        <v/>
      </c>
      <c r="B10513" s="0" t="s">
        <v>14285</v>
      </c>
      <c r="C10513" s="0" t="s">
        <v>14286</v>
      </c>
      <c r="D10513" s="0" t="s">
        <v>14286</v>
      </c>
      <c r="E10513" s="0" t="inlineStr">
        <is>
          <t xml:space="preserve">Mazda</t>
        </is>
      </c>
      <c r="F10513" s="0" t="s">
        <v>13</v>
      </c>
      <c r="G10513" s="0" t="s">
        <v>49</v>
      </c>
      <c r="H10513" s="5">
        <v>33.346200</v>
      </c>
    </row>
    <row r="10514" spans="1:9">
      <c r="A10514" s="22" t="str">
        <f>HYPERLINK("https://app.vivvix.com/360/KMI/IntelliDrive/ApplUI/Pages/CreativePages/CustomReportCreativeDetail.aspx?App=23&amp;ReportView=4&amp;Qid=1711279&amp;Row=10506&amp;Col=1","No Title Assigned - #15272015119")</f>
        <v/>
      </c>
      <c r="B10514" s="0" t="s">
        <v>14287</v>
      </c>
      <c r="C10514" s="0" t="s">
        <v>14288</v>
      </c>
      <c r="D10514" s="0" t="s">
        <v>14288</v>
      </c>
      <c r="E10514" s="0" t="inlineStr">
        <is>
          <t xml:space="preserve">Mazda</t>
        </is>
      </c>
      <c r="F10514" s="0" t="inlineStr">
        <is>
          <t xml:space="preserve">Mazda</t>
        </is>
      </c>
      <c r="G10514" s="0" t="s">
        <v>210</v>
      </c>
      <c r="H10514" s="5">
        <v>5865.043000</v>
      </c>
    </row>
    <row r="10515" spans="1:9">
      <c r="A10515" s="22" t="str">
        <f>HYPERLINK("https://app.vivvix.com/360/KMI/IntelliDrive/ApplUI/Pages/CreativePages/CustomReportCreativeDetail.aspx?App=23&amp;ReportView=4&amp;Qid=1711279&amp;Row=10507&amp;Col=1","No Title Assigned - #15272015119")</f>
        <v/>
      </c>
      <c r="B10515" s="0" t="s">
        <v>14287</v>
      </c>
      <c r="E10515" s="0" t="inlineStr">
        <is>
          <t xml:space="preserve">Mazda</t>
        </is>
      </c>
      <c r="F10515" s="0" t="inlineStr">
        <is>
          <t xml:space="preserve">Mazda</t>
        </is>
      </c>
      <c r="G10515" s="0" t="s">
        <v>210</v>
      </c>
      <c r="H10515" s="5">
        <v>3576.769500</v>
      </c>
    </row>
    <row r="10516" spans="1:9">
      <c r="A10516" s="22" t="str">
        <f>HYPERLINK("https://app.vivvix.com/360/KMI/IntelliDrive/ApplUI/Pages/CreativePages/CustomReportCreativeDetail.aspx?App=23&amp;ReportView=4&amp;Qid=1711279&amp;Row=10508&amp;Col=1","No Title Assigned - #15272017618")</f>
        <v/>
      </c>
      <c r="B10516" s="0" t="s">
        <v>14289</v>
      </c>
      <c r="E10516" s="0" t="inlineStr">
        <is>
          <t xml:space="preserve">Mazda</t>
        </is>
      </c>
      <c r="F10516" s="0" t="inlineStr">
        <is>
          <t xml:space="preserve">Mazda</t>
        </is>
      </c>
      <c r="G10516" s="0" t="s">
        <v>171</v>
      </c>
      <c r="H10516" s="5">
        <v>9.292500</v>
      </c>
    </row>
    <row r="10517" spans="1:9">
      <c r="A10517" s="22" t="str">
        <f>HYPERLINK("https://app.vivvix.com/360/KMI/IntelliDrive/ApplUI/Pages/CreativePages/CustomReportCreativeDetail.aspx?App=23&amp;ReportView=4&amp;Qid=1711279&amp;Row=10509&amp;Col=1","No Title Assigned - #15272017760")</f>
        <v/>
      </c>
      <c r="B10517" s="0" t="s">
        <v>14290</v>
      </c>
      <c r="C10517" s="0" t="s">
        <v>14291</v>
      </c>
      <c r="D10517" s="0" t="s">
        <v>14291</v>
      </c>
      <c r="E10517" s="0" t="inlineStr">
        <is>
          <t xml:space="preserve">Mazda</t>
        </is>
      </c>
      <c r="F10517" s="0" t="inlineStr">
        <is>
          <t xml:space="preserve">Mazda</t>
        </is>
      </c>
      <c r="G10517" s="0" t="s">
        <v>171</v>
      </c>
      <c r="H10517" s="5">
        <v>240.488300</v>
      </c>
    </row>
    <row r="10518" spans="1:9">
      <c r="A10518" s="22" t="str">
        <f>HYPERLINK("https://app.vivvix.com/360/KMI/IntelliDrive/ApplUI/Pages/CreativePages/CustomReportCreativeDetail.aspx?App=23&amp;ReportView=4&amp;Qid=1711279&amp;Row=10510&amp;Col=1","No Title Assigned - #15272017760")</f>
        <v/>
      </c>
      <c r="B10518" s="0" t="s">
        <v>14290</v>
      </c>
      <c r="E10518" s="0" t="inlineStr">
        <is>
          <t xml:space="preserve">Mazda</t>
        </is>
      </c>
      <c r="F10518" s="0" t="inlineStr">
        <is>
          <t xml:space="preserve">Mazda</t>
        </is>
      </c>
      <c r="G10518" s="0" t="s">
        <v>171</v>
      </c>
      <c r="H10518" s="5">
        <v>21394.873000</v>
      </c>
    </row>
    <row r="10519" spans="1:9">
      <c r="A10519" s="22" t="str">
        <f>HYPERLINK("https://app.vivvix.com/360/KMI/IntelliDrive/ApplUI/Pages/CreativePages/CustomReportCreativeDetail.aspx?App=23&amp;ReportView=4&amp;Qid=1711279&amp;Row=10511&amp;Col=1","No Title Assigned - #15272017932")</f>
        <v/>
      </c>
      <c r="B10519" s="0" t="s">
        <v>14292</v>
      </c>
      <c r="E10519" s="0" t="inlineStr">
        <is>
          <t xml:space="preserve">Mazda</t>
        </is>
      </c>
      <c r="F10519" s="0" t="inlineStr">
        <is>
          <t xml:space="preserve">Mazda</t>
        </is>
      </c>
      <c r="G10519" s="0" t="s">
        <v>171</v>
      </c>
      <c r="H10519" s="5">
        <v>56.491600</v>
      </c>
    </row>
    <row r="10520" spans="1:9">
      <c r="A10520" s="22" t="str">
        <f>HYPERLINK("https://app.vivvix.com/360/KMI/IntelliDrive/ApplUI/Pages/CreativePages/CustomReportCreativeDetail.aspx?App=23&amp;ReportView=4&amp;Qid=1711279&amp;Row=10512&amp;Col=1","No Title Assigned - #15272018307")</f>
        <v/>
      </c>
      <c r="B10520" s="0" t="s">
        <v>14293</v>
      </c>
      <c r="E10520" s="0" t="inlineStr">
        <is>
          <t xml:space="preserve">Mazda</t>
        </is>
      </c>
      <c r="F10520" s="0" t="inlineStr">
        <is>
          <t xml:space="preserve">Mazda</t>
        </is>
      </c>
      <c r="G10520" s="0" t="s">
        <v>171</v>
      </c>
      <c r="H10520" s="5">
        <v>1755.249000</v>
      </c>
    </row>
    <row r="10521" spans="1:9">
      <c r="A10521" s="22" t="str">
        <f>HYPERLINK("https://app.vivvix.com/360/KMI/IntelliDrive/ApplUI/Pages/CreativePages/CustomReportCreativeDetail.aspx?App=23&amp;ReportView=4&amp;Qid=1711279&amp;Row=10513&amp;Col=1","No Title Assigned - #15272018695")</f>
        <v/>
      </c>
      <c r="B10521" s="0" t="s">
        <v>14294</v>
      </c>
      <c r="C10521" s="0" t="s">
        <v>14295</v>
      </c>
      <c r="D10521" s="0" t="s">
        <v>14295</v>
      </c>
      <c r="E10521" s="0" t="inlineStr">
        <is>
          <t xml:space="preserve">Mazda</t>
        </is>
      </c>
      <c r="F10521" s="0" t="inlineStr">
        <is>
          <t xml:space="preserve">Mazda</t>
        </is>
      </c>
      <c r="G10521" s="0" t="s">
        <v>171</v>
      </c>
      <c r="H10521" s="5">
        <v>125.845200</v>
      </c>
    </row>
    <row r="10522" spans="1:9">
      <c r="A10522" s="22" t="str">
        <f>HYPERLINK("https://app.vivvix.com/360/KMI/IntelliDrive/ApplUI/Pages/CreativePages/CustomReportCreativeDetail.aspx?App=23&amp;ReportView=4&amp;Qid=1711279&amp;Row=10514&amp;Col=1","No Title Assigned - #15272018695")</f>
        <v/>
      </c>
      <c r="B10522" s="0" t="s">
        <v>14294</v>
      </c>
      <c r="E10522" s="0" t="inlineStr">
        <is>
          <t xml:space="preserve">Mazda</t>
        </is>
      </c>
      <c r="F10522" s="0" t="inlineStr">
        <is>
          <t xml:space="preserve">Mazda</t>
        </is>
      </c>
      <c r="G10522" s="0" t="s">
        <v>171</v>
      </c>
      <c r="H10522" s="5">
        <v>423.568700</v>
      </c>
    </row>
    <row r="10523" spans="1:9">
      <c r="A10523" s="22" t="str">
        <f>HYPERLINK("https://app.vivvix.com/360/KMI/IntelliDrive/ApplUI/Pages/CreativePages/CustomReportCreativeDetail.aspx?App=23&amp;ReportView=4&amp;Qid=1711279&amp;Row=10515&amp;Col=1","No Title Assigned - #15272019334")</f>
        <v/>
      </c>
      <c r="B10523" s="0" t="s">
        <v>14296</v>
      </c>
      <c r="E10523" s="0" t="inlineStr">
        <is>
          <t xml:space="preserve">Mazda</t>
        </is>
      </c>
      <c r="F10523" s="0" t="inlineStr">
        <is>
          <t xml:space="preserve">Mazda</t>
        </is>
      </c>
      <c r="G10523" s="0" t="s">
        <v>171</v>
      </c>
      <c r="H10523" s="5">
        <v>1.030500</v>
      </c>
    </row>
    <row r="10524" spans="1:9">
      <c r="A10524" s="22" t="str">
        <f>HYPERLINK("https://app.vivvix.com/360/KMI/IntelliDrive/ApplUI/Pages/CreativePages/CustomReportCreativeDetail.aspx?App=23&amp;ReportView=4&amp;Qid=1711279&amp;Row=10516&amp;Col=1","No Title Assigned - #15272019503")</f>
        <v/>
      </c>
      <c r="B10524" s="0" t="s">
        <v>14297</v>
      </c>
      <c r="E10524" s="0" t="inlineStr">
        <is>
          <t xml:space="preserve">Mazda</t>
        </is>
      </c>
      <c r="F10524" s="0" t="inlineStr">
        <is>
          <t xml:space="preserve">Mazda</t>
        </is>
      </c>
      <c r="G10524" s="0" t="s">
        <v>171</v>
      </c>
      <c r="H10524" s="5">
        <v>79.399300</v>
      </c>
    </row>
    <row r="10525" spans="1:9">
      <c r="A10525" s="22" t="str">
        <f>HYPERLINK("https://app.vivvix.com/360/KMI/IntelliDrive/ApplUI/Pages/CreativePages/CustomReportCreativeDetail.aspx?App=23&amp;ReportView=4&amp;Qid=1711279&amp;Row=10517&amp;Col=1","No Title Assigned - #15272020786")</f>
        <v/>
      </c>
      <c r="B10525" s="0" t="s">
        <v>14298</v>
      </c>
      <c r="E10525" s="0" t="inlineStr">
        <is>
          <t xml:space="preserve">Mazda</t>
        </is>
      </c>
      <c r="F10525" s="0" t="inlineStr">
        <is>
          <t xml:space="preserve">Mazda</t>
        </is>
      </c>
      <c r="G10525" s="0" t="s">
        <v>171</v>
      </c>
      <c r="H10525" s="5">
        <v>3.209600</v>
      </c>
    </row>
    <row r="10526" spans="1:9">
      <c r="A10526" s="22" t="str">
        <f>HYPERLINK("https://app.vivvix.com/360/KMI/IntelliDrive/ApplUI/Pages/CreativePages/CustomReportCreativeDetail.aspx?App=23&amp;ReportView=4&amp;Qid=1711279&amp;Row=10518&amp;Col=1","No Title Assigned - #15272020799")</f>
        <v/>
      </c>
      <c r="B10526" s="0" t="s">
        <v>14299</v>
      </c>
      <c r="E10526" s="0" t="inlineStr">
        <is>
          <t xml:space="preserve">Mazda</t>
        </is>
      </c>
      <c r="F10526" s="0" t="inlineStr">
        <is>
          <t xml:space="preserve">Mazda</t>
        </is>
      </c>
      <c r="G10526" s="0" t="s">
        <v>171</v>
      </c>
      <c r="H10526" s="5">
        <v>121.336500</v>
      </c>
    </row>
    <row r="10527" spans="1:9">
      <c r="A10527" s="22" t="str">
        <f>HYPERLINK("https://app.vivvix.com/360/KMI/IntelliDrive/ApplUI/Pages/CreativePages/CustomReportCreativeDetail.aspx?App=23&amp;ReportView=4&amp;Qid=1711279&amp;Row=10519&amp;Col=1","No Title Assigned - #15272021097")</f>
        <v/>
      </c>
      <c r="B10527" s="0" t="s">
        <v>14300</v>
      </c>
      <c r="E10527" s="0" t="inlineStr">
        <is>
          <t xml:space="preserve">Mazda</t>
        </is>
      </c>
      <c r="F10527" s="0" t="inlineStr">
        <is>
          <t xml:space="preserve">Mazda</t>
        </is>
      </c>
      <c r="G10527" s="0" t="s">
        <v>171</v>
      </c>
      <c r="H10527" s="5">
        <v>17.756900</v>
      </c>
    </row>
    <row r="10528" spans="1:9">
      <c r="A10528" s="22" t="str">
        <f>HYPERLINK("https://app.vivvix.com/360/KMI/IntelliDrive/ApplUI/Pages/CreativePages/CustomReportCreativeDetail.aspx?App=23&amp;ReportView=4&amp;Qid=1711279&amp;Row=10520&amp;Col=1","No Title Assigned - #15272021115")</f>
        <v/>
      </c>
      <c r="B10528" s="0" t="s">
        <v>14301</v>
      </c>
      <c r="E10528" s="0" t="inlineStr">
        <is>
          <t xml:space="preserve">Mazda</t>
        </is>
      </c>
      <c r="F10528" s="0" t="inlineStr">
        <is>
          <t xml:space="preserve">Mazda</t>
        </is>
      </c>
      <c r="G10528" s="0" t="s">
        <v>171</v>
      </c>
      <c r="H10528" s="5">
        <v>75.192200</v>
      </c>
    </row>
    <row r="10529" spans="1:9">
      <c r="A10529" s="22" t="str">
        <f>HYPERLINK("https://app.vivvix.com/360/KMI/IntelliDrive/ApplUI/Pages/CreativePages/CustomReportCreativeDetail.aspx?App=23&amp;ReportView=4&amp;Qid=1711279&amp;Row=10521&amp;Col=1","No Title Assigned - #15272021773")</f>
        <v/>
      </c>
      <c r="B10529" s="0" t="s">
        <v>14302</v>
      </c>
      <c r="E10529" s="0" t="inlineStr">
        <is>
          <t xml:space="preserve">Mazda</t>
        </is>
      </c>
      <c r="F10529" s="0" t="inlineStr">
        <is>
          <t xml:space="preserve">Mazda</t>
        </is>
      </c>
      <c r="G10529" s="0" t="s">
        <v>171</v>
      </c>
      <c r="H10529" s="5">
        <v>9.867400</v>
      </c>
    </row>
    <row r="10530" spans="1:9">
      <c r="A10530" s="22" t="str">
        <f>HYPERLINK("https://app.vivvix.com/360/KMI/IntelliDrive/ApplUI/Pages/CreativePages/CustomReportCreativeDetail.aspx?App=23&amp;ReportView=4&amp;Qid=1711279&amp;Row=10522&amp;Col=1","No Title Assigned - #15272022114")</f>
        <v/>
      </c>
      <c r="B10530" s="0" t="s">
        <v>14303</v>
      </c>
      <c r="E10530" s="0" t="inlineStr">
        <is>
          <t xml:space="preserve">Mazda</t>
        </is>
      </c>
      <c r="F10530" s="0" t="inlineStr">
        <is>
          <t xml:space="preserve">Mazda</t>
        </is>
      </c>
      <c r="G10530" s="0" t="s">
        <v>171</v>
      </c>
      <c r="H10530" s="5">
        <v>32.441200</v>
      </c>
    </row>
    <row r="10531" spans="1:9">
      <c r="A10531" s="22" t="str">
        <f>HYPERLINK("https://app.vivvix.com/360/KMI/IntelliDrive/ApplUI/Pages/CreativePages/CustomReportCreativeDetail.aspx?App=23&amp;ReportView=4&amp;Qid=1711279&amp;Row=10523&amp;Col=1","No Title Assigned - #15272022304")</f>
        <v/>
      </c>
      <c r="B10531" s="0" t="s">
        <v>14304</v>
      </c>
      <c r="E10531" s="0" t="inlineStr">
        <is>
          <t xml:space="preserve">Mazda</t>
        </is>
      </c>
      <c r="F10531" s="0" t="inlineStr">
        <is>
          <t xml:space="preserve">Mazda</t>
        </is>
      </c>
      <c r="G10531" s="0" t="s">
        <v>171</v>
      </c>
      <c r="H10531" s="5">
        <v>654.904300</v>
      </c>
    </row>
    <row r="10532" spans="1:9">
      <c r="A10532" s="22" t="str">
        <f>HYPERLINK("https://app.vivvix.com/360/KMI/IntelliDrive/ApplUI/Pages/CreativePages/CustomReportCreativeDetail.aspx?App=23&amp;ReportView=4&amp;Qid=1711279&amp;Row=10524&amp;Col=1","No Title Assigned - #15272022593")</f>
        <v/>
      </c>
      <c r="B10532" s="0" t="s">
        <v>14305</v>
      </c>
      <c r="E10532" s="0" t="inlineStr">
        <is>
          <t xml:space="preserve">Mazda</t>
        </is>
      </c>
      <c r="F10532" s="0" t="inlineStr">
        <is>
          <t xml:space="preserve">Mazda</t>
        </is>
      </c>
      <c r="G10532" s="0" t="s">
        <v>171</v>
      </c>
      <c r="H10532" s="5">
        <v>96.323800</v>
      </c>
    </row>
    <row r="10533" spans="1:9">
      <c r="A10533" s="22" t="str">
        <f>HYPERLINK("https://app.vivvix.com/360/KMI/IntelliDrive/ApplUI/Pages/CreativePages/CustomReportCreativeDetail.aspx?App=23&amp;ReportView=4&amp;Qid=1711279&amp;Row=10525&amp;Col=1","No Title Assigned - #15272022857")</f>
        <v/>
      </c>
      <c r="B10533" s="0" t="s">
        <v>14306</v>
      </c>
      <c r="E10533" s="0" t="inlineStr">
        <is>
          <t xml:space="preserve">Mazda</t>
        </is>
      </c>
      <c r="F10533" s="0" t="inlineStr">
        <is>
          <t xml:space="preserve">Mazda</t>
        </is>
      </c>
      <c r="G10533" s="0" t="s">
        <v>171</v>
      </c>
      <c r="H10533" s="5">
        <v>52.719100</v>
      </c>
    </row>
    <row r="10534" spans="1:9">
      <c r="A10534" s="22" t="str">
        <f>HYPERLINK("https://app.vivvix.com/360/KMI/IntelliDrive/ApplUI/Pages/CreativePages/CustomReportCreativeDetail.aspx?App=23&amp;ReportView=4&amp;Qid=1711279&amp;Row=10526&amp;Col=1","No Title Assigned - #15272023908")</f>
        <v/>
      </c>
      <c r="B10534" s="0" t="s">
        <v>14307</v>
      </c>
      <c r="E10534" s="0" t="inlineStr">
        <is>
          <t xml:space="preserve">Mazda</t>
        </is>
      </c>
      <c r="F10534" s="0" t="inlineStr">
        <is>
          <t xml:space="preserve">Mazda</t>
        </is>
      </c>
      <c r="G10534" s="0" t="s">
        <v>171</v>
      </c>
      <c r="H10534" s="5">
        <v>2793.624800</v>
      </c>
    </row>
    <row r="10535" spans="1:9">
      <c r="A10535" s="22" t="str">
        <f>HYPERLINK("https://app.vivvix.com/360/KMI/IntelliDrive/ApplUI/Pages/CreativePages/CustomReportCreativeDetail.aspx?App=23&amp;ReportView=4&amp;Qid=1711279&amp;Row=10527&amp;Col=1","No Title Assigned - #15272024118")</f>
        <v/>
      </c>
      <c r="B10535" s="0" t="s">
        <v>14308</v>
      </c>
      <c r="C10535" s="0" t="s">
        <v>14309</v>
      </c>
      <c r="D10535" s="0" t="s">
        <v>14309</v>
      </c>
      <c r="E10535" s="0" t="inlineStr">
        <is>
          <t xml:space="preserve">Mazda</t>
        </is>
      </c>
      <c r="F10535" s="0" t="s">
        <v>13</v>
      </c>
      <c r="G10535" s="0" t="s">
        <v>49</v>
      </c>
      <c r="H10535" s="5">
        <v>144.889500</v>
      </c>
    </row>
    <row r="10536" spans="1:9">
      <c r="A10536" s="22" t="str">
        <f>HYPERLINK("https://app.vivvix.com/360/KMI/IntelliDrive/ApplUI/Pages/CreativePages/CustomReportCreativeDetail.aspx?App=23&amp;ReportView=4&amp;Qid=1711279&amp;Row=10528&amp;Col=1","No Title Assigned - #15272024792")</f>
        <v/>
      </c>
      <c r="B10536" s="0" t="s">
        <v>14310</v>
      </c>
      <c r="C10536" s="0" t="s">
        <v>14311</v>
      </c>
      <c r="D10536" s="0" t="s">
        <v>14311</v>
      </c>
      <c r="E10536" s="0" t="inlineStr">
        <is>
          <t xml:space="preserve">Mazda</t>
        </is>
      </c>
      <c r="F10536" s="0" t="s">
        <v>28</v>
      </c>
      <c r="G10536" s="0" t="s">
        <v>29</v>
      </c>
      <c r="H10536" s="5">
        <v>119.063800</v>
      </c>
    </row>
    <row r="10537" spans="1:9">
      <c r="A10537" s="22" t="str">
        <f>HYPERLINK("https://app.vivvix.com/360/KMI/IntelliDrive/ApplUI/Pages/CreativePages/CustomReportCreativeDetail.aspx?App=23&amp;ReportView=4&amp;Qid=1711279&amp;Row=10529&amp;Col=1","No Title Assigned - #15272025130")</f>
        <v/>
      </c>
      <c r="B10537" s="0" t="s">
        <v>14312</v>
      </c>
      <c r="C10537" s="0" t="s">
        <v>14313</v>
      </c>
      <c r="D10537" s="0" t="s">
        <v>4202</v>
      </c>
      <c r="E10537" s="0" t="inlineStr">
        <is>
          <t xml:space="preserve">Mazda</t>
        </is>
      </c>
      <c r="F10537" s="0" t="s">
        <v>28</v>
      </c>
      <c r="G10537" s="0" t="s">
        <v>29</v>
      </c>
      <c r="H10537" s="5">
        <v>30.766600</v>
      </c>
    </row>
    <row r="10538" spans="1:9">
      <c r="A10538" s="22" t="str">
        <f>HYPERLINK("https://app.vivvix.com/360/KMI/IntelliDrive/ApplUI/Pages/CreativePages/CustomReportCreativeDetail.aspx?App=23&amp;ReportView=4&amp;Qid=1711279&amp;Row=10530&amp;Col=1","No Title Assigned - #15272025428")</f>
        <v/>
      </c>
      <c r="B10538" s="0" t="s">
        <v>14314</v>
      </c>
      <c r="C10538" s="0" t="s">
        <v>14315</v>
      </c>
      <c r="D10538" s="0" t="s">
        <v>4430</v>
      </c>
      <c r="E10538" s="0" t="inlineStr">
        <is>
          <t xml:space="preserve">Mazda</t>
        </is>
      </c>
      <c r="F10538" s="0" t="s">
        <v>28</v>
      </c>
      <c r="G10538" s="0" t="s">
        <v>29</v>
      </c>
      <c r="H10538" s="5">
        <v>0.715800</v>
      </c>
    </row>
    <row r="10539" spans="1:9">
      <c r="A10539" s="22" t="str">
        <f>HYPERLINK("https://app.vivvix.com/360/KMI/IntelliDrive/ApplUI/Pages/CreativePages/CustomReportCreativeDetail.aspx?App=23&amp;ReportView=4&amp;Qid=1711279&amp;Row=10531&amp;Col=1","No Title Assigned - #15272025576")</f>
        <v/>
      </c>
      <c r="B10539" s="0" t="s">
        <v>14316</v>
      </c>
      <c r="C10539" s="0" t="s">
        <v>14317</v>
      </c>
      <c r="D10539" s="0" t="s">
        <v>14317</v>
      </c>
      <c r="E10539" s="0" t="inlineStr">
        <is>
          <t xml:space="preserve">Mazda</t>
        </is>
      </c>
      <c r="F10539" s="0" t="s">
        <v>13</v>
      </c>
      <c r="G10539" s="0" t="s">
        <v>49</v>
      </c>
      <c r="H10539" s="5">
        <v>4601.013400</v>
      </c>
    </row>
    <row r="10540" spans="1:9">
      <c r="A10540" s="22" t="str">
        <f>HYPERLINK("https://app.vivvix.com/360/KMI/IntelliDrive/ApplUI/Pages/CreativePages/CustomReportCreativeDetail.aspx?App=23&amp;ReportView=4&amp;Qid=1711279&amp;Row=10532&amp;Col=1","No Title Assigned - #15272025576")</f>
        <v/>
      </c>
      <c r="B10540" s="0" t="s">
        <v>14316</v>
      </c>
      <c r="E10540" s="0" t="inlineStr">
        <is>
          <t xml:space="preserve">Mazda</t>
        </is>
      </c>
      <c r="F10540" s="0" t="s">
        <v>13</v>
      </c>
      <c r="G10540" s="0" t="s">
        <v>49</v>
      </c>
      <c r="H10540" s="5">
        <v>87.008400</v>
      </c>
    </row>
    <row r="10541" spans="1:9">
      <c r="A10541" s="22" t="str">
        <f>HYPERLINK("https://app.vivvix.com/360/KMI/IntelliDrive/ApplUI/Pages/CreativePages/CustomReportCreativeDetail.aspx?App=23&amp;ReportView=4&amp;Qid=1711279&amp;Row=10533&amp;Col=1","No Title Assigned - #15272025585")</f>
        <v/>
      </c>
      <c r="B10541" s="0" t="s">
        <v>14318</v>
      </c>
      <c r="E10541" s="0" t="inlineStr">
        <is>
          <t xml:space="preserve">Mazda</t>
        </is>
      </c>
      <c r="F10541" s="0" t="inlineStr">
        <is>
          <t xml:space="preserve">Mazda</t>
        </is>
      </c>
      <c r="G10541" s="0" t="s">
        <v>171</v>
      </c>
      <c r="H10541" s="5">
        <v>60.743800</v>
      </c>
    </row>
    <row r="10542" spans="1:9">
      <c r="A10542" s="22" t="str">
        <f>HYPERLINK("https://app.vivvix.com/360/KMI/IntelliDrive/ApplUI/Pages/CreativePages/CustomReportCreativeDetail.aspx?App=23&amp;ReportView=4&amp;Qid=1711279&amp;Row=10534&amp;Col=1","No Title Assigned - #15272025781")</f>
        <v/>
      </c>
      <c r="B10542" s="0" t="s">
        <v>14319</v>
      </c>
      <c r="C10542" s="0" t="s">
        <v>14320</v>
      </c>
      <c r="D10542" s="0" t="s">
        <v>14320</v>
      </c>
      <c r="E10542" s="0" t="inlineStr">
        <is>
          <t xml:space="preserve">Mazda</t>
        </is>
      </c>
      <c r="F10542" s="0" t="s">
        <v>28</v>
      </c>
      <c r="G10542" s="0" t="s">
        <v>29</v>
      </c>
      <c r="H10542" s="5">
        <v>1300.476400</v>
      </c>
    </row>
    <row r="10543" spans="1:9">
      <c r="A10543" s="22" t="str">
        <f>HYPERLINK("https://app.vivvix.com/360/KMI/IntelliDrive/ApplUI/Pages/CreativePages/CustomReportCreativeDetail.aspx?App=23&amp;ReportView=4&amp;Qid=1711279&amp;Row=10535&amp;Col=1","No Title Assigned - #15272025972")</f>
        <v/>
      </c>
      <c r="B10543" s="0" t="s">
        <v>14321</v>
      </c>
      <c r="C10543" s="0" t="s">
        <v>14322</v>
      </c>
      <c r="D10543" s="0" t="s">
        <v>4200</v>
      </c>
      <c r="E10543" s="0" t="inlineStr">
        <is>
          <t xml:space="preserve">Mazda</t>
        </is>
      </c>
      <c r="F10543" s="0" t="s">
        <v>28</v>
      </c>
      <c r="G10543" s="0" t="s">
        <v>29</v>
      </c>
      <c r="H10543" s="5">
        <v>2.758000</v>
      </c>
    </row>
    <row r="10544" spans="1:9">
      <c r="A10544" s="22" t="str">
        <f>HYPERLINK("https://app.vivvix.com/360/KMI/IntelliDrive/ApplUI/Pages/CreativePages/CustomReportCreativeDetail.aspx?App=23&amp;ReportView=4&amp;Qid=1711279&amp;Row=10536&amp;Col=1","No Title Assigned - #15272025998")</f>
        <v/>
      </c>
      <c r="B10544" s="0" t="s">
        <v>14323</v>
      </c>
      <c r="C10544" s="0" t="s">
        <v>14324</v>
      </c>
      <c r="D10544" s="0" t="s">
        <v>14324</v>
      </c>
      <c r="E10544" s="0" t="inlineStr">
        <is>
          <t xml:space="preserve">Mazda</t>
        </is>
      </c>
      <c r="F10544" s="0" t="s">
        <v>13</v>
      </c>
      <c r="G10544" s="0" t="s">
        <v>49</v>
      </c>
      <c r="H10544" s="5">
        <v>24137.008400</v>
      </c>
    </row>
    <row r="10545" spans="1:9">
      <c r="A10545" s="22" t="str">
        <f>HYPERLINK("https://app.vivvix.com/360/KMI/IntelliDrive/ApplUI/Pages/CreativePages/CustomReportCreativeDetail.aspx?App=23&amp;ReportView=4&amp;Qid=1711279&amp;Row=10537&amp;Col=1","No Title Assigned - #15272026003")</f>
        <v/>
      </c>
      <c r="B10545" s="0" t="s">
        <v>14325</v>
      </c>
      <c r="C10545" s="0" t="s">
        <v>14326</v>
      </c>
      <c r="D10545" s="0" t="s">
        <v>14326</v>
      </c>
      <c r="E10545" s="0" t="inlineStr">
        <is>
          <t xml:space="preserve">Mazda</t>
        </is>
      </c>
      <c r="F10545" s="0" t="s">
        <v>13</v>
      </c>
      <c r="G10545" s="0" t="s">
        <v>49</v>
      </c>
      <c r="H10545" s="5">
        <v>78.102900</v>
      </c>
    </row>
    <row r="10546" spans="1:9">
      <c r="A10546" s="22" t="str">
        <f>HYPERLINK("https://app.vivvix.com/360/KMI/IntelliDrive/ApplUI/Pages/CreativePages/CustomReportCreativeDetail.aspx?App=23&amp;ReportView=4&amp;Qid=1711279&amp;Row=10538&amp;Col=1","No Title Assigned - #15272026005")</f>
        <v/>
      </c>
      <c r="B10546" s="0" t="s">
        <v>14327</v>
      </c>
      <c r="C10546" s="0" t="s">
        <v>14328</v>
      </c>
      <c r="D10546" s="0" t="s">
        <v>14328</v>
      </c>
      <c r="E10546" s="0" t="inlineStr">
        <is>
          <t xml:space="preserve">Mazda</t>
        </is>
      </c>
      <c r="F10546" s="0" t="s">
        <v>13</v>
      </c>
      <c r="G10546" s="0" t="s">
        <v>49</v>
      </c>
      <c r="H10546" s="5">
        <v>65.036800</v>
      </c>
    </row>
    <row r="10547" spans="1:9">
      <c r="A10547" s="22" t="str">
        <f>HYPERLINK("https://app.vivvix.com/360/KMI/IntelliDrive/ApplUI/Pages/CreativePages/CustomReportCreativeDetail.aspx?App=23&amp;ReportView=4&amp;Qid=1711279&amp;Row=10539&amp;Col=1","No Title Assigned - #15272026205")</f>
        <v/>
      </c>
      <c r="B10547" s="0" t="s">
        <v>14329</v>
      </c>
      <c r="E10547" s="0" t="inlineStr">
        <is>
          <t xml:space="preserve">Mazda</t>
        </is>
      </c>
      <c r="F10547" s="0" t="inlineStr">
        <is>
          <t xml:space="preserve">Mazda</t>
        </is>
      </c>
      <c r="G10547" s="0" t="s">
        <v>171</v>
      </c>
      <c r="H10547" s="5">
        <v>3.485200</v>
      </c>
    </row>
    <row r="10548" spans="1:9">
      <c r="A10548" s="22" t="str">
        <f>HYPERLINK("https://app.vivvix.com/360/KMI/IntelliDrive/ApplUI/Pages/CreativePages/CustomReportCreativeDetail.aspx?App=23&amp;ReportView=4&amp;Qid=1711279&amp;Row=10540&amp;Col=1","No Title Assigned - #15272026258")</f>
        <v/>
      </c>
      <c r="B10548" s="0" t="s">
        <v>14330</v>
      </c>
      <c r="C10548" s="0" t="s">
        <v>14331</v>
      </c>
      <c r="D10548" s="0" t="s">
        <v>14331</v>
      </c>
      <c r="E10548" s="0" t="inlineStr">
        <is>
          <t xml:space="preserve">Mazda</t>
        </is>
      </c>
      <c r="F10548" s="0" t="inlineStr">
        <is>
          <t xml:space="preserve">Mazda</t>
        </is>
      </c>
      <c r="G10548" s="0" t="s">
        <v>171</v>
      </c>
      <c r="H10548" s="5">
        <v>86.352300</v>
      </c>
    </row>
    <row r="10549" spans="1:9">
      <c r="A10549" s="22" t="str">
        <f>HYPERLINK("https://app.vivvix.com/360/KMI/IntelliDrive/ApplUI/Pages/CreativePages/CustomReportCreativeDetail.aspx?App=23&amp;ReportView=4&amp;Qid=1711279&amp;Row=10541&amp;Col=1","No Title Assigned - #15272026421")</f>
        <v/>
      </c>
      <c r="B10549" s="0" t="s">
        <v>14332</v>
      </c>
      <c r="C10549" s="0" t="s">
        <v>14333</v>
      </c>
      <c r="D10549" s="0" t="s">
        <v>14333</v>
      </c>
      <c r="E10549" s="0" t="inlineStr">
        <is>
          <t xml:space="preserve">Mazda</t>
        </is>
      </c>
      <c r="F10549" s="0" t="s">
        <v>28</v>
      </c>
      <c r="G10549" s="0" t="s">
        <v>29</v>
      </c>
      <c r="H10549" s="5">
        <v>128534.226600</v>
      </c>
    </row>
    <row r="10550" spans="1:9">
      <c r="A10550" s="22" t="str">
        <f>HYPERLINK("https://app.vivvix.com/360/KMI/IntelliDrive/ApplUI/Pages/CreativePages/CustomReportCreativeDetail.aspx?App=23&amp;ReportView=4&amp;Qid=1711279&amp;Row=10542&amp;Col=1","No Title Assigned - #15272026549")</f>
        <v/>
      </c>
      <c r="B10550" s="0" t="s">
        <v>14334</v>
      </c>
      <c r="C10550" s="0" t="s">
        <v>14335</v>
      </c>
      <c r="D10550" s="0" t="s">
        <v>14335</v>
      </c>
      <c r="E10550" s="0" t="inlineStr">
        <is>
          <t xml:space="preserve">Mazda</t>
        </is>
      </c>
      <c r="F10550" s="0" t="s">
        <v>28</v>
      </c>
      <c r="G10550" s="0" t="s">
        <v>29</v>
      </c>
      <c r="H10550" s="5">
        <v>6.906400</v>
      </c>
    </row>
    <row r="10551" spans="1:9">
      <c r="A10551" s="22" t="str">
        <f>HYPERLINK("https://app.vivvix.com/360/KMI/IntelliDrive/ApplUI/Pages/CreativePages/CustomReportCreativeDetail.aspx?App=23&amp;ReportView=4&amp;Qid=1711279&amp;Row=10543&amp;Col=1","No Title Assigned - #15272026831")</f>
        <v/>
      </c>
      <c r="B10551" s="0" t="s">
        <v>14336</v>
      </c>
      <c r="C10551" s="0" t="s">
        <v>14337</v>
      </c>
      <c r="D10551" s="0" t="s">
        <v>14337</v>
      </c>
      <c r="E10551" s="0" t="inlineStr">
        <is>
          <t xml:space="preserve">Mazda</t>
        </is>
      </c>
      <c r="F10551" s="0" t="s">
        <v>28</v>
      </c>
      <c r="G10551" s="0" t="s">
        <v>29</v>
      </c>
      <c r="H10551" s="5">
        <v>12.225400</v>
      </c>
    </row>
    <row r="10552" spans="1:9">
      <c r="A10552" s="22" t="str">
        <f>HYPERLINK("https://app.vivvix.com/360/KMI/IntelliDrive/ApplUI/Pages/CreativePages/CustomReportCreativeDetail.aspx?App=23&amp;ReportView=4&amp;Qid=1711279&amp;Row=10544&amp;Col=1","No Title Assigned - #15272026957")</f>
        <v/>
      </c>
      <c r="B10552" s="0" t="s">
        <v>14338</v>
      </c>
      <c r="C10552" s="0" t="s">
        <v>14339</v>
      </c>
      <c r="D10552" s="0" t="s">
        <v>14339</v>
      </c>
      <c r="E10552" s="0" t="inlineStr">
        <is>
          <t xml:space="preserve">Mazda</t>
        </is>
      </c>
      <c r="F10552" s="0" t="s">
        <v>28</v>
      </c>
      <c r="G10552" s="0" t="s">
        <v>29</v>
      </c>
      <c r="H10552" s="5">
        <v>16944.161900</v>
      </c>
    </row>
    <row r="10553" spans="1:9">
      <c r="A10553" s="22" t="str">
        <f>HYPERLINK("https://app.vivvix.com/360/KMI/IntelliDrive/ApplUI/Pages/CreativePages/CustomReportCreativeDetail.aspx?App=23&amp;ReportView=4&amp;Qid=1711279&amp;Row=10545&amp;Col=1","No Title Assigned - #15272026957")</f>
        <v/>
      </c>
      <c r="B10553" s="0" t="s">
        <v>14338</v>
      </c>
      <c r="E10553" s="0" t="inlineStr">
        <is>
          <t xml:space="preserve">Mazda</t>
        </is>
      </c>
      <c r="F10553" s="0" t="s">
        <v>28</v>
      </c>
      <c r="G10553" s="0" t="s">
        <v>29</v>
      </c>
      <c r="H10553" s="5">
        <v>476.044200</v>
      </c>
    </row>
    <row r="10554" spans="1:9">
      <c r="A10554" s="22" t="str">
        <f>HYPERLINK("https://app.vivvix.com/360/KMI/IntelliDrive/ApplUI/Pages/CreativePages/CustomReportCreativeDetail.aspx?App=23&amp;ReportView=4&amp;Qid=1711279&amp;Row=10546&amp;Col=1","No Title Assigned - #15272027000")</f>
        <v/>
      </c>
      <c r="B10554" s="0" t="s">
        <v>14340</v>
      </c>
      <c r="E10554" s="0" t="inlineStr">
        <is>
          <t xml:space="preserve">Mazda</t>
        </is>
      </c>
      <c r="F10554" s="0" t="inlineStr">
        <is>
          <t xml:space="preserve">Mazda</t>
        </is>
      </c>
      <c r="G10554" s="0" t="s">
        <v>171</v>
      </c>
      <c r="H10554" s="5">
        <v>1.350900</v>
      </c>
    </row>
    <row r="10555" spans="1:9">
      <c r="A10555" s="22" t="str">
        <f>HYPERLINK("https://app.vivvix.com/360/KMI/IntelliDrive/ApplUI/Pages/CreativePages/CustomReportCreativeDetail.aspx?App=23&amp;ReportView=4&amp;Qid=1711279&amp;Row=10547&amp;Col=1","No Title Assigned - #15272027246")</f>
        <v/>
      </c>
      <c r="B10555" s="0" t="s">
        <v>14341</v>
      </c>
      <c r="E10555" s="0" t="inlineStr">
        <is>
          <t xml:space="preserve">Mazda</t>
        </is>
      </c>
      <c r="F10555" s="0" t="inlineStr">
        <is>
          <t xml:space="preserve">Mazda</t>
        </is>
      </c>
      <c r="G10555" s="0" t="s">
        <v>171</v>
      </c>
      <c r="H10555" s="5">
        <v>5.017600</v>
      </c>
    </row>
    <row r="10556" spans="1:9">
      <c r="A10556" s="22" t="str">
        <f>HYPERLINK("https://app.vivvix.com/360/KMI/IntelliDrive/ApplUI/Pages/CreativePages/CustomReportCreativeDetail.aspx?App=23&amp;ReportView=4&amp;Qid=1711279&amp;Row=10548&amp;Col=1","No Title Assigned - #15272027285")</f>
        <v/>
      </c>
      <c r="B10556" s="0" t="s">
        <v>14342</v>
      </c>
      <c r="E10556" s="0" t="inlineStr">
        <is>
          <t xml:space="preserve">Mazda</t>
        </is>
      </c>
      <c r="F10556" s="0" t="inlineStr">
        <is>
          <t xml:space="preserve">Mazda</t>
        </is>
      </c>
      <c r="G10556" s="0" t="s">
        <v>171</v>
      </c>
      <c r="H10556" s="5">
        <v>17263.424200</v>
      </c>
    </row>
    <row r="10557" spans="1:9">
      <c r="A10557" s="22" t="str">
        <f>HYPERLINK("https://app.vivvix.com/360/KMI/IntelliDrive/ApplUI/Pages/CreativePages/CustomReportCreativeDetail.aspx?App=23&amp;ReportView=4&amp;Qid=1711279&amp;Row=10549&amp;Col=1","No Title Assigned - #15272027612")</f>
        <v/>
      </c>
      <c r="B10557" s="0" t="s">
        <v>14343</v>
      </c>
      <c r="C10557" s="0" t="s">
        <v>14344</v>
      </c>
      <c r="D10557" s="0" t="s">
        <v>6656</v>
      </c>
      <c r="E10557" s="0" t="inlineStr">
        <is>
          <t xml:space="preserve">Mazda</t>
        </is>
      </c>
      <c r="F10557" s="0" t="s">
        <v>28</v>
      </c>
      <c r="G10557" s="0" t="s">
        <v>29</v>
      </c>
      <c r="H10557" s="5">
        <v>42.406400</v>
      </c>
    </row>
    <row r="10558" spans="1:9">
      <c r="A10558" s="22" t="str">
        <f>HYPERLINK("https://app.vivvix.com/360/KMI/IntelliDrive/ApplUI/Pages/CreativePages/CustomReportCreativeDetail.aspx?App=23&amp;ReportView=4&amp;Qid=1711279&amp;Row=10550&amp;Col=1","No Title Assigned - #15272027622")</f>
        <v/>
      </c>
      <c r="B10558" s="0" t="s">
        <v>14345</v>
      </c>
      <c r="C10558" s="0" t="s">
        <v>14346</v>
      </c>
      <c r="D10558" s="0" t="s">
        <v>14346</v>
      </c>
      <c r="E10558" s="0" t="inlineStr">
        <is>
          <t xml:space="preserve">Mazda</t>
        </is>
      </c>
      <c r="F10558" s="0" t="s">
        <v>13</v>
      </c>
      <c r="G10558" s="0" t="s">
        <v>49</v>
      </c>
      <c r="H10558" s="5">
        <v>852.748300</v>
      </c>
    </row>
    <row r="10559" spans="1:9">
      <c r="A10559" s="22" t="str">
        <f>HYPERLINK("https://app.vivvix.com/360/KMI/IntelliDrive/ApplUI/Pages/CreativePages/CustomReportCreativeDetail.aspx?App=23&amp;ReportView=4&amp;Qid=1711279&amp;Row=10551&amp;Col=1","No Title Assigned - #15272027677")</f>
        <v/>
      </c>
      <c r="B10559" s="0" t="s">
        <v>14347</v>
      </c>
      <c r="E10559" s="0" t="inlineStr">
        <is>
          <t xml:space="preserve">Mazda</t>
        </is>
      </c>
      <c r="F10559" s="0" t="inlineStr">
        <is>
          <t xml:space="preserve">Mazda</t>
        </is>
      </c>
      <c r="G10559" s="0" t="s">
        <v>171</v>
      </c>
      <c r="H10559" s="5">
        <v>389.128700</v>
      </c>
    </row>
    <row r="10560" spans="1:9">
      <c r="A10560" s="22" t="str">
        <f>HYPERLINK("https://app.vivvix.com/360/KMI/IntelliDrive/ApplUI/Pages/CreativePages/CustomReportCreativeDetail.aspx?App=23&amp;ReportView=4&amp;Qid=1711279&amp;Row=10552&amp;Col=1","No Title Assigned - #15272027975")</f>
        <v/>
      </c>
      <c r="B10560" s="0" t="s">
        <v>14348</v>
      </c>
      <c r="E10560" s="0" t="inlineStr">
        <is>
          <t xml:space="preserve">Mazda</t>
        </is>
      </c>
      <c r="F10560" s="0" t="inlineStr">
        <is>
          <t xml:space="preserve">Mazda</t>
        </is>
      </c>
      <c r="G10560" s="0" t="s">
        <v>171</v>
      </c>
      <c r="H10560" s="5">
        <v>30724.443400</v>
      </c>
    </row>
    <row r="10561" spans="1:9">
      <c r="A10561" s="22" t="str">
        <f>HYPERLINK("https://app.vivvix.com/360/KMI/IntelliDrive/ApplUI/Pages/CreativePages/CustomReportCreativeDetail.aspx?App=23&amp;ReportView=4&amp;Qid=1711279&amp;Row=10553&amp;Col=1","No Title Assigned - #15272027975")</f>
        <v/>
      </c>
      <c r="B10561" s="0" t="s">
        <v>14348</v>
      </c>
      <c r="E10561" s="0" t="inlineStr">
        <is>
          <t xml:space="preserve">Mazda</t>
        </is>
      </c>
      <c r="F10561" s="0" t="inlineStr">
        <is>
          <t xml:space="preserve">Mazda</t>
        </is>
      </c>
      <c r="G10561" s="0" t="s">
        <v>171</v>
      </c>
      <c r="H10561" s="5">
        <v>749.097100</v>
      </c>
    </row>
    <row r="10562" spans="1:9">
      <c r="A10562" s="22" t="str">
        <f>HYPERLINK("https://app.vivvix.com/360/KMI/IntelliDrive/ApplUI/Pages/CreativePages/CustomReportCreativeDetail.aspx?App=23&amp;ReportView=4&amp;Qid=1711279&amp;Row=10554&amp;Col=1","No Title Assigned - #15272028235")</f>
        <v/>
      </c>
      <c r="B10562" s="0" t="s">
        <v>14349</v>
      </c>
      <c r="C10562" s="0" t="s">
        <v>14350</v>
      </c>
      <c r="D10562" s="0" t="s">
        <v>14350</v>
      </c>
      <c r="E10562" s="0" t="inlineStr">
        <is>
          <t xml:space="preserve">Mazda</t>
        </is>
      </c>
      <c r="F10562" s="0" t="s">
        <v>28</v>
      </c>
      <c r="G10562" s="0" t="s">
        <v>29</v>
      </c>
      <c r="H10562" s="5">
        <v>3428.745000</v>
      </c>
    </row>
    <row r="10563" spans="1:9">
      <c r="A10563" s="22" t="str">
        <f>HYPERLINK("https://app.vivvix.com/360/KMI/IntelliDrive/ApplUI/Pages/CreativePages/CustomReportCreativeDetail.aspx?App=23&amp;ReportView=4&amp;Qid=1711279&amp;Row=10555&amp;Col=1","No Title Assigned - #15272028235")</f>
        <v/>
      </c>
      <c r="B10563" s="0" t="s">
        <v>14349</v>
      </c>
      <c r="E10563" s="0" t="inlineStr">
        <is>
          <t xml:space="preserve">Mazda</t>
        </is>
      </c>
      <c r="F10563" s="0" t="s">
        <v>28</v>
      </c>
      <c r="G10563" s="0" t="s">
        <v>29</v>
      </c>
      <c r="H10563" s="5">
        <v>127.294400</v>
      </c>
    </row>
    <row r="10564" spans="1:9">
      <c r="A10564" s="22" t="str">
        <f>HYPERLINK("https://app.vivvix.com/360/KMI/IntelliDrive/ApplUI/Pages/CreativePages/CustomReportCreativeDetail.aspx?App=23&amp;ReportView=4&amp;Qid=1711279&amp;Row=10556&amp;Col=1","No Title Assigned - #15272028244")</f>
        <v/>
      </c>
      <c r="B10564" s="0" t="s">
        <v>14351</v>
      </c>
      <c r="C10564" s="0" t="s">
        <v>14352</v>
      </c>
      <c r="D10564" s="0" t="s">
        <v>4200</v>
      </c>
      <c r="E10564" s="0" t="inlineStr">
        <is>
          <t xml:space="preserve">Mazda</t>
        </is>
      </c>
      <c r="F10564" s="0" t="s">
        <v>28</v>
      </c>
      <c r="G10564" s="0" t="s">
        <v>29</v>
      </c>
      <c r="H10564" s="5">
        <v>483.973400</v>
      </c>
    </row>
    <row r="10565" spans="1:9">
      <c r="A10565" s="22" t="str">
        <f>HYPERLINK("https://app.vivvix.com/360/KMI/IntelliDrive/ApplUI/Pages/CreativePages/CustomReportCreativeDetail.aspx?App=23&amp;ReportView=4&amp;Qid=1711279&amp;Row=10557&amp;Col=1","No Title Assigned - #15272028249")</f>
        <v/>
      </c>
      <c r="B10565" s="0" t="s">
        <v>14353</v>
      </c>
      <c r="E10565" s="0" t="inlineStr">
        <is>
          <t xml:space="preserve">Mazda</t>
        </is>
      </c>
      <c r="F10565" s="0" t="inlineStr">
        <is>
          <t xml:space="preserve">Mazda</t>
        </is>
      </c>
      <c r="G10565" s="0" t="s">
        <v>171</v>
      </c>
      <c r="H10565" s="5">
        <v>49.600700</v>
      </c>
    </row>
    <row r="10566" spans="1:9">
      <c r="A10566" s="22" t="str">
        <f>HYPERLINK("https://app.vivvix.com/360/KMI/IntelliDrive/ApplUI/Pages/CreativePages/CustomReportCreativeDetail.aspx?App=23&amp;ReportView=4&amp;Qid=1711279&amp;Row=10558&amp;Col=1","No Title Assigned - #15272028460")</f>
        <v/>
      </c>
      <c r="B10566" s="0" t="s">
        <v>14354</v>
      </c>
      <c r="E10566" s="0" t="inlineStr">
        <is>
          <t xml:space="preserve">Mazda</t>
        </is>
      </c>
      <c r="F10566" s="0" t="inlineStr">
        <is>
          <t xml:space="preserve">Mazda</t>
        </is>
      </c>
      <c r="G10566" s="0" t="s">
        <v>171</v>
      </c>
      <c r="H10566" s="5">
        <v>124.339600</v>
      </c>
    </row>
    <row r="10567" spans="1:9">
      <c r="A10567" s="22" t="str">
        <f>HYPERLINK("https://app.vivvix.com/360/KMI/IntelliDrive/ApplUI/Pages/CreativePages/CustomReportCreativeDetail.aspx?App=23&amp;ReportView=4&amp;Qid=1711279&amp;Row=10559&amp;Col=1","No Title Assigned - #15272028506")</f>
        <v/>
      </c>
      <c r="B10567" s="0" t="s">
        <v>14355</v>
      </c>
      <c r="C10567" s="0" t="s">
        <v>14356</v>
      </c>
      <c r="D10567" s="0" t="s">
        <v>9376</v>
      </c>
      <c r="E10567" s="0" t="inlineStr">
        <is>
          <t xml:space="preserve">Mazda</t>
        </is>
      </c>
      <c r="F10567" s="0" t="s">
        <v>28</v>
      </c>
      <c r="G10567" s="0" t="s">
        <v>29</v>
      </c>
      <c r="H10567" s="5">
        <v>21.544100</v>
      </c>
    </row>
    <row r="10568" spans="1:9">
      <c r="A10568" s="22" t="str">
        <f>HYPERLINK("https://app.vivvix.com/360/KMI/IntelliDrive/ApplUI/Pages/CreativePages/CustomReportCreativeDetail.aspx?App=23&amp;ReportView=4&amp;Qid=1711279&amp;Row=10560&amp;Col=1","No Title Assigned - #15272028506")</f>
        <v/>
      </c>
      <c r="B10568" s="0" t="s">
        <v>14355</v>
      </c>
      <c r="E10568" s="0" t="inlineStr">
        <is>
          <t xml:space="preserve">Mazda</t>
        </is>
      </c>
      <c r="F10568" s="0" t="s">
        <v>28</v>
      </c>
      <c r="G10568" s="0" t="s">
        <v>29</v>
      </c>
      <c r="H10568" s="5">
        <v>14203.999100</v>
      </c>
    </row>
    <row r="10569" spans="1:9">
      <c r="A10569" s="22" t="str">
        <f>HYPERLINK("https://app.vivvix.com/360/KMI/IntelliDrive/ApplUI/Pages/CreativePages/CustomReportCreativeDetail.aspx?App=23&amp;ReportView=4&amp;Qid=1711279&amp;Row=10561&amp;Col=1","No Title Assigned - #15272028723")</f>
        <v/>
      </c>
      <c r="B10569" s="0" t="s">
        <v>14357</v>
      </c>
      <c r="E10569" s="0" t="inlineStr">
        <is>
          <t xml:space="preserve">Mazda</t>
        </is>
      </c>
      <c r="F10569" s="0" t="inlineStr">
        <is>
          <t xml:space="preserve">Mazda</t>
        </is>
      </c>
      <c r="G10569" s="0" t="s">
        <v>171</v>
      </c>
      <c r="H10569" s="5">
        <v>58.970900</v>
      </c>
    </row>
    <row r="10570" spans="1:9">
      <c r="A10570" s="22" t="str">
        <f>HYPERLINK("https://app.vivvix.com/360/KMI/IntelliDrive/ApplUI/Pages/CreativePages/CustomReportCreativeDetail.aspx?App=23&amp;ReportView=4&amp;Qid=1711279&amp;Row=10562&amp;Col=1","No Title Assigned - #15272028725")</f>
        <v/>
      </c>
      <c r="B10570" s="0" t="s">
        <v>14358</v>
      </c>
      <c r="C10570" s="0" t="s">
        <v>14359</v>
      </c>
      <c r="D10570" s="0" t="s">
        <v>14359</v>
      </c>
      <c r="E10570" s="0" t="inlineStr">
        <is>
          <t xml:space="preserve">Mazda</t>
        </is>
      </c>
      <c r="F10570" s="0" t="s">
        <v>13</v>
      </c>
      <c r="G10570" s="0" t="s">
        <v>49</v>
      </c>
      <c r="H10570" s="5">
        <v>58.970900</v>
      </c>
    </row>
    <row r="10571" spans="1:9">
      <c r="A10571" s="22" t="str">
        <f>HYPERLINK("https://app.vivvix.com/360/KMI/IntelliDrive/ApplUI/Pages/CreativePages/CustomReportCreativeDetail.aspx?App=23&amp;ReportView=4&amp;Qid=1711279&amp;Row=10563&amp;Col=1","No Title Assigned - #15272028782")</f>
        <v/>
      </c>
      <c r="B10571" s="0" t="s">
        <v>14360</v>
      </c>
      <c r="E10571" s="0" t="inlineStr">
        <is>
          <t xml:space="preserve">Mazda</t>
        </is>
      </c>
      <c r="F10571" s="0" t="inlineStr">
        <is>
          <t xml:space="preserve">Mazda</t>
        </is>
      </c>
      <c r="G10571" s="0" t="s">
        <v>171</v>
      </c>
      <c r="H10571" s="5">
        <v>4.656900</v>
      </c>
    </row>
    <row r="10572" spans="1:9">
      <c r="A10572" s="22" t="str">
        <f>HYPERLINK("https://app.vivvix.com/360/KMI/IntelliDrive/ApplUI/Pages/CreativePages/CustomReportCreativeDetail.aspx?App=23&amp;ReportView=4&amp;Qid=1711279&amp;Row=10564&amp;Col=1","No Title Assigned - #15272028974")</f>
        <v/>
      </c>
      <c r="B10572" s="0" t="s">
        <v>14361</v>
      </c>
      <c r="E10572" s="0" t="inlineStr">
        <is>
          <t xml:space="preserve">Mazda</t>
        </is>
      </c>
      <c r="F10572" s="0" t="inlineStr">
        <is>
          <t xml:space="preserve">Mazda</t>
        </is>
      </c>
      <c r="G10572" s="0" t="s">
        <v>171</v>
      </c>
      <c r="H10572" s="5">
        <v>669.580100</v>
      </c>
    </row>
    <row r="10573" spans="1:9">
      <c r="A10573" s="22" t="str">
        <f>HYPERLINK("https://app.vivvix.com/360/KMI/IntelliDrive/ApplUI/Pages/CreativePages/CustomReportCreativeDetail.aspx?App=23&amp;ReportView=4&amp;Qid=1711279&amp;Row=10565&amp;Col=1","No Title Assigned - #15272029256")</f>
        <v/>
      </c>
      <c r="B10573" s="0" t="s">
        <v>14362</v>
      </c>
      <c r="C10573" s="0" t="s">
        <v>14363</v>
      </c>
      <c r="D10573" s="0" t="s">
        <v>14363</v>
      </c>
      <c r="E10573" s="0" t="inlineStr">
        <is>
          <t xml:space="preserve">Mazda</t>
        </is>
      </c>
      <c r="F10573" s="0" t="s">
        <v>13</v>
      </c>
      <c r="G10573" s="0" t="s">
        <v>49</v>
      </c>
      <c r="H10573" s="5">
        <v>11.791600</v>
      </c>
    </row>
    <row r="10574" spans="1:9">
      <c r="A10574" s="22" t="str">
        <f>HYPERLINK("https://app.vivvix.com/360/KMI/IntelliDrive/ApplUI/Pages/CreativePages/CustomReportCreativeDetail.aspx?App=23&amp;ReportView=4&amp;Qid=1711279&amp;Row=10566&amp;Col=1","No Title Assigned - #15272029613")</f>
        <v/>
      </c>
      <c r="B10574" s="0" t="s">
        <v>14364</v>
      </c>
      <c r="C10574" s="0" t="s">
        <v>14365</v>
      </c>
      <c r="D10574" s="0" t="s">
        <v>14365</v>
      </c>
      <c r="E10574" s="0" t="inlineStr">
        <is>
          <t xml:space="preserve">Mazda</t>
        </is>
      </c>
      <c r="F10574" s="0" t="s">
        <v>28</v>
      </c>
      <c r="G10574" s="0" t="s">
        <v>29</v>
      </c>
      <c r="H10574" s="5">
        <v>119.063800</v>
      </c>
    </row>
    <row r="10575" spans="1:9">
      <c r="A10575" s="22" t="str">
        <f>HYPERLINK("https://app.vivvix.com/360/KMI/IntelliDrive/ApplUI/Pages/CreativePages/CustomReportCreativeDetail.aspx?App=23&amp;ReportView=4&amp;Qid=1711279&amp;Row=10567&amp;Col=1","No Title Assigned - #15272029856")</f>
        <v/>
      </c>
      <c r="B10575" s="0" t="s">
        <v>14366</v>
      </c>
      <c r="C10575" s="0" t="s">
        <v>14367</v>
      </c>
      <c r="D10575" s="0" t="s">
        <v>14367</v>
      </c>
      <c r="E10575" s="0" t="inlineStr">
        <is>
          <t xml:space="preserve">Mazda</t>
        </is>
      </c>
      <c r="F10575" s="0" t="s">
        <v>28</v>
      </c>
      <c r="G10575" s="0" t="s">
        <v>29</v>
      </c>
      <c r="H10575" s="5">
        <v>9.887100</v>
      </c>
    </row>
    <row r="10576" spans="1:9">
      <c r="A10576" s="22" t="str">
        <f>HYPERLINK("https://app.vivvix.com/360/KMI/IntelliDrive/ApplUI/Pages/CreativePages/CustomReportCreativeDetail.aspx?App=23&amp;ReportView=4&amp;Qid=1711279&amp;Row=10568&amp;Col=1","No Title Assigned - #15272030119")</f>
        <v/>
      </c>
      <c r="B10576" s="0" t="s">
        <v>14368</v>
      </c>
      <c r="C10576" s="0" t="s">
        <v>14369</v>
      </c>
      <c r="D10576" s="0" t="s">
        <v>14369</v>
      </c>
      <c r="E10576" s="0" t="inlineStr">
        <is>
          <t xml:space="preserve">Mazda</t>
        </is>
      </c>
      <c r="F10576" s="0" t="s">
        <v>13</v>
      </c>
      <c r="G10576" s="0" t="s">
        <v>49</v>
      </c>
      <c r="H10576" s="5">
        <v>40.556100</v>
      </c>
    </row>
    <row r="10577" spans="1:9">
      <c r="A10577" s="22" t="str">
        <f>HYPERLINK("https://app.vivvix.com/360/KMI/IntelliDrive/ApplUI/Pages/CreativePages/CustomReportCreativeDetail.aspx?App=23&amp;ReportView=4&amp;Qid=1711279&amp;Row=10569&amp;Col=1","No Title Assigned - #15272030257")</f>
        <v/>
      </c>
      <c r="B10577" s="0" t="s">
        <v>14370</v>
      </c>
      <c r="C10577" s="0" t="s">
        <v>14371</v>
      </c>
      <c r="D10577" s="0" t="s">
        <v>4204</v>
      </c>
      <c r="E10577" s="0" t="inlineStr">
        <is>
          <t xml:space="preserve">Mazda</t>
        </is>
      </c>
      <c r="F10577" s="0" t="s">
        <v>28</v>
      </c>
      <c r="G10577" s="0" t="s">
        <v>29</v>
      </c>
      <c r="H10577" s="5">
        <v>4.407700</v>
      </c>
    </row>
    <row r="10578" spans="1:9">
      <c r="A10578" s="22" t="str">
        <f>HYPERLINK("https://app.vivvix.com/360/KMI/IntelliDrive/ApplUI/Pages/CreativePages/CustomReportCreativeDetail.aspx?App=23&amp;ReportView=4&amp;Qid=1711279&amp;Row=10570&amp;Col=1","No Title Assigned - #15272030307")</f>
        <v/>
      </c>
      <c r="B10578" s="0" t="s">
        <v>14372</v>
      </c>
      <c r="C10578" s="0" t="s">
        <v>14373</v>
      </c>
      <c r="D10578" s="0" t="s">
        <v>14373</v>
      </c>
      <c r="E10578" s="0" t="inlineStr">
        <is>
          <t xml:space="preserve">Mazda</t>
        </is>
      </c>
      <c r="F10578" s="0" t="s">
        <v>28</v>
      </c>
      <c r="G10578" s="0" t="s">
        <v>29</v>
      </c>
      <c r="H10578" s="5">
        <v>173.920600</v>
      </c>
    </row>
    <row r="10579" spans="1:9">
      <c r="A10579" s="22" t="str">
        <f>HYPERLINK("https://app.vivvix.com/360/KMI/IntelliDrive/ApplUI/Pages/CreativePages/CustomReportCreativeDetail.aspx?App=23&amp;ReportView=4&amp;Qid=1711279&amp;Row=10571&amp;Col=1","No Title Assigned - #15272030360")</f>
        <v/>
      </c>
      <c r="B10579" s="0" t="s">
        <v>14374</v>
      </c>
      <c r="C10579" s="0" t="s">
        <v>14375</v>
      </c>
      <c r="D10579" s="0" t="s">
        <v>11024</v>
      </c>
      <c r="E10579" s="0" t="inlineStr">
        <is>
          <t xml:space="preserve">Mazda</t>
        </is>
      </c>
      <c r="F10579" s="0" t="s">
        <v>28</v>
      </c>
      <c r="G10579" s="0" t="s">
        <v>29</v>
      </c>
      <c r="H10579" s="5">
        <v>30.504200</v>
      </c>
    </row>
    <row r="10580" spans="1:9">
      <c r="A10580" s="22" t="str">
        <f>HYPERLINK("https://app.vivvix.com/360/KMI/IntelliDrive/ApplUI/Pages/CreativePages/CustomReportCreativeDetail.aspx?App=23&amp;ReportView=4&amp;Qid=1711279&amp;Row=10572&amp;Col=1","No Title Assigned - #15272030446")</f>
        <v/>
      </c>
      <c r="B10580" s="0" t="s">
        <v>14376</v>
      </c>
      <c r="C10580" s="0" t="s">
        <v>14377</v>
      </c>
      <c r="D10580" s="0" t="s">
        <v>6656</v>
      </c>
      <c r="E10580" s="0" t="inlineStr">
        <is>
          <t xml:space="preserve">Mazda</t>
        </is>
      </c>
      <c r="F10580" s="0" t="s">
        <v>28</v>
      </c>
      <c r="G10580" s="0" t="s">
        <v>29</v>
      </c>
      <c r="H10580" s="5">
        <v>171.344100</v>
      </c>
    </row>
    <row r="10581" spans="1:9">
      <c r="A10581" s="22" t="str">
        <f>HYPERLINK("https://app.vivvix.com/360/KMI/IntelliDrive/ApplUI/Pages/CreativePages/CustomReportCreativeDetail.aspx?App=23&amp;ReportView=4&amp;Qid=1711279&amp;Row=10573&amp;Col=1","No Title Assigned - #15272030993")</f>
        <v/>
      </c>
      <c r="B10581" s="0" t="s">
        <v>14378</v>
      </c>
      <c r="C10581" s="0" t="s">
        <v>14379</v>
      </c>
      <c r="D10581" s="0" t="s">
        <v>14379</v>
      </c>
      <c r="E10581" s="0" t="inlineStr">
        <is>
          <t xml:space="preserve">Mazda</t>
        </is>
      </c>
      <c r="F10581" s="0" t="s">
        <v>13</v>
      </c>
      <c r="G10581" s="0" t="s">
        <v>49</v>
      </c>
      <c r="H10581" s="5">
        <v>26.226000</v>
      </c>
    </row>
    <row r="10582" spans="1:9">
      <c r="A10582" s="22" t="str">
        <f>HYPERLINK("https://app.vivvix.com/360/KMI/IntelliDrive/ApplUI/Pages/CreativePages/CustomReportCreativeDetail.aspx?App=23&amp;ReportView=4&amp;Qid=1711279&amp;Row=10574&amp;Col=1","No Title Assigned - #15272031483")</f>
        <v/>
      </c>
      <c r="B10582" s="0" t="s">
        <v>14380</v>
      </c>
      <c r="C10582" s="0" t="s">
        <v>14381</v>
      </c>
      <c r="D10582" s="0" t="s">
        <v>10964</v>
      </c>
      <c r="E10582" s="0" t="inlineStr">
        <is>
          <t xml:space="preserve">Mazda</t>
        </is>
      </c>
      <c r="F10582" s="0" t="s">
        <v>13</v>
      </c>
      <c r="G10582" s="0" t="s">
        <v>49</v>
      </c>
      <c r="H10582" s="5">
        <v>29.404600</v>
      </c>
    </row>
    <row r="10583" spans="1:9">
      <c r="A10583" s="22" t="str">
        <f>HYPERLINK("https://app.vivvix.com/360/KMI/IntelliDrive/ApplUI/Pages/CreativePages/CustomReportCreativeDetail.aspx?App=23&amp;ReportView=4&amp;Qid=1711279&amp;Row=10575&amp;Col=1","No Title Assigned - #15272031606")</f>
        <v/>
      </c>
      <c r="B10583" s="0" t="s">
        <v>14382</v>
      </c>
      <c r="C10583" s="0" t="s">
        <v>14383</v>
      </c>
      <c r="D10583" s="0" t="s">
        <v>6183</v>
      </c>
      <c r="E10583" s="0" t="inlineStr">
        <is>
          <t xml:space="preserve">Mazda</t>
        </is>
      </c>
      <c r="F10583" s="0" t="s">
        <v>13</v>
      </c>
      <c r="G10583" s="0" t="s">
        <v>49</v>
      </c>
      <c r="H10583" s="5">
        <v>1677.860400</v>
      </c>
    </row>
    <row r="10584" spans="1:9">
      <c r="A10584" s="22" t="str">
        <f>HYPERLINK("https://app.vivvix.com/360/KMI/IntelliDrive/ApplUI/Pages/CreativePages/CustomReportCreativeDetail.aspx?App=23&amp;ReportView=4&amp;Qid=1711279&amp;Row=10576&amp;Col=1","No Title Assigned - #15272031606")</f>
        <v/>
      </c>
      <c r="B10584" s="0" t="s">
        <v>14382</v>
      </c>
      <c r="E10584" s="0" t="inlineStr">
        <is>
          <t xml:space="preserve">Mazda</t>
        </is>
      </c>
      <c r="F10584" s="0" t="s">
        <v>13</v>
      </c>
      <c r="G10584" s="0" t="s">
        <v>49</v>
      </c>
      <c r="H10584" s="5">
        <v>18.823400</v>
      </c>
    </row>
    <row r="10585" spans="1:9">
      <c r="A10585" s="22" t="str">
        <f>HYPERLINK("https://app.vivvix.com/360/KMI/IntelliDrive/ApplUI/Pages/CreativePages/CustomReportCreativeDetail.aspx?App=23&amp;ReportView=4&amp;Qid=1711279&amp;Row=10577&amp;Col=1","No Title Assigned - #15272031714")</f>
        <v/>
      </c>
      <c r="B10585" s="0" t="s">
        <v>14384</v>
      </c>
      <c r="C10585" s="0" t="s">
        <v>14385</v>
      </c>
      <c r="D10585" s="0" t="s">
        <v>12666</v>
      </c>
      <c r="E10585" s="0" t="inlineStr">
        <is>
          <t xml:space="preserve">Mazda</t>
        </is>
      </c>
      <c r="F10585" s="0" t="s">
        <v>28</v>
      </c>
      <c r="G10585" s="0" t="s">
        <v>29</v>
      </c>
      <c r="H10585" s="5">
        <v>759.443900</v>
      </c>
    </row>
    <row r="10586" spans="1:9">
      <c r="A10586" s="22" t="str">
        <f>HYPERLINK("https://app.vivvix.com/360/KMI/IntelliDrive/ApplUI/Pages/CreativePages/CustomReportCreativeDetail.aspx?App=23&amp;ReportView=4&amp;Qid=1711279&amp;Row=10578&amp;Col=1","No Title Assigned - #15272031715")</f>
        <v/>
      </c>
      <c r="B10586" s="0" t="s">
        <v>14386</v>
      </c>
      <c r="C10586" s="0" t="s">
        <v>14387</v>
      </c>
      <c r="D10586" s="0" t="s">
        <v>4424</v>
      </c>
      <c r="E10586" s="0" t="inlineStr">
        <is>
          <t xml:space="preserve">Mazda</t>
        </is>
      </c>
      <c r="F10586" s="0" t="s">
        <v>28</v>
      </c>
      <c r="G10586" s="0" t="s">
        <v>29</v>
      </c>
      <c r="H10586" s="5">
        <v>14.524200</v>
      </c>
    </row>
    <row r="10587" spans="1:9">
      <c r="A10587" s="22" t="str">
        <f>HYPERLINK("https://app.vivvix.com/360/KMI/IntelliDrive/ApplUI/Pages/CreativePages/CustomReportCreativeDetail.aspx?App=23&amp;ReportView=4&amp;Qid=1711279&amp;Row=10579&amp;Col=1","No Title Assigned - #15272031730")</f>
        <v/>
      </c>
      <c r="B10587" s="0" t="s">
        <v>14388</v>
      </c>
      <c r="C10587" s="0" t="s">
        <v>14389</v>
      </c>
      <c r="D10587" s="0" t="s">
        <v>9376</v>
      </c>
      <c r="E10587" s="0" t="inlineStr">
        <is>
          <t xml:space="preserve">Mazda</t>
        </is>
      </c>
      <c r="F10587" s="0" t="s">
        <v>28</v>
      </c>
      <c r="G10587" s="0" t="s">
        <v>29</v>
      </c>
      <c r="H10587" s="5">
        <v>1627.526800</v>
      </c>
    </row>
    <row r="10588" spans="1:9">
      <c r="A10588" s="22" t="str">
        <f>HYPERLINK("https://app.vivvix.com/360/KMI/IntelliDrive/ApplUI/Pages/CreativePages/CustomReportCreativeDetail.aspx?App=23&amp;ReportView=4&amp;Qid=1711279&amp;Row=10580&amp;Col=1","No Title Assigned - #15272031730")</f>
        <v/>
      </c>
      <c r="B10588" s="0" t="s">
        <v>14388</v>
      </c>
      <c r="E10588" s="0" t="inlineStr">
        <is>
          <t xml:space="preserve">Mazda</t>
        </is>
      </c>
      <c r="F10588" s="0" t="s">
        <v>28</v>
      </c>
      <c r="G10588" s="0" t="s">
        <v>29</v>
      </c>
      <c r="H10588" s="5">
        <v>3060.420700</v>
      </c>
    </row>
    <row r="10589" spans="1:9">
      <c r="A10589" s="22" t="str">
        <f>HYPERLINK("https://app.vivvix.com/360/KMI/IntelliDrive/ApplUI/Pages/CreativePages/CustomReportCreativeDetail.aspx?App=23&amp;ReportView=4&amp;Qid=1711279&amp;Row=10581&amp;Col=1","No Title Assigned - #15272032031")</f>
        <v/>
      </c>
      <c r="B10589" s="0" t="s">
        <v>14390</v>
      </c>
      <c r="C10589" s="0" t="s">
        <v>14391</v>
      </c>
      <c r="D10589" s="0" t="s">
        <v>14391</v>
      </c>
      <c r="E10589" s="0" t="inlineStr">
        <is>
          <t xml:space="preserve">Mazda</t>
        </is>
      </c>
      <c r="F10589" s="0" t="s">
        <v>13</v>
      </c>
      <c r="G10589" s="0" t="s">
        <v>49</v>
      </c>
      <c r="H10589" s="5">
        <v>52.174000</v>
      </c>
    </row>
    <row r="10590" spans="1:9">
      <c r="A10590" s="22" t="str">
        <f>HYPERLINK("https://app.vivvix.com/360/KMI/IntelliDrive/ApplUI/Pages/CreativePages/CustomReportCreativeDetail.aspx?App=23&amp;ReportView=4&amp;Qid=1711279&amp;Row=10582&amp;Col=1","No Title Assigned - #15272032152")</f>
        <v/>
      </c>
      <c r="B10590" s="0" t="s">
        <v>14392</v>
      </c>
      <c r="C10590" s="0" t="s">
        <v>14393</v>
      </c>
      <c r="D10590" s="0" t="s">
        <v>14393</v>
      </c>
      <c r="E10590" s="0" t="inlineStr">
        <is>
          <t xml:space="preserve">Mazda</t>
        </is>
      </c>
      <c r="F10590" s="0" t="s">
        <v>13</v>
      </c>
      <c r="G10590" s="0" t="s">
        <v>49</v>
      </c>
      <c r="H10590" s="5">
        <v>1101.718200</v>
      </c>
    </row>
    <row r="10591" spans="1:9">
      <c r="A10591" s="22" t="str">
        <f>HYPERLINK("https://app.vivvix.com/360/KMI/IntelliDrive/ApplUI/Pages/CreativePages/CustomReportCreativeDetail.aspx?App=23&amp;ReportView=4&amp;Qid=1711279&amp;Row=10583&amp;Col=1","No Title Assigned - #15272032663")</f>
        <v/>
      </c>
      <c r="B10591" s="0" t="s">
        <v>14394</v>
      </c>
      <c r="C10591" s="0" t="s">
        <v>14395</v>
      </c>
      <c r="D10591" s="0" t="s">
        <v>14395</v>
      </c>
      <c r="E10591" s="0" t="inlineStr">
        <is>
          <t xml:space="preserve">Mazda</t>
        </is>
      </c>
      <c r="F10591" s="0" t="s">
        <v>28</v>
      </c>
      <c r="G10591" s="0" t="s">
        <v>29</v>
      </c>
      <c r="H10591" s="5">
        <v>0.651600</v>
      </c>
    </row>
    <row r="10592" spans="1:9">
      <c r="A10592" s="22" t="str">
        <f>HYPERLINK("https://app.vivvix.com/360/KMI/IntelliDrive/ApplUI/Pages/CreativePages/CustomReportCreativeDetail.aspx?App=23&amp;ReportView=4&amp;Qid=1711279&amp;Row=10584&amp;Col=1","No Title Assigned - #15272032742")</f>
        <v/>
      </c>
      <c r="B10592" s="0" t="s">
        <v>14396</v>
      </c>
      <c r="C10592" s="0" t="s">
        <v>14397</v>
      </c>
      <c r="D10592" s="0" t="s">
        <v>14397</v>
      </c>
      <c r="E10592" s="0" t="inlineStr">
        <is>
          <t xml:space="preserve">Mazda</t>
        </is>
      </c>
      <c r="F10592" s="0" t="s">
        <v>13</v>
      </c>
      <c r="G10592" s="0" t="s">
        <v>49</v>
      </c>
      <c r="H10592" s="5">
        <v>58.970900</v>
      </c>
    </row>
    <row r="10593" spans="1:9">
      <c r="A10593" s="22" t="str">
        <f>HYPERLINK("https://app.vivvix.com/360/KMI/IntelliDrive/ApplUI/Pages/CreativePages/CustomReportCreativeDetail.aspx?App=23&amp;ReportView=4&amp;Qid=1711279&amp;Row=10585&amp;Col=1","No Title Assigned - #15272033283")</f>
        <v/>
      </c>
      <c r="B10593" s="0" t="s">
        <v>14398</v>
      </c>
      <c r="C10593" s="0" t="s">
        <v>14399</v>
      </c>
      <c r="D10593" s="0" t="s">
        <v>14399</v>
      </c>
      <c r="E10593" s="0" t="inlineStr">
        <is>
          <t xml:space="preserve">Mazda</t>
        </is>
      </c>
      <c r="F10593" s="0" t="inlineStr">
        <is>
          <t xml:space="preserve">Mazda</t>
        </is>
      </c>
      <c r="G10593" s="0" t="s">
        <v>210</v>
      </c>
      <c r="H10593" s="5">
        <v>219.361600</v>
      </c>
    </row>
    <row r="10594" spans="1:9">
      <c r="A10594" s="22" t="str">
        <f>HYPERLINK("https://app.vivvix.com/360/KMI/IntelliDrive/ApplUI/Pages/CreativePages/CustomReportCreativeDetail.aspx?App=23&amp;ReportView=4&amp;Qid=1711279&amp;Row=10586&amp;Col=1","No Title Assigned - #15272036610")</f>
        <v/>
      </c>
      <c r="B10594" s="0" t="s">
        <v>14400</v>
      </c>
      <c r="C10594" s="0" t="s">
        <v>14401</v>
      </c>
      <c r="D10594" s="0" t="s">
        <v>12666</v>
      </c>
      <c r="E10594" s="0" t="inlineStr">
        <is>
          <t xml:space="preserve">Mazda</t>
        </is>
      </c>
      <c r="F10594" s="0" t="s">
        <v>28</v>
      </c>
      <c r="G10594" s="0" t="s">
        <v>29</v>
      </c>
      <c r="H10594" s="5">
        <v>22.532600</v>
      </c>
    </row>
    <row r="10595" spans="1:9">
      <c r="A10595" s="22" t="str">
        <f>HYPERLINK("https://app.vivvix.com/360/KMI/IntelliDrive/ApplUI/Pages/CreativePages/CustomReportCreativeDetail.aspx?App=23&amp;ReportView=4&amp;Qid=1711279&amp;Row=10587&amp;Col=1","No Title Assigned - #15272036936")</f>
        <v/>
      </c>
      <c r="B10595" s="0" t="s">
        <v>14402</v>
      </c>
      <c r="C10595" s="0" t="s">
        <v>14403</v>
      </c>
      <c r="D10595" s="0" t="s">
        <v>4225</v>
      </c>
      <c r="E10595" s="0" t="inlineStr">
        <is>
          <t xml:space="preserve">Mazda</t>
        </is>
      </c>
      <c r="F10595" s="0" t="s">
        <v>28</v>
      </c>
      <c r="G10595" s="0" t="s">
        <v>29</v>
      </c>
      <c r="H10595" s="5">
        <v>148.788900</v>
      </c>
    </row>
    <row r="10596" spans="1:9">
      <c r="A10596" s="22" t="str">
        <f>HYPERLINK("https://app.vivvix.com/360/KMI/IntelliDrive/ApplUI/Pages/CreativePages/CustomReportCreativeDetail.aspx?App=23&amp;ReportView=4&amp;Qid=1711279&amp;Row=10588&amp;Col=1","No Title Assigned - #15272037347")</f>
        <v/>
      </c>
      <c r="B10596" s="0" t="s">
        <v>14404</v>
      </c>
      <c r="C10596" s="0" t="s">
        <v>14405</v>
      </c>
      <c r="D10596" s="0" t="s">
        <v>4200</v>
      </c>
      <c r="E10596" s="0" t="inlineStr">
        <is>
          <t xml:space="preserve">Mazda</t>
        </is>
      </c>
      <c r="F10596" s="0" t="s">
        <v>28</v>
      </c>
      <c r="G10596" s="0" t="s">
        <v>29</v>
      </c>
      <c r="H10596" s="5">
        <v>6815.778400</v>
      </c>
    </row>
    <row r="10597" spans="1:9">
      <c r="A10597" s="22" t="str">
        <f>HYPERLINK("https://app.vivvix.com/360/KMI/IntelliDrive/ApplUI/Pages/CreativePages/CustomReportCreativeDetail.aspx?App=23&amp;ReportView=4&amp;Qid=1711279&amp;Row=10589&amp;Col=1","No Title Assigned - #15272037347")</f>
        <v/>
      </c>
      <c r="B10597" s="0" t="s">
        <v>14404</v>
      </c>
      <c r="E10597" s="0" t="inlineStr">
        <is>
          <t xml:space="preserve">Mazda</t>
        </is>
      </c>
      <c r="F10597" s="0" t="s">
        <v>28</v>
      </c>
      <c r="G10597" s="0" t="s">
        <v>29</v>
      </c>
      <c r="H10597" s="5">
        <v>414.219900</v>
      </c>
    </row>
    <row r="10598" spans="1:9">
      <c r="A10598" s="22" t="str">
        <f>HYPERLINK("https://app.vivvix.com/360/KMI/IntelliDrive/ApplUI/Pages/CreativePages/CustomReportCreativeDetail.aspx?App=23&amp;ReportView=4&amp;Qid=1711279&amp;Row=10590&amp;Col=1","No Title Assigned - #15272037671")</f>
        <v/>
      </c>
      <c r="B10598" s="0" t="s">
        <v>14406</v>
      </c>
      <c r="C10598" s="0" t="s">
        <v>14407</v>
      </c>
      <c r="D10598" s="0" t="s">
        <v>4938</v>
      </c>
      <c r="E10598" s="0" t="inlineStr">
        <is>
          <t xml:space="preserve">Mazda</t>
        </is>
      </c>
      <c r="F10598" s="0" t="s">
        <v>13</v>
      </c>
      <c r="G10598" s="0" t="s">
        <v>49</v>
      </c>
      <c r="H10598" s="5">
        <v>81.428900</v>
      </c>
    </row>
    <row r="10599" spans="1:9">
      <c r="A10599" s="22" t="str">
        <f>HYPERLINK("https://app.vivvix.com/360/KMI/IntelliDrive/ApplUI/Pages/CreativePages/CustomReportCreativeDetail.aspx?App=23&amp;ReportView=4&amp;Qid=1711279&amp;Row=10591&amp;Col=1","No Title Assigned - #15272038525")</f>
        <v/>
      </c>
      <c r="B10599" s="0" t="s">
        <v>14408</v>
      </c>
      <c r="E10599" s="0" t="inlineStr">
        <is>
          <t xml:space="preserve">Mazda</t>
        </is>
      </c>
      <c r="F10599" s="0" t="inlineStr">
        <is>
          <t xml:space="preserve">Mazda</t>
        </is>
      </c>
      <c r="G10599" s="0" t="s">
        <v>210</v>
      </c>
      <c r="H10599" s="5">
        <v>4253.406200</v>
      </c>
    </row>
    <row r="10600" spans="1:9">
      <c r="A10600" s="22" t="str">
        <f>HYPERLINK("https://app.vivvix.com/360/KMI/IntelliDrive/ApplUI/Pages/CreativePages/CustomReportCreativeDetail.aspx?App=23&amp;ReportView=4&amp;Qid=1711279&amp;Row=10592&amp;Col=1","No Title Assigned - #15272038900")</f>
        <v/>
      </c>
      <c r="B10600" s="0" t="s">
        <v>14409</v>
      </c>
      <c r="C10600" s="0" t="s">
        <v>14410</v>
      </c>
      <c r="D10600" s="0" t="s">
        <v>14410</v>
      </c>
      <c r="E10600" s="0" t="inlineStr">
        <is>
          <t xml:space="preserve">Mazda</t>
        </is>
      </c>
      <c r="F10600" s="0" t="s">
        <v>13</v>
      </c>
      <c r="G10600" s="0" t="s">
        <v>49</v>
      </c>
      <c r="H10600" s="5">
        <v>55.691200</v>
      </c>
    </row>
    <row r="10601" spans="1:9">
      <c r="A10601" s="22" t="str">
        <f>HYPERLINK("https://app.vivvix.com/360/KMI/IntelliDrive/ApplUI/Pages/CreativePages/CustomReportCreativeDetail.aspx?App=23&amp;ReportView=4&amp;Qid=1711279&amp;Row=10593&amp;Col=1","No Title Assigned - #15272039151")</f>
        <v/>
      </c>
      <c r="B10601" s="0" t="s">
        <v>14411</v>
      </c>
      <c r="C10601" s="0" t="s">
        <v>14412</v>
      </c>
      <c r="D10601" s="0" t="s">
        <v>4333</v>
      </c>
      <c r="E10601" s="0" t="inlineStr">
        <is>
          <t xml:space="preserve">Mazda</t>
        </is>
      </c>
      <c r="F10601" s="0" t="s">
        <v>28</v>
      </c>
      <c r="G10601" s="0" t="s">
        <v>29</v>
      </c>
      <c r="H10601" s="5">
        <v>6.527100</v>
      </c>
    </row>
    <row r="10602" spans="1:9">
      <c r="A10602" s="22" t="str">
        <f>HYPERLINK("https://app.vivvix.com/360/KMI/IntelliDrive/ApplUI/Pages/CreativePages/CustomReportCreativeDetail.aspx?App=23&amp;ReportView=4&amp;Qid=1711279&amp;Row=10594&amp;Col=1","No Title Assigned - #15272039177")</f>
        <v/>
      </c>
      <c r="B10602" s="0" t="s">
        <v>14413</v>
      </c>
      <c r="C10602" s="0" t="s">
        <v>14414</v>
      </c>
      <c r="D10602" s="0" t="s">
        <v>9037</v>
      </c>
      <c r="E10602" s="0" t="inlineStr">
        <is>
          <t xml:space="preserve">Mazda</t>
        </is>
      </c>
      <c r="F10602" s="0" t="s">
        <v>13</v>
      </c>
      <c r="G10602" s="0" t="s">
        <v>49</v>
      </c>
      <c r="H10602" s="5">
        <v>2.056900</v>
      </c>
    </row>
    <row r="10603" spans="1:9">
      <c r="A10603" s="22" t="str">
        <f>HYPERLINK("https://app.vivvix.com/360/KMI/IntelliDrive/ApplUI/Pages/CreativePages/CustomReportCreativeDetail.aspx?App=23&amp;ReportView=4&amp;Qid=1711279&amp;Row=10595&amp;Col=1","No Title Assigned - #15272039560")</f>
        <v/>
      </c>
      <c r="B10603" s="0" t="s">
        <v>14415</v>
      </c>
      <c r="C10603" s="0" t="s">
        <v>14416</v>
      </c>
      <c r="D10603" s="0" t="s">
        <v>14416</v>
      </c>
      <c r="E10603" s="0" t="inlineStr">
        <is>
          <t xml:space="preserve">Mazda</t>
        </is>
      </c>
      <c r="F10603" s="0" t="s">
        <v>28</v>
      </c>
      <c r="G10603" s="0" t="s">
        <v>29</v>
      </c>
      <c r="H10603" s="5">
        <v>282.828200</v>
      </c>
    </row>
    <row r="10604" spans="1:9">
      <c r="A10604" s="22" t="str">
        <f>HYPERLINK("https://app.vivvix.com/360/KMI/IntelliDrive/ApplUI/Pages/CreativePages/CustomReportCreativeDetail.aspx?App=23&amp;ReportView=4&amp;Qid=1711279&amp;Row=10596&amp;Col=1","No Title Assigned - #15272039787")</f>
        <v/>
      </c>
      <c r="B10604" s="0" t="s">
        <v>14417</v>
      </c>
      <c r="C10604" s="0" t="s">
        <v>14418</v>
      </c>
      <c r="D10604" s="0" t="s">
        <v>14418</v>
      </c>
      <c r="E10604" s="0" t="inlineStr">
        <is>
          <t xml:space="preserve">Mazda</t>
        </is>
      </c>
      <c r="F10604" s="0" t="s">
        <v>28</v>
      </c>
      <c r="G10604" s="0" t="s">
        <v>29</v>
      </c>
      <c r="H10604" s="5">
        <v>17.349100</v>
      </c>
    </row>
    <row r="10605" spans="1:9">
      <c r="A10605" s="22" t="str">
        <f>HYPERLINK("https://app.vivvix.com/360/KMI/IntelliDrive/ApplUI/Pages/CreativePages/CustomReportCreativeDetail.aspx?App=23&amp;ReportView=4&amp;Qid=1711279&amp;Row=10597&amp;Col=1","No Title Assigned - #15272040480")</f>
        <v/>
      </c>
      <c r="B10605" s="0" t="s">
        <v>14419</v>
      </c>
      <c r="E10605" s="0" t="inlineStr">
        <is>
          <t xml:space="preserve">Mazda</t>
        </is>
      </c>
      <c r="F10605" s="0" t="inlineStr">
        <is>
          <t xml:space="preserve">Mazda</t>
        </is>
      </c>
      <c r="G10605" s="0" t="s">
        <v>171</v>
      </c>
      <c r="H10605" s="5">
        <v>101.456600</v>
      </c>
    </row>
    <row r="10606" spans="1:9">
      <c r="A10606" s="22" t="str">
        <f>HYPERLINK("https://app.vivvix.com/360/KMI/IntelliDrive/ApplUI/Pages/CreativePages/CustomReportCreativeDetail.aspx?App=23&amp;ReportView=4&amp;Qid=1711279&amp;Row=10598&amp;Col=1","No Title Assigned - #15272040486")</f>
        <v/>
      </c>
      <c r="B10606" s="0" t="s">
        <v>14420</v>
      </c>
      <c r="E10606" s="0" t="inlineStr">
        <is>
          <t xml:space="preserve">Mazda</t>
        </is>
      </c>
      <c r="F10606" s="0" t="inlineStr">
        <is>
          <t xml:space="preserve">Mazda</t>
        </is>
      </c>
      <c r="G10606" s="0" t="s">
        <v>171</v>
      </c>
      <c r="H10606" s="5">
        <v>8.786800</v>
      </c>
    </row>
    <row r="10607" spans="1:9">
      <c r="A10607" s="22" t="str">
        <f>HYPERLINK("https://app.vivvix.com/360/KMI/IntelliDrive/ApplUI/Pages/CreativePages/CustomReportCreativeDetail.aspx?App=23&amp;ReportView=4&amp;Qid=1711279&amp;Row=10599&amp;Col=1","No Title Assigned - #15272040652")</f>
        <v/>
      </c>
      <c r="B10607" s="0" t="s">
        <v>14421</v>
      </c>
      <c r="E10607" s="0" t="inlineStr">
        <is>
          <t xml:space="preserve">Mazda</t>
        </is>
      </c>
      <c r="F10607" s="0" t="inlineStr">
        <is>
          <t xml:space="preserve">Mazda</t>
        </is>
      </c>
      <c r="G10607" s="0" t="s">
        <v>171</v>
      </c>
      <c r="H10607" s="5">
        <v>30.157500</v>
      </c>
    </row>
    <row r="10608" spans="1:9">
      <c r="A10608" s="22" t="str">
        <f>HYPERLINK("https://app.vivvix.com/360/KMI/IntelliDrive/ApplUI/Pages/CreativePages/CustomReportCreativeDetail.aspx?App=23&amp;ReportView=4&amp;Qid=1711279&amp;Row=10600&amp;Col=1","No Title Assigned - #15272040673")</f>
        <v/>
      </c>
      <c r="B10608" s="0" t="s">
        <v>14422</v>
      </c>
      <c r="E10608" s="0" t="inlineStr">
        <is>
          <t xml:space="preserve">Mazda</t>
        </is>
      </c>
      <c r="F10608" s="0" t="inlineStr">
        <is>
          <t xml:space="preserve">Mazda</t>
        </is>
      </c>
      <c r="G10608" s="0" t="s">
        <v>171</v>
      </c>
      <c r="H10608" s="5">
        <v>94.428200</v>
      </c>
    </row>
    <row r="10609" spans="1:9">
      <c r="A10609" s="22" t="str">
        <f>HYPERLINK("https://app.vivvix.com/360/KMI/IntelliDrive/ApplUI/Pages/CreativePages/CustomReportCreativeDetail.aspx?App=23&amp;ReportView=4&amp;Qid=1711279&amp;Row=10601&amp;Col=1","No Title Assigned - #15272040880")</f>
        <v/>
      </c>
      <c r="B10609" s="0" t="s">
        <v>14423</v>
      </c>
      <c r="E10609" s="0" t="inlineStr">
        <is>
          <t xml:space="preserve">Mazda</t>
        </is>
      </c>
      <c r="F10609" s="0" t="inlineStr">
        <is>
          <t xml:space="preserve">Mazda</t>
        </is>
      </c>
      <c r="G10609" s="0" t="s">
        <v>171</v>
      </c>
      <c r="H10609" s="5">
        <v>118.218400</v>
      </c>
    </row>
    <row r="10610" spans="1:9">
      <c r="A10610" s="22" t="str">
        <f>HYPERLINK("https://app.vivvix.com/360/KMI/IntelliDrive/ApplUI/Pages/CreativePages/CustomReportCreativeDetail.aspx?App=23&amp;ReportView=4&amp;Qid=1711279&amp;Row=10602&amp;Col=1","No Title Assigned - #15272041022")</f>
        <v/>
      </c>
      <c r="B10610" s="0" t="s">
        <v>14424</v>
      </c>
      <c r="E10610" s="0" t="inlineStr">
        <is>
          <t xml:space="preserve">Mazda</t>
        </is>
      </c>
      <c r="F10610" s="0" t="inlineStr">
        <is>
          <t xml:space="preserve">Mazda</t>
        </is>
      </c>
      <c r="G10610" s="0" t="s">
        <v>171</v>
      </c>
      <c r="H10610" s="5">
        <v>9.727300</v>
      </c>
    </row>
    <row r="10611" spans="1:9">
      <c r="A10611" s="22" t="str">
        <f>HYPERLINK("https://app.vivvix.com/360/KMI/IntelliDrive/ApplUI/Pages/CreativePages/CustomReportCreativeDetail.aspx?App=23&amp;ReportView=4&amp;Qid=1711279&amp;Row=10603&amp;Col=1","No Title Assigned - #15272041494")</f>
        <v/>
      </c>
      <c r="B10611" s="0" t="s">
        <v>14425</v>
      </c>
      <c r="E10611" s="0" t="inlineStr">
        <is>
          <t xml:space="preserve">Mazda</t>
        </is>
      </c>
      <c r="F10611" s="0" t="inlineStr">
        <is>
          <t xml:space="preserve">Mazda</t>
        </is>
      </c>
      <c r="G10611" s="0" t="s">
        <v>171</v>
      </c>
      <c r="H10611" s="5">
        <v>11.283200</v>
      </c>
    </row>
    <row r="10612" spans="1:9">
      <c r="A10612" s="22" t="str">
        <f>HYPERLINK("https://app.vivvix.com/360/KMI/IntelliDrive/ApplUI/Pages/CreativePages/CustomReportCreativeDetail.aspx?App=23&amp;ReportView=4&amp;Qid=1711279&amp;Row=10604&amp;Col=1","No Title Assigned - #15272042031")</f>
        <v/>
      </c>
      <c r="B10612" s="0" t="s">
        <v>14426</v>
      </c>
      <c r="E10612" s="0" t="inlineStr">
        <is>
          <t xml:space="preserve">Mazda</t>
        </is>
      </c>
      <c r="F10612" s="0" t="inlineStr">
        <is>
          <t xml:space="preserve">Mazda</t>
        </is>
      </c>
      <c r="G10612" s="0" t="s">
        <v>171</v>
      </c>
      <c r="H10612" s="5">
        <v>983.642100</v>
      </c>
    </row>
    <row r="10613" spans="1:9">
      <c r="A10613" s="22" t="str">
        <f>HYPERLINK("https://app.vivvix.com/360/KMI/IntelliDrive/ApplUI/Pages/CreativePages/CustomReportCreativeDetail.aspx?App=23&amp;ReportView=4&amp;Qid=1711279&amp;Row=10605&amp;Col=1","No Title Assigned - #15272042417")</f>
        <v/>
      </c>
      <c r="B10613" s="0" t="s">
        <v>14427</v>
      </c>
      <c r="E10613" s="0" t="inlineStr">
        <is>
          <t xml:space="preserve">Mazda</t>
        </is>
      </c>
      <c r="F10613" s="0" t="inlineStr">
        <is>
          <t xml:space="preserve">Mazda</t>
        </is>
      </c>
      <c r="G10613" s="0" t="s">
        <v>171</v>
      </c>
      <c r="H10613" s="5">
        <v>59.426600</v>
      </c>
    </row>
    <row r="10614" spans="1:9">
      <c r="A10614" s="22" t="str">
        <f>HYPERLINK("https://app.vivvix.com/360/KMI/IntelliDrive/ApplUI/Pages/CreativePages/CustomReportCreativeDetail.aspx?App=23&amp;ReportView=4&amp;Qid=1711279&amp;Row=10606&amp;Col=1","No Title Assigned - #15272042520")</f>
        <v/>
      </c>
      <c r="B10614" s="0" t="s">
        <v>14428</v>
      </c>
      <c r="E10614" s="0" t="inlineStr">
        <is>
          <t xml:space="preserve">Mazda</t>
        </is>
      </c>
      <c r="F10614" s="0" t="inlineStr">
        <is>
          <t xml:space="preserve">Mazda</t>
        </is>
      </c>
      <c r="G10614" s="0" t="s">
        <v>171</v>
      </c>
      <c r="H10614" s="5">
        <v>54.107500</v>
      </c>
    </row>
    <row r="10615" spans="1:9">
      <c r="A10615" s="22" t="str">
        <f>HYPERLINK("https://app.vivvix.com/360/KMI/IntelliDrive/ApplUI/Pages/CreativePages/CustomReportCreativeDetail.aspx?App=23&amp;ReportView=4&amp;Qid=1711279&amp;Row=10607&amp;Col=1","No Title Assigned - #15272042712")</f>
        <v/>
      </c>
      <c r="B10615" s="0" t="s">
        <v>14429</v>
      </c>
      <c r="E10615" s="0" t="inlineStr">
        <is>
          <t xml:space="preserve">Mazda</t>
        </is>
      </c>
      <c r="F10615" s="0" t="inlineStr">
        <is>
          <t xml:space="preserve">Mazda</t>
        </is>
      </c>
      <c r="G10615" s="0" t="s">
        <v>171</v>
      </c>
      <c r="H10615" s="5">
        <v>11971.964600</v>
      </c>
    </row>
    <row r="10616" spans="1:9">
      <c r="A10616" s="22" t="str">
        <f>HYPERLINK("https://app.vivvix.com/360/KMI/IntelliDrive/ApplUI/Pages/CreativePages/CustomReportCreativeDetail.aspx?App=23&amp;ReportView=4&amp;Qid=1711279&amp;Row=10608&amp;Col=1","No Title Assigned - #15272042712")</f>
        <v/>
      </c>
      <c r="B10616" s="0" t="s">
        <v>14429</v>
      </c>
      <c r="E10616" s="0" t="inlineStr">
        <is>
          <t xml:space="preserve">Mazda</t>
        </is>
      </c>
      <c r="F10616" s="0" t="inlineStr">
        <is>
          <t xml:space="preserve">Mazda</t>
        </is>
      </c>
      <c r="G10616" s="0" t="s">
        <v>171</v>
      </c>
      <c r="H10616" s="5">
        <v>128776.431200</v>
      </c>
    </row>
    <row r="10617" spans="1:9">
      <c r="A10617" s="22" t="str">
        <f>HYPERLINK("https://app.vivvix.com/360/KMI/IntelliDrive/ApplUI/Pages/CreativePages/CustomReportCreativeDetail.aspx?App=23&amp;ReportView=4&amp;Qid=1711279&amp;Row=10609&amp;Col=1","No Title Assigned - #15272043289")</f>
        <v/>
      </c>
      <c r="B10617" s="0" t="s">
        <v>14430</v>
      </c>
      <c r="C10617" s="0" t="s">
        <v>14431</v>
      </c>
      <c r="D10617" s="0" t="s">
        <v>14431</v>
      </c>
      <c r="E10617" s="0" t="inlineStr">
        <is>
          <t xml:space="preserve">Mazda</t>
        </is>
      </c>
      <c r="F10617" s="0" t="inlineStr">
        <is>
          <t xml:space="preserve">Mazda</t>
        </is>
      </c>
      <c r="G10617" s="0" t="s">
        <v>171</v>
      </c>
      <c r="H10617" s="5">
        <v>22.758200</v>
      </c>
    </row>
    <row r="10618" spans="1:9">
      <c r="A10618" s="22" t="str">
        <f>HYPERLINK("https://app.vivvix.com/360/KMI/IntelliDrive/ApplUI/Pages/CreativePages/CustomReportCreativeDetail.aspx?App=23&amp;ReportView=4&amp;Qid=1711279&amp;Row=10610&amp;Col=1","No Title Assigned - #15272043311")</f>
        <v/>
      </c>
      <c r="B10618" s="0" t="s">
        <v>14432</v>
      </c>
      <c r="E10618" s="0" t="inlineStr">
        <is>
          <t xml:space="preserve">Mazda</t>
        </is>
      </c>
      <c r="F10618" s="0" t="inlineStr">
        <is>
          <t xml:space="preserve">Mazda</t>
        </is>
      </c>
      <c r="G10618" s="0" t="s">
        <v>171</v>
      </c>
      <c r="H10618" s="5">
        <v>287.879000</v>
      </c>
    </row>
    <row r="10619" spans="1:9">
      <c r="A10619" s="22" t="str">
        <f>HYPERLINK("https://app.vivvix.com/360/KMI/IntelliDrive/ApplUI/Pages/CreativePages/CustomReportCreativeDetail.aspx?App=23&amp;ReportView=4&amp;Qid=1711279&amp;Row=10611&amp;Col=1","No Title Assigned - #15272044241")</f>
        <v/>
      </c>
      <c r="B10619" s="0" t="s">
        <v>14433</v>
      </c>
      <c r="E10619" s="0" t="inlineStr">
        <is>
          <t xml:space="preserve">Mazda</t>
        </is>
      </c>
      <c r="F10619" s="0" t="inlineStr">
        <is>
          <t xml:space="preserve">Mazda</t>
        </is>
      </c>
      <c r="G10619" s="0" t="s">
        <v>171</v>
      </c>
      <c r="H10619" s="5">
        <v>5.666400</v>
      </c>
    </row>
    <row r="10620" spans="1:9">
      <c r="A10620" s="22" t="str">
        <f>HYPERLINK("https://app.vivvix.com/360/KMI/IntelliDrive/ApplUI/Pages/CreativePages/CustomReportCreativeDetail.aspx?App=23&amp;ReportView=4&amp;Qid=1711279&amp;Row=10612&amp;Col=1","No Title Assigned - #15272045828")</f>
        <v/>
      </c>
      <c r="B10620" s="0" t="s">
        <v>14434</v>
      </c>
      <c r="E10620" s="0" t="inlineStr">
        <is>
          <t xml:space="preserve">Mazda</t>
        </is>
      </c>
      <c r="F10620" s="0" t="inlineStr">
        <is>
          <t xml:space="preserve">Mazda</t>
        </is>
      </c>
      <c r="G10620" s="0" t="s">
        <v>171</v>
      </c>
      <c r="H10620" s="5">
        <v>37.961000</v>
      </c>
    </row>
    <row r="10621" spans="1:9">
      <c r="A10621" s="22" t="str">
        <f>HYPERLINK("https://app.vivvix.com/360/KMI/IntelliDrive/ApplUI/Pages/CreativePages/CustomReportCreativeDetail.aspx?App=23&amp;ReportView=4&amp;Qid=1711279&amp;Row=10613&amp;Col=1","No Title Assigned - #15272047469")</f>
        <v/>
      </c>
      <c r="B10621" s="0" t="s">
        <v>14435</v>
      </c>
      <c r="C10621" s="0" t="s">
        <v>14436</v>
      </c>
      <c r="D10621" s="0" t="s">
        <v>14436</v>
      </c>
      <c r="E10621" s="0" t="inlineStr">
        <is>
          <t xml:space="preserve">Mazda</t>
        </is>
      </c>
      <c r="F10621" s="0" t="inlineStr">
        <is>
          <t xml:space="preserve">Mazda</t>
        </is>
      </c>
      <c r="G10621" s="0" t="s">
        <v>171</v>
      </c>
      <c r="H10621" s="5">
        <v>40.781600</v>
      </c>
    </row>
    <row r="10622" spans="1:9">
      <c r="A10622" s="22" t="str">
        <f>HYPERLINK("https://app.vivvix.com/360/KMI/IntelliDrive/ApplUI/Pages/CreativePages/CustomReportCreativeDetail.aspx?App=23&amp;ReportView=4&amp;Qid=1711279&amp;Row=10614&amp;Col=1","No Title Assigned - #15272048759")</f>
        <v/>
      </c>
      <c r="B10622" s="0" t="s">
        <v>14437</v>
      </c>
      <c r="E10622" s="0" t="inlineStr">
        <is>
          <t xml:space="preserve">Mazda</t>
        </is>
      </c>
      <c r="F10622" s="0" t="inlineStr">
        <is>
          <t xml:space="preserve">Mazda</t>
        </is>
      </c>
      <c r="G10622" s="0" t="s">
        <v>171</v>
      </c>
      <c r="H10622" s="5">
        <v>19.415500</v>
      </c>
    </row>
    <row r="10623" spans="1:9">
      <c r="A10623" s="22" t="str">
        <f>HYPERLINK("https://app.vivvix.com/360/KMI/IntelliDrive/ApplUI/Pages/CreativePages/CustomReportCreativeDetail.aspx?App=23&amp;ReportView=4&amp;Qid=1711279&amp;Row=10615&amp;Col=1","No Title Assigned - #15272051878")</f>
        <v/>
      </c>
      <c r="B10623" s="0" t="s">
        <v>14438</v>
      </c>
      <c r="E10623" s="0" t="inlineStr">
        <is>
          <t xml:space="preserve">Mazda</t>
        </is>
      </c>
      <c r="F10623" s="0" t="inlineStr">
        <is>
          <t xml:space="preserve">Mazda</t>
        </is>
      </c>
      <c r="G10623" s="0" t="s">
        <v>171</v>
      </c>
      <c r="H10623" s="5">
        <v>17.787300</v>
      </c>
    </row>
    <row r="10624" spans="1:9">
      <c r="A10624" s="22" t="str">
        <f>HYPERLINK("https://app.vivvix.com/360/KMI/IntelliDrive/ApplUI/Pages/CreativePages/CustomReportCreativeDetail.aspx?App=23&amp;ReportView=4&amp;Qid=1711279&amp;Row=10616&amp;Col=1","No Title Assigned - #15272053965")</f>
        <v/>
      </c>
      <c r="B10624" s="0" t="s">
        <v>14439</v>
      </c>
      <c r="C10624" s="0" t="s">
        <v>14440</v>
      </c>
      <c r="D10624" s="0" t="s">
        <v>14440</v>
      </c>
      <c r="E10624" s="0" t="inlineStr">
        <is>
          <t xml:space="preserve">Mazda</t>
        </is>
      </c>
      <c r="F10624" s="0" t="inlineStr">
        <is>
          <t xml:space="preserve">Mazda</t>
        </is>
      </c>
      <c r="G10624" s="0" t="s">
        <v>171</v>
      </c>
      <c r="H10624" s="5">
        <v>45.897300</v>
      </c>
    </row>
    <row r="10625" spans="1:9">
      <c r="A10625" s="22" t="str">
        <f>HYPERLINK("https://app.vivvix.com/360/KMI/IntelliDrive/ApplUI/Pages/CreativePages/CustomReportCreativeDetail.aspx?App=23&amp;ReportView=4&amp;Qid=1711279&amp;Row=10617&amp;Col=1","No Title Assigned - #15272057296")</f>
        <v/>
      </c>
      <c r="B10625" s="0" t="s">
        <v>14441</v>
      </c>
      <c r="E10625" s="0" t="inlineStr">
        <is>
          <t xml:space="preserve">Mazda</t>
        </is>
      </c>
      <c r="F10625" s="0" t="inlineStr">
        <is>
          <t xml:space="preserve">Mazda</t>
        </is>
      </c>
      <c r="G10625" s="0" t="s">
        <v>171</v>
      </c>
      <c r="H10625" s="5">
        <v>7.631000</v>
      </c>
    </row>
    <row r="10626" spans="1:9">
      <c r="A10626" s="22" t="str">
        <f>HYPERLINK("https://app.vivvix.com/360/KMI/IntelliDrive/ApplUI/Pages/CreativePages/CustomReportCreativeDetail.aspx?App=23&amp;ReportView=4&amp;Qid=1711279&amp;Row=10618&amp;Col=1","No Title Assigned - #15272059592")</f>
        <v/>
      </c>
      <c r="B10626" s="0" t="s">
        <v>14442</v>
      </c>
      <c r="E10626" s="0" t="inlineStr">
        <is>
          <t xml:space="preserve">Mazda</t>
        </is>
      </c>
      <c r="F10626" s="0" t="inlineStr">
        <is>
          <t xml:space="preserve">Mazda</t>
        </is>
      </c>
      <c r="G10626" s="0" t="s">
        <v>171</v>
      </c>
      <c r="H10626" s="5">
        <v>79.254400</v>
      </c>
    </row>
    <row r="10627" spans="1:9">
      <c r="A10627" s="22" t="str">
        <f>HYPERLINK("https://app.vivvix.com/360/KMI/IntelliDrive/ApplUI/Pages/CreativePages/CustomReportCreativeDetail.aspx?App=23&amp;ReportView=4&amp;Qid=1711279&amp;Row=10619&amp;Col=1","No Title Assigned - #15272062092")</f>
        <v/>
      </c>
      <c r="B10627" s="0" t="s">
        <v>14443</v>
      </c>
      <c r="C10627" s="0" t="s">
        <v>14444</v>
      </c>
      <c r="D10627" s="0" t="s">
        <v>4204</v>
      </c>
      <c r="E10627" s="0" t="inlineStr">
        <is>
          <t xml:space="preserve">Mazda</t>
        </is>
      </c>
      <c r="F10627" s="0" t="s">
        <v>28</v>
      </c>
      <c r="G10627" s="0" t="s">
        <v>29</v>
      </c>
      <c r="H10627" s="5">
        <v>60.147600</v>
      </c>
    </row>
    <row r="10628" spans="1:9">
      <c r="A10628" s="22" t="str">
        <f>HYPERLINK("https://app.vivvix.com/360/KMI/IntelliDrive/ApplUI/Pages/CreativePages/CustomReportCreativeDetail.aspx?App=23&amp;ReportView=4&amp;Qid=1711279&amp;Row=10620&amp;Col=1","No Title Assigned - #15272064399")</f>
        <v/>
      </c>
      <c r="B10628" s="0" t="s">
        <v>14445</v>
      </c>
      <c r="C10628" s="0" t="s">
        <v>14446</v>
      </c>
      <c r="D10628" s="0" t="s">
        <v>14446</v>
      </c>
      <c r="E10628" s="0" t="inlineStr">
        <is>
          <t xml:space="preserve">Mazda</t>
        </is>
      </c>
      <c r="F10628" s="0" t="s">
        <v>28</v>
      </c>
      <c r="G10628" s="0" t="s">
        <v>29</v>
      </c>
      <c r="H10628" s="5">
        <v>0.651600</v>
      </c>
    </row>
    <row r="10629" spans="1:9">
      <c r="A10629" s="22" t="str">
        <f>HYPERLINK("https://app.vivvix.com/360/KMI/IntelliDrive/ApplUI/Pages/CreativePages/CustomReportCreativeDetail.aspx?App=23&amp;ReportView=4&amp;Qid=1711279&amp;Row=10621&amp;Col=1","No Title Assigned - #15272075541")</f>
        <v/>
      </c>
      <c r="B10629" s="0" t="s">
        <v>14447</v>
      </c>
      <c r="E10629" s="0" t="inlineStr">
        <is>
          <t xml:space="preserve">Mazda</t>
        </is>
      </c>
      <c r="F10629" s="0" t="inlineStr">
        <is>
          <t xml:space="preserve">Mazda</t>
        </is>
      </c>
      <c r="G10629" s="0" t="s">
        <v>171</v>
      </c>
      <c r="H10629" s="5">
        <v>165.838700</v>
      </c>
    </row>
    <row r="10630" spans="1:9">
      <c r="A10630" s="22" t="str">
        <f>HYPERLINK("https://app.vivvix.com/360/KMI/IntelliDrive/ApplUI/Pages/CreativePages/CustomReportCreativeDetail.aspx?App=23&amp;ReportView=4&amp;Qid=1711279&amp;Row=10622&amp;Col=1","No Title Assigned - #15272075857")</f>
        <v/>
      </c>
      <c r="B10630" s="0" t="s">
        <v>14448</v>
      </c>
      <c r="E10630" s="0" t="inlineStr">
        <is>
          <t xml:space="preserve">Mazda</t>
        </is>
      </c>
      <c r="F10630" s="0" t="inlineStr">
        <is>
          <t xml:space="preserve">Mazda</t>
        </is>
      </c>
      <c r="G10630" s="0" t="s">
        <v>171</v>
      </c>
      <c r="H10630" s="5">
        <v>4.052700</v>
      </c>
    </row>
    <row r="10631" spans="1:9">
      <c r="A10631" s="22" t="str">
        <f>HYPERLINK("https://app.vivvix.com/360/KMI/IntelliDrive/ApplUI/Pages/CreativePages/CustomReportCreativeDetail.aspx?App=23&amp;ReportView=4&amp;Qid=1711279&amp;Row=10623&amp;Col=1","No Title Assigned - #15272081019")</f>
        <v/>
      </c>
      <c r="B10631" s="0" t="s">
        <v>14449</v>
      </c>
      <c r="E10631" s="0" t="inlineStr">
        <is>
          <t xml:space="preserve">Mazda</t>
        </is>
      </c>
      <c r="F10631" s="0" t="inlineStr">
        <is>
          <t xml:space="preserve">Mazda</t>
        </is>
      </c>
      <c r="G10631" s="0" t="s">
        <v>171</v>
      </c>
      <c r="H10631" s="5">
        <v>24.930900</v>
      </c>
    </row>
    <row r="10632" spans="1:9">
      <c r="A10632" s="22" t="str">
        <f>HYPERLINK("https://app.vivvix.com/360/KMI/IntelliDrive/ApplUI/Pages/CreativePages/CustomReportCreativeDetail.aspx?App=23&amp;ReportView=4&amp;Qid=1711279&amp;Row=10624&amp;Col=1","No Title Assigned - #15272082973")</f>
        <v/>
      </c>
      <c r="B10632" s="0" t="s">
        <v>14450</v>
      </c>
      <c r="E10632" s="0" t="inlineStr">
        <is>
          <t xml:space="preserve">Mazda</t>
        </is>
      </c>
      <c r="F10632" s="0" t="inlineStr">
        <is>
          <t xml:space="preserve">Mazda</t>
        </is>
      </c>
      <c r="G10632" s="0" t="s">
        <v>171</v>
      </c>
      <c r="H10632" s="5">
        <v>770.655100</v>
      </c>
    </row>
    <row r="10633" spans="1:9">
      <c r="A10633" s="22" t="str">
        <f>HYPERLINK("https://app.vivvix.com/360/KMI/IntelliDrive/ApplUI/Pages/CreativePages/CustomReportCreativeDetail.aspx?App=23&amp;ReportView=4&amp;Qid=1711279&amp;Row=10625&amp;Col=1","No Title Assigned - #15272086360")</f>
        <v/>
      </c>
      <c r="B10633" s="0" t="s">
        <v>14451</v>
      </c>
      <c r="E10633" s="0" t="inlineStr">
        <is>
          <t xml:space="preserve">Mazda</t>
        </is>
      </c>
      <c r="F10633" s="0" t="inlineStr">
        <is>
          <t xml:space="preserve">Mazda</t>
        </is>
      </c>
      <c r="G10633" s="0" t="s">
        <v>171</v>
      </c>
      <c r="H10633" s="5">
        <v>163.535200</v>
      </c>
    </row>
    <row r="10634" spans="1:9">
      <c r="A10634" s="22" t="str">
        <f>HYPERLINK("https://app.vivvix.com/360/KMI/IntelliDrive/ApplUI/Pages/CreativePages/CustomReportCreativeDetail.aspx?App=23&amp;ReportView=4&amp;Qid=1711279&amp;Row=10626&amp;Col=1","No Title Assigned - #15272088161")</f>
        <v/>
      </c>
      <c r="B10634" s="0" t="s">
        <v>14452</v>
      </c>
      <c r="E10634" s="0" t="inlineStr">
        <is>
          <t xml:space="preserve">Mazda</t>
        </is>
      </c>
      <c r="F10634" s="0" t="inlineStr">
        <is>
          <t xml:space="preserve">Mazda</t>
        </is>
      </c>
      <c r="G10634" s="0" t="s">
        <v>171</v>
      </c>
      <c r="H10634" s="5">
        <v>53.017400</v>
      </c>
    </row>
    <row r="10635" spans="1:9">
      <c r="A10635" s="22" t="str">
        <f>HYPERLINK("https://app.vivvix.com/360/KMI/IntelliDrive/ApplUI/Pages/CreativePages/CustomReportCreativeDetail.aspx?App=23&amp;ReportView=4&amp;Qid=1711279&amp;Row=10627&amp;Col=1","No Title Assigned - #15272089138")</f>
        <v/>
      </c>
      <c r="B10635" s="0" t="s">
        <v>14453</v>
      </c>
      <c r="E10635" s="0" t="inlineStr">
        <is>
          <t xml:space="preserve">Mazda</t>
        </is>
      </c>
      <c r="F10635" s="0" t="inlineStr">
        <is>
          <t xml:space="preserve">Mazda</t>
        </is>
      </c>
      <c r="G10635" s="0" t="s">
        <v>171</v>
      </c>
      <c r="H10635" s="5">
        <v>1062.777100</v>
      </c>
    </row>
    <row r="10636" spans="1:9">
      <c r="A10636" s="22" t="str">
        <f>HYPERLINK("https://app.vivvix.com/360/KMI/IntelliDrive/ApplUI/Pages/CreativePages/CustomReportCreativeDetail.aspx?App=23&amp;ReportView=4&amp;Qid=1711279&amp;Row=10628&amp;Col=1","No Title Assigned - #15272090514")</f>
        <v/>
      </c>
      <c r="B10636" s="0" t="s">
        <v>14454</v>
      </c>
      <c r="E10636" s="0" t="inlineStr">
        <is>
          <t xml:space="preserve">Mazda</t>
        </is>
      </c>
      <c r="F10636" s="0" t="inlineStr">
        <is>
          <t xml:space="preserve">Mazda</t>
        </is>
      </c>
      <c r="G10636" s="0" t="s">
        <v>171</v>
      </c>
      <c r="H10636" s="5">
        <v>225.842900</v>
      </c>
    </row>
    <row r="10637" spans="1:9">
      <c r="A10637" s="22" t="str">
        <f>HYPERLINK("https://app.vivvix.com/360/KMI/IntelliDrive/ApplUI/Pages/CreativePages/CustomReportCreativeDetail.aspx?App=23&amp;ReportView=4&amp;Qid=1711279&amp;Row=10629&amp;Col=1","No Title Assigned - #15272090695")</f>
        <v/>
      </c>
      <c r="B10637" s="0" t="s">
        <v>14455</v>
      </c>
      <c r="C10637" s="0" t="s">
        <v>14456</v>
      </c>
      <c r="D10637" s="0" t="s">
        <v>14456</v>
      </c>
      <c r="E10637" s="0" t="inlineStr">
        <is>
          <t xml:space="preserve">Mazda</t>
        </is>
      </c>
      <c r="F10637" s="0" t="inlineStr">
        <is>
          <t xml:space="preserve">Mazda</t>
        </is>
      </c>
      <c r="G10637" s="0" t="s">
        <v>171</v>
      </c>
      <c r="H10637" s="5">
        <v>2417.416400</v>
      </c>
    </row>
    <row r="10638" spans="1:9">
      <c r="A10638" s="22" t="str">
        <f>HYPERLINK("https://app.vivvix.com/360/KMI/IntelliDrive/ApplUI/Pages/CreativePages/CustomReportCreativeDetail.aspx?App=23&amp;ReportView=4&amp;Qid=1711279&amp;Row=10630&amp;Col=1","No Title Assigned - #15272090848")</f>
        <v/>
      </c>
      <c r="B10638" s="0" t="s">
        <v>14457</v>
      </c>
      <c r="C10638" s="0" t="s">
        <v>14458</v>
      </c>
      <c r="D10638" s="0" t="s">
        <v>14458</v>
      </c>
      <c r="E10638" s="0" t="inlineStr">
        <is>
          <t xml:space="preserve">Mazda</t>
        </is>
      </c>
      <c r="F10638" s="0" t="inlineStr">
        <is>
          <t xml:space="preserve">Mazda</t>
        </is>
      </c>
      <c r="G10638" s="0" t="s">
        <v>171</v>
      </c>
      <c r="H10638" s="5">
        <v>387.514100</v>
      </c>
    </row>
    <row r="10639" spans="1:9">
      <c r="A10639" s="22" t="str">
        <f>HYPERLINK("https://app.vivvix.com/360/KMI/IntelliDrive/ApplUI/Pages/CreativePages/CustomReportCreativeDetail.aspx?App=23&amp;ReportView=4&amp;Qid=1711279&amp;Row=10631&amp;Col=1","No Title Assigned - #15272091795")</f>
        <v/>
      </c>
      <c r="B10639" s="0" t="s">
        <v>14459</v>
      </c>
      <c r="E10639" s="0" t="inlineStr">
        <is>
          <t xml:space="preserve">Mazda</t>
        </is>
      </c>
      <c r="F10639" s="0" t="inlineStr">
        <is>
          <t xml:space="preserve">Mazda</t>
        </is>
      </c>
      <c r="G10639" s="0" t="s">
        <v>171</v>
      </c>
      <c r="H10639" s="5">
        <v>3.209600</v>
      </c>
    </row>
    <row r="10640" spans="1:9">
      <c r="A10640" s="22" t="str">
        <f>HYPERLINK("https://app.vivvix.com/360/KMI/IntelliDrive/ApplUI/Pages/CreativePages/CustomReportCreativeDetail.aspx?App=23&amp;ReportView=4&amp;Qid=1711279&amp;Row=10632&amp;Col=1","No Title Assigned - #15272094599")</f>
        <v/>
      </c>
      <c r="B10640" s="0" t="s">
        <v>14460</v>
      </c>
      <c r="E10640" s="0" t="inlineStr">
        <is>
          <t xml:space="preserve">Mazda</t>
        </is>
      </c>
      <c r="F10640" s="0" t="inlineStr">
        <is>
          <t xml:space="preserve">Mazda</t>
        </is>
      </c>
      <c r="G10640" s="0" t="s">
        <v>171</v>
      </c>
      <c r="H10640" s="5">
        <v>46.770900</v>
      </c>
    </row>
    <row r="10641" spans="1:9">
      <c r="A10641" s="22" t="str">
        <f>HYPERLINK("https://app.vivvix.com/360/KMI/IntelliDrive/ApplUI/Pages/CreativePages/CustomReportCreativeDetail.aspx?App=23&amp;ReportView=4&amp;Qid=1711279&amp;Row=10633&amp;Col=1","No Title Assigned - #15272095128")</f>
        <v/>
      </c>
      <c r="B10641" s="0" t="s">
        <v>14461</v>
      </c>
      <c r="E10641" s="0" t="inlineStr">
        <is>
          <t xml:space="preserve">Mazda</t>
        </is>
      </c>
      <c r="F10641" s="0" t="inlineStr">
        <is>
          <t xml:space="preserve">Mazda</t>
        </is>
      </c>
      <c r="G10641" s="0" t="s">
        <v>171</v>
      </c>
      <c r="H10641" s="5">
        <v>1417.264500</v>
      </c>
    </row>
    <row r="10642" spans="1:9">
      <c r="A10642" s="22" t="str">
        <f>HYPERLINK("https://app.vivvix.com/360/KMI/IntelliDrive/ApplUI/Pages/CreativePages/CustomReportCreativeDetail.aspx?App=23&amp;ReportView=4&amp;Qid=1711279&amp;Row=10634&amp;Col=1","No Title Assigned - #15272096275")</f>
        <v/>
      </c>
      <c r="B10642" s="0" t="s">
        <v>14462</v>
      </c>
      <c r="E10642" s="0" t="inlineStr">
        <is>
          <t xml:space="preserve">Mazda</t>
        </is>
      </c>
      <c r="F10642" s="0" t="inlineStr">
        <is>
          <t xml:space="preserve">Mazda</t>
        </is>
      </c>
      <c r="G10642" s="0" t="s">
        <v>171</v>
      </c>
      <c r="H10642" s="5">
        <v>2473.705400</v>
      </c>
    </row>
    <row r="10643" spans="1:9">
      <c r="A10643" s="22" t="str">
        <f>HYPERLINK("https://app.vivvix.com/360/KMI/IntelliDrive/ApplUI/Pages/CreativePages/CustomReportCreativeDetail.aspx?App=23&amp;ReportView=4&amp;Qid=1711279&amp;Row=10635&amp;Col=1","No Title Assigned - #15272096816")</f>
        <v/>
      </c>
      <c r="B10643" s="0" t="s">
        <v>14463</v>
      </c>
      <c r="E10643" s="0" t="inlineStr">
        <is>
          <t xml:space="preserve">Mazda</t>
        </is>
      </c>
      <c r="F10643" s="0" t="inlineStr">
        <is>
          <t xml:space="preserve">Mazda</t>
        </is>
      </c>
      <c r="G10643" s="0" t="s">
        <v>171</v>
      </c>
      <c r="H10643" s="5">
        <v>650.654300</v>
      </c>
    </row>
    <row r="10644" spans="1:9">
      <c r="A10644" s="22" t="str">
        <f>HYPERLINK("https://app.vivvix.com/360/KMI/IntelliDrive/ApplUI/Pages/CreativePages/CustomReportCreativeDetail.aspx?App=23&amp;ReportView=4&amp;Qid=1711279&amp;Row=10636&amp;Col=1","No Title Assigned - #15272097661")</f>
        <v/>
      </c>
      <c r="B10644" s="0" t="s">
        <v>14464</v>
      </c>
      <c r="E10644" s="0" t="inlineStr">
        <is>
          <t xml:space="preserve">Mazda</t>
        </is>
      </c>
      <c r="F10644" s="0" t="inlineStr">
        <is>
          <t xml:space="preserve">Mazda</t>
        </is>
      </c>
      <c r="G10644" s="0" t="s">
        <v>171</v>
      </c>
      <c r="H10644" s="5">
        <v>158.926600</v>
      </c>
    </row>
    <row r="10645" spans="1:9">
      <c r="A10645" s="22" t="str">
        <f>HYPERLINK("https://app.vivvix.com/360/KMI/IntelliDrive/ApplUI/Pages/CreativePages/CustomReportCreativeDetail.aspx?App=23&amp;ReportView=4&amp;Qid=1711279&amp;Row=10637&amp;Col=1","No Title Assigned - #15272098071")</f>
        <v/>
      </c>
      <c r="B10645" s="0" t="s">
        <v>14465</v>
      </c>
      <c r="C10645" s="0" t="s">
        <v>14466</v>
      </c>
      <c r="D10645" s="0" t="s">
        <v>14466</v>
      </c>
      <c r="E10645" s="0" t="inlineStr">
        <is>
          <t xml:space="preserve">Mazda</t>
        </is>
      </c>
      <c r="F10645" s="0" t="s">
        <v>13</v>
      </c>
      <c r="G10645" s="0" t="s">
        <v>49</v>
      </c>
      <c r="H10645" s="5">
        <v>4343.694700</v>
      </c>
    </row>
    <row r="10646" spans="1:9">
      <c r="A10646" s="22" t="str">
        <f>HYPERLINK("https://app.vivvix.com/360/KMI/IntelliDrive/ApplUI/Pages/CreativePages/CustomReportCreativeDetail.aspx?App=23&amp;ReportView=4&amp;Qid=1711279&amp;Row=10638&amp;Col=1","No Title Assigned - #15272100100")</f>
        <v/>
      </c>
      <c r="B10646" s="0" t="s">
        <v>14467</v>
      </c>
      <c r="E10646" s="0" t="inlineStr">
        <is>
          <t xml:space="preserve">Mazda</t>
        </is>
      </c>
      <c r="F10646" s="0" t="s">
        <v>28</v>
      </c>
      <c r="G10646" s="0" t="s">
        <v>29</v>
      </c>
      <c r="H10646" s="5">
        <v>25.495800</v>
      </c>
    </row>
    <row r="10647" spans="1:9">
      <c r="A10647" s="22" t="str">
        <f>HYPERLINK("https://app.vivvix.com/360/KMI/IntelliDrive/ApplUI/Pages/CreativePages/CustomReportCreativeDetail.aspx?App=23&amp;ReportView=4&amp;Qid=1711279&amp;Row=10639&amp;Col=1","No Title Assigned - #15272100400")</f>
        <v/>
      </c>
      <c r="B10647" s="0" t="s">
        <v>14468</v>
      </c>
      <c r="C10647" s="0" t="s">
        <v>14469</v>
      </c>
      <c r="D10647" s="0" t="s">
        <v>4938</v>
      </c>
      <c r="E10647" s="0" t="inlineStr">
        <is>
          <t xml:space="preserve">Mazda</t>
        </is>
      </c>
      <c r="F10647" s="0" t="s">
        <v>13</v>
      </c>
      <c r="G10647" s="0" t="s">
        <v>49</v>
      </c>
      <c r="H10647" s="5">
        <v>107.669800</v>
      </c>
    </row>
    <row r="10648" spans="1:9">
      <c r="A10648" s="22" t="str">
        <f>HYPERLINK("https://app.vivvix.com/360/KMI/IntelliDrive/ApplUI/Pages/CreativePages/CustomReportCreativeDetail.aspx?App=23&amp;ReportView=4&amp;Qid=1711279&amp;Row=10640&amp;Col=1","No Title Assigned - #15272101188")</f>
        <v/>
      </c>
      <c r="B10648" s="0" t="s">
        <v>14470</v>
      </c>
      <c r="C10648" s="0" t="s">
        <v>14471</v>
      </c>
      <c r="D10648" s="0" t="s">
        <v>14471</v>
      </c>
      <c r="E10648" s="0" t="inlineStr">
        <is>
          <t xml:space="preserve">Mazda</t>
        </is>
      </c>
      <c r="F10648" s="0" t="s">
        <v>28</v>
      </c>
      <c r="G10648" s="0" t="s">
        <v>29</v>
      </c>
      <c r="H10648" s="5">
        <v>57.090400</v>
      </c>
    </row>
    <row r="10649" spans="1:9">
      <c r="A10649" s="22" t="str">
        <f>HYPERLINK("https://app.vivvix.com/360/KMI/IntelliDrive/ApplUI/Pages/CreativePages/CustomReportCreativeDetail.aspx?App=23&amp;ReportView=4&amp;Qid=1711279&amp;Row=10641&amp;Col=1","No Title Assigned - #15272102086")</f>
        <v/>
      </c>
      <c r="B10649" s="0" t="s">
        <v>14472</v>
      </c>
      <c r="E10649" s="0" t="inlineStr">
        <is>
          <t xml:space="preserve">Mazda</t>
        </is>
      </c>
      <c r="F10649" s="0" t="s">
        <v>13</v>
      </c>
      <c r="G10649" s="0" t="s">
        <v>49</v>
      </c>
      <c r="H10649" s="5">
        <v>719.585400</v>
      </c>
    </row>
    <row r="10650" spans="1:9">
      <c r="A10650" s="22" t="str">
        <f>HYPERLINK("https://app.vivvix.com/360/KMI/IntelliDrive/ApplUI/Pages/CreativePages/CustomReportCreativeDetail.aspx?App=23&amp;ReportView=4&amp;Qid=1711279&amp;Row=10642&amp;Col=1","No Title Assigned - #15272102086")</f>
        <v/>
      </c>
      <c r="B10650" s="0" t="s">
        <v>14472</v>
      </c>
      <c r="C10650" s="0" t="s">
        <v>14473</v>
      </c>
      <c r="D10650" s="0" t="s">
        <v>4774</v>
      </c>
      <c r="E10650" s="0" t="inlineStr">
        <is>
          <t xml:space="preserve">Mazda</t>
        </is>
      </c>
      <c r="F10650" s="0" t="s">
        <v>13</v>
      </c>
      <c r="G10650" s="0" t="s">
        <v>49</v>
      </c>
      <c r="H10650" s="5">
        <v>79.498800</v>
      </c>
    </row>
    <row r="10651" spans="1:9">
      <c r="A10651" s="22" t="str">
        <f>HYPERLINK("https://app.vivvix.com/360/KMI/IntelliDrive/ApplUI/Pages/CreativePages/CustomReportCreativeDetail.aspx?App=23&amp;ReportView=4&amp;Qid=1711279&amp;Row=10643&amp;Col=1","No Title Assigned - #15272102712")</f>
        <v/>
      </c>
      <c r="B10651" s="0" t="s">
        <v>14474</v>
      </c>
      <c r="C10651" s="0" t="s">
        <v>14475</v>
      </c>
      <c r="D10651" s="0" t="s">
        <v>14475</v>
      </c>
      <c r="E10651" s="0" t="inlineStr">
        <is>
          <t xml:space="preserve">Mazda</t>
        </is>
      </c>
      <c r="F10651" s="0" t="s">
        <v>13</v>
      </c>
      <c r="G10651" s="0" t="s">
        <v>49</v>
      </c>
      <c r="H10651" s="5">
        <v>2657.500100</v>
      </c>
    </row>
    <row r="10652" spans="1:9">
      <c r="A10652" s="22" t="str">
        <f>HYPERLINK("https://app.vivvix.com/360/KMI/IntelliDrive/ApplUI/Pages/CreativePages/CustomReportCreativeDetail.aspx?App=23&amp;ReportView=4&amp;Qid=1711279&amp;Row=10644&amp;Col=1","No Title Assigned - #15272103039")</f>
        <v/>
      </c>
      <c r="B10652" s="0" t="s">
        <v>14476</v>
      </c>
      <c r="C10652" s="0" t="s">
        <v>14477</v>
      </c>
      <c r="D10652" s="0" t="s">
        <v>9749</v>
      </c>
      <c r="E10652" s="0" t="inlineStr">
        <is>
          <t xml:space="preserve">Mazda</t>
        </is>
      </c>
      <c r="F10652" s="0" t="s">
        <v>13</v>
      </c>
      <c r="G10652" s="0" t="s">
        <v>49</v>
      </c>
      <c r="H10652" s="5">
        <v>257.036800</v>
      </c>
    </row>
    <row r="10653" spans="1:9">
      <c r="A10653" s="22" t="str">
        <f>HYPERLINK("https://app.vivvix.com/360/KMI/IntelliDrive/ApplUI/Pages/CreativePages/CustomReportCreativeDetail.aspx?App=23&amp;ReportView=4&amp;Qid=1711279&amp;Row=10645&amp;Col=1","No Title Assigned - #15272103399")</f>
        <v/>
      </c>
      <c r="B10653" s="0" t="s">
        <v>14478</v>
      </c>
      <c r="C10653" s="0" t="s">
        <v>14479</v>
      </c>
      <c r="D10653" s="0" t="s">
        <v>14479</v>
      </c>
      <c r="E10653" s="0" t="inlineStr">
        <is>
          <t xml:space="preserve">Mazda</t>
        </is>
      </c>
      <c r="F10653" s="0" t="s">
        <v>13</v>
      </c>
      <c r="G10653" s="0" t="s">
        <v>49</v>
      </c>
      <c r="H10653" s="5">
        <v>986671.428300</v>
      </c>
    </row>
    <row r="10654" spans="1:9">
      <c r="A10654" s="22" t="str">
        <f>HYPERLINK("https://app.vivvix.com/360/KMI/IntelliDrive/ApplUI/Pages/CreativePages/CustomReportCreativeDetail.aspx?App=23&amp;ReportView=4&amp;Qid=1711279&amp;Row=10646&amp;Col=1","No Title Assigned - #15272103401")</f>
        <v/>
      </c>
      <c r="B10654" s="0" t="s">
        <v>14480</v>
      </c>
      <c r="C10654" s="0" t="s">
        <v>14481</v>
      </c>
      <c r="D10654" s="0" t="s">
        <v>14481</v>
      </c>
      <c r="E10654" s="0" t="inlineStr">
        <is>
          <t xml:space="preserve">Mazda</t>
        </is>
      </c>
      <c r="F10654" s="0" t="s">
        <v>13</v>
      </c>
      <c r="G10654" s="0" t="s">
        <v>49</v>
      </c>
      <c r="H10654" s="5">
        <v>2545.776400</v>
      </c>
    </row>
    <row r="10655" spans="1:9">
      <c r="A10655" s="22" t="str">
        <f>HYPERLINK("https://app.vivvix.com/360/KMI/IntelliDrive/ApplUI/Pages/CreativePages/CustomReportCreativeDetail.aspx?App=23&amp;ReportView=4&amp;Qid=1711279&amp;Row=10647&amp;Col=1","No Title Assigned - #15272103401")</f>
        <v/>
      </c>
      <c r="B10655" s="0" t="s">
        <v>14480</v>
      </c>
      <c r="E10655" s="0" t="inlineStr">
        <is>
          <t xml:space="preserve">Mazda</t>
        </is>
      </c>
      <c r="F10655" s="0" t="s">
        <v>13</v>
      </c>
      <c r="G10655" s="0" t="s">
        <v>49</v>
      </c>
      <c r="H10655" s="5">
        <v>2392.133100</v>
      </c>
    </row>
    <row r="10656" spans="1:9">
      <c r="A10656" s="22" t="str">
        <f>HYPERLINK("https://app.vivvix.com/360/KMI/IntelliDrive/ApplUI/Pages/CreativePages/CustomReportCreativeDetail.aspx?App=23&amp;ReportView=4&amp;Qid=1711279&amp;Row=10648&amp;Col=1","No Title Assigned - #15272103420")</f>
        <v/>
      </c>
      <c r="B10656" s="0" t="s">
        <v>14482</v>
      </c>
      <c r="C10656" s="0" t="s">
        <v>14483</v>
      </c>
      <c r="D10656" s="0" t="s">
        <v>6183</v>
      </c>
      <c r="E10656" s="0" t="inlineStr">
        <is>
          <t xml:space="preserve">Mazda</t>
        </is>
      </c>
      <c r="F10656" s="0" t="s">
        <v>13</v>
      </c>
      <c r="G10656" s="0" t="s">
        <v>49</v>
      </c>
      <c r="H10656" s="5">
        <v>27.600800</v>
      </c>
    </row>
    <row r="10657" spans="1:9">
      <c r="A10657" s="22" t="str">
        <f>HYPERLINK("https://app.vivvix.com/360/KMI/IntelliDrive/ApplUI/Pages/CreativePages/CustomReportCreativeDetail.aspx?App=23&amp;ReportView=4&amp;Qid=1711279&amp;Row=10649&amp;Col=1","No Title Assigned - #15272103822")</f>
        <v/>
      </c>
      <c r="B10657" s="0" t="s">
        <v>14484</v>
      </c>
      <c r="C10657" s="0" t="s">
        <v>14485</v>
      </c>
      <c r="D10657" s="0" t="s">
        <v>14485</v>
      </c>
      <c r="E10657" s="0" t="inlineStr">
        <is>
          <t xml:space="preserve">Mazda</t>
        </is>
      </c>
      <c r="F10657" s="0" t="s">
        <v>13</v>
      </c>
      <c r="G10657" s="0" t="s">
        <v>49</v>
      </c>
      <c r="H10657" s="5">
        <v>2374.403500</v>
      </c>
    </row>
    <row r="10658" spans="1:9">
      <c r="A10658" s="22" t="str">
        <f>HYPERLINK("https://app.vivvix.com/360/KMI/IntelliDrive/ApplUI/Pages/CreativePages/CustomReportCreativeDetail.aspx?App=23&amp;ReportView=4&amp;Qid=1711279&amp;Row=10650&amp;Col=1","No Title Assigned - #15272103822")</f>
        <v/>
      </c>
      <c r="B10658" s="0" t="s">
        <v>14484</v>
      </c>
      <c r="E10658" s="0" t="inlineStr">
        <is>
          <t xml:space="preserve">Mazda</t>
        </is>
      </c>
      <c r="F10658" s="0" t="s">
        <v>13</v>
      </c>
      <c r="G10658" s="0" t="s">
        <v>49</v>
      </c>
      <c r="H10658" s="5">
        <v>558.157500</v>
      </c>
    </row>
    <row r="10659" spans="1:9">
      <c r="A10659" s="22" t="str">
        <f>HYPERLINK("https://app.vivvix.com/360/KMI/IntelliDrive/ApplUI/Pages/CreativePages/CustomReportCreativeDetail.aspx?App=23&amp;ReportView=4&amp;Qid=1711279&amp;Row=10651&amp;Col=1","No Title Assigned - #15272103927")</f>
        <v/>
      </c>
      <c r="B10659" s="0" t="s">
        <v>14486</v>
      </c>
      <c r="C10659" s="0" t="s">
        <v>14487</v>
      </c>
      <c r="D10659" s="0" t="s">
        <v>14487</v>
      </c>
      <c r="E10659" s="0" t="inlineStr">
        <is>
          <t xml:space="preserve">Mazda</t>
        </is>
      </c>
      <c r="F10659" s="0" t="s">
        <v>13</v>
      </c>
      <c r="G10659" s="0" t="s">
        <v>49</v>
      </c>
      <c r="H10659" s="5">
        <v>136791.106000</v>
      </c>
    </row>
    <row r="10660" spans="1:9">
      <c r="A10660" s="22" t="str">
        <f>HYPERLINK("https://app.vivvix.com/360/KMI/IntelliDrive/ApplUI/Pages/CreativePages/CustomReportCreativeDetail.aspx?App=23&amp;ReportView=4&amp;Qid=1711279&amp;Row=10652&amp;Col=1","No Title Assigned - #15272104123")</f>
        <v/>
      </c>
      <c r="B10660" s="0" t="s">
        <v>14488</v>
      </c>
      <c r="C10660" s="0" t="s">
        <v>14489</v>
      </c>
      <c r="D10660" s="0" t="s">
        <v>14489</v>
      </c>
      <c r="E10660" s="0" t="inlineStr">
        <is>
          <t xml:space="preserve">Mazda</t>
        </is>
      </c>
      <c r="F10660" s="0" t="s">
        <v>13</v>
      </c>
      <c r="G10660" s="0" t="s">
        <v>49</v>
      </c>
      <c r="H10660" s="5">
        <v>95885.934700</v>
      </c>
    </row>
    <row r="10661" spans="1:9">
      <c r="A10661" s="22" t="str">
        <f>HYPERLINK("https://app.vivvix.com/360/KMI/IntelliDrive/ApplUI/Pages/CreativePages/CustomReportCreativeDetail.aspx?App=23&amp;ReportView=4&amp;Qid=1711279&amp;Row=10653&amp;Col=1","No Title Assigned - #15272104164")</f>
        <v/>
      </c>
      <c r="B10661" s="0" t="s">
        <v>14490</v>
      </c>
      <c r="C10661" s="0" t="s">
        <v>14491</v>
      </c>
      <c r="D10661" s="0" t="s">
        <v>4333</v>
      </c>
      <c r="E10661" s="0" t="inlineStr">
        <is>
          <t xml:space="preserve">Mazda</t>
        </is>
      </c>
      <c r="F10661" s="0" t="s">
        <v>28</v>
      </c>
      <c r="G10661" s="0" t="s">
        <v>29</v>
      </c>
      <c r="H10661" s="5">
        <v>40.279000</v>
      </c>
    </row>
    <row r="10662" spans="1:9">
      <c r="A10662" s="22" t="str">
        <f>HYPERLINK("https://app.vivvix.com/360/KMI/IntelliDrive/ApplUI/Pages/CreativePages/CustomReportCreativeDetail.aspx?App=23&amp;ReportView=4&amp;Qid=1711279&amp;Row=10654&amp;Col=1","No Title Assigned - #15272104610")</f>
        <v/>
      </c>
      <c r="B10662" s="0" t="s">
        <v>14492</v>
      </c>
      <c r="C10662" s="0" t="s">
        <v>14493</v>
      </c>
      <c r="D10662" s="0" t="s">
        <v>14493</v>
      </c>
      <c r="E10662" s="0" t="inlineStr">
        <is>
          <t xml:space="preserve">Mazda</t>
        </is>
      </c>
      <c r="F10662" s="0" t="s">
        <v>13</v>
      </c>
      <c r="G10662" s="0" t="s">
        <v>49</v>
      </c>
      <c r="H10662" s="5">
        <v>203.047200</v>
      </c>
    </row>
    <row r="10663" spans="1:9">
      <c r="A10663" s="22" t="str">
        <f>HYPERLINK("https://app.vivvix.com/360/KMI/IntelliDrive/ApplUI/Pages/CreativePages/CustomReportCreativeDetail.aspx?App=23&amp;ReportView=4&amp;Qid=1711279&amp;Row=10655&amp;Col=1","No Title Assigned - #15272104931")</f>
        <v/>
      </c>
      <c r="B10663" s="0" t="s">
        <v>14494</v>
      </c>
      <c r="C10663" s="0" t="s">
        <v>14495</v>
      </c>
      <c r="D10663" s="0" t="s">
        <v>4202</v>
      </c>
      <c r="E10663" s="0" t="inlineStr">
        <is>
          <t xml:space="preserve">Mazda</t>
        </is>
      </c>
      <c r="F10663" s="0" t="s">
        <v>28</v>
      </c>
      <c r="G10663" s="0" t="s">
        <v>29</v>
      </c>
      <c r="H10663" s="5">
        <v>16.913100</v>
      </c>
    </row>
    <row r="10664" spans="1:9">
      <c r="A10664" s="22" t="str">
        <f>HYPERLINK("https://app.vivvix.com/360/KMI/IntelliDrive/ApplUI/Pages/CreativePages/CustomReportCreativeDetail.aspx?App=23&amp;ReportView=4&amp;Qid=1711279&amp;Row=10656&amp;Col=1","No Title Assigned - #15272105560")</f>
        <v/>
      </c>
      <c r="B10664" s="0" t="s">
        <v>14496</v>
      </c>
      <c r="C10664" s="0" t="s">
        <v>14497</v>
      </c>
      <c r="D10664" s="0" t="s">
        <v>4418</v>
      </c>
      <c r="E10664" s="0" t="inlineStr">
        <is>
          <t xml:space="preserve">Mazda</t>
        </is>
      </c>
      <c r="F10664" s="0" t="s">
        <v>28</v>
      </c>
      <c r="G10664" s="0" t="s">
        <v>29</v>
      </c>
      <c r="H10664" s="5">
        <v>696.902600</v>
      </c>
    </row>
    <row r="10665" spans="1:9">
      <c r="A10665" s="22" t="str">
        <f>HYPERLINK("https://app.vivvix.com/360/KMI/IntelliDrive/ApplUI/Pages/CreativePages/CustomReportCreativeDetail.aspx?App=23&amp;ReportView=4&amp;Qid=1711279&amp;Row=10657&amp;Col=1","No Title Assigned - #15272106672")</f>
        <v/>
      </c>
      <c r="B10665" s="0" t="s">
        <v>14498</v>
      </c>
      <c r="C10665" s="0" t="s">
        <v>14499</v>
      </c>
      <c r="D10665" s="0" t="s">
        <v>6663</v>
      </c>
      <c r="E10665" s="0" t="inlineStr">
        <is>
          <t xml:space="preserve">Mazda</t>
        </is>
      </c>
      <c r="F10665" s="0" t="s">
        <v>28</v>
      </c>
      <c r="G10665" s="0" t="s">
        <v>29</v>
      </c>
      <c r="H10665" s="5">
        <v>17.674600</v>
      </c>
    </row>
    <row r="10666" spans="1:9">
      <c r="A10666" s="22" t="str">
        <f>HYPERLINK("https://app.vivvix.com/360/KMI/IntelliDrive/ApplUI/Pages/CreativePages/CustomReportCreativeDetail.aspx?App=23&amp;ReportView=4&amp;Qid=1711279&amp;Row=10658&amp;Col=1","No Title Assigned - #15272107476")</f>
        <v/>
      </c>
      <c r="B10666" s="0" t="s">
        <v>14500</v>
      </c>
      <c r="C10666" s="0" t="s">
        <v>14501</v>
      </c>
      <c r="D10666" s="0" t="s">
        <v>14501</v>
      </c>
      <c r="E10666" s="0" t="inlineStr">
        <is>
          <t xml:space="preserve">Mazda</t>
        </is>
      </c>
      <c r="F10666" s="0" t="s">
        <v>13</v>
      </c>
      <c r="G10666" s="0" t="s">
        <v>49</v>
      </c>
      <c r="H10666" s="5">
        <v>10.781700</v>
      </c>
    </row>
    <row r="10667" spans="1:9">
      <c r="A10667" s="22" t="str">
        <f>HYPERLINK("https://app.vivvix.com/360/KMI/IntelliDrive/ApplUI/Pages/CreativePages/CustomReportCreativeDetail.aspx?App=23&amp;ReportView=4&amp;Qid=1711279&amp;Row=10659&amp;Col=1","No Title Assigned - #15272107743")</f>
        <v/>
      </c>
      <c r="B10667" s="0" t="s">
        <v>14502</v>
      </c>
      <c r="C10667" s="0" t="s">
        <v>14503</v>
      </c>
      <c r="D10667" s="0" t="s">
        <v>9749</v>
      </c>
      <c r="E10667" s="0" t="inlineStr">
        <is>
          <t xml:space="preserve">Mazda</t>
        </is>
      </c>
      <c r="F10667" s="0" t="s">
        <v>13</v>
      </c>
      <c r="G10667" s="0" t="s">
        <v>49</v>
      </c>
      <c r="H10667" s="5">
        <v>37.144800</v>
      </c>
    </row>
    <row r="10668" spans="1:9">
      <c r="A10668" s="22" t="str">
        <f>HYPERLINK("https://app.vivvix.com/360/KMI/IntelliDrive/ApplUI/Pages/CreativePages/CustomReportCreativeDetail.aspx?App=23&amp;ReportView=4&amp;Qid=1711279&amp;Row=10660&amp;Col=1","No Title Assigned - #15272108465")</f>
        <v/>
      </c>
      <c r="B10668" s="0" t="s">
        <v>14504</v>
      </c>
      <c r="C10668" s="0" t="s">
        <v>14505</v>
      </c>
      <c r="D10668" s="0" t="s">
        <v>4202</v>
      </c>
      <c r="E10668" s="0" t="inlineStr">
        <is>
          <t xml:space="preserve">Mazda</t>
        </is>
      </c>
      <c r="F10668" s="0" t="s">
        <v>28</v>
      </c>
      <c r="G10668" s="0" t="s">
        <v>29</v>
      </c>
      <c r="H10668" s="5">
        <v>30.530000</v>
      </c>
    </row>
    <row r="10669" spans="1:9">
      <c r="A10669" s="22" t="str">
        <f>HYPERLINK("https://app.vivvix.com/360/KMI/IntelliDrive/ApplUI/Pages/CreativePages/CustomReportCreativeDetail.aspx?App=23&amp;ReportView=4&amp;Qid=1711279&amp;Row=10661&amp;Col=1","No Title Assigned - #15272108580")</f>
        <v/>
      </c>
      <c r="B10669" s="0" t="s">
        <v>14506</v>
      </c>
      <c r="C10669" s="0" t="s">
        <v>14507</v>
      </c>
      <c r="D10669" s="0" t="s">
        <v>4202</v>
      </c>
      <c r="E10669" s="0" t="inlineStr">
        <is>
          <t xml:space="preserve">Mazda</t>
        </is>
      </c>
      <c r="F10669" s="0" t="s">
        <v>28</v>
      </c>
      <c r="G10669" s="0" t="s">
        <v>29</v>
      </c>
      <c r="H10669" s="5">
        <v>265.092500</v>
      </c>
    </row>
    <row r="10670" spans="1:9">
      <c r="A10670" s="22" t="str">
        <f>HYPERLINK("https://app.vivvix.com/360/KMI/IntelliDrive/ApplUI/Pages/CreativePages/CustomReportCreativeDetail.aspx?App=23&amp;ReportView=4&amp;Qid=1711279&amp;Row=10662&amp;Col=1","No Title Assigned - #15272109467")</f>
        <v/>
      </c>
      <c r="B10670" s="0" t="s">
        <v>14508</v>
      </c>
      <c r="C10670" s="0" t="s">
        <v>14509</v>
      </c>
      <c r="D10670" s="0" t="s">
        <v>14509</v>
      </c>
      <c r="E10670" s="0" t="inlineStr">
        <is>
          <t xml:space="preserve">Mazda</t>
        </is>
      </c>
      <c r="F10670" s="0" t="s">
        <v>13</v>
      </c>
      <c r="G10670" s="0" t="s">
        <v>49</v>
      </c>
      <c r="H10670" s="5">
        <v>24000.047600</v>
      </c>
    </row>
    <row r="10671" spans="1:9">
      <c r="A10671" s="22" t="str">
        <f>HYPERLINK("https://app.vivvix.com/360/KMI/IntelliDrive/ApplUI/Pages/CreativePages/CustomReportCreativeDetail.aspx?App=23&amp;ReportView=4&amp;Qid=1711279&amp;Row=10663&amp;Col=1","No Title Assigned - #15272109820")</f>
        <v/>
      </c>
      <c r="B10671" s="0" t="s">
        <v>14510</v>
      </c>
      <c r="C10671" s="0" t="s">
        <v>14511</v>
      </c>
      <c r="D10671" s="0" t="s">
        <v>5013</v>
      </c>
      <c r="E10671" s="0" t="inlineStr">
        <is>
          <t xml:space="preserve">Mazda</t>
        </is>
      </c>
      <c r="F10671" s="0" t="s">
        <v>13</v>
      </c>
      <c r="G10671" s="0" t="s">
        <v>49</v>
      </c>
      <c r="H10671" s="5">
        <v>68.584900</v>
      </c>
    </row>
    <row r="10672" spans="1:9">
      <c r="A10672" s="22" t="str">
        <f>HYPERLINK("https://app.vivvix.com/360/KMI/IntelliDrive/ApplUI/Pages/CreativePages/CustomReportCreativeDetail.aspx?App=23&amp;ReportView=4&amp;Qid=1711279&amp;Row=10664&amp;Col=1","No Title Assigned - #15272109846")</f>
        <v/>
      </c>
      <c r="B10672" s="0" t="s">
        <v>14512</v>
      </c>
      <c r="C10672" s="0" t="s">
        <v>14513</v>
      </c>
      <c r="D10672" s="0" t="s">
        <v>4335</v>
      </c>
      <c r="E10672" s="0" t="inlineStr">
        <is>
          <t xml:space="preserve">Mazda</t>
        </is>
      </c>
      <c r="F10672" s="0" t="s">
        <v>13</v>
      </c>
      <c r="G10672" s="0" t="s">
        <v>49</v>
      </c>
      <c r="H10672" s="5">
        <v>94.529800</v>
      </c>
    </row>
    <row r="10673" spans="1:9">
      <c r="A10673" s="22" t="str">
        <f>HYPERLINK("https://app.vivvix.com/360/KMI/IntelliDrive/ApplUI/Pages/CreativePages/CustomReportCreativeDetail.aspx?App=23&amp;ReportView=4&amp;Qid=1711279&amp;Row=10665&amp;Col=1","No Title Assigned - #15272109896")</f>
        <v/>
      </c>
      <c r="B10673" s="0" t="s">
        <v>14514</v>
      </c>
      <c r="C10673" s="0" t="s">
        <v>14515</v>
      </c>
      <c r="D10673" s="0" t="s">
        <v>14515</v>
      </c>
      <c r="E10673" s="0" t="inlineStr">
        <is>
          <t xml:space="preserve">Mazda</t>
        </is>
      </c>
      <c r="F10673" s="0" t="s">
        <v>13</v>
      </c>
      <c r="G10673" s="0" t="s">
        <v>49</v>
      </c>
      <c r="H10673" s="5">
        <v>605.977000</v>
      </c>
    </row>
    <row r="10674" spans="1:9">
      <c r="A10674" s="22" t="str">
        <f>HYPERLINK("https://app.vivvix.com/360/KMI/IntelliDrive/ApplUI/Pages/CreativePages/CustomReportCreativeDetail.aspx?App=23&amp;ReportView=4&amp;Qid=1711279&amp;Row=10666&amp;Col=1","No Title Assigned - #15272109911")</f>
        <v/>
      </c>
      <c r="B10674" s="0" t="s">
        <v>14516</v>
      </c>
      <c r="C10674" s="0" t="s">
        <v>14517</v>
      </c>
      <c r="D10674" s="0" t="s">
        <v>4335</v>
      </c>
      <c r="E10674" s="0" t="inlineStr">
        <is>
          <t xml:space="preserve">Mazda</t>
        </is>
      </c>
      <c r="F10674" s="0" t="s">
        <v>13</v>
      </c>
      <c r="G10674" s="0" t="s">
        <v>49</v>
      </c>
      <c r="H10674" s="5">
        <v>104.667000</v>
      </c>
    </row>
    <row r="10675" spans="1:9">
      <c r="A10675" s="22" t="str">
        <f>HYPERLINK("https://app.vivvix.com/360/KMI/IntelliDrive/ApplUI/Pages/CreativePages/CustomReportCreativeDetail.aspx?App=23&amp;ReportView=4&amp;Qid=1711279&amp;Row=10667&amp;Col=1","No Title Assigned - #15272110305")</f>
        <v/>
      </c>
      <c r="B10675" s="0" t="s">
        <v>14518</v>
      </c>
      <c r="E10675" s="0" t="inlineStr">
        <is>
          <t xml:space="preserve">Mazda</t>
        </is>
      </c>
      <c r="F10675" s="0" t="s">
        <v>13</v>
      </c>
      <c r="G10675" s="0" t="s">
        <v>49</v>
      </c>
      <c r="H10675" s="5">
        <v>1269.307500</v>
      </c>
    </row>
    <row r="10676" spans="1:9">
      <c r="A10676" s="22" t="str">
        <f>HYPERLINK("https://app.vivvix.com/360/KMI/IntelliDrive/ApplUI/Pages/CreativePages/CustomReportCreativeDetail.aspx?App=23&amp;ReportView=4&amp;Qid=1711279&amp;Row=10668&amp;Col=1","No Title Assigned - #15272110305")</f>
        <v/>
      </c>
      <c r="B10676" s="0" t="s">
        <v>14518</v>
      </c>
      <c r="C10676" s="0" t="s">
        <v>14519</v>
      </c>
      <c r="D10676" s="0" t="s">
        <v>14519</v>
      </c>
      <c r="E10676" s="0" t="inlineStr">
        <is>
          <t xml:space="preserve">Mazda</t>
        </is>
      </c>
      <c r="F10676" s="0" t="s">
        <v>13</v>
      </c>
      <c r="G10676" s="0" t="s">
        <v>49</v>
      </c>
      <c r="H10676" s="5">
        <v>2.578700</v>
      </c>
    </row>
    <row r="10677" spans="1:9">
      <c r="A10677" s="22" t="str">
        <f>HYPERLINK("https://app.vivvix.com/360/KMI/IntelliDrive/ApplUI/Pages/CreativePages/CustomReportCreativeDetail.aspx?App=23&amp;ReportView=4&amp;Qid=1711279&amp;Row=10669&amp;Col=1","No Title Assigned - #15272110631")</f>
        <v/>
      </c>
      <c r="B10677" s="0" t="s">
        <v>14520</v>
      </c>
      <c r="C10677" s="0" t="s">
        <v>14521</v>
      </c>
      <c r="D10677" s="0" t="s">
        <v>14521</v>
      </c>
      <c r="E10677" s="0" t="inlineStr">
        <is>
          <t xml:space="preserve">Mazda</t>
        </is>
      </c>
      <c r="F10677" s="0" t="s">
        <v>13</v>
      </c>
      <c r="G10677" s="0" t="s">
        <v>49</v>
      </c>
      <c r="H10677" s="5">
        <v>32922.507500</v>
      </c>
    </row>
    <row r="10678" spans="1:9">
      <c r="A10678" s="22" t="str">
        <f>HYPERLINK("https://app.vivvix.com/360/KMI/IntelliDrive/ApplUI/Pages/CreativePages/CustomReportCreativeDetail.aspx?App=23&amp;ReportView=4&amp;Qid=1711279&amp;Row=10670&amp;Col=1","No Title Assigned - #15272110632")</f>
        <v/>
      </c>
      <c r="B10678" s="0" t="s">
        <v>14522</v>
      </c>
      <c r="C10678" s="0" t="s">
        <v>14523</v>
      </c>
      <c r="D10678" s="0" t="s">
        <v>14523</v>
      </c>
      <c r="E10678" s="0" t="inlineStr">
        <is>
          <t xml:space="preserve">Mazda</t>
        </is>
      </c>
      <c r="F10678" s="0" t="s">
        <v>13</v>
      </c>
      <c r="G10678" s="0" t="s">
        <v>49</v>
      </c>
      <c r="H10678" s="5">
        <v>209.365400</v>
      </c>
    </row>
    <row r="10679" spans="1:9">
      <c r="A10679" s="22" t="str">
        <f>HYPERLINK("https://app.vivvix.com/360/KMI/IntelliDrive/ApplUI/Pages/CreativePages/CustomReportCreativeDetail.aspx?App=23&amp;ReportView=4&amp;Qid=1711279&amp;Row=10671&amp;Col=1","No Title Assigned - #15272110743")</f>
        <v/>
      </c>
      <c r="B10679" s="0" t="s">
        <v>14524</v>
      </c>
      <c r="C10679" s="0" t="s">
        <v>14525</v>
      </c>
      <c r="D10679" s="0" t="s">
        <v>14525</v>
      </c>
      <c r="E10679" s="0" t="inlineStr">
        <is>
          <t xml:space="preserve">Mazda</t>
        </is>
      </c>
      <c r="F10679" s="0" t="s">
        <v>13</v>
      </c>
      <c r="G10679" s="0" t="s">
        <v>49</v>
      </c>
      <c r="H10679" s="5">
        <v>9073.808200</v>
      </c>
    </row>
    <row r="10680" spans="1:9">
      <c r="A10680" s="22" t="str">
        <f>HYPERLINK("https://app.vivvix.com/360/KMI/IntelliDrive/ApplUI/Pages/CreativePages/CustomReportCreativeDetail.aspx?App=23&amp;ReportView=4&amp;Qid=1711279&amp;Row=10672&amp;Col=1","No Title Assigned - #15272110743")</f>
        <v/>
      </c>
      <c r="B10680" s="0" t="s">
        <v>14524</v>
      </c>
      <c r="E10680" s="0" t="inlineStr">
        <is>
          <t xml:space="preserve">Mazda</t>
        </is>
      </c>
      <c r="F10680" s="0" t="s">
        <v>13</v>
      </c>
      <c r="G10680" s="0" t="s">
        <v>49</v>
      </c>
      <c r="H10680" s="5">
        <v>65032.209000</v>
      </c>
    </row>
    <row r="10681" spans="1:9">
      <c r="A10681" s="22" t="str">
        <f>HYPERLINK("https://app.vivvix.com/360/KMI/IntelliDrive/ApplUI/Pages/CreativePages/CustomReportCreativeDetail.aspx?App=23&amp;ReportView=4&amp;Qid=1711279&amp;Row=10673&amp;Col=1","No Title Assigned - #15272110818")</f>
        <v/>
      </c>
      <c r="B10681" s="0" t="s">
        <v>14526</v>
      </c>
      <c r="C10681" s="0" t="s">
        <v>14527</v>
      </c>
      <c r="D10681" s="0" t="s">
        <v>14527</v>
      </c>
      <c r="E10681" s="0" t="inlineStr">
        <is>
          <t xml:space="preserve">Mazda</t>
        </is>
      </c>
      <c r="F10681" s="0" t="s">
        <v>13</v>
      </c>
      <c r="G10681" s="0" t="s">
        <v>49</v>
      </c>
      <c r="H10681" s="5">
        <v>4556.553100</v>
      </c>
    </row>
    <row r="10682" spans="1:9">
      <c r="A10682" s="22" t="str">
        <f>HYPERLINK("https://app.vivvix.com/360/KMI/IntelliDrive/ApplUI/Pages/CreativePages/CustomReportCreativeDetail.aspx?App=23&amp;ReportView=4&amp;Qid=1711279&amp;Row=10674&amp;Col=1","No Title Assigned - #15272110953")</f>
        <v/>
      </c>
      <c r="B10682" s="0" t="s">
        <v>14528</v>
      </c>
      <c r="C10682" s="0" t="s">
        <v>14529</v>
      </c>
      <c r="D10682" s="0" t="s">
        <v>14529</v>
      </c>
      <c r="E10682" s="0" t="inlineStr">
        <is>
          <t xml:space="preserve">Mazda</t>
        </is>
      </c>
      <c r="F10682" s="0" t="s">
        <v>28</v>
      </c>
      <c r="G10682" s="0" t="s">
        <v>29</v>
      </c>
      <c r="H10682" s="5">
        <v>1088.230400</v>
      </c>
    </row>
    <row r="10683" spans="1:9">
      <c r="A10683" s="22" t="str">
        <f>HYPERLINK("https://app.vivvix.com/360/KMI/IntelliDrive/ApplUI/Pages/CreativePages/CustomReportCreativeDetail.aspx?App=23&amp;ReportView=4&amp;Qid=1711279&amp;Row=10675&amp;Col=1","No Title Assigned - #15272110992")</f>
        <v/>
      </c>
      <c r="B10683" s="0" t="s">
        <v>14530</v>
      </c>
      <c r="E10683" s="0" t="inlineStr">
        <is>
          <t xml:space="preserve">Mazda</t>
        </is>
      </c>
      <c r="F10683" s="0" t="inlineStr">
        <is>
          <t xml:space="preserve">Mazda</t>
        </is>
      </c>
      <c r="G10683" s="0" t="s">
        <v>171</v>
      </c>
      <c r="H10683" s="5">
        <v>354.854900</v>
      </c>
    </row>
    <row r="10684" spans="1:9">
      <c r="A10684" s="22" t="str">
        <f>HYPERLINK("https://app.vivvix.com/360/KMI/IntelliDrive/ApplUI/Pages/CreativePages/CustomReportCreativeDetail.aspx?App=23&amp;ReportView=4&amp;Qid=1711279&amp;Row=10676&amp;Col=1","No Title Assigned - #15272111014")</f>
        <v/>
      </c>
      <c r="B10684" s="0" t="s">
        <v>14531</v>
      </c>
      <c r="E10684" s="0" t="inlineStr">
        <is>
          <t xml:space="preserve">Mazda</t>
        </is>
      </c>
      <c r="F10684" s="0" t="s">
        <v>13</v>
      </c>
      <c r="G10684" s="0" t="s">
        <v>49</v>
      </c>
      <c r="H10684" s="5">
        <v>728.990900</v>
      </c>
    </row>
    <row r="10685" spans="1:9">
      <c r="A10685" s="22" t="str">
        <f>HYPERLINK("https://app.vivvix.com/360/KMI/IntelliDrive/ApplUI/Pages/CreativePages/CustomReportCreativeDetail.aspx?App=23&amp;ReportView=4&amp;Qid=1711279&amp;Row=10677&amp;Col=1","No Title Assigned - #15272111014")</f>
        <v/>
      </c>
      <c r="B10685" s="0" t="s">
        <v>14531</v>
      </c>
      <c r="C10685" s="0" t="s">
        <v>14532</v>
      </c>
      <c r="D10685" s="0" t="s">
        <v>14532</v>
      </c>
      <c r="E10685" s="0" t="inlineStr">
        <is>
          <t xml:space="preserve">Mazda</t>
        </is>
      </c>
      <c r="F10685" s="0" t="s">
        <v>13</v>
      </c>
      <c r="G10685" s="0" t="s">
        <v>49</v>
      </c>
      <c r="H10685" s="5">
        <v>3507.649400</v>
      </c>
    </row>
    <row r="10686" spans="1:9">
      <c r="A10686" s="22" t="str">
        <f>HYPERLINK("https://app.vivvix.com/360/KMI/IntelliDrive/ApplUI/Pages/CreativePages/CustomReportCreativeDetail.aspx?App=23&amp;ReportView=4&amp;Qid=1711279&amp;Row=10678&amp;Col=1","No Title Assigned - #15272111395")</f>
        <v/>
      </c>
      <c r="B10686" s="0" t="s">
        <v>14533</v>
      </c>
      <c r="C10686" s="0" t="s">
        <v>14534</v>
      </c>
      <c r="D10686" s="0" t="s">
        <v>14534</v>
      </c>
      <c r="E10686" s="0" t="inlineStr">
        <is>
          <t xml:space="preserve">Mazda</t>
        </is>
      </c>
      <c r="F10686" s="0" t="s">
        <v>13</v>
      </c>
      <c r="G10686" s="0" t="s">
        <v>49</v>
      </c>
      <c r="H10686" s="5">
        <v>85.467000</v>
      </c>
    </row>
    <row r="10687" spans="1:9">
      <c r="A10687" s="22" t="str">
        <f>HYPERLINK("https://app.vivvix.com/360/KMI/IntelliDrive/ApplUI/Pages/CreativePages/CustomReportCreativeDetail.aspx?App=23&amp;ReportView=4&amp;Qid=1711279&amp;Row=10679&amp;Col=1","No Title Assigned - #15272111414")</f>
        <v/>
      </c>
      <c r="B10687" s="0" t="s">
        <v>14535</v>
      </c>
      <c r="C10687" s="0" t="s">
        <v>14536</v>
      </c>
      <c r="D10687" s="0" t="s">
        <v>14536</v>
      </c>
      <c r="E10687" s="0" t="inlineStr">
        <is>
          <t xml:space="preserve">Mazda</t>
        </is>
      </c>
      <c r="F10687" s="0" t="s">
        <v>13</v>
      </c>
      <c r="G10687" s="0" t="s">
        <v>49</v>
      </c>
      <c r="H10687" s="5">
        <v>12875.189000</v>
      </c>
    </row>
    <row r="10688" spans="1:9">
      <c r="A10688" s="22" t="str">
        <f>HYPERLINK("https://app.vivvix.com/360/KMI/IntelliDrive/ApplUI/Pages/CreativePages/CustomReportCreativeDetail.aspx?App=23&amp;ReportView=4&amp;Qid=1711279&amp;Row=10680&amp;Col=1","No Title Assigned - #15272111414")</f>
        <v/>
      </c>
      <c r="B10688" s="0" t="s">
        <v>14535</v>
      </c>
      <c r="E10688" s="0" t="inlineStr">
        <is>
          <t xml:space="preserve">Mazda</t>
        </is>
      </c>
      <c r="F10688" s="0" t="s">
        <v>13</v>
      </c>
      <c r="G10688" s="0" t="s">
        <v>49</v>
      </c>
      <c r="H10688" s="5">
        <v>2800.833500</v>
      </c>
    </row>
    <row r="10689" spans="1:9">
      <c r="A10689" s="22" t="str">
        <f>HYPERLINK("https://app.vivvix.com/360/KMI/IntelliDrive/ApplUI/Pages/CreativePages/CustomReportCreativeDetail.aspx?App=23&amp;ReportView=4&amp;Qid=1711279&amp;Row=10681&amp;Col=1","No Title Assigned - #15272112276")</f>
        <v/>
      </c>
      <c r="B10689" s="0" t="s">
        <v>14537</v>
      </c>
      <c r="C10689" s="0" t="s">
        <v>14538</v>
      </c>
      <c r="D10689" s="0" t="s">
        <v>14538</v>
      </c>
      <c r="E10689" s="0" t="inlineStr">
        <is>
          <t xml:space="preserve">Mazda</t>
        </is>
      </c>
      <c r="F10689" s="0" t="s">
        <v>13</v>
      </c>
      <c r="G10689" s="0" t="s">
        <v>49</v>
      </c>
      <c r="H10689" s="5">
        <v>5437.843500</v>
      </c>
    </row>
    <row r="10690" spans="1:9">
      <c r="A10690" s="22" t="str">
        <f>HYPERLINK("https://app.vivvix.com/360/KMI/IntelliDrive/ApplUI/Pages/CreativePages/CustomReportCreativeDetail.aspx?App=23&amp;ReportView=4&amp;Qid=1711279&amp;Row=10682&amp;Col=1","No Title Assigned - #15272112276")</f>
        <v/>
      </c>
      <c r="B10690" s="0" t="s">
        <v>14537</v>
      </c>
      <c r="E10690" s="0" t="inlineStr">
        <is>
          <t xml:space="preserve">Mazda</t>
        </is>
      </c>
      <c r="F10690" s="0" t="s">
        <v>13</v>
      </c>
      <c r="G10690" s="0" t="s">
        <v>49</v>
      </c>
      <c r="H10690" s="5">
        <v>25334.134500</v>
      </c>
    </row>
    <row r="10691" spans="1:9">
      <c r="A10691" s="22" t="str">
        <f>HYPERLINK("https://app.vivvix.com/360/KMI/IntelliDrive/ApplUI/Pages/CreativePages/CustomReportCreativeDetail.aspx?App=23&amp;ReportView=4&amp;Qid=1711279&amp;Row=10683&amp;Col=1","No Title Assigned - #15272112547")</f>
        <v/>
      </c>
      <c r="B10691" s="0" t="s">
        <v>14539</v>
      </c>
      <c r="C10691" s="0" t="s">
        <v>14540</v>
      </c>
      <c r="D10691" s="0" t="s">
        <v>14540</v>
      </c>
      <c r="E10691" s="0" t="inlineStr">
        <is>
          <t xml:space="preserve">Mazda</t>
        </is>
      </c>
      <c r="F10691" s="0" t="s">
        <v>13</v>
      </c>
      <c r="G10691" s="0" t="s">
        <v>49</v>
      </c>
      <c r="H10691" s="5">
        <v>43.847000</v>
      </c>
    </row>
    <row r="10692" spans="1:9">
      <c r="A10692" s="22" t="str">
        <f>HYPERLINK("https://app.vivvix.com/360/KMI/IntelliDrive/ApplUI/Pages/CreativePages/CustomReportCreativeDetail.aspx?App=23&amp;ReportView=4&amp;Qid=1711279&amp;Row=10684&amp;Col=1","No Title Assigned - #15272112813")</f>
        <v/>
      </c>
      <c r="B10692" s="0" t="s">
        <v>14541</v>
      </c>
      <c r="C10692" s="0" t="s">
        <v>14542</v>
      </c>
      <c r="D10692" s="0" t="s">
        <v>14542</v>
      </c>
      <c r="E10692" s="0" t="inlineStr">
        <is>
          <t xml:space="preserve">Mazda</t>
        </is>
      </c>
      <c r="F10692" s="0" t="s">
        <v>13</v>
      </c>
      <c r="G10692" s="0" t="s">
        <v>49</v>
      </c>
      <c r="H10692" s="5">
        <v>8210.192900</v>
      </c>
    </row>
    <row r="10693" spans="1:9">
      <c r="A10693" s="22" t="str">
        <f>HYPERLINK("https://app.vivvix.com/360/KMI/IntelliDrive/ApplUI/Pages/CreativePages/CustomReportCreativeDetail.aspx?App=23&amp;ReportView=4&amp;Qid=1711279&amp;Row=10685&amp;Col=1","No Title Assigned - #15272112813")</f>
        <v/>
      </c>
      <c r="B10693" s="0" t="s">
        <v>14541</v>
      </c>
      <c r="E10693" s="0" t="inlineStr">
        <is>
          <t xml:space="preserve">Mazda</t>
        </is>
      </c>
      <c r="F10693" s="0" t="s">
        <v>13</v>
      </c>
      <c r="G10693" s="0" t="s">
        <v>49</v>
      </c>
      <c r="H10693" s="5">
        <v>2463.524600</v>
      </c>
    </row>
    <row r="10694" spans="1:9">
      <c r="A10694" s="22" t="str">
        <f>HYPERLINK("https://app.vivvix.com/360/KMI/IntelliDrive/ApplUI/Pages/CreativePages/CustomReportCreativeDetail.aspx?App=23&amp;ReportView=4&amp;Qid=1711279&amp;Row=10686&amp;Col=1","No Title Assigned - #15272112838")</f>
        <v/>
      </c>
      <c r="B10694" s="0" t="s">
        <v>14543</v>
      </c>
      <c r="C10694" s="0" t="s">
        <v>14544</v>
      </c>
      <c r="D10694" s="0" t="s">
        <v>6656</v>
      </c>
      <c r="E10694" s="0" t="inlineStr">
        <is>
          <t xml:space="preserve">Mazda</t>
        </is>
      </c>
      <c r="F10694" s="0" t="s">
        <v>28</v>
      </c>
      <c r="G10694" s="0" t="s">
        <v>29</v>
      </c>
      <c r="H10694" s="5">
        <v>7.632500</v>
      </c>
    </row>
    <row r="10695" spans="1:9">
      <c r="A10695" s="22" t="str">
        <f>HYPERLINK("https://app.vivvix.com/360/KMI/IntelliDrive/ApplUI/Pages/CreativePages/CustomReportCreativeDetail.aspx?App=23&amp;ReportView=4&amp;Qid=1711279&amp;Row=10687&amp;Col=1","No Title Assigned - #15272112932")</f>
        <v/>
      </c>
      <c r="B10695" s="0" t="s">
        <v>14545</v>
      </c>
      <c r="C10695" s="0" t="s">
        <v>14546</v>
      </c>
      <c r="D10695" s="0" t="s">
        <v>14546</v>
      </c>
      <c r="E10695" s="0" t="inlineStr">
        <is>
          <t xml:space="preserve">Mazda</t>
        </is>
      </c>
      <c r="F10695" s="0" t="s">
        <v>13</v>
      </c>
      <c r="G10695" s="0" t="s">
        <v>49</v>
      </c>
      <c r="H10695" s="5">
        <v>122.470900</v>
      </c>
    </row>
    <row r="10696" spans="1:9">
      <c r="A10696" s="22" t="str">
        <f>HYPERLINK("https://app.vivvix.com/360/KMI/IntelliDrive/ApplUI/Pages/CreativePages/CustomReportCreativeDetail.aspx?App=23&amp;ReportView=4&amp;Qid=1711279&amp;Row=10688&amp;Col=1","No Title Assigned - #15272113485")</f>
        <v/>
      </c>
      <c r="B10696" s="0" t="s">
        <v>14547</v>
      </c>
      <c r="C10696" s="0" t="s">
        <v>14548</v>
      </c>
      <c r="D10696" s="0" t="s">
        <v>14548</v>
      </c>
      <c r="E10696" s="0" t="inlineStr">
        <is>
          <t xml:space="preserve">Mazda</t>
        </is>
      </c>
      <c r="F10696" s="0" t="s">
        <v>13</v>
      </c>
      <c r="G10696" s="0" t="s">
        <v>49</v>
      </c>
      <c r="H10696" s="5">
        <v>3510.603200</v>
      </c>
    </row>
    <row r="10697" spans="1:9">
      <c r="A10697" s="22" t="str">
        <f>HYPERLINK("https://app.vivvix.com/360/KMI/IntelliDrive/ApplUI/Pages/CreativePages/CustomReportCreativeDetail.aspx?App=23&amp;ReportView=4&amp;Qid=1711279&amp;Row=10689&amp;Col=1","No Title Assigned - #15272113490")</f>
        <v/>
      </c>
      <c r="B10697" s="0" t="s">
        <v>14549</v>
      </c>
      <c r="C10697" s="0" t="s">
        <v>14550</v>
      </c>
      <c r="D10697" s="0" t="s">
        <v>14550</v>
      </c>
      <c r="E10697" s="0" t="inlineStr">
        <is>
          <t xml:space="preserve">Mazda</t>
        </is>
      </c>
      <c r="F10697" s="0" t="s">
        <v>28</v>
      </c>
      <c r="G10697" s="0" t="s">
        <v>29</v>
      </c>
      <c r="H10697" s="5">
        <v>6.527100</v>
      </c>
    </row>
    <row r="10698" spans="1:9">
      <c r="A10698" s="22" t="str">
        <f>HYPERLINK("https://app.vivvix.com/360/KMI/IntelliDrive/ApplUI/Pages/CreativePages/CustomReportCreativeDetail.aspx?App=23&amp;ReportView=4&amp;Qid=1711279&amp;Row=10690&amp;Col=1","No Title Assigned - #15272113499")</f>
        <v/>
      </c>
      <c r="B10698" s="0" t="s">
        <v>14551</v>
      </c>
      <c r="C10698" s="0" t="s">
        <v>14552</v>
      </c>
      <c r="D10698" s="0" t="s">
        <v>14552</v>
      </c>
      <c r="E10698" s="0" t="inlineStr">
        <is>
          <t xml:space="preserve">Mazda</t>
        </is>
      </c>
      <c r="F10698" s="0" t="s">
        <v>13</v>
      </c>
      <c r="G10698" s="0" t="s">
        <v>49</v>
      </c>
      <c r="H10698" s="5">
        <v>414.696700</v>
      </c>
    </row>
    <row r="10699" spans="1:9">
      <c r="A10699" s="22" t="str">
        <f>HYPERLINK("https://app.vivvix.com/360/KMI/IntelliDrive/ApplUI/Pages/CreativePages/CustomReportCreativeDetail.aspx?App=23&amp;ReportView=4&amp;Qid=1711279&amp;Row=10691&amp;Col=1","No Title Assigned - #15272113543")</f>
        <v/>
      </c>
      <c r="B10699" s="0" t="s">
        <v>14553</v>
      </c>
      <c r="E10699" s="0" t="inlineStr">
        <is>
          <t xml:space="preserve">Mazda</t>
        </is>
      </c>
      <c r="F10699" s="0" t="inlineStr">
        <is>
          <t xml:space="preserve">Mazda</t>
        </is>
      </c>
      <c r="G10699" s="0" t="s">
        <v>210</v>
      </c>
      <c r="H10699" s="5">
        <v>6086.364800</v>
      </c>
    </row>
    <row r="10700" spans="1:9">
      <c r="A10700" s="22" t="str">
        <f>HYPERLINK("https://app.vivvix.com/360/KMI/IntelliDrive/ApplUI/Pages/CreativePages/CustomReportCreativeDetail.aspx?App=23&amp;ReportView=4&amp;Qid=1711279&amp;Row=10692&amp;Col=1","No Title Assigned - #15272113643")</f>
        <v/>
      </c>
      <c r="B10700" s="0" t="s">
        <v>14554</v>
      </c>
      <c r="C10700" s="0" t="s">
        <v>14555</v>
      </c>
      <c r="D10700" s="0" t="s">
        <v>14555</v>
      </c>
      <c r="E10700" s="0" t="inlineStr">
        <is>
          <t xml:space="preserve">Mazda</t>
        </is>
      </c>
      <c r="F10700" s="0" t="s">
        <v>28</v>
      </c>
      <c r="G10700" s="0" t="s">
        <v>29</v>
      </c>
      <c r="H10700" s="5">
        <v>10.007200</v>
      </c>
    </row>
    <row r="10701" spans="1:9">
      <c r="A10701" s="22" t="str">
        <f>HYPERLINK("https://app.vivvix.com/360/KMI/IntelliDrive/ApplUI/Pages/CreativePages/CustomReportCreativeDetail.aspx?App=23&amp;ReportView=4&amp;Qid=1711279&amp;Row=10693&amp;Col=1","No Title Assigned - #15272113778")</f>
        <v/>
      </c>
      <c r="B10701" s="0" t="s">
        <v>14556</v>
      </c>
      <c r="C10701" s="0" t="s">
        <v>14557</v>
      </c>
      <c r="D10701" s="0" t="s">
        <v>14557</v>
      </c>
      <c r="E10701" s="0" t="inlineStr">
        <is>
          <t xml:space="preserve">Mazda</t>
        </is>
      </c>
      <c r="F10701" s="0" t="s">
        <v>13</v>
      </c>
      <c r="G10701" s="0" t="s">
        <v>49</v>
      </c>
      <c r="H10701" s="5">
        <v>55.925200</v>
      </c>
    </row>
    <row r="10702" spans="1:9">
      <c r="A10702" s="22" t="str">
        <f>HYPERLINK("https://app.vivvix.com/360/KMI/IntelliDrive/ApplUI/Pages/CreativePages/CustomReportCreativeDetail.aspx?App=23&amp;ReportView=4&amp;Qid=1711279&amp;Row=10694&amp;Col=1","No Title Assigned - #15272113851")</f>
        <v/>
      </c>
      <c r="B10702" s="0" t="s">
        <v>14558</v>
      </c>
      <c r="C10702" s="0" t="s">
        <v>14559</v>
      </c>
      <c r="D10702" s="0" t="s">
        <v>14559</v>
      </c>
      <c r="E10702" s="0" t="inlineStr">
        <is>
          <t xml:space="preserve">Mazda</t>
        </is>
      </c>
      <c r="F10702" s="0" t="s">
        <v>13</v>
      </c>
      <c r="G10702" s="0" t="s">
        <v>49</v>
      </c>
      <c r="H10702" s="5">
        <v>1558.880800</v>
      </c>
    </row>
    <row r="10703" spans="1:9">
      <c r="A10703" s="22" t="str">
        <f>HYPERLINK("https://app.vivvix.com/360/KMI/IntelliDrive/ApplUI/Pages/CreativePages/CustomReportCreativeDetail.aspx?App=23&amp;ReportView=4&amp;Qid=1711279&amp;Row=10695&amp;Col=1","No Title Assigned - #15272113852")</f>
        <v/>
      </c>
      <c r="B10703" s="0" t="s">
        <v>14560</v>
      </c>
      <c r="C10703" s="0" t="s">
        <v>14561</v>
      </c>
      <c r="D10703" s="0" t="s">
        <v>14561</v>
      </c>
      <c r="E10703" s="0" t="inlineStr">
        <is>
          <t xml:space="preserve">Mazda</t>
        </is>
      </c>
      <c r="F10703" s="0" t="s">
        <v>13</v>
      </c>
      <c r="G10703" s="0" t="s">
        <v>49</v>
      </c>
      <c r="H10703" s="5">
        <v>120.283000</v>
      </c>
    </row>
    <row r="10704" spans="1:9">
      <c r="A10704" s="22" t="str">
        <f>HYPERLINK("https://app.vivvix.com/360/KMI/IntelliDrive/ApplUI/Pages/CreativePages/CustomReportCreativeDetail.aspx?App=23&amp;ReportView=4&amp;Qid=1711279&amp;Row=10696&amp;Col=1","No Title Assigned - #15272114025")</f>
        <v/>
      </c>
      <c r="B10704" s="0" t="s">
        <v>14562</v>
      </c>
      <c r="C10704" s="0" t="s">
        <v>14563</v>
      </c>
      <c r="D10704" s="0" t="s">
        <v>4335</v>
      </c>
      <c r="E10704" s="0" t="inlineStr">
        <is>
          <t xml:space="preserve">Mazda</t>
        </is>
      </c>
      <c r="F10704" s="0" t="s">
        <v>13</v>
      </c>
      <c r="G10704" s="0" t="s">
        <v>49</v>
      </c>
      <c r="H10704" s="5">
        <v>38.260900</v>
      </c>
    </row>
    <row r="10705" spans="1:9">
      <c r="A10705" s="22" t="str">
        <f>HYPERLINK("https://app.vivvix.com/360/KMI/IntelliDrive/ApplUI/Pages/CreativePages/CustomReportCreativeDetail.aspx?App=23&amp;ReportView=4&amp;Qid=1711279&amp;Row=10697&amp;Col=1","No Title Assigned - #15272114992")</f>
        <v/>
      </c>
      <c r="B10705" s="0" t="s">
        <v>14564</v>
      </c>
      <c r="E10705" s="0" t="inlineStr">
        <is>
          <t xml:space="preserve">Mazda</t>
        </is>
      </c>
      <c r="F10705" s="0" t="inlineStr">
        <is>
          <t xml:space="preserve">Mazda</t>
        </is>
      </c>
      <c r="G10705" s="0" t="s">
        <v>171</v>
      </c>
      <c r="H10705" s="5">
        <v>5624.073700</v>
      </c>
    </row>
    <row r="10706" spans="1:9">
      <c r="A10706" s="22" t="str">
        <f>HYPERLINK("https://app.vivvix.com/360/KMI/IntelliDrive/ApplUI/Pages/CreativePages/CustomReportCreativeDetail.aspx?App=23&amp;ReportView=4&amp;Qid=1711279&amp;Row=10698&amp;Col=1","No Title Assigned - #15272114992")</f>
        <v/>
      </c>
      <c r="B10706" s="0" t="s">
        <v>14564</v>
      </c>
      <c r="E10706" s="0" t="inlineStr">
        <is>
          <t xml:space="preserve">Mazda</t>
        </is>
      </c>
      <c r="F10706" s="0" t="inlineStr">
        <is>
          <t xml:space="preserve">Mazda</t>
        </is>
      </c>
      <c r="G10706" s="0" t="s">
        <v>171</v>
      </c>
      <c r="H10706" s="5">
        <v>25256.281600</v>
      </c>
    </row>
    <row r="10707" spans="1:9">
      <c r="A10707" s="22" t="str">
        <f>HYPERLINK("https://app.vivvix.com/360/KMI/IntelliDrive/ApplUI/Pages/CreativePages/CustomReportCreativeDetail.aspx?App=23&amp;ReportView=4&amp;Qid=1711279&amp;Row=10699&amp;Col=1","No Title Assigned - #15272115282")</f>
        <v/>
      </c>
      <c r="B10707" s="0" t="s">
        <v>14565</v>
      </c>
      <c r="E10707" s="0" t="inlineStr">
        <is>
          <t xml:space="preserve">Mazda</t>
        </is>
      </c>
      <c r="F10707" s="0" t="inlineStr">
        <is>
          <t xml:space="preserve">Mazda</t>
        </is>
      </c>
      <c r="G10707" s="0" t="s">
        <v>171</v>
      </c>
      <c r="H10707" s="5">
        <v>28.448900</v>
      </c>
    </row>
    <row r="10708" spans="1:9">
      <c r="A10708" s="22" t="str">
        <f>HYPERLINK("https://app.vivvix.com/360/KMI/IntelliDrive/ApplUI/Pages/CreativePages/CustomReportCreativeDetail.aspx?App=23&amp;ReportView=4&amp;Qid=1711279&amp;Row=10700&amp;Col=1","No Title Assigned - #15272115731")</f>
        <v/>
      </c>
      <c r="B10708" s="0" t="s">
        <v>14566</v>
      </c>
      <c r="C10708" s="0" t="s">
        <v>14567</v>
      </c>
      <c r="D10708" s="0" t="s">
        <v>14567</v>
      </c>
      <c r="E10708" s="0" t="inlineStr">
        <is>
          <t xml:space="preserve">Mazda</t>
        </is>
      </c>
      <c r="F10708" s="0" t="s">
        <v>13</v>
      </c>
      <c r="G10708" s="0" t="s">
        <v>49</v>
      </c>
      <c r="H10708" s="5">
        <v>250.357500</v>
      </c>
    </row>
    <row r="10709" spans="1:9">
      <c r="A10709" s="22" t="str">
        <f>HYPERLINK("https://app.vivvix.com/360/KMI/IntelliDrive/ApplUI/Pages/CreativePages/CustomReportCreativeDetail.aspx?App=23&amp;ReportView=4&amp;Qid=1711279&amp;Row=10701&amp;Col=1","No Title Assigned - #15272116386")</f>
        <v/>
      </c>
      <c r="B10709" s="0" t="s">
        <v>14568</v>
      </c>
      <c r="C10709" s="0" t="s">
        <v>14569</v>
      </c>
      <c r="D10709" s="0" t="s">
        <v>14569</v>
      </c>
      <c r="E10709" s="0" t="inlineStr">
        <is>
          <t xml:space="preserve">Mazda</t>
        </is>
      </c>
      <c r="F10709" s="0" t="s">
        <v>13</v>
      </c>
      <c r="G10709" s="0" t="s">
        <v>49</v>
      </c>
      <c r="H10709" s="5">
        <v>781.945200</v>
      </c>
    </row>
    <row r="10710" spans="1:9">
      <c r="A10710" s="22" t="str">
        <f>HYPERLINK("https://app.vivvix.com/360/KMI/IntelliDrive/ApplUI/Pages/CreativePages/CustomReportCreativeDetail.aspx?App=23&amp;ReportView=4&amp;Qid=1711279&amp;Row=10702&amp;Col=1","No Title Assigned - #15272116390")</f>
        <v/>
      </c>
      <c r="B10710" s="0" t="s">
        <v>14570</v>
      </c>
      <c r="C10710" s="0" t="s">
        <v>14571</v>
      </c>
      <c r="D10710" s="0" t="s">
        <v>14571</v>
      </c>
      <c r="E10710" s="0" t="inlineStr">
        <is>
          <t xml:space="preserve">Mazda</t>
        </is>
      </c>
      <c r="F10710" s="0" t="s">
        <v>13</v>
      </c>
      <c r="G10710" s="0" t="s">
        <v>49</v>
      </c>
      <c r="H10710" s="5">
        <v>0.334200</v>
      </c>
    </row>
    <row r="10711" spans="1:9">
      <c r="A10711" s="22" t="str">
        <f>HYPERLINK("https://app.vivvix.com/360/KMI/IntelliDrive/ApplUI/Pages/CreativePages/CustomReportCreativeDetail.aspx?App=23&amp;ReportView=4&amp;Qid=1711279&amp;Row=10703&amp;Col=1","No Title Assigned - #15272116555")</f>
        <v/>
      </c>
      <c r="B10711" s="0" t="s">
        <v>14572</v>
      </c>
      <c r="C10711" s="0" t="s">
        <v>14573</v>
      </c>
      <c r="D10711" s="0" t="s">
        <v>14573</v>
      </c>
      <c r="E10711" s="0" t="inlineStr">
        <is>
          <t xml:space="preserve">Mazda</t>
        </is>
      </c>
      <c r="F10711" s="0" t="s">
        <v>13</v>
      </c>
      <c r="G10711" s="0" t="s">
        <v>49</v>
      </c>
      <c r="H10711" s="5">
        <v>43.461600</v>
      </c>
    </row>
    <row r="10712" spans="1:9">
      <c r="A10712" s="22" t="str">
        <f>HYPERLINK("https://app.vivvix.com/360/KMI/IntelliDrive/ApplUI/Pages/CreativePages/CustomReportCreativeDetail.aspx?App=23&amp;ReportView=4&amp;Qid=1711279&amp;Row=10704&amp;Col=1","No Title Assigned - #15272116680")</f>
        <v/>
      </c>
      <c r="B10712" s="0" t="s">
        <v>14574</v>
      </c>
      <c r="C10712" s="0" t="s">
        <v>14575</v>
      </c>
      <c r="D10712" s="0" t="s">
        <v>14575</v>
      </c>
      <c r="E10712" s="0" t="inlineStr">
        <is>
          <t xml:space="preserve">Mazda</t>
        </is>
      </c>
      <c r="F10712" s="0" t="s">
        <v>13</v>
      </c>
      <c r="G10712" s="0" t="s">
        <v>49</v>
      </c>
      <c r="H10712" s="5">
        <v>43979.821100</v>
      </c>
    </row>
    <row r="10713" spans="1:9">
      <c r="A10713" s="22" t="str">
        <f>HYPERLINK("https://app.vivvix.com/360/KMI/IntelliDrive/ApplUI/Pages/CreativePages/CustomReportCreativeDetail.aspx?App=23&amp;ReportView=4&amp;Qid=1711279&amp;Row=10705&amp;Col=1","No Title Assigned - #15272116805")</f>
        <v/>
      </c>
      <c r="B10713" s="0" t="s">
        <v>14576</v>
      </c>
      <c r="C10713" s="0" t="s">
        <v>14577</v>
      </c>
      <c r="D10713" s="0" t="s">
        <v>14577</v>
      </c>
      <c r="E10713" s="0" t="inlineStr">
        <is>
          <t xml:space="preserve">Mazda</t>
        </is>
      </c>
      <c r="F10713" s="0" t="s">
        <v>13</v>
      </c>
      <c r="G10713" s="0" t="s">
        <v>49</v>
      </c>
      <c r="H10713" s="5">
        <v>160.237900</v>
      </c>
    </row>
    <row r="10714" spans="1:9">
      <c r="A10714" s="22" t="str">
        <f>HYPERLINK("https://app.vivvix.com/360/KMI/IntelliDrive/ApplUI/Pages/CreativePages/CustomReportCreativeDetail.aspx?App=23&amp;ReportView=4&amp;Qid=1711279&amp;Row=10706&amp;Col=1","No Title Assigned - #15272117817")</f>
        <v/>
      </c>
      <c r="B10714" s="0" t="s">
        <v>14578</v>
      </c>
      <c r="C10714" s="0" t="s">
        <v>14579</v>
      </c>
      <c r="D10714" s="0" t="s">
        <v>14579</v>
      </c>
      <c r="E10714" s="0" t="inlineStr">
        <is>
          <t xml:space="preserve">Mazda</t>
        </is>
      </c>
      <c r="F10714" s="0" t="s">
        <v>13</v>
      </c>
      <c r="G10714" s="0" t="s">
        <v>49</v>
      </c>
      <c r="H10714" s="5">
        <v>432.556800</v>
      </c>
    </row>
    <row r="10715" spans="1:9">
      <c r="A10715" s="22" t="str">
        <f>HYPERLINK("https://app.vivvix.com/360/KMI/IntelliDrive/ApplUI/Pages/CreativePages/CustomReportCreativeDetail.aspx?App=23&amp;ReportView=4&amp;Qid=1711279&amp;Row=10707&amp;Col=1","No Title Assigned - #15272118081")</f>
        <v/>
      </c>
      <c r="B10715" s="0" t="s">
        <v>14580</v>
      </c>
      <c r="C10715" s="0" t="s">
        <v>14581</v>
      </c>
      <c r="D10715" s="0" t="s">
        <v>14581</v>
      </c>
      <c r="E10715" s="0" t="inlineStr">
        <is>
          <t xml:space="preserve">Mazda</t>
        </is>
      </c>
      <c r="F10715" s="0" t="inlineStr">
        <is>
          <t xml:space="preserve">Mazda</t>
        </is>
      </c>
      <c r="G10715" s="0" t="s">
        <v>171</v>
      </c>
      <c r="H10715" s="5">
        <v>0.648800</v>
      </c>
    </row>
    <row r="10716" spans="1:9">
      <c r="A10716" s="22" t="str">
        <f>HYPERLINK("https://app.vivvix.com/360/KMI/IntelliDrive/ApplUI/Pages/CreativePages/CustomReportCreativeDetail.aspx?App=23&amp;ReportView=4&amp;Qid=1711279&amp;Row=10708&amp;Col=1","No Title Assigned - #15272118180")</f>
        <v/>
      </c>
      <c r="B10716" s="0" t="s">
        <v>14582</v>
      </c>
      <c r="C10716" s="0" t="s">
        <v>14583</v>
      </c>
      <c r="D10716" s="0" t="s">
        <v>14583</v>
      </c>
      <c r="E10716" s="0" t="inlineStr">
        <is>
          <t xml:space="preserve">Mazda</t>
        </is>
      </c>
      <c r="F10716" s="0" t="s">
        <v>13</v>
      </c>
      <c r="G10716" s="0" t="s">
        <v>49</v>
      </c>
      <c r="H10716" s="5">
        <v>112.058900</v>
      </c>
    </row>
    <row r="10717" spans="1:9">
      <c r="A10717" s="22" t="str">
        <f>HYPERLINK("https://app.vivvix.com/360/KMI/IntelliDrive/ApplUI/Pages/CreativePages/CustomReportCreativeDetail.aspx?App=23&amp;ReportView=4&amp;Qid=1711279&amp;Row=10709&amp;Col=1","No Title Assigned - #15272118542")</f>
        <v/>
      </c>
      <c r="B10717" s="0" t="s">
        <v>14584</v>
      </c>
      <c r="C10717" s="0" t="s">
        <v>14585</v>
      </c>
      <c r="D10717" s="0" t="s">
        <v>5013</v>
      </c>
      <c r="E10717" s="0" t="inlineStr">
        <is>
          <t xml:space="preserve">Mazda</t>
        </is>
      </c>
      <c r="F10717" s="0" t="s">
        <v>13</v>
      </c>
      <c r="G10717" s="0" t="s">
        <v>49</v>
      </c>
      <c r="H10717" s="5">
        <v>51.820200</v>
      </c>
    </row>
    <row r="10718" spans="1:9">
      <c r="A10718" s="22" t="str">
        <f>HYPERLINK("https://app.vivvix.com/360/KMI/IntelliDrive/ApplUI/Pages/CreativePages/CustomReportCreativeDetail.aspx?App=23&amp;ReportView=4&amp;Qid=1711279&amp;Row=10710&amp;Col=1","No Title Assigned - #15272118725")</f>
        <v/>
      </c>
      <c r="B10718" s="0" t="s">
        <v>14586</v>
      </c>
      <c r="C10718" s="0" t="s">
        <v>14587</v>
      </c>
      <c r="D10718" s="0" t="s">
        <v>4200</v>
      </c>
      <c r="E10718" s="0" t="inlineStr">
        <is>
          <t xml:space="preserve">Mazda</t>
        </is>
      </c>
      <c r="F10718" s="0" t="s">
        <v>28</v>
      </c>
      <c r="G10718" s="0" t="s">
        <v>29</v>
      </c>
      <c r="H10718" s="5">
        <v>1362.865400</v>
      </c>
    </row>
    <row r="10719" spans="1:9">
      <c r="A10719" s="22" t="str">
        <f>HYPERLINK("https://app.vivvix.com/360/KMI/IntelliDrive/ApplUI/Pages/CreativePages/CustomReportCreativeDetail.aspx?App=23&amp;ReportView=4&amp;Qid=1711279&amp;Row=10711&amp;Col=1","No Title Assigned - #15272118725")</f>
        <v/>
      </c>
      <c r="B10719" s="0" t="s">
        <v>14586</v>
      </c>
      <c r="E10719" s="0" t="inlineStr">
        <is>
          <t xml:space="preserve">Mazda</t>
        </is>
      </c>
      <c r="F10719" s="0" t="s">
        <v>28</v>
      </c>
      <c r="G10719" s="0" t="s">
        <v>29</v>
      </c>
      <c r="H10719" s="5">
        <v>19.713200</v>
      </c>
    </row>
    <row r="10720" spans="1:9">
      <c r="A10720" s="22" t="str">
        <f>HYPERLINK("https://app.vivvix.com/360/KMI/IntelliDrive/ApplUI/Pages/CreativePages/CustomReportCreativeDetail.aspx?App=23&amp;ReportView=4&amp;Qid=1711279&amp;Row=10712&amp;Col=1","No Title Assigned - #15272119273")</f>
        <v/>
      </c>
      <c r="B10720" s="0" t="s">
        <v>14588</v>
      </c>
      <c r="C10720" s="0" t="s">
        <v>14589</v>
      </c>
      <c r="D10720" s="0" t="s">
        <v>14589</v>
      </c>
      <c r="E10720" s="0" t="inlineStr">
        <is>
          <t xml:space="preserve">Mazda</t>
        </is>
      </c>
      <c r="F10720" s="0" t="s">
        <v>13</v>
      </c>
      <c r="G10720" s="0" t="s">
        <v>49</v>
      </c>
      <c r="H10720" s="5">
        <v>219.631200</v>
      </c>
    </row>
    <row r="10721" spans="1:9">
      <c r="A10721" s="22" t="str">
        <f>HYPERLINK("https://app.vivvix.com/360/KMI/IntelliDrive/ApplUI/Pages/CreativePages/CustomReportCreativeDetail.aspx?App=23&amp;ReportView=4&amp;Qid=1711279&amp;Row=10713&amp;Col=1","No Title Assigned - #15272120026")</f>
        <v/>
      </c>
      <c r="B10721" s="0" t="s">
        <v>14590</v>
      </c>
      <c r="C10721" s="0" t="s">
        <v>14591</v>
      </c>
      <c r="D10721" s="0" t="s">
        <v>14591</v>
      </c>
      <c r="E10721" s="0" t="inlineStr">
        <is>
          <t xml:space="preserve">Mazda</t>
        </is>
      </c>
      <c r="F10721" s="0" t="s">
        <v>13</v>
      </c>
      <c r="G10721" s="0" t="s">
        <v>49</v>
      </c>
      <c r="H10721" s="5">
        <v>2627.379500</v>
      </c>
    </row>
    <row r="10722" spans="1:9">
      <c r="A10722" s="22" t="str">
        <f>HYPERLINK("https://app.vivvix.com/360/KMI/IntelliDrive/ApplUI/Pages/CreativePages/CustomReportCreativeDetail.aspx?App=23&amp;ReportView=4&amp;Qid=1711279&amp;Row=10714&amp;Col=1","No Title Assigned - #15272120256")</f>
        <v/>
      </c>
      <c r="B10722" s="0" t="s">
        <v>14592</v>
      </c>
      <c r="E10722" s="0" t="inlineStr">
        <is>
          <t xml:space="preserve">Mazda</t>
        </is>
      </c>
      <c r="F10722" s="0" t="inlineStr">
        <is>
          <t xml:space="preserve">Mazda</t>
        </is>
      </c>
      <c r="G10722" s="0" t="s">
        <v>171</v>
      </c>
      <c r="H10722" s="5">
        <v>11418.750500</v>
      </c>
    </row>
    <row r="10723" spans="1:9">
      <c r="A10723" s="22" t="str">
        <f>HYPERLINK("https://app.vivvix.com/360/KMI/IntelliDrive/ApplUI/Pages/CreativePages/CustomReportCreativeDetail.aspx?App=23&amp;ReportView=4&amp;Qid=1711279&amp;Row=10715&amp;Col=1","No Title Assigned - #15272120416")</f>
        <v/>
      </c>
      <c r="B10723" s="0" t="s">
        <v>14593</v>
      </c>
      <c r="C10723" s="0" t="s">
        <v>14594</v>
      </c>
      <c r="D10723" s="0" t="s">
        <v>14594</v>
      </c>
      <c r="E10723" s="0" t="inlineStr">
        <is>
          <t xml:space="preserve">Mazda</t>
        </is>
      </c>
      <c r="F10723" s="0" t="s">
        <v>13</v>
      </c>
      <c r="G10723" s="0" t="s">
        <v>49</v>
      </c>
      <c r="H10723" s="5">
        <v>311.849100</v>
      </c>
    </row>
    <row r="10724" spans="1:9">
      <c r="A10724" s="22" t="str">
        <f>HYPERLINK("https://app.vivvix.com/360/KMI/IntelliDrive/ApplUI/Pages/CreativePages/CustomReportCreativeDetail.aspx?App=23&amp;ReportView=4&amp;Qid=1711279&amp;Row=10716&amp;Col=1","No Title Assigned - #15272120548")</f>
        <v/>
      </c>
      <c r="B10724" s="0" t="s">
        <v>14595</v>
      </c>
      <c r="C10724" s="0" t="s">
        <v>14596</v>
      </c>
      <c r="D10724" s="0" t="s">
        <v>14596</v>
      </c>
      <c r="E10724" s="0" t="inlineStr">
        <is>
          <t xml:space="preserve">Mazda</t>
        </is>
      </c>
      <c r="F10724" s="0" t="s">
        <v>13</v>
      </c>
      <c r="G10724" s="0" t="s">
        <v>49</v>
      </c>
      <c r="H10724" s="5">
        <v>207.067200</v>
      </c>
    </row>
    <row r="10725" spans="1:9">
      <c r="A10725" s="22" t="str">
        <f>HYPERLINK("https://app.vivvix.com/360/KMI/IntelliDrive/ApplUI/Pages/CreativePages/CustomReportCreativeDetail.aspx?App=23&amp;ReportView=4&amp;Qid=1711279&amp;Row=10717&amp;Col=1","No Title Assigned - #15272120603")</f>
        <v/>
      </c>
      <c r="B10725" s="0" t="s">
        <v>14597</v>
      </c>
      <c r="C10725" s="0" t="s">
        <v>14598</v>
      </c>
      <c r="D10725" s="0" t="s">
        <v>14598</v>
      </c>
      <c r="E10725" s="0" t="inlineStr">
        <is>
          <t xml:space="preserve">Mazda</t>
        </is>
      </c>
      <c r="F10725" s="0" t="s">
        <v>13</v>
      </c>
      <c r="G10725" s="0" t="s">
        <v>49</v>
      </c>
      <c r="H10725" s="5">
        <v>98509.298000</v>
      </c>
    </row>
    <row r="10726" spans="1:9">
      <c r="A10726" s="22" t="str">
        <f>HYPERLINK("https://app.vivvix.com/360/KMI/IntelliDrive/ApplUI/Pages/CreativePages/CustomReportCreativeDetail.aspx?App=23&amp;ReportView=4&amp;Qid=1711279&amp;Row=10718&amp;Col=1","No Title Assigned - #15272121070")</f>
        <v/>
      </c>
      <c r="B10726" s="0" t="s">
        <v>14599</v>
      </c>
      <c r="C10726" s="0" t="s">
        <v>14600</v>
      </c>
      <c r="D10726" s="0" t="s">
        <v>14600</v>
      </c>
      <c r="E10726" s="0" t="inlineStr">
        <is>
          <t xml:space="preserve">Mazda</t>
        </is>
      </c>
      <c r="F10726" s="0" t="s">
        <v>13</v>
      </c>
      <c r="G10726" s="0" t="s">
        <v>49</v>
      </c>
      <c r="H10726" s="5">
        <v>131.961900</v>
      </c>
    </row>
    <row r="10727" spans="1:9">
      <c r="A10727" s="22" t="str">
        <f>HYPERLINK("https://app.vivvix.com/360/KMI/IntelliDrive/ApplUI/Pages/CreativePages/CustomReportCreativeDetail.aspx?App=23&amp;ReportView=4&amp;Qid=1711279&amp;Row=10719&amp;Col=1","No Title Assigned - #15272122186")</f>
        <v/>
      </c>
      <c r="B10727" s="0" t="s">
        <v>14601</v>
      </c>
      <c r="C10727" s="0" t="s">
        <v>14602</v>
      </c>
      <c r="D10727" s="0" t="s">
        <v>4938</v>
      </c>
      <c r="E10727" s="0" t="inlineStr">
        <is>
          <t xml:space="preserve">Mazda</t>
        </is>
      </c>
      <c r="F10727" s="0" t="s">
        <v>13</v>
      </c>
      <c r="G10727" s="0" t="s">
        <v>49</v>
      </c>
      <c r="H10727" s="5">
        <v>164.646200</v>
      </c>
    </row>
    <row r="10728" spans="1:9">
      <c r="A10728" s="22" t="str">
        <f>HYPERLINK("https://app.vivvix.com/360/KMI/IntelliDrive/ApplUI/Pages/CreativePages/CustomReportCreativeDetail.aspx?App=23&amp;ReportView=4&amp;Qid=1711279&amp;Row=10720&amp;Col=1","No Title Assigned - #15272122939")</f>
        <v/>
      </c>
      <c r="B10728" s="0" t="s">
        <v>14603</v>
      </c>
      <c r="C10728" s="0" t="s">
        <v>14604</v>
      </c>
      <c r="D10728" s="0" t="s">
        <v>14604</v>
      </c>
      <c r="E10728" s="0" t="inlineStr">
        <is>
          <t xml:space="preserve">Mazda</t>
        </is>
      </c>
      <c r="F10728" s="0" t="s">
        <v>13</v>
      </c>
      <c r="G10728" s="0" t="s">
        <v>49</v>
      </c>
      <c r="H10728" s="5">
        <v>7.243600</v>
      </c>
    </row>
    <row r="10729" spans="1:9">
      <c r="A10729" s="22" t="str">
        <f>HYPERLINK("https://app.vivvix.com/360/KMI/IntelliDrive/ApplUI/Pages/CreativePages/CustomReportCreativeDetail.aspx?App=23&amp;ReportView=4&amp;Qid=1711279&amp;Row=10721&amp;Col=1","No Title Assigned - #15272123431")</f>
        <v/>
      </c>
      <c r="B10729" s="0" t="s">
        <v>14605</v>
      </c>
      <c r="E10729" s="0" t="inlineStr">
        <is>
          <t xml:space="preserve">Mazda</t>
        </is>
      </c>
      <c r="F10729" s="0" t="inlineStr">
        <is>
          <t xml:space="preserve">Mazda</t>
        </is>
      </c>
      <c r="G10729" s="0" t="s">
        <v>171</v>
      </c>
      <c r="H10729" s="5">
        <v>124.744600</v>
      </c>
    </row>
    <row r="10730" spans="1:9">
      <c r="A10730" s="22" t="str">
        <f>HYPERLINK("https://app.vivvix.com/360/KMI/IntelliDrive/ApplUI/Pages/CreativePages/CustomReportCreativeDetail.aspx?App=23&amp;ReportView=4&amp;Qid=1711279&amp;Row=10722&amp;Col=1","No Title Assigned - #15272123486")</f>
        <v/>
      </c>
      <c r="B10730" s="0" t="s">
        <v>14606</v>
      </c>
      <c r="C10730" s="0" t="s">
        <v>14607</v>
      </c>
      <c r="D10730" s="0" t="s">
        <v>4200</v>
      </c>
      <c r="E10730" s="0" t="inlineStr">
        <is>
          <t xml:space="preserve">Mazda</t>
        </is>
      </c>
      <c r="F10730" s="0" t="s">
        <v>28</v>
      </c>
      <c r="G10730" s="0" t="s">
        <v>29</v>
      </c>
      <c r="H10730" s="5">
        <v>15.405700</v>
      </c>
    </row>
    <row r="10731" spans="1:9">
      <c r="A10731" s="22" t="str">
        <f>HYPERLINK("https://app.vivvix.com/360/KMI/IntelliDrive/ApplUI/Pages/CreativePages/CustomReportCreativeDetail.aspx?App=23&amp;ReportView=4&amp;Qid=1711279&amp;Row=10723&amp;Col=1","No Title Assigned - #15272123825")</f>
        <v/>
      </c>
      <c r="B10731" s="0" t="s">
        <v>14608</v>
      </c>
      <c r="C10731" s="0" t="s">
        <v>14609</v>
      </c>
      <c r="D10731" s="0" t="s">
        <v>7472</v>
      </c>
      <c r="E10731" s="0" t="inlineStr">
        <is>
          <t xml:space="preserve">Mazda</t>
        </is>
      </c>
      <c r="F10731" s="0" t="s">
        <v>28</v>
      </c>
      <c r="G10731" s="0" t="s">
        <v>29</v>
      </c>
      <c r="H10731" s="5">
        <v>434.288300</v>
      </c>
    </row>
    <row r="10732" spans="1:9">
      <c r="A10732" s="22" t="str">
        <f>HYPERLINK("https://app.vivvix.com/360/KMI/IntelliDrive/ApplUI/Pages/CreativePages/CustomReportCreativeDetail.aspx?App=23&amp;ReportView=4&amp;Qid=1711279&amp;Row=10724&amp;Col=1","No Title Assigned - #15272123825")</f>
        <v/>
      </c>
      <c r="B10732" s="0" t="s">
        <v>14608</v>
      </c>
      <c r="E10732" s="0" t="inlineStr">
        <is>
          <t xml:space="preserve">Mazda</t>
        </is>
      </c>
      <c r="F10732" s="0" t="s">
        <v>28</v>
      </c>
      <c r="G10732" s="0" t="s">
        <v>29</v>
      </c>
      <c r="H10732" s="5">
        <v>1136.150000</v>
      </c>
    </row>
    <row r="10733" spans="1:9">
      <c r="A10733" s="22" t="str">
        <f>HYPERLINK("https://app.vivvix.com/360/KMI/IntelliDrive/ApplUI/Pages/CreativePages/CustomReportCreativeDetail.aspx?App=23&amp;ReportView=4&amp;Qid=1711279&amp;Row=10725&amp;Col=1","No Title Assigned - #15272125219")</f>
        <v/>
      </c>
      <c r="B10733" s="0" t="s">
        <v>14610</v>
      </c>
      <c r="E10733" s="0" t="inlineStr">
        <is>
          <t xml:space="preserve">Mazda</t>
        </is>
      </c>
      <c r="F10733" s="0" t="inlineStr">
        <is>
          <t xml:space="preserve">Mazda</t>
        </is>
      </c>
      <c r="G10733" s="0" t="s">
        <v>171</v>
      </c>
      <c r="H10733" s="5">
        <v>95566.656300</v>
      </c>
    </row>
    <row r="10734" spans="1:9">
      <c r="A10734" s="22" t="str">
        <f>HYPERLINK("https://app.vivvix.com/360/KMI/IntelliDrive/ApplUI/Pages/CreativePages/CustomReportCreativeDetail.aspx?App=23&amp;ReportView=4&amp;Qid=1711279&amp;Row=10726&amp;Col=1","No Title Assigned - #15272125686")</f>
        <v/>
      </c>
      <c r="B10734" s="0" t="s">
        <v>14611</v>
      </c>
      <c r="E10734" s="0" t="inlineStr">
        <is>
          <t xml:space="preserve">Mazda</t>
        </is>
      </c>
      <c r="F10734" s="0" t="inlineStr">
        <is>
          <t xml:space="preserve">Mazda</t>
        </is>
      </c>
      <c r="G10734" s="0" t="s">
        <v>171</v>
      </c>
      <c r="H10734" s="5">
        <v>15.909500</v>
      </c>
    </row>
    <row r="10735" spans="1:9">
      <c r="A10735" s="22" t="str">
        <f>HYPERLINK("https://app.vivvix.com/360/KMI/IntelliDrive/ApplUI/Pages/CreativePages/CustomReportCreativeDetail.aspx?App=23&amp;ReportView=4&amp;Qid=1711279&amp;Row=10727&amp;Col=1","No Title Assigned - #15272125726")</f>
        <v/>
      </c>
      <c r="B10735" s="0" t="s">
        <v>14612</v>
      </c>
      <c r="E10735" s="0" t="inlineStr">
        <is>
          <t xml:space="preserve">Mazda</t>
        </is>
      </c>
      <c r="F10735" s="0" t="inlineStr">
        <is>
          <t xml:space="preserve">Mazda</t>
        </is>
      </c>
      <c r="G10735" s="0" t="s">
        <v>171</v>
      </c>
      <c r="H10735" s="5">
        <v>91.596400</v>
      </c>
    </row>
    <row r="10736" spans="1:9">
      <c r="A10736" s="22" t="str">
        <f>HYPERLINK("https://app.vivvix.com/360/KMI/IntelliDrive/ApplUI/Pages/CreativePages/CustomReportCreativeDetail.aspx?App=23&amp;ReportView=4&amp;Qid=1711279&amp;Row=10728&amp;Col=1","No Title Assigned - #15272126232")</f>
        <v/>
      </c>
      <c r="B10736" s="0" t="s">
        <v>14613</v>
      </c>
      <c r="E10736" s="0" t="inlineStr">
        <is>
          <t xml:space="preserve">Mazda</t>
        </is>
      </c>
      <c r="F10736" s="0" t="inlineStr">
        <is>
          <t xml:space="preserve">Mazda</t>
        </is>
      </c>
      <c r="G10736" s="0" t="s">
        <v>171</v>
      </c>
      <c r="H10736" s="5">
        <v>20.978800</v>
      </c>
    </row>
    <row r="10737" spans="1:9">
      <c r="A10737" s="22" t="str">
        <f>HYPERLINK("https://app.vivvix.com/360/KMI/IntelliDrive/ApplUI/Pages/CreativePages/CustomReportCreativeDetail.aspx?App=23&amp;ReportView=4&amp;Qid=1711279&amp;Row=10729&amp;Col=1","No Title Assigned - #15272126679")</f>
        <v/>
      </c>
      <c r="B10737" s="0" t="s">
        <v>14614</v>
      </c>
      <c r="C10737" s="0" t="s">
        <v>14615</v>
      </c>
      <c r="D10737" s="0" t="s">
        <v>14615</v>
      </c>
      <c r="E10737" s="0" t="inlineStr">
        <is>
          <t xml:space="preserve">Mazda</t>
        </is>
      </c>
      <c r="F10737" s="0" t="inlineStr">
        <is>
          <t xml:space="preserve">Mazda</t>
        </is>
      </c>
      <c r="G10737" s="0" t="s">
        <v>171</v>
      </c>
      <c r="H10737" s="5">
        <v>0.990300</v>
      </c>
    </row>
    <row r="10738" spans="1:9">
      <c r="A10738" s="22" t="str">
        <f>HYPERLINK("https://app.vivvix.com/360/KMI/IntelliDrive/ApplUI/Pages/CreativePages/CustomReportCreativeDetail.aspx?App=23&amp;ReportView=4&amp;Qid=1711279&amp;Row=10730&amp;Col=1","No Title Assigned - #15272126721")</f>
        <v/>
      </c>
      <c r="B10738" s="0" t="s">
        <v>14616</v>
      </c>
      <c r="E10738" s="0" t="inlineStr">
        <is>
          <t xml:space="preserve">Mazda</t>
        </is>
      </c>
      <c r="F10738" s="0" t="inlineStr">
        <is>
          <t xml:space="preserve">Mazda</t>
        </is>
      </c>
      <c r="G10738" s="0" t="s">
        <v>171</v>
      </c>
      <c r="H10738" s="5">
        <v>7.217700</v>
      </c>
    </row>
    <row r="10739" spans="1:9">
      <c r="A10739" s="22" t="str">
        <f>HYPERLINK("https://app.vivvix.com/360/KMI/IntelliDrive/ApplUI/Pages/CreativePages/CustomReportCreativeDetail.aspx?App=23&amp;ReportView=4&amp;Qid=1711279&amp;Row=10731&amp;Col=1","No Title Assigned - #15272126806")</f>
        <v/>
      </c>
      <c r="B10739" s="0" t="s">
        <v>14617</v>
      </c>
      <c r="E10739" s="0" t="inlineStr">
        <is>
          <t xml:space="preserve">Mazda</t>
        </is>
      </c>
      <c r="F10739" s="0" t="inlineStr">
        <is>
          <t xml:space="preserve">Mazda</t>
        </is>
      </c>
      <c r="G10739" s="0" t="s">
        <v>171</v>
      </c>
      <c r="H10739" s="5">
        <v>1.536100</v>
      </c>
    </row>
    <row r="10740" spans="1:9">
      <c r="A10740" s="22" t="str">
        <f>HYPERLINK("https://app.vivvix.com/360/KMI/IntelliDrive/ApplUI/Pages/CreativePages/CustomReportCreativeDetail.aspx?App=23&amp;ReportView=4&amp;Qid=1711279&amp;Row=10732&amp;Col=1","No Title Assigned - #15272126844")</f>
        <v/>
      </c>
      <c r="B10740" s="0" t="s">
        <v>14618</v>
      </c>
      <c r="E10740" s="0" t="inlineStr">
        <is>
          <t xml:space="preserve">Mazda</t>
        </is>
      </c>
      <c r="F10740" s="0" t="inlineStr">
        <is>
          <t xml:space="preserve">Mazda</t>
        </is>
      </c>
      <c r="G10740" s="0" t="s">
        <v>171</v>
      </c>
      <c r="H10740" s="5">
        <v>3627.916900</v>
      </c>
    </row>
    <row r="10741" spans="1:9">
      <c r="A10741" s="22" t="str">
        <f>HYPERLINK("https://app.vivvix.com/360/KMI/IntelliDrive/ApplUI/Pages/CreativePages/CustomReportCreativeDetail.aspx?App=23&amp;ReportView=4&amp;Qid=1711279&amp;Row=10733&amp;Col=1","No Title Assigned - #15272126860")</f>
        <v/>
      </c>
      <c r="B10741" s="0" t="s">
        <v>14619</v>
      </c>
      <c r="E10741" s="0" t="inlineStr">
        <is>
          <t xml:space="preserve">Mazda</t>
        </is>
      </c>
      <c r="F10741" s="0" t="inlineStr">
        <is>
          <t xml:space="preserve">Mazda</t>
        </is>
      </c>
      <c r="G10741" s="0" t="s">
        <v>171</v>
      </c>
      <c r="H10741" s="5">
        <v>68432.632800</v>
      </c>
    </row>
    <row r="10742" spans="1:9">
      <c r="A10742" s="22" t="str">
        <f>HYPERLINK("https://app.vivvix.com/360/KMI/IntelliDrive/ApplUI/Pages/CreativePages/CustomReportCreativeDetail.aspx?App=23&amp;ReportView=4&amp;Qid=1711279&amp;Row=10734&amp;Col=1","No Title Assigned - #15272126860")</f>
        <v/>
      </c>
      <c r="B10742" s="0" t="s">
        <v>14619</v>
      </c>
      <c r="E10742" s="0" t="inlineStr">
        <is>
          <t xml:space="preserve">Mazda</t>
        </is>
      </c>
      <c r="F10742" s="0" t="inlineStr">
        <is>
          <t xml:space="preserve">Mazda</t>
        </is>
      </c>
      <c r="G10742" s="0" t="s">
        <v>171</v>
      </c>
      <c r="H10742" s="5">
        <v>3.091500</v>
      </c>
    </row>
    <row r="10743" spans="1:9">
      <c r="A10743" s="22" t="str">
        <f>HYPERLINK("https://app.vivvix.com/360/KMI/IntelliDrive/ApplUI/Pages/CreativePages/CustomReportCreativeDetail.aspx?App=23&amp;ReportView=4&amp;Qid=1711279&amp;Row=10735&amp;Col=1","No Title Assigned - #15272127656")</f>
        <v/>
      </c>
      <c r="B10743" s="0" t="s">
        <v>14620</v>
      </c>
      <c r="E10743" s="0" t="inlineStr">
        <is>
          <t xml:space="preserve">Mazda</t>
        </is>
      </c>
      <c r="F10743" s="0" t="inlineStr">
        <is>
          <t xml:space="preserve">Mazda</t>
        </is>
      </c>
      <c r="G10743" s="0" t="s">
        <v>171</v>
      </c>
      <c r="H10743" s="5">
        <v>2.964800</v>
      </c>
    </row>
    <row r="10744" spans="1:9">
      <c r="A10744" s="22" t="str">
        <f>HYPERLINK("https://app.vivvix.com/360/KMI/IntelliDrive/ApplUI/Pages/CreativePages/CustomReportCreativeDetail.aspx?App=23&amp;ReportView=4&amp;Qid=1711279&amp;Row=10736&amp;Col=1","No Title Assigned - #15272127795")</f>
        <v/>
      </c>
      <c r="B10744" s="0" t="s">
        <v>14621</v>
      </c>
      <c r="E10744" s="0" t="inlineStr">
        <is>
          <t xml:space="preserve">Mazda</t>
        </is>
      </c>
      <c r="F10744" s="0" t="inlineStr">
        <is>
          <t xml:space="preserve">Mazda</t>
        </is>
      </c>
      <c r="G10744" s="0" t="s">
        <v>171</v>
      </c>
      <c r="H10744" s="5">
        <v>15.119300</v>
      </c>
    </row>
    <row r="10745" spans="1:9">
      <c r="A10745" s="22" t="str">
        <f>HYPERLINK("https://app.vivvix.com/360/KMI/IntelliDrive/ApplUI/Pages/CreativePages/CustomReportCreativeDetail.aspx?App=23&amp;ReportView=4&amp;Qid=1711279&amp;Row=10737&amp;Col=1","No Title Assigned - #15272127825")</f>
        <v/>
      </c>
      <c r="B10745" s="0" t="s">
        <v>14622</v>
      </c>
      <c r="E10745" s="0" t="inlineStr">
        <is>
          <t xml:space="preserve">Mazda</t>
        </is>
      </c>
      <c r="F10745" s="0" t="inlineStr">
        <is>
          <t xml:space="preserve">Mazda</t>
        </is>
      </c>
      <c r="G10745" s="0" t="s">
        <v>171</v>
      </c>
      <c r="H10745" s="5">
        <v>44.832100</v>
      </c>
    </row>
    <row r="10746" spans="1:9">
      <c r="A10746" s="22" t="str">
        <f>HYPERLINK("https://app.vivvix.com/360/KMI/IntelliDrive/ApplUI/Pages/CreativePages/CustomReportCreativeDetail.aspx?App=23&amp;ReportView=4&amp;Qid=1711279&amp;Row=10738&amp;Col=1","No Title Assigned - #15272128950")</f>
        <v/>
      </c>
      <c r="B10746" s="0" t="s">
        <v>14623</v>
      </c>
      <c r="E10746" s="0" t="inlineStr">
        <is>
          <t xml:space="preserve">Mazda</t>
        </is>
      </c>
      <c r="F10746" s="0" t="inlineStr">
        <is>
          <t xml:space="preserve">Mazda</t>
        </is>
      </c>
      <c r="G10746" s="0" t="s">
        <v>171</v>
      </c>
      <c r="H10746" s="5">
        <v>370.541500</v>
      </c>
    </row>
    <row r="10747" spans="1:9">
      <c r="A10747" s="22" t="str">
        <f>HYPERLINK("https://app.vivvix.com/360/KMI/IntelliDrive/ApplUI/Pages/CreativePages/CustomReportCreativeDetail.aspx?App=23&amp;ReportView=4&amp;Qid=1711279&amp;Row=10739&amp;Col=1","No Title Assigned - #15272129686")</f>
        <v/>
      </c>
      <c r="B10747" s="0" t="s">
        <v>14624</v>
      </c>
      <c r="E10747" s="0" t="inlineStr">
        <is>
          <t xml:space="preserve">Mazda</t>
        </is>
      </c>
      <c r="F10747" s="0" t="inlineStr">
        <is>
          <t xml:space="preserve">Mazda</t>
        </is>
      </c>
      <c r="G10747" s="0" t="s">
        <v>171</v>
      </c>
      <c r="H10747" s="5">
        <v>4.058200</v>
      </c>
    </row>
    <row r="10748" spans="1:9">
      <c r="A10748" s="22" t="str">
        <f>HYPERLINK("https://app.vivvix.com/360/KMI/IntelliDrive/ApplUI/Pages/CreativePages/CustomReportCreativeDetail.aspx?App=23&amp;ReportView=4&amp;Qid=1711279&amp;Row=10740&amp;Col=1","No Title Assigned - #15272130017")</f>
        <v/>
      </c>
      <c r="B10748" s="0" t="s">
        <v>14625</v>
      </c>
      <c r="C10748" s="0" t="s">
        <v>14626</v>
      </c>
      <c r="D10748" s="0" t="s">
        <v>14626</v>
      </c>
      <c r="E10748" s="0" t="inlineStr">
        <is>
          <t xml:space="preserve">Mazda</t>
        </is>
      </c>
      <c r="F10748" s="0" t="inlineStr">
        <is>
          <t xml:space="preserve">Mazda</t>
        </is>
      </c>
      <c r="G10748" s="0" t="s">
        <v>171</v>
      </c>
      <c r="H10748" s="5">
        <v>104.478200</v>
      </c>
    </row>
    <row r="10749" spans="1:9">
      <c r="A10749" s="22" t="str">
        <f>HYPERLINK("https://app.vivvix.com/360/KMI/IntelliDrive/ApplUI/Pages/CreativePages/CustomReportCreativeDetail.aspx?App=23&amp;ReportView=4&amp;Qid=1711279&amp;Row=10741&amp;Col=1","No Title Assigned - #15272130256")</f>
        <v/>
      </c>
      <c r="B10749" s="0" t="s">
        <v>14627</v>
      </c>
      <c r="E10749" s="0" t="inlineStr">
        <is>
          <t xml:space="preserve">Mazda</t>
        </is>
      </c>
      <c r="F10749" s="0" t="inlineStr">
        <is>
          <t xml:space="preserve">Mazda</t>
        </is>
      </c>
      <c r="G10749" s="0" t="s">
        <v>171</v>
      </c>
      <c r="H10749" s="5">
        <v>73.381600</v>
      </c>
    </row>
    <row r="10750" spans="1:9">
      <c r="A10750" s="22" t="str">
        <f>HYPERLINK("https://app.vivvix.com/360/KMI/IntelliDrive/ApplUI/Pages/CreativePages/CustomReportCreativeDetail.aspx?App=23&amp;ReportView=4&amp;Qid=1711279&amp;Row=10742&amp;Col=1","No Title Assigned - #15272130335")</f>
        <v/>
      </c>
      <c r="B10750" s="0" t="s">
        <v>14628</v>
      </c>
      <c r="E10750" s="0" t="inlineStr">
        <is>
          <t xml:space="preserve">Mazda</t>
        </is>
      </c>
      <c r="F10750" s="0" t="inlineStr">
        <is>
          <t xml:space="preserve">Mazda</t>
        </is>
      </c>
      <c r="G10750" s="0" t="s">
        <v>171</v>
      </c>
      <c r="H10750" s="5">
        <v>62.155200</v>
      </c>
    </row>
    <row r="10751" spans="1:9">
      <c r="A10751" s="22" t="str">
        <f>HYPERLINK("https://app.vivvix.com/360/KMI/IntelliDrive/ApplUI/Pages/CreativePages/CustomReportCreativeDetail.aspx?App=23&amp;ReportView=4&amp;Qid=1711279&amp;Row=10743&amp;Col=1","No Title Assigned - #15272130948")</f>
        <v/>
      </c>
      <c r="B10751" s="0" t="s">
        <v>14629</v>
      </c>
      <c r="E10751" s="0" t="inlineStr">
        <is>
          <t xml:space="preserve">Mazda</t>
        </is>
      </c>
      <c r="F10751" s="0" t="inlineStr">
        <is>
          <t xml:space="preserve">Mazda</t>
        </is>
      </c>
      <c r="G10751" s="0" t="s">
        <v>171</v>
      </c>
      <c r="H10751" s="5">
        <v>148.617400</v>
      </c>
    </row>
    <row r="10752" spans="1:9">
      <c r="A10752" s="22" t="str">
        <f>HYPERLINK("https://app.vivvix.com/360/KMI/IntelliDrive/ApplUI/Pages/CreativePages/CustomReportCreativeDetail.aspx?App=23&amp;ReportView=4&amp;Qid=1711279&amp;Row=10744&amp;Col=1","No Title Assigned - #15272131533")</f>
        <v/>
      </c>
      <c r="B10752" s="0" t="s">
        <v>14630</v>
      </c>
      <c r="E10752" s="0" t="inlineStr">
        <is>
          <t xml:space="preserve">Mazda</t>
        </is>
      </c>
      <c r="F10752" s="0" t="inlineStr">
        <is>
          <t xml:space="preserve">Mazda</t>
        </is>
      </c>
      <c r="G10752" s="0" t="s">
        <v>171</v>
      </c>
      <c r="H10752" s="5">
        <v>45.207600</v>
      </c>
    </row>
    <row r="10753" spans="1:9">
      <c r="A10753" s="22" t="str">
        <f>HYPERLINK("https://app.vivvix.com/360/KMI/IntelliDrive/ApplUI/Pages/CreativePages/CustomReportCreativeDetail.aspx?App=23&amp;ReportView=4&amp;Qid=1711279&amp;Row=10745&amp;Col=1","No Title Assigned - #15272131652")</f>
        <v/>
      </c>
      <c r="B10753" s="0" t="s">
        <v>14631</v>
      </c>
      <c r="E10753" s="0" t="inlineStr">
        <is>
          <t xml:space="preserve">Mazda</t>
        </is>
      </c>
      <c r="F10753" s="0" t="inlineStr">
        <is>
          <t xml:space="preserve">Mazda</t>
        </is>
      </c>
      <c r="G10753" s="0" t="s">
        <v>171</v>
      </c>
      <c r="H10753" s="5">
        <v>79.547500</v>
      </c>
    </row>
    <row r="10754" spans="1:9">
      <c r="A10754" s="22" t="str">
        <f>HYPERLINK("https://app.vivvix.com/360/KMI/IntelliDrive/ApplUI/Pages/CreativePages/CustomReportCreativeDetail.aspx?App=23&amp;ReportView=4&amp;Qid=1711279&amp;Row=10746&amp;Col=1","No Title Assigned - #15272131934")</f>
        <v/>
      </c>
      <c r="B10754" s="0" t="s">
        <v>14632</v>
      </c>
      <c r="E10754" s="0" t="inlineStr">
        <is>
          <t xml:space="preserve">Mazda</t>
        </is>
      </c>
      <c r="F10754" s="0" t="inlineStr">
        <is>
          <t xml:space="preserve">Mazda</t>
        </is>
      </c>
      <c r="G10754" s="0" t="s">
        <v>171</v>
      </c>
      <c r="H10754" s="5">
        <v>19023.107600</v>
      </c>
    </row>
    <row r="10755" spans="1:9">
      <c r="A10755" s="22" t="str">
        <f>HYPERLINK("https://app.vivvix.com/360/KMI/IntelliDrive/ApplUI/Pages/CreativePages/CustomReportCreativeDetail.aspx?App=23&amp;ReportView=4&amp;Qid=1711279&amp;Row=10747&amp;Col=1","No Title Assigned - #15272133301")</f>
        <v/>
      </c>
      <c r="B10755" s="0" t="s">
        <v>14633</v>
      </c>
      <c r="E10755" s="0" t="inlineStr">
        <is>
          <t xml:space="preserve">Mazda</t>
        </is>
      </c>
      <c r="F10755" s="0" t="inlineStr">
        <is>
          <t xml:space="preserve">Mazda</t>
        </is>
      </c>
      <c r="G10755" s="0" t="s">
        <v>171</v>
      </c>
      <c r="H10755" s="5">
        <v>2.833200</v>
      </c>
    </row>
    <row r="10756" spans="1:9">
      <c r="A10756" s="22" t="str">
        <f>HYPERLINK("https://app.vivvix.com/360/KMI/IntelliDrive/ApplUI/Pages/CreativePages/CustomReportCreativeDetail.aspx?App=23&amp;ReportView=4&amp;Qid=1711279&amp;Row=10748&amp;Col=1","No Title Assigned - #15272133887")</f>
        <v/>
      </c>
      <c r="B10756" s="0" t="s">
        <v>14634</v>
      </c>
      <c r="E10756" s="0" t="inlineStr">
        <is>
          <t xml:space="preserve">Mazda</t>
        </is>
      </c>
      <c r="F10756" s="0" t="inlineStr">
        <is>
          <t xml:space="preserve">Mazda</t>
        </is>
      </c>
      <c r="G10756" s="0" t="s">
        <v>171</v>
      </c>
      <c r="H10756" s="5">
        <v>10.696900</v>
      </c>
    </row>
    <row r="10757" spans="1:9">
      <c r="A10757" s="22" t="str">
        <f>HYPERLINK("https://app.vivvix.com/360/KMI/IntelliDrive/ApplUI/Pages/CreativePages/CustomReportCreativeDetail.aspx?App=23&amp;ReportView=4&amp;Qid=1711279&amp;Row=10749&amp;Col=1","No Title Assigned - #15272134806")</f>
        <v/>
      </c>
      <c r="B10757" s="0" t="s">
        <v>14635</v>
      </c>
      <c r="E10757" s="0" t="inlineStr">
        <is>
          <t xml:space="preserve">Mazda</t>
        </is>
      </c>
      <c r="F10757" s="0" t="inlineStr">
        <is>
          <t xml:space="preserve">Mazda</t>
        </is>
      </c>
      <c r="G10757" s="0" t="s">
        <v>171</v>
      </c>
      <c r="H10757" s="5">
        <v>78.519700</v>
      </c>
    </row>
    <row r="10758" spans="1:9">
      <c r="A10758" s="22" t="str">
        <f>HYPERLINK("https://app.vivvix.com/360/KMI/IntelliDrive/ApplUI/Pages/CreativePages/CustomReportCreativeDetail.aspx?App=23&amp;ReportView=4&amp;Qid=1711279&amp;Row=10750&amp;Col=1","No Title Assigned - #15272136268")</f>
        <v/>
      </c>
      <c r="B10758" s="0" t="s">
        <v>14636</v>
      </c>
      <c r="E10758" s="0" t="inlineStr">
        <is>
          <t xml:space="preserve">Mazda</t>
        </is>
      </c>
      <c r="F10758" s="0" t="inlineStr">
        <is>
          <t xml:space="preserve">Mazda</t>
        </is>
      </c>
      <c r="G10758" s="0" t="s">
        <v>171</v>
      </c>
      <c r="H10758" s="5">
        <v>16.660200</v>
      </c>
    </row>
    <row r="10759" spans="1:9">
      <c r="A10759" s="22" t="str">
        <f>HYPERLINK("https://app.vivvix.com/360/KMI/IntelliDrive/ApplUI/Pages/CreativePages/CustomReportCreativeDetail.aspx?App=23&amp;ReportView=4&amp;Qid=1711279&amp;Row=10751&amp;Col=1","No Title Assigned - #15272136268")</f>
        <v/>
      </c>
      <c r="B10759" s="0" t="s">
        <v>14636</v>
      </c>
      <c r="E10759" s="0" t="inlineStr">
        <is>
          <t xml:space="preserve">Mazda</t>
        </is>
      </c>
      <c r="F10759" s="0" t="inlineStr">
        <is>
          <t xml:space="preserve">Mazda</t>
        </is>
      </c>
      <c r="G10759" s="0" t="s">
        <v>171</v>
      </c>
      <c r="H10759" s="5">
        <v>43881.476600</v>
      </c>
    </row>
    <row r="10760" spans="1:9">
      <c r="A10760" s="22" t="str">
        <f>HYPERLINK("https://app.vivvix.com/360/KMI/IntelliDrive/ApplUI/Pages/CreativePages/CustomReportCreativeDetail.aspx?App=23&amp;ReportView=4&amp;Qid=1711279&amp;Row=10752&amp;Col=1","No Title Assigned - #15272137139")</f>
        <v/>
      </c>
      <c r="B10760" s="0" t="s">
        <v>14637</v>
      </c>
      <c r="E10760" s="0" t="inlineStr">
        <is>
          <t xml:space="preserve">Mazda</t>
        </is>
      </c>
      <c r="F10760" s="0" t="inlineStr">
        <is>
          <t xml:space="preserve">Mazda</t>
        </is>
      </c>
      <c r="G10760" s="0" t="s">
        <v>171</v>
      </c>
      <c r="H10760" s="5">
        <v>5.832100</v>
      </c>
    </row>
    <row r="10761" spans="1:9">
      <c r="A10761" s="22" t="str">
        <f>HYPERLINK("https://app.vivvix.com/360/KMI/IntelliDrive/ApplUI/Pages/CreativePages/CustomReportCreativeDetail.aspx?App=23&amp;ReportView=4&amp;Qid=1711279&amp;Row=10753&amp;Col=1","No Title Assigned - #15272137925")</f>
        <v/>
      </c>
      <c r="B10761" s="0" t="s">
        <v>14638</v>
      </c>
      <c r="E10761" s="0" t="inlineStr">
        <is>
          <t xml:space="preserve">Mazda</t>
        </is>
      </c>
      <c r="F10761" s="0" t="inlineStr">
        <is>
          <t xml:space="preserve">Mazda</t>
        </is>
      </c>
      <c r="G10761" s="0" t="s">
        <v>171</v>
      </c>
      <c r="H10761" s="5">
        <v>15.262000</v>
      </c>
    </row>
    <row r="10762" spans="1:9">
      <c r="A10762" s="22" t="str">
        <f>HYPERLINK("https://app.vivvix.com/360/KMI/IntelliDrive/ApplUI/Pages/CreativePages/CustomReportCreativeDetail.aspx?App=23&amp;ReportView=4&amp;Qid=1711279&amp;Row=10754&amp;Col=1","No Title Assigned - #15272138083")</f>
        <v/>
      </c>
      <c r="B10762" s="0" t="s">
        <v>14639</v>
      </c>
      <c r="E10762" s="0" t="inlineStr">
        <is>
          <t xml:space="preserve">Mazda</t>
        </is>
      </c>
      <c r="F10762" s="0" t="inlineStr">
        <is>
          <t xml:space="preserve">Mazda</t>
        </is>
      </c>
      <c r="G10762" s="0" t="s">
        <v>171</v>
      </c>
      <c r="H10762" s="5">
        <v>12.033500</v>
      </c>
    </row>
    <row r="10763" spans="1:9">
      <c r="A10763" s="22" t="str">
        <f>HYPERLINK("https://app.vivvix.com/360/KMI/IntelliDrive/ApplUI/Pages/CreativePages/CustomReportCreativeDetail.aspx?App=23&amp;ReportView=4&amp;Qid=1711279&amp;Row=10755&amp;Col=1","No Title Assigned - #15272138161")</f>
        <v/>
      </c>
      <c r="B10763" s="0" t="s">
        <v>14640</v>
      </c>
      <c r="E10763" s="0" t="inlineStr">
        <is>
          <t xml:space="preserve">Mazda</t>
        </is>
      </c>
      <c r="F10763" s="0" t="inlineStr">
        <is>
          <t xml:space="preserve">Mazda</t>
        </is>
      </c>
      <c r="G10763" s="0" t="s">
        <v>171</v>
      </c>
      <c r="H10763" s="5">
        <v>3.348800</v>
      </c>
    </row>
    <row r="10764" spans="1:9">
      <c r="A10764" s="22" t="str">
        <f>HYPERLINK("https://app.vivvix.com/360/KMI/IntelliDrive/ApplUI/Pages/CreativePages/CustomReportCreativeDetail.aspx?App=23&amp;ReportView=4&amp;Qid=1711279&amp;Row=10756&amp;Col=1","No Title Assigned - #15272138988")</f>
        <v/>
      </c>
      <c r="B10764" s="0" t="s">
        <v>14641</v>
      </c>
      <c r="E10764" s="0" t="inlineStr">
        <is>
          <t xml:space="preserve">Mazda</t>
        </is>
      </c>
      <c r="F10764" s="0" t="inlineStr">
        <is>
          <t xml:space="preserve">Mazda</t>
        </is>
      </c>
      <c r="G10764" s="0" t="s">
        <v>171</v>
      </c>
      <c r="H10764" s="5">
        <v>102.265300</v>
      </c>
    </row>
    <row r="10765" spans="1:9">
      <c r="A10765" s="22" t="str">
        <f>HYPERLINK("https://app.vivvix.com/360/KMI/IntelliDrive/ApplUI/Pages/CreativePages/CustomReportCreativeDetail.aspx?App=23&amp;ReportView=4&amp;Qid=1711279&amp;Row=10757&amp;Col=1","No Title Assigned - #15272139658")</f>
        <v/>
      </c>
      <c r="B10765" s="0" t="s">
        <v>14642</v>
      </c>
      <c r="E10765" s="0" t="inlineStr">
        <is>
          <t xml:space="preserve">Mazda</t>
        </is>
      </c>
      <c r="F10765" s="0" t="inlineStr">
        <is>
          <t xml:space="preserve">Mazda</t>
        </is>
      </c>
      <c r="G10765" s="0" t="s">
        <v>171</v>
      </c>
      <c r="H10765" s="5">
        <v>81.192000</v>
      </c>
    </row>
    <row r="10766" spans="1:9">
      <c r="A10766" s="22" t="str">
        <f>HYPERLINK("https://app.vivvix.com/360/KMI/IntelliDrive/ApplUI/Pages/CreativePages/CustomReportCreativeDetail.aspx?App=23&amp;ReportView=4&amp;Qid=1711279&amp;Row=10758&amp;Col=1","No Title Assigned - #15272147464")</f>
        <v/>
      </c>
      <c r="B10766" s="0" t="s">
        <v>14643</v>
      </c>
      <c r="E10766" s="0" t="inlineStr">
        <is>
          <t xml:space="preserve">Mazda</t>
        </is>
      </c>
      <c r="F10766" s="0" t="inlineStr">
        <is>
          <t xml:space="preserve">Mazda</t>
        </is>
      </c>
      <c r="G10766" s="0" t="s">
        <v>171</v>
      </c>
      <c r="H10766" s="5">
        <v>54.912400</v>
      </c>
    </row>
    <row r="10767" spans="1:9">
      <c r="A10767" s="22" t="str">
        <f>HYPERLINK("https://app.vivvix.com/360/KMI/IntelliDrive/ApplUI/Pages/CreativePages/CustomReportCreativeDetail.aspx?App=23&amp;ReportView=4&amp;Qid=1711279&amp;Row=10759&amp;Col=1","No Title Assigned - #15272147659")</f>
        <v/>
      </c>
      <c r="B10767" s="0" t="s">
        <v>14644</v>
      </c>
      <c r="E10767" s="0" t="inlineStr">
        <is>
          <t xml:space="preserve">Mazda</t>
        </is>
      </c>
      <c r="F10767" s="0" t="inlineStr">
        <is>
          <t xml:space="preserve">Mazda</t>
        </is>
      </c>
      <c r="G10767" s="0" t="s">
        <v>171</v>
      </c>
      <c r="H10767" s="5">
        <v>1541.310200</v>
      </c>
    </row>
    <row r="10768" spans="1:9">
      <c r="A10768" s="22" t="str">
        <f>HYPERLINK("https://app.vivvix.com/360/KMI/IntelliDrive/ApplUI/Pages/CreativePages/CustomReportCreativeDetail.aspx?App=23&amp;ReportView=4&amp;Qid=1711279&amp;Row=10760&amp;Col=1","No Title Assigned - #15272148281")</f>
        <v/>
      </c>
      <c r="B10768" s="0" t="s">
        <v>14645</v>
      </c>
      <c r="E10768" s="0" t="inlineStr">
        <is>
          <t xml:space="preserve">Mazda</t>
        </is>
      </c>
      <c r="F10768" s="0" t="inlineStr">
        <is>
          <t xml:space="preserve">Mazda</t>
        </is>
      </c>
      <c r="G10768" s="0" t="s">
        <v>171</v>
      </c>
      <c r="H10768" s="5">
        <v>25.231700</v>
      </c>
    </row>
    <row r="10769" spans="1:9">
      <c r="A10769" s="22" t="str">
        <f>HYPERLINK("https://app.vivvix.com/360/KMI/IntelliDrive/ApplUI/Pages/CreativePages/CustomReportCreativeDetail.aspx?App=23&amp;ReportView=4&amp;Qid=1711279&amp;Row=10761&amp;Col=1","No Title Assigned - #15272149890")</f>
        <v/>
      </c>
      <c r="B10769" s="0" t="s">
        <v>14646</v>
      </c>
      <c r="E10769" s="0" t="inlineStr">
        <is>
          <t xml:space="preserve">Mazda</t>
        </is>
      </c>
      <c r="F10769" s="0" t="inlineStr">
        <is>
          <t xml:space="preserve">Mazda</t>
        </is>
      </c>
      <c r="G10769" s="0" t="s">
        <v>171</v>
      </c>
      <c r="H10769" s="5">
        <v>5.804100</v>
      </c>
    </row>
    <row r="10770" spans="1:9">
      <c r="A10770" s="22" t="str">
        <f>HYPERLINK("https://app.vivvix.com/360/KMI/IntelliDrive/ApplUI/Pages/CreativePages/CustomReportCreativeDetail.aspx?App=23&amp;ReportView=4&amp;Qid=1711279&amp;Row=10762&amp;Col=1","No Title Assigned - #15272159977")</f>
        <v/>
      </c>
      <c r="B10770" s="0" t="s">
        <v>14647</v>
      </c>
      <c r="C10770" s="0" t="s">
        <v>14648</v>
      </c>
      <c r="D10770" s="0" t="s">
        <v>14648</v>
      </c>
      <c r="E10770" s="0" t="inlineStr">
        <is>
          <t xml:space="preserve">Mazda</t>
        </is>
      </c>
      <c r="F10770" s="0" t="inlineStr">
        <is>
          <t xml:space="preserve">Mazda</t>
        </is>
      </c>
      <c r="G10770" s="0" t="s">
        <v>171</v>
      </c>
      <c r="H10770" s="5">
        <v>782.765400</v>
      </c>
    </row>
    <row r="10771" spans="1:9">
      <c r="A10771" s="22" t="str">
        <f>HYPERLINK("https://app.vivvix.com/360/KMI/IntelliDrive/ApplUI/Pages/CreativePages/CustomReportCreativeDetail.aspx?App=23&amp;ReportView=4&amp;Qid=1711279&amp;Row=10763&amp;Col=1","No Title Assigned - #15272161342")</f>
        <v/>
      </c>
      <c r="B10771" s="0" t="s">
        <v>14649</v>
      </c>
      <c r="C10771" s="0" t="s">
        <v>14650</v>
      </c>
      <c r="D10771" s="0" t="s">
        <v>14650</v>
      </c>
      <c r="E10771" s="0" t="inlineStr">
        <is>
          <t xml:space="preserve">Mazda</t>
        </is>
      </c>
      <c r="F10771" s="0" t="inlineStr">
        <is>
          <t xml:space="preserve">Mazda</t>
        </is>
      </c>
      <c r="G10771" s="0" t="s">
        <v>171</v>
      </c>
      <c r="H10771" s="5">
        <v>6165.905200</v>
      </c>
    </row>
    <row r="10772" spans="1:9">
      <c r="A10772" s="22" t="str">
        <f>HYPERLINK("https://app.vivvix.com/360/KMI/IntelliDrive/ApplUI/Pages/CreativePages/CustomReportCreativeDetail.aspx?App=23&amp;ReportView=4&amp;Qid=1711279&amp;Row=10764&amp;Col=1","No Title Assigned - #15272162264")</f>
        <v/>
      </c>
      <c r="B10772" s="0" t="s">
        <v>14651</v>
      </c>
      <c r="E10772" s="0" t="inlineStr">
        <is>
          <t xml:space="preserve">Mazda</t>
        </is>
      </c>
      <c r="F10772" s="0" t="inlineStr">
        <is>
          <t xml:space="preserve">Mazda</t>
        </is>
      </c>
      <c r="G10772" s="0" t="s">
        <v>171</v>
      </c>
      <c r="H10772" s="5">
        <v>45.632900</v>
      </c>
    </row>
    <row r="10773" spans="1:9">
      <c r="A10773" s="22" t="str">
        <f>HYPERLINK("https://app.vivvix.com/360/KMI/IntelliDrive/ApplUI/Pages/CreativePages/CustomReportCreativeDetail.aspx?App=23&amp;ReportView=4&amp;Qid=1711279&amp;Row=10765&amp;Col=1","No Title Assigned - #15272163775")</f>
        <v/>
      </c>
      <c r="B10773" s="0" t="s">
        <v>14652</v>
      </c>
      <c r="E10773" s="0" t="inlineStr">
        <is>
          <t xml:space="preserve">Mazda</t>
        </is>
      </c>
      <c r="F10773" s="0" t="inlineStr">
        <is>
          <t xml:space="preserve">Mazda</t>
        </is>
      </c>
      <c r="G10773" s="0" t="s">
        <v>171</v>
      </c>
      <c r="H10773" s="5">
        <v>118.181600</v>
      </c>
    </row>
    <row r="10774" spans="1:9">
      <c r="A10774" s="22" t="str">
        <f>HYPERLINK("https://app.vivvix.com/360/KMI/IntelliDrive/ApplUI/Pages/CreativePages/CustomReportCreativeDetail.aspx?App=23&amp;ReportView=4&amp;Qid=1711279&amp;Row=10766&amp;Col=1","No Title Assigned - #15272165446")</f>
        <v/>
      </c>
      <c r="B10774" s="0" t="s">
        <v>14653</v>
      </c>
      <c r="E10774" s="0" t="inlineStr">
        <is>
          <t xml:space="preserve">Mazda</t>
        </is>
      </c>
      <c r="F10774" s="0" t="inlineStr">
        <is>
          <t xml:space="preserve">Mazda</t>
        </is>
      </c>
      <c r="G10774" s="0" t="s">
        <v>171</v>
      </c>
      <c r="H10774" s="5">
        <v>47.736000</v>
      </c>
    </row>
    <row r="10775" spans="1:9">
      <c r="A10775" s="22" t="str">
        <f>HYPERLINK("https://app.vivvix.com/360/KMI/IntelliDrive/ApplUI/Pages/CreativePages/CustomReportCreativeDetail.aspx?App=23&amp;ReportView=4&amp;Qid=1711279&amp;Row=10767&amp;Col=1","No Title Assigned - #15272165725")</f>
        <v/>
      </c>
      <c r="B10775" s="0" t="s">
        <v>14654</v>
      </c>
      <c r="E10775" s="0" t="inlineStr">
        <is>
          <t xml:space="preserve">Mazda</t>
        </is>
      </c>
      <c r="F10775" s="0" t="inlineStr">
        <is>
          <t xml:space="preserve">Mazda</t>
        </is>
      </c>
      <c r="G10775" s="0" t="s">
        <v>171</v>
      </c>
      <c r="H10775" s="5">
        <v>176.052800</v>
      </c>
    </row>
    <row r="10776" spans="1:9">
      <c r="A10776" s="22" t="str">
        <f>HYPERLINK("https://app.vivvix.com/360/KMI/IntelliDrive/ApplUI/Pages/CreativePages/CustomReportCreativeDetail.aspx?App=23&amp;ReportView=4&amp;Qid=1711279&amp;Row=10768&amp;Col=1","No Title Assigned - #15272165886")</f>
        <v/>
      </c>
      <c r="B10776" s="0" t="s">
        <v>14655</v>
      </c>
      <c r="C10776" s="0" t="s">
        <v>14656</v>
      </c>
      <c r="D10776" s="0" t="s">
        <v>4204</v>
      </c>
      <c r="E10776" s="0" t="inlineStr">
        <is>
          <t xml:space="preserve">Mazda</t>
        </is>
      </c>
      <c r="F10776" s="0" t="s">
        <v>28</v>
      </c>
      <c r="G10776" s="0" t="s">
        <v>29</v>
      </c>
      <c r="H10776" s="5">
        <v>38.507100</v>
      </c>
    </row>
    <row r="10777" spans="1:9">
      <c r="A10777" s="22" t="str">
        <f>HYPERLINK("https://app.vivvix.com/360/KMI/IntelliDrive/ApplUI/Pages/CreativePages/CustomReportCreativeDetail.aspx?App=23&amp;ReportView=4&amp;Qid=1711279&amp;Row=10769&amp;Col=1","No Title Assigned - #15272166606")</f>
        <v/>
      </c>
      <c r="B10777" s="0" t="s">
        <v>14657</v>
      </c>
      <c r="C10777" s="0" t="s">
        <v>14658</v>
      </c>
      <c r="D10777" s="0" t="s">
        <v>14658</v>
      </c>
      <c r="E10777" s="0" t="inlineStr">
        <is>
          <t xml:space="preserve">Mazda</t>
        </is>
      </c>
      <c r="F10777" s="0" t="inlineStr">
        <is>
          <t xml:space="preserve">Mazda</t>
        </is>
      </c>
      <c r="G10777" s="0" t="s">
        <v>171</v>
      </c>
      <c r="H10777" s="5">
        <v>80.166100</v>
      </c>
    </row>
    <row r="10778" spans="1:9">
      <c r="A10778" s="22" t="str">
        <f>HYPERLINK("https://app.vivvix.com/360/KMI/IntelliDrive/ApplUI/Pages/CreativePages/CustomReportCreativeDetail.aspx?App=23&amp;ReportView=4&amp;Qid=1711279&amp;Row=10770&amp;Col=1","No Title Assigned - #15272175478")</f>
        <v/>
      </c>
      <c r="B10778" s="0" t="s">
        <v>14659</v>
      </c>
      <c r="E10778" s="0" t="inlineStr">
        <is>
          <t xml:space="preserve">Mazda</t>
        </is>
      </c>
      <c r="F10778" s="0" t="inlineStr">
        <is>
          <t xml:space="preserve">Mazda</t>
        </is>
      </c>
      <c r="G10778" s="0" t="s">
        <v>171</v>
      </c>
      <c r="H10778" s="5">
        <v>26.241800</v>
      </c>
    </row>
    <row r="10779" spans="1:9">
      <c r="A10779" s="22" t="str">
        <f>HYPERLINK("https://app.vivvix.com/360/KMI/IntelliDrive/ApplUI/Pages/CreativePages/CustomReportCreativeDetail.aspx?App=23&amp;ReportView=4&amp;Qid=1711279&amp;Row=10771&amp;Col=1","No Title Assigned - #15272179128")</f>
        <v/>
      </c>
      <c r="B10779" s="0" t="s">
        <v>14660</v>
      </c>
      <c r="C10779" s="0" t="s">
        <v>14661</v>
      </c>
      <c r="D10779" s="0" t="s">
        <v>14661</v>
      </c>
      <c r="E10779" s="0" t="inlineStr">
        <is>
          <t xml:space="preserve">Mazda</t>
        </is>
      </c>
      <c r="F10779" s="0" t="s">
        <v>28</v>
      </c>
      <c r="G10779" s="0" t="s">
        <v>29</v>
      </c>
      <c r="H10779" s="5">
        <v>141.664400</v>
      </c>
    </row>
    <row r="10780" spans="1:9">
      <c r="A10780" s="22" t="str">
        <f>HYPERLINK("https://app.vivvix.com/360/KMI/IntelliDrive/ApplUI/Pages/CreativePages/CustomReportCreativeDetail.aspx?App=23&amp;ReportView=4&amp;Qid=1711279&amp;Row=10772&amp;Col=1","No Title Assigned - #15272179346")</f>
        <v/>
      </c>
      <c r="B10780" s="0" t="s">
        <v>14662</v>
      </c>
      <c r="C10780" s="0" t="s">
        <v>14663</v>
      </c>
      <c r="D10780" s="0" t="s">
        <v>4225</v>
      </c>
      <c r="E10780" s="0" t="inlineStr">
        <is>
          <t xml:space="preserve">Mazda</t>
        </is>
      </c>
      <c r="F10780" s="0" t="s">
        <v>28</v>
      </c>
      <c r="G10780" s="0" t="s">
        <v>29</v>
      </c>
      <c r="H10780" s="5">
        <v>264.646500</v>
      </c>
    </row>
    <row r="10781" spans="1:9">
      <c r="A10781" s="22" t="str">
        <f>HYPERLINK("https://app.vivvix.com/360/KMI/IntelliDrive/ApplUI/Pages/CreativePages/CustomReportCreativeDetail.aspx?App=23&amp;ReportView=4&amp;Qid=1711279&amp;Row=10773&amp;Col=1","No Title Assigned - #15272181449")</f>
        <v/>
      </c>
      <c r="B10781" s="0" t="s">
        <v>14664</v>
      </c>
      <c r="C10781" s="0" t="s">
        <v>14665</v>
      </c>
      <c r="D10781" s="0" t="s">
        <v>4333</v>
      </c>
      <c r="E10781" s="0" t="inlineStr">
        <is>
          <t xml:space="preserve">Mazda</t>
        </is>
      </c>
      <c r="F10781" s="0" t="s">
        <v>28</v>
      </c>
      <c r="G10781" s="0" t="s">
        <v>29</v>
      </c>
      <c r="H10781" s="5">
        <v>72.730500</v>
      </c>
    </row>
    <row r="10782" spans="1:9">
      <c r="A10782" s="22" t="str">
        <f>HYPERLINK("https://app.vivvix.com/360/KMI/IntelliDrive/ApplUI/Pages/CreativePages/CustomReportCreativeDetail.aspx?App=23&amp;ReportView=4&amp;Qid=1711279&amp;Row=10774&amp;Col=1","No Title Assigned - #15272182060")</f>
        <v/>
      </c>
      <c r="B10782" s="0" t="s">
        <v>14666</v>
      </c>
      <c r="C10782" s="0" t="s">
        <v>14667</v>
      </c>
      <c r="D10782" s="0" t="s">
        <v>14667</v>
      </c>
      <c r="E10782" s="0" t="inlineStr">
        <is>
          <t xml:space="preserve">Mazda</t>
        </is>
      </c>
      <c r="F10782" s="0" t="s">
        <v>13</v>
      </c>
      <c r="G10782" s="0" t="s">
        <v>49</v>
      </c>
      <c r="H10782" s="5">
        <v>18450.947300</v>
      </c>
    </row>
    <row r="10783" spans="1:9">
      <c r="A10783" s="22" t="str">
        <f>HYPERLINK("https://app.vivvix.com/360/KMI/IntelliDrive/ApplUI/Pages/CreativePages/CustomReportCreativeDetail.aspx?App=23&amp;ReportView=4&amp;Qid=1711279&amp;Row=10775&amp;Col=1","No Title Assigned - #15272184432")</f>
        <v/>
      </c>
      <c r="B10783" s="0" t="s">
        <v>14668</v>
      </c>
      <c r="C10783" s="0" t="s">
        <v>14669</v>
      </c>
      <c r="D10783" s="0" t="s">
        <v>12666</v>
      </c>
      <c r="E10783" s="0" t="inlineStr">
        <is>
          <t xml:space="preserve">Mazda</t>
        </is>
      </c>
      <c r="F10783" s="0" t="s">
        <v>28</v>
      </c>
      <c r="G10783" s="0" t="s">
        <v>29</v>
      </c>
      <c r="H10783" s="5">
        <v>1.262800</v>
      </c>
    </row>
    <row r="10784" spans="1:9">
      <c r="A10784" s="22" t="str">
        <f>HYPERLINK("https://app.vivvix.com/360/KMI/IntelliDrive/ApplUI/Pages/CreativePages/CustomReportCreativeDetail.aspx?App=23&amp;ReportView=4&amp;Qid=1711279&amp;Row=10776&amp;Col=1","No Title Assigned - #15272185005")</f>
        <v/>
      </c>
      <c r="B10784" s="0" t="s">
        <v>14670</v>
      </c>
      <c r="C10784" s="0" t="s">
        <v>14671</v>
      </c>
      <c r="D10784" s="0" t="s">
        <v>14671</v>
      </c>
      <c r="E10784" s="0" t="inlineStr">
        <is>
          <t xml:space="preserve">Mazda</t>
        </is>
      </c>
      <c r="F10784" s="0" t="s">
        <v>13</v>
      </c>
      <c r="G10784" s="0" t="s">
        <v>49</v>
      </c>
      <c r="H10784" s="5">
        <v>60.318300</v>
      </c>
    </row>
    <row r="10785" spans="1:9">
      <c r="A10785" s="22" t="str">
        <f>HYPERLINK("https://app.vivvix.com/360/KMI/IntelliDrive/ApplUI/Pages/CreativePages/CustomReportCreativeDetail.aspx?App=23&amp;ReportView=4&amp;Qid=1711279&amp;Row=10777&amp;Col=1","No Title Assigned - #15272189333")</f>
        <v/>
      </c>
      <c r="B10785" s="0" t="s">
        <v>14672</v>
      </c>
      <c r="E10785" s="0" t="inlineStr">
        <is>
          <t xml:space="preserve">Mazda</t>
        </is>
      </c>
      <c r="F10785" s="0" t="s">
        <v>13</v>
      </c>
      <c r="G10785" s="0" t="s">
        <v>49</v>
      </c>
      <c r="H10785" s="5">
        <v>1389.168800</v>
      </c>
    </row>
    <row r="10786" spans="1:9">
      <c r="A10786" s="22" t="str">
        <f>HYPERLINK("https://app.vivvix.com/360/KMI/IntelliDrive/ApplUI/Pages/CreativePages/CustomReportCreativeDetail.aspx?App=23&amp;ReportView=4&amp;Qid=1711279&amp;Row=10778&amp;Col=1","No Title Assigned - #15272190531")</f>
        <v/>
      </c>
      <c r="B10786" s="0" t="s">
        <v>14673</v>
      </c>
      <c r="C10786" s="0" t="s">
        <v>14674</v>
      </c>
      <c r="D10786" s="0" t="s">
        <v>4333</v>
      </c>
      <c r="E10786" s="0" t="inlineStr">
        <is>
          <t xml:space="preserve">Mazda</t>
        </is>
      </c>
      <c r="F10786" s="0" t="s">
        <v>28</v>
      </c>
      <c r="G10786" s="0" t="s">
        <v>29</v>
      </c>
      <c r="H10786" s="5">
        <v>8.595300</v>
      </c>
    </row>
    <row r="10787" spans="1:9">
      <c r="A10787" s="22" t="str">
        <f>HYPERLINK("https://app.vivvix.com/360/KMI/IntelliDrive/ApplUI/Pages/CreativePages/CustomReportCreativeDetail.aspx?App=23&amp;ReportView=4&amp;Qid=1711279&amp;Row=10779&amp;Col=1","No Title Assigned - #15272191141")</f>
        <v/>
      </c>
      <c r="B10787" s="0" t="s">
        <v>14675</v>
      </c>
      <c r="C10787" s="0" t="s">
        <v>14676</v>
      </c>
      <c r="D10787" s="0" t="s">
        <v>14676</v>
      </c>
      <c r="E10787" s="0" t="inlineStr">
        <is>
          <t xml:space="preserve">Mazda</t>
        </is>
      </c>
      <c r="F10787" s="0" t="s">
        <v>21</v>
      </c>
      <c r="G10787" s="0" t="s">
        <v>22</v>
      </c>
      <c r="H10787" s="5">
        <v>74.041000</v>
      </c>
    </row>
    <row r="10788" spans="1:9">
      <c r="A10788" s="22" t="str">
        <f>HYPERLINK("https://app.vivvix.com/360/KMI/IntelliDrive/ApplUI/Pages/CreativePages/CustomReportCreativeDetail.aspx?App=23&amp;ReportView=4&amp;Qid=1711279&amp;Row=10780&amp;Col=1","No Title Assigned - #15272192564")</f>
        <v/>
      </c>
      <c r="B10788" s="0" t="s">
        <v>14677</v>
      </c>
      <c r="C10788" s="0" t="s">
        <v>14678</v>
      </c>
      <c r="D10788" s="0" t="s">
        <v>14678</v>
      </c>
      <c r="E10788" s="0" t="inlineStr">
        <is>
          <t xml:space="preserve">Mazda</t>
        </is>
      </c>
      <c r="F10788" s="0" t="s">
        <v>13</v>
      </c>
      <c r="G10788" s="0" t="s">
        <v>49</v>
      </c>
      <c r="H10788" s="5">
        <v>77177.123100</v>
      </c>
    </row>
    <row r="10789" spans="1:9">
      <c r="A10789" s="22" t="str">
        <f>HYPERLINK("https://app.vivvix.com/360/KMI/IntelliDrive/ApplUI/Pages/CreativePages/CustomReportCreativeDetail.aspx?App=23&amp;ReportView=4&amp;Qid=1711279&amp;Row=10781&amp;Col=1","No Title Assigned - #15272192565")</f>
        <v/>
      </c>
      <c r="B10789" s="0" t="s">
        <v>14679</v>
      </c>
      <c r="C10789" s="0" t="s">
        <v>14680</v>
      </c>
      <c r="D10789" s="0" t="s">
        <v>14680</v>
      </c>
      <c r="E10789" s="0" t="inlineStr">
        <is>
          <t xml:space="preserve">Mazda</t>
        </is>
      </c>
      <c r="F10789" s="0" t="s">
        <v>13</v>
      </c>
      <c r="G10789" s="0" t="s">
        <v>49</v>
      </c>
      <c r="H10789" s="5">
        <v>188.157000</v>
      </c>
    </row>
    <row r="10790" spans="1:9">
      <c r="A10790" s="22" t="str">
        <f>HYPERLINK("https://app.vivvix.com/360/KMI/IntelliDrive/ApplUI/Pages/CreativePages/CustomReportCreativeDetail.aspx?App=23&amp;ReportView=4&amp;Qid=1711279&amp;Row=10782&amp;Col=1","No Title Assigned - #15272192937")</f>
        <v/>
      </c>
      <c r="B10790" s="0" t="s">
        <v>14681</v>
      </c>
      <c r="C10790" s="0" t="s">
        <v>14682</v>
      </c>
      <c r="D10790" s="0" t="s">
        <v>4335</v>
      </c>
      <c r="E10790" s="0" t="inlineStr">
        <is>
          <t xml:space="preserve">Mazda</t>
        </is>
      </c>
      <c r="F10790" s="0" t="s">
        <v>13</v>
      </c>
      <c r="G10790" s="0" t="s">
        <v>49</v>
      </c>
      <c r="H10790" s="5">
        <v>577.792300</v>
      </c>
    </row>
    <row r="10791" spans="1:9">
      <c r="A10791" s="22" t="str">
        <f>HYPERLINK("https://app.vivvix.com/360/KMI/IntelliDrive/ApplUI/Pages/CreativePages/CustomReportCreativeDetail.aspx?App=23&amp;ReportView=4&amp;Qid=1711279&amp;Row=10783&amp;Col=1","No Title Assigned - #15272192937")</f>
        <v/>
      </c>
      <c r="B10791" s="0" t="s">
        <v>14681</v>
      </c>
      <c r="E10791" s="0" t="inlineStr">
        <is>
          <t xml:space="preserve">Mazda</t>
        </is>
      </c>
      <c r="F10791" s="0" t="s">
        <v>13</v>
      </c>
      <c r="G10791" s="0" t="s">
        <v>49</v>
      </c>
      <c r="H10791" s="5">
        <v>4236.859400</v>
      </c>
    </row>
    <row r="10792" spans="1:9">
      <c r="A10792" s="22" t="str">
        <f>HYPERLINK("https://app.vivvix.com/360/KMI/IntelliDrive/ApplUI/Pages/CreativePages/CustomReportCreativeDetail.aspx?App=23&amp;ReportView=4&amp;Qid=1711279&amp;Row=10784&amp;Col=1","No Title Assigned - #15272194396")</f>
        <v/>
      </c>
      <c r="B10792" s="0" t="s">
        <v>14683</v>
      </c>
      <c r="E10792" s="0" t="inlineStr">
        <is>
          <t xml:space="preserve">Mazda</t>
        </is>
      </c>
      <c r="F10792" s="0" t="inlineStr">
        <is>
          <t xml:space="preserve">Mazda</t>
        </is>
      </c>
      <c r="G10792" s="0" t="s">
        <v>171</v>
      </c>
      <c r="H10792" s="5">
        <v>9.727300</v>
      </c>
    </row>
    <row r="10793" spans="1:9">
      <c r="A10793" s="22" t="str">
        <f>HYPERLINK("https://app.vivvix.com/360/KMI/IntelliDrive/ApplUI/Pages/CreativePages/CustomReportCreativeDetail.aspx?App=23&amp;ReportView=4&amp;Qid=1711279&amp;Row=10785&amp;Col=1","No Title Assigned - #15272194503")</f>
        <v/>
      </c>
      <c r="B10793" s="0" t="s">
        <v>14684</v>
      </c>
      <c r="C10793" s="0" t="s">
        <v>14685</v>
      </c>
      <c r="D10793" s="0" t="s">
        <v>14685</v>
      </c>
      <c r="E10793" s="0" t="inlineStr">
        <is>
          <t xml:space="preserve">Mazda</t>
        </is>
      </c>
      <c r="F10793" s="0" t="inlineStr">
        <is>
          <t xml:space="preserve">Mazda</t>
        </is>
      </c>
      <c r="G10793" s="0" t="s">
        <v>171</v>
      </c>
      <c r="H10793" s="5">
        <v>115.075500</v>
      </c>
    </row>
    <row r="10794" spans="1:9">
      <c r="A10794" s="22" t="str">
        <f>HYPERLINK("https://app.vivvix.com/360/KMI/IntelliDrive/ApplUI/Pages/CreativePages/CustomReportCreativeDetail.aspx?App=23&amp;ReportView=4&amp;Qid=1711279&amp;Row=10786&amp;Col=1","No Title Assigned - #15272195262")</f>
        <v/>
      </c>
      <c r="B10794" s="0" t="s">
        <v>14686</v>
      </c>
      <c r="C10794" s="0" t="s">
        <v>14687</v>
      </c>
      <c r="D10794" s="0" t="s">
        <v>14687</v>
      </c>
      <c r="E10794" s="0" t="inlineStr">
        <is>
          <t xml:space="preserve">Mazda</t>
        </is>
      </c>
      <c r="F10794" s="0" t="inlineStr">
        <is>
          <t xml:space="preserve">Mazda</t>
        </is>
      </c>
      <c r="G10794" s="0" t="s">
        <v>171</v>
      </c>
      <c r="H10794" s="5">
        <v>1.488800</v>
      </c>
    </row>
    <row r="10795" spans="1:9">
      <c r="A10795" s="22" t="str">
        <f>HYPERLINK("https://app.vivvix.com/360/KMI/IntelliDrive/ApplUI/Pages/CreativePages/CustomReportCreativeDetail.aspx?App=23&amp;ReportView=4&amp;Qid=1711279&amp;Row=10787&amp;Col=1","No Title Assigned - #15272196688")</f>
        <v/>
      </c>
      <c r="B10795" s="0" t="s">
        <v>14688</v>
      </c>
      <c r="E10795" s="0" t="inlineStr">
        <is>
          <t xml:space="preserve">Mazda</t>
        </is>
      </c>
      <c r="F10795" s="0" t="inlineStr">
        <is>
          <t xml:space="preserve">Mazda</t>
        </is>
      </c>
      <c r="G10795" s="0" t="s">
        <v>171</v>
      </c>
      <c r="H10795" s="5">
        <v>1509.866000</v>
      </c>
    </row>
    <row r="10796" spans="1:9">
      <c r="A10796" s="22" t="str">
        <f>HYPERLINK("https://app.vivvix.com/360/KMI/IntelliDrive/ApplUI/Pages/CreativePages/CustomReportCreativeDetail.aspx?App=23&amp;ReportView=4&amp;Qid=1711279&amp;Row=10788&amp;Col=1","No Title Assigned - #15272196710")</f>
        <v/>
      </c>
      <c r="B10796" s="0" t="s">
        <v>14689</v>
      </c>
      <c r="E10796" s="0" t="inlineStr">
        <is>
          <t xml:space="preserve">Mazda</t>
        </is>
      </c>
      <c r="F10796" s="0" t="inlineStr">
        <is>
          <t xml:space="preserve">Mazda</t>
        </is>
      </c>
      <c r="G10796" s="0" t="s">
        <v>171</v>
      </c>
      <c r="H10796" s="5">
        <v>13.860200</v>
      </c>
    </row>
    <row r="10797" spans="1:9">
      <c r="A10797" s="22" t="str">
        <f>HYPERLINK("https://app.vivvix.com/360/KMI/IntelliDrive/ApplUI/Pages/CreativePages/CustomReportCreativeDetail.aspx?App=23&amp;ReportView=4&amp;Qid=1711279&amp;Row=10789&amp;Col=1","No Title Assigned - #15272200125")</f>
        <v/>
      </c>
      <c r="B10797" s="0" t="s">
        <v>14690</v>
      </c>
      <c r="C10797" s="0" t="s">
        <v>14691</v>
      </c>
      <c r="D10797" s="0" t="s">
        <v>4225</v>
      </c>
      <c r="E10797" s="0" t="inlineStr">
        <is>
          <t xml:space="preserve">Mazda</t>
        </is>
      </c>
      <c r="F10797" s="0" t="s">
        <v>28</v>
      </c>
      <c r="G10797" s="0" t="s">
        <v>29</v>
      </c>
      <c r="H10797" s="5">
        <v>51.366500</v>
      </c>
    </row>
    <row r="10798" spans="1:9">
      <c r="A10798" s="22" t="str">
        <f>HYPERLINK("https://app.vivvix.com/360/KMI/IntelliDrive/ApplUI/Pages/CreativePages/CustomReportCreativeDetail.aspx?App=23&amp;ReportView=4&amp;Qid=1711279&amp;Row=10790&amp;Col=1","No Title Assigned - #15272201320")</f>
        <v/>
      </c>
      <c r="B10798" s="0" t="s">
        <v>14692</v>
      </c>
      <c r="C10798" s="0" t="s">
        <v>14693</v>
      </c>
      <c r="D10798" s="0" t="s">
        <v>4407</v>
      </c>
      <c r="E10798" s="0" t="inlineStr">
        <is>
          <t xml:space="preserve">Mazda</t>
        </is>
      </c>
      <c r="F10798" s="0" t="s">
        <v>28</v>
      </c>
      <c r="G10798" s="0" t="s">
        <v>29</v>
      </c>
      <c r="H10798" s="5">
        <v>25.973800</v>
      </c>
    </row>
    <row r="10799" spans="1:9">
      <c r="A10799" s="22" t="str">
        <f>HYPERLINK("https://app.vivvix.com/360/KMI/IntelliDrive/ApplUI/Pages/CreativePages/CustomReportCreativeDetail.aspx?App=23&amp;ReportView=4&amp;Qid=1711279&amp;Row=10791&amp;Col=1","No Title Assigned - #15272201622")</f>
        <v/>
      </c>
      <c r="B10799" s="0" t="s">
        <v>14694</v>
      </c>
      <c r="C10799" s="0" t="s">
        <v>14695</v>
      </c>
      <c r="D10799" s="0" t="s">
        <v>8203</v>
      </c>
      <c r="E10799" s="0" t="inlineStr">
        <is>
          <t xml:space="preserve">Mazda</t>
        </is>
      </c>
      <c r="F10799" s="0" t="s">
        <v>28</v>
      </c>
      <c r="G10799" s="0" t="s">
        <v>29</v>
      </c>
      <c r="H10799" s="5">
        <v>11.006000</v>
      </c>
    </row>
    <row r="10800" spans="1:9">
      <c r="A10800" s="22" t="str">
        <f>HYPERLINK("https://app.vivvix.com/360/KMI/IntelliDrive/ApplUI/Pages/CreativePages/CustomReportCreativeDetail.aspx?App=23&amp;ReportView=4&amp;Qid=1711279&amp;Row=10792&amp;Col=1","No Title Assigned - #15272201849")</f>
        <v/>
      </c>
      <c r="B10800" s="0" t="s">
        <v>14696</v>
      </c>
      <c r="C10800" s="0" t="s">
        <v>14697</v>
      </c>
      <c r="D10800" s="0" t="s">
        <v>14697</v>
      </c>
      <c r="E10800" s="0" t="inlineStr">
        <is>
          <t xml:space="preserve">Mazda</t>
        </is>
      </c>
      <c r="F10800" s="0" t="s">
        <v>13</v>
      </c>
      <c r="G10800" s="0" t="s">
        <v>49</v>
      </c>
      <c r="H10800" s="5">
        <v>326.620800</v>
      </c>
    </row>
    <row r="10801" spans="1:9">
      <c r="A10801" s="22" t="str">
        <f>HYPERLINK("https://app.vivvix.com/360/KMI/IntelliDrive/ApplUI/Pages/CreativePages/CustomReportCreativeDetail.aspx?App=23&amp;ReportView=4&amp;Qid=1711279&amp;Row=10793&amp;Col=1","No Title Assigned - #15272202017")</f>
        <v/>
      </c>
      <c r="B10801" s="0" t="s">
        <v>14698</v>
      </c>
      <c r="C10801" s="0" t="s">
        <v>14699</v>
      </c>
      <c r="D10801" s="0" t="s">
        <v>14699</v>
      </c>
      <c r="E10801" s="0" t="inlineStr">
        <is>
          <t xml:space="preserve">Mazda</t>
        </is>
      </c>
      <c r="F10801" s="0" t="s">
        <v>13</v>
      </c>
      <c r="G10801" s="0" t="s">
        <v>49</v>
      </c>
      <c r="H10801" s="5">
        <v>63.783000</v>
      </c>
    </row>
    <row r="10802" spans="1:9">
      <c r="A10802" s="22" t="str">
        <f>HYPERLINK("https://app.vivvix.com/360/KMI/IntelliDrive/ApplUI/Pages/CreativePages/CustomReportCreativeDetail.aspx?App=23&amp;ReportView=4&amp;Qid=1711279&amp;Row=10794&amp;Col=1","No Title Assigned - #15272203736")</f>
        <v/>
      </c>
      <c r="B10802" s="0" t="s">
        <v>14700</v>
      </c>
      <c r="C10802" s="0" t="s">
        <v>14701</v>
      </c>
      <c r="D10802" s="0" t="s">
        <v>10964</v>
      </c>
      <c r="E10802" s="0" t="inlineStr">
        <is>
          <t xml:space="preserve">Mazda</t>
        </is>
      </c>
      <c r="F10802" s="0" t="s">
        <v>13</v>
      </c>
      <c r="G10802" s="0" t="s">
        <v>49</v>
      </c>
      <c r="H10802" s="5">
        <v>2.429200</v>
      </c>
    </row>
    <row r="10803" spans="1:9">
      <c r="A10803" s="22" t="str">
        <f>HYPERLINK("https://app.vivvix.com/360/KMI/IntelliDrive/ApplUI/Pages/CreativePages/CustomReportCreativeDetail.aspx?App=23&amp;ReportView=4&amp;Qid=1711279&amp;Row=10795&amp;Col=1","No Title Assigned - #15272205325")</f>
        <v/>
      </c>
      <c r="B10803" s="0" t="s">
        <v>14702</v>
      </c>
      <c r="C10803" s="0" t="s">
        <v>14703</v>
      </c>
      <c r="D10803" s="0" t="s">
        <v>14703</v>
      </c>
      <c r="E10803" s="0" t="inlineStr">
        <is>
          <t xml:space="preserve">Mazda</t>
        </is>
      </c>
      <c r="F10803" s="0" t="inlineStr">
        <is>
          <t xml:space="preserve">Mazda</t>
        </is>
      </c>
      <c r="G10803" s="0" t="s">
        <v>171</v>
      </c>
      <c r="H10803" s="5">
        <v>3.717500</v>
      </c>
    </row>
    <row r="10804" spans="1:9">
      <c r="A10804" s="22" t="str">
        <f>HYPERLINK("https://app.vivvix.com/360/KMI/IntelliDrive/ApplUI/Pages/CreativePages/CustomReportCreativeDetail.aspx?App=23&amp;ReportView=4&amp;Qid=1711279&amp;Row=10796&amp;Col=1","No Title Assigned - #15272205340")</f>
        <v/>
      </c>
      <c r="B10804" s="0" t="s">
        <v>14704</v>
      </c>
      <c r="E10804" s="0" t="inlineStr">
        <is>
          <t xml:space="preserve">Mazda</t>
        </is>
      </c>
      <c r="F10804" s="0" t="inlineStr">
        <is>
          <t xml:space="preserve">Mazda</t>
        </is>
      </c>
      <c r="G10804" s="0" t="s">
        <v>171</v>
      </c>
      <c r="H10804" s="5">
        <v>0.744400</v>
      </c>
    </row>
    <row r="10805" spans="1:9">
      <c r="A10805" s="22" t="str">
        <f>HYPERLINK("https://app.vivvix.com/360/KMI/IntelliDrive/ApplUI/Pages/CreativePages/CustomReportCreativeDetail.aspx?App=23&amp;ReportView=4&amp;Qid=1711279&amp;Row=10797&amp;Col=1","No Title Assigned - #15272206023")</f>
        <v/>
      </c>
      <c r="B10805" s="0" t="s">
        <v>14705</v>
      </c>
      <c r="E10805" s="0" t="inlineStr">
        <is>
          <t xml:space="preserve">Mazda</t>
        </is>
      </c>
      <c r="F10805" s="0" t="inlineStr">
        <is>
          <t xml:space="preserve">Mazda</t>
        </is>
      </c>
      <c r="G10805" s="0" t="s">
        <v>171</v>
      </c>
      <c r="H10805" s="5">
        <v>94.262600</v>
      </c>
    </row>
    <row r="10806" spans="1:9">
      <c r="A10806" s="22" t="str">
        <f>HYPERLINK("https://app.vivvix.com/360/KMI/IntelliDrive/ApplUI/Pages/CreativePages/CustomReportCreativeDetail.aspx?App=23&amp;ReportView=4&amp;Qid=1711279&amp;Row=10798&amp;Col=1","No Title Assigned - #15272206023")</f>
        <v/>
      </c>
      <c r="B10806" s="0" t="s">
        <v>14705</v>
      </c>
      <c r="E10806" s="0" t="inlineStr">
        <is>
          <t xml:space="preserve">Mazda</t>
        </is>
      </c>
      <c r="F10806" s="0" t="inlineStr">
        <is>
          <t xml:space="preserve">Mazda</t>
        </is>
      </c>
      <c r="G10806" s="0" t="s">
        <v>171</v>
      </c>
      <c r="H10806" s="5">
        <v>4110.838900</v>
      </c>
    </row>
    <row r="10807" spans="1:9">
      <c r="A10807" s="22" t="str">
        <f>HYPERLINK("https://app.vivvix.com/360/KMI/IntelliDrive/ApplUI/Pages/CreativePages/CustomReportCreativeDetail.aspx?App=23&amp;ReportView=4&amp;Qid=1711279&amp;Row=10799&amp;Col=1","No Title Assigned - #15272206768")</f>
        <v/>
      </c>
      <c r="B10807" s="0" t="s">
        <v>14706</v>
      </c>
      <c r="E10807" s="0" t="inlineStr">
        <is>
          <t xml:space="preserve">Mazda</t>
        </is>
      </c>
      <c r="F10807" s="0" t="inlineStr">
        <is>
          <t xml:space="preserve">Mazda</t>
        </is>
      </c>
      <c r="G10807" s="0" t="s">
        <v>171</v>
      </c>
      <c r="H10807" s="5">
        <v>7.142000</v>
      </c>
    </row>
    <row r="10808" spans="1:9">
      <c r="A10808" s="22" t="str">
        <f>HYPERLINK("https://app.vivvix.com/360/KMI/IntelliDrive/ApplUI/Pages/CreativePages/CustomReportCreativeDetail.aspx?App=23&amp;ReportView=4&amp;Qid=1711279&amp;Row=10800&amp;Col=1","No Title Assigned - #15272206768")</f>
        <v/>
      </c>
      <c r="B10808" s="0" t="s">
        <v>14706</v>
      </c>
      <c r="E10808" s="0" t="inlineStr">
        <is>
          <t xml:space="preserve">Mazda</t>
        </is>
      </c>
      <c r="F10808" s="0" t="inlineStr">
        <is>
          <t xml:space="preserve">Mazda</t>
        </is>
      </c>
      <c r="G10808" s="0" t="s">
        <v>171</v>
      </c>
      <c r="H10808" s="5">
        <v>30.191600</v>
      </c>
    </row>
    <row r="10809" spans="1:9">
      <c r="A10809" s="22" t="str">
        <f>HYPERLINK("https://app.vivvix.com/360/KMI/IntelliDrive/ApplUI/Pages/CreativePages/CustomReportCreativeDetail.aspx?App=23&amp;ReportView=4&amp;Qid=1711279&amp;Row=10801&amp;Col=1","No Title Assigned - #15272207054")</f>
        <v/>
      </c>
      <c r="B10809" s="0" t="s">
        <v>14707</v>
      </c>
      <c r="E10809" s="0" t="inlineStr">
        <is>
          <t xml:space="preserve">Mazda</t>
        </is>
      </c>
      <c r="F10809" s="0" t="inlineStr">
        <is>
          <t xml:space="preserve">Mazda</t>
        </is>
      </c>
      <c r="G10809" s="0" t="s">
        <v>171</v>
      </c>
      <c r="H10809" s="5">
        <v>14.389200</v>
      </c>
    </row>
    <row r="10810" spans="1:9">
      <c r="A10810" s="22" t="str">
        <f>HYPERLINK("https://app.vivvix.com/360/KMI/IntelliDrive/ApplUI/Pages/CreativePages/CustomReportCreativeDetail.aspx?App=23&amp;ReportView=4&amp;Qid=1711279&amp;Row=10802&amp;Col=1","No Title Assigned - #15272207225")</f>
        <v/>
      </c>
      <c r="B10810" s="0" t="s">
        <v>14708</v>
      </c>
      <c r="E10810" s="0" t="inlineStr">
        <is>
          <t xml:space="preserve">Mazda</t>
        </is>
      </c>
      <c r="F10810" s="0" t="inlineStr">
        <is>
          <t xml:space="preserve">Mazda</t>
        </is>
      </c>
      <c r="G10810" s="0" t="s">
        <v>171</v>
      </c>
      <c r="H10810" s="5">
        <v>2311.008600</v>
      </c>
    </row>
    <row r="10811" spans="1:9">
      <c r="A10811" s="22" t="str">
        <f>HYPERLINK("https://app.vivvix.com/360/KMI/IntelliDrive/ApplUI/Pages/CreativePages/CustomReportCreativeDetail.aspx?App=23&amp;ReportView=4&amp;Qid=1711279&amp;Row=10803&amp;Col=1","No Title Assigned - #15272208967")</f>
        <v/>
      </c>
      <c r="B10811" s="0" t="s">
        <v>14709</v>
      </c>
      <c r="E10811" s="0" t="inlineStr">
        <is>
          <t xml:space="preserve">Mazda</t>
        </is>
      </c>
      <c r="F10811" s="0" t="inlineStr">
        <is>
          <t xml:space="preserve">Mazda</t>
        </is>
      </c>
      <c r="G10811" s="0" t="s">
        <v>171</v>
      </c>
      <c r="H10811" s="5">
        <v>38.155000</v>
      </c>
    </row>
    <row r="10812" spans="1:9">
      <c r="A10812" s="22" t="str">
        <f>HYPERLINK("https://app.vivvix.com/360/KMI/IntelliDrive/ApplUI/Pages/CreativePages/CustomReportCreativeDetail.aspx?App=23&amp;ReportView=4&amp;Qid=1711279&amp;Row=10804&amp;Col=1","No Title Assigned - #15272209036")</f>
        <v/>
      </c>
      <c r="B10812" s="0" t="s">
        <v>14710</v>
      </c>
      <c r="E10812" s="0" t="inlineStr">
        <is>
          <t xml:space="preserve">Mazda</t>
        </is>
      </c>
      <c r="F10812" s="0" t="inlineStr">
        <is>
          <t xml:space="preserve">Mazda</t>
        </is>
      </c>
      <c r="G10812" s="0" t="s">
        <v>171</v>
      </c>
      <c r="H10812" s="5">
        <v>38.235200</v>
      </c>
    </row>
    <row r="10813" spans="1:9">
      <c r="A10813" s="22" t="str">
        <f>HYPERLINK("https://app.vivvix.com/360/KMI/IntelliDrive/ApplUI/Pages/CreativePages/CustomReportCreativeDetail.aspx?App=23&amp;ReportView=4&amp;Qid=1711279&amp;Row=10805&amp;Col=1","No Title Assigned - #15272209083")</f>
        <v/>
      </c>
      <c r="B10813" s="0" t="s">
        <v>14711</v>
      </c>
      <c r="E10813" s="0" t="inlineStr">
        <is>
          <t xml:space="preserve">Mazda</t>
        </is>
      </c>
      <c r="F10813" s="0" t="inlineStr">
        <is>
          <t xml:space="preserve">Mazda</t>
        </is>
      </c>
      <c r="G10813" s="0" t="s">
        <v>171</v>
      </c>
      <c r="H10813" s="5">
        <v>27.580700</v>
      </c>
    </row>
    <row r="10814" spans="1:9">
      <c r="A10814" s="22" t="str">
        <f>HYPERLINK("https://app.vivvix.com/360/KMI/IntelliDrive/ApplUI/Pages/CreativePages/CustomReportCreativeDetail.aspx?App=23&amp;ReportView=4&amp;Qid=1711279&amp;Row=10806&amp;Col=1","No Title Assigned - #15272209449")</f>
        <v/>
      </c>
      <c r="B10814" s="0" t="s">
        <v>14712</v>
      </c>
      <c r="E10814" s="0" t="inlineStr">
        <is>
          <t xml:space="preserve">Mazda</t>
        </is>
      </c>
      <c r="F10814" s="0" t="inlineStr">
        <is>
          <t xml:space="preserve">Mazda</t>
        </is>
      </c>
      <c r="G10814" s="0" t="s">
        <v>171</v>
      </c>
      <c r="H10814" s="5">
        <v>52.719100</v>
      </c>
    </row>
    <row r="10815" spans="1:9">
      <c r="A10815" s="22" t="str">
        <f>HYPERLINK("https://app.vivvix.com/360/KMI/IntelliDrive/ApplUI/Pages/CreativePages/CustomReportCreativeDetail.aspx?App=23&amp;ReportView=4&amp;Qid=1711279&amp;Row=10807&amp;Col=1","No Title Assigned - #15272209452")</f>
        <v/>
      </c>
      <c r="B10815" s="0" t="s">
        <v>14713</v>
      </c>
      <c r="E10815" s="0" t="inlineStr">
        <is>
          <t xml:space="preserve">Mazda</t>
        </is>
      </c>
      <c r="F10815" s="0" t="inlineStr">
        <is>
          <t xml:space="preserve">Mazda</t>
        </is>
      </c>
      <c r="G10815" s="0" t="s">
        <v>171</v>
      </c>
      <c r="H10815" s="5">
        <v>198.095900</v>
      </c>
    </row>
    <row r="10816" spans="1:9">
      <c r="A10816" s="22" t="str">
        <f>HYPERLINK("https://app.vivvix.com/360/KMI/IntelliDrive/ApplUI/Pages/CreativePages/CustomReportCreativeDetail.aspx?App=23&amp;ReportView=4&amp;Qid=1711279&amp;Row=10808&amp;Col=1","No Title Assigned - #15272209452")</f>
        <v/>
      </c>
      <c r="B10816" s="0" t="s">
        <v>14713</v>
      </c>
      <c r="E10816" s="0" t="inlineStr">
        <is>
          <t xml:space="preserve">Mazda</t>
        </is>
      </c>
      <c r="F10816" s="0" t="inlineStr">
        <is>
          <t xml:space="preserve">Mazda</t>
        </is>
      </c>
      <c r="G10816" s="0" t="s">
        <v>171</v>
      </c>
      <c r="H10816" s="5">
        <v>291.257900</v>
      </c>
    </row>
    <row r="10817" spans="1:9">
      <c r="A10817" s="22" t="str">
        <f>HYPERLINK("https://app.vivvix.com/360/KMI/IntelliDrive/ApplUI/Pages/CreativePages/CustomReportCreativeDetail.aspx?App=23&amp;ReportView=4&amp;Qid=1711279&amp;Row=10809&amp;Col=1","No Title Assigned - #15272209615")</f>
        <v/>
      </c>
      <c r="B10817" s="0" t="s">
        <v>14714</v>
      </c>
      <c r="C10817" s="0" t="s">
        <v>14715</v>
      </c>
      <c r="D10817" s="0" t="s">
        <v>14715</v>
      </c>
      <c r="E10817" s="0" t="inlineStr">
        <is>
          <t xml:space="preserve">Mazda</t>
        </is>
      </c>
      <c r="F10817" s="0" t="inlineStr">
        <is>
          <t xml:space="preserve">Mazda</t>
        </is>
      </c>
      <c r="G10817" s="0" t="s">
        <v>171</v>
      </c>
      <c r="H10817" s="5">
        <v>92.933900</v>
      </c>
    </row>
    <row r="10818" spans="1:9">
      <c r="A10818" s="22" t="str">
        <f>HYPERLINK("https://app.vivvix.com/360/KMI/IntelliDrive/ApplUI/Pages/CreativePages/CustomReportCreativeDetail.aspx?App=23&amp;ReportView=4&amp;Qid=1711279&amp;Row=10810&amp;Col=1","No Title Assigned - #15272209657")</f>
        <v/>
      </c>
      <c r="B10818" s="0" t="s">
        <v>14716</v>
      </c>
      <c r="E10818" s="0" t="inlineStr">
        <is>
          <t xml:space="preserve">Mazda</t>
        </is>
      </c>
      <c r="F10818" s="0" t="inlineStr">
        <is>
          <t xml:space="preserve">Mazda</t>
        </is>
      </c>
      <c r="G10818" s="0" t="s">
        <v>171</v>
      </c>
      <c r="H10818" s="5">
        <v>2010.139700</v>
      </c>
    </row>
    <row r="10819" spans="1:9">
      <c r="A10819" s="22" t="str">
        <f>HYPERLINK("https://app.vivvix.com/360/KMI/IntelliDrive/ApplUI/Pages/CreativePages/CustomReportCreativeDetail.aspx?App=23&amp;ReportView=4&amp;Qid=1711279&amp;Row=10811&amp;Col=1","No Title Assigned - #15272209657")</f>
        <v/>
      </c>
      <c r="B10819" s="0" t="s">
        <v>14716</v>
      </c>
      <c r="E10819" s="0" t="inlineStr">
        <is>
          <t xml:space="preserve">Mazda</t>
        </is>
      </c>
      <c r="F10819" s="0" t="inlineStr">
        <is>
          <t xml:space="preserve">Mazda</t>
        </is>
      </c>
      <c r="G10819" s="0" t="s">
        <v>171</v>
      </c>
      <c r="H10819" s="5">
        <v>1083.902100</v>
      </c>
    </row>
    <row r="10820" spans="1:9">
      <c r="A10820" s="22" t="str">
        <f>HYPERLINK("https://app.vivvix.com/360/KMI/IntelliDrive/ApplUI/Pages/CreativePages/CustomReportCreativeDetail.aspx?App=23&amp;ReportView=4&amp;Qid=1711279&amp;Row=10812&amp;Col=1","No Title Assigned - #15272209860")</f>
        <v/>
      </c>
      <c r="B10820" s="0" t="s">
        <v>14717</v>
      </c>
      <c r="E10820" s="0" t="inlineStr">
        <is>
          <t xml:space="preserve">Mazda</t>
        </is>
      </c>
      <c r="F10820" s="0" t="inlineStr">
        <is>
          <t xml:space="preserve">Mazda</t>
        </is>
      </c>
      <c r="G10820" s="0" t="s">
        <v>171</v>
      </c>
      <c r="H10820" s="5">
        <v>262.127300</v>
      </c>
    </row>
    <row r="10821" spans="1:9">
      <c r="A10821" s="22" t="str">
        <f>HYPERLINK("https://app.vivvix.com/360/KMI/IntelliDrive/ApplUI/Pages/CreativePages/CustomReportCreativeDetail.aspx?App=23&amp;ReportView=4&amp;Qid=1711279&amp;Row=10813&amp;Col=1","No Title Assigned - #15272209860")</f>
        <v/>
      </c>
      <c r="B10821" s="0" t="s">
        <v>14717</v>
      </c>
      <c r="E10821" s="0" t="inlineStr">
        <is>
          <t xml:space="preserve">Mazda</t>
        </is>
      </c>
      <c r="F10821" s="0" t="inlineStr">
        <is>
          <t xml:space="preserve">Mazda</t>
        </is>
      </c>
      <c r="G10821" s="0" t="s">
        <v>171</v>
      </c>
      <c r="H10821" s="5">
        <v>87.769500</v>
      </c>
    </row>
    <row r="10822" spans="1:9">
      <c r="A10822" s="22" t="str">
        <f>HYPERLINK("https://app.vivvix.com/360/KMI/IntelliDrive/ApplUI/Pages/CreativePages/CustomReportCreativeDetail.aspx?App=23&amp;ReportView=4&amp;Qid=1711279&amp;Row=10814&amp;Col=1","No Title Assigned - #15272210060")</f>
        <v/>
      </c>
      <c r="B10822" s="0" t="s">
        <v>14718</v>
      </c>
      <c r="E10822" s="0" t="inlineStr">
        <is>
          <t xml:space="preserve">Mazda</t>
        </is>
      </c>
      <c r="F10822" s="0" t="inlineStr">
        <is>
          <t xml:space="preserve">Mazda</t>
        </is>
      </c>
      <c r="G10822" s="0" t="s">
        <v>171</v>
      </c>
      <c r="H10822" s="5">
        <v>0.744400</v>
      </c>
    </row>
    <row r="10823" spans="1:9">
      <c r="A10823" s="22" t="str">
        <f>HYPERLINK("https://app.vivvix.com/360/KMI/IntelliDrive/ApplUI/Pages/CreativePages/CustomReportCreativeDetail.aspx?App=23&amp;ReportView=4&amp;Qid=1711279&amp;Row=10815&amp;Col=1","No Title Assigned - #15272210149")</f>
        <v/>
      </c>
      <c r="B10823" s="0" t="s">
        <v>14719</v>
      </c>
      <c r="E10823" s="0" t="inlineStr">
        <is>
          <t xml:space="preserve">Mazda</t>
        </is>
      </c>
      <c r="F10823" s="0" t="inlineStr">
        <is>
          <t xml:space="preserve">Mazda</t>
        </is>
      </c>
      <c r="G10823" s="0" t="s">
        <v>171</v>
      </c>
      <c r="H10823" s="5">
        <v>41.633600</v>
      </c>
    </row>
    <row r="10824" spans="1:9">
      <c r="A10824" s="22" t="str">
        <f>HYPERLINK("https://app.vivvix.com/360/KMI/IntelliDrive/ApplUI/Pages/CreativePages/CustomReportCreativeDetail.aspx?App=23&amp;ReportView=4&amp;Qid=1711279&amp;Row=10816&amp;Col=1","No Title Assigned - #15272210198")</f>
        <v/>
      </c>
      <c r="B10824" s="0" t="s">
        <v>14720</v>
      </c>
      <c r="E10824" s="0" t="inlineStr">
        <is>
          <t xml:space="preserve">Mazda</t>
        </is>
      </c>
      <c r="F10824" s="0" t="inlineStr">
        <is>
          <t xml:space="preserve">Mazda</t>
        </is>
      </c>
      <c r="G10824" s="0" t="s">
        <v>171</v>
      </c>
      <c r="H10824" s="5">
        <v>11.266200</v>
      </c>
    </row>
    <row r="10825" spans="1:9">
      <c r="A10825" s="22" t="str">
        <f>HYPERLINK("https://app.vivvix.com/360/KMI/IntelliDrive/ApplUI/Pages/CreativePages/CustomReportCreativeDetail.aspx?App=23&amp;ReportView=4&amp;Qid=1711279&amp;Row=10817&amp;Col=1","No Title Assigned - #15272210198")</f>
        <v/>
      </c>
      <c r="B10825" s="0" t="s">
        <v>14720</v>
      </c>
      <c r="E10825" s="0" t="inlineStr">
        <is>
          <t xml:space="preserve">Mazda</t>
        </is>
      </c>
      <c r="F10825" s="0" t="inlineStr">
        <is>
          <t xml:space="preserve">Mazda</t>
        </is>
      </c>
      <c r="G10825" s="0" t="s">
        <v>171</v>
      </c>
      <c r="H10825" s="5">
        <v>2583.499800</v>
      </c>
    </row>
    <row r="10826" spans="1:9">
      <c r="A10826" s="22" t="str">
        <f>HYPERLINK("https://app.vivvix.com/360/KMI/IntelliDrive/ApplUI/Pages/CreativePages/CustomReportCreativeDetail.aspx?App=23&amp;ReportView=4&amp;Qid=1711279&amp;Row=10818&amp;Col=1","No Title Assigned - #15272210602")</f>
        <v/>
      </c>
      <c r="B10826" s="0" t="s">
        <v>14721</v>
      </c>
      <c r="C10826" s="0" t="s">
        <v>14722</v>
      </c>
      <c r="D10826" s="0" t="s">
        <v>14722</v>
      </c>
      <c r="E10826" s="0" t="inlineStr">
        <is>
          <t xml:space="preserve">Mazda</t>
        </is>
      </c>
      <c r="F10826" s="0" t="inlineStr">
        <is>
          <t xml:space="preserve">Mazda</t>
        </is>
      </c>
      <c r="G10826" s="0" t="s">
        <v>171</v>
      </c>
      <c r="H10826" s="5">
        <v>127.771200</v>
      </c>
    </row>
    <row r="10827" spans="1:9">
      <c r="A10827" s="22" t="str">
        <f>HYPERLINK("https://app.vivvix.com/360/KMI/IntelliDrive/ApplUI/Pages/CreativePages/CustomReportCreativeDetail.aspx?App=23&amp;ReportView=4&amp;Qid=1711279&amp;Row=10819&amp;Col=1","No Title Assigned - #15272210640")</f>
        <v/>
      </c>
      <c r="B10827" s="0" t="s">
        <v>14723</v>
      </c>
      <c r="E10827" s="0" t="inlineStr">
        <is>
          <t xml:space="preserve">Mazda</t>
        </is>
      </c>
      <c r="F10827" s="0" t="inlineStr">
        <is>
          <t xml:space="preserve">Mazda</t>
        </is>
      </c>
      <c r="G10827" s="0" t="s">
        <v>171</v>
      </c>
      <c r="H10827" s="5">
        <v>370.351900</v>
      </c>
    </row>
    <row r="10828" spans="1:9">
      <c r="A10828" s="22" t="str">
        <f>HYPERLINK("https://app.vivvix.com/360/KMI/IntelliDrive/ApplUI/Pages/CreativePages/CustomReportCreativeDetail.aspx?App=23&amp;ReportView=4&amp;Qid=1711279&amp;Row=10820&amp;Col=1","No Title Assigned - #15272211096")</f>
        <v/>
      </c>
      <c r="B10828" s="0" t="s">
        <v>14724</v>
      </c>
      <c r="E10828" s="0" t="inlineStr">
        <is>
          <t xml:space="preserve">Mazda</t>
        </is>
      </c>
      <c r="F10828" s="0" t="inlineStr">
        <is>
          <t xml:space="preserve">Mazda</t>
        </is>
      </c>
      <c r="G10828" s="0" t="s">
        <v>171</v>
      </c>
      <c r="H10828" s="5">
        <v>95566.656300</v>
      </c>
    </row>
    <row r="10829" spans="1:9">
      <c r="A10829" s="22" t="str">
        <f>HYPERLINK("https://app.vivvix.com/360/KMI/IntelliDrive/ApplUI/Pages/CreativePages/CustomReportCreativeDetail.aspx?App=23&amp;ReportView=4&amp;Qid=1711279&amp;Row=10821&amp;Col=1","No Title Assigned - #15272211435")</f>
        <v/>
      </c>
      <c r="B10829" s="0" t="s">
        <v>14725</v>
      </c>
      <c r="E10829" s="0" t="inlineStr">
        <is>
          <t xml:space="preserve">Mazda</t>
        </is>
      </c>
      <c r="F10829" s="0" t="inlineStr">
        <is>
          <t xml:space="preserve">Mazda</t>
        </is>
      </c>
      <c r="G10829" s="0" t="s">
        <v>171</v>
      </c>
      <c r="H10829" s="5">
        <v>5.832100</v>
      </c>
    </row>
    <row r="10830" spans="1:9">
      <c r="A10830" s="22" t="str">
        <f>HYPERLINK("https://app.vivvix.com/360/KMI/IntelliDrive/ApplUI/Pages/CreativePages/CustomReportCreativeDetail.aspx?App=23&amp;ReportView=4&amp;Qid=1711279&amp;Row=10822&amp;Col=1","No Title Assigned - #15272211480")</f>
        <v/>
      </c>
      <c r="B10830" s="0" t="s">
        <v>14726</v>
      </c>
      <c r="E10830" s="0" t="inlineStr">
        <is>
          <t xml:space="preserve">Mazda</t>
        </is>
      </c>
      <c r="F10830" s="0" t="inlineStr">
        <is>
          <t xml:space="preserve">Mazda</t>
        </is>
      </c>
      <c r="G10830" s="0" t="s">
        <v>171</v>
      </c>
      <c r="H10830" s="5">
        <v>1897.261700</v>
      </c>
    </row>
    <row r="10831" spans="1:9">
      <c r="A10831" s="22" t="str">
        <f>HYPERLINK("https://app.vivvix.com/360/KMI/IntelliDrive/ApplUI/Pages/CreativePages/CustomReportCreativeDetail.aspx?App=23&amp;ReportView=4&amp;Qid=1711279&amp;Row=10823&amp;Col=1","No Title Assigned - #15272211603")</f>
        <v/>
      </c>
      <c r="B10831" s="0" t="s">
        <v>14727</v>
      </c>
      <c r="E10831" s="0" t="inlineStr">
        <is>
          <t xml:space="preserve">Mazda</t>
        </is>
      </c>
      <c r="F10831" s="0" t="inlineStr">
        <is>
          <t xml:space="preserve">Mazda</t>
        </is>
      </c>
      <c r="G10831" s="0" t="s">
        <v>171</v>
      </c>
      <c r="H10831" s="5">
        <v>234.987200</v>
      </c>
    </row>
    <row r="10832" spans="1:9">
      <c r="A10832" s="22" t="str">
        <f>HYPERLINK("https://app.vivvix.com/360/KMI/IntelliDrive/ApplUI/Pages/CreativePages/CustomReportCreativeDetail.aspx?App=23&amp;ReportView=4&amp;Qid=1711279&amp;Row=10824&amp;Col=1","No Title Assigned - #15272212188")</f>
        <v/>
      </c>
      <c r="B10832" s="0" t="s">
        <v>14728</v>
      </c>
      <c r="E10832" s="0" t="inlineStr">
        <is>
          <t xml:space="preserve">Mazda</t>
        </is>
      </c>
      <c r="F10832" s="0" t="inlineStr">
        <is>
          <t xml:space="preserve">Mazda</t>
        </is>
      </c>
      <c r="G10832" s="0" t="s">
        <v>171</v>
      </c>
      <c r="H10832" s="5">
        <v>47.484900</v>
      </c>
    </row>
    <row r="10833" spans="1:9">
      <c r="A10833" s="22" t="str">
        <f>HYPERLINK("https://app.vivvix.com/360/KMI/IntelliDrive/ApplUI/Pages/CreativePages/CustomReportCreativeDetail.aspx?App=23&amp;ReportView=4&amp;Qid=1711279&amp;Row=10825&amp;Col=1","No Title Assigned - #15272212403")</f>
        <v/>
      </c>
      <c r="B10833" s="0" t="s">
        <v>14729</v>
      </c>
      <c r="E10833" s="0" t="inlineStr">
        <is>
          <t xml:space="preserve">Mazda</t>
        </is>
      </c>
      <c r="F10833" s="0" t="inlineStr">
        <is>
          <t xml:space="preserve">Mazda</t>
        </is>
      </c>
      <c r="G10833" s="0" t="s">
        <v>171</v>
      </c>
      <c r="H10833" s="5">
        <v>483.721000</v>
      </c>
    </row>
    <row r="10834" spans="1:9">
      <c r="A10834" s="22" t="str">
        <f>HYPERLINK("https://app.vivvix.com/360/KMI/IntelliDrive/ApplUI/Pages/CreativePages/CustomReportCreativeDetail.aspx?App=23&amp;ReportView=4&amp;Qid=1711279&amp;Row=10826&amp;Col=1","No Title Assigned - #15272212661")</f>
        <v/>
      </c>
      <c r="B10834" s="0" t="s">
        <v>14730</v>
      </c>
      <c r="E10834" s="0" t="inlineStr">
        <is>
          <t xml:space="preserve">Mazda</t>
        </is>
      </c>
      <c r="F10834" s="0" t="inlineStr">
        <is>
          <t xml:space="preserve">Mazda</t>
        </is>
      </c>
      <c r="G10834" s="0" t="s">
        <v>171</v>
      </c>
      <c r="H10834" s="5">
        <v>265.247500</v>
      </c>
    </row>
    <row r="10835" spans="1:9">
      <c r="A10835" s="22" t="str">
        <f>HYPERLINK("https://app.vivvix.com/360/KMI/IntelliDrive/ApplUI/Pages/CreativePages/CustomReportCreativeDetail.aspx?App=23&amp;ReportView=4&amp;Qid=1711279&amp;Row=10827&amp;Col=1","No Title Assigned - #15272212947")</f>
        <v/>
      </c>
      <c r="B10835" s="0" t="s">
        <v>14731</v>
      </c>
      <c r="E10835" s="0" t="inlineStr">
        <is>
          <t xml:space="preserve">Mazda</t>
        </is>
      </c>
      <c r="F10835" s="0" t="inlineStr">
        <is>
          <t xml:space="preserve">Mazda</t>
        </is>
      </c>
      <c r="G10835" s="0" t="s">
        <v>171</v>
      </c>
      <c r="H10835" s="5">
        <v>31.817500</v>
      </c>
    </row>
    <row r="10836" spans="1:9">
      <c r="A10836" s="22" t="str">
        <f>HYPERLINK("https://app.vivvix.com/360/KMI/IntelliDrive/ApplUI/Pages/CreativePages/CustomReportCreativeDetail.aspx?App=23&amp;ReportView=4&amp;Qid=1711279&amp;Row=10828&amp;Col=1","No Title Assigned - #15272213023")</f>
        <v/>
      </c>
      <c r="B10836" s="0" t="s">
        <v>14732</v>
      </c>
      <c r="E10836" s="0" t="inlineStr">
        <is>
          <t xml:space="preserve">Mazda</t>
        </is>
      </c>
      <c r="F10836" s="0" t="inlineStr">
        <is>
          <t xml:space="preserve">Mazda</t>
        </is>
      </c>
      <c r="G10836" s="0" t="s">
        <v>171</v>
      </c>
      <c r="H10836" s="5">
        <v>2724.546700</v>
      </c>
    </row>
    <row r="10837" spans="1:9">
      <c r="A10837" s="22" t="str">
        <f>HYPERLINK("https://app.vivvix.com/360/KMI/IntelliDrive/ApplUI/Pages/CreativePages/CustomReportCreativeDetail.aspx?App=23&amp;ReportView=4&amp;Qid=1711279&amp;Row=10829&amp;Col=1","No Title Assigned - #15272213024")</f>
        <v/>
      </c>
      <c r="B10837" s="0" t="s">
        <v>14733</v>
      </c>
      <c r="E10837" s="0" t="inlineStr">
        <is>
          <t xml:space="preserve">Mazda</t>
        </is>
      </c>
      <c r="F10837" s="0" t="inlineStr">
        <is>
          <t xml:space="preserve">Mazda</t>
        </is>
      </c>
      <c r="G10837" s="0" t="s">
        <v>171</v>
      </c>
      <c r="H10837" s="5">
        <v>788.316000</v>
      </c>
    </row>
    <row r="10838" spans="1:9">
      <c r="A10838" s="22" t="str">
        <f>HYPERLINK("https://app.vivvix.com/360/KMI/IntelliDrive/ApplUI/Pages/CreativePages/CustomReportCreativeDetail.aspx?App=23&amp;ReportView=4&amp;Qid=1711279&amp;Row=10830&amp;Col=1","No Title Assigned - #15272213407")</f>
        <v/>
      </c>
      <c r="B10838" s="0" t="s">
        <v>14734</v>
      </c>
      <c r="C10838" s="0" t="s">
        <v>14735</v>
      </c>
      <c r="D10838" s="0" t="s">
        <v>14735</v>
      </c>
      <c r="E10838" s="0" t="inlineStr">
        <is>
          <t xml:space="preserve">Mazda</t>
        </is>
      </c>
      <c r="F10838" s="0" t="inlineStr">
        <is>
          <t xml:space="preserve">Mazda</t>
        </is>
      </c>
      <c r="G10838" s="0" t="s">
        <v>171</v>
      </c>
      <c r="H10838" s="5">
        <v>224.508800</v>
      </c>
    </row>
    <row r="10839" spans="1:9">
      <c r="A10839" s="22" t="str">
        <f>HYPERLINK("https://app.vivvix.com/360/KMI/IntelliDrive/ApplUI/Pages/CreativePages/CustomReportCreativeDetail.aspx?App=23&amp;ReportView=4&amp;Qid=1711279&amp;Row=10831&amp;Col=1","No Title Assigned - #15272213509")</f>
        <v/>
      </c>
      <c r="B10839" s="0" t="s">
        <v>14736</v>
      </c>
      <c r="E10839" s="0" t="inlineStr">
        <is>
          <t xml:space="preserve">Mazda</t>
        </is>
      </c>
      <c r="F10839" s="0" t="inlineStr">
        <is>
          <t xml:space="preserve">Mazda</t>
        </is>
      </c>
      <c r="G10839" s="0" t="s">
        <v>171</v>
      </c>
      <c r="H10839" s="5">
        <v>17.838300</v>
      </c>
    </row>
    <row r="10840" spans="1:9">
      <c r="A10840" s="22" t="str">
        <f>HYPERLINK("https://app.vivvix.com/360/KMI/IntelliDrive/ApplUI/Pages/CreativePages/CustomReportCreativeDetail.aspx?App=23&amp;ReportView=4&amp;Qid=1711279&amp;Row=10832&amp;Col=1","No Title Assigned - #15272213527")</f>
        <v/>
      </c>
      <c r="B10840" s="0" t="s">
        <v>14737</v>
      </c>
      <c r="E10840" s="0" t="inlineStr">
        <is>
          <t xml:space="preserve">Mazda</t>
        </is>
      </c>
      <c r="F10840" s="0" t="inlineStr">
        <is>
          <t xml:space="preserve">Mazda</t>
        </is>
      </c>
      <c r="G10840" s="0" t="s">
        <v>171</v>
      </c>
      <c r="H10840" s="5">
        <v>28.368500</v>
      </c>
    </row>
    <row r="10841" spans="1:9">
      <c r="A10841" s="22" t="str">
        <f>HYPERLINK("https://app.vivvix.com/360/KMI/IntelliDrive/ApplUI/Pages/CreativePages/CustomReportCreativeDetail.aspx?App=23&amp;ReportView=4&amp;Qid=1711279&amp;Row=10833&amp;Col=1","No Title Assigned - #15272213530")</f>
        <v/>
      </c>
      <c r="B10841" s="0" t="s">
        <v>14738</v>
      </c>
      <c r="E10841" s="0" t="inlineStr">
        <is>
          <t xml:space="preserve">Mazda</t>
        </is>
      </c>
      <c r="F10841" s="0" t="inlineStr">
        <is>
          <t xml:space="preserve">Mazda</t>
        </is>
      </c>
      <c r="G10841" s="0" t="s">
        <v>171</v>
      </c>
      <c r="H10841" s="5">
        <v>75.667300</v>
      </c>
    </row>
    <row r="10842" spans="1:9">
      <c r="A10842" s="22" t="str">
        <f>HYPERLINK("https://app.vivvix.com/360/KMI/IntelliDrive/ApplUI/Pages/CreativePages/CustomReportCreativeDetail.aspx?App=23&amp;ReportView=4&amp;Qid=1711279&amp;Row=10834&amp;Col=1","No Title Assigned - #15272213611")</f>
        <v/>
      </c>
      <c r="B10842" s="0" t="s">
        <v>14739</v>
      </c>
      <c r="E10842" s="0" t="inlineStr">
        <is>
          <t xml:space="preserve">Mazda</t>
        </is>
      </c>
      <c r="F10842" s="0" t="inlineStr">
        <is>
          <t xml:space="preserve">Mazda</t>
        </is>
      </c>
      <c r="G10842" s="0" t="s">
        <v>171</v>
      </c>
      <c r="H10842" s="5">
        <v>2711.465100</v>
      </c>
    </row>
    <row r="10843" spans="1:9">
      <c r="A10843" s="22" t="str">
        <f>HYPERLINK("https://app.vivvix.com/360/KMI/IntelliDrive/ApplUI/Pages/CreativePages/CustomReportCreativeDetail.aspx?App=23&amp;ReportView=4&amp;Qid=1711279&amp;Row=10835&amp;Col=1","No Title Assigned - #15272213611")</f>
        <v/>
      </c>
      <c r="B10843" s="0" t="s">
        <v>14739</v>
      </c>
      <c r="E10843" s="0" t="inlineStr">
        <is>
          <t xml:space="preserve">Mazda</t>
        </is>
      </c>
      <c r="F10843" s="0" t="inlineStr">
        <is>
          <t xml:space="preserve">Mazda</t>
        </is>
      </c>
      <c r="G10843" s="0" t="s">
        <v>171</v>
      </c>
      <c r="H10843" s="5">
        <v>9951.125000</v>
      </c>
    </row>
    <row r="10844" spans="1:9">
      <c r="A10844" s="22" t="str">
        <f>HYPERLINK("https://app.vivvix.com/360/KMI/IntelliDrive/ApplUI/Pages/CreativePages/CustomReportCreativeDetail.aspx?App=23&amp;ReportView=4&amp;Qid=1711279&amp;Row=10836&amp;Col=1","No Title Assigned - #15272213726")</f>
        <v/>
      </c>
      <c r="B10844" s="0" t="s">
        <v>14740</v>
      </c>
      <c r="E10844" s="0" t="inlineStr">
        <is>
          <t xml:space="preserve">Mazda</t>
        </is>
      </c>
      <c r="F10844" s="0" t="inlineStr">
        <is>
          <t xml:space="preserve">Mazda</t>
        </is>
      </c>
      <c r="G10844" s="0" t="s">
        <v>171</v>
      </c>
      <c r="H10844" s="5">
        <v>1429.765800</v>
      </c>
    </row>
    <row r="10845" spans="1:9">
      <c r="A10845" s="22" t="str">
        <f>HYPERLINK("https://app.vivvix.com/360/KMI/IntelliDrive/ApplUI/Pages/CreativePages/CustomReportCreativeDetail.aspx?App=23&amp;ReportView=4&amp;Qid=1711279&amp;Row=10837&amp;Col=1","No Title Assigned - #15272214224")</f>
        <v/>
      </c>
      <c r="B10845" s="0" t="s">
        <v>14741</v>
      </c>
      <c r="E10845" s="0" t="inlineStr">
        <is>
          <t xml:space="preserve">Mazda</t>
        </is>
      </c>
      <c r="F10845" s="0" t="inlineStr">
        <is>
          <t xml:space="preserve">Mazda</t>
        </is>
      </c>
      <c r="G10845" s="0" t="s">
        <v>171</v>
      </c>
      <c r="H10845" s="5">
        <v>7.542100</v>
      </c>
    </row>
    <row r="10846" spans="1:9">
      <c r="A10846" s="22" t="str">
        <f>HYPERLINK("https://app.vivvix.com/360/KMI/IntelliDrive/ApplUI/Pages/CreativePages/CustomReportCreativeDetail.aspx?App=23&amp;ReportView=4&amp;Qid=1711279&amp;Row=10838&amp;Col=1","No Title Assigned - #15272214237")</f>
        <v/>
      </c>
      <c r="B10846" s="0" t="s">
        <v>14742</v>
      </c>
      <c r="C10846" s="0" t="s">
        <v>14743</v>
      </c>
      <c r="D10846" s="0" t="s">
        <v>14743</v>
      </c>
      <c r="E10846" s="0" t="inlineStr">
        <is>
          <t xml:space="preserve">Mazda</t>
        </is>
      </c>
      <c r="F10846" s="0" t="inlineStr">
        <is>
          <t xml:space="preserve">Mazda</t>
        </is>
      </c>
      <c r="G10846" s="0" t="s">
        <v>171</v>
      </c>
      <c r="H10846" s="5">
        <v>19887.809300</v>
      </c>
    </row>
    <row r="10847" spans="1:9">
      <c r="A10847" s="22" t="str">
        <f>HYPERLINK("https://app.vivvix.com/360/KMI/IntelliDrive/ApplUI/Pages/CreativePages/CustomReportCreativeDetail.aspx?App=23&amp;ReportView=4&amp;Qid=1711279&amp;Row=10839&amp;Col=1","No Title Assigned - #15272214237")</f>
        <v/>
      </c>
      <c r="B10847" s="0" t="s">
        <v>14742</v>
      </c>
      <c r="E10847" s="0" t="inlineStr">
        <is>
          <t xml:space="preserve">Mazda</t>
        </is>
      </c>
      <c r="F10847" s="0" t="inlineStr">
        <is>
          <t xml:space="preserve">Mazda</t>
        </is>
      </c>
      <c r="G10847" s="0" t="s">
        <v>171</v>
      </c>
      <c r="H10847" s="5">
        <v>431.374200</v>
      </c>
    </row>
    <row r="10848" spans="1:9">
      <c r="A10848" s="22" t="str">
        <f>HYPERLINK("https://app.vivvix.com/360/KMI/IntelliDrive/ApplUI/Pages/CreativePages/CustomReportCreativeDetail.aspx?App=23&amp;ReportView=4&amp;Qid=1711279&amp;Row=10840&amp;Col=1","No Title Assigned - #15272214253")</f>
        <v/>
      </c>
      <c r="B10848" s="0" t="s">
        <v>14744</v>
      </c>
      <c r="E10848" s="0" t="inlineStr">
        <is>
          <t xml:space="preserve">Mazda</t>
        </is>
      </c>
      <c r="F10848" s="0" t="inlineStr">
        <is>
          <t xml:space="preserve">Mazda</t>
        </is>
      </c>
      <c r="G10848" s="0" t="s">
        <v>171</v>
      </c>
      <c r="H10848" s="5">
        <v>113.807500</v>
      </c>
    </row>
    <row r="10849" spans="1:9">
      <c r="A10849" s="22" t="str">
        <f>HYPERLINK("https://app.vivvix.com/360/KMI/IntelliDrive/ApplUI/Pages/CreativePages/CustomReportCreativeDetail.aspx?App=23&amp;ReportView=4&amp;Qid=1711279&amp;Row=10841&amp;Col=1","No Title Assigned - #15272214253")</f>
        <v/>
      </c>
      <c r="B10849" s="0" t="s">
        <v>14744</v>
      </c>
      <c r="E10849" s="0" t="inlineStr">
        <is>
          <t xml:space="preserve">Mazda</t>
        </is>
      </c>
      <c r="F10849" s="0" t="inlineStr">
        <is>
          <t xml:space="preserve">Mazda</t>
        </is>
      </c>
      <c r="G10849" s="0" t="s">
        <v>171</v>
      </c>
      <c r="H10849" s="5">
        <v>104.057900</v>
      </c>
    </row>
    <row r="10850" spans="1:9">
      <c r="A10850" s="22" t="str">
        <f>HYPERLINK("https://app.vivvix.com/360/KMI/IntelliDrive/ApplUI/Pages/CreativePages/CustomReportCreativeDetail.aspx?App=23&amp;ReportView=4&amp;Qid=1711279&amp;Row=10842&amp;Col=1","No Title Assigned - #15272214364")</f>
        <v/>
      </c>
      <c r="B10850" s="0" t="s">
        <v>14745</v>
      </c>
      <c r="E10850" s="0" t="inlineStr">
        <is>
          <t xml:space="preserve">Mazda</t>
        </is>
      </c>
      <c r="F10850" s="0" t="inlineStr">
        <is>
          <t xml:space="preserve">Mazda</t>
        </is>
      </c>
      <c r="G10850" s="0" t="s">
        <v>171</v>
      </c>
      <c r="H10850" s="5">
        <v>115.022100</v>
      </c>
    </row>
    <row r="10851" spans="1:9">
      <c r="A10851" s="22" t="str">
        <f>HYPERLINK("https://app.vivvix.com/360/KMI/IntelliDrive/ApplUI/Pages/CreativePages/CustomReportCreativeDetail.aspx?App=23&amp;ReportView=4&amp;Qid=1711279&amp;Row=10843&amp;Col=1","No Title Assigned - #15272214542")</f>
        <v/>
      </c>
      <c r="B10851" s="0" t="s">
        <v>14746</v>
      </c>
      <c r="E10851" s="0" t="inlineStr">
        <is>
          <t xml:space="preserve">Mazda</t>
        </is>
      </c>
      <c r="F10851" s="0" t="inlineStr">
        <is>
          <t xml:space="preserve">Mazda</t>
        </is>
      </c>
      <c r="G10851" s="0" t="s">
        <v>171</v>
      </c>
      <c r="H10851" s="5">
        <v>6.918800</v>
      </c>
    </row>
    <row r="10852" spans="1:9">
      <c r="A10852" s="22" t="str">
        <f>HYPERLINK("https://app.vivvix.com/360/KMI/IntelliDrive/ApplUI/Pages/CreativePages/CustomReportCreativeDetail.aspx?App=23&amp;ReportView=4&amp;Qid=1711279&amp;Row=10844&amp;Col=1","No Title Assigned - #15272214746")</f>
        <v/>
      </c>
      <c r="B10852" s="0" t="s">
        <v>14747</v>
      </c>
      <c r="E10852" s="0" t="inlineStr">
        <is>
          <t xml:space="preserve">Mazda</t>
        </is>
      </c>
      <c r="F10852" s="0" t="inlineStr">
        <is>
          <t xml:space="preserve">Mazda</t>
        </is>
      </c>
      <c r="G10852" s="0" t="s">
        <v>171</v>
      </c>
      <c r="H10852" s="5">
        <v>82.077200</v>
      </c>
    </row>
    <row r="10853" spans="1:9">
      <c r="A10853" s="22" t="str">
        <f>HYPERLINK("https://app.vivvix.com/360/KMI/IntelliDrive/ApplUI/Pages/CreativePages/CustomReportCreativeDetail.aspx?App=23&amp;ReportView=4&amp;Qid=1711279&amp;Row=10845&amp;Col=1","No Title Assigned - #15272215102")</f>
        <v/>
      </c>
      <c r="B10853" s="0" t="s">
        <v>14748</v>
      </c>
      <c r="E10853" s="0" t="inlineStr">
        <is>
          <t xml:space="preserve">Mazda</t>
        </is>
      </c>
      <c r="F10853" s="0" t="inlineStr">
        <is>
          <t xml:space="preserve">Mazda</t>
        </is>
      </c>
      <c r="G10853" s="0" t="s">
        <v>171</v>
      </c>
      <c r="H10853" s="5">
        <v>1.980600</v>
      </c>
    </row>
    <row r="10854" spans="1:9">
      <c r="A10854" s="22" t="str">
        <f>HYPERLINK("https://app.vivvix.com/360/KMI/IntelliDrive/ApplUI/Pages/CreativePages/CustomReportCreativeDetail.aspx?App=23&amp;ReportView=4&amp;Qid=1711279&amp;Row=10846&amp;Col=1","No Title Assigned - #15272215197")</f>
        <v/>
      </c>
      <c r="B10854" s="0" t="s">
        <v>14749</v>
      </c>
      <c r="E10854" s="0" t="inlineStr">
        <is>
          <t xml:space="preserve">Mazda</t>
        </is>
      </c>
      <c r="F10854" s="0" t="inlineStr">
        <is>
          <t xml:space="preserve">Mazda</t>
        </is>
      </c>
      <c r="G10854" s="0" t="s">
        <v>171</v>
      </c>
      <c r="H10854" s="5">
        <v>1284.125300</v>
      </c>
    </row>
    <row r="10855" spans="1:9">
      <c r="A10855" s="22" t="str">
        <f>HYPERLINK("https://app.vivvix.com/360/KMI/IntelliDrive/ApplUI/Pages/CreativePages/CustomReportCreativeDetail.aspx?App=23&amp;ReportView=4&amp;Qid=1711279&amp;Row=10847&amp;Col=1","No Title Assigned - #15272215510")</f>
        <v/>
      </c>
      <c r="B10855" s="0" t="s">
        <v>14750</v>
      </c>
      <c r="E10855" s="0" t="inlineStr">
        <is>
          <t xml:space="preserve">Mazda</t>
        </is>
      </c>
      <c r="F10855" s="0" t="inlineStr">
        <is>
          <t xml:space="preserve">Mazda</t>
        </is>
      </c>
      <c r="G10855" s="0" t="s">
        <v>171</v>
      </c>
      <c r="H10855" s="5">
        <v>14.435400</v>
      </c>
    </row>
    <row r="10856" spans="1:9">
      <c r="A10856" s="22" t="str">
        <f>HYPERLINK("https://app.vivvix.com/360/KMI/IntelliDrive/ApplUI/Pages/CreativePages/CustomReportCreativeDetail.aspx?App=23&amp;ReportView=4&amp;Qid=1711279&amp;Row=10848&amp;Col=1","No Title Assigned - #15272215570")</f>
        <v/>
      </c>
      <c r="B10856" s="0" t="s">
        <v>14751</v>
      </c>
      <c r="C10856" s="0" t="s">
        <v>14752</v>
      </c>
      <c r="D10856" s="0" t="s">
        <v>14752</v>
      </c>
      <c r="E10856" s="0" t="inlineStr">
        <is>
          <t xml:space="preserve">Mazda</t>
        </is>
      </c>
      <c r="F10856" s="0" t="inlineStr">
        <is>
          <t xml:space="preserve">Mazda</t>
        </is>
      </c>
      <c r="G10856" s="0" t="s">
        <v>171</v>
      </c>
      <c r="H10856" s="5">
        <v>75.296200</v>
      </c>
    </row>
    <row r="10857" spans="1:9">
      <c r="A10857" s="22" t="str">
        <f>HYPERLINK("https://app.vivvix.com/360/KMI/IntelliDrive/ApplUI/Pages/CreativePages/CustomReportCreativeDetail.aspx?App=23&amp;ReportView=4&amp;Qid=1711279&amp;Row=10849&amp;Col=1","No Title Assigned - #15272215570")</f>
        <v/>
      </c>
      <c r="B10857" s="0" t="s">
        <v>14751</v>
      </c>
      <c r="E10857" s="0" t="inlineStr">
        <is>
          <t xml:space="preserve">Mazda</t>
        </is>
      </c>
      <c r="F10857" s="0" t="inlineStr">
        <is>
          <t xml:space="preserve">Mazda</t>
        </is>
      </c>
      <c r="G10857" s="0" t="s">
        <v>171</v>
      </c>
      <c r="H10857" s="5">
        <v>3910.096700</v>
      </c>
    </row>
    <row r="10858" spans="1:9">
      <c r="A10858" s="22" t="str">
        <f>HYPERLINK("https://app.vivvix.com/360/KMI/IntelliDrive/ApplUI/Pages/CreativePages/CustomReportCreativeDetail.aspx?App=23&amp;ReportView=4&amp;Qid=1711279&amp;Row=10850&amp;Col=1","No Title Assigned - #15272215648")</f>
        <v/>
      </c>
      <c r="B10858" s="0" t="s">
        <v>14753</v>
      </c>
      <c r="E10858" s="0" t="inlineStr">
        <is>
          <t xml:space="preserve">Mazda</t>
        </is>
      </c>
      <c r="F10858" s="0" t="inlineStr">
        <is>
          <t xml:space="preserve">Mazda</t>
        </is>
      </c>
      <c r="G10858" s="0" t="s">
        <v>171</v>
      </c>
      <c r="H10858" s="5">
        <v>25.280800</v>
      </c>
    </row>
    <row r="10859" spans="1:9">
      <c r="A10859" s="22" t="str">
        <f>HYPERLINK("https://app.vivvix.com/360/KMI/IntelliDrive/ApplUI/Pages/CreativePages/CustomReportCreativeDetail.aspx?App=23&amp;ReportView=4&amp;Qid=1711279&amp;Row=10851&amp;Col=1","No Title Assigned - #15272215826")</f>
        <v/>
      </c>
      <c r="B10859" s="0" t="s">
        <v>14754</v>
      </c>
      <c r="C10859" s="0" t="s">
        <v>14755</v>
      </c>
      <c r="D10859" s="0" t="s">
        <v>14755</v>
      </c>
      <c r="E10859" s="0" t="inlineStr">
        <is>
          <t xml:space="preserve">Mazda</t>
        </is>
      </c>
      <c r="F10859" s="0" t="inlineStr">
        <is>
          <t xml:space="preserve">Mazda</t>
        </is>
      </c>
      <c r="G10859" s="0" t="s">
        <v>171</v>
      </c>
      <c r="H10859" s="5">
        <v>94.782900</v>
      </c>
    </row>
    <row r="10860" spans="1:9">
      <c r="A10860" s="22" t="str">
        <f>HYPERLINK("https://app.vivvix.com/360/KMI/IntelliDrive/ApplUI/Pages/CreativePages/CustomReportCreativeDetail.aspx?App=23&amp;ReportView=4&amp;Qid=1711279&amp;Row=10852&amp;Col=1","No Title Assigned - #15272216207")</f>
        <v/>
      </c>
      <c r="B10860" s="0" t="s">
        <v>14756</v>
      </c>
      <c r="C10860" s="0" t="s">
        <v>14757</v>
      </c>
      <c r="D10860" s="0" t="s">
        <v>14757</v>
      </c>
      <c r="E10860" s="0" t="inlineStr">
        <is>
          <t xml:space="preserve">Mazda</t>
        </is>
      </c>
      <c r="F10860" s="0" t="inlineStr">
        <is>
          <t xml:space="preserve">Mazda</t>
        </is>
      </c>
      <c r="G10860" s="0" t="s">
        <v>171</v>
      </c>
      <c r="H10860" s="5">
        <v>15.184400</v>
      </c>
    </row>
    <row r="10861" spans="1:9">
      <c r="A10861" s="22" t="str">
        <f>HYPERLINK("https://app.vivvix.com/360/KMI/IntelliDrive/ApplUI/Pages/CreativePages/CustomReportCreativeDetail.aspx?App=23&amp;ReportView=4&amp;Qid=1711279&amp;Row=10853&amp;Col=1","No Title Assigned - #15272216347")</f>
        <v/>
      </c>
      <c r="B10861" s="0" t="s">
        <v>14758</v>
      </c>
      <c r="E10861" s="0" t="inlineStr">
        <is>
          <t xml:space="preserve">Mazda</t>
        </is>
      </c>
      <c r="F10861" s="0" t="inlineStr">
        <is>
          <t xml:space="preserve">Mazda</t>
        </is>
      </c>
      <c r="G10861" s="0" t="s">
        <v>171</v>
      </c>
      <c r="H10861" s="5">
        <v>15.285300</v>
      </c>
    </row>
    <row r="10862" spans="1:9">
      <c r="A10862" s="22" t="str">
        <f>HYPERLINK("https://app.vivvix.com/360/KMI/IntelliDrive/ApplUI/Pages/CreativePages/CustomReportCreativeDetail.aspx?App=23&amp;ReportView=4&amp;Qid=1711279&amp;Row=10854&amp;Col=1","No Title Assigned - #15272216482")</f>
        <v/>
      </c>
      <c r="B10862" s="0" t="s">
        <v>14759</v>
      </c>
      <c r="E10862" s="0" t="inlineStr">
        <is>
          <t xml:space="preserve">Mazda</t>
        </is>
      </c>
      <c r="F10862" s="0" t="inlineStr">
        <is>
          <t xml:space="preserve">Mazda</t>
        </is>
      </c>
      <c r="G10862" s="0" t="s">
        <v>171</v>
      </c>
      <c r="H10862" s="5">
        <v>7.690800</v>
      </c>
    </row>
    <row r="10863" spans="1:9">
      <c r="A10863" s="22" t="str">
        <f>HYPERLINK("https://app.vivvix.com/360/KMI/IntelliDrive/ApplUI/Pages/CreativePages/CustomReportCreativeDetail.aspx?App=23&amp;ReportView=4&amp;Qid=1711279&amp;Row=10855&amp;Col=1","No Title Assigned - #15272217288")</f>
        <v/>
      </c>
      <c r="B10863" s="0" t="s">
        <v>14760</v>
      </c>
      <c r="E10863" s="0" t="inlineStr">
        <is>
          <t xml:space="preserve">Mazda</t>
        </is>
      </c>
      <c r="F10863" s="0" t="inlineStr">
        <is>
          <t xml:space="preserve">Mazda</t>
        </is>
      </c>
      <c r="G10863" s="0" t="s">
        <v>171</v>
      </c>
      <c r="H10863" s="5">
        <v>1.030500</v>
      </c>
    </row>
    <row r="10864" spans="1:9">
      <c r="A10864" s="22" t="str">
        <f>HYPERLINK("https://app.vivvix.com/360/KMI/IntelliDrive/ApplUI/Pages/CreativePages/CustomReportCreativeDetail.aspx?App=23&amp;ReportView=4&amp;Qid=1711279&amp;Row=10856&amp;Col=1","No Title Assigned - #15272217288")</f>
        <v/>
      </c>
      <c r="B10864" s="0" t="s">
        <v>14760</v>
      </c>
      <c r="E10864" s="0" t="inlineStr">
        <is>
          <t xml:space="preserve">Mazda</t>
        </is>
      </c>
      <c r="F10864" s="0" t="inlineStr">
        <is>
          <t xml:space="preserve">Mazda</t>
        </is>
      </c>
      <c r="G10864" s="0" t="s">
        <v>171</v>
      </c>
      <c r="H10864" s="5">
        <v>1073.023400</v>
      </c>
    </row>
    <row r="10865" spans="1:9">
      <c r="A10865" s="22" t="str">
        <f>HYPERLINK("https://app.vivvix.com/360/KMI/IntelliDrive/ApplUI/Pages/CreativePages/CustomReportCreativeDetail.aspx?App=23&amp;ReportView=4&amp;Qid=1711279&amp;Row=10857&amp;Col=1","No Title Assigned - #15272218734")</f>
        <v/>
      </c>
      <c r="B10865" s="0" t="s">
        <v>14761</v>
      </c>
      <c r="E10865" s="0" t="inlineStr">
        <is>
          <t xml:space="preserve">Mazda</t>
        </is>
      </c>
      <c r="F10865" s="0" t="inlineStr">
        <is>
          <t xml:space="preserve">Mazda</t>
        </is>
      </c>
      <c r="G10865" s="0" t="s">
        <v>171</v>
      </c>
      <c r="H10865" s="5">
        <v>22.893000</v>
      </c>
    </row>
    <row r="10866" spans="1:9">
      <c r="A10866" s="22" t="str">
        <f>HYPERLINK("https://app.vivvix.com/360/KMI/IntelliDrive/ApplUI/Pages/CreativePages/CustomReportCreativeDetail.aspx?App=23&amp;ReportView=4&amp;Qid=1711279&amp;Row=10858&amp;Col=1","No Title Assigned - #15272219016")</f>
        <v/>
      </c>
      <c r="B10866" s="0" t="s">
        <v>14762</v>
      </c>
      <c r="E10866" s="0" t="inlineStr">
        <is>
          <t xml:space="preserve">Mazda</t>
        </is>
      </c>
      <c r="F10866" s="0" t="inlineStr">
        <is>
          <t xml:space="preserve">Mazda</t>
        </is>
      </c>
      <c r="G10866" s="0" t="s">
        <v>171</v>
      </c>
      <c r="H10866" s="5">
        <v>216.536600</v>
      </c>
    </row>
    <row r="10867" spans="1:9">
      <c r="A10867" s="22" t="str">
        <f>HYPERLINK("https://app.vivvix.com/360/KMI/IntelliDrive/ApplUI/Pages/CreativePages/CustomReportCreativeDetail.aspx?App=23&amp;ReportView=4&amp;Qid=1711279&amp;Row=10859&amp;Col=1","No Title Assigned - #15272219719")</f>
        <v/>
      </c>
      <c r="B10867" s="0" t="s">
        <v>14763</v>
      </c>
      <c r="E10867" s="0" t="inlineStr">
        <is>
          <t xml:space="preserve">Mazda</t>
        </is>
      </c>
      <c r="F10867" s="0" t="inlineStr">
        <is>
          <t xml:space="preserve">Mazda</t>
        </is>
      </c>
      <c r="G10867" s="0" t="s">
        <v>171</v>
      </c>
      <c r="H10867" s="5">
        <v>180.155600</v>
      </c>
    </row>
    <row r="10868" spans="1:9">
      <c r="A10868" s="22" t="str">
        <f>HYPERLINK("https://app.vivvix.com/360/KMI/IntelliDrive/ApplUI/Pages/CreativePages/CustomReportCreativeDetail.aspx?App=23&amp;ReportView=4&amp;Qid=1711279&amp;Row=10860&amp;Col=1","No Title Assigned - #15272220032")</f>
        <v/>
      </c>
      <c r="B10868" s="0" t="s">
        <v>14764</v>
      </c>
      <c r="E10868" s="0" t="inlineStr">
        <is>
          <t xml:space="preserve">Mazda</t>
        </is>
      </c>
      <c r="F10868" s="0" t="inlineStr">
        <is>
          <t xml:space="preserve">Mazda</t>
        </is>
      </c>
      <c r="G10868" s="0" t="s">
        <v>171</v>
      </c>
      <c r="H10868" s="5">
        <v>2.620900</v>
      </c>
    </row>
    <row r="10869" spans="1:9">
      <c r="A10869" s="22" t="str">
        <f>HYPERLINK("https://app.vivvix.com/360/KMI/IntelliDrive/ApplUI/Pages/CreativePages/CustomReportCreativeDetail.aspx?App=23&amp;ReportView=4&amp;Qid=1711279&amp;Row=10861&amp;Col=1","No Title Assigned - #15272220044")</f>
        <v/>
      </c>
      <c r="B10869" s="0" t="s">
        <v>14765</v>
      </c>
      <c r="E10869" s="0" t="inlineStr">
        <is>
          <t xml:space="preserve">Mazda</t>
        </is>
      </c>
      <c r="F10869" s="0" t="inlineStr">
        <is>
          <t xml:space="preserve">Mazda</t>
        </is>
      </c>
      <c r="G10869" s="0" t="s">
        <v>171</v>
      </c>
      <c r="H10869" s="5">
        <v>14.309900</v>
      </c>
    </row>
    <row r="10870" spans="1:9">
      <c r="A10870" s="22" t="str">
        <f>HYPERLINK("https://app.vivvix.com/360/KMI/IntelliDrive/ApplUI/Pages/CreativePages/CustomReportCreativeDetail.aspx?App=23&amp;ReportView=4&amp;Qid=1711279&amp;Row=10862&amp;Col=1","No Title Assigned - #15272220135")</f>
        <v/>
      </c>
      <c r="B10870" s="0" t="s">
        <v>14766</v>
      </c>
      <c r="E10870" s="0" t="inlineStr">
        <is>
          <t xml:space="preserve">Mazda</t>
        </is>
      </c>
      <c r="F10870" s="0" t="inlineStr">
        <is>
          <t xml:space="preserve">Mazda</t>
        </is>
      </c>
      <c r="G10870" s="0" t="s">
        <v>171</v>
      </c>
      <c r="H10870" s="5">
        <v>0.324400</v>
      </c>
    </row>
    <row r="10871" spans="1:9">
      <c r="A10871" s="22" t="str">
        <f>HYPERLINK("https://app.vivvix.com/360/KMI/IntelliDrive/ApplUI/Pages/CreativePages/CustomReportCreativeDetail.aspx?App=23&amp;ReportView=4&amp;Qid=1711279&amp;Row=10863&amp;Col=1","No Title Assigned - #15272220328")</f>
        <v/>
      </c>
      <c r="B10871" s="0" t="s">
        <v>14767</v>
      </c>
      <c r="E10871" s="0" t="inlineStr">
        <is>
          <t xml:space="preserve">Mazda</t>
        </is>
      </c>
      <c r="F10871" s="0" t="inlineStr">
        <is>
          <t xml:space="preserve">Mazda</t>
        </is>
      </c>
      <c r="G10871" s="0" t="s">
        <v>171</v>
      </c>
      <c r="H10871" s="5">
        <v>19.919200</v>
      </c>
    </row>
    <row r="10872" spans="1:9">
      <c r="A10872" s="22" t="str">
        <f>HYPERLINK("https://app.vivvix.com/360/KMI/IntelliDrive/ApplUI/Pages/CreativePages/CustomReportCreativeDetail.aspx?App=23&amp;ReportView=4&amp;Qid=1711279&amp;Row=10864&amp;Col=1","No Title Assigned - #15272220381")</f>
        <v/>
      </c>
      <c r="B10872" s="0" t="s">
        <v>14768</v>
      </c>
      <c r="E10872" s="0" t="inlineStr">
        <is>
          <t xml:space="preserve">Mazda</t>
        </is>
      </c>
      <c r="F10872" s="0" t="inlineStr">
        <is>
          <t xml:space="preserve">Mazda</t>
        </is>
      </c>
      <c r="G10872" s="0" t="s">
        <v>171</v>
      </c>
      <c r="H10872" s="5">
        <v>1306.303900</v>
      </c>
    </row>
    <row r="10873" spans="1:9">
      <c r="A10873" s="22" t="str">
        <f>HYPERLINK("https://app.vivvix.com/360/KMI/IntelliDrive/ApplUI/Pages/CreativePages/CustomReportCreativeDetail.aspx?App=23&amp;ReportView=4&amp;Qid=1711279&amp;Row=10865&amp;Col=1","No Title Assigned - #15272221501")</f>
        <v/>
      </c>
      <c r="B10873" s="0" t="s">
        <v>14769</v>
      </c>
      <c r="E10873" s="0" t="inlineStr">
        <is>
          <t xml:space="preserve">Mazda</t>
        </is>
      </c>
      <c r="F10873" s="0" t="inlineStr">
        <is>
          <t xml:space="preserve">Mazda</t>
        </is>
      </c>
      <c r="G10873" s="0" t="s">
        <v>171</v>
      </c>
      <c r="H10873" s="5">
        <v>19.276600</v>
      </c>
    </row>
    <row r="10874" spans="1:9">
      <c r="A10874" s="22" t="str">
        <f>HYPERLINK("https://app.vivvix.com/360/KMI/IntelliDrive/ApplUI/Pages/CreativePages/CustomReportCreativeDetail.aspx?App=23&amp;ReportView=4&amp;Qid=1711279&amp;Row=10866&amp;Col=1","No Title Assigned - #15272221794")</f>
        <v/>
      </c>
      <c r="B10874" s="0" t="s">
        <v>14770</v>
      </c>
      <c r="E10874" s="0" t="inlineStr">
        <is>
          <t xml:space="preserve">Mazda</t>
        </is>
      </c>
      <c r="F10874" s="0" t="inlineStr">
        <is>
          <t xml:space="preserve">Mazda</t>
        </is>
      </c>
      <c r="G10874" s="0" t="s">
        <v>171</v>
      </c>
      <c r="H10874" s="5">
        <v>21.290100</v>
      </c>
    </row>
    <row r="10875" spans="1:9">
      <c r="A10875" s="22" t="str">
        <f>HYPERLINK("https://app.vivvix.com/360/KMI/IntelliDrive/ApplUI/Pages/CreativePages/CustomReportCreativeDetail.aspx?App=23&amp;ReportView=4&amp;Qid=1711279&amp;Row=10867&amp;Col=1","No Title Assigned - #15272222214")</f>
        <v/>
      </c>
      <c r="B10875" s="0" t="s">
        <v>14771</v>
      </c>
      <c r="E10875" s="0" t="inlineStr">
        <is>
          <t xml:space="preserve">Mazda</t>
        </is>
      </c>
      <c r="F10875" s="0" t="inlineStr">
        <is>
          <t xml:space="preserve">Mazda</t>
        </is>
      </c>
      <c r="G10875" s="0" t="s">
        <v>171</v>
      </c>
      <c r="H10875" s="5">
        <v>536.575000</v>
      </c>
    </row>
    <row r="10876" spans="1:9">
      <c r="A10876" s="22" t="str">
        <f>HYPERLINK("https://app.vivvix.com/360/KMI/IntelliDrive/ApplUI/Pages/CreativePages/CustomReportCreativeDetail.aspx?App=23&amp;ReportView=4&amp;Qid=1711279&amp;Row=10868&amp;Col=1","No Title Assigned - #15272223248")</f>
        <v/>
      </c>
      <c r="B10876" s="0" t="s">
        <v>14772</v>
      </c>
      <c r="E10876" s="0" t="inlineStr">
        <is>
          <t xml:space="preserve">Mazda</t>
        </is>
      </c>
      <c r="F10876" s="0" t="inlineStr">
        <is>
          <t xml:space="preserve">Mazda</t>
        </is>
      </c>
      <c r="G10876" s="0" t="s">
        <v>171</v>
      </c>
      <c r="H10876" s="5">
        <v>0.744400</v>
      </c>
    </row>
    <row r="10877" spans="1:9">
      <c r="A10877" s="22" t="str">
        <f>HYPERLINK("https://app.vivvix.com/360/KMI/IntelliDrive/ApplUI/Pages/CreativePages/CustomReportCreativeDetail.aspx?App=23&amp;ReportView=4&amp;Qid=1711279&amp;Row=10869&amp;Col=1","No Title Assigned - #15272223389")</f>
        <v/>
      </c>
      <c r="B10877" s="0" t="s">
        <v>14773</v>
      </c>
      <c r="C10877" s="0" t="s">
        <v>14774</v>
      </c>
      <c r="D10877" s="0" t="s">
        <v>14774</v>
      </c>
      <c r="E10877" s="0" t="inlineStr">
        <is>
          <t xml:space="preserve">Mazda</t>
        </is>
      </c>
      <c r="F10877" s="0" t="inlineStr">
        <is>
          <t xml:space="preserve">Mazda</t>
        </is>
      </c>
      <c r="G10877" s="0" t="s">
        <v>171</v>
      </c>
      <c r="H10877" s="5">
        <v>46.208800</v>
      </c>
    </row>
    <row r="10878" spans="1:9">
      <c r="A10878" s="22" t="str">
        <f>HYPERLINK("https://app.vivvix.com/360/KMI/IntelliDrive/ApplUI/Pages/CreativePages/CustomReportCreativeDetail.aspx?App=23&amp;ReportView=4&amp;Qid=1711279&amp;Row=10870&amp;Col=1","No Title Assigned - #15272223389")</f>
        <v/>
      </c>
      <c r="B10878" s="0" t="s">
        <v>14773</v>
      </c>
      <c r="E10878" s="0" t="inlineStr">
        <is>
          <t xml:space="preserve">Mazda</t>
        </is>
      </c>
      <c r="F10878" s="0" t="inlineStr">
        <is>
          <t xml:space="preserve">Mazda</t>
        </is>
      </c>
      <c r="G10878" s="0" t="s">
        <v>171</v>
      </c>
      <c r="H10878" s="5">
        <v>2156.445300</v>
      </c>
    </row>
    <row r="10879" spans="1:9">
      <c r="A10879" s="22" t="str">
        <f>HYPERLINK("https://app.vivvix.com/360/KMI/IntelliDrive/ApplUI/Pages/CreativePages/CustomReportCreativeDetail.aspx?App=23&amp;ReportView=4&amp;Qid=1711279&amp;Row=10871&amp;Col=1","No Title Assigned - #15272223490")</f>
        <v/>
      </c>
      <c r="B10879" s="0" t="s">
        <v>14775</v>
      </c>
      <c r="E10879" s="0" t="inlineStr">
        <is>
          <t xml:space="preserve">Mazda</t>
        </is>
      </c>
      <c r="F10879" s="0" t="inlineStr">
        <is>
          <t xml:space="preserve">Mazda</t>
        </is>
      </c>
      <c r="G10879" s="0" t="s">
        <v>171</v>
      </c>
      <c r="H10879" s="5">
        <v>29.100400</v>
      </c>
    </row>
    <row r="10880" spans="1:9">
      <c r="A10880" s="22" t="str">
        <f>HYPERLINK("https://app.vivvix.com/360/KMI/IntelliDrive/ApplUI/Pages/CreativePages/CustomReportCreativeDetail.aspx?App=23&amp;ReportView=4&amp;Qid=1711279&amp;Row=10872&amp;Col=1","No Title Assigned - #15272223591")</f>
        <v/>
      </c>
      <c r="B10880" s="0" t="s">
        <v>14776</v>
      </c>
      <c r="E10880" s="0" t="inlineStr">
        <is>
          <t xml:space="preserve">Mazda</t>
        </is>
      </c>
      <c r="F10880" s="0" t="inlineStr">
        <is>
          <t xml:space="preserve">Mazda</t>
        </is>
      </c>
      <c r="G10880" s="0" t="s">
        <v>171</v>
      </c>
      <c r="H10880" s="5">
        <v>49.626200</v>
      </c>
    </row>
    <row r="10881" spans="1:9">
      <c r="A10881" s="22" t="str">
        <f>HYPERLINK("https://app.vivvix.com/360/KMI/IntelliDrive/ApplUI/Pages/CreativePages/CustomReportCreativeDetail.aspx?App=23&amp;ReportView=4&amp;Qid=1711279&amp;Row=10873&amp;Col=1","No Title Assigned - #15272223591")</f>
        <v/>
      </c>
      <c r="B10881" s="0" t="s">
        <v>14776</v>
      </c>
      <c r="E10881" s="0" t="inlineStr">
        <is>
          <t xml:space="preserve">Mazda</t>
        </is>
      </c>
      <c r="F10881" s="0" t="inlineStr">
        <is>
          <t xml:space="preserve">Mazda</t>
        </is>
      </c>
      <c r="G10881" s="0" t="s">
        <v>171</v>
      </c>
      <c r="H10881" s="5">
        <v>402.992500</v>
      </c>
    </row>
    <row r="10882" spans="1:9">
      <c r="A10882" s="22" t="str">
        <f>HYPERLINK("https://app.vivvix.com/360/KMI/IntelliDrive/ApplUI/Pages/CreativePages/CustomReportCreativeDetail.aspx?App=23&amp;ReportView=4&amp;Qid=1711279&amp;Row=10874&amp;Col=1","No Title Assigned - #15272223624")</f>
        <v/>
      </c>
      <c r="B10882" s="0" t="s">
        <v>14777</v>
      </c>
      <c r="E10882" s="0" t="inlineStr">
        <is>
          <t xml:space="preserve">Mazda</t>
        </is>
      </c>
      <c r="F10882" s="0" t="inlineStr">
        <is>
          <t xml:space="preserve">Mazda</t>
        </is>
      </c>
      <c r="G10882" s="0" t="s">
        <v>171</v>
      </c>
      <c r="H10882" s="5">
        <v>69.152100</v>
      </c>
    </row>
    <row r="10883" spans="1:9">
      <c r="A10883" s="22" t="str">
        <f>HYPERLINK("https://app.vivvix.com/360/KMI/IntelliDrive/ApplUI/Pages/CreativePages/CustomReportCreativeDetail.aspx?App=23&amp;ReportView=4&amp;Qid=1711279&amp;Row=10875&amp;Col=1","No Title Assigned - #15272223793")</f>
        <v/>
      </c>
      <c r="B10883" s="0" t="s">
        <v>14778</v>
      </c>
      <c r="C10883" s="0" t="s">
        <v>14779</v>
      </c>
      <c r="D10883" s="0" t="s">
        <v>14779</v>
      </c>
      <c r="E10883" s="0" t="inlineStr">
        <is>
          <t xml:space="preserve">Mazda</t>
        </is>
      </c>
      <c r="F10883" s="0" t="inlineStr">
        <is>
          <t xml:space="preserve">Mazda</t>
        </is>
      </c>
      <c r="G10883" s="0" t="s">
        <v>171</v>
      </c>
      <c r="H10883" s="5">
        <v>144.281100</v>
      </c>
    </row>
    <row r="10884" spans="1:9">
      <c r="A10884" s="22" t="str">
        <f>HYPERLINK("https://app.vivvix.com/360/KMI/IntelliDrive/ApplUI/Pages/CreativePages/CustomReportCreativeDetail.aspx?App=23&amp;ReportView=4&amp;Qid=1711279&amp;Row=10876&amp;Col=1","No Title Assigned - #15272223869")</f>
        <v/>
      </c>
      <c r="B10884" s="0" t="s">
        <v>14780</v>
      </c>
      <c r="E10884" s="0" t="inlineStr">
        <is>
          <t xml:space="preserve">Mazda</t>
        </is>
      </c>
      <c r="F10884" s="0" t="inlineStr">
        <is>
          <t xml:space="preserve">Mazda</t>
        </is>
      </c>
      <c r="G10884" s="0" t="s">
        <v>171</v>
      </c>
      <c r="H10884" s="5">
        <v>155.148700</v>
      </c>
    </row>
    <row r="10885" spans="1:9">
      <c r="A10885" s="22" t="str">
        <f>HYPERLINK("https://app.vivvix.com/360/KMI/IntelliDrive/ApplUI/Pages/CreativePages/CustomReportCreativeDetail.aspx?App=23&amp;ReportView=4&amp;Qid=1711279&amp;Row=10877&amp;Col=1","No Title Assigned - #15272224322")</f>
        <v/>
      </c>
      <c r="B10885" s="0" t="s">
        <v>14781</v>
      </c>
      <c r="E10885" s="0" t="inlineStr">
        <is>
          <t xml:space="preserve">Mazda</t>
        </is>
      </c>
      <c r="F10885" s="0" t="inlineStr">
        <is>
          <t xml:space="preserve">Mazda</t>
        </is>
      </c>
      <c r="G10885" s="0" t="s">
        <v>171</v>
      </c>
      <c r="H10885" s="5">
        <v>27.579800</v>
      </c>
    </row>
    <row r="10886" spans="1:9">
      <c r="A10886" s="22" t="str">
        <f>HYPERLINK("https://app.vivvix.com/360/KMI/IntelliDrive/ApplUI/Pages/CreativePages/CustomReportCreativeDetail.aspx?App=23&amp;ReportView=4&amp;Qid=1711279&amp;Row=10878&amp;Col=1","No Title Assigned - #15272224624")</f>
        <v/>
      </c>
      <c r="B10886" s="0" t="s">
        <v>14782</v>
      </c>
      <c r="E10886" s="0" t="inlineStr">
        <is>
          <t xml:space="preserve">Mazda</t>
        </is>
      </c>
      <c r="F10886" s="0" t="inlineStr">
        <is>
          <t xml:space="preserve">Mazda</t>
        </is>
      </c>
      <c r="G10886" s="0" t="s">
        <v>171</v>
      </c>
      <c r="H10886" s="5">
        <v>97.481300</v>
      </c>
    </row>
    <row r="10887" spans="1:9">
      <c r="A10887" s="22" t="str">
        <f>HYPERLINK("https://app.vivvix.com/360/KMI/IntelliDrive/ApplUI/Pages/CreativePages/CustomReportCreativeDetail.aspx?App=23&amp;ReportView=4&amp;Qid=1711279&amp;Row=10879&amp;Col=1","No Title Assigned - #15272224626")</f>
        <v/>
      </c>
      <c r="B10887" s="0" t="s">
        <v>14783</v>
      </c>
      <c r="E10887" s="0" t="inlineStr">
        <is>
          <t xml:space="preserve">Mazda</t>
        </is>
      </c>
      <c r="F10887" s="0" t="inlineStr">
        <is>
          <t xml:space="preserve">Mazda</t>
        </is>
      </c>
      <c r="G10887" s="0" t="s">
        <v>171</v>
      </c>
      <c r="H10887" s="5">
        <v>3586.569000</v>
      </c>
    </row>
    <row r="10888" spans="1:9">
      <c r="A10888" s="22" t="str">
        <f>HYPERLINK("https://app.vivvix.com/360/KMI/IntelliDrive/ApplUI/Pages/CreativePages/CustomReportCreativeDetail.aspx?App=23&amp;ReportView=4&amp;Qid=1711279&amp;Row=10880&amp;Col=1","No Title Assigned - #15272225281")</f>
        <v/>
      </c>
      <c r="B10888" s="0" t="s">
        <v>14784</v>
      </c>
      <c r="E10888" s="0" t="inlineStr">
        <is>
          <t xml:space="preserve">Mazda</t>
        </is>
      </c>
      <c r="F10888" s="0" t="inlineStr">
        <is>
          <t xml:space="preserve">Mazda</t>
        </is>
      </c>
      <c r="G10888" s="0" t="s">
        <v>171</v>
      </c>
      <c r="H10888" s="5">
        <v>3.538800</v>
      </c>
    </row>
    <row r="10889" spans="1:9">
      <c r="A10889" s="22" t="str">
        <f>HYPERLINK("https://app.vivvix.com/360/KMI/IntelliDrive/ApplUI/Pages/CreativePages/CustomReportCreativeDetail.aspx?App=23&amp;ReportView=4&amp;Qid=1711279&amp;Row=10881&amp;Col=1","No Title Assigned - #15272228770")</f>
        <v/>
      </c>
      <c r="B10889" s="0" t="s">
        <v>14785</v>
      </c>
      <c r="E10889" s="0" t="inlineStr">
        <is>
          <t xml:space="preserve">Mazda</t>
        </is>
      </c>
      <c r="F10889" s="0" t="s">
        <v>21</v>
      </c>
      <c r="G10889" s="0" t="s">
        <v>22</v>
      </c>
      <c r="H10889" s="5">
        <v>87.764200</v>
      </c>
    </row>
    <row r="10890" spans="1:9">
      <c r="A10890" s="22" t="str">
        <f>HYPERLINK("https://app.vivvix.com/360/KMI/IntelliDrive/ApplUI/Pages/CreativePages/CustomReportCreativeDetail.aspx?App=23&amp;ReportView=4&amp;Qid=1711279&amp;Row=10882&amp;Col=1","No Title Assigned - #15272230032")</f>
        <v/>
      </c>
      <c r="B10890" s="0" t="s">
        <v>14786</v>
      </c>
      <c r="E10890" s="0" t="inlineStr">
        <is>
          <t xml:space="preserve">Mazda</t>
        </is>
      </c>
      <c r="F10890" s="0" t="inlineStr">
        <is>
          <t xml:space="preserve">Mazda</t>
        </is>
      </c>
      <c r="G10890" s="0" t="s">
        <v>171</v>
      </c>
      <c r="H10890" s="5">
        <v>330.502000</v>
      </c>
    </row>
    <row r="10891" spans="1:9">
      <c r="A10891" s="22" t="str">
        <f>HYPERLINK("https://app.vivvix.com/360/KMI/IntelliDrive/ApplUI/Pages/CreativePages/CustomReportCreativeDetail.aspx?App=23&amp;ReportView=4&amp;Qid=1711279&amp;Row=10883&amp;Col=1","No Title Assigned - #15272232225")</f>
        <v/>
      </c>
      <c r="B10891" s="0" t="s">
        <v>14787</v>
      </c>
      <c r="E10891" s="0" t="inlineStr">
        <is>
          <t xml:space="preserve">Mazda</t>
        </is>
      </c>
      <c r="F10891" s="0" t="inlineStr">
        <is>
          <t xml:space="preserve">Mazda</t>
        </is>
      </c>
      <c r="G10891" s="0" t="s">
        <v>171</v>
      </c>
      <c r="H10891" s="5">
        <v>1.130000</v>
      </c>
    </row>
    <row r="10892" spans="1:9">
      <c r="A10892" s="22" t="str">
        <f>HYPERLINK("https://app.vivvix.com/360/KMI/IntelliDrive/ApplUI/Pages/CreativePages/CustomReportCreativeDetail.aspx?App=23&amp;ReportView=4&amp;Qid=1711279&amp;Row=10884&amp;Col=1","No Title Assigned - #15272232866")</f>
        <v/>
      </c>
      <c r="B10892" s="0" t="s">
        <v>14788</v>
      </c>
      <c r="E10892" s="0" t="inlineStr">
        <is>
          <t xml:space="preserve">Mazda</t>
        </is>
      </c>
      <c r="F10892" s="0" t="inlineStr">
        <is>
          <t xml:space="preserve">Mazda</t>
        </is>
      </c>
      <c r="G10892" s="0" t="s">
        <v>171</v>
      </c>
      <c r="H10892" s="5">
        <v>80.692800</v>
      </c>
    </row>
    <row r="10893" spans="1:9">
      <c r="A10893" s="22" t="str">
        <f>HYPERLINK("https://app.vivvix.com/360/KMI/IntelliDrive/ApplUI/Pages/CreativePages/CustomReportCreativeDetail.aspx?App=23&amp;ReportView=4&amp;Qid=1711279&amp;Row=10885&amp;Col=1","No Title Assigned - #15272232880")</f>
        <v/>
      </c>
      <c r="B10893" s="0" t="s">
        <v>14789</v>
      </c>
      <c r="E10893" s="0" t="inlineStr">
        <is>
          <t xml:space="preserve">Mazda</t>
        </is>
      </c>
      <c r="F10893" s="0" t="inlineStr">
        <is>
          <t xml:space="preserve">Mazda</t>
        </is>
      </c>
      <c r="G10893" s="0" t="s">
        <v>171</v>
      </c>
      <c r="H10893" s="5">
        <v>34.034300</v>
      </c>
    </row>
    <row r="10894" spans="1:9">
      <c r="A10894" s="22" t="str">
        <f>HYPERLINK("https://app.vivvix.com/360/KMI/IntelliDrive/ApplUI/Pages/CreativePages/CustomReportCreativeDetail.aspx?App=23&amp;ReportView=4&amp;Qid=1711279&amp;Row=10886&amp;Col=1","No Title Assigned - #15272234600")</f>
        <v/>
      </c>
      <c r="B10894" s="0" t="s">
        <v>14790</v>
      </c>
      <c r="E10894" s="0" t="inlineStr">
        <is>
          <t xml:space="preserve">Mazda</t>
        </is>
      </c>
      <c r="F10894" s="0" t="inlineStr">
        <is>
          <t xml:space="preserve">Mazda</t>
        </is>
      </c>
      <c r="G10894" s="0" t="s">
        <v>171</v>
      </c>
      <c r="H10894" s="5">
        <v>347.563000</v>
      </c>
    </row>
    <row r="10895" spans="1:9">
      <c r="A10895" s="22" t="str">
        <f>HYPERLINK("https://app.vivvix.com/360/KMI/IntelliDrive/ApplUI/Pages/CreativePages/CustomReportCreativeDetail.aspx?App=23&amp;ReportView=4&amp;Qid=1711279&amp;Row=10887&amp;Col=1","No Title Assigned - #15272234697")</f>
        <v/>
      </c>
      <c r="B10895" s="0" t="s">
        <v>14791</v>
      </c>
      <c r="E10895" s="0" t="inlineStr">
        <is>
          <t xml:space="preserve">Mazda</t>
        </is>
      </c>
      <c r="F10895" s="0" t="inlineStr">
        <is>
          <t xml:space="preserve">Mazda</t>
        </is>
      </c>
      <c r="G10895" s="0" t="s">
        <v>171</v>
      </c>
      <c r="H10895" s="5">
        <v>8473.453200</v>
      </c>
    </row>
    <row r="10896" spans="1:9">
      <c r="A10896" s="22" t="str">
        <f>HYPERLINK("https://app.vivvix.com/360/KMI/IntelliDrive/ApplUI/Pages/CreativePages/CustomReportCreativeDetail.aspx?App=23&amp;ReportView=4&amp;Qid=1711279&amp;Row=10888&amp;Col=1","No Title Assigned - #15272234802")</f>
        <v/>
      </c>
      <c r="B10896" s="0" t="s">
        <v>14792</v>
      </c>
      <c r="E10896" s="0" t="inlineStr">
        <is>
          <t xml:space="preserve">Mazda</t>
        </is>
      </c>
      <c r="F10896" s="0" t="inlineStr">
        <is>
          <t xml:space="preserve">Mazda</t>
        </is>
      </c>
      <c r="G10896" s="0" t="s">
        <v>171</v>
      </c>
      <c r="H10896" s="5">
        <v>4.587900</v>
      </c>
    </row>
    <row r="10897" spans="1:9">
      <c r="A10897" s="22" t="str">
        <f>HYPERLINK("https://app.vivvix.com/360/KMI/IntelliDrive/ApplUI/Pages/CreativePages/CustomReportCreativeDetail.aspx?App=23&amp;ReportView=4&amp;Qid=1711279&amp;Row=10889&amp;Col=1","No Title Assigned - #15272235156")</f>
        <v/>
      </c>
      <c r="B10897" s="0" t="s">
        <v>14793</v>
      </c>
      <c r="E10897" s="0" t="inlineStr">
        <is>
          <t xml:space="preserve">Mazda</t>
        </is>
      </c>
      <c r="F10897" s="0" t="inlineStr">
        <is>
          <t xml:space="preserve">Mazda</t>
        </is>
      </c>
      <c r="G10897" s="0" t="s">
        <v>171</v>
      </c>
      <c r="H10897" s="5">
        <v>0.744400</v>
      </c>
    </row>
    <row r="10898" spans="1:9">
      <c r="A10898" s="22" t="str">
        <f>HYPERLINK("https://app.vivvix.com/360/KMI/IntelliDrive/ApplUI/Pages/CreativePages/CustomReportCreativeDetail.aspx?App=23&amp;ReportView=4&amp;Qid=1711279&amp;Row=10890&amp;Col=1","No Title Assigned - #15272235468")</f>
        <v/>
      </c>
      <c r="B10898" s="0" t="s">
        <v>14794</v>
      </c>
      <c r="E10898" s="0" t="inlineStr">
        <is>
          <t xml:space="preserve">Mazda</t>
        </is>
      </c>
      <c r="F10898" s="0" t="inlineStr">
        <is>
          <t xml:space="preserve">Mazda</t>
        </is>
      </c>
      <c r="G10898" s="0" t="s">
        <v>171</v>
      </c>
      <c r="H10898" s="5">
        <v>7.217700</v>
      </c>
    </row>
    <row r="10899" spans="1:9">
      <c r="A10899" s="22" t="str">
        <f>HYPERLINK("https://app.vivvix.com/360/KMI/IntelliDrive/ApplUI/Pages/CreativePages/CustomReportCreativeDetail.aspx?App=23&amp;ReportView=4&amp;Qid=1711279&amp;Row=10891&amp;Col=1","No Title Assigned - #15272237315")</f>
        <v/>
      </c>
      <c r="B10899" s="0" t="s">
        <v>14795</v>
      </c>
      <c r="E10899" s="0" t="inlineStr">
        <is>
          <t xml:space="preserve">Mazda</t>
        </is>
      </c>
      <c r="F10899" s="0" t="inlineStr">
        <is>
          <t xml:space="preserve">Mazda</t>
        </is>
      </c>
      <c r="G10899" s="0" t="s">
        <v>171</v>
      </c>
      <c r="H10899" s="5">
        <v>240.488300</v>
      </c>
    </row>
    <row r="10900" spans="1:9">
      <c r="A10900" s="22" t="str">
        <f>HYPERLINK("https://app.vivvix.com/360/KMI/IntelliDrive/ApplUI/Pages/CreativePages/CustomReportCreativeDetail.aspx?App=23&amp;ReportView=4&amp;Qid=1711279&amp;Row=10892&amp;Col=1","No Title Assigned - #15272237565")</f>
        <v/>
      </c>
      <c r="B10900" s="0" t="s">
        <v>14796</v>
      </c>
      <c r="E10900" s="0" t="inlineStr">
        <is>
          <t xml:space="preserve">Mazda</t>
        </is>
      </c>
      <c r="F10900" s="0" t="inlineStr">
        <is>
          <t xml:space="preserve">Mazda</t>
        </is>
      </c>
      <c r="G10900" s="0" t="s">
        <v>171</v>
      </c>
      <c r="H10900" s="5">
        <v>22.082700</v>
      </c>
    </row>
    <row r="10901" spans="1:9">
      <c r="A10901" s="22" t="str">
        <f>HYPERLINK("https://app.vivvix.com/360/KMI/IntelliDrive/ApplUI/Pages/CreativePages/CustomReportCreativeDetail.aspx?App=23&amp;ReportView=4&amp;Qid=1711279&amp;Row=10893&amp;Col=1","No Title Assigned - #15272238668")</f>
        <v/>
      </c>
      <c r="B10901" s="0" t="s">
        <v>14797</v>
      </c>
      <c r="E10901" s="0" t="inlineStr">
        <is>
          <t xml:space="preserve">Mazda</t>
        </is>
      </c>
      <c r="F10901" s="0" t="inlineStr">
        <is>
          <t xml:space="preserve">Mazda</t>
        </is>
      </c>
      <c r="G10901" s="0" t="s">
        <v>171</v>
      </c>
      <c r="H10901" s="5">
        <v>1.001800</v>
      </c>
    </row>
    <row r="10902" spans="1:9">
      <c r="A10902" s="22" t="str">
        <f>HYPERLINK("https://app.vivvix.com/360/KMI/IntelliDrive/ApplUI/Pages/CreativePages/CustomReportCreativeDetail.aspx?App=23&amp;ReportView=4&amp;Qid=1711279&amp;Row=10894&amp;Col=1","No Title Assigned - #15272247903")</f>
        <v/>
      </c>
      <c r="B10902" s="0" t="s">
        <v>14798</v>
      </c>
      <c r="E10902" s="0" t="inlineStr">
        <is>
          <t xml:space="preserve">Mazda</t>
        </is>
      </c>
      <c r="F10902" s="0" t="inlineStr">
        <is>
          <t xml:space="preserve">Mazda</t>
        </is>
      </c>
      <c r="G10902" s="0" t="s">
        <v>171</v>
      </c>
      <c r="H10902" s="5">
        <v>512.319600</v>
      </c>
    </row>
    <row r="10903" spans="1:9">
      <c r="A10903" s="22" t="str">
        <f>HYPERLINK("https://app.vivvix.com/360/KMI/IntelliDrive/ApplUI/Pages/CreativePages/CustomReportCreativeDetail.aspx?App=23&amp;ReportView=4&amp;Qid=1711279&amp;Row=10895&amp;Col=1","No Title Assigned - #15272248219")</f>
        <v/>
      </c>
      <c r="B10903" s="0" t="s">
        <v>14799</v>
      </c>
      <c r="E10903" s="0" t="inlineStr">
        <is>
          <t xml:space="preserve">Mazda</t>
        </is>
      </c>
      <c r="F10903" s="0" t="inlineStr">
        <is>
          <t xml:space="preserve">Mazda</t>
        </is>
      </c>
      <c r="G10903" s="0" t="s">
        <v>171</v>
      </c>
      <c r="H10903" s="5">
        <v>1076.685400</v>
      </c>
    </row>
    <row r="10904" spans="1:9">
      <c r="A10904" s="22" t="str">
        <f>HYPERLINK("https://app.vivvix.com/360/KMI/IntelliDrive/ApplUI/Pages/CreativePages/CustomReportCreativeDetail.aspx?App=23&amp;ReportView=4&amp;Qid=1711279&amp;Row=10896&amp;Col=1","No Title Assigned - #15272248219")</f>
        <v/>
      </c>
      <c r="B10904" s="0" t="s">
        <v>14799</v>
      </c>
      <c r="E10904" s="0" t="inlineStr">
        <is>
          <t xml:space="preserve">Mazda</t>
        </is>
      </c>
      <c r="F10904" s="0" t="inlineStr">
        <is>
          <t xml:space="preserve">Mazda</t>
        </is>
      </c>
      <c r="G10904" s="0" t="s">
        <v>171</v>
      </c>
      <c r="H10904" s="5">
        <v>10868.547000</v>
      </c>
    </row>
    <row r="10905" spans="1:9">
      <c r="A10905" s="22" t="str">
        <f>HYPERLINK("https://app.vivvix.com/360/KMI/IntelliDrive/ApplUI/Pages/CreativePages/CustomReportCreativeDetail.aspx?App=23&amp;ReportView=4&amp;Qid=1711279&amp;Row=10897&amp;Col=1","No Title Assigned - #15272249588")</f>
        <v/>
      </c>
      <c r="B10905" s="0" t="s">
        <v>14800</v>
      </c>
      <c r="E10905" s="0" t="inlineStr">
        <is>
          <t xml:space="preserve">Mazda</t>
        </is>
      </c>
      <c r="F10905" s="0" t="s">
        <v>13</v>
      </c>
      <c r="G10905" s="0" t="s">
        <v>49</v>
      </c>
      <c r="H10905" s="5">
        <v>88.944900</v>
      </c>
    </row>
    <row r="10906" spans="1:9">
      <c r="A10906" s="22" t="str">
        <f>HYPERLINK("https://app.vivvix.com/360/KMI/IntelliDrive/ApplUI/Pages/CreativePages/CustomReportCreativeDetail.aspx?App=23&amp;ReportView=4&amp;Qid=1711279&amp;Row=10898&amp;Col=1","No Title Assigned - #15272250975")</f>
        <v/>
      </c>
      <c r="B10906" s="0" t="s">
        <v>14801</v>
      </c>
      <c r="C10906" s="0" t="s">
        <v>14802</v>
      </c>
      <c r="D10906" s="0" t="s">
        <v>10354</v>
      </c>
      <c r="E10906" s="0" t="inlineStr">
        <is>
          <t xml:space="preserve">Mazda</t>
        </is>
      </c>
      <c r="F10906" s="0" t="s">
        <v>13</v>
      </c>
      <c r="G10906" s="0" t="s">
        <v>49</v>
      </c>
      <c r="H10906" s="5">
        <v>90.047000</v>
      </c>
    </row>
    <row r="10907" spans="1:9">
      <c r="A10907" s="22" t="str">
        <f>HYPERLINK("https://app.vivvix.com/360/KMI/IntelliDrive/ApplUI/Pages/CreativePages/CustomReportCreativeDetail.aspx?App=23&amp;ReportView=4&amp;Qid=1711279&amp;Row=10899&amp;Col=1","No Title Assigned - #15272251048")</f>
        <v/>
      </c>
      <c r="B10907" s="0" t="s">
        <v>14803</v>
      </c>
      <c r="C10907" s="0" t="s">
        <v>14804</v>
      </c>
      <c r="D10907" s="0" t="s">
        <v>9155</v>
      </c>
      <c r="E10907" s="0" t="inlineStr">
        <is>
          <t xml:space="preserve">Mazda</t>
        </is>
      </c>
      <c r="F10907" s="0" t="s">
        <v>13</v>
      </c>
      <c r="G10907" s="0" t="s">
        <v>49</v>
      </c>
      <c r="H10907" s="5">
        <v>96.943200</v>
      </c>
    </row>
    <row r="10908" spans="1:9">
      <c r="A10908" s="22" t="str">
        <f>HYPERLINK("https://app.vivvix.com/360/KMI/IntelliDrive/ApplUI/Pages/CreativePages/CustomReportCreativeDetail.aspx?App=23&amp;ReportView=4&amp;Qid=1711279&amp;Row=10900&amp;Col=1","No Title Assigned - #15272253536")</f>
        <v/>
      </c>
      <c r="B10908" s="0" t="s">
        <v>14805</v>
      </c>
      <c r="C10908" s="0" t="s">
        <v>14806</v>
      </c>
      <c r="D10908" s="0" t="s">
        <v>10008</v>
      </c>
      <c r="E10908" s="0" t="inlineStr">
        <is>
          <t xml:space="preserve">Mazda</t>
        </is>
      </c>
      <c r="F10908" s="0" t="s">
        <v>13</v>
      </c>
      <c r="G10908" s="0" t="s">
        <v>49</v>
      </c>
      <c r="H10908" s="5">
        <v>7729.661700</v>
      </c>
    </row>
    <row r="10909" spans="1:9">
      <c r="A10909" s="22" t="str">
        <f>HYPERLINK("https://app.vivvix.com/360/KMI/IntelliDrive/ApplUI/Pages/CreativePages/CustomReportCreativeDetail.aspx?App=23&amp;ReportView=4&amp;Qid=1711279&amp;Row=10901&amp;Col=1","No Title Assigned - #15272253536")</f>
        <v/>
      </c>
      <c r="B10909" s="0" t="s">
        <v>14805</v>
      </c>
      <c r="E10909" s="0" t="inlineStr">
        <is>
          <t xml:space="preserve">Mazda</t>
        </is>
      </c>
      <c r="F10909" s="0" t="s">
        <v>13</v>
      </c>
      <c r="G10909" s="0" t="s">
        <v>49</v>
      </c>
      <c r="H10909" s="5">
        <v>1291.654700</v>
      </c>
    </row>
    <row r="10910" spans="1:9">
      <c r="A10910" s="22" t="str">
        <f>HYPERLINK("https://app.vivvix.com/360/KMI/IntelliDrive/ApplUI/Pages/CreativePages/CustomReportCreativeDetail.aspx?App=23&amp;ReportView=4&amp;Qid=1711279&amp;Row=10902&amp;Col=1","No Title Assigned - #15272254306")</f>
        <v/>
      </c>
      <c r="B10910" s="0" t="s">
        <v>14807</v>
      </c>
      <c r="E10910" s="0" t="inlineStr">
        <is>
          <t xml:space="preserve">Mazda</t>
        </is>
      </c>
      <c r="F10910" s="0" t="inlineStr">
        <is>
          <t xml:space="preserve">Mazda</t>
        </is>
      </c>
      <c r="G10910" s="0" t="s">
        <v>171</v>
      </c>
      <c r="H10910" s="5">
        <v>1.001800</v>
      </c>
    </row>
    <row r="10911" spans="1:9">
      <c r="A10911" s="22" t="str">
        <f>HYPERLINK("https://app.vivvix.com/360/KMI/IntelliDrive/ApplUI/Pages/CreativePages/CustomReportCreativeDetail.aspx?App=23&amp;ReportView=4&amp;Qid=1711279&amp;Row=10903&amp;Col=1","No Title Assigned - #15272254559")</f>
        <v/>
      </c>
      <c r="B10911" s="0" t="s">
        <v>14808</v>
      </c>
      <c r="C10911" s="0" t="s">
        <v>14809</v>
      </c>
      <c r="D10911" s="0" t="s">
        <v>14809</v>
      </c>
      <c r="E10911" s="0" t="inlineStr">
        <is>
          <t xml:space="preserve">Mazda</t>
        </is>
      </c>
      <c r="F10911" s="0" t="inlineStr">
        <is>
          <t xml:space="preserve">Mazda</t>
        </is>
      </c>
      <c r="G10911" s="0" t="s">
        <v>210</v>
      </c>
      <c r="H10911" s="5">
        <v>690.138700</v>
      </c>
    </row>
    <row r="10912" spans="1:9">
      <c r="A10912" s="22" t="str">
        <f>HYPERLINK("https://app.vivvix.com/360/KMI/IntelliDrive/ApplUI/Pages/CreativePages/CustomReportCreativeDetail.aspx?App=23&amp;ReportView=4&amp;Qid=1711279&amp;Row=10904&amp;Col=1","No Title Assigned - #15272254571")</f>
        <v/>
      </c>
      <c r="B10912" s="0" t="s">
        <v>14810</v>
      </c>
      <c r="C10912" s="0" t="s">
        <v>14811</v>
      </c>
      <c r="D10912" s="0" t="s">
        <v>10089</v>
      </c>
      <c r="E10912" s="0" t="inlineStr">
        <is>
          <t xml:space="preserve">Mazda</t>
        </is>
      </c>
      <c r="F10912" s="0" t="s">
        <v>13</v>
      </c>
      <c r="G10912" s="0" t="s">
        <v>49</v>
      </c>
      <c r="H10912" s="5">
        <v>6687.006600</v>
      </c>
    </row>
    <row r="10913" spans="1:9">
      <c r="A10913" s="22" t="str">
        <f>HYPERLINK("https://app.vivvix.com/360/KMI/IntelliDrive/ApplUI/Pages/CreativePages/CustomReportCreativeDetail.aspx?App=23&amp;ReportView=4&amp;Qid=1711279&amp;Row=10905&amp;Col=1","No Title Assigned - #15272256702")</f>
        <v/>
      </c>
      <c r="B10913" s="0" t="s">
        <v>14812</v>
      </c>
      <c r="C10913" s="0" t="s">
        <v>14813</v>
      </c>
      <c r="D10913" s="0" t="s">
        <v>14813</v>
      </c>
      <c r="E10913" s="0" t="inlineStr">
        <is>
          <t xml:space="preserve">Mazda</t>
        </is>
      </c>
      <c r="F10913" s="0" t="inlineStr">
        <is>
          <t xml:space="preserve">Mazda</t>
        </is>
      </c>
      <c r="G10913" s="0" t="s">
        <v>210</v>
      </c>
      <c r="H10913" s="5">
        <v>17177.029100</v>
      </c>
    </row>
    <row r="10914" spans="1:9">
      <c r="A10914" s="22" t="str">
        <f>HYPERLINK("https://app.vivvix.com/360/KMI/IntelliDrive/ApplUI/Pages/CreativePages/CustomReportCreativeDetail.aspx?App=23&amp;ReportView=4&amp;Qid=1711279&amp;Row=10906&amp;Col=1","No Title Assigned - #15272256702")</f>
        <v/>
      </c>
      <c r="B10914" s="0" t="s">
        <v>14812</v>
      </c>
      <c r="E10914" s="0" t="inlineStr">
        <is>
          <t xml:space="preserve">Mazda</t>
        </is>
      </c>
      <c r="F10914" s="0" t="inlineStr">
        <is>
          <t xml:space="preserve">Mazda</t>
        </is>
      </c>
      <c r="G10914" s="0" t="s">
        <v>210</v>
      </c>
      <c r="H10914" s="5">
        <v>415.653800</v>
      </c>
    </row>
    <row r="10915" spans="1:9">
      <c r="A10915" s="22" t="str">
        <f>HYPERLINK("https://app.vivvix.com/360/KMI/IntelliDrive/ApplUI/Pages/CreativePages/CustomReportCreativeDetail.aspx?App=23&amp;ReportView=4&amp;Qid=1711279&amp;Row=10907&amp;Col=1","No Title Assigned - #15272257184")</f>
        <v/>
      </c>
      <c r="B10915" s="0" t="s">
        <v>14814</v>
      </c>
      <c r="C10915" s="0" t="s">
        <v>14815</v>
      </c>
      <c r="D10915" s="0" t="s">
        <v>14815</v>
      </c>
      <c r="E10915" s="0" t="inlineStr">
        <is>
          <t xml:space="preserve">Mazda</t>
        </is>
      </c>
      <c r="F10915" s="0" t="inlineStr">
        <is>
          <t xml:space="preserve">Mazda</t>
        </is>
      </c>
      <c r="G10915" s="0" t="s">
        <v>2413</v>
      </c>
      <c r="H10915" s="5">
        <v>232.213300</v>
      </c>
    </row>
    <row r="10916" spans="1:9">
      <c r="A10916" s="22" t="str">
        <f>HYPERLINK("https://app.vivvix.com/360/KMI/IntelliDrive/ApplUI/Pages/CreativePages/CustomReportCreativeDetail.aspx?App=23&amp;ReportView=4&amp;Qid=1711279&amp;Row=10908&amp;Col=1","No Title Assigned - #15272257227")</f>
        <v/>
      </c>
      <c r="B10916" s="0" t="s">
        <v>14816</v>
      </c>
      <c r="C10916" s="0" t="s">
        <v>14817</v>
      </c>
      <c r="D10916" s="0" t="s">
        <v>6170</v>
      </c>
      <c r="E10916" s="0" t="inlineStr">
        <is>
          <t xml:space="preserve">Mazda</t>
        </is>
      </c>
      <c r="F10916" s="0" t="s">
        <v>28</v>
      </c>
      <c r="G10916" s="0" t="s">
        <v>29</v>
      </c>
      <c r="H10916" s="5">
        <v>120.507200</v>
      </c>
    </row>
    <row r="10917" spans="1:9">
      <c r="A10917" s="22" t="str">
        <f>HYPERLINK("https://app.vivvix.com/360/KMI/IntelliDrive/ApplUI/Pages/CreativePages/CustomReportCreativeDetail.aspx?App=23&amp;ReportView=4&amp;Qid=1711279&amp;Row=10909&amp;Col=1","No Title Assigned - #15272257539")</f>
        <v/>
      </c>
      <c r="B10917" s="0" t="s">
        <v>14818</v>
      </c>
      <c r="C10917" s="0" t="s">
        <v>14819</v>
      </c>
      <c r="D10917" s="0" t="s">
        <v>14819</v>
      </c>
      <c r="E10917" s="0" t="inlineStr">
        <is>
          <t xml:space="preserve">Mazda</t>
        </is>
      </c>
      <c r="F10917" s="0" t="s">
        <v>13</v>
      </c>
      <c r="G10917" s="0" t="s">
        <v>49</v>
      </c>
      <c r="H10917" s="5">
        <v>5621.907500</v>
      </c>
    </row>
    <row r="10918" spans="1:9">
      <c r="A10918" s="22" t="str">
        <f>HYPERLINK("https://app.vivvix.com/360/KMI/IntelliDrive/ApplUI/Pages/CreativePages/CustomReportCreativeDetail.aspx?App=23&amp;ReportView=4&amp;Qid=1711279&amp;Row=10910&amp;Col=1","No Title Assigned - #15272257539")</f>
        <v/>
      </c>
      <c r="B10918" s="0" t="s">
        <v>14818</v>
      </c>
      <c r="C10918" s="0" t="s">
        <v>14820</v>
      </c>
      <c r="D10918" s="0" t="s">
        <v>14820</v>
      </c>
      <c r="E10918" s="0" t="inlineStr">
        <is>
          <t xml:space="preserve">Mazda</t>
        </is>
      </c>
      <c r="F10918" s="0" t="s">
        <v>13</v>
      </c>
      <c r="G10918" s="0" t="s">
        <v>49</v>
      </c>
      <c r="H10918" s="5">
        <v>3265.351000</v>
      </c>
    </row>
    <row r="10919" spans="1:9">
      <c r="A10919" s="22" t="str">
        <f>HYPERLINK("https://app.vivvix.com/360/KMI/IntelliDrive/ApplUI/Pages/CreativePages/CustomReportCreativeDetail.aspx?App=23&amp;ReportView=4&amp;Qid=1711279&amp;Row=10911&amp;Col=1","No Title Assigned - #15272257751")</f>
        <v/>
      </c>
      <c r="B10919" s="0" t="s">
        <v>14821</v>
      </c>
      <c r="C10919" s="0" t="s">
        <v>14822</v>
      </c>
      <c r="D10919" s="0" t="s">
        <v>14822</v>
      </c>
      <c r="E10919" s="0" t="inlineStr">
        <is>
          <t xml:space="preserve">Mazda</t>
        </is>
      </c>
      <c r="F10919" s="0" t="inlineStr">
        <is>
          <t xml:space="preserve">Mazda</t>
        </is>
      </c>
      <c r="G10919" s="0" t="s">
        <v>210</v>
      </c>
      <c r="H10919" s="5">
        <v>1452.886000</v>
      </c>
    </row>
    <row r="10920" spans="1:9">
      <c r="A10920" s="22" t="str">
        <f>HYPERLINK("https://app.vivvix.com/360/KMI/IntelliDrive/ApplUI/Pages/CreativePages/CustomReportCreativeDetail.aspx?App=23&amp;ReportView=4&amp;Qid=1711279&amp;Row=10912&amp;Col=1","No Title Assigned - #15272258160")</f>
        <v/>
      </c>
      <c r="B10920" s="0" t="s">
        <v>14823</v>
      </c>
      <c r="C10920" s="0" t="s">
        <v>14824</v>
      </c>
      <c r="D10920" s="0" t="s">
        <v>4204</v>
      </c>
      <c r="E10920" s="0" t="inlineStr">
        <is>
          <t xml:space="preserve">Mazda</t>
        </is>
      </c>
      <c r="F10920" s="0" t="s">
        <v>28</v>
      </c>
      <c r="G10920" s="0" t="s">
        <v>29</v>
      </c>
      <c r="H10920" s="5">
        <v>11.771400</v>
      </c>
    </row>
    <row r="10921" spans="1:9">
      <c r="A10921" s="22" t="str">
        <f>HYPERLINK("https://app.vivvix.com/360/KMI/IntelliDrive/ApplUI/Pages/CreativePages/CustomReportCreativeDetail.aspx?App=23&amp;ReportView=4&amp;Qid=1711279&amp;Row=10913&amp;Col=1","No Title Assigned - #15272258401")</f>
        <v/>
      </c>
      <c r="B10921" s="0" t="s">
        <v>14825</v>
      </c>
      <c r="C10921" s="0" t="s">
        <v>14826</v>
      </c>
      <c r="D10921" s="0" t="s">
        <v>10089</v>
      </c>
      <c r="E10921" s="0" t="inlineStr">
        <is>
          <t xml:space="preserve">Mazda</t>
        </is>
      </c>
      <c r="F10921" s="0" t="s">
        <v>13</v>
      </c>
      <c r="G10921" s="0" t="s">
        <v>49</v>
      </c>
      <c r="H10921" s="5">
        <v>3071.394500</v>
      </c>
    </row>
    <row r="10922" spans="1:9">
      <c r="A10922" s="22" t="str">
        <f>HYPERLINK("https://app.vivvix.com/360/KMI/IntelliDrive/ApplUI/Pages/CreativePages/CustomReportCreativeDetail.aspx?App=23&amp;ReportView=4&amp;Qid=1711279&amp;Row=10914&amp;Col=1","No Title Assigned - #15272258973")</f>
        <v/>
      </c>
      <c r="B10922" s="0" t="s">
        <v>14827</v>
      </c>
      <c r="C10922" s="0" t="s">
        <v>14828</v>
      </c>
      <c r="D10922" s="0" t="s">
        <v>4335</v>
      </c>
      <c r="E10922" s="0" t="inlineStr">
        <is>
          <t xml:space="preserve">Mazda</t>
        </is>
      </c>
      <c r="F10922" s="0" t="s">
        <v>13</v>
      </c>
      <c r="G10922" s="0" t="s">
        <v>49</v>
      </c>
      <c r="H10922" s="5">
        <v>277.137900</v>
      </c>
    </row>
    <row r="10923" spans="1:9">
      <c r="A10923" s="22" t="str">
        <f>HYPERLINK("https://app.vivvix.com/360/KMI/IntelliDrive/ApplUI/Pages/CreativePages/CustomReportCreativeDetail.aspx?App=23&amp;ReportView=4&amp;Qid=1711279&amp;Row=10915&amp;Col=1","No Title Assigned - #15272259140")</f>
        <v/>
      </c>
      <c r="B10923" s="0" t="s">
        <v>14829</v>
      </c>
      <c r="C10923" s="0" t="s">
        <v>14830</v>
      </c>
      <c r="D10923" s="0" t="s">
        <v>14830</v>
      </c>
      <c r="E10923" s="0" t="inlineStr">
        <is>
          <t xml:space="preserve">Mazda</t>
        </is>
      </c>
      <c r="F10923" s="0" t="s">
        <v>13</v>
      </c>
      <c r="G10923" s="0" t="s">
        <v>49</v>
      </c>
      <c r="H10923" s="5">
        <v>15762.492200</v>
      </c>
    </row>
    <row r="10924" spans="1:9">
      <c r="A10924" s="22" t="str">
        <f>HYPERLINK("https://app.vivvix.com/360/KMI/IntelliDrive/ApplUI/Pages/CreativePages/CustomReportCreativeDetail.aspx?App=23&amp;ReportView=4&amp;Qid=1711279&amp;Row=10916&amp;Col=1","No Title Assigned - #15272259467")</f>
        <v/>
      </c>
      <c r="B10924" s="0" t="s">
        <v>14831</v>
      </c>
      <c r="C10924" s="0" t="s">
        <v>14832</v>
      </c>
      <c r="D10924" s="0" t="s">
        <v>14832</v>
      </c>
      <c r="E10924" s="0" t="inlineStr">
        <is>
          <t xml:space="preserve">Mazda</t>
        </is>
      </c>
      <c r="F10924" s="0" t="inlineStr">
        <is>
          <t xml:space="preserve">Mazda</t>
        </is>
      </c>
      <c r="G10924" s="0" t="s">
        <v>210</v>
      </c>
      <c r="H10924" s="5">
        <v>234.733000</v>
      </c>
    </row>
    <row r="10925" spans="1:9">
      <c r="A10925" s="22" t="str">
        <f>HYPERLINK("https://app.vivvix.com/360/KMI/IntelliDrive/ApplUI/Pages/CreativePages/CustomReportCreativeDetail.aspx?App=23&amp;ReportView=4&amp;Qid=1711279&amp;Row=10917&amp;Col=1","No Title Assigned - #15272260432")</f>
        <v/>
      </c>
      <c r="B10925" s="0" t="s">
        <v>14833</v>
      </c>
      <c r="E10925" s="0" t="inlineStr">
        <is>
          <t xml:space="preserve">Mazda</t>
        </is>
      </c>
      <c r="F10925" s="0" t="inlineStr">
        <is>
          <t xml:space="preserve">Mazda</t>
        </is>
      </c>
      <c r="G10925" s="0" t="s">
        <v>171</v>
      </c>
      <c r="H10925" s="5">
        <v>20.978800</v>
      </c>
    </row>
    <row r="10926" spans="1:9">
      <c r="A10926" s="22" t="str">
        <f>HYPERLINK("https://app.vivvix.com/360/KMI/IntelliDrive/ApplUI/Pages/CreativePages/CustomReportCreativeDetail.aspx?App=23&amp;ReportView=4&amp;Qid=1711279&amp;Row=10918&amp;Col=1","No Title Assigned - #15272260467")</f>
        <v/>
      </c>
      <c r="B10926" s="0" t="s">
        <v>14834</v>
      </c>
      <c r="C10926" s="0" t="s">
        <v>14835</v>
      </c>
      <c r="D10926" s="0" t="s">
        <v>14835</v>
      </c>
      <c r="E10926" s="0" t="inlineStr">
        <is>
          <t xml:space="preserve">Mazda</t>
        </is>
      </c>
      <c r="F10926" s="0" t="s">
        <v>21</v>
      </c>
      <c r="G10926" s="0" t="s">
        <v>22</v>
      </c>
      <c r="H10926" s="5">
        <v>693.640800</v>
      </c>
    </row>
    <row r="10927" spans="1:9">
      <c r="A10927" s="22" t="str">
        <f>HYPERLINK("https://app.vivvix.com/360/KMI/IntelliDrive/ApplUI/Pages/CreativePages/CustomReportCreativeDetail.aspx?App=23&amp;ReportView=4&amp;Qid=1711279&amp;Row=10919&amp;Col=1","No Title Assigned - #15272262464")</f>
        <v/>
      </c>
      <c r="B10927" s="0" t="s">
        <v>14836</v>
      </c>
      <c r="C10927" s="0" t="s">
        <v>14837</v>
      </c>
      <c r="D10927" s="0" t="s">
        <v>4200</v>
      </c>
      <c r="E10927" s="0" t="inlineStr">
        <is>
          <t xml:space="preserve">Mazda</t>
        </is>
      </c>
      <c r="F10927" s="0" t="s">
        <v>28</v>
      </c>
      <c r="G10927" s="0" t="s">
        <v>29</v>
      </c>
      <c r="H10927" s="5">
        <v>3.632300</v>
      </c>
    </row>
    <row r="10928" spans="1:9">
      <c r="A10928" s="22" t="str">
        <f>HYPERLINK("https://app.vivvix.com/360/KMI/IntelliDrive/ApplUI/Pages/CreativePages/CustomReportCreativeDetail.aspx?App=23&amp;ReportView=4&amp;Qid=1711279&amp;Row=10920&amp;Col=1","No Title Assigned - #15272264158")</f>
        <v/>
      </c>
      <c r="B10928" s="0" t="s">
        <v>14838</v>
      </c>
      <c r="E10928" s="0" t="inlineStr">
        <is>
          <t xml:space="preserve">Mazda</t>
        </is>
      </c>
      <c r="F10928" s="0" t="inlineStr">
        <is>
          <t xml:space="preserve">Mazda</t>
        </is>
      </c>
      <c r="G10928" s="0" t="s">
        <v>171</v>
      </c>
      <c r="H10928" s="5">
        <v>26.241800</v>
      </c>
    </row>
    <row r="10929" spans="1:9">
      <c r="A10929" s="22" t="str">
        <f>HYPERLINK("https://app.vivvix.com/360/KMI/IntelliDrive/ApplUI/Pages/CreativePages/CustomReportCreativeDetail.aspx?App=23&amp;ReportView=4&amp;Qid=1711279&amp;Row=10921&amp;Col=1","No Title Assigned - #15272264950")</f>
        <v/>
      </c>
      <c r="B10929" s="0" t="s">
        <v>14839</v>
      </c>
      <c r="C10929" s="0" t="s">
        <v>14840</v>
      </c>
      <c r="D10929" s="0" t="s">
        <v>14840</v>
      </c>
      <c r="E10929" s="0" t="inlineStr">
        <is>
          <t xml:space="preserve">Mazda</t>
        </is>
      </c>
      <c r="F10929" s="0" t="inlineStr">
        <is>
          <t xml:space="preserve">Mazda</t>
        </is>
      </c>
      <c r="G10929" s="0" t="s">
        <v>210</v>
      </c>
      <c r="H10929" s="5">
        <v>6328.576600</v>
      </c>
    </row>
    <row r="10930" spans="1:9">
      <c r="A10930" s="22" t="str">
        <f>HYPERLINK("https://app.vivvix.com/360/KMI/IntelliDrive/ApplUI/Pages/CreativePages/CustomReportCreativeDetail.aspx?App=23&amp;ReportView=4&amp;Qid=1711279&amp;Row=10922&amp;Col=1","No Title Assigned - #15272264950")</f>
        <v/>
      </c>
      <c r="B10930" s="0" t="s">
        <v>14839</v>
      </c>
      <c r="E10930" s="0" t="inlineStr">
        <is>
          <t xml:space="preserve">Mazda</t>
        </is>
      </c>
      <c r="F10930" s="0" t="inlineStr">
        <is>
          <t xml:space="preserve">Mazda</t>
        </is>
      </c>
      <c r="G10930" s="0" t="s">
        <v>210</v>
      </c>
      <c r="H10930" s="5">
        <v>22255.041000</v>
      </c>
    </row>
    <row r="10931" spans="1:9">
      <c r="A10931" s="22" t="str">
        <f>HYPERLINK("https://app.vivvix.com/360/KMI/IntelliDrive/ApplUI/Pages/CreativePages/CustomReportCreativeDetail.aspx?App=23&amp;ReportView=4&amp;Qid=1711279&amp;Row=10923&amp;Col=1","No Title Assigned - #15272265000")</f>
        <v/>
      </c>
      <c r="B10931" s="0" t="s">
        <v>14841</v>
      </c>
      <c r="C10931" s="0" t="s">
        <v>14842</v>
      </c>
      <c r="D10931" s="0" t="s">
        <v>8942</v>
      </c>
      <c r="E10931" s="0" t="inlineStr">
        <is>
          <t xml:space="preserve">Mazda</t>
        </is>
      </c>
      <c r="F10931" s="0" t="s">
        <v>13</v>
      </c>
      <c r="G10931" s="0" t="s">
        <v>49</v>
      </c>
      <c r="H10931" s="5">
        <v>326.567800</v>
      </c>
    </row>
    <row r="10932" spans="1:9">
      <c r="A10932" s="22" t="str">
        <f>HYPERLINK("https://app.vivvix.com/360/KMI/IntelliDrive/ApplUI/Pages/CreativePages/CustomReportCreativeDetail.aspx?App=23&amp;ReportView=4&amp;Qid=1711279&amp;Row=10924&amp;Col=1","No Title Assigned - #15272266046")</f>
        <v/>
      </c>
      <c r="B10932" s="0" t="s">
        <v>14843</v>
      </c>
      <c r="C10932" s="0" t="s">
        <v>14844</v>
      </c>
      <c r="D10932" s="0" t="s">
        <v>14844</v>
      </c>
      <c r="E10932" s="0" t="inlineStr">
        <is>
          <t xml:space="preserve">Mazda</t>
        </is>
      </c>
      <c r="F10932" s="0" t="inlineStr">
        <is>
          <t xml:space="preserve">Mazda</t>
        </is>
      </c>
      <c r="G10932" s="0" t="s">
        <v>171</v>
      </c>
      <c r="H10932" s="5">
        <v>150.299000</v>
      </c>
    </row>
    <row r="10933" spans="1:9">
      <c r="A10933" s="22" t="str">
        <f>HYPERLINK("https://app.vivvix.com/360/KMI/IntelliDrive/ApplUI/Pages/CreativePages/CustomReportCreativeDetail.aspx?App=23&amp;ReportView=4&amp;Qid=1711279&amp;Row=10925&amp;Col=1","No Title Assigned - #15272266125")</f>
        <v/>
      </c>
      <c r="B10933" s="0" t="s">
        <v>14845</v>
      </c>
      <c r="E10933" s="0" t="inlineStr">
        <is>
          <t xml:space="preserve">Mazda</t>
        </is>
      </c>
      <c r="F10933" s="0" t="inlineStr">
        <is>
          <t xml:space="preserve">Mazda</t>
        </is>
      </c>
      <c r="G10933" s="0" t="s">
        <v>171</v>
      </c>
      <c r="H10933" s="5">
        <v>41.070000</v>
      </c>
    </row>
    <row r="10934" spans="1:9">
      <c r="A10934" s="22" t="str">
        <f>HYPERLINK("https://app.vivvix.com/360/KMI/IntelliDrive/ApplUI/Pages/CreativePages/CustomReportCreativeDetail.aspx?App=23&amp;ReportView=4&amp;Qid=1711279&amp;Row=10926&amp;Col=1","No Title Assigned - #15272266859")</f>
        <v/>
      </c>
      <c r="B10934" s="0" t="s">
        <v>14846</v>
      </c>
      <c r="E10934" s="0" t="inlineStr">
        <is>
          <t xml:space="preserve">Mazda</t>
        </is>
      </c>
      <c r="F10934" s="0" t="inlineStr">
        <is>
          <t xml:space="preserve">Mazda</t>
        </is>
      </c>
      <c r="G10934" s="0" t="s">
        <v>171</v>
      </c>
      <c r="H10934" s="5">
        <v>8.263600</v>
      </c>
    </row>
    <row r="10935" spans="1:9">
      <c r="A10935" s="22" t="str">
        <f>HYPERLINK("https://app.vivvix.com/360/KMI/IntelliDrive/ApplUI/Pages/CreativePages/CustomReportCreativeDetail.aspx?App=23&amp;ReportView=4&amp;Qid=1711279&amp;Row=10927&amp;Col=1","No Title Assigned - #15272267799")</f>
        <v/>
      </c>
      <c r="B10935" s="0" t="s">
        <v>14847</v>
      </c>
      <c r="E10935" s="0" t="inlineStr">
        <is>
          <t xml:space="preserve">Mazda</t>
        </is>
      </c>
      <c r="F10935" s="0" t="inlineStr">
        <is>
          <t xml:space="preserve">Mazda</t>
        </is>
      </c>
      <c r="G10935" s="0" t="s">
        <v>171</v>
      </c>
      <c r="H10935" s="5">
        <v>17.756900</v>
      </c>
    </row>
    <row r="10936" spans="1:9">
      <c r="A10936" s="22" t="str">
        <f>HYPERLINK("https://app.vivvix.com/360/KMI/IntelliDrive/ApplUI/Pages/CreativePages/CustomReportCreativeDetail.aspx?App=23&amp;ReportView=4&amp;Qid=1711279&amp;Row=10928&amp;Col=1","No Title Assigned - #15272268696")</f>
        <v/>
      </c>
      <c r="B10936" s="0" t="s">
        <v>14848</v>
      </c>
      <c r="E10936" s="0" t="inlineStr">
        <is>
          <t xml:space="preserve">Mazda</t>
        </is>
      </c>
      <c r="F10936" s="0" t="inlineStr">
        <is>
          <t xml:space="preserve">Mazda</t>
        </is>
      </c>
      <c r="G10936" s="0" t="s">
        <v>171</v>
      </c>
      <c r="H10936" s="5">
        <v>60875.734400</v>
      </c>
    </row>
    <row r="10937" spans="1:9">
      <c r="A10937" s="22" t="str">
        <f>HYPERLINK("https://app.vivvix.com/360/KMI/IntelliDrive/ApplUI/Pages/CreativePages/CustomReportCreativeDetail.aspx?App=23&amp;ReportView=4&amp;Qid=1711279&amp;Row=10929&amp;Col=1","No Title Assigned - #15272269318")</f>
        <v/>
      </c>
      <c r="B10937" s="0" t="s">
        <v>14849</v>
      </c>
      <c r="C10937" s="0" t="s">
        <v>14850</v>
      </c>
      <c r="D10937" s="0" t="s">
        <v>6656</v>
      </c>
      <c r="E10937" s="0" t="inlineStr">
        <is>
          <t xml:space="preserve">Mazda</t>
        </is>
      </c>
      <c r="F10937" s="0" t="s">
        <v>28</v>
      </c>
      <c r="G10937" s="0" t="s">
        <v>29</v>
      </c>
      <c r="H10937" s="5">
        <v>18.635000</v>
      </c>
    </row>
    <row r="10938" spans="1:9">
      <c r="A10938" s="22" t="str">
        <f>HYPERLINK("https://app.vivvix.com/360/KMI/IntelliDrive/ApplUI/Pages/CreativePages/CustomReportCreativeDetail.aspx?App=23&amp;ReportView=4&amp;Qid=1711279&amp;Row=10930&amp;Col=1","No Title Assigned - #15272269658")</f>
        <v/>
      </c>
      <c r="B10938" s="0" t="s">
        <v>14851</v>
      </c>
      <c r="C10938" s="0" t="s">
        <v>14852</v>
      </c>
      <c r="D10938" s="0" t="s">
        <v>14852</v>
      </c>
      <c r="E10938" s="0" t="inlineStr">
        <is>
          <t xml:space="preserve">Mazda</t>
        </is>
      </c>
      <c r="F10938" s="0" t="s">
        <v>13</v>
      </c>
      <c r="G10938" s="0" t="s">
        <v>49</v>
      </c>
      <c r="H10938" s="5">
        <v>1053.547400</v>
      </c>
    </row>
    <row r="10939" spans="1:9">
      <c r="A10939" s="22" t="str">
        <f>HYPERLINK("https://app.vivvix.com/360/KMI/IntelliDrive/ApplUI/Pages/CreativePages/CustomReportCreativeDetail.aspx?App=23&amp;ReportView=4&amp;Qid=1711279&amp;Row=10931&amp;Col=1","No Title Assigned - #15272270209")</f>
        <v/>
      </c>
      <c r="B10939" s="0" t="s">
        <v>14853</v>
      </c>
      <c r="C10939" s="0" t="s">
        <v>14854</v>
      </c>
      <c r="D10939" s="0" t="s">
        <v>6183</v>
      </c>
      <c r="E10939" s="0" t="inlineStr">
        <is>
          <t xml:space="preserve">Mazda</t>
        </is>
      </c>
      <c r="F10939" s="0" t="s">
        <v>13</v>
      </c>
      <c r="G10939" s="0" t="s">
        <v>49</v>
      </c>
      <c r="H10939" s="5">
        <v>86.001200</v>
      </c>
    </row>
    <row r="10940" spans="1:9">
      <c r="A10940" s="22" t="str">
        <f>HYPERLINK("https://app.vivvix.com/360/KMI/IntelliDrive/ApplUI/Pages/CreativePages/CustomReportCreativeDetail.aspx?App=23&amp;ReportView=4&amp;Qid=1711279&amp;Row=10932&amp;Col=1","No Title Assigned - #15272270722")</f>
        <v/>
      </c>
      <c r="B10940" s="0" t="s">
        <v>14855</v>
      </c>
      <c r="C10940" s="0" t="s">
        <v>14856</v>
      </c>
      <c r="D10940" s="0" t="s">
        <v>14856</v>
      </c>
      <c r="E10940" s="0" t="inlineStr">
        <is>
          <t xml:space="preserve">Mazda</t>
        </is>
      </c>
      <c r="F10940" s="0" t="s">
        <v>13</v>
      </c>
      <c r="G10940" s="0" t="s">
        <v>49</v>
      </c>
      <c r="H10940" s="5">
        <v>5082.406000</v>
      </c>
    </row>
    <row r="10941" spans="1:9">
      <c r="A10941" s="22" t="str">
        <f>HYPERLINK("https://app.vivvix.com/360/KMI/IntelliDrive/ApplUI/Pages/CreativePages/CustomReportCreativeDetail.aspx?App=23&amp;ReportView=4&amp;Qid=1711279&amp;Row=10933&amp;Col=1","No Title Assigned - #15272274142")</f>
        <v/>
      </c>
      <c r="B10941" s="0" t="s">
        <v>14857</v>
      </c>
      <c r="E10941" s="0" t="inlineStr">
        <is>
          <t xml:space="preserve">Mazda</t>
        </is>
      </c>
      <c r="F10941" s="0" t="inlineStr">
        <is>
          <t xml:space="preserve">Mazda</t>
        </is>
      </c>
      <c r="G10941" s="0" t="s">
        <v>171</v>
      </c>
      <c r="H10941" s="5">
        <v>34.109800</v>
      </c>
    </row>
    <row r="10942" spans="1:9">
      <c r="A10942" s="22" t="str">
        <f>HYPERLINK("https://app.vivvix.com/360/KMI/IntelliDrive/ApplUI/Pages/CreativePages/CustomReportCreativeDetail.aspx?App=23&amp;ReportView=4&amp;Qid=1711279&amp;Row=10934&amp;Col=1","No Title Assigned - #15272274330")</f>
        <v/>
      </c>
      <c r="B10942" s="0" t="s">
        <v>14858</v>
      </c>
      <c r="C10942" s="0" t="s">
        <v>14859</v>
      </c>
      <c r="D10942" s="0" t="s">
        <v>10704</v>
      </c>
      <c r="E10942" s="0" t="inlineStr">
        <is>
          <t xml:space="preserve">Mazda</t>
        </is>
      </c>
      <c r="F10942" s="0" t="s">
        <v>13</v>
      </c>
      <c r="G10942" s="0" t="s">
        <v>49</v>
      </c>
      <c r="H10942" s="5">
        <v>44.622200</v>
      </c>
    </row>
    <row r="10943" spans="1:9">
      <c r="A10943" s="22" t="str">
        <f>HYPERLINK("https://app.vivvix.com/360/KMI/IntelliDrive/ApplUI/Pages/CreativePages/CustomReportCreativeDetail.aspx?App=23&amp;ReportView=4&amp;Qid=1711279&amp;Row=10935&amp;Col=1","No Title Assigned - #15272274331")</f>
        <v/>
      </c>
      <c r="B10943" s="0" t="s">
        <v>14860</v>
      </c>
      <c r="C10943" s="0" t="s">
        <v>14861</v>
      </c>
      <c r="D10943" s="0" t="s">
        <v>6420</v>
      </c>
      <c r="E10943" s="0" t="inlineStr">
        <is>
          <t xml:space="preserve">Mazda</t>
        </is>
      </c>
      <c r="F10943" s="0" t="s">
        <v>13</v>
      </c>
      <c r="G10943" s="0" t="s">
        <v>49</v>
      </c>
      <c r="H10943" s="5">
        <v>105.736500</v>
      </c>
    </row>
    <row r="10944" spans="1:9">
      <c r="A10944" s="22" t="str">
        <f>HYPERLINK("https://app.vivvix.com/360/KMI/IntelliDrive/ApplUI/Pages/CreativePages/CustomReportCreativeDetail.aspx?App=23&amp;ReportView=4&amp;Qid=1711279&amp;Row=10936&amp;Col=1","No Title Assigned - #15272274384")</f>
        <v/>
      </c>
      <c r="B10944" s="0" t="s">
        <v>14862</v>
      </c>
      <c r="C10944" s="0" t="s">
        <v>14863</v>
      </c>
      <c r="D10944" s="0" t="s">
        <v>14863</v>
      </c>
      <c r="E10944" s="0" t="inlineStr">
        <is>
          <t xml:space="preserve">Mazda</t>
        </is>
      </c>
      <c r="F10944" s="0" t="s">
        <v>28</v>
      </c>
      <c r="G10944" s="0" t="s">
        <v>29</v>
      </c>
      <c r="H10944" s="5">
        <v>87.876100</v>
      </c>
    </row>
    <row r="10945" spans="1:9">
      <c r="A10945" s="22" t="str">
        <f>HYPERLINK("https://app.vivvix.com/360/KMI/IntelliDrive/ApplUI/Pages/CreativePages/CustomReportCreativeDetail.aspx?App=23&amp;ReportView=4&amp;Qid=1711279&amp;Row=10937&amp;Col=1","No Title Assigned - #15272275686")</f>
        <v/>
      </c>
      <c r="B10945" s="0" t="s">
        <v>14864</v>
      </c>
      <c r="C10945" s="0" t="s">
        <v>14865</v>
      </c>
      <c r="D10945" s="0" t="s">
        <v>14865</v>
      </c>
      <c r="E10945" s="0" t="inlineStr">
        <is>
          <t xml:space="preserve">Mazda</t>
        </is>
      </c>
      <c r="F10945" s="0" t="s">
        <v>28</v>
      </c>
      <c r="G10945" s="0" t="s">
        <v>29</v>
      </c>
      <c r="H10945" s="5">
        <v>9.248400</v>
      </c>
    </row>
    <row r="10946" spans="1:9">
      <c r="A10946" s="22" t="str">
        <f>HYPERLINK("https://app.vivvix.com/360/KMI/IntelliDrive/ApplUI/Pages/CreativePages/CustomReportCreativeDetail.aspx?App=23&amp;ReportView=4&amp;Qid=1711279&amp;Row=10938&amp;Col=1","No Title Assigned - #15272275893")</f>
        <v/>
      </c>
      <c r="B10946" s="0" t="s">
        <v>14866</v>
      </c>
      <c r="C10946" s="0" t="s">
        <v>14867</v>
      </c>
      <c r="D10946" s="0" t="s">
        <v>14867</v>
      </c>
      <c r="E10946" s="0" t="inlineStr">
        <is>
          <t xml:space="preserve">Mazda</t>
        </is>
      </c>
      <c r="F10946" s="0" t="s">
        <v>13</v>
      </c>
      <c r="G10946" s="0" t="s">
        <v>49</v>
      </c>
      <c r="H10946" s="5">
        <v>16471.361800</v>
      </c>
    </row>
    <row r="10947" spans="1:9">
      <c r="A10947" s="22" t="str">
        <f>HYPERLINK("https://app.vivvix.com/360/KMI/IntelliDrive/ApplUI/Pages/CreativePages/CustomReportCreativeDetail.aspx?App=23&amp;ReportView=4&amp;Qid=1711279&amp;Row=10939&amp;Col=1","No Title Assigned - #15272276176")</f>
        <v/>
      </c>
      <c r="B10947" s="0" t="s">
        <v>14868</v>
      </c>
      <c r="C10947" s="0" t="s">
        <v>14869</v>
      </c>
      <c r="D10947" s="0" t="s">
        <v>14869</v>
      </c>
      <c r="E10947" s="0" t="inlineStr">
        <is>
          <t xml:space="preserve">Mazda</t>
        </is>
      </c>
      <c r="F10947" s="0" t="s">
        <v>13</v>
      </c>
      <c r="G10947" s="0" t="s">
        <v>49</v>
      </c>
      <c r="H10947" s="5">
        <v>14.487200</v>
      </c>
    </row>
    <row r="10948" spans="1:9">
      <c r="A10948" s="22" t="str">
        <f>HYPERLINK("https://app.vivvix.com/360/KMI/IntelliDrive/ApplUI/Pages/CreativePages/CustomReportCreativeDetail.aspx?App=23&amp;ReportView=4&amp;Qid=1711279&amp;Row=10940&amp;Col=1","No Title Assigned - #15272276255")</f>
        <v/>
      </c>
      <c r="B10948" s="0" t="s">
        <v>14870</v>
      </c>
      <c r="E10948" s="0" t="inlineStr">
        <is>
          <t xml:space="preserve">Mazda</t>
        </is>
      </c>
      <c r="F10948" s="0" t="s">
        <v>13</v>
      </c>
      <c r="G10948" s="0" t="s">
        <v>49</v>
      </c>
      <c r="H10948" s="5">
        <v>96111.985000</v>
      </c>
    </row>
    <row r="10949" spans="1:9">
      <c r="A10949" s="22" t="str">
        <f>HYPERLINK("https://app.vivvix.com/360/KMI/IntelliDrive/ApplUI/Pages/CreativePages/CustomReportCreativeDetail.aspx?App=23&amp;ReportView=4&amp;Qid=1711279&amp;Row=10941&amp;Col=1","No Title Assigned - #15272276255")</f>
        <v/>
      </c>
      <c r="B10949" s="0" t="s">
        <v>14870</v>
      </c>
      <c r="C10949" s="0" t="s">
        <v>14871</v>
      </c>
      <c r="D10949" s="0" t="s">
        <v>14871</v>
      </c>
      <c r="E10949" s="0" t="inlineStr">
        <is>
          <t xml:space="preserve">Mazda</t>
        </is>
      </c>
      <c r="F10949" s="0" t="s">
        <v>13</v>
      </c>
      <c r="G10949" s="0" t="s">
        <v>49</v>
      </c>
      <c r="H10949" s="5">
        <v>73.648500</v>
      </c>
    </row>
    <row r="10950" spans="1:9">
      <c r="A10950" s="22" t="str">
        <f>HYPERLINK("https://app.vivvix.com/360/KMI/IntelliDrive/ApplUI/Pages/CreativePages/CustomReportCreativeDetail.aspx?App=23&amp;ReportView=4&amp;Qid=1711279&amp;Row=10942&amp;Col=1","No Title Assigned - #15272278039")</f>
        <v/>
      </c>
      <c r="B10950" s="0" t="s">
        <v>14872</v>
      </c>
      <c r="C10950" s="0" t="s">
        <v>14873</v>
      </c>
      <c r="D10950" s="0" t="s">
        <v>5013</v>
      </c>
      <c r="E10950" s="0" t="inlineStr">
        <is>
          <t xml:space="preserve">Mazda</t>
        </is>
      </c>
      <c r="F10950" s="0" t="s">
        <v>13</v>
      </c>
      <c r="G10950" s="0" t="s">
        <v>49</v>
      </c>
      <c r="H10950" s="5">
        <v>584.085300</v>
      </c>
    </row>
    <row r="10951" spans="1:9">
      <c r="A10951" s="22" t="str">
        <f>HYPERLINK("https://app.vivvix.com/360/KMI/IntelliDrive/ApplUI/Pages/CreativePages/CustomReportCreativeDetail.aspx?App=23&amp;ReportView=4&amp;Qid=1711279&amp;Row=10943&amp;Col=1","No Title Assigned - #15272278120")</f>
        <v/>
      </c>
      <c r="B10951" s="0" t="s">
        <v>14874</v>
      </c>
      <c r="C10951" s="0" t="s">
        <v>14875</v>
      </c>
      <c r="D10951" s="0" t="s">
        <v>14875</v>
      </c>
      <c r="E10951" s="0" t="inlineStr">
        <is>
          <t xml:space="preserve">Mazda</t>
        </is>
      </c>
      <c r="F10951" s="0" t="s">
        <v>13</v>
      </c>
      <c r="G10951" s="0" t="s">
        <v>49</v>
      </c>
      <c r="H10951" s="5">
        <v>17.592100</v>
      </c>
    </row>
    <row r="10952" spans="1:9">
      <c r="A10952" s="22" t="str">
        <f>HYPERLINK("https://app.vivvix.com/360/KMI/IntelliDrive/ApplUI/Pages/CreativePages/CustomReportCreativeDetail.aspx?App=23&amp;ReportView=4&amp;Qid=1711279&amp;Row=10944&amp;Col=1","No Title Assigned - #15272278621")</f>
        <v/>
      </c>
      <c r="B10952" s="0" t="s">
        <v>14876</v>
      </c>
      <c r="E10952" s="0" t="inlineStr">
        <is>
          <t xml:space="preserve">Mazda</t>
        </is>
      </c>
      <c r="F10952" s="0" t="inlineStr">
        <is>
          <t xml:space="preserve">Mazda</t>
        </is>
      </c>
      <c r="G10952" s="0" t="s">
        <v>171</v>
      </c>
      <c r="H10952" s="5">
        <v>20.978800</v>
      </c>
    </row>
    <row r="10953" spans="1:9">
      <c r="A10953" s="22" t="str">
        <f>HYPERLINK("https://app.vivvix.com/360/KMI/IntelliDrive/ApplUI/Pages/CreativePages/CustomReportCreativeDetail.aspx?App=23&amp;ReportView=4&amp;Qid=1711279&amp;Row=10945&amp;Col=1","No Title Assigned - #15272279295")</f>
        <v/>
      </c>
      <c r="B10953" s="0" t="s">
        <v>14877</v>
      </c>
      <c r="E10953" s="0" t="inlineStr">
        <is>
          <t xml:space="preserve">Mazda</t>
        </is>
      </c>
      <c r="F10953" s="0" t="inlineStr">
        <is>
          <t xml:space="preserve">Mazda</t>
        </is>
      </c>
      <c r="G10953" s="0" t="s">
        <v>171</v>
      </c>
      <c r="H10953" s="5">
        <v>6010.616700</v>
      </c>
    </row>
    <row r="10954" spans="1:9">
      <c r="A10954" s="22" t="str">
        <f>HYPERLINK("https://app.vivvix.com/360/KMI/IntelliDrive/ApplUI/Pages/CreativePages/CustomReportCreativeDetail.aspx?App=23&amp;ReportView=4&amp;Qid=1711279&amp;Row=10946&amp;Col=1","No Title Assigned - #15272279814")</f>
        <v/>
      </c>
      <c r="B10954" s="0" t="s">
        <v>14878</v>
      </c>
      <c r="E10954" s="0" t="inlineStr">
        <is>
          <t xml:space="preserve">Mazda</t>
        </is>
      </c>
      <c r="F10954" s="0" t="inlineStr">
        <is>
          <t xml:space="preserve">Mazda</t>
        </is>
      </c>
      <c r="G10954" s="0" t="s">
        <v>171</v>
      </c>
      <c r="H10954" s="5">
        <v>11104.947100</v>
      </c>
    </row>
    <row r="10955" spans="1:9">
      <c r="A10955" s="22" t="str">
        <f>HYPERLINK("https://app.vivvix.com/360/KMI/IntelliDrive/ApplUI/Pages/CreativePages/CustomReportCreativeDetail.aspx?App=23&amp;ReportView=4&amp;Qid=1711279&amp;Row=10947&amp;Col=1","No Title Assigned - #15272281010")</f>
        <v/>
      </c>
      <c r="B10955" s="0" t="s">
        <v>14879</v>
      </c>
      <c r="C10955" s="0" t="s">
        <v>14880</v>
      </c>
      <c r="D10955" s="0" t="s">
        <v>9919</v>
      </c>
      <c r="E10955" s="0" t="inlineStr">
        <is>
          <t xml:space="preserve">Mazda</t>
        </is>
      </c>
      <c r="F10955" s="0" t="s">
        <v>13</v>
      </c>
      <c r="G10955" s="0" t="s">
        <v>49</v>
      </c>
      <c r="H10955" s="5">
        <v>103.114000</v>
      </c>
    </row>
    <row r="10956" spans="1:9">
      <c r="A10956" s="22" t="str">
        <f>HYPERLINK("https://app.vivvix.com/360/KMI/IntelliDrive/ApplUI/Pages/CreativePages/CustomReportCreativeDetail.aspx?App=23&amp;ReportView=4&amp;Qid=1711279&amp;Row=10948&amp;Col=1","No Title Assigned - #15272281929")</f>
        <v/>
      </c>
      <c r="B10956" s="0" t="s">
        <v>14881</v>
      </c>
      <c r="C10956" s="0" t="s">
        <v>14882</v>
      </c>
      <c r="D10956" s="0" t="s">
        <v>14882</v>
      </c>
      <c r="E10956" s="0" t="inlineStr">
        <is>
          <t xml:space="preserve">Mazda</t>
        </is>
      </c>
      <c r="F10956" s="0" t="s">
        <v>13</v>
      </c>
      <c r="G10956" s="0" t="s">
        <v>49</v>
      </c>
      <c r="H10956" s="5">
        <v>20.738000</v>
      </c>
    </row>
    <row r="10957" spans="1:9">
      <c r="A10957" s="22" t="str">
        <f>HYPERLINK("https://app.vivvix.com/360/KMI/IntelliDrive/ApplUI/Pages/CreativePages/CustomReportCreativeDetail.aspx?App=23&amp;ReportView=4&amp;Qid=1711279&amp;Row=10949&amp;Col=1","No Title Assigned - #15272282597")</f>
        <v/>
      </c>
      <c r="B10957" s="0" t="s">
        <v>14883</v>
      </c>
      <c r="C10957" s="0" t="s">
        <v>14884</v>
      </c>
      <c r="D10957" s="0" t="s">
        <v>14884</v>
      </c>
      <c r="E10957" s="0" t="inlineStr">
        <is>
          <t xml:space="preserve">Mazda</t>
        </is>
      </c>
      <c r="F10957" s="0" t="s">
        <v>13</v>
      </c>
      <c r="G10957" s="0" t="s">
        <v>49</v>
      </c>
      <c r="H10957" s="5">
        <v>427.756900</v>
      </c>
    </row>
    <row r="10958" spans="1:9">
      <c r="A10958" s="22" t="str">
        <f>HYPERLINK("https://app.vivvix.com/360/KMI/IntelliDrive/ApplUI/Pages/CreativePages/CustomReportCreativeDetail.aspx?App=23&amp;ReportView=4&amp;Qid=1711279&amp;Row=10950&amp;Col=1","No Title Assigned - #15272283105")</f>
        <v/>
      </c>
      <c r="B10958" s="0" t="s">
        <v>14885</v>
      </c>
      <c r="E10958" s="0" t="inlineStr">
        <is>
          <t xml:space="preserve">Mazda</t>
        </is>
      </c>
      <c r="F10958" s="0" t="inlineStr">
        <is>
          <t xml:space="preserve">Mazda</t>
        </is>
      </c>
      <c r="G10958" s="0" t="s">
        <v>171</v>
      </c>
      <c r="H10958" s="5">
        <v>8.439500</v>
      </c>
    </row>
    <row r="10959" spans="1:9">
      <c r="A10959" s="22" t="str">
        <f>HYPERLINK("https://app.vivvix.com/360/KMI/IntelliDrive/ApplUI/Pages/CreativePages/CustomReportCreativeDetail.aspx?App=23&amp;ReportView=4&amp;Qid=1711279&amp;Row=10951&amp;Col=1","No Title Assigned - #15272284533")</f>
        <v/>
      </c>
      <c r="B10959" s="0" t="s">
        <v>14886</v>
      </c>
      <c r="C10959" s="0" t="s">
        <v>14887</v>
      </c>
      <c r="D10959" s="0" t="s">
        <v>14887</v>
      </c>
      <c r="E10959" s="0" t="inlineStr">
        <is>
          <t xml:space="preserve">Mazda</t>
        </is>
      </c>
      <c r="F10959" s="0" t="s">
        <v>13</v>
      </c>
      <c r="G10959" s="0" t="s">
        <v>49</v>
      </c>
      <c r="H10959" s="5">
        <v>363.839300</v>
      </c>
    </row>
    <row r="10960" spans="1:9">
      <c r="A10960" s="22" t="str">
        <f>HYPERLINK("https://app.vivvix.com/360/KMI/IntelliDrive/ApplUI/Pages/CreativePages/CustomReportCreativeDetail.aspx?App=23&amp;ReportView=4&amp;Qid=1711279&amp;Row=10952&amp;Col=1","No Title Assigned - #15272285764")</f>
        <v/>
      </c>
      <c r="B10960" s="0" t="s">
        <v>14888</v>
      </c>
      <c r="C10960" s="0" t="s">
        <v>14889</v>
      </c>
      <c r="D10960" s="0" t="s">
        <v>14889</v>
      </c>
      <c r="E10960" s="0" t="inlineStr">
        <is>
          <t xml:space="preserve">Mazda</t>
        </is>
      </c>
      <c r="F10960" s="0" t="s">
        <v>13</v>
      </c>
      <c r="G10960" s="0" t="s">
        <v>49</v>
      </c>
      <c r="H10960" s="5">
        <v>237.704600</v>
      </c>
    </row>
    <row r="10961" spans="1:9">
      <c r="A10961" s="22" t="str">
        <f>HYPERLINK("https://app.vivvix.com/360/KMI/IntelliDrive/ApplUI/Pages/CreativePages/CustomReportCreativeDetail.aspx?App=23&amp;ReportView=4&amp;Qid=1711279&amp;Row=10953&amp;Col=1","No Title Assigned - #15272285909")</f>
        <v/>
      </c>
      <c r="B10961" s="0" t="s">
        <v>14890</v>
      </c>
      <c r="C10961" s="0" t="s">
        <v>14891</v>
      </c>
      <c r="D10961" s="0" t="s">
        <v>4204</v>
      </c>
      <c r="E10961" s="0" t="inlineStr">
        <is>
          <t xml:space="preserve">Mazda</t>
        </is>
      </c>
      <c r="F10961" s="0" t="s">
        <v>28</v>
      </c>
      <c r="G10961" s="0" t="s">
        <v>29</v>
      </c>
      <c r="H10961" s="5">
        <v>693.826400</v>
      </c>
    </row>
    <row r="10962" spans="1:9">
      <c r="A10962" s="22" t="str">
        <f>HYPERLINK("https://app.vivvix.com/360/KMI/IntelliDrive/ApplUI/Pages/CreativePages/CustomReportCreativeDetail.aspx?App=23&amp;ReportView=4&amp;Qid=1711279&amp;Row=10954&amp;Col=1","No Title Assigned - #15272286882")</f>
        <v/>
      </c>
      <c r="B10962" s="0" t="s">
        <v>14892</v>
      </c>
      <c r="C10962" s="0" t="s">
        <v>14893</v>
      </c>
      <c r="D10962" s="0" t="s">
        <v>14893</v>
      </c>
      <c r="E10962" s="0" t="inlineStr">
        <is>
          <t xml:space="preserve">Mazda</t>
        </is>
      </c>
      <c r="F10962" s="0" t="s">
        <v>28</v>
      </c>
      <c r="G10962" s="0" t="s">
        <v>29</v>
      </c>
      <c r="H10962" s="5">
        <v>967.157500</v>
      </c>
    </row>
    <row r="10963" spans="1:9">
      <c r="A10963" s="22" t="str">
        <f>HYPERLINK("https://app.vivvix.com/360/KMI/IntelliDrive/ApplUI/Pages/CreativePages/CustomReportCreativeDetail.aspx?App=23&amp;ReportView=4&amp;Qid=1711279&amp;Row=10955&amp;Col=1","No Title Assigned - #15272287080")</f>
        <v/>
      </c>
      <c r="B10963" s="0" t="s">
        <v>14894</v>
      </c>
      <c r="C10963" s="0" t="s">
        <v>14895</v>
      </c>
      <c r="D10963" s="0" t="s">
        <v>14895</v>
      </c>
      <c r="E10963" s="0" t="inlineStr">
        <is>
          <t xml:space="preserve">Mazda</t>
        </is>
      </c>
      <c r="F10963" s="0" t="s">
        <v>13</v>
      </c>
      <c r="G10963" s="0" t="s">
        <v>49</v>
      </c>
      <c r="H10963" s="5">
        <v>10466.793000</v>
      </c>
    </row>
    <row r="10964" spans="1:9">
      <c r="A10964" s="22" t="str">
        <f>HYPERLINK("https://app.vivvix.com/360/KMI/IntelliDrive/ApplUI/Pages/CreativePages/CustomReportCreativeDetail.aspx?App=23&amp;ReportView=4&amp;Qid=1711279&amp;Row=10956&amp;Col=1","No Title Assigned - #15272287125")</f>
        <v/>
      </c>
      <c r="B10964" s="0" t="s">
        <v>14896</v>
      </c>
      <c r="C10964" s="0" t="s">
        <v>14897</v>
      </c>
      <c r="D10964" s="0" t="s">
        <v>14897</v>
      </c>
      <c r="E10964" s="0" t="inlineStr">
        <is>
          <t xml:space="preserve">Mazda</t>
        </is>
      </c>
      <c r="F10964" s="0" t="s">
        <v>13</v>
      </c>
      <c r="G10964" s="0" t="s">
        <v>49</v>
      </c>
      <c r="H10964" s="5">
        <v>124.370100</v>
      </c>
    </row>
    <row r="10965" spans="1:9">
      <c r="A10965" s="22" t="str">
        <f>HYPERLINK("https://app.vivvix.com/360/KMI/IntelliDrive/ApplUI/Pages/CreativePages/CustomReportCreativeDetail.aspx?App=23&amp;ReportView=4&amp;Qid=1711279&amp;Row=10957&amp;Col=1","No Title Assigned - #15272288118")</f>
        <v/>
      </c>
      <c r="B10965" s="0" t="s">
        <v>14898</v>
      </c>
      <c r="C10965" s="0" t="s">
        <v>14899</v>
      </c>
      <c r="D10965" s="0" t="s">
        <v>6656</v>
      </c>
      <c r="E10965" s="0" t="inlineStr">
        <is>
          <t xml:space="preserve">Mazda</t>
        </is>
      </c>
      <c r="F10965" s="0" t="s">
        <v>28</v>
      </c>
      <c r="G10965" s="0" t="s">
        <v>29</v>
      </c>
      <c r="H10965" s="5">
        <v>950.452000</v>
      </c>
    </row>
    <row r="10966" spans="1:9">
      <c r="A10966" s="22" t="str">
        <f>HYPERLINK("https://app.vivvix.com/360/KMI/IntelliDrive/ApplUI/Pages/CreativePages/CustomReportCreativeDetail.aspx?App=23&amp;ReportView=4&amp;Qid=1711279&amp;Row=10958&amp;Col=1","No Title Assigned - #15272288638")</f>
        <v/>
      </c>
      <c r="B10966" s="0" t="s">
        <v>14900</v>
      </c>
      <c r="C10966" s="0" t="s">
        <v>14901</v>
      </c>
      <c r="D10966" s="0" t="s">
        <v>14901</v>
      </c>
      <c r="E10966" s="0" t="inlineStr">
        <is>
          <t xml:space="preserve">Mazda</t>
        </is>
      </c>
      <c r="F10966" s="0" t="s">
        <v>28</v>
      </c>
      <c r="G10966" s="0" t="s">
        <v>29</v>
      </c>
      <c r="H10966" s="5">
        <v>16.278900</v>
      </c>
    </row>
    <row r="10967" spans="1:9">
      <c r="A10967" s="22" t="str">
        <f>HYPERLINK("https://app.vivvix.com/360/KMI/IntelliDrive/ApplUI/Pages/CreativePages/CustomReportCreativeDetail.aspx?App=23&amp;ReportView=4&amp;Qid=1711279&amp;Row=10959&amp;Col=1","No Title Assigned - #15272289272")</f>
        <v/>
      </c>
      <c r="B10967" s="0" t="s">
        <v>14902</v>
      </c>
      <c r="E10967" s="0" t="inlineStr">
        <is>
          <t xml:space="preserve">Mazda</t>
        </is>
      </c>
      <c r="F10967" s="0" t="inlineStr">
        <is>
          <t xml:space="preserve">Mazda</t>
        </is>
      </c>
      <c r="G10967" s="0" t="s">
        <v>171</v>
      </c>
      <c r="H10967" s="5">
        <v>13.894000</v>
      </c>
    </row>
    <row r="10968" spans="1:9">
      <c r="A10968" s="22" t="str">
        <f>HYPERLINK("https://app.vivvix.com/360/KMI/IntelliDrive/ApplUI/Pages/CreativePages/CustomReportCreativeDetail.aspx?App=23&amp;ReportView=4&amp;Qid=1711279&amp;Row=10960&amp;Col=1","No Title Assigned - #15272289727")</f>
        <v/>
      </c>
      <c r="B10968" s="0" t="s">
        <v>14903</v>
      </c>
      <c r="C10968" s="0" t="s">
        <v>14904</v>
      </c>
      <c r="D10968" s="0" t="s">
        <v>4335</v>
      </c>
      <c r="E10968" s="0" t="inlineStr">
        <is>
          <t xml:space="preserve">Mazda</t>
        </is>
      </c>
      <c r="F10968" s="0" t="s">
        <v>13</v>
      </c>
      <c r="G10968" s="0" t="s">
        <v>49</v>
      </c>
      <c r="H10968" s="5">
        <v>27.783200</v>
      </c>
    </row>
    <row r="10969" spans="1:9">
      <c r="A10969" s="22" t="str">
        <f>HYPERLINK("https://app.vivvix.com/360/KMI/IntelliDrive/ApplUI/Pages/CreativePages/CustomReportCreativeDetail.aspx?App=23&amp;ReportView=4&amp;Qid=1711279&amp;Row=10961&amp;Col=1","No Title Assigned - #15272290165")</f>
        <v/>
      </c>
      <c r="B10969" s="0" t="s">
        <v>14905</v>
      </c>
      <c r="C10969" s="0" t="s">
        <v>14906</v>
      </c>
      <c r="D10969" s="0" t="s">
        <v>14906</v>
      </c>
      <c r="E10969" s="0" t="inlineStr">
        <is>
          <t xml:space="preserve">Mazda</t>
        </is>
      </c>
      <c r="F10969" s="0" t="s">
        <v>13</v>
      </c>
      <c r="G10969" s="0" t="s">
        <v>49</v>
      </c>
      <c r="H10969" s="5">
        <v>252.822400</v>
      </c>
    </row>
    <row r="10970" spans="1:9">
      <c r="A10970" s="22" t="str">
        <f>HYPERLINK("https://app.vivvix.com/360/KMI/IntelliDrive/ApplUI/Pages/CreativePages/CustomReportCreativeDetail.aspx?App=23&amp;ReportView=4&amp;Qid=1711279&amp;Row=10962&amp;Col=1","No Title Assigned - #15272290387")</f>
        <v/>
      </c>
      <c r="B10970" s="0" t="s">
        <v>14907</v>
      </c>
      <c r="C10970" s="0" t="s">
        <v>14908</v>
      </c>
      <c r="D10970" s="0" t="s">
        <v>14908</v>
      </c>
      <c r="E10970" s="0" t="inlineStr">
        <is>
          <t xml:space="preserve">Mazda</t>
        </is>
      </c>
      <c r="F10970" s="0" t="inlineStr">
        <is>
          <t xml:space="preserve">Mazda</t>
        </is>
      </c>
      <c r="G10970" s="0" t="s">
        <v>171</v>
      </c>
      <c r="H10970" s="5">
        <v>31.909300</v>
      </c>
    </row>
    <row r="10971" spans="1:9">
      <c r="A10971" s="22" t="str">
        <f>HYPERLINK("https://app.vivvix.com/360/KMI/IntelliDrive/ApplUI/Pages/CreativePages/CustomReportCreativeDetail.aspx?App=23&amp;ReportView=4&amp;Qid=1711279&amp;Row=10963&amp;Col=1","No Title Assigned - #15272290412")</f>
        <v/>
      </c>
      <c r="B10971" s="0" t="s">
        <v>14909</v>
      </c>
      <c r="E10971" s="0" t="inlineStr">
        <is>
          <t xml:space="preserve">Mazda</t>
        </is>
      </c>
      <c r="F10971" s="0" t="inlineStr">
        <is>
          <t xml:space="preserve">Mazda</t>
        </is>
      </c>
      <c r="G10971" s="0" t="s">
        <v>171</v>
      </c>
      <c r="H10971" s="5">
        <v>304.048800</v>
      </c>
    </row>
    <row r="10972" spans="1:9">
      <c r="A10972" s="22" t="str">
        <f>HYPERLINK("https://app.vivvix.com/360/KMI/IntelliDrive/ApplUI/Pages/CreativePages/CustomReportCreativeDetail.aspx?App=23&amp;ReportView=4&amp;Qid=1711279&amp;Row=10964&amp;Col=1","No Title Assigned - #15272290529")</f>
        <v/>
      </c>
      <c r="B10972" s="0" t="s">
        <v>14910</v>
      </c>
      <c r="E10972" s="0" t="inlineStr">
        <is>
          <t xml:space="preserve">Mazda</t>
        </is>
      </c>
      <c r="F10972" s="0" t="inlineStr">
        <is>
          <t xml:space="preserve">Mazda</t>
        </is>
      </c>
      <c r="G10972" s="0" t="s">
        <v>171</v>
      </c>
      <c r="H10972" s="5">
        <v>26.241800</v>
      </c>
    </row>
    <row r="10973" spans="1:9">
      <c r="A10973" s="22" t="str">
        <f>HYPERLINK("https://app.vivvix.com/360/KMI/IntelliDrive/ApplUI/Pages/CreativePages/CustomReportCreativeDetail.aspx?App=23&amp;ReportView=4&amp;Qid=1711279&amp;Row=10965&amp;Col=1","No Title Assigned - #15272290843")</f>
        <v/>
      </c>
      <c r="B10973" s="0" t="s">
        <v>14911</v>
      </c>
      <c r="E10973" s="0" t="inlineStr">
        <is>
          <t xml:space="preserve">Mazda</t>
        </is>
      </c>
      <c r="F10973" s="0" t="inlineStr">
        <is>
          <t xml:space="preserve">Mazda</t>
        </is>
      </c>
      <c r="G10973" s="0" t="s">
        <v>171</v>
      </c>
      <c r="H10973" s="5">
        <v>14.389200</v>
      </c>
    </row>
    <row r="10974" spans="1:9">
      <c r="A10974" s="22" t="str">
        <f>HYPERLINK("https://app.vivvix.com/360/KMI/IntelliDrive/ApplUI/Pages/CreativePages/CustomReportCreativeDetail.aspx?App=23&amp;ReportView=4&amp;Qid=1711279&amp;Row=10966&amp;Col=1","No Title Assigned - #15272291634")</f>
        <v/>
      </c>
      <c r="B10974" s="0" t="s">
        <v>14912</v>
      </c>
      <c r="C10974" s="0" t="s">
        <v>14913</v>
      </c>
      <c r="D10974" s="0" t="s">
        <v>14913</v>
      </c>
      <c r="E10974" s="0" t="inlineStr">
        <is>
          <t xml:space="preserve">Mazda</t>
        </is>
      </c>
      <c r="F10974" s="0" t="inlineStr">
        <is>
          <t xml:space="preserve">Mazda</t>
        </is>
      </c>
      <c r="G10974" s="0" t="s">
        <v>171</v>
      </c>
      <c r="H10974" s="5">
        <v>210.389700</v>
      </c>
    </row>
    <row r="10975" spans="1:9">
      <c r="A10975" s="22" t="str">
        <f>HYPERLINK("https://app.vivvix.com/360/KMI/IntelliDrive/ApplUI/Pages/CreativePages/CustomReportCreativeDetail.aspx?App=23&amp;ReportView=4&amp;Qid=1711279&amp;Row=10967&amp;Col=1","No Title Assigned - #15272292089")</f>
        <v/>
      </c>
      <c r="B10975" s="0" t="s">
        <v>14914</v>
      </c>
      <c r="E10975" s="0" t="inlineStr">
        <is>
          <t xml:space="preserve">Mazda</t>
        </is>
      </c>
      <c r="F10975" s="0" t="inlineStr">
        <is>
          <t xml:space="preserve">Mazda</t>
        </is>
      </c>
      <c r="G10975" s="0" t="s">
        <v>171</v>
      </c>
      <c r="H10975" s="5">
        <v>2.944200</v>
      </c>
    </row>
    <row r="10976" spans="1:9">
      <c r="A10976" s="22" t="str">
        <f>HYPERLINK("https://app.vivvix.com/360/KMI/IntelliDrive/ApplUI/Pages/CreativePages/CustomReportCreativeDetail.aspx?App=23&amp;ReportView=4&amp;Qid=1711279&amp;Row=10968&amp;Col=1","No Title Assigned - #15272292335")</f>
        <v/>
      </c>
      <c r="B10976" s="0" t="s">
        <v>14915</v>
      </c>
      <c r="E10976" s="0" t="inlineStr">
        <is>
          <t xml:space="preserve">Mazda</t>
        </is>
      </c>
      <c r="F10976" s="0" t="inlineStr">
        <is>
          <t xml:space="preserve">Mazda</t>
        </is>
      </c>
      <c r="G10976" s="0" t="s">
        <v>171</v>
      </c>
      <c r="H10976" s="5">
        <v>19.183900</v>
      </c>
    </row>
    <row r="10977" spans="1:9">
      <c r="A10977" s="22" t="str">
        <f>HYPERLINK("https://app.vivvix.com/360/KMI/IntelliDrive/ApplUI/Pages/CreativePages/CustomReportCreativeDetail.aspx?App=23&amp;ReportView=4&amp;Qid=1711279&amp;Row=10969&amp;Col=1","No Title Assigned - #15272292486")</f>
        <v/>
      </c>
      <c r="B10977" s="0" t="s">
        <v>14916</v>
      </c>
      <c r="E10977" s="0" t="inlineStr">
        <is>
          <t xml:space="preserve">Mazda</t>
        </is>
      </c>
      <c r="F10977" s="0" t="inlineStr">
        <is>
          <t xml:space="preserve">Mazda</t>
        </is>
      </c>
      <c r="G10977" s="0" t="s">
        <v>171</v>
      </c>
      <c r="H10977" s="5">
        <v>8.606100</v>
      </c>
    </row>
    <row r="10978" spans="1:9">
      <c r="A10978" s="22" t="str">
        <f>HYPERLINK("https://app.vivvix.com/360/KMI/IntelliDrive/ApplUI/Pages/CreativePages/CustomReportCreativeDetail.aspx?App=23&amp;ReportView=4&amp;Qid=1711279&amp;Row=10970&amp;Col=1","No Title Assigned - #15272292527")</f>
        <v/>
      </c>
      <c r="B10978" s="0" t="s">
        <v>14917</v>
      </c>
      <c r="E10978" s="0" t="inlineStr">
        <is>
          <t xml:space="preserve">Mazda</t>
        </is>
      </c>
      <c r="F10978" s="0" t="inlineStr">
        <is>
          <t xml:space="preserve">Mazda</t>
        </is>
      </c>
      <c r="G10978" s="0" t="s">
        <v>171</v>
      </c>
      <c r="H10978" s="5">
        <v>449.993900</v>
      </c>
    </row>
    <row r="10979" spans="1:9">
      <c r="A10979" s="22" t="str">
        <f>HYPERLINK("https://app.vivvix.com/360/KMI/IntelliDrive/ApplUI/Pages/CreativePages/CustomReportCreativeDetail.aspx?App=23&amp;ReportView=4&amp;Qid=1711279&amp;Row=10971&amp;Col=1","No Title Assigned - #15272292571")</f>
        <v/>
      </c>
      <c r="B10979" s="0" t="s">
        <v>14918</v>
      </c>
      <c r="E10979" s="0" t="inlineStr">
        <is>
          <t xml:space="preserve">Mazda</t>
        </is>
      </c>
      <c r="F10979" s="0" t="inlineStr">
        <is>
          <t xml:space="preserve">Mazda</t>
        </is>
      </c>
      <c r="G10979" s="0" t="s">
        <v>171</v>
      </c>
      <c r="H10979" s="5">
        <v>75.667300</v>
      </c>
    </row>
    <row r="10980" spans="1:9">
      <c r="A10980" s="22" t="str">
        <f>HYPERLINK("https://app.vivvix.com/360/KMI/IntelliDrive/ApplUI/Pages/CreativePages/CustomReportCreativeDetail.aspx?App=23&amp;ReportView=4&amp;Qid=1711279&amp;Row=10972&amp;Col=1","No Title Assigned - #15272292832")</f>
        <v/>
      </c>
      <c r="B10980" s="0" t="s">
        <v>14919</v>
      </c>
      <c r="C10980" s="0" t="s">
        <v>14920</v>
      </c>
      <c r="D10980" s="0" t="s">
        <v>14920</v>
      </c>
      <c r="E10980" s="0" t="inlineStr">
        <is>
          <t xml:space="preserve">Mazda</t>
        </is>
      </c>
      <c r="F10980" s="0" t="inlineStr">
        <is>
          <t xml:space="preserve">Mazda</t>
        </is>
      </c>
      <c r="G10980" s="0" t="s">
        <v>171</v>
      </c>
      <c r="H10980" s="5">
        <v>820.987900</v>
      </c>
    </row>
    <row r="10981" spans="1:9">
      <c r="A10981" s="22" t="str">
        <f>HYPERLINK("https://app.vivvix.com/360/KMI/IntelliDrive/ApplUI/Pages/CreativePages/CustomReportCreativeDetail.aspx?App=23&amp;ReportView=4&amp;Qid=1711279&amp;Row=10973&amp;Col=1","No Title Assigned - #15272292832")</f>
        <v/>
      </c>
      <c r="B10981" s="0" t="s">
        <v>14919</v>
      </c>
      <c r="E10981" s="0" t="inlineStr">
        <is>
          <t xml:space="preserve">Mazda</t>
        </is>
      </c>
      <c r="F10981" s="0" t="inlineStr">
        <is>
          <t xml:space="preserve">Mazda</t>
        </is>
      </c>
      <c r="G10981" s="0" t="s">
        <v>171</v>
      </c>
      <c r="H10981" s="5">
        <v>85247.140600</v>
      </c>
    </row>
    <row r="10982" spans="1:9">
      <c r="A10982" s="22" t="str">
        <f>HYPERLINK("https://app.vivvix.com/360/KMI/IntelliDrive/ApplUI/Pages/CreativePages/CustomReportCreativeDetail.aspx?App=23&amp;ReportView=4&amp;Qid=1711279&amp;Row=10974&amp;Col=1","No Title Assigned - #15272294541")</f>
        <v/>
      </c>
      <c r="B10982" s="0" t="s">
        <v>14921</v>
      </c>
      <c r="E10982" s="0" t="inlineStr">
        <is>
          <t xml:space="preserve">Mazda</t>
        </is>
      </c>
      <c r="F10982" s="0" t="inlineStr">
        <is>
          <t xml:space="preserve">Mazda</t>
        </is>
      </c>
      <c r="G10982" s="0" t="s">
        <v>171</v>
      </c>
      <c r="H10982" s="5">
        <v>165.614700</v>
      </c>
    </row>
    <row r="10983" spans="1:9">
      <c r="A10983" s="22" t="str">
        <f>HYPERLINK("https://app.vivvix.com/360/KMI/IntelliDrive/ApplUI/Pages/CreativePages/CustomReportCreativeDetail.aspx?App=23&amp;ReportView=4&amp;Qid=1711279&amp;Row=10975&amp;Col=1","No Title Assigned - #15272294917")</f>
        <v/>
      </c>
      <c r="B10983" s="0" t="s">
        <v>14922</v>
      </c>
      <c r="E10983" s="0" t="inlineStr">
        <is>
          <t xml:space="preserve">Mazda</t>
        </is>
      </c>
      <c r="F10983" s="0" t="inlineStr">
        <is>
          <t xml:space="preserve">Mazda</t>
        </is>
      </c>
      <c r="G10983" s="0" t="s">
        <v>171</v>
      </c>
      <c r="H10983" s="5">
        <v>60.318300</v>
      </c>
    </row>
    <row r="10984" spans="1:9">
      <c r="A10984" s="22" t="str">
        <f>HYPERLINK("https://app.vivvix.com/360/KMI/IntelliDrive/ApplUI/Pages/CreativePages/CustomReportCreativeDetail.aspx?App=23&amp;ReportView=4&amp;Qid=1711279&amp;Row=10976&amp;Col=1","No Title Assigned - #15272295066")</f>
        <v/>
      </c>
      <c r="B10984" s="0" t="s">
        <v>14923</v>
      </c>
      <c r="E10984" s="0" t="inlineStr">
        <is>
          <t xml:space="preserve">Mazda</t>
        </is>
      </c>
      <c r="F10984" s="0" t="inlineStr">
        <is>
          <t xml:space="preserve">Mazda</t>
        </is>
      </c>
      <c r="G10984" s="0" t="s">
        <v>171</v>
      </c>
      <c r="H10984" s="5">
        <v>0.985800</v>
      </c>
    </row>
    <row r="10985" spans="1:9">
      <c r="A10985" s="22" t="str">
        <f>HYPERLINK("https://app.vivvix.com/360/KMI/IntelliDrive/ApplUI/Pages/CreativePages/CustomReportCreativeDetail.aspx?App=23&amp;ReportView=4&amp;Qid=1711279&amp;Row=10977&amp;Col=1","No Title Assigned - #15272295947")</f>
        <v/>
      </c>
      <c r="B10985" s="0" t="s">
        <v>14924</v>
      </c>
      <c r="E10985" s="0" t="inlineStr">
        <is>
          <t xml:space="preserve">Mazda</t>
        </is>
      </c>
      <c r="F10985" s="0" t="inlineStr">
        <is>
          <t xml:space="preserve">Mazda</t>
        </is>
      </c>
      <c r="G10985" s="0" t="s">
        <v>171</v>
      </c>
      <c r="H10985" s="5">
        <v>5.804500</v>
      </c>
    </row>
    <row r="10986" spans="1:9">
      <c r="A10986" s="22" t="str">
        <f>HYPERLINK("https://app.vivvix.com/360/KMI/IntelliDrive/ApplUI/Pages/CreativePages/CustomReportCreativeDetail.aspx?App=23&amp;ReportView=4&amp;Qid=1711279&amp;Row=10978&amp;Col=1","No Title Assigned - #15272296033")</f>
        <v/>
      </c>
      <c r="B10986" s="0" t="s">
        <v>14925</v>
      </c>
      <c r="E10986" s="0" t="inlineStr">
        <is>
          <t xml:space="preserve">Mazda</t>
        </is>
      </c>
      <c r="F10986" s="0" t="inlineStr">
        <is>
          <t xml:space="preserve">Mazda</t>
        </is>
      </c>
      <c r="G10986" s="0" t="s">
        <v>171</v>
      </c>
      <c r="H10986" s="5">
        <v>729.051400</v>
      </c>
    </row>
    <row r="10987" spans="1:9">
      <c r="A10987" s="22" t="str">
        <f>HYPERLINK("https://app.vivvix.com/360/KMI/IntelliDrive/ApplUI/Pages/CreativePages/CustomReportCreativeDetail.aspx?App=23&amp;ReportView=4&amp;Qid=1711279&amp;Row=10979&amp;Col=1","No Title Assigned - #15272297795")</f>
        <v/>
      </c>
      <c r="B10987" s="0" t="s">
        <v>14926</v>
      </c>
      <c r="E10987" s="0" t="inlineStr">
        <is>
          <t xml:space="preserve">Mazda</t>
        </is>
      </c>
      <c r="F10987" s="0" t="inlineStr">
        <is>
          <t xml:space="preserve">Mazda</t>
        </is>
      </c>
      <c r="G10987" s="0" t="s">
        <v>171</v>
      </c>
      <c r="H10987" s="5">
        <v>17.212200</v>
      </c>
    </row>
    <row r="10988" spans="1:9">
      <c r="A10988" s="22" t="str">
        <f>HYPERLINK("https://app.vivvix.com/360/KMI/IntelliDrive/ApplUI/Pages/CreativePages/CustomReportCreativeDetail.aspx?App=23&amp;ReportView=4&amp;Qid=1711279&amp;Row=10980&amp;Col=1","No Title Assigned - #15272297854")</f>
        <v/>
      </c>
      <c r="B10988" s="0" t="s">
        <v>14927</v>
      </c>
      <c r="E10988" s="0" t="inlineStr">
        <is>
          <t xml:space="preserve">Mazda</t>
        </is>
      </c>
      <c r="F10988" s="0" t="inlineStr">
        <is>
          <t xml:space="preserve">Mazda</t>
        </is>
      </c>
      <c r="G10988" s="0" t="s">
        <v>171</v>
      </c>
      <c r="H10988" s="5">
        <v>11.672600</v>
      </c>
    </row>
    <row r="10989" spans="1:9">
      <c r="A10989" s="22" t="str">
        <f>HYPERLINK("https://app.vivvix.com/360/KMI/IntelliDrive/ApplUI/Pages/CreativePages/CustomReportCreativeDetail.aspx?App=23&amp;ReportView=4&amp;Qid=1711279&amp;Row=10981&amp;Col=1","No Title Assigned - #15272298271")</f>
        <v/>
      </c>
      <c r="B10989" s="0" t="s">
        <v>14928</v>
      </c>
      <c r="E10989" s="0" t="inlineStr">
        <is>
          <t xml:space="preserve">Mazda</t>
        </is>
      </c>
      <c r="F10989" s="0" t="inlineStr">
        <is>
          <t xml:space="preserve">Mazda</t>
        </is>
      </c>
      <c r="G10989" s="0" t="s">
        <v>171</v>
      </c>
      <c r="H10989" s="5">
        <v>37.097900</v>
      </c>
    </row>
    <row r="10990" spans="1:9">
      <c r="A10990" s="22" t="str">
        <f>HYPERLINK("https://app.vivvix.com/360/KMI/IntelliDrive/ApplUI/Pages/CreativePages/CustomReportCreativeDetail.aspx?App=23&amp;ReportView=4&amp;Qid=1711279&amp;Row=10982&amp;Col=1","No Title Assigned - #15272298875")</f>
        <v/>
      </c>
      <c r="B10990" s="0" t="s">
        <v>14929</v>
      </c>
      <c r="E10990" s="0" t="inlineStr">
        <is>
          <t xml:space="preserve">Mazda</t>
        </is>
      </c>
      <c r="F10990" s="0" t="inlineStr">
        <is>
          <t xml:space="preserve">Mazda</t>
        </is>
      </c>
      <c r="G10990" s="0" t="s">
        <v>171</v>
      </c>
      <c r="H10990" s="5">
        <v>532.007800</v>
      </c>
    </row>
    <row r="10991" spans="1:9">
      <c r="A10991" s="22" t="str">
        <f>HYPERLINK("https://app.vivvix.com/360/KMI/IntelliDrive/ApplUI/Pages/CreativePages/CustomReportCreativeDetail.aspx?App=23&amp;ReportView=4&amp;Qid=1711279&amp;Row=10983&amp;Col=1","No Title Assigned - #15272299260")</f>
        <v/>
      </c>
      <c r="B10991" s="0" t="s">
        <v>14930</v>
      </c>
      <c r="C10991" s="0" t="s">
        <v>14931</v>
      </c>
      <c r="D10991" s="0" t="s">
        <v>14931</v>
      </c>
      <c r="E10991" s="0" t="inlineStr">
        <is>
          <t xml:space="preserve">Mazda</t>
        </is>
      </c>
      <c r="F10991" s="0" t="inlineStr">
        <is>
          <t xml:space="preserve">Mazda</t>
        </is>
      </c>
      <c r="G10991" s="0" t="s">
        <v>171</v>
      </c>
      <c r="H10991" s="5">
        <v>317.429600</v>
      </c>
    </row>
    <row r="10992" spans="1:9">
      <c r="A10992" s="22" t="str">
        <f>HYPERLINK("https://app.vivvix.com/360/KMI/IntelliDrive/ApplUI/Pages/CreativePages/CustomReportCreativeDetail.aspx?App=23&amp;ReportView=4&amp;Qid=1711279&amp;Row=10984&amp;Col=1","No Title Assigned - #15272299985")</f>
        <v/>
      </c>
      <c r="B10992" s="0" t="s">
        <v>14932</v>
      </c>
      <c r="E10992" s="0" t="inlineStr">
        <is>
          <t xml:space="preserve">Mazda</t>
        </is>
      </c>
      <c r="F10992" s="0" t="inlineStr">
        <is>
          <t xml:space="preserve">Mazda</t>
        </is>
      </c>
      <c r="G10992" s="0" t="s">
        <v>171</v>
      </c>
      <c r="H10992" s="5">
        <v>0.990300</v>
      </c>
    </row>
    <row r="10993" spans="1:9">
      <c r="A10993" s="22" t="str">
        <f>HYPERLINK("https://app.vivvix.com/360/KMI/IntelliDrive/ApplUI/Pages/CreativePages/CustomReportCreativeDetail.aspx?App=23&amp;ReportView=4&amp;Qid=1711279&amp;Row=10985&amp;Col=1","No Title Assigned - #15272300021")</f>
        <v/>
      </c>
      <c r="B10993" s="0" t="s">
        <v>14933</v>
      </c>
      <c r="E10993" s="0" t="inlineStr">
        <is>
          <t xml:space="preserve">Mazda</t>
        </is>
      </c>
      <c r="F10993" s="0" t="inlineStr">
        <is>
          <t xml:space="preserve">Mazda</t>
        </is>
      </c>
      <c r="G10993" s="0" t="s">
        <v>171</v>
      </c>
      <c r="H10993" s="5">
        <v>16.698100</v>
      </c>
    </row>
    <row r="10994" spans="1:9">
      <c r="A10994" s="22" t="str">
        <f>HYPERLINK("https://app.vivvix.com/360/KMI/IntelliDrive/ApplUI/Pages/CreativePages/CustomReportCreativeDetail.aspx?App=23&amp;ReportView=4&amp;Qid=1711279&amp;Row=10986&amp;Col=1","No Title Assigned - #15272300256")</f>
        <v/>
      </c>
      <c r="B10994" s="0" t="s">
        <v>14934</v>
      </c>
      <c r="E10994" s="0" t="inlineStr">
        <is>
          <t xml:space="preserve">Mazda</t>
        </is>
      </c>
      <c r="F10994" s="0" t="inlineStr">
        <is>
          <t xml:space="preserve">Mazda</t>
        </is>
      </c>
      <c r="G10994" s="0" t="s">
        <v>171</v>
      </c>
      <c r="H10994" s="5">
        <v>29.100400</v>
      </c>
    </row>
    <row r="10995" spans="1:9">
      <c r="A10995" s="22" t="str">
        <f>HYPERLINK("https://app.vivvix.com/360/KMI/IntelliDrive/ApplUI/Pages/CreativePages/CustomReportCreativeDetail.aspx?App=23&amp;ReportView=4&amp;Qid=1711279&amp;Row=10987&amp;Col=1","No Title Assigned - #15272300966")</f>
        <v/>
      </c>
      <c r="B10995" s="0" t="s">
        <v>14935</v>
      </c>
      <c r="C10995" s="0" t="s">
        <v>14936</v>
      </c>
      <c r="D10995" s="0" t="s">
        <v>14936</v>
      </c>
      <c r="E10995" s="0" t="inlineStr">
        <is>
          <t xml:space="preserve">Mazda</t>
        </is>
      </c>
      <c r="F10995" s="0" t="inlineStr">
        <is>
          <t xml:space="preserve">Mazda</t>
        </is>
      </c>
      <c r="G10995" s="0" t="s">
        <v>171</v>
      </c>
      <c r="H10995" s="5">
        <v>391.000200</v>
      </c>
    </row>
    <row r="10996" spans="1:9">
      <c r="A10996" s="22" t="str">
        <f>HYPERLINK("https://app.vivvix.com/360/KMI/IntelliDrive/ApplUI/Pages/CreativePages/CustomReportCreativeDetail.aspx?App=23&amp;ReportView=4&amp;Qid=1711279&amp;Row=10988&amp;Col=1","No Title Assigned - #15272301507")</f>
        <v/>
      </c>
      <c r="B10996" s="0" t="s">
        <v>14937</v>
      </c>
      <c r="C10996" s="0" t="s">
        <v>14938</v>
      </c>
      <c r="D10996" s="0" t="s">
        <v>4200</v>
      </c>
      <c r="E10996" s="0" t="inlineStr">
        <is>
          <t xml:space="preserve">Mazda</t>
        </is>
      </c>
      <c r="F10996" s="0" t="s">
        <v>28</v>
      </c>
      <c r="G10996" s="0" t="s">
        <v>29</v>
      </c>
      <c r="H10996" s="5">
        <v>57.188300</v>
      </c>
    </row>
    <row r="10997" spans="1:9">
      <c r="A10997" s="22" t="str">
        <f>HYPERLINK("https://app.vivvix.com/360/KMI/IntelliDrive/ApplUI/Pages/CreativePages/CustomReportCreativeDetail.aspx?App=23&amp;ReportView=4&amp;Qid=1711279&amp;Row=10989&amp;Col=1","No Title Assigned - #15272301548")</f>
        <v/>
      </c>
      <c r="B10997" s="0" t="s">
        <v>14939</v>
      </c>
      <c r="E10997" s="0" t="inlineStr">
        <is>
          <t xml:space="preserve">Mazda</t>
        </is>
      </c>
      <c r="F10997" s="0" t="inlineStr">
        <is>
          <t xml:space="preserve">Mazda</t>
        </is>
      </c>
      <c r="G10997" s="0" t="s">
        <v>171</v>
      </c>
      <c r="H10997" s="5">
        <v>9451.933300</v>
      </c>
    </row>
    <row r="10998" spans="1:9">
      <c r="A10998" s="22" t="str">
        <f>HYPERLINK("https://app.vivvix.com/360/KMI/IntelliDrive/ApplUI/Pages/CreativePages/CustomReportCreativeDetail.aspx?App=23&amp;ReportView=4&amp;Qid=1711279&amp;Row=10990&amp;Col=1","No Title Assigned - #15272301548")</f>
        <v/>
      </c>
      <c r="B10998" s="0" t="s">
        <v>14939</v>
      </c>
      <c r="E10998" s="0" t="inlineStr">
        <is>
          <t xml:space="preserve">Mazda</t>
        </is>
      </c>
      <c r="F10998" s="0" t="inlineStr">
        <is>
          <t xml:space="preserve">Mazda</t>
        </is>
      </c>
      <c r="G10998" s="0" t="s">
        <v>171</v>
      </c>
      <c r="H10998" s="5">
        <v>45345.740100</v>
      </c>
    </row>
    <row r="10999" spans="1:9">
      <c r="A10999" s="22" t="str">
        <f>HYPERLINK("https://app.vivvix.com/360/KMI/IntelliDrive/ApplUI/Pages/CreativePages/CustomReportCreativeDetail.aspx?App=23&amp;ReportView=4&amp;Qid=1711279&amp;Row=10991&amp;Col=1","No Title Assigned - #15272301646")</f>
        <v/>
      </c>
      <c r="B10999" s="0" t="s">
        <v>14940</v>
      </c>
      <c r="E10999" s="0" t="inlineStr">
        <is>
          <t xml:space="preserve">Mazda</t>
        </is>
      </c>
      <c r="F10999" s="0" t="inlineStr">
        <is>
          <t xml:space="preserve">Mazda</t>
        </is>
      </c>
      <c r="G10999" s="0" t="s">
        <v>171</v>
      </c>
      <c r="H10999" s="5">
        <v>117.082600</v>
      </c>
    </row>
    <row r="11000" spans="1:9">
      <c r="A11000" s="22" t="str">
        <f>HYPERLINK("https://app.vivvix.com/360/KMI/IntelliDrive/ApplUI/Pages/CreativePages/CustomReportCreativeDetail.aspx?App=23&amp;ReportView=4&amp;Qid=1711279&amp;Row=10992&amp;Col=1","No Title Assigned - #15272301717")</f>
        <v/>
      </c>
      <c r="B11000" s="0" t="s">
        <v>14941</v>
      </c>
      <c r="E11000" s="0" t="inlineStr">
        <is>
          <t xml:space="preserve">Mazda</t>
        </is>
      </c>
      <c r="F11000" s="0" t="inlineStr">
        <is>
          <t xml:space="preserve">Mazda</t>
        </is>
      </c>
      <c r="G11000" s="0" t="s">
        <v>171</v>
      </c>
      <c r="H11000" s="5">
        <v>812.939200</v>
      </c>
    </row>
    <row r="11001" spans="1:9">
      <c r="A11001" s="22" t="str">
        <f>HYPERLINK("https://app.vivvix.com/360/KMI/IntelliDrive/ApplUI/Pages/CreativePages/CustomReportCreativeDetail.aspx?App=23&amp;ReportView=4&amp;Qid=1711279&amp;Row=10993&amp;Col=1","No Title Assigned - #15272301717")</f>
        <v/>
      </c>
      <c r="B11001" s="0" t="s">
        <v>14941</v>
      </c>
      <c r="E11001" s="0" t="inlineStr">
        <is>
          <t xml:space="preserve">Mazda</t>
        </is>
      </c>
      <c r="F11001" s="0" t="inlineStr">
        <is>
          <t xml:space="preserve">Mazda</t>
        </is>
      </c>
      <c r="G11001" s="0" t="s">
        <v>171</v>
      </c>
      <c r="H11001" s="5">
        <v>318.678500</v>
      </c>
    </row>
    <row r="11002" spans="1:9">
      <c r="A11002" s="22" t="str">
        <f>HYPERLINK("https://app.vivvix.com/360/KMI/IntelliDrive/ApplUI/Pages/CreativePages/CustomReportCreativeDetail.aspx?App=23&amp;ReportView=4&amp;Qid=1711279&amp;Row=10994&amp;Col=1","No Title Assigned - #15272301931")</f>
        <v/>
      </c>
      <c r="B11002" s="0" t="s">
        <v>14942</v>
      </c>
      <c r="E11002" s="0" t="inlineStr">
        <is>
          <t xml:space="preserve">Mazda</t>
        </is>
      </c>
      <c r="F11002" s="0" t="inlineStr">
        <is>
          <t xml:space="preserve">Mazda</t>
        </is>
      </c>
      <c r="G11002" s="0" t="s">
        <v>171</v>
      </c>
      <c r="H11002" s="5">
        <v>1476.466800</v>
      </c>
    </row>
    <row r="11003" spans="1:9">
      <c r="A11003" s="22" t="str">
        <f>HYPERLINK("https://app.vivvix.com/360/KMI/IntelliDrive/ApplUI/Pages/CreativePages/CustomReportCreativeDetail.aspx?App=23&amp;ReportView=4&amp;Qid=1711279&amp;Row=10995&amp;Col=1","No Title Assigned - #15272302001")</f>
        <v/>
      </c>
      <c r="B11003" s="0" t="s">
        <v>14943</v>
      </c>
      <c r="E11003" s="0" t="inlineStr">
        <is>
          <t xml:space="preserve">Mazda</t>
        </is>
      </c>
      <c r="F11003" s="0" t="inlineStr">
        <is>
          <t xml:space="preserve">Mazda</t>
        </is>
      </c>
      <c r="G11003" s="0" t="s">
        <v>171</v>
      </c>
      <c r="H11003" s="5">
        <v>0.990300</v>
      </c>
    </row>
    <row r="11004" spans="1:9">
      <c r="A11004" s="22" t="str">
        <f>HYPERLINK("https://app.vivvix.com/360/KMI/IntelliDrive/ApplUI/Pages/CreativePages/CustomReportCreativeDetail.aspx?App=23&amp;ReportView=4&amp;Qid=1711279&amp;Row=10996&amp;Col=1","No Title Assigned - #15272302108")</f>
        <v/>
      </c>
      <c r="B11004" s="0" t="s">
        <v>14944</v>
      </c>
      <c r="E11004" s="0" t="inlineStr">
        <is>
          <t xml:space="preserve">Mazda</t>
        </is>
      </c>
      <c r="F11004" s="0" t="s">
        <v>13</v>
      </c>
      <c r="G11004" s="0" t="s">
        <v>49</v>
      </c>
      <c r="H11004" s="5">
        <v>10.903400</v>
      </c>
    </row>
    <row r="11005" spans="1:9">
      <c r="A11005" s="22" t="str">
        <f>HYPERLINK("https://app.vivvix.com/360/KMI/IntelliDrive/ApplUI/Pages/CreativePages/CustomReportCreativeDetail.aspx?App=23&amp;ReportView=4&amp;Qid=1711279&amp;Row=10997&amp;Col=1","No Title Assigned - #15272302646")</f>
        <v/>
      </c>
      <c r="B11005" s="0" t="s">
        <v>14945</v>
      </c>
      <c r="E11005" s="0" t="inlineStr">
        <is>
          <t xml:space="preserve">Mazda</t>
        </is>
      </c>
      <c r="F11005" s="0" t="inlineStr">
        <is>
          <t xml:space="preserve">Mazda</t>
        </is>
      </c>
      <c r="G11005" s="0" t="s">
        <v>171</v>
      </c>
      <c r="H11005" s="5">
        <v>14.697300</v>
      </c>
    </row>
    <row r="11006" spans="1:9">
      <c r="A11006" s="22" t="str">
        <f>HYPERLINK("https://app.vivvix.com/360/KMI/IntelliDrive/ApplUI/Pages/CreativePages/CustomReportCreativeDetail.aspx?App=23&amp;ReportView=4&amp;Qid=1711279&amp;Row=10998&amp;Col=1","No Title Assigned - #15272302805")</f>
        <v/>
      </c>
      <c r="B11006" s="0" t="s">
        <v>14946</v>
      </c>
      <c r="E11006" s="0" t="inlineStr">
        <is>
          <t xml:space="preserve">Mazda</t>
        </is>
      </c>
      <c r="F11006" s="0" t="inlineStr">
        <is>
          <t xml:space="preserve">Mazda</t>
        </is>
      </c>
      <c r="G11006" s="0" t="s">
        <v>171</v>
      </c>
      <c r="H11006" s="5">
        <v>8.879600</v>
      </c>
    </row>
    <row r="11007" spans="1:9">
      <c r="A11007" s="22" t="str">
        <f>HYPERLINK("https://app.vivvix.com/360/KMI/IntelliDrive/ApplUI/Pages/CreativePages/CustomReportCreativeDetail.aspx?App=23&amp;ReportView=4&amp;Qid=1711279&amp;Row=10999&amp;Col=1","No Title Assigned - #15272302962")</f>
        <v/>
      </c>
      <c r="B11007" s="0" t="s">
        <v>14947</v>
      </c>
      <c r="E11007" s="0" t="inlineStr">
        <is>
          <t xml:space="preserve">Mazda</t>
        </is>
      </c>
      <c r="F11007" s="0" t="inlineStr">
        <is>
          <t xml:space="preserve">Mazda</t>
        </is>
      </c>
      <c r="G11007" s="0" t="s">
        <v>171</v>
      </c>
      <c r="H11007" s="5">
        <v>179.262800</v>
      </c>
    </row>
    <row r="11008" spans="1:9">
      <c r="A11008" s="22" t="str">
        <f>HYPERLINK("https://app.vivvix.com/360/KMI/IntelliDrive/ApplUI/Pages/CreativePages/CustomReportCreativeDetail.aspx?App=23&amp;ReportView=4&amp;Qid=1711279&amp;Row=11000&amp;Col=1","No Title Assigned - #15272303317")</f>
        <v/>
      </c>
      <c r="B11008" s="0" t="s">
        <v>14948</v>
      </c>
      <c r="E11008" s="0" t="inlineStr">
        <is>
          <t xml:space="preserve">Mazda</t>
        </is>
      </c>
      <c r="F11008" s="0" t="inlineStr">
        <is>
          <t xml:space="preserve">Mazda</t>
        </is>
      </c>
      <c r="G11008" s="0" t="s">
        <v>171</v>
      </c>
      <c r="H11008" s="5">
        <v>920.154000</v>
      </c>
    </row>
    <row r="11009" spans="1:9">
      <c r="A11009" s="22" t="str">
        <f>HYPERLINK("https://app.vivvix.com/360/KMI/IntelliDrive/ApplUI/Pages/CreativePages/CustomReportCreativeDetail.aspx?App=23&amp;ReportView=4&amp;Qid=1711279&amp;Row=11001&amp;Col=1","No Title Assigned - #15272303368")</f>
        <v/>
      </c>
      <c r="B11009" s="0" t="s">
        <v>14949</v>
      </c>
      <c r="E11009" s="0" t="inlineStr">
        <is>
          <t xml:space="preserve">Mazda</t>
        </is>
      </c>
      <c r="F11009" s="0" t="s">
        <v>13</v>
      </c>
      <c r="G11009" s="0" t="s">
        <v>49</v>
      </c>
      <c r="H11009" s="5">
        <v>866.628000</v>
      </c>
    </row>
    <row r="11010" spans="1:9">
      <c r="A11010" s="22" t="str">
        <f>HYPERLINK("https://app.vivvix.com/360/KMI/IntelliDrive/ApplUI/Pages/CreativePages/CustomReportCreativeDetail.aspx?App=23&amp;ReportView=4&amp;Qid=1711279&amp;Row=11002&amp;Col=1","No Title Assigned - #15272303368")</f>
        <v/>
      </c>
      <c r="B11010" s="0" t="s">
        <v>14949</v>
      </c>
      <c r="C11010" s="0" t="s">
        <v>14950</v>
      </c>
      <c r="D11010" s="0" t="s">
        <v>8453</v>
      </c>
      <c r="E11010" s="0" t="inlineStr">
        <is>
          <t xml:space="preserve">Mazda</t>
        </is>
      </c>
      <c r="F11010" s="0" t="s">
        <v>13</v>
      </c>
      <c r="G11010" s="0" t="s">
        <v>49</v>
      </c>
      <c r="H11010" s="5">
        <v>17012.832100</v>
      </c>
    </row>
    <row r="11011" spans="1:9">
      <c r="A11011" s="22" t="str">
        <f>HYPERLINK("https://app.vivvix.com/360/KMI/IntelliDrive/ApplUI/Pages/CreativePages/CustomReportCreativeDetail.aspx?App=23&amp;ReportView=4&amp;Qid=1711279&amp;Row=11003&amp;Col=1","No Title Assigned - #15272303755")</f>
        <v/>
      </c>
      <c r="B11011" s="0" t="s">
        <v>14951</v>
      </c>
      <c r="E11011" s="0" t="inlineStr">
        <is>
          <t xml:space="preserve">Mazda</t>
        </is>
      </c>
      <c r="F11011" s="0" t="inlineStr">
        <is>
          <t xml:space="preserve">Mazda</t>
        </is>
      </c>
      <c r="G11011" s="0" t="s">
        <v>171</v>
      </c>
      <c r="H11011" s="5">
        <v>10.608000</v>
      </c>
    </row>
    <row r="11012" spans="1:9">
      <c r="A11012" s="22" t="str">
        <f>HYPERLINK("https://app.vivvix.com/360/KMI/IntelliDrive/ApplUI/Pages/CreativePages/CustomReportCreativeDetail.aspx?App=23&amp;ReportView=4&amp;Qid=1711279&amp;Row=11004&amp;Col=1","No Title Assigned - #15272303826")</f>
        <v/>
      </c>
      <c r="B11012" s="0" t="s">
        <v>14952</v>
      </c>
      <c r="E11012" s="0" t="inlineStr">
        <is>
          <t xml:space="preserve">Mazda</t>
        </is>
      </c>
      <c r="F11012" s="0" t="inlineStr">
        <is>
          <t xml:space="preserve">Mazda</t>
        </is>
      </c>
      <c r="G11012" s="0" t="s">
        <v>171</v>
      </c>
      <c r="H11012" s="5">
        <v>213.434500</v>
      </c>
    </row>
    <row r="11013" spans="1:9">
      <c r="A11013" s="22" t="str">
        <f>HYPERLINK("https://app.vivvix.com/360/KMI/IntelliDrive/ApplUI/Pages/CreativePages/CustomReportCreativeDetail.aspx?App=23&amp;ReportView=4&amp;Qid=1711279&amp;Row=11005&amp;Col=1","No Title Assigned - #15272303868")</f>
        <v/>
      </c>
      <c r="B11013" s="0" t="s">
        <v>14953</v>
      </c>
      <c r="E11013" s="0" t="inlineStr">
        <is>
          <t xml:space="preserve">Mazda</t>
        </is>
      </c>
      <c r="F11013" s="0" t="inlineStr">
        <is>
          <t xml:space="preserve">Mazda</t>
        </is>
      </c>
      <c r="G11013" s="0" t="s">
        <v>171</v>
      </c>
      <c r="H11013" s="5">
        <v>19.114800</v>
      </c>
    </row>
    <row r="11014" spans="1:9">
      <c r="A11014" s="22" t="str">
        <f>HYPERLINK("https://app.vivvix.com/360/KMI/IntelliDrive/ApplUI/Pages/CreativePages/CustomReportCreativeDetail.aspx?App=23&amp;ReportView=4&amp;Qid=1711279&amp;Row=11006&amp;Col=1","No Title Assigned - #15272303908")</f>
        <v/>
      </c>
      <c r="B11014" s="0" t="s">
        <v>14954</v>
      </c>
      <c r="C11014" s="0" t="s">
        <v>14955</v>
      </c>
      <c r="D11014" s="0" t="s">
        <v>14955</v>
      </c>
      <c r="E11014" s="0" t="inlineStr">
        <is>
          <t xml:space="preserve">Mazda</t>
        </is>
      </c>
      <c r="F11014" s="0" t="inlineStr">
        <is>
          <t xml:space="preserve">Mazda</t>
        </is>
      </c>
      <c r="G11014" s="0" t="s">
        <v>171</v>
      </c>
      <c r="H11014" s="5">
        <v>22480.238700</v>
      </c>
    </row>
    <row r="11015" spans="1:9">
      <c r="A11015" s="22" t="str">
        <f>HYPERLINK("https://app.vivvix.com/360/KMI/IntelliDrive/ApplUI/Pages/CreativePages/CustomReportCreativeDetail.aspx?App=23&amp;ReportView=4&amp;Qid=1711279&amp;Row=11007&amp;Col=1","No Title Assigned - #15272303908")</f>
        <v/>
      </c>
      <c r="B11015" s="0" t="s">
        <v>14954</v>
      </c>
      <c r="E11015" s="0" t="inlineStr">
        <is>
          <t xml:space="preserve">Mazda</t>
        </is>
      </c>
      <c r="F11015" s="0" t="inlineStr">
        <is>
          <t xml:space="preserve">Mazda</t>
        </is>
      </c>
      <c r="G11015" s="0" t="s">
        <v>171</v>
      </c>
      <c r="H11015" s="5">
        <v>1644.661800</v>
      </c>
    </row>
    <row r="11016" spans="1:9">
      <c r="A11016" s="22" t="str">
        <f>HYPERLINK("https://app.vivvix.com/360/KMI/IntelliDrive/ApplUI/Pages/CreativePages/CustomReportCreativeDetail.aspx?App=23&amp;ReportView=4&amp;Qid=1711279&amp;Row=11008&amp;Col=1","No Title Assigned - #15272304361")</f>
        <v/>
      </c>
      <c r="B11016" s="0" t="s">
        <v>14956</v>
      </c>
      <c r="E11016" s="0" t="inlineStr">
        <is>
          <t xml:space="preserve">Mazda</t>
        </is>
      </c>
      <c r="F11016" s="0" t="inlineStr">
        <is>
          <t xml:space="preserve">Mazda</t>
        </is>
      </c>
      <c r="G11016" s="0" t="s">
        <v>171</v>
      </c>
      <c r="H11016" s="5">
        <v>10.962500</v>
      </c>
    </row>
    <row r="11017" spans="1:9">
      <c r="A11017" s="22" t="str">
        <f>HYPERLINK("https://app.vivvix.com/360/KMI/IntelliDrive/ApplUI/Pages/CreativePages/CustomReportCreativeDetail.aspx?App=23&amp;ReportView=4&amp;Qid=1711279&amp;Row=11009&amp;Col=1","No Title Assigned - #15272304444")</f>
        <v/>
      </c>
      <c r="B11017" s="0" t="s">
        <v>14957</v>
      </c>
      <c r="C11017" s="0" t="s">
        <v>14958</v>
      </c>
      <c r="D11017" s="0" t="s">
        <v>4768</v>
      </c>
      <c r="E11017" s="0" t="inlineStr">
        <is>
          <t xml:space="preserve">Mazda</t>
        </is>
      </c>
      <c r="F11017" s="0" t="s">
        <v>13</v>
      </c>
      <c r="G11017" s="0" t="s">
        <v>49</v>
      </c>
      <c r="H11017" s="5">
        <v>2.610000</v>
      </c>
    </row>
    <row r="11018" spans="1:9">
      <c r="A11018" s="22" t="str">
        <f>HYPERLINK("https://app.vivvix.com/360/KMI/IntelliDrive/ApplUI/Pages/CreativePages/CustomReportCreativeDetail.aspx?App=23&amp;ReportView=4&amp;Qid=1711279&amp;Row=11010&amp;Col=1","No Title Assigned - #15272304588")</f>
        <v/>
      </c>
      <c r="B11018" s="0" t="s">
        <v>14959</v>
      </c>
      <c r="E11018" s="0" t="inlineStr">
        <is>
          <t xml:space="preserve">Mazda</t>
        </is>
      </c>
      <c r="F11018" s="0" t="s">
        <v>13</v>
      </c>
      <c r="G11018" s="0" t="s">
        <v>49</v>
      </c>
      <c r="H11018" s="5">
        <v>105.297400</v>
      </c>
    </row>
    <row r="11019" spans="1:9">
      <c r="A11019" s="22" t="str">
        <f>HYPERLINK("https://app.vivvix.com/360/KMI/IntelliDrive/ApplUI/Pages/CreativePages/CustomReportCreativeDetail.aspx?App=23&amp;ReportView=4&amp;Qid=1711279&amp;Row=11011&amp;Col=1","No Title Assigned - #15272304925")</f>
        <v/>
      </c>
      <c r="B11019" s="0" t="s">
        <v>14960</v>
      </c>
      <c r="E11019" s="0" t="inlineStr">
        <is>
          <t xml:space="preserve">Mazda</t>
        </is>
      </c>
      <c r="F11019" s="0" t="inlineStr">
        <is>
          <t xml:space="preserve">Mazda</t>
        </is>
      </c>
      <c r="G11019" s="0" t="s">
        <v>171</v>
      </c>
      <c r="H11019" s="5">
        <v>52.719100</v>
      </c>
    </row>
    <row r="11020" spans="1:9">
      <c r="A11020" s="22" t="str">
        <f>HYPERLINK("https://app.vivvix.com/360/KMI/IntelliDrive/ApplUI/Pages/CreativePages/CustomReportCreativeDetail.aspx?App=23&amp;ReportView=4&amp;Qid=1711279&amp;Row=11012&amp;Col=1","No Title Assigned - #15272305415")</f>
        <v/>
      </c>
      <c r="B11020" s="0" t="s">
        <v>14961</v>
      </c>
      <c r="E11020" s="0" t="inlineStr">
        <is>
          <t xml:space="preserve">Mazda</t>
        </is>
      </c>
      <c r="F11020" s="0" t="inlineStr">
        <is>
          <t xml:space="preserve">Mazda</t>
        </is>
      </c>
      <c r="G11020" s="0" t="s">
        <v>171</v>
      </c>
      <c r="H11020" s="5">
        <v>15.005800</v>
      </c>
    </row>
    <row r="11021" spans="1:9">
      <c r="A11021" s="22" t="str">
        <f>HYPERLINK("https://app.vivvix.com/360/KMI/IntelliDrive/ApplUI/Pages/CreativePages/CustomReportCreativeDetail.aspx?App=23&amp;ReportView=4&amp;Qid=1711279&amp;Row=11013&amp;Col=1","No Title Assigned - #15272305822")</f>
        <v/>
      </c>
      <c r="B11021" s="0" t="s">
        <v>14962</v>
      </c>
      <c r="E11021" s="0" t="inlineStr">
        <is>
          <t xml:space="preserve">Mazda</t>
        </is>
      </c>
      <c r="F11021" s="0" t="inlineStr">
        <is>
          <t xml:space="preserve">Mazda</t>
        </is>
      </c>
      <c r="G11021" s="0" t="s">
        <v>171</v>
      </c>
      <c r="H11021" s="5">
        <v>4.306900</v>
      </c>
    </row>
    <row r="11022" spans="1:9">
      <c r="A11022" s="22" t="str">
        <f>HYPERLINK("https://app.vivvix.com/360/KMI/IntelliDrive/ApplUI/Pages/CreativePages/CustomReportCreativeDetail.aspx?App=23&amp;ReportView=4&amp;Qid=1711279&amp;Row=11014&amp;Col=1","No Title Assigned - #15272305896")</f>
        <v/>
      </c>
      <c r="B11022" s="0" t="s">
        <v>14963</v>
      </c>
      <c r="E11022" s="0" t="inlineStr">
        <is>
          <t xml:space="preserve">Mazda</t>
        </is>
      </c>
      <c r="F11022" s="0" t="inlineStr">
        <is>
          <t xml:space="preserve">Mazda</t>
        </is>
      </c>
      <c r="G11022" s="0" t="s">
        <v>171</v>
      </c>
      <c r="H11022" s="5">
        <v>101306.192800</v>
      </c>
    </row>
    <row r="11023" spans="1:9">
      <c r="A11023" s="22" t="str">
        <f>HYPERLINK("https://app.vivvix.com/360/KMI/IntelliDrive/ApplUI/Pages/CreativePages/CustomReportCreativeDetail.aspx?App=23&amp;ReportView=4&amp;Qid=1711279&amp;Row=11015&amp;Col=1","No Title Assigned - #15272305896")</f>
        <v/>
      </c>
      <c r="B11023" s="0" t="s">
        <v>14963</v>
      </c>
      <c r="E11023" s="0" t="inlineStr">
        <is>
          <t xml:space="preserve">Mazda</t>
        </is>
      </c>
      <c r="F11023" s="0" t="inlineStr">
        <is>
          <t xml:space="preserve">Mazda</t>
        </is>
      </c>
      <c r="G11023" s="0" t="s">
        <v>171</v>
      </c>
      <c r="H11023" s="5">
        <v>144059.679800</v>
      </c>
    </row>
    <row r="11024" spans="1:9">
      <c r="A11024" s="22" t="str">
        <f>HYPERLINK("https://app.vivvix.com/360/KMI/IntelliDrive/ApplUI/Pages/CreativePages/CustomReportCreativeDetail.aspx?App=23&amp;ReportView=4&amp;Qid=1711279&amp;Row=11016&amp;Col=1","No Title Assigned - #15272305948")</f>
        <v/>
      </c>
      <c r="B11024" s="0" t="s">
        <v>14964</v>
      </c>
      <c r="E11024" s="0" t="inlineStr">
        <is>
          <t xml:space="preserve">Mazda</t>
        </is>
      </c>
      <c r="F11024" s="0" t="inlineStr">
        <is>
          <t xml:space="preserve">Mazda</t>
        </is>
      </c>
      <c r="G11024" s="0" t="s">
        <v>171</v>
      </c>
      <c r="H11024" s="5">
        <v>22.352900</v>
      </c>
    </row>
    <row r="11025" spans="1:9">
      <c r="A11025" s="22" t="str">
        <f>HYPERLINK("https://app.vivvix.com/360/KMI/IntelliDrive/ApplUI/Pages/CreativePages/CustomReportCreativeDetail.aspx?App=23&amp;ReportView=4&amp;Qid=1711279&amp;Row=11017&amp;Col=1","No Title Assigned - #15272305954")</f>
        <v/>
      </c>
      <c r="B11025" s="0" t="s">
        <v>14965</v>
      </c>
      <c r="E11025" s="0" t="inlineStr">
        <is>
          <t xml:space="preserve">Mazda</t>
        </is>
      </c>
      <c r="F11025" s="0" t="inlineStr">
        <is>
          <t xml:space="preserve">Mazda</t>
        </is>
      </c>
      <c r="G11025" s="0" t="s">
        <v>171</v>
      </c>
      <c r="H11025" s="5">
        <v>26.915200</v>
      </c>
    </row>
    <row r="11026" spans="1:9">
      <c r="A11026" s="22" t="str">
        <f>HYPERLINK("https://app.vivvix.com/360/KMI/IntelliDrive/ApplUI/Pages/CreativePages/CustomReportCreativeDetail.aspx?App=23&amp;ReportView=4&amp;Qid=1711279&amp;Row=11018&amp;Col=1","No Title Assigned - #15272306120")</f>
        <v/>
      </c>
      <c r="B11026" s="0" t="s">
        <v>14966</v>
      </c>
      <c r="E11026" s="0" t="inlineStr">
        <is>
          <t xml:space="preserve">Mazda</t>
        </is>
      </c>
      <c r="F11026" s="0" t="inlineStr">
        <is>
          <t xml:space="preserve">Mazda</t>
        </is>
      </c>
      <c r="G11026" s="0" t="s">
        <v>171</v>
      </c>
      <c r="H11026" s="5">
        <v>43.405700</v>
      </c>
    </row>
    <row r="11027" spans="1:9">
      <c r="A11027" s="22" t="str">
        <f>HYPERLINK("https://app.vivvix.com/360/KMI/IntelliDrive/ApplUI/Pages/CreativePages/CustomReportCreativeDetail.aspx?App=23&amp;ReportView=4&amp;Qid=1711279&amp;Row=11019&amp;Col=1","No Title Assigned - #15272306430")</f>
        <v/>
      </c>
      <c r="B11027" s="0" t="s">
        <v>14967</v>
      </c>
      <c r="E11027" s="0" t="inlineStr">
        <is>
          <t xml:space="preserve">Mazda</t>
        </is>
      </c>
      <c r="F11027" s="0" t="inlineStr">
        <is>
          <t xml:space="preserve">Mazda</t>
        </is>
      </c>
      <c r="G11027" s="0" t="s">
        <v>171</v>
      </c>
      <c r="H11027" s="5">
        <v>288.713200</v>
      </c>
    </row>
    <row r="11028" spans="1:9">
      <c r="A11028" s="22" t="str">
        <f>HYPERLINK("https://app.vivvix.com/360/KMI/IntelliDrive/ApplUI/Pages/CreativePages/CustomReportCreativeDetail.aspx?App=23&amp;ReportView=4&amp;Qid=1711279&amp;Row=11020&amp;Col=1","No Title Assigned - #15272306876")</f>
        <v/>
      </c>
      <c r="B11028" s="0" t="s">
        <v>14968</v>
      </c>
      <c r="E11028" s="0" t="inlineStr">
        <is>
          <t xml:space="preserve">Mazda</t>
        </is>
      </c>
      <c r="F11028" s="0" t="s">
        <v>13</v>
      </c>
      <c r="G11028" s="0" t="s">
        <v>49</v>
      </c>
      <c r="H11028" s="5">
        <v>24.114100</v>
      </c>
    </row>
    <row r="11029" spans="1:9">
      <c r="A11029" s="22" t="str">
        <f>HYPERLINK("https://app.vivvix.com/360/KMI/IntelliDrive/ApplUI/Pages/CreativePages/CustomReportCreativeDetail.aspx?App=23&amp;ReportView=4&amp;Qid=1711279&amp;Row=11021&amp;Col=1","No Title Assigned - #15272307062")</f>
        <v/>
      </c>
      <c r="B11029" s="0" t="s">
        <v>14969</v>
      </c>
      <c r="C11029" s="0" t="s">
        <v>14970</v>
      </c>
      <c r="D11029" s="0" t="s">
        <v>14970</v>
      </c>
      <c r="E11029" s="0" t="inlineStr">
        <is>
          <t xml:space="preserve">Mazda</t>
        </is>
      </c>
      <c r="F11029" s="0" t="inlineStr">
        <is>
          <t xml:space="preserve">Mazda</t>
        </is>
      </c>
      <c r="G11029" s="0" t="s">
        <v>171</v>
      </c>
      <c r="H11029" s="5">
        <v>116.322800</v>
      </c>
    </row>
    <row r="11030" spans="1:9">
      <c r="A11030" s="22" t="str">
        <f>HYPERLINK("https://app.vivvix.com/360/KMI/IntelliDrive/ApplUI/Pages/CreativePages/CustomReportCreativeDetail.aspx?App=23&amp;ReportView=4&amp;Qid=1711279&amp;Row=11022&amp;Col=1","No Title Assigned - #15272307119")</f>
        <v/>
      </c>
      <c r="B11030" s="0" t="s">
        <v>14971</v>
      </c>
      <c r="E11030" s="0" t="inlineStr">
        <is>
          <t xml:space="preserve">Mazda</t>
        </is>
      </c>
      <c r="F11030" s="0" t="inlineStr">
        <is>
          <t xml:space="preserve">Mazda</t>
        </is>
      </c>
      <c r="G11030" s="0" t="s">
        <v>171</v>
      </c>
      <c r="H11030" s="5">
        <v>144.290400</v>
      </c>
    </row>
    <row r="11031" spans="1:9">
      <c r="A11031" s="22" t="str">
        <f>HYPERLINK("https://app.vivvix.com/360/KMI/IntelliDrive/ApplUI/Pages/CreativePages/CustomReportCreativeDetail.aspx?App=23&amp;ReportView=4&amp;Qid=1711279&amp;Row=11023&amp;Col=1","No Title Assigned - #15272307513")</f>
        <v/>
      </c>
      <c r="B11031" s="0" t="s">
        <v>14972</v>
      </c>
      <c r="E11031" s="0" t="inlineStr">
        <is>
          <t xml:space="preserve">Mazda</t>
        </is>
      </c>
      <c r="F11031" s="0" t="inlineStr">
        <is>
          <t xml:space="preserve">Mazda</t>
        </is>
      </c>
      <c r="G11031" s="0" t="s">
        <v>171</v>
      </c>
      <c r="H11031" s="5">
        <v>277.551300</v>
      </c>
    </row>
    <row r="11032" spans="1:9">
      <c r="A11032" s="22" t="str">
        <f>HYPERLINK("https://app.vivvix.com/360/KMI/IntelliDrive/ApplUI/Pages/CreativePages/CustomReportCreativeDetail.aspx?App=23&amp;ReportView=4&amp;Qid=1711279&amp;Row=11024&amp;Col=1","No Title Assigned - #15272307637")</f>
        <v/>
      </c>
      <c r="B11032" s="0" t="s">
        <v>14973</v>
      </c>
      <c r="E11032" s="0" t="inlineStr">
        <is>
          <t xml:space="preserve">Mazda</t>
        </is>
      </c>
      <c r="F11032" s="0" t="inlineStr">
        <is>
          <t xml:space="preserve">Mazda</t>
        </is>
      </c>
      <c r="G11032" s="0" t="s">
        <v>171</v>
      </c>
      <c r="H11032" s="5">
        <v>45.384100</v>
      </c>
    </row>
    <row r="11033" spans="1:9">
      <c r="A11033" s="22" t="str">
        <f>HYPERLINK("https://app.vivvix.com/360/KMI/IntelliDrive/ApplUI/Pages/CreativePages/CustomReportCreativeDetail.aspx?App=23&amp;ReportView=4&amp;Qid=1711279&amp;Row=11025&amp;Col=1","No Title Assigned - #15272307853")</f>
        <v/>
      </c>
      <c r="B11033" s="0" t="s">
        <v>14974</v>
      </c>
      <c r="E11033" s="0" t="inlineStr">
        <is>
          <t xml:space="preserve">Mazda</t>
        </is>
      </c>
      <c r="F11033" s="0" t="inlineStr">
        <is>
          <t xml:space="preserve">Mazda</t>
        </is>
      </c>
      <c r="G11033" s="0" t="s">
        <v>171</v>
      </c>
      <c r="H11033" s="5">
        <v>10065.787500</v>
      </c>
    </row>
    <row r="11034" spans="1:9">
      <c r="A11034" s="22" t="str">
        <f>HYPERLINK("https://app.vivvix.com/360/KMI/IntelliDrive/ApplUI/Pages/CreativePages/CustomReportCreativeDetail.aspx?App=23&amp;ReportView=4&amp;Qid=1711279&amp;Row=11026&amp;Col=1","No Title Assigned - #15272307853")</f>
        <v/>
      </c>
      <c r="B11034" s="0" t="s">
        <v>14974</v>
      </c>
      <c r="E11034" s="0" t="inlineStr">
        <is>
          <t xml:space="preserve">Mazda</t>
        </is>
      </c>
      <c r="F11034" s="0" t="inlineStr">
        <is>
          <t xml:space="preserve">Mazda</t>
        </is>
      </c>
      <c r="G11034" s="0" t="s">
        <v>171</v>
      </c>
      <c r="H11034" s="5">
        <v>15865.965600</v>
      </c>
    </row>
    <row r="11035" spans="1:9">
      <c r="A11035" s="22" t="str">
        <f>HYPERLINK("https://app.vivvix.com/360/KMI/IntelliDrive/ApplUI/Pages/CreativePages/CustomReportCreativeDetail.aspx?App=23&amp;ReportView=4&amp;Qid=1711279&amp;Row=11027&amp;Col=1","No Title Assigned - #15272307864")</f>
        <v/>
      </c>
      <c r="B11035" s="0" t="s">
        <v>14975</v>
      </c>
      <c r="E11035" s="0" t="inlineStr">
        <is>
          <t xml:space="preserve">Mazda</t>
        </is>
      </c>
      <c r="F11035" s="0" t="inlineStr">
        <is>
          <t xml:space="preserve">Mazda</t>
        </is>
      </c>
      <c r="G11035" s="0" t="s">
        <v>171</v>
      </c>
      <c r="H11035" s="5">
        <v>13.690600</v>
      </c>
    </row>
    <row r="11036" spans="1:9">
      <c r="A11036" s="22" t="str">
        <f>HYPERLINK("https://app.vivvix.com/360/KMI/IntelliDrive/ApplUI/Pages/CreativePages/CustomReportCreativeDetail.aspx?App=23&amp;ReportView=4&amp;Qid=1711279&amp;Row=11028&amp;Col=1","No Title Assigned - #15272307914")</f>
        <v/>
      </c>
      <c r="B11036" s="0" t="s">
        <v>14976</v>
      </c>
      <c r="E11036" s="0" t="inlineStr">
        <is>
          <t xml:space="preserve">Mazda</t>
        </is>
      </c>
      <c r="F11036" s="0" t="inlineStr">
        <is>
          <t xml:space="preserve">Mazda</t>
        </is>
      </c>
      <c r="G11036" s="0" t="s">
        <v>171</v>
      </c>
      <c r="H11036" s="5">
        <v>214.278100</v>
      </c>
    </row>
    <row r="11037" spans="1:9">
      <c r="A11037" s="22" t="str">
        <f>HYPERLINK("https://app.vivvix.com/360/KMI/IntelliDrive/ApplUI/Pages/CreativePages/CustomReportCreativeDetail.aspx?App=23&amp;ReportView=4&amp;Qid=1711279&amp;Row=11029&amp;Col=1","No Title Assigned - #15272307984")</f>
        <v/>
      </c>
      <c r="B11037" s="0" t="s">
        <v>14977</v>
      </c>
      <c r="C11037" s="0" t="s">
        <v>14978</v>
      </c>
      <c r="D11037" s="0" t="s">
        <v>14978</v>
      </c>
      <c r="E11037" s="0" t="inlineStr">
        <is>
          <t xml:space="preserve">Mazda</t>
        </is>
      </c>
      <c r="F11037" s="0" t="inlineStr">
        <is>
          <t xml:space="preserve">Mazda</t>
        </is>
      </c>
      <c r="G11037" s="0" t="s">
        <v>171</v>
      </c>
      <c r="H11037" s="5">
        <v>230.038500</v>
      </c>
    </row>
    <row r="11038" spans="1:9">
      <c r="A11038" s="22" t="str">
        <f>HYPERLINK("https://app.vivvix.com/360/KMI/IntelliDrive/ApplUI/Pages/CreativePages/CustomReportCreativeDetail.aspx?App=23&amp;ReportView=4&amp;Qid=1711279&amp;Row=11030&amp;Col=1","No Title Assigned - #15272307995")</f>
        <v/>
      </c>
      <c r="B11038" s="0" t="s">
        <v>14979</v>
      </c>
      <c r="E11038" s="0" t="inlineStr">
        <is>
          <t xml:space="preserve">Mazda</t>
        </is>
      </c>
      <c r="F11038" s="0" t="inlineStr">
        <is>
          <t xml:space="preserve">Mazda</t>
        </is>
      </c>
      <c r="G11038" s="0" t="s">
        <v>171</v>
      </c>
      <c r="H11038" s="5">
        <v>22.092300</v>
      </c>
    </row>
    <row r="11039" spans="1:9">
      <c r="A11039" s="22" t="str">
        <f>HYPERLINK("https://app.vivvix.com/360/KMI/IntelliDrive/ApplUI/Pages/CreativePages/CustomReportCreativeDetail.aspx?App=23&amp;ReportView=4&amp;Qid=1711279&amp;Row=11031&amp;Col=1","No Title Assigned - #15272308038")</f>
        <v/>
      </c>
      <c r="B11039" s="0" t="s">
        <v>14980</v>
      </c>
      <c r="E11039" s="0" t="inlineStr">
        <is>
          <t xml:space="preserve">Mazda</t>
        </is>
      </c>
      <c r="F11039" s="0" t="inlineStr">
        <is>
          <t xml:space="preserve">Mazda</t>
        </is>
      </c>
      <c r="G11039" s="0" t="s">
        <v>171</v>
      </c>
      <c r="H11039" s="5">
        <v>350.723700</v>
      </c>
    </row>
    <row r="11040" spans="1:9">
      <c r="A11040" s="22" t="str">
        <f>HYPERLINK("https://app.vivvix.com/360/KMI/IntelliDrive/ApplUI/Pages/CreativePages/CustomReportCreativeDetail.aspx?App=23&amp;ReportView=4&amp;Qid=1711279&amp;Row=11032&amp;Col=1","No Title Assigned - #15272308132")</f>
        <v/>
      </c>
      <c r="B11040" s="0" t="s">
        <v>14981</v>
      </c>
      <c r="E11040" s="0" t="inlineStr">
        <is>
          <t xml:space="preserve">Mazda</t>
        </is>
      </c>
      <c r="F11040" s="0" t="inlineStr">
        <is>
          <t xml:space="preserve">Mazda</t>
        </is>
      </c>
      <c r="G11040" s="0" t="s">
        <v>171</v>
      </c>
      <c r="H11040" s="5">
        <v>4.796400</v>
      </c>
    </row>
    <row r="11041" spans="1:9">
      <c r="A11041" s="22" t="str">
        <f>HYPERLINK("https://app.vivvix.com/360/KMI/IntelliDrive/ApplUI/Pages/CreativePages/CustomReportCreativeDetail.aspx?App=23&amp;ReportView=4&amp;Qid=1711279&amp;Row=11033&amp;Col=1","No Title Assigned - #15272308318")</f>
        <v/>
      </c>
      <c r="B11041" s="0" t="s">
        <v>14982</v>
      </c>
      <c r="C11041" s="0" t="s">
        <v>14983</v>
      </c>
      <c r="D11041" s="0" t="s">
        <v>14983</v>
      </c>
      <c r="E11041" s="0" t="inlineStr">
        <is>
          <t xml:space="preserve">Mazda</t>
        </is>
      </c>
      <c r="F11041" s="0" t="inlineStr">
        <is>
          <t xml:space="preserve">Mazda</t>
        </is>
      </c>
      <c r="G11041" s="0" t="s">
        <v>171</v>
      </c>
      <c r="H11041" s="5">
        <v>946.834000</v>
      </c>
    </row>
    <row r="11042" spans="1:9">
      <c r="A11042" s="22" t="str">
        <f>HYPERLINK("https://app.vivvix.com/360/KMI/IntelliDrive/ApplUI/Pages/CreativePages/CustomReportCreativeDetail.aspx?App=23&amp;ReportView=4&amp;Qid=1711279&amp;Row=11034&amp;Col=1","No Title Assigned - #15272309140")</f>
        <v/>
      </c>
      <c r="B11042" s="0" t="s">
        <v>14984</v>
      </c>
      <c r="E11042" s="0" t="inlineStr">
        <is>
          <t xml:space="preserve">Mazda</t>
        </is>
      </c>
      <c r="F11042" s="0" t="inlineStr">
        <is>
          <t xml:space="preserve">Mazda</t>
        </is>
      </c>
      <c r="G11042" s="0" t="s">
        <v>171</v>
      </c>
      <c r="H11042" s="5">
        <v>31407.865600</v>
      </c>
    </row>
    <row r="11043" spans="1:9">
      <c r="A11043" s="22" t="str">
        <f>HYPERLINK("https://app.vivvix.com/360/KMI/IntelliDrive/ApplUI/Pages/CreativePages/CustomReportCreativeDetail.aspx?App=23&amp;ReportView=4&amp;Qid=1711279&amp;Row=11035&amp;Col=1","No Title Assigned - #15272309140")</f>
        <v/>
      </c>
      <c r="B11043" s="0" t="s">
        <v>14984</v>
      </c>
      <c r="E11043" s="0" t="inlineStr">
        <is>
          <t xml:space="preserve">Mazda</t>
        </is>
      </c>
      <c r="F11043" s="0" t="inlineStr">
        <is>
          <t xml:space="preserve">Mazda</t>
        </is>
      </c>
      <c r="G11043" s="0" t="s">
        <v>171</v>
      </c>
      <c r="H11043" s="5">
        <v>31355.678900</v>
      </c>
    </row>
    <row r="11044" spans="1:9">
      <c r="A11044" s="22" t="str">
        <f>HYPERLINK("https://app.vivvix.com/360/KMI/IntelliDrive/ApplUI/Pages/CreativePages/CustomReportCreativeDetail.aspx?App=23&amp;ReportView=4&amp;Qid=1711279&amp;Row=11036&amp;Col=1","No Title Assigned - #15272310799")</f>
        <v/>
      </c>
      <c r="B11044" s="0" t="s">
        <v>14985</v>
      </c>
      <c r="E11044" s="0" t="inlineStr">
        <is>
          <t xml:space="preserve">Mazda</t>
        </is>
      </c>
      <c r="F11044" s="0" t="s">
        <v>28</v>
      </c>
      <c r="G11044" s="0" t="s">
        <v>29</v>
      </c>
      <c r="H11044" s="5">
        <v>2883.187500</v>
      </c>
    </row>
    <row r="11045" spans="1:9">
      <c r="A11045" s="22" t="str">
        <f>HYPERLINK("https://app.vivvix.com/360/KMI/IntelliDrive/ApplUI/Pages/CreativePages/CustomReportCreativeDetail.aspx?App=23&amp;ReportView=4&amp;Qid=1711279&amp;Row=11037&amp;Col=1","No Title Assigned - #15272311393")</f>
        <v/>
      </c>
      <c r="B11045" s="0" t="s">
        <v>14986</v>
      </c>
      <c r="E11045" s="0" t="inlineStr">
        <is>
          <t xml:space="preserve">Mazda</t>
        </is>
      </c>
      <c r="F11045" s="0" t="inlineStr">
        <is>
          <t xml:space="preserve">Mazda</t>
        </is>
      </c>
      <c r="G11045" s="0" t="s">
        <v>171</v>
      </c>
      <c r="H11045" s="5">
        <v>192.008700</v>
      </c>
    </row>
    <row r="11046" spans="1:9">
      <c r="A11046" s="22" t="str">
        <f>HYPERLINK("https://app.vivvix.com/360/KMI/IntelliDrive/ApplUI/Pages/CreativePages/CustomReportCreativeDetail.aspx?App=23&amp;ReportView=4&amp;Qid=1711279&amp;Row=11038&amp;Col=1","No Title Assigned - #15272312344")</f>
        <v/>
      </c>
      <c r="B11046" s="0" t="s">
        <v>14987</v>
      </c>
      <c r="C11046" s="0" t="s">
        <v>14988</v>
      </c>
      <c r="D11046" s="0" t="s">
        <v>14988</v>
      </c>
      <c r="E11046" s="0" t="inlineStr">
        <is>
          <t xml:space="preserve">Mazda</t>
        </is>
      </c>
      <c r="F11046" s="0" t="s">
        <v>28</v>
      </c>
      <c r="G11046" s="0" t="s">
        <v>29</v>
      </c>
      <c r="H11046" s="5">
        <v>1992.893900</v>
      </c>
    </row>
    <row r="11047" spans="1:9">
      <c r="A11047" s="22" t="str">
        <f>HYPERLINK("https://app.vivvix.com/360/KMI/IntelliDrive/ApplUI/Pages/CreativePages/CustomReportCreativeDetail.aspx?App=23&amp;ReportView=4&amp;Qid=1711279&amp;Row=11039&amp;Col=1","No Title Assigned - #15272312344")</f>
        <v/>
      </c>
      <c r="B11047" s="0" t="s">
        <v>14987</v>
      </c>
      <c r="E11047" s="0" t="inlineStr">
        <is>
          <t xml:space="preserve">Mazda</t>
        </is>
      </c>
      <c r="F11047" s="0" t="s">
        <v>28</v>
      </c>
      <c r="G11047" s="0" t="s">
        <v>29</v>
      </c>
      <c r="H11047" s="5">
        <v>19.713200</v>
      </c>
    </row>
    <row r="11048" spans="1:9">
      <c r="A11048" s="22" t="str">
        <f>HYPERLINK("https://app.vivvix.com/360/KMI/IntelliDrive/ApplUI/Pages/CreativePages/CustomReportCreativeDetail.aspx?App=23&amp;ReportView=4&amp;Qid=1711279&amp;Row=11040&amp;Col=1","No Title Assigned - #15272312679")</f>
        <v/>
      </c>
      <c r="B11048" s="0" t="s">
        <v>14989</v>
      </c>
      <c r="E11048" s="0" t="inlineStr">
        <is>
          <t xml:space="preserve">Mazda</t>
        </is>
      </c>
      <c r="F11048" s="0" t="inlineStr">
        <is>
          <t xml:space="preserve">Mazda</t>
        </is>
      </c>
      <c r="G11048" s="0" t="s">
        <v>171</v>
      </c>
      <c r="H11048" s="5">
        <v>173.213400</v>
      </c>
    </row>
    <row r="11049" spans="1:9">
      <c r="A11049" s="22" t="str">
        <f>HYPERLINK("https://app.vivvix.com/360/KMI/IntelliDrive/ApplUI/Pages/CreativePages/CustomReportCreativeDetail.aspx?App=23&amp;ReportView=4&amp;Qid=1711279&amp;Row=11041&amp;Col=1","No Title Assigned - #15272312833")</f>
        <v/>
      </c>
      <c r="B11049" s="0" t="s">
        <v>14990</v>
      </c>
      <c r="E11049" s="0" t="inlineStr">
        <is>
          <t xml:space="preserve">Mazda</t>
        </is>
      </c>
      <c r="F11049" s="0" t="inlineStr">
        <is>
          <t xml:space="preserve">Mazda</t>
        </is>
      </c>
      <c r="G11049" s="0" t="s">
        <v>171</v>
      </c>
      <c r="H11049" s="5">
        <v>42789.746000</v>
      </c>
    </row>
    <row r="11050" spans="1:9">
      <c r="A11050" s="22" t="str">
        <f>HYPERLINK("https://app.vivvix.com/360/KMI/IntelliDrive/ApplUI/Pages/CreativePages/CustomReportCreativeDetail.aspx?App=23&amp;ReportView=4&amp;Qid=1711279&amp;Row=11042&amp;Col=1","No Title Assigned - #15272313078")</f>
        <v/>
      </c>
      <c r="B11050" s="0" t="s">
        <v>14991</v>
      </c>
      <c r="E11050" s="0" t="inlineStr">
        <is>
          <t xml:space="preserve">Mazda</t>
        </is>
      </c>
      <c r="F11050" s="0" t="inlineStr">
        <is>
          <t xml:space="preserve">Mazda</t>
        </is>
      </c>
      <c r="G11050" s="0" t="s">
        <v>171</v>
      </c>
      <c r="H11050" s="5">
        <v>267.854600</v>
      </c>
    </row>
    <row r="11051" spans="1:9">
      <c r="A11051" s="22" t="str">
        <f>HYPERLINK("https://app.vivvix.com/360/KMI/IntelliDrive/ApplUI/Pages/CreativePages/CustomReportCreativeDetail.aspx?App=23&amp;ReportView=4&amp;Qid=1711279&amp;Row=11043&amp;Col=1","No Title Assigned - #15272313277")</f>
        <v/>
      </c>
      <c r="B11051" s="0" t="s">
        <v>14992</v>
      </c>
      <c r="E11051" s="0" t="inlineStr">
        <is>
          <t xml:space="preserve">Mazda</t>
        </is>
      </c>
      <c r="F11051" s="0" t="inlineStr">
        <is>
          <t xml:space="preserve">Mazda</t>
        </is>
      </c>
      <c r="G11051" s="0" t="s">
        <v>171</v>
      </c>
      <c r="H11051" s="5">
        <v>446.631500</v>
      </c>
    </row>
    <row r="11052" spans="1:9">
      <c r="A11052" s="22" t="str">
        <f>HYPERLINK("https://app.vivvix.com/360/KMI/IntelliDrive/ApplUI/Pages/CreativePages/CustomReportCreativeDetail.aspx?App=23&amp;ReportView=4&amp;Qid=1711279&amp;Row=11044&amp;Col=1","No Title Assigned - #15272313297")</f>
        <v/>
      </c>
      <c r="B11052" s="0" t="s">
        <v>14993</v>
      </c>
      <c r="E11052" s="0" t="inlineStr">
        <is>
          <t xml:space="preserve">Mazda</t>
        </is>
      </c>
      <c r="F11052" s="0" t="inlineStr">
        <is>
          <t xml:space="preserve">Mazda</t>
        </is>
      </c>
      <c r="G11052" s="0" t="s">
        <v>171</v>
      </c>
      <c r="H11052" s="5">
        <v>19.723400</v>
      </c>
    </row>
    <row r="11053" spans="1:9">
      <c r="A11053" s="22" t="str">
        <f>HYPERLINK("https://app.vivvix.com/360/KMI/IntelliDrive/ApplUI/Pages/CreativePages/CustomReportCreativeDetail.aspx?App=23&amp;ReportView=4&amp;Qid=1711279&amp;Row=11045&amp;Col=1","No Title Assigned - #15272313323")</f>
        <v/>
      </c>
      <c r="B11053" s="0" t="s">
        <v>14994</v>
      </c>
      <c r="E11053" s="0" t="inlineStr">
        <is>
          <t xml:space="preserve">Mazda</t>
        </is>
      </c>
      <c r="F11053" s="0" t="inlineStr">
        <is>
          <t xml:space="preserve">Mazda</t>
        </is>
      </c>
      <c r="G11053" s="0" t="s">
        <v>171</v>
      </c>
      <c r="H11053" s="5">
        <v>3.488400</v>
      </c>
    </row>
    <row r="11054" spans="1:9">
      <c r="A11054" s="22" t="str">
        <f>HYPERLINK("https://app.vivvix.com/360/KMI/IntelliDrive/ApplUI/Pages/CreativePages/CustomReportCreativeDetail.aspx?App=23&amp;ReportView=4&amp;Qid=1711279&amp;Row=11046&amp;Col=1","No Title Assigned - #15272313714")</f>
        <v/>
      </c>
      <c r="B11054" s="0" t="s">
        <v>14995</v>
      </c>
      <c r="E11054" s="0" t="inlineStr">
        <is>
          <t xml:space="preserve">Mazda</t>
        </is>
      </c>
      <c r="F11054" s="0" t="inlineStr">
        <is>
          <t xml:space="preserve">Mazda</t>
        </is>
      </c>
      <c r="G11054" s="0" t="s">
        <v>171</v>
      </c>
      <c r="H11054" s="5">
        <v>80.342600</v>
      </c>
    </row>
    <row r="11055" spans="1:9">
      <c r="A11055" s="22" t="str">
        <f>HYPERLINK("https://app.vivvix.com/360/KMI/IntelliDrive/ApplUI/Pages/CreativePages/CustomReportCreativeDetail.aspx?App=23&amp;ReportView=4&amp;Qid=1711279&amp;Row=11047&amp;Col=1","No Title Assigned - #15272314093")</f>
        <v/>
      </c>
      <c r="B11055" s="0" t="s">
        <v>14996</v>
      </c>
      <c r="E11055" s="0" t="inlineStr">
        <is>
          <t xml:space="preserve">Mazda</t>
        </is>
      </c>
      <c r="F11055" s="0" t="inlineStr">
        <is>
          <t xml:space="preserve">Mazda</t>
        </is>
      </c>
      <c r="G11055" s="0" t="s">
        <v>171</v>
      </c>
      <c r="H11055" s="5">
        <v>92.004600</v>
      </c>
    </row>
    <row r="11056" spans="1:9">
      <c r="A11056" s="22" t="str">
        <f>HYPERLINK("https://app.vivvix.com/360/KMI/IntelliDrive/ApplUI/Pages/CreativePages/CustomReportCreativeDetail.aspx?App=23&amp;ReportView=4&amp;Qid=1711279&amp;Row=11048&amp;Col=1","No Title Assigned - #15272314094")</f>
        <v/>
      </c>
      <c r="B11056" s="0" t="s">
        <v>14997</v>
      </c>
      <c r="E11056" s="0" t="inlineStr">
        <is>
          <t xml:space="preserve">Mazda</t>
        </is>
      </c>
      <c r="F11056" s="0" t="inlineStr">
        <is>
          <t xml:space="preserve">Mazda</t>
        </is>
      </c>
      <c r="G11056" s="0" t="s">
        <v>171</v>
      </c>
      <c r="H11056" s="5">
        <v>7.409800</v>
      </c>
    </row>
    <row r="11057" spans="1:9">
      <c r="A11057" s="22" t="str">
        <f>HYPERLINK("https://app.vivvix.com/360/KMI/IntelliDrive/ApplUI/Pages/CreativePages/CustomReportCreativeDetail.aspx?App=23&amp;ReportView=4&amp;Qid=1711279&amp;Row=11049&amp;Col=1","No Title Assigned - #15272314562")</f>
        <v/>
      </c>
      <c r="B11057" s="0" t="s">
        <v>14998</v>
      </c>
      <c r="E11057" s="0" t="inlineStr">
        <is>
          <t xml:space="preserve">Mazda</t>
        </is>
      </c>
      <c r="F11057" s="0" t="inlineStr">
        <is>
          <t xml:space="preserve">Mazda</t>
        </is>
      </c>
      <c r="G11057" s="0" t="s">
        <v>171</v>
      </c>
      <c r="H11057" s="5">
        <v>6.125500</v>
      </c>
    </row>
    <row r="11058" spans="1:9">
      <c r="A11058" s="22" t="str">
        <f>HYPERLINK("https://app.vivvix.com/360/KMI/IntelliDrive/ApplUI/Pages/CreativePages/CustomReportCreativeDetail.aspx?App=23&amp;ReportView=4&amp;Qid=1711279&amp;Row=11050&amp;Col=1","No Title Assigned - #15272314759")</f>
        <v/>
      </c>
      <c r="B11058" s="0" t="s">
        <v>14999</v>
      </c>
      <c r="E11058" s="0" t="inlineStr">
        <is>
          <t xml:space="preserve">Mazda</t>
        </is>
      </c>
      <c r="F11058" s="0" t="inlineStr">
        <is>
          <t xml:space="preserve">Mazda</t>
        </is>
      </c>
      <c r="G11058" s="0" t="s">
        <v>171</v>
      </c>
      <c r="H11058" s="5">
        <v>1762.637000</v>
      </c>
    </row>
    <row r="11059" spans="1:9">
      <c r="A11059" s="22" t="str">
        <f>HYPERLINK("https://app.vivvix.com/360/KMI/IntelliDrive/ApplUI/Pages/CreativePages/CustomReportCreativeDetail.aspx?App=23&amp;ReportView=4&amp;Qid=1711279&amp;Row=11051&amp;Col=1","No Title Assigned - #15272314794")</f>
        <v/>
      </c>
      <c r="B11059" s="0" t="s">
        <v>15000</v>
      </c>
      <c r="E11059" s="0" t="inlineStr">
        <is>
          <t xml:space="preserve">Mazda</t>
        </is>
      </c>
      <c r="F11059" s="0" t="inlineStr">
        <is>
          <t xml:space="preserve">Mazda</t>
        </is>
      </c>
      <c r="G11059" s="0" t="s">
        <v>171</v>
      </c>
      <c r="H11059" s="5">
        <v>365.634100</v>
      </c>
    </row>
    <row r="11060" spans="1:9">
      <c r="A11060" s="22" t="str">
        <f>HYPERLINK("https://app.vivvix.com/360/KMI/IntelliDrive/ApplUI/Pages/CreativePages/CustomReportCreativeDetail.aspx?App=23&amp;ReportView=4&amp;Qid=1711279&amp;Row=11052&amp;Col=1","No Title Assigned - #15272315168")</f>
        <v/>
      </c>
      <c r="B11060" s="0" t="s">
        <v>15001</v>
      </c>
      <c r="C11060" s="0" t="s">
        <v>15002</v>
      </c>
      <c r="D11060" s="0" t="s">
        <v>15002</v>
      </c>
      <c r="E11060" s="0" t="inlineStr">
        <is>
          <t xml:space="preserve">Mazda</t>
        </is>
      </c>
      <c r="F11060" s="0" t="inlineStr">
        <is>
          <t xml:space="preserve">Mazda</t>
        </is>
      </c>
      <c r="G11060" s="0" t="s">
        <v>171</v>
      </c>
      <c r="H11060" s="5">
        <v>33.711900</v>
      </c>
    </row>
    <row r="11061" spans="1:9">
      <c r="A11061" s="22" t="str">
        <f>HYPERLINK("https://app.vivvix.com/360/KMI/IntelliDrive/ApplUI/Pages/CreativePages/CustomReportCreativeDetail.aspx?App=23&amp;ReportView=4&amp;Qid=1711279&amp;Row=11053&amp;Col=1","No Title Assigned - #15272315297")</f>
        <v/>
      </c>
      <c r="B11061" s="0" t="s">
        <v>15003</v>
      </c>
      <c r="E11061" s="0" t="inlineStr">
        <is>
          <t xml:space="preserve">Mazda</t>
        </is>
      </c>
      <c r="F11061" s="0" t="inlineStr">
        <is>
          <t xml:space="preserve">Mazda</t>
        </is>
      </c>
      <c r="G11061" s="0" t="s">
        <v>171</v>
      </c>
      <c r="H11061" s="5">
        <v>140.895300</v>
      </c>
    </row>
    <row r="11062" spans="1:9">
      <c r="A11062" s="22" t="str">
        <f>HYPERLINK("https://app.vivvix.com/360/KMI/IntelliDrive/ApplUI/Pages/CreativePages/CustomReportCreativeDetail.aspx?App=23&amp;ReportView=4&amp;Qid=1711279&amp;Row=11054&amp;Col=1","No Title Assigned - #15272315871")</f>
        <v/>
      </c>
      <c r="B11062" s="0" t="s">
        <v>15004</v>
      </c>
      <c r="E11062" s="0" t="inlineStr">
        <is>
          <t xml:space="preserve">Mazda</t>
        </is>
      </c>
      <c r="F11062" s="0" t="s">
        <v>28</v>
      </c>
      <c r="G11062" s="0" t="s">
        <v>29</v>
      </c>
      <c r="H11062" s="5">
        <v>60.837200</v>
      </c>
    </row>
    <row r="11063" spans="1:9">
      <c r="A11063" s="22" t="str">
        <f>HYPERLINK("https://app.vivvix.com/360/KMI/IntelliDrive/ApplUI/Pages/CreativePages/CustomReportCreativeDetail.aspx?App=23&amp;ReportView=4&amp;Qid=1711279&amp;Row=11055&amp;Col=1","No Title Assigned - #15272315960")</f>
        <v/>
      </c>
      <c r="B11063" s="0" t="s">
        <v>15005</v>
      </c>
      <c r="E11063" s="0" t="inlineStr">
        <is>
          <t xml:space="preserve">Mazda</t>
        </is>
      </c>
      <c r="F11063" s="0" t="inlineStr">
        <is>
          <t xml:space="preserve">Mazda</t>
        </is>
      </c>
      <c r="G11063" s="0" t="s">
        <v>171</v>
      </c>
      <c r="H11063" s="5">
        <v>130.794100</v>
      </c>
    </row>
    <row r="11064" spans="1:9">
      <c r="A11064" s="22" t="str">
        <f>HYPERLINK("https://app.vivvix.com/360/KMI/IntelliDrive/ApplUI/Pages/CreativePages/CustomReportCreativeDetail.aspx?App=23&amp;ReportView=4&amp;Qid=1711279&amp;Row=11056&amp;Col=1","No Title Assigned - #15272315960")</f>
        <v/>
      </c>
      <c r="B11064" s="0" t="s">
        <v>15005</v>
      </c>
      <c r="E11064" s="0" t="inlineStr">
        <is>
          <t xml:space="preserve">Mazda</t>
        </is>
      </c>
      <c r="F11064" s="0" t="inlineStr">
        <is>
          <t xml:space="preserve">Mazda</t>
        </is>
      </c>
      <c r="G11064" s="0" t="s">
        <v>171</v>
      </c>
      <c r="H11064" s="5">
        <v>33.411200</v>
      </c>
    </row>
    <row r="11065" spans="1:9">
      <c r="A11065" s="22" t="str">
        <f>HYPERLINK("https://app.vivvix.com/360/KMI/IntelliDrive/ApplUI/Pages/CreativePages/CustomReportCreativeDetail.aspx?App=23&amp;ReportView=4&amp;Qid=1711279&amp;Row=11057&amp;Col=1","No Title Assigned - #15272315961")</f>
        <v/>
      </c>
      <c r="B11065" s="0" t="s">
        <v>15006</v>
      </c>
      <c r="E11065" s="0" t="inlineStr">
        <is>
          <t xml:space="preserve">Mazda</t>
        </is>
      </c>
      <c r="F11065" s="0" t="inlineStr">
        <is>
          <t xml:space="preserve">Mazda</t>
        </is>
      </c>
      <c r="G11065" s="0" t="s">
        <v>171</v>
      </c>
      <c r="H11065" s="5">
        <v>92.482900</v>
      </c>
    </row>
    <row r="11066" spans="1:9">
      <c r="A11066" s="22" t="str">
        <f>HYPERLINK("https://app.vivvix.com/360/KMI/IntelliDrive/ApplUI/Pages/CreativePages/CustomReportCreativeDetail.aspx?App=23&amp;ReportView=4&amp;Qid=1711279&amp;Row=11058&amp;Col=1","No Title Assigned - #15272316214")</f>
        <v/>
      </c>
      <c r="B11066" s="0" t="s">
        <v>15007</v>
      </c>
      <c r="E11066" s="0" t="inlineStr">
        <is>
          <t xml:space="preserve">Mazda</t>
        </is>
      </c>
      <c r="F11066" s="0" t="inlineStr">
        <is>
          <t xml:space="preserve">Mazda</t>
        </is>
      </c>
      <c r="G11066" s="0" t="s">
        <v>171</v>
      </c>
      <c r="H11066" s="5">
        <v>26.156900</v>
      </c>
    </row>
    <row r="11067" spans="1:9">
      <c r="A11067" s="22" t="str">
        <f>HYPERLINK("https://app.vivvix.com/360/KMI/IntelliDrive/ApplUI/Pages/CreativePages/CustomReportCreativeDetail.aspx?App=23&amp;ReportView=4&amp;Qid=1711279&amp;Row=11059&amp;Col=1","No Title Assigned - #15272316597")</f>
        <v/>
      </c>
      <c r="B11067" s="0" t="s">
        <v>15008</v>
      </c>
      <c r="E11067" s="0" t="inlineStr">
        <is>
          <t xml:space="preserve">Mazda</t>
        </is>
      </c>
      <c r="F11067" s="0" t="inlineStr">
        <is>
          <t xml:space="preserve">Mazda</t>
        </is>
      </c>
      <c r="G11067" s="0" t="s">
        <v>171</v>
      </c>
      <c r="H11067" s="5">
        <v>69284.671700</v>
      </c>
    </row>
    <row r="11068" spans="1:9">
      <c r="A11068" s="22" t="str">
        <f>HYPERLINK("https://app.vivvix.com/360/KMI/IntelliDrive/ApplUI/Pages/CreativePages/CustomReportCreativeDetail.aspx?App=23&amp;ReportView=4&amp;Qid=1711279&amp;Row=11060&amp;Col=1","No Title Assigned - #15272316597")</f>
        <v/>
      </c>
      <c r="B11068" s="0" t="s">
        <v>15008</v>
      </c>
      <c r="E11068" s="0" t="inlineStr">
        <is>
          <t xml:space="preserve">Mazda</t>
        </is>
      </c>
      <c r="F11068" s="0" t="inlineStr">
        <is>
          <t xml:space="preserve">Mazda</t>
        </is>
      </c>
      <c r="G11068" s="0" t="s">
        <v>171</v>
      </c>
      <c r="H11068" s="5">
        <v>3447.874600</v>
      </c>
    </row>
    <row r="11069" spans="1:9">
      <c r="A11069" s="22" t="str">
        <f>HYPERLINK("https://app.vivvix.com/360/KMI/IntelliDrive/ApplUI/Pages/CreativePages/CustomReportCreativeDetail.aspx?App=23&amp;ReportView=4&amp;Qid=1711279&amp;Row=11061&amp;Col=1","No Title Assigned - #15272316663")</f>
        <v/>
      </c>
      <c r="B11069" s="0" t="s">
        <v>15009</v>
      </c>
      <c r="E11069" s="0" t="inlineStr">
        <is>
          <t xml:space="preserve">Mazda</t>
        </is>
      </c>
      <c r="F11069" s="0" t="s">
        <v>13</v>
      </c>
      <c r="G11069" s="0" t="s">
        <v>49</v>
      </c>
      <c r="H11069" s="5">
        <v>3087.060300</v>
      </c>
    </row>
    <row r="11070" spans="1:9">
      <c r="A11070" s="22" t="str">
        <f>HYPERLINK("https://app.vivvix.com/360/KMI/IntelliDrive/ApplUI/Pages/CreativePages/CustomReportCreativeDetail.aspx?App=23&amp;ReportView=4&amp;Qid=1711279&amp;Row=11062&amp;Col=1","No Title Assigned - #15272316806")</f>
        <v/>
      </c>
      <c r="B11070" s="0" t="s">
        <v>15010</v>
      </c>
      <c r="E11070" s="0" t="inlineStr">
        <is>
          <t xml:space="preserve">Mazda</t>
        </is>
      </c>
      <c r="F11070" s="0" t="inlineStr">
        <is>
          <t xml:space="preserve">Mazda</t>
        </is>
      </c>
      <c r="G11070" s="0" t="s">
        <v>171</v>
      </c>
      <c r="H11070" s="5">
        <v>230.038500</v>
      </c>
    </row>
    <row r="11071" spans="1:9">
      <c r="A11071" s="22" t="str">
        <f>HYPERLINK("https://app.vivvix.com/360/KMI/IntelliDrive/ApplUI/Pages/CreativePages/CustomReportCreativeDetail.aspx?App=23&amp;ReportView=4&amp;Qid=1711279&amp;Row=11063&amp;Col=1","No Title Assigned - #15272317428")</f>
        <v/>
      </c>
      <c r="B11071" s="0" t="s">
        <v>15011</v>
      </c>
      <c r="E11071" s="0" t="inlineStr">
        <is>
          <t xml:space="preserve">Mazda</t>
        </is>
      </c>
      <c r="F11071" s="0" t="inlineStr">
        <is>
          <t xml:space="preserve">Mazda</t>
        </is>
      </c>
      <c r="G11071" s="0" t="s">
        <v>171</v>
      </c>
      <c r="H11071" s="5">
        <v>83.705800</v>
      </c>
    </row>
    <row r="11072" spans="1:9">
      <c r="A11072" s="22" t="str">
        <f>HYPERLINK("https://app.vivvix.com/360/KMI/IntelliDrive/ApplUI/Pages/CreativePages/CustomReportCreativeDetail.aspx?App=23&amp;ReportView=4&amp;Qid=1711279&amp;Row=11064&amp;Col=1","No Title Assigned - #15272317667")</f>
        <v/>
      </c>
      <c r="B11072" s="0" t="s">
        <v>15012</v>
      </c>
      <c r="E11072" s="0" t="inlineStr">
        <is>
          <t xml:space="preserve">Mazda</t>
        </is>
      </c>
      <c r="F11072" s="0" t="inlineStr">
        <is>
          <t xml:space="preserve">Mazda</t>
        </is>
      </c>
      <c r="G11072" s="0" t="s">
        <v>171</v>
      </c>
      <c r="H11072" s="5">
        <v>9891.426800</v>
      </c>
    </row>
    <row r="11073" spans="1:9">
      <c r="A11073" s="22" t="str">
        <f>HYPERLINK("https://app.vivvix.com/360/KMI/IntelliDrive/ApplUI/Pages/CreativePages/CustomReportCreativeDetail.aspx?App=23&amp;ReportView=4&amp;Qid=1711279&amp;Row=11065&amp;Col=1","No Title Assigned - #15272317667")</f>
        <v/>
      </c>
      <c r="B11073" s="0" t="s">
        <v>15012</v>
      </c>
      <c r="C11073" s="0" t="s">
        <v>15013</v>
      </c>
      <c r="D11073" s="0" t="s">
        <v>15013</v>
      </c>
      <c r="E11073" s="0" t="inlineStr">
        <is>
          <t xml:space="preserve">Mazda</t>
        </is>
      </c>
      <c r="F11073" s="0" t="inlineStr">
        <is>
          <t xml:space="preserve">Mazda</t>
        </is>
      </c>
      <c r="G11073" s="0" t="s">
        <v>171</v>
      </c>
      <c r="H11073" s="5">
        <v>2977.832400</v>
      </c>
    </row>
    <row r="11074" spans="1:9">
      <c r="A11074" s="22" t="str">
        <f>HYPERLINK("https://app.vivvix.com/360/KMI/IntelliDrive/ApplUI/Pages/CreativePages/CustomReportCreativeDetail.aspx?App=23&amp;ReportView=4&amp;Qid=1711279&amp;Row=11066&amp;Col=1","No Title Assigned - #15272317956")</f>
        <v/>
      </c>
      <c r="B11074" s="0" t="s">
        <v>15014</v>
      </c>
      <c r="C11074" s="0" t="s">
        <v>15015</v>
      </c>
      <c r="D11074" s="0" t="s">
        <v>15015</v>
      </c>
      <c r="E11074" s="0" t="inlineStr">
        <is>
          <t xml:space="preserve">Mazda</t>
        </is>
      </c>
      <c r="F11074" s="0" t="inlineStr">
        <is>
          <t xml:space="preserve">Mazda</t>
        </is>
      </c>
      <c r="G11074" s="0" t="s">
        <v>171</v>
      </c>
      <c r="H11074" s="5">
        <v>316.181500</v>
      </c>
    </row>
    <row r="11075" spans="1:9">
      <c r="A11075" s="22" t="str">
        <f>HYPERLINK("https://app.vivvix.com/360/KMI/IntelliDrive/ApplUI/Pages/CreativePages/CustomReportCreativeDetail.aspx?App=23&amp;ReportView=4&amp;Qid=1711279&amp;Row=11067&amp;Col=1","No Title Assigned - #15272317957")</f>
        <v/>
      </c>
      <c r="B11075" s="0" t="s">
        <v>15016</v>
      </c>
      <c r="C11075" s="0" t="s">
        <v>15017</v>
      </c>
      <c r="D11075" s="0" t="s">
        <v>15017</v>
      </c>
      <c r="E11075" s="0" t="inlineStr">
        <is>
          <t xml:space="preserve">Mazda</t>
        </is>
      </c>
      <c r="F11075" s="0" t="inlineStr">
        <is>
          <t xml:space="preserve">Mazda</t>
        </is>
      </c>
      <c r="G11075" s="0" t="s">
        <v>171</v>
      </c>
      <c r="H11075" s="5">
        <v>263.462400</v>
      </c>
    </row>
    <row r="11076" spans="1:9">
      <c r="A11076" s="22" t="str">
        <f>HYPERLINK("https://app.vivvix.com/360/KMI/IntelliDrive/ApplUI/Pages/CreativePages/CustomReportCreativeDetail.aspx?App=23&amp;ReportView=4&amp;Qid=1711279&amp;Row=11068&amp;Col=1","No Title Assigned - #15272318085")</f>
        <v/>
      </c>
      <c r="B11076" s="0" t="s">
        <v>15018</v>
      </c>
      <c r="E11076" s="0" t="inlineStr">
        <is>
          <t xml:space="preserve">Mazda</t>
        </is>
      </c>
      <c r="F11076" s="0" t="inlineStr">
        <is>
          <t xml:space="preserve">Mazda</t>
        </is>
      </c>
      <c r="G11076" s="0" t="s">
        <v>171</v>
      </c>
      <c r="H11076" s="5">
        <v>473.157100</v>
      </c>
    </row>
    <row r="11077" spans="1:9">
      <c r="A11077" s="22" t="str">
        <f>HYPERLINK("https://app.vivvix.com/360/KMI/IntelliDrive/ApplUI/Pages/CreativePages/CustomReportCreativeDetail.aspx?App=23&amp;ReportView=4&amp;Qid=1711279&amp;Row=11069&amp;Col=1","No Title Assigned - #15272318483")</f>
        <v/>
      </c>
      <c r="B11077" s="0" t="s">
        <v>15019</v>
      </c>
      <c r="C11077" s="0" t="s">
        <v>15020</v>
      </c>
      <c r="D11077" s="0" t="s">
        <v>15020</v>
      </c>
      <c r="E11077" s="0" t="inlineStr">
        <is>
          <t xml:space="preserve">Mazda</t>
        </is>
      </c>
      <c r="F11077" s="0" t="s">
        <v>13</v>
      </c>
      <c r="G11077" s="0" t="s">
        <v>49</v>
      </c>
      <c r="H11077" s="5">
        <v>10031.454600</v>
      </c>
    </row>
    <row r="11078" spans="1:9">
      <c r="A11078" s="22" t="str">
        <f>HYPERLINK("https://app.vivvix.com/360/KMI/IntelliDrive/ApplUI/Pages/CreativePages/CustomReportCreativeDetail.aspx?App=23&amp;ReportView=4&amp;Qid=1711279&amp;Row=11070&amp;Col=1","No Title Assigned - #15272318483")</f>
        <v/>
      </c>
      <c r="B11078" s="0" t="s">
        <v>15019</v>
      </c>
      <c r="E11078" s="0" t="inlineStr">
        <is>
          <t xml:space="preserve">Mazda</t>
        </is>
      </c>
      <c r="F11078" s="0" t="s">
        <v>13</v>
      </c>
      <c r="G11078" s="0" t="s">
        <v>49</v>
      </c>
      <c r="H11078" s="5">
        <v>7580.666400</v>
      </c>
    </row>
    <row r="11079" spans="1:9">
      <c r="A11079" s="22" t="str">
        <f>HYPERLINK("https://app.vivvix.com/360/KMI/IntelliDrive/ApplUI/Pages/CreativePages/CustomReportCreativeDetail.aspx?App=23&amp;ReportView=4&amp;Qid=1711279&amp;Row=11071&amp;Col=1","No Title Assigned - #15272318518")</f>
        <v/>
      </c>
      <c r="B11079" s="0" t="s">
        <v>15021</v>
      </c>
      <c r="E11079" s="0" t="inlineStr">
        <is>
          <t xml:space="preserve">Mazda</t>
        </is>
      </c>
      <c r="F11079" s="0" t="inlineStr">
        <is>
          <t xml:space="preserve">Mazda</t>
        </is>
      </c>
      <c r="G11079" s="0" t="s">
        <v>171</v>
      </c>
      <c r="H11079" s="5">
        <v>147.385100</v>
      </c>
    </row>
    <row r="11080" spans="1:9">
      <c r="A11080" s="22" t="str">
        <f>HYPERLINK("https://app.vivvix.com/360/KMI/IntelliDrive/ApplUI/Pages/CreativePages/CustomReportCreativeDetail.aspx?App=23&amp;ReportView=4&amp;Qid=1711279&amp;Row=11072&amp;Col=1","No Title Assigned - #15272319277")</f>
        <v/>
      </c>
      <c r="B11080" s="0" t="s">
        <v>15022</v>
      </c>
      <c r="E11080" s="0" t="inlineStr">
        <is>
          <t xml:space="preserve">Mazda</t>
        </is>
      </c>
      <c r="F11080" s="0" t="inlineStr">
        <is>
          <t xml:space="preserve">Mazda</t>
        </is>
      </c>
      <c r="G11080" s="0" t="s">
        <v>171</v>
      </c>
      <c r="H11080" s="5">
        <v>2.577100</v>
      </c>
    </row>
    <row r="11081" spans="1:9">
      <c r="A11081" s="22" t="str">
        <f>HYPERLINK("https://app.vivvix.com/360/KMI/IntelliDrive/ApplUI/Pages/CreativePages/CustomReportCreativeDetail.aspx?App=23&amp;ReportView=4&amp;Qid=1711279&amp;Row=11073&amp;Col=1","No Title Assigned - #15272319289")</f>
        <v/>
      </c>
      <c r="B11081" s="0" t="s">
        <v>15023</v>
      </c>
      <c r="E11081" s="0" t="inlineStr">
        <is>
          <t xml:space="preserve">Mazda</t>
        </is>
      </c>
      <c r="F11081" s="0" t="inlineStr">
        <is>
          <t xml:space="preserve">Mazda</t>
        </is>
      </c>
      <c r="G11081" s="0" t="s">
        <v>171</v>
      </c>
      <c r="H11081" s="5">
        <v>142.551100</v>
      </c>
    </row>
    <row r="11082" spans="1:9">
      <c r="A11082" s="22" t="str">
        <f>HYPERLINK("https://app.vivvix.com/360/KMI/IntelliDrive/ApplUI/Pages/CreativePages/CustomReportCreativeDetail.aspx?App=23&amp;ReportView=4&amp;Qid=1711279&amp;Row=11074&amp;Col=1","No Title Assigned - #15272319430")</f>
        <v/>
      </c>
      <c r="B11082" s="0" t="s">
        <v>15024</v>
      </c>
      <c r="E11082" s="0" t="inlineStr">
        <is>
          <t xml:space="preserve">Mazda</t>
        </is>
      </c>
      <c r="F11082" s="0" t="inlineStr">
        <is>
          <t xml:space="preserve">Mazda</t>
        </is>
      </c>
      <c r="G11082" s="0" t="s">
        <v>171</v>
      </c>
      <c r="H11082" s="5">
        <v>7.142000</v>
      </c>
    </row>
    <row r="11083" spans="1:9">
      <c r="A11083" s="22" t="str">
        <f>HYPERLINK("https://app.vivvix.com/360/KMI/IntelliDrive/ApplUI/Pages/CreativePages/CustomReportCreativeDetail.aspx?App=23&amp;ReportView=4&amp;Qid=1711279&amp;Row=11075&amp;Col=1","No Title Assigned - #15272319689")</f>
        <v/>
      </c>
      <c r="B11083" s="0" t="s">
        <v>15025</v>
      </c>
      <c r="C11083" s="0" t="s">
        <v>15026</v>
      </c>
      <c r="D11083" s="0" t="s">
        <v>15026</v>
      </c>
      <c r="E11083" s="0" t="inlineStr">
        <is>
          <t xml:space="preserve">Mazda</t>
        </is>
      </c>
      <c r="F11083" s="0" t="inlineStr">
        <is>
          <t xml:space="preserve">Mazda</t>
        </is>
      </c>
      <c r="G11083" s="0" t="s">
        <v>171</v>
      </c>
      <c r="H11083" s="5">
        <v>47.002300</v>
      </c>
    </row>
    <row r="11084" spans="1:9">
      <c r="A11084" s="22" t="str">
        <f>HYPERLINK("https://app.vivvix.com/360/KMI/IntelliDrive/ApplUI/Pages/CreativePages/CustomReportCreativeDetail.aspx?App=23&amp;ReportView=4&amp;Qid=1711279&amp;Row=11076&amp;Col=1","No Title Assigned - #15272320172")</f>
        <v/>
      </c>
      <c r="B11084" s="0" t="s">
        <v>15027</v>
      </c>
      <c r="E11084" s="0" t="inlineStr">
        <is>
          <t xml:space="preserve">Mazda</t>
        </is>
      </c>
      <c r="F11084" s="0" t="inlineStr">
        <is>
          <t xml:space="preserve">Mazda</t>
        </is>
      </c>
      <c r="G11084" s="0" t="s">
        <v>171</v>
      </c>
      <c r="H11084" s="5">
        <v>64.235000</v>
      </c>
    </row>
    <row r="11085" spans="1:9">
      <c r="A11085" s="22" t="str">
        <f>HYPERLINK("https://app.vivvix.com/360/KMI/IntelliDrive/ApplUI/Pages/CreativePages/CustomReportCreativeDetail.aspx?App=23&amp;ReportView=4&amp;Qid=1711279&amp;Row=11077&amp;Col=1","No Title Assigned - #15272320528")</f>
        <v/>
      </c>
      <c r="B11085" s="0" t="s">
        <v>15028</v>
      </c>
      <c r="C11085" s="0" t="s">
        <v>15029</v>
      </c>
      <c r="D11085" s="0" t="s">
        <v>15029</v>
      </c>
      <c r="E11085" s="0" t="inlineStr">
        <is>
          <t xml:space="preserve">Mazda</t>
        </is>
      </c>
      <c r="F11085" s="0" t="inlineStr">
        <is>
          <t xml:space="preserve">Mazda</t>
        </is>
      </c>
      <c r="G11085" s="0" t="s">
        <v>171</v>
      </c>
      <c r="H11085" s="5">
        <v>28.149500</v>
      </c>
    </row>
    <row r="11086" spans="1:9">
      <c r="A11086" s="22" t="str">
        <f>HYPERLINK("https://app.vivvix.com/360/KMI/IntelliDrive/ApplUI/Pages/CreativePages/CustomReportCreativeDetail.aspx?App=23&amp;ReportView=4&amp;Qid=1711279&amp;Row=11078&amp;Col=1","No Title Assigned - #15272321375")</f>
        <v/>
      </c>
      <c r="B11086" s="0" t="s">
        <v>15030</v>
      </c>
      <c r="E11086" s="0" t="inlineStr">
        <is>
          <t xml:space="preserve">Mazda</t>
        </is>
      </c>
      <c r="F11086" s="0" t="inlineStr">
        <is>
          <t xml:space="preserve">Mazda</t>
        </is>
      </c>
      <c r="G11086" s="0" t="s">
        <v>171</v>
      </c>
      <c r="H11086" s="5">
        <v>545.415200</v>
      </c>
    </row>
    <row r="11087" spans="1:9">
      <c r="A11087" s="22" t="str">
        <f>HYPERLINK("https://app.vivvix.com/360/KMI/IntelliDrive/ApplUI/Pages/CreativePages/CustomReportCreativeDetail.aspx?App=23&amp;ReportView=4&amp;Qid=1711279&amp;Row=11079&amp;Col=1","No Title Assigned - #15272322275")</f>
        <v/>
      </c>
      <c r="B11087" s="0" t="s">
        <v>15031</v>
      </c>
      <c r="E11087" s="0" t="inlineStr">
        <is>
          <t xml:space="preserve">Mazda</t>
        </is>
      </c>
      <c r="F11087" s="0" t="inlineStr">
        <is>
          <t xml:space="preserve">Mazda</t>
        </is>
      </c>
      <c r="G11087" s="0" t="s">
        <v>171</v>
      </c>
      <c r="H11087" s="5">
        <v>4078.807300</v>
      </c>
    </row>
    <row r="11088" spans="1:9">
      <c r="A11088" s="22" t="str">
        <f>HYPERLINK("https://app.vivvix.com/360/KMI/IntelliDrive/ApplUI/Pages/CreativePages/CustomReportCreativeDetail.aspx?App=23&amp;ReportView=4&amp;Qid=1711279&amp;Row=11080&amp;Col=1","No Title Assigned - #15272322611")</f>
        <v/>
      </c>
      <c r="B11088" s="0" t="s">
        <v>15032</v>
      </c>
      <c r="E11088" s="0" t="inlineStr">
        <is>
          <t xml:space="preserve">Mazda</t>
        </is>
      </c>
      <c r="F11088" s="0" t="inlineStr">
        <is>
          <t xml:space="preserve">Mazda</t>
        </is>
      </c>
      <c r="G11088" s="0" t="s">
        <v>171</v>
      </c>
      <c r="H11088" s="5">
        <v>4.306900</v>
      </c>
    </row>
    <row r="11089" spans="1:9">
      <c r="A11089" s="22" t="str">
        <f>HYPERLINK("https://app.vivvix.com/360/KMI/IntelliDrive/ApplUI/Pages/CreativePages/CustomReportCreativeDetail.aspx?App=23&amp;ReportView=4&amp;Qid=1711279&amp;Row=11081&amp;Col=1","No Title Assigned - #15272322638")</f>
        <v/>
      </c>
      <c r="B11089" s="0" t="s">
        <v>15033</v>
      </c>
      <c r="E11089" s="0" t="inlineStr">
        <is>
          <t xml:space="preserve">Mazda</t>
        </is>
      </c>
      <c r="F11089" s="0" t="inlineStr">
        <is>
          <t xml:space="preserve">Mazda</t>
        </is>
      </c>
      <c r="G11089" s="0" t="s">
        <v>171</v>
      </c>
      <c r="H11089" s="5">
        <v>4.796400</v>
      </c>
    </row>
    <row r="11090" spans="1:9">
      <c r="A11090" s="22" t="str">
        <f>HYPERLINK("https://app.vivvix.com/360/KMI/IntelliDrive/ApplUI/Pages/CreativePages/CustomReportCreativeDetail.aspx?App=23&amp;ReportView=4&amp;Qid=1711279&amp;Row=11082&amp;Col=1","No Title Assigned - #15272322696")</f>
        <v/>
      </c>
      <c r="B11090" s="0" t="s">
        <v>15034</v>
      </c>
      <c r="E11090" s="0" t="inlineStr">
        <is>
          <t xml:space="preserve">Mazda</t>
        </is>
      </c>
      <c r="F11090" s="0" t="inlineStr">
        <is>
          <t xml:space="preserve">Mazda</t>
        </is>
      </c>
      <c r="G11090" s="0" t="s">
        <v>171</v>
      </c>
      <c r="H11090" s="5">
        <v>5.804500</v>
      </c>
    </row>
    <row r="11091" spans="1:9">
      <c r="A11091" s="22" t="str">
        <f>HYPERLINK("https://app.vivvix.com/360/KMI/IntelliDrive/ApplUI/Pages/CreativePages/CustomReportCreativeDetail.aspx?App=23&amp;ReportView=4&amp;Qid=1711279&amp;Row=11083&amp;Col=1","No Title Assigned - #15272322733")</f>
        <v/>
      </c>
      <c r="B11091" s="0" t="s">
        <v>15035</v>
      </c>
      <c r="E11091" s="0" t="inlineStr">
        <is>
          <t xml:space="preserve">Mazda</t>
        </is>
      </c>
      <c r="F11091" s="0" t="inlineStr">
        <is>
          <t xml:space="preserve">Mazda</t>
        </is>
      </c>
      <c r="G11091" s="0" t="s">
        <v>171</v>
      </c>
      <c r="H11091" s="5">
        <v>227.800900</v>
      </c>
    </row>
    <row r="11092" spans="1:9">
      <c r="A11092" s="22" t="str">
        <f>HYPERLINK("https://app.vivvix.com/360/KMI/IntelliDrive/ApplUI/Pages/CreativePages/CustomReportCreativeDetail.aspx?App=23&amp;ReportView=4&amp;Qid=1711279&amp;Row=11084&amp;Col=1","No Title Assigned - #15272322733")</f>
        <v/>
      </c>
      <c r="B11092" s="0" t="s">
        <v>15035</v>
      </c>
      <c r="E11092" s="0" t="inlineStr">
        <is>
          <t xml:space="preserve">Mazda</t>
        </is>
      </c>
      <c r="F11092" s="0" t="inlineStr">
        <is>
          <t xml:space="preserve">Mazda</t>
        </is>
      </c>
      <c r="G11092" s="0" t="s">
        <v>171</v>
      </c>
      <c r="H11092" s="5">
        <v>210.200200</v>
      </c>
    </row>
    <row r="11093" spans="1:9">
      <c r="A11093" s="22" t="str">
        <f>HYPERLINK("https://app.vivvix.com/360/KMI/IntelliDrive/ApplUI/Pages/CreativePages/CustomReportCreativeDetail.aspx?App=23&amp;ReportView=4&amp;Qid=1711279&amp;Row=11085&amp;Col=1","No Title Assigned - #15272324711")</f>
        <v/>
      </c>
      <c r="B11093" s="0" t="s">
        <v>15036</v>
      </c>
      <c r="E11093" s="0" t="inlineStr">
        <is>
          <t xml:space="preserve">Mazda</t>
        </is>
      </c>
      <c r="F11093" s="0" t="inlineStr">
        <is>
          <t xml:space="preserve">Mazda</t>
        </is>
      </c>
      <c r="G11093" s="0" t="s">
        <v>171</v>
      </c>
      <c r="H11093" s="5">
        <v>25.893600</v>
      </c>
    </row>
    <row r="11094" spans="1:9">
      <c r="A11094" s="22" t="str">
        <f>HYPERLINK("https://app.vivvix.com/360/KMI/IntelliDrive/ApplUI/Pages/CreativePages/CustomReportCreativeDetail.aspx?App=23&amp;ReportView=4&amp;Qid=1711279&amp;Row=11086&amp;Col=1","No Title Assigned - #15272327218")</f>
        <v/>
      </c>
      <c r="B11094" s="0" t="s">
        <v>15037</v>
      </c>
      <c r="E11094" s="0" t="inlineStr">
        <is>
          <t xml:space="preserve">Mazda</t>
        </is>
      </c>
      <c r="F11094" s="0" t="inlineStr">
        <is>
          <t xml:space="preserve">Mazda</t>
        </is>
      </c>
      <c r="G11094" s="0" t="s">
        <v>171</v>
      </c>
      <c r="H11094" s="5">
        <v>3.635100</v>
      </c>
    </row>
    <row r="11095" spans="1:9">
      <c r="A11095" s="22" t="str">
        <f>HYPERLINK("https://app.vivvix.com/360/KMI/IntelliDrive/ApplUI/Pages/CreativePages/CustomReportCreativeDetail.aspx?App=23&amp;ReportView=4&amp;Qid=1711279&amp;Row=11087&amp;Col=1","No Title Assigned - #15272328108")</f>
        <v/>
      </c>
      <c r="B11095" s="0" t="s">
        <v>15038</v>
      </c>
      <c r="E11095" s="0" t="inlineStr">
        <is>
          <t xml:space="preserve">Mazda</t>
        </is>
      </c>
      <c r="F11095" s="0" t="inlineStr">
        <is>
          <t xml:space="preserve">Mazda</t>
        </is>
      </c>
      <c r="G11095" s="0" t="s">
        <v>171</v>
      </c>
      <c r="H11095" s="5">
        <v>12.320300</v>
      </c>
    </row>
    <row r="11096" spans="1:9">
      <c r="A11096" s="22" t="str">
        <f>HYPERLINK("https://app.vivvix.com/360/KMI/IntelliDrive/ApplUI/Pages/CreativePages/CustomReportCreativeDetail.aspx?App=23&amp;ReportView=4&amp;Qid=1711279&amp;Row=11088&amp;Col=1","No Title Assigned - #15272328226")</f>
        <v/>
      </c>
      <c r="B11096" s="0" t="s">
        <v>15039</v>
      </c>
      <c r="E11096" s="0" t="inlineStr">
        <is>
          <t xml:space="preserve">Mazda</t>
        </is>
      </c>
      <c r="F11096" s="0" t="inlineStr">
        <is>
          <t xml:space="preserve">Mazda</t>
        </is>
      </c>
      <c r="G11096" s="0" t="s">
        <v>171</v>
      </c>
      <c r="H11096" s="5">
        <v>8.606100</v>
      </c>
    </row>
    <row r="11097" spans="1:9">
      <c r="A11097" s="22" t="str">
        <f>HYPERLINK("https://app.vivvix.com/360/KMI/IntelliDrive/ApplUI/Pages/CreativePages/CustomReportCreativeDetail.aspx?App=23&amp;ReportView=4&amp;Qid=1711279&amp;Row=11089&amp;Col=1","No Title Assigned - #15272328439")</f>
        <v/>
      </c>
      <c r="B11097" s="0" t="s">
        <v>15040</v>
      </c>
      <c r="E11097" s="0" t="inlineStr">
        <is>
          <t xml:space="preserve">Mazda</t>
        </is>
      </c>
      <c r="F11097" s="0" t="inlineStr">
        <is>
          <t xml:space="preserve">Mazda</t>
        </is>
      </c>
      <c r="G11097" s="0" t="s">
        <v>171</v>
      </c>
      <c r="H11097" s="5">
        <v>230.187600</v>
      </c>
    </row>
    <row r="11098" spans="1:9">
      <c r="A11098" s="22" t="str">
        <f>HYPERLINK("https://app.vivvix.com/360/KMI/IntelliDrive/ApplUI/Pages/CreativePages/CustomReportCreativeDetail.aspx?App=23&amp;ReportView=4&amp;Qid=1711279&amp;Row=11090&amp;Col=1","No Title Assigned - #15272328439")</f>
        <v/>
      </c>
      <c r="B11098" s="0" t="s">
        <v>15040</v>
      </c>
      <c r="E11098" s="0" t="inlineStr">
        <is>
          <t xml:space="preserve">Mazda</t>
        </is>
      </c>
      <c r="F11098" s="0" t="inlineStr">
        <is>
          <t xml:space="preserve">Mazda</t>
        </is>
      </c>
      <c r="G11098" s="0" t="s">
        <v>171</v>
      </c>
      <c r="H11098" s="5">
        <v>6.344400</v>
      </c>
    </row>
    <row r="11099" spans="1:9">
      <c r="A11099" s="22" t="str">
        <f>HYPERLINK("https://app.vivvix.com/360/KMI/IntelliDrive/ApplUI/Pages/CreativePages/CustomReportCreativeDetail.aspx?App=23&amp;ReportView=4&amp;Qid=1711279&amp;Row=11091&amp;Col=1","No Title Assigned - #15272328579")</f>
        <v/>
      </c>
      <c r="B11099" s="0" t="s">
        <v>15041</v>
      </c>
      <c r="C11099" s="0" t="s">
        <v>15042</v>
      </c>
      <c r="D11099" s="0" t="s">
        <v>15042</v>
      </c>
      <c r="E11099" s="0" t="inlineStr">
        <is>
          <t xml:space="preserve">Mazda</t>
        </is>
      </c>
      <c r="F11099" s="0" t="inlineStr">
        <is>
          <t xml:space="preserve">Mazda</t>
        </is>
      </c>
      <c r="G11099" s="0" t="s">
        <v>171</v>
      </c>
      <c r="H11099" s="5">
        <v>395.464500</v>
      </c>
    </row>
    <row r="11100" spans="1:9">
      <c r="A11100" s="22" t="str">
        <f>HYPERLINK("https://app.vivvix.com/360/KMI/IntelliDrive/ApplUI/Pages/CreativePages/CustomReportCreativeDetail.aspx?App=23&amp;ReportView=4&amp;Qid=1711279&amp;Row=11092&amp;Col=1","No Title Assigned - #15272328901")</f>
        <v/>
      </c>
      <c r="B11100" s="0" t="s">
        <v>15043</v>
      </c>
      <c r="C11100" s="0" t="s">
        <v>15044</v>
      </c>
      <c r="D11100" s="0" t="s">
        <v>4225</v>
      </c>
      <c r="E11100" s="0" t="inlineStr">
        <is>
          <t xml:space="preserve">Mazda</t>
        </is>
      </c>
      <c r="F11100" s="0" t="s">
        <v>28</v>
      </c>
      <c r="G11100" s="0" t="s">
        <v>29</v>
      </c>
      <c r="H11100" s="5">
        <v>243.029300</v>
      </c>
    </row>
    <row r="11101" spans="1:9">
      <c r="A11101" s="22" t="str">
        <f>HYPERLINK("https://app.vivvix.com/360/KMI/IntelliDrive/ApplUI/Pages/CreativePages/CustomReportCreativeDetail.aspx?App=23&amp;ReportView=4&amp;Qid=1711279&amp;Row=11093&amp;Col=1","No Title Assigned - #15272332139")</f>
        <v/>
      </c>
      <c r="B11101" s="0" t="s">
        <v>15045</v>
      </c>
      <c r="E11101" s="0" t="inlineStr">
        <is>
          <t xml:space="preserve">Mazda</t>
        </is>
      </c>
      <c r="F11101" s="0" t="inlineStr">
        <is>
          <t xml:space="preserve">Mazda</t>
        </is>
      </c>
      <c r="G11101" s="0" t="s">
        <v>171</v>
      </c>
      <c r="H11101" s="5">
        <v>39.155600</v>
      </c>
    </row>
    <row r="11102" spans="1:9">
      <c r="A11102" s="22" t="str">
        <f>HYPERLINK("https://app.vivvix.com/360/KMI/IntelliDrive/ApplUI/Pages/CreativePages/CustomReportCreativeDetail.aspx?App=23&amp;ReportView=4&amp;Qid=1711279&amp;Row=11094&amp;Col=1","No Title Assigned - #15272332139")</f>
        <v/>
      </c>
      <c r="B11102" s="0" t="s">
        <v>15045</v>
      </c>
      <c r="C11102" s="0" t="s">
        <v>15046</v>
      </c>
      <c r="D11102" s="0" t="s">
        <v>15046</v>
      </c>
      <c r="E11102" s="0" t="inlineStr">
        <is>
          <t xml:space="preserve">Mazda</t>
        </is>
      </c>
      <c r="F11102" s="0" t="inlineStr">
        <is>
          <t xml:space="preserve">Mazda</t>
        </is>
      </c>
      <c r="G11102" s="0" t="s">
        <v>171</v>
      </c>
      <c r="H11102" s="5">
        <v>11.054600</v>
      </c>
    </row>
    <row r="11103" spans="1:9">
      <c r="A11103" s="22" t="str">
        <f>HYPERLINK("https://app.vivvix.com/360/KMI/IntelliDrive/ApplUI/Pages/CreativePages/CustomReportCreativeDetail.aspx?App=23&amp;ReportView=4&amp;Qid=1711279&amp;Row=11095&amp;Col=1","No Title Assigned - #15272332566")</f>
        <v/>
      </c>
      <c r="B11103" s="0" t="s">
        <v>15047</v>
      </c>
      <c r="E11103" s="0" t="inlineStr">
        <is>
          <t xml:space="preserve">Mazda</t>
        </is>
      </c>
      <c r="F11103" s="0" t="inlineStr">
        <is>
          <t xml:space="preserve">Mazda</t>
        </is>
      </c>
      <c r="G11103" s="0" t="s">
        <v>171</v>
      </c>
      <c r="H11103" s="5">
        <v>17.378700</v>
      </c>
    </row>
    <row r="11104" spans="1:9">
      <c r="A11104" s="22" t="str">
        <f>HYPERLINK("https://app.vivvix.com/360/KMI/IntelliDrive/ApplUI/Pages/CreativePages/CustomReportCreativeDetail.aspx?App=23&amp;ReportView=4&amp;Qid=1711279&amp;Row=11096&amp;Col=1","No Title Assigned - #15272332788")</f>
        <v/>
      </c>
      <c r="B11104" s="0" t="s">
        <v>15048</v>
      </c>
      <c r="E11104" s="0" t="inlineStr">
        <is>
          <t xml:space="preserve">Mazda</t>
        </is>
      </c>
      <c r="F11104" s="0" t="inlineStr">
        <is>
          <t xml:space="preserve">Mazda</t>
        </is>
      </c>
      <c r="G11104" s="0" t="s">
        <v>171</v>
      </c>
      <c r="H11104" s="5">
        <v>64.823000</v>
      </c>
    </row>
    <row r="11105" spans="1:9">
      <c r="A11105" s="22" t="str">
        <f>HYPERLINK("https://app.vivvix.com/360/KMI/IntelliDrive/ApplUI/Pages/CreativePages/CustomReportCreativeDetail.aspx?App=23&amp;ReportView=4&amp;Qid=1711279&amp;Row=11097&amp;Col=1","No Title Assigned - #15272334152")</f>
        <v/>
      </c>
      <c r="B11105" s="0" t="s">
        <v>15049</v>
      </c>
      <c r="E11105" s="0" t="inlineStr">
        <is>
          <t xml:space="preserve">Mazda</t>
        </is>
      </c>
      <c r="F11105" s="0" t="s">
        <v>21</v>
      </c>
      <c r="G11105" s="0" t="s">
        <v>22</v>
      </c>
      <c r="H11105" s="5">
        <v>995.009400</v>
      </c>
    </row>
    <row r="11106" spans="1:9">
      <c r="A11106" s="22" t="str">
        <f>HYPERLINK("https://app.vivvix.com/360/KMI/IntelliDrive/ApplUI/Pages/CreativePages/CustomReportCreativeDetail.aspx?App=23&amp;ReportView=4&amp;Qid=1711279&amp;Row=11098&amp;Col=1","No Title Assigned - #15272334742")</f>
        <v/>
      </c>
      <c r="B11106" s="0" t="s">
        <v>15050</v>
      </c>
      <c r="C11106" s="0" t="s">
        <v>15051</v>
      </c>
      <c r="D11106" s="0" t="s">
        <v>15051</v>
      </c>
      <c r="E11106" s="0" t="inlineStr">
        <is>
          <t xml:space="preserve">Mazda</t>
        </is>
      </c>
      <c r="F11106" s="0" t="inlineStr">
        <is>
          <t xml:space="preserve">Mazda</t>
        </is>
      </c>
      <c r="G11106" s="0" t="s">
        <v>171</v>
      </c>
      <c r="H11106" s="5">
        <v>5.740700</v>
      </c>
    </row>
    <row r="11107" spans="1:9">
      <c r="A11107" s="22" t="str">
        <f>HYPERLINK("https://app.vivvix.com/360/KMI/IntelliDrive/ApplUI/Pages/CreativePages/CustomReportCreativeDetail.aspx?App=23&amp;ReportView=4&amp;Qid=1711279&amp;Row=11099&amp;Col=1","No Title Assigned - #15272338340")</f>
        <v/>
      </c>
      <c r="B11107" s="0" t="s">
        <v>15052</v>
      </c>
      <c r="E11107" s="0" t="inlineStr">
        <is>
          <t xml:space="preserve">Mazda</t>
        </is>
      </c>
      <c r="F11107" s="0" t="inlineStr">
        <is>
          <t xml:space="preserve">Mazda</t>
        </is>
      </c>
      <c r="G11107" s="0" t="s">
        <v>171</v>
      </c>
      <c r="H11107" s="5">
        <v>88.542000</v>
      </c>
    </row>
    <row r="11108" spans="1:9">
      <c r="A11108" s="22" t="str">
        <f>HYPERLINK("https://app.vivvix.com/360/KMI/IntelliDrive/ApplUI/Pages/CreativePages/CustomReportCreativeDetail.aspx?App=23&amp;ReportView=4&amp;Qid=1711279&amp;Row=11100&amp;Col=1","No Title Assigned - #15272338693")</f>
        <v/>
      </c>
      <c r="B11108" s="0" t="s">
        <v>15053</v>
      </c>
      <c r="E11108" s="0" t="inlineStr">
        <is>
          <t xml:space="preserve">Mazda</t>
        </is>
      </c>
      <c r="F11108" s="0" t="inlineStr">
        <is>
          <t xml:space="preserve">Mazda</t>
        </is>
      </c>
      <c r="G11108" s="0" t="s">
        <v>171</v>
      </c>
      <c r="H11108" s="5">
        <v>4173.236000</v>
      </c>
    </row>
    <row r="11109" spans="1:9">
      <c r="A11109" s="22" t="str">
        <f>HYPERLINK("https://app.vivvix.com/360/KMI/IntelliDrive/ApplUI/Pages/CreativePages/CustomReportCreativeDetail.aspx?App=23&amp;ReportView=4&amp;Qid=1711279&amp;Row=11101&amp;Col=1","No Title Assigned - #15272339258")</f>
        <v/>
      </c>
      <c r="B11109" s="0" t="s">
        <v>15054</v>
      </c>
      <c r="E11109" s="0" t="inlineStr">
        <is>
          <t xml:space="preserve">Mazda</t>
        </is>
      </c>
      <c r="F11109" s="0" t="inlineStr">
        <is>
          <t xml:space="preserve">Mazda</t>
        </is>
      </c>
      <c r="G11109" s="0" t="s">
        <v>171</v>
      </c>
      <c r="H11109" s="5">
        <v>250.542200</v>
      </c>
    </row>
    <row r="11110" spans="1:9">
      <c r="A11110" s="22" t="str">
        <f>HYPERLINK("https://app.vivvix.com/360/KMI/IntelliDrive/ApplUI/Pages/CreativePages/CustomReportCreativeDetail.aspx?App=23&amp;ReportView=4&amp;Qid=1711279&amp;Row=11102&amp;Col=1","No Title Assigned - #15272340047")</f>
        <v/>
      </c>
      <c r="B11110" s="0" t="s">
        <v>15055</v>
      </c>
      <c r="E11110" s="0" t="inlineStr">
        <is>
          <t xml:space="preserve">Mazda</t>
        </is>
      </c>
      <c r="F11110" s="0" t="s">
        <v>13</v>
      </c>
      <c r="G11110" s="0" t="s">
        <v>49</v>
      </c>
      <c r="H11110" s="5">
        <v>29.394700</v>
      </c>
    </row>
    <row r="11111" spans="1:9">
      <c r="A11111" s="22" t="str">
        <f>HYPERLINK("https://app.vivvix.com/360/KMI/IntelliDrive/ApplUI/Pages/CreativePages/CustomReportCreativeDetail.aspx?App=23&amp;ReportView=4&amp;Qid=1711279&amp;Row=11103&amp;Col=1","No Title Assigned - #15272340091")</f>
        <v/>
      </c>
      <c r="B11111" s="0" t="s">
        <v>15056</v>
      </c>
      <c r="E11111" s="0" t="inlineStr">
        <is>
          <t xml:space="preserve">Mazda</t>
        </is>
      </c>
      <c r="F11111" s="0" t="inlineStr">
        <is>
          <t xml:space="preserve">Mazda</t>
        </is>
      </c>
      <c r="G11111" s="0" t="s">
        <v>171</v>
      </c>
      <c r="H11111" s="5">
        <v>3.091500</v>
      </c>
    </row>
    <row r="11112" spans="1:9">
      <c r="A11112" s="22" t="str">
        <f>HYPERLINK("https://app.vivvix.com/360/KMI/IntelliDrive/ApplUI/Pages/CreativePages/CustomReportCreativeDetail.aspx?App=23&amp;ReportView=4&amp;Qid=1711279&amp;Row=11104&amp;Col=1","No Title Assigned - #15272340091")</f>
        <v/>
      </c>
      <c r="B11112" s="0" t="s">
        <v>15056</v>
      </c>
      <c r="E11112" s="0" t="inlineStr">
        <is>
          <t xml:space="preserve">Mazda</t>
        </is>
      </c>
      <c r="F11112" s="0" t="inlineStr">
        <is>
          <t xml:space="preserve">Mazda</t>
        </is>
      </c>
      <c r="G11112" s="0" t="s">
        <v>171</v>
      </c>
      <c r="H11112" s="5">
        <v>210.200200</v>
      </c>
    </row>
    <row r="11113" spans="1:9">
      <c r="A11113" s="22" t="str">
        <f>HYPERLINK("https://app.vivvix.com/360/KMI/IntelliDrive/ApplUI/Pages/CreativePages/CustomReportCreativeDetail.aspx?App=23&amp;ReportView=4&amp;Qid=1711279&amp;Row=11105&amp;Col=1","No Title Assigned - #15272341378")</f>
        <v/>
      </c>
      <c r="B11113" s="0" t="s">
        <v>15057</v>
      </c>
      <c r="E11113" s="0" t="inlineStr">
        <is>
          <t xml:space="preserve">Mazda</t>
        </is>
      </c>
      <c r="F11113" s="0" t="inlineStr">
        <is>
          <t xml:space="preserve">Mazda</t>
        </is>
      </c>
      <c r="G11113" s="0" t="s">
        <v>171</v>
      </c>
      <c r="H11113" s="5">
        <v>661.884000</v>
      </c>
    </row>
    <row r="11114" spans="1:9">
      <c r="A11114" s="22" t="str">
        <f>HYPERLINK("https://app.vivvix.com/360/KMI/IntelliDrive/ApplUI/Pages/CreativePages/CustomReportCreativeDetail.aspx?App=23&amp;ReportView=4&amp;Qid=1711279&amp;Row=11106&amp;Col=1","No Title Assigned - #15272341378")</f>
        <v/>
      </c>
      <c r="B11114" s="0" t="s">
        <v>15057</v>
      </c>
      <c r="E11114" s="0" t="inlineStr">
        <is>
          <t xml:space="preserve">Mazda</t>
        </is>
      </c>
      <c r="F11114" s="0" t="inlineStr">
        <is>
          <t xml:space="preserve">Mazda</t>
        </is>
      </c>
      <c r="G11114" s="0" t="s">
        <v>171</v>
      </c>
      <c r="H11114" s="5">
        <v>5397.033200</v>
      </c>
    </row>
    <row r="11115" spans="1:9">
      <c r="A11115" s="22" t="str">
        <f>HYPERLINK("https://app.vivvix.com/360/KMI/IntelliDrive/ApplUI/Pages/CreativePages/CustomReportCreativeDetail.aspx?App=23&amp;ReportView=4&amp;Qid=1711279&amp;Row=11107&amp;Col=1","No Title Assigned - #15272341553")</f>
        <v/>
      </c>
      <c r="B11115" s="0" t="s">
        <v>15058</v>
      </c>
      <c r="E11115" s="0" t="inlineStr">
        <is>
          <t xml:space="preserve">Mazda</t>
        </is>
      </c>
      <c r="F11115" s="0" t="inlineStr">
        <is>
          <t xml:space="preserve">Mazda</t>
        </is>
      </c>
      <c r="G11115" s="0" t="s">
        <v>171</v>
      </c>
      <c r="H11115" s="5">
        <v>383.739600</v>
      </c>
    </row>
    <row r="11116" spans="1:9">
      <c r="A11116" s="22" t="str">
        <f>HYPERLINK("https://app.vivvix.com/360/KMI/IntelliDrive/ApplUI/Pages/CreativePages/CustomReportCreativeDetail.aspx?App=23&amp;ReportView=4&amp;Qid=1711279&amp;Row=11108&amp;Col=1","No Title Assigned - #15272342034")</f>
        <v/>
      </c>
      <c r="B11116" s="0" t="s">
        <v>15059</v>
      </c>
      <c r="E11116" s="0" t="inlineStr">
        <is>
          <t xml:space="preserve">Mazda</t>
        </is>
      </c>
      <c r="F11116" s="0" t="inlineStr">
        <is>
          <t xml:space="preserve">Mazda</t>
        </is>
      </c>
      <c r="G11116" s="0" t="s">
        <v>171</v>
      </c>
      <c r="H11116" s="5">
        <v>74.679000</v>
      </c>
    </row>
    <row r="11117" spans="1:9">
      <c r="A11117" s="22" t="str">
        <f>HYPERLINK("https://app.vivvix.com/360/KMI/IntelliDrive/ApplUI/Pages/CreativePages/CustomReportCreativeDetail.aspx?App=23&amp;ReportView=4&amp;Qid=1711279&amp;Row=11109&amp;Col=1","No Title Assigned - #15272343107")</f>
        <v/>
      </c>
      <c r="B11117" s="0" t="s">
        <v>15060</v>
      </c>
      <c r="E11117" s="0" t="inlineStr">
        <is>
          <t xml:space="preserve">Mazda</t>
        </is>
      </c>
      <c r="F11117" s="0" t="inlineStr">
        <is>
          <t xml:space="preserve">Mazda</t>
        </is>
      </c>
      <c r="G11117" s="0" t="s">
        <v>171</v>
      </c>
      <c r="H11117" s="5">
        <v>2040.374800</v>
      </c>
    </row>
    <row r="11118" spans="1:9">
      <c r="A11118" s="22" t="str">
        <f>HYPERLINK("https://app.vivvix.com/360/KMI/IntelliDrive/ApplUI/Pages/CreativePages/CustomReportCreativeDetail.aspx?App=23&amp;ReportView=4&amp;Qid=1711279&amp;Row=11110&amp;Col=1","No Title Assigned - #15272343809")</f>
        <v/>
      </c>
      <c r="B11118" s="0" t="s">
        <v>15061</v>
      </c>
      <c r="E11118" s="0" t="inlineStr">
        <is>
          <t xml:space="preserve">Mazda</t>
        </is>
      </c>
      <c r="F11118" s="0" t="inlineStr">
        <is>
          <t xml:space="preserve">Mazda</t>
        </is>
      </c>
      <c r="G11118" s="0" t="s">
        <v>171</v>
      </c>
      <c r="H11118" s="5">
        <v>68.236200</v>
      </c>
    </row>
    <row r="11119" spans="1:9">
      <c r="A11119" s="22" t="str">
        <f>HYPERLINK("https://app.vivvix.com/360/KMI/IntelliDrive/ApplUI/Pages/CreativePages/CustomReportCreativeDetail.aspx?App=23&amp;ReportView=4&amp;Qid=1711279&amp;Row=11111&amp;Col=1","No Title Assigned - #15272361350")</f>
        <v/>
      </c>
      <c r="B11119" s="0" t="s">
        <v>15062</v>
      </c>
      <c r="E11119" s="0" t="inlineStr">
        <is>
          <t xml:space="preserve">Mazda</t>
        </is>
      </c>
      <c r="F11119" s="0" t="s">
        <v>13</v>
      </c>
      <c r="G11119" s="0" t="s">
        <v>49</v>
      </c>
      <c r="H11119" s="5">
        <v>26.088900</v>
      </c>
    </row>
    <row r="11120" spans="1:9">
      <c r="A11120" s="22" t="str">
        <f>HYPERLINK("https://app.vivvix.com/360/KMI/IntelliDrive/ApplUI/Pages/CreativePages/CustomReportCreativeDetail.aspx?App=23&amp;ReportView=4&amp;Qid=1711279&amp;Row=11112&amp;Col=1","No Title Assigned - #15272361919")</f>
        <v/>
      </c>
      <c r="B11120" s="0" t="s">
        <v>15063</v>
      </c>
      <c r="E11120" s="0" t="inlineStr">
        <is>
          <t xml:space="preserve">Mazda</t>
        </is>
      </c>
      <c r="F11120" s="0" t="s">
        <v>13</v>
      </c>
      <c r="G11120" s="0" t="s">
        <v>49</v>
      </c>
      <c r="H11120" s="5">
        <v>66.870600</v>
      </c>
    </row>
    <row r="11121" spans="1:9">
      <c r="A11121" s="22" t="str">
        <f>HYPERLINK("https://app.vivvix.com/360/KMI/IntelliDrive/ApplUI/Pages/CreativePages/CustomReportCreativeDetail.aspx?App=23&amp;ReportView=4&amp;Qid=1711279&amp;Row=11113&amp;Col=1","No Title Assigned - #15272361919")</f>
        <v/>
      </c>
      <c r="B11121" s="0" t="s">
        <v>15063</v>
      </c>
      <c r="E11121" s="0" t="inlineStr">
        <is>
          <t xml:space="preserve">Mazda</t>
        </is>
      </c>
      <c r="F11121" s="0" t="s">
        <v>13</v>
      </c>
      <c r="G11121" s="0" t="s">
        <v>49</v>
      </c>
      <c r="H11121" s="5">
        <v>518.059100</v>
      </c>
    </row>
    <row r="11122" spans="1:9">
      <c r="A11122" s="22" t="str">
        <f>HYPERLINK("https://app.vivvix.com/360/KMI/IntelliDrive/ApplUI/Pages/CreativePages/CustomReportCreativeDetail.aspx?App=23&amp;ReportView=4&amp;Qid=1711279&amp;Row=11114&amp;Col=1","No Title Assigned - #15272362512")</f>
        <v/>
      </c>
      <c r="B11122" s="0" t="s">
        <v>15064</v>
      </c>
      <c r="E11122" s="0" t="inlineStr">
        <is>
          <t xml:space="preserve">Mazda</t>
        </is>
      </c>
      <c r="F11122" s="0" t="s">
        <v>13</v>
      </c>
      <c r="G11122" s="0" t="s">
        <v>49</v>
      </c>
      <c r="H11122" s="5">
        <v>162.363900</v>
      </c>
    </row>
    <row r="11123" spans="1:9">
      <c r="A11123" s="22" t="str">
        <f>HYPERLINK("https://app.vivvix.com/360/KMI/IntelliDrive/ApplUI/Pages/CreativePages/CustomReportCreativeDetail.aspx?App=23&amp;ReportView=4&amp;Qid=1711279&amp;Row=11115&amp;Col=1","No Title Assigned - #15272362767")</f>
        <v/>
      </c>
      <c r="B11123" s="0" t="s">
        <v>15065</v>
      </c>
      <c r="E11123" s="0" t="inlineStr">
        <is>
          <t xml:space="preserve">Mazda</t>
        </is>
      </c>
      <c r="F11123" s="0" t="s">
        <v>13</v>
      </c>
      <c r="G11123" s="0" t="s">
        <v>49</v>
      </c>
      <c r="H11123" s="5">
        <v>201.320900</v>
      </c>
    </row>
    <row r="11124" spans="1:9">
      <c r="A11124" s="22" t="str">
        <f>HYPERLINK("https://app.vivvix.com/360/KMI/IntelliDrive/ApplUI/Pages/CreativePages/CustomReportCreativeDetail.aspx?App=23&amp;ReportView=4&amp;Qid=1711279&amp;Row=11116&amp;Col=1","No Title Assigned - #15272362768")</f>
        <v/>
      </c>
      <c r="B11124" s="0" t="s">
        <v>15066</v>
      </c>
      <c r="C11124" s="0" t="s">
        <v>15067</v>
      </c>
      <c r="D11124" s="0" t="s">
        <v>15067</v>
      </c>
      <c r="E11124" s="0" t="inlineStr">
        <is>
          <t xml:space="preserve">Mazda</t>
        </is>
      </c>
      <c r="F11124" s="0" t="inlineStr">
        <is>
          <t xml:space="preserve">Mazda</t>
        </is>
      </c>
      <c r="G11124" s="0" t="s">
        <v>210</v>
      </c>
      <c r="H11124" s="5">
        <v>11513.764100</v>
      </c>
    </row>
    <row r="11125" spans="1:9">
      <c r="A11125" s="22" t="str">
        <f>HYPERLINK("https://app.vivvix.com/360/KMI/IntelliDrive/ApplUI/Pages/CreativePages/CustomReportCreativeDetail.aspx?App=23&amp;ReportView=4&amp;Qid=1711279&amp;Row=11117&amp;Col=1","No Title Assigned - #15272362768")</f>
        <v/>
      </c>
      <c r="B11125" s="0" t="s">
        <v>15066</v>
      </c>
      <c r="E11125" s="0" t="inlineStr">
        <is>
          <t xml:space="preserve">Mazda</t>
        </is>
      </c>
      <c r="F11125" s="0" t="inlineStr">
        <is>
          <t xml:space="preserve">Mazda</t>
        </is>
      </c>
      <c r="G11125" s="0" t="s">
        <v>210</v>
      </c>
      <c r="H11125" s="5">
        <v>11161.973500</v>
      </c>
    </row>
    <row r="11126" spans="1:9">
      <c r="A11126" s="22" t="str">
        <f>HYPERLINK("https://app.vivvix.com/360/KMI/IntelliDrive/ApplUI/Pages/CreativePages/CustomReportCreativeDetail.aspx?App=23&amp;ReportView=4&amp;Qid=1711279&amp;Row=11118&amp;Col=1","No Title Assigned - #15272363094")</f>
        <v/>
      </c>
      <c r="B11126" s="0" t="s">
        <v>15068</v>
      </c>
      <c r="E11126" s="0" t="inlineStr">
        <is>
          <t xml:space="preserve">Mazda</t>
        </is>
      </c>
      <c r="F11126" s="0" t="s">
        <v>13</v>
      </c>
      <c r="G11126" s="0" t="s">
        <v>49</v>
      </c>
      <c r="H11126" s="5">
        <v>47.166400</v>
      </c>
    </row>
    <row r="11127" spans="1:9">
      <c r="A11127" s="22" t="str">
        <f>HYPERLINK("https://app.vivvix.com/360/KMI/IntelliDrive/ApplUI/Pages/CreativePages/CustomReportCreativeDetail.aspx?App=23&amp;ReportView=4&amp;Qid=1711279&amp;Row=11119&amp;Col=1","No Title Assigned - #15272363241")</f>
        <v/>
      </c>
      <c r="B11127" s="0" t="s">
        <v>15069</v>
      </c>
      <c r="E11127" s="0" t="inlineStr">
        <is>
          <t xml:space="preserve">Mazda</t>
        </is>
      </c>
      <c r="F11127" s="0" t="s">
        <v>13</v>
      </c>
      <c r="G11127" s="0" t="s">
        <v>49</v>
      </c>
      <c r="H11127" s="5">
        <v>240.505200</v>
      </c>
    </row>
    <row r="11128" spans="1:9">
      <c r="A11128" s="22" t="str">
        <f>HYPERLINK("https://app.vivvix.com/360/KMI/IntelliDrive/ApplUI/Pages/CreativePages/CustomReportCreativeDetail.aspx?App=23&amp;ReportView=4&amp;Qid=1711279&amp;Row=11120&amp;Col=1","No Title Assigned - #15272363361")</f>
        <v/>
      </c>
      <c r="B11128" s="0" t="s">
        <v>15070</v>
      </c>
      <c r="C11128" s="0" t="s">
        <v>15071</v>
      </c>
      <c r="D11128" s="0" t="s">
        <v>15071</v>
      </c>
      <c r="E11128" s="0" t="inlineStr">
        <is>
          <t xml:space="preserve">Mazda</t>
        </is>
      </c>
      <c r="F11128" s="0" t="s">
        <v>13</v>
      </c>
      <c r="G11128" s="0" t="s">
        <v>49</v>
      </c>
      <c r="H11128" s="5">
        <v>273.822100</v>
      </c>
    </row>
    <row r="11129" spans="1:9">
      <c r="A11129" s="22" t="str">
        <f>HYPERLINK("https://app.vivvix.com/360/KMI/IntelliDrive/ApplUI/Pages/CreativePages/CustomReportCreativeDetail.aspx?App=23&amp;ReportView=4&amp;Qid=1711279&amp;Row=11121&amp;Col=1","No Title Assigned - #15272363361")</f>
        <v/>
      </c>
      <c r="B11129" s="0" t="s">
        <v>15070</v>
      </c>
      <c r="E11129" s="0" t="inlineStr">
        <is>
          <t xml:space="preserve">Mazda</t>
        </is>
      </c>
      <c r="F11129" s="0" t="s">
        <v>13</v>
      </c>
      <c r="G11129" s="0" t="s">
        <v>49</v>
      </c>
      <c r="H11129" s="5">
        <v>515.801500</v>
      </c>
    </row>
    <row r="11130" spans="1:9">
      <c r="A11130" s="22" t="str">
        <f>HYPERLINK("https://app.vivvix.com/360/KMI/IntelliDrive/ApplUI/Pages/CreativePages/CustomReportCreativeDetail.aspx?App=23&amp;ReportView=4&amp;Qid=1711279&amp;Row=11122&amp;Col=1","No Title Assigned - #15272363578")</f>
        <v/>
      </c>
      <c r="B11130" s="0" t="s">
        <v>15072</v>
      </c>
      <c r="E11130" s="0" t="inlineStr">
        <is>
          <t xml:space="preserve">Mazda</t>
        </is>
      </c>
      <c r="F11130" s="0" t="s">
        <v>13</v>
      </c>
      <c r="G11130" s="0" t="s">
        <v>49</v>
      </c>
      <c r="H11130" s="5">
        <v>23125.001300</v>
      </c>
    </row>
    <row r="11131" spans="1:9">
      <c r="A11131" s="22" t="str">
        <f>HYPERLINK("https://app.vivvix.com/360/KMI/IntelliDrive/ApplUI/Pages/CreativePages/CustomReportCreativeDetail.aspx?App=23&amp;ReportView=4&amp;Qid=1711279&amp;Row=11123&amp;Col=1","No Title Assigned - #15272363578")</f>
        <v/>
      </c>
      <c r="B11131" s="0" t="s">
        <v>15072</v>
      </c>
      <c r="E11131" s="0" t="inlineStr">
        <is>
          <t xml:space="preserve">Mazda</t>
        </is>
      </c>
      <c r="F11131" s="0" t="s">
        <v>13</v>
      </c>
      <c r="G11131" s="0" t="s">
        <v>49</v>
      </c>
      <c r="H11131" s="5">
        <v>5476.039100</v>
      </c>
    </row>
    <row r="11132" spans="1:9">
      <c r="A11132" s="22" t="str">
        <f>HYPERLINK("https://app.vivvix.com/360/KMI/IntelliDrive/ApplUI/Pages/CreativePages/CustomReportCreativeDetail.aspx?App=23&amp;ReportView=4&amp;Qid=1711279&amp;Row=11124&amp;Col=1","No Title Assigned - #15272363581")</f>
        <v/>
      </c>
      <c r="B11132" s="0" t="s">
        <v>15073</v>
      </c>
      <c r="E11132" s="0" t="inlineStr">
        <is>
          <t xml:space="preserve">Mazda</t>
        </is>
      </c>
      <c r="F11132" s="0" t="s">
        <v>13</v>
      </c>
      <c r="G11132" s="0" t="s">
        <v>49</v>
      </c>
      <c r="H11132" s="5">
        <v>2366.062800</v>
      </c>
    </row>
    <row r="11133" spans="1:9">
      <c r="A11133" s="22" t="str">
        <f>HYPERLINK("https://app.vivvix.com/360/KMI/IntelliDrive/ApplUI/Pages/CreativePages/CustomReportCreativeDetail.aspx?App=23&amp;ReportView=4&amp;Qid=1711279&amp;Row=11125&amp;Col=1","No Title Assigned - #15272363581")</f>
        <v/>
      </c>
      <c r="B11133" s="0" t="s">
        <v>15073</v>
      </c>
      <c r="C11133" s="0" t="s">
        <v>15074</v>
      </c>
      <c r="D11133" s="0" t="s">
        <v>15074</v>
      </c>
      <c r="E11133" s="0" t="inlineStr">
        <is>
          <t xml:space="preserve">Mazda</t>
        </is>
      </c>
      <c r="F11133" s="0" t="s">
        <v>13</v>
      </c>
      <c r="G11133" s="0" t="s">
        <v>49</v>
      </c>
      <c r="H11133" s="5">
        <v>212.299200</v>
      </c>
    </row>
    <row r="11134" spans="1:9">
      <c r="A11134" s="22" t="str">
        <f>HYPERLINK("https://app.vivvix.com/360/KMI/IntelliDrive/ApplUI/Pages/CreativePages/CustomReportCreativeDetail.aspx?App=23&amp;ReportView=4&amp;Qid=1711279&amp;Row=11126&amp;Col=1","No Title Assigned - #15272363628")</f>
        <v/>
      </c>
      <c r="B11134" s="0" t="s">
        <v>15075</v>
      </c>
      <c r="E11134" s="0" t="inlineStr">
        <is>
          <t xml:space="preserve">Mazda</t>
        </is>
      </c>
      <c r="F11134" s="0" t="inlineStr">
        <is>
          <t xml:space="preserve">Mazda</t>
        </is>
      </c>
      <c r="G11134" s="0" t="s">
        <v>210</v>
      </c>
      <c r="H11134" s="5">
        <v>3672.573500</v>
      </c>
    </row>
    <row r="11135" spans="1:9">
      <c r="A11135" s="22" t="str">
        <f>HYPERLINK("https://app.vivvix.com/360/KMI/IntelliDrive/ApplUI/Pages/CreativePages/CustomReportCreativeDetail.aspx?App=23&amp;ReportView=4&amp;Qid=1711279&amp;Row=11127&amp;Col=1","No Title Assigned - #15272363628")</f>
        <v/>
      </c>
      <c r="B11135" s="0" t="s">
        <v>15075</v>
      </c>
      <c r="E11135" s="0" t="inlineStr">
        <is>
          <t xml:space="preserve">Mazda</t>
        </is>
      </c>
      <c r="F11135" s="0" t="inlineStr">
        <is>
          <t xml:space="preserve">Mazda</t>
        </is>
      </c>
      <c r="G11135" s="0" t="s">
        <v>210</v>
      </c>
      <c r="H11135" s="5">
        <v>17811.694300</v>
      </c>
    </row>
    <row r="11136" spans="1:9">
      <c r="A11136" s="22" t="str">
        <f>HYPERLINK("https://app.vivvix.com/360/KMI/IntelliDrive/ApplUI/Pages/CreativePages/CustomReportCreativeDetail.aspx?App=23&amp;ReportView=4&amp;Qid=1711279&amp;Row=11128&amp;Col=1","No Title Assigned - #15272363897")</f>
        <v/>
      </c>
      <c r="B11136" s="0" t="s">
        <v>15076</v>
      </c>
      <c r="C11136" s="0" t="s">
        <v>15077</v>
      </c>
      <c r="D11136" s="0" t="s">
        <v>9080</v>
      </c>
      <c r="E11136" s="0" t="inlineStr">
        <is>
          <t xml:space="preserve">Mazda</t>
        </is>
      </c>
      <c r="F11136" s="0" t="inlineStr">
        <is>
          <t xml:space="preserve">Mazda</t>
        </is>
      </c>
      <c r="G11136" s="0" t="s">
        <v>210</v>
      </c>
      <c r="H11136" s="5">
        <v>233.729700</v>
      </c>
    </row>
    <row r="11137" spans="1:9">
      <c r="A11137" s="22" t="str">
        <f>HYPERLINK("https://app.vivvix.com/360/KMI/IntelliDrive/ApplUI/Pages/CreativePages/CustomReportCreativeDetail.aspx?App=23&amp;ReportView=4&amp;Qid=1711279&amp;Row=11129&amp;Col=1","No Title Assigned - #15272363919")</f>
        <v/>
      </c>
      <c r="B11137" s="0" t="s">
        <v>15078</v>
      </c>
      <c r="C11137" s="0" t="s">
        <v>15079</v>
      </c>
      <c r="D11137" s="0" t="s">
        <v>15079</v>
      </c>
      <c r="E11137" s="0" t="inlineStr">
        <is>
          <t xml:space="preserve">Mazda</t>
        </is>
      </c>
      <c r="F11137" s="0" t="s">
        <v>13</v>
      </c>
      <c r="G11137" s="0" t="s">
        <v>49</v>
      </c>
      <c r="H11137" s="5">
        <v>254.885900</v>
      </c>
    </row>
    <row r="11138" spans="1:9">
      <c r="A11138" s="22" t="str">
        <f>HYPERLINK("https://app.vivvix.com/360/KMI/IntelliDrive/ApplUI/Pages/CreativePages/CustomReportCreativeDetail.aspx?App=23&amp;ReportView=4&amp;Qid=1711279&amp;Row=11130&amp;Col=1","No Title Assigned - #15272364060")</f>
        <v/>
      </c>
      <c r="B11138" s="0" t="s">
        <v>15080</v>
      </c>
      <c r="C11138" s="0" t="s">
        <v>15081</v>
      </c>
      <c r="D11138" s="0" t="s">
        <v>12825</v>
      </c>
      <c r="E11138" s="0" t="inlineStr">
        <is>
          <t xml:space="preserve">Mazda</t>
        </is>
      </c>
      <c r="F11138" s="0" t="s">
        <v>28</v>
      </c>
      <c r="G11138" s="0" t="s">
        <v>29</v>
      </c>
      <c r="H11138" s="5">
        <v>111.949700</v>
      </c>
    </row>
    <row r="11139" spans="1:9">
      <c r="A11139" s="22" t="str">
        <f>HYPERLINK("https://app.vivvix.com/360/KMI/IntelliDrive/ApplUI/Pages/CreativePages/CustomReportCreativeDetail.aspx?App=23&amp;ReportView=4&amp;Qid=1711279&amp;Row=11131&amp;Col=1","No Title Assigned - #15272364149")</f>
        <v/>
      </c>
      <c r="B11139" s="0" t="s">
        <v>15082</v>
      </c>
      <c r="E11139" s="0" t="inlineStr">
        <is>
          <t xml:space="preserve">Mazda</t>
        </is>
      </c>
      <c r="F11139" s="0" t="s">
        <v>13</v>
      </c>
      <c r="G11139" s="0" t="s">
        <v>49</v>
      </c>
      <c r="H11139" s="5">
        <v>5878.579600</v>
      </c>
    </row>
    <row r="11140" spans="1:9">
      <c r="A11140" s="22" t="str">
        <f>HYPERLINK("https://app.vivvix.com/360/KMI/IntelliDrive/ApplUI/Pages/CreativePages/CustomReportCreativeDetail.aspx?App=23&amp;ReportView=4&amp;Qid=1711279&amp;Row=11132&amp;Col=1","No Title Assigned - #15272364533")</f>
        <v/>
      </c>
      <c r="B11140" s="0" t="s">
        <v>15083</v>
      </c>
      <c r="C11140" s="0" t="s">
        <v>15084</v>
      </c>
      <c r="D11140" s="0" t="s">
        <v>15084</v>
      </c>
      <c r="E11140" s="0" t="inlineStr">
        <is>
          <t xml:space="preserve">Mazda</t>
        </is>
      </c>
      <c r="F11140" s="0" t="inlineStr">
        <is>
          <t xml:space="preserve">Mazda</t>
        </is>
      </c>
      <c r="G11140" s="0" t="s">
        <v>210</v>
      </c>
      <c r="H11140" s="5">
        <v>574.606300</v>
      </c>
    </row>
    <row r="11141" spans="1:9">
      <c r="A11141" s="22" t="str">
        <f>HYPERLINK("https://app.vivvix.com/360/KMI/IntelliDrive/ApplUI/Pages/CreativePages/CustomReportCreativeDetail.aspx?App=23&amp;ReportView=4&amp;Qid=1711279&amp;Row=11133&amp;Col=1","No Title Assigned - #15272364815")</f>
        <v/>
      </c>
      <c r="B11141" s="0" t="s">
        <v>15085</v>
      </c>
      <c r="E11141" s="0" t="inlineStr">
        <is>
          <t xml:space="preserve">Mazda</t>
        </is>
      </c>
      <c r="F11141" s="0" t="s">
        <v>13</v>
      </c>
      <c r="G11141" s="0" t="s">
        <v>49</v>
      </c>
      <c r="H11141" s="5">
        <v>70.845100</v>
      </c>
    </row>
    <row r="11142" spans="1:9">
      <c r="A11142" s="22" t="str">
        <f>HYPERLINK("https://app.vivvix.com/360/KMI/IntelliDrive/ApplUI/Pages/CreativePages/CustomReportCreativeDetail.aspx?App=23&amp;ReportView=4&amp;Qid=1711279&amp;Row=11134&amp;Col=1","No Title Assigned - #15272365611")</f>
        <v/>
      </c>
      <c r="B11142" s="0" t="s">
        <v>15086</v>
      </c>
      <c r="E11142" s="0" t="inlineStr">
        <is>
          <t xml:space="preserve">Mazda</t>
        </is>
      </c>
      <c r="F11142" s="0" t="s">
        <v>13</v>
      </c>
      <c r="G11142" s="0" t="s">
        <v>49</v>
      </c>
      <c r="H11142" s="5">
        <v>109.379400</v>
      </c>
    </row>
    <row r="11143" spans="1:9">
      <c r="A11143" s="22" t="str">
        <f>HYPERLINK("https://app.vivvix.com/360/KMI/IntelliDrive/ApplUI/Pages/CreativePages/CustomReportCreativeDetail.aspx?App=23&amp;ReportView=4&amp;Qid=1711279&amp;Row=11135&amp;Col=1","No Title Assigned - #15272365612")</f>
        <v/>
      </c>
      <c r="B11143" s="0" t="s">
        <v>15087</v>
      </c>
      <c r="E11143" s="0" t="inlineStr">
        <is>
          <t xml:space="preserve">Mazda</t>
        </is>
      </c>
      <c r="F11143" s="0" t="inlineStr">
        <is>
          <t xml:space="preserve">Mazda</t>
        </is>
      </c>
      <c r="G11143" s="0" t="s">
        <v>171</v>
      </c>
      <c r="H11143" s="5">
        <v>113.940300</v>
      </c>
    </row>
    <row r="11144" spans="1:9">
      <c r="A11144" s="22" t="str">
        <f>HYPERLINK("https://app.vivvix.com/360/KMI/IntelliDrive/ApplUI/Pages/CreativePages/CustomReportCreativeDetail.aspx?App=23&amp;ReportView=4&amp;Qid=1711279&amp;Row=11136&amp;Col=1","No Title Assigned - #15272365906")</f>
        <v/>
      </c>
      <c r="B11144" s="0" t="s">
        <v>15088</v>
      </c>
      <c r="C11144" s="0" t="s">
        <v>15089</v>
      </c>
      <c r="D11144" s="0" t="s">
        <v>10059</v>
      </c>
      <c r="E11144" s="0" t="inlineStr">
        <is>
          <t xml:space="preserve">Mazda</t>
        </is>
      </c>
      <c r="F11144" s="0" t="s">
        <v>13</v>
      </c>
      <c r="G11144" s="0" t="s">
        <v>49</v>
      </c>
      <c r="H11144" s="5">
        <v>11.940400</v>
      </c>
    </row>
    <row r="11145" spans="1:9">
      <c r="A11145" s="22" t="str">
        <f>HYPERLINK("https://app.vivvix.com/360/KMI/IntelliDrive/ApplUI/Pages/CreativePages/CustomReportCreativeDetail.aspx?App=23&amp;ReportView=4&amp;Qid=1711279&amp;Row=11137&amp;Col=1","No Title Assigned - #15272366280")</f>
        <v/>
      </c>
      <c r="B11145" s="0" t="s">
        <v>15090</v>
      </c>
      <c r="C11145" s="0" t="s">
        <v>15091</v>
      </c>
      <c r="D11145" s="0" t="s">
        <v>15091</v>
      </c>
      <c r="E11145" s="0" t="inlineStr">
        <is>
          <t xml:space="preserve">Mazda</t>
        </is>
      </c>
      <c r="F11145" s="0" t="inlineStr">
        <is>
          <t xml:space="preserve">Mazda</t>
        </is>
      </c>
      <c r="G11145" s="0" t="s">
        <v>171</v>
      </c>
      <c r="H11145" s="5">
        <v>15075.091800</v>
      </c>
    </row>
    <row r="11146" spans="1:9">
      <c r="A11146" s="22" t="str">
        <f>HYPERLINK("https://app.vivvix.com/360/KMI/IntelliDrive/ApplUI/Pages/CreativePages/CustomReportCreativeDetail.aspx?App=23&amp;ReportView=4&amp;Qid=1711279&amp;Row=11138&amp;Col=1","No Title Assigned - #15272366280")</f>
        <v/>
      </c>
      <c r="B11146" s="0" t="s">
        <v>15090</v>
      </c>
      <c r="E11146" s="0" t="inlineStr">
        <is>
          <t xml:space="preserve">Mazda</t>
        </is>
      </c>
      <c r="F11146" s="0" t="inlineStr">
        <is>
          <t xml:space="preserve">Mazda</t>
        </is>
      </c>
      <c r="G11146" s="0" t="s">
        <v>171</v>
      </c>
      <c r="H11146" s="5">
        <v>9918.687000</v>
      </c>
    </row>
    <row r="11147" spans="1:9">
      <c r="A11147" s="22" t="str">
        <f>HYPERLINK("https://app.vivvix.com/360/KMI/IntelliDrive/ApplUI/Pages/CreativePages/CustomReportCreativeDetail.aspx?App=23&amp;ReportView=4&amp;Qid=1711279&amp;Row=11139&amp;Col=1","No Title Assigned - #15272366440")</f>
        <v/>
      </c>
      <c r="B11147" s="0" t="s">
        <v>15092</v>
      </c>
      <c r="C11147" s="0" t="s">
        <v>15093</v>
      </c>
      <c r="D11147" s="0" t="s">
        <v>15093</v>
      </c>
      <c r="E11147" s="0" t="inlineStr">
        <is>
          <t xml:space="preserve">Mazda</t>
        </is>
      </c>
      <c r="F11147" s="0" t="s">
        <v>28</v>
      </c>
      <c r="G11147" s="0" t="s">
        <v>29</v>
      </c>
      <c r="H11147" s="5">
        <v>4.351000</v>
      </c>
    </row>
    <row r="11148" spans="1:9">
      <c r="A11148" s="22" t="str">
        <f>HYPERLINK("https://app.vivvix.com/360/KMI/IntelliDrive/ApplUI/Pages/CreativePages/CustomReportCreativeDetail.aspx?App=23&amp;ReportView=4&amp;Qid=1711279&amp;Row=11140&amp;Col=1","No Title Assigned - #15272366469")</f>
        <v/>
      </c>
      <c r="B11148" s="0" t="s">
        <v>15094</v>
      </c>
      <c r="C11148" s="0" t="s">
        <v>15095</v>
      </c>
      <c r="D11148" s="0" t="s">
        <v>15095</v>
      </c>
      <c r="E11148" s="0" t="inlineStr">
        <is>
          <t xml:space="preserve">Mazda</t>
        </is>
      </c>
      <c r="F11148" s="0" t="s">
        <v>13</v>
      </c>
      <c r="G11148" s="0" t="s">
        <v>49</v>
      </c>
      <c r="H11148" s="5">
        <v>110.621200</v>
      </c>
    </row>
    <row r="11149" spans="1:9">
      <c r="A11149" s="22" t="str">
        <f>HYPERLINK("https://app.vivvix.com/360/KMI/IntelliDrive/ApplUI/Pages/CreativePages/CustomReportCreativeDetail.aspx?App=23&amp;ReportView=4&amp;Qid=1711279&amp;Row=11141&amp;Col=1","No Title Assigned - #15272366601")</f>
        <v/>
      </c>
      <c r="B11149" s="0" t="s">
        <v>15096</v>
      </c>
      <c r="E11149" s="0" t="inlineStr">
        <is>
          <t xml:space="preserve">Mazda</t>
        </is>
      </c>
      <c r="F11149" s="0" t="s">
        <v>13</v>
      </c>
      <c r="G11149" s="0" t="s">
        <v>49</v>
      </c>
      <c r="H11149" s="5">
        <v>24.141700</v>
      </c>
    </row>
    <row r="11150" spans="1:9">
      <c r="A11150" s="22" t="str">
        <f>HYPERLINK("https://app.vivvix.com/360/KMI/IntelliDrive/ApplUI/Pages/CreativePages/CustomReportCreativeDetail.aspx?App=23&amp;ReportView=4&amp;Qid=1711279&amp;Row=11142&amp;Col=1","No Title Assigned - #15272366870")</f>
        <v/>
      </c>
      <c r="B11150" s="0" t="s">
        <v>15097</v>
      </c>
      <c r="C11150" s="0" t="s">
        <v>15098</v>
      </c>
      <c r="D11150" s="0" t="s">
        <v>4335</v>
      </c>
      <c r="E11150" s="0" t="inlineStr">
        <is>
          <t xml:space="preserve">Mazda</t>
        </is>
      </c>
      <c r="F11150" s="0" t="s">
        <v>13</v>
      </c>
      <c r="G11150" s="0" t="s">
        <v>49</v>
      </c>
      <c r="H11150" s="5">
        <v>1642.442000</v>
      </c>
    </row>
    <row r="11151" spans="1:9">
      <c r="A11151" s="22" t="str">
        <f>HYPERLINK("https://app.vivvix.com/360/KMI/IntelliDrive/ApplUI/Pages/CreativePages/CustomReportCreativeDetail.aspx?App=23&amp;ReportView=4&amp;Qid=1711279&amp;Row=11143&amp;Col=1","No Title Assigned - #15272367356")</f>
        <v/>
      </c>
      <c r="B11151" s="0" t="s">
        <v>15099</v>
      </c>
      <c r="E11151" s="0" t="inlineStr">
        <is>
          <t xml:space="preserve">Mazda</t>
        </is>
      </c>
      <c r="F11151" s="0" t="s">
        <v>28</v>
      </c>
      <c r="G11151" s="0" t="s">
        <v>29</v>
      </c>
      <c r="H11151" s="5">
        <v>524.824000</v>
      </c>
    </row>
    <row r="11152" spans="1:9">
      <c r="A11152" s="22" t="str">
        <f>HYPERLINK("https://app.vivvix.com/360/KMI/IntelliDrive/ApplUI/Pages/CreativePages/CustomReportCreativeDetail.aspx?App=23&amp;ReportView=4&amp;Qid=1711279&amp;Row=11144&amp;Col=1","No Title Assigned - #15272367540")</f>
        <v/>
      </c>
      <c r="B11152" s="0" t="s">
        <v>15100</v>
      </c>
      <c r="E11152" s="0" t="inlineStr">
        <is>
          <t xml:space="preserve">Mazda</t>
        </is>
      </c>
      <c r="F11152" s="0" t="s">
        <v>13</v>
      </c>
      <c r="G11152" s="0" t="s">
        <v>49</v>
      </c>
      <c r="H11152" s="5">
        <v>11.933500</v>
      </c>
    </row>
    <row r="11153" spans="1:9">
      <c r="A11153" s="22" t="str">
        <f>HYPERLINK("https://app.vivvix.com/360/KMI/IntelliDrive/ApplUI/Pages/CreativePages/CustomReportCreativeDetail.aspx?App=23&amp;ReportView=4&amp;Qid=1711279&amp;Row=11145&amp;Col=1","No Title Assigned - #15272367554")</f>
        <v/>
      </c>
      <c r="B11153" s="0" t="s">
        <v>15101</v>
      </c>
      <c r="E11153" s="0" t="inlineStr">
        <is>
          <t xml:space="preserve">Mazda</t>
        </is>
      </c>
      <c r="F11153" s="0" t="s">
        <v>13</v>
      </c>
      <c r="G11153" s="0" t="s">
        <v>49</v>
      </c>
      <c r="H11153" s="5">
        <v>849.507300</v>
      </c>
    </row>
    <row r="11154" spans="1:9">
      <c r="A11154" s="22" t="str">
        <f>HYPERLINK("https://app.vivvix.com/360/KMI/IntelliDrive/ApplUI/Pages/CreativePages/CustomReportCreativeDetail.aspx?App=23&amp;ReportView=4&amp;Qid=1711279&amp;Row=11146&amp;Col=1","No Title Assigned - #15272367617")</f>
        <v/>
      </c>
      <c r="B11154" s="0" t="s">
        <v>15102</v>
      </c>
      <c r="E11154" s="0" t="inlineStr">
        <is>
          <t xml:space="preserve">Mazda</t>
        </is>
      </c>
      <c r="F11154" s="0" t="s">
        <v>13</v>
      </c>
      <c r="G11154" s="0" t="s">
        <v>49</v>
      </c>
      <c r="H11154" s="5">
        <v>591.355700</v>
      </c>
    </row>
    <row r="11155" spans="1:9">
      <c r="A11155" s="22" t="str">
        <f>HYPERLINK("https://app.vivvix.com/360/KMI/IntelliDrive/ApplUI/Pages/CreativePages/CustomReportCreativeDetail.aspx?App=23&amp;ReportView=4&amp;Qid=1711279&amp;Row=11147&amp;Col=1","No Title Assigned - #15272367788")</f>
        <v/>
      </c>
      <c r="B11155" s="0" t="s">
        <v>15103</v>
      </c>
      <c r="E11155" s="0" t="inlineStr">
        <is>
          <t xml:space="preserve">Mazda</t>
        </is>
      </c>
      <c r="F11155" s="0" t="s">
        <v>13</v>
      </c>
      <c r="G11155" s="0" t="s">
        <v>49</v>
      </c>
      <c r="H11155" s="5">
        <v>253.271700</v>
      </c>
    </row>
    <row r="11156" spans="1:9">
      <c r="A11156" s="22" t="str">
        <f>HYPERLINK("https://app.vivvix.com/360/KMI/IntelliDrive/ApplUI/Pages/CreativePages/CustomReportCreativeDetail.aspx?App=23&amp;ReportView=4&amp;Qid=1711279&amp;Row=11148&amp;Col=1","No Title Assigned - #15272368147")</f>
        <v/>
      </c>
      <c r="B11156" s="0" t="s">
        <v>15104</v>
      </c>
      <c r="E11156" s="0" t="inlineStr">
        <is>
          <t xml:space="preserve">Mazda</t>
        </is>
      </c>
      <c r="F11156" s="0" t="s">
        <v>13</v>
      </c>
      <c r="G11156" s="0" t="s">
        <v>49</v>
      </c>
      <c r="H11156" s="5">
        <v>38.250400</v>
      </c>
    </row>
    <row r="11157" spans="1:9">
      <c r="A11157" s="22" t="str">
        <f>HYPERLINK("https://app.vivvix.com/360/KMI/IntelliDrive/ApplUI/Pages/CreativePages/CustomReportCreativeDetail.aspx?App=23&amp;ReportView=4&amp;Qid=1711279&amp;Row=11149&amp;Col=1","No Title Assigned - #15272368320")</f>
        <v/>
      </c>
      <c r="B11157" s="0" t="s">
        <v>15105</v>
      </c>
      <c r="C11157" s="0" t="s">
        <v>15106</v>
      </c>
      <c r="D11157" s="0" t="s">
        <v>11708</v>
      </c>
      <c r="E11157" s="0" t="inlineStr">
        <is>
          <t xml:space="preserve">Mazda</t>
        </is>
      </c>
      <c r="F11157" s="0" t="s">
        <v>13</v>
      </c>
      <c r="G11157" s="0" t="s">
        <v>49</v>
      </c>
      <c r="H11157" s="5">
        <v>2330.404100</v>
      </c>
    </row>
    <row r="11158" spans="1:9">
      <c r="A11158" s="22" t="str">
        <f>HYPERLINK("https://app.vivvix.com/360/KMI/IntelliDrive/ApplUI/Pages/CreativePages/CustomReportCreativeDetail.aspx?App=23&amp;ReportView=4&amp;Qid=1711279&amp;Row=11150&amp;Col=1","No Title Assigned - #15272368338")</f>
        <v/>
      </c>
      <c r="B11158" s="0" t="s">
        <v>15107</v>
      </c>
      <c r="E11158" s="0" t="inlineStr">
        <is>
          <t xml:space="preserve">Mazda</t>
        </is>
      </c>
      <c r="F11158" s="0" t="s">
        <v>28</v>
      </c>
      <c r="G11158" s="0" t="s">
        <v>29</v>
      </c>
      <c r="H11158" s="5">
        <v>274.540800</v>
      </c>
    </row>
    <row r="11159" spans="1:9">
      <c r="A11159" s="22" t="str">
        <f>HYPERLINK("https://app.vivvix.com/360/KMI/IntelliDrive/ApplUI/Pages/CreativePages/CustomReportCreativeDetail.aspx?App=23&amp;ReportView=4&amp;Qid=1711279&amp;Row=11151&amp;Col=1","No Title Assigned - #15272369040")</f>
        <v/>
      </c>
      <c r="B11159" s="0" t="s">
        <v>15108</v>
      </c>
      <c r="C11159" s="0" t="s">
        <v>15109</v>
      </c>
      <c r="D11159" s="0" t="s">
        <v>9031</v>
      </c>
      <c r="E11159" s="0" t="inlineStr">
        <is>
          <t xml:space="preserve">Mazda</t>
        </is>
      </c>
      <c r="F11159" s="0" t="s">
        <v>13</v>
      </c>
      <c r="G11159" s="0" t="s">
        <v>49</v>
      </c>
      <c r="H11159" s="5">
        <v>11.791600</v>
      </c>
    </row>
    <row r="11160" spans="1:9">
      <c r="A11160" s="22" t="str">
        <f>HYPERLINK("https://app.vivvix.com/360/KMI/IntelliDrive/ApplUI/Pages/CreativePages/CustomReportCreativeDetail.aspx?App=23&amp;ReportView=4&amp;Qid=1711279&amp;Row=11152&amp;Col=1","No Title Assigned - #15272369195")</f>
        <v/>
      </c>
      <c r="B11160" s="0" t="s">
        <v>15110</v>
      </c>
      <c r="E11160" s="0" t="inlineStr">
        <is>
          <t xml:space="preserve">Mazda</t>
        </is>
      </c>
      <c r="F11160" s="0" t="s">
        <v>13</v>
      </c>
      <c r="G11160" s="0" t="s">
        <v>49</v>
      </c>
      <c r="H11160" s="5">
        <v>4554.465000</v>
      </c>
    </row>
    <row r="11161" spans="1:9">
      <c r="A11161" s="22" t="str">
        <f>HYPERLINK("https://app.vivvix.com/360/KMI/IntelliDrive/ApplUI/Pages/CreativePages/CustomReportCreativeDetail.aspx?App=23&amp;ReportView=4&amp;Qid=1711279&amp;Row=11153&amp;Col=1","No Title Assigned - #15272369260")</f>
        <v/>
      </c>
      <c r="B11161" s="0" t="s">
        <v>15111</v>
      </c>
      <c r="C11161" s="0" t="s">
        <v>15112</v>
      </c>
      <c r="D11161" s="0" t="s">
        <v>9825</v>
      </c>
      <c r="E11161" s="0" t="inlineStr">
        <is>
          <t xml:space="preserve">Mazda</t>
        </is>
      </c>
      <c r="F11161" s="0" t="s">
        <v>13</v>
      </c>
      <c r="G11161" s="0" t="s">
        <v>49</v>
      </c>
      <c r="H11161" s="5">
        <v>1174.692600</v>
      </c>
    </row>
    <row r="11162" spans="1:9">
      <c r="A11162" s="22" t="str">
        <f>HYPERLINK("https://app.vivvix.com/360/KMI/IntelliDrive/ApplUI/Pages/CreativePages/CustomReportCreativeDetail.aspx?App=23&amp;ReportView=4&amp;Qid=1711279&amp;Row=11154&amp;Col=1","No Title Assigned - #15272369952")</f>
        <v/>
      </c>
      <c r="B11162" s="0" t="s">
        <v>15113</v>
      </c>
      <c r="C11162" s="0" t="s">
        <v>15114</v>
      </c>
      <c r="D11162" s="0" t="s">
        <v>10988</v>
      </c>
      <c r="E11162" s="0" t="inlineStr">
        <is>
          <t xml:space="preserve">Mazda</t>
        </is>
      </c>
      <c r="F11162" s="0" t="s">
        <v>13</v>
      </c>
      <c r="G11162" s="0" t="s">
        <v>49</v>
      </c>
      <c r="H11162" s="5">
        <v>7.243600</v>
      </c>
    </row>
    <row r="11163" spans="1:9">
      <c r="A11163" s="22" t="str">
        <f>HYPERLINK("https://app.vivvix.com/360/KMI/IntelliDrive/ApplUI/Pages/CreativePages/CustomReportCreativeDetail.aspx?App=23&amp;ReportView=4&amp;Qid=1711279&amp;Row=11155&amp;Col=1","No Title Assigned - #15272370090")</f>
        <v/>
      </c>
      <c r="B11163" s="0" t="s">
        <v>15115</v>
      </c>
      <c r="C11163" s="0" t="s">
        <v>15116</v>
      </c>
      <c r="D11163" s="0" t="s">
        <v>15116</v>
      </c>
      <c r="E11163" s="0" t="inlineStr">
        <is>
          <t xml:space="preserve">Mazda</t>
        </is>
      </c>
      <c r="F11163" s="0" t="s">
        <v>13</v>
      </c>
      <c r="G11163" s="0" t="s">
        <v>49</v>
      </c>
      <c r="H11163" s="5">
        <v>417.034400</v>
      </c>
    </row>
    <row r="11164" spans="1:9">
      <c r="A11164" s="22" t="str">
        <f>HYPERLINK("https://app.vivvix.com/360/KMI/IntelliDrive/ApplUI/Pages/CreativePages/CustomReportCreativeDetail.aspx?App=23&amp;ReportView=4&amp;Qid=1711279&amp;Row=11156&amp;Col=1","No Title Assigned - #15272370566")</f>
        <v/>
      </c>
      <c r="B11164" s="0" t="s">
        <v>15117</v>
      </c>
      <c r="C11164" s="0" t="s">
        <v>15118</v>
      </c>
      <c r="D11164" s="0" t="s">
        <v>15118</v>
      </c>
      <c r="E11164" s="0" t="inlineStr">
        <is>
          <t xml:space="preserve">Mazda</t>
        </is>
      </c>
      <c r="F11164" s="0" t="s">
        <v>13</v>
      </c>
      <c r="G11164" s="0" t="s">
        <v>49</v>
      </c>
      <c r="H11164" s="5">
        <v>1430.526900</v>
      </c>
    </row>
    <row r="11165" spans="1:9">
      <c r="A11165" s="22" t="str">
        <f>HYPERLINK("https://app.vivvix.com/360/KMI/IntelliDrive/ApplUI/Pages/CreativePages/CustomReportCreativeDetail.aspx?App=23&amp;ReportView=4&amp;Qid=1711279&amp;Row=11157&amp;Col=1","No Title Assigned - #15272370691")</f>
        <v/>
      </c>
      <c r="B11165" s="0" t="s">
        <v>15119</v>
      </c>
      <c r="C11165" s="0" t="s">
        <v>15120</v>
      </c>
      <c r="D11165" s="0" t="s">
        <v>15120</v>
      </c>
      <c r="E11165" s="0" t="inlineStr">
        <is>
          <t xml:space="preserve">Mazda</t>
        </is>
      </c>
      <c r="F11165" s="0" t="inlineStr">
        <is>
          <t xml:space="preserve">Mazda</t>
        </is>
      </c>
      <c r="G11165" s="0" t="s">
        <v>210</v>
      </c>
      <c r="H11165" s="5">
        <v>436.112200</v>
      </c>
    </row>
    <row r="11166" spans="1:9">
      <c r="A11166" s="22" t="str">
        <f>HYPERLINK("https://app.vivvix.com/360/KMI/IntelliDrive/ApplUI/Pages/CreativePages/CustomReportCreativeDetail.aspx?App=23&amp;ReportView=4&amp;Qid=1711279&amp;Row=11158&amp;Col=1","No Title Assigned - #15272370741")</f>
        <v/>
      </c>
      <c r="B11166" s="0" t="s">
        <v>15121</v>
      </c>
      <c r="C11166" s="0" t="s">
        <v>15122</v>
      </c>
      <c r="D11166" s="0" t="s">
        <v>15122</v>
      </c>
      <c r="E11166" s="0" t="inlineStr">
        <is>
          <t xml:space="preserve">Mazda</t>
        </is>
      </c>
      <c r="F11166" s="0" t="s">
        <v>17</v>
      </c>
      <c r="G11166" s="0" t="s">
        <v>33</v>
      </c>
      <c r="H11166" s="5">
        <v>207.953500</v>
      </c>
    </row>
    <row r="11167" spans="1:9">
      <c r="A11167" s="22" t="str">
        <f>HYPERLINK("https://app.vivvix.com/360/KMI/IntelliDrive/ApplUI/Pages/CreativePages/CustomReportCreativeDetail.aspx?App=23&amp;ReportView=4&amp;Qid=1711279&amp;Row=11159&amp;Col=1","No Title Assigned - #15272371089")</f>
        <v/>
      </c>
      <c r="B11167" s="0" t="s">
        <v>15123</v>
      </c>
      <c r="C11167" s="0" t="s">
        <v>15124</v>
      </c>
      <c r="D11167" s="0" t="s">
        <v>15124</v>
      </c>
      <c r="E11167" s="0" t="inlineStr">
        <is>
          <t xml:space="preserve">Mazda</t>
        </is>
      </c>
      <c r="F11167" s="0" t="s">
        <v>13</v>
      </c>
      <c r="G11167" s="0" t="s">
        <v>49</v>
      </c>
      <c r="H11167" s="5">
        <v>40.275000</v>
      </c>
    </row>
    <row r="11168" spans="1:9">
      <c r="A11168" s="22" t="str">
        <f>HYPERLINK("https://app.vivvix.com/360/KMI/IntelliDrive/ApplUI/Pages/CreativePages/CustomReportCreativeDetail.aspx?App=23&amp;ReportView=4&amp;Qid=1711279&amp;Row=11160&amp;Col=1","No Title Assigned - #15272371715")</f>
        <v/>
      </c>
      <c r="B11168" s="0" t="s">
        <v>15125</v>
      </c>
      <c r="E11168" s="0" t="inlineStr">
        <is>
          <t xml:space="preserve">Mazda</t>
        </is>
      </c>
      <c r="F11168" s="0" t="inlineStr">
        <is>
          <t xml:space="preserve">Mazda</t>
        </is>
      </c>
      <c r="G11168" s="0" t="s">
        <v>171</v>
      </c>
      <c r="H11168" s="5">
        <v>315.502100</v>
      </c>
    </row>
    <row r="11169" spans="1:9">
      <c r="A11169" s="22" t="str">
        <f>HYPERLINK("https://app.vivvix.com/360/KMI/IntelliDrive/ApplUI/Pages/CreativePages/CustomReportCreativeDetail.aspx?App=23&amp;ReportView=4&amp;Qid=1711279&amp;Row=11161&amp;Col=1","No Title Assigned - #15272371715")</f>
        <v/>
      </c>
      <c r="B11169" s="0" t="s">
        <v>15125</v>
      </c>
      <c r="E11169" s="0" t="inlineStr">
        <is>
          <t xml:space="preserve">Mazda</t>
        </is>
      </c>
      <c r="F11169" s="0" t="inlineStr">
        <is>
          <t xml:space="preserve">Mazda</t>
        </is>
      </c>
      <c r="G11169" s="0" t="s">
        <v>171</v>
      </c>
      <c r="H11169" s="5">
        <v>2549.215800</v>
      </c>
    </row>
    <row r="11170" spans="1:9">
      <c r="A11170" s="22" t="str">
        <f>HYPERLINK("https://app.vivvix.com/360/KMI/IntelliDrive/ApplUI/Pages/CreativePages/CustomReportCreativeDetail.aspx?App=23&amp;ReportView=4&amp;Qid=1711279&amp;Row=11162&amp;Col=1","No Title Assigned - #15272373659")</f>
        <v/>
      </c>
      <c r="B11170" s="0" t="s">
        <v>15126</v>
      </c>
      <c r="C11170" s="0" t="s">
        <v>15127</v>
      </c>
      <c r="D11170" s="0" t="s">
        <v>15127</v>
      </c>
      <c r="E11170" s="0" t="inlineStr">
        <is>
          <t xml:space="preserve">Mazda</t>
        </is>
      </c>
      <c r="F11170" s="0" t="s">
        <v>13</v>
      </c>
      <c r="G11170" s="0" t="s">
        <v>49</v>
      </c>
      <c r="H11170" s="5">
        <v>103.199600</v>
      </c>
    </row>
    <row r="11171" spans="1:9">
      <c r="A11171" s="22" t="str">
        <f>HYPERLINK("https://app.vivvix.com/360/KMI/IntelliDrive/ApplUI/Pages/CreativePages/CustomReportCreativeDetail.aspx?App=23&amp;ReportView=4&amp;Qid=1711279&amp;Row=11163&amp;Col=1","No Title Assigned - #15272373670")</f>
        <v/>
      </c>
      <c r="B11171" s="0" t="s">
        <v>15128</v>
      </c>
      <c r="C11171" s="0" t="s">
        <v>15129</v>
      </c>
      <c r="D11171" s="0" t="s">
        <v>15129</v>
      </c>
      <c r="E11171" s="0" t="inlineStr">
        <is>
          <t xml:space="preserve">Mazda</t>
        </is>
      </c>
      <c r="F11171" s="0" t="s">
        <v>13</v>
      </c>
      <c r="G11171" s="0" t="s">
        <v>49</v>
      </c>
      <c r="H11171" s="5">
        <v>43.687000</v>
      </c>
    </row>
    <row r="11172" spans="1:9">
      <c r="A11172" s="22" t="str">
        <f>HYPERLINK("https://app.vivvix.com/360/KMI/IntelliDrive/ApplUI/Pages/CreativePages/CustomReportCreativeDetail.aspx?App=23&amp;ReportView=4&amp;Qid=1711279&amp;Row=11164&amp;Col=1","No Title Assigned - #15272373670")</f>
        <v/>
      </c>
      <c r="B11172" s="0" t="s">
        <v>15128</v>
      </c>
      <c r="C11172" s="0" t="s">
        <v>15130</v>
      </c>
      <c r="D11172" s="0" t="s">
        <v>15130</v>
      </c>
      <c r="E11172" s="0" t="inlineStr">
        <is>
          <t xml:space="preserve">Mazda</t>
        </is>
      </c>
      <c r="F11172" s="0" t="s">
        <v>13</v>
      </c>
      <c r="G11172" s="0" t="s">
        <v>49</v>
      </c>
      <c r="H11172" s="5">
        <v>638.803900</v>
      </c>
    </row>
    <row r="11173" spans="1:9">
      <c r="A11173" s="22" t="str">
        <f>HYPERLINK("https://app.vivvix.com/360/KMI/IntelliDrive/ApplUI/Pages/CreativePages/CustomReportCreativeDetail.aspx?App=23&amp;ReportView=4&amp;Qid=1711279&amp;Row=11165&amp;Col=1","No Title Assigned - #15272373835")</f>
        <v/>
      </c>
      <c r="B11173" s="0" t="s">
        <v>15131</v>
      </c>
      <c r="C11173" s="0" t="s">
        <v>15132</v>
      </c>
      <c r="D11173" s="0" t="s">
        <v>15132</v>
      </c>
      <c r="E11173" s="0" t="inlineStr">
        <is>
          <t xml:space="preserve">Mazda</t>
        </is>
      </c>
      <c r="F11173" s="0" t="s">
        <v>13</v>
      </c>
      <c r="G11173" s="0" t="s">
        <v>49</v>
      </c>
      <c r="H11173" s="5">
        <v>4616.947100</v>
      </c>
    </row>
    <row r="11174" spans="1:9">
      <c r="A11174" s="22" t="str">
        <f>HYPERLINK("https://app.vivvix.com/360/KMI/IntelliDrive/ApplUI/Pages/CreativePages/CustomReportCreativeDetail.aspx?App=23&amp;ReportView=4&amp;Qid=1711279&amp;Row=11166&amp;Col=1","No Title Assigned - #15272373924")</f>
        <v/>
      </c>
      <c r="B11174" s="0" t="s">
        <v>15133</v>
      </c>
      <c r="C11174" s="0" t="s">
        <v>15134</v>
      </c>
      <c r="D11174" s="0" t="s">
        <v>6416</v>
      </c>
      <c r="E11174" s="0" t="inlineStr">
        <is>
          <t xml:space="preserve">Mazda</t>
        </is>
      </c>
      <c r="F11174" s="0" t="s">
        <v>13</v>
      </c>
      <c r="G11174" s="0" t="s">
        <v>49</v>
      </c>
      <c r="H11174" s="5">
        <v>152.348400</v>
      </c>
    </row>
    <row r="11175" spans="1:9">
      <c r="A11175" s="22" t="str">
        <f>HYPERLINK("https://app.vivvix.com/360/KMI/IntelliDrive/ApplUI/Pages/CreativePages/CustomReportCreativeDetail.aspx?App=23&amp;ReportView=4&amp;Qid=1711279&amp;Row=11167&amp;Col=1","No Title Assigned - #15272374086")</f>
        <v/>
      </c>
      <c r="B11175" s="0" t="s">
        <v>15135</v>
      </c>
      <c r="C11175" s="0" t="s">
        <v>15136</v>
      </c>
      <c r="D11175" s="0" t="s">
        <v>15136</v>
      </c>
      <c r="E11175" s="0" t="inlineStr">
        <is>
          <t xml:space="preserve">Mazda</t>
        </is>
      </c>
      <c r="F11175" s="0" t="s">
        <v>13</v>
      </c>
      <c r="G11175" s="0" t="s">
        <v>49</v>
      </c>
      <c r="H11175" s="5">
        <v>100.405700</v>
      </c>
    </row>
    <row r="11176" spans="1:9">
      <c r="A11176" s="22" t="str">
        <f>HYPERLINK("https://app.vivvix.com/360/KMI/IntelliDrive/ApplUI/Pages/CreativePages/CustomReportCreativeDetail.aspx?App=23&amp;ReportView=4&amp;Qid=1711279&amp;Row=11168&amp;Col=1","No Title Assigned - #15272374553")</f>
        <v/>
      </c>
      <c r="B11176" s="0" t="s">
        <v>15137</v>
      </c>
      <c r="E11176" s="0" t="inlineStr">
        <is>
          <t xml:space="preserve">Mazda</t>
        </is>
      </c>
      <c r="F11176" s="0" t="s">
        <v>13</v>
      </c>
      <c r="G11176" s="0" t="s">
        <v>49</v>
      </c>
      <c r="H11176" s="5">
        <v>25.354500</v>
      </c>
    </row>
    <row r="11177" spans="1:9">
      <c r="A11177" s="22" t="str">
        <f>HYPERLINK("https://app.vivvix.com/360/KMI/IntelliDrive/ApplUI/Pages/CreativePages/CustomReportCreativeDetail.aspx?App=23&amp;ReportView=4&amp;Qid=1711279&amp;Row=11169&amp;Col=1","No Title Assigned - #15272374558")</f>
        <v/>
      </c>
      <c r="B11177" s="0" t="s">
        <v>15138</v>
      </c>
      <c r="E11177" s="0" t="inlineStr">
        <is>
          <t xml:space="preserve">Mazda</t>
        </is>
      </c>
      <c r="F11177" s="0" t="s">
        <v>13</v>
      </c>
      <c r="G11177" s="0" t="s">
        <v>49</v>
      </c>
      <c r="H11177" s="5">
        <v>1604.935800</v>
      </c>
    </row>
    <row r="11178" spans="1:9">
      <c r="A11178" s="22" t="str">
        <f>HYPERLINK("https://app.vivvix.com/360/KMI/IntelliDrive/ApplUI/Pages/CreativePages/CustomReportCreativeDetail.aspx?App=23&amp;ReportView=4&amp;Qid=1711279&amp;Row=11170&amp;Col=1","No Title Assigned - #15272374633")</f>
        <v/>
      </c>
      <c r="B11178" s="0" t="s">
        <v>15139</v>
      </c>
      <c r="E11178" s="0" t="inlineStr">
        <is>
          <t xml:space="preserve">Mazda</t>
        </is>
      </c>
      <c r="F11178" s="0" t="s">
        <v>28</v>
      </c>
      <c r="G11178" s="0" t="s">
        <v>29</v>
      </c>
      <c r="H11178" s="5">
        <v>231.182200</v>
      </c>
    </row>
    <row r="11179" spans="1:9">
      <c r="A11179" s="22" t="str">
        <f>HYPERLINK("https://app.vivvix.com/360/KMI/IntelliDrive/ApplUI/Pages/CreativePages/CustomReportCreativeDetail.aspx?App=23&amp;ReportView=4&amp;Qid=1711279&amp;Row=11171&amp;Col=1","No Title Assigned - #15272375018")</f>
        <v/>
      </c>
      <c r="B11179" s="0" t="s">
        <v>15140</v>
      </c>
      <c r="E11179" s="0" t="inlineStr">
        <is>
          <t xml:space="preserve">Mazda</t>
        </is>
      </c>
      <c r="F11179" s="0" t="s">
        <v>13</v>
      </c>
      <c r="G11179" s="0" t="s">
        <v>49</v>
      </c>
      <c r="H11179" s="5">
        <v>11.791600</v>
      </c>
    </row>
    <row r="11180" spans="1:9">
      <c r="A11180" s="22" t="str">
        <f>HYPERLINK("https://app.vivvix.com/360/KMI/IntelliDrive/ApplUI/Pages/CreativePages/CustomReportCreativeDetail.aspx?App=23&amp;ReportView=4&amp;Qid=1711279&amp;Row=11172&amp;Col=1","No Title Assigned - #15272375050")</f>
        <v/>
      </c>
      <c r="B11180" s="0" t="s">
        <v>15141</v>
      </c>
      <c r="E11180" s="0" t="inlineStr">
        <is>
          <t xml:space="preserve">Mazda</t>
        </is>
      </c>
      <c r="F11180" s="0" t="s">
        <v>13</v>
      </c>
      <c r="G11180" s="0" t="s">
        <v>49</v>
      </c>
      <c r="H11180" s="5">
        <v>2970.140400</v>
      </c>
    </row>
    <row r="11181" spans="1:9">
      <c r="A11181" s="22" t="str">
        <f>HYPERLINK("https://app.vivvix.com/360/KMI/IntelliDrive/ApplUI/Pages/CreativePages/CustomReportCreativeDetail.aspx?App=23&amp;ReportView=4&amp;Qid=1711279&amp;Row=11173&amp;Col=1","No Title Assigned - #15272375050")</f>
        <v/>
      </c>
      <c r="B11181" s="0" t="s">
        <v>15141</v>
      </c>
      <c r="E11181" s="0" t="inlineStr">
        <is>
          <t xml:space="preserve">Mazda</t>
        </is>
      </c>
      <c r="F11181" s="0" t="s">
        <v>13</v>
      </c>
      <c r="G11181" s="0" t="s">
        <v>49</v>
      </c>
      <c r="H11181" s="5">
        <v>669.851500</v>
      </c>
    </row>
    <row r="11182" spans="1:9">
      <c r="A11182" s="22" t="str">
        <f>HYPERLINK("https://app.vivvix.com/360/KMI/IntelliDrive/ApplUI/Pages/CreativePages/CustomReportCreativeDetail.aspx?App=23&amp;ReportView=4&amp;Qid=1711279&amp;Row=11174&amp;Col=1","No Title Assigned - #15272376502")</f>
        <v/>
      </c>
      <c r="B11182" s="0" t="s">
        <v>15142</v>
      </c>
      <c r="E11182" s="0" t="inlineStr">
        <is>
          <t xml:space="preserve">Mazda</t>
        </is>
      </c>
      <c r="F11182" s="0" t="inlineStr">
        <is>
          <t xml:space="preserve">Mazda</t>
        </is>
      </c>
      <c r="G11182" s="0" t="s">
        <v>171</v>
      </c>
      <c r="H11182" s="5">
        <v>43.130400</v>
      </c>
    </row>
    <row r="11183" spans="1:9">
      <c r="A11183" s="22" t="str">
        <f>HYPERLINK("https://app.vivvix.com/360/KMI/IntelliDrive/ApplUI/Pages/CreativePages/CustomReportCreativeDetail.aspx?App=23&amp;ReportView=4&amp;Qid=1711279&amp;Row=11175&amp;Col=1","No Title Assigned - #15272377611")</f>
        <v/>
      </c>
      <c r="B11183" s="0" t="s">
        <v>15143</v>
      </c>
      <c r="E11183" s="0" t="inlineStr">
        <is>
          <t xml:space="preserve">Mazda</t>
        </is>
      </c>
      <c r="F11183" s="0" t="inlineStr">
        <is>
          <t xml:space="preserve">Mazda</t>
        </is>
      </c>
      <c r="G11183" s="0" t="s">
        <v>171</v>
      </c>
      <c r="H11183" s="5">
        <v>1.916600</v>
      </c>
    </row>
    <row r="11184" spans="1:9">
      <c r="A11184" s="22" t="str">
        <f>HYPERLINK("https://app.vivvix.com/360/KMI/IntelliDrive/ApplUI/Pages/CreativePages/CustomReportCreativeDetail.aspx?App=23&amp;ReportView=4&amp;Qid=1711279&amp;Row=11176&amp;Col=1","No Title Assigned - #15272378046")</f>
        <v/>
      </c>
      <c r="B11184" s="0" t="s">
        <v>15144</v>
      </c>
      <c r="E11184" s="0" t="inlineStr">
        <is>
          <t xml:space="preserve">Mazda</t>
        </is>
      </c>
      <c r="F11184" s="0" t="inlineStr">
        <is>
          <t xml:space="preserve">Mazda</t>
        </is>
      </c>
      <c r="G11184" s="0" t="s">
        <v>171</v>
      </c>
      <c r="H11184" s="5">
        <v>16286.730500</v>
      </c>
    </row>
    <row r="11185" spans="1:9">
      <c r="A11185" s="22" t="str">
        <f>HYPERLINK("https://app.vivvix.com/360/KMI/IntelliDrive/ApplUI/Pages/CreativePages/CustomReportCreativeDetail.aspx?App=23&amp;ReportView=4&amp;Qid=1711279&amp;Row=11177&amp;Col=1","No Title Assigned - #15272378046")</f>
        <v/>
      </c>
      <c r="B11185" s="0" t="s">
        <v>15144</v>
      </c>
      <c r="C11185" s="0" t="s">
        <v>15145</v>
      </c>
      <c r="D11185" s="0" t="s">
        <v>15145</v>
      </c>
      <c r="E11185" s="0" t="inlineStr">
        <is>
          <t xml:space="preserve">Mazda</t>
        </is>
      </c>
      <c r="F11185" s="0" t="inlineStr">
        <is>
          <t xml:space="preserve">Mazda</t>
        </is>
      </c>
      <c r="G11185" s="0" t="s">
        <v>171</v>
      </c>
      <c r="H11185" s="5">
        <v>9388.474300</v>
      </c>
    </row>
    <row r="11186" spans="1:9">
      <c r="A11186" s="22" t="str">
        <f>HYPERLINK("https://app.vivvix.com/360/KMI/IntelliDrive/ApplUI/Pages/CreativePages/CustomReportCreativeDetail.aspx?App=23&amp;ReportView=4&amp;Qid=1711279&amp;Row=11178&amp;Col=1","No Title Assigned - #15272378106")</f>
        <v/>
      </c>
      <c r="B11186" s="0" t="s">
        <v>15146</v>
      </c>
      <c r="E11186" s="0" t="inlineStr">
        <is>
          <t xml:space="preserve">Mazda</t>
        </is>
      </c>
      <c r="F11186" s="0" t="inlineStr">
        <is>
          <t xml:space="preserve">Mazda</t>
        </is>
      </c>
      <c r="G11186" s="0" t="s">
        <v>171</v>
      </c>
      <c r="H11186" s="5">
        <v>10304.166400</v>
      </c>
    </row>
    <row r="11187" spans="1:9">
      <c r="A11187" s="22" t="str">
        <f>HYPERLINK("https://app.vivvix.com/360/KMI/IntelliDrive/ApplUI/Pages/CreativePages/CustomReportCreativeDetail.aspx?App=23&amp;ReportView=4&amp;Qid=1711279&amp;Row=11179&amp;Col=1","No Title Assigned - #15272378106")</f>
        <v/>
      </c>
      <c r="B11187" s="0" t="s">
        <v>15146</v>
      </c>
      <c r="E11187" s="0" t="inlineStr">
        <is>
          <t xml:space="preserve">Mazda</t>
        </is>
      </c>
      <c r="F11187" s="0" t="inlineStr">
        <is>
          <t xml:space="preserve">Mazda</t>
        </is>
      </c>
      <c r="G11187" s="0" t="s">
        <v>171</v>
      </c>
      <c r="H11187" s="5">
        <v>1010.445500</v>
      </c>
    </row>
    <row r="11188" spans="1:9">
      <c r="A11188" s="22" t="str">
        <f>HYPERLINK("https://app.vivvix.com/360/KMI/IntelliDrive/ApplUI/Pages/CreativePages/CustomReportCreativeDetail.aspx?App=23&amp;ReportView=4&amp;Qid=1711279&amp;Row=11180&amp;Col=1","No Title Assigned - #15272378155")</f>
        <v/>
      </c>
      <c r="B11188" s="0" t="s">
        <v>15147</v>
      </c>
      <c r="C11188" s="0" t="s">
        <v>15148</v>
      </c>
      <c r="D11188" s="0" t="s">
        <v>4204</v>
      </c>
      <c r="E11188" s="0" t="inlineStr">
        <is>
          <t xml:space="preserve">Mazda</t>
        </is>
      </c>
      <c r="F11188" s="0" t="s">
        <v>28</v>
      </c>
      <c r="G11188" s="0" t="s">
        <v>29</v>
      </c>
      <c r="H11188" s="5">
        <v>40357.206400</v>
      </c>
    </row>
    <row r="11189" spans="1:9">
      <c r="A11189" s="22" t="str">
        <f>HYPERLINK("https://app.vivvix.com/360/KMI/IntelliDrive/ApplUI/Pages/CreativePages/CustomReportCreativeDetail.aspx?App=23&amp;ReportView=4&amp;Qid=1711279&amp;Row=11181&amp;Col=1","No Title Assigned - #15272378155")</f>
        <v/>
      </c>
      <c r="B11189" s="0" t="s">
        <v>15147</v>
      </c>
      <c r="E11189" s="0" t="inlineStr">
        <is>
          <t xml:space="preserve">Mazda</t>
        </is>
      </c>
      <c r="F11189" s="0" t="s">
        <v>28</v>
      </c>
      <c r="G11189" s="0" t="s">
        <v>29</v>
      </c>
      <c r="H11189" s="5">
        <v>1207.383200</v>
      </c>
    </row>
    <row r="11190" spans="1:9">
      <c r="A11190" s="22" t="str">
        <f>HYPERLINK("https://app.vivvix.com/360/KMI/IntelliDrive/ApplUI/Pages/CreativePages/CustomReportCreativeDetail.aspx?App=23&amp;ReportView=4&amp;Qid=1711279&amp;Row=11182&amp;Col=1","No Title Assigned - #15272378601")</f>
        <v/>
      </c>
      <c r="B11190" s="0" t="s">
        <v>15149</v>
      </c>
      <c r="E11190" s="0" t="inlineStr">
        <is>
          <t xml:space="preserve">Mazda</t>
        </is>
      </c>
      <c r="F11190" s="0" t="inlineStr">
        <is>
          <t xml:space="preserve">Mazda</t>
        </is>
      </c>
      <c r="G11190" s="0" t="s">
        <v>171</v>
      </c>
      <c r="H11190" s="5">
        <v>113.184200</v>
      </c>
    </row>
    <row r="11191" spans="1:9">
      <c r="A11191" s="22" t="str">
        <f>HYPERLINK("https://app.vivvix.com/360/KMI/IntelliDrive/ApplUI/Pages/CreativePages/CustomReportCreativeDetail.aspx?App=23&amp;ReportView=4&amp;Qid=1711279&amp;Row=11183&amp;Col=1","No Title Assigned - #15272378635")</f>
        <v/>
      </c>
      <c r="B11191" s="0" t="s">
        <v>15150</v>
      </c>
      <c r="C11191" s="0" t="s">
        <v>15151</v>
      </c>
      <c r="D11191" s="0" t="s">
        <v>15151</v>
      </c>
      <c r="E11191" s="0" t="inlineStr">
        <is>
          <t xml:space="preserve">Mazda</t>
        </is>
      </c>
      <c r="F11191" s="0" t="s">
        <v>13</v>
      </c>
      <c r="G11191" s="0" t="s">
        <v>49</v>
      </c>
      <c r="H11191" s="5">
        <v>278.964800</v>
      </c>
    </row>
    <row r="11192" spans="1:9">
      <c r="A11192" s="22" t="str">
        <f>HYPERLINK("https://app.vivvix.com/360/KMI/IntelliDrive/ApplUI/Pages/CreativePages/CustomReportCreativeDetail.aspx?App=23&amp;ReportView=4&amp;Qid=1711279&amp;Row=11184&amp;Col=1","No Title Assigned - #15272378875")</f>
        <v/>
      </c>
      <c r="B11192" s="0" t="s">
        <v>15152</v>
      </c>
      <c r="C11192" s="0" t="s">
        <v>15153</v>
      </c>
      <c r="D11192" s="0" t="s">
        <v>15153</v>
      </c>
      <c r="E11192" s="0" t="inlineStr">
        <is>
          <t xml:space="preserve">Mazda</t>
        </is>
      </c>
      <c r="F11192" s="0" t="inlineStr">
        <is>
          <t xml:space="preserve">Mazda</t>
        </is>
      </c>
      <c r="G11192" s="0" t="s">
        <v>210</v>
      </c>
      <c r="H11192" s="5">
        <v>342.086500</v>
      </c>
    </row>
    <row r="11193" spans="1:9">
      <c r="A11193" s="22" t="str">
        <f>HYPERLINK("https://app.vivvix.com/360/KMI/IntelliDrive/ApplUI/Pages/CreativePages/CustomReportCreativeDetail.aspx?App=23&amp;ReportView=4&amp;Qid=1711279&amp;Row=11185&amp;Col=1","No Title Assigned - #15272379672")</f>
        <v/>
      </c>
      <c r="B11193" s="0" t="s">
        <v>15154</v>
      </c>
      <c r="E11193" s="0" t="inlineStr">
        <is>
          <t xml:space="preserve">Mazda</t>
        </is>
      </c>
      <c r="F11193" s="0" t="s">
        <v>13</v>
      </c>
      <c r="G11193" s="0" t="s">
        <v>49</v>
      </c>
      <c r="H11193" s="5">
        <v>5920.776900</v>
      </c>
    </row>
    <row r="11194" spans="1:9">
      <c r="A11194" s="22" t="str">
        <f>HYPERLINK("https://app.vivvix.com/360/KMI/IntelliDrive/ApplUI/Pages/CreativePages/CustomReportCreativeDetail.aspx?App=23&amp;ReportView=4&amp;Qid=1711279&amp;Row=11186&amp;Col=1","No Title Assigned - #15272379682")</f>
        <v/>
      </c>
      <c r="B11194" s="0" t="s">
        <v>15155</v>
      </c>
      <c r="C11194" s="0" t="s">
        <v>15156</v>
      </c>
      <c r="D11194" s="0" t="s">
        <v>15156</v>
      </c>
      <c r="E11194" s="0" t="inlineStr">
        <is>
          <t xml:space="preserve">Mazda</t>
        </is>
      </c>
      <c r="F11194" s="0" t="inlineStr">
        <is>
          <t xml:space="preserve">Mazda</t>
        </is>
      </c>
      <c r="G11194" s="0" t="s">
        <v>210</v>
      </c>
      <c r="H11194" s="5">
        <v>330.838500</v>
      </c>
    </row>
    <row r="11195" spans="1:9">
      <c r="A11195" s="22" t="str">
        <f>HYPERLINK("https://app.vivvix.com/360/KMI/IntelliDrive/ApplUI/Pages/CreativePages/CustomReportCreativeDetail.aspx?App=23&amp;ReportView=4&amp;Qid=1711279&amp;Row=11187&amp;Col=1","No Title Assigned - #15272379793")</f>
        <v/>
      </c>
      <c r="B11195" s="0" t="s">
        <v>15157</v>
      </c>
      <c r="C11195" s="0" t="s">
        <v>15158</v>
      </c>
      <c r="D11195" s="0" t="s">
        <v>12825</v>
      </c>
      <c r="E11195" s="0" t="inlineStr">
        <is>
          <t xml:space="preserve">Mazda</t>
        </is>
      </c>
      <c r="F11195" s="0" t="s">
        <v>28</v>
      </c>
      <c r="G11195" s="0" t="s">
        <v>29</v>
      </c>
      <c r="H11195" s="5">
        <v>54.460200</v>
      </c>
    </row>
    <row r="11196" spans="1:9">
      <c r="A11196" s="22" t="str">
        <f>HYPERLINK("https://app.vivvix.com/360/KMI/IntelliDrive/ApplUI/Pages/CreativePages/CustomReportCreativeDetail.aspx?App=23&amp;ReportView=4&amp;Qid=1711279&amp;Row=11188&amp;Col=1","No Title Assigned - #15272380127")</f>
        <v/>
      </c>
      <c r="B11196" s="0" t="s">
        <v>15159</v>
      </c>
      <c r="C11196" s="0" t="s">
        <v>15160</v>
      </c>
      <c r="D11196" s="0" t="s">
        <v>15160</v>
      </c>
      <c r="E11196" s="0" t="inlineStr">
        <is>
          <t xml:space="preserve">Mazda</t>
        </is>
      </c>
      <c r="F11196" s="0" t="s">
        <v>13</v>
      </c>
      <c r="G11196" s="0" t="s">
        <v>49</v>
      </c>
      <c r="H11196" s="5">
        <v>1134.342400</v>
      </c>
    </row>
    <row r="11197" spans="1:9">
      <c r="A11197" s="22" t="str">
        <f>HYPERLINK("https://app.vivvix.com/360/KMI/IntelliDrive/ApplUI/Pages/CreativePages/CustomReportCreativeDetail.aspx?App=23&amp;ReportView=4&amp;Qid=1711279&amp;Row=11189&amp;Col=1","No Title Assigned - #15272380430")</f>
        <v/>
      </c>
      <c r="B11197" s="0" t="s">
        <v>15161</v>
      </c>
      <c r="E11197" s="0" t="inlineStr">
        <is>
          <t xml:space="preserve">Mazda</t>
        </is>
      </c>
      <c r="F11197" s="0" t="inlineStr">
        <is>
          <t xml:space="preserve">Mazda</t>
        </is>
      </c>
      <c r="G11197" s="0" t="s">
        <v>171</v>
      </c>
      <c r="H11197" s="5">
        <v>8367.208600</v>
      </c>
    </row>
    <row r="11198" spans="1:9">
      <c r="A11198" s="22" t="str">
        <f>HYPERLINK("https://app.vivvix.com/360/KMI/IntelliDrive/ApplUI/Pages/CreativePages/CustomReportCreativeDetail.aspx?App=23&amp;ReportView=4&amp;Qid=1711279&amp;Row=11190&amp;Col=1","No Title Assigned - #15272380481")</f>
        <v/>
      </c>
      <c r="B11198" s="0" t="s">
        <v>15162</v>
      </c>
      <c r="E11198" s="0" t="inlineStr">
        <is>
          <t xml:space="preserve">Mazda</t>
        </is>
      </c>
      <c r="F11198" s="0" t="inlineStr">
        <is>
          <t xml:space="preserve">Mazda</t>
        </is>
      </c>
      <c r="G11198" s="0" t="s">
        <v>171</v>
      </c>
      <c r="H11198" s="5">
        <v>16.162200</v>
      </c>
    </row>
    <row r="11199" spans="1:9">
      <c r="A11199" s="22" t="str">
        <f>HYPERLINK("https://app.vivvix.com/360/KMI/IntelliDrive/ApplUI/Pages/CreativePages/CustomReportCreativeDetail.aspx?App=23&amp;ReportView=4&amp;Qid=1711279&amp;Row=11191&amp;Col=1","No Title Assigned - #15272380693")</f>
        <v/>
      </c>
      <c r="B11199" s="0" t="s">
        <v>15163</v>
      </c>
      <c r="C11199" s="0" t="s">
        <v>15164</v>
      </c>
      <c r="D11199" s="0" t="s">
        <v>15164</v>
      </c>
      <c r="E11199" s="0" t="inlineStr">
        <is>
          <t xml:space="preserve">Mazda</t>
        </is>
      </c>
      <c r="F11199" s="0" t="inlineStr">
        <is>
          <t xml:space="preserve">Mazda</t>
        </is>
      </c>
      <c r="G11199" s="0" t="s">
        <v>171</v>
      </c>
      <c r="H11199" s="5">
        <v>328.494000</v>
      </c>
    </row>
    <row r="11200" spans="1:9">
      <c r="A11200" s="22" t="str">
        <f>HYPERLINK("https://app.vivvix.com/360/KMI/IntelliDrive/ApplUI/Pages/CreativePages/CustomReportCreativeDetail.aspx?App=23&amp;ReportView=4&amp;Qid=1711279&amp;Row=11192&amp;Col=1","No Title Assigned - #15272380693")</f>
        <v/>
      </c>
      <c r="B11200" s="0" t="s">
        <v>15163</v>
      </c>
      <c r="E11200" s="0" t="inlineStr">
        <is>
          <t xml:space="preserve">Mazda</t>
        </is>
      </c>
      <c r="F11200" s="0" t="inlineStr">
        <is>
          <t xml:space="preserve">Mazda</t>
        </is>
      </c>
      <c r="G11200" s="0" t="s">
        <v>171</v>
      </c>
      <c r="H11200" s="5">
        <v>178.071900</v>
      </c>
    </row>
    <row r="11201" spans="1:9">
      <c r="A11201" s="22" t="str">
        <f>HYPERLINK("https://app.vivvix.com/360/KMI/IntelliDrive/ApplUI/Pages/CreativePages/CustomReportCreativeDetail.aspx?App=23&amp;ReportView=4&amp;Qid=1711279&amp;Row=11193&amp;Col=1","No Title Assigned - #15272380816")</f>
        <v/>
      </c>
      <c r="B11201" s="0" t="s">
        <v>15165</v>
      </c>
      <c r="E11201" s="0" t="inlineStr">
        <is>
          <t xml:space="preserve">Mazda</t>
        </is>
      </c>
      <c r="F11201" s="0" t="inlineStr">
        <is>
          <t xml:space="preserve">Mazda</t>
        </is>
      </c>
      <c r="G11201" s="0" t="s">
        <v>171</v>
      </c>
      <c r="H11201" s="5">
        <v>59.985700</v>
      </c>
    </row>
    <row r="11202" spans="1:9">
      <c r="A11202" s="22" t="str">
        <f>HYPERLINK("https://app.vivvix.com/360/KMI/IntelliDrive/ApplUI/Pages/CreativePages/CustomReportCreativeDetail.aspx?App=23&amp;ReportView=4&amp;Qid=1711279&amp;Row=11194&amp;Col=1","No Title Assigned - #15272381053")</f>
        <v/>
      </c>
      <c r="B11202" s="0" t="s">
        <v>15166</v>
      </c>
      <c r="E11202" s="0" t="inlineStr">
        <is>
          <t xml:space="preserve">Mazda</t>
        </is>
      </c>
      <c r="F11202" s="0" t="inlineStr">
        <is>
          <t xml:space="preserve">Mazda</t>
        </is>
      </c>
      <c r="G11202" s="0" t="s">
        <v>171</v>
      </c>
      <c r="H11202" s="5">
        <v>49.797600</v>
      </c>
    </row>
    <row r="11203" spans="1:9">
      <c r="A11203" s="22" t="str">
        <f>HYPERLINK("https://app.vivvix.com/360/KMI/IntelliDrive/ApplUI/Pages/CreativePages/CustomReportCreativeDetail.aspx?App=23&amp;ReportView=4&amp;Qid=1711279&amp;Row=11195&amp;Col=1","No Title Assigned - #15272381187")</f>
        <v/>
      </c>
      <c r="B11203" s="0" t="s">
        <v>15167</v>
      </c>
      <c r="E11203" s="0" t="inlineStr">
        <is>
          <t xml:space="preserve">Mazda</t>
        </is>
      </c>
      <c r="F11203" s="0" t="inlineStr">
        <is>
          <t xml:space="preserve">Mazda</t>
        </is>
      </c>
      <c r="G11203" s="0" t="s">
        <v>171</v>
      </c>
      <c r="H11203" s="5">
        <v>438.214400</v>
      </c>
    </row>
    <row r="11204" spans="1:9">
      <c r="A11204" s="22" t="str">
        <f>HYPERLINK("https://app.vivvix.com/360/KMI/IntelliDrive/ApplUI/Pages/CreativePages/CustomReportCreativeDetail.aspx?App=23&amp;ReportView=4&amp;Qid=1711279&amp;Row=11196&amp;Col=1","No Title Assigned - #15272381516")</f>
        <v/>
      </c>
      <c r="B11204" s="0" t="s">
        <v>15168</v>
      </c>
      <c r="E11204" s="0" t="inlineStr">
        <is>
          <t xml:space="preserve">Mazda</t>
        </is>
      </c>
      <c r="F11204" s="0" t="inlineStr">
        <is>
          <t xml:space="preserve">Mazda</t>
        </is>
      </c>
      <c r="G11204" s="0" t="s">
        <v>171</v>
      </c>
      <c r="H11204" s="5">
        <v>350.818400</v>
      </c>
    </row>
    <row r="11205" spans="1:9">
      <c r="A11205" s="22" t="str">
        <f>HYPERLINK("https://app.vivvix.com/360/KMI/IntelliDrive/ApplUI/Pages/CreativePages/CustomReportCreativeDetail.aspx?App=23&amp;ReportView=4&amp;Qid=1711279&amp;Row=11197&amp;Col=1","No Title Assigned - #15272381892")</f>
        <v/>
      </c>
      <c r="B11205" s="0" t="s">
        <v>15169</v>
      </c>
      <c r="E11205" s="0" t="inlineStr">
        <is>
          <t xml:space="preserve">Mazda</t>
        </is>
      </c>
      <c r="F11205" s="0" t="inlineStr">
        <is>
          <t xml:space="preserve">Mazda</t>
        </is>
      </c>
      <c r="G11205" s="0" t="s">
        <v>171</v>
      </c>
      <c r="H11205" s="5">
        <v>35.729900</v>
      </c>
    </row>
    <row r="11206" spans="1:9">
      <c r="A11206" s="22" t="str">
        <f>HYPERLINK("https://app.vivvix.com/360/KMI/IntelliDrive/ApplUI/Pages/CreativePages/CustomReportCreativeDetail.aspx?App=23&amp;ReportView=4&amp;Qid=1711279&amp;Row=11198&amp;Col=1","No Title Assigned - #15272382084")</f>
        <v/>
      </c>
      <c r="B11206" s="0" t="s">
        <v>15170</v>
      </c>
      <c r="E11206" s="0" t="inlineStr">
        <is>
          <t xml:space="preserve">Mazda</t>
        </is>
      </c>
      <c r="F11206" s="0" t="inlineStr">
        <is>
          <t xml:space="preserve">Mazda</t>
        </is>
      </c>
      <c r="G11206" s="0" t="s">
        <v>171</v>
      </c>
      <c r="H11206" s="5">
        <v>7.389800</v>
      </c>
    </row>
    <row r="11207" spans="1:9">
      <c r="A11207" s="22" t="str">
        <f>HYPERLINK("https://app.vivvix.com/360/KMI/IntelliDrive/ApplUI/Pages/CreativePages/CustomReportCreativeDetail.aspx?App=23&amp;ReportView=4&amp;Qid=1711279&amp;Row=11199&amp;Col=1","No Title Assigned - #15272382586")</f>
        <v/>
      </c>
      <c r="B11207" s="0" t="s">
        <v>15171</v>
      </c>
      <c r="E11207" s="0" t="inlineStr">
        <is>
          <t xml:space="preserve">Mazda</t>
        </is>
      </c>
      <c r="F11207" s="0" t="inlineStr">
        <is>
          <t xml:space="preserve">Mazda</t>
        </is>
      </c>
      <c r="G11207" s="0" t="s">
        <v>171</v>
      </c>
      <c r="H11207" s="5">
        <v>8.817500</v>
      </c>
    </row>
    <row r="11208" spans="1:9">
      <c r="A11208" s="22" t="str">
        <f>HYPERLINK("https://app.vivvix.com/360/KMI/IntelliDrive/ApplUI/Pages/CreativePages/CustomReportCreativeDetail.aspx?App=23&amp;ReportView=4&amp;Qid=1711279&amp;Row=11200&amp;Col=1","No Title Assigned - #15272382620")</f>
        <v/>
      </c>
      <c r="B11208" s="0" t="s">
        <v>15172</v>
      </c>
      <c r="E11208" s="0" t="inlineStr">
        <is>
          <t xml:space="preserve">Mazda</t>
        </is>
      </c>
      <c r="F11208" s="0" t="inlineStr">
        <is>
          <t xml:space="preserve">Mazda</t>
        </is>
      </c>
      <c r="G11208" s="0" t="s">
        <v>171</v>
      </c>
      <c r="H11208" s="5">
        <v>584.110200</v>
      </c>
    </row>
    <row r="11209" spans="1:9">
      <c r="A11209" s="22" t="str">
        <f>HYPERLINK("https://app.vivvix.com/360/KMI/IntelliDrive/ApplUI/Pages/CreativePages/CustomReportCreativeDetail.aspx?App=23&amp;ReportView=4&amp;Qid=1711279&amp;Row=11201&amp;Col=1","No Title Assigned - #15272382843")</f>
        <v/>
      </c>
      <c r="B11209" s="0" t="s">
        <v>15173</v>
      </c>
      <c r="E11209" s="0" t="inlineStr">
        <is>
          <t xml:space="preserve">Mazda</t>
        </is>
      </c>
      <c r="F11209" s="0" t="inlineStr">
        <is>
          <t xml:space="preserve">Mazda</t>
        </is>
      </c>
      <c r="G11209" s="0" t="s">
        <v>171</v>
      </c>
      <c r="H11209" s="5">
        <v>855.931700</v>
      </c>
    </row>
    <row r="11210" spans="1:9">
      <c r="A11210" s="22" t="str">
        <f>HYPERLINK("https://app.vivvix.com/360/KMI/IntelliDrive/ApplUI/Pages/CreativePages/CustomReportCreativeDetail.aspx?App=23&amp;ReportView=4&amp;Qid=1711279&amp;Row=11202&amp;Col=1","No Title Assigned - #15272384712")</f>
        <v/>
      </c>
      <c r="B11210" s="0" t="s">
        <v>15174</v>
      </c>
      <c r="C11210" s="0" t="s">
        <v>15175</v>
      </c>
      <c r="D11210" s="0" t="s">
        <v>15175</v>
      </c>
      <c r="E11210" s="0" t="inlineStr">
        <is>
          <t xml:space="preserve">Mazda</t>
        </is>
      </c>
      <c r="F11210" s="0" t="s">
        <v>13</v>
      </c>
      <c r="G11210" s="0" t="s">
        <v>49</v>
      </c>
      <c r="H11210" s="5">
        <v>50.989700</v>
      </c>
    </row>
    <row r="11211" spans="1:9">
      <c r="A11211" s="22" t="str">
        <f>HYPERLINK("https://app.vivvix.com/360/KMI/IntelliDrive/ApplUI/Pages/CreativePages/CustomReportCreativeDetail.aspx?App=23&amp;ReportView=4&amp;Qid=1711279&amp;Row=11203&amp;Col=1","No Title Assigned - #15272384902")</f>
        <v/>
      </c>
      <c r="B11211" s="0" t="s">
        <v>15176</v>
      </c>
      <c r="E11211" s="0" t="inlineStr">
        <is>
          <t xml:space="preserve">Mazda</t>
        </is>
      </c>
      <c r="F11211" s="0" t="s">
        <v>13</v>
      </c>
      <c r="G11211" s="0" t="s">
        <v>49</v>
      </c>
      <c r="H11211" s="5">
        <v>30.625600</v>
      </c>
    </row>
    <row r="11212" spans="1:9">
      <c r="A11212" s="22" t="str">
        <f>HYPERLINK("https://app.vivvix.com/360/KMI/IntelliDrive/ApplUI/Pages/CreativePages/CustomReportCreativeDetail.aspx?App=23&amp;ReportView=4&amp;Qid=1711279&amp;Row=11204&amp;Col=1","No Title Assigned - #15272384919")</f>
        <v/>
      </c>
      <c r="B11212" s="0" t="s">
        <v>15177</v>
      </c>
      <c r="C11212" s="0" t="s">
        <v>15178</v>
      </c>
      <c r="D11212" s="0" t="s">
        <v>15178</v>
      </c>
      <c r="E11212" s="0" t="inlineStr">
        <is>
          <t xml:space="preserve">Mazda</t>
        </is>
      </c>
      <c r="F11212" s="0" t="s">
        <v>13</v>
      </c>
      <c r="G11212" s="0" t="s">
        <v>49</v>
      </c>
      <c r="H11212" s="5">
        <v>9207.115500</v>
      </c>
    </row>
    <row r="11213" spans="1:9">
      <c r="A11213" s="22" t="str">
        <f>HYPERLINK("https://app.vivvix.com/360/KMI/IntelliDrive/ApplUI/Pages/CreativePages/CustomReportCreativeDetail.aspx?App=23&amp;ReportView=4&amp;Qid=1711279&amp;Row=11205&amp;Col=1","No Title Assigned - #15272384919")</f>
        <v/>
      </c>
      <c r="B11213" s="0" t="s">
        <v>15177</v>
      </c>
      <c r="E11213" s="0" t="inlineStr">
        <is>
          <t xml:space="preserve">Mazda</t>
        </is>
      </c>
      <c r="F11213" s="0" t="s">
        <v>13</v>
      </c>
      <c r="G11213" s="0" t="s">
        <v>49</v>
      </c>
      <c r="H11213" s="5">
        <v>938.260900</v>
      </c>
    </row>
    <row r="11214" spans="1:9">
      <c r="A11214" s="22" t="str">
        <f>HYPERLINK("https://app.vivvix.com/360/KMI/IntelliDrive/ApplUI/Pages/CreativePages/CustomReportCreativeDetail.aspx?App=23&amp;ReportView=4&amp;Qid=1711279&amp;Row=11206&amp;Col=1","No Title Assigned - #15272385375")</f>
        <v/>
      </c>
      <c r="B11214" s="0" t="s">
        <v>15179</v>
      </c>
      <c r="C11214" s="0" t="s">
        <v>15180</v>
      </c>
      <c r="D11214" s="0" t="s">
        <v>15180</v>
      </c>
      <c r="E11214" s="0" t="inlineStr">
        <is>
          <t xml:space="preserve">Mazda</t>
        </is>
      </c>
      <c r="F11214" s="0" t="inlineStr">
        <is>
          <t xml:space="preserve">Mazda</t>
        </is>
      </c>
      <c r="G11214" s="0" t="s">
        <v>1992</v>
      </c>
      <c r="H11214" s="5">
        <v>2326.176800</v>
      </c>
    </row>
    <row r="11215" spans="1:9">
      <c r="A11215" s="22" t="str">
        <f>HYPERLINK("https://app.vivvix.com/360/KMI/IntelliDrive/ApplUI/Pages/CreativePages/CustomReportCreativeDetail.aspx?App=23&amp;ReportView=4&amp;Qid=1711279&amp;Row=11207&amp;Col=1","No Title Assigned - #15272385375")</f>
        <v/>
      </c>
      <c r="B11215" s="0" t="s">
        <v>15179</v>
      </c>
      <c r="E11215" s="0" t="inlineStr">
        <is>
          <t xml:space="preserve">Mazda</t>
        </is>
      </c>
      <c r="F11215" s="0" t="inlineStr">
        <is>
          <t xml:space="preserve">Mazda</t>
        </is>
      </c>
      <c r="G11215" s="0" t="s">
        <v>1992</v>
      </c>
      <c r="H11215" s="5">
        <v>5300.866100</v>
      </c>
    </row>
    <row r="11216" spans="1:9">
      <c r="A11216" s="22" t="str">
        <f>HYPERLINK("https://app.vivvix.com/360/KMI/IntelliDrive/ApplUI/Pages/CreativePages/CustomReportCreativeDetail.aspx?App=23&amp;ReportView=4&amp;Qid=1711279&amp;Row=11208&amp;Col=1","No Title Assigned - #15272385427")</f>
        <v/>
      </c>
      <c r="B11216" s="0" t="s">
        <v>15181</v>
      </c>
      <c r="E11216" s="0" t="inlineStr">
        <is>
          <t xml:space="preserve">Mazda</t>
        </is>
      </c>
      <c r="F11216" s="0" t="s">
        <v>13</v>
      </c>
      <c r="G11216" s="0" t="s">
        <v>49</v>
      </c>
      <c r="H11216" s="5">
        <v>374.970000</v>
      </c>
    </row>
    <row r="11217" spans="1:9">
      <c r="A11217" s="22" t="str">
        <f>HYPERLINK("https://app.vivvix.com/360/KMI/IntelliDrive/ApplUI/Pages/CreativePages/CustomReportCreativeDetail.aspx?App=23&amp;ReportView=4&amp;Qid=1711279&amp;Row=11209&amp;Col=1","No Title Assigned - #15272385589")</f>
        <v/>
      </c>
      <c r="B11217" s="0" t="s">
        <v>15182</v>
      </c>
      <c r="E11217" s="0" t="inlineStr">
        <is>
          <t xml:space="preserve">Mazda</t>
        </is>
      </c>
      <c r="F11217" s="0" t="s">
        <v>13</v>
      </c>
      <c r="G11217" s="0" t="s">
        <v>49</v>
      </c>
      <c r="H11217" s="5">
        <v>3362.804400</v>
      </c>
    </row>
    <row r="11218" spans="1:9">
      <c r="A11218" s="22" t="str">
        <f>HYPERLINK("https://app.vivvix.com/360/KMI/IntelliDrive/ApplUI/Pages/CreativePages/CustomReportCreativeDetail.aspx?App=23&amp;ReportView=4&amp;Qid=1711279&amp;Row=11210&amp;Col=1","No Title Assigned - #15272385645")</f>
        <v/>
      </c>
      <c r="B11218" s="0" t="s">
        <v>15183</v>
      </c>
      <c r="E11218" s="0" t="inlineStr">
        <is>
          <t xml:space="preserve">Mazda</t>
        </is>
      </c>
      <c r="F11218" s="0" t="s">
        <v>13</v>
      </c>
      <c r="G11218" s="0" t="s">
        <v>49</v>
      </c>
      <c r="H11218" s="5">
        <v>81.604100</v>
      </c>
    </row>
    <row r="11219" spans="1:9">
      <c r="A11219" s="22" t="str">
        <f>HYPERLINK("https://app.vivvix.com/360/KMI/IntelliDrive/ApplUI/Pages/CreativePages/CustomReportCreativeDetail.aspx?App=23&amp;ReportView=4&amp;Qid=1711279&amp;Row=11211&amp;Col=1","No Title Assigned - #15272385886")</f>
        <v/>
      </c>
      <c r="B11219" s="0" t="s">
        <v>15184</v>
      </c>
      <c r="E11219" s="0" t="inlineStr">
        <is>
          <t xml:space="preserve">Mazda</t>
        </is>
      </c>
      <c r="F11219" s="0" t="s">
        <v>13</v>
      </c>
      <c r="G11219" s="0" t="s">
        <v>49</v>
      </c>
      <c r="H11219" s="5">
        <v>736.525000</v>
      </c>
    </row>
    <row r="11220" spans="1:9">
      <c r="A11220" s="22" t="str">
        <f>HYPERLINK("https://app.vivvix.com/360/KMI/IntelliDrive/ApplUI/Pages/CreativePages/CustomReportCreativeDetail.aspx?App=23&amp;ReportView=4&amp;Qid=1711279&amp;Row=11212&amp;Col=1","No Title Assigned - #15272385975")</f>
        <v/>
      </c>
      <c r="B11220" s="0" t="s">
        <v>15185</v>
      </c>
      <c r="E11220" s="0" t="inlineStr">
        <is>
          <t xml:space="preserve">Mazda</t>
        </is>
      </c>
      <c r="F11220" s="0" t="s">
        <v>13</v>
      </c>
      <c r="G11220" s="0" t="s">
        <v>49</v>
      </c>
      <c r="H11220" s="5">
        <v>907.115000</v>
      </c>
    </row>
    <row r="11221" spans="1:9">
      <c r="A11221" s="22" t="str">
        <f>HYPERLINK("https://app.vivvix.com/360/KMI/IntelliDrive/ApplUI/Pages/CreativePages/CustomReportCreativeDetail.aspx?App=23&amp;ReportView=4&amp;Qid=1711279&amp;Row=11213&amp;Col=1","No Title Assigned - #15272385975")</f>
        <v/>
      </c>
      <c r="B11221" s="0" t="s">
        <v>15185</v>
      </c>
      <c r="E11221" s="0" t="inlineStr">
        <is>
          <t xml:space="preserve">Mazda</t>
        </is>
      </c>
      <c r="F11221" s="0" t="s">
        <v>13</v>
      </c>
      <c r="G11221" s="0" t="s">
        <v>49</v>
      </c>
      <c r="H11221" s="5">
        <v>5424.585900</v>
      </c>
    </row>
    <row r="11222" spans="1:9">
      <c r="A11222" s="22" t="str">
        <f>HYPERLINK("https://app.vivvix.com/360/KMI/IntelliDrive/ApplUI/Pages/CreativePages/CustomReportCreativeDetail.aspx?App=23&amp;ReportView=4&amp;Qid=1711279&amp;Row=11214&amp;Col=1","No Title Assigned - #15272385988")</f>
        <v/>
      </c>
      <c r="B11222" s="0" t="s">
        <v>15186</v>
      </c>
      <c r="E11222" s="0" t="inlineStr">
        <is>
          <t xml:space="preserve">Mazda</t>
        </is>
      </c>
      <c r="F11222" s="0" t="s">
        <v>13</v>
      </c>
      <c r="G11222" s="0" t="s">
        <v>49</v>
      </c>
      <c r="H11222" s="5">
        <v>206.399200</v>
      </c>
    </row>
    <row r="11223" spans="1:9">
      <c r="A11223" s="22" t="str">
        <f>HYPERLINK("https://app.vivvix.com/360/KMI/IntelliDrive/ApplUI/Pages/CreativePages/CustomReportCreativeDetail.aspx?App=23&amp;ReportView=4&amp;Qid=1711279&amp;Row=11215&amp;Col=1","No Title Assigned - #15272385990")</f>
        <v/>
      </c>
      <c r="B11223" s="0" t="s">
        <v>15187</v>
      </c>
      <c r="E11223" s="0" t="inlineStr">
        <is>
          <t xml:space="preserve">Mazda</t>
        </is>
      </c>
      <c r="F11223" s="0" t="s">
        <v>13</v>
      </c>
      <c r="G11223" s="0" t="s">
        <v>49</v>
      </c>
      <c r="H11223" s="5">
        <v>103.199600</v>
      </c>
    </row>
    <row r="11224" spans="1:9">
      <c r="A11224" s="22" t="str">
        <f>HYPERLINK("https://app.vivvix.com/360/KMI/IntelliDrive/ApplUI/Pages/CreativePages/CustomReportCreativeDetail.aspx?App=23&amp;ReportView=4&amp;Qid=1711279&amp;Row=11216&amp;Col=1","No Title Assigned - #15272386544")</f>
        <v/>
      </c>
      <c r="B11224" s="0" t="s">
        <v>15188</v>
      </c>
      <c r="E11224" s="0" t="inlineStr">
        <is>
          <t xml:space="preserve">Mazda</t>
        </is>
      </c>
      <c r="F11224" s="0" t="s">
        <v>13</v>
      </c>
      <c r="G11224" s="0" t="s">
        <v>49</v>
      </c>
      <c r="H11224" s="5">
        <v>6.217800</v>
      </c>
    </row>
    <row r="11225" spans="1:9">
      <c r="A11225" s="22" t="str">
        <f>HYPERLINK("https://app.vivvix.com/360/KMI/IntelliDrive/ApplUI/Pages/CreativePages/CustomReportCreativeDetail.aspx?App=23&amp;ReportView=4&amp;Qid=1711279&amp;Row=11217&amp;Col=1","No Title Assigned - #15272386641")</f>
        <v/>
      </c>
      <c r="B11225" s="0" t="s">
        <v>15189</v>
      </c>
      <c r="E11225" s="0" t="inlineStr">
        <is>
          <t xml:space="preserve">Mazda</t>
        </is>
      </c>
      <c r="F11225" s="0" t="s">
        <v>13</v>
      </c>
      <c r="G11225" s="0" t="s">
        <v>49</v>
      </c>
      <c r="H11225" s="5">
        <v>1268.918100</v>
      </c>
    </row>
    <row r="11226" spans="1:9">
      <c r="A11226" s="22" t="str">
        <f>HYPERLINK("https://app.vivvix.com/360/KMI/IntelliDrive/ApplUI/Pages/CreativePages/CustomReportCreativeDetail.aspx?App=23&amp;ReportView=4&amp;Qid=1711279&amp;Row=11218&amp;Col=1","No Title Assigned - #15272386923")</f>
        <v/>
      </c>
      <c r="B11226" s="0" t="s">
        <v>15190</v>
      </c>
      <c r="C11226" s="0" t="s">
        <v>15191</v>
      </c>
      <c r="D11226" s="0" t="s">
        <v>15191</v>
      </c>
      <c r="E11226" s="0" t="inlineStr">
        <is>
          <t xml:space="preserve">Mazda</t>
        </is>
      </c>
      <c r="F11226" s="0" t="s">
        <v>13</v>
      </c>
      <c r="G11226" s="0" t="s">
        <v>49</v>
      </c>
      <c r="H11226" s="5">
        <v>83.187000</v>
      </c>
    </row>
    <row r="11227" spans="1:9">
      <c r="A11227" s="22" t="str">
        <f>HYPERLINK("https://app.vivvix.com/360/KMI/IntelliDrive/ApplUI/Pages/CreativePages/CustomReportCreativeDetail.aspx?App=23&amp;ReportView=4&amp;Qid=1711279&amp;Row=11219&amp;Col=1","No Title Assigned - #15272387096")</f>
        <v/>
      </c>
      <c r="B11227" s="0" t="s">
        <v>15192</v>
      </c>
      <c r="C11227" s="0" t="s">
        <v>15193</v>
      </c>
      <c r="D11227" s="0" t="s">
        <v>15193</v>
      </c>
      <c r="E11227" s="0" t="inlineStr">
        <is>
          <t xml:space="preserve">Mazda</t>
        </is>
      </c>
      <c r="F11227" s="0" t="s">
        <v>13</v>
      </c>
      <c r="G11227" s="0" t="s">
        <v>49</v>
      </c>
      <c r="H11227" s="5">
        <v>1158.635700</v>
      </c>
    </row>
    <row r="11228" spans="1:9">
      <c r="A11228" s="22" t="str">
        <f>HYPERLINK("https://app.vivvix.com/360/KMI/IntelliDrive/ApplUI/Pages/CreativePages/CustomReportCreativeDetail.aspx?App=23&amp;ReportView=4&amp;Qid=1711279&amp;Row=11220&amp;Col=1","No Title Assigned - #15272387269")</f>
        <v/>
      </c>
      <c r="B11228" s="0" t="s">
        <v>15194</v>
      </c>
      <c r="E11228" s="0" t="inlineStr">
        <is>
          <t xml:space="preserve">Mazda</t>
        </is>
      </c>
      <c r="F11228" s="0" t="s">
        <v>13</v>
      </c>
      <c r="G11228" s="0" t="s">
        <v>49</v>
      </c>
      <c r="H11228" s="5">
        <v>99.518900</v>
      </c>
    </row>
    <row r="11229" spans="1:9">
      <c r="A11229" s="22" t="str">
        <f>HYPERLINK("https://app.vivvix.com/360/KMI/IntelliDrive/ApplUI/Pages/CreativePages/CustomReportCreativeDetail.aspx?App=23&amp;ReportView=4&amp;Qid=1711279&amp;Row=11221&amp;Col=1","No Title Assigned - #15272387674")</f>
        <v/>
      </c>
      <c r="B11229" s="0" t="s">
        <v>15195</v>
      </c>
      <c r="E11229" s="0" t="inlineStr">
        <is>
          <t xml:space="preserve">Mazda</t>
        </is>
      </c>
      <c r="F11229" s="0" t="s">
        <v>13</v>
      </c>
      <c r="G11229" s="0" t="s">
        <v>49</v>
      </c>
      <c r="H11229" s="5">
        <v>13398.072000</v>
      </c>
    </row>
    <row r="11230" spans="1:9">
      <c r="A11230" s="22" t="str">
        <f>HYPERLINK("https://app.vivvix.com/360/KMI/IntelliDrive/ApplUI/Pages/CreativePages/CustomReportCreativeDetail.aspx?App=23&amp;ReportView=4&amp;Qid=1711279&amp;Row=11222&amp;Col=1","No Title Assigned - #15272387674")</f>
        <v/>
      </c>
      <c r="B11230" s="0" t="s">
        <v>15195</v>
      </c>
      <c r="E11230" s="0" t="inlineStr">
        <is>
          <t xml:space="preserve">Mazda</t>
        </is>
      </c>
      <c r="F11230" s="0" t="s">
        <v>13</v>
      </c>
      <c r="G11230" s="0" t="s">
        <v>49</v>
      </c>
      <c r="H11230" s="5">
        <v>5887.419800</v>
      </c>
    </row>
    <row r="11231" spans="1:9">
      <c r="A11231" s="22" t="str">
        <f>HYPERLINK("https://app.vivvix.com/360/KMI/IntelliDrive/ApplUI/Pages/CreativePages/CustomReportCreativeDetail.aspx?App=23&amp;ReportView=4&amp;Qid=1711279&amp;Row=11223&amp;Col=1","No Title Assigned - #15272388658")</f>
        <v/>
      </c>
      <c r="B11231" s="0" t="s">
        <v>15196</v>
      </c>
      <c r="E11231" s="0" t="inlineStr">
        <is>
          <t xml:space="preserve">Mazda</t>
        </is>
      </c>
      <c r="F11231" s="0" t="s">
        <v>13</v>
      </c>
      <c r="G11231" s="0" t="s">
        <v>49</v>
      </c>
      <c r="H11231" s="5">
        <v>2.056900</v>
      </c>
    </row>
    <row r="11232" spans="1:9">
      <c r="A11232" s="22" t="str">
        <f>HYPERLINK("https://app.vivvix.com/360/KMI/IntelliDrive/ApplUI/Pages/CreativePages/CustomReportCreativeDetail.aspx?App=23&amp;ReportView=4&amp;Qid=1711279&amp;Row=11224&amp;Col=1","No Title Assigned - #15272388724")</f>
        <v/>
      </c>
      <c r="B11232" s="0" t="s">
        <v>15197</v>
      </c>
      <c r="E11232" s="0" t="inlineStr">
        <is>
          <t xml:space="preserve">Mazda</t>
        </is>
      </c>
      <c r="F11232" s="0" t="s">
        <v>13</v>
      </c>
      <c r="G11232" s="0" t="s">
        <v>49</v>
      </c>
      <c r="H11232" s="5">
        <v>15.494400</v>
      </c>
    </row>
    <row r="11233" spans="1:9">
      <c r="A11233" s="22" t="str">
        <f>HYPERLINK("https://app.vivvix.com/360/KMI/IntelliDrive/ApplUI/Pages/CreativePages/CustomReportCreativeDetail.aspx?App=23&amp;ReportView=4&amp;Qid=1711279&amp;Row=11225&amp;Col=1","No Title Assigned - #15272389664")</f>
        <v/>
      </c>
      <c r="B11233" s="0" t="s">
        <v>15198</v>
      </c>
      <c r="C11233" s="0" t="s">
        <v>15199</v>
      </c>
      <c r="D11233" s="0" t="s">
        <v>15199</v>
      </c>
      <c r="E11233" s="0" t="inlineStr">
        <is>
          <t xml:space="preserve">Mazda</t>
        </is>
      </c>
      <c r="F11233" s="0" t="s">
        <v>13</v>
      </c>
      <c r="G11233" s="0" t="s">
        <v>49</v>
      </c>
      <c r="H11233" s="5">
        <v>64697.438300</v>
      </c>
    </row>
    <row r="11234" spans="1:9">
      <c r="A11234" s="22" t="str">
        <f>HYPERLINK("https://app.vivvix.com/360/KMI/IntelliDrive/ApplUI/Pages/CreativePages/CustomReportCreativeDetail.aspx?App=23&amp;ReportView=4&amp;Qid=1711279&amp;Row=11226&amp;Col=1","No Title Assigned - #15272389664")</f>
        <v/>
      </c>
      <c r="B11234" s="0" t="s">
        <v>15198</v>
      </c>
      <c r="E11234" s="0" t="inlineStr">
        <is>
          <t xml:space="preserve">Mazda</t>
        </is>
      </c>
      <c r="F11234" s="0" t="s">
        <v>13</v>
      </c>
      <c r="G11234" s="0" t="s">
        <v>49</v>
      </c>
      <c r="H11234" s="5">
        <v>13070.901100</v>
      </c>
    </row>
    <row r="11235" spans="1:9">
      <c r="A11235" s="22" t="str">
        <f>HYPERLINK("https://app.vivvix.com/360/KMI/IntelliDrive/ApplUI/Pages/CreativePages/CustomReportCreativeDetail.aspx?App=23&amp;ReportView=4&amp;Qid=1711279&amp;Row=11227&amp;Col=1","No Title Assigned - #15272390169")</f>
        <v/>
      </c>
      <c r="B11235" s="0" t="s">
        <v>15200</v>
      </c>
      <c r="C11235" s="0" t="s">
        <v>15201</v>
      </c>
      <c r="D11235" s="0" t="s">
        <v>10095</v>
      </c>
      <c r="E11235" s="0" t="inlineStr">
        <is>
          <t xml:space="preserve">Mazda</t>
        </is>
      </c>
      <c r="F11235" s="0" t="s">
        <v>13</v>
      </c>
      <c r="G11235" s="0" t="s">
        <v>49</v>
      </c>
      <c r="H11235" s="5">
        <v>47.247500</v>
      </c>
    </row>
    <row r="11236" spans="1:9">
      <c r="A11236" s="22" t="str">
        <f>HYPERLINK("https://app.vivvix.com/360/KMI/IntelliDrive/ApplUI/Pages/CreativePages/CustomReportCreativeDetail.aspx?App=23&amp;ReportView=4&amp;Qid=1711279&amp;Row=11228&amp;Col=1","No Title Assigned - #15272390257")</f>
        <v/>
      </c>
      <c r="B11236" s="0" t="s">
        <v>15202</v>
      </c>
      <c r="E11236" s="0" t="inlineStr">
        <is>
          <t xml:space="preserve">Mazda</t>
        </is>
      </c>
      <c r="F11236" s="0" t="s">
        <v>13</v>
      </c>
      <c r="G11236" s="0" t="s">
        <v>49</v>
      </c>
      <c r="H11236" s="5">
        <v>239.531100</v>
      </c>
    </row>
    <row r="11237" spans="1:9">
      <c r="A11237" s="22" t="str">
        <f>HYPERLINK("https://app.vivvix.com/360/KMI/IntelliDrive/ApplUI/Pages/CreativePages/CustomReportCreativeDetail.aspx?App=23&amp;ReportView=4&amp;Qid=1711279&amp;Row=11229&amp;Col=1","No Title Assigned - #15272390484")</f>
        <v/>
      </c>
      <c r="B11237" s="0" t="s">
        <v>15203</v>
      </c>
      <c r="E11237" s="0" t="inlineStr">
        <is>
          <t xml:space="preserve">Mazda</t>
        </is>
      </c>
      <c r="F11237" s="0" t="s">
        <v>13</v>
      </c>
      <c r="G11237" s="0" t="s">
        <v>49</v>
      </c>
      <c r="H11237" s="5">
        <v>748.192100</v>
      </c>
    </row>
    <row r="11238" spans="1:9">
      <c r="A11238" s="22" t="str">
        <f>HYPERLINK("https://app.vivvix.com/360/KMI/IntelliDrive/ApplUI/Pages/CreativePages/CustomReportCreativeDetail.aspx?App=23&amp;ReportView=4&amp;Qid=1711279&amp;Row=11230&amp;Col=1","No Title Assigned - #15272390594")</f>
        <v/>
      </c>
      <c r="B11238" s="0" t="s">
        <v>15204</v>
      </c>
      <c r="E11238" s="0" t="inlineStr">
        <is>
          <t xml:space="preserve">Mazda</t>
        </is>
      </c>
      <c r="F11238" s="0" t="s">
        <v>13</v>
      </c>
      <c r="G11238" s="0" t="s">
        <v>49</v>
      </c>
      <c r="H11238" s="5">
        <v>190.866200</v>
      </c>
    </row>
    <row r="11239" spans="1:9">
      <c r="A11239" s="22" t="str">
        <f>HYPERLINK("https://app.vivvix.com/360/KMI/IntelliDrive/ApplUI/Pages/CreativePages/CustomReportCreativeDetail.aspx?App=23&amp;ReportView=4&amp;Qid=1711279&amp;Row=11231&amp;Col=1","No Title Assigned - #15272390594")</f>
        <v/>
      </c>
      <c r="B11239" s="0" t="s">
        <v>15204</v>
      </c>
      <c r="E11239" s="0" t="inlineStr">
        <is>
          <t xml:space="preserve">Mazda</t>
        </is>
      </c>
      <c r="F11239" s="0" t="s">
        <v>13</v>
      </c>
      <c r="G11239" s="0" t="s">
        <v>49</v>
      </c>
      <c r="H11239" s="5">
        <v>3215.636200</v>
      </c>
    </row>
    <row r="11240" spans="1:9">
      <c r="A11240" s="22" t="str">
        <f>HYPERLINK("https://app.vivvix.com/360/KMI/IntelliDrive/ApplUI/Pages/CreativePages/CustomReportCreativeDetail.aspx?App=23&amp;ReportView=4&amp;Qid=1711279&amp;Row=11232&amp;Col=1","No Title Assigned - #15272390983")</f>
        <v/>
      </c>
      <c r="B11240" s="0" t="s">
        <v>15205</v>
      </c>
      <c r="E11240" s="0" t="inlineStr">
        <is>
          <t xml:space="preserve">Mazda</t>
        </is>
      </c>
      <c r="F11240" s="0" t="inlineStr">
        <is>
          <t xml:space="preserve">Mazda</t>
        </is>
      </c>
      <c r="G11240" s="0" t="s">
        <v>210</v>
      </c>
      <c r="H11240" s="5">
        <v>222.606900</v>
      </c>
    </row>
    <row r="11241" spans="1:9">
      <c r="A11241" s="22" t="str">
        <f>HYPERLINK("https://app.vivvix.com/360/KMI/IntelliDrive/ApplUI/Pages/CreativePages/CustomReportCreativeDetail.aspx?App=23&amp;ReportView=4&amp;Qid=1711279&amp;Row=11233&amp;Col=1","No Title Assigned - #15272391007")</f>
        <v/>
      </c>
      <c r="B11241" s="0" t="s">
        <v>15206</v>
      </c>
      <c r="E11241" s="0" t="inlineStr">
        <is>
          <t xml:space="preserve">Mazda</t>
        </is>
      </c>
      <c r="F11241" s="0" t="s">
        <v>28</v>
      </c>
      <c r="G11241" s="0" t="s">
        <v>29</v>
      </c>
      <c r="H11241" s="5">
        <v>1179.797700</v>
      </c>
    </row>
    <row r="11242" spans="1:9">
      <c r="A11242" s="22" t="str">
        <f>HYPERLINK("https://app.vivvix.com/360/KMI/IntelliDrive/ApplUI/Pages/CreativePages/CustomReportCreativeDetail.aspx?App=23&amp;ReportView=4&amp;Qid=1711279&amp;Row=11234&amp;Col=1","No Title Assigned - #15272391026")</f>
        <v/>
      </c>
      <c r="B11242" s="0" t="s">
        <v>15207</v>
      </c>
      <c r="E11242" s="0" t="inlineStr">
        <is>
          <t xml:space="preserve">Mazda</t>
        </is>
      </c>
      <c r="F11242" s="0" t="s">
        <v>13</v>
      </c>
      <c r="G11242" s="0" t="s">
        <v>49</v>
      </c>
      <c r="H11242" s="5">
        <v>105.360400</v>
      </c>
    </row>
    <row r="11243" spans="1:9">
      <c r="A11243" s="22" t="str">
        <f>HYPERLINK("https://app.vivvix.com/360/KMI/IntelliDrive/ApplUI/Pages/CreativePages/CustomReportCreativeDetail.aspx?App=23&amp;ReportView=4&amp;Qid=1711279&amp;Row=11235&amp;Col=1","No Title Assigned - #15272391076")</f>
        <v/>
      </c>
      <c r="B11243" s="0" t="s">
        <v>15208</v>
      </c>
      <c r="E11243" s="0" t="inlineStr">
        <is>
          <t xml:space="preserve">Mazda</t>
        </is>
      </c>
      <c r="F11243" s="0" t="s">
        <v>13</v>
      </c>
      <c r="G11243" s="0" t="s">
        <v>49</v>
      </c>
      <c r="H11243" s="5">
        <v>1521.491100</v>
      </c>
    </row>
    <row r="11244" spans="1:9">
      <c r="A11244" s="22" t="str">
        <f>HYPERLINK("https://app.vivvix.com/360/KMI/IntelliDrive/ApplUI/Pages/CreativePages/CustomReportCreativeDetail.aspx?App=23&amp;ReportView=4&amp;Qid=1711279&amp;Row=11236&amp;Col=1","No Title Assigned - #15272391352")</f>
        <v/>
      </c>
      <c r="B11244" s="0" t="s">
        <v>15209</v>
      </c>
      <c r="E11244" s="0" t="inlineStr">
        <is>
          <t xml:space="preserve">Mazda</t>
        </is>
      </c>
      <c r="F11244" s="0" t="s">
        <v>13</v>
      </c>
      <c r="G11244" s="0" t="s">
        <v>49</v>
      </c>
      <c r="H11244" s="5">
        <v>221.774500</v>
      </c>
    </row>
    <row r="11245" spans="1:9">
      <c r="A11245" s="22" t="str">
        <f>HYPERLINK("https://app.vivvix.com/360/KMI/IntelliDrive/ApplUI/Pages/CreativePages/CustomReportCreativeDetail.aspx?App=23&amp;ReportView=4&amp;Qid=1711279&amp;Row=11237&amp;Col=1","No Title Assigned - #15272391749")</f>
        <v/>
      </c>
      <c r="B11245" s="0" t="s">
        <v>15210</v>
      </c>
      <c r="E11245" s="0" t="inlineStr">
        <is>
          <t xml:space="preserve">Mazda</t>
        </is>
      </c>
      <c r="F11245" s="0" t="s">
        <v>28</v>
      </c>
      <c r="G11245" s="0" t="s">
        <v>29</v>
      </c>
      <c r="H11245" s="5">
        <v>39.451000</v>
      </c>
    </row>
    <row r="11246" spans="1:9">
      <c r="A11246" s="22" t="str">
        <f>HYPERLINK("https://app.vivvix.com/360/KMI/IntelliDrive/ApplUI/Pages/CreativePages/CustomReportCreativeDetail.aspx?App=23&amp;ReportView=4&amp;Qid=1711279&amp;Row=11238&amp;Col=1","No Title Assigned - #15272392325")</f>
        <v/>
      </c>
      <c r="B11246" s="0" t="s">
        <v>15211</v>
      </c>
      <c r="E11246" s="0" t="inlineStr">
        <is>
          <t xml:space="preserve">Mazda</t>
        </is>
      </c>
      <c r="F11246" s="0" t="s">
        <v>21</v>
      </c>
      <c r="G11246" s="0" t="s">
        <v>22</v>
      </c>
      <c r="H11246" s="5">
        <v>573.341400</v>
      </c>
    </row>
    <row r="11247" spans="1:9">
      <c r="A11247" s="22" t="str">
        <f>HYPERLINK("https://app.vivvix.com/360/KMI/IntelliDrive/ApplUI/Pages/CreativePages/CustomReportCreativeDetail.aspx?App=23&amp;ReportView=4&amp;Qid=1711279&amp;Row=11239&amp;Col=1","No Title Assigned - #15272393411")</f>
        <v/>
      </c>
      <c r="B11247" s="0" t="s">
        <v>15212</v>
      </c>
      <c r="E11247" s="0" t="inlineStr">
        <is>
          <t xml:space="preserve">Mazda</t>
        </is>
      </c>
      <c r="F11247" s="0" t="inlineStr">
        <is>
          <t xml:space="preserve">Mazda</t>
        </is>
      </c>
      <c r="G11247" s="0" t="s">
        <v>171</v>
      </c>
      <c r="H11247" s="5">
        <v>3.459400</v>
      </c>
    </row>
    <row r="11248" spans="1:9">
      <c r="A11248" s="22" t="str">
        <f>HYPERLINK("https://app.vivvix.com/360/KMI/IntelliDrive/ApplUI/Pages/CreativePages/CustomReportCreativeDetail.aspx?App=23&amp;ReportView=4&amp;Qid=1711279&amp;Row=11240&amp;Col=1","No Title Assigned - #15272394019")</f>
        <v/>
      </c>
      <c r="B11248" s="0" t="s">
        <v>15213</v>
      </c>
      <c r="E11248" s="0" t="inlineStr">
        <is>
          <t xml:space="preserve">Mazda</t>
        </is>
      </c>
      <c r="F11248" s="0" t="s">
        <v>28</v>
      </c>
      <c r="G11248" s="0" t="s">
        <v>29</v>
      </c>
      <c r="H11248" s="5">
        <v>46.494300</v>
      </c>
    </row>
    <row r="11249" spans="1:9">
      <c r="A11249" s="22" t="str">
        <f>HYPERLINK("https://app.vivvix.com/360/KMI/IntelliDrive/ApplUI/Pages/CreativePages/CustomReportCreativeDetail.aspx?App=23&amp;ReportView=4&amp;Qid=1711279&amp;Row=11241&amp;Col=1","No Title Assigned - #15272394248")</f>
        <v/>
      </c>
      <c r="B11249" s="0" t="s">
        <v>15214</v>
      </c>
      <c r="E11249" s="0" t="inlineStr">
        <is>
          <t xml:space="preserve">Mazda</t>
        </is>
      </c>
      <c r="F11249" s="0" t="inlineStr">
        <is>
          <t xml:space="preserve">Mazda</t>
        </is>
      </c>
      <c r="G11249" s="0" t="s">
        <v>171</v>
      </c>
      <c r="H11249" s="5">
        <v>6.535300</v>
      </c>
    </row>
    <row r="11250" spans="1:9">
      <c r="A11250" s="22" t="str">
        <f>HYPERLINK("https://app.vivvix.com/360/KMI/IntelliDrive/ApplUI/Pages/CreativePages/CustomReportCreativeDetail.aspx?App=23&amp;ReportView=4&amp;Qid=1711279&amp;Row=11242&amp;Col=1","No Title Assigned - #15272394924")</f>
        <v/>
      </c>
      <c r="B11250" s="0" t="s">
        <v>15215</v>
      </c>
      <c r="E11250" s="0" t="inlineStr">
        <is>
          <t xml:space="preserve">Mazda</t>
        </is>
      </c>
      <c r="F11250" s="0" t="s">
        <v>13</v>
      </c>
      <c r="G11250" s="0" t="s">
        <v>49</v>
      </c>
      <c r="H11250" s="5">
        <v>351.718400</v>
      </c>
    </row>
    <row r="11251" spans="1:9">
      <c r="A11251" s="22" t="str">
        <f>HYPERLINK("https://app.vivvix.com/360/KMI/IntelliDrive/ApplUI/Pages/CreativePages/CustomReportCreativeDetail.aspx?App=23&amp;ReportView=4&amp;Qid=1711279&amp;Row=11243&amp;Col=1","No Title Assigned - #15272394967")</f>
        <v/>
      </c>
      <c r="B11251" s="0" t="s">
        <v>15216</v>
      </c>
      <c r="E11251" s="0" t="inlineStr">
        <is>
          <t xml:space="preserve">Mazda</t>
        </is>
      </c>
      <c r="F11251" s="0" t="s">
        <v>28</v>
      </c>
      <c r="G11251" s="0" t="s">
        <v>29</v>
      </c>
      <c r="H11251" s="5">
        <v>235.768800</v>
      </c>
    </row>
    <row r="11252" spans="1:9">
      <c r="A11252" s="22" t="str">
        <f>HYPERLINK("https://app.vivvix.com/360/KMI/IntelliDrive/ApplUI/Pages/CreativePages/CustomReportCreativeDetail.aspx?App=23&amp;ReportView=4&amp;Qid=1711279&amp;Row=11244&amp;Col=1","No Title Assigned - #15272395106")</f>
        <v/>
      </c>
      <c r="B11252" s="0" t="s">
        <v>15217</v>
      </c>
      <c r="C11252" s="0" t="s">
        <v>15218</v>
      </c>
      <c r="D11252" s="0" t="s">
        <v>9196</v>
      </c>
      <c r="E11252" s="0" t="inlineStr">
        <is>
          <t xml:space="preserve">Mazda</t>
        </is>
      </c>
      <c r="F11252" s="0" t="s">
        <v>13</v>
      </c>
      <c r="G11252" s="0" t="s">
        <v>49</v>
      </c>
      <c r="H11252" s="5">
        <v>11.208600</v>
      </c>
    </row>
    <row r="11253" spans="1:9">
      <c r="A11253" s="22" t="str">
        <f>HYPERLINK("https://app.vivvix.com/360/KMI/IntelliDrive/ApplUI/Pages/CreativePages/CustomReportCreativeDetail.aspx?App=23&amp;ReportView=4&amp;Qid=1711279&amp;Row=11245&amp;Col=1","No Title Assigned - #15272395896")</f>
        <v/>
      </c>
      <c r="B11253" s="0" t="s">
        <v>15219</v>
      </c>
      <c r="C11253" s="0" t="s">
        <v>15220</v>
      </c>
      <c r="D11253" s="0" t="s">
        <v>8779</v>
      </c>
      <c r="E11253" s="0" t="inlineStr">
        <is>
          <t xml:space="preserve">Mazda</t>
        </is>
      </c>
      <c r="F11253" s="0" t="s">
        <v>13</v>
      </c>
      <c r="G11253" s="0" t="s">
        <v>49</v>
      </c>
      <c r="H11253" s="5">
        <v>351.043700</v>
      </c>
    </row>
    <row r="11254" spans="1:9">
      <c r="A11254" s="22" t="str">
        <f>HYPERLINK("https://app.vivvix.com/360/KMI/IntelliDrive/ApplUI/Pages/CreativePages/CustomReportCreativeDetail.aspx?App=23&amp;ReportView=4&amp;Qid=1711279&amp;Row=11246&amp;Col=1","No Title Assigned - #15272396412")</f>
        <v/>
      </c>
      <c r="B11254" s="0" t="s">
        <v>15221</v>
      </c>
      <c r="E11254" s="0" t="inlineStr">
        <is>
          <t xml:space="preserve">Mazda</t>
        </is>
      </c>
      <c r="F11254" s="0" t="s">
        <v>13</v>
      </c>
      <c r="G11254" s="0" t="s">
        <v>49</v>
      </c>
      <c r="H11254" s="5">
        <v>15.569900</v>
      </c>
    </row>
    <row r="11255" spans="1:9">
      <c r="A11255" s="22" t="str">
        <f>HYPERLINK("https://app.vivvix.com/360/KMI/IntelliDrive/ApplUI/Pages/CreativePages/CustomReportCreativeDetail.aspx?App=23&amp;ReportView=4&amp;Qid=1711279&amp;Row=11247&amp;Col=1","No Title Assigned - #15272396662")</f>
        <v/>
      </c>
      <c r="B11255" s="0" t="s">
        <v>15222</v>
      </c>
      <c r="E11255" s="0" t="inlineStr">
        <is>
          <t xml:space="preserve">Mazda</t>
        </is>
      </c>
      <c r="F11255" s="0" t="s">
        <v>28</v>
      </c>
      <c r="G11255" s="0" t="s">
        <v>29</v>
      </c>
      <c r="H11255" s="5">
        <v>540.041500</v>
      </c>
    </row>
    <row r="11256" spans="1:9">
      <c r="A11256" s="22" t="str">
        <f>HYPERLINK("https://app.vivvix.com/360/KMI/IntelliDrive/ApplUI/Pages/CreativePages/CustomReportCreativeDetail.aspx?App=23&amp;ReportView=4&amp;Qid=1711279&amp;Row=11248&amp;Col=1","No Title Assigned - #15272396774")</f>
        <v/>
      </c>
      <c r="B11256" s="0" t="s">
        <v>15223</v>
      </c>
      <c r="C11256" s="0" t="s">
        <v>15224</v>
      </c>
      <c r="D11256" s="0" t="s">
        <v>4335</v>
      </c>
      <c r="E11256" s="0" t="inlineStr">
        <is>
          <t xml:space="preserve">Mazda</t>
        </is>
      </c>
      <c r="F11256" s="0" t="s">
        <v>13</v>
      </c>
      <c r="G11256" s="0" t="s">
        <v>49</v>
      </c>
      <c r="H11256" s="5">
        <v>27.783200</v>
      </c>
    </row>
    <row r="11257" spans="1:9">
      <c r="A11257" s="22" t="str">
        <f>HYPERLINK("https://app.vivvix.com/360/KMI/IntelliDrive/ApplUI/Pages/CreativePages/CustomReportCreativeDetail.aspx?App=23&amp;ReportView=4&amp;Qid=1711279&amp;Row=11249&amp;Col=1","No Title Assigned - #15272397100")</f>
        <v/>
      </c>
      <c r="B11257" s="0" t="s">
        <v>15225</v>
      </c>
      <c r="E11257" s="0" t="inlineStr">
        <is>
          <t xml:space="preserve">Mazda</t>
        </is>
      </c>
      <c r="F11257" s="0" t="s">
        <v>13</v>
      </c>
      <c r="G11257" s="0" t="s">
        <v>49</v>
      </c>
      <c r="H11257" s="5">
        <v>27.783200</v>
      </c>
    </row>
    <row r="11258" spans="1:9">
      <c r="A11258" s="22" t="str">
        <f>HYPERLINK("https://app.vivvix.com/360/KMI/IntelliDrive/ApplUI/Pages/CreativePages/CustomReportCreativeDetail.aspx?App=23&amp;ReportView=4&amp;Qid=1711279&amp;Row=11250&amp;Col=1","No Title Assigned - #15272397153")</f>
        <v/>
      </c>
      <c r="B11258" s="0" t="s">
        <v>15226</v>
      </c>
      <c r="E11258" s="0" t="inlineStr">
        <is>
          <t xml:space="preserve">Mazda</t>
        </is>
      </c>
      <c r="F11258" s="0" t="s">
        <v>13</v>
      </c>
      <c r="G11258" s="0" t="s">
        <v>49</v>
      </c>
      <c r="H11258" s="5">
        <v>494.092500</v>
      </c>
    </row>
    <row r="11259" spans="1:9">
      <c r="A11259" s="22" t="str">
        <f>HYPERLINK("https://app.vivvix.com/360/KMI/IntelliDrive/ApplUI/Pages/CreativePages/CustomReportCreativeDetail.aspx?App=23&amp;ReportView=4&amp;Qid=1711279&amp;Row=11251&amp;Col=1","No Title Assigned - #15272397171")</f>
        <v/>
      </c>
      <c r="B11259" s="0" t="s">
        <v>15227</v>
      </c>
      <c r="E11259" s="0" t="inlineStr">
        <is>
          <t xml:space="preserve">Mazda</t>
        </is>
      </c>
      <c r="F11259" s="0" t="s">
        <v>13</v>
      </c>
      <c r="G11259" s="0" t="s">
        <v>49</v>
      </c>
      <c r="H11259" s="5">
        <v>5433.879400</v>
      </c>
    </row>
    <row r="11260" spans="1:9">
      <c r="A11260" s="22" t="str">
        <f>HYPERLINK("https://app.vivvix.com/360/KMI/IntelliDrive/ApplUI/Pages/CreativePages/CustomReportCreativeDetail.aspx?App=23&amp;ReportView=4&amp;Qid=1711279&amp;Row=11252&amp;Col=1","No Title Assigned - #15272397171")</f>
        <v/>
      </c>
      <c r="B11260" s="0" t="s">
        <v>15227</v>
      </c>
      <c r="E11260" s="0" t="inlineStr">
        <is>
          <t xml:space="preserve">Mazda</t>
        </is>
      </c>
      <c r="F11260" s="0" t="s">
        <v>13</v>
      </c>
      <c r="G11260" s="0" t="s">
        <v>49</v>
      </c>
      <c r="H11260" s="5">
        <v>64069.012800</v>
      </c>
    </row>
    <row r="11261" spans="1:9">
      <c r="A11261" s="22" t="str">
        <f>HYPERLINK("https://app.vivvix.com/360/KMI/IntelliDrive/ApplUI/Pages/CreativePages/CustomReportCreativeDetail.aspx?App=23&amp;ReportView=4&amp;Qid=1711279&amp;Row=11253&amp;Col=1","No Title Assigned - #15272397222")</f>
        <v/>
      </c>
      <c r="B11261" s="0" t="s">
        <v>15228</v>
      </c>
      <c r="E11261" s="0" t="inlineStr">
        <is>
          <t xml:space="preserve">Mazda</t>
        </is>
      </c>
      <c r="F11261" s="0" t="s">
        <v>13</v>
      </c>
      <c r="G11261" s="0" t="s">
        <v>49</v>
      </c>
      <c r="H11261" s="5">
        <v>79.487600</v>
      </c>
    </row>
    <row r="11262" spans="1:9">
      <c r="A11262" s="22" t="str">
        <f>HYPERLINK("https://app.vivvix.com/360/KMI/IntelliDrive/ApplUI/Pages/CreativePages/CustomReportCreativeDetail.aspx?App=23&amp;ReportView=4&amp;Qid=1711279&amp;Row=11254&amp;Col=1","No Title Assigned - #15272397364")</f>
        <v/>
      </c>
      <c r="B11262" s="0" t="s">
        <v>15229</v>
      </c>
      <c r="E11262" s="0" t="inlineStr">
        <is>
          <t xml:space="preserve">Mazda</t>
        </is>
      </c>
      <c r="F11262" s="0" t="s">
        <v>13</v>
      </c>
      <c r="G11262" s="0" t="s">
        <v>49</v>
      </c>
      <c r="H11262" s="5">
        <v>121.545900</v>
      </c>
    </row>
    <row r="11263" spans="1:9">
      <c r="A11263" s="22" t="str">
        <f>HYPERLINK("https://app.vivvix.com/360/KMI/IntelliDrive/ApplUI/Pages/CreativePages/CustomReportCreativeDetail.aspx?App=23&amp;ReportView=4&amp;Qid=1711279&amp;Row=11255&amp;Col=1","No Title Assigned - #15272397387")</f>
        <v/>
      </c>
      <c r="B11263" s="0" t="s">
        <v>15230</v>
      </c>
      <c r="C11263" s="0" t="s">
        <v>15231</v>
      </c>
      <c r="D11263" s="0" t="s">
        <v>15231</v>
      </c>
      <c r="E11263" s="0" t="inlineStr">
        <is>
          <t xml:space="preserve">Mazda</t>
        </is>
      </c>
      <c r="F11263" s="0" t="s">
        <v>13</v>
      </c>
      <c r="G11263" s="0" t="s">
        <v>49</v>
      </c>
      <c r="H11263" s="5">
        <v>46.622200</v>
      </c>
    </row>
    <row r="11264" spans="1:9">
      <c r="A11264" s="22" t="str">
        <f>HYPERLINK("https://app.vivvix.com/360/KMI/IntelliDrive/ApplUI/Pages/CreativePages/CustomReportCreativeDetail.aspx?App=23&amp;ReportView=4&amp;Qid=1711279&amp;Row=11256&amp;Col=1","No Title Assigned - #15272398062")</f>
        <v/>
      </c>
      <c r="B11264" s="0" t="s">
        <v>15232</v>
      </c>
      <c r="E11264" s="0" t="inlineStr">
        <is>
          <t xml:space="preserve">Mazda</t>
        </is>
      </c>
      <c r="F11264" s="0" t="s">
        <v>28</v>
      </c>
      <c r="G11264" s="0" t="s">
        <v>29</v>
      </c>
      <c r="H11264" s="5">
        <v>81.488500</v>
      </c>
    </row>
    <row r="11265" spans="1:9">
      <c r="A11265" s="22" t="str">
        <f>HYPERLINK("https://app.vivvix.com/360/KMI/IntelliDrive/ApplUI/Pages/CreativePages/CustomReportCreativeDetail.aspx?App=23&amp;ReportView=4&amp;Qid=1711279&amp;Row=11257&amp;Col=1","No Title Assigned - #15272398845")</f>
        <v/>
      </c>
      <c r="B11265" s="0" t="s">
        <v>15233</v>
      </c>
      <c r="E11265" s="0" t="inlineStr">
        <is>
          <t xml:space="preserve">Mazda</t>
        </is>
      </c>
      <c r="F11265" s="0" t="s">
        <v>28</v>
      </c>
      <c r="G11265" s="0" t="s">
        <v>29</v>
      </c>
      <c r="H11265" s="5">
        <v>83.951300</v>
      </c>
    </row>
    <row r="11266" spans="1:9">
      <c r="A11266" s="22" t="str">
        <f>HYPERLINK("https://app.vivvix.com/360/KMI/IntelliDrive/ApplUI/Pages/CreativePages/CustomReportCreativeDetail.aspx?App=23&amp;ReportView=4&amp;Qid=1711279&amp;Row=11258&amp;Col=1","No Title Assigned - #15272399417")</f>
        <v/>
      </c>
      <c r="B11266" s="0" t="s">
        <v>15234</v>
      </c>
      <c r="E11266" s="0" t="inlineStr">
        <is>
          <t xml:space="preserve">Mazda</t>
        </is>
      </c>
      <c r="F11266" s="0" t="s">
        <v>13</v>
      </c>
      <c r="G11266" s="0" t="s">
        <v>49</v>
      </c>
      <c r="H11266" s="5">
        <v>40.216000</v>
      </c>
    </row>
    <row r="11267" spans="1:9">
      <c r="A11267" s="22" t="str">
        <f>HYPERLINK("https://app.vivvix.com/360/KMI/IntelliDrive/ApplUI/Pages/CreativePages/CustomReportCreativeDetail.aspx?App=23&amp;ReportView=4&amp;Qid=1711279&amp;Row=11259&amp;Col=1","No Title Assigned - #15272400846")</f>
        <v/>
      </c>
      <c r="B11267" s="0" t="s">
        <v>15235</v>
      </c>
      <c r="E11267" s="0" t="inlineStr">
        <is>
          <t xml:space="preserve">Mazda</t>
        </is>
      </c>
      <c r="F11267" s="0" t="s">
        <v>13</v>
      </c>
      <c r="G11267" s="0" t="s">
        <v>49</v>
      </c>
      <c r="H11267" s="5">
        <v>228.931300</v>
      </c>
    </row>
    <row r="11268" spans="1:9">
      <c r="A11268" s="22" t="str">
        <f>HYPERLINK("https://app.vivvix.com/360/KMI/IntelliDrive/ApplUI/Pages/CreativePages/CustomReportCreativeDetail.aspx?App=23&amp;ReportView=4&amp;Qid=1711279&amp;Row=11260&amp;Col=1","No Title Assigned - #15272401174")</f>
        <v/>
      </c>
      <c r="B11268" s="0" t="s">
        <v>15236</v>
      </c>
      <c r="C11268" s="0" t="s">
        <v>15237</v>
      </c>
      <c r="D11268" s="0" t="s">
        <v>4204</v>
      </c>
      <c r="E11268" s="0" t="inlineStr">
        <is>
          <t xml:space="preserve">Mazda</t>
        </is>
      </c>
      <c r="F11268" s="0" t="s">
        <v>28</v>
      </c>
      <c r="G11268" s="0" t="s">
        <v>29</v>
      </c>
      <c r="H11268" s="5">
        <v>420.616800</v>
      </c>
    </row>
    <row r="11269" spans="1:9">
      <c r="A11269" s="22" t="str">
        <f>HYPERLINK("https://app.vivvix.com/360/KMI/IntelliDrive/ApplUI/Pages/CreativePages/CustomReportCreativeDetail.aspx?App=23&amp;ReportView=4&amp;Qid=1711279&amp;Row=11261&amp;Col=1","No Title Assigned - #15272401260")</f>
        <v/>
      </c>
      <c r="B11269" s="0" t="s">
        <v>15238</v>
      </c>
      <c r="C11269" s="0" t="s">
        <v>15239</v>
      </c>
      <c r="D11269" s="0" t="s">
        <v>15239</v>
      </c>
      <c r="E11269" s="0" t="inlineStr">
        <is>
          <t xml:space="preserve">Mazda</t>
        </is>
      </c>
      <c r="F11269" s="0" t="s">
        <v>28</v>
      </c>
      <c r="G11269" s="0" t="s">
        <v>29</v>
      </c>
      <c r="H11269" s="5">
        <v>121.387100</v>
      </c>
    </row>
    <row r="11270" spans="1:9">
      <c r="A11270" s="22" t="str">
        <f>HYPERLINK("https://app.vivvix.com/360/KMI/IntelliDrive/ApplUI/Pages/CreativePages/CustomReportCreativeDetail.aspx?App=23&amp;ReportView=4&amp;Qid=1711279&amp;Row=11262&amp;Col=1","No Title Assigned - #15272401942")</f>
        <v/>
      </c>
      <c r="B11270" s="0" t="s">
        <v>15240</v>
      </c>
      <c r="C11270" s="0" t="s">
        <v>15241</v>
      </c>
      <c r="D11270" s="0" t="s">
        <v>15241</v>
      </c>
      <c r="E11270" s="0" t="inlineStr">
        <is>
          <t xml:space="preserve">Mazda</t>
        </is>
      </c>
      <c r="F11270" s="0" t="s">
        <v>28</v>
      </c>
      <c r="G11270" s="0" t="s">
        <v>29</v>
      </c>
      <c r="H11270" s="5">
        <v>2546.220200</v>
      </c>
    </row>
    <row r="11271" spans="1:9">
      <c r="A11271" s="22" t="str">
        <f>HYPERLINK("https://app.vivvix.com/360/KMI/IntelliDrive/ApplUI/Pages/CreativePages/CustomReportCreativeDetail.aspx?App=23&amp;ReportView=4&amp;Qid=1711279&amp;Row=11263&amp;Col=1","No Title Assigned - #15272402267")</f>
        <v/>
      </c>
      <c r="B11271" s="0" t="s">
        <v>15242</v>
      </c>
      <c r="C11271" s="0" t="s">
        <v>15243</v>
      </c>
      <c r="D11271" s="0" t="s">
        <v>4225</v>
      </c>
      <c r="E11271" s="0" t="inlineStr">
        <is>
          <t xml:space="preserve">Mazda</t>
        </is>
      </c>
      <c r="F11271" s="0" t="s">
        <v>28</v>
      </c>
      <c r="G11271" s="0" t="s">
        <v>29</v>
      </c>
      <c r="H11271" s="5">
        <v>42.934200</v>
      </c>
    </row>
    <row r="11272" spans="1:9">
      <c r="A11272" s="22" t="str">
        <f>HYPERLINK("https://app.vivvix.com/360/KMI/IntelliDrive/ApplUI/Pages/CreativePages/CustomReportCreativeDetail.aspx?App=23&amp;ReportView=4&amp;Qid=1711279&amp;Row=11264&amp;Col=1","No Title Assigned - #15272402920")</f>
        <v/>
      </c>
      <c r="B11272" s="0" t="s">
        <v>15244</v>
      </c>
      <c r="E11272" s="0" t="inlineStr">
        <is>
          <t xml:space="preserve">Mazda</t>
        </is>
      </c>
      <c r="F11272" s="0" t="inlineStr">
        <is>
          <t xml:space="preserve">Mazda</t>
        </is>
      </c>
      <c r="G11272" s="0" t="s">
        <v>171</v>
      </c>
      <c r="H11272" s="5">
        <v>11784.374900</v>
      </c>
    </row>
    <row r="11273" spans="1:9">
      <c r="A11273" s="22" t="str">
        <f>HYPERLINK("https://app.vivvix.com/360/KMI/IntelliDrive/ApplUI/Pages/CreativePages/CustomReportCreativeDetail.aspx?App=23&amp;ReportView=4&amp;Qid=1711279&amp;Row=11265&amp;Col=1","No Title Assigned - #15272403531")</f>
        <v/>
      </c>
      <c r="B11273" s="0" t="s">
        <v>15245</v>
      </c>
      <c r="C11273" s="0" t="s">
        <v>15246</v>
      </c>
      <c r="D11273" s="0" t="s">
        <v>9699</v>
      </c>
      <c r="E11273" s="0" t="inlineStr">
        <is>
          <t xml:space="preserve">Mazda</t>
        </is>
      </c>
      <c r="F11273" s="0" t="s">
        <v>13</v>
      </c>
      <c r="G11273" s="0" t="s">
        <v>49</v>
      </c>
      <c r="H11273" s="5">
        <v>130.214200</v>
      </c>
    </row>
    <row r="11274" spans="1:9">
      <c r="A11274" s="22" t="str">
        <f>HYPERLINK("https://app.vivvix.com/360/KMI/IntelliDrive/ApplUI/Pages/CreativePages/CustomReportCreativeDetail.aspx?App=23&amp;ReportView=4&amp;Qid=1711279&amp;Row=11266&amp;Col=1","No Title Assigned - #15272403554")</f>
        <v/>
      </c>
      <c r="B11274" s="0" t="s">
        <v>15247</v>
      </c>
      <c r="C11274" s="0" t="s">
        <v>15248</v>
      </c>
      <c r="D11274" s="0" t="s">
        <v>5013</v>
      </c>
      <c r="E11274" s="0" t="inlineStr">
        <is>
          <t xml:space="preserve">Mazda</t>
        </is>
      </c>
      <c r="F11274" s="0" t="s">
        <v>13</v>
      </c>
      <c r="G11274" s="0" t="s">
        <v>49</v>
      </c>
      <c r="H11274" s="5">
        <v>3463.549400</v>
      </c>
    </row>
    <row r="11275" spans="1:9">
      <c r="A11275" s="22" t="str">
        <f>HYPERLINK("https://app.vivvix.com/360/KMI/IntelliDrive/ApplUI/Pages/CreativePages/CustomReportCreativeDetail.aspx?App=23&amp;ReportView=4&amp;Qid=1711279&amp;Row=11267&amp;Col=1","No Title Assigned - #15272403554")</f>
        <v/>
      </c>
      <c r="B11275" s="0" t="s">
        <v>15247</v>
      </c>
      <c r="E11275" s="0" t="inlineStr">
        <is>
          <t xml:space="preserve">Mazda</t>
        </is>
      </c>
      <c r="F11275" s="0" t="s">
        <v>13</v>
      </c>
      <c r="G11275" s="0" t="s">
        <v>49</v>
      </c>
      <c r="H11275" s="5">
        <v>811.967900</v>
      </c>
    </row>
    <row r="11276" spans="1:9">
      <c r="A11276" s="22" t="str">
        <f>HYPERLINK("https://app.vivvix.com/360/KMI/IntelliDrive/ApplUI/Pages/CreativePages/CustomReportCreativeDetail.aspx?App=23&amp;ReportView=4&amp;Qid=1711279&amp;Row=11268&amp;Col=1","No Title Assigned - #15272403590")</f>
        <v/>
      </c>
      <c r="B11276" s="0" t="s">
        <v>15249</v>
      </c>
      <c r="E11276" s="0" t="inlineStr">
        <is>
          <t xml:space="preserve">Mazda</t>
        </is>
      </c>
      <c r="F11276" s="0" t="inlineStr">
        <is>
          <t xml:space="preserve">Mazda</t>
        </is>
      </c>
      <c r="G11276" s="0" t="s">
        <v>171</v>
      </c>
      <c r="H11276" s="5">
        <v>289.280400</v>
      </c>
    </row>
    <row r="11277" spans="1:9">
      <c r="A11277" s="22" t="str">
        <f>HYPERLINK("https://app.vivvix.com/360/KMI/IntelliDrive/ApplUI/Pages/CreativePages/CustomReportCreativeDetail.aspx?App=23&amp;ReportView=4&amp;Qid=1711279&amp;Row=11269&amp;Col=1","No Title Assigned - #15272403710")</f>
        <v/>
      </c>
      <c r="B11277" s="0" t="s">
        <v>15250</v>
      </c>
      <c r="E11277" s="0" t="inlineStr">
        <is>
          <t xml:space="preserve">Mazda</t>
        </is>
      </c>
      <c r="F11277" s="0" t="s">
        <v>13</v>
      </c>
      <c r="G11277" s="0" t="s">
        <v>49</v>
      </c>
      <c r="H11277" s="5">
        <v>221.064400</v>
      </c>
    </row>
    <row r="11278" spans="1:9">
      <c r="A11278" s="22" t="str">
        <f>HYPERLINK("https://app.vivvix.com/360/KMI/IntelliDrive/ApplUI/Pages/CreativePages/CustomReportCreativeDetail.aspx?App=23&amp;ReportView=4&amp;Qid=1711279&amp;Row=11270&amp;Col=1","No Title Assigned - #15272403836")</f>
        <v/>
      </c>
      <c r="B11278" s="0" t="s">
        <v>15251</v>
      </c>
      <c r="C11278" s="0" t="s">
        <v>15252</v>
      </c>
      <c r="D11278" s="0" t="s">
        <v>4225</v>
      </c>
      <c r="E11278" s="0" t="inlineStr">
        <is>
          <t xml:space="preserve">Mazda</t>
        </is>
      </c>
      <c r="F11278" s="0" t="s">
        <v>28</v>
      </c>
      <c r="G11278" s="0" t="s">
        <v>29</v>
      </c>
      <c r="H11278" s="5">
        <v>5.857800</v>
      </c>
    </row>
    <row r="11279" spans="1:9">
      <c r="A11279" s="22" t="str">
        <f>HYPERLINK("https://app.vivvix.com/360/KMI/IntelliDrive/ApplUI/Pages/CreativePages/CustomReportCreativeDetail.aspx?App=23&amp;ReportView=4&amp;Qid=1711279&amp;Row=11271&amp;Col=1","No Title Assigned - #15272404184")</f>
        <v/>
      </c>
      <c r="B11279" s="0" t="s">
        <v>15253</v>
      </c>
      <c r="E11279" s="0" t="inlineStr">
        <is>
          <t xml:space="preserve">Mazda</t>
        </is>
      </c>
      <c r="F11279" s="0" t="inlineStr">
        <is>
          <t xml:space="preserve">Mazda</t>
        </is>
      </c>
      <c r="G11279" s="0" t="s">
        <v>171</v>
      </c>
      <c r="H11279" s="5">
        <v>15.262000</v>
      </c>
    </row>
    <row r="11280" spans="1:9">
      <c r="A11280" s="22" t="str">
        <f>HYPERLINK("https://app.vivvix.com/360/KMI/IntelliDrive/ApplUI/Pages/CreativePages/CustomReportCreativeDetail.aspx?App=23&amp;ReportView=4&amp;Qid=1711279&amp;Row=11272&amp;Col=1","No Title Assigned - #15272404950")</f>
        <v/>
      </c>
      <c r="B11280" s="0" t="s">
        <v>15254</v>
      </c>
      <c r="E11280" s="0" t="inlineStr">
        <is>
          <t xml:space="preserve">Mazda</t>
        </is>
      </c>
      <c r="F11280" s="0" t="inlineStr">
        <is>
          <t xml:space="preserve">Mazda</t>
        </is>
      </c>
      <c r="G11280" s="0" t="s">
        <v>171</v>
      </c>
      <c r="H11280" s="5">
        <v>1813.740000</v>
      </c>
    </row>
    <row r="11281" spans="1:9">
      <c r="A11281" s="22" t="str">
        <f>HYPERLINK("https://app.vivvix.com/360/KMI/IntelliDrive/ApplUI/Pages/CreativePages/CustomReportCreativeDetail.aspx?App=23&amp;ReportView=4&amp;Qid=1711279&amp;Row=11273&amp;Col=1","No Title Assigned - #15272404950")</f>
        <v/>
      </c>
      <c r="B11281" s="0" t="s">
        <v>15254</v>
      </c>
      <c r="E11281" s="0" t="inlineStr">
        <is>
          <t xml:space="preserve">Mazda</t>
        </is>
      </c>
      <c r="F11281" s="0" t="inlineStr">
        <is>
          <t xml:space="preserve">Mazda</t>
        </is>
      </c>
      <c r="G11281" s="0" t="s">
        <v>171</v>
      </c>
      <c r="H11281" s="5">
        <v>25638.044000</v>
      </c>
    </row>
    <row r="11282" spans="1:9">
      <c r="A11282" s="22" t="str">
        <f>HYPERLINK("https://app.vivvix.com/360/KMI/IntelliDrive/ApplUI/Pages/CreativePages/CustomReportCreativeDetail.aspx?App=23&amp;ReportView=4&amp;Qid=1711279&amp;Row=11274&amp;Col=1","No Title Assigned - #15272405028")</f>
        <v/>
      </c>
      <c r="B11282" s="0" t="s">
        <v>15255</v>
      </c>
      <c r="C11282" s="0" t="s">
        <v>15256</v>
      </c>
      <c r="D11282" s="0" t="s">
        <v>6656</v>
      </c>
      <c r="E11282" s="0" t="inlineStr">
        <is>
          <t xml:space="preserve">Mazda</t>
        </is>
      </c>
      <c r="F11282" s="0" t="s">
        <v>28</v>
      </c>
      <c r="G11282" s="0" t="s">
        <v>29</v>
      </c>
      <c r="H11282" s="5">
        <v>4.902500</v>
      </c>
    </row>
    <row r="11283" spans="1:9">
      <c r="A11283" s="22" t="str">
        <f>HYPERLINK("https://app.vivvix.com/360/KMI/IntelliDrive/ApplUI/Pages/CreativePages/CustomReportCreativeDetail.aspx?App=23&amp;ReportView=4&amp;Qid=1711279&amp;Row=11275&amp;Col=1","No Title Assigned - #15272405123")</f>
        <v/>
      </c>
      <c r="B11283" s="0" t="s">
        <v>15257</v>
      </c>
      <c r="E11283" s="0" t="inlineStr">
        <is>
          <t xml:space="preserve">Mazda</t>
        </is>
      </c>
      <c r="F11283" s="0" t="s">
        <v>13</v>
      </c>
      <c r="G11283" s="0" t="s">
        <v>49</v>
      </c>
      <c r="H11283" s="5">
        <v>97.468700</v>
      </c>
    </row>
    <row r="11284" spans="1:9">
      <c r="A11284" s="22" t="str">
        <f>HYPERLINK("https://app.vivvix.com/360/KMI/IntelliDrive/ApplUI/Pages/CreativePages/CustomReportCreativeDetail.aspx?App=23&amp;ReportView=4&amp;Qid=1711279&amp;Row=11276&amp;Col=1","No Title Assigned - #15272405183")</f>
        <v/>
      </c>
      <c r="B11284" s="0" t="s">
        <v>15258</v>
      </c>
      <c r="E11284" s="0" t="inlineStr">
        <is>
          <t xml:space="preserve">Mazda</t>
        </is>
      </c>
      <c r="F11284" s="0" t="inlineStr">
        <is>
          <t xml:space="preserve">Mazda</t>
        </is>
      </c>
      <c r="G11284" s="0" t="s">
        <v>171</v>
      </c>
      <c r="H11284" s="5">
        <v>1.916600</v>
      </c>
    </row>
    <row r="11285" spans="1:9">
      <c r="A11285" s="22" t="str">
        <f>HYPERLINK("https://app.vivvix.com/360/KMI/IntelliDrive/ApplUI/Pages/CreativePages/CustomReportCreativeDetail.aspx?App=23&amp;ReportView=4&amp;Qid=1711279&amp;Row=11277&amp;Col=1","No Title Assigned - #15272405248")</f>
        <v/>
      </c>
      <c r="B11285" s="0" t="s">
        <v>15259</v>
      </c>
      <c r="E11285" s="0" t="inlineStr">
        <is>
          <t xml:space="preserve">Mazda</t>
        </is>
      </c>
      <c r="F11285" s="0" t="inlineStr">
        <is>
          <t xml:space="preserve">Mazda</t>
        </is>
      </c>
      <c r="G11285" s="0" t="s">
        <v>171</v>
      </c>
      <c r="H11285" s="5">
        <v>42.813900</v>
      </c>
    </row>
    <row r="11286" spans="1:9">
      <c r="A11286" s="22" t="str">
        <f>HYPERLINK("https://app.vivvix.com/360/KMI/IntelliDrive/ApplUI/Pages/CreativePages/CustomReportCreativeDetail.aspx?App=23&amp;ReportView=4&amp;Qid=1711279&amp;Row=11278&amp;Col=1","No Title Assigned - #15272405421")</f>
        <v/>
      </c>
      <c r="B11286" s="0" t="s">
        <v>15260</v>
      </c>
      <c r="E11286" s="0" t="inlineStr">
        <is>
          <t xml:space="preserve">Mazda</t>
        </is>
      </c>
      <c r="F11286" s="0" t="inlineStr">
        <is>
          <t xml:space="preserve">Mazda</t>
        </is>
      </c>
      <c r="G11286" s="0" t="s">
        <v>171</v>
      </c>
      <c r="H11286" s="5">
        <v>80.289900</v>
      </c>
    </row>
    <row r="11287" spans="1:9">
      <c r="A11287" s="22" t="str">
        <f>HYPERLINK("https://app.vivvix.com/360/KMI/IntelliDrive/ApplUI/Pages/CreativePages/CustomReportCreativeDetail.aspx?App=23&amp;ReportView=4&amp;Qid=1711279&amp;Row=11279&amp;Col=1","No Title Assigned - #15272405926")</f>
        <v/>
      </c>
      <c r="B11287" s="0" t="s">
        <v>15261</v>
      </c>
      <c r="E11287" s="0" t="inlineStr">
        <is>
          <t xml:space="preserve">Mazda</t>
        </is>
      </c>
      <c r="F11287" s="0" t="inlineStr">
        <is>
          <t xml:space="preserve">Mazda</t>
        </is>
      </c>
      <c r="G11287" s="0" t="s">
        <v>171</v>
      </c>
      <c r="H11287" s="5">
        <v>2270.755600</v>
      </c>
    </row>
    <row r="11288" spans="1:9">
      <c r="A11288" s="22" t="str">
        <f>HYPERLINK("https://app.vivvix.com/360/KMI/IntelliDrive/ApplUI/Pages/CreativePages/CustomReportCreativeDetail.aspx?App=23&amp;ReportView=4&amp;Qid=1711279&amp;Row=11280&amp;Col=1","No Title Assigned - #15272405958")</f>
        <v/>
      </c>
      <c r="B11288" s="0" t="s">
        <v>15262</v>
      </c>
      <c r="E11288" s="0" t="inlineStr">
        <is>
          <t xml:space="preserve">Mazda</t>
        </is>
      </c>
      <c r="F11288" s="0" t="inlineStr">
        <is>
          <t xml:space="preserve">Mazda</t>
        </is>
      </c>
      <c r="G11288" s="0" t="s">
        <v>171</v>
      </c>
      <c r="H11288" s="5">
        <v>42.786400</v>
      </c>
    </row>
    <row r="11289" spans="1:9">
      <c r="A11289" s="22" t="str">
        <f>HYPERLINK("https://app.vivvix.com/360/KMI/IntelliDrive/ApplUI/Pages/CreativePages/CustomReportCreativeDetail.aspx?App=23&amp;ReportView=4&amp;Qid=1711279&amp;Row=11281&amp;Col=1","No Title Assigned - #15272406052")</f>
        <v/>
      </c>
      <c r="B11289" s="0" t="s">
        <v>15263</v>
      </c>
      <c r="E11289" s="0" t="inlineStr">
        <is>
          <t xml:space="preserve">Mazda</t>
        </is>
      </c>
      <c r="F11289" s="0" t="inlineStr">
        <is>
          <t xml:space="preserve">Mazda</t>
        </is>
      </c>
      <c r="G11289" s="0" t="s">
        <v>171</v>
      </c>
      <c r="H11289" s="5">
        <v>15.748000</v>
      </c>
    </row>
    <row r="11290" spans="1:9">
      <c r="A11290" s="22" t="str">
        <f>HYPERLINK("https://app.vivvix.com/360/KMI/IntelliDrive/ApplUI/Pages/CreativePages/CustomReportCreativeDetail.aspx?App=23&amp;ReportView=4&amp;Qid=1711279&amp;Row=11282&amp;Col=1","No Title Assigned - #15272406155")</f>
        <v/>
      </c>
      <c r="B11290" s="0" t="s">
        <v>15264</v>
      </c>
      <c r="E11290" s="0" t="inlineStr">
        <is>
          <t xml:space="preserve">Mazda</t>
        </is>
      </c>
      <c r="F11290" s="0" t="inlineStr">
        <is>
          <t xml:space="preserve">Mazda</t>
        </is>
      </c>
      <c r="G11290" s="0" t="s">
        <v>171</v>
      </c>
      <c r="H11290" s="5">
        <v>70.218900</v>
      </c>
    </row>
    <row r="11291" spans="1:9">
      <c r="A11291" s="22" t="str">
        <f>HYPERLINK("https://app.vivvix.com/360/KMI/IntelliDrive/ApplUI/Pages/CreativePages/CustomReportCreativeDetail.aspx?App=23&amp;ReportView=4&amp;Qid=1711279&amp;Row=11283&amp;Col=1","No Title Assigned - #15272407600")</f>
        <v/>
      </c>
      <c r="B11291" s="0" t="s">
        <v>15265</v>
      </c>
      <c r="E11291" s="0" t="inlineStr">
        <is>
          <t xml:space="preserve">Mazda</t>
        </is>
      </c>
      <c r="F11291" s="0" t="s">
        <v>13</v>
      </c>
      <c r="G11291" s="0" t="s">
        <v>49</v>
      </c>
      <c r="H11291" s="5">
        <v>119.530900</v>
      </c>
    </row>
    <row r="11292" spans="1:9">
      <c r="A11292" s="22" t="str">
        <f>HYPERLINK("https://app.vivvix.com/360/KMI/IntelliDrive/ApplUI/Pages/CreativePages/CustomReportCreativeDetail.aspx?App=23&amp;ReportView=4&amp;Qid=1711279&amp;Row=11284&amp;Col=1","No Title Assigned - #15272407635")</f>
        <v/>
      </c>
      <c r="B11292" s="0" t="s">
        <v>15266</v>
      </c>
      <c r="C11292" s="0" t="s">
        <v>15267</v>
      </c>
      <c r="D11292" s="0" t="s">
        <v>15267</v>
      </c>
      <c r="E11292" s="0" t="inlineStr">
        <is>
          <t xml:space="preserve">Mazda</t>
        </is>
      </c>
      <c r="F11292" s="0" t="inlineStr">
        <is>
          <t xml:space="preserve">Mazda</t>
        </is>
      </c>
      <c r="G11292" s="0" t="s">
        <v>210</v>
      </c>
      <c r="H11292" s="5">
        <v>417.994500</v>
      </c>
    </row>
    <row r="11293" spans="1:9">
      <c r="A11293" s="22" t="str">
        <f>HYPERLINK("https://app.vivvix.com/360/KMI/IntelliDrive/ApplUI/Pages/CreativePages/CustomReportCreativeDetail.aspx?App=23&amp;ReportView=4&amp;Qid=1711279&amp;Row=11285&amp;Col=1","No Title Assigned - #15272408875")</f>
        <v/>
      </c>
      <c r="B11293" s="0" t="s">
        <v>15268</v>
      </c>
      <c r="E11293" s="0" t="inlineStr">
        <is>
          <t xml:space="preserve">Mazda</t>
        </is>
      </c>
      <c r="F11293" s="0" t="s">
        <v>13</v>
      </c>
      <c r="G11293" s="0" t="s">
        <v>49</v>
      </c>
      <c r="H11293" s="5">
        <v>4028.902800</v>
      </c>
    </row>
    <row r="11294" spans="1:9">
      <c r="A11294" s="22" t="str">
        <f>HYPERLINK("https://app.vivvix.com/360/KMI/IntelliDrive/ApplUI/Pages/CreativePages/CustomReportCreativeDetail.aspx?App=23&amp;ReportView=4&amp;Qid=1711279&amp;Row=11286&amp;Col=1","No Title Assigned - #15272408875")</f>
        <v/>
      </c>
      <c r="B11294" s="0" t="s">
        <v>15268</v>
      </c>
      <c r="E11294" s="0" t="inlineStr">
        <is>
          <t xml:space="preserve">Mazda</t>
        </is>
      </c>
      <c r="F11294" s="0" t="s">
        <v>13</v>
      </c>
      <c r="G11294" s="0" t="s">
        <v>49</v>
      </c>
      <c r="H11294" s="5">
        <v>4443.030200</v>
      </c>
    </row>
    <row r="11295" spans="1:9">
      <c r="A11295" s="22" t="str">
        <f>HYPERLINK("https://app.vivvix.com/360/KMI/IntelliDrive/ApplUI/Pages/CreativePages/CustomReportCreativeDetail.aspx?App=23&amp;ReportView=4&amp;Qid=1711279&amp;Row=11287&amp;Col=1","No Title Assigned - #15272409735")</f>
        <v/>
      </c>
      <c r="B11295" s="0" t="s">
        <v>15269</v>
      </c>
      <c r="E11295" s="0" t="inlineStr">
        <is>
          <t xml:space="preserve">Mazda</t>
        </is>
      </c>
      <c r="F11295" s="0" t="inlineStr">
        <is>
          <t xml:space="preserve">Mazda</t>
        </is>
      </c>
      <c r="G11295" s="0" t="s">
        <v>171</v>
      </c>
      <c r="H11295" s="5">
        <v>2948.808600</v>
      </c>
    </row>
    <row r="11296" spans="1:9">
      <c r="A11296" s="22" t="str">
        <f>HYPERLINK("https://app.vivvix.com/360/KMI/IntelliDrive/ApplUI/Pages/CreativePages/CustomReportCreativeDetail.aspx?App=23&amp;ReportView=4&amp;Qid=1711279&amp;Row=11288&amp;Col=1","No Title Assigned - #15272410213")</f>
        <v/>
      </c>
      <c r="B11296" s="0" t="s">
        <v>15270</v>
      </c>
      <c r="C11296" s="0" t="s">
        <v>15271</v>
      </c>
      <c r="D11296" s="0" t="s">
        <v>8816</v>
      </c>
      <c r="E11296" s="0" t="inlineStr">
        <is>
          <t xml:space="preserve">Mazda</t>
        </is>
      </c>
      <c r="F11296" s="0" t="s">
        <v>28</v>
      </c>
      <c r="G11296" s="0" t="s">
        <v>29</v>
      </c>
      <c r="H11296" s="5">
        <v>21261.427400</v>
      </c>
    </row>
    <row r="11297" spans="1:9">
      <c r="A11297" s="22" t="str">
        <f>HYPERLINK("https://app.vivvix.com/360/KMI/IntelliDrive/ApplUI/Pages/CreativePages/CustomReportCreativeDetail.aspx?App=23&amp;ReportView=4&amp;Qid=1711279&amp;Row=11289&amp;Col=1","No Title Assigned - #15272410460")</f>
        <v/>
      </c>
      <c r="B11297" s="0" t="s">
        <v>15272</v>
      </c>
      <c r="C11297" s="0" t="s">
        <v>15273</v>
      </c>
      <c r="D11297" s="0" t="s">
        <v>13956</v>
      </c>
      <c r="E11297" s="0" t="inlineStr">
        <is>
          <t xml:space="preserve">Mazda</t>
        </is>
      </c>
      <c r="F11297" s="0" t="s">
        <v>28</v>
      </c>
      <c r="G11297" s="0" t="s">
        <v>29</v>
      </c>
      <c r="H11297" s="5">
        <v>64.368500</v>
      </c>
    </row>
    <row r="11298" spans="1:9">
      <c r="A11298" s="22" t="str">
        <f>HYPERLINK("https://app.vivvix.com/360/KMI/IntelliDrive/ApplUI/Pages/CreativePages/CustomReportCreativeDetail.aspx?App=23&amp;ReportView=4&amp;Qid=1711279&amp;Row=11290&amp;Col=1","No Title Assigned - #15272410917")</f>
        <v/>
      </c>
      <c r="B11298" s="0" t="s">
        <v>15274</v>
      </c>
      <c r="C11298" s="0" t="s">
        <v>15275</v>
      </c>
      <c r="D11298" s="0" t="s">
        <v>15275</v>
      </c>
      <c r="E11298" s="0" t="inlineStr">
        <is>
          <t xml:space="preserve">Mazda</t>
        </is>
      </c>
      <c r="F11298" s="0" t="s">
        <v>28</v>
      </c>
      <c r="G11298" s="0" t="s">
        <v>29</v>
      </c>
      <c r="H11298" s="5">
        <v>1.836000</v>
      </c>
    </row>
    <row r="11299" spans="1:9">
      <c r="A11299" s="22" t="str">
        <f>HYPERLINK("https://app.vivvix.com/360/KMI/IntelliDrive/ApplUI/Pages/CreativePages/CustomReportCreativeDetail.aspx?App=23&amp;ReportView=4&amp;Qid=1711279&amp;Row=11291&amp;Col=1","No Title Assigned - #15272412243")</f>
        <v/>
      </c>
      <c r="B11299" s="0" t="s">
        <v>15276</v>
      </c>
      <c r="E11299" s="0" t="inlineStr">
        <is>
          <t xml:space="preserve">Mazda</t>
        </is>
      </c>
      <c r="F11299" s="0" t="inlineStr">
        <is>
          <t xml:space="preserve">Mazda</t>
        </is>
      </c>
      <c r="G11299" s="0" t="s">
        <v>171</v>
      </c>
      <c r="H11299" s="5">
        <v>48.982100</v>
      </c>
    </row>
    <row r="11300" spans="1:9">
      <c r="A11300" s="22" t="str">
        <f>HYPERLINK("https://app.vivvix.com/360/KMI/IntelliDrive/ApplUI/Pages/CreativePages/CustomReportCreativeDetail.aspx?App=23&amp;ReportView=4&amp;Qid=1711279&amp;Row=11292&amp;Col=1","No Title Assigned - #15272412436")</f>
        <v/>
      </c>
      <c r="B11300" s="0" t="s">
        <v>15277</v>
      </c>
      <c r="E11300" s="0" t="inlineStr">
        <is>
          <t xml:space="preserve">Mazda</t>
        </is>
      </c>
      <c r="F11300" s="0" t="inlineStr">
        <is>
          <t xml:space="preserve">Mazda</t>
        </is>
      </c>
      <c r="G11300" s="0" t="s">
        <v>171</v>
      </c>
      <c r="H11300" s="5">
        <v>8.689300</v>
      </c>
    </row>
    <row r="11301" spans="1:9">
      <c r="A11301" s="22" t="str">
        <f>HYPERLINK("https://app.vivvix.com/360/KMI/IntelliDrive/ApplUI/Pages/CreativePages/CustomReportCreativeDetail.aspx?App=23&amp;ReportView=4&amp;Qid=1711279&amp;Row=11293&amp;Col=1","No Title Assigned - #15272412639")</f>
        <v/>
      </c>
      <c r="B11301" s="0" t="s">
        <v>15278</v>
      </c>
      <c r="E11301" s="0" t="inlineStr">
        <is>
          <t xml:space="preserve">Mazda</t>
        </is>
      </c>
      <c r="F11301" s="0" t="inlineStr">
        <is>
          <t xml:space="preserve">Mazda</t>
        </is>
      </c>
      <c r="G11301" s="0" t="s">
        <v>171</v>
      </c>
      <c r="H11301" s="5">
        <v>51.223500</v>
      </c>
    </row>
    <row r="11302" spans="1:9">
      <c r="A11302" s="22" t="str">
        <f>HYPERLINK("https://app.vivvix.com/360/KMI/IntelliDrive/ApplUI/Pages/CreativePages/CustomReportCreativeDetail.aspx?App=23&amp;ReportView=4&amp;Qid=1711279&amp;Row=11294&amp;Col=1","No Title Assigned - #15272412996")</f>
        <v/>
      </c>
      <c r="B11302" s="0" t="s">
        <v>15279</v>
      </c>
      <c r="E11302" s="0" t="inlineStr">
        <is>
          <t xml:space="preserve">Mazda</t>
        </is>
      </c>
      <c r="F11302" s="0" t="inlineStr">
        <is>
          <t xml:space="preserve">Mazda</t>
        </is>
      </c>
      <c r="G11302" s="0" t="s">
        <v>171</v>
      </c>
      <c r="H11302" s="5">
        <v>139.146400</v>
      </c>
    </row>
    <row r="11303" spans="1:9">
      <c r="A11303" s="22" t="str">
        <f>HYPERLINK("https://app.vivvix.com/360/KMI/IntelliDrive/ApplUI/Pages/CreativePages/CustomReportCreativeDetail.aspx?App=23&amp;ReportView=4&amp;Qid=1711279&amp;Row=11295&amp;Col=1","No Title Assigned - #15272413554")</f>
        <v/>
      </c>
      <c r="B11303" s="0" t="s">
        <v>15280</v>
      </c>
      <c r="E11303" s="0" t="inlineStr">
        <is>
          <t xml:space="preserve">Mazda</t>
        </is>
      </c>
      <c r="F11303" s="0" t="inlineStr">
        <is>
          <t xml:space="preserve">Mazda</t>
        </is>
      </c>
      <c r="G11303" s="0" t="s">
        <v>171</v>
      </c>
      <c r="H11303" s="5">
        <v>176.411100</v>
      </c>
    </row>
    <row r="11304" spans="1:9">
      <c r="A11304" s="22" t="str">
        <f>HYPERLINK("https://app.vivvix.com/360/KMI/IntelliDrive/ApplUI/Pages/CreativePages/CustomReportCreativeDetail.aspx?App=23&amp;ReportView=4&amp;Qid=1711279&amp;Row=11296&amp;Col=1","No Title Assigned - #15272413574")</f>
        <v/>
      </c>
      <c r="B11304" s="0" t="s">
        <v>15281</v>
      </c>
      <c r="E11304" s="0" t="inlineStr">
        <is>
          <t xml:space="preserve">Mazda</t>
        </is>
      </c>
      <c r="F11304" s="0" t="inlineStr">
        <is>
          <t xml:space="preserve">Mazda</t>
        </is>
      </c>
      <c r="G11304" s="0" t="s">
        <v>171</v>
      </c>
      <c r="H11304" s="5">
        <v>19.439400</v>
      </c>
    </row>
    <row r="11305" spans="1:9">
      <c r="A11305" s="22" t="str">
        <f>HYPERLINK("https://app.vivvix.com/360/KMI/IntelliDrive/ApplUI/Pages/CreativePages/CustomReportCreativeDetail.aspx?App=23&amp;ReportView=4&amp;Qid=1711279&amp;Row=11297&amp;Col=1","No Title Assigned - #15272414139")</f>
        <v/>
      </c>
      <c r="B11305" s="0" t="s">
        <v>15282</v>
      </c>
      <c r="E11305" s="0" t="inlineStr">
        <is>
          <t xml:space="preserve">Mazda</t>
        </is>
      </c>
      <c r="F11305" s="0" t="inlineStr">
        <is>
          <t xml:space="preserve">Mazda</t>
        </is>
      </c>
      <c r="G11305" s="0" t="s">
        <v>171</v>
      </c>
      <c r="H11305" s="5">
        <v>47.792200</v>
      </c>
    </row>
    <row r="11306" spans="1:9">
      <c r="A11306" s="22" t="str">
        <f>HYPERLINK("https://app.vivvix.com/360/KMI/IntelliDrive/ApplUI/Pages/CreativePages/CustomReportCreativeDetail.aspx?App=23&amp;ReportView=4&amp;Qid=1711279&amp;Row=11298&amp;Col=1","No Title Assigned - #15272414213")</f>
        <v/>
      </c>
      <c r="B11306" s="0" t="s">
        <v>15283</v>
      </c>
      <c r="E11306" s="0" t="inlineStr">
        <is>
          <t xml:space="preserve">Mazda</t>
        </is>
      </c>
      <c r="F11306" s="0" t="s">
        <v>21</v>
      </c>
      <c r="G11306" s="0" t="s">
        <v>22</v>
      </c>
      <c r="H11306" s="5">
        <v>338.928400</v>
      </c>
    </row>
    <row r="11307" spans="1:9">
      <c r="A11307" s="22" t="str">
        <f>HYPERLINK("https://app.vivvix.com/360/KMI/IntelliDrive/ApplUI/Pages/CreativePages/CustomReportCreativeDetail.aspx?App=23&amp;ReportView=4&amp;Qid=1711279&amp;Row=11299&amp;Col=1","No Title Assigned - #15272414384")</f>
        <v/>
      </c>
      <c r="B11307" s="0" t="s">
        <v>15284</v>
      </c>
      <c r="E11307" s="0" t="inlineStr">
        <is>
          <t xml:space="preserve">Mazda</t>
        </is>
      </c>
      <c r="F11307" s="0" t="inlineStr">
        <is>
          <t xml:space="preserve">Mazda</t>
        </is>
      </c>
      <c r="G11307" s="0" t="s">
        <v>171</v>
      </c>
      <c r="H11307" s="5">
        <v>2.833200</v>
      </c>
    </row>
    <row r="11308" spans="1:9">
      <c r="A11308" s="22" t="str">
        <f>HYPERLINK("https://app.vivvix.com/360/KMI/IntelliDrive/ApplUI/Pages/CreativePages/CustomReportCreativeDetail.aspx?App=23&amp;ReportView=4&amp;Qid=1711279&amp;Row=11300&amp;Col=1","No Title Assigned - #15272415529")</f>
        <v/>
      </c>
      <c r="B11308" s="0" t="s">
        <v>15285</v>
      </c>
      <c r="E11308" s="0" t="inlineStr">
        <is>
          <t xml:space="preserve">Mazda</t>
        </is>
      </c>
      <c r="F11308" s="0" t="inlineStr">
        <is>
          <t xml:space="preserve">Mazda</t>
        </is>
      </c>
      <c r="G11308" s="0" t="s">
        <v>171</v>
      </c>
      <c r="H11308" s="5">
        <v>13.205100</v>
      </c>
    </row>
    <row r="11309" spans="1:9">
      <c r="A11309" s="22" t="str">
        <f>HYPERLINK("https://app.vivvix.com/360/KMI/IntelliDrive/ApplUI/Pages/CreativePages/CustomReportCreativeDetail.aspx?App=23&amp;ReportView=4&amp;Qid=1711279&amp;Row=11301&amp;Col=1","No Title Assigned - #15272415641")</f>
        <v/>
      </c>
      <c r="B11309" s="0" t="s">
        <v>15286</v>
      </c>
      <c r="E11309" s="0" t="inlineStr">
        <is>
          <t xml:space="preserve">Mazda</t>
        </is>
      </c>
      <c r="F11309" s="0" t="inlineStr">
        <is>
          <t xml:space="preserve">Mazda</t>
        </is>
      </c>
      <c r="G11309" s="0" t="s">
        <v>171</v>
      </c>
      <c r="H11309" s="5">
        <v>5.804500</v>
      </c>
    </row>
    <row r="11310" spans="1:9">
      <c r="A11310" s="22" t="str">
        <f>HYPERLINK("https://app.vivvix.com/360/KMI/IntelliDrive/ApplUI/Pages/CreativePages/CustomReportCreativeDetail.aspx?App=23&amp;ReportView=4&amp;Qid=1711279&amp;Row=11302&amp;Col=1","No Title Assigned - #15272415815")</f>
        <v/>
      </c>
      <c r="B11310" s="0" t="s">
        <v>15287</v>
      </c>
      <c r="E11310" s="0" t="inlineStr">
        <is>
          <t xml:space="preserve">Mazda</t>
        </is>
      </c>
      <c r="F11310" s="0" t="inlineStr">
        <is>
          <t xml:space="preserve">Mazda</t>
        </is>
      </c>
      <c r="G11310" s="0" t="s">
        <v>171</v>
      </c>
      <c r="H11310" s="5">
        <v>281.756200</v>
      </c>
    </row>
    <row r="11311" spans="1:9">
      <c r="A11311" s="22" t="str">
        <f>HYPERLINK("https://app.vivvix.com/360/KMI/IntelliDrive/ApplUI/Pages/CreativePages/CustomReportCreativeDetail.aspx?App=23&amp;ReportView=4&amp;Qid=1711279&amp;Row=11303&amp;Col=1","No Title Assigned - #15272416771")</f>
        <v/>
      </c>
      <c r="B11311" s="0" t="s">
        <v>15288</v>
      </c>
      <c r="E11311" s="0" t="inlineStr">
        <is>
          <t xml:space="preserve">Mazda</t>
        </is>
      </c>
      <c r="F11311" s="0" t="inlineStr">
        <is>
          <t xml:space="preserve">Mazda</t>
        </is>
      </c>
      <c r="G11311" s="0" t="s">
        <v>171</v>
      </c>
      <c r="H11311" s="5">
        <v>125.898200</v>
      </c>
    </row>
    <row r="11312" spans="1:9">
      <c r="A11312" s="22" t="str">
        <f>HYPERLINK("https://app.vivvix.com/360/KMI/IntelliDrive/ApplUI/Pages/CreativePages/CustomReportCreativeDetail.aspx?App=23&amp;ReportView=4&amp;Qid=1711279&amp;Row=11304&amp;Col=1","No Title Assigned - #15272417485")</f>
        <v/>
      </c>
      <c r="B11312" s="0" t="s">
        <v>15289</v>
      </c>
      <c r="E11312" s="0" t="inlineStr">
        <is>
          <t xml:space="preserve">Mazda</t>
        </is>
      </c>
      <c r="F11312" s="0" t="inlineStr">
        <is>
          <t xml:space="preserve">Mazda</t>
        </is>
      </c>
      <c r="G11312" s="0" t="s">
        <v>171</v>
      </c>
      <c r="H11312" s="5">
        <v>19.439400</v>
      </c>
    </row>
    <row r="11313" spans="1:9">
      <c r="A11313" s="22" t="str">
        <f>HYPERLINK("https://app.vivvix.com/360/KMI/IntelliDrive/ApplUI/Pages/CreativePages/CustomReportCreativeDetail.aspx?App=23&amp;ReportView=4&amp;Qid=1711279&amp;Row=11305&amp;Col=1","No Title Assigned - #15272417803")</f>
        <v/>
      </c>
      <c r="B11313" s="0" t="s">
        <v>15290</v>
      </c>
      <c r="E11313" s="0" t="inlineStr">
        <is>
          <t xml:space="preserve">Mazda</t>
        </is>
      </c>
      <c r="F11313" s="0" t="inlineStr">
        <is>
          <t xml:space="preserve">Mazda</t>
        </is>
      </c>
      <c r="G11313" s="0" t="s">
        <v>171</v>
      </c>
      <c r="H11313" s="5">
        <v>7413.167400</v>
      </c>
    </row>
    <row r="11314" spans="1:9">
      <c r="A11314" s="22" t="str">
        <f>HYPERLINK("https://app.vivvix.com/360/KMI/IntelliDrive/ApplUI/Pages/CreativePages/CustomReportCreativeDetail.aspx?App=23&amp;ReportView=4&amp;Qid=1711279&amp;Row=11306&amp;Col=1","No Title Assigned - #15272417874")</f>
        <v/>
      </c>
      <c r="B11314" s="0" t="s">
        <v>15291</v>
      </c>
      <c r="C11314" s="0" t="s">
        <v>15292</v>
      </c>
      <c r="D11314" s="0" t="s">
        <v>15292</v>
      </c>
      <c r="E11314" s="0" t="inlineStr">
        <is>
          <t xml:space="preserve">Mazda</t>
        </is>
      </c>
      <c r="F11314" s="0" t="inlineStr">
        <is>
          <t xml:space="preserve">Mazda</t>
        </is>
      </c>
      <c r="G11314" s="0" t="s">
        <v>171</v>
      </c>
      <c r="H11314" s="5">
        <v>23.417400</v>
      </c>
    </row>
    <row r="11315" spans="1:9">
      <c r="A11315" s="22" t="str">
        <f>HYPERLINK("https://app.vivvix.com/360/KMI/IntelliDrive/ApplUI/Pages/CreativePages/CustomReportCreativeDetail.aspx?App=23&amp;ReportView=4&amp;Qid=1711279&amp;Row=11307&amp;Col=1","No Title Assigned - #15272417974")</f>
        <v/>
      </c>
      <c r="B11315" s="0" t="s">
        <v>15293</v>
      </c>
      <c r="E11315" s="0" t="inlineStr">
        <is>
          <t xml:space="preserve">Mazda</t>
        </is>
      </c>
      <c r="F11315" s="0" t="inlineStr">
        <is>
          <t xml:space="preserve">Mazda</t>
        </is>
      </c>
      <c r="G11315" s="0" t="s">
        <v>171</v>
      </c>
      <c r="H11315" s="5">
        <v>7590.168000</v>
      </c>
    </row>
    <row r="11316" spans="1:9">
      <c r="A11316" s="22" t="str">
        <f>HYPERLINK("https://app.vivvix.com/360/KMI/IntelliDrive/ApplUI/Pages/CreativePages/CustomReportCreativeDetail.aspx?App=23&amp;ReportView=4&amp;Qid=1711279&amp;Row=11308&amp;Col=1","No Title Assigned - #15272417974")</f>
        <v/>
      </c>
      <c r="B11316" s="0" t="s">
        <v>15293</v>
      </c>
      <c r="E11316" s="0" t="inlineStr">
        <is>
          <t xml:space="preserve">Mazda</t>
        </is>
      </c>
      <c r="F11316" s="0" t="inlineStr">
        <is>
          <t xml:space="preserve">Mazda</t>
        </is>
      </c>
      <c r="G11316" s="0" t="s">
        <v>171</v>
      </c>
      <c r="H11316" s="5">
        <v>478.371200</v>
      </c>
    </row>
    <row r="11317" spans="1:9">
      <c r="A11317" s="22" t="str">
        <f>HYPERLINK("https://app.vivvix.com/360/KMI/IntelliDrive/ApplUI/Pages/CreativePages/CustomReportCreativeDetail.aspx?App=23&amp;ReportView=4&amp;Qid=1711279&amp;Row=11309&amp;Col=1","No Title Assigned - #15272418932")</f>
        <v/>
      </c>
      <c r="B11317" s="0" t="s">
        <v>15294</v>
      </c>
      <c r="E11317" s="0" t="inlineStr">
        <is>
          <t xml:space="preserve">Mazda</t>
        </is>
      </c>
      <c r="F11317" s="0" t="inlineStr">
        <is>
          <t xml:space="preserve">Mazda</t>
        </is>
      </c>
      <c r="G11317" s="0" t="s">
        <v>171</v>
      </c>
      <c r="H11317" s="5">
        <v>697.714500</v>
      </c>
    </row>
    <row r="11318" spans="1:9">
      <c r="A11318" s="22" t="str">
        <f>HYPERLINK("https://app.vivvix.com/360/KMI/IntelliDrive/ApplUI/Pages/CreativePages/CustomReportCreativeDetail.aspx?App=23&amp;ReportView=4&amp;Qid=1711279&amp;Row=11310&amp;Col=1","No Title Assigned - #15272419009")</f>
        <v/>
      </c>
      <c r="B11318" s="0" t="s">
        <v>15295</v>
      </c>
      <c r="E11318" s="0" t="inlineStr">
        <is>
          <t xml:space="preserve">Mazda</t>
        </is>
      </c>
      <c r="F11318" s="0" t="inlineStr">
        <is>
          <t xml:space="preserve">Mazda</t>
        </is>
      </c>
      <c r="G11318" s="0" t="s">
        <v>171</v>
      </c>
      <c r="H11318" s="5">
        <v>2440.428000</v>
      </c>
    </row>
    <row r="11319" spans="1:9">
      <c r="A11319" s="22" t="str">
        <f>HYPERLINK("https://app.vivvix.com/360/KMI/IntelliDrive/ApplUI/Pages/CreativePages/CustomReportCreativeDetail.aspx?App=23&amp;ReportView=4&amp;Qid=1711279&amp;Row=11311&amp;Col=1","No Title Assigned - #15272419009")</f>
        <v/>
      </c>
      <c r="B11319" s="0" t="s">
        <v>15295</v>
      </c>
      <c r="E11319" s="0" t="inlineStr">
        <is>
          <t xml:space="preserve">Mazda</t>
        </is>
      </c>
      <c r="F11319" s="0" t="inlineStr">
        <is>
          <t xml:space="preserve">Mazda</t>
        </is>
      </c>
      <c r="G11319" s="0" t="s">
        <v>171</v>
      </c>
      <c r="H11319" s="5">
        <v>11019.556300</v>
      </c>
    </row>
    <row r="11320" spans="1:9">
      <c r="A11320" s="22" t="str">
        <f>HYPERLINK("https://app.vivvix.com/360/KMI/IntelliDrive/ApplUI/Pages/CreativePages/CustomReportCreativeDetail.aspx?App=23&amp;ReportView=4&amp;Qid=1711279&amp;Row=11312&amp;Col=1","No Title Assigned - #15272419239")</f>
        <v/>
      </c>
      <c r="B11320" s="0" t="s">
        <v>15296</v>
      </c>
      <c r="E11320" s="0" t="inlineStr">
        <is>
          <t xml:space="preserve">Mazda</t>
        </is>
      </c>
      <c r="F11320" s="0" t="inlineStr">
        <is>
          <t xml:space="preserve">Mazda</t>
        </is>
      </c>
      <c r="G11320" s="0" t="s">
        <v>171</v>
      </c>
      <c r="H11320" s="5">
        <v>1.787400</v>
      </c>
    </row>
    <row r="11321" spans="1:9">
      <c r="A11321" s="22" t="str">
        <f>HYPERLINK("https://app.vivvix.com/360/KMI/IntelliDrive/ApplUI/Pages/CreativePages/CustomReportCreativeDetail.aspx?App=23&amp;ReportView=4&amp;Qid=1711279&amp;Row=11313&amp;Col=1","No Title Assigned - #15272419239")</f>
        <v/>
      </c>
      <c r="B11321" s="0" t="s">
        <v>15296</v>
      </c>
      <c r="E11321" s="0" t="inlineStr">
        <is>
          <t xml:space="preserve">Mazda</t>
        </is>
      </c>
      <c r="F11321" s="0" t="inlineStr">
        <is>
          <t xml:space="preserve">Mazda</t>
        </is>
      </c>
      <c r="G11321" s="0" t="s">
        <v>171</v>
      </c>
      <c r="H11321" s="5">
        <v>14273.933600</v>
      </c>
    </row>
    <row r="11322" spans="1:9">
      <c r="A11322" s="22" t="str">
        <f>HYPERLINK("https://app.vivvix.com/360/KMI/IntelliDrive/ApplUI/Pages/CreativePages/CustomReportCreativeDetail.aspx?App=23&amp;ReportView=4&amp;Qid=1711279&amp;Row=11314&amp;Col=1","No Title Assigned - #15272419712")</f>
        <v/>
      </c>
      <c r="B11322" s="0" t="s">
        <v>15297</v>
      </c>
      <c r="E11322" s="0" t="inlineStr">
        <is>
          <t xml:space="preserve">Mazda</t>
        </is>
      </c>
      <c r="F11322" s="0" t="inlineStr">
        <is>
          <t xml:space="preserve">Mazda</t>
        </is>
      </c>
      <c r="G11322" s="0" t="s">
        <v>171</v>
      </c>
      <c r="H11322" s="5">
        <v>1032.616900</v>
      </c>
    </row>
    <row r="11323" spans="1:9">
      <c r="A11323" s="22" t="str">
        <f>HYPERLINK("https://app.vivvix.com/360/KMI/IntelliDrive/ApplUI/Pages/CreativePages/CustomReportCreativeDetail.aspx?App=23&amp;ReportView=4&amp;Qid=1711279&amp;Row=11315&amp;Col=1","No Title Assigned - #15272420124")</f>
        <v/>
      </c>
      <c r="B11323" s="0" t="s">
        <v>15298</v>
      </c>
      <c r="E11323" s="0" t="inlineStr">
        <is>
          <t xml:space="preserve">Mazda</t>
        </is>
      </c>
      <c r="F11323" s="0" t="inlineStr">
        <is>
          <t xml:space="preserve">Mazda</t>
        </is>
      </c>
      <c r="G11323" s="0" t="s">
        <v>171</v>
      </c>
      <c r="H11323" s="5">
        <v>211.107600</v>
      </c>
    </row>
    <row r="11324" spans="1:9">
      <c r="A11324" s="22" t="str">
        <f>HYPERLINK("https://app.vivvix.com/360/KMI/IntelliDrive/ApplUI/Pages/CreativePages/CustomReportCreativeDetail.aspx?App=23&amp;ReportView=4&amp;Qid=1711279&amp;Row=11316&amp;Col=1","No Title Assigned - #15272420301")</f>
        <v/>
      </c>
      <c r="B11324" s="0" t="s">
        <v>15299</v>
      </c>
      <c r="E11324" s="0" t="inlineStr">
        <is>
          <t xml:space="preserve">Mazda</t>
        </is>
      </c>
      <c r="F11324" s="0" t="inlineStr">
        <is>
          <t xml:space="preserve">Mazda</t>
        </is>
      </c>
      <c r="G11324" s="0" t="s">
        <v>171</v>
      </c>
      <c r="H11324" s="5">
        <v>3.949900</v>
      </c>
    </row>
    <row r="11325" spans="1:9">
      <c r="A11325" s="22" t="str">
        <f>HYPERLINK("https://app.vivvix.com/360/KMI/IntelliDrive/ApplUI/Pages/CreativePages/CustomReportCreativeDetail.aspx?App=23&amp;ReportView=4&amp;Qid=1711279&amp;Row=11317&amp;Col=1","No Title Assigned - #15272420756")</f>
        <v/>
      </c>
      <c r="B11325" s="0" t="s">
        <v>15300</v>
      </c>
      <c r="E11325" s="0" t="inlineStr">
        <is>
          <t xml:space="preserve">Mazda</t>
        </is>
      </c>
      <c r="F11325" s="0" t="inlineStr">
        <is>
          <t xml:space="preserve">Mazda</t>
        </is>
      </c>
      <c r="G11325" s="0" t="s">
        <v>171</v>
      </c>
      <c r="H11325" s="5">
        <v>7.217700</v>
      </c>
    </row>
    <row r="11326" spans="1:9">
      <c r="A11326" s="22" t="str">
        <f>HYPERLINK("https://app.vivvix.com/360/KMI/IntelliDrive/ApplUI/Pages/CreativePages/CustomReportCreativeDetail.aspx?App=23&amp;ReportView=4&amp;Qid=1711279&amp;Row=11318&amp;Col=1","No Title Assigned - #15272421067")</f>
        <v/>
      </c>
      <c r="B11326" s="0" t="s">
        <v>15301</v>
      </c>
      <c r="E11326" s="0" t="inlineStr">
        <is>
          <t xml:space="preserve">Mazda</t>
        </is>
      </c>
      <c r="F11326" s="0" t="inlineStr">
        <is>
          <t xml:space="preserve">Mazda</t>
        </is>
      </c>
      <c r="G11326" s="0" t="s">
        <v>171</v>
      </c>
      <c r="H11326" s="5">
        <v>170.332400</v>
      </c>
    </row>
    <row r="11327" spans="1:9">
      <c r="A11327" s="22" t="str">
        <f>HYPERLINK("https://app.vivvix.com/360/KMI/IntelliDrive/ApplUI/Pages/CreativePages/CustomReportCreativeDetail.aspx?App=23&amp;ReportView=4&amp;Qid=1711279&amp;Row=11319&amp;Col=1","No Title Assigned - #15272421624")</f>
        <v/>
      </c>
      <c r="B11327" s="0" t="s">
        <v>15302</v>
      </c>
      <c r="E11327" s="0" t="inlineStr">
        <is>
          <t xml:space="preserve">Mazda</t>
        </is>
      </c>
      <c r="F11327" s="0" t="inlineStr">
        <is>
          <t xml:space="preserve">Mazda</t>
        </is>
      </c>
      <c r="G11327" s="0" t="s">
        <v>171</v>
      </c>
      <c r="H11327" s="5">
        <v>6.658800</v>
      </c>
    </row>
    <row r="11328" spans="1:9">
      <c r="A11328" s="22" t="str">
        <f>HYPERLINK("https://app.vivvix.com/360/KMI/IntelliDrive/ApplUI/Pages/CreativePages/CustomReportCreativeDetail.aspx?App=23&amp;ReportView=4&amp;Qid=1711279&amp;Row=11320&amp;Col=1","No Title Assigned - #15272421728")</f>
        <v/>
      </c>
      <c r="B11328" s="0" t="s">
        <v>15303</v>
      </c>
      <c r="E11328" s="0" t="inlineStr">
        <is>
          <t xml:space="preserve">Mazda</t>
        </is>
      </c>
      <c r="F11328" s="0" t="inlineStr">
        <is>
          <t xml:space="preserve">Mazda</t>
        </is>
      </c>
      <c r="G11328" s="0" t="s">
        <v>171</v>
      </c>
      <c r="H11328" s="5">
        <v>42.546500</v>
      </c>
    </row>
    <row r="11329" spans="1:9">
      <c r="A11329" s="22" t="str">
        <f>HYPERLINK("https://app.vivvix.com/360/KMI/IntelliDrive/ApplUI/Pages/CreativePages/CustomReportCreativeDetail.aspx?App=23&amp;ReportView=4&amp;Qid=1711279&amp;Row=11321&amp;Col=1","No Title Assigned - #15272424399")</f>
        <v/>
      </c>
      <c r="B11329" s="0" t="s">
        <v>15304</v>
      </c>
      <c r="E11329" s="0" t="inlineStr">
        <is>
          <t xml:space="preserve">Mazda</t>
        </is>
      </c>
      <c r="F11329" s="0" t="inlineStr">
        <is>
          <t xml:space="preserve">Mazda</t>
        </is>
      </c>
      <c r="G11329" s="0" t="s">
        <v>171</v>
      </c>
      <c r="H11329" s="5">
        <v>1172.230200</v>
      </c>
    </row>
    <row r="11330" spans="1:9">
      <c r="A11330" s="22" t="str">
        <f>HYPERLINK("https://app.vivvix.com/360/KMI/IntelliDrive/ApplUI/Pages/CreativePages/CustomReportCreativeDetail.aspx?App=23&amp;ReportView=4&amp;Qid=1711279&amp;Row=11322&amp;Col=1","No Title Assigned - #15272424520")</f>
        <v/>
      </c>
      <c r="B11330" s="0" t="s">
        <v>15305</v>
      </c>
      <c r="E11330" s="0" t="inlineStr">
        <is>
          <t xml:space="preserve">Mazda</t>
        </is>
      </c>
      <c r="F11330" s="0" t="inlineStr">
        <is>
          <t xml:space="preserve">Mazda</t>
        </is>
      </c>
      <c r="G11330" s="0" t="s">
        <v>171</v>
      </c>
      <c r="H11330" s="5">
        <v>7.956000</v>
      </c>
    </row>
    <row r="11331" spans="1:9">
      <c r="A11331" s="22" t="str">
        <f>HYPERLINK("https://app.vivvix.com/360/KMI/IntelliDrive/ApplUI/Pages/CreativePages/CustomReportCreativeDetail.aspx?App=23&amp;ReportView=4&amp;Qid=1711279&amp;Row=11323&amp;Col=1","No Title Assigned - #15272424601")</f>
        <v/>
      </c>
      <c r="B11331" s="0" t="s">
        <v>15306</v>
      </c>
      <c r="E11331" s="0" t="inlineStr">
        <is>
          <t xml:space="preserve">Mazda</t>
        </is>
      </c>
      <c r="F11331" s="0" t="inlineStr">
        <is>
          <t xml:space="preserve">Mazda</t>
        </is>
      </c>
      <c r="G11331" s="0" t="s">
        <v>171</v>
      </c>
      <c r="H11331" s="5">
        <v>4.555200</v>
      </c>
    </row>
    <row r="11332" spans="1:9">
      <c r="A11332" s="22" t="str">
        <f>HYPERLINK("https://app.vivvix.com/360/KMI/IntelliDrive/ApplUI/Pages/CreativePages/CustomReportCreativeDetail.aspx?App=23&amp;ReportView=4&amp;Qid=1711279&amp;Row=11324&amp;Col=1","No Title Assigned - #15272425345")</f>
        <v/>
      </c>
      <c r="B11332" s="0" t="s">
        <v>15307</v>
      </c>
      <c r="E11332" s="0" t="inlineStr">
        <is>
          <t xml:space="preserve">Mazda</t>
        </is>
      </c>
      <c r="F11332" s="0" t="inlineStr">
        <is>
          <t xml:space="preserve">Mazda</t>
        </is>
      </c>
      <c r="G11332" s="0" t="s">
        <v>171</v>
      </c>
      <c r="H11332" s="5">
        <v>75.667300</v>
      </c>
    </row>
    <row r="11333" spans="1:9">
      <c r="A11333" s="22" t="str">
        <f>HYPERLINK("https://app.vivvix.com/360/KMI/IntelliDrive/ApplUI/Pages/CreativePages/CustomReportCreativeDetail.aspx?App=23&amp;ReportView=4&amp;Qid=1711279&amp;Row=11325&amp;Col=1","No Title Assigned - #15272426989")</f>
        <v/>
      </c>
      <c r="B11333" s="0" t="s">
        <v>15308</v>
      </c>
      <c r="E11333" s="0" t="inlineStr">
        <is>
          <t xml:space="preserve">Mazda</t>
        </is>
      </c>
      <c r="F11333" s="0" t="inlineStr">
        <is>
          <t xml:space="preserve">Mazda</t>
        </is>
      </c>
      <c r="G11333" s="0" t="s">
        <v>171</v>
      </c>
      <c r="H11333" s="5">
        <v>34.270800</v>
      </c>
    </row>
    <row r="11334" spans="1:9">
      <c r="A11334" s="22" t="str">
        <f>HYPERLINK("https://app.vivvix.com/360/KMI/IntelliDrive/ApplUI/Pages/CreativePages/CustomReportCreativeDetail.aspx?App=23&amp;ReportView=4&amp;Qid=1711279&amp;Row=11326&amp;Col=1","No Title Assigned - #15272427989")</f>
        <v/>
      </c>
      <c r="B11334" s="0" t="s">
        <v>15309</v>
      </c>
      <c r="E11334" s="0" t="inlineStr">
        <is>
          <t xml:space="preserve">Mazda</t>
        </is>
      </c>
      <c r="F11334" s="0" t="inlineStr">
        <is>
          <t xml:space="preserve">Mazda</t>
        </is>
      </c>
      <c r="G11334" s="0" t="s">
        <v>171</v>
      </c>
      <c r="H11334" s="5">
        <v>2.833200</v>
      </c>
    </row>
    <row r="11335" spans="1:9">
      <c r="A11335" s="22" t="str">
        <f>HYPERLINK("https://app.vivvix.com/360/KMI/IntelliDrive/ApplUI/Pages/CreativePages/CustomReportCreativeDetail.aspx?App=23&amp;ReportView=4&amp;Qid=1711279&amp;Row=11327&amp;Col=1","No Title Assigned - #15272435203")</f>
        <v/>
      </c>
      <c r="B11335" s="0" t="s">
        <v>15310</v>
      </c>
      <c r="E11335" s="0" t="inlineStr">
        <is>
          <t xml:space="preserve">Mazda</t>
        </is>
      </c>
      <c r="F11335" s="0" t="inlineStr">
        <is>
          <t xml:space="preserve">Mazda</t>
        </is>
      </c>
      <c r="G11335" s="0" t="s">
        <v>171</v>
      </c>
      <c r="H11335" s="5">
        <v>12.640400</v>
      </c>
    </row>
    <row r="11336" spans="1:9">
      <c r="A11336" s="22" t="str">
        <f>HYPERLINK("https://app.vivvix.com/360/KMI/IntelliDrive/ApplUI/Pages/CreativePages/CustomReportCreativeDetail.aspx?App=23&amp;ReportView=4&amp;Qid=1711279&amp;Row=11328&amp;Col=1","No Title Assigned - #15272435501")</f>
        <v/>
      </c>
      <c r="B11336" s="0" t="s">
        <v>15311</v>
      </c>
      <c r="E11336" s="0" t="inlineStr">
        <is>
          <t xml:space="preserve">Mazda</t>
        </is>
      </c>
      <c r="F11336" s="0" t="inlineStr">
        <is>
          <t xml:space="preserve">Mazda</t>
        </is>
      </c>
      <c r="G11336" s="0" t="s">
        <v>171</v>
      </c>
      <c r="H11336" s="5">
        <v>42.393200</v>
      </c>
    </row>
    <row r="11337" spans="1:9">
      <c r="A11337" s="22" t="str">
        <f>HYPERLINK("https://app.vivvix.com/360/KMI/IntelliDrive/ApplUI/Pages/CreativePages/CustomReportCreativeDetail.aspx?App=23&amp;ReportView=4&amp;Qid=1711279&amp;Row=11329&amp;Col=1","No Title Assigned - #15272436983")</f>
        <v/>
      </c>
      <c r="B11337" s="0" t="s">
        <v>15312</v>
      </c>
      <c r="E11337" s="0" t="inlineStr">
        <is>
          <t xml:space="preserve">Mazda</t>
        </is>
      </c>
      <c r="F11337" s="0" t="inlineStr">
        <is>
          <t xml:space="preserve">Mazda</t>
        </is>
      </c>
      <c r="G11337" s="0" t="s">
        <v>171</v>
      </c>
      <c r="H11337" s="5">
        <v>17.838300</v>
      </c>
    </row>
    <row r="11338" spans="1:9">
      <c r="A11338" s="22" t="str">
        <f>HYPERLINK("https://app.vivvix.com/360/KMI/IntelliDrive/ApplUI/Pages/CreativePages/CustomReportCreativeDetail.aspx?App=23&amp;ReportView=4&amp;Qid=1711279&amp;Row=11330&amp;Col=1","No Title Assigned - #15272437451")</f>
        <v/>
      </c>
      <c r="B11338" s="0" t="s">
        <v>15313</v>
      </c>
      <c r="E11338" s="0" t="inlineStr">
        <is>
          <t xml:space="preserve">Mazda</t>
        </is>
      </c>
      <c r="F11338" s="0" t="inlineStr">
        <is>
          <t xml:space="preserve">Mazda</t>
        </is>
      </c>
      <c r="G11338" s="0" t="s">
        <v>171</v>
      </c>
      <c r="H11338" s="5">
        <v>432.618800</v>
      </c>
    </row>
    <row r="11339" spans="1:9">
      <c r="A11339" s="22" t="str">
        <f>HYPERLINK("https://app.vivvix.com/360/KMI/IntelliDrive/ApplUI/Pages/CreativePages/CustomReportCreativeDetail.aspx?App=23&amp;ReportView=4&amp;Qid=1711279&amp;Row=11331&amp;Col=1","No Title Assigned - #15272439358")</f>
        <v/>
      </c>
      <c r="B11339" s="0" t="s">
        <v>15314</v>
      </c>
      <c r="E11339" s="0" t="inlineStr">
        <is>
          <t xml:space="preserve">Mazda</t>
        </is>
      </c>
      <c r="F11339" s="0" t="inlineStr">
        <is>
          <t xml:space="preserve">Mazda</t>
        </is>
      </c>
      <c r="G11339" s="0" t="s">
        <v>171</v>
      </c>
      <c r="H11339" s="5">
        <v>2.061000</v>
      </c>
    </row>
    <row r="11340" spans="1:9">
      <c r="A11340" s="22" t="str">
        <f>HYPERLINK("https://app.vivvix.com/360/KMI/IntelliDrive/ApplUI/Pages/CreativePages/CustomReportCreativeDetail.aspx?App=23&amp;ReportView=4&amp;Qid=1711279&amp;Row=11332&amp;Col=1","No Title Assigned - #15272439403")</f>
        <v/>
      </c>
      <c r="B11340" s="0" t="s">
        <v>15315</v>
      </c>
      <c r="E11340" s="0" t="inlineStr">
        <is>
          <t xml:space="preserve">Mazda</t>
        </is>
      </c>
      <c r="F11340" s="0" t="inlineStr">
        <is>
          <t xml:space="preserve">Mazda</t>
        </is>
      </c>
      <c r="G11340" s="0" t="s">
        <v>171</v>
      </c>
      <c r="H11340" s="5">
        <v>3.467400</v>
      </c>
    </row>
    <row r="11341" spans="1:9">
      <c r="A11341" s="22" t="str">
        <f>HYPERLINK("https://app.vivvix.com/360/KMI/IntelliDrive/ApplUI/Pages/CreativePages/CustomReportCreativeDetail.aspx?App=23&amp;ReportView=4&amp;Qid=1711279&amp;Row=11333&amp;Col=1","No Title Assigned - #15272441138")</f>
        <v/>
      </c>
      <c r="B11341" s="0" t="s">
        <v>15316</v>
      </c>
      <c r="E11341" s="0" t="inlineStr">
        <is>
          <t xml:space="preserve">Mazda</t>
        </is>
      </c>
      <c r="F11341" s="0" t="inlineStr">
        <is>
          <t xml:space="preserve">Mazda</t>
        </is>
      </c>
      <c r="G11341" s="0" t="s">
        <v>171</v>
      </c>
      <c r="H11341" s="5">
        <v>224.071700</v>
      </c>
    </row>
    <row r="11342" spans="1:9">
      <c r="A11342" s="22" t="str">
        <f>HYPERLINK("https://app.vivvix.com/360/KMI/IntelliDrive/ApplUI/Pages/CreativePages/CustomReportCreativeDetail.aspx?App=23&amp;ReportView=4&amp;Qid=1711279&amp;Row=11334&amp;Col=1","No Title Assigned - #15272441274")</f>
        <v/>
      </c>
      <c r="B11342" s="0" t="s">
        <v>15317</v>
      </c>
      <c r="E11342" s="0" t="inlineStr">
        <is>
          <t xml:space="preserve">Mazda</t>
        </is>
      </c>
      <c r="F11342" s="0" t="inlineStr">
        <is>
          <t xml:space="preserve">Mazda</t>
        </is>
      </c>
      <c r="G11342" s="0" t="s">
        <v>171</v>
      </c>
      <c r="H11342" s="5">
        <v>163.535200</v>
      </c>
    </row>
    <row r="11343" spans="1:9">
      <c r="A11343" s="22" t="str">
        <f>HYPERLINK("https://app.vivvix.com/360/KMI/IntelliDrive/ApplUI/Pages/CreativePages/CustomReportCreativeDetail.aspx?App=23&amp;ReportView=4&amp;Qid=1711279&amp;Row=11335&amp;Col=1","No Title Assigned - #15272443027")</f>
        <v/>
      </c>
      <c r="B11343" s="0" t="s">
        <v>15318</v>
      </c>
      <c r="E11343" s="0" t="inlineStr">
        <is>
          <t xml:space="preserve">Mazda</t>
        </is>
      </c>
      <c r="F11343" s="0" t="inlineStr">
        <is>
          <t xml:space="preserve">Mazda</t>
        </is>
      </c>
      <c r="G11343" s="0" t="s">
        <v>171</v>
      </c>
      <c r="H11343" s="5">
        <v>28.999400</v>
      </c>
    </row>
    <row r="11344" spans="1:9">
      <c r="A11344" s="22" t="str">
        <f>HYPERLINK("https://app.vivvix.com/360/KMI/IntelliDrive/ApplUI/Pages/CreativePages/CustomReportCreativeDetail.aspx?App=23&amp;ReportView=4&amp;Qid=1711279&amp;Row=11336&amp;Col=1","No Title Assigned - #15272452855")</f>
        <v/>
      </c>
      <c r="B11344" s="0" t="s">
        <v>15319</v>
      </c>
      <c r="E11344" s="0" t="inlineStr">
        <is>
          <t xml:space="preserve">Mazda</t>
        </is>
      </c>
      <c r="F11344" s="0" t="inlineStr">
        <is>
          <t xml:space="preserve">Mazda</t>
        </is>
      </c>
      <c r="G11344" s="0" t="s">
        <v>171</v>
      </c>
      <c r="H11344" s="5">
        <v>3.072200</v>
      </c>
    </row>
    <row r="11345" spans="1:9">
      <c r="A11345" s="22" t="str">
        <f>HYPERLINK("https://app.vivvix.com/360/KMI/IntelliDrive/ApplUI/Pages/CreativePages/CustomReportCreativeDetail.aspx?App=23&amp;ReportView=4&amp;Qid=1711279&amp;Row=11337&amp;Col=1","No Title Assigned - #15272456076")</f>
        <v/>
      </c>
      <c r="B11345" s="0" t="s">
        <v>15320</v>
      </c>
      <c r="E11345" s="0" t="inlineStr">
        <is>
          <t xml:space="preserve">Mazda</t>
        </is>
      </c>
      <c r="F11345" s="0" t="inlineStr">
        <is>
          <t xml:space="preserve">Mazda</t>
        </is>
      </c>
      <c r="G11345" s="0" t="s">
        <v>171</v>
      </c>
      <c r="H11345" s="5">
        <v>501.966300</v>
      </c>
    </row>
    <row r="11346" spans="1:9">
      <c r="A11346" s="22" t="str">
        <f>HYPERLINK("https://app.vivvix.com/360/KMI/IntelliDrive/ApplUI/Pages/CreativePages/CustomReportCreativeDetail.aspx?App=23&amp;ReportView=4&amp;Qid=1711279&amp;Row=11338&amp;Col=1","No Title Assigned - #15272456076")</f>
        <v/>
      </c>
      <c r="B11346" s="0" t="s">
        <v>15320</v>
      </c>
      <c r="E11346" s="0" t="inlineStr">
        <is>
          <t xml:space="preserve">Mazda</t>
        </is>
      </c>
      <c r="F11346" s="0" t="inlineStr">
        <is>
          <t xml:space="preserve">Mazda</t>
        </is>
      </c>
      <c r="G11346" s="0" t="s">
        <v>171</v>
      </c>
      <c r="H11346" s="5">
        <v>406.242800</v>
      </c>
    </row>
    <row r="11347" spans="1:9">
      <c r="A11347" s="22" t="str">
        <f>HYPERLINK("https://app.vivvix.com/360/KMI/IntelliDrive/ApplUI/Pages/CreativePages/CustomReportCreativeDetail.aspx?App=23&amp;ReportView=4&amp;Qid=1711279&amp;Row=11339&amp;Col=1","No Title Assigned - #15272456326")</f>
        <v/>
      </c>
      <c r="B11347" s="0" t="s">
        <v>15321</v>
      </c>
      <c r="C11347" s="0" t="s">
        <v>15322</v>
      </c>
      <c r="D11347" s="0" t="s">
        <v>15322</v>
      </c>
      <c r="E11347" s="0" t="inlineStr">
        <is>
          <t xml:space="preserve">Mazda</t>
        </is>
      </c>
      <c r="F11347" s="0" t="inlineStr">
        <is>
          <t xml:space="preserve">Mazda</t>
        </is>
      </c>
      <c r="G11347" s="0" t="s">
        <v>171</v>
      </c>
      <c r="H11347" s="5">
        <v>40.335800</v>
      </c>
    </row>
    <row r="11348" spans="1:9">
      <c r="A11348" s="22" t="str">
        <f>HYPERLINK("https://app.vivvix.com/360/KMI/IntelliDrive/ApplUI/Pages/CreativePages/CustomReportCreativeDetail.aspx?App=23&amp;ReportView=4&amp;Qid=1711279&amp;Row=11340&amp;Col=1","No Title Assigned - #15272456944")</f>
        <v/>
      </c>
      <c r="B11348" s="0" t="s">
        <v>15323</v>
      </c>
      <c r="E11348" s="0" t="inlineStr">
        <is>
          <t xml:space="preserve">Mazda</t>
        </is>
      </c>
      <c r="F11348" s="0" t="inlineStr">
        <is>
          <t xml:space="preserve">Mazda</t>
        </is>
      </c>
      <c r="G11348" s="0" t="s">
        <v>171</v>
      </c>
      <c r="H11348" s="5">
        <v>8.757900</v>
      </c>
    </row>
    <row r="11349" spans="1:9">
      <c r="A11349" s="22" t="str">
        <f>HYPERLINK("https://app.vivvix.com/360/KMI/IntelliDrive/ApplUI/Pages/CreativePages/CustomReportCreativeDetail.aspx?App=23&amp;ReportView=4&amp;Qid=1711279&amp;Row=11341&amp;Col=1","No Title Assigned - #15272459625")</f>
        <v/>
      </c>
      <c r="B11349" s="0" t="s">
        <v>15324</v>
      </c>
      <c r="E11349" s="0" t="inlineStr">
        <is>
          <t xml:space="preserve">Mazda</t>
        </is>
      </c>
      <c r="F11349" s="0" t="inlineStr">
        <is>
          <t xml:space="preserve">Mazda</t>
        </is>
      </c>
      <c r="G11349" s="0" t="s">
        <v>171</v>
      </c>
      <c r="H11349" s="5">
        <v>349.346800</v>
      </c>
    </row>
    <row r="11350" spans="1:9">
      <c r="A11350" s="22" t="str">
        <f>HYPERLINK("https://app.vivvix.com/360/KMI/IntelliDrive/ApplUI/Pages/CreativePages/CustomReportCreativeDetail.aspx?App=23&amp;ReportView=4&amp;Qid=1711279&amp;Row=11342&amp;Col=1","No Title Assigned - #15272460028")</f>
        <v/>
      </c>
      <c r="B11350" s="0" t="s">
        <v>15325</v>
      </c>
      <c r="E11350" s="0" t="inlineStr">
        <is>
          <t xml:space="preserve">Mazda</t>
        </is>
      </c>
      <c r="F11350" s="0" t="inlineStr">
        <is>
          <t xml:space="preserve">Mazda</t>
        </is>
      </c>
      <c r="G11350" s="0" t="s">
        <v>171</v>
      </c>
      <c r="H11350" s="5">
        <v>75.915000</v>
      </c>
    </row>
    <row r="11351" spans="1:9">
      <c r="A11351" s="22" t="str">
        <f>HYPERLINK("https://app.vivvix.com/360/KMI/IntelliDrive/ApplUI/Pages/CreativePages/CustomReportCreativeDetail.aspx?App=23&amp;ReportView=4&amp;Qid=1711279&amp;Row=11343&amp;Col=1","No Title Assigned - #15272461118")</f>
        <v/>
      </c>
      <c r="B11351" s="0" t="s">
        <v>15326</v>
      </c>
      <c r="E11351" s="0" t="inlineStr">
        <is>
          <t xml:space="preserve">Mazda</t>
        </is>
      </c>
      <c r="F11351" s="0" t="inlineStr">
        <is>
          <t xml:space="preserve">Mazda</t>
        </is>
      </c>
      <c r="G11351" s="0" t="s">
        <v>171</v>
      </c>
      <c r="H11351" s="5">
        <v>5397.033200</v>
      </c>
    </row>
    <row r="11352" spans="1:9">
      <c r="A11352" s="22" t="str">
        <f>HYPERLINK("https://app.vivvix.com/360/KMI/IntelliDrive/ApplUI/Pages/CreativePages/CustomReportCreativeDetail.aspx?App=23&amp;ReportView=4&amp;Qid=1711279&amp;Row=11344&amp;Col=1","No Title Assigned - #15272461662")</f>
        <v/>
      </c>
      <c r="B11352" s="0" t="s">
        <v>15327</v>
      </c>
      <c r="E11352" s="0" t="inlineStr">
        <is>
          <t xml:space="preserve">Mazda</t>
        </is>
      </c>
      <c r="F11352" s="0" t="inlineStr">
        <is>
          <t xml:space="preserve">Mazda</t>
        </is>
      </c>
      <c r="G11352" s="0" t="s">
        <v>171</v>
      </c>
      <c r="H11352" s="5">
        <v>19.802100</v>
      </c>
    </row>
    <row r="11353" spans="1:9">
      <c r="A11353" s="22" t="str">
        <f>HYPERLINK("https://app.vivvix.com/360/KMI/IntelliDrive/ApplUI/Pages/CreativePages/CustomReportCreativeDetail.aspx?App=23&amp;ReportView=4&amp;Qid=1711279&amp;Row=11345&amp;Col=1","No Title Assigned - #15272461823")</f>
        <v/>
      </c>
      <c r="B11353" s="0" t="s">
        <v>15328</v>
      </c>
      <c r="E11353" s="0" t="inlineStr">
        <is>
          <t xml:space="preserve">Mazda</t>
        </is>
      </c>
      <c r="F11353" s="0" t="inlineStr">
        <is>
          <t xml:space="preserve">Mazda</t>
        </is>
      </c>
      <c r="G11353" s="0" t="s">
        <v>171</v>
      </c>
      <c r="H11353" s="5">
        <v>20.007200</v>
      </c>
    </row>
    <row r="11354" spans="1:9">
      <c r="A11354" s="22" t="str">
        <f>HYPERLINK("https://app.vivvix.com/360/KMI/IntelliDrive/ApplUI/Pages/CreativePages/CustomReportCreativeDetail.aspx?App=23&amp;ReportView=4&amp;Qid=1711279&amp;Row=11346&amp;Col=1","No Title Assigned - #15272461865")</f>
        <v/>
      </c>
      <c r="B11354" s="0" t="s">
        <v>15329</v>
      </c>
      <c r="C11354" s="0" t="s">
        <v>15330</v>
      </c>
      <c r="D11354" s="0" t="s">
        <v>15330</v>
      </c>
      <c r="E11354" s="0" t="inlineStr">
        <is>
          <t xml:space="preserve">Mazda</t>
        </is>
      </c>
      <c r="F11354" s="0" t="inlineStr">
        <is>
          <t xml:space="preserve">Mazda</t>
        </is>
      </c>
      <c r="G11354" s="0" t="s">
        <v>171</v>
      </c>
      <c r="H11354" s="5">
        <v>36.966900</v>
      </c>
    </row>
    <row r="11355" spans="1:9">
      <c r="A11355" s="22" t="str">
        <f>HYPERLINK("https://app.vivvix.com/360/KMI/IntelliDrive/ApplUI/Pages/CreativePages/CustomReportCreativeDetail.aspx?App=23&amp;ReportView=4&amp;Qid=1711279&amp;Row=11347&amp;Col=1","No Title Assigned - #15272461873")</f>
        <v/>
      </c>
      <c r="B11355" s="0" t="s">
        <v>15331</v>
      </c>
      <c r="E11355" s="0" t="inlineStr">
        <is>
          <t xml:space="preserve">Mazda</t>
        </is>
      </c>
      <c r="F11355" s="0" t="inlineStr">
        <is>
          <t xml:space="preserve">Mazda</t>
        </is>
      </c>
      <c r="G11355" s="0" t="s">
        <v>171</v>
      </c>
      <c r="H11355" s="5">
        <v>26.897600</v>
      </c>
    </row>
    <row r="11356" spans="1:9">
      <c r="A11356" s="22" t="str">
        <f>HYPERLINK("https://app.vivvix.com/360/KMI/IntelliDrive/ApplUI/Pages/CreativePages/CustomReportCreativeDetail.aspx?App=23&amp;ReportView=4&amp;Qid=1711279&amp;Row=11348&amp;Col=1","No Title Assigned - #15272465363")</f>
        <v/>
      </c>
      <c r="B11356" s="0" t="s">
        <v>15332</v>
      </c>
      <c r="E11356" s="0" t="inlineStr">
        <is>
          <t xml:space="preserve">Mazda</t>
        </is>
      </c>
      <c r="F11356" s="0" t="inlineStr">
        <is>
          <t xml:space="preserve">Mazda</t>
        </is>
      </c>
      <c r="G11356" s="0" t="s">
        <v>171</v>
      </c>
      <c r="H11356" s="5">
        <v>1.350900</v>
      </c>
    </row>
    <row r="11357" spans="1:9">
      <c r="A11357" s="22" t="str">
        <f>HYPERLINK("https://app.vivvix.com/360/KMI/IntelliDrive/ApplUI/Pages/CreativePages/CustomReportCreativeDetail.aspx?App=23&amp;ReportView=4&amp;Qid=1711279&amp;Row=11349&amp;Col=1","No Title Assigned - #15272466030")</f>
        <v/>
      </c>
      <c r="B11357" s="0" t="s">
        <v>15333</v>
      </c>
      <c r="E11357" s="0" t="inlineStr">
        <is>
          <t xml:space="preserve">Mazda</t>
        </is>
      </c>
      <c r="F11357" s="0" t="inlineStr">
        <is>
          <t xml:space="preserve">Mazda</t>
        </is>
      </c>
      <c r="G11357" s="0" t="s">
        <v>171</v>
      </c>
      <c r="H11357" s="5">
        <v>542.103200</v>
      </c>
    </row>
    <row r="11358" spans="1:9">
      <c r="A11358" s="22" t="str">
        <f>HYPERLINK("https://app.vivvix.com/360/KMI/IntelliDrive/ApplUI/Pages/CreativePages/CustomReportCreativeDetail.aspx?App=23&amp;ReportView=4&amp;Qid=1711279&amp;Row=11350&amp;Col=1","No Title Assigned - #15272466592")</f>
        <v/>
      </c>
      <c r="B11358" s="0" t="s">
        <v>15334</v>
      </c>
      <c r="E11358" s="0" t="inlineStr">
        <is>
          <t xml:space="preserve">Mazda</t>
        </is>
      </c>
      <c r="F11358" s="0" t="inlineStr">
        <is>
          <t xml:space="preserve">Mazda</t>
        </is>
      </c>
      <c r="G11358" s="0" t="s">
        <v>171</v>
      </c>
      <c r="H11358" s="5">
        <v>16.462800</v>
      </c>
    </row>
    <row r="11359" spans="1:9">
      <c r="A11359" s="22" t="str">
        <f>HYPERLINK("https://app.vivvix.com/360/KMI/IntelliDrive/ApplUI/Pages/CreativePages/CustomReportCreativeDetail.aspx?App=23&amp;ReportView=4&amp;Qid=1711279&amp;Row=11351&amp;Col=1","No Title Assigned - #15272466758")</f>
        <v/>
      </c>
      <c r="B11359" s="0" t="s">
        <v>15335</v>
      </c>
      <c r="E11359" s="0" t="inlineStr">
        <is>
          <t xml:space="preserve">Mazda</t>
        </is>
      </c>
      <c r="F11359" s="0" t="inlineStr">
        <is>
          <t xml:space="preserve">Mazda</t>
        </is>
      </c>
      <c r="G11359" s="0" t="s">
        <v>171</v>
      </c>
      <c r="H11359" s="5">
        <v>1.155800</v>
      </c>
    </row>
    <row r="11360" spans="1:9">
      <c r="A11360" s="22" t="str">
        <f>HYPERLINK("https://app.vivvix.com/360/KMI/IntelliDrive/ApplUI/Pages/CreativePages/CustomReportCreativeDetail.aspx?App=23&amp;ReportView=4&amp;Qid=1711279&amp;Row=11352&amp;Col=1","No Title Assigned - #15272466818")</f>
        <v/>
      </c>
      <c r="B11360" s="0" t="s">
        <v>15336</v>
      </c>
      <c r="C11360" s="0" t="s">
        <v>15337</v>
      </c>
      <c r="D11360" s="0" t="s">
        <v>15337</v>
      </c>
      <c r="E11360" s="0" t="inlineStr">
        <is>
          <t xml:space="preserve">Mazda</t>
        </is>
      </c>
      <c r="F11360" s="0" t="s">
        <v>13</v>
      </c>
      <c r="G11360" s="0" t="s">
        <v>49</v>
      </c>
      <c r="H11360" s="5">
        <v>11.260700</v>
      </c>
    </row>
    <row r="11361" spans="1:9">
      <c r="A11361" s="22" t="str">
        <f>HYPERLINK("https://app.vivvix.com/360/KMI/IntelliDrive/ApplUI/Pages/CreativePages/CustomReportCreativeDetail.aspx?App=23&amp;ReportView=4&amp;Qid=1711279&amp;Row=11353&amp;Col=1","No Title Assigned - #15272467381")</f>
        <v/>
      </c>
      <c r="B11361" s="0" t="s">
        <v>15338</v>
      </c>
      <c r="E11361" s="0" t="inlineStr">
        <is>
          <t xml:space="preserve">Mazda</t>
        </is>
      </c>
      <c r="F11361" s="0" t="inlineStr">
        <is>
          <t xml:space="preserve">Mazda</t>
        </is>
      </c>
      <c r="G11361" s="0" t="s">
        <v>171</v>
      </c>
      <c r="H11361" s="5">
        <v>1.350900</v>
      </c>
    </row>
    <row r="11362" spans="1:9">
      <c r="A11362" s="22" t="str">
        <f>HYPERLINK("https://app.vivvix.com/360/KMI/IntelliDrive/ApplUI/Pages/CreativePages/CustomReportCreativeDetail.aspx?App=23&amp;ReportView=4&amp;Qid=1711279&amp;Row=11354&amp;Col=1","No Title Assigned - #15272468465")</f>
        <v/>
      </c>
      <c r="B11362" s="0" t="s">
        <v>15339</v>
      </c>
      <c r="E11362" s="0" t="inlineStr">
        <is>
          <t xml:space="preserve">Mazda</t>
        </is>
      </c>
      <c r="F11362" s="0" t="inlineStr">
        <is>
          <t xml:space="preserve">Mazda</t>
        </is>
      </c>
      <c r="G11362" s="0" t="s">
        <v>171</v>
      </c>
      <c r="H11362" s="5">
        <v>7665.964400</v>
      </c>
    </row>
    <row r="11363" spans="1:9">
      <c r="A11363" s="22" t="str">
        <f>HYPERLINK("https://app.vivvix.com/360/KMI/IntelliDrive/ApplUI/Pages/CreativePages/CustomReportCreativeDetail.aspx?App=23&amp;ReportView=4&amp;Qid=1711279&amp;Row=11355&amp;Col=1","No Title Assigned - #15272469158")</f>
        <v/>
      </c>
      <c r="B11363" s="0" t="s">
        <v>15340</v>
      </c>
      <c r="E11363" s="0" t="inlineStr">
        <is>
          <t xml:space="preserve">Mazda</t>
        </is>
      </c>
      <c r="F11363" s="0" t="inlineStr">
        <is>
          <t xml:space="preserve">Mazda</t>
        </is>
      </c>
      <c r="G11363" s="0" t="s">
        <v>171</v>
      </c>
      <c r="H11363" s="5">
        <v>369.363300</v>
      </c>
    </row>
    <row r="11364" spans="1:9">
      <c r="A11364" s="22" t="str">
        <f>HYPERLINK("https://app.vivvix.com/360/KMI/IntelliDrive/ApplUI/Pages/CreativePages/CustomReportCreativeDetail.aspx?App=23&amp;ReportView=4&amp;Qid=1711279&amp;Row=11356&amp;Col=1","No Title Assigned - #15272469158")</f>
        <v/>
      </c>
      <c r="B11364" s="0" t="s">
        <v>15340</v>
      </c>
      <c r="E11364" s="0" t="inlineStr">
        <is>
          <t xml:space="preserve">Mazda</t>
        </is>
      </c>
      <c r="F11364" s="0" t="inlineStr">
        <is>
          <t xml:space="preserve">Mazda</t>
        </is>
      </c>
      <c r="G11364" s="0" t="s">
        <v>171</v>
      </c>
      <c r="H11364" s="5">
        <v>74.028000</v>
      </c>
    </row>
    <row r="11365" spans="1:9">
      <c r="A11365" s="22" t="str">
        <f>HYPERLINK("https://app.vivvix.com/360/KMI/IntelliDrive/ApplUI/Pages/CreativePages/CustomReportCreativeDetail.aspx?App=23&amp;ReportView=4&amp;Qid=1711279&amp;Row=11357&amp;Col=1","No Title Assigned - #15272469194")</f>
        <v/>
      </c>
      <c r="B11365" s="0" t="s">
        <v>15341</v>
      </c>
      <c r="E11365" s="0" t="inlineStr">
        <is>
          <t xml:space="preserve">Mazda</t>
        </is>
      </c>
      <c r="F11365" s="0" t="inlineStr">
        <is>
          <t xml:space="preserve">Mazda</t>
        </is>
      </c>
      <c r="G11365" s="0" t="s">
        <v>171</v>
      </c>
      <c r="H11365" s="5">
        <v>7603.954200</v>
      </c>
    </row>
    <row r="11366" spans="1:9">
      <c r="A11366" s="22" t="str">
        <f>HYPERLINK("https://app.vivvix.com/360/KMI/IntelliDrive/ApplUI/Pages/CreativePages/CustomReportCreativeDetail.aspx?App=23&amp;ReportView=4&amp;Qid=1711279&amp;Row=11358&amp;Col=1","No Title Assigned - #15272469587")</f>
        <v/>
      </c>
      <c r="B11366" s="0" t="s">
        <v>15342</v>
      </c>
      <c r="E11366" s="0" t="inlineStr">
        <is>
          <t xml:space="preserve">Mazda</t>
        </is>
      </c>
      <c r="F11366" s="0" t="inlineStr">
        <is>
          <t xml:space="preserve">Mazda</t>
        </is>
      </c>
      <c r="G11366" s="0" t="s">
        <v>171</v>
      </c>
      <c r="H11366" s="5">
        <v>47.438000</v>
      </c>
    </row>
    <row r="11367" spans="1:9">
      <c r="A11367" s="22" t="str">
        <f>HYPERLINK("https://app.vivvix.com/360/KMI/IntelliDrive/ApplUI/Pages/CreativePages/CustomReportCreativeDetail.aspx?App=23&amp;ReportView=4&amp;Qid=1711279&amp;Row=11359&amp;Col=1","No Title Assigned - #15272470194")</f>
        <v/>
      </c>
      <c r="B11367" s="0" t="s">
        <v>15343</v>
      </c>
      <c r="E11367" s="0" t="inlineStr">
        <is>
          <t xml:space="preserve">Mazda</t>
        </is>
      </c>
      <c r="F11367" s="0" t="inlineStr">
        <is>
          <t xml:space="preserve">Mazda</t>
        </is>
      </c>
      <c r="G11367" s="0" t="s">
        <v>171</v>
      </c>
      <c r="H11367" s="5">
        <v>16.698100</v>
      </c>
    </row>
    <row r="11368" spans="1:9">
      <c r="A11368" s="22" t="str">
        <f>HYPERLINK("https://app.vivvix.com/360/KMI/IntelliDrive/ApplUI/Pages/CreativePages/CustomReportCreativeDetail.aspx?App=23&amp;ReportView=4&amp;Qid=1711279&amp;Row=11360&amp;Col=1","No Title Assigned - #15272470278")</f>
        <v/>
      </c>
      <c r="B11368" s="0" t="s">
        <v>15344</v>
      </c>
      <c r="E11368" s="0" t="inlineStr">
        <is>
          <t xml:space="preserve">Mazda</t>
        </is>
      </c>
      <c r="F11368" s="0" t="inlineStr">
        <is>
          <t xml:space="preserve">Mazda</t>
        </is>
      </c>
      <c r="G11368" s="0" t="s">
        <v>171</v>
      </c>
      <c r="H11368" s="5">
        <v>165.641200</v>
      </c>
    </row>
    <row r="11369" spans="1:9">
      <c r="A11369" s="22" t="str">
        <f>HYPERLINK("https://app.vivvix.com/360/KMI/IntelliDrive/ApplUI/Pages/CreativePages/CustomReportCreativeDetail.aspx?App=23&amp;ReportView=4&amp;Qid=1711279&amp;Row=11361&amp;Col=1","No Title Assigned - #15272470452")</f>
        <v/>
      </c>
      <c r="B11369" s="0" t="s">
        <v>15345</v>
      </c>
      <c r="C11369" s="0" t="s">
        <v>15346</v>
      </c>
      <c r="D11369" s="0" t="s">
        <v>15346</v>
      </c>
      <c r="E11369" s="0" t="inlineStr">
        <is>
          <t xml:space="preserve">Mazda</t>
        </is>
      </c>
      <c r="F11369" s="0" t="inlineStr">
        <is>
          <t xml:space="preserve">Mazda</t>
        </is>
      </c>
      <c r="G11369" s="0" t="s">
        <v>171</v>
      </c>
      <c r="H11369" s="5">
        <v>116.766800</v>
      </c>
    </row>
    <row r="11370" spans="1:9">
      <c r="A11370" s="22" t="str">
        <f>HYPERLINK("https://app.vivvix.com/360/KMI/IntelliDrive/ApplUI/Pages/CreativePages/CustomReportCreativeDetail.aspx?App=23&amp;ReportView=4&amp;Qid=1711279&amp;Row=11362&amp;Col=1","No Title Assigned - #15272470804")</f>
        <v/>
      </c>
      <c r="B11370" s="0" t="s">
        <v>15347</v>
      </c>
      <c r="E11370" s="0" t="inlineStr">
        <is>
          <t xml:space="preserve">Mazda</t>
        </is>
      </c>
      <c r="F11370" s="0" t="inlineStr">
        <is>
          <t xml:space="preserve">Mazda</t>
        </is>
      </c>
      <c r="G11370" s="0" t="s">
        <v>171</v>
      </c>
      <c r="H11370" s="5">
        <v>7.631000</v>
      </c>
    </row>
    <row r="11371" spans="1:9">
      <c r="A11371" s="22" t="str">
        <f>HYPERLINK("https://app.vivvix.com/360/KMI/IntelliDrive/ApplUI/Pages/CreativePages/CustomReportCreativeDetail.aspx?App=23&amp;ReportView=4&amp;Qid=1711279&amp;Row=11363&amp;Col=1","No Title Assigned - #15272470822")</f>
        <v/>
      </c>
      <c r="B11371" s="0" t="s">
        <v>15348</v>
      </c>
      <c r="E11371" s="0" t="inlineStr">
        <is>
          <t xml:space="preserve">Mazda</t>
        </is>
      </c>
      <c r="F11371" s="0" t="inlineStr">
        <is>
          <t xml:space="preserve">Mazda</t>
        </is>
      </c>
      <c r="G11371" s="0" t="s">
        <v>171</v>
      </c>
      <c r="H11371" s="5">
        <v>11.608200</v>
      </c>
    </row>
    <row r="11372" spans="1:9">
      <c r="A11372" s="22" t="str">
        <f>HYPERLINK("https://app.vivvix.com/360/KMI/IntelliDrive/ApplUI/Pages/CreativePages/CustomReportCreativeDetail.aspx?App=23&amp;ReportView=4&amp;Qid=1711279&amp;Row=11364&amp;Col=1","No Title Assigned - #15272471535")</f>
        <v/>
      </c>
      <c r="B11372" s="0" t="s">
        <v>15349</v>
      </c>
      <c r="E11372" s="0" t="inlineStr">
        <is>
          <t xml:space="preserve">Mazda</t>
        </is>
      </c>
      <c r="F11372" s="0" t="inlineStr">
        <is>
          <t xml:space="preserve">Mazda</t>
        </is>
      </c>
      <c r="G11372" s="0" t="s">
        <v>171</v>
      </c>
      <c r="H11372" s="5">
        <v>166.493900</v>
      </c>
    </row>
    <row r="11373" spans="1:9">
      <c r="A11373" s="22" t="str">
        <f>HYPERLINK("https://app.vivvix.com/360/KMI/IntelliDrive/ApplUI/Pages/CreativePages/CustomReportCreativeDetail.aspx?App=23&amp;ReportView=4&amp;Qid=1711279&amp;Row=11365&amp;Col=1","No Title Assigned - #15272471627")</f>
        <v/>
      </c>
      <c r="B11373" s="0" t="s">
        <v>15350</v>
      </c>
      <c r="C11373" s="0" t="s">
        <v>15351</v>
      </c>
      <c r="D11373" s="0" t="s">
        <v>15351</v>
      </c>
      <c r="E11373" s="0" t="inlineStr">
        <is>
          <t xml:space="preserve">Mazda</t>
        </is>
      </c>
      <c r="F11373" s="0" t="inlineStr">
        <is>
          <t xml:space="preserve">Mazda</t>
        </is>
      </c>
      <c r="G11373" s="0" t="s">
        <v>171</v>
      </c>
      <c r="H11373" s="5">
        <v>16663.795900</v>
      </c>
    </row>
    <row r="11374" spans="1:9">
      <c r="A11374" s="22" t="str">
        <f>HYPERLINK("https://app.vivvix.com/360/KMI/IntelliDrive/ApplUI/Pages/CreativePages/CustomReportCreativeDetail.aspx?App=23&amp;ReportView=4&amp;Qid=1711279&amp;Row=11366&amp;Col=1","No Title Assigned - #15272472250")</f>
        <v/>
      </c>
      <c r="B11374" s="0" t="s">
        <v>15352</v>
      </c>
      <c r="C11374" s="0" t="s">
        <v>15353</v>
      </c>
      <c r="D11374" s="0" t="s">
        <v>15353</v>
      </c>
      <c r="E11374" s="0" t="inlineStr">
        <is>
          <t xml:space="preserve">Mazda</t>
        </is>
      </c>
      <c r="F11374" s="0" t="s">
        <v>28</v>
      </c>
      <c r="G11374" s="0" t="s">
        <v>29</v>
      </c>
      <c r="H11374" s="5">
        <v>84.812800</v>
      </c>
    </row>
    <row r="11375" spans="1:9">
      <c r="A11375" s="22" t="str">
        <f>HYPERLINK("https://app.vivvix.com/360/KMI/IntelliDrive/ApplUI/Pages/CreativePages/CustomReportCreativeDetail.aspx?App=23&amp;ReportView=4&amp;Qid=1711279&amp;Row=11367&amp;Col=1","No Title Assigned - #15272472392")</f>
        <v/>
      </c>
      <c r="B11375" s="0" t="s">
        <v>15354</v>
      </c>
      <c r="C11375" s="0" t="s">
        <v>15355</v>
      </c>
      <c r="D11375" s="0" t="s">
        <v>15355</v>
      </c>
      <c r="E11375" s="0" t="inlineStr">
        <is>
          <t xml:space="preserve">Mazda</t>
        </is>
      </c>
      <c r="F11375" s="0" t="s">
        <v>13</v>
      </c>
      <c r="G11375" s="0" t="s">
        <v>49</v>
      </c>
      <c r="H11375" s="5">
        <v>129.731900</v>
      </c>
    </row>
    <row r="11376" spans="1:9">
      <c r="A11376" s="22" t="str">
        <f>HYPERLINK("https://app.vivvix.com/360/KMI/IntelliDrive/ApplUI/Pages/CreativePages/CustomReportCreativeDetail.aspx?App=23&amp;ReportView=4&amp;Qid=1711279&amp;Row=11368&amp;Col=1","No Title Assigned - #15272472393")</f>
        <v/>
      </c>
      <c r="B11376" s="0" t="s">
        <v>15356</v>
      </c>
      <c r="C11376" s="0" t="s">
        <v>15357</v>
      </c>
      <c r="D11376" s="0" t="s">
        <v>15357</v>
      </c>
      <c r="E11376" s="0" t="inlineStr">
        <is>
          <t xml:space="preserve">Mazda</t>
        </is>
      </c>
      <c r="F11376" s="0" t="s">
        <v>13</v>
      </c>
      <c r="G11376" s="0" t="s">
        <v>49</v>
      </c>
      <c r="H11376" s="5">
        <v>7.762500</v>
      </c>
    </row>
    <row r="11377" spans="1:9">
      <c r="A11377" s="22" t="str">
        <f>HYPERLINK("https://app.vivvix.com/360/KMI/IntelliDrive/ApplUI/Pages/CreativePages/CustomReportCreativeDetail.aspx?App=23&amp;ReportView=4&amp;Qid=1711279&amp;Row=11369&amp;Col=1","No Title Assigned - #15272472938")</f>
        <v/>
      </c>
      <c r="B11377" s="0" t="s">
        <v>15358</v>
      </c>
      <c r="E11377" s="0" t="inlineStr">
        <is>
          <t xml:space="preserve">Mazda</t>
        </is>
      </c>
      <c r="F11377" s="0" t="s">
        <v>13</v>
      </c>
      <c r="G11377" s="0" t="s">
        <v>49</v>
      </c>
      <c r="H11377" s="5">
        <v>897.021700</v>
      </c>
    </row>
    <row r="11378" spans="1:9">
      <c r="A11378" s="22" t="str">
        <f>HYPERLINK("https://app.vivvix.com/360/KMI/IntelliDrive/ApplUI/Pages/CreativePages/CustomReportCreativeDetail.aspx?App=23&amp;ReportView=4&amp;Qid=1711279&amp;Row=11370&amp;Col=1","No Title Assigned - #15272472938")</f>
        <v/>
      </c>
      <c r="B11378" s="0" t="s">
        <v>15358</v>
      </c>
      <c r="E11378" s="0" t="inlineStr">
        <is>
          <t xml:space="preserve">Mazda</t>
        </is>
      </c>
      <c r="F11378" s="0" t="s">
        <v>13</v>
      </c>
      <c r="G11378" s="0" t="s">
        <v>49</v>
      </c>
      <c r="H11378" s="5">
        <v>109.564100</v>
      </c>
    </row>
    <row r="11379" spans="1:9">
      <c r="A11379" s="22" t="str">
        <f>HYPERLINK("https://app.vivvix.com/360/KMI/IntelliDrive/ApplUI/Pages/CreativePages/CustomReportCreativeDetail.aspx?App=23&amp;ReportView=4&amp;Qid=1711279&amp;Row=11371&amp;Col=1","No Title Assigned - #15272473160")</f>
        <v/>
      </c>
      <c r="B11379" s="0" t="s">
        <v>15359</v>
      </c>
      <c r="E11379" s="0" t="inlineStr">
        <is>
          <t xml:space="preserve">Mazda</t>
        </is>
      </c>
      <c r="F11379" s="0" t="s">
        <v>13</v>
      </c>
      <c r="G11379" s="0" t="s">
        <v>49</v>
      </c>
      <c r="H11379" s="5">
        <v>843.179600</v>
      </c>
    </row>
    <row r="11380" spans="1:9">
      <c r="A11380" s="22" t="str">
        <f>HYPERLINK("https://app.vivvix.com/360/KMI/IntelliDrive/ApplUI/Pages/CreativePages/CustomReportCreativeDetail.aspx?App=23&amp;ReportView=4&amp;Qid=1711279&amp;Row=11372&amp;Col=1","No Title Assigned - #15272473160")</f>
        <v/>
      </c>
      <c r="B11380" s="0" t="s">
        <v>15359</v>
      </c>
      <c r="E11380" s="0" t="inlineStr">
        <is>
          <t xml:space="preserve">Mazda</t>
        </is>
      </c>
      <c r="F11380" s="0" t="s">
        <v>13</v>
      </c>
      <c r="G11380" s="0" t="s">
        <v>49</v>
      </c>
      <c r="H11380" s="5">
        <v>1632.675500</v>
      </c>
    </row>
    <row r="11381" spans="1:9">
      <c r="A11381" s="22" t="str">
        <f>HYPERLINK("https://app.vivvix.com/360/KMI/IntelliDrive/ApplUI/Pages/CreativePages/CustomReportCreativeDetail.aspx?App=23&amp;ReportView=4&amp;Qid=1711279&amp;Row=11373&amp;Col=1","No Title Assigned - #15272474495")</f>
        <v/>
      </c>
      <c r="B11381" s="0" t="s">
        <v>15360</v>
      </c>
      <c r="C11381" s="0" t="s">
        <v>15361</v>
      </c>
      <c r="D11381" s="0" t="s">
        <v>15361</v>
      </c>
      <c r="E11381" s="0" t="inlineStr">
        <is>
          <t xml:space="preserve">Mazda</t>
        </is>
      </c>
      <c r="F11381" s="0" t="s">
        <v>13</v>
      </c>
      <c r="G11381" s="0" t="s">
        <v>49</v>
      </c>
      <c r="H11381" s="5">
        <v>224.557100</v>
      </c>
    </row>
    <row r="11382" spans="1:9">
      <c r="A11382" s="22" t="str">
        <f>HYPERLINK("https://app.vivvix.com/360/KMI/IntelliDrive/ApplUI/Pages/CreativePages/CustomReportCreativeDetail.aspx?App=23&amp;ReportView=4&amp;Qid=1711279&amp;Row=11374&amp;Col=1","No Title Assigned - #15272474692")</f>
        <v/>
      </c>
      <c r="B11382" s="0" t="s">
        <v>15362</v>
      </c>
      <c r="C11382" s="0" t="s">
        <v>15363</v>
      </c>
      <c r="D11382" s="0" t="s">
        <v>15363</v>
      </c>
      <c r="E11382" s="0" t="inlineStr">
        <is>
          <t xml:space="preserve">Mazda</t>
        </is>
      </c>
      <c r="F11382" s="0" t="s">
        <v>28</v>
      </c>
      <c r="G11382" s="0" t="s">
        <v>29</v>
      </c>
      <c r="H11382" s="5">
        <v>96.076400</v>
      </c>
    </row>
    <row r="11383" spans="1:9">
      <c r="A11383" s="22" t="str">
        <f>HYPERLINK("https://app.vivvix.com/360/KMI/IntelliDrive/ApplUI/Pages/CreativePages/CustomReportCreativeDetail.aspx?App=23&amp;ReportView=4&amp;Qid=1711279&amp;Row=11375&amp;Col=1","No Title Assigned - #15272474722")</f>
        <v/>
      </c>
      <c r="B11383" s="0" t="s">
        <v>15364</v>
      </c>
      <c r="C11383" s="0" t="s">
        <v>15365</v>
      </c>
      <c r="D11383" s="0" t="s">
        <v>4200</v>
      </c>
      <c r="E11383" s="0" t="inlineStr">
        <is>
          <t xml:space="preserve">Mazda</t>
        </is>
      </c>
      <c r="F11383" s="0" t="s">
        <v>28</v>
      </c>
      <c r="G11383" s="0" t="s">
        <v>29</v>
      </c>
      <c r="H11383" s="5">
        <v>118.040300</v>
      </c>
    </row>
    <row r="11384" spans="1:9">
      <c r="A11384" s="22" t="str">
        <f>HYPERLINK("https://app.vivvix.com/360/KMI/IntelliDrive/ApplUI/Pages/CreativePages/CustomReportCreativeDetail.aspx?App=23&amp;ReportView=4&amp;Qid=1711279&amp;Row=11376&amp;Col=1","No Title Assigned - #15272474836")</f>
        <v/>
      </c>
      <c r="B11384" s="0" t="s">
        <v>15366</v>
      </c>
      <c r="E11384" s="0" t="inlineStr">
        <is>
          <t xml:space="preserve">Mazda</t>
        </is>
      </c>
      <c r="F11384" s="0" t="s">
        <v>13</v>
      </c>
      <c r="G11384" s="0" t="s">
        <v>49</v>
      </c>
      <c r="H11384" s="5">
        <v>256.292900</v>
      </c>
    </row>
    <row r="11385" spans="1:9">
      <c r="A11385" s="22" t="str">
        <f>HYPERLINK("https://app.vivvix.com/360/KMI/IntelliDrive/ApplUI/Pages/CreativePages/CustomReportCreativeDetail.aspx?App=23&amp;ReportView=4&amp;Qid=1711279&amp;Row=11377&amp;Col=1","No Title Assigned - #15272474836")</f>
        <v/>
      </c>
      <c r="B11385" s="0" t="s">
        <v>15366</v>
      </c>
      <c r="C11385" s="0" t="s">
        <v>15367</v>
      </c>
      <c r="D11385" s="0" t="s">
        <v>15367</v>
      </c>
      <c r="E11385" s="0" t="inlineStr">
        <is>
          <t xml:space="preserve">Mazda</t>
        </is>
      </c>
      <c r="F11385" s="0" t="s">
        <v>13</v>
      </c>
      <c r="G11385" s="0" t="s">
        <v>49</v>
      </c>
      <c r="H11385" s="5">
        <v>456.923600</v>
      </c>
    </row>
    <row r="11386" spans="1:9">
      <c r="A11386" s="22" t="str">
        <f>HYPERLINK("https://app.vivvix.com/360/KMI/IntelliDrive/ApplUI/Pages/CreativePages/CustomReportCreativeDetail.aspx?App=23&amp;ReportView=4&amp;Qid=1711279&amp;Row=11378&amp;Col=1","No Title Assigned - #15272475284")</f>
        <v/>
      </c>
      <c r="B11386" s="0" t="s">
        <v>15368</v>
      </c>
      <c r="C11386" s="0" t="s">
        <v>15369</v>
      </c>
      <c r="D11386" s="0" t="s">
        <v>4333</v>
      </c>
      <c r="E11386" s="0" t="inlineStr">
        <is>
          <t xml:space="preserve">Mazda</t>
        </is>
      </c>
      <c r="F11386" s="0" t="s">
        <v>28</v>
      </c>
      <c r="G11386" s="0" t="s">
        <v>29</v>
      </c>
      <c r="H11386" s="5">
        <v>10.763800</v>
      </c>
    </row>
    <row r="11387" spans="1:9">
      <c r="A11387" s="22" t="str">
        <f>HYPERLINK("https://app.vivvix.com/360/KMI/IntelliDrive/ApplUI/Pages/CreativePages/CustomReportCreativeDetail.aspx?App=23&amp;ReportView=4&amp;Qid=1711279&amp;Row=11379&amp;Col=1","No Title Assigned - #15272475970")</f>
        <v/>
      </c>
      <c r="B11387" s="0" t="s">
        <v>15370</v>
      </c>
      <c r="C11387" s="0" t="s">
        <v>15371</v>
      </c>
      <c r="D11387" s="0" t="s">
        <v>15371</v>
      </c>
      <c r="E11387" s="0" t="inlineStr">
        <is>
          <t xml:space="preserve">Mazda</t>
        </is>
      </c>
      <c r="F11387" s="0" t="s">
        <v>28</v>
      </c>
      <c r="G11387" s="0" t="s">
        <v>29</v>
      </c>
      <c r="H11387" s="5">
        <v>42.406400</v>
      </c>
    </row>
    <row r="11388" spans="1:9">
      <c r="A11388" s="22" t="str">
        <f>HYPERLINK("https://app.vivvix.com/360/KMI/IntelliDrive/ApplUI/Pages/CreativePages/CustomReportCreativeDetail.aspx?App=23&amp;ReportView=4&amp;Qid=1711279&amp;Row=11380&amp;Col=1","No Title Assigned - #15272476465")</f>
        <v/>
      </c>
      <c r="B11388" s="0" t="s">
        <v>15372</v>
      </c>
      <c r="C11388" s="0" t="s">
        <v>15373</v>
      </c>
      <c r="D11388" s="0" t="s">
        <v>15373</v>
      </c>
      <c r="E11388" s="0" t="inlineStr">
        <is>
          <t xml:space="preserve">Mazda</t>
        </is>
      </c>
      <c r="F11388" s="0" t="s">
        <v>21</v>
      </c>
      <c r="G11388" s="0" t="s">
        <v>22</v>
      </c>
      <c r="H11388" s="5">
        <v>124.612300</v>
      </c>
    </row>
    <row r="11389" spans="1:9">
      <c r="A11389" s="22" t="str">
        <f>HYPERLINK("https://app.vivvix.com/360/KMI/IntelliDrive/ApplUI/Pages/CreativePages/CustomReportCreativeDetail.aspx?App=23&amp;ReportView=4&amp;Qid=1711279&amp;Row=11381&amp;Col=1","No Title Assigned - #15272477081")</f>
        <v/>
      </c>
      <c r="B11389" s="0" t="s">
        <v>15374</v>
      </c>
      <c r="C11389" s="0" t="s">
        <v>15375</v>
      </c>
      <c r="D11389" s="0" t="s">
        <v>15375</v>
      </c>
      <c r="E11389" s="0" t="inlineStr">
        <is>
          <t xml:space="preserve">Mazda</t>
        </is>
      </c>
      <c r="F11389" s="0" t="s">
        <v>28</v>
      </c>
      <c r="G11389" s="0" t="s">
        <v>29</v>
      </c>
      <c r="H11389" s="5">
        <v>90.837700</v>
      </c>
    </row>
    <row r="11390" spans="1:9">
      <c r="A11390" s="22" t="str">
        <f>HYPERLINK("https://app.vivvix.com/360/KMI/IntelliDrive/ApplUI/Pages/CreativePages/CustomReportCreativeDetail.aspx?App=23&amp;ReportView=4&amp;Qid=1711279&amp;Row=11382&amp;Col=1","No Title Assigned - #15272477081")</f>
        <v/>
      </c>
      <c r="B11390" s="0" t="s">
        <v>15374</v>
      </c>
      <c r="E11390" s="0" t="inlineStr">
        <is>
          <t xml:space="preserve">Mazda</t>
        </is>
      </c>
      <c r="F11390" s="0" t="s">
        <v>28</v>
      </c>
      <c r="G11390" s="0" t="s">
        <v>29</v>
      </c>
      <c r="H11390" s="5">
        <v>451.413300</v>
      </c>
    </row>
    <row r="11391" spans="1:9">
      <c r="A11391" s="22" t="str">
        <f>HYPERLINK("https://app.vivvix.com/360/KMI/IntelliDrive/ApplUI/Pages/CreativePages/CustomReportCreativeDetail.aspx?App=23&amp;ReportView=4&amp;Qid=1711279&amp;Row=11383&amp;Col=1","No Title Assigned - #15272478099")</f>
        <v/>
      </c>
      <c r="B11391" s="0" t="s">
        <v>15376</v>
      </c>
      <c r="C11391" s="0" t="s">
        <v>15377</v>
      </c>
      <c r="D11391" s="0" t="s">
        <v>15377</v>
      </c>
      <c r="E11391" s="0" t="inlineStr">
        <is>
          <t xml:space="preserve">Mazda</t>
        </is>
      </c>
      <c r="F11391" s="0" t="s">
        <v>13</v>
      </c>
      <c r="G11391" s="0" t="s">
        <v>49</v>
      </c>
      <c r="H11391" s="5">
        <v>26.802600</v>
      </c>
    </row>
    <row r="11392" spans="1:9">
      <c r="A11392" s="22" t="str">
        <f>HYPERLINK("https://app.vivvix.com/360/KMI/IntelliDrive/ApplUI/Pages/CreativePages/CustomReportCreativeDetail.aspx?App=23&amp;ReportView=4&amp;Qid=1711279&amp;Row=11384&amp;Col=1","No Title Assigned - #15272478587")</f>
        <v/>
      </c>
      <c r="B11392" s="0" t="s">
        <v>15378</v>
      </c>
      <c r="C11392" s="0" t="s">
        <v>15379</v>
      </c>
      <c r="D11392" s="0" t="s">
        <v>15379</v>
      </c>
      <c r="E11392" s="0" t="inlineStr">
        <is>
          <t xml:space="preserve">Mazda</t>
        </is>
      </c>
      <c r="F11392" s="0" t="s">
        <v>28</v>
      </c>
      <c r="G11392" s="0" t="s">
        <v>29</v>
      </c>
      <c r="H11392" s="5">
        <v>11.898900</v>
      </c>
    </row>
    <row r="11393" spans="1:9">
      <c r="A11393" s="22" t="str">
        <f>HYPERLINK("https://app.vivvix.com/360/KMI/IntelliDrive/ApplUI/Pages/CreativePages/CustomReportCreativeDetail.aspx?App=23&amp;ReportView=4&amp;Qid=1711279&amp;Row=11385&amp;Col=1","No Title Assigned - #15272479758")</f>
        <v/>
      </c>
      <c r="B11393" s="0" t="s">
        <v>15380</v>
      </c>
      <c r="C11393" s="0" t="s">
        <v>15381</v>
      </c>
      <c r="D11393" s="0" t="s">
        <v>8588</v>
      </c>
      <c r="E11393" s="0" t="inlineStr">
        <is>
          <t xml:space="preserve">Mazda</t>
        </is>
      </c>
      <c r="F11393" s="0" t="s">
        <v>13</v>
      </c>
      <c r="G11393" s="0" t="s">
        <v>49</v>
      </c>
      <c r="H11393" s="5">
        <v>197.524700</v>
      </c>
    </row>
    <row r="11394" spans="1:9">
      <c r="A11394" s="22" t="str">
        <f>HYPERLINK("https://app.vivvix.com/360/KMI/IntelliDrive/ApplUI/Pages/CreativePages/CustomReportCreativeDetail.aspx?App=23&amp;ReportView=4&amp;Qid=1711279&amp;Row=11386&amp;Col=1","No Title Assigned - #15272480687")</f>
        <v/>
      </c>
      <c r="B11394" s="0" t="s">
        <v>15382</v>
      </c>
      <c r="C11394" s="0" t="s">
        <v>15383</v>
      </c>
      <c r="D11394" s="0" t="s">
        <v>15383</v>
      </c>
      <c r="E11394" s="0" t="inlineStr">
        <is>
          <t xml:space="preserve">Mazda</t>
        </is>
      </c>
      <c r="F11394" s="0" t="s">
        <v>13</v>
      </c>
      <c r="G11394" s="0" t="s">
        <v>49</v>
      </c>
      <c r="H11394" s="5">
        <v>1058.827800</v>
      </c>
    </row>
    <row r="11395" spans="1:9">
      <c r="A11395" s="22" t="str">
        <f>HYPERLINK("https://app.vivvix.com/360/KMI/IntelliDrive/ApplUI/Pages/CreativePages/CustomReportCreativeDetail.aspx?App=23&amp;ReportView=4&amp;Qid=1711279&amp;Row=11387&amp;Col=1","No Title Assigned - #15272481136")</f>
        <v/>
      </c>
      <c r="B11395" s="0" t="s">
        <v>15384</v>
      </c>
      <c r="C11395" s="0" t="s">
        <v>15385</v>
      </c>
      <c r="D11395" s="0" t="s">
        <v>15385</v>
      </c>
      <c r="E11395" s="0" t="inlineStr">
        <is>
          <t xml:space="preserve">Mazda</t>
        </is>
      </c>
      <c r="F11395" s="0" t="s">
        <v>28</v>
      </c>
      <c r="G11395" s="0" t="s">
        <v>29</v>
      </c>
      <c r="H11395" s="5">
        <v>23.852900</v>
      </c>
    </row>
    <row r="11396" spans="1:9">
      <c r="A11396" s="22" t="str">
        <f>HYPERLINK("https://app.vivvix.com/360/KMI/IntelliDrive/ApplUI/Pages/CreativePages/CustomReportCreativeDetail.aspx?App=23&amp;ReportView=4&amp;Qid=1711279&amp;Row=11388&amp;Col=1","No Title Assigned - #15272481355")</f>
        <v/>
      </c>
      <c r="B11396" s="0" t="s">
        <v>15386</v>
      </c>
      <c r="C11396" s="0" t="s">
        <v>15387</v>
      </c>
      <c r="D11396" s="0" t="s">
        <v>6238</v>
      </c>
      <c r="E11396" s="0" t="inlineStr">
        <is>
          <t xml:space="preserve">Mazda</t>
        </is>
      </c>
      <c r="F11396" s="0" t="s">
        <v>13</v>
      </c>
      <c r="G11396" s="0" t="s">
        <v>49</v>
      </c>
      <c r="H11396" s="5">
        <v>39.324700</v>
      </c>
    </row>
    <row r="11397" spans="1:9">
      <c r="A11397" s="22" t="str">
        <f>HYPERLINK("https://app.vivvix.com/360/KMI/IntelliDrive/ApplUI/Pages/CreativePages/CustomReportCreativeDetail.aspx?App=23&amp;ReportView=4&amp;Qid=1711279&amp;Row=11389&amp;Col=1","No Title Assigned - #15272482730")</f>
        <v/>
      </c>
      <c r="B11397" s="0" t="s">
        <v>15388</v>
      </c>
      <c r="E11397" s="0" t="inlineStr">
        <is>
          <t xml:space="preserve">Mazda</t>
        </is>
      </c>
      <c r="F11397" s="0" t="s">
        <v>13</v>
      </c>
      <c r="G11397" s="0" t="s">
        <v>49</v>
      </c>
      <c r="H11397" s="5">
        <v>8.322500</v>
      </c>
    </row>
    <row r="11398" spans="1:9">
      <c r="A11398" s="22" t="str">
        <f>HYPERLINK("https://app.vivvix.com/360/KMI/IntelliDrive/ApplUI/Pages/CreativePages/CustomReportCreativeDetail.aspx?App=23&amp;ReportView=4&amp;Qid=1711279&amp;Row=11390&amp;Col=1","No Title Assigned - #15272483065")</f>
        <v/>
      </c>
      <c r="B11398" s="0" t="s">
        <v>15389</v>
      </c>
      <c r="C11398" s="0" t="s">
        <v>15390</v>
      </c>
      <c r="D11398" s="0" t="s">
        <v>15390</v>
      </c>
      <c r="E11398" s="0" t="inlineStr">
        <is>
          <t xml:space="preserve">Mazda</t>
        </is>
      </c>
      <c r="F11398" s="0" t="s">
        <v>13</v>
      </c>
      <c r="G11398" s="0" t="s">
        <v>49</v>
      </c>
      <c r="H11398" s="5">
        <v>85.467000</v>
      </c>
    </row>
    <row r="11399" spans="1:9">
      <c r="A11399" s="22" t="str">
        <f>HYPERLINK("https://app.vivvix.com/360/KMI/IntelliDrive/ApplUI/Pages/CreativePages/CustomReportCreativeDetail.aspx?App=23&amp;ReportView=4&amp;Qid=1711279&amp;Row=11391&amp;Col=1","No Title Assigned - #15272483158")</f>
        <v/>
      </c>
      <c r="B11399" s="0" t="s">
        <v>15391</v>
      </c>
      <c r="C11399" s="0" t="s">
        <v>15392</v>
      </c>
      <c r="D11399" s="0" t="s">
        <v>10770</v>
      </c>
      <c r="E11399" s="0" t="inlineStr">
        <is>
          <t xml:space="preserve">Mazda</t>
        </is>
      </c>
      <c r="F11399" s="0" t="s">
        <v>13</v>
      </c>
      <c r="G11399" s="0" t="s">
        <v>49</v>
      </c>
      <c r="H11399" s="5">
        <v>39.814700</v>
      </c>
    </row>
    <row r="11400" spans="1:9">
      <c r="A11400" s="22" t="str">
        <f>HYPERLINK("https://app.vivvix.com/360/KMI/IntelliDrive/ApplUI/Pages/CreativePages/CustomReportCreativeDetail.aspx?App=23&amp;ReportView=4&amp;Qid=1711279&amp;Row=11392&amp;Col=1","No Title Assigned - #15272484170")</f>
        <v/>
      </c>
      <c r="B11400" s="0" t="s">
        <v>15393</v>
      </c>
      <c r="C11400" s="0" t="s">
        <v>15394</v>
      </c>
      <c r="D11400" s="0" t="s">
        <v>15394</v>
      </c>
      <c r="E11400" s="0" t="inlineStr">
        <is>
          <t xml:space="preserve">Mazda</t>
        </is>
      </c>
      <c r="F11400" s="0" t="s">
        <v>13</v>
      </c>
      <c r="G11400" s="0" t="s">
        <v>49</v>
      </c>
      <c r="H11400" s="5">
        <v>594.230700</v>
      </c>
    </row>
    <row r="11401" spans="1:9">
      <c r="A11401" s="22" t="str">
        <f>HYPERLINK("https://app.vivvix.com/360/KMI/IntelliDrive/ApplUI/Pages/CreativePages/CustomReportCreativeDetail.aspx?App=23&amp;ReportView=4&amp;Qid=1711279&amp;Row=11393&amp;Col=1","No Title Assigned - #15272485280")</f>
        <v/>
      </c>
      <c r="B11401" s="0" t="s">
        <v>15395</v>
      </c>
      <c r="E11401" s="0" t="inlineStr">
        <is>
          <t xml:space="preserve">Mazda</t>
        </is>
      </c>
      <c r="F11401" s="0" t="inlineStr">
        <is>
          <t xml:space="preserve">Mazda</t>
        </is>
      </c>
      <c r="G11401" s="0" t="s">
        <v>171</v>
      </c>
      <c r="H11401" s="5">
        <v>93880.074000</v>
      </c>
    </row>
    <row r="11402" spans="1:9">
      <c r="A11402" s="22" t="str">
        <f>HYPERLINK("https://app.vivvix.com/360/KMI/IntelliDrive/ApplUI/Pages/CreativePages/CustomReportCreativeDetail.aspx?App=23&amp;ReportView=4&amp;Qid=1711279&amp;Row=11394&amp;Col=1","No Title Assigned - #15272485280")</f>
        <v/>
      </c>
      <c r="B11402" s="0" t="s">
        <v>15395</v>
      </c>
      <c r="E11402" s="0" t="inlineStr">
        <is>
          <t xml:space="preserve">Mazda</t>
        </is>
      </c>
      <c r="F11402" s="0" t="inlineStr">
        <is>
          <t xml:space="preserve">Mazda</t>
        </is>
      </c>
      <c r="G11402" s="0" t="s">
        <v>171</v>
      </c>
      <c r="H11402" s="5">
        <v>7969.217100</v>
      </c>
    </row>
    <row r="11403" spans="1:9">
      <c r="A11403" s="22" t="str">
        <f>HYPERLINK("https://app.vivvix.com/360/KMI/IntelliDrive/ApplUI/Pages/CreativePages/CustomReportCreativeDetail.aspx?App=23&amp;ReportView=4&amp;Qid=1711279&amp;Row=11395&amp;Col=1","No Title Assigned - #15272485530")</f>
        <v/>
      </c>
      <c r="B11403" s="0" t="s">
        <v>15396</v>
      </c>
      <c r="C11403" s="0" t="s">
        <v>15397</v>
      </c>
      <c r="D11403" s="0" t="s">
        <v>8553</v>
      </c>
      <c r="E11403" s="0" t="inlineStr">
        <is>
          <t xml:space="preserve">Mazda</t>
        </is>
      </c>
      <c r="F11403" s="0" t="s">
        <v>13</v>
      </c>
      <c r="G11403" s="0" t="s">
        <v>49</v>
      </c>
      <c r="H11403" s="5">
        <v>1248.651500</v>
      </c>
    </row>
    <row r="11404" spans="1:9">
      <c r="A11404" s="22" t="str">
        <f>HYPERLINK("https://app.vivvix.com/360/KMI/IntelliDrive/ApplUI/Pages/CreativePages/CustomReportCreativeDetail.aspx?App=23&amp;ReportView=4&amp;Qid=1711279&amp;Row=11396&amp;Col=1","No Title Assigned - #15272485556")</f>
        <v/>
      </c>
      <c r="B11404" s="0" t="s">
        <v>15398</v>
      </c>
      <c r="C11404" s="0" t="s">
        <v>15399</v>
      </c>
      <c r="D11404" s="0" t="s">
        <v>15399</v>
      </c>
      <c r="E11404" s="0" t="inlineStr">
        <is>
          <t xml:space="preserve">Mazda</t>
        </is>
      </c>
      <c r="F11404" s="0" t="s">
        <v>28</v>
      </c>
      <c r="G11404" s="0" t="s">
        <v>29</v>
      </c>
      <c r="H11404" s="5">
        <v>7.632500</v>
      </c>
    </row>
    <row r="11405" spans="1:9">
      <c r="A11405" s="22" t="str">
        <f>HYPERLINK("https://app.vivvix.com/360/KMI/IntelliDrive/ApplUI/Pages/CreativePages/CustomReportCreativeDetail.aspx?App=23&amp;ReportView=4&amp;Qid=1711279&amp;Row=11397&amp;Col=1","No Title Assigned - #15272485637")</f>
        <v/>
      </c>
      <c r="B11405" s="0" t="s">
        <v>15400</v>
      </c>
      <c r="E11405" s="0" t="inlineStr">
        <is>
          <t xml:space="preserve">Mazda</t>
        </is>
      </c>
      <c r="F11405" s="0" t="s">
        <v>13</v>
      </c>
      <c r="G11405" s="0" t="s">
        <v>49</v>
      </c>
      <c r="H11405" s="5">
        <v>10.137800</v>
      </c>
    </row>
    <row r="11406" spans="1:9">
      <c r="A11406" s="22" t="str">
        <f>HYPERLINK("https://app.vivvix.com/360/KMI/IntelliDrive/ApplUI/Pages/CreativePages/CustomReportCreativeDetail.aspx?App=23&amp;ReportView=4&amp;Qid=1711279&amp;Row=11398&amp;Col=1","No Title Assigned - #15272485637")</f>
        <v/>
      </c>
      <c r="B11406" s="0" t="s">
        <v>15400</v>
      </c>
      <c r="C11406" s="0" t="s">
        <v>15401</v>
      </c>
      <c r="D11406" s="0" t="s">
        <v>15401</v>
      </c>
      <c r="E11406" s="0" t="inlineStr">
        <is>
          <t xml:space="preserve">Mazda</t>
        </is>
      </c>
      <c r="F11406" s="0" t="s">
        <v>13</v>
      </c>
      <c r="G11406" s="0" t="s">
        <v>49</v>
      </c>
      <c r="H11406" s="5">
        <v>3690.162100</v>
      </c>
    </row>
    <row r="11407" spans="1:9">
      <c r="A11407" s="22" t="str">
        <f>HYPERLINK("https://app.vivvix.com/360/KMI/IntelliDrive/ApplUI/Pages/CreativePages/CustomReportCreativeDetail.aspx?App=23&amp;ReportView=4&amp;Qid=1711279&amp;Row=11399&amp;Col=1","No Title Assigned - #15272485648")</f>
        <v/>
      </c>
      <c r="B11407" s="0" t="s">
        <v>15402</v>
      </c>
      <c r="C11407" s="0" t="s">
        <v>15403</v>
      </c>
      <c r="D11407" s="0" t="s">
        <v>15403</v>
      </c>
      <c r="E11407" s="0" t="inlineStr">
        <is>
          <t xml:space="preserve">Mazda</t>
        </is>
      </c>
      <c r="F11407" s="0" t="s">
        <v>28</v>
      </c>
      <c r="G11407" s="0" t="s">
        <v>29</v>
      </c>
      <c r="H11407" s="5">
        <v>99.206300</v>
      </c>
    </row>
    <row r="11408" spans="1:9">
      <c r="A11408" s="22" t="str">
        <f>HYPERLINK("https://app.vivvix.com/360/KMI/IntelliDrive/ApplUI/Pages/CreativePages/CustomReportCreativeDetail.aspx?App=23&amp;ReportView=4&amp;Qid=1711279&amp;Row=11400&amp;Col=1","No Title Assigned - #15272485883")</f>
        <v/>
      </c>
      <c r="B11408" s="0" t="s">
        <v>15404</v>
      </c>
      <c r="C11408" s="0" t="s">
        <v>15405</v>
      </c>
      <c r="D11408" s="0" t="s">
        <v>15405</v>
      </c>
      <c r="E11408" s="0" t="inlineStr">
        <is>
          <t xml:space="preserve">Mazda</t>
        </is>
      </c>
      <c r="F11408" s="0" t="inlineStr">
        <is>
          <t xml:space="preserve">Mazda</t>
        </is>
      </c>
      <c r="G11408" s="0" t="s">
        <v>210</v>
      </c>
      <c r="H11408" s="5">
        <v>3808.972000</v>
      </c>
    </row>
    <row r="11409" spans="1:9">
      <c r="A11409" s="22" t="str">
        <f>HYPERLINK("https://app.vivvix.com/360/KMI/IntelliDrive/ApplUI/Pages/CreativePages/CustomReportCreativeDetail.aspx?App=23&amp;ReportView=4&amp;Qid=1711279&amp;Row=11401&amp;Col=1","No Title Assigned - #15272486050")</f>
        <v/>
      </c>
      <c r="B11409" s="0" t="s">
        <v>15406</v>
      </c>
      <c r="C11409" s="0" t="s">
        <v>15407</v>
      </c>
      <c r="D11409" s="0" t="s">
        <v>15407</v>
      </c>
      <c r="E11409" s="0" t="inlineStr">
        <is>
          <t xml:space="preserve">Mazda</t>
        </is>
      </c>
      <c r="F11409" s="0" t="s">
        <v>13</v>
      </c>
      <c r="G11409" s="0" t="s">
        <v>49</v>
      </c>
      <c r="H11409" s="5">
        <v>1804.618700</v>
      </c>
    </row>
    <row r="11410" spans="1:9">
      <c r="A11410" s="22" t="str">
        <f>HYPERLINK("https://app.vivvix.com/360/KMI/IntelliDrive/ApplUI/Pages/CreativePages/CustomReportCreativeDetail.aspx?App=23&amp;ReportView=4&amp;Qid=1711279&amp;Row=11402&amp;Col=1","No Title Assigned - #15272486050")</f>
        <v/>
      </c>
      <c r="B11410" s="0" t="s">
        <v>15406</v>
      </c>
      <c r="E11410" s="0" t="inlineStr">
        <is>
          <t xml:space="preserve">Mazda</t>
        </is>
      </c>
      <c r="F11410" s="0" t="s">
        <v>13</v>
      </c>
      <c r="G11410" s="0" t="s">
        <v>49</v>
      </c>
      <c r="H11410" s="5">
        <v>4793.786500</v>
      </c>
    </row>
    <row r="11411" spans="1:9">
      <c r="A11411" s="22" t="str">
        <f>HYPERLINK("https://app.vivvix.com/360/KMI/IntelliDrive/ApplUI/Pages/CreativePages/CustomReportCreativeDetail.aspx?App=23&amp;ReportView=4&amp;Qid=1711279&amp;Row=11403&amp;Col=1","No Title Assigned - #15272486098")</f>
        <v/>
      </c>
      <c r="B11411" s="0" t="s">
        <v>15408</v>
      </c>
      <c r="C11411" s="0" t="s">
        <v>15409</v>
      </c>
      <c r="D11411" s="0" t="s">
        <v>8453</v>
      </c>
      <c r="E11411" s="0" t="inlineStr">
        <is>
          <t xml:space="preserve">Mazda</t>
        </is>
      </c>
      <c r="F11411" s="0" t="s">
        <v>13</v>
      </c>
      <c r="G11411" s="0" t="s">
        <v>49</v>
      </c>
      <c r="H11411" s="5">
        <v>44.622200</v>
      </c>
    </row>
    <row r="11412" spans="1:9">
      <c r="A11412" s="22" t="str">
        <f>HYPERLINK("https://app.vivvix.com/360/KMI/IntelliDrive/ApplUI/Pages/CreativePages/CustomReportCreativeDetail.aspx?App=23&amp;ReportView=4&amp;Qid=1711279&amp;Row=11404&amp;Col=1","No Title Assigned - #15272487249")</f>
        <v/>
      </c>
      <c r="B11412" s="0" t="s">
        <v>15410</v>
      </c>
      <c r="C11412" s="0" t="s">
        <v>15411</v>
      </c>
      <c r="D11412" s="0" t="s">
        <v>15411</v>
      </c>
      <c r="E11412" s="0" t="inlineStr">
        <is>
          <t xml:space="preserve">Mazda</t>
        </is>
      </c>
      <c r="F11412" s="0" t="s">
        <v>13</v>
      </c>
      <c r="G11412" s="0" t="s">
        <v>49</v>
      </c>
      <c r="H11412" s="5">
        <v>37.394500</v>
      </c>
    </row>
    <row r="11413" spans="1:9">
      <c r="A11413" s="22" t="str">
        <f>HYPERLINK("https://app.vivvix.com/360/KMI/IntelliDrive/ApplUI/Pages/CreativePages/CustomReportCreativeDetail.aspx?App=23&amp;ReportView=4&amp;Qid=1711279&amp;Row=11405&amp;Col=1","No Title Assigned - #15272487309")</f>
        <v/>
      </c>
      <c r="B11413" s="0" t="s">
        <v>15412</v>
      </c>
      <c r="C11413" s="0" t="s">
        <v>15413</v>
      </c>
      <c r="D11413" s="0" t="s">
        <v>15413</v>
      </c>
      <c r="E11413" s="0" t="inlineStr">
        <is>
          <t xml:space="preserve">Mazda</t>
        </is>
      </c>
      <c r="F11413" s="0" t="s">
        <v>13</v>
      </c>
      <c r="G11413" s="0" t="s">
        <v>49</v>
      </c>
      <c r="H11413" s="5">
        <v>28.588600</v>
      </c>
    </row>
    <row r="11414" spans="1:9">
      <c r="A11414" s="22" t="str">
        <f>HYPERLINK("https://app.vivvix.com/360/KMI/IntelliDrive/ApplUI/Pages/CreativePages/CustomReportCreativeDetail.aspx?App=23&amp;ReportView=4&amp;Qid=1711279&amp;Row=11406&amp;Col=1","No Title Assigned - #15272488252")</f>
        <v/>
      </c>
      <c r="B11414" s="0" t="s">
        <v>15414</v>
      </c>
      <c r="C11414" s="0" t="s">
        <v>15415</v>
      </c>
      <c r="D11414" s="0" t="s">
        <v>15415</v>
      </c>
      <c r="E11414" s="0" t="inlineStr">
        <is>
          <t xml:space="preserve">Mazda</t>
        </is>
      </c>
      <c r="F11414" s="0" t="s">
        <v>28</v>
      </c>
      <c r="G11414" s="0" t="s">
        <v>29</v>
      </c>
      <c r="H11414" s="5">
        <v>572.763600</v>
      </c>
    </row>
    <row r="11415" spans="1:9">
      <c r="A11415" s="22" t="str">
        <f>HYPERLINK("https://app.vivvix.com/360/KMI/IntelliDrive/ApplUI/Pages/CreativePages/CustomReportCreativeDetail.aspx?App=23&amp;ReportView=4&amp;Qid=1711279&amp;Row=11407&amp;Col=1","No Title Assigned - #15272488717")</f>
        <v/>
      </c>
      <c r="B11415" s="0" t="s">
        <v>15416</v>
      </c>
      <c r="C11415" s="0" t="s">
        <v>15417</v>
      </c>
      <c r="D11415" s="0" t="s">
        <v>9707</v>
      </c>
      <c r="E11415" s="0" t="inlineStr">
        <is>
          <t xml:space="preserve">Mazda</t>
        </is>
      </c>
      <c r="F11415" s="0" t="s">
        <v>13</v>
      </c>
      <c r="G11415" s="0" t="s">
        <v>49</v>
      </c>
      <c r="H11415" s="5">
        <v>64934.230100</v>
      </c>
    </row>
    <row r="11416" spans="1:9">
      <c r="A11416" s="22" t="str">
        <f>HYPERLINK("https://app.vivvix.com/360/KMI/IntelliDrive/ApplUI/Pages/CreativePages/CustomReportCreativeDetail.aspx?App=23&amp;ReportView=4&amp;Qid=1711279&amp;Row=11408&amp;Col=1","No Title Assigned - #15272488717")</f>
        <v/>
      </c>
      <c r="B11416" s="0" t="s">
        <v>15416</v>
      </c>
      <c r="E11416" s="0" t="inlineStr">
        <is>
          <t xml:space="preserve">Mazda</t>
        </is>
      </c>
      <c r="F11416" s="0" t="s">
        <v>13</v>
      </c>
      <c r="G11416" s="0" t="s">
        <v>49</v>
      </c>
      <c r="H11416" s="5">
        <v>215.978700</v>
      </c>
    </row>
    <row r="11417" spans="1:9">
      <c r="A11417" s="22" t="str">
        <f>HYPERLINK("https://app.vivvix.com/360/KMI/IntelliDrive/ApplUI/Pages/CreativePages/CustomReportCreativeDetail.aspx?App=23&amp;ReportView=4&amp;Qid=1711279&amp;Row=11409&amp;Col=1","No Title Assigned - #15272489061")</f>
        <v/>
      </c>
      <c r="B11417" s="0" t="s">
        <v>15418</v>
      </c>
      <c r="C11417" s="0" t="s">
        <v>15419</v>
      </c>
      <c r="D11417" s="0" t="s">
        <v>15419</v>
      </c>
      <c r="E11417" s="0" t="inlineStr">
        <is>
          <t xml:space="preserve">Mazda</t>
        </is>
      </c>
      <c r="F11417" s="0" t="s">
        <v>28</v>
      </c>
      <c r="G11417" s="0" t="s">
        <v>29</v>
      </c>
      <c r="H11417" s="5">
        <v>31.781200</v>
      </c>
    </row>
    <row r="11418" spans="1:9">
      <c r="A11418" s="22" t="str">
        <f>HYPERLINK("https://app.vivvix.com/360/KMI/IntelliDrive/ApplUI/Pages/CreativePages/CustomReportCreativeDetail.aspx?App=23&amp;ReportView=4&amp;Qid=1711279&amp;Row=11410&amp;Col=1","No Title Assigned - #15272489162")</f>
        <v/>
      </c>
      <c r="B11418" s="0" t="s">
        <v>15420</v>
      </c>
      <c r="E11418" s="0" t="inlineStr">
        <is>
          <t xml:space="preserve">Mazda</t>
        </is>
      </c>
      <c r="F11418" s="0" t="s">
        <v>13</v>
      </c>
      <c r="G11418" s="0" t="s">
        <v>49</v>
      </c>
      <c r="H11418" s="5">
        <v>55.373400</v>
      </c>
    </row>
    <row r="11419" spans="1:9">
      <c r="A11419" s="22" t="str">
        <f>HYPERLINK("https://app.vivvix.com/360/KMI/IntelliDrive/ApplUI/Pages/CreativePages/CustomReportCreativeDetail.aspx?App=23&amp;ReportView=4&amp;Qid=1711279&amp;Row=11411&amp;Col=1","No Title Assigned - #15272489575")</f>
        <v/>
      </c>
      <c r="B11419" s="0" t="s">
        <v>15421</v>
      </c>
      <c r="C11419" s="0" t="s">
        <v>15422</v>
      </c>
      <c r="D11419" s="0" t="s">
        <v>4202</v>
      </c>
      <c r="E11419" s="0" t="inlineStr">
        <is>
          <t xml:space="preserve">Mazda</t>
        </is>
      </c>
      <c r="F11419" s="0" t="s">
        <v>28</v>
      </c>
      <c r="G11419" s="0" t="s">
        <v>29</v>
      </c>
      <c r="H11419" s="5">
        <v>471.991200</v>
      </c>
    </row>
    <row r="11420" spans="1:9">
      <c r="A11420" s="22" t="str">
        <f>HYPERLINK("https://app.vivvix.com/360/KMI/IntelliDrive/ApplUI/Pages/CreativePages/CustomReportCreativeDetail.aspx?App=23&amp;ReportView=4&amp;Qid=1711279&amp;Row=11412&amp;Col=1","No Title Assigned - #15272489658")</f>
        <v/>
      </c>
      <c r="B11420" s="0" t="s">
        <v>15423</v>
      </c>
      <c r="C11420" s="0" t="s">
        <v>15424</v>
      </c>
      <c r="D11420" s="0" t="s">
        <v>15424</v>
      </c>
      <c r="E11420" s="0" t="inlineStr">
        <is>
          <t xml:space="preserve">Mazda</t>
        </is>
      </c>
      <c r="F11420" s="0" t="s">
        <v>13</v>
      </c>
      <c r="G11420" s="0" t="s">
        <v>49</v>
      </c>
      <c r="H11420" s="5">
        <v>904.773400</v>
      </c>
    </row>
    <row r="11421" spans="1:9">
      <c r="A11421" s="22" t="str">
        <f>HYPERLINK("https://app.vivvix.com/360/KMI/IntelliDrive/ApplUI/Pages/CreativePages/CustomReportCreativeDetail.aspx?App=23&amp;ReportView=4&amp;Qid=1711279&amp;Row=11413&amp;Col=1","No Title Assigned - #15272489677")</f>
        <v/>
      </c>
      <c r="B11421" s="0" t="s">
        <v>15425</v>
      </c>
      <c r="C11421" s="0" t="s">
        <v>15426</v>
      </c>
      <c r="D11421" s="0" t="s">
        <v>15426</v>
      </c>
      <c r="E11421" s="0" t="inlineStr">
        <is>
          <t xml:space="preserve">Mazda</t>
        </is>
      </c>
      <c r="F11421" s="0" t="s">
        <v>28</v>
      </c>
      <c r="G11421" s="0" t="s">
        <v>29</v>
      </c>
      <c r="H11421" s="5">
        <v>693.826400</v>
      </c>
    </row>
    <row r="11422" spans="1:9">
      <c r="A11422" s="22" t="str">
        <f>HYPERLINK("https://app.vivvix.com/360/KMI/IntelliDrive/ApplUI/Pages/CreativePages/CustomReportCreativeDetail.aspx?App=23&amp;ReportView=4&amp;Qid=1711279&amp;Row=11414&amp;Col=1","No Title Assigned - #15272489701")</f>
        <v/>
      </c>
      <c r="B11422" s="0" t="s">
        <v>15427</v>
      </c>
      <c r="E11422" s="0" t="inlineStr">
        <is>
          <t xml:space="preserve">Mazda</t>
        </is>
      </c>
      <c r="F11422" s="0" t="inlineStr">
        <is>
          <t xml:space="preserve">Mazda</t>
        </is>
      </c>
      <c r="G11422" s="0" t="s">
        <v>171</v>
      </c>
      <c r="H11422" s="5">
        <v>2.933800</v>
      </c>
    </row>
    <row r="11423" spans="1:9">
      <c r="A11423" s="22" t="str">
        <f>HYPERLINK("https://app.vivvix.com/360/KMI/IntelliDrive/ApplUI/Pages/CreativePages/CustomReportCreativeDetail.aspx?App=23&amp;ReportView=4&amp;Qid=1711279&amp;Row=11415&amp;Col=1","No Title Assigned - #15272489908")</f>
        <v/>
      </c>
      <c r="B11423" s="0" t="s">
        <v>15428</v>
      </c>
      <c r="E11423" s="0" t="inlineStr">
        <is>
          <t xml:space="preserve">Mazda</t>
        </is>
      </c>
      <c r="F11423" s="0" t="inlineStr">
        <is>
          <t xml:space="preserve">Mazda</t>
        </is>
      </c>
      <c r="G11423" s="0" t="s">
        <v>171</v>
      </c>
      <c r="H11423" s="5">
        <v>32.221600</v>
      </c>
    </row>
    <row r="11424" spans="1:9">
      <c r="A11424" s="22" t="str">
        <f>HYPERLINK("https://app.vivvix.com/360/KMI/IntelliDrive/ApplUI/Pages/CreativePages/CustomReportCreativeDetail.aspx?App=23&amp;ReportView=4&amp;Qid=1711279&amp;Row=11416&amp;Col=1","No Title Assigned - #15272489935")</f>
        <v/>
      </c>
      <c r="B11424" s="0" t="s">
        <v>15429</v>
      </c>
      <c r="C11424" s="0" t="s">
        <v>15430</v>
      </c>
      <c r="D11424" s="0" t="s">
        <v>15430</v>
      </c>
      <c r="E11424" s="0" t="inlineStr">
        <is>
          <t xml:space="preserve">Mazda</t>
        </is>
      </c>
      <c r="F11424" s="0" t="s">
        <v>13</v>
      </c>
      <c r="G11424" s="0" t="s">
        <v>49</v>
      </c>
      <c r="H11424" s="5">
        <v>104.667000</v>
      </c>
    </row>
    <row r="11425" spans="1:9">
      <c r="A11425" s="22" t="str">
        <f>HYPERLINK("https://app.vivvix.com/360/KMI/IntelliDrive/ApplUI/Pages/CreativePages/CustomReportCreativeDetail.aspx?App=23&amp;ReportView=4&amp;Qid=1711279&amp;Row=11417&amp;Col=1","No Title Assigned - #15272489959")</f>
        <v/>
      </c>
      <c r="B11425" s="0" t="s">
        <v>15431</v>
      </c>
      <c r="E11425" s="0" t="inlineStr">
        <is>
          <t xml:space="preserve">Mazda</t>
        </is>
      </c>
      <c r="F11425" s="0" t="inlineStr">
        <is>
          <t xml:space="preserve">Mazda</t>
        </is>
      </c>
      <c r="G11425" s="0" t="s">
        <v>171</v>
      </c>
      <c r="H11425" s="5">
        <v>7.151700</v>
      </c>
    </row>
    <row r="11426" spans="1:9">
      <c r="A11426" s="22" t="str">
        <f>HYPERLINK("https://app.vivvix.com/360/KMI/IntelliDrive/ApplUI/Pages/CreativePages/CustomReportCreativeDetail.aspx?App=23&amp;ReportView=4&amp;Qid=1711279&amp;Row=11418&amp;Col=1","No Title Assigned - #15272490096")</f>
        <v/>
      </c>
      <c r="B11426" s="0" t="s">
        <v>15432</v>
      </c>
      <c r="E11426" s="0" t="inlineStr">
        <is>
          <t xml:space="preserve">Mazda</t>
        </is>
      </c>
      <c r="F11426" s="0" t="s">
        <v>13</v>
      </c>
      <c r="G11426" s="0" t="s">
        <v>49</v>
      </c>
      <c r="H11426" s="5">
        <v>305.982000</v>
      </c>
    </row>
    <row r="11427" spans="1:9">
      <c r="A11427" s="22" t="str">
        <f>HYPERLINK("https://app.vivvix.com/360/KMI/IntelliDrive/ApplUI/Pages/CreativePages/CustomReportCreativeDetail.aspx?App=23&amp;ReportView=4&amp;Qid=1711279&amp;Row=11419&amp;Col=1","No Title Assigned - #15272490096")</f>
        <v/>
      </c>
      <c r="B11427" s="0" t="s">
        <v>15432</v>
      </c>
      <c r="C11427" s="0" t="s">
        <v>15433</v>
      </c>
      <c r="D11427" s="0" t="s">
        <v>15433</v>
      </c>
      <c r="E11427" s="0" t="inlineStr">
        <is>
          <t xml:space="preserve">Mazda</t>
        </is>
      </c>
      <c r="F11427" s="0" t="s">
        <v>13</v>
      </c>
      <c r="G11427" s="0" t="s">
        <v>49</v>
      </c>
      <c r="H11427" s="5">
        <v>549.744800</v>
      </c>
    </row>
    <row r="11428" spans="1:9">
      <c r="A11428" s="22" t="str">
        <f>HYPERLINK("https://app.vivvix.com/360/KMI/IntelliDrive/ApplUI/Pages/CreativePages/CustomReportCreativeDetail.aspx?App=23&amp;ReportView=4&amp;Qid=1711279&amp;Row=11420&amp;Col=1","No Title Assigned - #15272490258")</f>
        <v/>
      </c>
      <c r="B11428" s="0" t="s">
        <v>15434</v>
      </c>
      <c r="C11428" s="0" t="s">
        <v>15435</v>
      </c>
      <c r="D11428" s="0" t="s">
        <v>15435</v>
      </c>
      <c r="E11428" s="0" t="inlineStr">
        <is>
          <t xml:space="preserve">Mazda</t>
        </is>
      </c>
      <c r="F11428" s="0" t="s">
        <v>52</v>
      </c>
      <c r="G11428" s="0" t="s">
        <v>325</v>
      </c>
      <c r="H11428" s="5">
        <v>1347.197600</v>
      </c>
    </row>
    <row r="11429" spans="1:9">
      <c r="A11429" s="22" t="str">
        <f>HYPERLINK("https://app.vivvix.com/360/KMI/IntelliDrive/ApplUI/Pages/CreativePages/CustomReportCreativeDetail.aspx?App=23&amp;ReportView=4&amp;Qid=1711279&amp;Row=11421&amp;Col=1","No Title Assigned - #15272490444")</f>
        <v/>
      </c>
      <c r="B11429" s="0" t="s">
        <v>15436</v>
      </c>
      <c r="C11429" s="0" t="s">
        <v>15437</v>
      </c>
      <c r="D11429" s="0" t="s">
        <v>10999</v>
      </c>
      <c r="E11429" s="0" t="inlineStr">
        <is>
          <t xml:space="preserve">Mazda</t>
        </is>
      </c>
      <c r="F11429" s="0" t="s">
        <v>13</v>
      </c>
      <c r="G11429" s="0" t="s">
        <v>49</v>
      </c>
      <c r="H11429" s="5">
        <v>71.700200</v>
      </c>
    </row>
    <row r="11430" spans="1:9">
      <c r="A11430" s="22" t="str">
        <f>HYPERLINK("https://app.vivvix.com/360/KMI/IntelliDrive/ApplUI/Pages/CreativePages/CustomReportCreativeDetail.aspx?App=23&amp;ReportView=4&amp;Qid=1711279&amp;Row=11422&amp;Col=1","No Title Assigned - #15272490485")</f>
        <v/>
      </c>
      <c r="B11430" s="0" t="s">
        <v>15438</v>
      </c>
      <c r="E11430" s="0" t="inlineStr">
        <is>
          <t xml:space="preserve">Mazda</t>
        </is>
      </c>
      <c r="F11430" s="0" t="inlineStr">
        <is>
          <t xml:space="preserve">Mazda</t>
        </is>
      </c>
      <c r="G11430" s="0" t="s">
        <v>171</v>
      </c>
      <c r="H11430" s="5">
        <v>1.030500</v>
      </c>
    </row>
    <row r="11431" spans="1:9">
      <c r="A11431" s="22" t="str">
        <f>HYPERLINK("https://app.vivvix.com/360/KMI/IntelliDrive/ApplUI/Pages/CreativePages/CustomReportCreativeDetail.aspx?App=23&amp;ReportView=4&amp;Qid=1711279&amp;Row=11423&amp;Col=1","No Title Assigned - #15272490618")</f>
        <v/>
      </c>
      <c r="B11431" s="0" t="s">
        <v>15439</v>
      </c>
      <c r="C11431" s="0" t="s">
        <v>15440</v>
      </c>
      <c r="D11431" s="0" t="s">
        <v>15440</v>
      </c>
      <c r="E11431" s="0" t="inlineStr">
        <is>
          <t xml:space="preserve">Mazda</t>
        </is>
      </c>
      <c r="F11431" s="0" t="s">
        <v>13</v>
      </c>
      <c r="G11431" s="0" t="s">
        <v>49</v>
      </c>
      <c r="H11431" s="5">
        <v>7524.772700</v>
      </c>
    </row>
    <row r="11432" spans="1:9">
      <c r="A11432" s="22" t="str">
        <f>HYPERLINK("https://app.vivvix.com/360/KMI/IntelliDrive/ApplUI/Pages/CreativePages/CustomReportCreativeDetail.aspx?App=23&amp;ReportView=4&amp;Qid=1711279&amp;Row=11424&amp;Col=1","No Title Assigned - #15272490618")</f>
        <v/>
      </c>
      <c r="B11432" s="0" t="s">
        <v>15439</v>
      </c>
      <c r="C11432" s="0" t="s">
        <v>15441</v>
      </c>
      <c r="D11432" s="0" t="s">
        <v>15441</v>
      </c>
      <c r="E11432" s="0" t="inlineStr">
        <is>
          <t xml:space="preserve">Mazda</t>
        </is>
      </c>
      <c r="F11432" s="0" t="s">
        <v>13</v>
      </c>
      <c r="G11432" s="0" t="s">
        <v>49</v>
      </c>
      <c r="H11432" s="5">
        <v>184.591500</v>
      </c>
    </row>
    <row r="11433" spans="1:9">
      <c r="A11433" s="22" t="str">
        <f>HYPERLINK("https://app.vivvix.com/360/KMI/IntelliDrive/ApplUI/Pages/CreativePages/CustomReportCreativeDetail.aspx?App=23&amp;ReportView=4&amp;Qid=1711279&amp;Row=11425&amp;Col=1","No Title Assigned - #15272490979")</f>
        <v/>
      </c>
      <c r="B11433" s="0" t="s">
        <v>15442</v>
      </c>
      <c r="C11433" s="0" t="s">
        <v>15443</v>
      </c>
      <c r="D11433" s="0" t="s">
        <v>11499</v>
      </c>
      <c r="E11433" s="0" t="inlineStr">
        <is>
          <t xml:space="preserve">Mazda</t>
        </is>
      </c>
      <c r="F11433" s="0" t="s">
        <v>13</v>
      </c>
      <c r="G11433" s="0" t="s">
        <v>49</v>
      </c>
      <c r="H11433" s="5">
        <v>151.085400</v>
      </c>
    </row>
    <row r="11434" spans="1:9">
      <c r="A11434" s="22" t="str">
        <f>HYPERLINK("https://app.vivvix.com/360/KMI/IntelliDrive/ApplUI/Pages/CreativePages/CustomReportCreativeDetail.aspx?App=23&amp;ReportView=4&amp;Qid=1711279&amp;Row=11426&amp;Col=1","No Title Assigned - #15272490980")</f>
        <v/>
      </c>
      <c r="B11434" s="0" t="s">
        <v>15444</v>
      </c>
      <c r="C11434" s="0" t="s">
        <v>15445</v>
      </c>
      <c r="D11434" s="0" t="s">
        <v>4335</v>
      </c>
      <c r="E11434" s="0" t="inlineStr">
        <is>
          <t xml:space="preserve">Mazda</t>
        </is>
      </c>
      <c r="F11434" s="0" t="s">
        <v>13</v>
      </c>
      <c r="G11434" s="0" t="s">
        <v>49</v>
      </c>
      <c r="H11434" s="5">
        <v>93.392900</v>
      </c>
    </row>
    <row r="11435" spans="1:9">
      <c r="A11435" s="22" t="str">
        <f>HYPERLINK("https://app.vivvix.com/360/KMI/IntelliDrive/ApplUI/Pages/CreativePages/CustomReportCreativeDetail.aspx?App=23&amp;ReportView=4&amp;Qid=1711279&amp;Row=11427&amp;Col=1","No Title Assigned - #15272491413")</f>
        <v/>
      </c>
      <c r="B11435" s="0" t="s">
        <v>15446</v>
      </c>
      <c r="C11435" s="0" t="s">
        <v>15447</v>
      </c>
      <c r="D11435" s="0" t="s">
        <v>15447</v>
      </c>
      <c r="E11435" s="0" t="inlineStr">
        <is>
          <t xml:space="preserve">Mazda</t>
        </is>
      </c>
      <c r="F11435" s="0" t="s">
        <v>13</v>
      </c>
      <c r="G11435" s="0" t="s">
        <v>49</v>
      </c>
      <c r="H11435" s="5">
        <v>3453.923600</v>
      </c>
    </row>
    <row r="11436" spans="1:9">
      <c r="A11436" s="22" t="str">
        <f>HYPERLINK("https://app.vivvix.com/360/KMI/IntelliDrive/ApplUI/Pages/CreativePages/CustomReportCreativeDetail.aspx?App=23&amp;ReportView=4&amp;Qid=1711279&amp;Row=11428&amp;Col=1","No Title Assigned - #15272491415")</f>
        <v/>
      </c>
      <c r="B11436" s="0" t="s">
        <v>15448</v>
      </c>
      <c r="C11436" s="0" t="s">
        <v>15449</v>
      </c>
      <c r="D11436" s="0" t="s">
        <v>15449</v>
      </c>
      <c r="E11436" s="0" t="inlineStr">
        <is>
          <t xml:space="preserve">Mazda</t>
        </is>
      </c>
      <c r="F11436" s="0" t="s">
        <v>13</v>
      </c>
      <c r="G11436" s="0" t="s">
        <v>49</v>
      </c>
      <c r="H11436" s="5">
        <v>12.960300</v>
      </c>
    </row>
    <row r="11437" spans="1:9">
      <c r="A11437" s="22" t="str">
        <f>HYPERLINK("https://app.vivvix.com/360/KMI/IntelliDrive/ApplUI/Pages/CreativePages/CustomReportCreativeDetail.aspx?App=23&amp;ReportView=4&amp;Qid=1711279&amp;Row=11429&amp;Col=1","No Title Assigned - #15272491517")</f>
        <v/>
      </c>
      <c r="B11437" s="0" t="s">
        <v>15450</v>
      </c>
      <c r="C11437" s="0" t="s">
        <v>15451</v>
      </c>
      <c r="D11437" s="0" t="s">
        <v>15451</v>
      </c>
      <c r="E11437" s="0" t="inlineStr">
        <is>
          <t xml:space="preserve">Mazda</t>
        </is>
      </c>
      <c r="F11437" s="0" t="inlineStr">
        <is>
          <t xml:space="preserve">Mazda</t>
        </is>
      </c>
      <c r="G11437" s="0" t="s">
        <v>1992</v>
      </c>
      <c r="H11437" s="5">
        <v>24380.737500</v>
      </c>
    </row>
    <row r="11438" spans="1:9">
      <c r="A11438" s="22" t="str">
        <f>HYPERLINK("https://app.vivvix.com/360/KMI/IntelliDrive/ApplUI/Pages/CreativePages/CustomReportCreativeDetail.aspx?App=23&amp;ReportView=4&amp;Qid=1711279&amp;Row=11430&amp;Col=1","No Title Assigned - #15272491530")</f>
        <v/>
      </c>
      <c r="B11438" s="0" t="s">
        <v>15452</v>
      </c>
      <c r="C11438" s="0" t="s">
        <v>15453</v>
      </c>
      <c r="D11438" s="0" t="s">
        <v>13101</v>
      </c>
      <c r="E11438" s="0" t="inlineStr">
        <is>
          <t xml:space="preserve">Mazda</t>
        </is>
      </c>
      <c r="F11438" s="0" t="s">
        <v>13</v>
      </c>
      <c r="G11438" s="0" t="s">
        <v>49</v>
      </c>
      <c r="H11438" s="5">
        <v>44.013500</v>
      </c>
    </row>
    <row r="11439" spans="1:9">
      <c r="A11439" s="22" t="str">
        <f>HYPERLINK("https://app.vivvix.com/360/KMI/IntelliDrive/ApplUI/Pages/CreativePages/CustomReportCreativeDetail.aspx?App=23&amp;ReportView=4&amp;Qid=1711279&amp;Row=11431&amp;Col=1","No Title Assigned - #15272491631")</f>
        <v/>
      </c>
      <c r="B11439" s="0" t="s">
        <v>15454</v>
      </c>
      <c r="E11439" s="0" t="inlineStr">
        <is>
          <t xml:space="preserve">Mazda</t>
        </is>
      </c>
      <c r="F11439" s="0" t="s">
        <v>13</v>
      </c>
      <c r="G11439" s="0" t="s">
        <v>49</v>
      </c>
      <c r="H11439" s="5">
        <v>27.224200</v>
      </c>
    </row>
    <row r="11440" spans="1:9">
      <c r="A11440" s="22" t="str">
        <f>HYPERLINK("https://app.vivvix.com/360/KMI/IntelliDrive/ApplUI/Pages/CreativePages/CustomReportCreativeDetail.aspx?App=23&amp;ReportView=4&amp;Qid=1711279&amp;Row=11432&amp;Col=1","No Title Assigned - #15272491757")</f>
        <v/>
      </c>
      <c r="B11440" s="0" t="s">
        <v>15455</v>
      </c>
      <c r="E11440" s="0" t="inlineStr">
        <is>
          <t xml:space="preserve">Mazda</t>
        </is>
      </c>
      <c r="F11440" s="0" t="s">
        <v>13</v>
      </c>
      <c r="G11440" s="0" t="s">
        <v>49</v>
      </c>
      <c r="H11440" s="5">
        <v>72.253200</v>
      </c>
    </row>
    <row r="11441" spans="1:9">
      <c r="A11441" s="22" t="str">
        <f>HYPERLINK("https://app.vivvix.com/360/KMI/IntelliDrive/ApplUI/Pages/CreativePages/CustomReportCreativeDetail.aspx?App=23&amp;ReportView=4&amp;Qid=1711279&amp;Row=11433&amp;Col=1","No Title Assigned - #15272491757")</f>
        <v/>
      </c>
      <c r="B11441" s="0" t="s">
        <v>15455</v>
      </c>
      <c r="C11441" s="0" t="s">
        <v>15456</v>
      </c>
      <c r="D11441" s="0" t="s">
        <v>6180</v>
      </c>
      <c r="E11441" s="0" t="inlineStr">
        <is>
          <t xml:space="preserve">Mazda</t>
        </is>
      </c>
      <c r="F11441" s="0" t="s">
        <v>13</v>
      </c>
      <c r="G11441" s="0" t="s">
        <v>49</v>
      </c>
      <c r="H11441" s="5">
        <v>122.536200</v>
      </c>
    </row>
    <row r="11442" spans="1:9">
      <c r="A11442" s="22" t="str">
        <f>HYPERLINK("https://app.vivvix.com/360/KMI/IntelliDrive/ApplUI/Pages/CreativePages/CustomReportCreativeDetail.aspx?App=23&amp;ReportView=4&amp;Qid=1711279&amp;Row=11434&amp;Col=1","No Title Assigned - #15272492439")</f>
        <v/>
      </c>
      <c r="B11442" s="0" t="s">
        <v>15457</v>
      </c>
      <c r="C11442" s="0" t="s">
        <v>15458</v>
      </c>
      <c r="D11442" s="0" t="s">
        <v>10089</v>
      </c>
      <c r="E11442" s="0" t="inlineStr">
        <is>
          <t xml:space="preserve">Mazda</t>
        </is>
      </c>
      <c r="F11442" s="0" t="s">
        <v>13</v>
      </c>
      <c r="G11442" s="0" t="s">
        <v>49</v>
      </c>
      <c r="H11442" s="5">
        <v>213.962400</v>
      </c>
    </row>
    <row r="11443" spans="1:9">
      <c r="A11443" s="22" t="str">
        <f>HYPERLINK("https://app.vivvix.com/360/KMI/IntelliDrive/ApplUI/Pages/CreativePages/CustomReportCreativeDetail.aspx?App=23&amp;ReportView=4&amp;Qid=1711279&amp;Row=11435&amp;Col=1","No Title Assigned - #15272492513")</f>
        <v/>
      </c>
      <c r="B11443" s="0" t="s">
        <v>15459</v>
      </c>
      <c r="C11443" s="0" t="s">
        <v>15460</v>
      </c>
      <c r="D11443" s="0" t="s">
        <v>7396</v>
      </c>
      <c r="E11443" s="0" t="inlineStr">
        <is>
          <t xml:space="preserve">Mazda</t>
        </is>
      </c>
      <c r="F11443" s="0" t="s">
        <v>13</v>
      </c>
      <c r="G11443" s="0" t="s">
        <v>49</v>
      </c>
      <c r="H11443" s="5">
        <v>62.109700</v>
      </c>
    </row>
    <row r="11444" spans="1:9">
      <c r="A11444" s="22" t="str">
        <f>HYPERLINK("https://app.vivvix.com/360/KMI/IntelliDrive/ApplUI/Pages/CreativePages/CustomReportCreativeDetail.aspx?App=23&amp;ReportView=4&amp;Qid=1711279&amp;Row=11436&amp;Col=1","No Title Assigned - #15272492528")</f>
        <v/>
      </c>
      <c r="B11444" s="0" t="s">
        <v>15461</v>
      </c>
      <c r="C11444" s="0" t="s">
        <v>15462</v>
      </c>
      <c r="D11444" s="0" t="s">
        <v>6044</v>
      </c>
      <c r="E11444" s="0" t="inlineStr">
        <is>
          <t xml:space="preserve">Mazda</t>
        </is>
      </c>
      <c r="F11444" s="0" t="s">
        <v>13</v>
      </c>
      <c r="G11444" s="0" t="s">
        <v>49</v>
      </c>
      <c r="H11444" s="5">
        <v>110.554900</v>
      </c>
    </row>
    <row r="11445" spans="1:9">
      <c r="A11445" s="22" t="str">
        <f>HYPERLINK("https://app.vivvix.com/360/KMI/IntelliDrive/ApplUI/Pages/CreativePages/CustomReportCreativeDetail.aspx?App=23&amp;ReportView=4&amp;Qid=1711279&amp;Row=11437&amp;Col=1","No Title Assigned - #15272492802")</f>
        <v/>
      </c>
      <c r="B11445" s="0" t="s">
        <v>15463</v>
      </c>
      <c r="C11445" s="0" t="s">
        <v>15464</v>
      </c>
      <c r="D11445" s="0" t="s">
        <v>10999</v>
      </c>
      <c r="E11445" s="0" t="inlineStr">
        <is>
          <t xml:space="preserve">Mazda</t>
        </is>
      </c>
      <c r="F11445" s="0" t="s">
        <v>13</v>
      </c>
      <c r="G11445" s="0" t="s">
        <v>49</v>
      </c>
      <c r="H11445" s="5">
        <v>11.940400</v>
      </c>
    </row>
    <row r="11446" spans="1:9">
      <c r="A11446" s="22" t="str">
        <f>HYPERLINK("https://app.vivvix.com/360/KMI/IntelliDrive/ApplUI/Pages/CreativePages/CustomReportCreativeDetail.aspx?App=23&amp;ReportView=4&amp;Qid=1711279&amp;Row=11438&amp;Col=1","No Title Assigned - #15272493058")</f>
        <v/>
      </c>
      <c r="B11446" s="0" t="s">
        <v>15465</v>
      </c>
      <c r="E11446" s="0" t="inlineStr">
        <is>
          <t xml:space="preserve">Mazda</t>
        </is>
      </c>
      <c r="F11446" s="0" t="s">
        <v>13</v>
      </c>
      <c r="G11446" s="0" t="s">
        <v>49</v>
      </c>
      <c r="H11446" s="5">
        <v>255.337500</v>
      </c>
    </row>
    <row r="11447" spans="1:9">
      <c r="A11447" s="22" t="str">
        <f>HYPERLINK("https://app.vivvix.com/360/KMI/IntelliDrive/ApplUI/Pages/CreativePages/CustomReportCreativeDetail.aspx?App=23&amp;ReportView=4&amp;Qid=1711279&amp;Row=11439&amp;Col=1","No Title Assigned - #15272493327")</f>
        <v/>
      </c>
      <c r="B11447" s="0" t="s">
        <v>15466</v>
      </c>
      <c r="E11447" s="0" t="inlineStr">
        <is>
          <t xml:space="preserve">Mazda</t>
        </is>
      </c>
      <c r="F11447" s="0" t="s">
        <v>13</v>
      </c>
      <c r="G11447" s="0" t="s">
        <v>49</v>
      </c>
      <c r="H11447" s="5">
        <v>347.563000</v>
      </c>
    </row>
    <row r="11448" spans="1:9">
      <c r="A11448" s="22" t="str">
        <f>HYPERLINK("https://app.vivvix.com/360/KMI/IntelliDrive/ApplUI/Pages/CreativePages/CustomReportCreativeDetail.aspx?App=23&amp;ReportView=4&amp;Qid=1711279&amp;Row=11440&amp;Col=1","No Title Assigned - #15272493509")</f>
        <v/>
      </c>
      <c r="B11448" s="0" t="s">
        <v>15467</v>
      </c>
      <c r="C11448" s="0" t="s">
        <v>15468</v>
      </c>
      <c r="D11448" s="0" t="s">
        <v>4774</v>
      </c>
      <c r="E11448" s="0" t="inlineStr">
        <is>
          <t xml:space="preserve">Mazda</t>
        </is>
      </c>
      <c r="F11448" s="0" t="s">
        <v>13</v>
      </c>
      <c r="G11448" s="0" t="s">
        <v>49</v>
      </c>
      <c r="H11448" s="5">
        <v>253.664000</v>
      </c>
    </row>
    <row r="11449" spans="1:9">
      <c r="A11449" s="22" t="str">
        <f>HYPERLINK("https://app.vivvix.com/360/KMI/IntelliDrive/ApplUI/Pages/CreativePages/CustomReportCreativeDetail.aspx?App=23&amp;ReportView=4&amp;Qid=1711279&amp;Row=11441&amp;Col=1","No Title Assigned - #15272493528")</f>
        <v/>
      </c>
      <c r="B11449" s="0" t="s">
        <v>15469</v>
      </c>
      <c r="C11449" s="0" t="s">
        <v>15470</v>
      </c>
      <c r="D11449" s="0" t="s">
        <v>15470</v>
      </c>
      <c r="E11449" s="0" t="inlineStr">
        <is>
          <t xml:space="preserve">Mazda</t>
        </is>
      </c>
      <c r="F11449" s="0" t="s">
        <v>13</v>
      </c>
      <c r="G11449" s="0" t="s">
        <v>49</v>
      </c>
      <c r="H11449" s="5">
        <v>274.798800</v>
      </c>
    </row>
    <row r="11450" spans="1:9">
      <c r="A11450" s="22" t="str">
        <f>HYPERLINK("https://app.vivvix.com/360/KMI/IntelliDrive/ApplUI/Pages/CreativePages/CustomReportCreativeDetail.aspx?App=23&amp;ReportView=4&amp;Qid=1711279&amp;Row=11442&amp;Col=1","No Title Assigned - #15272493815")</f>
        <v/>
      </c>
      <c r="B11450" s="0" t="s">
        <v>15471</v>
      </c>
      <c r="C11450" s="0" t="s">
        <v>15472</v>
      </c>
      <c r="D11450" s="0" t="s">
        <v>15472</v>
      </c>
      <c r="E11450" s="0" t="inlineStr">
        <is>
          <t xml:space="preserve">Mazda</t>
        </is>
      </c>
      <c r="F11450" s="0" t="s">
        <v>52</v>
      </c>
      <c r="G11450" s="0" t="s">
        <v>325</v>
      </c>
      <c r="H11450" s="5">
        <v>7835.661300</v>
      </c>
    </row>
    <row r="11451" spans="1:9">
      <c r="A11451" s="22" t="str">
        <f>HYPERLINK("https://app.vivvix.com/360/KMI/IntelliDrive/ApplUI/Pages/CreativePages/CustomReportCreativeDetail.aspx?App=23&amp;ReportView=4&amp;Qid=1711279&amp;Row=11443&amp;Col=1","No Title Assigned - #15272494496")</f>
        <v/>
      </c>
      <c r="B11451" s="0" t="s">
        <v>15473</v>
      </c>
      <c r="C11451" s="0" t="s">
        <v>15474</v>
      </c>
      <c r="D11451" s="0" t="s">
        <v>15474</v>
      </c>
      <c r="E11451" s="0" t="inlineStr">
        <is>
          <t xml:space="preserve">Mazda</t>
        </is>
      </c>
      <c r="F11451" s="0" t="s">
        <v>28</v>
      </c>
      <c r="G11451" s="0" t="s">
        <v>29</v>
      </c>
      <c r="H11451" s="5">
        <v>7535.800500</v>
      </c>
    </row>
    <row r="11452" spans="1:9">
      <c r="A11452" s="22" t="str">
        <f>HYPERLINK("https://app.vivvix.com/360/KMI/IntelliDrive/ApplUI/Pages/CreativePages/CustomReportCreativeDetail.aspx?App=23&amp;ReportView=4&amp;Qid=1711279&amp;Row=11444&amp;Col=1","No Title Assigned - #15272494496")</f>
        <v/>
      </c>
      <c r="B11452" s="0" t="s">
        <v>15473</v>
      </c>
      <c r="E11452" s="0" t="inlineStr">
        <is>
          <t xml:space="preserve">Mazda</t>
        </is>
      </c>
      <c r="F11452" s="0" t="s">
        <v>28</v>
      </c>
      <c r="G11452" s="0" t="s">
        <v>29</v>
      </c>
      <c r="H11452" s="5">
        <v>951.782100</v>
      </c>
    </row>
    <row r="11453" spans="1:9">
      <c r="A11453" s="22" t="str">
        <f>HYPERLINK("https://app.vivvix.com/360/KMI/IntelliDrive/ApplUI/Pages/CreativePages/CustomReportCreativeDetail.aspx?App=23&amp;ReportView=4&amp;Qid=1711279&amp;Row=11445&amp;Col=1","No Title Assigned - #15272494690")</f>
        <v/>
      </c>
      <c r="B11453" s="0" t="s">
        <v>15475</v>
      </c>
      <c r="E11453" s="0" t="inlineStr">
        <is>
          <t xml:space="preserve">Mazda</t>
        </is>
      </c>
      <c r="F11453" s="0" t="s">
        <v>13</v>
      </c>
      <c r="G11453" s="0" t="s">
        <v>49</v>
      </c>
      <c r="H11453" s="5">
        <v>49.722700</v>
      </c>
    </row>
    <row r="11454" spans="1:9">
      <c r="A11454" s="22" t="str">
        <f>HYPERLINK("https://app.vivvix.com/360/KMI/IntelliDrive/ApplUI/Pages/CreativePages/CustomReportCreativeDetail.aspx?App=23&amp;ReportView=4&amp;Qid=1711279&amp;Row=11446&amp;Col=1","No Title Assigned - #15272494856")</f>
        <v/>
      </c>
      <c r="B11454" s="0" t="s">
        <v>15476</v>
      </c>
      <c r="C11454" s="0" t="s">
        <v>15477</v>
      </c>
      <c r="D11454" s="0" t="s">
        <v>7396</v>
      </c>
      <c r="E11454" s="0" t="inlineStr">
        <is>
          <t xml:space="preserve">Mazda</t>
        </is>
      </c>
      <c r="F11454" s="0" t="s">
        <v>13</v>
      </c>
      <c r="G11454" s="0" t="s">
        <v>49</v>
      </c>
      <c r="H11454" s="5">
        <v>160.714000</v>
      </c>
    </row>
    <row r="11455" spans="1:9">
      <c r="A11455" s="22" t="str">
        <f>HYPERLINK("https://app.vivvix.com/360/KMI/IntelliDrive/ApplUI/Pages/CreativePages/CustomReportCreativeDetail.aspx?App=23&amp;ReportView=4&amp;Qid=1711279&amp;Row=11447&amp;Col=1","No Title Assigned - #15272494973")</f>
        <v/>
      </c>
      <c r="B11455" s="0" t="s">
        <v>15478</v>
      </c>
      <c r="C11455" s="0" t="s">
        <v>15479</v>
      </c>
      <c r="D11455" s="0" t="s">
        <v>15479</v>
      </c>
      <c r="E11455" s="0" t="inlineStr">
        <is>
          <t xml:space="preserve">Mazda</t>
        </is>
      </c>
      <c r="F11455" s="0" t="s">
        <v>13</v>
      </c>
      <c r="G11455" s="0" t="s">
        <v>49</v>
      </c>
      <c r="H11455" s="5">
        <v>68432.632800</v>
      </c>
    </row>
    <row r="11456" spans="1:9">
      <c r="A11456" s="22" t="str">
        <f>HYPERLINK("https://app.vivvix.com/360/KMI/IntelliDrive/ApplUI/Pages/CreativePages/CustomReportCreativeDetail.aspx?App=23&amp;ReportView=4&amp;Qid=1711279&amp;Row=11448&amp;Col=1","No Title Assigned - #15272495162")</f>
        <v/>
      </c>
      <c r="B11456" s="0" t="s">
        <v>15480</v>
      </c>
      <c r="E11456" s="0" t="inlineStr">
        <is>
          <t xml:space="preserve">Mazda</t>
        </is>
      </c>
      <c r="F11456" s="0" t="s">
        <v>13</v>
      </c>
      <c r="G11456" s="0" t="s">
        <v>49</v>
      </c>
      <c r="H11456" s="5">
        <v>7029.955000</v>
      </c>
    </row>
    <row r="11457" spans="1:9">
      <c r="A11457" s="22" t="str">
        <f>HYPERLINK("https://app.vivvix.com/360/KMI/IntelliDrive/ApplUI/Pages/CreativePages/CustomReportCreativeDetail.aspx?App=23&amp;ReportView=4&amp;Qid=1711279&amp;Row=11449&amp;Col=1","No Title Assigned - #15272495203")</f>
        <v/>
      </c>
      <c r="B11457" s="0" t="s">
        <v>15481</v>
      </c>
      <c r="C11457" s="0" t="s">
        <v>15482</v>
      </c>
      <c r="D11457" s="0" t="s">
        <v>15482</v>
      </c>
      <c r="E11457" s="0" t="inlineStr">
        <is>
          <t xml:space="preserve">Mazda</t>
        </is>
      </c>
      <c r="F11457" s="0" t="s">
        <v>28</v>
      </c>
      <c r="G11457" s="0" t="s">
        <v>29</v>
      </c>
      <c r="H11457" s="5">
        <v>6206.119300</v>
      </c>
    </row>
    <row r="11458" spans="1:9">
      <c r="A11458" s="22" t="str">
        <f>HYPERLINK("https://app.vivvix.com/360/KMI/IntelliDrive/ApplUI/Pages/CreativePages/CustomReportCreativeDetail.aspx?App=23&amp;ReportView=4&amp;Qid=1711279&amp;Row=11450&amp;Col=1","No Title Assigned - #15272495203")</f>
        <v/>
      </c>
      <c r="B11458" s="0" t="s">
        <v>15481</v>
      </c>
      <c r="E11458" s="0" t="inlineStr">
        <is>
          <t xml:space="preserve">Mazda</t>
        </is>
      </c>
      <c r="F11458" s="0" t="s">
        <v>28</v>
      </c>
      <c r="G11458" s="0" t="s">
        <v>29</v>
      </c>
      <c r="H11458" s="5">
        <v>98.014800</v>
      </c>
    </row>
    <row r="11459" spans="1:9">
      <c r="A11459" s="22" t="str">
        <f>HYPERLINK("https://app.vivvix.com/360/KMI/IntelliDrive/ApplUI/Pages/CreativePages/CustomReportCreativeDetail.aspx?App=23&amp;ReportView=4&amp;Qid=1711279&amp;Row=11451&amp;Col=1","No Title Assigned - #15272495295")</f>
        <v/>
      </c>
      <c r="B11459" s="0" t="s">
        <v>15483</v>
      </c>
      <c r="C11459" s="0" t="s">
        <v>15484</v>
      </c>
      <c r="D11459" s="0" t="s">
        <v>10008</v>
      </c>
      <c r="E11459" s="0" t="inlineStr">
        <is>
          <t xml:space="preserve">Mazda</t>
        </is>
      </c>
      <c r="F11459" s="0" t="s">
        <v>13</v>
      </c>
      <c r="G11459" s="0" t="s">
        <v>49</v>
      </c>
      <c r="H11459" s="5">
        <v>104.667000</v>
      </c>
    </row>
    <row r="11460" spans="1:9">
      <c r="A11460" s="22" t="str">
        <f>HYPERLINK("https://app.vivvix.com/360/KMI/IntelliDrive/ApplUI/Pages/CreativePages/CustomReportCreativeDetail.aspx?App=23&amp;ReportView=4&amp;Qid=1711279&amp;Row=11452&amp;Col=1","No Title Assigned - #15272495437")</f>
        <v/>
      </c>
      <c r="B11460" s="0" t="s">
        <v>15485</v>
      </c>
      <c r="C11460" s="0" t="s">
        <v>15486</v>
      </c>
      <c r="D11460" s="0" t="s">
        <v>15486</v>
      </c>
      <c r="E11460" s="0" t="inlineStr">
        <is>
          <t xml:space="preserve">Mazda</t>
        </is>
      </c>
      <c r="F11460" s="0" t="s">
        <v>13</v>
      </c>
      <c r="G11460" s="0" t="s">
        <v>49</v>
      </c>
      <c r="H11460" s="5">
        <v>82.120800</v>
      </c>
    </row>
    <row r="11461" spans="1:9">
      <c r="A11461" s="22" t="str">
        <f>HYPERLINK("https://app.vivvix.com/360/KMI/IntelliDrive/ApplUI/Pages/CreativePages/CustomReportCreativeDetail.aspx?App=23&amp;ReportView=4&amp;Qid=1711279&amp;Row=11453&amp;Col=1","No Title Assigned - #15272495438")</f>
        <v/>
      </c>
      <c r="B11461" s="0" t="s">
        <v>15487</v>
      </c>
      <c r="C11461" s="0" t="s">
        <v>15488</v>
      </c>
      <c r="D11461" s="0" t="s">
        <v>15488</v>
      </c>
      <c r="E11461" s="0" t="inlineStr">
        <is>
          <t xml:space="preserve">Mazda</t>
        </is>
      </c>
      <c r="F11461" s="0" t="s">
        <v>13</v>
      </c>
      <c r="G11461" s="0" t="s">
        <v>49</v>
      </c>
      <c r="H11461" s="5">
        <v>82.120800</v>
      </c>
    </row>
    <row r="11462" spans="1:9">
      <c r="A11462" s="22" t="str">
        <f>HYPERLINK("https://app.vivvix.com/360/KMI/IntelliDrive/ApplUI/Pages/CreativePages/CustomReportCreativeDetail.aspx?App=23&amp;ReportView=4&amp;Qid=1711279&amp;Row=11454&amp;Col=1","No Title Assigned - #15272495462")</f>
        <v/>
      </c>
      <c r="B11462" s="0" t="s">
        <v>15489</v>
      </c>
      <c r="C11462" s="0" t="s">
        <v>15490</v>
      </c>
      <c r="D11462" s="0" t="s">
        <v>9707</v>
      </c>
      <c r="E11462" s="0" t="inlineStr">
        <is>
          <t xml:space="preserve">Mazda</t>
        </is>
      </c>
      <c r="F11462" s="0" t="s">
        <v>13</v>
      </c>
      <c r="G11462" s="0" t="s">
        <v>49</v>
      </c>
      <c r="H11462" s="5">
        <v>125.619000</v>
      </c>
    </row>
    <row r="11463" spans="1:9">
      <c r="A11463" s="22" t="str">
        <f>HYPERLINK("https://app.vivvix.com/360/KMI/IntelliDrive/ApplUI/Pages/CreativePages/CustomReportCreativeDetail.aspx?App=23&amp;ReportView=4&amp;Qid=1711279&amp;Row=11455&amp;Col=1","No Title Assigned - #15272495816")</f>
        <v/>
      </c>
      <c r="B11463" s="0" t="s">
        <v>15491</v>
      </c>
      <c r="C11463" s="0" t="s">
        <v>15492</v>
      </c>
      <c r="D11463" s="0" t="s">
        <v>7396</v>
      </c>
      <c r="E11463" s="0" t="inlineStr">
        <is>
          <t xml:space="preserve">Mazda</t>
        </is>
      </c>
      <c r="F11463" s="0" t="s">
        <v>13</v>
      </c>
      <c r="G11463" s="0" t="s">
        <v>49</v>
      </c>
      <c r="H11463" s="5">
        <v>2127.741200</v>
      </c>
    </row>
    <row r="11464" spans="1:9">
      <c r="A11464" s="22" t="str">
        <f>HYPERLINK("https://app.vivvix.com/360/KMI/IntelliDrive/ApplUI/Pages/CreativePages/CustomReportCreativeDetail.aspx?App=23&amp;ReportView=4&amp;Qid=1711279&amp;Row=11456&amp;Col=1","No Title Assigned - #15272495977")</f>
        <v/>
      </c>
      <c r="B11464" s="0" t="s">
        <v>15493</v>
      </c>
      <c r="C11464" s="0" t="s">
        <v>15494</v>
      </c>
      <c r="D11464" s="0" t="s">
        <v>15494</v>
      </c>
      <c r="E11464" s="0" t="inlineStr">
        <is>
          <t xml:space="preserve">Mazda</t>
        </is>
      </c>
      <c r="F11464" s="0" t="s">
        <v>13</v>
      </c>
      <c r="G11464" s="0" t="s">
        <v>49</v>
      </c>
      <c r="H11464" s="5">
        <v>296.527600</v>
      </c>
    </row>
    <row r="11465" spans="1:9">
      <c r="A11465" s="22" t="str">
        <f>HYPERLINK("https://app.vivvix.com/360/KMI/IntelliDrive/ApplUI/Pages/CreativePages/CustomReportCreativeDetail.aspx?App=23&amp;ReportView=4&amp;Qid=1711279&amp;Row=11457&amp;Col=1","No Title Assigned - #15272497200")</f>
        <v/>
      </c>
      <c r="B11465" s="0" t="s">
        <v>15495</v>
      </c>
      <c r="E11465" s="0" t="inlineStr">
        <is>
          <t xml:space="preserve">Mazda</t>
        </is>
      </c>
      <c r="F11465" s="0" t="inlineStr">
        <is>
          <t xml:space="preserve">Mazda</t>
        </is>
      </c>
      <c r="G11465" s="0" t="s">
        <v>171</v>
      </c>
      <c r="H11465" s="5">
        <v>11.174700</v>
      </c>
    </row>
    <row r="11466" spans="1:9">
      <c r="A11466" s="22" t="str">
        <f>HYPERLINK("https://app.vivvix.com/360/KMI/IntelliDrive/ApplUI/Pages/CreativePages/CustomReportCreativeDetail.aspx?App=23&amp;ReportView=4&amp;Qid=1711279&amp;Row=11458&amp;Col=1","No Title Assigned - #15272497201")</f>
        <v/>
      </c>
      <c r="B11466" s="0" t="s">
        <v>15496</v>
      </c>
      <c r="E11466" s="0" t="inlineStr">
        <is>
          <t xml:space="preserve">Mazda</t>
        </is>
      </c>
      <c r="F11466" s="0" t="inlineStr">
        <is>
          <t xml:space="preserve">Mazda</t>
        </is>
      </c>
      <c r="G11466" s="0" t="s">
        <v>171</v>
      </c>
      <c r="H11466" s="5">
        <v>11.174700</v>
      </c>
    </row>
    <row r="11467" spans="1:9">
      <c r="A11467" s="22" t="str">
        <f>HYPERLINK("https://app.vivvix.com/360/KMI/IntelliDrive/ApplUI/Pages/CreativePages/CustomReportCreativeDetail.aspx?App=23&amp;ReportView=4&amp;Qid=1711279&amp;Row=11459&amp;Col=1","No Title Assigned - #15272497334")</f>
        <v/>
      </c>
      <c r="B11467" s="0" t="s">
        <v>15497</v>
      </c>
      <c r="E11467" s="0" t="inlineStr">
        <is>
          <t xml:space="preserve">Mazda</t>
        </is>
      </c>
      <c r="F11467" s="0" t="inlineStr">
        <is>
          <t xml:space="preserve">Mazda</t>
        </is>
      </c>
      <c r="G11467" s="0" t="s">
        <v>171</v>
      </c>
      <c r="H11467" s="5">
        <v>466.492900</v>
      </c>
    </row>
    <row r="11468" spans="1:9">
      <c r="A11468" s="22" t="str">
        <f>HYPERLINK("https://app.vivvix.com/360/KMI/IntelliDrive/ApplUI/Pages/CreativePages/CustomReportCreativeDetail.aspx?App=23&amp;ReportView=4&amp;Qid=1711279&amp;Row=11460&amp;Col=1","No Title Assigned - #15272497898")</f>
        <v/>
      </c>
      <c r="B11468" s="0" t="s">
        <v>15498</v>
      </c>
      <c r="E11468" s="0" t="inlineStr">
        <is>
          <t xml:space="preserve">Mazda</t>
        </is>
      </c>
      <c r="F11468" s="0" t="inlineStr">
        <is>
          <t xml:space="preserve">Mazda</t>
        </is>
      </c>
      <c r="G11468" s="0" t="s">
        <v>171</v>
      </c>
      <c r="H11468" s="5">
        <v>499.068400</v>
      </c>
    </row>
    <row r="11469" spans="1:9">
      <c r="A11469" s="22" t="str">
        <f>HYPERLINK("https://app.vivvix.com/360/KMI/IntelliDrive/ApplUI/Pages/CreativePages/CustomReportCreativeDetail.aspx?App=23&amp;ReportView=4&amp;Qid=1711279&amp;Row=11461&amp;Col=1","No Title Assigned - #15272497958")</f>
        <v/>
      </c>
      <c r="B11469" s="0" t="s">
        <v>15499</v>
      </c>
      <c r="E11469" s="0" t="inlineStr">
        <is>
          <t xml:space="preserve">Mazda</t>
        </is>
      </c>
      <c r="F11469" s="0" t="inlineStr">
        <is>
          <t xml:space="preserve">Mazda</t>
        </is>
      </c>
      <c r="G11469" s="0" t="s">
        <v>171</v>
      </c>
      <c r="H11469" s="5">
        <v>5.866800</v>
      </c>
    </row>
    <row r="11470" spans="1:9">
      <c r="A11470" s="22" t="str">
        <f>HYPERLINK("https://app.vivvix.com/360/KMI/IntelliDrive/ApplUI/Pages/CreativePages/CustomReportCreativeDetail.aspx?App=23&amp;ReportView=4&amp;Qid=1711279&amp;Row=11462&amp;Col=1","No Title Assigned - #15272498161")</f>
        <v/>
      </c>
      <c r="B11470" s="0" t="s">
        <v>15500</v>
      </c>
      <c r="E11470" s="0" t="inlineStr">
        <is>
          <t xml:space="preserve">Mazda</t>
        </is>
      </c>
      <c r="F11470" s="0" t="inlineStr">
        <is>
          <t xml:space="preserve">Mazda</t>
        </is>
      </c>
      <c r="G11470" s="0" t="s">
        <v>171</v>
      </c>
      <c r="H11470" s="5">
        <v>19.727200</v>
      </c>
    </row>
    <row r="11471" spans="1:9">
      <c r="A11471" s="22" t="str">
        <f>HYPERLINK("https://app.vivvix.com/360/KMI/IntelliDrive/ApplUI/Pages/CreativePages/CustomReportCreativeDetail.aspx?App=23&amp;ReportView=4&amp;Qid=1711279&amp;Row=11463&amp;Col=1","No Title Assigned - #15272499056")</f>
        <v/>
      </c>
      <c r="B11471" s="0" t="s">
        <v>15501</v>
      </c>
      <c r="C11471" s="0" t="s">
        <v>15502</v>
      </c>
      <c r="D11471" s="0" t="s">
        <v>6420</v>
      </c>
      <c r="E11471" s="0" t="inlineStr">
        <is>
          <t xml:space="preserve">Mazda</t>
        </is>
      </c>
      <c r="F11471" s="0" t="s">
        <v>13</v>
      </c>
      <c r="G11471" s="0" t="s">
        <v>49</v>
      </c>
      <c r="H11471" s="5">
        <v>55.206100</v>
      </c>
    </row>
    <row r="11472" spans="1:9">
      <c r="A11472" s="22" t="str">
        <f>HYPERLINK("https://app.vivvix.com/360/KMI/IntelliDrive/ApplUI/Pages/CreativePages/CustomReportCreativeDetail.aspx?App=23&amp;ReportView=4&amp;Qid=1711279&amp;Row=11464&amp;Col=1","No Title Assigned - #15272499489")</f>
        <v/>
      </c>
      <c r="B11472" s="0" t="s">
        <v>15503</v>
      </c>
      <c r="C11472" s="0" t="s">
        <v>15504</v>
      </c>
      <c r="D11472" s="0" t="s">
        <v>15504</v>
      </c>
      <c r="E11472" s="0" t="inlineStr">
        <is>
          <t xml:space="preserve">Mazda</t>
        </is>
      </c>
      <c r="F11472" s="0" t="s">
        <v>13</v>
      </c>
      <c r="G11472" s="0" t="s">
        <v>49</v>
      </c>
      <c r="H11472" s="5">
        <v>2583.943600</v>
      </c>
    </row>
    <row r="11473" spans="1:9">
      <c r="A11473" s="22" t="str">
        <f>HYPERLINK("https://app.vivvix.com/360/KMI/IntelliDrive/ApplUI/Pages/CreativePages/CustomReportCreativeDetail.aspx?App=23&amp;ReportView=4&amp;Qid=1711279&amp;Row=11465&amp;Col=1","No Title Assigned - #15272499780")</f>
        <v/>
      </c>
      <c r="B11473" s="0" t="s">
        <v>15505</v>
      </c>
      <c r="C11473" s="0" t="s">
        <v>15506</v>
      </c>
      <c r="D11473" s="0" t="s">
        <v>15506</v>
      </c>
      <c r="E11473" s="0" t="inlineStr">
        <is>
          <t xml:space="preserve">Mazda</t>
        </is>
      </c>
      <c r="F11473" s="0" t="s">
        <v>13</v>
      </c>
      <c r="G11473" s="0" t="s">
        <v>49</v>
      </c>
      <c r="H11473" s="5">
        <v>230.026700</v>
      </c>
    </row>
    <row r="11474" spans="1:9">
      <c r="A11474" s="22" t="str">
        <f>HYPERLINK("https://app.vivvix.com/360/KMI/IntelliDrive/ApplUI/Pages/CreativePages/CustomReportCreativeDetail.aspx?App=23&amp;ReportView=4&amp;Qid=1711279&amp;Row=11466&amp;Col=1","No Title Assigned - #15272499967")</f>
        <v/>
      </c>
      <c r="B11474" s="0" t="s">
        <v>15507</v>
      </c>
      <c r="C11474" s="0" t="s">
        <v>15508</v>
      </c>
      <c r="D11474" s="0" t="s">
        <v>15508</v>
      </c>
      <c r="E11474" s="0" t="inlineStr">
        <is>
          <t xml:space="preserve">Mazda</t>
        </is>
      </c>
      <c r="F11474" s="0" t="s">
        <v>13</v>
      </c>
      <c r="G11474" s="0" t="s">
        <v>49</v>
      </c>
      <c r="H11474" s="5">
        <v>707.910300</v>
      </c>
    </row>
    <row r="11475" spans="1:9">
      <c r="A11475" s="22" t="str">
        <f>HYPERLINK("https://app.vivvix.com/360/KMI/IntelliDrive/ApplUI/Pages/CreativePages/CustomReportCreativeDetail.aspx?App=23&amp;ReportView=4&amp;Qid=1711279&amp;Row=11467&amp;Col=1","No Title Assigned - #15272499994")</f>
        <v/>
      </c>
      <c r="B11475" s="0" t="s">
        <v>15509</v>
      </c>
      <c r="C11475" s="0" t="s">
        <v>15510</v>
      </c>
      <c r="D11475" s="0" t="s">
        <v>15510</v>
      </c>
      <c r="E11475" s="0" t="inlineStr">
        <is>
          <t xml:space="preserve">Mazda</t>
        </is>
      </c>
      <c r="F11475" s="0" t="s">
        <v>28</v>
      </c>
      <c r="G11475" s="0" t="s">
        <v>29</v>
      </c>
      <c r="H11475" s="5">
        <v>8.596000</v>
      </c>
    </row>
    <row r="11476" spans="1:9">
      <c r="A11476" s="22" t="str">
        <f>HYPERLINK("https://app.vivvix.com/360/KMI/IntelliDrive/ApplUI/Pages/CreativePages/CustomReportCreativeDetail.aspx?App=23&amp;ReportView=4&amp;Qid=1711279&amp;Row=11468&amp;Col=1","No Title Assigned - #15272500290")</f>
        <v/>
      </c>
      <c r="B11476" s="0" t="s">
        <v>15511</v>
      </c>
      <c r="C11476" s="0" t="s">
        <v>15512</v>
      </c>
      <c r="D11476" s="0" t="s">
        <v>15512</v>
      </c>
      <c r="E11476" s="0" t="inlineStr">
        <is>
          <t xml:space="preserve">Mazda</t>
        </is>
      </c>
      <c r="F11476" s="0" t="s">
        <v>28</v>
      </c>
      <c r="G11476" s="0" t="s">
        <v>29</v>
      </c>
      <c r="H11476" s="5">
        <v>209.677400</v>
      </c>
    </row>
    <row r="11477" spans="1:9">
      <c r="A11477" s="22" t="str">
        <f>HYPERLINK("https://app.vivvix.com/360/KMI/IntelliDrive/ApplUI/Pages/CreativePages/CustomReportCreativeDetail.aspx?App=23&amp;ReportView=4&amp;Qid=1711279&amp;Row=11469&amp;Col=1","No Title Assigned - #15272500675")</f>
        <v/>
      </c>
      <c r="B11477" s="0" t="s">
        <v>15513</v>
      </c>
      <c r="C11477" s="0" t="s">
        <v>15514</v>
      </c>
      <c r="D11477" s="0" t="s">
        <v>6044</v>
      </c>
      <c r="E11477" s="0" t="inlineStr">
        <is>
          <t xml:space="preserve">Mazda</t>
        </is>
      </c>
      <c r="F11477" s="0" t="s">
        <v>13</v>
      </c>
      <c r="G11477" s="0" t="s">
        <v>49</v>
      </c>
      <c r="H11477" s="5">
        <v>197.138300</v>
      </c>
    </row>
    <row r="11478" spans="1:9">
      <c r="A11478" s="22" t="str">
        <f>HYPERLINK("https://app.vivvix.com/360/KMI/IntelliDrive/ApplUI/Pages/CreativePages/CustomReportCreativeDetail.aspx?App=23&amp;ReportView=4&amp;Qid=1711279&amp;Row=11470&amp;Col=1","No Title Assigned - #15272501990")</f>
        <v/>
      </c>
      <c r="B11478" s="0" t="s">
        <v>15515</v>
      </c>
      <c r="C11478" s="0" t="s">
        <v>15516</v>
      </c>
      <c r="D11478" s="0" t="s">
        <v>15516</v>
      </c>
      <c r="E11478" s="0" t="inlineStr">
        <is>
          <t xml:space="preserve">Mazda</t>
        </is>
      </c>
      <c r="F11478" s="0" t="inlineStr">
        <is>
          <t xml:space="preserve">Mazda</t>
        </is>
      </c>
      <c r="G11478" s="0" t="s">
        <v>210</v>
      </c>
      <c r="H11478" s="5">
        <v>12791.812400</v>
      </c>
    </row>
    <row r="11479" spans="1:9">
      <c r="A11479" s="22" t="str">
        <f>HYPERLINK("https://app.vivvix.com/360/KMI/IntelliDrive/ApplUI/Pages/CreativePages/CustomReportCreativeDetail.aspx?App=23&amp;ReportView=4&amp;Qid=1711279&amp;Row=11471&amp;Col=1","No Title Assigned - #15272502917")</f>
        <v/>
      </c>
      <c r="B11479" s="0" t="s">
        <v>15517</v>
      </c>
      <c r="C11479" s="0" t="s">
        <v>15518</v>
      </c>
      <c r="D11479" s="0" t="s">
        <v>15518</v>
      </c>
      <c r="E11479" s="0" t="inlineStr">
        <is>
          <t xml:space="preserve">Mazda</t>
        </is>
      </c>
      <c r="F11479" s="0" t="inlineStr">
        <is>
          <t xml:space="preserve">Mazda</t>
        </is>
      </c>
      <c r="G11479" s="0" t="s">
        <v>210</v>
      </c>
      <c r="H11479" s="5">
        <v>434.145300</v>
      </c>
    </row>
    <row r="11480" spans="1:9">
      <c r="A11480" s="22" t="str">
        <f>HYPERLINK("https://app.vivvix.com/360/KMI/IntelliDrive/ApplUI/Pages/CreativePages/CustomReportCreativeDetail.aspx?App=23&amp;ReportView=4&amp;Qid=1711279&amp;Row=11472&amp;Col=1","No Title Assigned - #15272503441")</f>
        <v/>
      </c>
      <c r="B11480" s="0" t="s">
        <v>15519</v>
      </c>
      <c r="C11480" s="0" t="s">
        <v>15520</v>
      </c>
      <c r="D11480" s="0" t="s">
        <v>15520</v>
      </c>
      <c r="E11480" s="0" t="inlineStr">
        <is>
          <t xml:space="preserve">Mazda</t>
        </is>
      </c>
      <c r="F11480" s="0" t="s">
        <v>13</v>
      </c>
      <c r="G11480" s="0" t="s">
        <v>49</v>
      </c>
      <c r="H11480" s="5">
        <v>874.555000</v>
      </c>
    </row>
    <row r="11481" spans="1:9">
      <c r="A11481" s="22" t="str">
        <f>HYPERLINK("https://app.vivvix.com/360/KMI/IntelliDrive/ApplUI/Pages/CreativePages/CustomReportCreativeDetail.aspx?App=23&amp;ReportView=4&amp;Qid=1711279&amp;Row=11473&amp;Col=1","No Title Assigned - #15272503464")</f>
        <v/>
      </c>
      <c r="B11481" s="0" t="s">
        <v>15521</v>
      </c>
      <c r="C11481" s="0" t="s">
        <v>15522</v>
      </c>
      <c r="D11481" s="0" t="s">
        <v>15522</v>
      </c>
      <c r="E11481" s="0" t="inlineStr">
        <is>
          <t xml:space="preserve">Mazda</t>
        </is>
      </c>
      <c r="F11481" s="0" t="s">
        <v>13</v>
      </c>
      <c r="G11481" s="0" t="s">
        <v>49</v>
      </c>
      <c r="H11481" s="5">
        <v>1004.711800</v>
      </c>
    </row>
    <row r="11482" spans="1:9">
      <c r="A11482" s="22" t="str">
        <f>HYPERLINK("https://app.vivvix.com/360/KMI/IntelliDrive/ApplUI/Pages/CreativePages/CustomReportCreativeDetail.aspx?App=23&amp;ReportView=4&amp;Qid=1711279&amp;Row=11474&amp;Col=1","No Title Assigned - #15272504086")</f>
        <v/>
      </c>
      <c r="B11482" s="0" t="s">
        <v>15523</v>
      </c>
      <c r="C11482" s="0" t="s">
        <v>15524</v>
      </c>
      <c r="D11482" s="0" t="s">
        <v>15524</v>
      </c>
      <c r="E11482" s="0" t="inlineStr">
        <is>
          <t xml:space="preserve">Mazda</t>
        </is>
      </c>
      <c r="F11482" s="0" t="s">
        <v>13</v>
      </c>
      <c r="G11482" s="0" t="s">
        <v>49</v>
      </c>
      <c r="H11482" s="5">
        <v>106.083100</v>
      </c>
    </row>
    <row r="11483" spans="1:9">
      <c r="A11483" s="22" t="str">
        <f>HYPERLINK("https://app.vivvix.com/360/KMI/IntelliDrive/ApplUI/Pages/CreativePages/CustomReportCreativeDetail.aspx?App=23&amp;ReportView=4&amp;Qid=1711279&amp;Row=11475&amp;Col=1","No Title Assigned - #15272504218")</f>
        <v/>
      </c>
      <c r="B11483" s="0" t="s">
        <v>15525</v>
      </c>
      <c r="C11483" s="0" t="s">
        <v>15526</v>
      </c>
      <c r="D11483" s="0" t="s">
        <v>15526</v>
      </c>
      <c r="E11483" s="0" t="inlineStr">
        <is>
          <t xml:space="preserve">Mazda</t>
        </is>
      </c>
      <c r="F11483" s="0" t="inlineStr">
        <is>
          <t xml:space="preserve">Mazda</t>
        </is>
      </c>
      <c r="G11483" s="0" t="s">
        <v>210</v>
      </c>
      <c r="H11483" s="5">
        <v>1226.546800</v>
      </c>
    </row>
    <row r="11484" spans="1:9">
      <c r="A11484" s="22" t="str">
        <f>HYPERLINK("https://app.vivvix.com/360/KMI/IntelliDrive/ApplUI/Pages/CreativePages/CustomReportCreativeDetail.aspx?App=23&amp;ReportView=4&amp;Qid=1711279&amp;Row=11476&amp;Col=1","No Title Assigned - #15272504526")</f>
        <v/>
      </c>
      <c r="B11484" s="0" t="s">
        <v>15527</v>
      </c>
      <c r="C11484" s="0" t="s">
        <v>15528</v>
      </c>
      <c r="D11484" s="0" t="s">
        <v>15528</v>
      </c>
      <c r="E11484" s="0" t="inlineStr">
        <is>
          <t xml:space="preserve">Mazda</t>
        </is>
      </c>
      <c r="F11484" s="0" t="s">
        <v>13</v>
      </c>
      <c r="G11484" s="0" t="s">
        <v>49</v>
      </c>
      <c r="H11484" s="5">
        <v>33.435300</v>
      </c>
    </row>
    <row r="11485" spans="1:9">
      <c r="A11485" s="22" t="str">
        <f>HYPERLINK("https://app.vivvix.com/360/KMI/IntelliDrive/ApplUI/Pages/CreativePages/CustomReportCreativeDetail.aspx?App=23&amp;ReportView=4&amp;Qid=1711279&amp;Row=11477&amp;Col=1","No Title Assigned - #15272504651")</f>
        <v/>
      </c>
      <c r="B11485" s="0" t="s">
        <v>15529</v>
      </c>
      <c r="C11485" s="0" t="s">
        <v>15530</v>
      </c>
      <c r="D11485" s="0" t="s">
        <v>15530</v>
      </c>
      <c r="E11485" s="0" t="inlineStr">
        <is>
          <t xml:space="preserve">Mazda</t>
        </is>
      </c>
      <c r="F11485" s="0" t="s">
        <v>13</v>
      </c>
      <c r="G11485" s="0" t="s">
        <v>49</v>
      </c>
      <c r="H11485" s="5">
        <v>3012.492900</v>
      </c>
    </row>
    <row r="11486" spans="1:9">
      <c r="A11486" s="22" t="str">
        <f>HYPERLINK("https://app.vivvix.com/360/KMI/IntelliDrive/ApplUI/Pages/CreativePages/CustomReportCreativeDetail.aspx?App=23&amp;ReportView=4&amp;Qid=1711279&amp;Row=11478&amp;Col=1","No Title Assigned - #15272504849")</f>
        <v/>
      </c>
      <c r="B11486" s="0" t="s">
        <v>15531</v>
      </c>
      <c r="C11486" s="0" t="s">
        <v>15532</v>
      </c>
      <c r="D11486" s="0" t="s">
        <v>15532</v>
      </c>
      <c r="E11486" s="0" t="inlineStr">
        <is>
          <t xml:space="preserve">Mazda</t>
        </is>
      </c>
      <c r="F11486" s="0" t="s">
        <v>28</v>
      </c>
      <c r="G11486" s="0" t="s">
        <v>29</v>
      </c>
      <c r="H11486" s="5">
        <v>1792.476100</v>
      </c>
    </row>
    <row r="11487" spans="1:9">
      <c r="A11487" s="22" t="str">
        <f>HYPERLINK("https://app.vivvix.com/360/KMI/IntelliDrive/ApplUI/Pages/CreativePages/CustomReportCreativeDetail.aspx?App=23&amp;ReportView=4&amp;Qid=1711279&amp;Row=11479&amp;Col=1","No Title Assigned - #15272505632")</f>
        <v/>
      </c>
      <c r="B11487" s="0" t="s">
        <v>15533</v>
      </c>
      <c r="C11487" s="0" t="s">
        <v>15534</v>
      </c>
      <c r="D11487" s="0" t="s">
        <v>15534</v>
      </c>
      <c r="E11487" s="0" t="inlineStr">
        <is>
          <t xml:space="preserve">Mazda</t>
        </is>
      </c>
      <c r="F11487" s="0" t="s">
        <v>28</v>
      </c>
      <c r="G11487" s="0" t="s">
        <v>29</v>
      </c>
      <c r="H11487" s="5">
        <v>11.006000</v>
      </c>
    </row>
    <row r="11488" spans="1:9">
      <c r="A11488" s="22" t="str">
        <f>HYPERLINK("https://app.vivvix.com/360/KMI/IntelliDrive/ApplUI/Pages/CreativePages/CustomReportCreativeDetail.aspx?App=23&amp;ReportView=4&amp;Qid=1711279&amp;Row=11480&amp;Col=1","No Title Assigned - #15272505963")</f>
        <v/>
      </c>
      <c r="B11488" s="0" t="s">
        <v>15535</v>
      </c>
      <c r="C11488" s="0" t="s">
        <v>15536</v>
      </c>
      <c r="D11488" s="0" t="s">
        <v>15536</v>
      </c>
      <c r="E11488" s="0" t="inlineStr">
        <is>
          <t xml:space="preserve">Mazda</t>
        </is>
      </c>
      <c r="F11488" s="0" t="s">
        <v>28</v>
      </c>
      <c r="G11488" s="0" t="s">
        <v>29</v>
      </c>
      <c r="H11488" s="5">
        <v>139.969100</v>
      </c>
    </row>
    <row r="11489" spans="1:9">
      <c r="A11489" s="22" t="str">
        <f>HYPERLINK("https://app.vivvix.com/360/KMI/IntelliDrive/ApplUI/Pages/CreativePages/CustomReportCreativeDetail.aspx?App=23&amp;ReportView=4&amp;Qid=1711279&amp;Row=11481&amp;Col=1","No Title Assigned - #15272505963")</f>
        <v/>
      </c>
      <c r="B11489" s="0" t="s">
        <v>15535</v>
      </c>
      <c r="E11489" s="0" t="inlineStr">
        <is>
          <t xml:space="preserve">Mazda</t>
        </is>
      </c>
      <c r="F11489" s="0" t="s">
        <v>28</v>
      </c>
      <c r="G11489" s="0" t="s">
        <v>29</v>
      </c>
      <c r="H11489" s="5">
        <v>501.276600</v>
      </c>
    </row>
    <row r="11490" spans="1:9">
      <c r="A11490" s="22" t="str">
        <f>HYPERLINK("https://app.vivvix.com/360/KMI/IntelliDrive/ApplUI/Pages/CreativePages/CustomReportCreativeDetail.aspx?App=23&amp;ReportView=4&amp;Qid=1711279&amp;Row=11482&amp;Col=1","No Title Assigned - #15272505964")</f>
        <v/>
      </c>
      <c r="B11490" s="0" t="s">
        <v>15537</v>
      </c>
      <c r="C11490" s="0" t="s">
        <v>15538</v>
      </c>
      <c r="D11490" s="0" t="s">
        <v>15538</v>
      </c>
      <c r="E11490" s="0" t="inlineStr">
        <is>
          <t xml:space="preserve">Mazda</t>
        </is>
      </c>
      <c r="F11490" s="0" t="s">
        <v>13</v>
      </c>
      <c r="G11490" s="0" t="s">
        <v>49</v>
      </c>
      <c r="H11490" s="5">
        <v>27.845600</v>
      </c>
    </row>
    <row r="11491" spans="1:9">
      <c r="A11491" s="22" t="str">
        <f>HYPERLINK("https://app.vivvix.com/360/KMI/IntelliDrive/ApplUI/Pages/CreativePages/CustomReportCreativeDetail.aspx?App=23&amp;ReportView=4&amp;Qid=1711279&amp;Row=11483&amp;Col=1","No Title Assigned - #15272506397")</f>
        <v/>
      </c>
      <c r="B11491" s="0" t="s">
        <v>15539</v>
      </c>
      <c r="C11491" s="0" t="s">
        <v>15540</v>
      </c>
      <c r="D11491" s="0" t="s">
        <v>14835</v>
      </c>
      <c r="E11491" s="0" t="inlineStr">
        <is>
          <t xml:space="preserve">Mazda</t>
        </is>
      </c>
      <c r="F11491" s="0" t="s">
        <v>21</v>
      </c>
      <c r="G11491" s="0" t="s">
        <v>22</v>
      </c>
      <c r="H11491" s="5">
        <v>4641.349100</v>
      </c>
    </row>
    <row r="11492" spans="1:9">
      <c r="A11492" s="22" t="str">
        <f>HYPERLINK("https://app.vivvix.com/360/KMI/IntelliDrive/ApplUI/Pages/CreativePages/CustomReportCreativeDetail.aspx?App=23&amp;ReportView=4&amp;Qid=1711279&amp;Row=11484&amp;Col=1","No Title Assigned - #15272506568")</f>
        <v/>
      </c>
      <c r="B11492" s="0" t="s">
        <v>15541</v>
      </c>
      <c r="C11492" s="0" t="s">
        <v>15542</v>
      </c>
      <c r="D11492" s="0" t="s">
        <v>8588</v>
      </c>
      <c r="E11492" s="0" t="inlineStr">
        <is>
          <t xml:space="preserve">Mazda</t>
        </is>
      </c>
      <c r="F11492" s="0" t="s">
        <v>13</v>
      </c>
      <c r="G11492" s="0" t="s">
        <v>49</v>
      </c>
      <c r="H11492" s="5">
        <v>11.208600</v>
      </c>
    </row>
    <row r="11493" spans="1:9">
      <c r="A11493" s="22" t="str">
        <f>HYPERLINK("https://app.vivvix.com/360/KMI/IntelliDrive/ApplUI/Pages/CreativePages/CustomReportCreativeDetail.aspx?App=23&amp;ReportView=4&amp;Qid=1711279&amp;Row=11485&amp;Col=1","No Title Assigned - #15272507336")</f>
        <v/>
      </c>
      <c r="B11493" s="0" t="s">
        <v>15543</v>
      </c>
      <c r="C11493" s="0" t="s">
        <v>15544</v>
      </c>
      <c r="D11493" s="0" t="s">
        <v>15544</v>
      </c>
      <c r="E11493" s="0" t="inlineStr">
        <is>
          <t xml:space="preserve">Mazda</t>
        </is>
      </c>
      <c r="F11493" s="0" t="s">
        <v>13</v>
      </c>
      <c r="G11493" s="0" t="s">
        <v>49</v>
      </c>
      <c r="H11493" s="5">
        <v>2020.637600</v>
      </c>
    </row>
    <row r="11494" spans="1:9">
      <c r="A11494" s="22" t="str">
        <f>HYPERLINK("https://app.vivvix.com/360/KMI/IntelliDrive/ApplUI/Pages/CreativePages/CustomReportCreativeDetail.aspx?App=23&amp;ReportView=4&amp;Qid=1711279&amp;Row=11486&amp;Col=1","No Title Assigned - #15272507575")</f>
        <v/>
      </c>
      <c r="B11494" s="0" t="s">
        <v>15545</v>
      </c>
      <c r="C11494" s="0" t="s">
        <v>15546</v>
      </c>
      <c r="D11494" s="0" t="s">
        <v>15546</v>
      </c>
      <c r="E11494" s="0" t="inlineStr">
        <is>
          <t xml:space="preserve">Mazda</t>
        </is>
      </c>
      <c r="F11494" s="0" t="s">
        <v>13</v>
      </c>
      <c r="G11494" s="0" t="s">
        <v>49</v>
      </c>
      <c r="H11494" s="5">
        <v>46.622200</v>
      </c>
    </row>
    <row r="11495" spans="1:9">
      <c r="A11495" s="22" t="str">
        <f>HYPERLINK("https://app.vivvix.com/360/KMI/IntelliDrive/ApplUI/Pages/CreativePages/CustomReportCreativeDetail.aspx?App=23&amp;ReportView=4&amp;Qid=1711279&amp;Row=11487&amp;Col=1","No Title Assigned - #15272508243")</f>
        <v/>
      </c>
      <c r="B11495" s="0" t="s">
        <v>15547</v>
      </c>
      <c r="E11495" s="0" t="inlineStr">
        <is>
          <t xml:space="preserve">Mazda</t>
        </is>
      </c>
      <c r="F11495" s="0" t="inlineStr">
        <is>
          <t xml:space="preserve">Mazda</t>
        </is>
      </c>
      <c r="G11495" s="0" t="s">
        <v>171</v>
      </c>
      <c r="H11495" s="5">
        <v>114.732400</v>
      </c>
    </row>
    <row r="11496" spans="1:9">
      <c r="A11496" s="22" t="str">
        <f>HYPERLINK("https://app.vivvix.com/360/KMI/IntelliDrive/ApplUI/Pages/CreativePages/CustomReportCreativeDetail.aspx?App=23&amp;ReportView=4&amp;Qid=1711279&amp;Row=11488&amp;Col=1","No Title Assigned - #15272508947")</f>
        <v/>
      </c>
      <c r="B11496" s="0" t="s">
        <v>15548</v>
      </c>
      <c r="E11496" s="0" t="inlineStr">
        <is>
          <t xml:space="preserve">Mazda</t>
        </is>
      </c>
      <c r="F11496" s="0" t="inlineStr">
        <is>
          <t xml:space="preserve">Mazda</t>
        </is>
      </c>
      <c r="G11496" s="0" t="s">
        <v>171</v>
      </c>
      <c r="H11496" s="5">
        <v>35.802400</v>
      </c>
    </row>
    <row r="11497" spans="1:9">
      <c r="A11497" s="22" t="str">
        <f>HYPERLINK("https://app.vivvix.com/360/KMI/IntelliDrive/ApplUI/Pages/CreativePages/CustomReportCreativeDetail.aspx?App=23&amp;ReportView=4&amp;Qid=1711279&amp;Row=11489&amp;Col=1","No Title Assigned - #15272509207")</f>
        <v/>
      </c>
      <c r="B11497" s="0" t="s">
        <v>15549</v>
      </c>
      <c r="E11497" s="0" t="inlineStr">
        <is>
          <t xml:space="preserve">Mazda</t>
        </is>
      </c>
      <c r="F11497" s="0" t="inlineStr">
        <is>
          <t xml:space="preserve">Mazda</t>
        </is>
      </c>
      <c r="G11497" s="0" t="s">
        <v>171</v>
      </c>
      <c r="H11497" s="5">
        <v>4029.088600</v>
      </c>
    </row>
    <row r="11498" spans="1:9">
      <c r="A11498" s="22" t="str">
        <f>HYPERLINK("https://app.vivvix.com/360/KMI/IntelliDrive/ApplUI/Pages/CreativePages/CustomReportCreativeDetail.aspx?App=23&amp;ReportView=4&amp;Qid=1711279&amp;Row=11490&amp;Col=1","No Title Assigned - #15272509207")</f>
        <v/>
      </c>
      <c r="B11498" s="0" t="s">
        <v>15549</v>
      </c>
      <c r="E11498" s="0" t="inlineStr">
        <is>
          <t xml:space="preserve">Mazda</t>
        </is>
      </c>
      <c r="F11498" s="0" t="inlineStr">
        <is>
          <t xml:space="preserve">Mazda</t>
        </is>
      </c>
      <c r="G11498" s="0" t="s">
        <v>171</v>
      </c>
      <c r="H11498" s="5">
        <v>1182.335500</v>
      </c>
    </row>
    <row r="11499" spans="1:9">
      <c r="A11499" s="22" t="str">
        <f>HYPERLINK("https://app.vivvix.com/360/KMI/IntelliDrive/ApplUI/Pages/CreativePages/CustomReportCreativeDetail.aspx?App=23&amp;ReportView=4&amp;Qid=1711279&amp;Row=11491&amp;Col=1","No Title Assigned - #15272510253")</f>
        <v/>
      </c>
      <c r="B11499" s="0" t="s">
        <v>15550</v>
      </c>
      <c r="E11499" s="0" t="inlineStr">
        <is>
          <t xml:space="preserve">Mazda</t>
        </is>
      </c>
      <c r="F11499" s="0" t="inlineStr">
        <is>
          <t xml:space="preserve">Mazda</t>
        </is>
      </c>
      <c r="G11499" s="0" t="s">
        <v>171</v>
      </c>
      <c r="H11499" s="5">
        <v>1975.942700</v>
      </c>
    </row>
    <row r="11500" spans="1:9">
      <c r="A11500" s="22" t="str">
        <f>HYPERLINK("https://app.vivvix.com/360/KMI/IntelliDrive/ApplUI/Pages/CreativePages/CustomReportCreativeDetail.aspx?App=23&amp;ReportView=4&amp;Qid=1711279&amp;Row=11492&amp;Col=1","No Title Assigned - #15272512847")</f>
        <v/>
      </c>
      <c r="B11500" s="0" t="s">
        <v>15551</v>
      </c>
      <c r="E11500" s="0" t="inlineStr">
        <is>
          <t xml:space="preserve">Mazda</t>
        </is>
      </c>
      <c r="F11500" s="0" t="inlineStr">
        <is>
          <t xml:space="preserve">Mazda</t>
        </is>
      </c>
      <c r="G11500" s="0" t="s">
        <v>171</v>
      </c>
      <c r="H11500" s="5">
        <v>2.728500</v>
      </c>
    </row>
    <row r="11501" spans="1:9">
      <c r="A11501" s="22" t="str">
        <f>HYPERLINK("https://app.vivvix.com/360/KMI/IntelliDrive/ApplUI/Pages/CreativePages/CustomReportCreativeDetail.aspx?App=23&amp;ReportView=4&amp;Qid=1711279&amp;Row=11493&amp;Col=1","No Title Assigned - #15272514186")</f>
        <v/>
      </c>
      <c r="B11501" s="0" t="s">
        <v>15552</v>
      </c>
      <c r="C11501" s="0" t="s">
        <v>15553</v>
      </c>
      <c r="D11501" s="0" t="s">
        <v>15553</v>
      </c>
      <c r="E11501" s="0" t="inlineStr">
        <is>
          <t xml:space="preserve">Mazda</t>
        </is>
      </c>
      <c r="F11501" s="0" t="s">
        <v>28</v>
      </c>
      <c r="G11501" s="0" t="s">
        <v>29</v>
      </c>
      <c r="H11501" s="5">
        <v>169.845900</v>
      </c>
    </row>
    <row r="11502" spans="1:9">
      <c r="A11502" s="22" t="str">
        <f>HYPERLINK("https://app.vivvix.com/360/KMI/IntelliDrive/ApplUI/Pages/CreativePages/CustomReportCreativeDetail.aspx?App=23&amp;ReportView=4&amp;Qid=1711279&amp;Row=11494&amp;Col=1","No Title Assigned - #15272514547")</f>
        <v/>
      </c>
      <c r="B11502" s="0" t="s">
        <v>15554</v>
      </c>
      <c r="E11502" s="0" t="inlineStr">
        <is>
          <t xml:space="preserve">Mazda</t>
        </is>
      </c>
      <c r="F11502" s="0" t="inlineStr">
        <is>
          <t xml:space="preserve">Mazda</t>
        </is>
      </c>
      <c r="G11502" s="0" t="s">
        <v>171</v>
      </c>
      <c r="H11502" s="5">
        <v>22.036700</v>
      </c>
    </row>
    <row r="11503" spans="1:9">
      <c r="A11503" s="22" t="str">
        <f>HYPERLINK("https://app.vivvix.com/360/KMI/IntelliDrive/ApplUI/Pages/CreativePages/CustomReportCreativeDetail.aspx?App=23&amp;ReportView=4&amp;Qid=1711279&amp;Row=11495&amp;Col=1","No Title Assigned - #15272517262")</f>
        <v/>
      </c>
      <c r="B11503" s="0" t="s">
        <v>15555</v>
      </c>
      <c r="E11503" s="0" t="inlineStr">
        <is>
          <t xml:space="preserve">Mazda</t>
        </is>
      </c>
      <c r="F11503" s="0" t="inlineStr">
        <is>
          <t xml:space="preserve">Mazda</t>
        </is>
      </c>
      <c r="G11503" s="0" t="s">
        <v>171</v>
      </c>
      <c r="H11503" s="5">
        <v>2353.370400</v>
      </c>
    </row>
    <row r="11504" spans="1:9">
      <c r="A11504" s="22" t="str">
        <f>HYPERLINK("https://app.vivvix.com/360/KMI/IntelliDrive/ApplUI/Pages/CreativePages/CustomReportCreativeDetail.aspx?App=23&amp;ReportView=4&amp;Qid=1711279&amp;Row=11496&amp;Col=1","No Title Assigned - #15272519173")</f>
        <v/>
      </c>
      <c r="B11504" s="0" t="s">
        <v>15556</v>
      </c>
      <c r="E11504" s="0" t="inlineStr">
        <is>
          <t xml:space="preserve">Mazda</t>
        </is>
      </c>
      <c r="F11504" s="0" t="inlineStr">
        <is>
          <t xml:space="preserve">Mazda</t>
        </is>
      </c>
      <c r="G11504" s="0" t="s">
        <v>171</v>
      </c>
      <c r="H11504" s="5">
        <v>83217.841800</v>
      </c>
    </row>
    <row r="11505" spans="1:9">
      <c r="A11505" s="22" t="str">
        <f>HYPERLINK("https://app.vivvix.com/360/KMI/IntelliDrive/ApplUI/Pages/CreativePages/CustomReportCreativeDetail.aspx?App=23&amp;ReportView=4&amp;Qid=1711279&amp;Row=11497&amp;Col=1","No Title Assigned - #15272523425")</f>
        <v/>
      </c>
      <c r="B11505" s="0" t="s">
        <v>15557</v>
      </c>
      <c r="E11505" s="0" t="inlineStr">
        <is>
          <t xml:space="preserve">Mazda</t>
        </is>
      </c>
      <c r="F11505" s="0" t="inlineStr">
        <is>
          <t xml:space="preserve">Mazda</t>
        </is>
      </c>
      <c r="G11505" s="0" t="s">
        <v>171</v>
      </c>
      <c r="H11505" s="5">
        <v>5.926900</v>
      </c>
    </row>
    <row r="11506" spans="1:9">
      <c r="A11506" s="22" t="str">
        <f>HYPERLINK("https://app.vivvix.com/360/KMI/IntelliDrive/ApplUI/Pages/CreativePages/CustomReportCreativeDetail.aspx?App=23&amp;ReportView=4&amp;Qid=1711279&amp;Row=11498&amp;Col=1","No Title Assigned - #15272529305")</f>
        <v/>
      </c>
      <c r="B11506" s="0" t="s">
        <v>15558</v>
      </c>
      <c r="E11506" s="0" t="inlineStr">
        <is>
          <t xml:space="preserve">Mazda</t>
        </is>
      </c>
      <c r="F11506" s="0" t="inlineStr">
        <is>
          <t xml:space="preserve">Mazda</t>
        </is>
      </c>
      <c r="G11506" s="0" t="s">
        <v>171</v>
      </c>
      <c r="H11506" s="5">
        <v>220.461700</v>
      </c>
    </row>
    <row r="11507" spans="1:9">
      <c r="A11507" s="22" t="str">
        <f>HYPERLINK("https://app.vivvix.com/360/KMI/IntelliDrive/ApplUI/Pages/CreativePages/CustomReportCreativeDetail.aspx?App=23&amp;ReportView=4&amp;Qid=1711279&amp;Row=11499&amp;Col=1","No Title Assigned - #15272529676")</f>
        <v/>
      </c>
      <c r="B11507" s="0" t="s">
        <v>15559</v>
      </c>
      <c r="E11507" s="0" t="inlineStr">
        <is>
          <t xml:space="preserve">Mazda</t>
        </is>
      </c>
      <c r="F11507" s="0" t="inlineStr">
        <is>
          <t xml:space="preserve">Mazda</t>
        </is>
      </c>
      <c r="G11507" s="0" t="s">
        <v>171</v>
      </c>
      <c r="H11507" s="5">
        <v>5.421700</v>
      </c>
    </row>
    <row r="11508" spans="1:9">
      <c r="A11508" s="22" t="str">
        <f>HYPERLINK("https://app.vivvix.com/360/KMI/IntelliDrive/ApplUI/Pages/CreativePages/CustomReportCreativeDetail.aspx?App=23&amp;ReportView=4&amp;Qid=1711279&amp;Row=11500&amp;Col=1","No Title Assigned - #15272530064")</f>
        <v/>
      </c>
      <c r="B11508" s="0" t="s">
        <v>15560</v>
      </c>
      <c r="E11508" s="0" t="inlineStr">
        <is>
          <t xml:space="preserve">Mazda</t>
        </is>
      </c>
      <c r="F11508" s="0" t="inlineStr">
        <is>
          <t xml:space="preserve">Mazda</t>
        </is>
      </c>
      <c r="G11508" s="0" t="s">
        <v>171</v>
      </c>
      <c r="H11508" s="5">
        <v>9.222900</v>
      </c>
    </row>
    <row r="11509" spans="1:9">
      <c r="A11509" s="22" t="str">
        <f>HYPERLINK("https://app.vivvix.com/360/KMI/IntelliDrive/ApplUI/Pages/CreativePages/CustomReportCreativeDetail.aspx?App=23&amp;ReportView=4&amp;Qid=1711279&amp;Row=11501&amp;Col=1","No Title Assigned - #15272532305")</f>
        <v/>
      </c>
      <c r="B11509" s="0" t="s">
        <v>15561</v>
      </c>
      <c r="E11509" s="0" t="inlineStr">
        <is>
          <t xml:space="preserve">Mazda</t>
        </is>
      </c>
      <c r="F11509" s="0" t="inlineStr">
        <is>
          <t xml:space="preserve">Mazda</t>
        </is>
      </c>
      <c r="G11509" s="0" t="s">
        <v>171</v>
      </c>
      <c r="H11509" s="5">
        <v>31.817500</v>
      </c>
    </row>
    <row r="11510" spans="1:9">
      <c r="A11510" s="22" t="str">
        <f>HYPERLINK("https://app.vivvix.com/360/KMI/IntelliDrive/ApplUI/Pages/CreativePages/CustomReportCreativeDetail.aspx?App=23&amp;ReportView=4&amp;Qid=1711279&amp;Row=11502&amp;Col=1","No Title Assigned - #15272532507")</f>
        <v/>
      </c>
      <c r="B11510" s="0" t="s">
        <v>15562</v>
      </c>
      <c r="E11510" s="0" t="inlineStr">
        <is>
          <t xml:space="preserve">Mazda</t>
        </is>
      </c>
      <c r="F11510" s="0" t="inlineStr">
        <is>
          <t xml:space="preserve">Mazda</t>
        </is>
      </c>
      <c r="G11510" s="0" t="s">
        <v>171</v>
      </c>
      <c r="H11510" s="5">
        <v>5.804100</v>
      </c>
    </row>
    <row r="11511" spans="1:9">
      <c r="A11511" s="22" t="str">
        <f>HYPERLINK("https://app.vivvix.com/360/KMI/IntelliDrive/ApplUI/Pages/CreativePages/CustomReportCreativeDetail.aspx?App=23&amp;ReportView=4&amp;Qid=1711279&amp;Row=11503&amp;Col=1","No Title Assigned - #15272532856")</f>
        <v/>
      </c>
      <c r="B11511" s="0" t="s">
        <v>15563</v>
      </c>
      <c r="E11511" s="0" t="inlineStr">
        <is>
          <t xml:space="preserve">Mazda</t>
        </is>
      </c>
      <c r="F11511" s="0" t="inlineStr">
        <is>
          <t xml:space="preserve">Mazda</t>
        </is>
      </c>
      <c r="G11511" s="0" t="s">
        <v>171</v>
      </c>
      <c r="H11511" s="5">
        <v>1.030500</v>
      </c>
    </row>
    <row r="11512" spans="1:9">
      <c r="A11512" s="22" t="str">
        <f>HYPERLINK("https://app.vivvix.com/360/KMI/IntelliDrive/ApplUI/Pages/CreativePages/CustomReportCreativeDetail.aspx?App=23&amp;ReportView=4&amp;Qid=1711279&amp;Row=11504&amp;Col=1","No Title Assigned - #15272533961")</f>
        <v/>
      </c>
      <c r="B11512" s="0" t="s">
        <v>15564</v>
      </c>
      <c r="E11512" s="0" t="inlineStr">
        <is>
          <t xml:space="preserve">Mazda</t>
        </is>
      </c>
      <c r="F11512" s="0" t="inlineStr">
        <is>
          <t xml:space="preserve">Mazda</t>
        </is>
      </c>
      <c r="G11512" s="0" t="s">
        <v>171</v>
      </c>
      <c r="H11512" s="5">
        <v>793.337000</v>
      </c>
    </row>
    <row r="11513" spans="1:9">
      <c r="A11513" s="22" t="str">
        <f>HYPERLINK("https://app.vivvix.com/360/KMI/IntelliDrive/ApplUI/Pages/CreativePages/CustomReportCreativeDetail.aspx?App=23&amp;ReportView=4&amp;Qid=1711279&amp;Row=11505&amp;Col=1","No Title Assigned - #15272541750")</f>
        <v/>
      </c>
      <c r="B11513" s="0" t="s">
        <v>15565</v>
      </c>
      <c r="E11513" s="0" t="inlineStr">
        <is>
          <t xml:space="preserve">Mazda</t>
        </is>
      </c>
      <c r="F11513" s="0" t="inlineStr">
        <is>
          <t xml:space="preserve">Mazda</t>
        </is>
      </c>
      <c r="G11513" s="0" t="s">
        <v>171</v>
      </c>
      <c r="H11513" s="5">
        <v>50.996200</v>
      </c>
    </row>
    <row r="11514" spans="1:9">
      <c r="A11514" s="22" t="str">
        <f>HYPERLINK("https://app.vivvix.com/360/KMI/IntelliDrive/ApplUI/Pages/CreativePages/CustomReportCreativeDetail.aspx?App=23&amp;ReportView=4&amp;Qid=1711279&amp;Row=11506&amp;Col=1","No Title Assigned - #15272542541")</f>
        <v/>
      </c>
      <c r="B11514" s="0" t="s">
        <v>15566</v>
      </c>
      <c r="E11514" s="0" t="inlineStr">
        <is>
          <t xml:space="preserve">Mazda</t>
        </is>
      </c>
      <c r="F11514" s="0" t="inlineStr">
        <is>
          <t xml:space="preserve">Mazda</t>
        </is>
      </c>
      <c r="G11514" s="0" t="s">
        <v>171</v>
      </c>
      <c r="H11514" s="5">
        <v>346.356100</v>
      </c>
    </row>
    <row r="11515" spans="1:9">
      <c r="A11515" s="22" t="str">
        <f>HYPERLINK("https://app.vivvix.com/360/KMI/IntelliDrive/ApplUI/Pages/CreativePages/CustomReportCreativeDetail.aspx?App=23&amp;ReportView=4&amp;Qid=1711279&amp;Row=11507&amp;Col=1","No Title Assigned - #15272543297")</f>
        <v/>
      </c>
      <c r="B11515" s="0" t="s">
        <v>15567</v>
      </c>
      <c r="E11515" s="0" t="inlineStr">
        <is>
          <t xml:space="preserve">Mazda</t>
        </is>
      </c>
      <c r="F11515" s="0" t="inlineStr">
        <is>
          <t xml:space="preserve">Mazda</t>
        </is>
      </c>
      <c r="G11515" s="0" t="s">
        <v>171</v>
      </c>
      <c r="H11515" s="5">
        <v>13.141100</v>
      </c>
    </row>
    <row r="11516" spans="1:9">
      <c r="A11516" s="22" t="str">
        <f>HYPERLINK("https://app.vivvix.com/360/KMI/IntelliDrive/ApplUI/Pages/CreativePages/CustomReportCreativeDetail.aspx?App=23&amp;ReportView=4&amp;Qid=1711279&amp;Row=11508&amp;Col=1","No Title Assigned - #15272543559")</f>
        <v/>
      </c>
      <c r="B11516" s="0" t="s">
        <v>15568</v>
      </c>
      <c r="C11516" s="0" t="s">
        <v>15569</v>
      </c>
      <c r="D11516" s="0" t="s">
        <v>15569</v>
      </c>
      <c r="E11516" s="0" t="inlineStr">
        <is>
          <t xml:space="preserve">Mazda</t>
        </is>
      </c>
      <c r="F11516" s="0" t="inlineStr">
        <is>
          <t xml:space="preserve">Mazda</t>
        </is>
      </c>
      <c r="G11516" s="0" t="s">
        <v>171</v>
      </c>
      <c r="H11516" s="5">
        <v>4.736900</v>
      </c>
    </row>
    <row r="11517" spans="1:9">
      <c r="A11517" s="22" t="str">
        <f>HYPERLINK("https://app.vivvix.com/360/KMI/IntelliDrive/ApplUI/Pages/CreativePages/CustomReportCreativeDetail.aspx?App=23&amp;ReportView=4&amp;Qid=1711279&amp;Row=11509&amp;Col=1","No Title Assigned - #15272543702")</f>
        <v/>
      </c>
      <c r="B11517" s="0" t="s">
        <v>15570</v>
      </c>
      <c r="C11517" s="0" t="s">
        <v>15571</v>
      </c>
      <c r="D11517" s="0" t="s">
        <v>15571</v>
      </c>
      <c r="E11517" s="0" t="inlineStr">
        <is>
          <t xml:space="preserve">Mazda</t>
        </is>
      </c>
      <c r="F11517" s="0" t="inlineStr">
        <is>
          <t xml:space="preserve">Mazda</t>
        </is>
      </c>
      <c r="G11517" s="0" t="s">
        <v>171</v>
      </c>
      <c r="H11517" s="5">
        <v>4.736900</v>
      </c>
    </row>
    <row r="11518" spans="1:9">
      <c r="A11518" s="22" t="str">
        <f>HYPERLINK("https://app.vivvix.com/360/KMI/IntelliDrive/ApplUI/Pages/CreativePages/CustomReportCreativeDetail.aspx?App=23&amp;ReportView=4&amp;Qid=1711279&amp;Row=11510&amp;Col=1","No Title Assigned - #15272543943")</f>
        <v/>
      </c>
      <c r="B11518" s="0" t="s">
        <v>15572</v>
      </c>
      <c r="E11518" s="0" t="inlineStr">
        <is>
          <t xml:space="preserve">Mazda</t>
        </is>
      </c>
      <c r="F11518" s="0" t="inlineStr">
        <is>
          <t xml:space="preserve">Mazda</t>
        </is>
      </c>
      <c r="G11518" s="0" t="s">
        <v>171</v>
      </c>
      <c r="H11518" s="5">
        <v>6875.335100</v>
      </c>
    </row>
    <row r="11519" spans="1:9">
      <c r="A11519" s="22" t="str">
        <f>HYPERLINK("https://app.vivvix.com/360/KMI/IntelliDrive/ApplUI/Pages/CreativePages/CustomReportCreativeDetail.aspx?App=23&amp;ReportView=4&amp;Qid=1711279&amp;Row=11511&amp;Col=1","No Title Assigned - #15272544303")</f>
        <v/>
      </c>
      <c r="B11519" s="0" t="s">
        <v>15573</v>
      </c>
      <c r="E11519" s="0" t="inlineStr">
        <is>
          <t xml:space="preserve">Mazda</t>
        </is>
      </c>
      <c r="F11519" s="0" t="inlineStr">
        <is>
          <t xml:space="preserve">Mazda</t>
        </is>
      </c>
      <c r="G11519" s="0" t="s">
        <v>171</v>
      </c>
      <c r="H11519" s="5">
        <v>3.459800</v>
      </c>
    </row>
    <row r="11520" spans="1:9">
      <c r="A11520" s="22" t="str">
        <f>HYPERLINK("https://app.vivvix.com/360/KMI/IntelliDrive/ApplUI/Pages/CreativePages/CustomReportCreativeDetail.aspx?App=23&amp;ReportView=4&amp;Qid=1711279&amp;Row=11512&amp;Col=1","No Title Assigned - #15272545887")</f>
        <v/>
      </c>
      <c r="B11520" s="0" t="s">
        <v>15574</v>
      </c>
      <c r="E11520" s="0" t="inlineStr">
        <is>
          <t xml:space="preserve">Mazda</t>
        </is>
      </c>
      <c r="F11520" s="0" t="inlineStr">
        <is>
          <t xml:space="preserve">Mazda</t>
        </is>
      </c>
      <c r="G11520" s="0" t="s">
        <v>171</v>
      </c>
      <c r="H11520" s="5">
        <v>8952.478100</v>
      </c>
    </row>
    <row r="11521" spans="1:9">
      <c r="A11521" s="22" t="str">
        <f>HYPERLINK("https://app.vivvix.com/360/KMI/IntelliDrive/ApplUI/Pages/CreativePages/CustomReportCreativeDetail.aspx?App=23&amp;ReportView=4&amp;Qid=1711279&amp;Row=11513&amp;Col=1","No Title Assigned - #15272545887")</f>
        <v/>
      </c>
      <c r="B11521" s="0" t="s">
        <v>15574</v>
      </c>
      <c r="E11521" s="0" t="inlineStr">
        <is>
          <t xml:space="preserve">Mazda</t>
        </is>
      </c>
      <c r="F11521" s="0" t="inlineStr">
        <is>
          <t xml:space="preserve">Mazda</t>
        </is>
      </c>
      <c r="G11521" s="0" t="s">
        <v>171</v>
      </c>
      <c r="H11521" s="5">
        <v>7934.857600</v>
      </c>
    </row>
    <row r="11522" spans="1:9">
      <c r="A11522" s="22" t="str">
        <f>HYPERLINK("https://app.vivvix.com/360/KMI/IntelliDrive/ApplUI/Pages/CreativePages/CustomReportCreativeDetail.aspx?App=23&amp;ReportView=4&amp;Qid=1711279&amp;Row=11514&amp;Col=1","No Title Assigned - #15272546034")</f>
        <v/>
      </c>
      <c r="B11522" s="0" t="s">
        <v>15575</v>
      </c>
      <c r="E11522" s="0" t="inlineStr">
        <is>
          <t xml:space="preserve">Mazda</t>
        </is>
      </c>
      <c r="F11522" s="0" t="inlineStr">
        <is>
          <t xml:space="preserve">Mazda</t>
        </is>
      </c>
      <c r="G11522" s="0" t="s">
        <v>171</v>
      </c>
      <c r="H11522" s="5">
        <v>7.465800</v>
      </c>
    </row>
    <row r="11523" spans="1:9">
      <c r="A11523" s="22" t="str">
        <f>HYPERLINK("https://app.vivvix.com/360/KMI/IntelliDrive/ApplUI/Pages/CreativePages/CustomReportCreativeDetail.aspx?App=23&amp;ReportView=4&amp;Qid=1711279&amp;Row=11515&amp;Col=1","No Title Assigned - #15272546203")</f>
        <v/>
      </c>
      <c r="B11523" s="0" t="s">
        <v>15576</v>
      </c>
      <c r="C11523" s="0" t="s">
        <v>15577</v>
      </c>
      <c r="D11523" s="0" t="s">
        <v>15577</v>
      </c>
      <c r="E11523" s="0" t="inlineStr">
        <is>
          <t xml:space="preserve">Mazda</t>
        </is>
      </c>
      <c r="F11523" s="0" t="inlineStr">
        <is>
          <t xml:space="preserve">Mazda</t>
        </is>
      </c>
      <c r="G11523" s="0" t="s">
        <v>171</v>
      </c>
      <c r="H11523" s="5">
        <v>25.270100</v>
      </c>
    </row>
    <row r="11524" spans="1:9">
      <c r="A11524" s="22" t="str">
        <f>HYPERLINK("https://app.vivvix.com/360/KMI/IntelliDrive/ApplUI/Pages/CreativePages/CustomReportCreativeDetail.aspx?App=23&amp;ReportView=4&amp;Qid=1711279&amp;Row=11516&amp;Col=1","No Title Assigned - #15272546378")</f>
        <v/>
      </c>
      <c r="B11524" s="0" t="s">
        <v>15578</v>
      </c>
      <c r="E11524" s="0" t="inlineStr">
        <is>
          <t xml:space="preserve">Mazda</t>
        </is>
      </c>
      <c r="F11524" s="0" t="inlineStr">
        <is>
          <t xml:space="preserve">Mazda</t>
        </is>
      </c>
      <c r="G11524" s="0" t="s">
        <v>171</v>
      </c>
      <c r="H11524" s="5">
        <v>64.443200</v>
      </c>
    </row>
    <row r="11525" spans="1:9">
      <c r="A11525" s="22" t="str">
        <f>HYPERLINK("https://app.vivvix.com/360/KMI/IntelliDrive/ApplUI/Pages/CreativePages/CustomReportCreativeDetail.aspx?App=23&amp;ReportView=4&amp;Qid=1711279&amp;Row=11517&amp;Col=1","No Title Assigned - #15272547108")</f>
        <v/>
      </c>
      <c r="B11525" s="0" t="s">
        <v>15579</v>
      </c>
      <c r="E11525" s="0" t="inlineStr">
        <is>
          <t xml:space="preserve">Mazda</t>
        </is>
      </c>
      <c r="F11525" s="0" t="inlineStr">
        <is>
          <t xml:space="preserve">Mazda</t>
        </is>
      </c>
      <c r="G11525" s="0" t="s">
        <v>171</v>
      </c>
      <c r="H11525" s="5">
        <v>7.024000</v>
      </c>
    </row>
    <row r="11526" spans="1:9">
      <c r="A11526" s="22" t="str">
        <f>HYPERLINK("https://app.vivvix.com/360/KMI/IntelliDrive/ApplUI/Pages/CreativePages/CustomReportCreativeDetail.aspx?App=23&amp;ReportView=4&amp;Qid=1711279&amp;Row=11518&amp;Col=1","No Title Assigned - #15272547220")</f>
        <v/>
      </c>
      <c r="B11526" s="0" t="s">
        <v>15580</v>
      </c>
      <c r="C11526" s="0" t="s">
        <v>15581</v>
      </c>
      <c r="D11526" s="0" t="s">
        <v>15581</v>
      </c>
      <c r="E11526" s="0" t="inlineStr">
        <is>
          <t xml:space="preserve">Mazda</t>
        </is>
      </c>
      <c r="F11526" s="0" t="inlineStr">
        <is>
          <t xml:space="preserve">Mazda</t>
        </is>
      </c>
      <c r="G11526" s="0" t="s">
        <v>171</v>
      </c>
      <c r="H11526" s="5">
        <v>52.497600</v>
      </c>
    </row>
    <row r="11527" spans="1:9">
      <c r="A11527" s="22" t="str">
        <f>HYPERLINK("https://app.vivvix.com/360/KMI/IntelliDrive/ApplUI/Pages/CreativePages/CustomReportCreativeDetail.aspx?App=23&amp;ReportView=4&amp;Qid=1711279&amp;Row=11519&amp;Col=1","No Title Assigned - #15272547343")</f>
        <v/>
      </c>
      <c r="B11527" s="0" t="s">
        <v>15582</v>
      </c>
      <c r="E11527" s="0" t="inlineStr">
        <is>
          <t xml:space="preserve">Mazda</t>
        </is>
      </c>
      <c r="F11527" s="0" t="inlineStr">
        <is>
          <t xml:space="preserve">Mazda</t>
        </is>
      </c>
      <c r="G11527" s="0" t="s">
        <v>171</v>
      </c>
      <c r="H11527" s="5">
        <v>17.724600</v>
      </c>
    </row>
    <row r="11528" spans="1:9">
      <c r="A11528" s="22" t="str">
        <f>HYPERLINK("https://app.vivvix.com/360/KMI/IntelliDrive/ApplUI/Pages/CreativePages/CustomReportCreativeDetail.aspx?App=23&amp;ReportView=4&amp;Qid=1711279&amp;Row=11520&amp;Col=1","No Title Assigned - #15272547780")</f>
        <v/>
      </c>
      <c r="B11528" s="0" t="s">
        <v>15583</v>
      </c>
      <c r="E11528" s="0" t="inlineStr">
        <is>
          <t xml:space="preserve">Mazda</t>
        </is>
      </c>
      <c r="F11528" s="0" t="inlineStr">
        <is>
          <t xml:space="preserve">Mazda</t>
        </is>
      </c>
      <c r="G11528" s="0" t="s">
        <v>171</v>
      </c>
      <c r="H11528" s="5">
        <v>29.125100</v>
      </c>
    </row>
    <row r="11529" spans="1:9">
      <c r="A11529" s="22" t="str">
        <f>HYPERLINK("https://app.vivvix.com/360/KMI/IntelliDrive/ApplUI/Pages/CreativePages/CustomReportCreativeDetail.aspx?App=23&amp;ReportView=4&amp;Qid=1711279&amp;Row=11521&amp;Col=1","No Title Assigned - #15272549665")</f>
        <v/>
      </c>
      <c r="B11529" s="0" t="s">
        <v>15584</v>
      </c>
      <c r="E11529" s="0" t="inlineStr">
        <is>
          <t xml:space="preserve">Mazda</t>
        </is>
      </c>
      <c r="F11529" s="0" t="inlineStr">
        <is>
          <t xml:space="preserve">Mazda</t>
        </is>
      </c>
      <c r="G11529" s="0" t="s">
        <v>171</v>
      </c>
      <c r="H11529" s="5">
        <v>118.181600</v>
      </c>
    </row>
    <row r="11530" spans="1:9">
      <c r="A11530" s="22" t="str">
        <f>HYPERLINK("https://app.vivvix.com/360/KMI/IntelliDrive/ApplUI/Pages/CreativePages/CustomReportCreativeDetail.aspx?App=23&amp;ReportView=4&amp;Qid=1711279&amp;Row=11522&amp;Col=1","No Title Assigned - #15272549732")</f>
        <v/>
      </c>
      <c r="B11530" s="0" t="s">
        <v>15585</v>
      </c>
      <c r="E11530" s="0" t="inlineStr">
        <is>
          <t xml:space="preserve">Mazda</t>
        </is>
      </c>
      <c r="F11530" s="0" t="inlineStr">
        <is>
          <t xml:space="preserve">Mazda</t>
        </is>
      </c>
      <c r="G11530" s="0" t="s">
        <v>171</v>
      </c>
      <c r="H11530" s="5">
        <v>6431.880900</v>
      </c>
    </row>
    <row r="11531" spans="1:9">
      <c r="A11531" s="22" t="str">
        <f>HYPERLINK("https://app.vivvix.com/360/KMI/IntelliDrive/ApplUI/Pages/CreativePages/CustomReportCreativeDetail.aspx?App=23&amp;ReportView=4&amp;Qid=1711279&amp;Row=11523&amp;Col=1","No Title Assigned - #15272549750")</f>
        <v/>
      </c>
      <c r="B11531" s="0" t="s">
        <v>15586</v>
      </c>
      <c r="E11531" s="0" t="inlineStr">
        <is>
          <t xml:space="preserve">Mazda</t>
        </is>
      </c>
      <c r="F11531" s="0" t="inlineStr">
        <is>
          <t xml:space="preserve">Mazda</t>
        </is>
      </c>
      <c r="G11531" s="0" t="s">
        <v>171</v>
      </c>
      <c r="H11531" s="5">
        <v>9.638300</v>
      </c>
    </row>
    <row r="11532" spans="1:9">
      <c r="A11532" s="22" t="str">
        <f>HYPERLINK("https://app.vivvix.com/360/KMI/IntelliDrive/ApplUI/Pages/CreativePages/CustomReportCreativeDetail.aspx?App=23&amp;ReportView=4&amp;Qid=1711279&amp;Row=11524&amp;Col=1","No Title Assigned - #15272549990")</f>
        <v/>
      </c>
      <c r="B11532" s="0" t="s">
        <v>15587</v>
      </c>
      <c r="C11532" s="0" t="s">
        <v>15588</v>
      </c>
      <c r="D11532" s="0" t="s">
        <v>15588</v>
      </c>
      <c r="E11532" s="0" t="inlineStr">
        <is>
          <t xml:space="preserve">Mazda</t>
        </is>
      </c>
      <c r="F11532" s="0" t="inlineStr">
        <is>
          <t xml:space="preserve">Mazda</t>
        </is>
      </c>
      <c r="G11532" s="0" t="s">
        <v>171</v>
      </c>
      <c r="H11532" s="5">
        <v>998.044900</v>
      </c>
    </row>
    <row r="11533" spans="1:9">
      <c r="A11533" s="22" t="str">
        <f>HYPERLINK("https://app.vivvix.com/360/KMI/IntelliDrive/ApplUI/Pages/CreativePages/CustomReportCreativeDetail.aspx?App=23&amp;ReportView=4&amp;Qid=1711279&amp;Row=11525&amp;Col=1","No Title Assigned - #15272550048")</f>
        <v/>
      </c>
      <c r="B11533" s="0" t="s">
        <v>15589</v>
      </c>
      <c r="E11533" s="0" t="inlineStr">
        <is>
          <t xml:space="preserve">Mazda</t>
        </is>
      </c>
      <c r="F11533" s="0" t="inlineStr">
        <is>
          <t xml:space="preserve">Mazda</t>
        </is>
      </c>
      <c r="G11533" s="0" t="s">
        <v>171</v>
      </c>
      <c r="H11533" s="5">
        <v>8.766800</v>
      </c>
    </row>
    <row r="11534" spans="1:9">
      <c r="A11534" s="22" t="str">
        <f>HYPERLINK("https://app.vivvix.com/360/KMI/IntelliDrive/ApplUI/Pages/CreativePages/CustomReportCreativeDetail.aspx?App=23&amp;ReportView=4&amp;Qid=1711279&amp;Row=11526&amp;Col=1","No Title Assigned - #15272550151")</f>
        <v/>
      </c>
      <c r="B11534" s="0" t="s">
        <v>15590</v>
      </c>
      <c r="E11534" s="0" t="inlineStr">
        <is>
          <t xml:space="preserve">Mazda</t>
        </is>
      </c>
      <c r="F11534" s="0" t="inlineStr">
        <is>
          <t xml:space="preserve">Mazda</t>
        </is>
      </c>
      <c r="G11534" s="0" t="s">
        <v>171</v>
      </c>
      <c r="H11534" s="5">
        <v>259.293600</v>
      </c>
    </row>
    <row r="11535" spans="1:9">
      <c r="A11535" s="22" t="str">
        <f>HYPERLINK("https://app.vivvix.com/360/KMI/IntelliDrive/ApplUI/Pages/CreativePages/CustomReportCreativeDetail.aspx?App=23&amp;ReportView=4&amp;Qid=1711279&amp;Row=11527&amp;Col=1","No Title Assigned - #15272550323")</f>
        <v/>
      </c>
      <c r="B11535" s="0" t="s">
        <v>15591</v>
      </c>
      <c r="C11535" s="0" t="s">
        <v>15592</v>
      </c>
      <c r="D11535" s="0" t="s">
        <v>15592</v>
      </c>
      <c r="E11535" s="0" t="inlineStr">
        <is>
          <t xml:space="preserve">Mazda</t>
        </is>
      </c>
      <c r="F11535" s="0" t="inlineStr">
        <is>
          <t xml:space="preserve">Mazda</t>
        </is>
      </c>
      <c r="G11535" s="0" t="s">
        <v>171</v>
      </c>
      <c r="H11535" s="5">
        <v>241.819900</v>
      </c>
    </row>
    <row r="11536" spans="1:9">
      <c r="A11536" s="22" t="str">
        <f>HYPERLINK("https://app.vivvix.com/360/KMI/IntelliDrive/ApplUI/Pages/CreativePages/CustomReportCreativeDetail.aspx?App=23&amp;ReportView=4&amp;Qid=1711279&amp;Row=11528&amp;Col=1","No Title Assigned - #15272551075")</f>
        <v/>
      </c>
      <c r="B11536" s="0" t="s">
        <v>15593</v>
      </c>
      <c r="E11536" s="0" t="inlineStr">
        <is>
          <t xml:space="preserve">Mazda</t>
        </is>
      </c>
      <c r="F11536" s="0" t="inlineStr">
        <is>
          <t xml:space="preserve">Mazda</t>
        </is>
      </c>
      <c r="G11536" s="0" t="s">
        <v>171</v>
      </c>
      <c r="H11536" s="5">
        <v>3.717500</v>
      </c>
    </row>
    <row r="11537" spans="1:9">
      <c r="A11537" s="22" t="str">
        <f>HYPERLINK("https://app.vivvix.com/360/KMI/IntelliDrive/ApplUI/Pages/CreativePages/CustomReportCreativeDetail.aspx?App=23&amp;ReportView=4&amp;Qid=1711279&amp;Row=11529&amp;Col=1","No Title Assigned - #15272551711")</f>
        <v/>
      </c>
      <c r="B11537" s="0" t="s">
        <v>15594</v>
      </c>
      <c r="E11537" s="0" t="inlineStr">
        <is>
          <t xml:space="preserve">Mazda</t>
        </is>
      </c>
      <c r="F11537" s="0" t="inlineStr">
        <is>
          <t xml:space="preserve">Mazda</t>
        </is>
      </c>
      <c r="G11537" s="0" t="s">
        <v>171</v>
      </c>
      <c r="H11537" s="5">
        <v>15.866200</v>
      </c>
    </row>
    <row r="11538" spans="1:9">
      <c r="A11538" s="22" t="str">
        <f>HYPERLINK("https://app.vivvix.com/360/KMI/IntelliDrive/ApplUI/Pages/CreativePages/CustomReportCreativeDetail.aspx?App=23&amp;ReportView=4&amp;Qid=1711279&amp;Row=11530&amp;Col=1","No Title Assigned - #15272551954")</f>
        <v/>
      </c>
      <c r="B11538" s="0" t="s">
        <v>15595</v>
      </c>
      <c r="E11538" s="0" t="inlineStr">
        <is>
          <t xml:space="preserve">Mazda</t>
        </is>
      </c>
      <c r="F11538" s="0" t="inlineStr">
        <is>
          <t xml:space="preserve">Mazda</t>
        </is>
      </c>
      <c r="G11538" s="0" t="s">
        <v>171</v>
      </c>
      <c r="H11538" s="5">
        <v>43.396300</v>
      </c>
    </row>
    <row r="11539" spans="1:9">
      <c r="A11539" s="22" t="str">
        <f>HYPERLINK("https://app.vivvix.com/360/KMI/IntelliDrive/ApplUI/Pages/CreativePages/CustomReportCreativeDetail.aspx?App=23&amp;ReportView=4&amp;Qid=1711279&amp;Row=11531&amp;Col=1","No Title Assigned - #15272552087")</f>
        <v/>
      </c>
      <c r="B11539" s="0" t="s">
        <v>15596</v>
      </c>
      <c r="E11539" s="0" t="inlineStr">
        <is>
          <t xml:space="preserve">Mazda</t>
        </is>
      </c>
      <c r="F11539" s="0" t="inlineStr">
        <is>
          <t xml:space="preserve">Mazda</t>
        </is>
      </c>
      <c r="G11539" s="0" t="s">
        <v>171</v>
      </c>
      <c r="H11539" s="5">
        <v>113.895900</v>
      </c>
    </row>
    <row r="11540" spans="1:9">
      <c r="A11540" s="22" t="str">
        <f>HYPERLINK("https://app.vivvix.com/360/KMI/IntelliDrive/ApplUI/Pages/CreativePages/CustomReportCreativeDetail.aspx?App=23&amp;ReportView=4&amp;Qid=1711279&amp;Row=11532&amp;Col=1","No Title Assigned - #15272552118")</f>
        <v/>
      </c>
      <c r="B11540" s="0" t="s">
        <v>15597</v>
      </c>
      <c r="E11540" s="0" t="inlineStr">
        <is>
          <t xml:space="preserve">Mazda</t>
        </is>
      </c>
      <c r="F11540" s="0" t="inlineStr">
        <is>
          <t xml:space="preserve">Mazda</t>
        </is>
      </c>
      <c r="G11540" s="0" t="s">
        <v>171</v>
      </c>
      <c r="H11540" s="5">
        <v>8.823200</v>
      </c>
    </row>
    <row r="11541" spans="1:9">
      <c r="A11541" s="22" t="str">
        <f>HYPERLINK("https://app.vivvix.com/360/KMI/IntelliDrive/ApplUI/Pages/CreativePages/CustomReportCreativeDetail.aspx?App=23&amp;ReportView=4&amp;Qid=1711279&amp;Row=11533&amp;Col=1","No Title Assigned - #15272552506")</f>
        <v/>
      </c>
      <c r="B11541" s="0" t="s">
        <v>15598</v>
      </c>
      <c r="E11541" s="0" t="inlineStr">
        <is>
          <t xml:space="preserve">Mazda</t>
        </is>
      </c>
      <c r="F11541" s="0" t="inlineStr">
        <is>
          <t xml:space="preserve">Mazda</t>
        </is>
      </c>
      <c r="G11541" s="0" t="s">
        <v>171</v>
      </c>
      <c r="H11541" s="5">
        <v>43.662100</v>
      </c>
    </row>
    <row r="11542" spans="1:9">
      <c r="A11542" s="22" t="str">
        <f>HYPERLINK("https://app.vivvix.com/360/KMI/IntelliDrive/ApplUI/Pages/CreativePages/CustomReportCreativeDetail.aspx?App=23&amp;ReportView=4&amp;Qid=1711279&amp;Row=11534&amp;Col=1","No Title Assigned - #15272552793")</f>
        <v/>
      </c>
      <c r="B11542" s="0" t="s">
        <v>15599</v>
      </c>
      <c r="E11542" s="0" t="inlineStr">
        <is>
          <t xml:space="preserve">Mazda</t>
        </is>
      </c>
      <c r="F11542" s="0" t="inlineStr">
        <is>
          <t xml:space="preserve">Mazda</t>
        </is>
      </c>
      <c r="G11542" s="0" t="s">
        <v>171</v>
      </c>
      <c r="H11542" s="5">
        <v>27.657200</v>
      </c>
    </row>
    <row r="11543" spans="1:9">
      <c r="A11543" s="22" t="str">
        <f>HYPERLINK("https://app.vivvix.com/360/KMI/IntelliDrive/ApplUI/Pages/CreativePages/CustomReportCreativeDetail.aspx?App=23&amp;ReportView=4&amp;Qid=1711279&amp;Row=11535&amp;Col=1","No Title Assigned - #15272553011")</f>
        <v/>
      </c>
      <c r="B11543" s="0" t="s">
        <v>15600</v>
      </c>
      <c r="E11543" s="0" t="inlineStr">
        <is>
          <t xml:space="preserve">Mazda</t>
        </is>
      </c>
      <c r="F11543" s="0" t="inlineStr">
        <is>
          <t xml:space="preserve">Mazda</t>
        </is>
      </c>
      <c r="G11543" s="0" t="s">
        <v>171</v>
      </c>
      <c r="H11543" s="5">
        <v>77.059400</v>
      </c>
    </row>
    <row r="11544" spans="1:9">
      <c r="A11544" s="22" t="str">
        <f>HYPERLINK("https://app.vivvix.com/360/KMI/IntelliDrive/ApplUI/Pages/CreativePages/CustomReportCreativeDetail.aspx?App=23&amp;ReportView=4&amp;Qid=1711279&amp;Row=11536&amp;Col=1","No Title Assigned - #15272553012")</f>
        <v/>
      </c>
      <c r="B11544" s="0" t="s">
        <v>15601</v>
      </c>
      <c r="E11544" s="0" t="inlineStr">
        <is>
          <t xml:space="preserve">Mazda</t>
        </is>
      </c>
      <c r="F11544" s="0" t="inlineStr">
        <is>
          <t xml:space="preserve">Mazda</t>
        </is>
      </c>
      <c r="G11544" s="0" t="s">
        <v>171</v>
      </c>
      <c r="H11544" s="5">
        <v>11.782800</v>
      </c>
    </row>
    <row r="11545" spans="1:9">
      <c r="A11545" s="22" t="str">
        <f>HYPERLINK("https://app.vivvix.com/360/KMI/IntelliDrive/ApplUI/Pages/CreativePages/CustomReportCreativeDetail.aspx?App=23&amp;ReportView=4&amp;Qid=1711279&amp;Row=11537&amp;Col=1","No Title Assigned - #15272553199")</f>
        <v/>
      </c>
      <c r="B11545" s="0" t="s">
        <v>15602</v>
      </c>
      <c r="E11545" s="0" t="inlineStr">
        <is>
          <t xml:space="preserve">Mazda</t>
        </is>
      </c>
      <c r="F11545" s="0" t="inlineStr">
        <is>
          <t xml:space="preserve">Mazda</t>
        </is>
      </c>
      <c r="G11545" s="0" t="s">
        <v>171</v>
      </c>
      <c r="H11545" s="5">
        <v>19902.250000</v>
      </c>
    </row>
    <row r="11546" spans="1:9">
      <c r="A11546" s="22" t="str">
        <f>HYPERLINK("https://app.vivvix.com/360/KMI/IntelliDrive/ApplUI/Pages/CreativePages/CustomReportCreativeDetail.aspx?App=23&amp;ReportView=4&amp;Qid=1711279&amp;Row=11538&amp;Col=1","No Title Assigned - #15272553274")</f>
        <v/>
      </c>
      <c r="B11546" s="0" t="s">
        <v>15603</v>
      </c>
      <c r="E11546" s="0" t="inlineStr">
        <is>
          <t xml:space="preserve">Mazda</t>
        </is>
      </c>
      <c r="F11546" s="0" t="inlineStr">
        <is>
          <t xml:space="preserve">Mazda</t>
        </is>
      </c>
      <c r="G11546" s="0" t="s">
        <v>171</v>
      </c>
      <c r="H11546" s="5">
        <v>8.766800</v>
      </c>
    </row>
    <row r="11547" spans="1:9">
      <c r="A11547" s="22" t="str">
        <f>HYPERLINK("https://app.vivvix.com/360/KMI/IntelliDrive/ApplUI/Pages/CreativePages/CustomReportCreativeDetail.aspx?App=23&amp;ReportView=4&amp;Qid=1711279&amp;Row=11539&amp;Col=1","No Title Assigned - #15272553802")</f>
        <v/>
      </c>
      <c r="B11547" s="0" t="s">
        <v>15604</v>
      </c>
      <c r="C11547" s="0" t="s">
        <v>15605</v>
      </c>
      <c r="D11547" s="0" t="s">
        <v>15605</v>
      </c>
      <c r="E11547" s="0" t="inlineStr">
        <is>
          <t xml:space="preserve">Mazda</t>
        </is>
      </c>
      <c r="F11547" s="0" t="inlineStr">
        <is>
          <t xml:space="preserve">Mazda</t>
        </is>
      </c>
      <c r="G11547" s="0" t="s">
        <v>171</v>
      </c>
      <c r="H11547" s="5">
        <v>239.580800</v>
      </c>
    </row>
    <row r="11548" spans="1:9">
      <c r="A11548" s="22" t="str">
        <f>HYPERLINK("https://app.vivvix.com/360/KMI/IntelliDrive/ApplUI/Pages/CreativePages/CustomReportCreativeDetail.aspx?App=23&amp;ReportView=4&amp;Qid=1711279&amp;Row=11540&amp;Col=1","No Title Assigned - #15272553822")</f>
        <v/>
      </c>
      <c r="B11548" s="0" t="s">
        <v>15606</v>
      </c>
      <c r="E11548" s="0" t="inlineStr">
        <is>
          <t xml:space="preserve">Mazda</t>
        </is>
      </c>
      <c r="F11548" s="0" t="inlineStr">
        <is>
          <t xml:space="preserve">Mazda</t>
        </is>
      </c>
      <c r="G11548" s="0" t="s">
        <v>171</v>
      </c>
      <c r="H11548" s="5">
        <v>235.576600</v>
      </c>
    </row>
    <row r="11549" spans="1:9">
      <c r="A11549" s="22" t="str">
        <f>HYPERLINK("https://app.vivvix.com/360/KMI/IntelliDrive/ApplUI/Pages/CreativePages/CustomReportCreativeDetail.aspx?App=23&amp;ReportView=4&amp;Qid=1711279&amp;Row=11541&amp;Col=1","No Title Assigned - #15272553862")</f>
        <v/>
      </c>
      <c r="B11549" s="0" t="s">
        <v>15607</v>
      </c>
      <c r="C11549" s="0" t="s">
        <v>15608</v>
      </c>
      <c r="D11549" s="0" t="s">
        <v>15608</v>
      </c>
      <c r="E11549" s="0" t="inlineStr">
        <is>
          <t xml:space="preserve">Mazda</t>
        </is>
      </c>
      <c r="F11549" s="0" t="s">
        <v>28</v>
      </c>
      <c r="G11549" s="0" t="s">
        <v>29</v>
      </c>
      <c r="H11549" s="5">
        <v>52.909600</v>
      </c>
    </row>
    <row r="11550" spans="1:9">
      <c r="A11550" s="22" t="str">
        <f>HYPERLINK("https://app.vivvix.com/360/KMI/IntelliDrive/ApplUI/Pages/CreativePages/CustomReportCreativeDetail.aspx?App=23&amp;ReportView=4&amp;Qid=1711279&amp;Row=11542&amp;Col=1","No Title Assigned - #15272554188")</f>
        <v/>
      </c>
      <c r="B11550" s="0" t="s">
        <v>15609</v>
      </c>
      <c r="E11550" s="0" t="inlineStr">
        <is>
          <t xml:space="preserve">Mazda</t>
        </is>
      </c>
      <c r="F11550" s="0" t="inlineStr">
        <is>
          <t xml:space="preserve">Mazda</t>
        </is>
      </c>
      <c r="G11550" s="0" t="s">
        <v>171</v>
      </c>
      <c r="H11550" s="5">
        <v>128.071300</v>
      </c>
    </row>
    <row r="11551" spans="1:9">
      <c r="A11551" s="22" t="str">
        <f>HYPERLINK("https://app.vivvix.com/360/KMI/IntelliDrive/ApplUI/Pages/CreativePages/CustomReportCreativeDetail.aspx?App=23&amp;ReportView=4&amp;Qid=1711279&amp;Row=11543&amp;Col=1","No Title Assigned - #15272554203")</f>
        <v/>
      </c>
      <c r="B11551" s="0" t="s">
        <v>15610</v>
      </c>
      <c r="E11551" s="0" t="inlineStr">
        <is>
          <t xml:space="preserve">Mazda</t>
        </is>
      </c>
      <c r="F11551" s="0" t="inlineStr">
        <is>
          <t xml:space="preserve">Mazda</t>
        </is>
      </c>
      <c r="G11551" s="0" t="s">
        <v>171</v>
      </c>
      <c r="H11551" s="5">
        <v>1.744200</v>
      </c>
    </row>
    <row r="11552" spans="1:9">
      <c r="A11552" s="22" t="str">
        <f>HYPERLINK("https://app.vivvix.com/360/KMI/IntelliDrive/ApplUI/Pages/CreativePages/CustomReportCreativeDetail.aspx?App=23&amp;ReportView=4&amp;Qid=1711279&amp;Row=11544&amp;Col=1","No Title Assigned - #15272554467")</f>
        <v/>
      </c>
      <c r="B11552" s="0" t="s">
        <v>15611</v>
      </c>
      <c r="E11552" s="0" t="inlineStr">
        <is>
          <t xml:space="preserve">Mazda</t>
        </is>
      </c>
      <c r="F11552" s="0" t="inlineStr">
        <is>
          <t xml:space="preserve">Mazda</t>
        </is>
      </c>
      <c r="G11552" s="0" t="s">
        <v>171</v>
      </c>
      <c r="H11552" s="5">
        <v>3368.406200</v>
      </c>
    </row>
    <row r="11553" spans="1:9">
      <c r="A11553" s="22" t="str">
        <f>HYPERLINK("https://app.vivvix.com/360/KMI/IntelliDrive/ApplUI/Pages/CreativePages/CustomReportCreativeDetail.aspx?App=23&amp;ReportView=4&amp;Qid=1711279&amp;Row=11545&amp;Col=1","No Title Assigned - #15272554694")</f>
        <v/>
      </c>
      <c r="B11553" s="0" t="s">
        <v>15612</v>
      </c>
      <c r="C11553" s="0" t="s">
        <v>15613</v>
      </c>
      <c r="D11553" s="0" t="s">
        <v>15613</v>
      </c>
      <c r="E11553" s="0" t="inlineStr">
        <is>
          <t xml:space="preserve">Mazda</t>
        </is>
      </c>
      <c r="F11553" s="0" t="inlineStr">
        <is>
          <t xml:space="preserve">Mazda</t>
        </is>
      </c>
      <c r="G11553" s="0" t="s">
        <v>171</v>
      </c>
      <c r="H11553" s="5">
        <v>13.059300</v>
      </c>
    </row>
    <row r="11554" spans="1:9">
      <c r="A11554" s="22" t="str">
        <f>HYPERLINK("https://app.vivvix.com/360/KMI/IntelliDrive/ApplUI/Pages/CreativePages/CustomReportCreativeDetail.aspx?App=23&amp;ReportView=4&amp;Qid=1711279&amp;Row=11546&amp;Col=1","No Title Assigned - #15272554767")</f>
        <v/>
      </c>
      <c r="B11554" s="0" t="s">
        <v>15614</v>
      </c>
      <c r="E11554" s="0" t="inlineStr">
        <is>
          <t xml:space="preserve">Mazda</t>
        </is>
      </c>
      <c r="F11554" s="0" t="inlineStr">
        <is>
          <t xml:space="preserve">Mazda</t>
        </is>
      </c>
      <c r="G11554" s="0" t="s">
        <v>171</v>
      </c>
      <c r="H11554" s="5">
        <v>1159.381400</v>
      </c>
    </row>
    <row r="11555" spans="1:9">
      <c r="A11555" s="22" t="str">
        <f>HYPERLINK("https://app.vivvix.com/360/KMI/IntelliDrive/ApplUI/Pages/CreativePages/CustomReportCreativeDetail.aspx?App=23&amp;ReportView=4&amp;Qid=1711279&amp;Row=11547&amp;Col=1","No Title Assigned - #15272554767")</f>
        <v/>
      </c>
      <c r="B11555" s="0" t="s">
        <v>15614</v>
      </c>
      <c r="E11555" s="0" t="inlineStr">
        <is>
          <t xml:space="preserve">Mazda</t>
        </is>
      </c>
      <c r="F11555" s="0" t="inlineStr">
        <is>
          <t xml:space="preserve">Mazda</t>
        </is>
      </c>
      <c r="G11555" s="0" t="s">
        <v>171</v>
      </c>
      <c r="H11555" s="5">
        <v>19110.395300</v>
      </c>
    </row>
    <row r="11556" spans="1:9">
      <c r="A11556" s="22" t="str">
        <f>HYPERLINK("https://app.vivvix.com/360/KMI/IntelliDrive/ApplUI/Pages/CreativePages/CustomReportCreativeDetail.aspx?App=23&amp;ReportView=4&amp;Qid=1711279&amp;Row=11548&amp;Col=1","No Title Assigned - #15272555040")</f>
        <v/>
      </c>
      <c r="B11556" s="0" t="s">
        <v>15615</v>
      </c>
      <c r="C11556" s="0" t="s">
        <v>15616</v>
      </c>
      <c r="D11556" s="0" t="s">
        <v>15616</v>
      </c>
      <c r="E11556" s="0" t="inlineStr">
        <is>
          <t xml:space="preserve">Mazda</t>
        </is>
      </c>
      <c r="F11556" s="0" t="inlineStr">
        <is>
          <t xml:space="preserve">Mazda</t>
        </is>
      </c>
      <c r="G11556" s="0" t="s">
        <v>171</v>
      </c>
      <c r="H11556" s="5">
        <v>1.350900</v>
      </c>
    </row>
    <row r="11557" spans="1:9">
      <c r="A11557" s="22" t="str">
        <f>HYPERLINK("https://app.vivvix.com/360/KMI/IntelliDrive/ApplUI/Pages/CreativePages/CustomReportCreativeDetail.aspx?App=23&amp;ReportView=4&amp;Qid=1711279&amp;Row=11549&amp;Col=1","No Title Assigned - #15272555040")</f>
        <v/>
      </c>
      <c r="B11557" s="0" t="s">
        <v>15615</v>
      </c>
      <c r="E11557" s="0" t="inlineStr">
        <is>
          <t xml:space="preserve">Mazda</t>
        </is>
      </c>
      <c r="F11557" s="0" t="inlineStr">
        <is>
          <t xml:space="preserve">Mazda</t>
        </is>
      </c>
      <c r="G11557" s="0" t="s">
        <v>171</v>
      </c>
      <c r="H11557" s="5">
        <v>224.342000</v>
      </c>
    </row>
    <row r="11558" spans="1:9">
      <c r="A11558" s="22" t="str">
        <f>HYPERLINK("https://app.vivvix.com/360/KMI/IntelliDrive/ApplUI/Pages/CreativePages/CustomReportCreativeDetail.aspx?App=23&amp;ReportView=4&amp;Qid=1711279&amp;Row=11550&amp;Col=1","No Title Assigned - #15272555133")</f>
        <v/>
      </c>
      <c r="B11558" s="0" t="s">
        <v>15617</v>
      </c>
      <c r="E11558" s="0" t="inlineStr">
        <is>
          <t xml:space="preserve">Mazda</t>
        </is>
      </c>
      <c r="F11558" s="0" t="inlineStr">
        <is>
          <t xml:space="preserve">Mazda</t>
        </is>
      </c>
      <c r="G11558" s="0" t="s">
        <v>171</v>
      </c>
      <c r="H11558" s="5">
        <v>325.350600</v>
      </c>
    </row>
    <row r="11559" spans="1:9">
      <c r="A11559" s="22" t="str">
        <f>HYPERLINK("https://app.vivvix.com/360/KMI/IntelliDrive/ApplUI/Pages/CreativePages/CustomReportCreativeDetail.aspx?App=23&amp;ReportView=4&amp;Qid=1711279&amp;Row=11551&amp;Col=1","No Title Assigned - #15272555133")</f>
        <v/>
      </c>
      <c r="B11559" s="0" t="s">
        <v>15617</v>
      </c>
      <c r="E11559" s="0" t="inlineStr">
        <is>
          <t xml:space="preserve">Mazda</t>
        </is>
      </c>
      <c r="F11559" s="0" t="inlineStr">
        <is>
          <t xml:space="preserve">Mazda</t>
        </is>
      </c>
      <c r="G11559" s="0" t="s">
        <v>171</v>
      </c>
      <c r="H11559" s="5">
        <v>17.724600</v>
      </c>
    </row>
    <row r="11560" spans="1:9">
      <c r="A11560" s="22" t="str">
        <f>HYPERLINK("https://app.vivvix.com/360/KMI/IntelliDrive/ApplUI/Pages/CreativePages/CustomReportCreativeDetail.aspx?App=23&amp;ReportView=4&amp;Qid=1711279&amp;Row=11552&amp;Col=1","No Title Assigned - #15272555648")</f>
        <v/>
      </c>
      <c r="B11560" s="0" t="s">
        <v>15618</v>
      </c>
      <c r="E11560" s="0" t="inlineStr">
        <is>
          <t xml:space="preserve">Mazda</t>
        </is>
      </c>
      <c r="F11560" s="0" t="inlineStr">
        <is>
          <t xml:space="preserve">Mazda</t>
        </is>
      </c>
      <c r="G11560" s="0" t="s">
        <v>171</v>
      </c>
      <c r="H11560" s="5">
        <v>19.418600</v>
      </c>
    </row>
    <row r="11561" spans="1:9">
      <c r="A11561" s="22" t="str">
        <f>HYPERLINK("https://app.vivvix.com/360/KMI/IntelliDrive/ApplUI/Pages/CreativePages/CustomReportCreativeDetail.aspx?App=23&amp;ReportView=4&amp;Qid=1711279&amp;Row=11553&amp;Col=1","No Title Assigned - #15272556305")</f>
        <v/>
      </c>
      <c r="B11561" s="0" t="s">
        <v>15619</v>
      </c>
      <c r="E11561" s="0" t="inlineStr">
        <is>
          <t xml:space="preserve">Mazda</t>
        </is>
      </c>
      <c r="F11561" s="0" t="inlineStr">
        <is>
          <t xml:space="preserve">Mazda</t>
        </is>
      </c>
      <c r="G11561" s="0" t="s">
        <v>171</v>
      </c>
      <c r="H11561" s="5">
        <v>770.655100</v>
      </c>
    </row>
    <row r="11562" spans="1:9">
      <c r="A11562" s="22" t="str">
        <f>HYPERLINK("https://app.vivvix.com/360/KMI/IntelliDrive/ApplUI/Pages/CreativePages/CustomReportCreativeDetail.aspx?App=23&amp;ReportView=4&amp;Qid=1711279&amp;Row=11554&amp;Col=1","No Title Assigned - #15272556406")</f>
        <v/>
      </c>
      <c r="B11562" s="0" t="s">
        <v>15620</v>
      </c>
      <c r="C11562" s="0" t="s">
        <v>15621</v>
      </c>
      <c r="D11562" s="0" t="s">
        <v>15621</v>
      </c>
      <c r="E11562" s="0" t="inlineStr">
        <is>
          <t xml:space="preserve">Mazda</t>
        </is>
      </c>
      <c r="F11562" s="0" t="s">
        <v>13</v>
      </c>
      <c r="G11562" s="0" t="s">
        <v>49</v>
      </c>
      <c r="H11562" s="5">
        <v>35.184200</v>
      </c>
    </row>
    <row r="11563" spans="1:9">
      <c r="A11563" s="22" t="str">
        <f>HYPERLINK("https://app.vivvix.com/360/KMI/IntelliDrive/ApplUI/Pages/CreativePages/CustomReportCreativeDetail.aspx?App=23&amp;ReportView=4&amp;Qid=1711279&amp;Row=11555&amp;Col=1","No Title Assigned - #15272556784")</f>
        <v/>
      </c>
      <c r="B11563" s="0" t="s">
        <v>15622</v>
      </c>
      <c r="E11563" s="0" t="inlineStr">
        <is>
          <t xml:space="preserve">Mazda</t>
        </is>
      </c>
      <c r="F11563" s="0" t="s">
        <v>28</v>
      </c>
      <c r="G11563" s="0" t="s">
        <v>29</v>
      </c>
      <c r="H11563" s="5">
        <v>1391.041600</v>
      </c>
    </row>
    <row r="11564" spans="1:9">
      <c r="A11564" s="22" t="str">
        <f>HYPERLINK("https://app.vivvix.com/360/KMI/IntelliDrive/ApplUI/Pages/CreativePages/CustomReportCreativeDetail.aspx?App=23&amp;ReportView=4&amp;Qid=1711279&amp;Row=11556&amp;Col=1","No Title Assigned - #15272556784")</f>
        <v/>
      </c>
      <c r="B11564" s="0" t="s">
        <v>15622</v>
      </c>
      <c r="C11564" s="0" t="s">
        <v>15623</v>
      </c>
      <c r="D11564" s="0" t="s">
        <v>15623</v>
      </c>
      <c r="E11564" s="0" t="inlineStr">
        <is>
          <t xml:space="preserve">Mazda</t>
        </is>
      </c>
      <c r="F11564" s="0" t="s">
        <v>28</v>
      </c>
      <c r="G11564" s="0" t="s">
        <v>29</v>
      </c>
      <c r="H11564" s="5">
        <v>5289.415500</v>
      </c>
    </row>
    <row r="11565" spans="1:9">
      <c r="A11565" s="22" t="str">
        <f>HYPERLINK("https://app.vivvix.com/360/KMI/IntelliDrive/ApplUI/Pages/CreativePages/CustomReportCreativeDetail.aspx?App=23&amp;ReportView=4&amp;Qid=1711279&amp;Row=11557&amp;Col=1","No Title Assigned - #15272557277")</f>
        <v/>
      </c>
      <c r="B11565" s="0" t="s">
        <v>15624</v>
      </c>
      <c r="C11565" s="0" t="s">
        <v>15625</v>
      </c>
      <c r="D11565" s="0" t="s">
        <v>5540</v>
      </c>
      <c r="E11565" s="0" t="inlineStr">
        <is>
          <t xml:space="preserve">Mazda</t>
        </is>
      </c>
      <c r="F11565" s="0" t="s">
        <v>28</v>
      </c>
      <c r="G11565" s="0" t="s">
        <v>29</v>
      </c>
      <c r="H11565" s="5">
        <v>25.480400</v>
      </c>
    </row>
    <row r="11566" spans="1:9">
      <c r="A11566" s="22" t="str">
        <f>HYPERLINK("https://app.vivvix.com/360/KMI/IntelliDrive/ApplUI/Pages/CreativePages/CustomReportCreativeDetail.aspx?App=23&amp;ReportView=4&amp;Qid=1711279&amp;Row=11558&amp;Col=1","No Title Assigned - #15272557407")</f>
        <v/>
      </c>
      <c r="B11566" s="0" t="s">
        <v>15626</v>
      </c>
      <c r="C11566" s="0" t="s">
        <v>15627</v>
      </c>
      <c r="D11566" s="0" t="s">
        <v>15627</v>
      </c>
      <c r="E11566" s="0" t="inlineStr">
        <is>
          <t xml:space="preserve">Mazda</t>
        </is>
      </c>
      <c r="F11566" s="0" t="s">
        <v>13</v>
      </c>
      <c r="G11566" s="0" t="s">
        <v>49</v>
      </c>
      <c r="H11566" s="5">
        <v>189.393900</v>
      </c>
    </row>
    <row r="11567" spans="1:9">
      <c r="A11567" s="22" t="str">
        <f>HYPERLINK("https://app.vivvix.com/360/KMI/IntelliDrive/ApplUI/Pages/CreativePages/CustomReportCreativeDetail.aspx?App=23&amp;ReportView=4&amp;Qid=1711279&amp;Row=11559&amp;Col=1","No Title Assigned - #15272557685")</f>
        <v/>
      </c>
      <c r="B11567" s="0" t="s">
        <v>15628</v>
      </c>
      <c r="E11567" s="0" t="inlineStr">
        <is>
          <t xml:space="preserve">Mazda</t>
        </is>
      </c>
      <c r="F11567" s="0" t="s">
        <v>13</v>
      </c>
      <c r="G11567" s="0" t="s">
        <v>49</v>
      </c>
      <c r="H11567" s="5">
        <v>567.626400</v>
      </c>
    </row>
    <row r="11568" spans="1:9">
      <c r="A11568" s="22" t="str">
        <f>HYPERLINK("https://app.vivvix.com/360/KMI/IntelliDrive/ApplUI/Pages/CreativePages/CustomReportCreativeDetail.aspx?App=23&amp;ReportView=4&amp;Qid=1711279&amp;Row=11560&amp;Col=1","No Title Assigned - #15272557685")</f>
        <v/>
      </c>
      <c r="B11568" s="0" t="s">
        <v>15628</v>
      </c>
      <c r="C11568" s="0" t="s">
        <v>15629</v>
      </c>
      <c r="D11568" s="0" t="s">
        <v>15629</v>
      </c>
      <c r="E11568" s="0" t="inlineStr">
        <is>
          <t xml:space="preserve">Mazda</t>
        </is>
      </c>
      <c r="F11568" s="0" t="s">
        <v>13</v>
      </c>
      <c r="G11568" s="0" t="s">
        <v>49</v>
      </c>
      <c r="H11568" s="5">
        <v>146.104700</v>
      </c>
    </row>
    <row r="11569" spans="1:9">
      <c r="A11569" s="22" t="str">
        <f>HYPERLINK("https://app.vivvix.com/360/KMI/IntelliDrive/ApplUI/Pages/CreativePages/CustomReportCreativeDetail.aspx?App=23&amp;ReportView=4&amp;Qid=1711279&amp;Row=11561&amp;Col=1","No Title Assigned - #15272557788")</f>
        <v/>
      </c>
      <c r="B11569" s="0" t="s">
        <v>15630</v>
      </c>
      <c r="E11569" s="0" t="inlineStr">
        <is>
          <t xml:space="preserve">Mazda</t>
        </is>
      </c>
      <c r="F11569" s="0" t="s">
        <v>13</v>
      </c>
      <c r="G11569" s="0" t="s">
        <v>49</v>
      </c>
      <c r="H11569" s="5">
        <v>363.908200</v>
      </c>
    </row>
    <row r="11570" spans="1:9">
      <c r="A11570" s="22" t="str">
        <f>HYPERLINK("https://app.vivvix.com/360/KMI/IntelliDrive/ApplUI/Pages/CreativePages/CustomReportCreativeDetail.aspx?App=23&amp;ReportView=4&amp;Qid=1711279&amp;Row=11562&amp;Col=1","No Title Assigned - #15272557788")</f>
        <v/>
      </c>
      <c r="B11570" s="0" t="s">
        <v>15630</v>
      </c>
      <c r="C11570" s="0" t="s">
        <v>15631</v>
      </c>
      <c r="D11570" s="0" t="s">
        <v>10008</v>
      </c>
      <c r="E11570" s="0" t="inlineStr">
        <is>
          <t xml:space="preserve">Mazda</t>
        </is>
      </c>
      <c r="F11570" s="0" t="s">
        <v>13</v>
      </c>
      <c r="G11570" s="0" t="s">
        <v>49</v>
      </c>
      <c r="H11570" s="5">
        <v>2313.319400</v>
      </c>
    </row>
    <row r="11571" spans="1:9">
      <c r="A11571" s="22" t="str">
        <f>HYPERLINK("https://app.vivvix.com/360/KMI/IntelliDrive/ApplUI/Pages/CreativePages/CustomReportCreativeDetail.aspx?App=23&amp;ReportView=4&amp;Qid=1711279&amp;Row=11563&amp;Col=1","No Title Assigned - #15272557904")</f>
        <v/>
      </c>
      <c r="B11571" s="0" t="s">
        <v>15632</v>
      </c>
      <c r="C11571" s="0" t="s">
        <v>15633</v>
      </c>
      <c r="D11571" s="0" t="s">
        <v>9082</v>
      </c>
      <c r="E11571" s="0" t="inlineStr">
        <is>
          <t xml:space="preserve">Mazda</t>
        </is>
      </c>
      <c r="F11571" s="0" t="s">
        <v>13</v>
      </c>
      <c r="G11571" s="0" t="s">
        <v>49</v>
      </c>
      <c r="H11571" s="5">
        <v>20.021500</v>
      </c>
    </row>
    <row r="11572" spans="1:9">
      <c r="A11572" s="22" t="str">
        <f>HYPERLINK("https://app.vivvix.com/360/KMI/IntelliDrive/ApplUI/Pages/CreativePages/CustomReportCreativeDetail.aspx?App=23&amp;ReportView=4&amp;Qid=1711279&amp;Row=11564&amp;Col=1","No Title Assigned - #15272558431")</f>
        <v/>
      </c>
      <c r="B11572" s="0" t="s">
        <v>15634</v>
      </c>
      <c r="C11572" s="0" t="s">
        <v>15635</v>
      </c>
      <c r="D11572" s="0" t="s">
        <v>4202</v>
      </c>
      <c r="E11572" s="0" t="inlineStr">
        <is>
          <t xml:space="preserve">Mazda</t>
        </is>
      </c>
      <c r="F11572" s="0" t="s">
        <v>28</v>
      </c>
      <c r="G11572" s="0" t="s">
        <v>29</v>
      </c>
      <c r="H11572" s="5">
        <v>13.264700</v>
      </c>
    </row>
    <row r="11573" spans="1:9">
      <c r="A11573" s="22" t="str">
        <f>HYPERLINK("https://app.vivvix.com/360/KMI/IntelliDrive/ApplUI/Pages/CreativePages/CustomReportCreativeDetail.aspx?App=23&amp;ReportView=4&amp;Qid=1711279&amp;Row=11565&amp;Col=1","No Title Assigned - #15272558524")</f>
        <v/>
      </c>
      <c r="B11573" s="0" t="s">
        <v>15636</v>
      </c>
      <c r="C11573" s="0" t="s">
        <v>15637</v>
      </c>
      <c r="D11573" s="0" t="s">
        <v>15637</v>
      </c>
      <c r="E11573" s="0" t="inlineStr">
        <is>
          <t xml:space="preserve">Mazda</t>
        </is>
      </c>
      <c r="F11573" s="0" t="s">
        <v>13</v>
      </c>
      <c r="G11573" s="0" t="s">
        <v>49</v>
      </c>
      <c r="H11573" s="5">
        <v>218.308100</v>
      </c>
    </row>
    <row r="11574" spans="1:9">
      <c r="A11574" s="22" t="str">
        <f>HYPERLINK("https://app.vivvix.com/360/KMI/IntelliDrive/ApplUI/Pages/CreativePages/CustomReportCreativeDetail.aspx?App=23&amp;ReportView=4&amp;Qid=1711279&amp;Row=11566&amp;Col=1","No Title Assigned - #15272558659")</f>
        <v/>
      </c>
      <c r="B11574" s="0" t="s">
        <v>15638</v>
      </c>
      <c r="C11574" s="0" t="s">
        <v>15639</v>
      </c>
      <c r="D11574" s="0" t="s">
        <v>8779</v>
      </c>
      <c r="E11574" s="0" t="inlineStr">
        <is>
          <t xml:space="preserve">Mazda</t>
        </is>
      </c>
      <c r="F11574" s="0" t="s">
        <v>13</v>
      </c>
      <c r="G11574" s="0" t="s">
        <v>49</v>
      </c>
      <c r="H11574" s="5">
        <v>288.648300</v>
      </c>
    </row>
    <row r="11575" spans="1:9">
      <c r="A11575" s="22" t="str">
        <f>HYPERLINK("https://app.vivvix.com/360/KMI/IntelliDrive/ApplUI/Pages/CreativePages/CustomReportCreativeDetail.aspx?App=23&amp;ReportView=4&amp;Qid=1711279&amp;Row=11567&amp;Col=1","No Title Assigned - #15272558673")</f>
        <v/>
      </c>
      <c r="B11575" s="0" t="s">
        <v>15640</v>
      </c>
      <c r="C11575" s="0" t="s">
        <v>15641</v>
      </c>
      <c r="D11575" s="0" t="s">
        <v>11799</v>
      </c>
      <c r="E11575" s="0" t="inlineStr">
        <is>
          <t xml:space="preserve">Mazda</t>
        </is>
      </c>
      <c r="F11575" s="0" t="inlineStr">
        <is>
          <t xml:space="preserve">Mazda</t>
        </is>
      </c>
      <c r="G11575" s="0" t="s">
        <v>210</v>
      </c>
      <c r="H11575" s="5">
        <v>690.602800</v>
      </c>
    </row>
    <row r="11576" spans="1:9">
      <c r="A11576" s="22" t="str">
        <f>HYPERLINK("https://app.vivvix.com/360/KMI/IntelliDrive/ApplUI/Pages/CreativePages/CustomReportCreativeDetail.aspx?App=23&amp;ReportView=4&amp;Qid=1711279&amp;Row=11568&amp;Col=1","No Title Assigned - #15272559143")</f>
        <v/>
      </c>
      <c r="B11576" s="0" t="s">
        <v>15642</v>
      </c>
      <c r="C11576" s="0" t="s">
        <v>15643</v>
      </c>
      <c r="D11576" s="0" t="s">
        <v>15643</v>
      </c>
      <c r="E11576" s="0" t="inlineStr">
        <is>
          <t xml:space="preserve">Mazda</t>
        </is>
      </c>
      <c r="F11576" s="0" t="s">
        <v>13</v>
      </c>
      <c r="G11576" s="0" t="s">
        <v>49</v>
      </c>
      <c r="H11576" s="5">
        <v>220.141300</v>
      </c>
    </row>
    <row r="11577" spans="1:9">
      <c r="A11577" s="22" t="str">
        <f>HYPERLINK("https://app.vivvix.com/360/KMI/IntelliDrive/ApplUI/Pages/CreativePages/CustomReportCreativeDetail.aspx?App=23&amp;ReportView=4&amp;Qid=1711279&amp;Row=11569&amp;Col=1","No Title Assigned - #15272559380")</f>
        <v/>
      </c>
      <c r="B11577" s="0" t="s">
        <v>15644</v>
      </c>
      <c r="C11577" s="0" t="s">
        <v>15645</v>
      </c>
      <c r="D11577" s="0" t="s">
        <v>15645</v>
      </c>
      <c r="E11577" s="0" t="inlineStr">
        <is>
          <t xml:space="preserve">Mazda</t>
        </is>
      </c>
      <c r="F11577" s="0" t="s">
        <v>13</v>
      </c>
      <c r="G11577" s="0" t="s">
        <v>49</v>
      </c>
      <c r="H11577" s="5">
        <v>669.450000</v>
      </c>
    </row>
    <row r="11578" spans="1:9">
      <c r="A11578" s="22" t="str">
        <f>HYPERLINK("https://app.vivvix.com/360/KMI/IntelliDrive/ApplUI/Pages/CreativePages/CustomReportCreativeDetail.aspx?App=23&amp;ReportView=4&amp;Qid=1711279&amp;Row=11570&amp;Col=1","No Title Assigned - #15272559380")</f>
        <v/>
      </c>
      <c r="B11578" s="0" t="s">
        <v>15644</v>
      </c>
      <c r="E11578" s="0" t="inlineStr">
        <is>
          <t xml:space="preserve">Mazda</t>
        </is>
      </c>
      <c r="F11578" s="0" t="s">
        <v>13</v>
      </c>
      <c r="G11578" s="0" t="s">
        <v>49</v>
      </c>
      <c r="H11578" s="5">
        <v>71.612800</v>
      </c>
    </row>
    <row r="11579" spans="1:9">
      <c r="A11579" s="22" t="str">
        <f>HYPERLINK("https://app.vivvix.com/360/KMI/IntelliDrive/ApplUI/Pages/CreativePages/CustomReportCreativeDetail.aspx?App=23&amp;ReportView=4&amp;Qid=1711279&amp;Row=11571&amp;Col=1","No Title Assigned - #15272559417")</f>
        <v/>
      </c>
      <c r="B11579" s="0" t="s">
        <v>15646</v>
      </c>
      <c r="C11579" s="0" t="s">
        <v>15647</v>
      </c>
      <c r="D11579" s="0" t="s">
        <v>4204</v>
      </c>
      <c r="E11579" s="0" t="inlineStr">
        <is>
          <t xml:space="preserve">Mazda</t>
        </is>
      </c>
      <c r="F11579" s="0" t="s">
        <v>28</v>
      </c>
      <c r="G11579" s="0" t="s">
        <v>29</v>
      </c>
      <c r="H11579" s="5">
        <v>124.036100</v>
      </c>
    </row>
    <row r="11580" spans="1:9">
      <c r="A11580" s="22" t="str">
        <f>HYPERLINK("https://app.vivvix.com/360/KMI/IntelliDrive/ApplUI/Pages/CreativePages/CustomReportCreativeDetail.aspx?App=23&amp;ReportView=4&amp;Qid=1711279&amp;Row=11572&amp;Col=1","No Title Assigned - #15272562189")</f>
        <v/>
      </c>
      <c r="B11580" s="0" t="s">
        <v>15648</v>
      </c>
      <c r="C11580" s="0" t="s">
        <v>15649</v>
      </c>
      <c r="D11580" s="0" t="s">
        <v>10354</v>
      </c>
      <c r="E11580" s="0" t="inlineStr">
        <is>
          <t xml:space="preserve">Mazda</t>
        </is>
      </c>
      <c r="F11580" s="0" t="s">
        <v>13</v>
      </c>
      <c r="G11580" s="0" t="s">
        <v>49</v>
      </c>
      <c r="H11580" s="5">
        <v>130.803100</v>
      </c>
    </row>
    <row r="11581" spans="1:9">
      <c r="A11581" s="22" t="str">
        <f>HYPERLINK("https://app.vivvix.com/360/KMI/IntelliDrive/ApplUI/Pages/CreativePages/CustomReportCreativeDetail.aspx?App=23&amp;ReportView=4&amp;Qid=1711279&amp;Row=11573&amp;Col=1","No Title Assigned - #15272562248")</f>
        <v/>
      </c>
      <c r="B11581" s="0" t="s">
        <v>15650</v>
      </c>
      <c r="C11581" s="0" t="s">
        <v>15651</v>
      </c>
      <c r="D11581" s="0" t="s">
        <v>15651</v>
      </c>
      <c r="E11581" s="0" t="inlineStr">
        <is>
          <t xml:space="preserve">Mazda</t>
        </is>
      </c>
      <c r="F11581" s="0" t="s">
        <v>13</v>
      </c>
      <c r="G11581" s="0" t="s">
        <v>49</v>
      </c>
      <c r="H11581" s="5">
        <v>131.527500</v>
      </c>
    </row>
    <row r="11582" spans="1:9">
      <c r="A11582" s="22" t="str">
        <f>HYPERLINK("https://app.vivvix.com/360/KMI/IntelliDrive/ApplUI/Pages/CreativePages/CustomReportCreativeDetail.aspx?App=23&amp;ReportView=4&amp;Qid=1711279&amp;Row=11574&amp;Col=1","No Title Assigned - #15272562525")</f>
        <v/>
      </c>
      <c r="B11582" s="0" t="s">
        <v>15652</v>
      </c>
      <c r="E11582" s="0" t="inlineStr">
        <is>
          <t xml:space="preserve">Mazda</t>
        </is>
      </c>
      <c r="F11582" s="0" t="s">
        <v>13</v>
      </c>
      <c r="G11582" s="0" t="s">
        <v>49</v>
      </c>
      <c r="H11582" s="5">
        <v>106.123600</v>
      </c>
    </row>
    <row r="11583" spans="1:9">
      <c r="A11583" s="22" t="str">
        <f>HYPERLINK("https://app.vivvix.com/360/KMI/IntelliDrive/ApplUI/Pages/CreativePages/CustomReportCreativeDetail.aspx?App=23&amp;ReportView=4&amp;Qid=1711279&amp;Row=11575&amp;Col=1","No Title Assigned - #15272563297")</f>
        <v/>
      </c>
      <c r="B11583" s="0" t="s">
        <v>15653</v>
      </c>
      <c r="C11583" s="0" t="s">
        <v>15654</v>
      </c>
      <c r="D11583" s="0" t="s">
        <v>8588</v>
      </c>
      <c r="E11583" s="0" t="inlineStr">
        <is>
          <t xml:space="preserve">Mazda</t>
        </is>
      </c>
      <c r="F11583" s="0" t="s">
        <v>13</v>
      </c>
      <c r="G11583" s="0" t="s">
        <v>49</v>
      </c>
      <c r="H11583" s="5">
        <v>152.444500</v>
      </c>
    </row>
    <row r="11584" spans="1:9">
      <c r="A11584" s="22" t="str">
        <f>HYPERLINK("https://app.vivvix.com/360/KMI/IntelliDrive/ApplUI/Pages/CreativePages/CustomReportCreativeDetail.aspx?App=23&amp;ReportView=4&amp;Qid=1711279&amp;Row=11576&amp;Col=1","No Title Assigned - #15272563394")</f>
        <v/>
      </c>
      <c r="B11584" s="0" t="s">
        <v>15655</v>
      </c>
      <c r="C11584" s="0" t="s">
        <v>15656</v>
      </c>
      <c r="D11584" s="0" t="s">
        <v>6180</v>
      </c>
      <c r="E11584" s="0" t="inlineStr">
        <is>
          <t xml:space="preserve">Mazda</t>
        </is>
      </c>
      <c r="F11584" s="0" t="s">
        <v>13</v>
      </c>
      <c r="G11584" s="0" t="s">
        <v>49</v>
      </c>
      <c r="H11584" s="5">
        <v>484.132400</v>
      </c>
    </row>
    <row r="11585" spans="1:9">
      <c r="A11585" s="22" t="str">
        <f>HYPERLINK("https://app.vivvix.com/360/KMI/IntelliDrive/ApplUI/Pages/CreativePages/CustomReportCreativeDetail.aspx?App=23&amp;ReportView=4&amp;Qid=1711279&amp;Row=11577&amp;Col=1","No Title Assigned - #15272564079")</f>
        <v/>
      </c>
      <c r="B11585" s="0" t="s">
        <v>15657</v>
      </c>
      <c r="C11585" s="0" t="s">
        <v>15658</v>
      </c>
      <c r="D11585" s="0" t="s">
        <v>15658</v>
      </c>
      <c r="E11585" s="0" t="inlineStr">
        <is>
          <t xml:space="preserve">Mazda</t>
        </is>
      </c>
      <c r="F11585" s="0" t="s">
        <v>13</v>
      </c>
      <c r="G11585" s="0" t="s">
        <v>49</v>
      </c>
      <c r="H11585" s="5">
        <v>61.049700</v>
      </c>
    </row>
    <row r="11586" spans="1:9">
      <c r="A11586" s="22" t="str">
        <f>HYPERLINK("https://app.vivvix.com/360/KMI/IntelliDrive/ApplUI/Pages/CreativePages/CustomReportCreativeDetail.aspx?App=23&amp;ReportView=4&amp;Qid=1711279&amp;Row=11578&amp;Col=1","No Title Assigned - #15272564081")</f>
        <v/>
      </c>
      <c r="B11586" s="0" t="s">
        <v>15659</v>
      </c>
      <c r="C11586" s="0" t="s">
        <v>15660</v>
      </c>
      <c r="D11586" s="0" t="s">
        <v>15660</v>
      </c>
      <c r="E11586" s="0" t="inlineStr">
        <is>
          <t xml:space="preserve">Mazda</t>
        </is>
      </c>
      <c r="F11586" s="0" t="s">
        <v>13</v>
      </c>
      <c r="G11586" s="0" t="s">
        <v>49</v>
      </c>
      <c r="H11586" s="5">
        <v>11.106700</v>
      </c>
    </row>
    <row r="11587" spans="1:9">
      <c r="A11587" s="22" t="str">
        <f>HYPERLINK("https://app.vivvix.com/360/KMI/IntelliDrive/ApplUI/Pages/CreativePages/CustomReportCreativeDetail.aspx?App=23&amp;ReportView=4&amp;Qid=1711279&amp;Row=11579&amp;Col=1","No Title Assigned - #15272564189")</f>
        <v/>
      </c>
      <c r="B11587" s="0" t="s">
        <v>15661</v>
      </c>
      <c r="C11587" s="0" t="s">
        <v>15662</v>
      </c>
      <c r="D11587" s="0" t="s">
        <v>15662</v>
      </c>
      <c r="E11587" s="0" t="inlineStr">
        <is>
          <t xml:space="preserve">Mazda</t>
        </is>
      </c>
      <c r="F11587" s="0" t="s">
        <v>28</v>
      </c>
      <c r="G11587" s="0" t="s">
        <v>29</v>
      </c>
      <c r="H11587" s="5">
        <v>4.092200</v>
      </c>
    </row>
    <row r="11588" spans="1:9">
      <c r="A11588" s="22" t="str">
        <f>HYPERLINK("https://app.vivvix.com/360/KMI/IntelliDrive/ApplUI/Pages/CreativePages/CustomReportCreativeDetail.aspx?App=23&amp;ReportView=4&amp;Qid=1711279&amp;Row=11580&amp;Col=1","No Title Assigned - #15272564205")</f>
        <v/>
      </c>
      <c r="B11588" s="0" t="s">
        <v>15663</v>
      </c>
      <c r="C11588" s="0" t="s">
        <v>15664</v>
      </c>
      <c r="D11588" s="0" t="s">
        <v>15664</v>
      </c>
      <c r="E11588" s="0" t="inlineStr">
        <is>
          <t xml:space="preserve">Mazda</t>
        </is>
      </c>
      <c r="F11588" s="0" t="s">
        <v>13</v>
      </c>
      <c r="G11588" s="0" t="s">
        <v>49</v>
      </c>
      <c r="H11588" s="5">
        <v>98.328600</v>
      </c>
    </row>
    <row r="11589" spans="1:9">
      <c r="A11589" s="22" t="str">
        <f>HYPERLINK("https://app.vivvix.com/360/KMI/IntelliDrive/ApplUI/Pages/CreativePages/CustomReportCreativeDetail.aspx?App=23&amp;ReportView=4&amp;Qid=1711279&amp;Row=11581&amp;Col=1","No Title Assigned - #15272564463")</f>
        <v/>
      </c>
      <c r="B11589" s="0" t="s">
        <v>15665</v>
      </c>
      <c r="C11589" s="0" t="s">
        <v>15666</v>
      </c>
      <c r="D11589" s="0" t="s">
        <v>15666</v>
      </c>
      <c r="E11589" s="0" t="inlineStr">
        <is>
          <t xml:space="preserve">Mazda</t>
        </is>
      </c>
      <c r="F11589" s="0" t="s">
        <v>13</v>
      </c>
      <c r="G11589" s="0" t="s">
        <v>49</v>
      </c>
      <c r="H11589" s="5">
        <v>19.125200</v>
      </c>
    </row>
    <row r="11590" spans="1:9">
      <c r="A11590" s="22" t="str">
        <f>HYPERLINK("https://app.vivvix.com/360/KMI/IntelliDrive/ApplUI/Pages/CreativePages/CustomReportCreativeDetail.aspx?App=23&amp;ReportView=4&amp;Qid=1711279&amp;Row=11582&amp;Col=1","No Title Assigned - #15272564506")</f>
        <v/>
      </c>
      <c r="B11590" s="0" t="s">
        <v>15667</v>
      </c>
      <c r="C11590" s="0" t="s">
        <v>15668</v>
      </c>
      <c r="D11590" s="0" t="s">
        <v>15608</v>
      </c>
      <c r="E11590" s="0" t="inlineStr">
        <is>
          <t xml:space="preserve">Mazda</t>
        </is>
      </c>
      <c r="F11590" s="0" t="s">
        <v>28</v>
      </c>
      <c r="G11590" s="0" t="s">
        <v>29</v>
      </c>
      <c r="H11590" s="5">
        <v>38.507100</v>
      </c>
    </row>
    <row r="11591" spans="1:9">
      <c r="A11591" s="22" t="str">
        <f>HYPERLINK("https://app.vivvix.com/360/KMI/IntelliDrive/ApplUI/Pages/CreativePages/CustomReportCreativeDetail.aspx?App=23&amp;ReportView=4&amp;Qid=1711279&amp;Row=11583&amp;Col=1","No Title Assigned - #15272564561")</f>
        <v/>
      </c>
      <c r="B11591" s="0" t="s">
        <v>15669</v>
      </c>
      <c r="C11591" s="0" t="s">
        <v>15670</v>
      </c>
      <c r="D11591" s="0" t="s">
        <v>15670</v>
      </c>
      <c r="E11591" s="0" t="inlineStr">
        <is>
          <t xml:space="preserve">Mazda</t>
        </is>
      </c>
      <c r="F11591" s="0" t="s">
        <v>13</v>
      </c>
      <c r="G11591" s="0" t="s">
        <v>49</v>
      </c>
      <c r="H11591" s="5">
        <v>6.330700</v>
      </c>
    </row>
    <row r="11592" spans="1:9">
      <c r="A11592" s="22" t="str">
        <f>HYPERLINK("https://app.vivvix.com/360/KMI/IntelliDrive/ApplUI/Pages/CreativePages/CustomReportCreativeDetail.aspx?App=23&amp;ReportView=4&amp;Qid=1711279&amp;Row=11584&amp;Col=1","No Title Assigned - #15272564712")</f>
        <v/>
      </c>
      <c r="B11592" s="0" t="s">
        <v>15671</v>
      </c>
      <c r="C11592" s="0" t="s">
        <v>15672</v>
      </c>
      <c r="D11592" s="0" t="s">
        <v>6044</v>
      </c>
      <c r="E11592" s="0" t="inlineStr">
        <is>
          <t xml:space="preserve">Mazda</t>
        </is>
      </c>
      <c r="F11592" s="0" t="s">
        <v>13</v>
      </c>
      <c r="G11592" s="0" t="s">
        <v>49</v>
      </c>
      <c r="H11592" s="5">
        <v>30.625600</v>
      </c>
    </row>
    <row r="11593" spans="1:9">
      <c r="A11593" s="22" t="str">
        <f>HYPERLINK("https://app.vivvix.com/360/KMI/IntelliDrive/ApplUI/Pages/CreativePages/CustomReportCreativeDetail.aspx?App=23&amp;ReportView=4&amp;Qid=1711279&amp;Row=11585&amp;Col=1","No Title Assigned - #15272564986")</f>
        <v/>
      </c>
      <c r="B11593" s="0" t="s">
        <v>15673</v>
      </c>
      <c r="E11593" s="0" t="inlineStr">
        <is>
          <t xml:space="preserve">Mazda</t>
        </is>
      </c>
      <c r="F11593" s="0" t="inlineStr">
        <is>
          <t xml:space="preserve">Mazda</t>
        </is>
      </c>
      <c r="G11593" s="0" t="s">
        <v>171</v>
      </c>
      <c r="H11593" s="5">
        <v>298.515000</v>
      </c>
    </row>
    <row r="11594" spans="1:9">
      <c r="A11594" s="22" t="str">
        <f>HYPERLINK("https://app.vivvix.com/360/KMI/IntelliDrive/ApplUI/Pages/CreativePages/CustomReportCreativeDetail.aspx?App=23&amp;ReportView=4&amp;Qid=1711279&amp;Row=11586&amp;Col=1","No Title Assigned - #15272565586")</f>
        <v/>
      </c>
      <c r="B11594" s="0" t="s">
        <v>15674</v>
      </c>
      <c r="E11594" s="0" t="inlineStr">
        <is>
          <t xml:space="preserve">Mazda</t>
        </is>
      </c>
      <c r="F11594" s="0" t="inlineStr">
        <is>
          <t xml:space="preserve">Mazda</t>
        </is>
      </c>
      <c r="G11594" s="0" t="s">
        <v>171</v>
      </c>
      <c r="H11594" s="5">
        <v>5.804100</v>
      </c>
    </row>
    <row r="11595" spans="1:9">
      <c r="A11595" s="22" t="str">
        <f>HYPERLINK("https://app.vivvix.com/360/KMI/IntelliDrive/ApplUI/Pages/CreativePages/CustomReportCreativeDetail.aspx?App=23&amp;ReportView=4&amp;Qid=1711279&amp;Row=11587&amp;Col=1","No Title Assigned - #15272565614")</f>
        <v/>
      </c>
      <c r="B11595" s="0" t="s">
        <v>15675</v>
      </c>
      <c r="E11595" s="0" t="inlineStr">
        <is>
          <t xml:space="preserve">Mazda</t>
        </is>
      </c>
      <c r="F11595" s="0" t="inlineStr">
        <is>
          <t xml:space="preserve">Mazda</t>
        </is>
      </c>
      <c r="G11595" s="0" t="s">
        <v>171</v>
      </c>
      <c r="H11595" s="5">
        <v>25.270100</v>
      </c>
    </row>
    <row r="11596" spans="1:9">
      <c r="A11596" s="22" t="str">
        <f>HYPERLINK("https://app.vivvix.com/360/KMI/IntelliDrive/ApplUI/Pages/CreativePages/CustomReportCreativeDetail.aspx?App=23&amp;ReportView=4&amp;Qid=1711279&amp;Row=11588&amp;Col=1","No Title Assigned - #15272565743")</f>
        <v/>
      </c>
      <c r="B11596" s="0" t="s">
        <v>15676</v>
      </c>
      <c r="C11596" s="0" t="s">
        <v>15677</v>
      </c>
      <c r="D11596" s="0" t="s">
        <v>6238</v>
      </c>
      <c r="E11596" s="0" t="inlineStr">
        <is>
          <t xml:space="preserve">Mazda</t>
        </is>
      </c>
      <c r="F11596" s="0" t="s">
        <v>13</v>
      </c>
      <c r="G11596" s="0" t="s">
        <v>49</v>
      </c>
      <c r="H11596" s="5">
        <v>2411.158800</v>
      </c>
    </row>
    <row r="11597" spans="1:9">
      <c r="A11597" s="22" t="str">
        <f>HYPERLINK("https://app.vivvix.com/360/KMI/IntelliDrive/ApplUI/Pages/CreativePages/CustomReportCreativeDetail.aspx?App=23&amp;ReportView=4&amp;Qid=1711279&amp;Row=11589&amp;Col=1","No Title Assigned - #15272565864")</f>
        <v/>
      </c>
      <c r="B11597" s="0" t="s">
        <v>15678</v>
      </c>
      <c r="E11597" s="0" t="inlineStr">
        <is>
          <t xml:space="preserve">Mazda</t>
        </is>
      </c>
      <c r="F11597" s="0" t="inlineStr">
        <is>
          <t xml:space="preserve">Mazda</t>
        </is>
      </c>
      <c r="G11597" s="0" t="s">
        <v>171</v>
      </c>
      <c r="H11597" s="5">
        <v>11445.959800</v>
      </c>
    </row>
    <row r="11598" spans="1:9">
      <c r="A11598" s="22" t="str">
        <f>HYPERLINK("https://app.vivvix.com/360/KMI/IntelliDrive/ApplUI/Pages/CreativePages/CustomReportCreativeDetail.aspx?App=23&amp;ReportView=4&amp;Qid=1711279&amp;Row=11590&amp;Col=1","No Title Assigned - #15272565864")</f>
        <v/>
      </c>
      <c r="B11598" s="0" t="s">
        <v>15678</v>
      </c>
      <c r="E11598" s="0" t="inlineStr">
        <is>
          <t xml:space="preserve">Mazda</t>
        </is>
      </c>
      <c r="F11598" s="0" t="inlineStr">
        <is>
          <t xml:space="preserve">Mazda</t>
        </is>
      </c>
      <c r="G11598" s="0" t="s">
        <v>171</v>
      </c>
      <c r="H11598" s="5">
        <v>1098.955200</v>
      </c>
    </row>
    <row r="11599" spans="1:9">
      <c r="A11599" s="22" t="str">
        <f>HYPERLINK("https://app.vivvix.com/360/KMI/IntelliDrive/ApplUI/Pages/CreativePages/CustomReportCreativeDetail.aspx?App=23&amp;ReportView=4&amp;Qid=1711279&amp;Row=11591&amp;Col=1","No Title Assigned - #15272565879")</f>
        <v/>
      </c>
      <c r="B11599" s="0" t="s">
        <v>15679</v>
      </c>
      <c r="E11599" s="0" t="inlineStr">
        <is>
          <t xml:space="preserve">Mazda</t>
        </is>
      </c>
      <c r="F11599" s="0" t="inlineStr">
        <is>
          <t xml:space="preserve">Mazda</t>
        </is>
      </c>
      <c r="G11599" s="0" t="s">
        <v>171</v>
      </c>
      <c r="H11599" s="5">
        <v>12.030300</v>
      </c>
    </row>
    <row r="11600" spans="1:9">
      <c r="A11600" s="22" t="str">
        <f>HYPERLINK("https://app.vivvix.com/360/KMI/IntelliDrive/ApplUI/Pages/CreativePages/CustomReportCreativeDetail.aspx?App=23&amp;ReportView=4&amp;Qid=1711279&amp;Row=11592&amp;Col=1","No Title Assigned - #15272566185")</f>
        <v/>
      </c>
      <c r="B11600" s="0" t="s">
        <v>15680</v>
      </c>
      <c r="E11600" s="0" t="inlineStr">
        <is>
          <t xml:space="preserve">Mazda</t>
        </is>
      </c>
      <c r="F11600" s="0" t="inlineStr">
        <is>
          <t xml:space="preserve">Mazda</t>
        </is>
      </c>
      <c r="G11600" s="0" t="s">
        <v>171</v>
      </c>
      <c r="H11600" s="5">
        <v>1.155800</v>
      </c>
    </row>
    <row r="11601" spans="1:9">
      <c r="A11601" s="22" t="str">
        <f>HYPERLINK("https://app.vivvix.com/360/KMI/IntelliDrive/ApplUI/Pages/CreativePages/CustomReportCreativeDetail.aspx?App=23&amp;ReportView=4&amp;Qid=1711279&amp;Row=11593&amp;Col=1","No Title Assigned - #15272566193")</f>
        <v/>
      </c>
      <c r="B11601" s="0" t="s">
        <v>15681</v>
      </c>
      <c r="E11601" s="0" t="inlineStr">
        <is>
          <t xml:space="preserve">Mazda</t>
        </is>
      </c>
      <c r="F11601" s="0" t="inlineStr">
        <is>
          <t xml:space="preserve">Mazda</t>
        </is>
      </c>
      <c r="G11601" s="0" t="s">
        <v>171</v>
      </c>
      <c r="H11601" s="5">
        <v>11.291300</v>
      </c>
    </row>
    <row r="11602" spans="1:9">
      <c r="A11602" s="22" t="str">
        <f>HYPERLINK("https://app.vivvix.com/360/KMI/IntelliDrive/ApplUI/Pages/CreativePages/CustomReportCreativeDetail.aspx?App=23&amp;ReportView=4&amp;Qid=1711279&amp;Row=11594&amp;Col=1","No Title Assigned - #15272566615")</f>
        <v/>
      </c>
      <c r="B11602" s="0" t="s">
        <v>15682</v>
      </c>
      <c r="E11602" s="0" t="inlineStr">
        <is>
          <t xml:space="preserve">Mazda</t>
        </is>
      </c>
      <c r="F11602" s="0" t="s">
        <v>28</v>
      </c>
      <c r="G11602" s="0" t="s">
        <v>29</v>
      </c>
      <c r="H11602" s="5">
        <v>153.734900</v>
      </c>
    </row>
    <row r="11603" spans="1:9">
      <c r="A11603" s="22" t="str">
        <f>HYPERLINK("https://app.vivvix.com/360/KMI/IntelliDrive/ApplUI/Pages/CreativePages/CustomReportCreativeDetail.aspx?App=23&amp;ReportView=4&amp;Qid=1711279&amp;Row=11595&amp;Col=1","No Title Assigned - #15272566615")</f>
        <v/>
      </c>
      <c r="B11603" s="0" t="s">
        <v>15682</v>
      </c>
      <c r="C11603" s="0" t="s">
        <v>15683</v>
      </c>
      <c r="D11603" s="0" t="s">
        <v>15683</v>
      </c>
      <c r="E11603" s="0" t="inlineStr">
        <is>
          <t xml:space="preserve">Mazda</t>
        </is>
      </c>
      <c r="F11603" s="0" t="s">
        <v>28</v>
      </c>
      <c r="G11603" s="0" t="s">
        <v>29</v>
      </c>
      <c r="H11603" s="5">
        <v>19.713200</v>
      </c>
    </row>
    <row r="11604" spans="1:9">
      <c r="A11604" s="22" t="str">
        <f>HYPERLINK("https://app.vivvix.com/360/KMI/IntelliDrive/ApplUI/Pages/CreativePages/CustomReportCreativeDetail.aspx?App=23&amp;ReportView=4&amp;Qid=1711279&amp;Row=11596&amp;Col=1","No Title Assigned - #15272566703")</f>
        <v/>
      </c>
      <c r="B11604" s="0" t="s">
        <v>15684</v>
      </c>
      <c r="C11604" s="0" t="s">
        <v>15685</v>
      </c>
      <c r="D11604" s="0" t="s">
        <v>15685</v>
      </c>
      <c r="E11604" s="0" t="inlineStr">
        <is>
          <t xml:space="preserve">Mazda</t>
        </is>
      </c>
      <c r="F11604" s="0" t="s">
        <v>13</v>
      </c>
      <c r="G11604" s="0" t="s">
        <v>49</v>
      </c>
      <c r="H11604" s="5">
        <v>1050.853300</v>
      </c>
    </row>
    <row r="11605" spans="1:9">
      <c r="A11605" s="22" t="str">
        <f>HYPERLINK("https://app.vivvix.com/360/KMI/IntelliDrive/ApplUI/Pages/CreativePages/CustomReportCreativeDetail.aspx?App=23&amp;ReportView=4&amp;Qid=1711279&amp;Row=11597&amp;Col=1","No Title Assigned - #15272567019")</f>
        <v/>
      </c>
      <c r="B11605" s="0" t="s">
        <v>15686</v>
      </c>
      <c r="E11605" s="0" t="inlineStr">
        <is>
          <t xml:space="preserve">Mazda</t>
        </is>
      </c>
      <c r="F11605" s="0" t="inlineStr">
        <is>
          <t xml:space="preserve">Mazda</t>
        </is>
      </c>
      <c r="G11605" s="0" t="s">
        <v>171</v>
      </c>
      <c r="H11605" s="5">
        <v>8.863100</v>
      </c>
    </row>
    <row r="11606" spans="1:9">
      <c r="A11606" s="22" t="str">
        <f>HYPERLINK("https://app.vivvix.com/360/KMI/IntelliDrive/ApplUI/Pages/CreativePages/CustomReportCreativeDetail.aspx?App=23&amp;ReportView=4&amp;Qid=1711279&amp;Row=11598&amp;Col=1","No Title Assigned - #15272567080")</f>
        <v/>
      </c>
      <c r="B11606" s="0" t="s">
        <v>15687</v>
      </c>
      <c r="E11606" s="0" t="inlineStr">
        <is>
          <t xml:space="preserve">Mazda</t>
        </is>
      </c>
      <c r="F11606" s="0" t="s">
        <v>13</v>
      </c>
      <c r="G11606" s="0" t="s">
        <v>49</v>
      </c>
      <c r="H11606" s="5">
        <v>160.987600</v>
      </c>
    </row>
    <row r="11607" spans="1:9">
      <c r="A11607" s="22" t="str">
        <f>HYPERLINK("https://app.vivvix.com/360/KMI/IntelliDrive/ApplUI/Pages/CreativePages/CustomReportCreativeDetail.aspx?App=23&amp;ReportView=4&amp;Qid=1711279&amp;Row=11599&amp;Col=1","No Title Assigned - #15272567080")</f>
        <v/>
      </c>
      <c r="B11607" s="0" t="s">
        <v>15687</v>
      </c>
      <c r="E11607" s="0" t="inlineStr">
        <is>
          <t xml:space="preserve">Mazda</t>
        </is>
      </c>
      <c r="F11607" s="0" t="s">
        <v>13</v>
      </c>
      <c r="G11607" s="0" t="s">
        <v>49</v>
      </c>
      <c r="H11607" s="5">
        <v>51.970700</v>
      </c>
    </row>
    <row r="11608" spans="1:9">
      <c r="A11608" s="22" t="str">
        <f>HYPERLINK("https://app.vivvix.com/360/KMI/IntelliDrive/ApplUI/Pages/CreativePages/CustomReportCreativeDetail.aspx?App=23&amp;ReportView=4&amp;Qid=1711279&amp;Row=11600&amp;Col=1","No Title Assigned - #15272567301")</f>
        <v/>
      </c>
      <c r="B11608" s="0" t="s">
        <v>15688</v>
      </c>
      <c r="C11608" s="0" t="s">
        <v>15689</v>
      </c>
      <c r="D11608" s="0" t="s">
        <v>6044</v>
      </c>
      <c r="E11608" s="0" t="inlineStr">
        <is>
          <t xml:space="preserve">Mazda</t>
        </is>
      </c>
      <c r="F11608" s="0" t="s">
        <v>13</v>
      </c>
      <c r="G11608" s="0" t="s">
        <v>49</v>
      </c>
      <c r="H11608" s="5">
        <v>36.030500</v>
      </c>
    </row>
    <row r="11609" spans="1:9">
      <c r="A11609" s="22" t="str">
        <f>HYPERLINK("https://app.vivvix.com/360/KMI/IntelliDrive/ApplUI/Pages/CreativePages/CustomReportCreativeDetail.aspx?App=23&amp;ReportView=4&amp;Qid=1711279&amp;Row=11601&amp;Col=1","No Title Assigned - #15272567915")</f>
        <v/>
      </c>
      <c r="B11609" s="0" t="s">
        <v>15690</v>
      </c>
      <c r="C11609" s="0" t="s">
        <v>15691</v>
      </c>
      <c r="D11609" s="0" t="s">
        <v>15691</v>
      </c>
      <c r="E11609" s="0" t="inlineStr">
        <is>
          <t xml:space="preserve">Mazda</t>
        </is>
      </c>
      <c r="F11609" s="0" t="s">
        <v>13</v>
      </c>
      <c r="G11609" s="0" t="s">
        <v>49</v>
      </c>
      <c r="H11609" s="5">
        <v>145.597600</v>
      </c>
    </row>
    <row r="11610" spans="1:9">
      <c r="A11610" s="22" t="str">
        <f>HYPERLINK("https://app.vivvix.com/360/KMI/IntelliDrive/ApplUI/Pages/CreativePages/CustomReportCreativeDetail.aspx?App=23&amp;ReportView=4&amp;Qid=1711279&amp;Row=11602&amp;Col=1","No Title Assigned - #15272567942")</f>
        <v/>
      </c>
      <c r="B11610" s="0" t="s">
        <v>15692</v>
      </c>
      <c r="C11610" s="0" t="s">
        <v>15693</v>
      </c>
      <c r="D11610" s="0" t="s">
        <v>15693</v>
      </c>
      <c r="E11610" s="0" t="inlineStr">
        <is>
          <t xml:space="preserve">Mazda</t>
        </is>
      </c>
      <c r="F11610" s="0" t="s">
        <v>13</v>
      </c>
      <c r="G11610" s="0" t="s">
        <v>49</v>
      </c>
      <c r="H11610" s="5">
        <v>1077.202800</v>
      </c>
    </row>
    <row r="11611" spans="1:9">
      <c r="A11611" s="22" t="str">
        <f>HYPERLINK("https://app.vivvix.com/360/KMI/IntelliDrive/ApplUI/Pages/CreativePages/CustomReportCreativeDetail.aspx?App=23&amp;ReportView=4&amp;Qid=1711279&amp;Row=11603&amp;Col=1","No Title Assigned - #15272567956")</f>
        <v/>
      </c>
      <c r="B11611" s="0" t="s">
        <v>15694</v>
      </c>
      <c r="C11611" s="0" t="s">
        <v>15695</v>
      </c>
      <c r="D11611" s="0" t="s">
        <v>9238</v>
      </c>
      <c r="E11611" s="0" t="inlineStr">
        <is>
          <t xml:space="preserve">Mazda</t>
        </is>
      </c>
      <c r="F11611" s="0" t="s">
        <v>28</v>
      </c>
      <c r="G11611" s="0" t="s">
        <v>29</v>
      </c>
      <c r="H11611" s="5">
        <v>74.578300</v>
      </c>
    </row>
    <row r="11612" spans="1:9">
      <c r="A11612" s="22" t="str">
        <f>HYPERLINK("https://app.vivvix.com/360/KMI/IntelliDrive/ApplUI/Pages/CreativePages/CustomReportCreativeDetail.aspx?App=23&amp;ReportView=4&amp;Qid=1711279&amp;Row=11604&amp;Col=1","No Title Assigned - #15272567968")</f>
        <v/>
      </c>
      <c r="B11612" s="0" t="s">
        <v>15696</v>
      </c>
      <c r="C11612" s="0" t="s">
        <v>15697</v>
      </c>
      <c r="D11612" s="0" t="s">
        <v>15697</v>
      </c>
      <c r="E11612" s="0" t="inlineStr">
        <is>
          <t xml:space="preserve">Mazda</t>
        </is>
      </c>
      <c r="F11612" s="0" t="s">
        <v>28</v>
      </c>
      <c r="G11612" s="0" t="s">
        <v>29</v>
      </c>
      <c r="H11612" s="5">
        <v>23263.955300</v>
      </c>
    </row>
    <row r="11613" spans="1:9">
      <c r="A11613" s="22" t="str">
        <f>HYPERLINK("https://app.vivvix.com/360/KMI/IntelliDrive/ApplUI/Pages/CreativePages/CustomReportCreativeDetail.aspx?App=23&amp;ReportView=4&amp;Qid=1711279&amp;Row=11605&amp;Col=1","No Title Assigned - #15272567976")</f>
        <v/>
      </c>
      <c r="B11613" s="0" t="s">
        <v>15698</v>
      </c>
      <c r="E11613" s="0" t="inlineStr">
        <is>
          <t xml:space="preserve">Mazda</t>
        </is>
      </c>
      <c r="F11613" s="0" t="s">
        <v>13</v>
      </c>
      <c r="G11613" s="0" t="s">
        <v>49</v>
      </c>
      <c r="H11613" s="5">
        <v>73.637800</v>
      </c>
    </row>
    <row r="11614" spans="1:9">
      <c r="A11614" s="22" t="str">
        <f>HYPERLINK("https://app.vivvix.com/360/KMI/IntelliDrive/ApplUI/Pages/CreativePages/CustomReportCreativeDetail.aspx?App=23&amp;ReportView=4&amp;Qid=1711279&amp;Row=11606&amp;Col=1","No Title Assigned - #15272568293")</f>
        <v/>
      </c>
      <c r="B11614" s="0" t="s">
        <v>15699</v>
      </c>
      <c r="C11614" s="0" t="s">
        <v>15700</v>
      </c>
      <c r="D11614" s="0" t="s">
        <v>15700</v>
      </c>
      <c r="E11614" s="0" t="inlineStr">
        <is>
          <t xml:space="preserve">Mazda</t>
        </is>
      </c>
      <c r="F11614" s="0" t="s">
        <v>13</v>
      </c>
      <c r="G11614" s="0" t="s">
        <v>49</v>
      </c>
      <c r="H11614" s="5">
        <v>8.239000</v>
      </c>
    </row>
    <row r="11615" spans="1:9">
      <c r="A11615" s="22" t="str">
        <f>HYPERLINK("https://app.vivvix.com/360/KMI/IntelliDrive/ApplUI/Pages/CreativePages/CustomReportCreativeDetail.aspx?App=23&amp;ReportView=4&amp;Qid=1711279&amp;Row=11607&amp;Col=1","No Title Assigned - #15272568318")</f>
        <v/>
      </c>
      <c r="B11615" s="0" t="s">
        <v>15701</v>
      </c>
      <c r="C11615" s="0" t="s">
        <v>15702</v>
      </c>
      <c r="D11615" s="0" t="s">
        <v>15702</v>
      </c>
      <c r="E11615" s="0" t="inlineStr">
        <is>
          <t xml:space="preserve">Mazda</t>
        </is>
      </c>
      <c r="F11615" s="0" t="s">
        <v>13</v>
      </c>
      <c r="G11615" s="0" t="s">
        <v>49</v>
      </c>
      <c r="H11615" s="5">
        <v>1198.338000</v>
      </c>
    </row>
    <row r="11616" spans="1:9">
      <c r="A11616" s="22" t="str">
        <f>HYPERLINK("https://app.vivvix.com/360/KMI/IntelliDrive/ApplUI/Pages/CreativePages/CustomReportCreativeDetail.aspx?App=23&amp;ReportView=4&amp;Qid=1711279&amp;Row=11608&amp;Col=1","No Title Assigned - #15272568424")</f>
        <v/>
      </c>
      <c r="B11616" s="0" t="s">
        <v>15703</v>
      </c>
      <c r="C11616" s="0" t="s">
        <v>15704</v>
      </c>
      <c r="D11616" s="0" t="s">
        <v>8588</v>
      </c>
      <c r="E11616" s="0" t="inlineStr">
        <is>
          <t xml:space="preserve">Mazda</t>
        </is>
      </c>
      <c r="F11616" s="0" t="s">
        <v>13</v>
      </c>
      <c r="G11616" s="0" t="s">
        <v>49</v>
      </c>
      <c r="H11616" s="5">
        <v>441.935400</v>
      </c>
    </row>
    <row r="11617" spans="1:9">
      <c r="A11617" s="22" t="str">
        <f>HYPERLINK("https://app.vivvix.com/360/KMI/IntelliDrive/ApplUI/Pages/CreativePages/CustomReportCreativeDetail.aspx?App=23&amp;ReportView=4&amp;Qid=1711279&amp;Row=11609&amp;Col=1","No Title Assigned - #15272569342")</f>
        <v/>
      </c>
      <c r="B11617" s="0" t="s">
        <v>15705</v>
      </c>
      <c r="C11617" s="0" t="s">
        <v>15706</v>
      </c>
      <c r="D11617" s="0" t="s">
        <v>9699</v>
      </c>
      <c r="E11617" s="0" t="inlineStr">
        <is>
          <t xml:space="preserve">Mazda</t>
        </is>
      </c>
      <c r="F11617" s="0" t="s">
        <v>13</v>
      </c>
      <c r="G11617" s="0" t="s">
        <v>49</v>
      </c>
      <c r="H11617" s="5">
        <v>18.210800</v>
      </c>
    </row>
    <row r="11618" spans="1:9">
      <c r="A11618" s="22" t="str">
        <f>HYPERLINK("https://app.vivvix.com/360/KMI/IntelliDrive/ApplUI/Pages/CreativePages/CustomReportCreativeDetail.aspx?App=23&amp;ReportView=4&amp;Qid=1711279&amp;Row=11610&amp;Col=1","No Title Assigned - #15272569376")</f>
        <v/>
      </c>
      <c r="B11618" s="0" t="s">
        <v>15707</v>
      </c>
      <c r="E11618" s="0" t="inlineStr">
        <is>
          <t xml:space="preserve">Mazda</t>
        </is>
      </c>
      <c r="F11618" s="0" t="s">
        <v>13</v>
      </c>
      <c r="G11618" s="0" t="s">
        <v>49</v>
      </c>
      <c r="H11618" s="5">
        <v>51.820200</v>
      </c>
    </row>
    <row r="11619" spans="1:9">
      <c r="A11619" s="22" t="str">
        <f>HYPERLINK("https://app.vivvix.com/360/KMI/IntelliDrive/ApplUI/Pages/CreativePages/CustomReportCreativeDetail.aspx?App=23&amp;ReportView=4&amp;Qid=1711279&amp;Row=11611&amp;Col=1","No Title Assigned - #15272569411")</f>
        <v/>
      </c>
      <c r="B11619" s="0" t="s">
        <v>15708</v>
      </c>
      <c r="E11619" s="0" t="inlineStr">
        <is>
          <t xml:space="preserve">Mazda</t>
        </is>
      </c>
      <c r="F11619" s="0" t="inlineStr">
        <is>
          <t xml:space="preserve">Mazda</t>
        </is>
      </c>
      <c r="G11619" s="0" t="s">
        <v>171</v>
      </c>
      <c r="H11619" s="5">
        <v>35.546400</v>
      </c>
    </row>
    <row r="11620" spans="1:9">
      <c r="A11620" s="22" t="str">
        <f>HYPERLINK("https://app.vivvix.com/360/KMI/IntelliDrive/ApplUI/Pages/CreativePages/CustomReportCreativeDetail.aspx?App=23&amp;ReportView=4&amp;Qid=1711279&amp;Row=11612&amp;Col=1","No Title Assigned - #15272569554")</f>
        <v/>
      </c>
      <c r="B11620" s="0" t="s">
        <v>15709</v>
      </c>
      <c r="E11620" s="0" t="inlineStr">
        <is>
          <t xml:space="preserve">Mazda</t>
        </is>
      </c>
      <c r="F11620" s="0" t="inlineStr">
        <is>
          <t xml:space="preserve">Mazda</t>
        </is>
      </c>
      <c r="G11620" s="0" t="s">
        <v>171</v>
      </c>
      <c r="H11620" s="5">
        <v>80.703100</v>
      </c>
    </row>
    <row r="11621" spans="1:9">
      <c r="A11621" s="22" t="str">
        <f>HYPERLINK("https://app.vivvix.com/360/KMI/IntelliDrive/ApplUI/Pages/CreativePages/CustomReportCreativeDetail.aspx?App=23&amp;ReportView=4&amp;Qid=1711279&amp;Row=11613&amp;Col=1","No Title Assigned - #15272569931")</f>
        <v/>
      </c>
      <c r="B11621" s="0" t="s">
        <v>15710</v>
      </c>
      <c r="E11621" s="0" t="inlineStr">
        <is>
          <t xml:space="preserve">Mazda</t>
        </is>
      </c>
      <c r="F11621" s="0" t="inlineStr">
        <is>
          <t xml:space="preserve">Mazda</t>
        </is>
      </c>
      <c r="G11621" s="0" t="s">
        <v>171</v>
      </c>
      <c r="H11621" s="5">
        <v>152.427200</v>
      </c>
    </row>
    <row r="11622" spans="1:9">
      <c r="A11622" s="22" t="str">
        <f>HYPERLINK("https://app.vivvix.com/360/KMI/IntelliDrive/ApplUI/Pages/CreativePages/CustomReportCreativeDetail.aspx?App=23&amp;ReportView=4&amp;Qid=1711279&amp;Row=11614&amp;Col=1","No Title Assigned - #15272569959")</f>
        <v/>
      </c>
      <c r="B11622" s="0" t="s">
        <v>15711</v>
      </c>
      <c r="E11622" s="0" t="inlineStr">
        <is>
          <t xml:space="preserve">Mazda</t>
        </is>
      </c>
      <c r="F11622" s="0" t="inlineStr">
        <is>
          <t xml:space="preserve">Mazda</t>
        </is>
      </c>
      <c r="G11622" s="0" t="s">
        <v>171</v>
      </c>
      <c r="H11622" s="5">
        <v>327.278700</v>
      </c>
    </row>
    <row r="11623" spans="1:9">
      <c r="A11623" s="22" t="str">
        <f>HYPERLINK("https://app.vivvix.com/360/KMI/IntelliDrive/ApplUI/Pages/CreativePages/CustomReportCreativeDetail.aspx?App=23&amp;ReportView=4&amp;Qid=1711279&amp;Row=11615&amp;Col=1","No Title Assigned - #15272570256")</f>
        <v/>
      </c>
      <c r="B11623" s="0" t="s">
        <v>15712</v>
      </c>
      <c r="E11623" s="0" t="inlineStr">
        <is>
          <t xml:space="preserve">Mazda</t>
        </is>
      </c>
      <c r="F11623" s="0" t="inlineStr">
        <is>
          <t xml:space="preserve">Mazda</t>
        </is>
      </c>
      <c r="G11623" s="0" t="s">
        <v>171</v>
      </c>
      <c r="H11623" s="5">
        <v>23.616500</v>
      </c>
    </row>
    <row r="11624" spans="1:9">
      <c r="A11624" s="22" t="str">
        <f>HYPERLINK("https://app.vivvix.com/360/KMI/IntelliDrive/ApplUI/Pages/CreativePages/CustomReportCreativeDetail.aspx?App=23&amp;ReportView=4&amp;Qid=1711279&amp;Row=11616&amp;Col=1","No Title Assigned - #15272571162")</f>
        <v/>
      </c>
      <c r="B11624" s="0" t="s">
        <v>15713</v>
      </c>
      <c r="E11624" s="0" t="inlineStr">
        <is>
          <t xml:space="preserve">Mazda</t>
        </is>
      </c>
      <c r="F11624" s="0" t="inlineStr">
        <is>
          <t xml:space="preserve">Mazda</t>
        </is>
      </c>
      <c r="G11624" s="0" t="s">
        <v>171</v>
      </c>
      <c r="H11624" s="5">
        <v>75.667300</v>
      </c>
    </row>
    <row r="11625" spans="1:9">
      <c r="A11625" s="22" t="str">
        <f>HYPERLINK("https://app.vivvix.com/360/KMI/IntelliDrive/ApplUI/Pages/CreativePages/CustomReportCreativeDetail.aspx?App=23&amp;ReportView=4&amp;Qid=1711279&amp;Row=11617&amp;Col=1","No Title Assigned - #15272572934")</f>
        <v/>
      </c>
      <c r="B11625" s="0" t="s">
        <v>15714</v>
      </c>
      <c r="C11625" s="0" t="s">
        <v>15715</v>
      </c>
      <c r="D11625" s="0" t="s">
        <v>4938</v>
      </c>
      <c r="E11625" s="0" t="inlineStr">
        <is>
          <t xml:space="preserve">Mazda</t>
        </is>
      </c>
      <c r="F11625" s="0" t="s">
        <v>13</v>
      </c>
      <c r="G11625" s="0" t="s">
        <v>49</v>
      </c>
      <c r="H11625" s="5">
        <v>78.173200</v>
      </c>
    </row>
    <row r="11626" spans="1:9">
      <c r="A11626" s="22" t="str">
        <f>HYPERLINK("https://app.vivvix.com/360/KMI/IntelliDrive/ApplUI/Pages/CreativePages/CustomReportCreativeDetail.aspx?App=23&amp;ReportView=4&amp;Qid=1711279&amp;Row=11618&amp;Col=1","No Title Assigned - #15272573297")</f>
        <v/>
      </c>
      <c r="B11626" s="0" t="s">
        <v>15716</v>
      </c>
      <c r="C11626" s="0" t="s">
        <v>15717</v>
      </c>
      <c r="D11626" s="0" t="s">
        <v>15717</v>
      </c>
      <c r="E11626" s="0" t="inlineStr">
        <is>
          <t xml:space="preserve">Mazda</t>
        </is>
      </c>
      <c r="F11626" s="0" t="s">
        <v>13</v>
      </c>
      <c r="G11626" s="0" t="s">
        <v>49</v>
      </c>
      <c r="H11626" s="5">
        <v>855.643700</v>
      </c>
    </row>
    <row r="11627" spans="1:9">
      <c r="A11627" s="22" t="str">
        <f>HYPERLINK("https://app.vivvix.com/360/KMI/IntelliDrive/ApplUI/Pages/CreativePages/CustomReportCreativeDetail.aspx?App=23&amp;ReportView=4&amp;Qid=1711279&amp;Row=11619&amp;Col=1","No Title Assigned - #15272573407")</f>
        <v/>
      </c>
      <c r="B11627" s="0" t="s">
        <v>15718</v>
      </c>
      <c r="C11627" s="0" t="s">
        <v>15719</v>
      </c>
      <c r="D11627" s="0" t="s">
        <v>15719</v>
      </c>
      <c r="E11627" s="0" t="inlineStr">
        <is>
          <t xml:space="preserve">Mazda</t>
        </is>
      </c>
      <c r="F11627" s="0" t="s">
        <v>13</v>
      </c>
      <c r="G11627" s="0" t="s">
        <v>49</v>
      </c>
      <c r="H11627" s="5">
        <v>263.805800</v>
      </c>
    </row>
    <row r="11628" spans="1:9">
      <c r="A11628" s="22" t="str">
        <f>HYPERLINK("https://app.vivvix.com/360/KMI/IntelliDrive/ApplUI/Pages/CreativePages/CustomReportCreativeDetail.aspx?App=23&amp;ReportView=4&amp;Qid=1711279&amp;Row=11620&amp;Col=1","No Title Assigned - #15272573640")</f>
        <v/>
      </c>
      <c r="B11628" s="0" t="s">
        <v>15720</v>
      </c>
      <c r="C11628" s="0" t="s">
        <v>15721</v>
      </c>
      <c r="D11628" s="0" t="s">
        <v>15721</v>
      </c>
      <c r="E11628" s="0" t="inlineStr">
        <is>
          <t xml:space="preserve">Mazda</t>
        </is>
      </c>
      <c r="F11628" s="0" t="s">
        <v>28</v>
      </c>
      <c r="G11628" s="0" t="s">
        <v>29</v>
      </c>
      <c r="H11628" s="5">
        <v>11.743000</v>
      </c>
    </row>
    <row r="11629" spans="1:9">
      <c r="A11629" s="22" t="str">
        <f>HYPERLINK("https://app.vivvix.com/360/KMI/IntelliDrive/ApplUI/Pages/CreativePages/CustomReportCreativeDetail.aspx?App=23&amp;ReportView=4&amp;Qid=1711279&amp;Row=11621&amp;Col=1","No Title Assigned - #15272573794")</f>
        <v/>
      </c>
      <c r="B11629" s="0" t="s">
        <v>15722</v>
      </c>
      <c r="E11629" s="0" t="inlineStr">
        <is>
          <t xml:space="preserve">Mazda</t>
        </is>
      </c>
      <c r="F11629" s="0" t="s">
        <v>13</v>
      </c>
      <c r="G11629" s="0" t="s">
        <v>49</v>
      </c>
      <c r="H11629" s="5">
        <v>2.610000</v>
      </c>
    </row>
    <row r="11630" spans="1:9">
      <c r="A11630" s="22" t="str">
        <f>HYPERLINK("https://app.vivvix.com/360/KMI/IntelliDrive/ApplUI/Pages/CreativePages/CustomReportCreativeDetail.aspx?App=23&amp;ReportView=4&amp;Qid=1711279&amp;Row=11622&amp;Col=1","No Title Assigned - #15272574003")</f>
        <v/>
      </c>
      <c r="B11630" s="0" t="s">
        <v>15723</v>
      </c>
      <c r="C11630" s="0" t="s">
        <v>15724</v>
      </c>
      <c r="D11630" s="0" t="s">
        <v>4204</v>
      </c>
      <c r="E11630" s="0" t="inlineStr">
        <is>
          <t xml:space="preserve">Mazda</t>
        </is>
      </c>
      <c r="F11630" s="0" t="s">
        <v>28</v>
      </c>
      <c r="G11630" s="0" t="s">
        <v>29</v>
      </c>
      <c r="H11630" s="5">
        <v>38.028700</v>
      </c>
    </row>
    <row r="11631" spans="1:9">
      <c r="A11631" s="22" t="str">
        <f>HYPERLINK("https://app.vivvix.com/360/KMI/IntelliDrive/ApplUI/Pages/CreativePages/CustomReportCreativeDetail.aspx?App=23&amp;ReportView=4&amp;Qid=1711279&amp;Row=11623&amp;Col=1","No Title Assigned - #15272574063")</f>
        <v/>
      </c>
      <c r="B11631" s="0" t="s">
        <v>15725</v>
      </c>
      <c r="C11631" s="0" t="s">
        <v>15726</v>
      </c>
      <c r="D11631" s="0" t="s">
        <v>15726</v>
      </c>
      <c r="E11631" s="0" t="inlineStr">
        <is>
          <t xml:space="preserve">Mazda</t>
        </is>
      </c>
      <c r="F11631" s="0" t="inlineStr">
        <is>
          <t xml:space="preserve">Mazda</t>
        </is>
      </c>
      <c r="G11631" s="0" t="s">
        <v>210</v>
      </c>
      <c r="H11631" s="5">
        <v>1771.553100</v>
      </c>
    </row>
    <row r="11632" spans="1:9">
      <c r="A11632" s="22" t="str">
        <f>HYPERLINK("https://app.vivvix.com/360/KMI/IntelliDrive/ApplUI/Pages/CreativePages/CustomReportCreativeDetail.aspx?App=23&amp;ReportView=4&amp;Qid=1711279&amp;Row=11624&amp;Col=1","No Title Assigned - #15272574063")</f>
        <v/>
      </c>
      <c r="B11632" s="0" t="s">
        <v>15725</v>
      </c>
      <c r="E11632" s="0" t="inlineStr">
        <is>
          <t xml:space="preserve">Mazda</t>
        </is>
      </c>
      <c r="F11632" s="0" t="inlineStr">
        <is>
          <t xml:space="preserve">Mazda</t>
        </is>
      </c>
      <c r="G11632" s="0" t="s">
        <v>210</v>
      </c>
      <c r="H11632" s="5">
        <v>428.280300</v>
      </c>
    </row>
    <row r="11633" spans="1:9">
      <c r="A11633" s="22" t="str">
        <f>HYPERLINK("https://app.vivvix.com/360/KMI/IntelliDrive/ApplUI/Pages/CreativePages/CustomReportCreativeDetail.aspx?App=23&amp;ReportView=4&amp;Qid=1711279&amp;Row=11625&amp;Col=1","No Title Assigned - #15272574209")</f>
        <v/>
      </c>
      <c r="B11633" s="0" t="s">
        <v>15727</v>
      </c>
      <c r="C11633" s="0" t="s">
        <v>15728</v>
      </c>
      <c r="D11633" s="0" t="s">
        <v>15728</v>
      </c>
      <c r="E11633" s="0" t="inlineStr">
        <is>
          <t xml:space="preserve">Mazda</t>
        </is>
      </c>
      <c r="F11633" s="0" t="s">
        <v>13</v>
      </c>
      <c r="G11633" s="0" t="s">
        <v>49</v>
      </c>
      <c r="H11633" s="5">
        <v>16.033400</v>
      </c>
    </row>
    <row r="11634" spans="1:9">
      <c r="A11634" s="22" t="str">
        <f>HYPERLINK("https://app.vivvix.com/360/KMI/IntelliDrive/ApplUI/Pages/CreativePages/CustomReportCreativeDetail.aspx?App=23&amp;ReportView=4&amp;Qid=1711279&amp;Row=11626&amp;Col=1","No Title Assigned - #15272574296")</f>
        <v/>
      </c>
      <c r="B11634" s="0" t="s">
        <v>15729</v>
      </c>
      <c r="C11634" s="0" t="s">
        <v>15730</v>
      </c>
      <c r="D11634" s="0" t="s">
        <v>15730</v>
      </c>
      <c r="E11634" s="0" t="inlineStr">
        <is>
          <t xml:space="preserve">Mazda</t>
        </is>
      </c>
      <c r="F11634" s="0" t="inlineStr">
        <is>
          <t xml:space="preserve">Mazda</t>
        </is>
      </c>
      <c r="G11634" s="0" t="s">
        <v>210</v>
      </c>
      <c r="H11634" s="5">
        <v>2138.189800</v>
      </c>
    </row>
    <row r="11635" spans="1:9">
      <c r="A11635" s="22" t="str">
        <f>HYPERLINK("https://app.vivvix.com/360/KMI/IntelliDrive/ApplUI/Pages/CreativePages/CustomReportCreativeDetail.aspx?App=23&amp;ReportView=4&amp;Qid=1711279&amp;Row=11627&amp;Col=1","No Title Assigned - #15272574331")</f>
        <v/>
      </c>
      <c r="B11635" s="0" t="s">
        <v>15731</v>
      </c>
      <c r="C11635" s="0" t="s">
        <v>15732</v>
      </c>
      <c r="D11635" s="0" t="s">
        <v>8588</v>
      </c>
      <c r="E11635" s="0" t="inlineStr">
        <is>
          <t xml:space="preserve">Mazda</t>
        </is>
      </c>
      <c r="F11635" s="0" t="s">
        <v>13</v>
      </c>
      <c r="G11635" s="0" t="s">
        <v>49</v>
      </c>
      <c r="H11635" s="5">
        <v>991.584700</v>
      </c>
    </row>
    <row r="11636" spans="1:9">
      <c r="A11636" s="22" t="str">
        <f>HYPERLINK("https://app.vivvix.com/360/KMI/IntelliDrive/ApplUI/Pages/CreativePages/CustomReportCreativeDetail.aspx?App=23&amp;ReportView=4&amp;Qid=1711279&amp;Row=11628&amp;Col=1","No Title Assigned - #15272574625")</f>
        <v/>
      </c>
      <c r="B11636" s="0" t="s">
        <v>15733</v>
      </c>
      <c r="C11636" s="0" t="s">
        <v>15734</v>
      </c>
      <c r="D11636" s="0" t="s">
        <v>15734</v>
      </c>
      <c r="E11636" s="0" t="inlineStr">
        <is>
          <t xml:space="preserve">Mazda</t>
        </is>
      </c>
      <c r="F11636" s="0" t="s">
        <v>13</v>
      </c>
      <c r="G11636" s="0" t="s">
        <v>49</v>
      </c>
      <c r="H11636" s="5">
        <v>63.783000</v>
      </c>
    </row>
    <row r="11637" spans="1:9">
      <c r="A11637" s="22" t="str">
        <f>HYPERLINK("https://app.vivvix.com/360/KMI/IntelliDrive/ApplUI/Pages/CreativePages/CustomReportCreativeDetail.aspx?App=23&amp;ReportView=4&amp;Qid=1711279&amp;Row=11629&amp;Col=1","No Title Assigned - #15272575086")</f>
        <v/>
      </c>
      <c r="B11637" s="0" t="s">
        <v>15735</v>
      </c>
      <c r="E11637" s="0" t="inlineStr">
        <is>
          <t xml:space="preserve">Mazda</t>
        </is>
      </c>
      <c r="F11637" s="0" t="s">
        <v>13</v>
      </c>
      <c r="G11637" s="0" t="s">
        <v>49</v>
      </c>
      <c r="H11637" s="5">
        <v>136.645600</v>
      </c>
    </row>
    <row r="11638" spans="1:9">
      <c r="A11638" s="22" t="str">
        <f>HYPERLINK("https://app.vivvix.com/360/KMI/IntelliDrive/ApplUI/Pages/CreativePages/CustomReportCreativeDetail.aspx?App=23&amp;ReportView=4&amp;Qid=1711279&amp;Row=11630&amp;Col=1","No Title Assigned - #15272575086")</f>
        <v/>
      </c>
      <c r="B11638" s="0" t="s">
        <v>15735</v>
      </c>
      <c r="C11638" s="0" t="s">
        <v>15736</v>
      </c>
      <c r="D11638" s="0" t="s">
        <v>6044</v>
      </c>
      <c r="E11638" s="0" t="inlineStr">
        <is>
          <t xml:space="preserve">Mazda</t>
        </is>
      </c>
      <c r="F11638" s="0" t="s">
        <v>13</v>
      </c>
      <c r="G11638" s="0" t="s">
        <v>49</v>
      </c>
      <c r="H11638" s="5">
        <v>23.880400</v>
      </c>
    </row>
    <row r="11639" spans="1:9">
      <c r="A11639" s="22" t="str">
        <f>HYPERLINK("https://app.vivvix.com/360/KMI/IntelliDrive/ApplUI/Pages/CreativePages/CustomReportCreativeDetail.aspx?App=23&amp;ReportView=4&amp;Qid=1711279&amp;Row=11631&amp;Col=1","No Title Assigned - #15272575290")</f>
        <v/>
      </c>
      <c r="B11639" s="0" t="s">
        <v>15737</v>
      </c>
      <c r="E11639" s="0" t="inlineStr">
        <is>
          <t xml:space="preserve">Mazda</t>
        </is>
      </c>
      <c r="F11639" s="0" t="inlineStr">
        <is>
          <t xml:space="preserve">Mazda</t>
        </is>
      </c>
      <c r="G11639" s="0" t="s">
        <v>171</v>
      </c>
      <c r="H11639" s="5">
        <v>521.668900</v>
      </c>
    </row>
    <row r="11640" spans="1:9">
      <c r="A11640" s="22" t="str">
        <f>HYPERLINK("https://app.vivvix.com/360/KMI/IntelliDrive/ApplUI/Pages/CreativePages/CustomReportCreativeDetail.aspx?App=23&amp;ReportView=4&amp;Qid=1711279&amp;Row=11632&amp;Col=1","No Title Assigned - #15272575729")</f>
        <v/>
      </c>
      <c r="B11640" s="0" t="s">
        <v>15738</v>
      </c>
      <c r="C11640" s="0" t="s">
        <v>15739</v>
      </c>
      <c r="D11640" s="0" t="s">
        <v>15739</v>
      </c>
      <c r="E11640" s="0" t="inlineStr">
        <is>
          <t xml:space="preserve">Mazda</t>
        </is>
      </c>
      <c r="F11640" s="0" t="s">
        <v>13</v>
      </c>
      <c r="G11640" s="0" t="s">
        <v>49</v>
      </c>
      <c r="H11640" s="5">
        <v>283.187600</v>
      </c>
    </row>
    <row r="11641" spans="1:9">
      <c r="A11641" s="22" t="str">
        <f>HYPERLINK("https://app.vivvix.com/360/KMI/IntelliDrive/ApplUI/Pages/CreativePages/CustomReportCreativeDetail.aspx?App=23&amp;ReportView=4&amp;Qid=1711279&amp;Row=11633&amp;Col=1","No Title Assigned - #15272576005")</f>
        <v/>
      </c>
      <c r="B11641" s="0" t="s">
        <v>15740</v>
      </c>
      <c r="C11641" s="0" t="s">
        <v>15741</v>
      </c>
      <c r="D11641" s="0" t="s">
        <v>4798</v>
      </c>
      <c r="E11641" s="0" t="inlineStr">
        <is>
          <t xml:space="preserve">Mazda</t>
        </is>
      </c>
      <c r="F11641" s="0" t="s">
        <v>28</v>
      </c>
      <c r="G11641" s="0" t="s">
        <v>29</v>
      </c>
      <c r="H11641" s="5">
        <v>6.256300</v>
      </c>
    </row>
    <row r="11642" spans="1:9">
      <c r="A11642" s="22" t="str">
        <f>HYPERLINK("https://app.vivvix.com/360/KMI/IntelliDrive/ApplUI/Pages/CreativePages/CustomReportCreativeDetail.aspx?App=23&amp;ReportView=4&amp;Qid=1711279&amp;Row=11634&amp;Col=1","No Title Assigned - #15272576273")</f>
        <v/>
      </c>
      <c r="B11642" s="0" t="s">
        <v>15742</v>
      </c>
      <c r="C11642" s="0" t="s">
        <v>15743</v>
      </c>
      <c r="D11642" s="0" t="s">
        <v>10724</v>
      </c>
      <c r="E11642" s="0" t="inlineStr">
        <is>
          <t xml:space="preserve">Mazda</t>
        </is>
      </c>
      <c r="F11642" s="0" t="s">
        <v>28</v>
      </c>
      <c r="G11642" s="0" t="s">
        <v>29</v>
      </c>
      <c r="H11642" s="5">
        <v>1417.264500</v>
      </c>
    </row>
    <row r="11643" spans="1:9">
      <c r="A11643" s="22" t="str">
        <f>HYPERLINK("https://app.vivvix.com/360/KMI/IntelliDrive/ApplUI/Pages/CreativePages/CustomReportCreativeDetail.aspx?App=23&amp;ReportView=4&amp;Qid=1711279&amp;Row=11635&amp;Col=1","No Title Assigned - #15272576504")</f>
        <v/>
      </c>
      <c r="B11643" s="0" t="s">
        <v>15744</v>
      </c>
      <c r="C11643" s="0" t="s">
        <v>15745</v>
      </c>
      <c r="D11643" s="0" t="s">
        <v>4204</v>
      </c>
      <c r="E11643" s="0" t="inlineStr">
        <is>
          <t xml:space="preserve">Mazda</t>
        </is>
      </c>
      <c r="F11643" s="0" t="s">
        <v>28</v>
      </c>
      <c r="G11643" s="0" t="s">
        <v>29</v>
      </c>
      <c r="H11643" s="5">
        <v>59.331600</v>
      </c>
    </row>
    <row r="11644" spans="1:9">
      <c r="A11644" s="22" t="str">
        <f>HYPERLINK("https://app.vivvix.com/360/KMI/IntelliDrive/ApplUI/Pages/CreativePages/CustomReportCreativeDetail.aspx?App=23&amp;ReportView=4&amp;Qid=1711279&amp;Row=11636&amp;Col=1","No Title Assigned - #15272576663")</f>
        <v/>
      </c>
      <c r="B11644" s="0" t="s">
        <v>15746</v>
      </c>
      <c r="C11644" s="0" t="s">
        <v>15747</v>
      </c>
      <c r="D11644" s="0" t="s">
        <v>9793</v>
      </c>
      <c r="E11644" s="0" t="inlineStr">
        <is>
          <t xml:space="preserve">Mazda</t>
        </is>
      </c>
      <c r="F11644" s="0" t="s">
        <v>13</v>
      </c>
      <c r="G11644" s="0" t="s">
        <v>49</v>
      </c>
      <c r="H11644" s="5">
        <v>194.564900</v>
      </c>
    </row>
    <row r="11645" spans="1:9">
      <c r="A11645" s="22" t="str">
        <f>HYPERLINK("https://app.vivvix.com/360/KMI/IntelliDrive/ApplUI/Pages/CreativePages/CustomReportCreativeDetail.aspx?App=23&amp;ReportView=4&amp;Qid=1711279&amp;Row=11637&amp;Col=1","No Title Assigned - #15272576782")</f>
        <v/>
      </c>
      <c r="B11645" s="0" t="s">
        <v>15748</v>
      </c>
      <c r="E11645" s="0" t="inlineStr">
        <is>
          <t xml:space="preserve">Mazda</t>
        </is>
      </c>
      <c r="F11645" s="0" t="inlineStr">
        <is>
          <t xml:space="preserve">Mazda</t>
        </is>
      </c>
      <c r="G11645" s="0" t="s">
        <v>171</v>
      </c>
      <c r="H11645" s="5">
        <v>1.948400</v>
      </c>
    </row>
    <row r="11646" spans="1:9">
      <c r="A11646" s="22" t="str">
        <f>HYPERLINK("https://app.vivvix.com/360/KMI/IntelliDrive/ApplUI/Pages/CreativePages/CustomReportCreativeDetail.aspx?App=23&amp;ReportView=4&amp;Qid=1711279&amp;Row=11638&amp;Col=1","No Title Assigned - #15272576804")</f>
        <v/>
      </c>
      <c r="B11646" s="0" t="s">
        <v>15749</v>
      </c>
      <c r="C11646" s="0" t="s">
        <v>15750</v>
      </c>
      <c r="D11646" s="0" t="s">
        <v>11758</v>
      </c>
      <c r="E11646" s="0" t="inlineStr">
        <is>
          <t xml:space="preserve">Mazda</t>
        </is>
      </c>
      <c r="F11646" s="0" t="inlineStr">
        <is>
          <t xml:space="preserve">Mazda</t>
        </is>
      </c>
      <c r="G11646" s="0" t="s">
        <v>1992</v>
      </c>
      <c r="H11646" s="5">
        <v>1894.621700</v>
      </c>
    </row>
    <row r="11647" spans="1:9">
      <c r="A11647" s="22" t="str">
        <f>HYPERLINK("https://app.vivvix.com/360/KMI/IntelliDrive/ApplUI/Pages/CreativePages/CustomReportCreativeDetail.aspx?App=23&amp;ReportView=4&amp;Qid=1711279&amp;Row=11639&amp;Col=1","No Title Assigned - #15272576822")</f>
        <v/>
      </c>
      <c r="B11647" s="0" t="s">
        <v>15751</v>
      </c>
      <c r="C11647" s="0" t="s">
        <v>15752</v>
      </c>
      <c r="D11647" s="0" t="s">
        <v>6420</v>
      </c>
      <c r="E11647" s="0" t="inlineStr">
        <is>
          <t xml:space="preserve">Mazda</t>
        </is>
      </c>
      <c r="F11647" s="0" t="s">
        <v>13</v>
      </c>
      <c r="G11647" s="0" t="s">
        <v>49</v>
      </c>
      <c r="H11647" s="5">
        <v>3427.650900</v>
      </c>
    </row>
    <row r="11648" spans="1:9">
      <c r="A11648" s="22" t="str">
        <f>HYPERLINK("https://app.vivvix.com/360/KMI/IntelliDrive/ApplUI/Pages/CreativePages/CustomReportCreativeDetail.aspx?App=23&amp;ReportView=4&amp;Qid=1711279&amp;Row=11640&amp;Col=1","No Title Assigned - #15272576879")</f>
        <v/>
      </c>
      <c r="B11648" s="0" t="s">
        <v>15753</v>
      </c>
      <c r="C11648" s="0" t="s">
        <v>15754</v>
      </c>
      <c r="D11648" s="0" t="s">
        <v>15754</v>
      </c>
      <c r="E11648" s="0" t="inlineStr">
        <is>
          <t xml:space="preserve">Mazda</t>
        </is>
      </c>
      <c r="F11648" s="0" t="s">
        <v>13</v>
      </c>
      <c r="G11648" s="0" t="s">
        <v>49</v>
      </c>
      <c r="H11648" s="5">
        <v>16.732200</v>
      </c>
    </row>
    <row r="11649" spans="1:9">
      <c r="A11649" s="22" t="str">
        <f>HYPERLINK("https://app.vivvix.com/360/KMI/IntelliDrive/ApplUI/Pages/CreativePages/CustomReportCreativeDetail.aspx?App=23&amp;ReportView=4&amp;Qid=1711279&amp;Row=11641&amp;Col=1","No Title Assigned - #15272576925")</f>
        <v/>
      </c>
      <c r="B11649" s="0" t="s">
        <v>15755</v>
      </c>
      <c r="C11649" s="0" t="s">
        <v>15756</v>
      </c>
      <c r="D11649" s="0" t="s">
        <v>15756</v>
      </c>
      <c r="E11649" s="0" t="inlineStr">
        <is>
          <t xml:space="preserve">Mazda</t>
        </is>
      </c>
      <c r="F11649" s="0" t="s">
        <v>13</v>
      </c>
      <c r="G11649" s="0" t="s">
        <v>49</v>
      </c>
      <c r="H11649" s="5">
        <v>131.992700</v>
      </c>
    </row>
    <row r="11650" spans="1:9">
      <c r="A11650" s="22" t="str">
        <f>HYPERLINK("https://app.vivvix.com/360/KMI/IntelliDrive/ApplUI/Pages/CreativePages/CustomReportCreativeDetail.aspx?App=23&amp;ReportView=4&amp;Qid=1711279&amp;Row=11642&amp;Col=1","No Title Assigned - #15272576993")</f>
        <v/>
      </c>
      <c r="B11650" s="0" t="s">
        <v>15757</v>
      </c>
      <c r="C11650" s="0" t="s">
        <v>15758</v>
      </c>
      <c r="D11650" s="0" t="s">
        <v>15758</v>
      </c>
      <c r="E11650" s="0" t="inlineStr">
        <is>
          <t xml:space="preserve">Mazda</t>
        </is>
      </c>
      <c r="F11650" s="0" t="s">
        <v>13</v>
      </c>
      <c r="G11650" s="0" t="s">
        <v>49</v>
      </c>
      <c r="H11650" s="5">
        <v>8.322500</v>
      </c>
    </row>
    <row r="11651" spans="1:9">
      <c r="A11651" s="22" t="str">
        <f>HYPERLINK("https://app.vivvix.com/360/KMI/IntelliDrive/ApplUI/Pages/CreativePages/CustomReportCreativeDetail.aspx?App=23&amp;ReportView=4&amp;Qid=1711279&amp;Row=11643&amp;Col=1","No Title Assigned - #15272577033")</f>
        <v/>
      </c>
      <c r="B11651" s="0" t="s">
        <v>15759</v>
      </c>
      <c r="C11651" s="0" t="s">
        <v>15760</v>
      </c>
      <c r="D11651" s="0" t="s">
        <v>4202</v>
      </c>
      <c r="E11651" s="0" t="inlineStr">
        <is>
          <t xml:space="preserve">Mazda</t>
        </is>
      </c>
      <c r="F11651" s="0" t="s">
        <v>28</v>
      </c>
      <c r="G11651" s="0" t="s">
        <v>29</v>
      </c>
      <c r="H11651" s="5">
        <v>345.478800</v>
      </c>
    </row>
    <row r="11652" spans="1:9">
      <c r="A11652" s="22" t="str">
        <f>HYPERLINK("https://app.vivvix.com/360/KMI/IntelliDrive/ApplUI/Pages/CreativePages/CustomReportCreativeDetail.aspx?App=23&amp;ReportView=4&amp;Qid=1711279&amp;Row=11644&amp;Col=1","No Title Assigned - #15272577184")</f>
        <v/>
      </c>
      <c r="B11652" s="0" t="s">
        <v>15761</v>
      </c>
      <c r="C11652" s="0" t="s">
        <v>15762</v>
      </c>
      <c r="D11652" s="0" t="s">
        <v>15762</v>
      </c>
      <c r="E11652" s="0" t="inlineStr">
        <is>
          <t xml:space="preserve">Mazda</t>
        </is>
      </c>
      <c r="F11652" s="0" t="s">
        <v>13</v>
      </c>
      <c r="G11652" s="0" t="s">
        <v>49</v>
      </c>
      <c r="H11652" s="5">
        <v>30745.278600</v>
      </c>
    </row>
    <row r="11653" spans="1:9">
      <c r="A11653" s="22" t="str">
        <f>HYPERLINK("https://app.vivvix.com/360/KMI/IntelliDrive/ApplUI/Pages/CreativePages/CustomReportCreativeDetail.aspx?App=23&amp;ReportView=4&amp;Qid=1711279&amp;Row=11645&amp;Col=1","No Title Assigned - #15272577184")</f>
        <v/>
      </c>
      <c r="B11653" s="0" t="s">
        <v>15761</v>
      </c>
      <c r="E11653" s="0" t="inlineStr">
        <is>
          <t xml:space="preserve">Mazda</t>
        </is>
      </c>
      <c r="F11653" s="0" t="s">
        <v>13</v>
      </c>
      <c r="G11653" s="0" t="s">
        <v>49</v>
      </c>
      <c r="H11653" s="5">
        <v>79539.873500</v>
      </c>
    </row>
    <row r="11654" spans="1:9">
      <c r="A11654" s="22" t="str">
        <f>HYPERLINK("https://app.vivvix.com/360/KMI/IntelliDrive/ApplUI/Pages/CreativePages/CustomReportCreativeDetail.aspx?App=23&amp;ReportView=4&amp;Qid=1711279&amp;Row=11646&amp;Col=1","No Title Assigned - #15272577486")</f>
        <v/>
      </c>
      <c r="B11654" s="0" t="s">
        <v>15763</v>
      </c>
      <c r="C11654" s="0" t="s">
        <v>15764</v>
      </c>
      <c r="D11654" s="0" t="s">
        <v>14061</v>
      </c>
      <c r="E11654" s="0" t="inlineStr">
        <is>
          <t xml:space="preserve">Mazda</t>
        </is>
      </c>
      <c r="F11654" s="0" t="s">
        <v>28</v>
      </c>
      <c r="G11654" s="0" t="s">
        <v>29</v>
      </c>
      <c r="H11654" s="5">
        <v>4387.566900</v>
      </c>
    </row>
    <row r="11655" spans="1:9">
      <c r="A11655" s="22" t="str">
        <f>HYPERLINK("https://app.vivvix.com/360/KMI/IntelliDrive/ApplUI/Pages/CreativePages/CustomReportCreativeDetail.aspx?App=23&amp;ReportView=4&amp;Qid=1711279&amp;Row=11647&amp;Col=1","No Title Assigned - #15272577498")</f>
        <v/>
      </c>
      <c r="B11655" s="0" t="s">
        <v>15765</v>
      </c>
      <c r="C11655" s="0" t="s">
        <v>15766</v>
      </c>
      <c r="D11655" s="0" t="s">
        <v>7396</v>
      </c>
      <c r="E11655" s="0" t="inlineStr">
        <is>
          <t xml:space="preserve">Mazda</t>
        </is>
      </c>
      <c r="F11655" s="0" t="s">
        <v>13</v>
      </c>
      <c r="G11655" s="0" t="s">
        <v>49</v>
      </c>
      <c r="H11655" s="5">
        <v>11.791600</v>
      </c>
    </row>
    <row r="11656" spans="1:9">
      <c r="A11656" s="22" t="str">
        <f>HYPERLINK("https://app.vivvix.com/360/KMI/IntelliDrive/ApplUI/Pages/CreativePages/CustomReportCreativeDetail.aspx?App=23&amp;ReportView=4&amp;Qid=1711279&amp;Row=11648&amp;Col=1","No Title Assigned - #15272579340")</f>
        <v/>
      </c>
      <c r="B11656" s="0" t="s">
        <v>15767</v>
      </c>
      <c r="C11656" s="0" t="s">
        <v>15768</v>
      </c>
      <c r="D11656" s="0" t="s">
        <v>4335</v>
      </c>
      <c r="E11656" s="0" t="inlineStr">
        <is>
          <t xml:space="preserve">Mazda</t>
        </is>
      </c>
      <c r="F11656" s="0" t="s">
        <v>13</v>
      </c>
      <c r="G11656" s="0" t="s">
        <v>49</v>
      </c>
      <c r="H11656" s="5">
        <v>54.688300</v>
      </c>
    </row>
    <row r="11657" spans="1:9">
      <c r="A11657" s="22" t="str">
        <f>HYPERLINK("https://app.vivvix.com/360/KMI/IntelliDrive/ApplUI/Pages/CreativePages/CustomReportCreativeDetail.aspx?App=23&amp;ReportView=4&amp;Qid=1711279&amp;Row=11649&amp;Col=1","No Title Assigned - #15272579692")</f>
        <v/>
      </c>
      <c r="B11657" s="0" t="s">
        <v>15769</v>
      </c>
      <c r="C11657" s="0" t="s">
        <v>15770</v>
      </c>
      <c r="D11657" s="0" t="s">
        <v>15770</v>
      </c>
      <c r="E11657" s="0" t="inlineStr">
        <is>
          <t xml:space="preserve">Mazda</t>
        </is>
      </c>
      <c r="F11657" s="0" t="s">
        <v>28</v>
      </c>
      <c r="G11657" s="0" t="s">
        <v>29</v>
      </c>
      <c r="H11657" s="5">
        <v>362.583500</v>
      </c>
    </row>
    <row r="11658" spans="1:9">
      <c r="A11658" s="22" t="str">
        <f>HYPERLINK("https://app.vivvix.com/360/KMI/IntelliDrive/ApplUI/Pages/CreativePages/CustomReportCreativeDetail.aspx?App=23&amp;ReportView=4&amp;Qid=1711279&amp;Row=11650&amp;Col=1","No Title Assigned - #15272580353")</f>
        <v/>
      </c>
      <c r="B11658" s="0" t="s">
        <v>15771</v>
      </c>
      <c r="C11658" s="0" t="s">
        <v>15772</v>
      </c>
      <c r="D11658" s="0" t="s">
        <v>15772</v>
      </c>
      <c r="E11658" s="0" t="inlineStr">
        <is>
          <t xml:space="preserve">Mazda</t>
        </is>
      </c>
      <c r="F11658" s="0" t="s">
        <v>13</v>
      </c>
      <c r="G11658" s="0" t="s">
        <v>49</v>
      </c>
      <c r="H11658" s="5">
        <v>56.059200</v>
      </c>
    </row>
    <row r="11659" spans="1:9">
      <c r="A11659" s="22" t="str">
        <f>HYPERLINK("https://app.vivvix.com/360/KMI/IntelliDrive/ApplUI/Pages/CreativePages/CustomReportCreativeDetail.aspx?App=23&amp;ReportView=4&amp;Qid=1711279&amp;Row=11651&amp;Col=1","No Title Assigned - #15272580448")</f>
        <v/>
      </c>
      <c r="B11659" s="0" t="s">
        <v>15773</v>
      </c>
      <c r="E11659" s="0" t="inlineStr">
        <is>
          <t xml:space="preserve">Mazda</t>
        </is>
      </c>
      <c r="F11659" s="0" t="inlineStr">
        <is>
          <t xml:space="preserve">Mazda</t>
        </is>
      </c>
      <c r="G11659" s="0" t="s">
        <v>171</v>
      </c>
      <c r="H11659" s="5">
        <v>42.546500</v>
      </c>
    </row>
    <row r="11660" spans="1:9">
      <c r="A11660" s="22" t="str">
        <f>HYPERLINK("https://app.vivvix.com/360/KMI/IntelliDrive/ApplUI/Pages/CreativePages/CustomReportCreativeDetail.aspx?App=23&amp;ReportView=4&amp;Qid=1711279&amp;Row=11652&amp;Col=1","No Title Assigned - #15272580729")</f>
        <v/>
      </c>
      <c r="B11660" s="0" t="s">
        <v>15774</v>
      </c>
      <c r="E11660" s="0" t="inlineStr">
        <is>
          <t xml:space="preserve">Mazda</t>
        </is>
      </c>
      <c r="F11660" s="0" t="inlineStr">
        <is>
          <t xml:space="preserve">Mazda</t>
        </is>
      </c>
      <c r="G11660" s="0" t="s">
        <v>171</v>
      </c>
      <c r="H11660" s="5">
        <v>3.072200</v>
      </c>
    </row>
    <row r="11661" spans="1:9">
      <c r="A11661" s="22" t="str">
        <f>HYPERLINK("https://app.vivvix.com/360/KMI/IntelliDrive/ApplUI/Pages/CreativePages/CustomReportCreativeDetail.aspx?App=23&amp;ReportView=4&amp;Qid=1711279&amp;Row=11653&amp;Col=1","No Title Assigned - #15272580890")</f>
        <v/>
      </c>
      <c r="B11661" s="0" t="s">
        <v>15775</v>
      </c>
      <c r="E11661" s="0" t="inlineStr">
        <is>
          <t xml:space="preserve">Mazda</t>
        </is>
      </c>
      <c r="F11661" s="0" t="inlineStr">
        <is>
          <t xml:space="preserve">Mazda</t>
        </is>
      </c>
      <c r="G11661" s="0" t="s">
        <v>171</v>
      </c>
      <c r="H11661" s="5">
        <v>733.820900</v>
      </c>
    </row>
    <row r="11662" spans="1:9">
      <c r="A11662" s="22" t="str">
        <f>HYPERLINK("https://app.vivvix.com/360/KMI/IntelliDrive/ApplUI/Pages/CreativePages/CustomReportCreativeDetail.aspx?App=23&amp;ReportView=4&amp;Qid=1711279&amp;Row=11654&amp;Col=1","No Title Assigned - #15272580931")</f>
        <v/>
      </c>
      <c r="B11662" s="0" t="s">
        <v>15776</v>
      </c>
      <c r="E11662" s="0" t="inlineStr">
        <is>
          <t xml:space="preserve">Mazda</t>
        </is>
      </c>
      <c r="F11662" s="0" t="inlineStr">
        <is>
          <t xml:space="preserve">Mazda</t>
        </is>
      </c>
      <c r="G11662" s="0" t="s">
        <v>171</v>
      </c>
      <c r="H11662" s="5">
        <v>1798.821600</v>
      </c>
    </row>
    <row r="11663" spans="1:9">
      <c r="A11663" s="22" t="str">
        <f>HYPERLINK("https://app.vivvix.com/360/KMI/IntelliDrive/ApplUI/Pages/CreativePages/CustomReportCreativeDetail.aspx?App=23&amp;ReportView=4&amp;Qid=1711279&amp;Row=11655&amp;Col=1","No Title Assigned - #15272581131")</f>
        <v/>
      </c>
      <c r="B11663" s="0" t="s">
        <v>15777</v>
      </c>
      <c r="E11663" s="0" t="inlineStr">
        <is>
          <t xml:space="preserve">Mazda</t>
        </is>
      </c>
      <c r="F11663" s="0" t="inlineStr">
        <is>
          <t xml:space="preserve">Mazda</t>
        </is>
      </c>
      <c r="G11663" s="0" t="s">
        <v>171</v>
      </c>
      <c r="H11663" s="5">
        <v>4.736900</v>
      </c>
    </row>
    <row r="11664" spans="1:9">
      <c r="A11664" s="22" t="str">
        <f>HYPERLINK("https://app.vivvix.com/360/KMI/IntelliDrive/ApplUI/Pages/CreativePages/CustomReportCreativeDetail.aspx?App=23&amp;ReportView=4&amp;Qid=1711279&amp;Row=11656&amp;Col=1","No Title Assigned - #15272581136")</f>
        <v/>
      </c>
      <c r="B11664" s="0" t="s">
        <v>15778</v>
      </c>
      <c r="E11664" s="0" t="inlineStr">
        <is>
          <t xml:space="preserve">Mazda</t>
        </is>
      </c>
      <c r="F11664" s="0" t="inlineStr">
        <is>
          <t xml:space="preserve">Mazda</t>
        </is>
      </c>
      <c r="G11664" s="0" t="s">
        <v>171</v>
      </c>
      <c r="H11664" s="5">
        <v>4.736900</v>
      </c>
    </row>
    <row r="11665" spans="1:9">
      <c r="A11665" s="22" t="str">
        <f>HYPERLINK("https://app.vivvix.com/360/KMI/IntelliDrive/ApplUI/Pages/CreativePages/CustomReportCreativeDetail.aspx?App=23&amp;ReportView=4&amp;Qid=1711279&amp;Row=11657&amp;Col=1","No Title Assigned - #15272581272")</f>
        <v/>
      </c>
      <c r="B11665" s="0" t="s">
        <v>15779</v>
      </c>
      <c r="C11665" s="0" t="s">
        <v>15780</v>
      </c>
      <c r="D11665" s="0" t="s">
        <v>15780</v>
      </c>
      <c r="E11665" s="0" t="inlineStr">
        <is>
          <t xml:space="preserve">Mazda</t>
        </is>
      </c>
      <c r="F11665" s="0" t="inlineStr">
        <is>
          <t xml:space="preserve">Mazda</t>
        </is>
      </c>
      <c r="G11665" s="0" t="s">
        <v>171</v>
      </c>
      <c r="H11665" s="5">
        <v>17.790800</v>
      </c>
    </row>
    <row r="11666" spans="1:9">
      <c r="A11666" s="22" t="str">
        <f>HYPERLINK("https://app.vivvix.com/360/KMI/IntelliDrive/ApplUI/Pages/CreativePages/CustomReportCreativeDetail.aspx?App=23&amp;ReportView=4&amp;Qid=1711279&amp;Row=11658&amp;Col=1","No Title Assigned - #15272581337")</f>
        <v/>
      </c>
      <c r="B11666" s="0" t="s">
        <v>15781</v>
      </c>
      <c r="E11666" s="0" t="inlineStr">
        <is>
          <t xml:space="preserve">Mazda</t>
        </is>
      </c>
      <c r="F11666" s="0" t="inlineStr">
        <is>
          <t xml:space="preserve">Mazda</t>
        </is>
      </c>
      <c r="G11666" s="0" t="s">
        <v>171</v>
      </c>
      <c r="H11666" s="5">
        <v>7.222900</v>
      </c>
    </row>
    <row r="11667" spans="1:9">
      <c r="A11667" s="22" t="str">
        <f>HYPERLINK("https://app.vivvix.com/360/KMI/IntelliDrive/ApplUI/Pages/CreativePages/CustomReportCreativeDetail.aspx?App=23&amp;ReportView=4&amp;Qid=1711279&amp;Row=11659&amp;Col=1","No Title Assigned - #15272581462")</f>
        <v/>
      </c>
      <c r="B11667" s="0" t="s">
        <v>15782</v>
      </c>
      <c r="E11667" s="0" t="inlineStr">
        <is>
          <t xml:space="preserve">Mazda</t>
        </is>
      </c>
      <c r="F11667" s="0" t="inlineStr">
        <is>
          <t xml:space="preserve">Mazda</t>
        </is>
      </c>
      <c r="G11667" s="0" t="s">
        <v>171</v>
      </c>
      <c r="H11667" s="5">
        <v>18.347500</v>
      </c>
    </row>
    <row r="11668" spans="1:9">
      <c r="A11668" s="22" t="str">
        <f>HYPERLINK("https://app.vivvix.com/360/KMI/IntelliDrive/ApplUI/Pages/CreativePages/CustomReportCreativeDetail.aspx?App=23&amp;ReportView=4&amp;Qid=1711279&amp;Row=11660&amp;Col=1","No Title Assigned - #15272581675")</f>
        <v/>
      </c>
      <c r="B11668" s="0" t="s">
        <v>15783</v>
      </c>
      <c r="E11668" s="0" t="inlineStr">
        <is>
          <t xml:space="preserve">Mazda</t>
        </is>
      </c>
      <c r="F11668" s="0" t="inlineStr">
        <is>
          <t xml:space="preserve">Mazda</t>
        </is>
      </c>
      <c r="G11668" s="0" t="s">
        <v>171</v>
      </c>
      <c r="H11668" s="5">
        <v>12.760600</v>
      </c>
    </row>
    <row r="11669" spans="1:9">
      <c r="A11669" s="22" t="str">
        <f>HYPERLINK("https://app.vivvix.com/360/KMI/IntelliDrive/ApplUI/Pages/CreativePages/CustomReportCreativeDetail.aspx?App=23&amp;ReportView=4&amp;Qid=1711279&amp;Row=11661&amp;Col=1","No Title Assigned - #15272581874")</f>
        <v/>
      </c>
      <c r="B11669" s="0" t="s">
        <v>15784</v>
      </c>
      <c r="C11669" s="0" t="s">
        <v>15785</v>
      </c>
      <c r="D11669" s="0" t="s">
        <v>6658</v>
      </c>
      <c r="E11669" s="0" t="inlineStr">
        <is>
          <t xml:space="preserve">Mazda</t>
        </is>
      </c>
      <c r="F11669" s="0" t="s">
        <v>28</v>
      </c>
      <c r="G11669" s="0" t="s">
        <v>29</v>
      </c>
      <c r="H11669" s="5">
        <v>33.637300</v>
      </c>
    </row>
    <row r="11670" spans="1:9">
      <c r="A11670" s="22" t="str">
        <f>HYPERLINK("https://app.vivvix.com/360/KMI/IntelliDrive/ApplUI/Pages/CreativePages/CustomReportCreativeDetail.aspx?App=23&amp;ReportView=4&amp;Qid=1711279&amp;Row=11662&amp;Col=1","No Title Assigned - #15272581986")</f>
        <v/>
      </c>
      <c r="B11670" s="0" t="s">
        <v>15786</v>
      </c>
      <c r="C11670" s="0" t="s">
        <v>15787</v>
      </c>
      <c r="D11670" s="0" t="s">
        <v>15787</v>
      </c>
      <c r="E11670" s="0" t="inlineStr">
        <is>
          <t xml:space="preserve">Mazda</t>
        </is>
      </c>
      <c r="F11670" s="0" t="s">
        <v>28</v>
      </c>
      <c r="G11670" s="0" t="s">
        <v>29</v>
      </c>
      <c r="H11670" s="5">
        <v>2353.370400</v>
      </c>
    </row>
    <row r="11671" spans="1:9">
      <c r="A11671" s="22" t="str">
        <f>HYPERLINK("https://app.vivvix.com/360/KMI/IntelliDrive/ApplUI/Pages/CreativePages/CustomReportCreativeDetail.aspx?App=23&amp;ReportView=4&amp;Qid=1711279&amp;Row=11663&amp;Col=1","No Title Assigned - #15272582259")</f>
        <v/>
      </c>
      <c r="B11671" s="0" t="s">
        <v>15788</v>
      </c>
      <c r="E11671" s="0" t="inlineStr">
        <is>
          <t xml:space="preserve">Mazda</t>
        </is>
      </c>
      <c r="F11671" s="0" t="inlineStr">
        <is>
          <t xml:space="preserve">Mazda</t>
        </is>
      </c>
      <c r="G11671" s="0" t="s">
        <v>171</v>
      </c>
      <c r="H11671" s="5">
        <v>51.941200</v>
      </c>
    </row>
    <row r="11672" spans="1:9">
      <c r="A11672" s="22" t="str">
        <f>HYPERLINK("https://app.vivvix.com/360/KMI/IntelliDrive/ApplUI/Pages/CreativePages/CustomReportCreativeDetail.aspx?App=23&amp;ReportView=4&amp;Qid=1711279&amp;Row=11664&amp;Col=1","No Title Assigned - #15272582335")</f>
        <v/>
      </c>
      <c r="B11672" s="0" t="s">
        <v>15789</v>
      </c>
      <c r="E11672" s="0" t="inlineStr">
        <is>
          <t xml:space="preserve">Mazda</t>
        </is>
      </c>
      <c r="F11672" s="0" t="s">
        <v>13</v>
      </c>
      <c r="G11672" s="0" t="s">
        <v>49</v>
      </c>
      <c r="H11672" s="5">
        <v>4911.107700</v>
      </c>
    </row>
    <row r="11673" spans="1:9">
      <c r="A11673" s="22" t="str">
        <f>HYPERLINK("https://app.vivvix.com/360/KMI/IntelliDrive/ApplUI/Pages/CreativePages/CustomReportCreativeDetail.aspx?App=23&amp;ReportView=4&amp;Qid=1711279&amp;Row=11665&amp;Col=1","No Title Assigned - #15272582335")</f>
        <v/>
      </c>
      <c r="B11673" s="0" t="s">
        <v>15789</v>
      </c>
      <c r="C11673" s="0" t="s">
        <v>15790</v>
      </c>
      <c r="D11673" s="0" t="s">
        <v>15790</v>
      </c>
      <c r="E11673" s="0" t="inlineStr">
        <is>
          <t xml:space="preserve">Mazda</t>
        </is>
      </c>
      <c r="F11673" s="0" t="s">
        <v>13</v>
      </c>
      <c r="G11673" s="0" t="s">
        <v>49</v>
      </c>
      <c r="H11673" s="5">
        <v>1141.238200</v>
      </c>
    </row>
    <row r="11674" spans="1:9">
      <c r="A11674" s="22" t="str">
        <f>HYPERLINK("https://app.vivvix.com/360/KMI/IntelliDrive/ApplUI/Pages/CreativePages/CustomReportCreativeDetail.aspx?App=23&amp;ReportView=4&amp;Qid=1711279&amp;Row=11666&amp;Col=1","No Title Assigned - #15272582715")</f>
        <v/>
      </c>
      <c r="B11674" s="0" t="s">
        <v>15791</v>
      </c>
      <c r="C11674" s="0" t="s">
        <v>15792</v>
      </c>
      <c r="D11674" s="0" t="s">
        <v>4204</v>
      </c>
      <c r="E11674" s="0" t="inlineStr">
        <is>
          <t xml:space="preserve">Mazda</t>
        </is>
      </c>
      <c r="F11674" s="0" t="s">
        <v>28</v>
      </c>
      <c r="G11674" s="0" t="s">
        <v>29</v>
      </c>
      <c r="H11674" s="5">
        <v>49.726800</v>
      </c>
    </row>
    <row r="11675" spans="1:9">
      <c r="A11675" s="22" t="str">
        <f>HYPERLINK("https://app.vivvix.com/360/KMI/IntelliDrive/ApplUI/Pages/CreativePages/CustomReportCreativeDetail.aspx?App=23&amp;ReportView=4&amp;Qid=1711279&amp;Row=11667&amp;Col=1","No Title Assigned - #15272582715")</f>
        <v/>
      </c>
      <c r="B11675" s="0" t="s">
        <v>15791</v>
      </c>
      <c r="E11675" s="0" t="inlineStr">
        <is>
          <t xml:space="preserve">Mazda</t>
        </is>
      </c>
      <c r="F11675" s="0" t="s">
        <v>28</v>
      </c>
      <c r="G11675" s="0" t="s">
        <v>29</v>
      </c>
      <c r="H11675" s="5">
        <v>681.737700</v>
      </c>
    </row>
    <row r="11676" spans="1:9">
      <c r="A11676" s="22" t="str">
        <f>HYPERLINK("https://app.vivvix.com/360/KMI/IntelliDrive/ApplUI/Pages/CreativePages/CustomReportCreativeDetail.aspx?App=23&amp;ReportView=4&amp;Qid=1711279&amp;Row=11668&amp;Col=1","No Title Assigned - #15272582834")</f>
        <v/>
      </c>
      <c r="B11676" s="0" t="s">
        <v>15793</v>
      </c>
      <c r="C11676" s="0" t="s">
        <v>15794</v>
      </c>
      <c r="D11676" s="0" t="s">
        <v>6180</v>
      </c>
      <c r="E11676" s="0" t="inlineStr">
        <is>
          <t xml:space="preserve">Mazda</t>
        </is>
      </c>
      <c r="F11676" s="0" t="s">
        <v>13</v>
      </c>
      <c r="G11676" s="0" t="s">
        <v>49</v>
      </c>
      <c r="H11676" s="5">
        <v>59349.708600</v>
      </c>
    </row>
    <row r="11677" spans="1:9">
      <c r="A11677" s="22" t="str">
        <f>HYPERLINK("https://app.vivvix.com/360/KMI/IntelliDrive/ApplUI/Pages/CreativePages/CustomReportCreativeDetail.aspx?App=23&amp;ReportView=4&amp;Qid=1711279&amp;Row=11669&amp;Col=1","No Title Assigned - #15272582834")</f>
        <v/>
      </c>
      <c r="B11677" s="0" t="s">
        <v>15793</v>
      </c>
      <c r="E11677" s="0" t="inlineStr">
        <is>
          <t xml:space="preserve">Mazda</t>
        </is>
      </c>
      <c r="F11677" s="0" t="s">
        <v>13</v>
      </c>
      <c r="G11677" s="0" t="s">
        <v>49</v>
      </c>
      <c r="H11677" s="5">
        <v>244490.722300</v>
      </c>
    </row>
    <row r="11678" spans="1:9">
      <c r="A11678" s="22" t="str">
        <f>HYPERLINK("https://app.vivvix.com/360/KMI/IntelliDrive/ApplUI/Pages/CreativePages/CustomReportCreativeDetail.aspx?App=23&amp;ReportView=4&amp;Qid=1711279&amp;Row=11670&amp;Col=1","No Title Assigned - #15272583092")</f>
        <v/>
      </c>
      <c r="B11678" s="0" t="s">
        <v>15795</v>
      </c>
      <c r="C11678" s="0" t="s">
        <v>15796</v>
      </c>
      <c r="D11678" s="0" t="s">
        <v>6238</v>
      </c>
      <c r="E11678" s="0" t="inlineStr">
        <is>
          <t xml:space="preserve">Mazda</t>
        </is>
      </c>
      <c r="F11678" s="0" t="s">
        <v>13</v>
      </c>
      <c r="G11678" s="0" t="s">
        <v>49</v>
      </c>
      <c r="H11678" s="5">
        <v>39.478300</v>
      </c>
    </row>
    <row r="11679" spans="1:9">
      <c r="A11679" s="22" t="str">
        <f>HYPERLINK("https://app.vivvix.com/360/KMI/IntelliDrive/ApplUI/Pages/CreativePages/CustomReportCreativeDetail.aspx?App=23&amp;ReportView=4&amp;Qid=1711279&amp;Row=11671&amp;Col=1","No Title Assigned - #15272583124")</f>
        <v/>
      </c>
      <c r="B11679" s="0" t="s">
        <v>15797</v>
      </c>
      <c r="C11679" s="0" t="s">
        <v>15798</v>
      </c>
      <c r="D11679" s="0" t="s">
        <v>15798</v>
      </c>
      <c r="E11679" s="0" t="inlineStr">
        <is>
          <t xml:space="preserve">Mazda</t>
        </is>
      </c>
      <c r="F11679" s="0" t="s">
        <v>13</v>
      </c>
      <c r="G11679" s="0" t="s">
        <v>49</v>
      </c>
      <c r="H11679" s="5">
        <v>49.906400</v>
      </c>
    </row>
    <row r="11680" spans="1:9">
      <c r="A11680" s="22" t="str">
        <f>HYPERLINK("https://app.vivvix.com/360/KMI/IntelliDrive/ApplUI/Pages/CreativePages/CustomReportCreativeDetail.aspx?App=23&amp;ReportView=4&amp;Qid=1711279&amp;Row=11672&amp;Col=1","No Title Assigned - #15272583203")</f>
        <v/>
      </c>
      <c r="B11680" s="0" t="s">
        <v>15799</v>
      </c>
      <c r="C11680" s="0" t="s">
        <v>15800</v>
      </c>
      <c r="D11680" s="0" t="s">
        <v>9167</v>
      </c>
      <c r="E11680" s="0" t="inlineStr">
        <is>
          <t xml:space="preserve">Mazda</t>
        </is>
      </c>
      <c r="F11680" s="0" t="s">
        <v>13</v>
      </c>
      <c r="G11680" s="0" t="s">
        <v>49</v>
      </c>
      <c r="H11680" s="5">
        <v>49.103200</v>
      </c>
    </row>
    <row r="11681" spans="1:9">
      <c r="A11681" s="22" t="str">
        <f>HYPERLINK("https://app.vivvix.com/360/KMI/IntelliDrive/ApplUI/Pages/CreativePages/CustomReportCreativeDetail.aspx?App=23&amp;ReportView=4&amp;Qid=1711279&amp;Row=11673&amp;Col=1","No Title Assigned - #15272583888")</f>
        <v/>
      </c>
      <c r="B11681" s="0" t="s">
        <v>15801</v>
      </c>
      <c r="C11681" s="0" t="s">
        <v>15802</v>
      </c>
      <c r="D11681" s="0" t="s">
        <v>15802</v>
      </c>
      <c r="E11681" s="0" t="inlineStr">
        <is>
          <t xml:space="preserve">Mazda</t>
        </is>
      </c>
      <c r="F11681" s="0" t="inlineStr">
        <is>
          <t xml:space="preserve">Mazda</t>
        </is>
      </c>
      <c r="G11681" s="0" t="s">
        <v>171</v>
      </c>
      <c r="H11681" s="5">
        <v>16.879600</v>
      </c>
    </row>
    <row r="11682" spans="1:9">
      <c r="A11682" s="22" t="str">
        <f>HYPERLINK("https://app.vivvix.com/360/KMI/IntelliDrive/ApplUI/Pages/CreativePages/CustomReportCreativeDetail.aspx?App=23&amp;ReportView=4&amp;Qid=1711279&amp;Row=11674&amp;Col=1","No Title Assigned - #15272583888")</f>
        <v/>
      </c>
      <c r="B11682" s="0" t="s">
        <v>15801</v>
      </c>
      <c r="E11682" s="0" t="inlineStr">
        <is>
          <t xml:space="preserve">Mazda</t>
        </is>
      </c>
      <c r="F11682" s="0" t="inlineStr">
        <is>
          <t xml:space="preserve">Mazda</t>
        </is>
      </c>
      <c r="G11682" s="0" t="s">
        <v>171</v>
      </c>
      <c r="H11682" s="5">
        <v>1352.442600</v>
      </c>
    </row>
    <row r="11683" spans="1:9">
      <c r="A11683" s="22" t="str">
        <f>HYPERLINK("https://app.vivvix.com/360/KMI/IntelliDrive/ApplUI/Pages/CreativePages/CustomReportCreativeDetail.aspx?App=23&amp;ReportView=4&amp;Qid=1711279&amp;Row=11675&amp;Col=1","No Title Assigned - #15272584743")</f>
        <v/>
      </c>
      <c r="B11683" s="0" t="s">
        <v>15803</v>
      </c>
      <c r="C11683" s="0" t="s">
        <v>15804</v>
      </c>
      <c r="D11683" s="0" t="s">
        <v>15804</v>
      </c>
      <c r="E11683" s="0" t="inlineStr">
        <is>
          <t xml:space="preserve">Mazda</t>
        </is>
      </c>
      <c r="F11683" s="0" t="s">
        <v>13</v>
      </c>
      <c r="G11683" s="0" t="s">
        <v>49</v>
      </c>
      <c r="H11683" s="5">
        <v>37230.833500</v>
      </c>
    </row>
    <row r="11684" spans="1:9">
      <c r="A11684" s="22" t="str">
        <f>HYPERLINK("https://app.vivvix.com/360/KMI/IntelliDrive/ApplUI/Pages/CreativePages/CustomReportCreativeDetail.aspx?App=23&amp;ReportView=4&amp;Qid=1711279&amp;Row=11676&amp;Col=1","No Title Assigned - #15272584743")</f>
        <v/>
      </c>
      <c r="B11684" s="0" t="s">
        <v>15803</v>
      </c>
      <c r="E11684" s="0" t="inlineStr">
        <is>
          <t xml:space="preserve">Mazda</t>
        </is>
      </c>
      <c r="F11684" s="0" t="s">
        <v>13</v>
      </c>
      <c r="G11684" s="0" t="s">
        <v>49</v>
      </c>
      <c r="H11684" s="5">
        <v>112.324900</v>
      </c>
    </row>
    <row r="11685" spans="1:9">
      <c r="A11685" s="22" t="str">
        <f>HYPERLINK("https://app.vivvix.com/360/KMI/IntelliDrive/ApplUI/Pages/CreativePages/CustomReportCreativeDetail.aspx?App=23&amp;ReportView=4&amp;Qid=1711279&amp;Row=11677&amp;Col=1","No Title Assigned - #15272584753")</f>
        <v/>
      </c>
      <c r="B11685" s="0" t="s">
        <v>15805</v>
      </c>
      <c r="C11685" s="0" t="s">
        <v>15806</v>
      </c>
      <c r="D11685" s="0" t="s">
        <v>4200</v>
      </c>
      <c r="E11685" s="0" t="inlineStr">
        <is>
          <t xml:space="preserve">Mazda</t>
        </is>
      </c>
      <c r="F11685" s="0" t="s">
        <v>28</v>
      </c>
      <c r="G11685" s="0" t="s">
        <v>29</v>
      </c>
      <c r="H11685" s="5">
        <v>16.111600</v>
      </c>
    </row>
    <row r="11686" spans="1:9">
      <c r="A11686" s="22" t="str">
        <f>HYPERLINK("https://app.vivvix.com/360/KMI/IntelliDrive/ApplUI/Pages/CreativePages/CustomReportCreativeDetail.aspx?App=23&amp;ReportView=4&amp;Qid=1711279&amp;Row=11678&amp;Col=1","No Title Assigned - #15272584840")</f>
        <v/>
      </c>
      <c r="B11686" s="0" t="s">
        <v>15807</v>
      </c>
      <c r="C11686" s="0" t="s">
        <v>15808</v>
      </c>
      <c r="D11686" s="0" t="s">
        <v>15808</v>
      </c>
      <c r="E11686" s="0" t="inlineStr">
        <is>
          <t xml:space="preserve">Mazda</t>
        </is>
      </c>
      <c r="F11686" s="0" t="s">
        <v>13</v>
      </c>
      <c r="G11686" s="0" t="s">
        <v>49</v>
      </c>
      <c r="H11686" s="5">
        <v>2142.142400</v>
      </c>
    </row>
    <row r="11687" spans="1:9">
      <c r="A11687" s="22" t="str">
        <f>HYPERLINK("https://app.vivvix.com/360/KMI/IntelliDrive/ApplUI/Pages/CreativePages/CustomReportCreativeDetail.aspx?App=23&amp;ReportView=4&amp;Qid=1711279&amp;Row=11679&amp;Col=1","No Title Assigned - #15272584864")</f>
        <v/>
      </c>
      <c r="B11687" s="0" t="s">
        <v>15809</v>
      </c>
      <c r="C11687" s="0" t="s">
        <v>15810</v>
      </c>
      <c r="D11687" s="0" t="s">
        <v>15810</v>
      </c>
      <c r="E11687" s="0" t="inlineStr">
        <is>
          <t xml:space="preserve">Mazda</t>
        </is>
      </c>
      <c r="F11687" s="0" t="s">
        <v>13</v>
      </c>
      <c r="G11687" s="0" t="s">
        <v>49</v>
      </c>
      <c r="H11687" s="5">
        <v>68.584900</v>
      </c>
    </row>
    <row r="11688" spans="1:9">
      <c r="A11688" s="22" t="str">
        <f>HYPERLINK("https://app.vivvix.com/360/KMI/IntelliDrive/ApplUI/Pages/CreativePages/CustomReportCreativeDetail.aspx?App=23&amp;ReportView=4&amp;Qid=1711279&amp;Row=11680&amp;Col=1","No Title Assigned - #15272586051")</f>
        <v/>
      </c>
      <c r="B11688" s="0" t="s">
        <v>15811</v>
      </c>
      <c r="C11688" s="0" t="s">
        <v>15812</v>
      </c>
      <c r="D11688" s="0" t="s">
        <v>15812</v>
      </c>
      <c r="E11688" s="0" t="inlineStr">
        <is>
          <t xml:space="preserve">Mazda</t>
        </is>
      </c>
      <c r="F11688" s="0" t="s">
        <v>13</v>
      </c>
      <c r="G11688" s="0" t="s">
        <v>49</v>
      </c>
      <c r="H11688" s="5">
        <v>2.610000</v>
      </c>
    </row>
    <row r="11689" spans="1:9">
      <c r="A11689" s="22" t="str">
        <f>HYPERLINK("https://app.vivvix.com/360/KMI/IntelliDrive/ApplUI/Pages/CreativePages/CustomReportCreativeDetail.aspx?App=23&amp;ReportView=4&amp;Qid=1711279&amp;Row=11681&amp;Col=1","No Title Assigned - #15272586268")</f>
        <v/>
      </c>
      <c r="B11689" s="0" t="s">
        <v>15813</v>
      </c>
      <c r="C11689" s="0" t="s">
        <v>15814</v>
      </c>
      <c r="D11689" s="0" t="s">
        <v>15814</v>
      </c>
      <c r="E11689" s="0" t="inlineStr">
        <is>
          <t xml:space="preserve">Mazda</t>
        </is>
      </c>
      <c r="F11689" s="0" t="s">
        <v>13</v>
      </c>
      <c r="G11689" s="0" t="s">
        <v>49</v>
      </c>
      <c r="H11689" s="5">
        <v>1037.687000</v>
      </c>
    </row>
    <row r="11690" spans="1:9">
      <c r="A11690" s="22" t="str">
        <f>HYPERLINK("https://app.vivvix.com/360/KMI/IntelliDrive/ApplUI/Pages/CreativePages/CustomReportCreativeDetail.aspx?App=23&amp;ReportView=4&amp;Qid=1711279&amp;Row=11682&amp;Col=1","No Title Assigned - #15272586268")</f>
        <v/>
      </c>
      <c r="B11690" s="0" t="s">
        <v>15813</v>
      </c>
      <c r="E11690" s="0" t="inlineStr">
        <is>
          <t xml:space="preserve">Mazda</t>
        </is>
      </c>
      <c r="F11690" s="0" t="s">
        <v>13</v>
      </c>
      <c r="G11690" s="0" t="s">
        <v>49</v>
      </c>
      <c r="H11690" s="5">
        <v>36.126600</v>
      </c>
    </row>
    <row r="11691" spans="1:9">
      <c r="A11691" s="22" t="str">
        <f>HYPERLINK("https://app.vivvix.com/360/KMI/IntelliDrive/ApplUI/Pages/CreativePages/CustomReportCreativeDetail.aspx?App=23&amp;ReportView=4&amp;Qid=1711279&amp;Row=11683&amp;Col=1","No Title Assigned - #15272586600")</f>
        <v/>
      </c>
      <c r="B11691" s="0" t="s">
        <v>15815</v>
      </c>
      <c r="E11691" s="0" t="inlineStr">
        <is>
          <t xml:space="preserve">Mazda</t>
        </is>
      </c>
      <c r="F11691" s="0" t="inlineStr">
        <is>
          <t xml:space="preserve">Mazda</t>
        </is>
      </c>
      <c r="G11691" s="0" t="s">
        <v>171</v>
      </c>
      <c r="H11691" s="5">
        <v>51.282900</v>
      </c>
    </row>
    <row r="11692" spans="1:9">
      <c r="A11692" s="22" t="str">
        <f>HYPERLINK("https://app.vivvix.com/360/KMI/IntelliDrive/ApplUI/Pages/CreativePages/CustomReportCreativeDetail.aspx?App=23&amp;ReportView=4&amp;Qid=1711279&amp;Row=11684&amp;Col=1","No Title Assigned - #15272587702")</f>
        <v/>
      </c>
      <c r="B11692" s="0" t="s">
        <v>15816</v>
      </c>
      <c r="C11692" s="0" t="s">
        <v>15817</v>
      </c>
      <c r="D11692" s="0" t="s">
        <v>4274</v>
      </c>
      <c r="E11692" s="0" t="inlineStr">
        <is>
          <t xml:space="preserve">Mazda</t>
        </is>
      </c>
      <c r="F11692" s="0" t="s">
        <v>28</v>
      </c>
      <c r="G11692" s="0" t="s">
        <v>29</v>
      </c>
      <c r="H11692" s="5">
        <v>40216.140300</v>
      </c>
    </row>
    <row r="11693" spans="1:9">
      <c r="A11693" s="22" t="str">
        <f>HYPERLINK("https://app.vivvix.com/360/KMI/IntelliDrive/ApplUI/Pages/CreativePages/CustomReportCreativeDetail.aspx?App=23&amp;ReportView=4&amp;Qid=1711279&amp;Row=11685&amp;Col=1","No Title Assigned - #15272587934")</f>
        <v/>
      </c>
      <c r="B11693" s="0" t="s">
        <v>15818</v>
      </c>
      <c r="C11693" s="0" t="s">
        <v>15819</v>
      </c>
      <c r="D11693" s="0" t="s">
        <v>15819</v>
      </c>
      <c r="E11693" s="0" t="inlineStr">
        <is>
          <t xml:space="preserve">Mazda</t>
        </is>
      </c>
      <c r="F11693" s="0" t="s">
        <v>13</v>
      </c>
      <c r="G11693" s="0" t="s">
        <v>49</v>
      </c>
      <c r="H11693" s="5">
        <v>359164.732500</v>
      </c>
    </row>
    <row r="11694" spans="1:9">
      <c r="A11694" s="22" t="str">
        <f>HYPERLINK("https://app.vivvix.com/360/KMI/IntelliDrive/ApplUI/Pages/CreativePages/CustomReportCreativeDetail.aspx?App=23&amp;ReportView=4&amp;Qid=1711279&amp;Row=11686&amp;Col=1","No Title Assigned - #15272587934")</f>
        <v/>
      </c>
      <c r="B11694" s="0" t="s">
        <v>15818</v>
      </c>
      <c r="E11694" s="0" t="inlineStr">
        <is>
          <t xml:space="preserve">Mazda</t>
        </is>
      </c>
      <c r="F11694" s="0" t="s">
        <v>13</v>
      </c>
      <c r="G11694" s="0" t="s">
        <v>49</v>
      </c>
      <c r="H11694" s="5">
        <v>1178773.951600</v>
      </c>
    </row>
    <row r="11695" spans="1:9">
      <c r="A11695" s="22" t="str">
        <f>HYPERLINK("https://app.vivvix.com/360/KMI/IntelliDrive/ApplUI/Pages/CreativePages/CustomReportCreativeDetail.aspx?App=23&amp;ReportView=4&amp;Qid=1711279&amp;Row=11687&amp;Col=1","No Title Assigned - #15272588129")</f>
        <v/>
      </c>
      <c r="B11695" s="0" t="s">
        <v>15820</v>
      </c>
      <c r="C11695" s="0" t="s">
        <v>15821</v>
      </c>
      <c r="D11695" s="0" t="s">
        <v>15821</v>
      </c>
      <c r="E11695" s="0" t="inlineStr">
        <is>
          <t xml:space="preserve">Mazda</t>
        </is>
      </c>
      <c r="F11695" s="0" t="s">
        <v>28</v>
      </c>
      <c r="G11695" s="0" t="s">
        <v>29</v>
      </c>
      <c r="H11695" s="5">
        <v>72.931800</v>
      </c>
    </row>
    <row r="11696" spans="1:9">
      <c r="A11696" s="22" t="str">
        <f>HYPERLINK("https://app.vivvix.com/360/KMI/IntelliDrive/ApplUI/Pages/CreativePages/CustomReportCreativeDetail.aspx?App=23&amp;ReportView=4&amp;Qid=1711279&amp;Row=11688&amp;Col=1","No Title Assigned - #15272588166")</f>
        <v/>
      </c>
      <c r="B11696" s="0" t="s">
        <v>15822</v>
      </c>
      <c r="C11696" s="0" t="s">
        <v>15823</v>
      </c>
      <c r="D11696" s="0" t="s">
        <v>15823</v>
      </c>
      <c r="E11696" s="0" t="inlineStr">
        <is>
          <t xml:space="preserve">Mazda</t>
        </is>
      </c>
      <c r="F11696" s="0" t="s">
        <v>28</v>
      </c>
      <c r="G11696" s="0" t="s">
        <v>29</v>
      </c>
      <c r="H11696" s="5">
        <v>33317.607800</v>
      </c>
    </row>
    <row r="11697" spans="1:9">
      <c r="A11697" s="22" t="str">
        <f>HYPERLINK("https://app.vivvix.com/360/KMI/IntelliDrive/ApplUI/Pages/CreativePages/CustomReportCreativeDetail.aspx?App=23&amp;ReportView=4&amp;Qid=1711279&amp;Row=11689&amp;Col=1","No Title Assigned - #15272588166")</f>
        <v/>
      </c>
      <c r="B11697" s="0" t="s">
        <v>15822</v>
      </c>
      <c r="E11697" s="0" t="inlineStr">
        <is>
          <t xml:space="preserve">Mazda</t>
        </is>
      </c>
      <c r="F11697" s="0" t="s">
        <v>28</v>
      </c>
      <c r="G11697" s="0" t="s">
        <v>29</v>
      </c>
      <c r="H11697" s="5">
        <v>89575.747100</v>
      </c>
    </row>
    <row r="11698" spans="1:9">
      <c r="A11698" s="22" t="str">
        <f>HYPERLINK("https://app.vivvix.com/360/KMI/IntelliDrive/ApplUI/Pages/CreativePages/CustomReportCreativeDetail.aspx?App=23&amp;ReportView=4&amp;Qid=1711279&amp;Row=11690&amp;Col=1","No Title Assigned - #15272588260")</f>
        <v/>
      </c>
      <c r="B11698" s="0" t="s">
        <v>15824</v>
      </c>
      <c r="E11698" s="0" t="inlineStr">
        <is>
          <t xml:space="preserve">Mazda</t>
        </is>
      </c>
      <c r="F11698" s="0" t="s">
        <v>13</v>
      </c>
      <c r="G11698" s="0" t="s">
        <v>49</v>
      </c>
      <c r="H11698" s="5">
        <v>578.426800</v>
      </c>
    </row>
    <row r="11699" spans="1:9">
      <c r="A11699" s="22" t="str">
        <f>HYPERLINK("https://app.vivvix.com/360/KMI/IntelliDrive/ApplUI/Pages/CreativePages/CustomReportCreativeDetail.aspx?App=23&amp;ReportView=4&amp;Qid=1711279&amp;Row=11691&amp;Col=1","No Title Assigned - #15272588260")</f>
        <v/>
      </c>
      <c r="B11699" s="0" t="s">
        <v>15824</v>
      </c>
      <c r="C11699" s="0" t="s">
        <v>15825</v>
      </c>
      <c r="D11699" s="0" t="s">
        <v>15825</v>
      </c>
      <c r="E11699" s="0" t="inlineStr">
        <is>
          <t xml:space="preserve">Mazda</t>
        </is>
      </c>
      <c r="F11699" s="0" t="s">
        <v>13</v>
      </c>
      <c r="G11699" s="0" t="s">
        <v>49</v>
      </c>
      <c r="H11699" s="5">
        <v>0.334200</v>
      </c>
    </row>
    <row r="11700" spans="1:9">
      <c r="A11700" s="22" t="str">
        <f>HYPERLINK("https://app.vivvix.com/360/KMI/IntelliDrive/ApplUI/Pages/CreativePages/CustomReportCreativeDetail.aspx?App=23&amp;ReportView=4&amp;Qid=1711279&amp;Row=11692&amp;Col=1","No Title Assigned - #15272588291")</f>
        <v/>
      </c>
      <c r="B11700" s="0" t="s">
        <v>15826</v>
      </c>
      <c r="C11700" s="0" t="s">
        <v>15827</v>
      </c>
      <c r="D11700" s="0" t="s">
        <v>15827</v>
      </c>
      <c r="E11700" s="0" t="inlineStr">
        <is>
          <t xml:space="preserve">Mazda</t>
        </is>
      </c>
      <c r="F11700" s="0" t="s">
        <v>28</v>
      </c>
      <c r="G11700" s="0" t="s">
        <v>29</v>
      </c>
      <c r="H11700" s="5">
        <v>1045.334000</v>
      </c>
    </row>
    <row r="11701" spans="1:9">
      <c r="A11701" s="22" t="str">
        <f>HYPERLINK("https://app.vivvix.com/360/KMI/IntelliDrive/ApplUI/Pages/CreativePages/CustomReportCreativeDetail.aspx?App=23&amp;ReportView=4&amp;Qid=1711279&amp;Row=11693&amp;Col=1","No Title Assigned - #15272588329")</f>
        <v/>
      </c>
      <c r="B11701" s="0" t="s">
        <v>15828</v>
      </c>
      <c r="C11701" s="0" t="s">
        <v>15829</v>
      </c>
      <c r="D11701" s="0" t="s">
        <v>15829</v>
      </c>
      <c r="E11701" s="0" t="inlineStr">
        <is>
          <t xml:space="preserve">Mazda</t>
        </is>
      </c>
      <c r="F11701" s="0" t="s">
        <v>13</v>
      </c>
      <c r="G11701" s="0" t="s">
        <v>49</v>
      </c>
      <c r="H11701" s="5">
        <v>276.049900</v>
      </c>
    </row>
    <row r="11702" spans="1:9">
      <c r="A11702" s="22" t="str">
        <f>HYPERLINK("https://app.vivvix.com/360/KMI/IntelliDrive/ApplUI/Pages/CreativePages/CustomReportCreativeDetail.aspx?App=23&amp;ReportView=4&amp;Qid=1711279&amp;Row=11694&amp;Col=1","No Title Assigned - #15272588608")</f>
        <v/>
      </c>
      <c r="B11702" s="0" t="s">
        <v>15830</v>
      </c>
      <c r="C11702" s="0" t="s">
        <v>15831</v>
      </c>
      <c r="D11702" s="0" t="s">
        <v>15831</v>
      </c>
      <c r="E11702" s="0" t="inlineStr">
        <is>
          <t xml:space="preserve">Mazda</t>
        </is>
      </c>
      <c r="F11702" s="0" t="s">
        <v>13</v>
      </c>
      <c r="G11702" s="0" t="s">
        <v>49</v>
      </c>
      <c r="H11702" s="5">
        <v>136.645600</v>
      </c>
    </row>
    <row r="11703" spans="1:9">
      <c r="A11703" s="22" t="str">
        <f>HYPERLINK("https://app.vivvix.com/360/KMI/IntelliDrive/ApplUI/Pages/CreativePages/CustomReportCreativeDetail.aspx?App=23&amp;ReportView=4&amp;Qid=1711279&amp;Row=11695&amp;Col=1","No Title Assigned - #15272588630")</f>
        <v/>
      </c>
      <c r="B11703" s="0" t="s">
        <v>15832</v>
      </c>
      <c r="C11703" s="0" t="s">
        <v>15833</v>
      </c>
      <c r="D11703" s="0" t="s">
        <v>15833</v>
      </c>
      <c r="E11703" s="0" t="inlineStr">
        <is>
          <t xml:space="preserve">Mazda</t>
        </is>
      </c>
      <c r="F11703" s="0" t="s">
        <v>21</v>
      </c>
      <c r="G11703" s="0" t="s">
        <v>22</v>
      </c>
      <c r="H11703" s="5">
        <v>72.140900</v>
      </c>
    </row>
    <row r="11704" spans="1:9">
      <c r="A11704" s="22" t="str">
        <f>HYPERLINK("https://app.vivvix.com/360/KMI/IntelliDrive/ApplUI/Pages/CreativePages/CustomReportCreativeDetail.aspx?App=23&amp;ReportView=4&amp;Qid=1711279&amp;Row=11696&amp;Col=1","No Title Assigned - #15272588634")</f>
        <v/>
      </c>
      <c r="B11704" s="0" t="s">
        <v>15834</v>
      </c>
      <c r="C11704" s="0" t="s">
        <v>15835</v>
      </c>
      <c r="D11704" s="0" t="s">
        <v>13101</v>
      </c>
      <c r="E11704" s="0" t="inlineStr">
        <is>
          <t xml:space="preserve">Mazda</t>
        </is>
      </c>
      <c r="F11704" s="0" t="s">
        <v>13</v>
      </c>
      <c r="G11704" s="0" t="s">
        <v>49</v>
      </c>
      <c r="H11704" s="5">
        <v>549.709500</v>
      </c>
    </row>
    <row r="11705" spans="1:9">
      <c r="A11705" s="22" t="str">
        <f>HYPERLINK("https://app.vivvix.com/360/KMI/IntelliDrive/ApplUI/Pages/CreativePages/CustomReportCreativeDetail.aspx?App=23&amp;ReportView=4&amp;Qid=1711279&amp;Row=11697&amp;Col=1","No Title Assigned - #15272589432")</f>
        <v/>
      </c>
      <c r="B11705" s="0" t="s">
        <v>15836</v>
      </c>
      <c r="C11705" s="0" t="s">
        <v>15837</v>
      </c>
      <c r="D11705" s="0" t="s">
        <v>15837</v>
      </c>
      <c r="E11705" s="0" t="inlineStr">
        <is>
          <t xml:space="preserve">Mazda</t>
        </is>
      </c>
      <c r="F11705" s="0" t="s">
        <v>13</v>
      </c>
      <c r="G11705" s="0" t="s">
        <v>49</v>
      </c>
      <c r="H11705" s="5">
        <v>156.210100</v>
      </c>
    </row>
    <row r="11706" spans="1:9">
      <c r="A11706" s="22" t="str">
        <f>HYPERLINK("https://app.vivvix.com/360/KMI/IntelliDrive/ApplUI/Pages/CreativePages/CustomReportCreativeDetail.aspx?App=23&amp;ReportView=4&amp;Qid=1711279&amp;Row=11698&amp;Col=1","No Title Assigned - #15272589557")</f>
        <v/>
      </c>
      <c r="B11706" s="0" t="s">
        <v>15838</v>
      </c>
      <c r="C11706" s="0" t="s">
        <v>15839</v>
      </c>
      <c r="D11706" s="0" t="s">
        <v>9167</v>
      </c>
      <c r="E11706" s="0" t="inlineStr">
        <is>
          <t xml:space="preserve">Mazda</t>
        </is>
      </c>
      <c r="F11706" s="0" t="s">
        <v>13</v>
      </c>
      <c r="G11706" s="0" t="s">
        <v>49</v>
      </c>
      <c r="H11706" s="5">
        <v>30.845300</v>
      </c>
    </row>
    <row r="11707" spans="1:9">
      <c r="A11707" s="22" t="str">
        <f>HYPERLINK("https://app.vivvix.com/360/KMI/IntelliDrive/ApplUI/Pages/CreativePages/CustomReportCreativeDetail.aspx?App=23&amp;ReportView=4&amp;Qid=1711279&amp;Row=11699&amp;Col=1","No Title Assigned - #15272589611")</f>
        <v/>
      </c>
      <c r="B11707" s="0" t="s">
        <v>15840</v>
      </c>
      <c r="C11707" s="0" t="s">
        <v>15841</v>
      </c>
      <c r="D11707" s="0" t="s">
        <v>10745</v>
      </c>
      <c r="E11707" s="0" t="inlineStr">
        <is>
          <t xml:space="preserve">Mazda</t>
        </is>
      </c>
      <c r="F11707" s="0" t="s">
        <v>13</v>
      </c>
      <c r="G11707" s="0" t="s">
        <v>49</v>
      </c>
      <c r="H11707" s="5">
        <v>9394.181000</v>
      </c>
    </row>
    <row r="11708" spans="1:9">
      <c r="A11708" s="22" t="str">
        <f>HYPERLINK("https://app.vivvix.com/360/KMI/IntelliDrive/ApplUI/Pages/CreativePages/CustomReportCreativeDetail.aspx?App=23&amp;ReportView=4&amp;Qid=1711279&amp;Row=11700&amp;Col=1","No Title Assigned - #15272589802")</f>
        <v/>
      </c>
      <c r="B11708" s="0" t="s">
        <v>15842</v>
      </c>
      <c r="C11708" s="0" t="s">
        <v>15843</v>
      </c>
      <c r="D11708" s="0" t="s">
        <v>15843</v>
      </c>
      <c r="E11708" s="0" t="inlineStr">
        <is>
          <t xml:space="preserve">Mazda</t>
        </is>
      </c>
      <c r="F11708" s="0" t="s">
        <v>13</v>
      </c>
      <c r="G11708" s="0" t="s">
        <v>49</v>
      </c>
      <c r="H11708" s="5">
        <v>89.905500</v>
      </c>
    </row>
    <row r="11709" spans="1:9">
      <c r="A11709" s="22" t="str">
        <f>HYPERLINK("https://app.vivvix.com/360/KMI/IntelliDrive/ApplUI/Pages/CreativePages/CustomReportCreativeDetail.aspx?App=23&amp;ReportView=4&amp;Qid=1711279&amp;Row=11701&amp;Col=1","No Title Assigned - #15272589802")</f>
        <v/>
      </c>
      <c r="B11709" s="0" t="s">
        <v>15842</v>
      </c>
      <c r="C11709" s="0" t="s">
        <v>15844</v>
      </c>
      <c r="D11709" s="0" t="s">
        <v>15844</v>
      </c>
      <c r="E11709" s="0" t="inlineStr">
        <is>
          <t xml:space="preserve">Mazda</t>
        </is>
      </c>
      <c r="F11709" s="0" t="s">
        <v>13</v>
      </c>
      <c r="G11709" s="0" t="s">
        <v>49</v>
      </c>
      <c r="H11709" s="5">
        <v>670.260500</v>
      </c>
    </row>
    <row r="11710" spans="1:9">
      <c r="A11710" s="22" t="str">
        <f>HYPERLINK("https://app.vivvix.com/360/KMI/IntelliDrive/ApplUI/Pages/CreativePages/CustomReportCreativeDetail.aspx?App=23&amp;ReportView=4&amp;Qid=1711279&amp;Row=11702&amp;Col=1","No Title Assigned - #15272589875")</f>
        <v/>
      </c>
      <c r="B11710" s="0" t="s">
        <v>15845</v>
      </c>
      <c r="C11710" s="0" t="s">
        <v>15846</v>
      </c>
      <c r="D11710" s="0" t="s">
        <v>8445</v>
      </c>
      <c r="E11710" s="0" t="inlineStr">
        <is>
          <t xml:space="preserve">Mazda</t>
        </is>
      </c>
      <c r="F11710" s="0" t="s">
        <v>13</v>
      </c>
      <c r="G11710" s="0" t="s">
        <v>49</v>
      </c>
      <c r="H11710" s="5">
        <v>39.670700</v>
      </c>
    </row>
    <row r="11711" spans="1:9">
      <c r="A11711" s="22" t="str">
        <f>HYPERLINK("https://app.vivvix.com/360/KMI/IntelliDrive/ApplUI/Pages/CreativePages/CustomReportCreativeDetail.aspx?App=23&amp;ReportView=4&amp;Qid=1711279&amp;Row=11703&amp;Col=1","No Title Assigned - #15272589876")</f>
        <v/>
      </c>
      <c r="B11711" s="0" t="s">
        <v>15847</v>
      </c>
      <c r="C11711" s="0" t="s">
        <v>15848</v>
      </c>
      <c r="D11711" s="0" t="s">
        <v>15848</v>
      </c>
      <c r="E11711" s="0" t="inlineStr">
        <is>
          <t xml:space="preserve">Mazda</t>
        </is>
      </c>
      <c r="F11711" s="0" t="s">
        <v>13</v>
      </c>
      <c r="G11711" s="0" t="s">
        <v>49</v>
      </c>
      <c r="H11711" s="5">
        <v>39.670700</v>
      </c>
    </row>
    <row r="11712" spans="1:9">
      <c r="A11712" s="22" t="str">
        <f>HYPERLINK("https://app.vivvix.com/360/KMI/IntelliDrive/ApplUI/Pages/CreativePages/CustomReportCreativeDetail.aspx?App=23&amp;ReportView=4&amp;Qid=1711279&amp;Row=11704&amp;Col=1","No Title Assigned - #15272590041")</f>
        <v/>
      </c>
      <c r="B11712" s="0" t="s">
        <v>15849</v>
      </c>
      <c r="C11712" s="0" t="s">
        <v>15850</v>
      </c>
      <c r="D11712" s="0" t="s">
        <v>15850</v>
      </c>
      <c r="E11712" s="0" t="inlineStr">
        <is>
          <t xml:space="preserve">Mazda</t>
        </is>
      </c>
      <c r="F11712" s="0" t="s">
        <v>13</v>
      </c>
      <c r="G11712" s="0" t="s">
        <v>49</v>
      </c>
      <c r="H11712" s="5">
        <v>58.970900</v>
      </c>
    </row>
    <row r="11713" spans="1:9">
      <c r="A11713" s="22" t="str">
        <f>HYPERLINK("https://app.vivvix.com/360/KMI/IntelliDrive/ApplUI/Pages/CreativePages/CustomReportCreativeDetail.aspx?App=23&amp;ReportView=4&amp;Qid=1711279&amp;Row=11705&amp;Col=1","No Title Assigned - #15272590356")</f>
        <v/>
      </c>
      <c r="B11713" s="0" t="s">
        <v>15851</v>
      </c>
      <c r="C11713" s="0" t="s">
        <v>15852</v>
      </c>
      <c r="D11713" s="0" t="s">
        <v>11499</v>
      </c>
      <c r="E11713" s="0" t="inlineStr">
        <is>
          <t xml:space="preserve">Mazda</t>
        </is>
      </c>
      <c r="F11713" s="0" t="s">
        <v>13</v>
      </c>
      <c r="G11713" s="0" t="s">
        <v>49</v>
      </c>
      <c r="H11713" s="5">
        <v>52.372100</v>
      </c>
    </row>
    <row r="11714" spans="1:9">
      <c r="A11714" s="22" t="str">
        <f>HYPERLINK("https://app.vivvix.com/360/KMI/IntelliDrive/ApplUI/Pages/CreativePages/CustomReportCreativeDetail.aspx?App=23&amp;ReportView=4&amp;Qid=1711279&amp;Row=11706&amp;Col=1","No Title Assigned - #15272592235")</f>
        <v/>
      </c>
      <c r="B11714" s="0" t="s">
        <v>15853</v>
      </c>
      <c r="C11714" s="0" t="s">
        <v>15854</v>
      </c>
      <c r="D11714" s="0" t="s">
        <v>5013</v>
      </c>
      <c r="E11714" s="0" t="inlineStr">
        <is>
          <t xml:space="preserve">Mazda</t>
        </is>
      </c>
      <c r="F11714" s="0" t="s">
        <v>13</v>
      </c>
      <c r="G11714" s="0" t="s">
        <v>49</v>
      </c>
      <c r="H11714" s="5">
        <v>107.719600</v>
      </c>
    </row>
    <row r="11715" spans="1:9">
      <c r="A11715" s="22" t="str">
        <f>HYPERLINK("https://app.vivvix.com/360/KMI/IntelliDrive/ApplUI/Pages/CreativePages/CustomReportCreativeDetail.aspx?App=23&amp;ReportView=4&amp;Qid=1711279&amp;Row=11707&amp;Col=1","No Title Assigned - #15272592440")</f>
        <v/>
      </c>
      <c r="B11715" s="0" t="s">
        <v>15855</v>
      </c>
      <c r="E11715" s="0" t="inlineStr">
        <is>
          <t xml:space="preserve">Mazda</t>
        </is>
      </c>
      <c r="F11715" s="0" t="s">
        <v>13</v>
      </c>
      <c r="G11715" s="0" t="s">
        <v>49</v>
      </c>
      <c r="H11715" s="5">
        <v>647.525200</v>
      </c>
    </row>
    <row r="11716" spans="1:9">
      <c r="A11716" s="22" t="str">
        <f>HYPERLINK("https://app.vivvix.com/360/KMI/IntelliDrive/ApplUI/Pages/CreativePages/CustomReportCreativeDetail.aspx?App=23&amp;ReportView=4&amp;Qid=1711279&amp;Row=11708&amp;Col=1","No Title Assigned - #15272592440")</f>
        <v/>
      </c>
      <c r="B11716" s="0" t="s">
        <v>15855</v>
      </c>
      <c r="C11716" s="0" t="s">
        <v>15856</v>
      </c>
      <c r="D11716" s="0" t="s">
        <v>15856</v>
      </c>
      <c r="E11716" s="0" t="inlineStr">
        <is>
          <t xml:space="preserve">Mazda</t>
        </is>
      </c>
      <c r="F11716" s="0" t="s">
        <v>13</v>
      </c>
      <c r="G11716" s="0" t="s">
        <v>49</v>
      </c>
      <c r="H11716" s="5">
        <v>1957.378200</v>
      </c>
    </row>
    <row r="11717" spans="1:9">
      <c r="A11717" s="22" t="str">
        <f>HYPERLINK("https://app.vivvix.com/360/KMI/IntelliDrive/ApplUI/Pages/CreativePages/CustomReportCreativeDetail.aspx?App=23&amp;ReportView=4&amp;Qid=1711279&amp;Row=11709&amp;Col=1","No Title Assigned - #15272592781")</f>
        <v/>
      </c>
      <c r="B11717" s="0" t="s">
        <v>15857</v>
      </c>
      <c r="C11717" s="0" t="s">
        <v>15858</v>
      </c>
      <c r="D11717" s="0" t="s">
        <v>7472</v>
      </c>
      <c r="E11717" s="0" t="inlineStr">
        <is>
          <t xml:space="preserve">Mazda</t>
        </is>
      </c>
      <c r="F11717" s="0" t="s">
        <v>28</v>
      </c>
      <c r="G11717" s="0" t="s">
        <v>29</v>
      </c>
      <c r="H11717" s="5">
        <v>11.661700</v>
      </c>
    </row>
    <row r="11718" spans="1:9">
      <c r="A11718" s="22" t="str">
        <f>HYPERLINK("https://app.vivvix.com/360/KMI/IntelliDrive/ApplUI/Pages/CreativePages/CustomReportCreativeDetail.aspx?App=23&amp;ReportView=4&amp;Qid=1711279&amp;Row=11710&amp;Col=1","No Title Assigned - #15272593823")</f>
        <v/>
      </c>
      <c r="B11718" s="0" t="s">
        <v>15859</v>
      </c>
      <c r="C11718" s="0" t="s">
        <v>15860</v>
      </c>
      <c r="D11718" s="0" t="s">
        <v>15860</v>
      </c>
      <c r="E11718" s="0" t="inlineStr">
        <is>
          <t xml:space="preserve">Mazda</t>
        </is>
      </c>
      <c r="F11718" s="0" t="s">
        <v>13</v>
      </c>
      <c r="G11718" s="0" t="s">
        <v>49</v>
      </c>
      <c r="H11718" s="5">
        <v>2420.619600</v>
      </c>
    </row>
    <row r="11719" spans="1:9">
      <c r="A11719" s="22" t="str">
        <f>HYPERLINK("https://app.vivvix.com/360/KMI/IntelliDrive/ApplUI/Pages/CreativePages/CustomReportCreativeDetail.aspx?App=23&amp;ReportView=4&amp;Qid=1711279&amp;Row=11711&amp;Col=1","No Title Assigned - #15272595980")</f>
        <v/>
      </c>
      <c r="B11719" s="0" t="s">
        <v>15861</v>
      </c>
      <c r="C11719" s="0" t="s">
        <v>15862</v>
      </c>
      <c r="D11719" s="0" t="s">
        <v>15862</v>
      </c>
      <c r="E11719" s="0" t="inlineStr">
        <is>
          <t xml:space="preserve">Mazda</t>
        </is>
      </c>
      <c r="F11719" s="0" t="s">
        <v>28</v>
      </c>
      <c r="G11719" s="0" t="s">
        <v>29</v>
      </c>
      <c r="H11719" s="5">
        <v>109.345700</v>
      </c>
    </row>
    <row r="11720" spans="1:9">
      <c r="A11720" s="22" t="str">
        <f>HYPERLINK("https://app.vivvix.com/360/KMI/IntelliDrive/ApplUI/Pages/CreativePages/CustomReportCreativeDetail.aspx?App=23&amp;ReportView=4&amp;Qid=1711279&amp;Row=11712&amp;Col=1","No Title Assigned - #15272597877")</f>
        <v/>
      </c>
      <c r="B11720" s="0" t="s">
        <v>15863</v>
      </c>
      <c r="C11720" s="0" t="s">
        <v>15864</v>
      </c>
      <c r="D11720" s="0" t="s">
        <v>4200</v>
      </c>
      <c r="E11720" s="0" t="inlineStr">
        <is>
          <t xml:space="preserve">Mazda</t>
        </is>
      </c>
      <c r="F11720" s="0" t="s">
        <v>28</v>
      </c>
      <c r="G11720" s="0" t="s">
        <v>29</v>
      </c>
      <c r="H11720" s="5">
        <v>4.973500</v>
      </c>
    </row>
    <row r="11721" spans="1:9">
      <c r="A11721" s="22" t="str">
        <f>HYPERLINK("https://app.vivvix.com/360/KMI/IntelliDrive/ApplUI/Pages/CreativePages/CustomReportCreativeDetail.aspx?App=23&amp;ReportView=4&amp;Qid=1711279&amp;Row=11713&amp;Col=1","No Title Assigned - #15272598102")</f>
        <v/>
      </c>
      <c r="B11721" s="0" t="s">
        <v>15865</v>
      </c>
      <c r="C11721" s="0" t="s">
        <v>15866</v>
      </c>
      <c r="D11721" s="0" t="s">
        <v>15866</v>
      </c>
      <c r="E11721" s="0" t="inlineStr">
        <is>
          <t xml:space="preserve">Mazda</t>
        </is>
      </c>
      <c r="F11721" s="0" t="s">
        <v>28</v>
      </c>
      <c r="G11721" s="0" t="s">
        <v>29</v>
      </c>
      <c r="H11721" s="5">
        <v>1360.436300</v>
      </c>
    </row>
    <row r="11722" spans="1:9">
      <c r="A11722" s="22" t="str">
        <f>HYPERLINK("https://app.vivvix.com/360/KMI/IntelliDrive/ApplUI/Pages/CreativePages/CustomReportCreativeDetail.aspx?App=23&amp;ReportView=4&amp;Qid=1711279&amp;Row=11714&amp;Col=1","No Title Assigned - #15272598475")</f>
        <v/>
      </c>
      <c r="B11722" s="0" t="s">
        <v>15867</v>
      </c>
      <c r="C11722" s="0" t="s">
        <v>15868</v>
      </c>
      <c r="D11722" s="0" t="s">
        <v>4200</v>
      </c>
      <c r="E11722" s="0" t="inlineStr">
        <is>
          <t xml:space="preserve">Mazda</t>
        </is>
      </c>
      <c r="F11722" s="0" t="s">
        <v>28</v>
      </c>
      <c r="G11722" s="0" t="s">
        <v>29</v>
      </c>
      <c r="H11722" s="5">
        <v>177.631000</v>
      </c>
    </row>
    <row r="11723" spans="1:9">
      <c r="A11723" s="22" t="str">
        <f>HYPERLINK("https://app.vivvix.com/360/KMI/IntelliDrive/ApplUI/Pages/CreativePages/CustomReportCreativeDetail.aspx?App=23&amp;ReportView=4&amp;Qid=1711279&amp;Row=11715&amp;Col=1","No Title Assigned - #15272601182")</f>
        <v/>
      </c>
      <c r="B11723" s="0" t="s">
        <v>15869</v>
      </c>
      <c r="C11723" s="0" t="s">
        <v>15870</v>
      </c>
      <c r="D11723" s="0" t="s">
        <v>4202</v>
      </c>
      <c r="E11723" s="0" t="inlineStr">
        <is>
          <t xml:space="preserve">Mazda</t>
        </is>
      </c>
      <c r="F11723" s="0" t="s">
        <v>28</v>
      </c>
      <c r="G11723" s="0" t="s">
        <v>29</v>
      </c>
      <c r="H11723" s="5">
        <v>24.754400</v>
      </c>
    </row>
    <row r="11724" spans="1:9">
      <c r="A11724" s="22" t="str">
        <f>HYPERLINK("https://app.vivvix.com/360/KMI/IntelliDrive/ApplUI/Pages/CreativePages/CustomReportCreativeDetail.aspx?App=23&amp;ReportView=4&amp;Qid=1711279&amp;Row=11716&amp;Col=1","No Title Assigned - #15272601665")</f>
        <v/>
      </c>
      <c r="B11724" s="0" t="s">
        <v>15871</v>
      </c>
      <c r="C11724" s="0" t="s">
        <v>15872</v>
      </c>
      <c r="D11724" s="0" t="s">
        <v>4202</v>
      </c>
      <c r="E11724" s="0" t="inlineStr">
        <is>
          <t xml:space="preserve">Mazda</t>
        </is>
      </c>
      <c r="F11724" s="0" t="s">
        <v>28</v>
      </c>
      <c r="G11724" s="0" t="s">
        <v>29</v>
      </c>
      <c r="H11724" s="5">
        <v>333.214400</v>
      </c>
    </row>
    <row r="11725" spans="1:9">
      <c r="A11725" s="22" t="str">
        <f>HYPERLINK("https://app.vivvix.com/360/KMI/IntelliDrive/ApplUI/Pages/CreativePages/CustomReportCreativeDetail.aspx?App=23&amp;ReportView=4&amp;Qid=1711279&amp;Row=11717&amp;Col=1","No Title Assigned - #15272604384")</f>
        <v/>
      </c>
      <c r="B11725" s="0" t="s">
        <v>15873</v>
      </c>
      <c r="C11725" s="0" t="s">
        <v>15874</v>
      </c>
      <c r="D11725" s="0" t="s">
        <v>15874</v>
      </c>
      <c r="E11725" s="0" t="inlineStr">
        <is>
          <t xml:space="preserve">Mazda</t>
        </is>
      </c>
      <c r="F11725" s="0" t="inlineStr">
        <is>
          <t xml:space="preserve">Mazda</t>
        </is>
      </c>
      <c r="G11725" s="0" t="s">
        <v>171</v>
      </c>
      <c r="H11725" s="5">
        <v>4.796400</v>
      </c>
    </row>
    <row r="11726" spans="1:9">
      <c r="A11726" s="22" t="str">
        <f>HYPERLINK("https://app.vivvix.com/360/KMI/IntelliDrive/ApplUI/Pages/CreativePages/CustomReportCreativeDetail.aspx?App=23&amp;ReportView=4&amp;Qid=1711279&amp;Row=11718&amp;Col=1","No Title Assigned - #15272604868")</f>
        <v/>
      </c>
      <c r="B11726" s="0" t="s">
        <v>15875</v>
      </c>
      <c r="E11726" s="0" t="inlineStr">
        <is>
          <t xml:space="preserve">Mazda</t>
        </is>
      </c>
      <c r="F11726" s="0" t="inlineStr">
        <is>
          <t xml:space="preserve">Mazda</t>
        </is>
      </c>
      <c r="G11726" s="0" t="s">
        <v>171</v>
      </c>
      <c r="H11726" s="5">
        <v>20.931600</v>
      </c>
    </row>
    <row r="11727" spans="1:9">
      <c r="A11727" s="22" t="str">
        <f>HYPERLINK("https://app.vivvix.com/360/KMI/IntelliDrive/ApplUI/Pages/CreativePages/CustomReportCreativeDetail.aspx?App=23&amp;ReportView=4&amp;Qid=1711279&amp;Row=11719&amp;Col=1","No Title Assigned - #15272605282")</f>
        <v/>
      </c>
      <c r="B11727" s="0" t="s">
        <v>15876</v>
      </c>
      <c r="E11727" s="0" t="inlineStr">
        <is>
          <t xml:space="preserve">Mazda</t>
        </is>
      </c>
      <c r="F11727" s="0" t="inlineStr">
        <is>
          <t xml:space="preserve">Mazda</t>
        </is>
      </c>
      <c r="G11727" s="0" t="s">
        <v>171</v>
      </c>
      <c r="H11727" s="5">
        <v>7.631000</v>
      </c>
    </row>
    <row r="11728" spans="1:9">
      <c r="A11728" s="22" t="str">
        <f>HYPERLINK("https://app.vivvix.com/360/KMI/IntelliDrive/ApplUI/Pages/CreativePages/CustomReportCreativeDetail.aspx?App=23&amp;ReportView=4&amp;Qid=1711279&amp;Row=11720&amp;Col=1","No Title Assigned - #15272613254")</f>
        <v/>
      </c>
      <c r="B11728" s="0" t="s">
        <v>15877</v>
      </c>
      <c r="E11728" s="0" t="inlineStr">
        <is>
          <t xml:space="preserve">Mazda</t>
        </is>
      </c>
      <c r="F11728" s="0" t="inlineStr">
        <is>
          <t xml:space="preserve">Mazda</t>
        </is>
      </c>
      <c r="G11728" s="0" t="s">
        <v>171</v>
      </c>
      <c r="H11728" s="5">
        <v>39.934400</v>
      </c>
    </row>
    <row r="11729" spans="1:9">
      <c r="A11729" s="22" t="str">
        <f>HYPERLINK("https://app.vivvix.com/360/KMI/IntelliDrive/ApplUI/Pages/CreativePages/CustomReportCreativeDetail.aspx?App=23&amp;ReportView=4&amp;Qid=1711279&amp;Row=11721&amp;Col=1","No Title Assigned - #15272614748")</f>
        <v/>
      </c>
      <c r="B11729" s="0" t="s">
        <v>15878</v>
      </c>
      <c r="C11729" s="0" t="s">
        <v>15879</v>
      </c>
      <c r="D11729" s="0" t="s">
        <v>15879</v>
      </c>
      <c r="E11729" s="0" t="inlineStr">
        <is>
          <t xml:space="preserve">Mazda</t>
        </is>
      </c>
      <c r="F11729" s="0" t="s">
        <v>28</v>
      </c>
      <c r="G11729" s="0" t="s">
        <v>29</v>
      </c>
      <c r="H11729" s="5">
        <v>4007.449600</v>
      </c>
    </row>
    <row r="11730" spans="1:9">
      <c r="A11730" s="22" t="str">
        <f>HYPERLINK("https://app.vivvix.com/360/KMI/IntelliDrive/ApplUI/Pages/CreativePages/CustomReportCreativeDetail.aspx?App=23&amp;ReportView=4&amp;Qid=1711279&amp;Row=11722&amp;Col=1","No Title Assigned - #15272615096")</f>
        <v/>
      </c>
      <c r="B11730" s="0" t="s">
        <v>15880</v>
      </c>
      <c r="E11730" s="0" t="inlineStr">
        <is>
          <t xml:space="preserve">Mazda</t>
        </is>
      </c>
      <c r="F11730" s="0" t="inlineStr">
        <is>
          <t xml:space="preserve">Mazda</t>
        </is>
      </c>
      <c r="G11730" s="0" t="s">
        <v>171</v>
      </c>
      <c r="H11730" s="5">
        <v>76.983600</v>
      </c>
    </row>
    <row r="11731" spans="1:9">
      <c r="A11731" s="22" t="str">
        <f>HYPERLINK("https://app.vivvix.com/360/KMI/IntelliDrive/ApplUI/Pages/CreativePages/CustomReportCreativeDetail.aspx?App=23&amp;ReportView=4&amp;Qid=1711279&amp;Row=11723&amp;Col=1","No Title Assigned - #15272617076")</f>
        <v/>
      </c>
      <c r="B11731" s="0" t="s">
        <v>15881</v>
      </c>
      <c r="E11731" s="0" t="inlineStr">
        <is>
          <t xml:space="preserve">Mazda</t>
        </is>
      </c>
      <c r="F11731" s="0" t="inlineStr">
        <is>
          <t xml:space="preserve">Mazda</t>
        </is>
      </c>
      <c r="G11731" s="0" t="s">
        <v>171</v>
      </c>
      <c r="H11731" s="5">
        <v>287.699500</v>
      </c>
    </row>
    <row r="11732" spans="1:9">
      <c r="A11732" s="22" t="str">
        <f>HYPERLINK("https://app.vivvix.com/360/KMI/IntelliDrive/ApplUI/Pages/CreativePages/CustomReportCreativeDetail.aspx?App=23&amp;ReportView=4&amp;Qid=1711279&amp;Row=11724&amp;Col=1","No Title Assigned - #15272617201")</f>
        <v/>
      </c>
      <c r="B11732" s="0" t="s">
        <v>15882</v>
      </c>
      <c r="E11732" s="0" t="inlineStr">
        <is>
          <t xml:space="preserve">Mazda</t>
        </is>
      </c>
      <c r="F11732" s="0" t="inlineStr">
        <is>
          <t xml:space="preserve">Mazda</t>
        </is>
      </c>
      <c r="G11732" s="0" t="s">
        <v>171</v>
      </c>
      <c r="H11732" s="5">
        <v>75.667300</v>
      </c>
    </row>
    <row r="11733" spans="1:9">
      <c r="A11733" s="22" t="str">
        <f>HYPERLINK("https://app.vivvix.com/360/KMI/IntelliDrive/ApplUI/Pages/CreativePages/CustomReportCreativeDetail.aspx?App=23&amp;ReportView=4&amp;Qid=1711279&amp;Row=11725&amp;Col=1","No Title Assigned - #15272618851")</f>
        <v/>
      </c>
      <c r="B11733" s="0" t="s">
        <v>15883</v>
      </c>
      <c r="C11733" s="0" t="s">
        <v>15884</v>
      </c>
      <c r="D11733" s="0" t="s">
        <v>6180</v>
      </c>
      <c r="E11733" s="0" t="inlineStr">
        <is>
          <t xml:space="preserve">Mazda</t>
        </is>
      </c>
      <c r="F11733" s="0" t="s">
        <v>13</v>
      </c>
      <c r="G11733" s="0" t="s">
        <v>49</v>
      </c>
      <c r="H11733" s="5">
        <v>104.568900</v>
      </c>
    </row>
    <row r="11734" spans="1:9">
      <c r="A11734" s="22" t="str">
        <f>HYPERLINK("https://app.vivvix.com/360/KMI/IntelliDrive/ApplUI/Pages/CreativePages/CustomReportCreativeDetail.aspx?App=23&amp;ReportView=4&amp;Qid=1711279&amp;Row=11726&amp;Col=1","No Title Assigned - #15272620547")</f>
        <v/>
      </c>
      <c r="B11734" s="0" t="s">
        <v>15885</v>
      </c>
      <c r="E11734" s="0" t="inlineStr">
        <is>
          <t xml:space="preserve">Mazda</t>
        </is>
      </c>
      <c r="F11734" s="0" t="inlineStr">
        <is>
          <t xml:space="preserve">Mazda</t>
        </is>
      </c>
      <c r="G11734" s="0" t="s">
        <v>171</v>
      </c>
      <c r="H11734" s="5">
        <v>52.746100</v>
      </c>
    </row>
    <row r="11735" spans="1:9">
      <c r="A11735" s="22" t="str">
        <f>HYPERLINK("https://app.vivvix.com/360/KMI/IntelliDrive/ApplUI/Pages/CreativePages/CustomReportCreativeDetail.aspx?App=23&amp;ReportView=4&amp;Qid=1711279&amp;Row=11727&amp;Col=1","No Title Assigned - #15272622590")</f>
        <v/>
      </c>
      <c r="B11735" s="0" t="s">
        <v>15886</v>
      </c>
      <c r="E11735" s="0" t="inlineStr">
        <is>
          <t xml:space="preserve">Mazda</t>
        </is>
      </c>
      <c r="F11735" s="0" t="inlineStr">
        <is>
          <t xml:space="preserve">Mazda</t>
        </is>
      </c>
      <c r="G11735" s="0" t="s">
        <v>171</v>
      </c>
      <c r="H11735" s="5">
        <v>1.030500</v>
      </c>
    </row>
    <row r="11736" spans="1:9">
      <c r="A11736" s="22" t="str">
        <f>HYPERLINK("https://app.vivvix.com/360/KMI/IntelliDrive/ApplUI/Pages/CreativePages/CustomReportCreativeDetail.aspx?App=23&amp;ReportView=4&amp;Qid=1711279&amp;Row=11728&amp;Col=1","No Title Assigned - #15272625290")</f>
        <v/>
      </c>
      <c r="B11736" s="0" t="s">
        <v>15887</v>
      </c>
      <c r="E11736" s="0" t="inlineStr">
        <is>
          <t xml:space="preserve">Mazda</t>
        </is>
      </c>
      <c r="F11736" s="0" t="inlineStr">
        <is>
          <t xml:space="preserve">Mazda</t>
        </is>
      </c>
      <c r="G11736" s="0" t="s">
        <v>171</v>
      </c>
      <c r="H11736" s="5">
        <v>606.480700</v>
      </c>
    </row>
    <row r="11737" spans="1:9">
      <c r="A11737" s="22" t="str">
        <f>HYPERLINK("https://app.vivvix.com/360/KMI/IntelliDrive/ApplUI/Pages/CreativePages/CustomReportCreativeDetail.aspx?App=23&amp;ReportView=4&amp;Qid=1711279&amp;Row=11729&amp;Col=1","No Title Assigned - #15272625290")</f>
        <v/>
      </c>
      <c r="B11737" s="0" t="s">
        <v>15887</v>
      </c>
      <c r="E11737" s="0" t="inlineStr">
        <is>
          <t xml:space="preserve">Mazda</t>
        </is>
      </c>
      <c r="F11737" s="0" t="inlineStr">
        <is>
          <t xml:space="preserve">Mazda</t>
        </is>
      </c>
      <c r="G11737" s="0" t="s">
        <v>171</v>
      </c>
      <c r="H11737" s="5">
        <v>41.229400</v>
      </c>
    </row>
    <row r="11738" spans="1:9">
      <c r="A11738" s="22" t="str">
        <f>HYPERLINK("https://app.vivvix.com/360/KMI/IntelliDrive/ApplUI/Pages/CreativePages/CustomReportCreativeDetail.aspx?App=23&amp;ReportView=4&amp;Qid=1711279&amp;Row=11730&amp;Col=1","No Title Assigned - #15272626960")</f>
        <v/>
      </c>
      <c r="B11738" s="0" t="s">
        <v>15888</v>
      </c>
      <c r="C11738" s="0" t="s">
        <v>15889</v>
      </c>
      <c r="D11738" s="0" t="s">
        <v>4333</v>
      </c>
      <c r="E11738" s="0" t="inlineStr">
        <is>
          <t xml:space="preserve">Mazda</t>
        </is>
      </c>
      <c r="F11738" s="0" t="s">
        <v>28</v>
      </c>
      <c r="G11738" s="0" t="s">
        <v>29</v>
      </c>
      <c r="H11738" s="5">
        <v>48.441400</v>
      </c>
    </row>
    <row r="11739" spans="1:9">
      <c r="A11739" s="22" t="str">
        <f>HYPERLINK("https://app.vivvix.com/360/KMI/IntelliDrive/ApplUI/Pages/CreativePages/CustomReportCreativeDetail.aspx?App=23&amp;ReportView=4&amp;Qid=1711279&amp;Row=11731&amp;Col=1","No Title Assigned - #15272628059")</f>
        <v/>
      </c>
      <c r="B11739" s="0" t="s">
        <v>15890</v>
      </c>
      <c r="E11739" s="0" t="inlineStr">
        <is>
          <t xml:space="preserve">Mazda</t>
        </is>
      </c>
      <c r="F11739" s="0" t="s">
        <v>204</v>
      </c>
      <c r="G11739" s="0" t="s">
        <v>205</v>
      </c>
      <c r="H11739" s="5">
        <v>43.095000</v>
      </c>
    </row>
    <row r="11740" spans="1:9">
      <c r="A11740" s="22" t="str">
        <f>HYPERLINK("https://app.vivvix.com/360/KMI/IntelliDrive/ApplUI/Pages/CreativePages/CustomReportCreativeDetail.aspx?App=23&amp;ReportView=4&amp;Qid=1711279&amp;Row=11732&amp;Col=1","No Title Assigned - #15272629164")</f>
        <v/>
      </c>
      <c r="B11740" s="0" t="s">
        <v>15891</v>
      </c>
      <c r="E11740" s="0" t="inlineStr">
        <is>
          <t xml:space="preserve">Mazda</t>
        </is>
      </c>
      <c r="F11740" s="0" t="inlineStr">
        <is>
          <t xml:space="preserve">Mazda</t>
        </is>
      </c>
      <c r="G11740" s="0" t="s">
        <v>171</v>
      </c>
      <c r="H11740" s="5">
        <v>62.983100</v>
      </c>
    </row>
    <row r="11741" spans="1:9">
      <c r="A11741" s="22" t="str">
        <f>HYPERLINK("https://app.vivvix.com/360/KMI/IntelliDrive/ApplUI/Pages/CreativePages/CustomReportCreativeDetail.aspx?App=23&amp;ReportView=4&amp;Qid=1711279&amp;Row=11733&amp;Col=1","No Title Assigned - #15272629283")</f>
        <v/>
      </c>
      <c r="B11741" s="0" t="s">
        <v>15892</v>
      </c>
      <c r="E11741" s="0" t="inlineStr">
        <is>
          <t xml:space="preserve">Mazda</t>
        </is>
      </c>
      <c r="F11741" s="0" t="inlineStr">
        <is>
          <t xml:space="preserve">Mazda</t>
        </is>
      </c>
      <c r="G11741" s="0" t="s">
        <v>171</v>
      </c>
      <c r="H11741" s="5">
        <v>62.983100</v>
      </c>
    </row>
    <row r="11742" spans="1:9">
      <c r="A11742" s="22" t="str">
        <f>HYPERLINK("https://app.vivvix.com/360/KMI/IntelliDrive/ApplUI/Pages/CreativePages/CustomReportCreativeDetail.aspx?App=23&amp;ReportView=4&amp;Qid=1711279&amp;Row=11734&amp;Col=1","No Title Assigned - #15272629284")</f>
        <v/>
      </c>
      <c r="B11742" s="0" t="s">
        <v>15893</v>
      </c>
      <c r="E11742" s="0" t="inlineStr">
        <is>
          <t xml:space="preserve">Mazda</t>
        </is>
      </c>
      <c r="F11742" s="0" t="inlineStr">
        <is>
          <t xml:space="preserve">Mazda</t>
        </is>
      </c>
      <c r="G11742" s="0" t="s">
        <v>171</v>
      </c>
      <c r="H11742" s="5">
        <v>62.983100</v>
      </c>
    </row>
    <row r="11743" spans="1:9">
      <c r="A11743" s="22" t="str">
        <f>HYPERLINK("https://app.vivvix.com/360/KMI/IntelliDrive/ApplUI/Pages/CreativePages/CustomReportCreativeDetail.aspx?App=23&amp;ReportView=4&amp;Qid=1711279&amp;Row=11735&amp;Col=1","No Title Assigned - #15272630837")</f>
        <v/>
      </c>
      <c r="B11743" s="0" t="s">
        <v>15894</v>
      </c>
      <c r="E11743" s="0" t="inlineStr">
        <is>
          <t xml:space="preserve">Mazda</t>
        </is>
      </c>
      <c r="F11743" s="0" t="inlineStr">
        <is>
          <t xml:space="preserve">Mazda</t>
        </is>
      </c>
      <c r="G11743" s="0" t="s">
        <v>171</v>
      </c>
      <c r="H11743" s="5">
        <v>8.879600</v>
      </c>
    </row>
    <row r="11744" spans="1:9">
      <c r="A11744" s="22" t="str">
        <f>HYPERLINK("https://app.vivvix.com/360/KMI/IntelliDrive/ApplUI/Pages/CreativePages/CustomReportCreativeDetail.aspx?App=23&amp;ReportView=4&amp;Qid=1711279&amp;Row=11736&amp;Col=1","No Title Assigned - #15272632502")</f>
        <v/>
      </c>
      <c r="B11744" s="0" t="s">
        <v>15895</v>
      </c>
      <c r="C11744" s="0" t="s">
        <v>15896</v>
      </c>
      <c r="D11744" s="0" t="s">
        <v>15067</v>
      </c>
      <c r="E11744" s="0" t="inlineStr">
        <is>
          <t xml:space="preserve">Mazda</t>
        </is>
      </c>
      <c r="F11744" s="0" t="inlineStr">
        <is>
          <t xml:space="preserve">Mazda</t>
        </is>
      </c>
      <c r="G11744" s="0" t="s">
        <v>210</v>
      </c>
      <c r="H11744" s="5">
        <v>1413.319900</v>
      </c>
    </row>
    <row r="11745" spans="1:9">
      <c r="A11745" s="22" t="str">
        <f>HYPERLINK("https://app.vivvix.com/360/KMI/IntelliDrive/ApplUI/Pages/CreativePages/CustomReportCreativeDetail.aspx?App=23&amp;ReportView=4&amp;Qid=1711279&amp;Row=11737&amp;Col=1","No Title Assigned - #15272634777")</f>
        <v/>
      </c>
      <c r="B11745" s="0" t="s">
        <v>15897</v>
      </c>
      <c r="E11745" s="0" t="inlineStr">
        <is>
          <t xml:space="preserve">Mazda</t>
        </is>
      </c>
      <c r="F11745" s="0" t="inlineStr">
        <is>
          <t xml:space="preserve">Mazda</t>
        </is>
      </c>
      <c r="G11745" s="0" t="s">
        <v>171</v>
      </c>
      <c r="H11745" s="5">
        <v>33.320400</v>
      </c>
    </row>
    <row r="11746" spans="1:9">
      <c r="A11746" s="22" t="str">
        <f>HYPERLINK("https://app.vivvix.com/360/KMI/IntelliDrive/ApplUI/Pages/CreativePages/CustomReportCreativeDetail.aspx?App=23&amp;ReportView=4&amp;Qid=1711279&amp;Row=11738&amp;Col=1","No Title Assigned - #15272636849")</f>
        <v/>
      </c>
      <c r="B11746" s="0" t="s">
        <v>15898</v>
      </c>
      <c r="E11746" s="0" t="inlineStr">
        <is>
          <t xml:space="preserve">Mazda</t>
        </is>
      </c>
      <c r="F11746" s="0" t="inlineStr">
        <is>
          <t xml:space="preserve">Mazda</t>
        </is>
      </c>
      <c r="G11746" s="0" t="s">
        <v>171</v>
      </c>
      <c r="H11746" s="5">
        <v>3.459800</v>
      </c>
    </row>
    <row r="11747" spans="1:9">
      <c r="A11747" s="22" t="str">
        <f>HYPERLINK("https://app.vivvix.com/360/KMI/IntelliDrive/ApplUI/Pages/CreativePages/CustomReportCreativeDetail.aspx?App=23&amp;ReportView=4&amp;Qid=1711279&amp;Row=11739&amp;Col=1","No Title Assigned - #15272637162")</f>
        <v/>
      </c>
      <c r="B11747" s="0" t="s">
        <v>15899</v>
      </c>
      <c r="E11747" s="0" t="inlineStr">
        <is>
          <t xml:space="preserve">Mazda</t>
        </is>
      </c>
      <c r="F11747" s="0" t="inlineStr">
        <is>
          <t xml:space="preserve">Mazda</t>
        </is>
      </c>
      <c r="G11747" s="0" t="s">
        <v>171</v>
      </c>
      <c r="H11747" s="5">
        <v>1347.272800</v>
      </c>
    </row>
    <row r="11748" spans="1:9">
      <c r="A11748" s="22" t="str">
        <f>HYPERLINK("https://app.vivvix.com/360/KMI/IntelliDrive/ApplUI/Pages/CreativePages/CustomReportCreativeDetail.aspx?App=23&amp;ReportView=4&amp;Qid=1711279&amp;Row=11740&amp;Col=1","No Title Assigned - #15272637395")</f>
        <v/>
      </c>
      <c r="B11748" s="0" t="s">
        <v>15900</v>
      </c>
      <c r="C11748" s="0" t="s">
        <v>15901</v>
      </c>
      <c r="D11748" s="0" t="s">
        <v>10089</v>
      </c>
      <c r="E11748" s="0" t="inlineStr">
        <is>
          <t xml:space="preserve">Mazda</t>
        </is>
      </c>
      <c r="F11748" s="0" t="s">
        <v>13</v>
      </c>
      <c r="G11748" s="0" t="s">
        <v>49</v>
      </c>
      <c r="H11748" s="5">
        <v>20.144800</v>
      </c>
    </row>
    <row r="11749" spans="1:9">
      <c r="A11749" s="22" t="str">
        <f>HYPERLINK("https://app.vivvix.com/360/KMI/IntelliDrive/ApplUI/Pages/CreativePages/CustomReportCreativeDetail.aspx?App=23&amp;ReportView=4&amp;Qid=1711279&amp;Row=11741&amp;Col=1","No Title Assigned - #15272637492")</f>
        <v/>
      </c>
      <c r="B11749" s="0" t="s">
        <v>15902</v>
      </c>
      <c r="E11749" s="0" t="inlineStr">
        <is>
          <t xml:space="preserve">Mazda</t>
        </is>
      </c>
      <c r="F11749" s="0" t="inlineStr">
        <is>
          <t xml:space="preserve">Mazda</t>
        </is>
      </c>
      <c r="G11749" s="0" t="s">
        <v>171</v>
      </c>
      <c r="H11749" s="5">
        <v>815.756400</v>
      </c>
    </row>
    <row r="11750" spans="1:9">
      <c r="A11750" s="22" t="str">
        <f>HYPERLINK("https://app.vivvix.com/360/KMI/IntelliDrive/ApplUI/Pages/CreativePages/CustomReportCreativeDetail.aspx?App=23&amp;ReportView=4&amp;Qid=1711279&amp;Row=11742&amp;Col=1","No Title Assigned - #15272637795")</f>
        <v/>
      </c>
      <c r="B11750" s="0" t="s">
        <v>15903</v>
      </c>
      <c r="E11750" s="0" t="inlineStr">
        <is>
          <t xml:space="preserve">Mazda</t>
        </is>
      </c>
      <c r="F11750" s="0" t="inlineStr">
        <is>
          <t xml:space="preserve">Mazda</t>
        </is>
      </c>
      <c r="G11750" s="0" t="s">
        <v>171</v>
      </c>
      <c r="H11750" s="5">
        <v>7.435000</v>
      </c>
    </row>
    <row r="11751" spans="1:9">
      <c r="A11751" s="22" t="str">
        <f>HYPERLINK("https://app.vivvix.com/360/KMI/IntelliDrive/ApplUI/Pages/CreativePages/CustomReportCreativeDetail.aspx?App=23&amp;ReportView=4&amp;Qid=1711279&amp;Row=11743&amp;Col=1","No Title Assigned - #15272638181")</f>
        <v/>
      </c>
      <c r="B11751" s="0" t="s">
        <v>15904</v>
      </c>
      <c r="E11751" s="0" t="inlineStr">
        <is>
          <t xml:space="preserve">Mazda</t>
        </is>
      </c>
      <c r="F11751" s="0" t="inlineStr">
        <is>
          <t xml:space="preserve">Mazda</t>
        </is>
      </c>
      <c r="G11751" s="0" t="s">
        <v>171</v>
      </c>
      <c r="H11751" s="5">
        <v>458.067500</v>
      </c>
    </row>
    <row r="11752" spans="1:9">
      <c r="A11752" s="22" t="str">
        <f>HYPERLINK("https://app.vivvix.com/360/KMI/IntelliDrive/ApplUI/Pages/CreativePages/CustomReportCreativeDetail.aspx?App=23&amp;ReportView=4&amp;Qid=1711279&amp;Row=11744&amp;Col=1","No Title Assigned - #15272639437")</f>
        <v/>
      </c>
      <c r="B11752" s="0" t="s">
        <v>15905</v>
      </c>
      <c r="E11752" s="0" t="inlineStr">
        <is>
          <t xml:space="preserve">Mazda</t>
        </is>
      </c>
      <c r="F11752" s="0" t="inlineStr">
        <is>
          <t xml:space="preserve">Mazda</t>
        </is>
      </c>
      <c r="G11752" s="0" t="s">
        <v>171</v>
      </c>
      <c r="H11752" s="5">
        <v>2.728500</v>
      </c>
    </row>
    <row r="11753" spans="1:9">
      <c r="A11753" s="22" t="str">
        <f>HYPERLINK("https://app.vivvix.com/360/KMI/IntelliDrive/ApplUI/Pages/CreativePages/CustomReportCreativeDetail.aspx?App=23&amp;ReportView=4&amp;Qid=1711279&amp;Row=11745&amp;Col=1","No Title Assigned - #15272640475")</f>
        <v/>
      </c>
      <c r="B11753" s="0" t="s">
        <v>15906</v>
      </c>
      <c r="E11753" s="0" t="inlineStr">
        <is>
          <t xml:space="preserve">Mazda</t>
        </is>
      </c>
      <c r="F11753" s="0" t="inlineStr">
        <is>
          <t xml:space="preserve">Mazda</t>
        </is>
      </c>
      <c r="G11753" s="0" t="s">
        <v>171</v>
      </c>
      <c r="H11753" s="5">
        <v>55.666200</v>
      </c>
    </row>
    <row r="11754" spans="1:9">
      <c r="A11754" s="22" t="str">
        <f>HYPERLINK("https://app.vivvix.com/360/KMI/IntelliDrive/ApplUI/Pages/CreativePages/CustomReportCreativeDetail.aspx?App=23&amp;ReportView=4&amp;Qid=1711279&amp;Row=11746&amp;Col=1","No Title Assigned - #15272640743")</f>
        <v/>
      </c>
      <c r="B11754" s="0" t="s">
        <v>15907</v>
      </c>
      <c r="C11754" s="0" t="s">
        <v>15908</v>
      </c>
      <c r="D11754" s="0" t="s">
        <v>15908</v>
      </c>
      <c r="E11754" s="0" t="inlineStr">
        <is>
          <t xml:space="preserve">Mazda</t>
        </is>
      </c>
      <c r="F11754" s="0" t="inlineStr">
        <is>
          <t xml:space="preserve">Mazda</t>
        </is>
      </c>
      <c r="G11754" s="0" t="s">
        <v>171</v>
      </c>
      <c r="H11754" s="5">
        <v>4.058200</v>
      </c>
    </row>
    <row r="11755" spans="1:9">
      <c r="A11755" s="22" t="str">
        <f>HYPERLINK("https://app.vivvix.com/360/KMI/IntelliDrive/ApplUI/Pages/CreativePages/CustomReportCreativeDetail.aspx?App=23&amp;ReportView=4&amp;Qid=1711279&amp;Row=11747&amp;Col=1","No Title Assigned - #15272642362")</f>
        <v/>
      </c>
      <c r="B11755" s="0" t="s">
        <v>15909</v>
      </c>
      <c r="E11755" s="0" t="inlineStr">
        <is>
          <t xml:space="preserve">Mazda</t>
        </is>
      </c>
      <c r="F11755" s="0" t="inlineStr">
        <is>
          <t xml:space="preserve">Mazda</t>
        </is>
      </c>
      <c r="G11755" s="0" t="s">
        <v>171</v>
      </c>
      <c r="H11755" s="5">
        <v>4.796400</v>
      </c>
    </row>
    <row r="11756" spans="1:9">
      <c r="A11756" s="22" t="str">
        <f>HYPERLINK("https://app.vivvix.com/360/KMI/IntelliDrive/ApplUI/Pages/CreativePages/CustomReportCreativeDetail.aspx?App=23&amp;ReportView=4&amp;Qid=1711279&amp;Row=11748&amp;Col=1","No Title Assigned - #15272643282")</f>
        <v/>
      </c>
      <c r="B11756" s="0" t="s">
        <v>15910</v>
      </c>
      <c r="E11756" s="0" t="inlineStr">
        <is>
          <t xml:space="preserve">Mazda</t>
        </is>
      </c>
      <c r="F11756" s="0" t="inlineStr">
        <is>
          <t xml:space="preserve">Mazda</t>
        </is>
      </c>
      <c r="G11756" s="0" t="s">
        <v>171</v>
      </c>
      <c r="H11756" s="5">
        <v>73.437500</v>
      </c>
    </row>
    <row r="11757" spans="1:9">
      <c r="A11757" s="22" t="str">
        <f>HYPERLINK("https://app.vivvix.com/360/KMI/IntelliDrive/ApplUI/Pages/CreativePages/CustomReportCreativeDetail.aspx?App=23&amp;ReportView=4&amp;Qid=1711279&amp;Row=11749&amp;Col=1","No Title Assigned - #15272645313")</f>
        <v/>
      </c>
      <c r="B11757" s="0" t="s">
        <v>15911</v>
      </c>
      <c r="E11757" s="0" t="inlineStr">
        <is>
          <t xml:space="preserve">Mazda</t>
        </is>
      </c>
      <c r="F11757" s="0" t="inlineStr">
        <is>
          <t xml:space="preserve">Mazda</t>
        </is>
      </c>
      <c r="G11757" s="0" t="s">
        <v>171</v>
      </c>
      <c r="H11757" s="5">
        <v>8.399900</v>
      </c>
    </row>
    <row r="11758" spans="1:9">
      <c r="A11758" s="22" t="str">
        <f>HYPERLINK("https://app.vivvix.com/360/KMI/IntelliDrive/ApplUI/Pages/CreativePages/CustomReportCreativeDetail.aspx?App=23&amp;ReportView=4&amp;Qid=1711279&amp;Row=11750&amp;Col=1","No Title Assigned - #15272645811")</f>
        <v/>
      </c>
      <c r="B11758" s="0" t="s">
        <v>15912</v>
      </c>
      <c r="E11758" s="0" t="inlineStr">
        <is>
          <t xml:space="preserve">Mazda</t>
        </is>
      </c>
      <c r="F11758" s="0" t="inlineStr">
        <is>
          <t xml:space="preserve">Mazda</t>
        </is>
      </c>
      <c r="G11758" s="0" t="s">
        <v>171</v>
      </c>
      <c r="H11758" s="5">
        <v>143.921400</v>
      </c>
    </row>
    <row r="11759" spans="1:9">
      <c r="A11759" s="22" t="str">
        <f>HYPERLINK("https://app.vivvix.com/360/KMI/IntelliDrive/ApplUI/Pages/CreativePages/CustomReportCreativeDetail.aspx?App=23&amp;ReportView=4&amp;Qid=1711279&amp;Row=11751&amp;Col=1","No Title Assigned - #15272646275")</f>
        <v/>
      </c>
      <c r="B11759" s="0" t="s">
        <v>15913</v>
      </c>
      <c r="C11759" s="0" t="s">
        <v>15914</v>
      </c>
      <c r="D11759" s="0" t="s">
        <v>15914</v>
      </c>
      <c r="E11759" s="0" t="inlineStr">
        <is>
          <t xml:space="preserve">Mazda</t>
        </is>
      </c>
      <c r="F11759" s="0" t="s">
        <v>28</v>
      </c>
      <c r="G11759" s="0" t="s">
        <v>29</v>
      </c>
      <c r="H11759" s="5">
        <v>117.399500</v>
      </c>
    </row>
    <row r="11760" spans="1:9">
      <c r="A11760" s="22" t="str">
        <f>HYPERLINK("https://app.vivvix.com/360/KMI/IntelliDrive/ApplUI/Pages/CreativePages/CustomReportCreativeDetail.aspx?App=23&amp;ReportView=4&amp;Qid=1711279&amp;Row=11752&amp;Col=1","No Title Assigned - #15272646368")</f>
        <v/>
      </c>
      <c r="B11760" s="0" t="s">
        <v>15915</v>
      </c>
      <c r="C11760" s="0" t="s">
        <v>15916</v>
      </c>
      <c r="D11760" s="0" t="s">
        <v>4333</v>
      </c>
      <c r="E11760" s="0" t="inlineStr">
        <is>
          <t xml:space="preserve">Mazda</t>
        </is>
      </c>
      <c r="F11760" s="0" t="s">
        <v>28</v>
      </c>
      <c r="G11760" s="0" t="s">
        <v>29</v>
      </c>
      <c r="H11760" s="5">
        <v>382.650700</v>
      </c>
    </row>
    <row r="11761" spans="1:9">
      <c r="A11761" s="22" t="str">
        <f>HYPERLINK("https://app.vivvix.com/360/KMI/IntelliDrive/ApplUI/Pages/CreativePages/CustomReportCreativeDetail.aspx?App=23&amp;ReportView=4&amp;Qid=1711279&amp;Row=11753&amp;Col=1","No Title Assigned - #15272647199")</f>
        <v/>
      </c>
      <c r="B11761" s="0" t="s">
        <v>15917</v>
      </c>
      <c r="C11761" s="0" t="s">
        <v>15918</v>
      </c>
      <c r="D11761" s="0" t="s">
        <v>4407</v>
      </c>
      <c r="E11761" s="0" t="inlineStr">
        <is>
          <t xml:space="preserve">Mazda</t>
        </is>
      </c>
      <c r="F11761" s="0" t="s">
        <v>28</v>
      </c>
      <c r="G11761" s="0" t="s">
        <v>29</v>
      </c>
      <c r="H11761" s="5">
        <v>15.498100</v>
      </c>
    </row>
    <row r="11762" spans="1:9">
      <c r="A11762" s="22" t="str">
        <f>HYPERLINK("https://app.vivvix.com/360/KMI/IntelliDrive/ApplUI/Pages/CreativePages/CustomReportCreativeDetail.aspx?App=23&amp;ReportView=4&amp;Qid=1711279&amp;Row=11754&amp;Col=1","No Title Assigned - #15272647947")</f>
        <v/>
      </c>
      <c r="B11762" s="0" t="s">
        <v>15919</v>
      </c>
      <c r="C11762" s="0" t="s">
        <v>15920</v>
      </c>
      <c r="D11762" s="0" t="s">
        <v>15920</v>
      </c>
      <c r="E11762" s="0" t="inlineStr">
        <is>
          <t xml:space="preserve">Mazda</t>
        </is>
      </c>
      <c r="F11762" s="0" t="s">
        <v>13</v>
      </c>
      <c r="G11762" s="0" t="s">
        <v>49</v>
      </c>
      <c r="H11762" s="5">
        <v>68.800200</v>
      </c>
    </row>
    <row r="11763" spans="1:9">
      <c r="A11763" s="22" t="str">
        <f>HYPERLINK("https://app.vivvix.com/360/KMI/IntelliDrive/ApplUI/Pages/CreativePages/CustomReportCreativeDetail.aspx?App=23&amp;ReportView=4&amp;Qid=1711279&amp;Row=11755&amp;Col=1","No Title Assigned - #15272647993")</f>
        <v/>
      </c>
      <c r="B11763" s="0" t="s">
        <v>15921</v>
      </c>
      <c r="C11763" s="0" t="s">
        <v>15922</v>
      </c>
      <c r="D11763" s="0" t="s">
        <v>15922</v>
      </c>
      <c r="E11763" s="0" t="inlineStr">
        <is>
          <t xml:space="preserve">Mazda</t>
        </is>
      </c>
      <c r="F11763" s="0" t="s">
        <v>28</v>
      </c>
      <c r="G11763" s="0" t="s">
        <v>29</v>
      </c>
      <c r="H11763" s="5">
        <v>33.170800</v>
      </c>
    </row>
    <row r="11764" spans="1:9">
      <c r="A11764" s="22" t="str">
        <f>HYPERLINK("https://app.vivvix.com/360/KMI/IntelliDrive/ApplUI/Pages/CreativePages/CustomReportCreativeDetail.aspx?App=23&amp;ReportView=4&amp;Qid=1711279&amp;Row=11756&amp;Col=1","No Title Assigned - #15272648143")</f>
        <v/>
      </c>
      <c r="B11764" s="0" t="s">
        <v>15923</v>
      </c>
      <c r="C11764" s="0" t="s">
        <v>15924</v>
      </c>
      <c r="D11764" s="0" t="s">
        <v>15924</v>
      </c>
      <c r="E11764" s="0" t="inlineStr">
        <is>
          <t xml:space="preserve">Mazda</t>
        </is>
      </c>
      <c r="F11764" s="0" t="s">
        <v>28</v>
      </c>
      <c r="G11764" s="0" t="s">
        <v>29</v>
      </c>
      <c r="H11764" s="5">
        <v>1583.272300</v>
      </c>
    </row>
    <row r="11765" spans="1:9">
      <c r="A11765" s="22" t="str">
        <f>HYPERLINK("https://app.vivvix.com/360/KMI/IntelliDrive/ApplUI/Pages/CreativePages/CustomReportCreativeDetail.aspx?App=23&amp;ReportView=4&amp;Qid=1711279&amp;Row=11757&amp;Col=1","No Title Assigned - #15272648875")</f>
        <v/>
      </c>
      <c r="B11765" s="0" t="s">
        <v>15925</v>
      </c>
      <c r="C11765" s="0" t="s">
        <v>15926</v>
      </c>
      <c r="D11765" s="0" t="s">
        <v>15926</v>
      </c>
      <c r="E11765" s="0" t="inlineStr">
        <is>
          <t xml:space="preserve">Mazda</t>
        </is>
      </c>
      <c r="F11765" s="0" t="s">
        <v>13</v>
      </c>
      <c r="G11765" s="0" t="s">
        <v>49</v>
      </c>
      <c r="H11765" s="5">
        <v>730.058000</v>
      </c>
    </row>
    <row r="11766" spans="1:9">
      <c r="A11766" s="22" t="str">
        <f>HYPERLINK("https://app.vivvix.com/360/KMI/IntelliDrive/ApplUI/Pages/CreativePages/CustomReportCreativeDetail.aspx?App=23&amp;ReportView=4&amp;Qid=1711279&amp;Row=11758&amp;Col=1","No Title Assigned - #15272649758")</f>
        <v/>
      </c>
      <c r="B11766" s="0" t="s">
        <v>15927</v>
      </c>
      <c r="C11766" s="0" t="s">
        <v>15928</v>
      </c>
      <c r="D11766" s="0" t="s">
        <v>4225</v>
      </c>
      <c r="E11766" s="0" t="inlineStr">
        <is>
          <t xml:space="preserve">Mazda</t>
        </is>
      </c>
      <c r="F11766" s="0" t="s">
        <v>28</v>
      </c>
      <c r="G11766" s="0" t="s">
        <v>29</v>
      </c>
      <c r="H11766" s="5">
        <v>12.634000</v>
      </c>
    </row>
    <row r="11767" spans="1:9">
      <c r="A11767" s="22" t="str">
        <f>HYPERLINK("https://app.vivvix.com/360/KMI/IntelliDrive/ApplUI/Pages/CreativePages/CustomReportCreativeDetail.aspx?App=23&amp;ReportView=4&amp;Qid=1711279&amp;Row=11759&amp;Col=1","No Title Assigned - #15272649822")</f>
        <v/>
      </c>
      <c r="B11767" s="0" t="s">
        <v>15929</v>
      </c>
      <c r="C11767" s="0" t="s">
        <v>15930</v>
      </c>
      <c r="D11767" s="0" t="s">
        <v>15930</v>
      </c>
      <c r="E11767" s="0" t="inlineStr">
        <is>
          <t xml:space="preserve">Mazda</t>
        </is>
      </c>
      <c r="F11767" s="0" t="s">
        <v>13</v>
      </c>
      <c r="G11767" s="0" t="s">
        <v>49</v>
      </c>
      <c r="H11767" s="5">
        <v>43.409200</v>
      </c>
    </row>
    <row r="11768" spans="1:9">
      <c r="A11768" s="22" t="str">
        <f>HYPERLINK("https://app.vivvix.com/360/KMI/IntelliDrive/ApplUI/Pages/CreativePages/CustomReportCreativeDetail.aspx?App=23&amp;ReportView=4&amp;Qid=1711279&amp;Row=11760&amp;Col=1","No Title Assigned - #15272651142")</f>
        <v/>
      </c>
      <c r="B11768" s="0" t="s">
        <v>15931</v>
      </c>
      <c r="C11768" s="0" t="s">
        <v>15932</v>
      </c>
      <c r="D11768" s="0" t="s">
        <v>6170</v>
      </c>
      <c r="E11768" s="0" t="inlineStr">
        <is>
          <t xml:space="preserve">Mazda</t>
        </is>
      </c>
      <c r="F11768" s="0" t="s">
        <v>28</v>
      </c>
      <c r="G11768" s="0" t="s">
        <v>29</v>
      </c>
      <c r="H11768" s="5">
        <v>2.130900</v>
      </c>
    </row>
    <row r="11769" spans="1:9">
      <c r="A11769" s="22" t="str">
        <f>HYPERLINK("https://app.vivvix.com/360/KMI/IntelliDrive/ApplUI/Pages/CreativePages/CustomReportCreativeDetail.aspx?App=23&amp;ReportView=4&amp;Qid=1711279&amp;Row=11761&amp;Col=1","No Title Assigned - #15272651247")</f>
        <v/>
      </c>
      <c r="B11769" s="0" t="s">
        <v>15933</v>
      </c>
      <c r="C11769" s="0" t="s">
        <v>15934</v>
      </c>
      <c r="D11769" s="0" t="s">
        <v>15934</v>
      </c>
      <c r="E11769" s="0" t="inlineStr">
        <is>
          <t xml:space="preserve">Mazda</t>
        </is>
      </c>
      <c r="F11769" s="0" t="s">
        <v>21</v>
      </c>
      <c r="G11769" s="0" t="s">
        <v>22</v>
      </c>
      <c r="H11769" s="5">
        <v>1336.227200</v>
      </c>
    </row>
    <row r="11770" spans="1:9">
      <c r="A11770" s="22" t="str">
        <f>HYPERLINK("https://app.vivvix.com/360/KMI/IntelliDrive/ApplUI/Pages/CreativePages/CustomReportCreativeDetail.aspx?App=23&amp;ReportView=4&amp;Qid=1711279&amp;Row=11762&amp;Col=1","No Title Assigned - #15272651371")</f>
        <v/>
      </c>
      <c r="B11770" s="0" t="s">
        <v>15935</v>
      </c>
      <c r="C11770" s="0" t="s">
        <v>15936</v>
      </c>
      <c r="D11770" s="0" t="s">
        <v>4424</v>
      </c>
      <c r="E11770" s="0" t="inlineStr">
        <is>
          <t xml:space="preserve">Mazda</t>
        </is>
      </c>
      <c r="F11770" s="0" t="s">
        <v>28</v>
      </c>
      <c r="G11770" s="0" t="s">
        <v>29</v>
      </c>
      <c r="H11770" s="5">
        <v>6.906400</v>
      </c>
    </row>
    <row r="11771" spans="1:9">
      <c r="A11771" s="22" t="str">
        <f>HYPERLINK("https://app.vivvix.com/360/KMI/IntelliDrive/ApplUI/Pages/CreativePages/CustomReportCreativeDetail.aspx?App=23&amp;ReportView=4&amp;Qid=1711279&amp;Row=11763&amp;Col=1","No Title Assigned - #15272651628")</f>
        <v/>
      </c>
      <c r="B11771" s="0" t="s">
        <v>15937</v>
      </c>
      <c r="C11771" s="0" t="s">
        <v>15938</v>
      </c>
      <c r="D11771" s="0" t="s">
        <v>15938</v>
      </c>
      <c r="E11771" s="0" t="inlineStr">
        <is>
          <t xml:space="preserve">Mazda</t>
        </is>
      </c>
      <c r="F11771" s="0" t="s">
        <v>13</v>
      </c>
      <c r="G11771" s="0" t="s">
        <v>49</v>
      </c>
      <c r="H11771" s="5">
        <v>1636.293200</v>
      </c>
    </row>
    <row r="11772" spans="1:9">
      <c r="A11772" s="22" t="str">
        <f>HYPERLINK("https://app.vivvix.com/360/KMI/IntelliDrive/ApplUI/Pages/CreativePages/CustomReportCreativeDetail.aspx?App=23&amp;ReportView=4&amp;Qid=1711279&amp;Row=11764&amp;Col=1","No Title Assigned - #15272651628")</f>
        <v/>
      </c>
      <c r="B11772" s="0" t="s">
        <v>15937</v>
      </c>
      <c r="C11772" s="0" t="s">
        <v>15939</v>
      </c>
      <c r="D11772" s="0" t="s">
        <v>15939</v>
      </c>
      <c r="E11772" s="0" t="inlineStr">
        <is>
          <t xml:space="preserve">Mazda</t>
        </is>
      </c>
      <c r="F11772" s="0" t="s">
        <v>13</v>
      </c>
      <c r="G11772" s="0" t="s">
        <v>49</v>
      </c>
      <c r="H11772" s="5">
        <v>975.252600</v>
      </c>
    </row>
    <row r="11773" spans="1:9">
      <c r="A11773" s="22" t="str">
        <f>HYPERLINK("https://app.vivvix.com/360/KMI/IntelliDrive/ApplUI/Pages/CreativePages/CustomReportCreativeDetail.aspx?App=23&amp;ReportView=4&amp;Qid=1711279&amp;Row=11765&amp;Col=1","No Title Assigned - #15272651693")</f>
        <v/>
      </c>
      <c r="B11773" s="0" t="s">
        <v>15940</v>
      </c>
      <c r="E11773" s="0" t="inlineStr">
        <is>
          <t xml:space="preserve">Mazda</t>
        </is>
      </c>
      <c r="F11773" s="0" t="s">
        <v>13</v>
      </c>
      <c r="G11773" s="0" t="s">
        <v>49</v>
      </c>
      <c r="H11773" s="5">
        <v>4768.268500</v>
      </c>
    </row>
    <row r="11774" spans="1:9">
      <c r="A11774" s="22" t="str">
        <f>HYPERLINK("https://app.vivvix.com/360/KMI/IntelliDrive/ApplUI/Pages/CreativePages/CustomReportCreativeDetail.aspx?App=23&amp;ReportView=4&amp;Qid=1711279&amp;Row=11766&amp;Col=1","No Title Assigned - #15272651693")</f>
        <v/>
      </c>
      <c r="B11774" s="0" t="s">
        <v>15940</v>
      </c>
      <c r="C11774" s="0" t="s">
        <v>15941</v>
      </c>
      <c r="D11774" s="0" t="s">
        <v>15941</v>
      </c>
      <c r="E11774" s="0" t="inlineStr">
        <is>
          <t xml:space="preserve">Mazda</t>
        </is>
      </c>
      <c r="F11774" s="0" t="s">
        <v>13</v>
      </c>
      <c r="G11774" s="0" t="s">
        <v>49</v>
      </c>
      <c r="H11774" s="5">
        <v>7082.274800</v>
      </c>
    </row>
    <row r="11775" spans="1:9">
      <c r="A11775" s="22" t="str">
        <f>HYPERLINK("https://app.vivvix.com/360/KMI/IntelliDrive/ApplUI/Pages/CreativePages/CustomReportCreativeDetail.aspx?App=23&amp;ReportView=4&amp;Qid=1711279&amp;Row=11767&amp;Col=1","No Title Assigned - #15272651695")</f>
        <v/>
      </c>
      <c r="B11775" s="0" t="s">
        <v>15942</v>
      </c>
      <c r="C11775" s="0" t="s">
        <v>15943</v>
      </c>
      <c r="D11775" s="0" t="s">
        <v>4200</v>
      </c>
      <c r="E11775" s="0" t="inlineStr">
        <is>
          <t xml:space="preserve">Mazda</t>
        </is>
      </c>
      <c r="F11775" s="0" t="s">
        <v>28</v>
      </c>
      <c r="G11775" s="0" t="s">
        <v>29</v>
      </c>
      <c r="H11775" s="5">
        <v>362.583500</v>
      </c>
    </row>
    <row r="11776" spans="1:9">
      <c r="A11776" s="22" t="str">
        <f>HYPERLINK("https://app.vivvix.com/360/KMI/IntelliDrive/ApplUI/Pages/CreativePages/CustomReportCreativeDetail.aspx?App=23&amp;ReportView=4&amp;Qid=1711279&amp;Row=11768&amp;Col=1","No Title Assigned - #15272652255")</f>
        <v/>
      </c>
      <c r="B11776" s="0" t="s">
        <v>15944</v>
      </c>
      <c r="C11776" s="0" t="s">
        <v>15945</v>
      </c>
      <c r="D11776" s="0" t="s">
        <v>15945</v>
      </c>
      <c r="E11776" s="0" t="inlineStr">
        <is>
          <t xml:space="preserve">Mazda</t>
        </is>
      </c>
      <c r="F11776" s="0" t="s">
        <v>13</v>
      </c>
      <c r="G11776" s="0" t="s">
        <v>49</v>
      </c>
      <c r="H11776" s="5">
        <v>94.269800</v>
      </c>
    </row>
    <row r="11777" spans="1:9">
      <c r="A11777" s="22" t="str">
        <f>HYPERLINK("https://app.vivvix.com/360/KMI/IntelliDrive/ApplUI/Pages/CreativePages/CustomReportCreativeDetail.aspx?App=23&amp;ReportView=4&amp;Qid=1711279&amp;Row=11769&amp;Col=1","No Title Assigned - #15272652834")</f>
        <v/>
      </c>
      <c r="B11777" s="0" t="s">
        <v>15946</v>
      </c>
      <c r="C11777" s="0" t="s">
        <v>15947</v>
      </c>
      <c r="D11777" s="0" t="s">
        <v>15947</v>
      </c>
      <c r="E11777" s="0" t="inlineStr">
        <is>
          <t xml:space="preserve">Mazda</t>
        </is>
      </c>
      <c r="F11777" s="0" t="s">
        <v>28</v>
      </c>
      <c r="G11777" s="0" t="s">
        <v>29</v>
      </c>
      <c r="H11777" s="5">
        <v>1297.598300</v>
      </c>
    </row>
    <row r="11778" spans="1:9">
      <c r="A11778" s="22" t="str">
        <f>HYPERLINK("https://app.vivvix.com/360/KMI/IntelliDrive/ApplUI/Pages/CreativePages/CustomReportCreativeDetail.aspx?App=23&amp;ReportView=4&amp;Qid=1711279&amp;Row=11770&amp;Col=1","No Title Assigned - #15272652856")</f>
        <v/>
      </c>
      <c r="B11778" s="0" t="s">
        <v>15948</v>
      </c>
      <c r="C11778" s="0" t="s">
        <v>15949</v>
      </c>
      <c r="D11778" s="0" t="s">
        <v>4390</v>
      </c>
      <c r="E11778" s="0" t="inlineStr">
        <is>
          <t xml:space="preserve">Mazda</t>
        </is>
      </c>
      <c r="F11778" s="0" t="s">
        <v>28</v>
      </c>
      <c r="G11778" s="0" t="s">
        <v>29</v>
      </c>
      <c r="H11778" s="5">
        <v>93.348600</v>
      </c>
    </row>
    <row r="11779" spans="1:9">
      <c r="A11779" s="22" t="str">
        <f>HYPERLINK("https://app.vivvix.com/360/KMI/IntelliDrive/ApplUI/Pages/CreativePages/CustomReportCreativeDetail.aspx?App=23&amp;ReportView=4&amp;Qid=1711279&amp;Row=11771&amp;Col=1","No Title Assigned - #15272652881")</f>
        <v/>
      </c>
      <c r="B11779" s="0" t="s">
        <v>15950</v>
      </c>
      <c r="E11779" s="0" t="inlineStr">
        <is>
          <t xml:space="preserve">Mazda</t>
        </is>
      </c>
      <c r="F11779" s="0" t="inlineStr">
        <is>
          <t xml:space="preserve">Mazda</t>
        </is>
      </c>
      <c r="G11779" s="0" t="s">
        <v>171</v>
      </c>
      <c r="H11779" s="5">
        <v>21.839100</v>
      </c>
    </row>
    <row r="11780" spans="1:9">
      <c r="A11780" s="22" t="str">
        <f>HYPERLINK("https://app.vivvix.com/360/KMI/IntelliDrive/ApplUI/Pages/CreativePages/CustomReportCreativeDetail.aspx?App=23&amp;ReportView=4&amp;Qid=1711279&amp;Row=11772&amp;Col=1","No Title Assigned - #15272653079")</f>
        <v/>
      </c>
      <c r="B11780" s="0" t="s">
        <v>15951</v>
      </c>
      <c r="C11780" s="0" t="s">
        <v>15952</v>
      </c>
      <c r="D11780" s="0" t="s">
        <v>15952</v>
      </c>
      <c r="E11780" s="0" t="inlineStr">
        <is>
          <t xml:space="preserve">Mazda</t>
        </is>
      </c>
      <c r="F11780" s="0" t="s">
        <v>13</v>
      </c>
      <c r="G11780" s="0" t="s">
        <v>49</v>
      </c>
      <c r="H11780" s="5">
        <v>182.392900</v>
      </c>
    </row>
    <row r="11781" spans="1:9">
      <c r="A11781" s="22" t="str">
        <f>HYPERLINK("https://app.vivvix.com/360/KMI/IntelliDrive/ApplUI/Pages/CreativePages/CustomReportCreativeDetail.aspx?App=23&amp;ReportView=4&amp;Qid=1711279&amp;Row=11773&amp;Col=1","No Title Assigned - #15272653252")</f>
        <v/>
      </c>
      <c r="B11781" s="0" t="s">
        <v>15953</v>
      </c>
      <c r="C11781" s="0" t="s">
        <v>15954</v>
      </c>
      <c r="D11781" s="0" t="s">
        <v>4225</v>
      </c>
      <c r="E11781" s="0" t="inlineStr">
        <is>
          <t xml:space="preserve">Mazda</t>
        </is>
      </c>
      <c r="F11781" s="0" t="s">
        <v>28</v>
      </c>
      <c r="G11781" s="0" t="s">
        <v>29</v>
      </c>
      <c r="H11781" s="5">
        <v>250.843000</v>
      </c>
    </row>
    <row r="11782" spans="1:9">
      <c r="A11782" s="22" t="str">
        <f>HYPERLINK("https://app.vivvix.com/360/KMI/IntelliDrive/ApplUI/Pages/CreativePages/CustomReportCreativeDetail.aspx?App=23&amp;ReportView=4&amp;Qid=1711279&amp;Row=11774&amp;Col=1","No Title Assigned - #15272653355")</f>
        <v/>
      </c>
      <c r="B11782" s="0" t="s">
        <v>15955</v>
      </c>
      <c r="C11782" s="0" t="s">
        <v>15956</v>
      </c>
      <c r="D11782" s="0" t="s">
        <v>15956</v>
      </c>
      <c r="E11782" s="0" t="inlineStr">
        <is>
          <t xml:space="preserve">Mazda</t>
        </is>
      </c>
      <c r="F11782" s="0" t="s">
        <v>13</v>
      </c>
      <c r="G11782" s="0" t="s">
        <v>49</v>
      </c>
      <c r="H11782" s="5">
        <v>8110.557400</v>
      </c>
    </row>
    <row r="11783" spans="1:9">
      <c r="A11783" s="22" t="str">
        <f>HYPERLINK("https://app.vivvix.com/360/KMI/IntelliDrive/ApplUI/Pages/CreativePages/CustomReportCreativeDetail.aspx?App=23&amp;ReportView=4&amp;Qid=1711279&amp;Row=11775&amp;Col=1","No Title Assigned - #15272653355")</f>
        <v/>
      </c>
      <c r="B11783" s="0" t="s">
        <v>15955</v>
      </c>
      <c r="E11783" s="0" t="inlineStr">
        <is>
          <t xml:space="preserve">Mazda</t>
        </is>
      </c>
      <c r="F11783" s="0" t="s">
        <v>13</v>
      </c>
      <c r="G11783" s="0" t="s">
        <v>49</v>
      </c>
      <c r="H11783" s="5">
        <v>51055.527300</v>
      </c>
    </row>
    <row r="11784" spans="1:9">
      <c r="A11784" s="22" t="str">
        <f>HYPERLINK("https://app.vivvix.com/360/KMI/IntelliDrive/ApplUI/Pages/CreativePages/CustomReportCreativeDetail.aspx?App=23&amp;ReportView=4&amp;Qid=1711279&amp;Row=11776&amp;Col=1","No Title Assigned - #15272653469")</f>
        <v/>
      </c>
      <c r="B11784" s="0" t="s">
        <v>15957</v>
      </c>
      <c r="C11784" s="0" t="s">
        <v>15958</v>
      </c>
      <c r="D11784" s="0" t="s">
        <v>4200</v>
      </c>
      <c r="E11784" s="0" t="inlineStr">
        <is>
          <t xml:space="preserve">Mazda</t>
        </is>
      </c>
      <c r="F11784" s="0" t="s">
        <v>28</v>
      </c>
      <c r="G11784" s="0" t="s">
        <v>29</v>
      </c>
      <c r="H11784" s="5">
        <v>9.244100</v>
      </c>
    </row>
    <row r="11785" spans="1:9">
      <c r="A11785" s="22" t="str">
        <f>HYPERLINK("https://app.vivvix.com/360/KMI/IntelliDrive/ApplUI/Pages/CreativePages/CustomReportCreativeDetail.aspx?App=23&amp;ReportView=4&amp;Qid=1711279&amp;Row=11777&amp;Col=1","No Title Assigned - #15272653516")</f>
        <v/>
      </c>
      <c r="B11785" s="0" t="s">
        <v>15959</v>
      </c>
      <c r="C11785" s="0" t="s">
        <v>15960</v>
      </c>
      <c r="D11785" s="0" t="s">
        <v>15960</v>
      </c>
      <c r="E11785" s="0" t="inlineStr">
        <is>
          <t xml:space="preserve">Mazda</t>
        </is>
      </c>
      <c r="F11785" s="0" t="inlineStr">
        <is>
          <t xml:space="preserve">Mazda</t>
        </is>
      </c>
      <c r="G11785" s="0" t="s">
        <v>210</v>
      </c>
      <c r="H11785" s="5">
        <v>222.444900</v>
      </c>
    </row>
    <row r="11786" spans="1:9">
      <c r="A11786" s="22" t="str">
        <f>HYPERLINK("https://app.vivvix.com/360/KMI/IntelliDrive/ApplUI/Pages/CreativePages/CustomReportCreativeDetail.aspx?App=23&amp;ReportView=4&amp;Qid=1711279&amp;Row=11778&amp;Col=1","No Title Assigned - #15272653590")</f>
        <v/>
      </c>
      <c r="B11786" s="0" t="s">
        <v>15961</v>
      </c>
      <c r="C11786" s="0" t="s">
        <v>15962</v>
      </c>
      <c r="D11786" s="0" t="s">
        <v>15962</v>
      </c>
      <c r="E11786" s="0" t="inlineStr">
        <is>
          <t xml:space="preserve">Mazda</t>
        </is>
      </c>
      <c r="F11786" s="0" t="s">
        <v>28</v>
      </c>
      <c r="G11786" s="0" t="s">
        <v>29</v>
      </c>
      <c r="H11786" s="5">
        <v>3.291900</v>
      </c>
    </row>
    <row r="11787" spans="1:9">
      <c r="A11787" s="22" t="str">
        <f>HYPERLINK("https://app.vivvix.com/360/KMI/IntelliDrive/ApplUI/Pages/CreativePages/CustomReportCreativeDetail.aspx?App=23&amp;ReportView=4&amp;Qid=1711279&amp;Row=11779&amp;Col=1","No Title Assigned - #15272653769")</f>
        <v/>
      </c>
      <c r="B11787" s="0" t="s">
        <v>15963</v>
      </c>
      <c r="C11787" s="0" t="s">
        <v>15964</v>
      </c>
      <c r="D11787" s="0" t="s">
        <v>15964</v>
      </c>
      <c r="E11787" s="0" t="inlineStr">
        <is>
          <t xml:space="preserve">Mazda</t>
        </is>
      </c>
      <c r="F11787" s="0" t="s">
        <v>13</v>
      </c>
      <c r="G11787" s="0" t="s">
        <v>49</v>
      </c>
      <c r="H11787" s="5">
        <v>523.670300</v>
      </c>
    </row>
    <row r="11788" spans="1:9">
      <c r="A11788" s="22" t="str">
        <f>HYPERLINK("https://app.vivvix.com/360/KMI/IntelliDrive/ApplUI/Pages/CreativePages/CustomReportCreativeDetail.aspx?App=23&amp;ReportView=4&amp;Qid=1711279&amp;Row=11780&amp;Col=1","No Title Assigned - #15272653844")</f>
        <v/>
      </c>
      <c r="B11788" s="0" t="s">
        <v>15965</v>
      </c>
      <c r="C11788" s="0" t="s">
        <v>15966</v>
      </c>
      <c r="D11788" s="0" t="s">
        <v>4204</v>
      </c>
      <c r="E11788" s="0" t="inlineStr">
        <is>
          <t xml:space="preserve">Mazda</t>
        </is>
      </c>
      <c r="F11788" s="0" t="s">
        <v>28</v>
      </c>
      <c r="G11788" s="0" t="s">
        <v>29</v>
      </c>
      <c r="H11788" s="5">
        <v>127.027600</v>
      </c>
    </row>
    <row r="11789" spans="1:9">
      <c r="A11789" s="22" t="str">
        <f>HYPERLINK("https://app.vivvix.com/360/KMI/IntelliDrive/ApplUI/Pages/CreativePages/CustomReportCreativeDetail.aspx?App=23&amp;ReportView=4&amp;Qid=1711279&amp;Row=11781&amp;Col=1","No Title Assigned - #15272655693")</f>
        <v/>
      </c>
      <c r="B11789" s="0" t="s">
        <v>15967</v>
      </c>
      <c r="C11789" s="0" t="s">
        <v>15968</v>
      </c>
      <c r="D11789" s="0" t="s">
        <v>7396</v>
      </c>
      <c r="E11789" s="0" t="inlineStr">
        <is>
          <t xml:space="preserve">Mazda</t>
        </is>
      </c>
      <c r="F11789" s="0" t="s">
        <v>13</v>
      </c>
      <c r="G11789" s="0" t="s">
        <v>49</v>
      </c>
      <c r="H11789" s="5">
        <v>143.738800</v>
      </c>
    </row>
    <row r="11790" spans="1:9">
      <c r="A11790" s="22" t="str">
        <f>HYPERLINK("https://app.vivvix.com/360/KMI/IntelliDrive/ApplUI/Pages/CreativePages/CustomReportCreativeDetail.aspx?App=23&amp;ReportView=4&amp;Qid=1711279&amp;Row=11782&amp;Col=1","No Title Assigned - #15272657053")</f>
        <v/>
      </c>
      <c r="B11790" s="0" t="s">
        <v>15969</v>
      </c>
      <c r="C11790" s="0" t="s">
        <v>15970</v>
      </c>
      <c r="D11790" s="0" t="s">
        <v>13431</v>
      </c>
      <c r="E11790" s="0" t="inlineStr">
        <is>
          <t xml:space="preserve">Mazda</t>
        </is>
      </c>
      <c r="F11790" s="0" t="s">
        <v>28</v>
      </c>
      <c r="G11790" s="0" t="s">
        <v>29</v>
      </c>
      <c r="H11790" s="5">
        <v>146.209200</v>
      </c>
    </row>
    <row r="11791" spans="1:9">
      <c r="A11791" s="22" t="str">
        <f>HYPERLINK("https://app.vivvix.com/360/KMI/IntelliDrive/ApplUI/Pages/CreativePages/CustomReportCreativeDetail.aspx?App=23&amp;ReportView=4&amp;Qid=1711279&amp;Row=11783&amp;Col=1","No Title Assigned - #15272657382")</f>
        <v/>
      </c>
      <c r="B11791" s="0" t="s">
        <v>15971</v>
      </c>
      <c r="C11791" s="0" t="s">
        <v>15972</v>
      </c>
      <c r="D11791" s="0" t="s">
        <v>15972</v>
      </c>
      <c r="E11791" s="0" t="inlineStr">
        <is>
          <t xml:space="preserve">Mazda</t>
        </is>
      </c>
      <c r="F11791" s="0" t="s">
        <v>13</v>
      </c>
      <c r="G11791" s="0" t="s">
        <v>49</v>
      </c>
      <c r="H11791" s="5">
        <v>199.030800</v>
      </c>
    </row>
    <row r="11792" spans="1:9">
      <c r="A11792" s="22" t="str">
        <f>HYPERLINK("https://app.vivvix.com/360/KMI/IntelliDrive/ApplUI/Pages/CreativePages/CustomReportCreativeDetail.aspx?App=23&amp;ReportView=4&amp;Qid=1711279&amp;Row=11784&amp;Col=1","No Title Assigned - #15272657942")</f>
        <v/>
      </c>
      <c r="B11792" s="0" t="s">
        <v>15973</v>
      </c>
      <c r="C11792" s="0" t="s">
        <v>15974</v>
      </c>
      <c r="D11792" s="0" t="s">
        <v>6180</v>
      </c>
      <c r="E11792" s="0" t="inlineStr">
        <is>
          <t xml:space="preserve">Mazda</t>
        </is>
      </c>
      <c r="F11792" s="0" t="s">
        <v>13</v>
      </c>
      <c r="G11792" s="0" t="s">
        <v>49</v>
      </c>
      <c r="H11792" s="5">
        <v>4700.155000</v>
      </c>
    </row>
    <row r="11793" spans="1:9">
      <c r="A11793" s="22" t="str">
        <f>HYPERLINK("https://app.vivvix.com/360/KMI/IntelliDrive/ApplUI/Pages/CreativePages/CustomReportCreativeDetail.aspx?App=23&amp;ReportView=4&amp;Qid=1711279&amp;Row=11785&amp;Col=1","No Title Assigned - #15272659159")</f>
        <v/>
      </c>
      <c r="B11793" s="0" t="s">
        <v>15975</v>
      </c>
      <c r="C11793" s="0" t="s">
        <v>15976</v>
      </c>
      <c r="D11793" s="0" t="s">
        <v>10371</v>
      </c>
      <c r="E11793" s="0" t="inlineStr">
        <is>
          <t xml:space="preserve">Mazda</t>
        </is>
      </c>
      <c r="F11793" s="0" t="s">
        <v>13</v>
      </c>
      <c r="G11793" s="0" t="s">
        <v>49</v>
      </c>
      <c r="H11793" s="5">
        <v>209.832400</v>
      </c>
    </row>
    <row r="11794" spans="1:9">
      <c r="A11794" s="22" t="str">
        <f>HYPERLINK("https://app.vivvix.com/360/KMI/IntelliDrive/ApplUI/Pages/CreativePages/CustomReportCreativeDetail.aspx?App=23&amp;ReportView=4&amp;Qid=1711279&amp;Row=11786&amp;Col=1","No Title Assigned - #15272659166")</f>
        <v/>
      </c>
      <c r="B11794" s="0" t="s">
        <v>15977</v>
      </c>
      <c r="C11794" s="0" t="s">
        <v>15978</v>
      </c>
      <c r="D11794" s="0" t="s">
        <v>14822</v>
      </c>
      <c r="E11794" s="0" t="inlineStr">
        <is>
          <t xml:space="preserve">Mazda</t>
        </is>
      </c>
      <c r="F11794" s="0" t="inlineStr">
        <is>
          <t xml:space="preserve">Mazda</t>
        </is>
      </c>
      <c r="G11794" s="0" t="s">
        <v>210</v>
      </c>
      <c r="H11794" s="5">
        <v>1069.189100</v>
      </c>
    </row>
    <row r="11795" spans="1:9">
      <c r="A11795" s="22" t="str">
        <f>HYPERLINK("https://app.vivvix.com/360/KMI/IntelliDrive/ApplUI/Pages/CreativePages/CustomReportCreativeDetail.aspx?App=23&amp;ReportView=4&amp;Qid=1711279&amp;Row=11787&amp;Col=1","No Title Assigned - #15272660101")</f>
        <v/>
      </c>
      <c r="B11795" s="0" t="s">
        <v>15979</v>
      </c>
      <c r="C11795" s="0" t="s">
        <v>15980</v>
      </c>
      <c r="D11795" s="0" t="s">
        <v>10955</v>
      </c>
      <c r="E11795" s="0" t="inlineStr">
        <is>
          <t xml:space="preserve">Mazda</t>
        </is>
      </c>
      <c r="F11795" s="0" t="s">
        <v>13</v>
      </c>
      <c r="G11795" s="0" t="s">
        <v>49</v>
      </c>
      <c r="H11795" s="5">
        <v>21154.545100</v>
      </c>
    </row>
    <row r="11796" spans="1:9">
      <c r="A11796" s="22" t="str">
        <f>HYPERLINK("https://app.vivvix.com/360/KMI/IntelliDrive/ApplUI/Pages/CreativePages/CustomReportCreativeDetail.aspx?App=23&amp;ReportView=4&amp;Qid=1711279&amp;Row=11788&amp;Col=1","No Title Assigned - #15272660308")</f>
        <v/>
      </c>
      <c r="B11796" s="0" t="s">
        <v>15981</v>
      </c>
      <c r="C11796" s="0" t="s">
        <v>15982</v>
      </c>
      <c r="D11796" s="0" t="s">
        <v>4202</v>
      </c>
      <c r="E11796" s="0" t="inlineStr">
        <is>
          <t xml:space="preserve">Mazda</t>
        </is>
      </c>
      <c r="F11796" s="0" t="s">
        <v>28</v>
      </c>
      <c r="G11796" s="0" t="s">
        <v>29</v>
      </c>
      <c r="H11796" s="5">
        <v>18.004700</v>
      </c>
    </row>
    <row r="11797" spans="1:9">
      <c r="A11797" s="22" t="str">
        <f>HYPERLINK("https://app.vivvix.com/360/KMI/IntelliDrive/ApplUI/Pages/CreativePages/CustomReportCreativeDetail.aspx?App=23&amp;ReportView=4&amp;Qid=1711279&amp;Row=11789&amp;Col=1","No Title Assigned - #15272660366")</f>
        <v/>
      </c>
      <c r="B11797" s="0" t="s">
        <v>15983</v>
      </c>
      <c r="C11797" s="0" t="s">
        <v>15984</v>
      </c>
      <c r="D11797" s="0" t="s">
        <v>15984</v>
      </c>
      <c r="E11797" s="0" t="inlineStr">
        <is>
          <t xml:space="preserve">Mazda</t>
        </is>
      </c>
      <c r="F11797" s="0" t="s">
        <v>13</v>
      </c>
      <c r="G11797" s="0" t="s">
        <v>49</v>
      </c>
      <c r="H11797" s="5">
        <v>55.606800</v>
      </c>
    </row>
    <row r="11798" spans="1:9">
      <c r="A11798" s="22" t="str">
        <f>HYPERLINK("https://app.vivvix.com/360/KMI/IntelliDrive/ApplUI/Pages/CreativePages/CustomReportCreativeDetail.aspx?App=23&amp;ReportView=4&amp;Qid=1711279&amp;Row=11790&amp;Col=1","No Title Assigned - #15272660573")</f>
        <v/>
      </c>
      <c r="B11798" s="0" t="s">
        <v>15985</v>
      </c>
      <c r="C11798" s="0" t="s">
        <v>15986</v>
      </c>
      <c r="D11798" s="0" t="s">
        <v>4390</v>
      </c>
      <c r="E11798" s="0" t="inlineStr">
        <is>
          <t xml:space="preserve">Mazda</t>
        </is>
      </c>
      <c r="F11798" s="0" t="s">
        <v>28</v>
      </c>
      <c r="G11798" s="0" t="s">
        <v>29</v>
      </c>
      <c r="H11798" s="5">
        <v>10.274700</v>
      </c>
    </row>
    <row r="11799" spans="1:9">
      <c r="A11799" s="22" t="str">
        <f>HYPERLINK("https://app.vivvix.com/360/KMI/IntelliDrive/ApplUI/Pages/CreativePages/CustomReportCreativeDetail.aspx?App=23&amp;ReportView=4&amp;Qid=1711279&amp;Row=11791&amp;Col=1","No Title Assigned - #15272661087")</f>
        <v/>
      </c>
      <c r="B11799" s="0" t="s">
        <v>15987</v>
      </c>
      <c r="E11799" s="0" t="inlineStr">
        <is>
          <t xml:space="preserve">Mazda</t>
        </is>
      </c>
      <c r="F11799" s="0" t="s">
        <v>13</v>
      </c>
      <c r="G11799" s="0" t="s">
        <v>49</v>
      </c>
      <c r="H11799" s="5">
        <v>354.960500</v>
      </c>
    </row>
    <row r="11800" spans="1:9">
      <c r="A11800" s="22" t="str">
        <f>HYPERLINK("https://app.vivvix.com/360/KMI/IntelliDrive/ApplUI/Pages/CreativePages/CustomReportCreativeDetail.aspx?App=23&amp;ReportView=4&amp;Qid=1711279&amp;Row=11792&amp;Col=1","No Title Assigned - #15272661095")</f>
        <v/>
      </c>
      <c r="B11800" s="0" t="s">
        <v>15988</v>
      </c>
      <c r="C11800" s="0" t="s">
        <v>15989</v>
      </c>
      <c r="D11800" s="0" t="s">
        <v>15989</v>
      </c>
      <c r="E11800" s="0" t="inlineStr">
        <is>
          <t xml:space="preserve">Mazda</t>
        </is>
      </c>
      <c r="F11800" s="0" t="s">
        <v>28</v>
      </c>
      <c r="G11800" s="0" t="s">
        <v>29</v>
      </c>
      <c r="H11800" s="5">
        <v>40.653000</v>
      </c>
    </row>
    <row r="11801" spans="1:9">
      <c r="A11801" s="22" t="str">
        <f>HYPERLINK("https://app.vivvix.com/360/KMI/IntelliDrive/ApplUI/Pages/CreativePages/CustomReportCreativeDetail.aspx?App=23&amp;ReportView=4&amp;Qid=1711279&amp;Row=11793&amp;Col=1","No Title Assigned - #15272661210")</f>
        <v/>
      </c>
      <c r="B11801" s="0" t="s">
        <v>15990</v>
      </c>
      <c r="C11801" s="0" t="s">
        <v>15991</v>
      </c>
      <c r="D11801" s="0" t="s">
        <v>15991</v>
      </c>
      <c r="E11801" s="0" t="inlineStr">
        <is>
          <t xml:space="preserve">Mazda</t>
        </is>
      </c>
      <c r="F11801" s="0" t="s">
        <v>13</v>
      </c>
      <c r="G11801" s="0" t="s">
        <v>49</v>
      </c>
      <c r="H11801" s="5">
        <v>453.947000</v>
      </c>
    </row>
    <row r="11802" spans="1:9">
      <c r="A11802" s="22" t="str">
        <f>HYPERLINK("https://app.vivvix.com/360/KMI/IntelliDrive/ApplUI/Pages/CreativePages/CustomReportCreativeDetail.aspx?App=23&amp;ReportView=4&amp;Qid=1711279&amp;Row=11794&amp;Col=1","No Title Assigned - #15272661554")</f>
        <v/>
      </c>
      <c r="B11802" s="0" t="s">
        <v>15992</v>
      </c>
      <c r="C11802" s="0" t="s">
        <v>15993</v>
      </c>
      <c r="D11802" s="0" t="s">
        <v>15993</v>
      </c>
      <c r="E11802" s="0" t="inlineStr">
        <is>
          <t xml:space="preserve">Mazda</t>
        </is>
      </c>
      <c r="F11802" s="0" t="s">
        <v>13</v>
      </c>
      <c r="G11802" s="0" t="s">
        <v>49</v>
      </c>
      <c r="H11802" s="5">
        <v>327.355300</v>
      </c>
    </row>
    <row r="11803" spans="1:9">
      <c r="A11803" s="22" t="str">
        <f>HYPERLINK("https://app.vivvix.com/360/KMI/IntelliDrive/ApplUI/Pages/CreativePages/CustomReportCreativeDetail.aspx?App=23&amp;ReportView=4&amp;Qid=1711279&amp;Row=11795&amp;Col=1","No Title Assigned - #15272661630")</f>
        <v/>
      </c>
      <c r="B11803" s="0" t="s">
        <v>15994</v>
      </c>
      <c r="C11803" s="0" t="s">
        <v>15995</v>
      </c>
      <c r="D11803" s="0" t="s">
        <v>15995</v>
      </c>
      <c r="E11803" s="0" t="inlineStr">
        <is>
          <t xml:space="preserve">Mazda</t>
        </is>
      </c>
      <c r="F11803" s="0" t="s">
        <v>28</v>
      </c>
      <c r="G11803" s="0" t="s">
        <v>29</v>
      </c>
      <c r="H11803" s="5">
        <v>3.895000</v>
      </c>
    </row>
    <row r="11804" spans="1:9">
      <c r="A11804" s="22" t="str">
        <f>HYPERLINK("https://app.vivvix.com/360/KMI/IntelliDrive/ApplUI/Pages/CreativePages/CustomReportCreativeDetail.aspx?App=23&amp;ReportView=4&amp;Qid=1711279&amp;Row=11796&amp;Col=1","No Title Assigned - #15272661756")</f>
        <v/>
      </c>
      <c r="B11804" s="0" t="s">
        <v>15996</v>
      </c>
      <c r="E11804" s="0" t="inlineStr">
        <is>
          <t xml:space="preserve">Mazda</t>
        </is>
      </c>
      <c r="F11804" s="0" t="inlineStr">
        <is>
          <t xml:space="preserve">Mazda</t>
        </is>
      </c>
      <c r="G11804" s="0" t="s">
        <v>171</v>
      </c>
      <c r="H11804" s="5">
        <v>8.086200</v>
      </c>
    </row>
    <row r="11805" spans="1:9">
      <c r="A11805" s="22" t="str">
        <f>HYPERLINK("https://app.vivvix.com/360/KMI/IntelliDrive/ApplUI/Pages/CreativePages/CustomReportCreativeDetail.aspx?App=23&amp;ReportView=4&amp;Qid=1711279&amp;Row=11797&amp;Col=1","No Title Assigned - #15272661759")</f>
        <v/>
      </c>
      <c r="B11805" s="0" t="s">
        <v>15997</v>
      </c>
      <c r="C11805" s="0" t="s">
        <v>15998</v>
      </c>
      <c r="D11805" s="0" t="s">
        <v>15998</v>
      </c>
      <c r="E11805" s="0" t="inlineStr">
        <is>
          <t xml:space="preserve">Mazda</t>
        </is>
      </c>
      <c r="F11805" s="0" t="s">
        <v>28</v>
      </c>
      <c r="G11805" s="0" t="s">
        <v>29</v>
      </c>
      <c r="H11805" s="5">
        <v>42.918900</v>
      </c>
    </row>
    <row r="11806" spans="1:9">
      <c r="A11806" s="22" t="str">
        <f>HYPERLINK("https://app.vivvix.com/360/KMI/IntelliDrive/ApplUI/Pages/CreativePages/CustomReportCreativeDetail.aspx?App=23&amp;ReportView=4&amp;Qid=1711279&amp;Row=11798&amp;Col=1","No Title Assigned - #15272661848")</f>
        <v/>
      </c>
      <c r="B11806" s="0" t="s">
        <v>15999</v>
      </c>
      <c r="C11806" s="0" t="s">
        <v>16000</v>
      </c>
      <c r="D11806" s="0" t="s">
        <v>4202</v>
      </c>
      <c r="E11806" s="0" t="inlineStr">
        <is>
          <t xml:space="preserve">Mazda</t>
        </is>
      </c>
      <c r="F11806" s="0" t="s">
        <v>28</v>
      </c>
      <c r="G11806" s="0" t="s">
        <v>29</v>
      </c>
      <c r="H11806" s="5">
        <v>75.780300</v>
      </c>
    </row>
    <row r="11807" spans="1:9">
      <c r="A11807" s="22" t="str">
        <f>HYPERLINK("https://app.vivvix.com/360/KMI/IntelliDrive/ApplUI/Pages/CreativePages/CustomReportCreativeDetail.aspx?App=23&amp;ReportView=4&amp;Qid=1711279&amp;Row=11799&amp;Col=1","No Title Assigned - #15272662618")</f>
        <v/>
      </c>
      <c r="B11807" s="0" t="s">
        <v>16001</v>
      </c>
      <c r="C11807" s="0" t="s">
        <v>16002</v>
      </c>
      <c r="D11807" s="0" t="s">
        <v>4204</v>
      </c>
      <c r="E11807" s="0" t="inlineStr">
        <is>
          <t xml:space="preserve">Mazda</t>
        </is>
      </c>
      <c r="F11807" s="0" t="s">
        <v>28</v>
      </c>
      <c r="G11807" s="0" t="s">
        <v>29</v>
      </c>
      <c r="H11807" s="5">
        <v>42.713200</v>
      </c>
    </row>
    <row r="11808" spans="1:9">
      <c r="A11808" s="22" t="str">
        <f>HYPERLINK("https://app.vivvix.com/360/KMI/IntelliDrive/ApplUI/Pages/CreativePages/CustomReportCreativeDetail.aspx?App=23&amp;ReportView=4&amp;Qid=1711279&amp;Row=11800&amp;Col=1","No Title Assigned - #15272662794")</f>
        <v/>
      </c>
      <c r="B11808" s="0" t="s">
        <v>16003</v>
      </c>
      <c r="C11808" s="0" t="s">
        <v>16004</v>
      </c>
      <c r="D11808" s="0" t="s">
        <v>16004</v>
      </c>
      <c r="E11808" s="0" t="inlineStr">
        <is>
          <t xml:space="preserve">Mazda</t>
        </is>
      </c>
      <c r="F11808" s="0" t="s">
        <v>13</v>
      </c>
      <c r="G11808" s="0" t="s">
        <v>49</v>
      </c>
      <c r="H11808" s="5">
        <v>10.920000</v>
      </c>
    </row>
    <row r="11809" spans="1:9">
      <c r="A11809" s="22" t="str">
        <f>HYPERLINK("https://app.vivvix.com/360/KMI/IntelliDrive/ApplUI/Pages/CreativePages/CustomReportCreativeDetail.aspx?App=23&amp;ReportView=4&amp;Qid=1711279&amp;Row=11801&amp;Col=1","No Title Assigned - #15272663002")</f>
        <v/>
      </c>
      <c r="B11809" s="0" t="s">
        <v>16005</v>
      </c>
      <c r="C11809" s="0" t="s">
        <v>16006</v>
      </c>
      <c r="D11809" s="0" t="s">
        <v>4333</v>
      </c>
      <c r="E11809" s="0" t="inlineStr">
        <is>
          <t xml:space="preserve">Mazda</t>
        </is>
      </c>
      <c r="F11809" s="0" t="s">
        <v>28</v>
      </c>
      <c r="G11809" s="0" t="s">
        <v>29</v>
      </c>
      <c r="H11809" s="5">
        <v>322.360500</v>
      </c>
    </row>
    <row r="11810" spans="1:9">
      <c r="A11810" s="22" t="str">
        <f>HYPERLINK("https://app.vivvix.com/360/KMI/IntelliDrive/ApplUI/Pages/CreativePages/CustomReportCreativeDetail.aspx?App=23&amp;ReportView=4&amp;Qid=1711279&amp;Row=11802&amp;Col=1","No Title Assigned - #15272663048")</f>
        <v/>
      </c>
      <c r="B11810" s="0" t="s">
        <v>16007</v>
      </c>
      <c r="C11810" s="0" t="s">
        <v>16008</v>
      </c>
      <c r="D11810" s="0" t="s">
        <v>16008</v>
      </c>
      <c r="E11810" s="0" t="inlineStr">
        <is>
          <t xml:space="preserve">Mazda</t>
        </is>
      </c>
      <c r="F11810" s="0" t="s">
        <v>28</v>
      </c>
      <c r="G11810" s="0" t="s">
        <v>29</v>
      </c>
      <c r="H11810" s="5">
        <v>2512.584000</v>
      </c>
    </row>
    <row r="11811" spans="1:9">
      <c r="A11811" s="22" t="str">
        <f>HYPERLINK("https://app.vivvix.com/360/KMI/IntelliDrive/ApplUI/Pages/CreativePages/CustomReportCreativeDetail.aspx?App=23&amp;ReportView=4&amp;Qid=1711279&amp;Row=11803&amp;Col=1","No Title Assigned - #15272663768")</f>
        <v/>
      </c>
      <c r="B11811" s="0" t="s">
        <v>16009</v>
      </c>
      <c r="C11811" s="0" t="s">
        <v>16010</v>
      </c>
      <c r="D11811" s="0" t="s">
        <v>16010</v>
      </c>
      <c r="E11811" s="0" t="inlineStr">
        <is>
          <t xml:space="preserve">Mazda</t>
        </is>
      </c>
      <c r="F11811" s="0" t="inlineStr">
        <is>
          <t xml:space="preserve">Mazda</t>
        </is>
      </c>
      <c r="G11811" s="0" t="s">
        <v>171</v>
      </c>
      <c r="H11811" s="5">
        <v>86.245600</v>
      </c>
    </row>
    <row r="11812" spans="1:9">
      <c r="A11812" s="22" t="str">
        <f>HYPERLINK("https://app.vivvix.com/360/KMI/IntelliDrive/ApplUI/Pages/CreativePages/CustomReportCreativeDetail.aspx?App=23&amp;ReportView=4&amp;Qid=1711279&amp;Row=11804&amp;Col=1","No Title Assigned - #15272663768")</f>
        <v/>
      </c>
      <c r="B11812" s="0" t="s">
        <v>16009</v>
      </c>
      <c r="E11812" s="0" t="inlineStr">
        <is>
          <t xml:space="preserve">Mazda</t>
        </is>
      </c>
      <c r="F11812" s="0" t="inlineStr">
        <is>
          <t xml:space="preserve">Mazda</t>
        </is>
      </c>
      <c r="G11812" s="0" t="s">
        <v>171</v>
      </c>
      <c r="H11812" s="5">
        <v>1572.855800</v>
      </c>
    </row>
    <row r="11813" spans="1:9">
      <c r="A11813" s="22" t="str">
        <f>HYPERLINK("https://app.vivvix.com/360/KMI/IntelliDrive/ApplUI/Pages/CreativePages/CustomReportCreativeDetail.aspx?App=23&amp;ReportView=4&amp;Qid=1711279&amp;Row=11805&amp;Col=1","No Title Assigned - #15272664028")</f>
        <v/>
      </c>
      <c r="B11813" s="0" t="s">
        <v>16011</v>
      </c>
      <c r="E11813" s="0" t="inlineStr">
        <is>
          <t xml:space="preserve">Mazda</t>
        </is>
      </c>
      <c r="F11813" s="0" t="inlineStr">
        <is>
          <t xml:space="preserve">Mazda</t>
        </is>
      </c>
      <c r="G11813" s="0" t="s">
        <v>171</v>
      </c>
      <c r="H11813" s="5">
        <v>2335.796900</v>
      </c>
    </row>
    <row r="11814" spans="1:9">
      <c r="A11814" s="22" t="str">
        <f>HYPERLINK("https://app.vivvix.com/360/KMI/IntelliDrive/ApplUI/Pages/CreativePages/CustomReportCreativeDetail.aspx?App=23&amp;ReportView=4&amp;Qid=1711279&amp;Row=11806&amp;Col=1","No Title Assigned - #15272664028")</f>
        <v/>
      </c>
      <c r="B11814" s="0" t="s">
        <v>16011</v>
      </c>
      <c r="E11814" s="0" t="inlineStr">
        <is>
          <t xml:space="preserve">Mazda</t>
        </is>
      </c>
      <c r="F11814" s="0" t="inlineStr">
        <is>
          <t xml:space="preserve">Mazda</t>
        </is>
      </c>
      <c r="G11814" s="0" t="s">
        <v>171</v>
      </c>
      <c r="H11814" s="5">
        <v>26138.862400</v>
      </c>
    </row>
    <row r="11815" spans="1:9">
      <c r="A11815" s="22" t="str">
        <f>HYPERLINK("https://app.vivvix.com/360/KMI/IntelliDrive/ApplUI/Pages/CreativePages/CustomReportCreativeDetail.aspx?App=23&amp;ReportView=4&amp;Qid=1711279&amp;Row=11807&amp;Col=1","No Title Assigned - #15272664049")</f>
        <v/>
      </c>
      <c r="B11815" s="0" t="s">
        <v>16012</v>
      </c>
      <c r="E11815" s="0" t="inlineStr">
        <is>
          <t xml:space="preserve">Mazda</t>
        </is>
      </c>
      <c r="F11815" s="0" t="inlineStr">
        <is>
          <t xml:space="preserve">Mazda</t>
        </is>
      </c>
      <c r="G11815" s="0" t="s">
        <v>171</v>
      </c>
      <c r="H11815" s="5">
        <v>1899.220100</v>
      </c>
    </row>
    <row r="11816" spans="1:9">
      <c r="A11816" s="22" t="str">
        <f>HYPERLINK("https://app.vivvix.com/360/KMI/IntelliDrive/ApplUI/Pages/CreativePages/CustomReportCreativeDetail.aspx?App=23&amp;ReportView=4&amp;Qid=1711279&amp;Row=11808&amp;Col=1","No Title Assigned - #15272664235")</f>
        <v/>
      </c>
      <c r="B11816" s="0" t="s">
        <v>16013</v>
      </c>
      <c r="E11816" s="0" t="inlineStr">
        <is>
          <t xml:space="preserve">Mazda</t>
        </is>
      </c>
      <c r="F11816" s="0" t="inlineStr">
        <is>
          <t xml:space="preserve">Mazda</t>
        </is>
      </c>
      <c r="G11816" s="0" t="s">
        <v>171</v>
      </c>
      <c r="H11816" s="5">
        <v>9.222900</v>
      </c>
    </row>
    <row r="11817" spans="1:9">
      <c r="A11817" s="22" t="str">
        <f>HYPERLINK("https://app.vivvix.com/360/KMI/IntelliDrive/ApplUI/Pages/CreativePages/CustomReportCreativeDetail.aspx?App=23&amp;ReportView=4&amp;Qid=1711279&amp;Row=11809&amp;Col=1","No Title Assigned - #15272664258")</f>
        <v/>
      </c>
      <c r="B11817" s="0" t="s">
        <v>16014</v>
      </c>
      <c r="E11817" s="0" t="inlineStr">
        <is>
          <t xml:space="preserve">Mazda</t>
        </is>
      </c>
      <c r="F11817" s="0" t="inlineStr">
        <is>
          <t xml:space="preserve">Mazda</t>
        </is>
      </c>
      <c r="G11817" s="0" t="s">
        <v>171</v>
      </c>
      <c r="H11817" s="5">
        <v>123.433500</v>
      </c>
    </row>
    <row r="11818" spans="1:9">
      <c r="A11818" s="22" t="str">
        <f>HYPERLINK("https://app.vivvix.com/360/KMI/IntelliDrive/ApplUI/Pages/CreativePages/CustomReportCreativeDetail.aspx?App=23&amp;ReportView=4&amp;Qid=1711279&amp;Row=11810&amp;Col=1","No Title Assigned - #15272664320")</f>
        <v/>
      </c>
      <c r="B11818" s="0" t="s">
        <v>16015</v>
      </c>
      <c r="E11818" s="0" t="inlineStr">
        <is>
          <t xml:space="preserve">Mazda</t>
        </is>
      </c>
      <c r="F11818" s="0" t="inlineStr">
        <is>
          <t xml:space="preserve">Mazda</t>
        </is>
      </c>
      <c r="G11818" s="0" t="s">
        <v>171</v>
      </c>
      <c r="H11818" s="5">
        <v>2074.746400</v>
      </c>
    </row>
    <row r="11819" spans="1:9">
      <c r="A11819" s="22" t="str">
        <f>HYPERLINK("https://app.vivvix.com/360/KMI/IntelliDrive/ApplUI/Pages/CreativePages/CustomReportCreativeDetail.aspx?App=23&amp;ReportView=4&amp;Qid=1711279&amp;Row=11811&amp;Col=1","No Title Assigned - #15272664371")</f>
        <v/>
      </c>
      <c r="B11819" s="0" t="s">
        <v>16016</v>
      </c>
      <c r="E11819" s="0" t="inlineStr">
        <is>
          <t xml:space="preserve">Mazda</t>
        </is>
      </c>
      <c r="F11819" s="0" t="inlineStr">
        <is>
          <t xml:space="preserve">Mazda</t>
        </is>
      </c>
      <c r="G11819" s="0" t="s">
        <v>171</v>
      </c>
      <c r="H11819" s="5">
        <v>12.067100</v>
      </c>
    </row>
    <row r="11820" spans="1:9">
      <c r="A11820" s="22" t="str">
        <f>HYPERLINK("https://app.vivvix.com/360/KMI/IntelliDrive/ApplUI/Pages/CreativePages/CustomReportCreativeDetail.aspx?App=23&amp;ReportView=4&amp;Qid=1711279&amp;Row=11812&amp;Col=1","No Title Assigned - #15272665657")</f>
        <v/>
      </c>
      <c r="B11820" s="0" t="s">
        <v>16017</v>
      </c>
      <c r="C11820" s="0" t="s">
        <v>16018</v>
      </c>
      <c r="D11820" s="0" t="s">
        <v>16018</v>
      </c>
      <c r="E11820" s="0" t="inlineStr">
        <is>
          <t xml:space="preserve">Mazda</t>
        </is>
      </c>
      <c r="F11820" s="0" t="s">
        <v>28</v>
      </c>
      <c r="G11820" s="0" t="s">
        <v>29</v>
      </c>
      <c r="H11820" s="5">
        <v>36.441400</v>
      </c>
    </row>
    <row r="11821" spans="1:9">
      <c r="A11821" s="22" t="str">
        <f>HYPERLINK("https://app.vivvix.com/360/KMI/IntelliDrive/ApplUI/Pages/CreativePages/CustomReportCreativeDetail.aspx?App=23&amp;ReportView=4&amp;Qid=1711279&amp;Row=11813&amp;Col=1","No Title Assigned - #15272666476")</f>
        <v/>
      </c>
      <c r="B11821" s="0" t="s">
        <v>16019</v>
      </c>
      <c r="C11821" s="0" t="s">
        <v>16020</v>
      </c>
      <c r="D11821" s="0" t="s">
        <v>16020</v>
      </c>
      <c r="E11821" s="0" t="inlineStr">
        <is>
          <t xml:space="preserve">Mazda</t>
        </is>
      </c>
      <c r="F11821" s="0" t="s">
        <v>13</v>
      </c>
      <c r="G11821" s="0" t="s">
        <v>49</v>
      </c>
      <c r="H11821" s="5">
        <v>31.354200</v>
      </c>
    </row>
    <row r="11822" spans="1:9">
      <c r="A11822" s="22" t="str">
        <f>HYPERLINK("https://app.vivvix.com/360/KMI/IntelliDrive/ApplUI/Pages/CreativePages/CustomReportCreativeDetail.aspx?App=23&amp;ReportView=4&amp;Qid=1711279&amp;Row=11814&amp;Col=1","No Title Assigned - #15272666581")</f>
        <v/>
      </c>
      <c r="B11822" s="0" t="s">
        <v>16021</v>
      </c>
      <c r="C11822" s="0" t="s">
        <v>16022</v>
      </c>
      <c r="D11822" s="0" t="s">
        <v>4200</v>
      </c>
      <c r="E11822" s="0" t="inlineStr">
        <is>
          <t xml:space="preserve">Mazda</t>
        </is>
      </c>
      <c r="F11822" s="0" t="s">
        <v>28</v>
      </c>
      <c r="G11822" s="0" t="s">
        <v>29</v>
      </c>
      <c r="H11822" s="5">
        <v>20.255800</v>
      </c>
    </row>
    <row r="11823" spans="1:9">
      <c r="A11823" s="22" t="str">
        <f>HYPERLINK("https://app.vivvix.com/360/KMI/IntelliDrive/ApplUI/Pages/CreativePages/CustomReportCreativeDetail.aspx?App=23&amp;ReportView=4&amp;Qid=1711279&amp;Row=11815&amp;Col=1","No Title Assigned - #15272666628")</f>
        <v/>
      </c>
      <c r="B11823" s="0" t="s">
        <v>16023</v>
      </c>
      <c r="C11823" s="0" t="s">
        <v>16024</v>
      </c>
      <c r="D11823" s="0" t="s">
        <v>6656</v>
      </c>
      <c r="E11823" s="0" t="inlineStr">
        <is>
          <t xml:space="preserve">Mazda</t>
        </is>
      </c>
      <c r="F11823" s="0" t="s">
        <v>28</v>
      </c>
      <c r="G11823" s="0" t="s">
        <v>29</v>
      </c>
      <c r="H11823" s="5">
        <v>12.740200</v>
      </c>
    </row>
    <row r="11824" spans="1:9">
      <c r="A11824" s="22" t="str">
        <f>HYPERLINK("https://app.vivvix.com/360/KMI/IntelliDrive/ApplUI/Pages/CreativePages/CustomReportCreativeDetail.aspx?App=23&amp;ReportView=4&amp;Qid=1711279&amp;Row=11816&amp;Col=1","No Title Assigned - #15272667252")</f>
        <v/>
      </c>
      <c r="B11824" s="0" t="s">
        <v>16025</v>
      </c>
      <c r="C11824" s="0" t="s">
        <v>16026</v>
      </c>
      <c r="D11824" s="0" t="s">
        <v>16026</v>
      </c>
      <c r="E11824" s="0" t="inlineStr">
        <is>
          <t xml:space="preserve">Mazda</t>
        </is>
      </c>
      <c r="F11824" s="0" t="s">
        <v>13</v>
      </c>
      <c r="G11824" s="0" t="s">
        <v>49</v>
      </c>
      <c r="H11824" s="5">
        <v>846.191900</v>
      </c>
    </row>
    <row r="11825" spans="1:9">
      <c r="A11825" s="22" t="str">
        <f>HYPERLINK("https://app.vivvix.com/360/KMI/IntelliDrive/ApplUI/Pages/CreativePages/CustomReportCreativeDetail.aspx?App=23&amp;ReportView=4&amp;Qid=1711279&amp;Row=11817&amp;Col=1","No Title Assigned - #15272667252")</f>
        <v/>
      </c>
      <c r="B11825" s="0" t="s">
        <v>16025</v>
      </c>
      <c r="C11825" s="0" t="s">
        <v>16027</v>
      </c>
      <c r="D11825" s="0" t="s">
        <v>16027</v>
      </c>
      <c r="E11825" s="0" t="inlineStr">
        <is>
          <t xml:space="preserve">Mazda</t>
        </is>
      </c>
      <c r="F11825" s="0" t="s">
        <v>13</v>
      </c>
      <c r="G11825" s="0" t="s">
        <v>49</v>
      </c>
      <c r="H11825" s="5">
        <v>16234.478200</v>
      </c>
    </row>
    <row r="11826" spans="1:9">
      <c r="A11826" s="22" t="str">
        <f>HYPERLINK("https://app.vivvix.com/360/KMI/IntelliDrive/ApplUI/Pages/CreativePages/CustomReportCreativeDetail.aspx?App=23&amp;ReportView=4&amp;Qid=1711279&amp;Row=11818&amp;Col=1","No Title Assigned - #15272667334")</f>
        <v/>
      </c>
      <c r="B11826" s="0" t="s">
        <v>16028</v>
      </c>
      <c r="E11826" s="0" t="inlineStr">
        <is>
          <t xml:space="preserve">Mazda</t>
        </is>
      </c>
      <c r="F11826" s="0" t="s">
        <v>13</v>
      </c>
      <c r="G11826" s="0" t="s">
        <v>49</v>
      </c>
      <c r="H11826" s="5">
        <v>2887.614600</v>
      </c>
    </row>
    <row r="11827" spans="1:9">
      <c r="A11827" s="22" t="str">
        <f>HYPERLINK("https://app.vivvix.com/360/KMI/IntelliDrive/ApplUI/Pages/CreativePages/CustomReportCreativeDetail.aspx?App=23&amp;ReportView=4&amp;Qid=1711279&amp;Row=11819&amp;Col=1","No Title Assigned - #15272667334")</f>
        <v/>
      </c>
      <c r="B11827" s="0" t="s">
        <v>16028</v>
      </c>
      <c r="C11827" s="0" t="s">
        <v>16029</v>
      </c>
      <c r="D11827" s="0" t="s">
        <v>16029</v>
      </c>
      <c r="E11827" s="0" t="inlineStr">
        <is>
          <t xml:space="preserve">Mazda</t>
        </is>
      </c>
      <c r="F11827" s="0" t="s">
        <v>13</v>
      </c>
      <c r="G11827" s="0" t="s">
        <v>49</v>
      </c>
      <c r="H11827" s="5">
        <v>109.564100</v>
      </c>
    </row>
    <row r="11828" spans="1:9">
      <c r="A11828" s="22" t="str">
        <f>HYPERLINK("https://app.vivvix.com/360/KMI/IntelliDrive/ApplUI/Pages/CreativePages/CustomReportCreativeDetail.aspx?App=23&amp;ReportView=4&amp;Qid=1711279&amp;Row=11820&amp;Col=1","No Title Assigned - #15272667529")</f>
        <v/>
      </c>
      <c r="B11828" s="0" t="s">
        <v>16030</v>
      </c>
      <c r="C11828" s="0" t="s">
        <v>16031</v>
      </c>
      <c r="D11828" s="0" t="s">
        <v>9765</v>
      </c>
      <c r="E11828" s="0" t="inlineStr">
        <is>
          <t xml:space="preserve">Mazda</t>
        </is>
      </c>
      <c r="F11828" s="0" t="s">
        <v>13</v>
      </c>
      <c r="G11828" s="0" t="s">
        <v>49</v>
      </c>
      <c r="H11828" s="5">
        <v>153.345500</v>
      </c>
    </row>
    <row r="11829" spans="1:9">
      <c r="A11829" s="22" t="str">
        <f>HYPERLINK("https://app.vivvix.com/360/KMI/IntelliDrive/ApplUI/Pages/CreativePages/CustomReportCreativeDetail.aspx?App=23&amp;ReportView=4&amp;Qid=1711279&amp;Row=11821&amp;Col=1","No Title Assigned - #15272667562")</f>
        <v/>
      </c>
      <c r="B11829" s="0" t="s">
        <v>16032</v>
      </c>
      <c r="E11829" s="0" t="inlineStr">
        <is>
          <t xml:space="preserve">Mazda</t>
        </is>
      </c>
      <c r="F11829" s="0" t="inlineStr">
        <is>
          <t xml:space="preserve">Mazda</t>
        </is>
      </c>
      <c r="G11829" s="0" t="s">
        <v>171</v>
      </c>
      <c r="H11829" s="5">
        <v>36.870600</v>
      </c>
    </row>
    <row r="11830" spans="1:9">
      <c r="A11830" s="22" t="str">
        <f>HYPERLINK("https://app.vivvix.com/360/KMI/IntelliDrive/ApplUI/Pages/CreativePages/CustomReportCreativeDetail.aspx?App=23&amp;ReportView=4&amp;Qid=1711279&amp;Row=11822&amp;Col=1","No Title Assigned - #15272668179")</f>
        <v/>
      </c>
      <c r="B11830" s="0" t="s">
        <v>16033</v>
      </c>
      <c r="E11830" s="0" t="inlineStr">
        <is>
          <t xml:space="preserve">Mazda</t>
        </is>
      </c>
      <c r="F11830" s="0" t="s">
        <v>28</v>
      </c>
      <c r="G11830" s="0" t="s">
        <v>29</v>
      </c>
      <c r="H11830" s="5">
        <v>37.176300</v>
      </c>
    </row>
    <row r="11831" spans="1:9">
      <c r="A11831" s="22" t="str">
        <f>HYPERLINK("https://app.vivvix.com/360/KMI/IntelliDrive/ApplUI/Pages/CreativePages/CustomReportCreativeDetail.aspx?App=23&amp;ReportView=4&amp;Qid=1711279&amp;Row=11823&amp;Col=1","No Title Assigned - #15272668179")</f>
        <v/>
      </c>
      <c r="B11831" s="0" t="s">
        <v>16033</v>
      </c>
      <c r="C11831" s="0" t="s">
        <v>16034</v>
      </c>
      <c r="D11831" s="0" t="s">
        <v>9733</v>
      </c>
      <c r="E11831" s="0" t="inlineStr">
        <is>
          <t xml:space="preserve">Mazda</t>
        </is>
      </c>
      <c r="F11831" s="0" t="s">
        <v>28</v>
      </c>
      <c r="G11831" s="0" t="s">
        <v>29</v>
      </c>
      <c r="H11831" s="5">
        <v>10.276100</v>
      </c>
    </row>
    <row r="11832" spans="1:9">
      <c r="A11832" s="22" t="str">
        <f>HYPERLINK("https://app.vivvix.com/360/KMI/IntelliDrive/ApplUI/Pages/CreativePages/CustomReportCreativeDetail.aspx?App=23&amp;ReportView=4&amp;Qid=1711279&amp;Row=11824&amp;Col=1","No Title Assigned - #15272668378")</f>
        <v/>
      </c>
      <c r="B11832" s="0" t="s">
        <v>16035</v>
      </c>
      <c r="C11832" s="0" t="s">
        <v>16036</v>
      </c>
      <c r="D11832" s="0" t="s">
        <v>16036</v>
      </c>
      <c r="E11832" s="0" t="inlineStr">
        <is>
          <t xml:space="preserve">Mazda</t>
        </is>
      </c>
      <c r="F11832" s="0" t="s">
        <v>13</v>
      </c>
      <c r="G11832" s="0" t="s">
        <v>49</v>
      </c>
      <c r="H11832" s="5">
        <v>107.282800</v>
      </c>
    </row>
    <row r="11833" spans="1:9">
      <c r="A11833" s="22" t="str">
        <f>HYPERLINK("https://app.vivvix.com/360/KMI/IntelliDrive/ApplUI/Pages/CreativePages/CustomReportCreativeDetail.aspx?App=23&amp;ReportView=4&amp;Qid=1711279&amp;Row=11825&amp;Col=1","No Title Assigned - #15272669070")</f>
        <v/>
      </c>
      <c r="B11833" s="0" t="s">
        <v>16037</v>
      </c>
      <c r="E11833" s="0" t="inlineStr">
        <is>
          <t xml:space="preserve">Mazda</t>
        </is>
      </c>
      <c r="F11833" s="0" t="inlineStr">
        <is>
          <t xml:space="preserve">Mazda</t>
        </is>
      </c>
      <c r="G11833" s="0" t="s">
        <v>171</v>
      </c>
      <c r="H11833" s="5">
        <v>2583.499800</v>
      </c>
    </row>
    <row r="11834" spans="1:9">
      <c r="A11834" s="22" t="str">
        <f>HYPERLINK("https://app.vivvix.com/360/KMI/IntelliDrive/ApplUI/Pages/CreativePages/CustomReportCreativeDetail.aspx?App=23&amp;ReportView=4&amp;Qid=1711279&amp;Row=11826&amp;Col=1","No Title Assigned - #15272669070")</f>
        <v/>
      </c>
      <c r="B11834" s="0" t="s">
        <v>16037</v>
      </c>
      <c r="E11834" s="0" t="inlineStr">
        <is>
          <t xml:space="preserve">Mazda</t>
        </is>
      </c>
      <c r="F11834" s="0" t="inlineStr">
        <is>
          <t xml:space="preserve">Mazda</t>
        </is>
      </c>
      <c r="G11834" s="0" t="s">
        <v>171</v>
      </c>
      <c r="H11834" s="5">
        <v>16910.992900</v>
      </c>
    </row>
    <row r="11835" spans="1:9">
      <c r="A11835" s="22" t="str">
        <f>HYPERLINK("https://app.vivvix.com/360/KMI/IntelliDrive/ApplUI/Pages/CreativePages/CustomReportCreativeDetail.aspx?App=23&amp;ReportView=4&amp;Qid=1711279&amp;Row=11827&amp;Col=1","No Title Assigned - #15272669197")</f>
        <v/>
      </c>
      <c r="B11835" s="0" t="s">
        <v>16038</v>
      </c>
      <c r="E11835" s="0" t="inlineStr">
        <is>
          <t xml:space="preserve">Mazda</t>
        </is>
      </c>
      <c r="F11835" s="0" t="inlineStr">
        <is>
          <t xml:space="preserve">Mazda</t>
        </is>
      </c>
      <c r="G11835" s="0" t="s">
        <v>171</v>
      </c>
      <c r="H11835" s="5">
        <v>11.483100</v>
      </c>
    </row>
    <row r="11836" spans="1:9">
      <c r="A11836" s="22" t="str">
        <f>HYPERLINK("https://app.vivvix.com/360/KMI/IntelliDrive/ApplUI/Pages/CreativePages/CustomReportCreativeDetail.aspx?App=23&amp;ReportView=4&amp;Qid=1711279&amp;Row=11828&amp;Col=1","No Title Assigned - #15272669995")</f>
        <v/>
      </c>
      <c r="B11836" s="0" t="s">
        <v>16039</v>
      </c>
      <c r="E11836" s="0" t="inlineStr">
        <is>
          <t xml:space="preserve">Mazda</t>
        </is>
      </c>
      <c r="F11836" s="0" t="inlineStr">
        <is>
          <t xml:space="preserve">Mazda</t>
        </is>
      </c>
      <c r="G11836" s="0" t="s">
        <v>171</v>
      </c>
      <c r="H11836" s="5">
        <v>9.110400</v>
      </c>
    </row>
    <row r="11837" spans="1:9">
      <c r="A11837" s="22" t="str">
        <f>HYPERLINK("https://app.vivvix.com/360/KMI/IntelliDrive/ApplUI/Pages/CreativePages/CustomReportCreativeDetail.aspx?App=23&amp;ReportView=4&amp;Qid=1711279&amp;Row=11829&amp;Col=1","No Title Assigned - #15272670599")</f>
        <v/>
      </c>
      <c r="B11837" s="0" t="s">
        <v>16040</v>
      </c>
      <c r="E11837" s="0" t="inlineStr">
        <is>
          <t xml:space="preserve">Mazda</t>
        </is>
      </c>
      <c r="F11837" s="0" t="inlineStr">
        <is>
          <t xml:space="preserve">Mazda</t>
        </is>
      </c>
      <c r="G11837" s="0" t="s">
        <v>171</v>
      </c>
      <c r="H11837" s="5">
        <v>297.641100</v>
      </c>
    </row>
    <row r="11838" spans="1:9">
      <c r="A11838" s="22" t="str">
        <f>HYPERLINK("https://app.vivvix.com/360/KMI/IntelliDrive/ApplUI/Pages/CreativePages/CustomReportCreativeDetail.aspx?App=23&amp;ReportView=4&amp;Qid=1711279&amp;Row=11830&amp;Col=1","No Title Assigned - #15272670676")</f>
        <v/>
      </c>
      <c r="B11838" s="0" t="s">
        <v>16041</v>
      </c>
      <c r="E11838" s="0" t="inlineStr">
        <is>
          <t xml:space="preserve">Mazda</t>
        </is>
      </c>
      <c r="F11838" s="0" t="inlineStr">
        <is>
          <t xml:space="preserve">Mazda</t>
        </is>
      </c>
      <c r="G11838" s="0" t="s">
        <v>171</v>
      </c>
      <c r="H11838" s="5">
        <v>144.640200</v>
      </c>
    </row>
    <row r="11839" spans="1:9">
      <c r="A11839" s="22" t="str">
        <f>HYPERLINK("https://app.vivvix.com/360/KMI/IntelliDrive/ApplUI/Pages/CreativePages/CustomReportCreativeDetail.aspx?App=23&amp;ReportView=4&amp;Qid=1711279&amp;Row=11831&amp;Col=1","No Title Assigned - #15272670705")</f>
        <v/>
      </c>
      <c r="B11839" s="0" t="s">
        <v>16042</v>
      </c>
      <c r="E11839" s="0" t="inlineStr">
        <is>
          <t xml:space="preserve">Mazda</t>
        </is>
      </c>
      <c r="F11839" s="0" t="inlineStr">
        <is>
          <t xml:space="preserve">Mazda</t>
        </is>
      </c>
      <c r="G11839" s="0" t="s">
        <v>171</v>
      </c>
      <c r="H11839" s="5">
        <v>54.625400</v>
      </c>
    </row>
    <row r="11840" spans="1:9">
      <c r="A11840" s="22" t="str">
        <f>HYPERLINK("https://app.vivvix.com/360/KMI/IntelliDrive/ApplUI/Pages/CreativePages/CustomReportCreativeDetail.aspx?App=23&amp;ReportView=4&amp;Qid=1711279&amp;Row=11832&amp;Col=1","No Title Assigned - #15272671679")</f>
        <v/>
      </c>
      <c r="B11840" s="0" t="s">
        <v>16043</v>
      </c>
      <c r="E11840" s="0" t="inlineStr">
        <is>
          <t xml:space="preserve">Mazda</t>
        </is>
      </c>
      <c r="F11840" s="0" t="inlineStr">
        <is>
          <t xml:space="preserve">Mazda</t>
        </is>
      </c>
      <c r="G11840" s="0" t="s">
        <v>171</v>
      </c>
      <c r="H11840" s="5">
        <v>7.746800</v>
      </c>
    </row>
    <row r="11841" spans="1:9">
      <c r="A11841" s="22" t="str">
        <f>HYPERLINK("https://app.vivvix.com/360/KMI/IntelliDrive/ApplUI/Pages/CreativePages/CustomReportCreativeDetail.aspx?App=23&amp;ReportView=4&amp;Qid=1711279&amp;Row=11833&amp;Col=1","No Title Assigned - #15272672010")</f>
        <v/>
      </c>
      <c r="B11841" s="0" t="s">
        <v>16044</v>
      </c>
      <c r="E11841" s="0" t="inlineStr">
        <is>
          <t xml:space="preserve">Mazda</t>
        </is>
      </c>
      <c r="F11841" s="0" t="inlineStr">
        <is>
          <t xml:space="preserve">Mazda</t>
        </is>
      </c>
      <c r="G11841" s="0" t="s">
        <v>171</v>
      </c>
      <c r="H11841" s="5">
        <v>227.465000</v>
      </c>
    </row>
    <row r="11842" spans="1:9">
      <c r="A11842" s="22" t="str">
        <f>HYPERLINK("https://app.vivvix.com/360/KMI/IntelliDrive/ApplUI/Pages/CreativePages/CustomReportCreativeDetail.aspx?App=23&amp;ReportView=4&amp;Qid=1711279&amp;Row=11834&amp;Col=1","No Title Assigned - #15272672219")</f>
        <v/>
      </c>
      <c r="B11842" s="0" t="s">
        <v>16045</v>
      </c>
      <c r="C11842" s="0" t="s">
        <v>16046</v>
      </c>
      <c r="D11842" s="0" t="s">
        <v>16046</v>
      </c>
      <c r="E11842" s="0" t="inlineStr">
        <is>
          <t xml:space="preserve">Mazda</t>
        </is>
      </c>
      <c r="F11842" s="0" t="inlineStr">
        <is>
          <t xml:space="preserve">Mazda</t>
        </is>
      </c>
      <c r="G11842" s="0" t="s">
        <v>171</v>
      </c>
      <c r="H11842" s="5">
        <v>17.106900</v>
      </c>
    </row>
    <row r="11843" spans="1:9">
      <c r="A11843" s="22" t="str">
        <f>HYPERLINK("https://app.vivvix.com/360/KMI/IntelliDrive/ApplUI/Pages/CreativePages/CustomReportCreativeDetail.aspx?App=23&amp;ReportView=4&amp;Qid=1711279&amp;Row=11835&amp;Col=1","No Title Assigned - #15272672219")</f>
        <v/>
      </c>
      <c r="B11843" s="0" t="s">
        <v>16045</v>
      </c>
      <c r="E11843" s="0" t="inlineStr">
        <is>
          <t xml:space="preserve">Mazda</t>
        </is>
      </c>
      <c r="F11843" s="0" t="inlineStr">
        <is>
          <t xml:space="preserve">Mazda</t>
        </is>
      </c>
      <c r="G11843" s="0" t="s">
        <v>171</v>
      </c>
      <c r="H11843" s="5">
        <v>3108.081000</v>
      </c>
    </row>
    <row r="11844" spans="1:9">
      <c r="A11844" s="22" t="str">
        <f>HYPERLINK("https://app.vivvix.com/360/KMI/IntelliDrive/ApplUI/Pages/CreativePages/CustomReportCreativeDetail.aspx?App=23&amp;ReportView=4&amp;Qid=1711279&amp;Row=11836&amp;Col=1","No Title Assigned - #15272672744")</f>
        <v/>
      </c>
      <c r="B11844" s="0" t="s">
        <v>16047</v>
      </c>
      <c r="E11844" s="0" t="inlineStr">
        <is>
          <t xml:space="preserve">Mazda</t>
        </is>
      </c>
      <c r="F11844" s="0" t="inlineStr">
        <is>
          <t xml:space="preserve">Mazda</t>
        </is>
      </c>
      <c r="G11844" s="0" t="s">
        <v>171</v>
      </c>
      <c r="H11844" s="5">
        <v>709.014600</v>
      </c>
    </row>
    <row r="11845" spans="1:9">
      <c r="A11845" s="22" t="str">
        <f>HYPERLINK("https://app.vivvix.com/360/KMI/IntelliDrive/ApplUI/Pages/CreativePages/CustomReportCreativeDetail.aspx?App=23&amp;ReportView=4&amp;Qid=1711279&amp;Row=11837&amp;Col=1","No Title Assigned - #15272672789")</f>
        <v/>
      </c>
      <c r="B11845" s="0" t="s">
        <v>16048</v>
      </c>
      <c r="E11845" s="0" t="inlineStr">
        <is>
          <t xml:space="preserve">Mazda</t>
        </is>
      </c>
      <c r="F11845" s="0" t="inlineStr">
        <is>
          <t xml:space="preserve">Mazda</t>
        </is>
      </c>
      <c r="G11845" s="0" t="s">
        <v>171</v>
      </c>
      <c r="H11845" s="5">
        <v>25.702800</v>
      </c>
    </row>
    <row r="11846" spans="1:9">
      <c r="A11846" s="22" t="str">
        <f>HYPERLINK("https://app.vivvix.com/360/KMI/IntelliDrive/ApplUI/Pages/CreativePages/CustomReportCreativeDetail.aspx?App=23&amp;ReportView=4&amp;Qid=1711279&amp;Row=11838&amp;Col=1","No Title Assigned - #15272673299")</f>
        <v/>
      </c>
      <c r="B11846" s="0" t="s">
        <v>16049</v>
      </c>
      <c r="E11846" s="0" t="inlineStr">
        <is>
          <t xml:space="preserve">Mazda</t>
        </is>
      </c>
      <c r="F11846" s="0" t="inlineStr">
        <is>
          <t xml:space="preserve">Mazda</t>
        </is>
      </c>
      <c r="G11846" s="0" t="s">
        <v>171</v>
      </c>
      <c r="H11846" s="5">
        <v>103.710700</v>
      </c>
    </row>
    <row r="11847" spans="1:9">
      <c r="A11847" s="22" t="str">
        <f>HYPERLINK("https://app.vivvix.com/360/KMI/IntelliDrive/ApplUI/Pages/CreativePages/CustomReportCreativeDetail.aspx?App=23&amp;ReportView=4&amp;Qid=1711279&amp;Row=11839&amp;Col=1","No Title Assigned - #15272673394")</f>
        <v/>
      </c>
      <c r="B11847" s="0" t="s">
        <v>16050</v>
      </c>
      <c r="E11847" s="0" t="inlineStr">
        <is>
          <t xml:space="preserve">Mazda</t>
        </is>
      </c>
      <c r="F11847" s="0" t="inlineStr">
        <is>
          <t xml:space="preserve">Mazda</t>
        </is>
      </c>
      <c r="G11847" s="0" t="s">
        <v>171</v>
      </c>
      <c r="H11847" s="5">
        <v>556.123700</v>
      </c>
    </row>
    <row r="11848" spans="1:9">
      <c r="A11848" s="22" t="str">
        <f>HYPERLINK("https://app.vivvix.com/360/KMI/IntelliDrive/ApplUI/Pages/CreativePages/CustomReportCreativeDetail.aspx?App=23&amp;ReportView=4&amp;Qid=1711279&amp;Row=11840&amp;Col=1","No Title Assigned - #15272673406")</f>
        <v/>
      </c>
      <c r="B11848" s="0" t="s">
        <v>16051</v>
      </c>
      <c r="E11848" s="0" t="inlineStr">
        <is>
          <t xml:space="preserve">Mazda</t>
        </is>
      </c>
      <c r="F11848" s="0" t="inlineStr">
        <is>
          <t xml:space="preserve">Mazda</t>
        </is>
      </c>
      <c r="G11848" s="0" t="s">
        <v>171</v>
      </c>
      <c r="H11848" s="5">
        <v>17.787300</v>
      </c>
    </row>
    <row r="11849" spans="1:9">
      <c r="A11849" s="22" t="str">
        <f>HYPERLINK("https://app.vivvix.com/360/KMI/IntelliDrive/ApplUI/Pages/CreativePages/CustomReportCreativeDetail.aspx?App=23&amp;ReportView=4&amp;Qid=1711279&amp;Row=11841&amp;Col=1","No Title Assigned - #15272673852")</f>
        <v/>
      </c>
      <c r="B11849" s="0" t="s">
        <v>16052</v>
      </c>
      <c r="E11849" s="0" t="inlineStr">
        <is>
          <t xml:space="preserve">Mazda</t>
        </is>
      </c>
      <c r="F11849" s="0" t="inlineStr">
        <is>
          <t xml:space="preserve">Mazda</t>
        </is>
      </c>
      <c r="G11849" s="0" t="s">
        <v>171</v>
      </c>
      <c r="H11849" s="5">
        <v>2160.314600</v>
      </c>
    </row>
    <row r="11850" spans="1:9">
      <c r="A11850" s="22" t="str">
        <f>HYPERLINK("https://app.vivvix.com/360/KMI/IntelliDrive/ApplUI/Pages/CreativePages/CustomReportCreativeDetail.aspx?App=23&amp;ReportView=4&amp;Qid=1711279&amp;Row=11842&amp;Col=1","No Title Assigned - #15272673852")</f>
        <v/>
      </c>
      <c r="B11850" s="0" t="s">
        <v>16052</v>
      </c>
      <c r="E11850" s="0" t="inlineStr">
        <is>
          <t xml:space="preserve">Mazda</t>
        </is>
      </c>
      <c r="F11850" s="0" t="inlineStr">
        <is>
          <t xml:space="preserve">Mazda</t>
        </is>
      </c>
      <c r="G11850" s="0" t="s">
        <v>171</v>
      </c>
      <c r="H11850" s="5">
        <v>15.684000</v>
      </c>
    </row>
    <row r="11851" spans="1:9">
      <c r="A11851" s="22" t="str">
        <f>HYPERLINK("https://app.vivvix.com/360/KMI/IntelliDrive/ApplUI/Pages/CreativePages/CustomReportCreativeDetail.aspx?App=23&amp;ReportView=4&amp;Qid=1711279&amp;Row=11843&amp;Col=1","No Title Assigned - #15272673864")</f>
        <v/>
      </c>
      <c r="B11851" s="0" t="s">
        <v>16053</v>
      </c>
      <c r="E11851" s="0" t="inlineStr">
        <is>
          <t xml:space="preserve">Mazda</t>
        </is>
      </c>
      <c r="F11851" s="0" t="inlineStr">
        <is>
          <t xml:space="preserve">Mazda</t>
        </is>
      </c>
      <c r="G11851" s="0" t="s">
        <v>171</v>
      </c>
      <c r="H11851" s="5">
        <v>45.786000</v>
      </c>
    </row>
    <row r="11852" spans="1:9">
      <c r="A11852" s="22" t="str">
        <f>HYPERLINK("https://app.vivvix.com/360/KMI/IntelliDrive/ApplUI/Pages/CreativePages/CustomReportCreativeDetail.aspx?App=23&amp;ReportView=4&amp;Qid=1711279&amp;Row=11844&amp;Col=1","No Title Assigned - #15272674315")</f>
        <v/>
      </c>
      <c r="B11852" s="0" t="s">
        <v>16054</v>
      </c>
      <c r="E11852" s="0" t="inlineStr">
        <is>
          <t xml:space="preserve">Mazda</t>
        </is>
      </c>
      <c r="F11852" s="0" t="inlineStr">
        <is>
          <t xml:space="preserve">Mazda</t>
        </is>
      </c>
      <c r="G11852" s="0" t="s">
        <v>171</v>
      </c>
      <c r="H11852" s="5">
        <v>38581.356700</v>
      </c>
    </row>
    <row r="11853" spans="1:9">
      <c r="A11853" s="22" t="str">
        <f>HYPERLINK("https://app.vivvix.com/360/KMI/IntelliDrive/ApplUI/Pages/CreativePages/CustomReportCreativeDetail.aspx?App=23&amp;ReportView=4&amp;Qid=1711279&amp;Row=11845&amp;Col=1","No Title Assigned - #15272674578")</f>
        <v/>
      </c>
      <c r="B11853" s="0" t="s">
        <v>16055</v>
      </c>
      <c r="E11853" s="0" t="inlineStr">
        <is>
          <t xml:space="preserve">Mazda</t>
        </is>
      </c>
      <c r="F11853" s="0" t="inlineStr">
        <is>
          <t xml:space="preserve">Mazda</t>
        </is>
      </c>
      <c r="G11853" s="0" t="s">
        <v>171</v>
      </c>
      <c r="H11853" s="5">
        <v>1018.411400</v>
      </c>
    </row>
    <row r="11854" spans="1:9">
      <c r="A11854" s="22" t="str">
        <f>HYPERLINK("https://app.vivvix.com/360/KMI/IntelliDrive/ApplUI/Pages/CreativePages/CustomReportCreativeDetail.aspx?App=23&amp;ReportView=4&amp;Qid=1711279&amp;Row=11846&amp;Col=1","No Title Assigned - #15272674629")</f>
        <v/>
      </c>
      <c r="B11854" s="0" t="s">
        <v>16056</v>
      </c>
      <c r="E11854" s="0" t="inlineStr">
        <is>
          <t xml:space="preserve">Mazda</t>
        </is>
      </c>
      <c r="F11854" s="0" t="inlineStr">
        <is>
          <t xml:space="preserve">Mazda</t>
        </is>
      </c>
      <c r="G11854" s="0" t="s">
        <v>171</v>
      </c>
      <c r="H11854" s="5">
        <v>1188.953000</v>
      </c>
    </row>
    <row r="11855" spans="1:9">
      <c r="A11855" s="22" t="str">
        <f>HYPERLINK("https://app.vivvix.com/360/KMI/IntelliDrive/ApplUI/Pages/CreativePages/CustomReportCreativeDetail.aspx?App=23&amp;ReportView=4&amp;Qid=1711279&amp;Row=11847&amp;Col=1","No Title Assigned - #15272674757")</f>
        <v/>
      </c>
      <c r="B11855" s="0" t="s">
        <v>16057</v>
      </c>
      <c r="C11855" s="0" t="s">
        <v>16058</v>
      </c>
      <c r="D11855" s="0" t="s">
        <v>16058</v>
      </c>
      <c r="E11855" s="0" t="inlineStr">
        <is>
          <t xml:space="preserve">Mazda</t>
        </is>
      </c>
      <c r="F11855" s="0" t="inlineStr">
        <is>
          <t xml:space="preserve">Mazda</t>
        </is>
      </c>
      <c r="G11855" s="0" t="s">
        <v>171</v>
      </c>
      <c r="H11855" s="5">
        <v>208.703400</v>
      </c>
    </row>
    <row r="11856" spans="1:9">
      <c r="A11856" s="22" t="str">
        <f>HYPERLINK("https://app.vivvix.com/360/KMI/IntelliDrive/ApplUI/Pages/CreativePages/CustomReportCreativeDetail.aspx?App=23&amp;ReportView=4&amp;Qid=1711279&amp;Row=11848&amp;Col=1","No Title Assigned - #15272674940")</f>
        <v/>
      </c>
      <c r="B11856" s="0" t="s">
        <v>16059</v>
      </c>
      <c r="E11856" s="0" t="inlineStr">
        <is>
          <t xml:space="preserve">Mazda</t>
        </is>
      </c>
      <c r="F11856" s="0" t="inlineStr">
        <is>
          <t xml:space="preserve">Mazda</t>
        </is>
      </c>
      <c r="G11856" s="0" t="s">
        <v>171</v>
      </c>
      <c r="H11856" s="5">
        <v>5026.867200</v>
      </c>
    </row>
    <row r="11857" spans="1:9">
      <c r="A11857" s="22" t="str">
        <f>HYPERLINK("https://app.vivvix.com/360/KMI/IntelliDrive/ApplUI/Pages/CreativePages/CustomReportCreativeDetail.aspx?App=23&amp;ReportView=4&amp;Qid=1711279&amp;Row=11849&amp;Col=1","No Title Assigned - #15272675166")</f>
        <v/>
      </c>
      <c r="B11857" s="0" t="s">
        <v>16060</v>
      </c>
      <c r="E11857" s="0" t="inlineStr">
        <is>
          <t xml:space="preserve">Mazda</t>
        </is>
      </c>
      <c r="F11857" s="0" t="inlineStr">
        <is>
          <t xml:space="preserve">Mazda</t>
        </is>
      </c>
      <c r="G11857" s="0" t="s">
        <v>171</v>
      </c>
      <c r="H11857" s="5">
        <v>56.497000</v>
      </c>
    </row>
    <row r="11858" spans="1:9">
      <c r="A11858" s="22" t="str">
        <f>HYPERLINK("https://app.vivvix.com/360/KMI/IntelliDrive/ApplUI/Pages/CreativePages/CustomReportCreativeDetail.aspx?App=23&amp;ReportView=4&amp;Qid=1711279&amp;Row=11850&amp;Col=1","No Title Assigned - #15272675183")</f>
        <v/>
      </c>
      <c r="B11858" s="0" t="s">
        <v>16061</v>
      </c>
      <c r="E11858" s="0" t="inlineStr">
        <is>
          <t xml:space="preserve">Mazda</t>
        </is>
      </c>
      <c r="F11858" s="0" t="inlineStr">
        <is>
          <t xml:space="preserve">Mazda</t>
        </is>
      </c>
      <c r="G11858" s="0" t="s">
        <v>171</v>
      </c>
      <c r="H11858" s="5">
        <v>12.842300</v>
      </c>
    </row>
    <row r="11859" spans="1:9">
      <c r="A11859" s="22" t="str">
        <f>HYPERLINK("https://app.vivvix.com/360/KMI/IntelliDrive/ApplUI/Pages/CreativePages/CustomReportCreativeDetail.aspx?App=23&amp;ReportView=4&amp;Qid=1711279&amp;Row=11851&amp;Col=1","No Title Assigned - #15272675826")</f>
        <v/>
      </c>
      <c r="B11859" s="0" t="s">
        <v>16062</v>
      </c>
      <c r="E11859" s="0" t="inlineStr">
        <is>
          <t xml:space="preserve">Mazda</t>
        </is>
      </c>
      <c r="F11859" s="0" t="inlineStr">
        <is>
          <t xml:space="preserve">Mazda</t>
        </is>
      </c>
      <c r="G11859" s="0" t="s">
        <v>171</v>
      </c>
      <c r="H11859" s="5">
        <v>14697.826100</v>
      </c>
    </row>
    <row r="11860" spans="1:9">
      <c r="A11860" s="22" t="str">
        <f>HYPERLINK("https://app.vivvix.com/360/KMI/IntelliDrive/ApplUI/Pages/CreativePages/CustomReportCreativeDetail.aspx?App=23&amp;ReportView=4&amp;Qid=1711279&amp;Row=11852&amp;Col=1","No Title Assigned - #15272676460")</f>
        <v/>
      </c>
      <c r="B11860" s="0" t="s">
        <v>16063</v>
      </c>
      <c r="E11860" s="0" t="inlineStr">
        <is>
          <t xml:space="preserve">Mazda</t>
        </is>
      </c>
      <c r="F11860" s="0" t="inlineStr">
        <is>
          <t xml:space="preserve">Mazda</t>
        </is>
      </c>
      <c r="G11860" s="0" t="s">
        <v>171</v>
      </c>
      <c r="H11860" s="5">
        <v>1.536100</v>
      </c>
    </row>
    <row r="11861" spans="1:9">
      <c r="A11861" s="22" t="str">
        <f>HYPERLINK("https://app.vivvix.com/360/KMI/IntelliDrive/ApplUI/Pages/CreativePages/CustomReportCreativeDetail.aspx?App=23&amp;ReportView=4&amp;Qid=1711279&amp;Row=11853&amp;Col=1","No Title Assigned - #15272676575")</f>
        <v/>
      </c>
      <c r="B11861" s="0" t="s">
        <v>16064</v>
      </c>
      <c r="E11861" s="0" t="inlineStr">
        <is>
          <t xml:space="preserve">Mazda</t>
        </is>
      </c>
      <c r="F11861" s="0" t="inlineStr">
        <is>
          <t xml:space="preserve">Mazda</t>
        </is>
      </c>
      <c r="G11861" s="0" t="s">
        <v>171</v>
      </c>
      <c r="H11861" s="5">
        <v>56.497000</v>
      </c>
    </row>
    <row r="11862" spans="1:9">
      <c r="A11862" s="22" t="str">
        <f>HYPERLINK("https://app.vivvix.com/360/KMI/IntelliDrive/ApplUI/Pages/CreativePages/CustomReportCreativeDetail.aspx?App=23&amp;ReportView=4&amp;Qid=1711279&amp;Row=11854&amp;Col=1","No Title Assigned - #15272676797")</f>
        <v/>
      </c>
      <c r="B11862" s="0" t="s">
        <v>16065</v>
      </c>
      <c r="E11862" s="0" t="inlineStr">
        <is>
          <t xml:space="preserve">Mazda</t>
        </is>
      </c>
      <c r="F11862" s="0" t="inlineStr">
        <is>
          <t xml:space="preserve">Mazda</t>
        </is>
      </c>
      <c r="G11862" s="0" t="s">
        <v>171</v>
      </c>
      <c r="H11862" s="5">
        <v>38.851800</v>
      </c>
    </row>
    <row r="11863" spans="1:9">
      <c r="A11863" s="22" t="str">
        <f>HYPERLINK("https://app.vivvix.com/360/KMI/IntelliDrive/ApplUI/Pages/CreativePages/CustomReportCreativeDetail.aspx?App=23&amp;ReportView=4&amp;Qid=1711279&amp;Row=11855&amp;Col=1","No Title Assigned - #15272676825")</f>
        <v/>
      </c>
      <c r="B11863" s="0" t="s">
        <v>16066</v>
      </c>
      <c r="E11863" s="0" t="inlineStr">
        <is>
          <t xml:space="preserve">Mazda</t>
        </is>
      </c>
      <c r="F11863" s="0" t="inlineStr">
        <is>
          <t xml:space="preserve">Mazda</t>
        </is>
      </c>
      <c r="G11863" s="0" t="s">
        <v>171</v>
      </c>
      <c r="H11863" s="5">
        <v>47606.468400</v>
      </c>
    </row>
    <row r="11864" spans="1:9">
      <c r="A11864" s="22" t="str">
        <f>HYPERLINK("https://app.vivvix.com/360/KMI/IntelliDrive/ApplUI/Pages/CreativePages/CustomReportCreativeDetail.aspx?App=23&amp;ReportView=4&amp;Qid=1711279&amp;Row=11856&amp;Col=1","No Title Assigned - #15272676825")</f>
        <v/>
      </c>
      <c r="B11864" s="0" t="s">
        <v>16066</v>
      </c>
      <c r="E11864" s="0" t="inlineStr">
        <is>
          <t xml:space="preserve">Mazda</t>
        </is>
      </c>
      <c r="F11864" s="0" t="inlineStr">
        <is>
          <t xml:space="preserve">Mazda</t>
        </is>
      </c>
      <c r="G11864" s="0" t="s">
        <v>171</v>
      </c>
      <c r="H11864" s="5">
        <v>18495.791400</v>
      </c>
    </row>
    <row r="11865" spans="1:9">
      <c r="A11865" s="22" t="str">
        <f>HYPERLINK("https://app.vivvix.com/360/KMI/IntelliDrive/ApplUI/Pages/CreativePages/CustomReportCreativeDetail.aspx?App=23&amp;ReportView=4&amp;Qid=1711279&amp;Row=11857&amp;Col=1","No Title Assigned - #15272676877")</f>
        <v/>
      </c>
      <c r="B11865" s="0" t="s">
        <v>16067</v>
      </c>
      <c r="E11865" s="0" t="inlineStr">
        <is>
          <t xml:space="preserve">Mazda</t>
        </is>
      </c>
      <c r="F11865" s="0" t="inlineStr">
        <is>
          <t xml:space="preserve">Mazda</t>
        </is>
      </c>
      <c r="G11865" s="0" t="s">
        <v>171</v>
      </c>
      <c r="H11865" s="5">
        <v>14.230200</v>
      </c>
    </row>
    <row r="11866" spans="1:9">
      <c r="A11866" s="22" t="str">
        <f>HYPERLINK("https://app.vivvix.com/360/KMI/IntelliDrive/ApplUI/Pages/CreativePages/CustomReportCreativeDetail.aspx?App=23&amp;ReportView=4&amp;Qid=1711279&amp;Row=11858&amp;Col=1","No Title Assigned - #15272676931")</f>
        <v/>
      </c>
      <c r="B11866" s="0" t="s">
        <v>16068</v>
      </c>
      <c r="E11866" s="0" t="inlineStr">
        <is>
          <t xml:space="preserve">Mazda</t>
        </is>
      </c>
      <c r="F11866" s="0" t="inlineStr">
        <is>
          <t xml:space="preserve">Mazda</t>
        </is>
      </c>
      <c r="G11866" s="0" t="s">
        <v>171</v>
      </c>
      <c r="H11866" s="5">
        <v>4.316400</v>
      </c>
    </row>
    <row r="11867" spans="1:9">
      <c r="A11867" s="22" t="str">
        <f>HYPERLINK("https://app.vivvix.com/360/KMI/IntelliDrive/ApplUI/Pages/CreativePages/CustomReportCreativeDetail.aspx?App=23&amp;ReportView=4&amp;Qid=1711279&amp;Row=11859&amp;Col=1","No Title Assigned - #15272676942")</f>
        <v/>
      </c>
      <c r="B11867" s="0" t="s">
        <v>16069</v>
      </c>
      <c r="E11867" s="0" t="inlineStr">
        <is>
          <t xml:space="preserve">Mazda</t>
        </is>
      </c>
      <c r="F11867" s="0" t="inlineStr">
        <is>
          <t xml:space="preserve">Mazda</t>
        </is>
      </c>
      <c r="G11867" s="0" t="s">
        <v>171</v>
      </c>
      <c r="H11867" s="5">
        <v>21.268300</v>
      </c>
    </row>
    <row r="11868" spans="1:9">
      <c r="A11868" s="22" t="str">
        <f>HYPERLINK("https://app.vivvix.com/360/KMI/IntelliDrive/ApplUI/Pages/CreativePages/CustomReportCreativeDetail.aspx?App=23&amp;ReportView=4&amp;Qid=1711279&amp;Row=11860&amp;Col=1","No Title Assigned - #15272677557")</f>
        <v/>
      </c>
      <c r="B11868" s="0" t="s">
        <v>16070</v>
      </c>
      <c r="E11868" s="0" t="inlineStr">
        <is>
          <t xml:space="preserve">Mazda</t>
        </is>
      </c>
      <c r="F11868" s="0" t="inlineStr">
        <is>
          <t xml:space="preserve">Mazda</t>
        </is>
      </c>
      <c r="G11868" s="0" t="s">
        <v>171</v>
      </c>
      <c r="H11868" s="5">
        <v>13.810000</v>
      </c>
    </row>
    <row r="11869" spans="1:9">
      <c r="A11869" s="22" t="str">
        <f>HYPERLINK("https://app.vivvix.com/360/KMI/IntelliDrive/ApplUI/Pages/CreativePages/CustomReportCreativeDetail.aspx?App=23&amp;ReportView=4&amp;Qid=1711279&amp;Row=11861&amp;Col=1","No Title Assigned - #15272677611")</f>
        <v/>
      </c>
      <c r="B11869" s="0" t="s">
        <v>16071</v>
      </c>
      <c r="C11869" s="0" t="s">
        <v>16072</v>
      </c>
      <c r="D11869" s="0" t="s">
        <v>16072</v>
      </c>
      <c r="E11869" s="0" t="inlineStr">
        <is>
          <t xml:space="preserve">Mazda</t>
        </is>
      </c>
      <c r="F11869" s="0" t="inlineStr">
        <is>
          <t xml:space="preserve">Mazda</t>
        </is>
      </c>
      <c r="G11869" s="0" t="s">
        <v>171</v>
      </c>
      <c r="H11869" s="5">
        <v>55.050000</v>
      </c>
    </row>
    <row r="11870" spans="1:9">
      <c r="A11870" s="22" t="str">
        <f>HYPERLINK("https://app.vivvix.com/360/KMI/IntelliDrive/ApplUI/Pages/CreativePages/CustomReportCreativeDetail.aspx?App=23&amp;ReportView=4&amp;Qid=1711279&amp;Row=11862&amp;Col=1","No Title Assigned - #15272677721")</f>
        <v/>
      </c>
      <c r="B11870" s="0" t="s">
        <v>16073</v>
      </c>
      <c r="E11870" s="0" t="inlineStr">
        <is>
          <t xml:space="preserve">Mazda</t>
        </is>
      </c>
      <c r="F11870" s="0" t="inlineStr">
        <is>
          <t xml:space="preserve">Mazda</t>
        </is>
      </c>
      <c r="G11870" s="0" t="s">
        <v>171</v>
      </c>
      <c r="H11870" s="5">
        <v>477.784200</v>
      </c>
    </row>
    <row r="11871" spans="1:9">
      <c r="A11871" s="22" t="str">
        <f>HYPERLINK("https://app.vivvix.com/360/KMI/IntelliDrive/ApplUI/Pages/CreativePages/CustomReportCreativeDetail.aspx?App=23&amp;ReportView=4&amp;Qid=1711279&amp;Row=11863&amp;Col=1","No Title Assigned - #15272677792")</f>
        <v/>
      </c>
      <c r="B11871" s="0" t="s">
        <v>16074</v>
      </c>
      <c r="E11871" s="0" t="inlineStr">
        <is>
          <t xml:space="preserve">Mazda</t>
        </is>
      </c>
      <c r="F11871" s="0" t="inlineStr">
        <is>
          <t xml:space="preserve">Mazda</t>
        </is>
      </c>
      <c r="G11871" s="0" t="s">
        <v>171</v>
      </c>
      <c r="H11871" s="5">
        <v>10.696900</v>
      </c>
    </row>
    <row r="11872" spans="1:9">
      <c r="A11872" s="22" t="str">
        <f>HYPERLINK("https://app.vivvix.com/360/KMI/IntelliDrive/ApplUI/Pages/CreativePages/CustomReportCreativeDetail.aspx?App=23&amp;ReportView=4&amp;Qid=1711279&amp;Row=11864&amp;Col=1","No Title Assigned - #15272677913")</f>
        <v/>
      </c>
      <c r="B11872" s="0" t="s">
        <v>16075</v>
      </c>
      <c r="E11872" s="0" t="inlineStr">
        <is>
          <t xml:space="preserve">Mazda</t>
        </is>
      </c>
      <c r="F11872" s="0" t="inlineStr">
        <is>
          <t xml:space="preserve">Mazda</t>
        </is>
      </c>
      <c r="G11872" s="0" t="s">
        <v>171</v>
      </c>
      <c r="H11872" s="5">
        <v>2738.914600</v>
      </c>
    </row>
    <row r="11873" spans="1:9">
      <c r="A11873" s="22" t="str">
        <f>HYPERLINK("https://app.vivvix.com/360/KMI/IntelliDrive/ApplUI/Pages/CreativePages/CustomReportCreativeDetail.aspx?App=23&amp;ReportView=4&amp;Qid=1711279&amp;Row=11865&amp;Col=1","No Title Assigned - #15272678025")</f>
        <v/>
      </c>
      <c r="B11873" s="0" t="s">
        <v>16076</v>
      </c>
      <c r="E11873" s="0" t="inlineStr">
        <is>
          <t xml:space="preserve">Mazda</t>
        </is>
      </c>
      <c r="F11873" s="0" t="inlineStr">
        <is>
          <t xml:space="preserve">Mazda</t>
        </is>
      </c>
      <c r="G11873" s="0" t="s">
        <v>171</v>
      </c>
      <c r="H11873" s="5">
        <v>7695.292300</v>
      </c>
    </row>
    <row r="11874" spans="1:9">
      <c r="A11874" s="22" t="str">
        <f>HYPERLINK("https://app.vivvix.com/360/KMI/IntelliDrive/ApplUI/Pages/CreativePages/CustomReportCreativeDetail.aspx?App=23&amp;ReportView=4&amp;Qid=1711279&amp;Row=11866&amp;Col=1","No Title Assigned - #15272678153")</f>
        <v/>
      </c>
      <c r="B11874" s="0" t="s">
        <v>16077</v>
      </c>
      <c r="E11874" s="0" t="inlineStr">
        <is>
          <t xml:space="preserve">Mazda</t>
        </is>
      </c>
      <c r="F11874" s="0" t="inlineStr">
        <is>
          <t xml:space="preserve">Mazda</t>
        </is>
      </c>
      <c r="G11874" s="0" t="s">
        <v>171</v>
      </c>
      <c r="H11874" s="5">
        <v>8.879600</v>
      </c>
    </row>
    <row r="11875" spans="1:9">
      <c r="A11875" s="22" t="str">
        <f>HYPERLINK("https://app.vivvix.com/360/KMI/IntelliDrive/ApplUI/Pages/CreativePages/CustomReportCreativeDetail.aspx?App=23&amp;ReportView=4&amp;Qid=1711279&amp;Row=11867&amp;Col=1","No Title Assigned - #15272678154")</f>
        <v/>
      </c>
      <c r="B11875" s="0" t="s">
        <v>16078</v>
      </c>
      <c r="E11875" s="0" t="inlineStr">
        <is>
          <t xml:space="preserve">Mazda</t>
        </is>
      </c>
      <c r="F11875" s="0" t="inlineStr">
        <is>
          <t xml:space="preserve">Mazda</t>
        </is>
      </c>
      <c r="G11875" s="0" t="s">
        <v>171</v>
      </c>
      <c r="H11875" s="5">
        <v>1364.630900</v>
      </c>
    </row>
    <row r="11876" spans="1:9">
      <c r="A11876" s="22" t="str">
        <f>HYPERLINK("https://app.vivvix.com/360/KMI/IntelliDrive/ApplUI/Pages/CreativePages/CustomReportCreativeDetail.aspx?App=23&amp;ReportView=4&amp;Qid=1711279&amp;Row=11868&amp;Col=1","No Title Assigned - #15272678154")</f>
        <v/>
      </c>
      <c r="B11876" s="0" t="s">
        <v>16078</v>
      </c>
      <c r="E11876" s="0" t="inlineStr">
        <is>
          <t xml:space="preserve">Mazda</t>
        </is>
      </c>
      <c r="F11876" s="0" t="inlineStr">
        <is>
          <t xml:space="preserve">Mazda</t>
        </is>
      </c>
      <c r="G11876" s="0" t="s">
        <v>171</v>
      </c>
      <c r="H11876" s="5">
        <v>8.879600</v>
      </c>
    </row>
    <row r="11877" spans="1:9">
      <c r="A11877" s="22" t="str">
        <f>HYPERLINK("https://app.vivvix.com/360/KMI/IntelliDrive/ApplUI/Pages/CreativePages/CustomReportCreativeDetail.aspx?App=23&amp;ReportView=4&amp;Qid=1711279&amp;Row=11869&amp;Col=1","No Title Assigned - #15272678223")</f>
        <v/>
      </c>
      <c r="B11877" s="0" t="s">
        <v>16079</v>
      </c>
      <c r="E11877" s="0" t="inlineStr">
        <is>
          <t xml:space="preserve">Mazda</t>
        </is>
      </c>
      <c r="F11877" s="0" t="inlineStr">
        <is>
          <t xml:space="preserve">Mazda</t>
        </is>
      </c>
      <c r="G11877" s="0" t="s">
        <v>171</v>
      </c>
      <c r="H11877" s="5">
        <v>770.655100</v>
      </c>
    </row>
    <row r="11878" spans="1:9">
      <c r="A11878" s="22" t="str">
        <f>HYPERLINK("https://app.vivvix.com/360/KMI/IntelliDrive/ApplUI/Pages/CreativePages/CustomReportCreativeDetail.aspx?App=23&amp;ReportView=4&amp;Qid=1711279&amp;Row=11870&amp;Col=1","No Title Assigned - #15272678324")</f>
        <v/>
      </c>
      <c r="B11878" s="0" t="s">
        <v>16080</v>
      </c>
      <c r="E11878" s="0" t="inlineStr">
        <is>
          <t xml:space="preserve">Mazda</t>
        </is>
      </c>
      <c r="F11878" s="0" t="inlineStr">
        <is>
          <t xml:space="preserve">Mazda</t>
        </is>
      </c>
      <c r="G11878" s="0" t="s">
        <v>171</v>
      </c>
      <c r="H11878" s="5">
        <v>181.912700</v>
      </c>
    </row>
    <row r="11879" spans="1:9">
      <c r="A11879" s="22" t="str">
        <f>HYPERLINK("https://app.vivvix.com/360/KMI/IntelliDrive/ApplUI/Pages/CreativePages/CustomReportCreativeDetail.aspx?App=23&amp;ReportView=4&amp;Qid=1711279&amp;Row=11871&amp;Col=1","No Title Assigned - #15272678614")</f>
        <v/>
      </c>
      <c r="B11879" s="0" t="s">
        <v>16081</v>
      </c>
      <c r="E11879" s="0" t="inlineStr">
        <is>
          <t xml:space="preserve">Mazda</t>
        </is>
      </c>
      <c r="F11879" s="0" t="inlineStr">
        <is>
          <t xml:space="preserve">Mazda</t>
        </is>
      </c>
      <c r="G11879" s="0" t="s">
        <v>171</v>
      </c>
      <c r="H11879" s="5">
        <v>0.801000</v>
      </c>
    </row>
    <row r="11880" spans="1:9">
      <c r="A11880" s="22" t="str">
        <f>HYPERLINK("https://app.vivvix.com/360/KMI/IntelliDrive/ApplUI/Pages/CreativePages/CustomReportCreativeDetail.aspx?App=23&amp;ReportView=4&amp;Qid=1711279&amp;Row=11872&amp;Col=1","No Title Assigned - #15272680242")</f>
        <v/>
      </c>
      <c r="B11880" s="0" t="s">
        <v>16082</v>
      </c>
      <c r="E11880" s="0" t="inlineStr">
        <is>
          <t xml:space="preserve">Mazda</t>
        </is>
      </c>
      <c r="F11880" s="0" t="inlineStr">
        <is>
          <t xml:space="preserve">Mazda</t>
        </is>
      </c>
      <c r="G11880" s="0" t="s">
        <v>171</v>
      </c>
      <c r="H11880" s="5">
        <v>19.503000</v>
      </c>
    </row>
    <row r="11881" spans="1:9">
      <c r="A11881" s="22" t="str">
        <f>HYPERLINK("https://app.vivvix.com/360/KMI/IntelliDrive/ApplUI/Pages/CreativePages/CustomReportCreativeDetail.aspx?App=23&amp;ReportView=4&amp;Qid=1711279&amp;Row=11873&amp;Col=1","No Title Assigned - #15272680610")</f>
        <v/>
      </c>
      <c r="B11881" s="0" t="s">
        <v>16083</v>
      </c>
      <c r="E11881" s="0" t="inlineStr">
        <is>
          <t xml:space="preserve">Mazda</t>
        </is>
      </c>
      <c r="F11881" s="0" t="inlineStr">
        <is>
          <t xml:space="preserve">Mazda</t>
        </is>
      </c>
      <c r="G11881" s="0" t="s">
        <v>171</v>
      </c>
      <c r="H11881" s="5">
        <v>50.114500</v>
      </c>
    </row>
    <row r="11882" spans="1:9">
      <c r="A11882" s="22" t="str">
        <f>HYPERLINK("https://app.vivvix.com/360/KMI/IntelliDrive/ApplUI/Pages/CreativePages/CustomReportCreativeDetail.aspx?App=23&amp;ReportView=4&amp;Qid=1711279&amp;Row=11874&amp;Col=1","No Title Assigned - #15272681073")</f>
        <v/>
      </c>
      <c r="B11882" s="0" t="s">
        <v>16084</v>
      </c>
      <c r="E11882" s="0" t="inlineStr">
        <is>
          <t xml:space="preserve">Mazda</t>
        </is>
      </c>
      <c r="F11882" s="0" t="inlineStr">
        <is>
          <t xml:space="preserve">Mazda</t>
        </is>
      </c>
      <c r="G11882" s="0" t="s">
        <v>171</v>
      </c>
      <c r="H11882" s="5">
        <v>1537.902200</v>
      </c>
    </row>
    <row r="11883" spans="1:9">
      <c r="A11883" s="22" t="str">
        <f>HYPERLINK("https://app.vivvix.com/360/KMI/IntelliDrive/ApplUI/Pages/CreativePages/CustomReportCreativeDetail.aspx?App=23&amp;ReportView=4&amp;Qid=1711279&amp;Row=11875&amp;Col=1","No Title Assigned - #15272681166")</f>
        <v/>
      </c>
      <c r="B11883" s="0" t="s">
        <v>16085</v>
      </c>
      <c r="E11883" s="0" t="inlineStr">
        <is>
          <t xml:space="preserve">Mazda</t>
        </is>
      </c>
      <c r="F11883" s="0" t="inlineStr">
        <is>
          <t xml:space="preserve">Mazda</t>
        </is>
      </c>
      <c r="G11883" s="0" t="s">
        <v>171</v>
      </c>
      <c r="H11883" s="5">
        <v>41.633600</v>
      </c>
    </row>
    <row r="11884" spans="1:9">
      <c r="A11884" s="22" t="str">
        <f>HYPERLINK("https://app.vivvix.com/360/KMI/IntelliDrive/ApplUI/Pages/CreativePages/CustomReportCreativeDetail.aspx?App=23&amp;ReportView=4&amp;Qid=1711279&amp;Row=11876&amp;Col=1","No Title Assigned - #15272681364")</f>
        <v/>
      </c>
      <c r="B11884" s="0" t="s">
        <v>16086</v>
      </c>
      <c r="E11884" s="0" t="inlineStr">
        <is>
          <t xml:space="preserve">Mazda</t>
        </is>
      </c>
      <c r="F11884" s="0" t="inlineStr">
        <is>
          <t xml:space="preserve">Mazda</t>
        </is>
      </c>
      <c r="G11884" s="0" t="s">
        <v>171</v>
      </c>
      <c r="H11884" s="5">
        <v>3502.553700</v>
      </c>
    </row>
    <row r="11885" spans="1:9">
      <c r="A11885" s="22" t="str">
        <f>HYPERLINK("https://app.vivvix.com/360/KMI/IntelliDrive/ApplUI/Pages/CreativePages/CustomReportCreativeDetail.aspx?App=23&amp;ReportView=4&amp;Qid=1711279&amp;Row=11877&amp;Col=1","No Title Assigned - #15272681965")</f>
        <v/>
      </c>
      <c r="B11885" s="0" t="s">
        <v>16087</v>
      </c>
      <c r="C11885" s="0" t="s">
        <v>16088</v>
      </c>
      <c r="D11885" s="0" t="s">
        <v>16088</v>
      </c>
      <c r="E11885" s="0" t="inlineStr">
        <is>
          <t xml:space="preserve">Mazda</t>
        </is>
      </c>
      <c r="F11885" s="0" t="inlineStr">
        <is>
          <t xml:space="preserve">Mazda</t>
        </is>
      </c>
      <c r="G11885" s="0" t="s">
        <v>171</v>
      </c>
      <c r="H11885" s="5">
        <v>654.433800</v>
      </c>
    </row>
    <row r="11886" spans="1:9">
      <c r="A11886" s="22" t="str">
        <f>HYPERLINK("https://app.vivvix.com/360/KMI/IntelliDrive/ApplUI/Pages/CreativePages/CustomReportCreativeDetail.aspx?App=23&amp;ReportView=4&amp;Qid=1711279&amp;Row=11878&amp;Col=1","No Title Assigned - #15272683341")</f>
        <v/>
      </c>
      <c r="B11886" s="0" t="s">
        <v>16089</v>
      </c>
      <c r="E11886" s="0" t="inlineStr">
        <is>
          <t xml:space="preserve">Mazda</t>
        </is>
      </c>
      <c r="F11886" s="0" t="inlineStr">
        <is>
          <t xml:space="preserve">Mazda</t>
        </is>
      </c>
      <c r="G11886" s="0" t="s">
        <v>171</v>
      </c>
      <c r="H11886" s="5">
        <v>21.883700</v>
      </c>
    </row>
    <row r="11887" spans="1:9">
      <c r="A11887" s="22" t="str">
        <f>HYPERLINK("https://app.vivvix.com/360/KMI/IntelliDrive/ApplUI/Pages/CreativePages/CustomReportCreativeDetail.aspx?App=23&amp;ReportView=4&amp;Qid=1711279&amp;Row=11879&amp;Col=1","No Title Assigned - #15272686587")</f>
        <v/>
      </c>
      <c r="B11887" s="0" t="s">
        <v>16090</v>
      </c>
      <c r="E11887" s="0" t="inlineStr">
        <is>
          <t xml:space="preserve">Mazda</t>
        </is>
      </c>
      <c r="F11887" s="0" t="inlineStr">
        <is>
          <t xml:space="preserve">Mazda</t>
        </is>
      </c>
      <c r="G11887" s="0" t="s">
        <v>171</v>
      </c>
      <c r="H11887" s="5">
        <v>770.655100</v>
      </c>
    </row>
    <row r="11888" spans="1:9">
      <c r="A11888" s="22" t="str">
        <f>HYPERLINK("https://app.vivvix.com/360/KMI/IntelliDrive/ApplUI/Pages/CreativePages/CustomReportCreativeDetail.aspx?App=23&amp;ReportView=4&amp;Qid=1711279&amp;Row=11880&amp;Col=1","No Title Assigned - #15272686642")</f>
        <v/>
      </c>
      <c r="B11888" s="0" t="s">
        <v>16091</v>
      </c>
      <c r="E11888" s="0" t="inlineStr">
        <is>
          <t xml:space="preserve">Mazda</t>
        </is>
      </c>
      <c r="F11888" s="0" t="inlineStr">
        <is>
          <t xml:space="preserve">Mazda</t>
        </is>
      </c>
      <c r="G11888" s="0" t="s">
        <v>171</v>
      </c>
      <c r="H11888" s="5">
        <v>11.162200</v>
      </c>
    </row>
    <row r="11889" spans="1:9">
      <c r="A11889" s="22" t="str">
        <f>HYPERLINK("https://app.vivvix.com/360/KMI/IntelliDrive/ApplUI/Pages/CreativePages/CustomReportCreativeDetail.aspx?App=23&amp;ReportView=4&amp;Qid=1711279&amp;Row=11881&amp;Col=1","No Title Assigned - #15272689117")</f>
        <v/>
      </c>
      <c r="B11889" s="0" t="s">
        <v>16092</v>
      </c>
      <c r="E11889" s="0" t="inlineStr">
        <is>
          <t xml:space="preserve">Mazda</t>
        </is>
      </c>
      <c r="F11889" s="0" t="inlineStr">
        <is>
          <t xml:space="preserve">Mazda</t>
        </is>
      </c>
      <c r="G11889" s="0" t="s">
        <v>171</v>
      </c>
      <c r="H11889" s="5">
        <v>41.393400</v>
      </c>
    </row>
    <row r="11890" spans="1:9">
      <c r="A11890" s="22" t="str">
        <f>HYPERLINK("https://app.vivvix.com/360/KMI/IntelliDrive/ApplUI/Pages/CreativePages/CustomReportCreativeDetail.aspx?App=23&amp;ReportView=4&amp;Qid=1711279&amp;Row=11882&amp;Col=1","No Title Assigned - #15272689243")</f>
        <v/>
      </c>
      <c r="B11890" s="0" t="s">
        <v>16093</v>
      </c>
      <c r="E11890" s="0" t="inlineStr">
        <is>
          <t xml:space="preserve">Mazda</t>
        </is>
      </c>
      <c r="F11890" s="0" t="inlineStr">
        <is>
          <t xml:space="preserve">Mazda</t>
        </is>
      </c>
      <c r="G11890" s="0" t="s">
        <v>171</v>
      </c>
      <c r="H11890" s="5">
        <v>11.196800</v>
      </c>
    </row>
    <row r="11891" spans="1:9">
      <c r="A11891" s="22" t="str">
        <f>HYPERLINK("https://app.vivvix.com/360/KMI/IntelliDrive/ApplUI/Pages/CreativePages/CustomReportCreativeDetail.aspx?App=23&amp;ReportView=4&amp;Qid=1711279&amp;Row=11883&amp;Col=1","No Title Assigned - #15272689972")</f>
        <v/>
      </c>
      <c r="B11891" s="0" t="s">
        <v>16094</v>
      </c>
      <c r="E11891" s="0" t="inlineStr">
        <is>
          <t xml:space="preserve">Mazda</t>
        </is>
      </c>
      <c r="F11891" s="0" t="inlineStr">
        <is>
          <t xml:space="preserve">Mazda</t>
        </is>
      </c>
      <c r="G11891" s="0" t="s">
        <v>171</v>
      </c>
      <c r="H11891" s="5">
        <v>38.149800</v>
      </c>
    </row>
    <row r="11892" spans="1:9">
      <c r="A11892" s="22" t="str">
        <f>HYPERLINK("https://app.vivvix.com/360/KMI/IntelliDrive/ApplUI/Pages/CreativePages/CustomReportCreativeDetail.aspx?App=23&amp;ReportView=4&amp;Qid=1711279&amp;Row=11884&amp;Col=1","No Title Assigned - #15272690657")</f>
        <v/>
      </c>
      <c r="B11892" s="0" t="s">
        <v>16095</v>
      </c>
      <c r="E11892" s="0" t="inlineStr">
        <is>
          <t xml:space="preserve">Mazda</t>
        </is>
      </c>
      <c r="F11892" s="0" t="inlineStr">
        <is>
          <t xml:space="preserve">Mazda</t>
        </is>
      </c>
      <c r="G11892" s="0" t="s">
        <v>171</v>
      </c>
      <c r="H11892" s="5">
        <v>1541.310200</v>
      </c>
    </row>
    <row r="11893" spans="1:9">
      <c r="A11893" s="22" t="str">
        <f>HYPERLINK("https://app.vivvix.com/360/KMI/IntelliDrive/ApplUI/Pages/CreativePages/CustomReportCreativeDetail.aspx?App=23&amp;ReportView=4&amp;Qid=1711279&amp;Row=11885&amp;Col=1","No Title Assigned - #15272692891")</f>
        <v/>
      </c>
      <c r="B11893" s="0" t="s">
        <v>16096</v>
      </c>
      <c r="E11893" s="0" t="inlineStr">
        <is>
          <t xml:space="preserve">Mazda</t>
        </is>
      </c>
      <c r="F11893" s="0" t="inlineStr">
        <is>
          <t xml:space="preserve">Mazda</t>
        </is>
      </c>
      <c r="G11893" s="0" t="s">
        <v>171</v>
      </c>
      <c r="H11893" s="5">
        <v>5779.959000</v>
      </c>
    </row>
    <row r="11894" spans="1:9">
      <c r="A11894" s="22" t="str">
        <f>HYPERLINK("https://app.vivvix.com/360/KMI/IntelliDrive/ApplUI/Pages/CreativePages/CustomReportCreativeDetail.aspx?App=23&amp;ReportView=4&amp;Qid=1711279&amp;Row=11886&amp;Col=1","No Title Assigned - #15272693057")</f>
        <v/>
      </c>
      <c r="B11894" s="0" t="s">
        <v>16097</v>
      </c>
      <c r="E11894" s="0" t="inlineStr">
        <is>
          <t xml:space="preserve">Mazda</t>
        </is>
      </c>
      <c r="F11894" s="0" t="inlineStr">
        <is>
          <t xml:space="preserve">Mazda</t>
        </is>
      </c>
      <c r="G11894" s="0" t="s">
        <v>171</v>
      </c>
      <c r="H11894" s="5">
        <v>690.115500</v>
      </c>
    </row>
    <row r="11895" spans="1:9">
      <c r="A11895" s="22" t="str">
        <f>HYPERLINK("https://app.vivvix.com/360/KMI/IntelliDrive/ApplUI/Pages/CreativePages/CustomReportCreativeDetail.aspx?App=23&amp;ReportView=4&amp;Qid=1711279&amp;Row=11887&amp;Col=1","No Title Assigned - #15272694100")</f>
        <v/>
      </c>
      <c r="B11895" s="0" t="s">
        <v>16098</v>
      </c>
      <c r="E11895" s="0" t="inlineStr">
        <is>
          <t xml:space="preserve">Mazda</t>
        </is>
      </c>
      <c r="F11895" s="0" t="inlineStr">
        <is>
          <t xml:space="preserve">Mazda</t>
        </is>
      </c>
      <c r="G11895" s="0" t="s">
        <v>171</v>
      </c>
      <c r="H11895" s="5">
        <v>1637.907300</v>
      </c>
    </row>
    <row r="11896" spans="1:9">
      <c r="A11896" s="22" t="str">
        <f>HYPERLINK("https://app.vivvix.com/360/KMI/IntelliDrive/ApplUI/Pages/CreativePages/CustomReportCreativeDetail.aspx?App=23&amp;ReportView=4&amp;Qid=1711279&amp;Row=11888&amp;Col=1","No Title Assigned - #15272694232")</f>
        <v/>
      </c>
      <c r="B11896" s="0" t="s">
        <v>16099</v>
      </c>
      <c r="E11896" s="0" t="inlineStr">
        <is>
          <t xml:space="preserve">Mazda</t>
        </is>
      </c>
      <c r="F11896" s="0" t="inlineStr">
        <is>
          <t xml:space="preserve">Mazda</t>
        </is>
      </c>
      <c r="G11896" s="0" t="s">
        <v>171</v>
      </c>
      <c r="H11896" s="5">
        <v>26.711400</v>
      </c>
    </row>
    <row r="11897" spans="1:9">
      <c r="A11897" s="22" t="str">
        <f>HYPERLINK("https://app.vivvix.com/360/KMI/IntelliDrive/ApplUI/Pages/CreativePages/CustomReportCreativeDetail.aspx?App=23&amp;ReportView=4&amp;Qid=1711279&amp;Row=11889&amp;Col=1","No Title Assigned - #15272695905")</f>
        <v/>
      </c>
      <c r="B11897" s="0" t="s">
        <v>16100</v>
      </c>
      <c r="E11897" s="0" t="inlineStr">
        <is>
          <t xml:space="preserve">Mazda</t>
        </is>
      </c>
      <c r="F11897" s="0" t="inlineStr">
        <is>
          <t xml:space="preserve">Mazda</t>
        </is>
      </c>
      <c r="G11897" s="0" t="s">
        <v>171</v>
      </c>
      <c r="H11897" s="5">
        <v>23.101400</v>
      </c>
    </row>
    <row r="11898" spans="1:9">
      <c r="A11898" s="22" t="str">
        <f>HYPERLINK("https://app.vivvix.com/360/KMI/IntelliDrive/ApplUI/Pages/CreativePages/CustomReportCreativeDetail.aspx?App=23&amp;ReportView=4&amp;Qid=1711279&amp;Row=11890&amp;Col=1","No Title Assigned - #15272708578")</f>
        <v/>
      </c>
      <c r="B11898" s="0" t="s">
        <v>16101</v>
      </c>
      <c r="C11898" s="0" t="s">
        <v>16102</v>
      </c>
      <c r="D11898" s="0" t="s">
        <v>11328</v>
      </c>
      <c r="E11898" s="0" t="inlineStr">
        <is>
          <t xml:space="preserve">Mazda</t>
        </is>
      </c>
      <c r="F11898" s="0" t="s">
        <v>13</v>
      </c>
      <c r="G11898" s="0" t="s">
        <v>49</v>
      </c>
      <c r="H11898" s="5">
        <v>264.916300</v>
      </c>
    </row>
    <row r="11899" spans="1:9">
      <c r="A11899" s="22" t="str">
        <f>HYPERLINK("https://app.vivvix.com/360/KMI/IntelliDrive/ApplUI/Pages/CreativePages/CustomReportCreativeDetail.aspx?App=23&amp;ReportView=4&amp;Qid=1711279&amp;Row=11891&amp;Col=1","No Title Assigned - #15272710928")</f>
        <v/>
      </c>
      <c r="B11899" s="0" t="s">
        <v>16103</v>
      </c>
      <c r="C11899" s="0" t="s">
        <v>16104</v>
      </c>
      <c r="D11899" s="0" t="s">
        <v>10772</v>
      </c>
      <c r="E11899" s="0" t="inlineStr">
        <is>
          <t xml:space="preserve">Mazda</t>
        </is>
      </c>
      <c r="F11899" s="0" t="s">
        <v>28</v>
      </c>
      <c r="G11899" s="0" t="s">
        <v>29</v>
      </c>
      <c r="H11899" s="5">
        <v>0.652800</v>
      </c>
    </row>
    <row r="11900" spans="1:9">
      <c r="A11900" s="22" t="str">
        <f>HYPERLINK("https://app.vivvix.com/360/KMI/IntelliDrive/ApplUI/Pages/CreativePages/CustomReportCreativeDetail.aspx?App=23&amp;ReportView=4&amp;Qid=1711279&amp;Row=11892&amp;Col=1","No Title Assigned - #15272711434")</f>
        <v/>
      </c>
      <c r="B11900" s="0" t="s">
        <v>16105</v>
      </c>
      <c r="C11900" s="0" t="s">
        <v>16106</v>
      </c>
      <c r="D11900" s="0" t="s">
        <v>16106</v>
      </c>
      <c r="E11900" s="0" t="inlineStr">
        <is>
          <t xml:space="preserve">Mazda</t>
        </is>
      </c>
      <c r="F11900" s="0" t="s">
        <v>13</v>
      </c>
      <c r="G11900" s="0" t="s">
        <v>49</v>
      </c>
      <c r="H11900" s="5">
        <v>40.043000</v>
      </c>
    </row>
    <row r="11901" spans="1:9">
      <c r="A11901" s="22" t="str">
        <f>HYPERLINK("https://app.vivvix.com/360/KMI/IntelliDrive/ApplUI/Pages/CreativePages/CustomReportCreativeDetail.aspx?App=23&amp;ReportView=4&amp;Qid=1711279&amp;Row=11893&amp;Col=1","No Title Assigned - #15272711537")</f>
        <v/>
      </c>
      <c r="B11901" s="0" t="s">
        <v>16107</v>
      </c>
      <c r="C11901" s="0" t="s">
        <v>16108</v>
      </c>
      <c r="D11901" s="0" t="s">
        <v>11499</v>
      </c>
      <c r="E11901" s="0" t="inlineStr">
        <is>
          <t xml:space="preserve">Mazda</t>
        </is>
      </c>
      <c r="F11901" s="0" t="s">
        <v>13</v>
      </c>
      <c r="G11901" s="0" t="s">
        <v>49</v>
      </c>
      <c r="H11901" s="5">
        <v>113.670900</v>
      </c>
    </row>
    <row r="11902" spans="1:9">
      <c r="A11902" s="22" t="str">
        <f>HYPERLINK("https://app.vivvix.com/360/KMI/IntelliDrive/ApplUI/Pages/CreativePages/CustomReportCreativeDetail.aspx?App=23&amp;ReportView=4&amp;Qid=1711279&amp;Row=11894&amp;Col=1","No Title Assigned - #15272715808")</f>
        <v/>
      </c>
      <c r="B11902" s="0" t="s">
        <v>16109</v>
      </c>
      <c r="C11902" s="0" t="s">
        <v>16110</v>
      </c>
      <c r="D11902" s="0" t="s">
        <v>16110</v>
      </c>
      <c r="E11902" s="0" t="inlineStr">
        <is>
          <t xml:space="preserve">Mazda</t>
        </is>
      </c>
      <c r="F11902" s="0" t="inlineStr">
        <is>
          <t xml:space="preserve">Mazda</t>
        </is>
      </c>
      <c r="G11902" s="0" t="s">
        <v>171</v>
      </c>
      <c r="H11902" s="5">
        <v>61.535200</v>
      </c>
    </row>
    <row r="11903" spans="1:9">
      <c r="A11903" s="22" t="str">
        <f>HYPERLINK("https://app.vivvix.com/360/KMI/IntelliDrive/ApplUI/Pages/CreativePages/CustomReportCreativeDetail.aspx?App=23&amp;ReportView=4&amp;Qid=1711279&amp;Row=11895&amp;Col=1","No Title Assigned - #15272716802")</f>
        <v/>
      </c>
      <c r="B11903" s="0" t="s">
        <v>16111</v>
      </c>
      <c r="E11903" s="0" t="inlineStr">
        <is>
          <t xml:space="preserve">Mazda</t>
        </is>
      </c>
      <c r="F11903" s="0" t="inlineStr">
        <is>
          <t xml:space="preserve">Mazda</t>
        </is>
      </c>
      <c r="G11903" s="0" t="s">
        <v>171</v>
      </c>
      <c r="H11903" s="5">
        <v>66.640800</v>
      </c>
    </row>
    <row r="11904" spans="1:9">
      <c r="A11904" s="22" t="str">
        <f>HYPERLINK("https://app.vivvix.com/360/KMI/IntelliDrive/ApplUI/Pages/CreativePages/CustomReportCreativeDetail.aspx?App=23&amp;ReportView=4&amp;Qid=1711279&amp;Row=11896&amp;Col=1","No Title Assigned - #15272717221")</f>
        <v/>
      </c>
      <c r="B11904" s="0" t="s">
        <v>16112</v>
      </c>
      <c r="E11904" s="0" t="inlineStr">
        <is>
          <t xml:space="preserve">Mazda</t>
        </is>
      </c>
      <c r="F11904" s="0" t="inlineStr">
        <is>
          <t xml:space="preserve">Mazda</t>
        </is>
      </c>
      <c r="G11904" s="0" t="s">
        <v>171</v>
      </c>
      <c r="H11904" s="5">
        <v>304.736300</v>
      </c>
    </row>
    <row r="11905" spans="1:9">
      <c r="A11905" s="22" t="str">
        <f>HYPERLINK("https://app.vivvix.com/360/KMI/IntelliDrive/ApplUI/Pages/CreativePages/CustomReportCreativeDetail.aspx?App=23&amp;ReportView=4&amp;Qid=1711279&amp;Row=11897&amp;Col=1","No Title Assigned - #15272717224")</f>
        <v/>
      </c>
      <c r="B11905" s="0" t="s">
        <v>16113</v>
      </c>
      <c r="E11905" s="0" t="inlineStr">
        <is>
          <t xml:space="preserve">Mazda</t>
        </is>
      </c>
      <c r="F11905" s="0" t="inlineStr">
        <is>
          <t xml:space="preserve">Mazda</t>
        </is>
      </c>
      <c r="G11905" s="0" t="s">
        <v>171</v>
      </c>
      <c r="H11905" s="5">
        <v>1389.357000</v>
      </c>
    </row>
    <row r="11906" spans="1:9">
      <c r="A11906" s="22" t="str">
        <f>HYPERLINK("https://app.vivvix.com/360/KMI/IntelliDrive/ApplUI/Pages/CreativePages/CustomReportCreativeDetail.aspx?App=23&amp;ReportView=4&amp;Qid=1711279&amp;Row=11898&amp;Col=1","No Title Assigned - #15272717224")</f>
        <v/>
      </c>
      <c r="B11906" s="0" t="s">
        <v>16113</v>
      </c>
      <c r="E11906" s="0" t="inlineStr">
        <is>
          <t xml:space="preserve">Mazda</t>
        </is>
      </c>
      <c r="F11906" s="0" t="inlineStr">
        <is>
          <t xml:space="preserve">Mazda</t>
        </is>
      </c>
      <c r="G11906" s="0" t="s">
        <v>171</v>
      </c>
      <c r="H11906" s="5">
        <v>87.008400</v>
      </c>
    </row>
    <row r="11907" spans="1:9">
      <c r="A11907" s="22" t="str">
        <f>HYPERLINK("https://app.vivvix.com/360/KMI/IntelliDrive/ApplUI/Pages/CreativePages/CustomReportCreativeDetail.aspx?App=23&amp;ReportView=4&amp;Qid=1711279&amp;Row=11899&amp;Col=1","No Title Assigned - #15272717900")</f>
        <v/>
      </c>
      <c r="B11907" s="0" t="s">
        <v>16114</v>
      </c>
      <c r="C11907" s="0" t="s">
        <v>16115</v>
      </c>
      <c r="D11907" s="0" t="s">
        <v>16115</v>
      </c>
      <c r="E11907" s="0" t="inlineStr">
        <is>
          <t xml:space="preserve">Mazda</t>
        </is>
      </c>
      <c r="F11907" s="0" t="inlineStr">
        <is>
          <t xml:space="preserve">Mazda</t>
        </is>
      </c>
      <c r="G11907" s="0" t="s">
        <v>171</v>
      </c>
      <c r="H11907" s="5">
        <v>1315.885000</v>
      </c>
    </row>
    <row r="11908" spans="1:9">
      <c r="A11908" s="22" t="str">
        <f>HYPERLINK("https://app.vivvix.com/360/KMI/IntelliDrive/ApplUI/Pages/CreativePages/CustomReportCreativeDetail.aspx?App=23&amp;ReportView=4&amp;Qid=1711279&amp;Row=11900&amp;Col=1","No Title Assigned - #15272718183")</f>
        <v/>
      </c>
      <c r="B11908" s="0" t="s">
        <v>16116</v>
      </c>
      <c r="E11908" s="0" t="inlineStr">
        <is>
          <t xml:space="preserve">Mazda</t>
        </is>
      </c>
      <c r="F11908" s="0" t="inlineStr">
        <is>
          <t xml:space="preserve">Mazda</t>
        </is>
      </c>
      <c r="G11908" s="0" t="s">
        <v>171</v>
      </c>
      <c r="H11908" s="5">
        <v>0.324400</v>
      </c>
    </row>
    <row r="11909" spans="1:9">
      <c r="A11909" s="22" t="str">
        <f>HYPERLINK("https://app.vivvix.com/360/KMI/IntelliDrive/ApplUI/Pages/CreativePages/CustomReportCreativeDetail.aspx?App=23&amp;ReportView=4&amp;Qid=1711279&amp;Row=11901&amp;Col=1","No Title Assigned - #15272718541")</f>
        <v/>
      </c>
      <c r="B11909" s="0" t="s">
        <v>16117</v>
      </c>
      <c r="C11909" s="0" t="s">
        <v>16118</v>
      </c>
      <c r="D11909" s="0" t="s">
        <v>16118</v>
      </c>
      <c r="E11909" s="0" t="inlineStr">
        <is>
          <t xml:space="preserve">Mazda</t>
        </is>
      </c>
      <c r="F11909" s="0" t="inlineStr">
        <is>
          <t xml:space="preserve">Mazda</t>
        </is>
      </c>
      <c r="G11909" s="0" t="s">
        <v>171</v>
      </c>
      <c r="H11909" s="5">
        <v>601.423000</v>
      </c>
    </row>
    <row r="11910" spans="1:9">
      <c r="A11910" s="22" t="str">
        <f>HYPERLINK("https://app.vivvix.com/360/KMI/IntelliDrive/ApplUI/Pages/CreativePages/CustomReportCreativeDetail.aspx?App=23&amp;ReportView=4&amp;Qid=1711279&amp;Row=11902&amp;Col=1","No Title Assigned - #15272719058")</f>
        <v/>
      </c>
      <c r="B11910" s="0" t="s">
        <v>16119</v>
      </c>
      <c r="E11910" s="0" t="inlineStr">
        <is>
          <t xml:space="preserve">Mazda</t>
        </is>
      </c>
      <c r="F11910" s="0" t="inlineStr">
        <is>
          <t xml:space="preserve">Mazda</t>
        </is>
      </c>
      <c r="G11910" s="0" t="s">
        <v>171</v>
      </c>
      <c r="H11910" s="5">
        <v>89.818300</v>
      </c>
    </row>
    <row r="11911" spans="1:9">
      <c r="A11911" s="22" t="str">
        <f>HYPERLINK("https://app.vivvix.com/360/KMI/IntelliDrive/ApplUI/Pages/CreativePages/CustomReportCreativeDetail.aspx?App=23&amp;ReportView=4&amp;Qid=1711279&amp;Row=11903&amp;Col=1","No Title Assigned - #15272719152")</f>
        <v/>
      </c>
      <c r="B11911" s="0" t="s">
        <v>16120</v>
      </c>
      <c r="E11911" s="0" t="inlineStr">
        <is>
          <t xml:space="preserve">Mazda</t>
        </is>
      </c>
      <c r="F11911" s="0" t="inlineStr">
        <is>
          <t xml:space="preserve">Mazda</t>
        </is>
      </c>
      <c r="G11911" s="0" t="s">
        <v>171</v>
      </c>
      <c r="H11911" s="5">
        <v>11.283200</v>
      </c>
    </row>
    <row r="11912" spans="1:9">
      <c r="A11912" s="22" t="str">
        <f>HYPERLINK("https://app.vivvix.com/360/KMI/IntelliDrive/ApplUI/Pages/CreativePages/CustomReportCreativeDetail.aspx?App=23&amp;ReportView=4&amp;Qid=1711279&amp;Row=11904&amp;Col=1","No Title Assigned - #15272719732")</f>
        <v/>
      </c>
      <c r="B11912" s="0" t="s">
        <v>16121</v>
      </c>
      <c r="E11912" s="0" t="inlineStr">
        <is>
          <t xml:space="preserve">Mazda</t>
        </is>
      </c>
      <c r="F11912" s="0" t="inlineStr">
        <is>
          <t xml:space="preserve">Mazda</t>
        </is>
      </c>
      <c r="G11912" s="0" t="s">
        <v>171</v>
      </c>
      <c r="H11912" s="5">
        <v>14.230200</v>
      </c>
    </row>
    <row r="11913" spans="1:9">
      <c r="A11913" s="22" t="str">
        <f>HYPERLINK("https://app.vivvix.com/360/KMI/IntelliDrive/ApplUI/Pages/CreativePages/CustomReportCreativeDetail.aspx?App=23&amp;ReportView=4&amp;Qid=1711279&amp;Row=11905&amp;Col=1","No Title Assigned - #15272720643")</f>
        <v/>
      </c>
      <c r="B11913" s="0" t="s">
        <v>16122</v>
      </c>
      <c r="C11913" s="0" t="s">
        <v>16123</v>
      </c>
      <c r="D11913" s="0" t="s">
        <v>16123</v>
      </c>
      <c r="E11913" s="0" t="inlineStr">
        <is>
          <t xml:space="preserve">Mazda</t>
        </is>
      </c>
      <c r="F11913" s="0" t="inlineStr">
        <is>
          <t xml:space="preserve">Mazda</t>
        </is>
      </c>
      <c r="G11913" s="0" t="s">
        <v>171</v>
      </c>
      <c r="H11913" s="5">
        <v>9.175800</v>
      </c>
    </row>
    <row r="11914" spans="1:9">
      <c r="A11914" s="22" t="str">
        <f>HYPERLINK("https://app.vivvix.com/360/KMI/IntelliDrive/ApplUI/Pages/CreativePages/CustomReportCreativeDetail.aspx?App=23&amp;ReportView=4&amp;Qid=1711279&amp;Row=11906&amp;Col=1","No Title Assigned - #15272720814")</f>
        <v/>
      </c>
      <c r="B11914" s="0" t="s">
        <v>16124</v>
      </c>
      <c r="C11914" s="0" t="s">
        <v>16125</v>
      </c>
      <c r="D11914" s="0" t="s">
        <v>9167</v>
      </c>
      <c r="E11914" s="0" t="inlineStr">
        <is>
          <t xml:space="preserve">Mazda</t>
        </is>
      </c>
      <c r="F11914" s="0" t="s">
        <v>13</v>
      </c>
      <c r="G11914" s="0" t="s">
        <v>49</v>
      </c>
      <c r="H11914" s="5">
        <v>1121.449800</v>
      </c>
    </row>
    <row r="11915" spans="1:9">
      <c r="A11915" s="22" t="str">
        <f>HYPERLINK("https://app.vivvix.com/360/KMI/IntelliDrive/ApplUI/Pages/CreativePages/CustomReportCreativeDetail.aspx?App=23&amp;ReportView=4&amp;Qid=1711279&amp;Row=11907&amp;Col=1","No Title Assigned - #15272722037")</f>
        <v/>
      </c>
      <c r="B11915" s="0" t="s">
        <v>16126</v>
      </c>
      <c r="E11915" s="0" t="inlineStr">
        <is>
          <t xml:space="preserve">Mazda</t>
        </is>
      </c>
      <c r="F11915" s="0" t="inlineStr">
        <is>
          <t xml:space="preserve">Mazda</t>
        </is>
      </c>
      <c r="G11915" s="0" t="s">
        <v>171</v>
      </c>
      <c r="H11915" s="5">
        <v>314.458600</v>
      </c>
    </row>
    <row r="11916" spans="1:9">
      <c r="A11916" s="22" t="str">
        <f>HYPERLINK("https://app.vivvix.com/360/KMI/IntelliDrive/ApplUI/Pages/CreativePages/CustomReportCreativeDetail.aspx?App=23&amp;ReportView=4&amp;Qid=1711279&amp;Row=11908&amp;Col=1","No Title Assigned - #15272724889")</f>
        <v/>
      </c>
      <c r="B11916" s="0" t="s">
        <v>16127</v>
      </c>
      <c r="E11916" s="0" t="inlineStr">
        <is>
          <t xml:space="preserve">Mazda</t>
        </is>
      </c>
      <c r="F11916" s="0" t="inlineStr">
        <is>
          <t xml:space="preserve">Mazda</t>
        </is>
      </c>
      <c r="G11916" s="0" t="s">
        <v>171</v>
      </c>
      <c r="H11916" s="5">
        <v>16.249900</v>
      </c>
    </row>
    <row r="11917" spans="1:9">
      <c r="A11917" s="22" t="str">
        <f>HYPERLINK("https://app.vivvix.com/360/KMI/IntelliDrive/ApplUI/Pages/CreativePages/CustomReportCreativeDetail.aspx?App=23&amp;ReportView=4&amp;Qid=1711279&amp;Row=11909&amp;Col=1","No Title Assigned - #15272726212")</f>
        <v/>
      </c>
      <c r="B11917" s="0" t="s">
        <v>16128</v>
      </c>
      <c r="C11917" s="0" t="s">
        <v>16129</v>
      </c>
      <c r="D11917" s="0" t="s">
        <v>16129</v>
      </c>
      <c r="E11917" s="0" t="inlineStr">
        <is>
          <t xml:space="preserve">Mazda</t>
        </is>
      </c>
      <c r="F11917" s="0" t="s">
        <v>28</v>
      </c>
      <c r="G11917" s="0" t="s">
        <v>29</v>
      </c>
      <c r="H11917" s="5">
        <v>9.819700</v>
      </c>
    </row>
    <row r="11918" spans="1:9">
      <c r="A11918" s="22" t="str">
        <f>HYPERLINK("https://app.vivvix.com/360/KMI/IntelliDrive/ApplUI/Pages/CreativePages/CustomReportCreativeDetail.aspx?App=23&amp;ReportView=4&amp;Qid=1711279&amp;Row=11910&amp;Col=1","No Title Assigned - #15272726576")</f>
        <v/>
      </c>
      <c r="B11918" s="0" t="s">
        <v>16130</v>
      </c>
      <c r="E11918" s="0" t="inlineStr">
        <is>
          <t xml:space="preserve">Mazda</t>
        </is>
      </c>
      <c r="F11918" s="0" t="s">
        <v>13</v>
      </c>
      <c r="G11918" s="0" t="s">
        <v>49</v>
      </c>
      <c r="H11918" s="5">
        <v>2257.965100</v>
      </c>
    </row>
    <row r="11919" spans="1:9">
      <c r="A11919" s="22" t="str">
        <f>HYPERLINK("https://app.vivvix.com/360/KMI/IntelliDrive/ApplUI/Pages/CreativePages/CustomReportCreativeDetail.aspx?App=23&amp;ReportView=4&amp;Qid=1711279&amp;Row=11911&amp;Col=1","No Title Assigned - #15272727344")</f>
        <v/>
      </c>
      <c r="B11919" s="0" t="s">
        <v>16131</v>
      </c>
      <c r="C11919" s="0" t="s">
        <v>16132</v>
      </c>
      <c r="D11919" s="0" t="s">
        <v>4200</v>
      </c>
      <c r="E11919" s="0" t="inlineStr">
        <is>
          <t xml:space="preserve">Mazda</t>
        </is>
      </c>
      <c r="F11919" s="0" t="s">
        <v>28</v>
      </c>
      <c r="G11919" s="0" t="s">
        <v>29</v>
      </c>
      <c r="H11919" s="5">
        <v>2.514400</v>
      </c>
    </row>
    <row r="11920" spans="1:9">
      <c r="A11920" s="22" t="str">
        <f>HYPERLINK("https://app.vivvix.com/360/KMI/IntelliDrive/ApplUI/Pages/CreativePages/CustomReportCreativeDetail.aspx?App=23&amp;ReportView=4&amp;Qid=1711279&amp;Row=11912&amp;Col=1","No Title Assigned - #15272728443")</f>
        <v/>
      </c>
      <c r="B11920" s="0" t="s">
        <v>16133</v>
      </c>
      <c r="C11920" s="0" t="s">
        <v>16134</v>
      </c>
      <c r="D11920" s="0" t="s">
        <v>16134</v>
      </c>
      <c r="E11920" s="0" t="inlineStr">
        <is>
          <t xml:space="preserve">Mazda</t>
        </is>
      </c>
      <c r="F11920" s="0" t="s">
        <v>13</v>
      </c>
      <c r="G11920" s="0" t="s">
        <v>49</v>
      </c>
      <c r="H11920" s="5">
        <v>14.271200</v>
      </c>
    </row>
    <row r="11921" spans="1:9">
      <c r="A11921" s="22" t="str">
        <f>HYPERLINK("https://app.vivvix.com/360/KMI/IntelliDrive/ApplUI/Pages/CreativePages/CustomReportCreativeDetail.aspx?App=23&amp;ReportView=4&amp;Qid=1711279&amp;Row=11913&amp;Col=1","No Title Assigned - #15272729778")</f>
        <v/>
      </c>
      <c r="B11921" s="0" t="s">
        <v>16135</v>
      </c>
      <c r="C11921" s="0" t="s">
        <v>16136</v>
      </c>
      <c r="D11921" s="0" t="s">
        <v>16136</v>
      </c>
      <c r="E11921" s="0" t="inlineStr">
        <is>
          <t xml:space="preserve">Mazda</t>
        </is>
      </c>
      <c r="F11921" s="0" t="s">
        <v>13</v>
      </c>
      <c r="G11921" s="0" t="s">
        <v>49</v>
      </c>
      <c r="H11921" s="5">
        <v>21911.111300</v>
      </c>
    </row>
    <row r="11922" spans="1:9">
      <c r="A11922" s="22" t="str">
        <f>HYPERLINK("https://app.vivvix.com/360/KMI/IntelliDrive/ApplUI/Pages/CreativePages/CustomReportCreativeDetail.aspx?App=23&amp;ReportView=4&amp;Qid=1711279&amp;Row=11914&amp;Col=1","No Title Assigned - #15272729935")</f>
        <v/>
      </c>
      <c r="B11922" s="0" t="s">
        <v>16137</v>
      </c>
      <c r="C11922" s="0" t="s">
        <v>16138</v>
      </c>
      <c r="D11922" s="0" t="s">
        <v>16138</v>
      </c>
      <c r="E11922" s="0" t="inlineStr">
        <is>
          <t xml:space="preserve">Mazda</t>
        </is>
      </c>
      <c r="F11922" s="0" t="s">
        <v>28</v>
      </c>
      <c r="G11922" s="0" t="s">
        <v>29</v>
      </c>
      <c r="H11922" s="5">
        <v>370.234400</v>
      </c>
    </row>
    <row r="11923" spans="1:9">
      <c r="A11923" s="22" t="str">
        <f>HYPERLINK("https://app.vivvix.com/360/KMI/IntelliDrive/ApplUI/Pages/CreativePages/CustomReportCreativeDetail.aspx?App=23&amp;ReportView=4&amp;Qid=1711279&amp;Row=11915&amp;Col=1","No Title Assigned - #15272729935")</f>
        <v/>
      </c>
      <c r="B11923" s="0" t="s">
        <v>16137</v>
      </c>
      <c r="E11923" s="0" t="inlineStr">
        <is>
          <t xml:space="preserve">Mazda</t>
        </is>
      </c>
      <c r="F11923" s="0" t="s">
        <v>28</v>
      </c>
      <c r="G11923" s="0" t="s">
        <v>29</v>
      </c>
      <c r="H11923" s="5">
        <v>509.766200</v>
      </c>
    </row>
    <row r="11924" spans="1:9">
      <c r="A11924" s="22" t="str">
        <f>HYPERLINK("https://app.vivvix.com/360/KMI/IntelliDrive/ApplUI/Pages/CreativePages/CustomReportCreativeDetail.aspx?App=23&amp;ReportView=4&amp;Qid=1711279&amp;Row=11916&amp;Col=1","No Title Assigned - #15272731200")</f>
        <v/>
      </c>
      <c r="B11924" s="0" t="s">
        <v>16139</v>
      </c>
      <c r="C11924" s="0" t="s">
        <v>16140</v>
      </c>
      <c r="D11924" s="0" t="s">
        <v>9155</v>
      </c>
      <c r="E11924" s="0" t="inlineStr">
        <is>
          <t xml:space="preserve">Mazda</t>
        </is>
      </c>
      <c r="F11924" s="0" t="s">
        <v>13</v>
      </c>
      <c r="G11924" s="0" t="s">
        <v>49</v>
      </c>
      <c r="H11924" s="5">
        <v>267.755700</v>
      </c>
    </row>
    <row r="11925" spans="1:9">
      <c r="A11925" s="22" t="str">
        <f>HYPERLINK("https://app.vivvix.com/360/KMI/IntelliDrive/ApplUI/Pages/CreativePages/CustomReportCreativeDetail.aspx?App=23&amp;ReportView=4&amp;Qid=1711279&amp;Row=11917&amp;Col=1","No Title Assigned - #15272731200")</f>
        <v/>
      </c>
      <c r="B11925" s="0" t="s">
        <v>16139</v>
      </c>
      <c r="E11925" s="0" t="inlineStr">
        <is>
          <t xml:space="preserve">Mazda</t>
        </is>
      </c>
      <c r="F11925" s="0" t="s">
        <v>13</v>
      </c>
      <c r="G11925" s="0" t="s">
        <v>49</v>
      </c>
      <c r="H11925" s="5">
        <v>781.812300</v>
      </c>
    </row>
    <row r="11926" spans="1:9">
      <c r="A11926" s="22" t="str">
        <f>HYPERLINK("https://app.vivvix.com/360/KMI/IntelliDrive/ApplUI/Pages/CreativePages/CustomReportCreativeDetail.aspx?App=23&amp;ReportView=4&amp;Qid=1711279&amp;Row=11918&amp;Col=1","No Title Assigned - #15272731320")</f>
        <v/>
      </c>
      <c r="B11926" s="0" t="s">
        <v>16141</v>
      </c>
      <c r="C11926" s="0" t="s">
        <v>16142</v>
      </c>
      <c r="D11926" s="0" t="s">
        <v>16142</v>
      </c>
      <c r="E11926" s="0" t="inlineStr">
        <is>
          <t xml:space="preserve">Mazda</t>
        </is>
      </c>
      <c r="F11926" s="0" t="s">
        <v>28</v>
      </c>
      <c r="G11926" s="0" t="s">
        <v>29</v>
      </c>
      <c r="H11926" s="5">
        <v>41.134800</v>
      </c>
    </row>
    <row r="11927" spans="1:9">
      <c r="A11927" s="22" t="str">
        <f>HYPERLINK("https://app.vivvix.com/360/KMI/IntelliDrive/ApplUI/Pages/CreativePages/CustomReportCreativeDetail.aspx?App=23&amp;ReportView=4&amp;Qid=1711279&amp;Row=11919&amp;Col=1","No Title Assigned - #15272731488")</f>
        <v/>
      </c>
      <c r="B11927" s="0" t="s">
        <v>16143</v>
      </c>
      <c r="C11927" s="0" t="s">
        <v>16144</v>
      </c>
      <c r="D11927" s="0" t="s">
        <v>15823</v>
      </c>
      <c r="E11927" s="0" t="inlineStr">
        <is>
          <t xml:space="preserve">Mazda</t>
        </is>
      </c>
      <c r="F11927" s="0" t="s">
        <v>28</v>
      </c>
      <c r="G11927" s="0" t="s">
        <v>29</v>
      </c>
      <c r="H11927" s="5">
        <v>8.496400</v>
      </c>
    </row>
    <row r="11928" spans="1:9">
      <c r="A11928" s="22" t="str">
        <f>HYPERLINK("https://app.vivvix.com/360/KMI/IntelliDrive/ApplUI/Pages/CreativePages/CustomReportCreativeDetail.aspx?App=23&amp;ReportView=4&amp;Qid=1711279&amp;Row=11920&amp;Col=1","No Title Assigned - #15272731695")</f>
        <v/>
      </c>
      <c r="B11928" s="0" t="s">
        <v>16145</v>
      </c>
      <c r="C11928" s="0" t="s">
        <v>16146</v>
      </c>
      <c r="D11928" s="0" t="s">
        <v>16146</v>
      </c>
      <c r="E11928" s="0" t="inlineStr">
        <is>
          <t xml:space="preserve">Mazda</t>
        </is>
      </c>
      <c r="F11928" s="0" t="inlineStr">
        <is>
          <t xml:space="preserve">Mazda</t>
        </is>
      </c>
      <c r="G11928" s="0" t="s">
        <v>210</v>
      </c>
      <c r="H11928" s="5">
        <v>1229.851700</v>
      </c>
    </row>
    <row r="11929" spans="1:9">
      <c r="A11929" s="22" t="str">
        <f>HYPERLINK("https://app.vivvix.com/360/KMI/IntelliDrive/ApplUI/Pages/CreativePages/CustomReportCreativeDetail.aspx?App=23&amp;ReportView=4&amp;Qid=1711279&amp;Row=11921&amp;Col=1","No Title Assigned - #15272731695")</f>
        <v/>
      </c>
      <c r="B11929" s="0" t="s">
        <v>16145</v>
      </c>
      <c r="E11929" s="0" t="inlineStr">
        <is>
          <t xml:space="preserve">Mazda</t>
        </is>
      </c>
      <c r="F11929" s="0" t="inlineStr">
        <is>
          <t xml:space="preserve">Mazda</t>
        </is>
      </c>
      <c r="G11929" s="0" t="s">
        <v>210</v>
      </c>
      <c r="H11929" s="5">
        <v>210.528800</v>
      </c>
    </row>
    <row r="11930" spans="1:9">
      <c r="A11930" s="22" t="str">
        <f>HYPERLINK("https://app.vivvix.com/360/KMI/IntelliDrive/ApplUI/Pages/CreativePages/CustomReportCreativeDetail.aspx?App=23&amp;ReportView=4&amp;Qid=1711279&amp;Row=11922&amp;Col=1","No Title Assigned - #15272734571")</f>
        <v/>
      </c>
      <c r="B11930" s="0" t="s">
        <v>16147</v>
      </c>
      <c r="C11930" s="0" t="s">
        <v>16148</v>
      </c>
      <c r="D11930" s="0" t="s">
        <v>16148</v>
      </c>
      <c r="E11930" s="0" t="inlineStr">
        <is>
          <t xml:space="preserve">Mazda</t>
        </is>
      </c>
      <c r="F11930" s="0" t="inlineStr">
        <is>
          <t xml:space="preserve">Mazda</t>
        </is>
      </c>
      <c r="G11930" s="0" t="s">
        <v>210</v>
      </c>
      <c r="H11930" s="5">
        <v>342.086500</v>
      </c>
    </row>
    <row r="11931" spans="1:9">
      <c r="A11931" s="22" t="str">
        <f>HYPERLINK("https://app.vivvix.com/360/KMI/IntelliDrive/ApplUI/Pages/CreativePages/CustomReportCreativeDetail.aspx?App=23&amp;ReportView=4&amp;Qid=1711279&amp;Row=11923&amp;Col=1","No Title Assigned - #15272737152")</f>
        <v/>
      </c>
      <c r="B11931" s="0" t="s">
        <v>16149</v>
      </c>
      <c r="C11931" s="0" t="s">
        <v>16150</v>
      </c>
      <c r="D11931" s="0" t="s">
        <v>9033</v>
      </c>
      <c r="E11931" s="0" t="inlineStr">
        <is>
          <t xml:space="preserve">Mazda</t>
        </is>
      </c>
      <c r="F11931" s="0" t="s">
        <v>28</v>
      </c>
      <c r="G11931" s="0" t="s">
        <v>29</v>
      </c>
      <c r="H11931" s="5">
        <v>4.092200</v>
      </c>
    </row>
    <row r="11932" spans="1:9">
      <c r="A11932" s="22" t="str">
        <f>HYPERLINK("https://app.vivvix.com/360/KMI/IntelliDrive/ApplUI/Pages/CreativePages/CustomReportCreativeDetail.aspx?App=23&amp;ReportView=4&amp;Qid=1711279&amp;Row=11924&amp;Col=1","No Title Assigned - #15272738541")</f>
        <v/>
      </c>
      <c r="B11932" s="0" t="s">
        <v>16151</v>
      </c>
      <c r="E11932" s="0" t="inlineStr">
        <is>
          <t xml:space="preserve">Mazda</t>
        </is>
      </c>
      <c r="F11932" s="0" t="inlineStr">
        <is>
          <t xml:space="preserve">Mazda</t>
        </is>
      </c>
      <c r="G11932" s="0" t="s">
        <v>171</v>
      </c>
      <c r="H11932" s="5">
        <v>1958.715100</v>
      </c>
    </row>
    <row r="11933" spans="1:9">
      <c r="A11933" s="22" t="str">
        <f>HYPERLINK("https://app.vivvix.com/360/KMI/IntelliDrive/ApplUI/Pages/CreativePages/CustomReportCreativeDetail.aspx?App=23&amp;ReportView=4&amp;Qid=1711279&amp;Row=11925&amp;Col=1","No Title Assigned - #15272738541")</f>
        <v/>
      </c>
      <c r="B11933" s="0" t="s">
        <v>16151</v>
      </c>
      <c r="E11933" s="0" t="inlineStr">
        <is>
          <t xml:space="preserve">Mazda</t>
        </is>
      </c>
      <c r="F11933" s="0" t="inlineStr">
        <is>
          <t xml:space="preserve">Mazda</t>
        </is>
      </c>
      <c r="G11933" s="0" t="s">
        <v>171</v>
      </c>
      <c r="H11933" s="5">
        <v>391.183900</v>
      </c>
    </row>
    <row r="11934" spans="1:9">
      <c r="A11934" s="22" t="str">
        <f>HYPERLINK("https://app.vivvix.com/360/KMI/IntelliDrive/ApplUI/Pages/CreativePages/CustomReportCreativeDetail.aspx?App=23&amp;ReportView=4&amp;Qid=1711279&amp;Row=11926&amp;Col=1","No Title Assigned - #15272739443")</f>
        <v/>
      </c>
      <c r="B11934" s="0" t="s">
        <v>16152</v>
      </c>
      <c r="E11934" s="0" t="inlineStr">
        <is>
          <t xml:space="preserve">Mazda</t>
        </is>
      </c>
      <c r="F11934" s="0" t="inlineStr">
        <is>
          <t xml:space="preserve">Mazda</t>
        </is>
      </c>
      <c r="G11934" s="0" t="s">
        <v>171</v>
      </c>
      <c r="H11934" s="5">
        <v>6744.844200</v>
      </c>
    </row>
    <row r="11935" spans="1:9">
      <c r="A11935" s="22" t="str">
        <f>HYPERLINK("https://app.vivvix.com/360/KMI/IntelliDrive/ApplUI/Pages/CreativePages/CustomReportCreativeDetail.aspx?App=23&amp;ReportView=4&amp;Qid=1711279&amp;Row=11927&amp;Col=1","No Title Assigned - #15272739443")</f>
        <v/>
      </c>
      <c r="B11935" s="0" t="s">
        <v>16152</v>
      </c>
      <c r="E11935" s="0" t="inlineStr">
        <is>
          <t xml:space="preserve">Mazda</t>
        </is>
      </c>
      <c r="F11935" s="0" t="inlineStr">
        <is>
          <t xml:space="preserve">Mazda</t>
        </is>
      </c>
      <c r="G11935" s="0" t="s">
        <v>171</v>
      </c>
      <c r="H11935" s="5">
        <v>418.123200</v>
      </c>
    </row>
    <row r="11936" spans="1:9">
      <c r="A11936" s="22" t="str">
        <f>HYPERLINK("https://app.vivvix.com/360/KMI/IntelliDrive/ApplUI/Pages/CreativePages/CustomReportCreativeDetail.aspx?App=23&amp;ReportView=4&amp;Qid=1711279&amp;Row=11928&amp;Col=1","No Title Assigned - #15272739471")</f>
        <v/>
      </c>
      <c r="B11936" s="0" t="s">
        <v>16153</v>
      </c>
      <c r="E11936" s="0" t="inlineStr">
        <is>
          <t xml:space="preserve">Mazda</t>
        </is>
      </c>
      <c r="F11936" s="0" t="inlineStr">
        <is>
          <t xml:space="preserve">Mazda</t>
        </is>
      </c>
      <c r="G11936" s="0" t="s">
        <v>171</v>
      </c>
      <c r="H11936" s="5">
        <v>30.419000</v>
      </c>
    </row>
    <row r="11937" spans="1:9">
      <c r="A11937" s="22" t="str">
        <f>HYPERLINK("https://app.vivvix.com/360/KMI/IntelliDrive/ApplUI/Pages/CreativePages/CustomReportCreativeDetail.aspx?App=23&amp;ReportView=4&amp;Qid=1711279&amp;Row=11929&amp;Col=1","No Title Assigned - #15272739960")</f>
        <v/>
      </c>
      <c r="B11937" s="0" t="s">
        <v>16154</v>
      </c>
      <c r="E11937" s="0" t="inlineStr">
        <is>
          <t xml:space="preserve">Mazda</t>
        </is>
      </c>
      <c r="F11937" s="0" t="inlineStr">
        <is>
          <t xml:space="preserve">Mazda</t>
        </is>
      </c>
      <c r="G11937" s="0" t="s">
        <v>171</v>
      </c>
      <c r="H11937" s="5">
        <v>5.846100</v>
      </c>
    </row>
    <row r="11938" spans="1:9">
      <c r="A11938" s="22" t="str">
        <f>HYPERLINK("https://app.vivvix.com/360/KMI/IntelliDrive/ApplUI/Pages/CreativePages/CustomReportCreativeDetail.aspx?App=23&amp;ReportView=4&amp;Qid=1711279&amp;Row=11930&amp;Col=1","No Title Assigned - #15272739993")</f>
        <v/>
      </c>
      <c r="B11938" s="0" t="s">
        <v>16155</v>
      </c>
      <c r="E11938" s="0" t="inlineStr">
        <is>
          <t xml:space="preserve">Mazda</t>
        </is>
      </c>
      <c r="F11938" s="0" t="inlineStr">
        <is>
          <t xml:space="preserve">Mazda</t>
        </is>
      </c>
      <c r="G11938" s="0" t="s">
        <v>171</v>
      </c>
      <c r="H11938" s="5">
        <v>7.631000</v>
      </c>
    </row>
    <row r="11939" spans="1:9">
      <c r="A11939" s="22" t="str">
        <f>HYPERLINK("https://app.vivvix.com/360/KMI/IntelliDrive/ApplUI/Pages/CreativePages/CustomReportCreativeDetail.aspx?App=23&amp;ReportView=4&amp;Qid=1711279&amp;Row=11931&amp;Col=1","No Title Assigned - #15272740741")</f>
        <v/>
      </c>
      <c r="B11939" s="0" t="s">
        <v>16156</v>
      </c>
      <c r="E11939" s="0" t="inlineStr">
        <is>
          <t xml:space="preserve">Mazda</t>
        </is>
      </c>
      <c r="F11939" s="0" t="inlineStr">
        <is>
          <t xml:space="preserve">Mazda</t>
        </is>
      </c>
      <c r="G11939" s="0" t="s">
        <v>171</v>
      </c>
      <c r="H11939" s="5">
        <v>15.909500</v>
      </c>
    </row>
    <row r="11940" spans="1:9">
      <c r="A11940" s="22" t="str">
        <f>HYPERLINK("https://app.vivvix.com/360/KMI/IntelliDrive/ApplUI/Pages/CreativePages/CustomReportCreativeDetail.aspx?App=23&amp;ReportView=4&amp;Qid=1711279&amp;Row=11932&amp;Col=1","No Title Assigned - #15272740982")</f>
        <v/>
      </c>
      <c r="B11940" s="0" t="s">
        <v>16157</v>
      </c>
      <c r="E11940" s="0" t="inlineStr">
        <is>
          <t xml:space="preserve">Mazda</t>
        </is>
      </c>
      <c r="F11940" s="0" t="inlineStr">
        <is>
          <t xml:space="preserve">Mazda</t>
        </is>
      </c>
      <c r="G11940" s="0" t="s">
        <v>171</v>
      </c>
      <c r="H11940" s="5">
        <v>3.717500</v>
      </c>
    </row>
    <row r="11941" spans="1:9">
      <c r="A11941" s="22" t="str">
        <f>HYPERLINK("https://app.vivvix.com/360/KMI/IntelliDrive/ApplUI/Pages/CreativePages/CustomReportCreativeDetail.aspx?App=23&amp;ReportView=4&amp;Qid=1711279&amp;Row=11933&amp;Col=1","No Title Assigned - #15272741678")</f>
        <v/>
      </c>
      <c r="B11941" s="0" t="s">
        <v>16158</v>
      </c>
      <c r="E11941" s="0" t="inlineStr">
        <is>
          <t xml:space="preserve">Mazda</t>
        </is>
      </c>
      <c r="F11941" s="0" t="inlineStr">
        <is>
          <t xml:space="preserve">Mazda</t>
        </is>
      </c>
      <c r="G11941" s="0" t="s">
        <v>171</v>
      </c>
      <c r="H11941" s="5">
        <v>17.838300</v>
      </c>
    </row>
    <row r="11942" spans="1:9">
      <c r="A11942" s="22" t="str">
        <f>HYPERLINK("https://app.vivvix.com/360/KMI/IntelliDrive/ApplUI/Pages/CreativePages/CustomReportCreativeDetail.aspx?App=23&amp;ReportView=4&amp;Qid=1711279&amp;Row=11934&amp;Col=1","No Title Assigned - #15272742379")</f>
        <v/>
      </c>
      <c r="B11942" s="0" t="s">
        <v>16159</v>
      </c>
      <c r="E11942" s="0" t="inlineStr">
        <is>
          <t xml:space="preserve">Mazda</t>
        </is>
      </c>
      <c r="F11942" s="0" t="inlineStr">
        <is>
          <t xml:space="preserve">Mazda</t>
        </is>
      </c>
      <c r="G11942" s="0" t="s">
        <v>171</v>
      </c>
      <c r="H11942" s="5">
        <v>7.303700</v>
      </c>
    </row>
    <row r="11943" spans="1:9">
      <c r="A11943" s="22" t="str">
        <f>HYPERLINK("https://app.vivvix.com/360/KMI/IntelliDrive/ApplUI/Pages/CreativePages/CustomReportCreativeDetail.aspx?App=23&amp;ReportView=4&amp;Qid=1711279&amp;Row=11935&amp;Col=1","No Title Assigned - #15272742391")</f>
        <v/>
      </c>
      <c r="B11943" s="0" t="s">
        <v>16160</v>
      </c>
      <c r="E11943" s="0" t="inlineStr">
        <is>
          <t xml:space="preserve">Mazda</t>
        </is>
      </c>
      <c r="F11943" s="0" t="inlineStr">
        <is>
          <t xml:space="preserve">Mazda</t>
        </is>
      </c>
      <c r="G11943" s="0" t="s">
        <v>171</v>
      </c>
      <c r="H11943" s="5">
        <v>20.969900</v>
      </c>
    </row>
    <row r="11944" spans="1:9">
      <c r="A11944" s="22" t="str">
        <f>HYPERLINK("https://app.vivvix.com/360/KMI/IntelliDrive/ApplUI/Pages/CreativePages/CustomReportCreativeDetail.aspx?App=23&amp;ReportView=4&amp;Qid=1711279&amp;Row=11936&amp;Col=1","No Title Assigned - #15272743166")</f>
        <v/>
      </c>
      <c r="B11944" s="0" t="s">
        <v>16161</v>
      </c>
      <c r="E11944" s="0" t="inlineStr">
        <is>
          <t xml:space="preserve">Mazda</t>
        </is>
      </c>
      <c r="F11944" s="0" t="inlineStr">
        <is>
          <t xml:space="preserve">Mazda</t>
        </is>
      </c>
      <c r="G11944" s="0" t="s">
        <v>171</v>
      </c>
      <c r="H11944" s="5">
        <v>816.630100</v>
      </c>
    </row>
    <row r="11945" spans="1:9">
      <c r="A11945" s="22" t="str">
        <f>HYPERLINK("https://app.vivvix.com/360/KMI/IntelliDrive/ApplUI/Pages/CreativePages/CustomReportCreativeDetail.aspx?App=23&amp;ReportView=4&amp;Qid=1711279&amp;Row=11937&amp;Col=1","No Title Assigned - #15272743528")</f>
        <v/>
      </c>
      <c r="B11945" s="0" t="s">
        <v>16162</v>
      </c>
      <c r="E11945" s="0" t="inlineStr">
        <is>
          <t xml:space="preserve">Mazda</t>
        </is>
      </c>
      <c r="F11945" s="0" t="inlineStr">
        <is>
          <t xml:space="preserve">Mazda</t>
        </is>
      </c>
      <c r="G11945" s="0" t="s">
        <v>171</v>
      </c>
      <c r="H11945" s="5">
        <v>28.157500</v>
      </c>
    </row>
    <row r="11946" spans="1:9">
      <c r="A11946" s="22" t="str">
        <f>HYPERLINK("https://app.vivvix.com/360/KMI/IntelliDrive/ApplUI/Pages/CreativePages/CustomReportCreativeDetail.aspx?App=23&amp;ReportView=4&amp;Qid=1711279&amp;Row=11938&amp;Col=1","No Title Assigned - #15272743599")</f>
        <v/>
      </c>
      <c r="B11946" s="0" t="s">
        <v>16163</v>
      </c>
      <c r="E11946" s="0" t="inlineStr">
        <is>
          <t xml:space="preserve">Mazda</t>
        </is>
      </c>
      <c r="F11946" s="0" t="inlineStr">
        <is>
          <t xml:space="preserve">Mazda</t>
        </is>
      </c>
      <c r="G11946" s="0" t="s">
        <v>171</v>
      </c>
      <c r="H11946" s="5">
        <v>1177.532400</v>
      </c>
    </row>
    <row r="11947" spans="1:9">
      <c r="A11947" s="22" t="str">
        <f>HYPERLINK("https://app.vivvix.com/360/KMI/IntelliDrive/ApplUI/Pages/CreativePages/CustomReportCreativeDetail.aspx?App=23&amp;ReportView=4&amp;Qid=1711279&amp;Row=11939&amp;Col=1","No Title Assigned - #15272744432")</f>
        <v/>
      </c>
      <c r="B11947" s="0" t="s">
        <v>16164</v>
      </c>
      <c r="E11947" s="0" t="inlineStr">
        <is>
          <t xml:space="preserve">Mazda</t>
        </is>
      </c>
      <c r="F11947" s="0" t="s">
        <v>13</v>
      </c>
      <c r="G11947" s="0" t="s">
        <v>49</v>
      </c>
      <c r="H11947" s="5">
        <v>48.647200</v>
      </c>
    </row>
    <row r="11948" spans="1:9">
      <c r="A11948" s="22" t="str">
        <f>HYPERLINK("https://app.vivvix.com/360/KMI/IntelliDrive/ApplUI/Pages/CreativePages/CustomReportCreativeDetail.aspx?App=23&amp;ReportView=4&amp;Qid=1711279&amp;Row=11940&amp;Col=1","No Title Assigned - #15272744584")</f>
        <v/>
      </c>
      <c r="B11948" s="0" t="s">
        <v>16165</v>
      </c>
      <c r="C11948" s="0" t="s">
        <v>16166</v>
      </c>
      <c r="D11948" s="0" t="s">
        <v>16166</v>
      </c>
      <c r="E11948" s="0" t="inlineStr">
        <is>
          <t xml:space="preserve">Mazda</t>
        </is>
      </c>
      <c r="F11948" s="0" t="inlineStr">
        <is>
          <t xml:space="preserve">Mazda</t>
        </is>
      </c>
      <c r="G11948" s="0" t="s">
        <v>210</v>
      </c>
      <c r="H11948" s="5">
        <v>221.027900</v>
      </c>
    </row>
    <row r="11949" spans="1:9">
      <c r="A11949" s="22" t="str">
        <f>HYPERLINK("https://app.vivvix.com/360/KMI/IntelliDrive/ApplUI/Pages/CreativePages/CustomReportCreativeDetail.aspx?App=23&amp;ReportView=4&amp;Qid=1711279&amp;Row=11941&amp;Col=1","No Title Assigned - #15272746043")</f>
        <v/>
      </c>
      <c r="B11949" s="0" t="s">
        <v>16167</v>
      </c>
      <c r="E11949" s="0" t="inlineStr">
        <is>
          <t xml:space="preserve">Mazda</t>
        </is>
      </c>
      <c r="F11949" s="0" t="inlineStr">
        <is>
          <t xml:space="preserve">Mazda</t>
        </is>
      </c>
      <c r="G11949" s="0" t="s">
        <v>171</v>
      </c>
      <c r="H11949" s="5">
        <v>1418.961700</v>
      </c>
    </row>
    <row r="11950" spans="1:9">
      <c r="A11950" s="22" t="str">
        <f>HYPERLINK("https://app.vivvix.com/360/KMI/IntelliDrive/ApplUI/Pages/CreativePages/CustomReportCreativeDetail.aspx?App=23&amp;ReportView=4&amp;Qid=1711279&amp;Row=11942&amp;Col=1","No Title Assigned - #15272746434")</f>
        <v/>
      </c>
      <c r="B11950" s="0" t="s">
        <v>16168</v>
      </c>
      <c r="C11950" s="0" t="s">
        <v>16169</v>
      </c>
      <c r="D11950" s="0" t="s">
        <v>16169</v>
      </c>
      <c r="E11950" s="0" t="inlineStr">
        <is>
          <t xml:space="preserve">Mazda</t>
        </is>
      </c>
      <c r="F11950" s="0" t="s">
        <v>28</v>
      </c>
      <c r="G11950" s="0" t="s">
        <v>29</v>
      </c>
      <c r="H11950" s="5">
        <v>339.319600</v>
      </c>
    </row>
    <row r="11951" spans="1:9">
      <c r="A11951" s="22" t="str">
        <f>HYPERLINK("https://app.vivvix.com/360/KMI/IntelliDrive/ApplUI/Pages/CreativePages/CustomReportCreativeDetail.aspx?App=23&amp;ReportView=4&amp;Qid=1711279&amp;Row=11943&amp;Col=1","No Title Assigned - #15272746875")</f>
        <v/>
      </c>
      <c r="B11951" s="0" t="s">
        <v>16170</v>
      </c>
      <c r="C11951" s="0" t="s">
        <v>16171</v>
      </c>
      <c r="D11951" s="0" t="s">
        <v>16171</v>
      </c>
      <c r="E11951" s="0" t="inlineStr">
        <is>
          <t xml:space="preserve">Mazda</t>
        </is>
      </c>
      <c r="F11951" s="0" t="s">
        <v>13</v>
      </c>
      <c r="G11951" s="0" t="s">
        <v>49</v>
      </c>
      <c r="H11951" s="5">
        <v>8.391100</v>
      </c>
    </row>
    <row r="11952" spans="1:9">
      <c r="A11952" s="22" t="str">
        <f>HYPERLINK("https://app.vivvix.com/360/KMI/IntelliDrive/ApplUI/Pages/CreativePages/CustomReportCreativeDetail.aspx?App=23&amp;ReportView=4&amp;Qid=1711279&amp;Row=11944&amp;Col=1","No Title Assigned - #15272747475")</f>
        <v/>
      </c>
      <c r="B11952" s="0" t="s">
        <v>16172</v>
      </c>
      <c r="C11952" s="0" t="s">
        <v>16173</v>
      </c>
      <c r="D11952" s="0" t="s">
        <v>16173</v>
      </c>
      <c r="E11952" s="0" t="inlineStr">
        <is>
          <t xml:space="preserve">Mazda</t>
        </is>
      </c>
      <c r="F11952" s="0" t="s">
        <v>13</v>
      </c>
      <c r="G11952" s="0" t="s">
        <v>49</v>
      </c>
      <c r="H11952" s="5">
        <v>61.587900</v>
      </c>
    </row>
    <row r="11953" spans="1:9">
      <c r="A11953" s="22" t="str">
        <f>HYPERLINK("https://app.vivvix.com/360/KMI/IntelliDrive/ApplUI/Pages/CreativePages/CustomReportCreativeDetail.aspx?App=23&amp;ReportView=4&amp;Qid=1711279&amp;Row=11945&amp;Col=1","No Title Assigned - #15272747510")</f>
        <v/>
      </c>
      <c r="B11953" s="0" t="s">
        <v>16174</v>
      </c>
      <c r="E11953" s="0" t="inlineStr">
        <is>
          <t xml:space="preserve">Mazda</t>
        </is>
      </c>
      <c r="F11953" s="0" t="s">
        <v>13</v>
      </c>
      <c r="G11953" s="0" t="s">
        <v>49</v>
      </c>
      <c r="H11953" s="5">
        <v>12.661400</v>
      </c>
    </row>
    <row r="11954" spans="1:9">
      <c r="A11954" s="22" t="str">
        <f>HYPERLINK("https://app.vivvix.com/360/KMI/IntelliDrive/ApplUI/Pages/CreativePages/CustomReportCreativeDetail.aspx?App=23&amp;ReportView=4&amp;Qid=1711279&amp;Row=11946&amp;Col=1","No Title Assigned - #15272747859")</f>
        <v/>
      </c>
      <c r="B11954" s="0" t="s">
        <v>16175</v>
      </c>
      <c r="C11954" s="0" t="s">
        <v>16176</v>
      </c>
      <c r="D11954" s="0" t="s">
        <v>16176</v>
      </c>
      <c r="E11954" s="0" t="inlineStr">
        <is>
          <t xml:space="preserve">Mazda</t>
        </is>
      </c>
      <c r="F11954" s="0" t="s">
        <v>13</v>
      </c>
      <c r="G11954" s="0" t="s">
        <v>49</v>
      </c>
      <c r="H11954" s="5">
        <v>140.308000</v>
      </c>
    </row>
    <row r="11955" spans="1:9">
      <c r="A11955" s="22" t="str">
        <f>HYPERLINK("https://app.vivvix.com/360/KMI/IntelliDrive/ApplUI/Pages/CreativePages/CustomReportCreativeDetail.aspx?App=23&amp;ReportView=4&amp;Qid=1711279&amp;Row=11947&amp;Col=1","No Title Assigned - #15272748409")</f>
        <v/>
      </c>
      <c r="B11955" s="0" t="s">
        <v>16177</v>
      </c>
      <c r="C11955" s="0" t="s">
        <v>16178</v>
      </c>
      <c r="D11955" s="0" t="s">
        <v>16178</v>
      </c>
      <c r="E11955" s="0" t="inlineStr">
        <is>
          <t xml:space="preserve">Mazda</t>
        </is>
      </c>
      <c r="F11955" s="0" t="s">
        <v>13</v>
      </c>
      <c r="G11955" s="0" t="s">
        <v>49</v>
      </c>
      <c r="H11955" s="5">
        <v>252.471300</v>
      </c>
    </row>
    <row r="11956" spans="1:9">
      <c r="A11956" s="22" t="str">
        <f>HYPERLINK("https://app.vivvix.com/360/KMI/IntelliDrive/ApplUI/Pages/CreativePages/CustomReportCreativeDetail.aspx?App=23&amp;ReportView=4&amp;Qid=1711279&amp;Row=11948&amp;Col=1","No Title Assigned - #15272748510")</f>
        <v/>
      </c>
      <c r="B11956" s="0" t="s">
        <v>16179</v>
      </c>
      <c r="C11956" s="0" t="s">
        <v>16180</v>
      </c>
      <c r="D11956" s="0" t="s">
        <v>16180</v>
      </c>
      <c r="E11956" s="0" t="inlineStr">
        <is>
          <t xml:space="preserve">Mazda</t>
        </is>
      </c>
      <c r="F11956" s="0" t="s">
        <v>28</v>
      </c>
      <c r="G11956" s="0" t="s">
        <v>29</v>
      </c>
      <c r="H11956" s="5">
        <v>31.817500</v>
      </c>
    </row>
    <row r="11957" spans="1:9">
      <c r="A11957" s="22" t="str">
        <f>HYPERLINK("https://app.vivvix.com/360/KMI/IntelliDrive/ApplUI/Pages/CreativePages/CustomReportCreativeDetail.aspx?App=23&amp;ReportView=4&amp;Qid=1711279&amp;Row=11949&amp;Col=1","No Title Assigned - #15272749314")</f>
        <v/>
      </c>
      <c r="B11957" s="0" t="s">
        <v>16181</v>
      </c>
      <c r="C11957" s="0" t="s">
        <v>16182</v>
      </c>
      <c r="D11957" s="0" t="s">
        <v>4200</v>
      </c>
      <c r="E11957" s="0" t="inlineStr">
        <is>
          <t xml:space="preserve">Mazda</t>
        </is>
      </c>
      <c r="F11957" s="0" t="s">
        <v>28</v>
      </c>
      <c r="G11957" s="0" t="s">
        <v>29</v>
      </c>
      <c r="H11957" s="5">
        <v>41.749800</v>
      </c>
    </row>
    <row r="11958" spans="1:9">
      <c r="A11958" s="22" t="str">
        <f>HYPERLINK("https://app.vivvix.com/360/KMI/IntelliDrive/ApplUI/Pages/CreativePages/CustomReportCreativeDetail.aspx?App=23&amp;ReportView=4&amp;Qid=1711279&amp;Row=11950&amp;Col=1","No Title Assigned - #15272749727")</f>
        <v/>
      </c>
      <c r="B11958" s="0" t="s">
        <v>16183</v>
      </c>
      <c r="C11958" s="0" t="s">
        <v>16184</v>
      </c>
      <c r="D11958" s="0" t="s">
        <v>16184</v>
      </c>
      <c r="E11958" s="0" t="inlineStr">
        <is>
          <t xml:space="preserve">Mazda</t>
        </is>
      </c>
      <c r="F11958" s="0" t="s">
        <v>28</v>
      </c>
      <c r="G11958" s="0" t="s">
        <v>29</v>
      </c>
      <c r="H11958" s="5">
        <v>206.406000</v>
      </c>
    </row>
    <row r="11959" spans="1:9">
      <c r="A11959" s="22" t="str">
        <f>HYPERLINK("https://app.vivvix.com/360/KMI/IntelliDrive/ApplUI/Pages/CreativePages/CustomReportCreativeDetail.aspx?App=23&amp;ReportView=4&amp;Qid=1711279&amp;Row=11951&amp;Col=1","No Title Assigned - #15272749728")</f>
        <v/>
      </c>
      <c r="B11959" s="0" t="s">
        <v>16185</v>
      </c>
      <c r="C11959" s="0" t="s">
        <v>16186</v>
      </c>
      <c r="D11959" s="0" t="s">
        <v>16186</v>
      </c>
      <c r="E11959" s="0" t="inlineStr">
        <is>
          <t xml:space="preserve">Mazda</t>
        </is>
      </c>
      <c r="F11959" s="0" t="s">
        <v>28</v>
      </c>
      <c r="G11959" s="0" t="s">
        <v>29</v>
      </c>
      <c r="H11959" s="5">
        <v>206.406000</v>
      </c>
    </row>
    <row r="11960" spans="1:9">
      <c r="A11960" s="22" t="str">
        <f>HYPERLINK("https://app.vivvix.com/360/KMI/IntelliDrive/ApplUI/Pages/CreativePages/CustomReportCreativeDetail.aspx?App=23&amp;ReportView=4&amp;Qid=1711279&amp;Row=11952&amp;Col=1","No Title Assigned - #15272750356")</f>
        <v/>
      </c>
      <c r="B11960" s="0" t="s">
        <v>16187</v>
      </c>
      <c r="E11960" s="0" t="inlineStr">
        <is>
          <t xml:space="preserve">Mazda</t>
        </is>
      </c>
      <c r="F11960" s="0" t="s">
        <v>13</v>
      </c>
      <c r="G11960" s="0" t="s">
        <v>49</v>
      </c>
      <c r="H11960" s="5">
        <v>115.687100</v>
      </c>
    </row>
    <row r="11961" spans="1:9">
      <c r="A11961" s="22" t="str">
        <f>HYPERLINK("https://app.vivvix.com/360/KMI/IntelliDrive/ApplUI/Pages/CreativePages/CustomReportCreativeDetail.aspx?App=23&amp;ReportView=4&amp;Qid=1711279&amp;Row=11953&amp;Col=1","No Title Assigned - #15272751036")</f>
        <v/>
      </c>
      <c r="B11961" s="0" t="s">
        <v>16188</v>
      </c>
      <c r="E11961" s="0" t="inlineStr">
        <is>
          <t xml:space="preserve">Mazda</t>
        </is>
      </c>
      <c r="F11961" s="0" t="inlineStr">
        <is>
          <t xml:space="preserve">Mazda</t>
        </is>
      </c>
      <c r="G11961" s="0" t="s">
        <v>171</v>
      </c>
      <c r="H11961" s="5">
        <v>5.846100</v>
      </c>
    </row>
    <row r="11962" spans="1:9">
      <c r="A11962" s="22" t="str">
        <f>HYPERLINK("https://app.vivvix.com/360/KMI/IntelliDrive/ApplUI/Pages/CreativePages/CustomReportCreativeDetail.aspx?App=23&amp;ReportView=4&amp;Qid=1711279&amp;Row=11954&amp;Col=1","No Title Assigned - #15272752482")</f>
        <v/>
      </c>
      <c r="B11962" s="0" t="s">
        <v>16189</v>
      </c>
      <c r="E11962" s="0" t="inlineStr">
        <is>
          <t xml:space="preserve">Mazda</t>
        </is>
      </c>
      <c r="F11962" s="0" t="inlineStr">
        <is>
          <t xml:space="preserve">Mazda</t>
        </is>
      </c>
      <c r="G11962" s="0" t="s">
        <v>171</v>
      </c>
      <c r="H11962" s="5">
        <v>460.077000</v>
      </c>
    </row>
    <row r="11963" spans="1:9">
      <c r="A11963" s="22" t="str">
        <f>HYPERLINK("https://app.vivvix.com/360/KMI/IntelliDrive/ApplUI/Pages/CreativePages/CustomReportCreativeDetail.aspx?App=23&amp;ReportView=4&amp;Qid=1711279&amp;Row=11955&amp;Col=1","No Title Assigned - #15272752584")</f>
        <v/>
      </c>
      <c r="B11963" s="0" t="s">
        <v>16190</v>
      </c>
      <c r="E11963" s="0" t="inlineStr">
        <is>
          <t xml:space="preserve">Mazda</t>
        </is>
      </c>
      <c r="F11963" s="0" t="inlineStr">
        <is>
          <t xml:space="preserve">Mazda</t>
        </is>
      </c>
      <c r="G11963" s="0" t="s">
        <v>171</v>
      </c>
      <c r="H11963" s="5">
        <v>7.115100</v>
      </c>
    </row>
    <row r="11964" spans="1:9">
      <c r="A11964" s="22" t="str">
        <f>HYPERLINK("https://app.vivvix.com/360/KMI/IntelliDrive/ApplUI/Pages/CreativePages/CustomReportCreativeDetail.aspx?App=23&amp;ReportView=4&amp;Qid=1711279&amp;Row=11956&amp;Col=1","No Title Assigned - #15272752710")</f>
        <v/>
      </c>
      <c r="B11964" s="0" t="s">
        <v>16191</v>
      </c>
      <c r="E11964" s="0" t="inlineStr">
        <is>
          <t xml:space="preserve">Mazda</t>
        </is>
      </c>
      <c r="F11964" s="0" t="inlineStr">
        <is>
          <t xml:space="preserve">Mazda</t>
        </is>
      </c>
      <c r="G11964" s="0" t="s">
        <v>171</v>
      </c>
      <c r="H11964" s="5">
        <v>361.914000</v>
      </c>
    </row>
    <row r="11965" spans="1:9">
      <c r="A11965" s="22" t="str">
        <f>HYPERLINK("https://app.vivvix.com/360/KMI/IntelliDrive/ApplUI/Pages/CreativePages/CustomReportCreativeDetail.aspx?App=23&amp;ReportView=4&amp;Qid=1711279&amp;Row=11957&amp;Col=1","No Title Assigned - #15272752948")</f>
        <v/>
      </c>
      <c r="B11965" s="0" t="s">
        <v>16192</v>
      </c>
      <c r="E11965" s="0" t="inlineStr">
        <is>
          <t xml:space="preserve">Mazda</t>
        </is>
      </c>
      <c r="F11965" s="0" t="inlineStr">
        <is>
          <t xml:space="preserve">Mazda</t>
        </is>
      </c>
      <c r="G11965" s="0" t="s">
        <v>171</v>
      </c>
      <c r="H11965" s="5">
        <v>347.125800</v>
      </c>
    </row>
    <row r="11966" spans="1:9">
      <c r="A11966" s="22" t="str">
        <f>HYPERLINK("https://app.vivvix.com/360/KMI/IntelliDrive/ApplUI/Pages/CreativePages/CustomReportCreativeDetail.aspx?App=23&amp;ReportView=4&amp;Qid=1711279&amp;Row=11958&amp;Col=1","No Title Assigned - #15272753193")</f>
        <v/>
      </c>
      <c r="B11966" s="0" t="s">
        <v>16193</v>
      </c>
      <c r="E11966" s="0" t="inlineStr">
        <is>
          <t xml:space="preserve">Mazda</t>
        </is>
      </c>
      <c r="F11966" s="0" t="inlineStr">
        <is>
          <t xml:space="preserve">Mazda</t>
        </is>
      </c>
      <c r="G11966" s="0" t="s">
        <v>171</v>
      </c>
      <c r="H11966" s="5">
        <v>61.264600</v>
      </c>
    </row>
    <row r="11967" spans="1:9">
      <c r="A11967" s="22" t="str">
        <f>HYPERLINK("https://app.vivvix.com/360/KMI/IntelliDrive/ApplUI/Pages/CreativePages/CustomReportCreativeDetail.aspx?App=23&amp;ReportView=4&amp;Qid=1711279&amp;Row=11959&amp;Col=1","No Title Assigned - #15272753870")</f>
        <v/>
      </c>
      <c r="B11967" s="0" t="s">
        <v>16194</v>
      </c>
      <c r="E11967" s="0" t="inlineStr">
        <is>
          <t xml:space="preserve">Mazda</t>
        </is>
      </c>
      <c r="F11967" s="0" t="inlineStr">
        <is>
          <t xml:space="preserve">Mazda</t>
        </is>
      </c>
      <c r="G11967" s="0" t="s">
        <v>171</v>
      </c>
      <c r="H11967" s="5">
        <v>474.702700</v>
      </c>
    </row>
    <row r="11968" spans="1:9">
      <c r="A11968" s="22" t="str">
        <f>HYPERLINK("https://app.vivvix.com/360/KMI/IntelliDrive/ApplUI/Pages/CreativePages/CustomReportCreativeDetail.aspx?App=23&amp;ReportView=4&amp;Qid=1711279&amp;Row=11960&amp;Col=1","No Title Assigned - #15272754477")</f>
        <v/>
      </c>
      <c r="B11968" s="0" t="s">
        <v>16195</v>
      </c>
      <c r="E11968" s="0" t="inlineStr">
        <is>
          <t xml:space="preserve">Mazda</t>
        </is>
      </c>
      <c r="F11968" s="0" t="inlineStr">
        <is>
          <t xml:space="preserve">Mazda</t>
        </is>
      </c>
      <c r="G11968" s="0" t="s">
        <v>171</v>
      </c>
      <c r="H11968" s="5">
        <v>173.424600</v>
      </c>
    </row>
    <row r="11969" spans="1:9">
      <c r="A11969" s="22" t="str">
        <f>HYPERLINK("https://app.vivvix.com/360/KMI/IntelliDrive/ApplUI/Pages/CreativePages/CustomReportCreativeDetail.aspx?App=23&amp;ReportView=4&amp;Qid=1711279&amp;Row=11961&amp;Col=1","No Title Assigned - #15272754828")</f>
        <v/>
      </c>
      <c r="B11969" s="0" t="s">
        <v>16196</v>
      </c>
      <c r="E11969" s="0" t="inlineStr">
        <is>
          <t xml:space="preserve">Mazda</t>
        </is>
      </c>
      <c r="F11969" s="0" t="inlineStr">
        <is>
          <t xml:space="preserve">Mazda</t>
        </is>
      </c>
      <c r="G11969" s="0" t="s">
        <v>171</v>
      </c>
      <c r="H11969" s="5">
        <v>618.707500</v>
      </c>
    </row>
    <row r="11970" spans="1:9">
      <c r="A11970" s="22" t="str">
        <f>HYPERLINK("https://app.vivvix.com/360/KMI/IntelliDrive/ApplUI/Pages/CreativePages/CustomReportCreativeDetail.aspx?App=23&amp;ReportView=4&amp;Qid=1711279&amp;Row=11962&amp;Col=1","No Title Assigned - #15272755275")</f>
        <v/>
      </c>
      <c r="B11970" s="0" t="s">
        <v>16197</v>
      </c>
      <c r="E11970" s="0" t="inlineStr">
        <is>
          <t xml:space="preserve">Mazda</t>
        </is>
      </c>
      <c r="F11970" s="0" t="inlineStr">
        <is>
          <t xml:space="preserve">Mazda</t>
        </is>
      </c>
      <c r="G11970" s="0" t="s">
        <v>171</v>
      </c>
      <c r="H11970" s="5">
        <v>14.389200</v>
      </c>
    </row>
    <row r="11971" spans="1:9">
      <c r="A11971" s="22" t="str">
        <f>HYPERLINK("https://app.vivvix.com/360/KMI/IntelliDrive/ApplUI/Pages/CreativePages/CustomReportCreativeDetail.aspx?App=23&amp;ReportView=4&amp;Qid=1711279&amp;Row=11963&amp;Col=1","No Title Assigned - #15272755378")</f>
        <v/>
      </c>
      <c r="B11971" s="0" t="s">
        <v>16198</v>
      </c>
      <c r="E11971" s="0" t="inlineStr">
        <is>
          <t xml:space="preserve">Mazda</t>
        </is>
      </c>
      <c r="F11971" s="0" t="inlineStr">
        <is>
          <t xml:space="preserve">Mazda</t>
        </is>
      </c>
      <c r="G11971" s="0" t="s">
        <v>171</v>
      </c>
      <c r="H11971" s="5">
        <v>4.979800</v>
      </c>
    </row>
    <row r="11972" spans="1:9">
      <c r="A11972" s="22" t="str">
        <f>HYPERLINK("https://app.vivvix.com/360/KMI/IntelliDrive/ApplUI/Pages/CreativePages/CustomReportCreativeDetail.aspx?App=23&amp;ReportView=4&amp;Qid=1711279&amp;Row=11964&amp;Col=1","No Title Assigned - #15272756762")</f>
        <v/>
      </c>
      <c r="B11972" s="0" t="s">
        <v>16199</v>
      </c>
      <c r="E11972" s="0" t="inlineStr">
        <is>
          <t xml:space="preserve">Mazda</t>
        </is>
      </c>
      <c r="F11972" s="0" t="inlineStr">
        <is>
          <t xml:space="preserve">Mazda</t>
        </is>
      </c>
      <c r="G11972" s="0" t="s">
        <v>171</v>
      </c>
      <c r="H11972" s="5">
        <v>75.070800</v>
      </c>
    </row>
    <row r="11973" spans="1:9">
      <c r="A11973" s="22" t="str">
        <f>HYPERLINK("https://app.vivvix.com/360/KMI/IntelliDrive/ApplUI/Pages/CreativePages/CustomReportCreativeDetail.aspx?App=23&amp;ReportView=4&amp;Qid=1711279&amp;Row=11965&amp;Col=1","No Title Assigned - #15272756762")</f>
        <v/>
      </c>
      <c r="B11973" s="0" t="s">
        <v>16199</v>
      </c>
      <c r="E11973" s="0" t="inlineStr">
        <is>
          <t xml:space="preserve">Mazda</t>
        </is>
      </c>
      <c r="F11973" s="0" t="inlineStr">
        <is>
          <t xml:space="preserve">Mazda</t>
        </is>
      </c>
      <c r="G11973" s="0" t="s">
        <v>171</v>
      </c>
      <c r="H11973" s="5">
        <v>1.155800</v>
      </c>
    </row>
    <row r="11974" spans="1:9">
      <c r="A11974" s="22" t="str">
        <f>HYPERLINK("https://app.vivvix.com/360/KMI/IntelliDrive/ApplUI/Pages/CreativePages/CustomReportCreativeDetail.aspx?App=23&amp;ReportView=4&amp;Qid=1711279&amp;Row=11966&amp;Col=1","No Title Assigned - #15272757640")</f>
        <v/>
      </c>
      <c r="B11974" s="0" t="s">
        <v>16200</v>
      </c>
      <c r="E11974" s="0" t="inlineStr">
        <is>
          <t xml:space="preserve">Mazda</t>
        </is>
      </c>
      <c r="F11974" s="0" t="inlineStr">
        <is>
          <t xml:space="preserve">Mazda</t>
        </is>
      </c>
      <c r="G11974" s="0" t="s">
        <v>171</v>
      </c>
      <c r="H11974" s="5">
        <v>2291.994700</v>
      </c>
    </row>
    <row r="11975" spans="1:9">
      <c r="A11975" s="22" t="str">
        <f>HYPERLINK("https://app.vivvix.com/360/KMI/IntelliDrive/ApplUI/Pages/CreativePages/CustomReportCreativeDetail.aspx?App=23&amp;ReportView=4&amp;Qid=1711279&amp;Row=11967&amp;Col=1","No Title Assigned - #15272757715")</f>
        <v/>
      </c>
      <c r="B11975" s="0" t="s">
        <v>16201</v>
      </c>
      <c r="E11975" s="0" t="inlineStr">
        <is>
          <t xml:space="preserve">Mazda</t>
        </is>
      </c>
      <c r="F11975" s="0" t="inlineStr">
        <is>
          <t xml:space="preserve">Mazda</t>
        </is>
      </c>
      <c r="G11975" s="0" t="s">
        <v>171</v>
      </c>
      <c r="H11975" s="5">
        <v>339.671800</v>
      </c>
    </row>
    <row r="11976" spans="1:9">
      <c r="A11976" s="22" t="str">
        <f>HYPERLINK("https://app.vivvix.com/360/KMI/IntelliDrive/ApplUI/Pages/CreativePages/CustomReportCreativeDetail.aspx?App=23&amp;ReportView=4&amp;Qid=1711279&amp;Row=11968&amp;Col=1","No Title Assigned - #15272757767")</f>
        <v/>
      </c>
      <c r="B11976" s="0" t="s">
        <v>16202</v>
      </c>
      <c r="E11976" s="0" t="inlineStr">
        <is>
          <t xml:space="preserve">Mazda</t>
        </is>
      </c>
      <c r="F11976" s="0" t="inlineStr">
        <is>
          <t xml:space="preserve">Mazda</t>
        </is>
      </c>
      <c r="G11976" s="0" t="s">
        <v>171</v>
      </c>
      <c r="H11976" s="5">
        <v>65.533900</v>
      </c>
    </row>
    <row r="11977" spans="1:9">
      <c r="A11977" s="22" t="str">
        <f>HYPERLINK("https://app.vivvix.com/360/KMI/IntelliDrive/ApplUI/Pages/CreativePages/CustomReportCreativeDetail.aspx?App=23&amp;ReportView=4&amp;Qid=1711279&amp;Row=11969&amp;Col=1","No Title Assigned - #15272757782")</f>
        <v/>
      </c>
      <c r="B11977" s="0" t="s">
        <v>16203</v>
      </c>
      <c r="C11977" s="0" t="s">
        <v>16204</v>
      </c>
      <c r="D11977" s="0" t="s">
        <v>16204</v>
      </c>
      <c r="E11977" s="0" t="inlineStr">
        <is>
          <t xml:space="preserve">Mazda</t>
        </is>
      </c>
      <c r="F11977" s="0" t="inlineStr">
        <is>
          <t xml:space="preserve">Mazda</t>
        </is>
      </c>
      <c r="G11977" s="0" t="s">
        <v>171</v>
      </c>
      <c r="H11977" s="5">
        <v>731.425700</v>
      </c>
    </row>
    <row r="11978" spans="1:9">
      <c r="A11978" s="22" t="str">
        <f>HYPERLINK("https://app.vivvix.com/360/KMI/IntelliDrive/ApplUI/Pages/CreativePages/CustomReportCreativeDetail.aspx?App=23&amp;ReportView=4&amp;Qid=1711279&amp;Row=11970&amp;Col=1","No Title Assigned - #15272758177")</f>
        <v/>
      </c>
      <c r="B11978" s="0" t="s">
        <v>16205</v>
      </c>
      <c r="C11978" s="0" t="s">
        <v>16206</v>
      </c>
      <c r="D11978" s="0" t="s">
        <v>4200</v>
      </c>
      <c r="E11978" s="0" t="inlineStr">
        <is>
          <t xml:space="preserve">Mazda</t>
        </is>
      </c>
      <c r="F11978" s="0" t="s">
        <v>28</v>
      </c>
      <c r="G11978" s="0" t="s">
        <v>29</v>
      </c>
      <c r="H11978" s="5">
        <v>34.959500</v>
      </c>
    </row>
    <row r="11979" spans="1:9">
      <c r="A11979" s="22" t="str">
        <f>HYPERLINK("https://app.vivvix.com/360/KMI/IntelliDrive/ApplUI/Pages/CreativePages/CustomReportCreativeDetail.aspx?App=23&amp;ReportView=4&amp;Qid=1711279&amp;Row=11971&amp;Col=1","No Title Assigned - #15272758196")</f>
        <v/>
      </c>
      <c r="B11979" s="0" t="s">
        <v>16207</v>
      </c>
      <c r="C11979" s="0" t="s">
        <v>16208</v>
      </c>
      <c r="D11979" s="0" t="s">
        <v>16208</v>
      </c>
      <c r="E11979" s="0" t="inlineStr">
        <is>
          <t xml:space="preserve">Mazda</t>
        </is>
      </c>
      <c r="F11979" s="0" t="inlineStr">
        <is>
          <t xml:space="preserve">Mazda</t>
        </is>
      </c>
      <c r="G11979" s="0" t="s">
        <v>171</v>
      </c>
      <c r="H11979" s="5">
        <v>133.127000</v>
      </c>
    </row>
    <row r="11980" spans="1:9">
      <c r="A11980" s="22" t="str">
        <f>HYPERLINK("https://app.vivvix.com/360/KMI/IntelliDrive/ApplUI/Pages/CreativePages/CustomReportCreativeDetail.aspx?App=23&amp;ReportView=4&amp;Qid=1711279&amp;Row=11972&amp;Col=1","No Title Assigned - #15272758339")</f>
        <v/>
      </c>
      <c r="B11980" s="0" t="s">
        <v>16209</v>
      </c>
      <c r="E11980" s="0" t="inlineStr">
        <is>
          <t xml:space="preserve">Mazda</t>
        </is>
      </c>
      <c r="F11980" s="0" t="inlineStr">
        <is>
          <t xml:space="preserve">Mazda</t>
        </is>
      </c>
      <c r="G11980" s="0" t="s">
        <v>171</v>
      </c>
      <c r="H11980" s="5">
        <v>77.941100</v>
      </c>
    </row>
    <row r="11981" spans="1:9">
      <c r="A11981" s="22" t="str">
        <f>HYPERLINK("https://app.vivvix.com/360/KMI/IntelliDrive/ApplUI/Pages/CreativePages/CustomReportCreativeDetail.aspx?App=23&amp;ReportView=4&amp;Qid=1711279&amp;Row=11973&amp;Col=1","No Title Assigned - #15272758566")</f>
        <v/>
      </c>
      <c r="B11981" s="0" t="s">
        <v>16210</v>
      </c>
      <c r="E11981" s="0" t="inlineStr">
        <is>
          <t xml:space="preserve">Mazda</t>
        </is>
      </c>
      <c r="F11981" s="0" t="inlineStr">
        <is>
          <t xml:space="preserve">Mazda</t>
        </is>
      </c>
      <c r="G11981" s="0" t="s">
        <v>171</v>
      </c>
      <c r="H11981" s="5">
        <v>41.229400</v>
      </c>
    </row>
    <row r="11982" spans="1:9">
      <c r="A11982" s="22" t="str">
        <f>HYPERLINK("https://app.vivvix.com/360/KMI/IntelliDrive/ApplUI/Pages/CreativePages/CustomReportCreativeDetail.aspx?App=23&amp;ReportView=4&amp;Qid=1711279&amp;Row=11974&amp;Col=1","No Title Assigned - #15272758566")</f>
        <v/>
      </c>
      <c r="B11982" s="0" t="s">
        <v>16210</v>
      </c>
      <c r="C11982" s="0" t="s">
        <v>16211</v>
      </c>
      <c r="D11982" s="0" t="s">
        <v>16211</v>
      </c>
      <c r="E11982" s="0" t="inlineStr">
        <is>
          <t xml:space="preserve">Mazda</t>
        </is>
      </c>
      <c r="F11982" s="0" t="inlineStr">
        <is>
          <t xml:space="preserve">Mazda</t>
        </is>
      </c>
      <c r="G11982" s="0" t="s">
        <v>171</v>
      </c>
      <c r="H11982" s="5">
        <v>357.143900</v>
      </c>
    </row>
    <row r="11983" spans="1:9">
      <c r="A11983" s="22" t="str">
        <f>HYPERLINK("https://app.vivvix.com/360/KMI/IntelliDrive/ApplUI/Pages/CreativePages/CustomReportCreativeDetail.aspx?App=23&amp;ReportView=4&amp;Qid=1711279&amp;Row=11975&amp;Col=1","No Title Assigned - #15272758602")</f>
        <v/>
      </c>
      <c r="B11983" s="0" t="s">
        <v>16212</v>
      </c>
      <c r="E11983" s="0" t="inlineStr">
        <is>
          <t xml:space="preserve">Mazda</t>
        </is>
      </c>
      <c r="F11983" s="0" t="inlineStr">
        <is>
          <t xml:space="preserve">Mazda</t>
        </is>
      </c>
      <c r="G11983" s="0" t="s">
        <v>171</v>
      </c>
      <c r="H11983" s="5">
        <v>62.906900</v>
      </c>
    </row>
    <row r="11984" spans="1:9">
      <c r="A11984" s="22" t="str">
        <f>HYPERLINK("https://app.vivvix.com/360/KMI/IntelliDrive/ApplUI/Pages/CreativePages/CustomReportCreativeDetail.aspx?App=23&amp;ReportView=4&amp;Qid=1711279&amp;Row=11976&amp;Col=1","No Title Assigned - #15272759267")</f>
        <v/>
      </c>
      <c r="B11984" s="0" t="s">
        <v>16213</v>
      </c>
      <c r="E11984" s="0" t="inlineStr">
        <is>
          <t xml:space="preserve">Mazda</t>
        </is>
      </c>
      <c r="F11984" s="0" t="inlineStr">
        <is>
          <t xml:space="preserve">Mazda</t>
        </is>
      </c>
      <c r="G11984" s="0" t="s">
        <v>171</v>
      </c>
      <c r="H11984" s="5">
        <v>259.052300</v>
      </c>
    </row>
    <row r="11985" spans="1:9">
      <c r="A11985" s="22" t="str">
        <f>HYPERLINK("https://app.vivvix.com/360/KMI/IntelliDrive/ApplUI/Pages/CreativePages/CustomReportCreativeDetail.aspx?App=23&amp;ReportView=4&amp;Qid=1711279&amp;Row=11977&amp;Col=1","No Title Assigned - #15272759606")</f>
        <v/>
      </c>
      <c r="B11985" s="0" t="s">
        <v>16214</v>
      </c>
      <c r="C11985" s="0" t="s">
        <v>16215</v>
      </c>
      <c r="D11985" s="0" t="s">
        <v>16215</v>
      </c>
      <c r="E11985" s="0" t="inlineStr">
        <is>
          <t xml:space="preserve">Mazda</t>
        </is>
      </c>
      <c r="F11985" s="0" t="inlineStr">
        <is>
          <t xml:space="preserve">Mazda</t>
        </is>
      </c>
      <c r="G11985" s="0" t="s">
        <v>171</v>
      </c>
      <c r="H11985" s="5">
        <v>3.717500</v>
      </c>
    </row>
    <row r="11986" spans="1:9">
      <c r="A11986" s="22" t="str">
        <f>HYPERLINK("https://app.vivvix.com/360/KMI/IntelliDrive/ApplUI/Pages/CreativePages/CustomReportCreativeDetail.aspx?App=23&amp;ReportView=4&amp;Qid=1711279&amp;Row=11978&amp;Col=1","No Title Assigned - #15272760222")</f>
        <v/>
      </c>
      <c r="B11986" s="0" t="s">
        <v>16216</v>
      </c>
      <c r="E11986" s="0" t="inlineStr">
        <is>
          <t xml:space="preserve">Mazda</t>
        </is>
      </c>
      <c r="F11986" s="0" t="inlineStr">
        <is>
          <t xml:space="preserve">Mazda</t>
        </is>
      </c>
      <c r="G11986" s="0" t="s">
        <v>171</v>
      </c>
      <c r="H11986" s="5">
        <v>770.655100</v>
      </c>
    </row>
    <row r="11987" spans="1:9">
      <c r="A11987" s="22" t="str">
        <f>HYPERLINK("https://app.vivvix.com/360/KMI/IntelliDrive/ApplUI/Pages/CreativePages/CustomReportCreativeDetail.aspx?App=23&amp;ReportView=4&amp;Qid=1711279&amp;Row=11979&amp;Col=1","No Title Assigned - #15272761932")</f>
        <v/>
      </c>
      <c r="B11987" s="0" t="s">
        <v>16217</v>
      </c>
      <c r="C11987" s="0" t="s">
        <v>16218</v>
      </c>
      <c r="D11987" s="0" t="s">
        <v>16218</v>
      </c>
      <c r="E11987" s="0" t="inlineStr">
        <is>
          <t xml:space="preserve">Mazda</t>
        </is>
      </c>
      <c r="F11987" s="0" t="inlineStr">
        <is>
          <t xml:space="preserve">Mazda</t>
        </is>
      </c>
      <c r="G11987" s="0" t="s">
        <v>171</v>
      </c>
      <c r="H11987" s="5">
        <v>323.054100</v>
      </c>
    </row>
    <row r="11988" spans="1:9">
      <c r="A11988" s="22" t="str">
        <f>HYPERLINK("https://app.vivvix.com/360/KMI/IntelliDrive/ApplUI/Pages/CreativePages/CustomReportCreativeDetail.aspx?App=23&amp;ReportView=4&amp;Qid=1711279&amp;Row=11980&amp;Col=1","No Title Assigned - #15272762927")</f>
        <v/>
      </c>
      <c r="B11988" s="0" t="s">
        <v>16219</v>
      </c>
      <c r="E11988" s="0" t="inlineStr">
        <is>
          <t xml:space="preserve">Mazda</t>
        </is>
      </c>
      <c r="F11988" s="0" t="inlineStr">
        <is>
          <t xml:space="preserve">Mazda</t>
        </is>
      </c>
      <c r="G11988" s="0" t="s">
        <v>171</v>
      </c>
      <c r="H11988" s="5">
        <v>34.040900</v>
      </c>
    </row>
    <row r="11989" spans="1:9">
      <c r="A11989" s="22" t="str">
        <f>HYPERLINK("https://app.vivvix.com/360/KMI/IntelliDrive/ApplUI/Pages/CreativePages/CustomReportCreativeDetail.aspx?App=23&amp;ReportView=4&amp;Qid=1711279&amp;Row=11981&amp;Col=1","No Title Assigned - #15272763276")</f>
        <v/>
      </c>
      <c r="B11989" s="0" t="s">
        <v>16220</v>
      </c>
      <c r="E11989" s="0" t="inlineStr">
        <is>
          <t xml:space="preserve">Mazda</t>
        </is>
      </c>
      <c r="F11989" s="0" t="inlineStr">
        <is>
          <t xml:space="preserve">Mazda</t>
        </is>
      </c>
      <c r="G11989" s="0" t="s">
        <v>171</v>
      </c>
      <c r="H11989" s="5">
        <v>4014.199100</v>
      </c>
    </row>
    <row r="11990" spans="1:9">
      <c r="A11990" s="22" t="str">
        <f>HYPERLINK("https://app.vivvix.com/360/KMI/IntelliDrive/ApplUI/Pages/CreativePages/CustomReportCreativeDetail.aspx?App=23&amp;ReportView=4&amp;Qid=1711279&amp;Row=11982&amp;Col=1","No Title Assigned - #15272763276")</f>
        <v/>
      </c>
      <c r="B11990" s="0" t="s">
        <v>16220</v>
      </c>
      <c r="E11990" s="0" t="inlineStr">
        <is>
          <t xml:space="preserve">Mazda</t>
        </is>
      </c>
      <c r="F11990" s="0" t="inlineStr">
        <is>
          <t xml:space="preserve">Mazda</t>
        </is>
      </c>
      <c r="G11990" s="0" t="s">
        <v>171</v>
      </c>
      <c r="H11990" s="5">
        <v>30435.338800</v>
      </c>
    </row>
    <row r="11991" spans="1:9">
      <c r="A11991" s="22" t="str">
        <f>HYPERLINK("https://app.vivvix.com/360/KMI/IntelliDrive/ApplUI/Pages/CreativePages/CustomReportCreativeDetail.aspx?App=23&amp;ReportView=4&amp;Qid=1711279&amp;Row=11983&amp;Col=1","No Title Assigned - #15272763439")</f>
        <v/>
      </c>
      <c r="B11991" s="0" t="s">
        <v>16221</v>
      </c>
      <c r="C11991" s="0" t="s">
        <v>16222</v>
      </c>
      <c r="D11991" s="0" t="s">
        <v>16222</v>
      </c>
      <c r="E11991" s="0" t="inlineStr">
        <is>
          <t xml:space="preserve">Mazda</t>
        </is>
      </c>
      <c r="F11991" s="0" t="s">
        <v>13</v>
      </c>
      <c r="G11991" s="0" t="s">
        <v>49</v>
      </c>
      <c r="H11991" s="5">
        <v>16.921000</v>
      </c>
    </row>
    <row r="11992" spans="1:9">
      <c r="A11992" s="22" t="str">
        <f>HYPERLINK("https://app.vivvix.com/360/KMI/IntelliDrive/ApplUI/Pages/CreativePages/CustomReportCreativeDetail.aspx?App=23&amp;ReportView=4&amp;Qid=1711279&amp;Row=11984&amp;Col=1","No Title Assigned - #15272763482")</f>
        <v/>
      </c>
      <c r="B11992" s="0" t="s">
        <v>16223</v>
      </c>
      <c r="C11992" s="0" t="s">
        <v>16224</v>
      </c>
      <c r="D11992" s="0" t="s">
        <v>6238</v>
      </c>
      <c r="E11992" s="0" t="inlineStr">
        <is>
          <t xml:space="preserve">Mazda</t>
        </is>
      </c>
      <c r="F11992" s="0" t="s">
        <v>13</v>
      </c>
      <c r="G11992" s="0" t="s">
        <v>49</v>
      </c>
      <c r="H11992" s="5">
        <v>585.143600</v>
      </c>
    </row>
    <row r="11993" spans="1:9">
      <c r="A11993" s="22" t="str">
        <f>HYPERLINK("https://app.vivvix.com/360/KMI/IntelliDrive/ApplUI/Pages/CreativePages/CustomReportCreativeDetail.aspx?App=23&amp;ReportView=4&amp;Qid=1711279&amp;Row=11985&amp;Col=1","No Title Assigned - #15272763593")</f>
        <v/>
      </c>
      <c r="B11993" s="0" t="s">
        <v>16225</v>
      </c>
      <c r="E11993" s="0" t="inlineStr">
        <is>
          <t xml:space="preserve">Mazda</t>
        </is>
      </c>
      <c r="F11993" s="0" t="inlineStr">
        <is>
          <t xml:space="preserve">Mazda</t>
        </is>
      </c>
      <c r="G11993" s="0" t="s">
        <v>171</v>
      </c>
      <c r="H11993" s="5">
        <v>148008.939500</v>
      </c>
    </row>
    <row r="11994" spans="1:9">
      <c r="A11994" s="22" t="str">
        <f>HYPERLINK("https://app.vivvix.com/360/KMI/IntelliDrive/ApplUI/Pages/CreativePages/CustomReportCreativeDetail.aspx?App=23&amp;ReportView=4&amp;Qid=1711279&amp;Row=11986&amp;Col=1","No Title Assigned - #15272764028")</f>
        <v/>
      </c>
      <c r="B11994" s="0" t="s">
        <v>16226</v>
      </c>
      <c r="E11994" s="0" t="inlineStr">
        <is>
          <t xml:space="preserve">Mazda</t>
        </is>
      </c>
      <c r="F11994" s="0" t="inlineStr">
        <is>
          <t xml:space="preserve">Mazda</t>
        </is>
      </c>
      <c r="G11994" s="0" t="s">
        <v>171</v>
      </c>
      <c r="H11994" s="5">
        <v>9.767600</v>
      </c>
    </row>
    <row r="11995" spans="1:9">
      <c r="A11995" s="22" t="str">
        <f>HYPERLINK("https://app.vivvix.com/360/KMI/IntelliDrive/ApplUI/Pages/CreativePages/CustomReportCreativeDetail.aspx?App=23&amp;ReportView=4&amp;Qid=1711279&amp;Row=11987&amp;Col=1","No Title Assigned - #15272764205")</f>
        <v/>
      </c>
      <c r="B11995" s="0" t="s">
        <v>16227</v>
      </c>
      <c r="E11995" s="0" t="inlineStr">
        <is>
          <t xml:space="preserve">Mazda</t>
        </is>
      </c>
      <c r="F11995" s="0" t="inlineStr">
        <is>
          <t xml:space="preserve">Mazda</t>
        </is>
      </c>
      <c r="G11995" s="0" t="s">
        <v>171</v>
      </c>
      <c r="H11995" s="5">
        <v>651.293600</v>
      </c>
    </row>
    <row r="11996" spans="1:9">
      <c r="A11996" s="22" t="str">
        <f>HYPERLINK("https://app.vivvix.com/360/KMI/IntelliDrive/ApplUI/Pages/CreativePages/CustomReportCreativeDetail.aspx?App=23&amp;ReportView=4&amp;Qid=1711279&amp;Row=11988&amp;Col=1","No Title Assigned - #15272764353")</f>
        <v/>
      </c>
      <c r="B11996" s="0" t="s">
        <v>16228</v>
      </c>
      <c r="E11996" s="0" t="inlineStr">
        <is>
          <t xml:space="preserve">Mazda</t>
        </is>
      </c>
      <c r="F11996" s="0" t="inlineStr">
        <is>
          <t xml:space="preserve">Mazda</t>
        </is>
      </c>
      <c r="G11996" s="0" t="s">
        <v>171</v>
      </c>
      <c r="H11996" s="5">
        <v>326.083300</v>
      </c>
    </row>
    <row r="11997" spans="1:9">
      <c r="A11997" s="22" t="str">
        <f>HYPERLINK("https://app.vivvix.com/360/KMI/IntelliDrive/ApplUI/Pages/CreativePages/CustomReportCreativeDetail.aspx?App=23&amp;ReportView=4&amp;Qid=1711279&amp;Row=11989&amp;Col=1","No Title Assigned - #15272764542")</f>
        <v/>
      </c>
      <c r="B11997" s="0" t="s">
        <v>16229</v>
      </c>
      <c r="C11997" s="0" t="s">
        <v>16230</v>
      </c>
      <c r="D11997" s="0" t="s">
        <v>16230</v>
      </c>
      <c r="E11997" s="0" t="inlineStr">
        <is>
          <t xml:space="preserve">Mazda</t>
        </is>
      </c>
      <c r="F11997" s="0" t="inlineStr">
        <is>
          <t xml:space="preserve">Mazda</t>
        </is>
      </c>
      <c r="G11997" s="0" t="s">
        <v>171</v>
      </c>
      <c r="H11997" s="5">
        <v>4.622900</v>
      </c>
    </row>
    <row r="11998" spans="1:9">
      <c r="A11998" s="22" t="str">
        <f>HYPERLINK("https://app.vivvix.com/360/KMI/IntelliDrive/ApplUI/Pages/CreativePages/CustomReportCreativeDetail.aspx?App=23&amp;ReportView=4&amp;Qid=1711279&amp;Row=11990&amp;Col=1","No Title Assigned - #15272764816")</f>
        <v/>
      </c>
      <c r="B11998" s="0" t="s">
        <v>16231</v>
      </c>
      <c r="E11998" s="0" t="inlineStr">
        <is>
          <t xml:space="preserve">Mazda</t>
        </is>
      </c>
      <c r="F11998" s="0" t="inlineStr">
        <is>
          <t xml:space="preserve">Mazda</t>
        </is>
      </c>
      <c r="G11998" s="0" t="s">
        <v>171</v>
      </c>
      <c r="H11998" s="5">
        <v>42.657300</v>
      </c>
    </row>
    <row r="11999" spans="1:9">
      <c r="A11999" s="22" t="str">
        <f>HYPERLINK("https://app.vivvix.com/360/KMI/IntelliDrive/ApplUI/Pages/CreativePages/CustomReportCreativeDetail.aspx?App=23&amp;ReportView=4&amp;Qid=1711279&amp;Row=11991&amp;Col=1","No Title Assigned - #15272765309")</f>
        <v/>
      </c>
      <c r="B11999" s="0" t="s">
        <v>16232</v>
      </c>
      <c r="E11999" s="0" t="inlineStr">
        <is>
          <t xml:space="preserve">Mazda</t>
        </is>
      </c>
      <c r="F11999" s="0" t="inlineStr">
        <is>
          <t xml:space="preserve">Mazda</t>
        </is>
      </c>
      <c r="G11999" s="0" t="s">
        <v>171</v>
      </c>
      <c r="H11999" s="5">
        <v>8.823200</v>
      </c>
    </row>
    <row r="12000" spans="1:9">
      <c r="A12000" s="22" t="str">
        <f>HYPERLINK("https://app.vivvix.com/360/KMI/IntelliDrive/ApplUI/Pages/CreativePages/CustomReportCreativeDetail.aspx?App=23&amp;ReportView=4&amp;Qid=1711279&amp;Row=11992&amp;Col=1","No Title Assigned - #15272765314")</f>
        <v/>
      </c>
      <c r="B12000" s="0" t="s">
        <v>16233</v>
      </c>
      <c r="E12000" s="0" t="inlineStr">
        <is>
          <t xml:space="preserve">Mazda</t>
        </is>
      </c>
      <c r="F12000" s="0" t="inlineStr">
        <is>
          <t xml:space="preserve">Mazda</t>
        </is>
      </c>
      <c r="G12000" s="0" t="s">
        <v>171</v>
      </c>
      <c r="H12000" s="5">
        <v>30.106800</v>
      </c>
    </row>
    <row r="12001" spans="1:9">
      <c r="A12001" s="22" t="str">
        <f>HYPERLINK("https://app.vivvix.com/360/KMI/IntelliDrive/ApplUI/Pages/CreativePages/CustomReportCreativeDetail.aspx?App=23&amp;ReportView=4&amp;Qid=1711279&amp;Row=11993&amp;Col=1","No Title Assigned - #15272765374")</f>
        <v/>
      </c>
      <c r="B12001" s="0" t="s">
        <v>16234</v>
      </c>
      <c r="E12001" s="0" t="inlineStr">
        <is>
          <t xml:space="preserve">Mazda</t>
        </is>
      </c>
      <c r="F12001" s="0" t="inlineStr">
        <is>
          <t xml:space="preserve">Mazda</t>
        </is>
      </c>
      <c r="G12001" s="0" t="s">
        <v>171</v>
      </c>
      <c r="H12001" s="5">
        <v>1.990500</v>
      </c>
    </row>
    <row r="12002" spans="1:9">
      <c r="A12002" s="22" t="str">
        <f>HYPERLINK("https://app.vivvix.com/360/KMI/IntelliDrive/ApplUI/Pages/CreativePages/CustomReportCreativeDetail.aspx?App=23&amp;ReportView=4&amp;Qid=1711279&amp;Row=11994&amp;Col=1","No Title Assigned - #15272765418")</f>
        <v/>
      </c>
      <c r="B12002" s="0" t="s">
        <v>16235</v>
      </c>
      <c r="E12002" s="0" t="inlineStr">
        <is>
          <t xml:space="preserve">Mazda</t>
        </is>
      </c>
      <c r="F12002" s="0" t="inlineStr">
        <is>
          <t xml:space="preserve">Mazda</t>
        </is>
      </c>
      <c r="G12002" s="0" t="s">
        <v>171</v>
      </c>
      <c r="H12002" s="5">
        <v>36.635600</v>
      </c>
    </row>
    <row r="12003" spans="1:9">
      <c r="A12003" s="22" t="str">
        <f>HYPERLINK("https://app.vivvix.com/360/KMI/IntelliDrive/ApplUI/Pages/CreativePages/CustomReportCreativeDetail.aspx?App=23&amp;ReportView=4&amp;Qid=1711279&amp;Row=11995&amp;Col=1","No Title Assigned - #15272765468")</f>
        <v/>
      </c>
      <c r="B12003" s="0" t="s">
        <v>16236</v>
      </c>
      <c r="E12003" s="0" t="inlineStr">
        <is>
          <t xml:space="preserve">Mazda</t>
        </is>
      </c>
      <c r="F12003" s="0" t="inlineStr">
        <is>
          <t xml:space="preserve">Mazda</t>
        </is>
      </c>
      <c r="G12003" s="0" t="s">
        <v>171</v>
      </c>
      <c r="H12003" s="5">
        <v>4.058200</v>
      </c>
    </row>
    <row r="12004" spans="1:9">
      <c r="A12004" s="22" t="str">
        <f>HYPERLINK("https://app.vivvix.com/360/KMI/IntelliDrive/ApplUI/Pages/CreativePages/CustomReportCreativeDetail.aspx?App=23&amp;ReportView=4&amp;Qid=1711279&amp;Row=11996&amp;Col=1","No Title Assigned - #15272765572")</f>
        <v/>
      </c>
      <c r="B12004" s="0" t="s">
        <v>16237</v>
      </c>
      <c r="E12004" s="0" t="inlineStr">
        <is>
          <t xml:space="preserve">Mazda</t>
        </is>
      </c>
      <c r="F12004" s="0" t="inlineStr">
        <is>
          <t xml:space="preserve">Mazda</t>
        </is>
      </c>
      <c r="G12004" s="0" t="s">
        <v>171</v>
      </c>
      <c r="H12004" s="5">
        <v>34.629900</v>
      </c>
    </row>
    <row r="12005" spans="1:9">
      <c r="A12005" s="22" t="str">
        <f>HYPERLINK("https://app.vivvix.com/360/KMI/IntelliDrive/ApplUI/Pages/CreativePages/CustomReportCreativeDetail.aspx?App=23&amp;ReportView=4&amp;Qid=1711279&amp;Row=11997&amp;Col=1","No Title Assigned - #15272766225")</f>
        <v/>
      </c>
      <c r="B12005" s="0" t="s">
        <v>16238</v>
      </c>
      <c r="E12005" s="0" t="inlineStr">
        <is>
          <t xml:space="preserve">Mazda</t>
        </is>
      </c>
      <c r="F12005" s="0" t="inlineStr">
        <is>
          <t xml:space="preserve">Mazda</t>
        </is>
      </c>
      <c r="G12005" s="0" t="s">
        <v>171</v>
      </c>
      <c r="H12005" s="5">
        <v>1597.902600</v>
      </c>
    </row>
    <row r="12006" spans="1:9">
      <c r="A12006" s="22" t="str">
        <f>HYPERLINK("https://app.vivvix.com/360/KMI/IntelliDrive/ApplUI/Pages/CreativePages/CustomReportCreativeDetail.aspx?App=23&amp;ReportView=4&amp;Qid=1711279&amp;Row=11998&amp;Col=1","No Title Assigned - #15272766484")</f>
        <v/>
      </c>
      <c r="B12006" s="0" t="s">
        <v>16239</v>
      </c>
      <c r="E12006" s="0" t="inlineStr">
        <is>
          <t xml:space="preserve">Mazda</t>
        </is>
      </c>
      <c r="F12006" s="0" t="inlineStr">
        <is>
          <t xml:space="preserve">Mazda</t>
        </is>
      </c>
      <c r="G12006" s="0" t="s">
        <v>171</v>
      </c>
      <c r="H12006" s="5">
        <v>5.804100</v>
      </c>
    </row>
    <row r="12007" spans="1:9">
      <c r="A12007" s="22" t="str">
        <f>HYPERLINK("https://app.vivvix.com/360/KMI/IntelliDrive/ApplUI/Pages/CreativePages/CustomReportCreativeDetail.aspx?App=23&amp;ReportView=4&amp;Qid=1711279&amp;Row=11999&amp;Col=1","No Title Assigned - #15272767427")</f>
        <v/>
      </c>
      <c r="B12007" s="0" t="s">
        <v>16240</v>
      </c>
      <c r="C12007" s="0" t="s">
        <v>16241</v>
      </c>
      <c r="D12007" s="0" t="s">
        <v>4333</v>
      </c>
      <c r="E12007" s="0" t="inlineStr">
        <is>
          <t xml:space="preserve">Mazda</t>
        </is>
      </c>
      <c r="F12007" s="0" t="s">
        <v>28</v>
      </c>
      <c r="G12007" s="0" t="s">
        <v>29</v>
      </c>
      <c r="H12007" s="5">
        <v>55.112400</v>
      </c>
    </row>
    <row r="12008" spans="1:9">
      <c r="A12008" s="22" t="str">
        <f>HYPERLINK("https://app.vivvix.com/360/KMI/IntelliDrive/ApplUI/Pages/CreativePages/CustomReportCreativeDetail.aspx?App=23&amp;ReportView=4&amp;Qid=1711279&amp;Row=12000&amp;Col=1","No Title Assigned - #15272767428")</f>
        <v/>
      </c>
      <c r="B12008" s="0" t="s">
        <v>16242</v>
      </c>
      <c r="C12008" s="0" t="s">
        <v>16243</v>
      </c>
      <c r="D12008" s="0" t="s">
        <v>4202</v>
      </c>
      <c r="E12008" s="0" t="inlineStr">
        <is>
          <t xml:space="preserve">Mazda</t>
        </is>
      </c>
      <c r="F12008" s="0" t="s">
        <v>28</v>
      </c>
      <c r="G12008" s="0" t="s">
        <v>29</v>
      </c>
      <c r="H12008" s="5">
        <v>55.112400</v>
      </c>
    </row>
    <row r="12009" spans="1:9">
      <c r="A12009" s="22" t="str">
        <f>HYPERLINK("https://app.vivvix.com/360/KMI/IntelliDrive/ApplUI/Pages/CreativePages/CustomReportCreativeDetail.aspx?App=23&amp;ReportView=4&amp;Qid=1711279&amp;Row=12001&amp;Col=1","No Title Assigned - #15272770333")</f>
        <v/>
      </c>
      <c r="B12009" s="0" t="s">
        <v>16244</v>
      </c>
      <c r="E12009" s="0" t="inlineStr">
        <is>
          <t xml:space="preserve">Mazda</t>
        </is>
      </c>
      <c r="F12009" s="0" t="s">
        <v>21</v>
      </c>
      <c r="G12009" s="0" t="s">
        <v>22</v>
      </c>
      <c r="H12009" s="5">
        <v>605.708900</v>
      </c>
    </row>
    <row r="12010" spans="1:9">
      <c r="A12010" s="22" t="str">
        <f>HYPERLINK("https://app.vivvix.com/360/KMI/IntelliDrive/ApplUI/Pages/CreativePages/CustomReportCreativeDetail.aspx?App=23&amp;ReportView=4&amp;Qid=1711279&amp;Row=12002&amp;Col=1","No Title Assigned - #15272770545")</f>
        <v/>
      </c>
      <c r="B12010" s="0" t="s">
        <v>16245</v>
      </c>
      <c r="E12010" s="0" t="inlineStr">
        <is>
          <t xml:space="preserve">Mazda</t>
        </is>
      </c>
      <c r="F12010" s="0" t="inlineStr">
        <is>
          <t xml:space="preserve">Mazda</t>
        </is>
      </c>
      <c r="G12010" s="0" t="s">
        <v>171</v>
      </c>
      <c r="H12010" s="5">
        <v>273.459500</v>
      </c>
    </row>
    <row r="12011" spans="1:9">
      <c r="A12011" s="22" t="str">
        <f>HYPERLINK("https://app.vivvix.com/360/KMI/IntelliDrive/ApplUI/Pages/CreativePages/CustomReportCreativeDetail.aspx?App=23&amp;ReportView=4&amp;Qid=1711279&amp;Row=12003&amp;Col=1","No Title Assigned - #15272773685")</f>
        <v/>
      </c>
      <c r="B12011" s="0" t="s">
        <v>16246</v>
      </c>
      <c r="C12011" s="0" t="s">
        <v>16247</v>
      </c>
      <c r="D12011" s="0" t="s">
        <v>16247</v>
      </c>
      <c r="E12011" s="0" t="inlineStr">
        <is>
          <t xml:space="preserve">Mazda</t>
        </is>
      </c>
      <c r="F12011" s="0" t="s">
        <v>13</v>
      </c>
      <c r="G12011" s="0" t="s">
        <v>49</v>
      </c>
      <c r="H12011" s="5">
        <v>24.184900</v>
      </c>
    </row>
    <row r="12012" spans="1:9">
      <c r="A12012" s="22" t="str">
        <f>HYPERLINK("https://app.vivvix.com/360/KMI/IntelliDrive/ApplUI/Pages/CreativePages/CustomReportCreativeDetail.aspx?App=23&amp;ReportView=4&amp;Qid=1711279&amp;Row=12004&amp;Col=1","No Title Assigned - #15272775182")</f>
        <v/>
      </c>
      <c r="B12012" s="0" t="s">
        <v>16248</v>
      </c>
      <c r="E12012" s="0" t="inlineStr">
        <is>
          <t xml:space="preserve">Mazda</t>
        </is>
      </c>
      <c r="F12012" s="0" t="inlineStr">
        <is>
          <t xml:space="preserve">Mazda</t>
        </is>
      </c>
      <c r="G12012" s="0" t="s">
        <v>171</v>
      </c>
      <c r="H12012" s="5">
        <v>14.164600</v>
      </c>
    </row>
    <row r="12013" spans="1:9">
      <c r="A12013" s="22" t="str">
        <f>HYPERLINK("https://app.vivvix.com/360/KMI/IntelliDrive/ApplUI/Pages/CreativePages/CustomReportCreativeDetail.aspx?App=23&amp;ReportView=4&amp;Qid=1711279&amp;Row=12005&amp;Col=1","No Title Assigned - #15272775182")</f>
        <v/>
      </c>
      <c r="B12013" s="0" t="s">
        <v>16248</v>
      </c>
      <c r="E12013" s="0" t="inlineStr">
        <is>
          <t xml:space="preserve">Mazda</t>
        </is>
      </c>
      <c r="F12013" s="0" t="inlineStr">
        <is>
          <t xml:space="preserve">Mazda</t>
        </is>
      </c>
      <c r="G12013" s="0" t="s">
        <v>171</v>
      </c>
      <c r="H12013" s="5">
        <v>129.532400</v>
      </c>
    </row>
    <row r="12014" spans="1:9">
      <c r="A12014" s="22" t="str">
        <f>HYPERLINK("https://app.vivvix.com/360/KMI/IntelliDrive/ApplUI/Pages/CreativePages/CustomReportCreativeDetail.aspx?App=23&amp;ReportView=4&amp;Qid=1711279&amp;Row=12006&amp;Col=1","No Title Assigned - #15272775188")</f>
        <v/>
      </c>
      <c r="B12014" s="0" t="s">
        <v>16249</v>
      </c>
      <c r="E12014" s="0" t="inlineStr">
        <is>
          <t xml:space="preserve">Mazda</t>
        </is>
      </c>
      <c r="F12014" s="0" t="inlineStr">
        <is>
          <t xml:space="preserve">Mazda</t>
        </is>
      </c>
      <c r="G12014" s="0" t="s">
        <v>171</v>
      </c>
      <c r="H12014" s="5">
        <v>2576.363600</v>
      </c>
    </row>
    <row r="12015" spans="1:9">
      <c r="A12015" s="22" t="str">
        <f>HYPERLINK("https://app.vivvix.com/360/KMI/IntelliDrive/ApplUI/Pages/CreativePages/CustomReportCreativeDetail.aspx?App=23&amp;ReportView=4&amp;Qid=1711279&amp;Row=12007&amp;Col=1","No Title Assigned - #15272775188")</f>
        <v/>
      </c>
      <c r="B12015" s="0" t="s">
        <v>16249</v>
      </c>
      <c r="E12015" s="0" t="inlineStr">
        <is>
          <t xml:space="preserve">Mazda</t>
        </is>
      </c>
      <c r="F12015" s="0" t="inlineStr">
        <is>
          <t xml:space="preserve">Mazda</t>
        </is>
      </c>
      <c r="G12015" s="0" t="s">
        <v>171</v>
      </c>
      <c r="H12015" s="5">
        <v>10325.481200</v>
      </c>
    </row>
    <row r="12016" spans="1:9">
      <c r="A12016" s="22" t="str">
        <f>HYPERLINK("https://app.vivvix.com/360/KMI/IntelliDrive/ApplUI/Pages/CreativePages/CustomReportCreativeDetail.aspx?App=23&amp;ReportView=4&amp;Qid=1711279&amp;Row=12008&amp;Col=1","No Title Assigned - #15272777716")</f>
        <v/>
      </c>
      <c r="B12016" s="0" t="s">
        <v>16250</v>
      </c>
      <c r="E12016" s="0" t="inlineStr">
        <is>
          <t xml:space="preserve">Mazda</t>
        </is>
      </c>
      <c r="F12016" s="0" t="inlineStr">
        <is>
          <t xml:space="preserve">Mazda</t>
        </is>
      </c>
      <c r="G12016" s="0" t="s">
        <v>171</v>
      </c>
      <c r="H12016" s="5">
        <v>22.776600</v>
      </c>
    </row>
    <row r="12017" spans="1:9">
      <c r="A12017" s="22" t="str">
        <f>HYPERLINK("https://app.vivvix.com/360/KMI/IntelliDrive/ApplUI/Pages/CreativePages/CustomReportCreativeDetail.aspx?App=23&amp;ReportView=4&amp;Qid=1711279&amp;Row=12009&amp;Col=1","No Title Assigned - #15272798944")</f>
        <v/>
      </c>
      <c r="B12017" s="0" t="s">
        <v>16251</v>
      </c>
      <c r="C12017" s="0" t="s">
        <v>16252</v>
      </c>
      <c r="D12017" s="0" t="s">
        <v>5977</v>
      </c>
      <c r="E12017" s="0" t="inlineStr">
        <is>
          <t xml:space="preserve">Mazda</t>
        </is>
      </c>
      <c r="F12017" s="0" t="s">
        <v>28</v>
      </c>
      <c r="G12017" s="0" t="s">
        <v>29</v>
      </c>
      <c r="H12017" s="5">
        <v>146.084200</v>
      </c>
    </row>
    <row r="12018" spans="1:9">
      <c r="A12018" s="22" t="str">
        <f>HYPERLINK("https://app.vivvix.com/360/KMI/IntelliDrive/ApplUI/Pages/CreativePages/CustomReportCreativeDetail.aspx?App=23&amp;ReportView=4&amp;Qid=1711279&amp;Row=12010&amp;Col=1","No Title Assigned - #15272807711")</f>
        <v/>
      </c>
      <c r="B12018" s="0" t="s">
        <v>16253</v>
      </c>
      <c r="C12018" s="0" t="s">
        <v>16254</v>
      </c>
      <c r="D12018" s="0" t="s">
        <v>6044</v>
      </c>
      <c r="E12018" s="0" t="inlineStr">
        <is>
          <t xml:space="preserve">Mazda</t>
        </is>
      </c>
      <c r="F12018" s="0" t="s">
        <v>13</v>
      </c>
      <c r="G12018" s="0" t="s">
        <v>49</v>
      </c>
      <c r="H12018" s="5">
        <v>13.066100</v>
      </c>
    </row>
    <row r="12019" spans="1:9">
      <c r="A12019" s="22" t="str">
        <f>HYPERLINK("https://app.vivvix.com/360/KMI/IntelliDrive/ApplUI/Pages/CreativePages/CustomReportCreativeDetail.aspx?App=23&amp;ReportView=4&amp;Qid=1711279&amp;Row=12011&amp;Col=1","No Title Assigned - #15272810076")</f>
        <v/>
      </c>
      <c r="B12019" s="0" t="s">
        <v>16255</v>
      </c>
      <c r="E12019" s="0" t="inlineStr">
        <is>
          <t xml:space="preserve">Mazda</t>
        </is>
      </c>
      <c r="F12019" s="0" t="inlineStr">
        <is>
          <t xml:space="preserve">Mazda</t>
        </is>
      </c>
      <c r="G12019" s="0" t="s">
        <v>171</v>
      </c>
      <c r="H12019" s="5">
        <v>21.393800</v>
      </c>
    </row>
    <row r="12020" spans="1:9">
      <c r="A12020" s="22" t="str">
        <f>HYPERLINK("https://app.vivvix.com/360/KMI/IntelliDrive/ApplUI/Pages/CreativePages/CustomReportCreativeDetail.aspx?App=23&amp;ReportView=4&amp;Qid=1711279&amp;Row=12012&amp;Col=1","No Title Assigned - #15272811814")</f>
        <v/>
      </c>
      <c r="B12020" s="0" t="s">
        <v>16256</v>
      </c>
      <c r="E12020" s="0" t="inlineStr">
        <is>
          <t xml:space="preserve">Mazda</t>
        </is>
      </c>
      <c r="F12020" s="0" t="inlineStr">
        <is>
          <t xml:space="preserve">Mazda</t>
        </is>
      </c>
      <c r="G12020" s="0" t="s">
        <v>171</v>
      </c>
      <c r="H12020" s="5">
        <v>2311.965300</v>
      </c>
    </row>
    <row r="12021" spans="1:9">
      <c r="A12021" s="22" t="str">
        <f>HYPERLINK("https://app.vivvix.com/360/KMI/IntelliDrive/ApplUI/Pages/CreativePages/CustomReportCreativeDetail.aspx?App=23&amp;ReportView=4&amp;Qid=1711279&amp;Row=12013&amp;Col=1","No Title Assigned - #15272813790")</f>
        <v/>
      </c>
      <c r="B12021" s="0" t="s">
        <v>16257</v>
      </c>
      <c r="C12021" s="0" t="s">
        <v>16258</v>
      </c>
      <c r="D12021" s="0" t="s">
        <v>8588</v>
      </c>
      <c r="E12021" s="0" t="inlineStr">
        <is>
          <t xml:space="preserve">Mazda</t>
        </is>
      </c>
      <c r="F12021" s="0" t="s">
        <v>13</v>
      </c>
      <c r="G12021" s="0" t="s">
        <v>49</v>
      </c>
      <c r="H12021" s="5">
        <v>62.109700</v>
      </c>
    </row>
    <row r="12022" spans="1:9">
      <c r="A12022" s="22" t="str">
        <f>HYPERLINK("https://app.vivvix.com/360/KMI/IntelliDrive/ApplUI/Pages/CreativePages/CustomReportCreativeDetail.aspx?App=23&amp;ReportView=4&amp;Qid=1711279&amp;Row=12014&amp;Col=1","No Title Assigned - #15272819302")</f>
        <v/>
      </c>
      <c r="B12022" s="0" t="s">
        <v>16259</v>
      </c>
      <c r="E12022" s="0" t="inlineStr">
        <is>
          <t xml:space="preserve">Mazda</t>
        </is>
      </c>
      <c r="F12022" s="0" t="inlineStr">
        <is>
          <t xml:space="preserve">Mazda</t>
        </is>
      </c>
      <c r="G12022" s="0" t="s">
        <v>171</v>
      </c>
      <c r="H12022" s="5">
        <v>402.992500</v>
      </c>
    </row>
    <row r="12023" spans="1:9">
      <c r="A12023" s="22" t="str">
        <f>HYPERLINK("https://app.vivvix.com/360/KMI/IntelliDrive/ApplUI/Pages/CreativePages/CustomReportCreativeDetail.aspx?App=23&amp;ReportView=4&amp;Qid=1711279&amp;Row=12015&amp;Col=1","No Title Assigned - #15272819965")</f>
        <v/>
      </c>
      <c r="B12023" s="0" t="s">
        <v>16260</v>
      </c>
      <c r="E12023" s="0" t="inlineStr">
        <is>
          <t xml:space="preserve">Mazda</t>
        </is>
      </c>
      <c r="F12023" s="0" t="inlineStr">
        <is>
          <t xml:space="preserve">Mazda</t>
        </is>
      </c>
      <c r="G12023" s="0" t="s">
        <v>171</v>
      </c>
      <c r="H12023" s="5">
        <v>902.056900</v>
      </c>
    </row>
    <row r="12024" spans="1:9">
      <c r="A12024" s="22" t="str">
        <f>HYPERLINK("https://app.vivvix.com/360/KMI/IntelliDrive/ApplUI/Pages/CreativePages/CustomReportCreativeDetail.aspx?App=23&amp;ReportView=4&amp;Qid=1711279&amp;Row=12016&amp;Col=1","No Title Assigned - #15272822207")</f>
        <v/>
      </c>
      <c r="B12024" s="0" t="s">
        <v>16261</v>
      </c>
      <c r="E12024" s="0" t="inlineStr">
        <is>
          <t xml:space="preserve">Mazda</t>
        </is>
      </c>
      <c r="F12024" s="0" t="inlineStr">
        <is>
          <t xml:space="preserve">Mazda</t>
        </is>
      </c>
      <c r="G12024" s="0" t="s">
        <v>171</v>
      </c>
      <c r="H12024" s="5">
        <v>44.851600</v>
      </c>
    </row>
    <row r="12025" spans="1:9">
      <c r="A12025" s="22" t="str">
        <f>HYPERLINK("https://app.vivvix.com/360/KMI/IntelliDrive/ApplUI/Pages/CreativePages/CustomReportCreativeDetail.aspx?App=23&amp;ReportView=4&amp;Qid=1711279&amp;Row=12017&amp;Col=1","No Title Assigned - #15272822334")</f>
        <v/>
      </c>
      <c r="B12025" s="0" t="s">
        <v>16262</v>
      </c>
      <c r="C12025" s="0" t="s">
        <v>16263</v>
      </c>
      <c r="D12025" s="0" t="s">
        <v>16263</v>
      </c>
      <c r="E12025" s="0" t="inlineStr">
        <is>
          <t xml:space="preserve">Mazda</t>
        </is>
      </c>
      <c r="F12025" s="0" t="s">
        <v>13</v>
      </c>
      <c r="G12025" s="0" t="s">
        <v>49</v>
      </c>
      <c r="H12025" s="5">
        <v>12.986100</v>
      </c>
    </row>
    <row r="12026" spans="1:9">
      <c r="A12026" s="22" t="str">
        <f>HYPERLINK("https://app.vivvix.com/360/KMI/IntelliDrive/ApplUI/Pages/CreativePages/CustomReportCreativeDetail.aspx?App=23&amp;ReportView=4&amp;Qid=1711279&amp;Row=12018&amp;Col=1","No Title Assigned - #15272822783")</f>
        <v/>
      </c>
      <c r="B12026" s="0" t="s">
        <v>16264</v>
      </c>
      <c r="E12026" s="0" t="inlineStr">
        <is>
          <t xml:space="preserve">Mazda</t>
        </is>
      </c>
      <c r="F12026" s="0" t="inlineStr">
        <is>
          <t xml:space="preserve">Mazda</t>
        </is>
      </c>
      <c r="G12026" s="0" t="s">
        <v>171</v>
      </c>
      <c r="H12026" s="5">
        <v>22.160500</v>
      </c>
    </row>
    <row r="12027" spans="1:9">
      <c r="A12027" s="22" t="str">
        <f>HYPERLINK("https://app.vivvix.com/360/KMI/IntelliDrive/ApplUI/Pages/CreativePages/CustomReportCreativeDetail.aspx?App=23&amp;ReportView=4&amp;Qid=1711279&amp;Row=12019&amp;Col=1","No Title Assigned - #15272825175")</f>
        <v/>
      </c>
      <c r="B12027" s="0" t="s">
        <v>16265</v>
      </c>
      <c r="E12027" s="0" t="inlineStr">
        <is>
          <t xml:space="preserve">Mazda</t>
        </is>
      </c>
      <c r="F12027" s="0" t="inlineStr">
        <is>
          <t xml:space="preserve">Mazda</t>
        </is>
      </c>
      <c r="G12027" s="0" t="s">
        <v>171</v>
      </c>
      <c r="H12027" s="5">
        <v>1472.377100</v>
      </c>
    </row>
    <row r="12028" spans="1:9">
      <c r="A12028" s="22" t="str">
        <f>HYPERLINK("https://app.vivvix.com/360/KMI/IntelliDrive/ApplUI/Pages/CreativePages/CustomReportCreativeDetail.aspx?App=23&amp;ReportView=4&amp;Qid=1711279&amp;Row=12020&amp;Col=1","No Title Assigned - #15272825226")</f>
        <v/>
      </c>
      <c r="B12028" s="0" t="s">
        <v>16266</v>
      </c>
      <c r="E12028" s="0" t="inlineStr">
        <is>
          <t xml:space="preserve">Mazda</t>
        </is>
      </c>
      <c r="F12028" s="0" t="inlineStr">
        <is>
          <t xml:space="preserve">Mazda</t>
        </is>
      </c>
      <c r="G12028" s="0" t="s">
        <v>171</v>
      </c>
      <c r="H12028" s="5">
        <v>2950.716400</v>
      </c>
    </row>
    <row r="12029" spans="1:9">
      <c r="A12029" s="22" t="str">
        <f>HYPERLINK("https://app.vivvix.com/360/KMI/IntelliDrive/ApplUI/Pages/CreativePages/CustomReportCreativeDetail.aspx?App=23&amp;ReportView=4&amp;Qid=1711279&amp;Row=12021&amp;Col=1","No Title Assigned - #15272825226")</f>
        <v/>
      </c>
      <c r="B12029" s="0" t="s">
        <v>16266</v>
      </c>
      <c r="E12029" s="0" t="inlineStr">
        <is>
          <t xml:space="preserve">Mazda</t>
        </is>
      </c>
      <c r="F12029" s="0" t="inlineStr">
        <is>
          <t xml:space="preserve">Mazda</t>
        </is>
      </c>
      <c r="G12029" s="0" t="s">
        <v>171</v>
      </c>
      <c r="H12029" s="5">
        <v>6744.844200</v>
      </c>
    </row>
    <row r="12030" spans="1:9">
      <c r="A12030" s="22" t="str">
        <f>HYPERLINK("https://app.vivvix.com/360/KMI/IntelliDrive/ApplUI/Pages/CreativePages/CustomReportCreativeDetail.aspx?App=23&amp;ReportView=4&amp;Qid=1711279&amp;Row=12022&amp;Col=1","No Title Assigned - #15272826020")</f>
        <v/>
      </c>
      <c r="B12030" s="0" t="s">
        <v>16267</v>
      </c>
      <c r="E12030" s="0" t="inlineStr">
        <is>
          <t xml:space="preserve">Mazda</t>
        </is>
      </c>
      <c r="F12030" s="0" t="inlineStr">
        <is>
          <t xml:space="preserve">Mazda</t>
        </is>
      </c>
      <c r="G12030" s="0" t="s">
        <v>171</v>
      </c>
      <c r="H12030" s="5">
        <v>540.078900</v>
      </c>
    </row>
    <row r="12031" spans="1:9">
      <c r="A12031" s="22" t="str">
        <f>HYPERLINK("https://app.vivvix.com/360/KMI/IntelliDrive/ApplUI/Pages/CreativePages/CustomReportCreativeDetail.aspx?App=23&amp;ReportView=4&amp;Qid=1711279&amp;Row=12023&amp;Col=1","No Title Assigned - #15272826442")</f>
        <v/>
      </c>
      <c r="B12031" s="0" t="s">
        <v>16268</v>
      </c>
      <c r="E12031" s="0" t="inlineStr">
        <is>
          <t xml:space="preserve">Mazda</t>
        </is>
      </c>
      <c r="F12031" s="0" t="inlineStr">
        <is>
          <t xml:space="preserve">Mazda</t>
        </is>
      </c>
      <c r="G12031" s="0" t="s">
        <v>171</v>
      </c>
      <c r="H12031" s="5">
        <v>73.437500</v>
      </c>
    </row>
    <row r="12032" spans="1:9">
      <c r="A12032" s="22" t="str">
        <f>HYPERLINK("https://app.vivvix.com/360/KMI/IntelliDrive/ApplUI/Pages/CreativePages/CustomReportCreativeDetail.aspx?App=23&amp;ReportView=4&amp;Qid=1711279&amp;Row=12024&amp;Col=1","No Title Assigned - #15272827081")</f>
        <v/>
      </c>
      <c r="B12032" s="0" t="s">
        <v>16269</v>
      </c>
      <c r="E12032" s="0" t="inlineStr">
        <is>
          <t xml:space="preserve">Mazda</t>
        </is>
      </c>
      <c r="F12032" s="0" t="inlineStr">
        <is>
          <t xml:space="preserve">Mazda</t>
        </is>
      </c>
      <c r="G12032" s="0" t="s">
        <v>171</v>
      </c>
      <c r="H12032" s="5">
        <v>180.897800</v>
      </c>
    </row>
    <row r="12033" spans="1:9">
      <c r="A12033" s="22" t="str">
        <f>HYPERLINK("https://app.vivvix.com/360/KMI/IntelliDrive/ApplUI/Pages/CreativePages/CustomReportCreativeDetail.aspx?App=23&amp;ReportView=4&amp;Qid=1711279&amp;Row=12025&amp;Col=1","No Title Assigned - #15272827251")</f>
        <v/>
      </c>
      <c r="B12033" s="0" t="s">
        <v>16270</v>
      </c>
      <c r="E12033" s="0" t="inlineStr">
        <is>
          <t xml:space="preserve">Mazda</t>
        </is>
      </c>
      <c r="F12033" s="0" t="inlineStr">
        <is>
          <t xml:space="preserve">Mazda</t>
        </is>
      </c>
      <c r="G12033" s="0" t="s">
        <v>171</v>
      </c>
      <c r="H12033" s="5">
        <v>59.368300</v>
      </c>
    </row>
    <row r="12034" spans="1:9">
      <c r="A12034" s="22" t="str">
        <f>HYPERLINK("https://app.vivvix.com/360/KMI/IntelliDrive/ApplUI/Pages/CreativePages/CustomReportCreativeDetail.aspx?App=23&amp;ReportView=4&amp;Qid=1711279&amp;Row=12026&amp;Col=1","No Title Assigned - #15272827974")</f>
        <v/>
      </c>
      <c r="B12034" s="0" t="s">
        <v>16271</v>
      </c>
      <c r="E12034" s="0" t="inlineStr">
        <is>
          <t xml:space="preserve">Mazda</t>
        </is>
      </c>
      <c r="F12034" s="0" t="inlineStr">
        <is>
          <t xml:space="preserve">Mazda</t>
        </is>
      </c>
      <c r="G12034" s="0" t="s">
        <v>171</v>
      </c>
      <c r="H12034" s="5">
        <v>5830.116900</v>
      </c>
    </row>
    <row r="12035" spans="1:9">
      <c r="A12035" s="22" t="str">
        <f>HYPERLINK("https://app.vivvix.com/360/KMI/IntelliDrive/ApplUI/Pages/CreativePages/CustomReportCreativeDetail.aspx?App=23&amp;ReportView=4&amp;Qid=1711279&amp;Row=12027&amp;Col=1","No Title Assigned - #15272827974")</f>
        <v/>
      </c>
      <c r="B12035" s="0" t="s">
        <v>16271</v>
      </c>
      <c r="E12035" s="0" t="inlineStr">
        <is>
          <t xml:space="preserve">Mazda</t>
        </is>
      </c>
      <c r="F12035" s="0" t="inlineStr">
        <is>
          <t xml:space="preserve">Mazda</t>
        </is>
      </c>
      <c r="G12035" s="0" t="s">
        <v>171</v>
      </c>
      <c r="H12035" s="5">
        <v>61.381000</v>
      </c>
    </row>
    <row r="12036" spans="1:9">
      <c r="A12036" s="22" t="str">
        <f>HYPERLINK("https://app.vivvix.com/360/KMI/IntelliDrive/ApplUI/Pages/CreativePages/CustomReportCreativeDetail.aspx?App=23&amp;ReportView=4&amp;Qid=1711279&amp;Row=12028&amp;Col=1","No Title Assigned - #15272829178")</f>
        <v/>
      </c>
      <c r="B12036" s="0" t="s">
        <v>16272</v>
      </c>
      <c r="E12036" s="0" t="inlineStr">
        <is>
          <t xml:space="preserve">Mazda</t>
        </is>
      </c>
      <c r="F12036" s="0" t="inlineStr">
        <is>
          <t xml:space="preserve">Mazda</t>
        </is>
      </c>
      <c r="G12036" s="0" t="s">
        <v>171</v>
      </c>
      <c r="H12036" s="5">
        <v>205.784700</v>
      </c>
    </row>
    <row r="12037" spans="1:9">
      <c r="A12037" s="22" t="str">
        <f>HYPERLINK("https://app.vivvix.com/360/KMI/IntelliDrive/ApplUI/Pages/CreativePages/CustomReportCreativeDetail.aspx?App=23&amp;ReportView=4&amp;Qid=1711279&amp;Row=12029&amp;Col=1","No Title Assigned - #15272829547")</f>
        <v/>
      </c>
      <c r="B12037" s="0" t="s">
        <v>16273</v>
      </c>
      <c r="E12037" s="0" t="inlineStr">
        <is>
          <t xml:space="preserve">Mazda</t>
        </is>
      </c>
      <c r="F12037" s="0" t="inlineStr">
        <is>
          <t xml:space="preserve">Mazda</t>
        </is>
      </c>
      <c r="G12037" s="0" t="s">
        <v>171</v>
      </c>
      <c r="H12037" s="5">
        <v>19.091200</v>
      </c>
    </row>
    <row r="12038" spans="1:9">
      <c r="A12038" s="22" t="str">
        <f>HYPERLINK("https://app.vivvix.com/360/KMI/IntelliDrive/ApplUI/Pages/CreativePages/CustomReportCreativeDetail.aspx?App=23&amp;ReportView=4&amp;Qid=1711279&amp;Row=12030&amp;Col=1","No Title Assigned - #15272829918")</f>
        <v/>
      </c>
      <c r="B12038" s="0" t="s">
        <v>16274</v>
      </c>
      <c r="E12038" s="0" t="inlineStr">
        <is>
          <t xml:space="preserve">Mazda</t>
        </is>
      </c>
      <c r="F12038" s="0" t="inlineStr">
        <is>
          <t xml:space="preserve">Mazda</t>
        </is>
      </c>
      <c r="G12038" s="0" t="s">
        <v>171</v>
      </c>
      <c r="H12038" s="5">
        <v>27.367000</v>
      </c>
    </row>
    <row r="12039" spans="1:9">
      <c r="A12039" s="22" t="str">
        <f>HYPERLINK("https://app.vivvix.com/360/KMI/IntelliDrive/ApplUI/Pages/CreativePages/CustomReportCreativeDetail.aspx?App=23&amp;ReportView=4&amp;Qid=1711279&amp;Row=12031&amp;Col=1","No Title Assigned - #15272830293")</f>
        <v/>
      </c>
      <c r="B12039" s="0" t="s">
        <v>16275</v>
      </c>
      <c r="E12039" s="0" t="inlineStr">
        <is>
          <t xml:space="preserve">Mazda</t>
        </is>
      </c>
      <c r="F12039" s="0" t="inlineStr">
        <is>
          <t xml:space="preserve">Mazda</t>
        </is>
      </c>
      <c r="G12039" s="0" t="s">
        <v>171</v>
      </c>
      <c r="H12039" s="5">
        <v>151.274100</v>
      </c>
    </row>
    <row r="12040" spans="1:9">
      <c r="A12040" s="22" t="str">
        <f>HYPERLINK("https://app.vivvix.com/360/KMI/IntelliDrive/ApplUI/Pages/CreativePages/CustomReportCreativeDetail.aspx?App=23&amp;ReportView=4&amp;Qid=1711279&amp;Row=12032&amp;Col=1","No Title Assigned - #15272831312")</f>
        <v/>
      </c>
      <c r="B12040" s="0" t="s">
        <v>16276</v>
      </c>
      <c r="E12040" s="0" t="inlineStr">
        <is>
          <t xml:space="preserve">Mazda</t>
        </is>
      </c>
      <c r="F12040" s="0" t="inlineStr">
        <is>
          <t xml:space="preserve">Mazda</t>
        </is>
      </c>
      <c r="G12040" s="0" t="s">
        <v>171</v>
      </c>
      <c r="H12040" s="5">
        <v>31.846100</v>
      </c>
    </row>
    <row r="12041" spans="1:9">
      <c r="A12041" s="22" t="str">
        <f>HYPERLINK("https://app.vivvix.com/360/KMI/IntelliDrive/ApplUI/Pages/CreativePages/CustomReportCreativeDetail.aspx?App=23&amp;ReportView=4&amp;Qid=1711279&amp;Row=12033&amp;Col=1","No Title Assigned - #15272832495")</f>
        <v/>
      </c>
      <c r="B12041" s="0" t="s">
        <v>16277</v>
      </c>
      <c r="E12041" s="0" t="inlineStr">
        <is>
          <t xml:space="preserve">Mazda</t>
        </is>
      </c>
      <c r="F12041" s="0" t="inlineStr">
        <is>
          <t xml:space="preserve">Mazda</t>
        </is>
      </c>
      <c r="G12041" s="0" t="s">
        <v>171</v>
      </c>
      <c r="H12041" s="5">
        <v>1353.157300</v>
      </c>
    </row>
    <row r="12042" spans="1:9">
      <c r="A12042" s="22" t="str">
        <f>HYPERLINK("https://app.vivvix.com/360/KMI/IntelliDrive/ApplUI/Pages/CreativePages/CustomReportCreativeDetail.aspx?App=23&amp;ReportView=4&amp;Qid=1711279&amp;Row=12034&amp;Col=1","No Title Assigned - #15272832730")</f>
        <v/>
      </c>
      <c r="B12042" s="0" t="s">
        <v>16278</v>
      </c>
      <c r="E12042" s="0" t="inlineStr">
        <is>
          <t xml:space="preserve">Mazda</t>
        </is>
      </c>
      <c r="F12042" s="0" t="inlineStr">
        <is>
          <t xml:space="preserve">Mazda</t>
        </is>
      </c>
      <c r="G12042" s="0" t="s">
        <v>171</v>
      </c>
      <c r="H12042" s="5">
        <v>51.830800</v>
      </c>
    </row>
    <row r="12043" spans="1:9">
      <c r="A12043" s="22" t="str">
        <f>HYPERLINK("https://app.vivvix.com/360/KMI/IntelliDrive/ApplUI/Pages/CreativePages/CustomReportCreativeDetail.aspx?App=23&amp;ReportView=4&amp;Qid=1711279&amp;Row=12035&amp;Col=1","No Title Assigned - #15272832730")</f>
        <v/>
      </c>
      <c r="B12043" s="0" t="s">
        <v>16278</v>
      </c>
      <c r="E12043" s="0" t="inlineStr">
        <is>
          <t xml:space="preserve">Mazda</t>
        </is>
      </c>
      <c r="F12043" s="0" t="inlineStr">
        <is>
          <t xml:space="preserve">Mazda</t>
        </is>
      </c>
      <c r="G12043" s="0" t="s">
        <v>171</v>
      </c>
      <c r="H12043" s="5">
        <v>1036.027000</v>
      </c>
    </row>
    <row r="12044" spans="1:9">
      <c r="A12044" s="22" t="str">
        <f>HYPERLINK("https://app.vivvix.com/360/KMI/IntelliDrive/ApplUI/Pages/CreativePages/CustomReportCreativeDetail.aspx?App=23&amp;ReportView=4&amp;Qid=1711279&amp;Row=12036&amp;Col=1","No Title Assigned - #15272832731")</f>
        <v/>
      </c>
      <c r="B12044" s="0" t="s">
        <v>16279</v>
      </c>
      <c r="C12044" s="0" t="s">
        <v>16280</v>
      </c>
      <c r="D12044" s="0" t="s">
        <v>16280</v>
      </c>
      <c r="E12044" s="0" t="inlineStr">
        <is>
          <t xml:space="preserve">Mazda</t>
        </is>
      </c>
      <c r="F12044" s="0" t="inlineStr">
        <is>
          <t xml:space="preserve">Mazda</t>
        </is>
      </c>
      <c r="G12044" s="0" t="s">
        <v>171</v>
      </c>
      <c r="H12044" s="5">
        <v>141.281400</v>
      </c>
    </row>
    <row r="12045" spans="1:9">
      <c r="A12045" s="22" t="str">
        <f>HYPERLINK("https://app.vivvix.com/360/KMI/IntelliDrive/ApplUI/Pages/CreativePages/CustomReportCreativeDetail.aspx?App=23&amp;ReportView=4&amp;Qid=1711279&amp;Row=12037&amp;Col=1","No Title Assigned - #15272833013")</f>
        <v/>
      </c>
      <c r="B12045" s="0" t="s">
        <v>16281</v>
      </c>
      <c r="E12045" s="0" t="inlineStr">
        <is>
          <t xml:space="preserve">Mazda</t>
        </is>
      </c>
      <c r="F12045" s="0" t="inlineStr">
        <is>
          <t xml:space="preserve">Mazda</t>
        </is>
      </c>
      <c r="G12045" s="0" t="s">
        <v>171</v>
      </c>
      <c r="H12045" s="5">
        <v>10.962500</v>
      </c>
    </row>
    <row r="12046" spans="1:9">
      <c r="A12046" s="22" t="str">
        <f>HYPERLINK("https://app.vivvix.com/360/KMI/IntelliDrive/ApplUI/Pages/CreativePages/CustomReportCreativeDetail.aspx?App=23&amp;ReportView=4&amp;Qid=1711279&amp;Row=12038&amp;Col=1","No Title Assigned - #15272833271")</f>
        <v/>
      </c>
      <c r="B12046" s="0" t="s">
        <v>16282</v>
      </c>
      <c r="E12046" s="0" t="inlineStr">
        <is>
          <t xml:space="preserve">Mazda</t>
        </is>
      </c>
      <c r="F12046" s="0" t="inlineStr">
        <is>
          <t xml:space="preserve">Mazda</t>
        </is>
      </c>
      <c r="G12046" s="0" t="s">
        <v>171</v>
      </c>
      <c r="H12046" s="5">
        <v>57.227300</v>
      </c>
    </row>
    <row r="12047" spans="1:9">
      <c r="A12047" s="22" t="str">
        <f>HYPERLINK("https://app.vivvix.com/360/KMI/IntelliDrive/ApplUI/Pages/CreativePages/CustomReportCreativeDetail.aspx?App=23&amp;ReportView=4&amp;Qid=1711279&amp;Row=12039&amp;Col=1","No Title Assigned - #15272833583")</f>
        <v/>
      </c>
      <c r="B12047" s="0" t="s">
        <v>16283</v>
      </c>
      <c r="E12047" s="0" t="inlineStr">
        <is>
          <t xml:space="preserve">Mazda</t>
        </is>
      </c>
      <c r="F12047" s="0" t="inlineStr">
        <is>
          <t xml:space="preserve">Mazda</t>
        </is>
      </c>
      <c r="G12047" s="0" t="s">
        <v>171</v>
      </c>
      <c r="H12047" s="5">
        <v>210.953100</v>
      </c>
    </row>
    <row r="12048" spans="1:9">
      <c r="A12048" s="22" t="str">
        <f>HYPERLINK("https://app.vivvix.com/360/KMI/IntelliDrive/ApplUI/Pages/CreativePages/CustomReportCreativeDetail.aspx?App=23&amp;ReportView=4&amp;Qid=1711279&amp;Row=12040&amp;Col=1","No Title Assigned - #15272833757")</f>
        <v/>
      </c>
      <c r="B12048" s="0" t="s">
        <v>16284</v>
      </c>
      <c r="E12048" s="0" t="inlineStr">
        <is>
          <t xml:space="preserve">Mazda</t>
        </is>
      </c>
      <c r="F12048" s="0" t="inlineStr">
        <is>
          <t xml:space="preserve">Mazda</t>
        </is>
      </c>
      <c r="G12048" s="0" t="s">
        <v>171</v>
      </c>
      <c r="H12048" s="5">
        <v>8.757900</v>
      </c>
    </row>
    <row r="12049" spans="1:9">
      <c r="A12049" s="22" t="str">
        <f>HYPERLINK("https://app.vivvix.com/360/KMI/IntelliDrive/ApplUI/Pages/CreativePages/CustomReportCreativeDetail.aspx?App=23&amp;ReportView=4&amp;Qid=1711279&amp;Row=12041&amp;Col=1","No Title Assigned - #15272835978")</f>
        <v/>
      </c>
      <c r="B12049" s="0" t="s">
        <v>16285</v>
      </c>
      <c r="E12049" s="0" t="inlineStr">
        <is>
          <t xml:space="preserve">Mazda</t>
        </is>
      </c>
      <c r="F12049" s="0" t="inlineStr">
        <is>
          <t xml:space="preserve">Mazda</t>
        </is>
      </c>
      <c r="G12049" s="0" t="s">
        <v>171</v>
      </c>
      <c r="H12049" s="5">
        <v>501.153200</v>
      </c>
    </row>
    <row r="12050" spans="1:9">
      <c r="A12050" s="22" t="str">
        <f>HYPERLINK("https://app.vivvix.com/360/KMI/IntelliDrive/ApplUI/Pages/CreativePages/CustomReportCreativeDetail.aspx?App=23&amp;ReportView=4&amp;Qid=1711279&amp;Row=12042&amp;Col=1","No Title Assigned - #15272836049")</f>
        <v/>
      </c>
      <c r="B12050" s="0" t="s">
        <v>16286</v>
      </c>
      <c r="E12050" s="0" t="inlineStr">
        <is>
          <t xml:space="preserve">Mazda</t>
        </is>
      </c>
      <c r="F12050" s="0" t="inlineStr">
        <is>
          <t xml:space="preserve">Mazda</t>
        </is>
      </c>
      <c r="G12050" s="0" t="s">
        <v>171</v>
      </c>
      <c r="H12050" s="5">
        <v>23014.097600</v>
      </c>
    </row>
    <row r="12051" spans="1:9">
      <c r="A12051" s="22" t="str">
        <f>HYPERLINK("https://app.vivvix.com/360/KMI/IntelliDrive/ApplUI/Pages/CreativePages/CustomReportCreativeDetail.aspx?App=23&amp;ReportView=4&amp;Qid=1711279&amp;Row=12043&amp;Col=1","No Title Assigned - #15272836049")</f>
        <v/>
      </c>
      <c r="B12051" s="0" t="s">
        <v>16286</v>
      </c>
      <c r="C12051" s="0" t="s">
        <v>16287</v>
      </c>
      <c r="D12051" s="0" t="s">
        <v>16287</v>
      </c>
      <c r="E12051" s="0" t="inlineStr">
        <is>
          <t xml:space="preserve">Mazda</t>
        </is>
      </c>
      <c r="F12051" s="0" t="inlineStr">
        <is>
          <t xml:space="preserve">Mazda</t>
        </is>
      </c>
      <c r="G12051" s="0" t="s">
        <v>171</v>
      </c>
      <c r="H12051" s="5">
        <v>746.458300</v>
      </c>
    </row>
    <row r="12052" spans="1:9">
      <c r="A12052" s="22" t="str">
        <f>HYPERLINK("https://app.vivvix.com/360/KMI/IntelliDrive/ApplUI/Pages/CreativePages/CustomReportCreativeDetail.aspx?App=23&amp;ReportView=4&amp;Qid=1711279&amp;Row=12044&amp;Col=1","No Title Assigned - #15272837874")</f>
        <v/>
      </c>
      <c r="B12052" s="0" t="s">
        <v>16288</v>
      </c>
      <c r="E12052" s="0" t="inlineStr">
        <is>
          <t xml:space="preserve">Mazda</t>
        </is>
      </c>
      <c r="F12052" s="0" t="inlineStr">
        <is>
          <t xml:space="preserve">Mazda</t>
        </is>
      </c>
      <c r="G12052" s="0" t="s">
        <v>171</v>
      </c>
      <c r="H12052" s="5">
        <v>4.725900</v>
      </c>
    </row>
    <row r="12053" spans="1:9">
      <c r="A12053" s="22" t="str">
        <f>HYPERLINK("https://app.vivvix.com/360/KMI/IntelliDrive/ApplUI/Pages/CreativePages/CustomReportCreativeDetail.aspx?App=23&amp;ReportView=4&amp;Qid=1711279&amp;Row=12045&amp;Col=1","No Title Assigned - #15272838564")</f>
        <v/>
      </c>
      <c r="B12053" s="0" t="s">
        <v>16289</v>
      </c>
      <c r="C12053" s="0" t="s">
        <v>16290</v>
      </c>
      <c r="D12053" s="0" t="s">
        <v>16290</v>
      </c>
      <c r="E12053" s="0" t="inlineStr">
        <is>
          <t xml:space="preserve">Mazda</t>
        </is>
      </c>
      <c r="F12053" s="0" t="inlineStr">
        <is>
          <t xml:space="preserve">Mazda</t>
        </is>
      </c>
      <c r="G12053" s="0" t="s">
        <v>171</v>
      </c>
      <c r="H12053" s="5">
        <v>91150.264800</v>
      </c>
    </row>
    <row r="12054" spans="1:9">
      <c r="A12054" s="22" t="str">
        <f>HYPERLINK("https://app.vivvix.com/360/KMI/IntelliDrive/ApplUI/Pages/CreativePages/CustomReportCreativeDetail.aspx?App=23&amp;ReportView=4&amp;Qid=1711279&amp;Row=12046&amp;Col=1","No Title Assigned - #15272838564")</f>
        <v/>
      </c>
      <c r="B12054" s="0" t="s">
        <v>16289</v>
      </c>
      <c r="E12054" s="0" t="inlineStr">
        <is>
          <t xml:space="preserve">Mazda</t>
        </is>
      </c>
      <c r="F12054" s="0" t="inlineStr">
        <is>
          <t xml:space="preserve">Mazda</t>
        </is>
      </c>
      <c r="G12054" s="0" t="s">
        <v>171</v>
      </c>
      <c r="H12054" s="5">
        <v>5860.040000</v>
      </c>
    </row>
    <row r="12055" spans="1:9">
      <c r="A12055" s="22" t="str">
        <f>HYPERLINK("https://app.vivvix.com/360/KMI/IntelliDrive/ApplUI/Pages/CreativePages/CustomReportCreativeDetail.aspx?App=23&amp;ReportView=4&amp;Qid=1711279&amp;Row=12047&amp;Col=1","No Title Assigned - #15272839375")</f>
        <v/>
      </c>
      <c r="B12055" s="0" t="s">
        <v>16291</v>
      </c>
      <c r="C12055" s="0" t="s">
        <v>16292</v>
      </c>
      <c r="D12055" s="0" t="s">
        <v>16292</v>
      </c>
      <c r="E12055" s="0" t="inlineStr">
        <is>
          <t xml:space="preserve">Mazda</t>
        </is>
      </c>
      <c r="F12055" s="0" t="inlineStr">
        <is>
          <t xml:space="preserve">Mazda</t>
        </is>
      </c>
      <c r="G12055" s="0" t="s">
        <v>171</v>
      </c>
      <c r="H12055" s="5">
        <v>15.704200</v>
      </c>
    </row>
    <row r="12056" spans="1:9">
      <c r="A12056" s="22" t="str">
        <f>HYPERLINK("https://app.vivvix.com/360/KMI/IntelliDrive/ApplUI/Pages/CreativePages/CustomReportCreativeDetail.aspx?App=23&amp;ReportView=4&amp;Qid=1711279&amp;Row=12048&amp;Col=1","No Title Assigned - #15272840337")</f>
        <v/>
      </c>
      <c r="B12056" s="0" t="s">
        <v>16293</v>
      </c>
      <c r="E12056" s="0" t="inlineStr">
        <is>
          <t xml:space="preserve">Mazda</t>
        </is>
      </c>
      <c r="F12056" s="0" t="inlineStr">
        <is>
          <t xml:space="preserve">Mazda</t>
        </is>
      </c>
      <c r="G12056" s="0" t="s">
        <v>171</v>
      </c>
      <c r="H12056" s="5">
        <v>15.909500</v>
      </c>
    </row>
    <row r="12057" spans="1:9">
      <c r="A12057" s="22" t="str">
        <f>HYPERLINK("https://app.vivvix.com/360/KMI/IntelliDrive/ApplUI/Pages/CreativePages/CustomReportCreativeDetail.aspx?App=23&amp;ReportView=4&amp;Qid=1711279&amp;Row=12049&amp;Col=1","No Title Assigned - #15272840456")</f>
        <v/>
      </c>
      <c r="B12057" s="0" t="s">
        <v>16294</v>
      </c>
      <c r="E12057" s="0" t="inlineStr">
        <is>
          <t xml:space="preserve">Mazda</t>
        </is>
      </c>
      <c r="F12057" s="0" t="inlineStr">
        <is>
          <t xml:space="preserve">Mazda</t>
        </is>
      </c>
      <c r="G12057" s="0" t="s">
        <v>171</v>
      </c>
      <c r="H12057" s="5">
        <v>8.885100</v>
      </c>
    </row>
    <row r="12058" spans="1:9">
      <c r="A12058" s="22" t="str">
        <f>HYPERLINK("https://app.vivvix.com/360/KMI/IntelliDrive/ApplUI/Pages/CreativePages/CustomReportCreativeDetail.aspx?App=23&amp;ReportView=4&amp;Qid=1711279&amp;Row=12050&amp;Col=1","No Title Assigned - #15272840713")</f>
        <v/>
      </c>
      <c r="B12058" s="0" t="s">
        <v>16295</v>
      </c>
      <c r="E12058" s="0" t="inlineStr">
        <is>
          <t xml:space="preserve">Mazda</t>
        </is>
      </c>
      <c r="F12058" s="0" t="inlineStr">
        <is>
          <t xml:space="preserve">Mazda</t>
        </is>
      </c>
      <c r="G12058" s="0" t="s">
        <v>171</v>
      </c>
      <c r="H12058" s="5">
        <v>3.949900</v>
      </c>
    </row>
    <row r="12059" spans="1:9">
      <c r="A12059" s="22" t="str">
        <f>HYPERLINK("https://app.vivvix.com/360/KMI/IntelliDrive/ApplUI/Pages/CreativePages/CustomReportCreativeDetail.aspx?App=23&amp;ReportView=4&amp;Qid=1711279&amp;Row=12051&amp;Col=1","No Title Assigned - #15272841014")</f>
        <v/>
      </c>
      <c r="B12059" s="0" t="s">
        <v>16296</v>
      </c>
      <c r="E12059" s="0" t="inlineStr">
        <is>
          <t xml:space="preserve">Mazda</t>
        </is>
      </c>
      <c r="F12059" s="0" t="inlineStr">
        <is>
          <t xml:space="preserve">Mazda</t>
        </is>
      </c>
      <c r="G12059" s="0" t="s">
        <v>171</v>
      </c>
      <c r="H12059" s="5">
        <v>34.982500</v>
      </c>
    </row>
    <row r="12060" spans="1:9">
      <c r="A12060" s="22" t="str">
        <f>HYPERLINK("https://app.vivvix.com/360/KMI/IntelliDrive/ApplUI/Pages/CreativePages/CustomReportCreativeDetail.aspx?App=23&amp;ReportView=4&amp;Qid=1711279&amp;Row=12052&amp;Col=1","No Title Assigned - #15272841227")</f>
        <v/>
      </c>
      <c r="B12060" s="0" t="s">
        <v>16297</v>
      </c>
      <c r="E12060" s="0" t="inlineStr">
        <is>
          <t xml:space="preserve">Mazda</t>
        </is>
      </c>
      <c r="F12060" s="0" t="inlineStr">
        <is>
          <t xml:space="preserve">Mazda</t>
        </is>
      </c>
      <c r="G12060" s="0" t="s">
        <v>171</v>
      </c>
      <c r="H12060" s="5">
        <v>45.400700</v>
      </c>
    </row>
    <row r="12061" spans="1:9">
      <c r="A12061" s="22" t="str">
        <f>HYPERLINK("https://app.vivvix.com/360/KMI/IntelliDrive/ApplUI/Pages/CreativePages/CustomReportCreativeDetail.aspx?App=23&amp;ReportView=4&amp;Qid=1711279&amp;Row=12053&amp;Col=1","No Title Assigned - #15272841399")</f>
        <v/>
      </c>
      <c r="B12061" s="0" t="s">
        <v>16298</v>
      </c>
      <c r="E12061" s="0" t="inlineStr">
        <is>
          <t xml:space="preserve">Mazda</t>
        </is>
      </c>
      <c r="F12061" s="0" t="inlineStr">
        <is>
          <t xml:space="preserve">Mazda</t>
        </is>
      </c>
      <c r="G12061" s="0" t="s">
        <v>171</v>
      </c>
      <c r="H12061" s="5">
        <v>1.350900</v>
      </c>
    </row>
    <row r="12062" spans="1:9">
      <c r="A12062" s="22" t="str">
        <f>HYPERLINK("https://app.vivvix.com/360/KMI/IntelliDrive/ApplUI/Pages/CreativePages/CustomReportCreativeDetail.aspx?App=23&amp;ReportView=4&amp;Qid=1711279&amp;Row=12054&amp;Col=1","No Title Assigned - #15272841495")</f>
        <v/>
      </c>
      <c r="B12062" s="0" t="s">
        <v>16299</v>
      </c>
      <c r="E12062" s="0" t="inlineStr">
        <is>
          <t xml:space="preserve">Mazda</t>
        </is>
      </c>
      <c r="F12062" s="0" t="inlineStr">
        <is>
          <t xml:space="preserve">Mazda</t>
        </is>
      </c>
      <c r="G12062" s="0" t="s">
        <v>171</v>
      </c>
      <c r="H12062" s="5">
        <v>303.306400</v>
      </c>
    </row>
    <row r="12063" spans="1:9">
      <c r="A12063" s="22" t="str">
        <f>HYPERLINK("https://app.vivvix.com/360/KMI/IntelliDrive/ApplUI/Pages/CreativePages/CustomReportCreativeDetail.aspx?App=23&amp;ReportView=4&amp;Qid=1711279&amp;Row=12055&amp;Col=1","No Title Assigned - #15272841533")</f>
        <v/>
      </c>
      <c r="B12063" s="0" t="s">
        <v>16300</v>
      </c>
      <c r="E12063" s="0" t="inlineStr">
        <is>
          <t xml:space="preserve">Mazda</t>
        </is>
      </c>
      <c r="F12063" s="0" t="inlineStr">
        <is>
          <t xml:space="preserve">Mazda</t>
        </is>
      </c>
      <c r="G12063" s="0" t="s">
        <v>171</v>
      </c>
      <c r="H12063" s="5">
        <v>770.655100</v>
      </c>
    </row>
    <row r="12064" spans="1:9">
      <c r="A12064" s="22" t="str">
        <f>HYPERLINK("https://app.vivvix.com/360/KMI/IntelliDrive/ApplUI/Pages/CreativePages/CustomReportCreativeDetail.aspx?App=23&amp;ReportView=4&amp;Qid=1711279&amp;Row=12056&amp;Col=1","No Title Assigned - #15272841569")</f>
        <v/>
      </c>
      <c r="B12064" s="0" t="s">
        <v>16301</v>
      </c>
      <c r="E12064" s="0" t="inlineStr">
        <is>
          <t xml:space="preserve">Mazda</t>
        </is>
      </c>
      <c r="F12064" s="0" t="inlineStr">
        <is>
          <t xml:space="preserve">Mazda</t>
        </is>
      </c>
      <c r="G12064" s="0" t="s">
        <v>171</v>
      </c>
      <c r="H12064" s="5">
        <v>0.392100</v>
      </c>
    </row>
    <row r="12065" spans="1:9">
      <c r="A12065" s="22" t="str">
        <f>HYPERLINK("https://app.vivvix.com/360/KMI/IntelliDrive/ApplUI/Pages/CreativePages/CustomReportCreativeDetail.aspx?App=23&amp;ReportView=4&amp;Qid=1711279&amp;Row=12057&amp;Col=1","No Title Assigned - #15272841678")</f>
        <v/>
      </c>
      <c r="B12065" s="0" t="s">
        <v>16302</v>
      </c>
      <c r="E12065" s="0" t="inlineStr">
        <is>
          <t xml:space="preserve">Mazda</t>
        </is>
      </c>
      <c r="F12065" s="0" t="inlineStr">
        <is>
          <t xml:space="preserve">Mazda</t>
        </is>
      </c>
      <c r="G12065" s="0" t="s">
        <v>171</v>
      </c>
      <c r="H12065" s="5">
        <v>103.104000</v>
      </c>
    </row>
    <row r="12066" spans="1:9">
      <c r="A12066" s="22" t="str">
        <f>HYPERLINK("https://app.vivvix.com/360/KMI/IntelliDrive/ApplUI/Pages/CreativePages/CustomReportCreativeDetail.aspx?App=23&amp;ReportView=4&amp;Qid=1711279&amp;Row=12058&amp;Col=1","No Title Assigned - #15272841842")</f>
        <v/>
      </c>
      <c r="B12066" s="0" t="s">
        <v>16303</v>
      </c>
      <c r="E12066" s="0" t="inlineStr">
        <is>
          <t xml:space="preserve">Mazda</t>
        </is>
      </c>
      <c r="F12066" s="0" t="inlineStr">
        <is>
          <t xml:space="preserve">Mazda</t>
        </is>
      </c>
      <c r="G12066" s="0" t="s">
        <v>171</v>
      </c>
      <c r="H12066" s="5">
        <v>263.871700</v>
      </c>
    </row>
    <row r="12067" spans="1:9">
      <c r="A12067" s="22" t="str">
        <f>HYPERLINK("https://app.vivvix.com/360/KMI/IntelliDrive/ApplUI/Pages/CreativePages/CustomReportCreativeDetail.aspx?App=23&amp;ReportView=4&amp;Qid=1711279&amp;Row=12059&amp;Col=1","No Title Assigned - #15272841997")</f>
        <v/>
      </c>
      <c r="B12067" s="0" t="s">
        <v>16304</v>
      </c>
      <c r="C12067" s="0" t="s">
        <v>16305</v>
      </c>
      <c r="D12067" s="0" t="s">
        <v>16305</v>
      </c>
      <c r="E12067" s="0" t="inlineStr">
        <is>
          <t xml:space="preserve">Mazda</t>
        </is>
      </c>
      <c r="F12067" s="0" t="inlineStr">
        <is>
          <t xml:space="preserve">Mazda</t>
        </is>
      </c>
      <c r="G12067" s="0" t="s">
        <v>171</v>
      </c>
      <c r="H12067" s="5">
        <v>807.031000</v>
      </c>
    </row>
    <row r="12068" spans="1:9">
      <c r="A12068" s="22" t="str">
        <f>HYPERLINK("https://app.vivvix.com/360/KMI/IntelliDrive/ApplUI/Pages/CreativePages/CustomReportCreativeDetail.aspx?App=23&amp;ReportView=4&amp;Qid=1711279&amp;Row=12060&amp;Col=1","No Title Assigned - #15272842132")</f>
        <v/>
      </c>
      <c r="B12068" s="0" t="s">
        <v>16306</v>
      </c>
      <c r="C12068" s="0" t="s">
        <v>16307</v>
      </c>
      <c r="D12068" s="0" t="s">
        <v>4204</v>
      </c>
      <c r="E12068" s="0" t="inlineStr">
        <is>
          <t xml:space="preserve">Mazda</t>
        </is>
      </c>
      <c r="F12068" s="0" t="s">
        <v>28</v>
      </c>
      <c r="G12068" s="0" t="s">
        <v>29</v>
      </c>
      <c r="H12068" s="5">
        <v>3.211000</v>
      </c>
    </row>
    <row r="12069" spans="1:9">
      <c r="A12069" s="22" t="str">
        <f>HYPERLINK("https://app.vivvix.com/360/KMI/IntelliDrive/ApplUI/Pages/CreativePages/CustomReportCreativeDetail.aspx?App=23&amp;ReportView=4&amp;Qid=1711279&amp;Row=12061&amp;Col=1","No Title Assigned - #15272842141")</f>
        <v/>
      </c>
      <c r="B12069" s="0" t="s">
        <v>16308</v>
      </c>
      <c r="E12069" s="0" t="inlineStr">
        <is>
          <t xml:space="preserve">Mazda</t>
        </is>
      </c>
      <c r="F12069" s="0" t="inlineStr">
        <is>
          <t xml:space="preserve">Mazda</t>
        </is>
      </c>
      <c r="G12069" s="0" t="s">
        <v>171</v>
      </c>
      <c r="H12069" s="5">
        <v>4343.997800</v>
      </c>
    </row>
    <row r="12070" spans="1:9">
      <c r="A12070" s="22" t="str">
        <f>HYPERLINK("https://app.vivvix.com/360/KMI/IntelliDrive/ApplUI/Pages/CreativePages/CustomReportCreativeDetail.aspx?App=23&amp;ReportView=4&amp;Qid=1711279&amp;Row=12062&amp;Col=1","No Title Assigned - #15272842141")</f>
        <v/>
      </c>
      <c r="B12070" s="0" t="s">
        <v>16308</v>
      </c>
      <c r="E12070" s="0" t="inlineStr">
        <is>
          <t xml:space="preserve">Mazda</t>
        </is>
      </c>
      <c r="F12070" s="0" t="inlineStr">
        <is>
          <t xml:space="preserve">Mazda</t>
        </is>
      </c>
      <c r="G12070" s="0" t="s">
        <v>171</v>
      </c>
      <c r="H12070" s="5">
        <v>174212.641500</v>
      </c>
    </row>
    <row r="12071" spans="1:9">
      <c r="A12071" s="22" t="str">
        <f>HYPERLINK("https://app.vivvix.com/360/KMI/IntelliDrive/ApplUI/Pages/CreativePages/CustomReportCreativeDetail.aspx?App=23&amp;ReportView=4&amp;Qid=1711279&amp;Row=12063&amp;Col=1","No Title Assigned - #15272842352")</f>
        <v/>
      </c>
      <c r="B12071" s="0" t="s">
        <v>16309</v>
      </c>
      <c r="E12071" s="0" t="inlineStr">
        <is>
          <t xml:space="preserve">Mazda</t>
        </is>
      </c>
      <c r="F12071" s="0" t="inlineStr">
        <is>
          <t xml:space="preserve">Mazda</t>
        </is>
      </c>
      <c r="G12071" s="0" t="s">
        <v>171</v>
      </c>
      <c r="H12071" s="5">
        <v>72.490700</v>
      </c>
    </row>
    <row r="12072" spans="1:9">
      <c r="A12072" s="22" t="str">
        <f>HYPERLINK("https://app.vivvix.com/360/KMI/IntelliDrive/ApplUI/Pages/CreativePages/CustomReportCreativeDetail.aspx?App=23&amp;ReportView=4&amp;Qid=1711279&amp;Row=12064&amp;Col=1","No Title Assigned - #15272842510")</f>
        <v/>
      </c>
      <c r="B12072" s="0" t="s">
        <v>16310</v>
      </c>
      <c r="E12072" s="0" t="inlineStr">
        <is>
          <t xml:space="preserve">Mazda</t>
        </is>
      </c>
      <c r="F12072" s="0" t="inlineStr">
        <is>
          <t xml:space="preserve">Mazda</t>
        </is>
      </c>
      <c r="G12072" s="0" t="s">
        <v>171</v>
      </c>
      <c r="H12072" s="5">
        <v>11.342800</v>
      </c>
    </row>
    <row r="12073" spans="1:9">
      <c r="A12073" s="22" t="str">
        <f>HYPERLINK("https://app.vivvix.com/360/KMI/IntelliDrive/ApplUI/Pages/CreativePages/CustomReportCreativeDetail.aspx?App=23&amp;ReportView=4&amp;Qid=1711279&amp;Row=12065&amp;Col=1","No Title Assigned - #15272842948")</f>
        <v/>
      </c>
      <c r="B12073" s="0" t="s">
        <v>16311</v>
      </c>
      <c r="E12073" s="0" t="inlineStr">
        <is>
          <t xml:space="preserve">Mazda</t>
        </is>
      </c>
      <c r="F12073" s="0" t="inlineStr">
        <is>
          <t xml:space="preserve">Mazda</t>
        </is>
      </c>
      <c r="G12073" s="0" t="s">
        <v>171</v>
      </c>
      <c r="H12073" s="5">
        <v>18426.744100</v>
      </c>
    </row>
    <row r="12074" spans="1:9">
      <c r="A12074" s="22" t="str">
        <f>HYPERLINK("https://app.vivvix.com/360/KMI/IntelliDrive/ApplUI/Pages/CreativePages/CustomReportCreativeDetail.aspx?App=23&amp;ReportView=4&amp;Qid=1711279&amp;Row=12066&amp;Col=1","No Title Assigned - #15272843154")</f>
        <v/>
      </c>
      <c r="B12074" s="0" t="s">
        <v>16312</v>
      </c>
      <c r="E12074" s="0" t="inlineStr">
        <is>
          <t xml:space="preserve">Mazda</t>
        </is>
      </c>
      <c r="F12074" s="0" t="inlineStr">
        <is>
          <t xml:space="preserve">Mazda</t>
        </is>
      </c>
      <c r="G12074" s="0" t="s">
        <v>171</v>
      </c>
      <c r="H12074" s="5">
        <v>12.033500</v>
      </c>
    </row>
    <row r="12075" spans="1:9">
      <c r="A12075" s="22" t="str">
        <f>HYPERLINK("https://app.vivvix.com/360/KMI/IntelliDrive/ApplUI/Pages/CreativePages/CustomReportCreativeDetail.aspx?App=23&amp;ReportView=4&amp;Qid=1711279&amp;Row=12067&amp;Col=1","No Title Assigned - #15272843162")</f>
        <v/>
      </c>
      <c r="B12075" s="0" t="s">
        <v>16313</v>
      </c>
      <c r="E12075" s="0" t="inlineStr">
        <is>
          <t xml:space="preserve">Mazda</t>
        </is>
      </c>
      <c r="F12075" s="0" t="inlineStr">
        <is>
          <t xml:space="preserve">Mazda</t>
        </is>
      </c>
      <c r="G12075" s="0" t="s">
        <v>171</v>
      </c>
      <c r="H12075" s="5">
        <v>352.229000</v>
      </c>
    </row>
    <row r="12076" spans="1:9">
      <c r="A12076" s="22" t="str">
        <f>HYPERLINK("https://app.vivvix.com/360/KMI/IntelliDrive/ApplUI/Pages/CreativePages/CustomReportCreativeDetail.aspx?App=23&amp;ReportView=4&amp;Qid=1711279&amp;Row=12068&amp;Col=1","No Title Assigned - #15272843570")</f>
        <v/>
      </c>
      <c r="B12076" s="0" t="s">
        <v>16314</v>
      </c>
      <c r="E12076" s="0" t="inlineStr">
        <is>
          <t xml:space="preserve">Mazda</t>
        </is>
      </c>
      <c r="F12076" s="0" t="inlineStr">
        <is>
          <t xml:space="preserve">Mazda</t>
        </is>
      </c>
      <c r="G12076" s="0" t="s">
        <v>171</v>
      </c>
      <c r="H12076" s="5">
        <v>5558.093300</v>
      </c>
    </row>
    <row r="12077" spans="1:9">
      <c r="A12077" s="22" t="str">
        <f>HYPERLINK("https://app.vivvix.com/360/KMI/IntelliDrive/ApplUI/Pages/CreativePages/CustomReportCreativeDetail.aspx?App=23&amp;ReportView=4&amp;Qid=1711279&amp;Row=12069&amp;Col=1","No Title Assigned - #15272843698")</f>
        <v/>
      </c>
      <c r="B12077" s="0" t="s">
        <v>16315</v>
      </c>
      <c r="E12077" s="0" t="inlineStr">
        <is>
          <t xml:space="preserve">Mazda</t>
        </is>
      </c>
      <c r="F12077" s="0" t="inlineStr">
        <is>
          <t xml:space="preserve">Mazda</t>
        </is>
      </c>
      <c r="G12077" s="0" t="s">
        <v>171</v>
      </c>
      <c r="H12077" s="5">
        <v>85.275400</v>
      </c>
    </row>
    <row r="12078" spans="1:9">
      <c r="A12078" s="22" t="str">
        <f>HYPERLINK("https://app.vivvix.com/360/KMI/IntelliDrive/ApplUI/Pages/CreativePages/CustomReportCreativeDetail.aspx?App=23&amp;ReportView=4&amp;Qid=1711279&amp;Row=12070&amp;Col=1","No Title Assigned - #15272844276")</f>
        <v/>
      </c>
      <c r="B12078" s="0" t="s">
        <v>16316</v>
      </c>
      <c r="E12078" s="0" t="inlineStr">
        <is>
          <t xml:space="preserve">Mazda</t>
        </is>
      </c>
      <c r="F12078" s="0" t="inlineStr">
        <is>
          <t xml:space="preserve">Mazda</t>
        </is>
      </c>
      <c r="G12078" s="0" t="s">
        <v>171</v>
      </c>
      <c r="H12078" s="5">
        <v>287.157100</v>
      </c>
    </row>
    <row r="12079" spans="1:9">
      <c r="A12079" s="22" t="str">
        <f>HYPERLINK("https://app.vivvix.com/360/KMI/IntelliDrive/ApplUI/Pages/CreativePages/CustomReportCreativeDetail.aspx?App=23&amp;ReportView=4&amp;Qid=1711279&amp;Row=12071&amp;Col=1","No Title Assigned - #15272844277")</f>
        <v/>
      </c>
      <c r="B12079" s="0" t="s">
        <v>16317</v>
      </c>
      <c r="E12079" s="0" t="inlineStr">
        <is>
          <t xml:space="preserve">Mazda</t>
        </is>
      </c>
      <c r="F12079" s="0" t="inlineStr">
        <is>
          <t xml:space="preserve">Mazda</t>
        </is>
      </c>
      <c r="G12079" s="0" t="s">
        <v>171</v>
      </c>
      <c r="H12079" s="5">
        <v>113.732500</v>
      </c>
    </row>
    <row r="12080" spans="1:9">
      <c r="A12080" s="22" t="str">
        <f>HYPERLINK("https://app.vivvix.com/360/KMI/IntelliDrive/ApplUI/Pages/CreativePages/CustomReportCreativeDetail.aspx?App=23&amp;ReportView=4&amp;Qid=1711279&amp;Row=12072&amp;Col=1","No Title Assigned - #15272844575")</f>
        <v/>
      </c>
      <c r="B12080" s="0" t="s">
        <v>16318</v>
      </c>
      <c r="E12080" s="0" t="inlineStr">
        <is>
          <t xml:space="preserve">Mazda</t>
        </is>
      </c>
      <c r="F12080" s="0" t="inlineStr">
        <is>
          <t xml:space="preserve">Mazda</t>
        </is>
      </c>
      <c r="G12080" s="0" t="s">
        <v>171</v>
      </c>
      <c r="H12080" s="5">
        <v>231.708000</v>
      </c>
    </row>
    <row r="12081" spans="1:9">
      <c r="A12081" s="22" t="str">
        <f>HYPERLINK("https://app.vivvix.com/360/KMI/IntelliDrive/ApplUI/Pages/CreativePages/CustomReportCreativeDetail.aspx?App=23&amp;ReportView=4&amp;Qid=1711279&amp;Row=12073&amp;Col=1","No Title Assigned - #15272844887")</f>
        <v/>
      </c>
      <c r="B12081" s="0" t="s">
        <v>16319</v>
      </c>
      <c r="C12081" s="0" t="s">
        <v>16320</v>
      </c>
      <c r="D12081" s="0" t="s">
        <v>16320</v>
      </c>
      <c r="E12081" s="0" t="inlineStr">
        <is>
          <t xml:space="preserve">Mazda</t>
        </is>
      </c>
      <c r="F12081" s="0" t="s">
        <v>21</v>
      </c>
      <c r="G12081" s="0" t="s">
        <v>22</v>
      </c>
      <c r="H12081" s="5">
        <v>383.717200</v>
      </c>
    </row>
    <row r="12082" spans="1:9">
      <c r="A12082" s="22" t="str">
        <f>HYPERLINK("https://app.vivvix.com/360/KMI/IntelliDrive/ApplUI/Pages/CreativePages/CustomReportCreativeDetail.aspx?App=23&amp;ReportView=4&amp;Qid=1711279&amp;Row=12074&amp;Col=1","No Title Assigned - #15272844991")</f>
        <v/>
      </c>
      <c r="B12082" s="0" t="s">
        <v>16321</v>
      </c>
      <c r="E12082" s="0" t="inlineStr">
        <is>
          <t xml:space="preserve">Mazda</t>
        </is>
      </c>
      <c r="F12082" s="0" t="inlineStr">
        <is>
          <t xml:space="preserve">Mazda</t>
        </is>
      </c>
      <c r="G12082" s="0" t="s">
        <v>171</v>
      </c>
      <c r="H12082" s="5">
        <v>21.878400</v>
      </c>
    </row>
    <row r="12083" spans="1:9">
      <c r="A12083" s="22" t="str">
        <f>HYPERLINK("https://app.vivvix.com/360/KMI/IntelliDrive/ApplUI/Pages/CreativePages/CustomReportCreativeDetail.aspx?App=23&amp;ReportView=4&amp;Qid=1711279&amp;Row=12075&amp;Col=1","No Title Assigned - #15272845065")</f>
        <v/>
      </c>
      <c r="B12083" s="0" t="s">
        <v>16322</v>
      </c>
      <c r="E12083" s="0" t="inlineStr">
        <is>
          <t xml:space="preserve">Mazda</t>
        </is>
      </c>
      <c r="F12083" s="0" t="inlineStr">
        <is>
          <t xml:space="preserve">Mazda</t>
        </is>
      </c>
      <c r="G12083" s="0" t="s">
        <v>171</v>
      </c>
      <c r="H12083" s="5">
        <v>66.640800</v>
      </c>
    </row>
    <row r="12084" spans="1:9">
      <c r="A12084" s="22" t="str">
        <f>HYPERLINK("https://app.vivvix.com/360/KMI/IntelliDrive/ApplUI/Pages/CreativePages/CustomReportCreativeDetail.aspx?App=23&amp;ReportView=4&amp;Qid=1711279&amp;Row=12076&amp;Col=1","No Title Assigned - #15272845250")</f>
        <v/>
      </c>
      <c r="B12084" s="0" t="s">
        <v>16323</v>
      </c>
      <c r="E12084" s="0" t="inlineStr">
        <is>
          <t xml:space="preserve">Mazda</t>
        </is>
      </c>
      <c r="F12084" s="0" t="inlineStr">
        <is>
          <t xml:space="preserve">Mazda</t>
        </is>
      </c>
      <c r="G12084" s="0" t="s">
        <v>171</v>
      </c>
      <c r="H12084" s="5">
        <v>160.840800</v>
      </c>
    </row>
    <row r="12085" spans="1:9">
      <c r="A12085" s="22" t="str">
        <f>HYPERLINK("https://app.vivvix.com/360/KMI/IntelliDrive/ApplUI/Pages/CreativePages/CustomReportCreativeDetail.aspx?App=23&amp;ReportView=4&amp;Qid=1711279&amp;Row=12077&amp;Col=1","No Title Assigned - #15272845329")</f>
        <v/>
      </c>
      <c r="B12085" s="0" t="s">
        <v>16324</v>
      </c>
      <c r="C12085" s="0" t="s">
        <v>16325</v>
      </c>
      <c r="D12085" s="0" t="s">
        <v>16325</v>
      </c>
      <c r="E12085" s="0" t="inlineStr">
        <is>
          <t xml:space="preserve">Mazda</t>
        </is>
      </c>
      <c r="F12085" s="0" t="inlineStr">
        <is>
          <t xml:space="preserve">Mazda</t>
        </is>
      </c>
      <c r="G12085" s="0" t="s">
        <v>171</v>
      </c>
      <c r="H12085" s="5">
        <v>41.633600</v>
      </c>
    </row>
    <row r="12086" spans="1:9">
      <c r="A12086" s="22" t="str">
        <f>HYPERLINK("https://app.vivvix.com/360/KMI/IntelliDrive/ApplUI/Pages/CreativePages/CustomReportCreativeDetail.aspx?App=23&amp;ReportView=4&amp;Qid=1711279&amp;Row=12078&amp;Col=1","No Title Assigned - #15272845371")</f>
        <v/>
      </c>
      <c r="B12086" s="0" t="s">
        <v>16326</v>
      </c>
      <c r="C12086" s="0" t="s">
        <v>16327</v>
      </c>
      <c r="D12086" s="0" t="s">
        <v>10004</v>
      </c>
      <c r="E12086" s="0" t="inlineStr">
        <is>
          <t xml:space="preserve">Mazda</t>
        </is>
      </c>
      <c r="F12086" s="0" t="s">
        <v>13</v>
      </c>
      <c r="G12086" s="0" t="s">
        <v>49</v>
      </c>
      <c r="H12086" s="5">
        <v>229.759500</v>
      </c>
    </row>
    <row r="12087" spans="1:9">
      <c r="A12087" s="22" t="str">
        <f>HYPERLINK("https://app.vivvix.com/360/KMI/IntelliDrive/ApplUI/Pages/CreativePages/CustomReportCreativeDetail.aspx?App=23&amp;ReportView=4&amp;Qid=1711279&amp;Row=12079&amp;Col=1","No Title Assigned - #15272845373")</f>
        <v/>
      </c>
      <c r="B12087" s="0" t="s">
        <v>16328</v>
      </c>
      <c r="E12087" s="0" t="inlineStr">
        <is>
          <t xml:space="preserve">Mazda</t>
        </is>
      </c>
      <c r="F12087" s="0" t="inlineStr">
        <is>
          <t xml:space="preserve">Mazda</t>
        </is>
      </c>
      <c r="G12087" s="0" t="s">
        <v>171</v>
      </c>
      <c r="H12087" s="5">
        <v>9.592800</v>
      </c>
    </row>
    <row r="12088" spans="1:9">
      <c r="A12088" s="22" t="str">
        <f>HYPERLINK("https://app.vivvix.com/360/KMI/IntelliDrive/ApplUI/Pages/CreativePages/CustomReportCreativeDetail.aspx?App=23&amp;ReportView=4&amp;Qid=1711279&amp;Row=12080&amp;Col=1","No Title Assigned - #15272845444")</f>
        <v/>
      </c>
      <c r="B12088" s="0" t="s">
        <v>16329</v>
      </c>
      <c r="E12088" s="0" t="inlineStr">
        <is>
          <t xml:space="preserve">Mazda</t>
        </is>
      </c>
      <c r="F12088" s="0" t="inlineStr">
        <is>
          <t xml:space="preserve">Mazda</t>
        </is>
      </c>
      <c r="G12088" s="0" t="s">
        <v>171</v>
      </c>
      <c r="H12088" s="5">
        <v>3070.826200</v>
      </c>
    </row>
    <row r="12089" spans="1:9">
      <c r="A12089" s="22" t="str">
        <f>HYPERLINK("https://app.vivvix.com/360/KMI/IntelliDrive/ApplUI/Pages/CreativePages/CustomReportCreativeDetail.aspx?App=23&amp;ReportView=4&amp;Qid=1711279&amp;Row=12081&amp;Col=1","No Title Assigned - #15272845625")</f>
        <v/>
      </c>
      <c r="B12089" s="0" t="s">
        <v>16330</v>
      </c>
      <c r="E12089" s="0" t="inlineStr">
        <is>
          <t xml:space="preserve">Mazda</t>
        </is>
      </c>
      <c r="F12089" s="0" t="inlineStr">
        <is>
          <t xml:space="preserve">Mazda</t>
        </is>
      </c>
      <c r="G12089" s="0" t="s">
        <v>171</v>
      </c>
      <c r="H12089" s="5">
        <v>10.264000</v>
      </c>
    </row>
    <row r="12090" spans="1:9">
      <c r="A12090" s="22" t="str">
        <f>HYPERLINK("https://app.vivvix.com/360/KMI/IntelliDrive/ApplUI/Pages/CreativePages/CustomReportCreativeDetail.aspx?App=23&amp;ReportView=4&amp;Qid=1711279&amp;Row=12082&amp;Col=1","No Title Assigned - #15272846215")</f>
        <v/>
      </c>
      <c r="B12090" s="0" t="s">
        <v>16331</v>
      </c>
      <c r="C12090" s="0" t="s">
        <v>16332</v>
      </c>
      <c r="D12090" s="0" t="s">
        <v>16332</v>
      </c>
      <c r="E12090" s="0" t="inlineStr">
        <is>
          <t xml:space="preserve">Mazda</t>
        </is>
      </c>
      <c r="F12090" s="0" t="inlineStr">
        <is>
          <t xml:space="preserve">Mazda</t>
        </is>
      </c>
      <c r="G12090" s="0" t="s">
        <v>171</v>
      </c>
      <c r="H12090" s="5">
        <v>159.977100</v>
      </c>
    </row>
    <row r="12091" spans="1:9">
      <c r="A12091" s="22" t="str">
        <f>HYPERLINK("https://app.vivvix.com/360/KMI/IntelliDrive/ApplUI/Pages/CreativePages/CustomReportCreativeDetail.aspx?App=23&amp;ReportView=4&amp;Qid=1711279&amp;Row=12083&amp;Col=1","No Title Assigned - #15272846336")</f>
        <v/>
      </c>
      <c r="B12091" s="0" t="s">
        <v>16333</v>
      </c>
      <c r="E12091" s="0" t="inlineStr">
        <is>
          <t xml:space="preserve">Mazda</t>
        </is>
      </c>
      <c r="F12091" s="0" t="inlineStr">
        <is>
          <t xml:space="preserve">Mazda</t>
        </is>
      </c>
      <c r="G12091" s="0" t="s">
        <v>171</v>
      </c>
      <c r="H12091" s="5">
        <v>7.024000</v>
      </c>
    </row>
    <row r="12092" spans="1:9">
      <c r="A12092" s="22" t="str">
        <f>HYPERLINK("https://app.vivvix.com/360/KMI/IntelliDrive/ApplUI/Pages/CreativePages/CustomReportCreativeDetail.aspx?App=23&amp;ReportView=4&amp;Qid=1711279&amp;Row=12084&amp;Col=1","No Title Assigned - #15272847131")</f>
        <v/>
      </c>
      <c r="B12092" s="0" t="s">
        <v>16334</v>
      </c>
      <c r="C12092" s="0" t="s">
        <v>16335</v>
      </c>
      <c r="D12092" s="0" t="s">
        <v>16335</v>
      </c>
      <c r="E12092" s="0" t="inlineStr">
        <is>
          <t xml:space="preserve">Mazda</t>
        </is>
      </c>
      <c r="F12092" s="0" t="inlineStr">
        <is>
          <t xml:space="preserve">Mazda</t>
        </is>
      </c>
      <c r="G12092" s="0" t="s">
        <v>171</v>
      </c>
      <c r="H12092" s="5">
        <v>319.164400</v>
      </c>
    </row>
    <row r="12093" spans="1:9">
      <c r="A12093" s="22" t="str">
        <f>HYPERLINK("https://app.vivvix.com/360/KMI/IntelliDrive/ApplUI/Pages/CreativePages/CustomReportCreativeDetail.aspx?App=23&amp;ReportView=4&amp;Qid=1711279&amp;Row=12085&amp;Col=1","No Title Assigned - #15272847211")</f>
        <v/>
      </c>
      <c r="B12093" s="0" t="s">
        <v>16336</v>
      </c>
      <c r="E12093" s="0" t="inlineStr">
        <is>
          <t xml:space="preserve">Mazda</t>
        </is>
      </c>
      <c r="F12093" s="0" t="inlineStr">
        <is>
          <t xml:space="preserve">Mazda</t>
        </is>
      </c>
      <c r="G12093" s="0" t="s">
        <v>171</v>
      </c>
      <c r="H12093" s="5">
        <v>42.637700</v>
      </c>
    </row>
    <row r="12094" spans="1:9">
      <c r="A12094" s="22" t="str">
        <f>HYPERLINK("https://app.vivvix.com/360/KMI/IntelliDrive/ApplUI/Pages/CreativePages/CustomReportCreativeDetail.aspx?App=23&amp;ReportView=4&amp;Qid=1711279&amp;Row=12086&amp;Col=1","No Title Assigned - #15272847326")</f>
        <v/>
      </c>
      <c r="B12094" s="0" t="s">
        <v>16337</v>
      </c>
      <c r="E12094" s="0" t="inlineStr">
        <is>
          <t xml:space="preserve">Mazda</t>
        </is>
      </c>
      <c r="F12094" s="0" t="inlineStr">
        <is>
          <t xml:space="preserve">Mazda</t>
        </is>
      </c>
      <c r="G12094" s="0" t="s">
        <v>171</v>
      </c>
      <c r="H12094" s="5">
        <v>690.115500</v>
      </c>
    </row>
    <row r="12095" spans="1:9">
      <c r="A12095" s="22" t="str">
        <f>HYPERLINK("https://app.vivvix.com/360/KMI/IntelliDrive/ApplUI/Pages/CreativePages/CustomReportCreativeDetail.aspx?App=23&amp;ReportView=4&amp;Qid=1711279&amp;Row=12087&amp;Col=1","No Title Assigned - #15272847650")</f>
        <v/>
      </c>
      <c r="B12095" s="0" t="s">
        <v>16338</v>
      </c>
      <c r="C12095" s="0" t="s">
        <v>16339</v>
      </c>
      <c r="D12095" s="0" t="s">
        <v>16339</v>
      </c>
      <c r="E12095" s="0" t="inlineStr">
        <is>
          <t xml:space="preserve">Mazda</t>
        </is>
      </c>
      <c r="F12095" s="0" t="inlineStr">
        <is>
          <t xml:space="preserve">Mazda</t>
        </is>
      </c>
      <c r="G12095" s="0" t="s">
        <v>171</v>
      </c>
      <c r="H12095" s="5">
        <v>3.717500</v>
      </c>
    </row>
    <row r="12096" spans="1:9">
      <c r="A12096" s="22" t="str">
        <f>HYPERLINK("https://app.vivvix.com/360/KMI/IntelliDrive/ApplUI/Pages/CreativePages/CustomReportCreativeDetail.aspx?App=23&amp;ReportView=4&amp;Qid=1711279&amp;Row=12088&amp;Col=1","No Title Assigned - #15272847969")</f>
        <v/>
      </c>
      <c r="B12096" s="0" t="s">
        <v>16340</v>
      </c>
      <c r="E12096" s="0" t="inlineStr">
        <is>
          <t xml:space="preserve">Mazda</t>
        </is>
      </c>
      <c r="F12096" s="0" t="inlineStr">
        <is>
          <t xml:space="preserve">Mazda</t>
        </is>
      </c>
      <c r="G12096" s="0" t="s">
        <v>171</v>
      </c>
      <c r="H12096" s="5">
        <v>5.926900</v>
      </c>
    </row>
    <row r="12097" spans="1:9">
      <c r="A12097" s="22" t="str">
        <f>HYPERLINK("https://app.vivvix.com/360/KMI/IntelliDrive/ApplUI/Pages/CreativePages/CustomReportCreativeDetail.aspx?App=23&amp;ReportView=4&amp;Qid=1711279&amp;Row=12089&amp;Col=1","No Title Assigned - #15272848022")</f>
        <v/>
      </c>
      <c r="B12097" s="0" t="s">
        <v>16341</v>
      </c>
      <c r="E12097" s="0" t="inlineStr">
        <is>
          <t xml:space="preserve">Mazda</t>
        </is>
      </c>
      <c r="F12097" s="0" t="inlineStr">
        <is>
          <t xml:space="preserve">Mazda</t>
        </is>
      </c>
      <c r="G12097" s="0" t="s">
        <v>171</v>
      </c>
      <c r="H12097" s="5">
        <v>524.890000</v>
      </c>
    </row>
    <row r="12098" spans="1:9">
      <c r="A12098" s="22" t="str">
        <f>HYPERLINK("https://app.vivvix.com/360/KMI/IntelliDrive/ApplUI/Pages/CreativePages/CustomReportCreativeDetail.aspx?App=23&amp;ReportView=4&amp;Qid=1711279&amp;Row=12090&amp;Col=1","No Title Assigned - #15272849458")</f>
        <v/>
      </c>
      <c r="B12098" s="0" t="s">
        <v>16342</v>
      </c>
      <c r="E12098" s="0" t="inlineStr">
        <is>
          <t xml:space="preserve">Mazda</t>
        </is>
      </c>
      <c r="F12098" s="0" t="inlineStr">
        <is>
          <t xml:space="preserve">Mazda</t>
        </is>
      </c>
      <c r="G12098" s="0" t="s">
        <v>171</v>
      </c>
      <c r="H12098" s="5">
        <v>142.633500</v>
      </c>
    </row>
    <row r="12099" spans="1:9">
      <c r="A12099" s="22" t="str">
        <f>HYPERLINK("https://app.vivvix.com/360/KMI/IntelliDrive/ApplUI/Pages/CreativePages/CustomReportCreativeDetail.aspx?App=23&amp;ReportView=4&amp;Qid=1711279&amp;Row=12091&amp;Col=1","No Title Assigned - #15272850382")</f>
        <v/>
      </c>
      <c r="B12099" s="0" t="s">
        <v>16343</v>
      </c>
      <c r="E12099" s="0" t="inlineStr">
        <is>
          <t xml:space="preserve">Mazda</t>
        </is>
      </c>
      <c r="F12099" s="0" t="inlineStr">
        <is>
          <t xml:space="preserve">Mazda</t>
        </is>
      </c>
      <c r="G12099" s="0" t="s">
        <v>171</v>
      </c>
      <c r="H12099" s="5">
        <v>770.655100</v>
      </c>
    </row>
    <row r="12100" spans="1:9">
      <c r="A12100" s="22" t="str">
        <f>HYPERLINK("https://app.vivvix.com/360/KMI/IntelliDrive/ApplUI/Pages/CreativePages/CustomReportCreativeDetail.aspx?App=23&amp;ReportView=4&amp;Qid=1711279&amp;Row=12092&amp;Col=1","No Title Assigned - #15272851561")</f>
        <v/>
      </c>
      <c r="B12100" s="0" t="s">
        <v>16344</v>
      </c>
      <c r="E12100" s="0" t="inlineStr">
        <is>
          <t xml:space="preserve">Mazda</t>
        </is>
      </c>
      <c r="F12100" s="0" t="inlineStr">
        <is>
          <t xml:space="preserve">Mazda</t>
        </is>
      </c>
      <c r="G12100" s="0" t="s">
        <v>171</v>
      </c>
      <c r="H12100" s="5">
        <v>15.266500</v>
      </c>
    </row>
    <row r="12101" spans="1:9">
      <c r="A12101" s="22" t="str">
        <f>HYPERLINK("https://app.vivvix.com/360/KMI/IntelliDrive/ApplUI/Pages/CreativePages/CustomReportCreativeDetail.aspx?App=23&amp;ReportView=4&amp;Qid=1711279&amp;Row=12093&amp;Col=1","No Title Assigned - #15272851872")</f>
        <v/>
      </c>
      <c r="B12101" s="0" t="s">
        <v>16345</v>
      </c>
      <c r="E12101" s="0" t="inlineStr">
        <is>
          <t xml:space="preserve">Mazda</t>
        </is>
      </c>
      <c r="F12101" s="0" t="inlineStr">
        <is>
          <t xml:space="preserve">Mazda</t>
        </is>
      </c>
      <c r="G12101" s="0" t="s">
        <v>171</v>
      </c>
      <c r="H12101" s="5">
        <v>4340.411100</v>
      </c>
    </row>
    <row r="12102" spans="1:9">
      <c r="A12102" s="22" t="str">
        <f>HYPERLINK("https://app.vivvix.com/360/KMI/IntelliDrive/ApplUI/Pages/CreativePages/CustomReportCreativeDetail.aspx?App=23&amp;ReportView=4&amp;Qid=1711279&amp;Row=12094&amp;Col=1","No Title Assigned - #15272851872")</f>
        <v/>
      </c>
      <c r="B12102" s="0" t="s">
        <v>16345</v>
      </c>
      <c r="E12102" s="0" t="inlineStr">
        <is>
          <t xml:space="preserve">Mazda</t>
        </is>
      </c>
      <c r="F12102" s="0" t="inlineStr">
        <is>
          <t xml:space="preserve">Mazda</t>
        </is>
      </c>
      <c r="G12102" s="0" t="s">
        <v>171</v>
      </c>
      <c r="H12102" s="5">
        <v>13.625000</v>
      </c>
    </row>
    <row r="12103" spans="1:9">
      <c r="A12103" s="22" t="str">
        <f>HYPERLINK("https://app.vivvix.com/360/KMI/IntelliDrive/ApplUI/Pages/CreativePages/CustomReportCreativeDetail.aspx?App=23&amp;ReportView=4&amp;Qid=1711279&amp;Row=12095&amp;Col=1","No Title Assigned - #15272851961")</f>
        <v/>
      </c>
      <c r="B12103" s="0" t="s">
        <v>16346</v>
      </c>
      <c r="E12103" s="0" t="inlineStr">
        <is>
          <t xml:space="preserve">Mazda</t>
        </is>
      </c>
      <c r="F12103" s="0" t="inlineStr">
        <is>
          <t xml:space="preserve">Mazda</t>
        </is>
      </c>
      <c r="G12103" s="0" t="s">
        <v>171</v>
      </c>
      <c r="H12103" s="5">
        <v>6.535300</v>
      </c>
    </row>
    <row r="12104" spans="1:9">
      <c r="A12104" s="22" t="str">
        <f>HYPERLINK("https://app.vivvix.com/360/KMI/IntelliDrive/ApplUI/Pages/CreativePages/CustomReportCreativeDetail.aspx?App=23&amp;ReportView=4&amp;Qid=1711279&amp;Row=12096&amp;Col=1","No Title Assigned - #15272853031")</f>
        <v/>
      </c>
      <c r="B12104" s="0" t="s">
        <v>16347</v>
      </c>
      <c r="C12104" s="0" t="s">
        <v>16348</v>
      </c>
      <c r="D12104" s="0" t="s">
        <v>16348</v>
      </c>
      <c r="E12104" s="0" t="inlineStr">
        <is>
          <t xml:space="preserve">Mazda</t>
        </is>
      </c>
      <c r="F12104" s="0" t="inlineStr">
        <is>
          <t xml:space="preserve">Mazda</t>
        </is>
      </c>
      <c r="G12104" s="0" t="s">
        <v>171</v>
      </c>
      <c r="H12104" s="5">
        <v>43.641100</v>
      </c>
    </row>
    <row r="12105" spans="1:9">
      <c r="A12105" s="22" t="str">
        <f>HYPERLINK("https://app.vivvix.com/360/KMI/IntelliDrive/ApplUI/Pages/CreativePages/CustomReportCreativeDetail.aspx?App=23&amp;ReportView=4&amp;Qid=1711279&amp;Row=12097&amp;Col=1","No Title Assigned - #15272854494")</f>
        <v/>
      </c>
      <c r="B12105" s="0" t="s">
        <v>16349</v>
      </c>
      <c r="C12105" s="0" t="s">
        <v>16350</v>
      </c>
      <c r="D12105" s="0" t="s">
        <v>16350</v>
      </c>
      <c r="E12105" s="0" t="inlineStr">
        <is>
          <t xml:space="preserve">Mazda</t>
        </is>
      </c>
      <c r="F12105" s="0" t="inlineStr">
        <is>
          <t xml:space="preserve">Mazda</t>
        </is>
      </c>
      <c r="G12105" s="0" t="s">
        <v>171</v>
      </c>
      <c r="H12105" s="5">
        <v>416.927600</v>
      </c>
    </row>
    <row r="12106" spans="1:9">
      <c r="A12106" s="22" t="str">
        <f>HYPERLINK("https://app.vivvix.com/360/KMI/IntelliDrive/ApplUI/Pages/CreativePages/CustomReportCreativeDetail.aspx?App=23&amp;ReportView=4&amp;Qid=1711279&amp;Row=12098&amp;Col=1","No Title Assigned - #15272856920")</f>
        <v/>
      </c>
      <c r="B12106" s="0" t="s">
        <v>16351</v>
      </c>
      <c r="E12106" s="0" t="inlineStr">
        <is>
          <t xml:space="preserve">Mazda</t>
        </is>
      </c>
      <c r="F12106" s="0" t="inlineStr">
        <is>
          <t xml:space="preserve">Mazda</t>
        </is>
      </c>
      <c r="G12106" s="0" t="s">
        <v>171</v>
      </c>
      <c r="H12106" s="5">
        <v>2.140300</v>
      </c>
    </row>
    <row r="12107" spans="1:9">
      <c r="A12107" s="22" t="str">
        <f>HYPERLINK("https://app.vivvix.com/360/KMI/IntelliDrive/ApplUI/Pages/CreativePages/CustomReportCreativeDetail.aspx?App=23&amp;ReportView=4&amp;Qid=1711279&amp;Row=12099&amp;Col=1","No Title Assigned - #15272860249")</f>
        <v/>
      </c>
      <c r="B12107" s="0" t="s">
        <v>16352</v>
      </c>
      <c r="C12107" s="0" t="s">
        <v>16353</v>
      </c>
      <c r="D12107" s="0" t="s">
        <v>16353</v>
      </c>
      <c r="E12107" s="0" t="inlineStr">
        <is>
          <t xml:space="preserve">Mazda</t>
        </is>
      </c>
      <c r="F12107" s="0" t="s">
        <v>13</v>
      </c>
      <c r="G12107" s="0" t="s">
        <v>49</v>
      </c>
      <c r="H12107" s="5">
        <v>51.463700</v>
      </c>
    </row>
    <row r="12108" spans="1:9">
      <c r="A12108" s="22" t="str">
        <f>HYPERLINK("https://app.vivvix.com/360/KMI/IntelliDrive/ApplUI/Pages/CreativePages/CustomReportCreativeDetail.aspx?App=23&amp;ReportView=4&amp;Qid=1711279&amp;Row=12100&amp;Col=1","No Title Assigned - #15272861003")</f>
        <v/>
      </c>
      <c r="B12108" s="0" t="s">
        <v>16354</v>
      </c>
      <c r="E12108" s="0" t="inlineStr">
        <is>
          <t xml:space="preserve">Mazda</t>
        </is>
      </c>
      <c r="F12108" s="0" t="inlineStr">
        <is>
          <t xml:space="preserve">Mazda</t>
        </is>
      </c>
      <c r="G12108" s="0" t="s">
        <v>171</v>
      </c>
      <c r="H12108" s="5">
        <v>1.916600</v>
      </c>
    </row>
    <row r="12109" spans="1:9">
      <c r="A12109" s="22" t="str">
        <f>HYPERLINK("https://app.vivvix.com/360/KMI/IntelliDrive/ApplUI/Pages/CreativePages/CustomReportCreativeDetail.aspx?App=23&amp;ReportView=4&amp;Qid=1711279&amp;Row=12101&amp;Col=1","No Title Assigned - #15272861266")</f>
        <v/>
      </c>
      <c r="B12109" s="0" t="s">
        <v>16355</v>
      </c>
      <c r="E12109" s="0" t="inlineStr">
        <is>
          <t xml:space="preserve">Mazda</t>
        </is>
      </c>
      <c r="F12109" s="0" t="inlineStr">
        <is>
          <t xml:space="preserve">Mazda</t>
        </is>
      </c>
      <c r="G12109" s="0" t="s">
        <v>171</v>
      </c>
      <c r="H12109" s="5">
        <v>106.384800</v>
      </c>
    </row>
    <row r="12110" spans="1:9">
      <c r="A12110" s="22" t="str">
        <f>HYPERLINK("https://app.vivvix.com/360/KMI/IntelliDrive/ApplUI/Pages/CreativePages/CustomReportCreativeDetail.aspx?App=23&amp;ReportView=4&amp;Qid=1711279&amp;Row=12102&amp;Col=1","No Title Assigned - #15272861266")</f>
        <v/>
      </c>
      <c r="B12110" s="0" t="s">
        <v>16355</v>
      </c>
      <c r="E12110" s="0" t="inlineStr">
        <is>
          <t xml:space="preserve">Mazda</t>
        </is>
      </c>
      <c r="F12110" s="0" t="inlineStr">
        <is>
          <t xml:space="preserve">Mazda</t>
        </is>
      </c>
      <c r="G12110" s="0" t="s">
        <v>171</v>
      </c>
      <c r="H12110" s="5">
        <v>153.949500</v>
      </c>
    </row>
    <row r="12111" spans="1:9">
      <c r="A12111" s="22" t="str">
        <f>HYPERLINK("https://app.vivvix.com/360/KMI/IntelliDrive/ApplUI/Pages/CreativePages/CustomReportCreativeDetail.aspx?App=23&amp;ReportView=4&amp;Qid=1711279&amp;Row=12103&amp;Col=1","No Title Assigned - #15272863142")</f>
        <v/>
      </c>
      <c r="B12111" s="0" t="s">
        <v>16356</v>
      </c>
      <c r="E12111" s="0" t="inlineStr">
        <is>
          <t xml:space="preserve">Mazda</t>
        </is>
      </c>
      <c r="F12111" s="0" t="inlineStr">
        <is>
          <t xml:space="preserve">Mazda</t>
        </is>
      </c>
      <c r="G12111" s="0" t="s">
        <v>171</v>
      </c>
      <c r="H12111" s="5">
        <v>33.320400</v>
      </c>
    </row>
    <row r="12112" spans="1:9">
      <c r="A12112" s="22" t="str">
        <f>HYPERLINK("https://app.vivvix.com/360/KMI/IntelliDrive/ApplUI/Pages/CreativePages/CustomReportCreativeDetail.aspx?App=23&amp;ReportView=4&amp;Qid=1711279&amp;Row=12104&amp;Col=1","No Title Assigned - #15272864327")</f>
        <v/>
      </c>
      <c r="B12112" s="0" t="s">
        <v>16357</v>
      </c>
      <c r="E12112" s="0" t="inlineStr">
        <is>
          <t xml:space="preserve">Mazda</t>
        </is>
      </c>
      <c r="F12112" s="0" t="inlineStr">
        <is>
          <t xml:space="preserve">Mazda</t>
        </is>
      </c>
      <c r="G12112" s="0" t="s">
        <v>171</v>
      </c>
      <c r="H12112" s="5">
        <v>1.536100</v>
      </c>
    </row>
    <row r="12113" spans="1:9">
      <c r="A12113" s="22" t="str">
        <f>HYPERLINK("https://app.vivvix.com/360/KMI/IntelliDrive/ApplUI/Pages/CreativePages/CustomReportCreativeDetail.aspx?App=23&amp;ReportView=4&amp;Qid=1711279&amp;Row=12105&amp;Col=1","No Title Assigned - #15272864940")</f>
        <v/>
      </c>
      <c r="B12113" s="0" t="s">
        <v>16358</v>
      </c>
      <c r="E12113" s="0" t="inlineStr">
        <is>
          <t xml:space="preserve">Mazda</t>
        </is>
      </c>
      <c r="F12113" s="0" t="inlineStr">
        <is>
          <t xml:space="preserve">Mazda</t>
        </is>
      </c>
      <c r="G12113" s="0" t="s">
        <v>171</v>
      </c>
      <c r="H12113" s="5">
        <v>300.917100</v>
      </c>
    </row>
    <row r="12114" spans="1:9">
      <c r="A12114" s="22" t="str">
        <f>HYPERLINK("https://app.vivvix.com/360/KMI/IntelliDrive/ApplUI/Pages/CreativePages/CustomReportCreativeDetail.aspx?App=23&amp;ReportView=4&amp;Qid=1711279&amp;Row=12106&amp;Col=1","No Title Assigned - #15272864940")</f>
        <v/>
      </c>
      <c r="B12114" s="0" t="s">
        <v>16358</v>
      </c>
      <c r="E12114" s="0" t="inlineStr">
        <is>
          <t xml:space="preserve">Mazda</t>
        </is>
      </c>
      <c r="F12114" s="0" t="inlineStr">
        <is>
          <t xml:space="preserve">Mazda</t>
        </is>
      </c>
      <c r="G12114" s="0" t="s">
        <v>171</v>
      </c>
      <c r="H12114" s="5">
        <v>2743.953900</v>
      </c>
    </row>
    <row r="12115" spans="1:9">
      <c r="A12115" s="22" t="str">
        <f>HYPERLINK("https://app.vivvix.com/360/KMI/IntelliDrive/ApplUI/Pages/CreativePages/CustomReportCreativeDetail.aspx?App=23&amp;ReportView=4&amp;Qid=1711279&amp;Row=12107&amp;Col=1","No Title Assigned - #15272865771")</f>
        <v/>
      </c>
      <c r="B12115" s="0" t="s">
        <v>16359</v>
      </c>
      <c r="E12115" s="0" t="inlineStr">
        <is>
          <t xml:space="preserve">Mazda</t>
        </is>
      </c>
      <c r="F12115" s="0" t="inlineStr">
        <is>
          <t xml:space="preserve">Mazda</t>
        </is>
      </c>
      <c r="G12115" s="0" t="s">
        <v>171</v>
      </c>
      <c r="H12115" s="5">
        <v>8.606100</v>
      </c>
    </row>
    <row r="12116" spans="1:9">
      <c r="A12116" s="22" t="str">
        <f>HYPERLINK("https://app.vivvix.com/360/KMI/IntelliDrive/ApplUI/Pages/CreativePages/CustomReportCreativeDetail.aspx?App=23&amp;ReportView=4&amp;Qid=1711279&amp;Row=12108&amp;Col=1","No Title Assigned - #15272866916")</f>
        <v/>
      </c>
      <c r="B12116" s="0" t="s">
        <v>16360</v>
      </c>
      <c r="E12116" s="0" t="inlineStr">
        <is>
          <t xml:space="preserve">Mazda</t>
        </is>
      </c>
      <c r="F12116" s="0" t="inlineStr">
        <is>
          <t xml:space="preserve">Mazda</t>
        </is>
      </c>
      <c r="G12116" s="0" t="s">
        <v>171</v>
      </c>
      <c r="H12116" s="5">
        <v>63.352600</v>
      </c>
    </row>
    <row r="12117" spans="1:9">
      <c r="A12117" s="22" t="str">
        <f>HYPERLINK("https://app.vivvix.com/360/KMI/IntelliDrive/ApplUI/Pages/CreativePages/CustomReportCreativeDetail.aspx?App=23&amp;ReportView=4&amp;Qid=1711279&amp;Row=12109&amp;Col=1","No Title Assigned - #15272867299")</f>
        <v/>
      </c>
      <c r="B12117" s="0" t="s">
        <v>16361</v>
      </c>
      <c r="C12117" s="0" t="s">
        <v>16362</v>
      </c>
      <c r="D12117" s="0" t="s">
        <v>16362</v>
      </c>
      <c r="E12117" s="0" t="inlineStr">
        <is>
          <t xml:space="preserve">Mazda</t>
        </is>
      </c>
      <c r="F12117" s="0" t="inlineStr">
        <is>
          <t xml:space="preserve">Mazda</t>
        </is>
      </c>
      <c r="G12117" s="0" t="s">
        <v>171</v>
      </c>
      <c r="H12117" s="5">
        <v>56.758500</v>
      </c>
    </row>
    <row r="12118" spans="1:9">
      <c r="A12118" s="22" t="str">
        <f>HYPERLINK("https://app.vivvix.com/360/KMI/IntelliDrive/ApplUI/Pages/CreativePages/CustomReportCreativeDetail.aspx?App=23&amp;ReportView=4&amp;Qid=1711279&amp;Row=12110&amp;Col=1","No Title Assigned - #15272867405")</f>
        <v/>
      </c>
      <c r="B12118" s="0" t="s">
        <v>16363</v>
      </c>
      <c r="E12118" s="0" t="inlineStr">
        <is>
          <t xml:space="preserve">Mazda</t>
        </is>
      </c>
      <c r="F12118" s="0" t="inlineStr">
        <is>
          <t xml:space="preserve">Mazda</t>
        </is>
      </c>
      <c r="G12118" s="0" t="s">
        <v>171</v>
      </c>
      <c r="H12118" s="5">
        <v>19.727200</v>
      </c>
    </row>
    <row r="12119" spans="1:9">
      <c r="A12119" s="22" t="str">
        <f>HYPERLINK("https://app.vivvix.com/360/KMI/IntelliDrive/ApplUI/Pages/CreativePages/CustomReportCreativeDetail.aspx?App=23&amp;ReportView=4&amp;Qid=1711279&amp;Row=12111&amp;Col=1","No Title Assigned - #15272871910")</f>
        <v/>
      </c>
      <c r="B12119" s="0" t="s">
        <v>16364</v>
      </c>
      <c r="E12119" s="0" t="inlineStr">
        <is>
          <t xml:space="preserve">Mazda</t>
        </is>
      </c>
      <c r="F12119" s="0" t="inlineStr">
        <is>
          <t xml:space="preserve">Mazda</t>
        </is>
      </c>
      <c r="G12119" s="0" t="s">
        <v>171</v>
      </c>
      <c r="H12119" s="5">
        <v>15.209500</v>
      </c>
    </row>
    <row r="12120" spans="1:9">
      <c r="A12120" s="22" t="str">
        <f>HYPERLINK("https://app.vivvix.com/360/KMI/IntelliDrive/ApplUI/Pages/CreativePages/CustomReportCreativeDetail.aspx?App=23&amp;ReportView=4&amp;Qid=1711279&amp;Row=12112&amp;Col=1","No Title Assigned - #15272877142")</f>
        <v/>
      </c>
      <c r="B12120" s="0" t="s">
        <v>16365</v>
      </c>
      <c r="E12120" s="0" t="inlineStr">
        <is>
          <t xml:space="preserve">Mazda</t>
        </is>
      </c>
      <c r="F12120" s="0" t="inlineStr">
        <is>
          <t xml:space="preserve">Mazda</t>
        </is>
      </c>
      <c r="G12120" s="0" t="s">
        <v>171</v>
      </c>
      <c r="H12120" s="5">
        <v>0.324400</v>
      </c>
    </row>
    <row r="12121" spans="1:9">
      <c r="A12121" s="22" t="str">
        <f>HYPERLINK("https://app.vivvix.com/360/KMI/IntelliDrive/ApplUI/Pages/CreativePages/CustomReportCreativeDetail.aspx?App=23&amp;ReportView=4&amp;Qid=1711279&amp;Row=12113&amp;Col=1","No Title Assigned - #15272885162")</f>
        <v/>
      </c>
      <c r="B12121" s="0" t="s">
        <v>16366</v>
      </c>
      <c r="C12121" s="0" t="s">
        <v>16367</v>
      </c>
      <c r="D12121" s="0" t="s">
        <v>4335</v>
      </c>
      <c r="E12121" s="0" t="inlineStr">
        <is>
          <t xml:space="preserve">Mazda</t>
        </is>
      </c>
      <c r="F12121" s="0" t="s">
        <v>13</v>
      </c>
      <c r="G12121" s="0" t="s">
        <v>49</v>
      </c>
      <c r="H12121" s="5">
        <v>81.976300</v>
      </c>
    </row>
    <row r="12122" spans="1:9">
      <c r="A12122" s="22" t="str">
        <f>HYPERLINK("https://app.vivvix.com/360/KMI/IntelliDrive/ApplUI/Pages/CreativePages/CustomReportCreativeDetail.aspx?App=23&amp;ReportView=4&amp;Qid=1711279&amp;Row=12114&amp;Col=1","No Title Assigned - #15272886380")</f>
        <v/>
      </c>
      <c r="B12122" s="0" t="s">
        <v>16368</v>
      </c>
      <c r="C12122" s="0" t="s">
        <v>16369</v>
      </c>
      <c r="D12122" s="0" t="s">
        <v>4202</v>
      </c>
      <c r="E12122" s="0" t="inlineStr">
        <is>
          <t xml:space="preserve">Mazda</t>
        </is>
      </c>
      <c r="F12122" s="0" t="s">
        <v>28</v>
      </c>
      <c r="G12122" s="0" t="s">
        <v>29</v>
      </c>
      <c r="H12122" s="5">
        <v>558.337600</v>
      </c>
    </row>
    <row r="12123" spans="1:9">
      <c r="A12123" s="22" t="str">
        <f>HYPERLINK("https://app.vivvix.com/360/KMI/IntelliDrive/ApplUI/Pages/CreativePages/CustomReportCreativeDetail.aspx?App=23&amp;ReportView=4&amp;Qid=1711279&amp;Row=12115&amp;Col=1","No Title Assigned - #15272889091")</f>
        <v/>
      </c>
      <c r="B12123" s="0" t="s">
        <v>16370</v>
      </c>
      <c r="C12123" s="0" t="s">
        <v>16371</v>
      </c>
      <c r="D12123" s="0" t="s">
        <v>8588</v>
      </c>
      <c r="E12123" s="0" t="inlineStr">
        <is>
          <t xml:space="preserve">Mazda</t>
        </is>
      </c>
      <c r="F12123" s="0" t="s">
        <v>13</v>
      </c>
      <c r="G12123" s="0" t="s">
        <v>49</v>
      </c>
      <c r="H12123" s="5">
        <v>107.565200</v>
      </c>
    </row>
    <row r="12124" spans="1:9">
      <c r="A12124" s="22" t="str">
        <f>HYPERLINK("https://app.vivvix.com/360/KMI/IntelliDrive/ApplUI/Pages/CreativePages/CustomReportCreativeDetail.aspx?App=23&amp;ReportView=4&amp;Qid=1711279&amp;Row=12116&amp;Col=1","No Title Assigned - #15272896750")</f>
        <v/>
      </c>
      <c r="B12124" s="0" t="s">
        <v>16372</v>
      </c>
      <c r="E12124" s="0" t="inlineStr">
        <is>
          <t xml:space="preserve">Mazda</t>
        </is>
      </c>
      <c r="F12124" s="0" t="s">
        <v>13</v>
      </c>
      <c r="G12124" s="0" t="s">
        <v>49</v>
      </c>
      <c r="H12124" s="5">
        <v>70.154000</v>
      </c>
    </row>
    <row r="12125" spans="1:9">
      <c r="A12125" s="22" t="str">
        <f>HYPERLINK("https://app.vivvix.com/360/KMI/IntelliDrive/ApplUI/Pages/CreativePages/CustomReportCreativeDetail.aspx?App=23&amp;ReportView=4&amp;Qid=1711279&amp;Row=12117&amp;Col=1","No Title Assigned - #15272898307")</f>
        <v/>
      </c>
      <c r="B12125" s="0" t="s">
        <v>16373</v>
      </c>
      <c r="E12125" s="0" t="inlineStr">
        <is>
          <t xml:space="preserve">Mazda</t>
        </is>
      </c>
      <c r="F12125" s="0" t="inlineStr">
        <is>
          <t xml:space="preserve">Mazda</t>
        </is>
      </c>
      <c r="G12125" s="0" t="s">
        <v>171</v>
      </c>
      <c r="H12125" s="5">
        <v>106.568600</v>
      </c>
    </row>
    <row r="12126" spans="1:9">
      <c r="A12126" s="22" t="str">
        <f>HYPERLINK("https://app.vivvix.com/360/KMI/IntelliDrive/ApplUI/Pages/CreativePages/CustomReportCreativeDetail.aspx?App=23&amp;ReportView=4&amp;Qid=1711279&amp;Row=12118&amp;Col=1","No Title Assigned - #15272898611")</f>
        <v/>
      </c>
      <c r="B12126" s="0" t="s">
        <v>16374</v>
      </c>
      <c r="E12126" s="0" t="inlineStr">
        <is>
          <t xml:space="preserve">Mazda</t>
        </is>
      </c>
      <c r="F12126" s="0" t="inlineStr">
        <is>
          <t xml:space="preserve">Mazda</t>
        </is>
      </c>
      <c r="G12126" s="0" t="s">
        <v>171</v>
      </c>
      <c r="H12126" s="5">
        <v>23.365400</v>
      </c>
    </row>
    <row r="12127" spans="1:9">
      <c r="A12127" s="22" t="str">
        <f>HYPERLINK("https://app.vivvix.com/360/KMI/IntelliDrive/ApplUI/Pages/CreativePages/CustomReportCreativeDetail.aspx?App=23&amp;ReportView=4&amp;Qid=1711279&amp;Row=12119&amp;Col=1","No Title Assigned - #15272900510")</f>
        <v/>
      </c>
      <c r="B12127" s="0" t="s">
        <v>16375</v>
      </c>
      <c r="E12127" s="0" t="inlineStr">
        <is>
          <t xml:space="preserve">Mazda</t>
        </is>
      </c>
      <c r="F12127" s="0" t="s">
        <v>13</v>
      </c>
      <c r="G12127" s="0" t="s">
        <v>49</v>
      </c>
      <c r="H12127" s="5">
        <v>141.863500</v>
      </c>
    </row>
    <row r="12128" spans="1:9">
      <c r="A12128" s="22" t="str">
        <f>HYPERLINK("https://app.vivvix.com/360/KMI/IntelliDrive/ApplUI/Pages/CreativePages/CustomReportCreativeDetail.aspx?App=23&amp;ReportView=4&amp;Qid=1711279&amp;Row=12120&amp;Col=1","No Title Assigned - #15272902837")</f>
        <v/>
      </c>
      <c r="B12128" s="0" t="s">
        <v>16376</v>
      </c>
      <c r="E12128" s="0" t="inlineStr">
        <is>
          <t xml:space="preserve">Mazda</t>
        </is>
      </c>
      <c r="F12128" s="0" t="inlineStr">
        <is>
          <t xml:space="preserve">Mazda</t>
        </is>
      </c>
      <c r="G12128" s="0" t="s">
        <v>171</v>
      </c>
      <c r="H12128" s="5">
        <v>7.510500</v>
      </c>
    </row>
    <row r="12129" spans="1:9">
      <c r="A12129" s="22" t="str">
        <f>HYPERLINK("https://app.vivvix.com/360/KMI/IntelliDrive/ApplUI/Pages/CreativePages/CustomReportCreativeDetail.aspx?App=23&amp;ReportView=4&amp;Qid=1711279&amp;Row=12121&amp;Col=1","No Title Assigned - #15272905331")</f>
        <v/>
      </c>
      <c r="B12129" s="0" t="s">
        <v>16377</v>
      </c>
      <c r="E12129" s="0" t="inlineStr">
        <is>
          <t xml:space="preserve">Mazda</t>
        </is>
      </c>
      <c r="F12129" s="0" t="inlineStr">
        <is>
          <t xml:space="preserve">Mazda</t>
        </is>
      </c>
      <c r="G12129" s="0" t="s">
        <v>171</v>
      </c>
      <c r="H12129" s="5">
        <v>9.305800</v>
      </c>
    </row>
    <row r="12130" spans="1:9">
      <c r="A12130" s="22" t="str">
        <f>HYPERLINK("https://app.vivvix.com/360/KMI/IntelliDrive/ApplUI/Pages/CreativePages/CustomReportCreativeDetail.aspx?App=23&amp;ReportView=4&amp;Qid=1711279&amp;Row=12122&amp;Col=1","No Title Assigned - #15272905895")</f>
        <v/>
      </c>
      <c r="B12130" s="0" t="s">
        <v>16378</v>
      </c>
      <c r="E12130" s="0" t="inlineStr">
        <is>
          <t xml:space="preserve">Mazda</t>
        </is>
      </c>
      <c r="F12130" s="0" t="inlineStr">
        <is>
          <t xml:space="preserve">Mazda</t>
        </is>
      </c>
      <c r="G12130" s="0" t="s">
        <v>171</v>
      </c>
      <c r="H12130" s="5">
        <v>1093.733300</v>
      </c>
    </row>
    <row r="12131" spans="1:9">
      <c r="A12131" s="22" t="str">
        <f>HYPERLINK("https://app.vivvix.com/360/KMI/IntelliDrive/ApplUI/Pages/CreativePages/CustomReportCreativeDetail.aspx?App=23&amp;ReportView=4&amp;Qid=1711279&amp;Row=12123&amp;Col=1","No Title Assigned - #15272910421")</f>
        <v/>
      </c>
      <c r="B12131" s="0" t="s">
        <v>16379</v>
      </c>
      <c r="E12131" s="0" t="inlineStr">
        <is>
          <t xml:space="preserve">Mazda</t>
        </is>
      </c>
      <c r="F12131" s="0" t="inlineStr">
        <is>
          <t xml:space="preserve">Mazda</t>
        </is>
      </c>
      <c r="G12131" s="0" t="s">
        <v>171</v>
      </c>
      <c r="H12131" s="5">
        <v>5017.572200</v>
      </c>
    </row>
    <row r="12132" spans="1:9">
      <c r="A12132" s="22" t="str">
        <f>HYPERLINK("https://app.vivvix.com/360/KMI/IntelliDrive/ApplUI/Pages/CreativePages/CustomReportCreativeDetail.aspx?App=23&amp;ReportView=4&amp;Qid=1711279&amp;Row=12124&amp;Col=1","No Title Assigned - #15272910914")</f>
        <v/>
      </c>
      <c r="B12132" s="0" t="s">
        <v>16380</v>
      </c>
      <c r="E12132" s="0" t="inlineStr">
        <is>
          <t xml:space="preserve">Mazda</t>
        </is>
      </c>
      <c r="F12132" s="0" t="inlineStr">
        <is>
          <t xml:space="preserve">Mazda</t>
        </is>
      </c>
      <c r="G12132" s="0" t="s">
        <v>171</v>
      </c>
      <c r="H12132" s="5">
        <v>6244.870600</v>
      </c>
    </row>
    <row r="12133" spans="1:9">
      <c r="A12133" s="22" t="str">
        <f>HYPERLINK("https://app.vivvix.com/360/KMI/IntelliDrive/ApplUI/Pages/CreativePages/CustomReportCreativeDetail.aspx?App=23&amp;ReportView=4&amp;Qid=1711279&amp;Row=12125&amp;Col=1","No Title Assigned - #15272911014")</f>
        <v/>
      </c>
      <c r="B12133" s="0" t="s">
        <v>16381</v>
      </c>
      <c r="E12133" s="0" t="inlineStr">
        <is>
          <t xml:space="preserve">Mazda</t>
        </is>
      </c>
      <c r="F12133" s="0" t="inlineStr">
        <is>
          <t xml:space="preserve">Mazda</t>
        </is>
      </c>
      <c r="G12133" s="0" t="s">
        <v>171</v>
      </c>
      <c r="H12133" s="5">
        <v>13.164800</v>
      </c>
    </row>
    <row r="12134" spans="1:9">
      <c r="A12134" s="22" t="str">
        <f>HYPERLINK("https://app.vivvix.com/360/KMI/IntelliDrive/ApplUI/Pages/CreativePages/CustomReportCreativeDetail.aspx?App=23&amp;ReportView=4&amp;Qid=1711279&amp;Row=12126&amp;Col=1","No Title Assigned - #15272914590")</f>
        <v/>
      </c>
      <c r="B12134" s="0" t="s">
        <v>16382</v>
      </c>
      <c r="E12134" s="0" t="inlineStr">
        <is>
          <t xml:space="preserve">Mazda</t>
        </is>
      </c>
      <c r="F12134" s="0" t="inlineStr">
        <is>
          <t xml:space="preserve">Mazda</t>
        </is>
      </c>
      <c r="G12134" s="0" t="s">
        <v>171</v>
      </c>
      <c r="H12134" s="5">
        <v>66.254500</v>
      </c>
    </row>
    <row r="12135" spans="1:9">
      <c r="A12135" s="22" t="str">
        <f>HYPERLINK("https://app.vivvix.com/360/KMI/IntelliDrive/ApplUI/Pages/CreativePages/CustomReportCreativeDetail.aspx?App=23&amp;ReportView=4&amp;Qid=1711279&amp;Row=12127&amp;Col=1","No Title Assigned - #15272918295")</f>
        <v/>
      </c>
      <c r="B12135" s="0" t="s">
        <v>16383</v>
      </c>
      <c r="C12135" s="0" t="s">
        <v>16384</v>
      </c>
      <c r="D12135" s="0" t="s">
        <v>16384</v>
      </c>
      <c r="E12135" s="0" t="inlineStr">
        <is>
          <t xml:space="preserve">Mazda</t>
        </is>
      </c>
      <c r="F12135" s="0" t="inlineStr">
        <is>
          <t xml:space="preserve">Mazda</t>
        </is>
      </c>
      <c r="G12135" s="0" t="s">
        <v>171</v>
      </c>
      <c r="H12135" s="5">
        <v>127.959300</v>
      </c>
    </row>
    <row r="12136" spans="1:9">
      <c r="A12136" s="22" t="str">
        <f>HYPERLINK("https://app.vivvix.com/360/KMI/IntelliDrive/ApplUI/Pages/CreativePages/CustomReportCreativeDetail.aspx?App=23&amp;ReportView=4&amp;Qid=1711279&amp;Row=12128&amp;Col=1","No Title Assigned - #15272919194")</f>
        <v/>
      </c>
      <c r="B12136" s="0" t="s">
        <v>16385</v>
      </c>
      <c r="E12136" s="0" t="inlineStr">
        <is>
          <t xml:space="preserve">Mazda</t>
        </is>
      </c>
      <c r="F12136" s="0" t="inlineStr">
        <is>
          <t xml:space="preserve">Mazda</t>
        </is>
      </c>
      <c r="G12136" s="0" t="s">
        <v>171</v>
      </c>
      <c r="H12136" s="5">
        <v>13.912600</v>
      </c>
    </row>
    <row r="12137" spans="1:9">
      <c r="A12137" s="22" t="str">
        <f>HYPERLINK("https://app.vivvix.com/360/KMI/IntelliDrive/ApplUI/Pages/CreativePages/CustomReportCreativeDetail.aspx?App=23&amp;ReportView=4&amp;Qid=1711279&amp;Row=12129&amp;Col=1","No Title Assigned - #15272920117")</f>
        <v/>
      </c>
      <c r="B12137" s="0" t="s">
        <v>16386</v>
      </c>
      <c r="E12137" s="0" t="inlineStr">
        <is>
          <t xml:space="preserve">Mazda</t>
        </is>
      </c>
      <c r="F12137" s="0" t="inlineStr">
        <is>
          <t xml:space="preserve">Mazda</t>
        </is>
      </c>
      <c r="G12137" s="0" t="s">
        <v>210</v>
      </c>
      <c r="H12137" s="5">
        <v>876.266800</v>
      </c>
    </row>
    <row r="12138" spans="1:9">
      <c r="A12138" s="22" t="str">
        <f>HYPERLINK("https://app.vivvix.com/360/KMI/IntelliDrive/ApplUI/Pages/CreativePages/CustomReportCreativeDetail.aspx?App=23&amp;ReportView=4&amp;Qid=1711279&amp;Row=12130&amp;Col=1","No Title Assigned - #15272920117")</f>
        <v/>
      </c>
      <c r="B12138" s="0" t="s">
        <v>16386</v>
      </c>
      <c r="C12138" s="0" t="s">
        <v>16387</v>
      </c>
      <c r="D12138" s="0" t="s">
        <v>16387</v>
      </c>
      <c r="E12138" s="0" t="inlineStr">
        <is>
          <t xml:space="preserve">Mazda</t>
        </is>
      </c>
      <c r="F12138" s="0" t="inlineStr">
        <is>
          <t xml:space="preserve">Mazda</t>
        </is>
      </c>
      <c r="G12138" s="0" t="s">
        <v>210</v>
      </c>
      <c r="H12138" s="5">
        <v>3718.604800</v>
      </c>
    </row>
    <row r="12139" spans="1:9">
      <c r="A12139" s="22" t="str">
        <f>HYPERLINK("https://app.vivvix.com/360/KMI/IntelliDrive/ApplUI/Pages/CreativePages/CustomReportCreativeDetail.aspx?App=23&amp;ReportView=4&amp;Qid=1711279&amp;Row=12131&amp;Col=1","No Title Assigned - #15272920141")</f>
        <v/>
      </c>
      <c r="B12139" s="0" t="s">
        <v>16388</v>
      </c>
      <c r="C12139" s="0" t="s">
        <v>16389</v>
      </c>
      <c r="D12139" s="0" t="s">
        <v>16389</v>
      </c>
      <c r="E12139" s="0" t="inlineStr">
        <is>
          <t xml:space="preserve">Mazda</t>
        </is>
      </c>
      <c r="F12139" s="0" t="s">
        <v>13</v>
      </c>
      <c r="G12139" s="0" t="s">
        <v>49</v>
      </c>
      <c r="H12139" s="5">
        <v>143.235000</v>
      </c>
    </row>
    <row r="12140" spans="1:9">
      <c r="A12140" s="22" t="str">
        <f>HYPERLINK("https://app.vivvix.com/360/KMI/IntelliDrive/ApplUI/Pages/CreativePages/CustomReportCreativeDetail.aspx?App=23&amp;ReportView=4&amp;Qid=1711279&amp;Row=12132&amp;Col=1","No Title Assigned - #15272921192")</f>
        <v/>
      </c>
      <c r="B12140" s="0" t="s">
        <v>16390</v>
      </c>
      <c r="C12140" s="0" t="s">
        <v>16391</v>
      </c>
      <c r="D12140" s="0" t="s">
        <v>4407</v>
      </c>
      <c r="E12140" s="0" t="inlineStr">
        <is>
          <t xml:space="preserve">Mazda</t>
        </is>
      </c>
      <c r="F12140" s="0" t="s">
        <v>28</v>
      </c>
      <c r="G12140" s="0" t="s">
        <v>29</v>
      </c>
      <c r="H12140" s="5">
        <v>13.408500</v>
      </c>
    </row>
    <row r="12141" spans="1:9">
      <c r="A12141" s="22" t="str">
        <f>HYPERLINK("https://app.vivvix.com/360/KMI/IntelliDrive/ApplUI/Pages/CreativePages/CustomReportCreativeDetail.aspx?App=23&amp;ReportView=4&amp;Qid=1711279&amp;Row=12133&amp;Col=1","No Title Assigned - #15272921393")</f>
        <v/>
      </c>
      <c r="B12141" s="0" t="s">
        <v>16392</v>
      </c>
      <c r="E12141" s="0" t="inlineStr">
        <is>
          <t xml:space="preserve">Mazda</t>
        </is>
      </c>
      <c r="F12141" s="0" t="s">
        <v>13</v>
      </c>
      <c r="G12141" s="0" t="s">
        <v>49</v>
      </c>
      <c r="H12141" s="5">
        <v>69.166000</v>
      </c>
    </row>
    <row r="12142" spans="1:9">
      <c r="A12142" s="22" t="str">
        <f>HYPERLINK("https://app.vivvix.com/360/KMI/IntelliDrive/ApplUI/Pages/CreativePages/CustomReportCreativeDetail.aspx?App=23&amp;ReportView=4&amp;Qid=1711279&amp;Row=12134&amp;Col=1","No Title Assigned - #15272922021")</f>
        <v/>
      </c>
      <c r="B12142" s="0" t="s">
        <v>16393</v>
      </c>
      <c r="C12142" s="0" t="s">
        <v>16394</v>
      </c>
      <c r="D12142" s="0" t="s">
        <v>16394</v>
      </c>
      <c r="E12142" s="0" t="inlineStr">
        <is>
          <t xml:space="preserve">Mazda</t>
        </is>
      </c>
      <c r="F12142" s="0" t="s">
        <v>13</v>
      </c>
      <c r="G12142" s="0" t="s">
        <v>49</v>
      </c>
      <c r="H12142" s="5">
        <v>88.087300</v>
      </c>
    </row>
    <row r="12143" spans="1:9">
      <c r="A12143" s="22" t="str">
        <f>HYPERLINK("https://app.vivvix.com/360/KMI/IntelliDrive/ApplUI/Pages/CreativePages/CustomReportCreativeDetail.aspx?App=23&amp;ReportView=4&amp;Qid=1711279&amp;Row=12135&amp;Col=1","No Title Assigned - #15272922181")</f>
        <v/>
      </c>
      <c r="B12143" s="0" t="s">
        <v>16395</v>
      </c>
      <c r="E12143" s="0" t="inlineStr">
        <is>
          <t xml:space="preserve">Mazda</t>
        </is>
      </c>
      <c r="F12143" s="0" t="s">
        <v>28</v>
      </c>
      <c r="G12143" s="0" t="s">
        <v>29</v>
      </c>
      <c r="H12143" s="5">
        <v>1.836000</v>
      </c>
    </row>
    <row r="12144" spans="1:9">
      <c r="A12144" s="22" t="str">
        <f>HYPERLINK("https://app.vivvix.com/360/KMI/IntelliDrive/ApplUI/Pages/CreativePages/CustomReportCreativeDetail.aspx?App=23&amp;ReportView=4&amp;Qid=1711279&amp;Row=12136&amp;Col=1","No Title Assigned - #15272922411")</f>
        <v/>
      </c>
      <c r="B12144" s="0" t="s">
        <v>16396</v>
      </c>
      <c r="C12144" s="0" t="s">
        <v>16397</v>
      </c>
      <c r="D12144" s="0" t="s">
        <v>4333</v>
      </c>
      <c r="E12144" s="0" t="inlineStr">
        <is>
          <t xml:space="preserve">Mazda</t>
        </is>
      </c>
      <c r="F12144" s="0" t="s">
        <v>28</v>
      </c>
      <c r="G12144" s="0" t="s">
        <v>29</v>
      </c>
      <c r="H12144" s="5">
        <v>112.305700</v>
      </c>
    </row>
    <row r="12145" spans="1:9">
      <c r="A12145" s="22" t="str">
        <f>HYPERLINK("https://app.vivvix.com/360/KMI/IntelliDrive/ApplUI/Pages/CreativePages/CustomReportCreativeDetail.aspx?App=23&amp;ReportView=4&amp;Qid=1711279&amp;Row=12137&amp;Col=1","No Title Assigned - #15272926220")</f>
        <v/>
      </c>
      <c r="B12145" s="0" t="s">
        <v>16398</v>
      </c>
      <c r="C12145" s="0" t="s">
        <v>16399</v>
      </c>
      <c r="D12145" s="0" t="s">
        <v>4200</v>
      </c>
      <c r="E12145" s="0" t="inlineStr">
        <is>
          <t xml:space="preserve">Mazda</t>
        </is>
      </c>
      <c r="F12145" s="0" t="s">
        <v>28</v>
      </c>
      <c r="G12145" s="0" t="s">
        <v>29</v>
      </c>
      <c r="H12145" s="5">
        <v>0.357900</v>
      </c>
    </row>
    <row r="12146" spans="1:9">
      <c r="A12146" s="22" t="str">
        <f>HYPERLINK("https://app.vivvix.com/360/KMI/IntelliDrive/ApplUI/Pages/CreativePages/CustomReportCreativeDetail.aspx?App=23&amp;ReportView=4&amp;Qid=1711279&amp;Row=12138&amp;Col=1","No Title Assigned - #15272927890")</f>
        <v/>
      </c>
      <c r="B12146" s="0" t="s">
        <v>16400</v>
      </c>
      <c r="C12146" s="0" t="s">
        <v>16401</v>
      </c>
      <c r="D12146" s="0" t="s">
        <v>7396</v>
      </c>
      <c r="E12146" s="0" t="inlineStr">
        <is>
          <t xml:space="preserve">Mazda</t>
        </is>
      </c>
      <c r="F12146" s="0" t="s">
        <v>13</v>
      </c>
      <c r="G12146" s="0" t="s">
        <v>49</v>
      </c>
      <c r="H12146" s="5">
        <v>176.024100</v>
      </c>
    </row>
    <row r="12147" spans="1:9">
      <c r="A12147" s="22" t="str">
        <f>HYPERLINK("https://app.vivvix.com/360/KMI/IntelliDrive/ApplUI/Pages/CreativePages/CustomReportCreativeDetail.aspx?App=23&amp;ReportView=4&amp;Qid=1711279&amp;Row=12139&amp;Col=1","No Title Assigned - #15272928771")</f>
        <v/>
      </c>
      <c r="B12147" s="0" t="s">
        <v>16402</v>
      </c>
      <c r="E12147" s="0" t="inlineStr">
        <is>
          <t xml:space="preserve">Mazda</t>
        </is>
      </c>
      <c r="F12147" s="0" t="s">
        <v>13</v>
      </c>
      <c r="G12147" s="0" t="s">
        <v>49</v>
      </c>
      <c r="H12147" s="5">
        <v>8.391100</v>
      </c>
    </row>
    <row r="12148" spans="1:9">
      <c r="A12148" s="22" t="str">
        <f>HYPERLINK("https://app.vivvix.com/360/KMI/IntelliDrive/ApplUI/Pages/CreativePages/CustomReportCreativeDetail.aspx?App=23&amp;ReportView=4&amp;Qid=1711279&amp;Row=12140&amp;Col=1","No Title Assigned - #15272929010")</f>
        <v/>
      </c>
      <c r="B12148" s="0" t="s">
        <v>16403</v>
      </c>
      <c r="C12148" s="0" t="s">
        <v>16404</v>
      </c>
      <c r="D12148" s="0" t="s">
        <v>16404</v>
      </c>
      <c r="E12148" s="0" t="inlineStr">
        <is>
          <t xml:space="preserve">Mazda</t>
        </is>
      </c>
      <c r="F12148" s="0" t="s">
        <v>13</v>
      </c>
      <c r="G12148" s="0" t="s">
        <v>49</v>
      </c>
      <c r="H12148" s="5">
        <v>25.450900</v>
      </c>
    </row>
    <row r="12149" spans="1:9">
      <c r="A12149" s="22" t="str">
        <f>HYPERLINK("https://app.vivvix.com/360/KMI/IntelliDrive/ApplUI/Pages/CreativePages/CustomReportCreativeDetail.aspx?App=23&amp;ReportView=4&amp;Qid=1711279&amp;Row=12141&amp;Col=1","No Title Assigned - #15272929076")</f>
        <v/>
      </c>
      <c r="B12149" s="0" t="s">
        <v>16405</v>
      </c>
      <c r="C12149" s="0" t="s">
        <v>16406</v>
      </c>
      <c r="D12149" s="0" t="s">
        <v>16406</v>
      </c>
      <c r="E12149" s="0" t="inlineStr">
        <is>
          <t xml:space="preserve">Mazda</t>
        </is>
      </c>
      <c r="F12149" s="0" t="s">
        <v>28</v>
      </c>
      <c r="G12149" s="0" t="s">
        <v>29</v>
      </c>
      <c r="H12149" s="5">
        <v>2.619000</v>
      </c>
    </row>
    <row r="12150" spans="1:9">
      <c r="A12150" s="22" t="str">
        <f>HYPERLINK("https://app.vivvix.com/360/KMI/IntelliDrive/ApplUI/Pages/CreativePages/CustomReportCreativeDetail.aspx?App=23&amp;ReportView=4&amp;Qid=1711279&amp;Row=12142&amp;Col=1","No Title Assigned - #15272930013")</f>
        <v/>
      </c>
      <c r="B12150" s="0" t="s">
        <v>16407</v>
      </c>
      <c r="E12150" s="0" t="inlineStr">
        <is>
          <t xml:space="preserve">Mazda</t>
        </is>
      </c>
      <c r="F12150" s="0" t="s">
        <v>13</v>
      </c>
      <c r="G12150" s="0" t="s">
        <v>49</v>
      </c>
      <c r="H12150" s="5">
        <v>20.707300</v>
      </c>
    </row>
    <row r="12151" spans="1:9">
      <c r="A12151" s="22" t="str">
        <f>HYPERLINK("https://app.vivvix.com/360/KMI/IntelliDrive/ApplUI/Pages/CreativePages/CustomReportCreativeDetail.aspx?App=23&amp;ReportView=4&amp;Qid=1711279&amp;Row=12143&amp;Col=1","No Title Assigned - #15272930295")</f>
        <v/>
      </c>
      <c r="B12151" s="0" t="s">
        <v>16408</v>
      </c>
      <c r="E12151" s="0" t="inlineStr">
        <is>
          <t xml:space="preserve">Mazda</t>
        </is>
      </c>
      <c r="F12151" s="0" t="inlineStr">
        <is>
          <t xml:space="preserve">Mazda</t>
        </is>
      </c>
      <c r="G12151" s="0" t="s">
        <v>171</v>
      </c>
      <c r="H12151" s="5">
        <v>12.030300</v>
      </c>
    </row>
    <row r="12152" spans="1:9">
      <c r="A12152" s="22" t="str">
        <f>HYPERLINK("https://app.vivvix.com/360/KMI/IntelliDrive/ApplUI/Pages/CreativePages/CustomReportCreativeDetail.aspx?App=23&amp;ReportView=4&amp;Qid=1711279&amp;Row=12144&amp;Col=1","No Title Assigned - #15272930633")</f>
        <v/>
      </c>
      <c r="B12152" s="0" t="s">
        <v>16409</v>
      </c>
      <c r="E12152" s="0" t="inlineStr">
        <is>
          <t xml:space="preserve">Mazda</t>
        </is>
      </c>
      <c r="F12152" s="0" t="inlineStr">
        <is>
          <t xml:space="preserve">Mazda</t>
        </is>
      </c>
      <c r="G12152" s="0" t="s">
        <v>171</v>
      </c>
      <c r="H12152" s="5">
        <v>17.954700</v>
      </c>
    </row>
    <row r="12153" spans="1:9">
      <c r="A12153" s="22" t="str">
        <f>HYPERLINK("https://app.vivvix.com/360/KMI/IntelliDrive/ApplUI/Pages/CreativePages/CustomReportCreativeDetail.aspx?App=23&amp;ReportView=4&amp;Qid=1711279&amp;Row=12145&amp;Col=1","No Title Assigned - #15272930771")</f>
        <v/>
      </c>
      <c r="B12153" s="0" t="s">
        <v>16410</v>
      </c>
      <c r="C12153" s="0" t="s">
        <v>16411</v>
      </c>
      <c r="D12153" s="0" t="s">
        <v>16411</v>
      </c>
      <c r="E12153" s="0" t="inlineStr">
        <is>
          <t xml:space="preserve">Mazda</t>
        </is>
      </c>
      <c r="F12153" s="0" t="inlineStr">
        <is>
          <t xml:space="preserve">Mazda</t>
        </is>
      </c>
      <c r="G12153" s="0" t="s">
        <v>171</v>
      </c>
      <c r="H12153" s="5">
        <v>1.350900</v>
      </c>
    </row>
    <row r="12154" spans="1:9">
      <c r="A12154" s="22" t="str">
        <f>HYPERLINK("https://app.vivvix.com/360/KMI/IntelliDrive/ApplUI/Pages/CreativePages/CustomReportCreativeDetail.aspx?App=23&amp;ReportView=4&amp;Qid=1711279&amp;Row=12146&amp;Col=1","No Title Assigned - #15272930902")</f>
        <v/>
      </c>
      <c r="B12154" s="0" t="s">
        <v>16412</v>
      </c>
      <c r="E12154" s="0" t="inlineStr">
        <is>
          <t xml:space="preserve">Mazda</t>
        </is>
      </c>
      <c r="F12154" s="0" t="s">
        <v>21</v>
      </c>
      <c r="G12154" s="0" t="s">
        <v>22</v>
      </c>
      <c r="H12154" s="5">
        <v>205.327000</v>
      </c>
    </row>
    <row r="12155" spans="1:9">
      <c r="A12155" s="22" t="str">
        <f>HYPERLINK("https://app.vivvix.com/360/KMI/IntelliDrive/ApplUI/Pages/CreativePages/CustomReportCreativeDetail.aspx?App=23&amp;ReportView=4&amp;Qid=1711279&amp;Row=12147&amp;Col=1","No Title Assigned - #15272931331")</f>
        <v/>
      </c>
      <c r="B12155" s="0" t="s">
        <v>16413</v>
      </c>
      <c r="E12155" s="0" t="inlineStr">
        <is>
          <t xml:space="preserve">Mazda</t>
        </is>
      </c>
      <c r="F12155" s="0" t="inlineStr">
        <is>
          <t xml:space="preserve">Mazda</t>
        </is>
      </c>
      <c r="G12155" s="0" t="s">
        <v>171</v>
      </c>
      <c r="H12155" s="5">
        <v>7.222900</v>
      </c>
    </row>
    <row r="12156" spans="1:9">
      <c r="A12156" s="22" t="str">
        <f>HYPERLINK("https://app.vivvix.com/360/KMI/IntelliDrive/ApplUI/Pages/CreativePages/CustomReportCreativeDetail.aspx?App=23&amp;ReportView=4&amp;Qid=1711279&amp;Row=12148&amp;Col=1","No Title Assigned - #15272931371")</f>
        <v/>
      </c>
      <c r="B12156" s="0" t="s">
        <v>16414</v>
      </c>
      <c r="C12156" s="0" t="s">
        <v>16415</v>
      </c>
      <c r="D12156" s="0" t="s">
        <v>16415</v>
      </c>
      <c r="E12156" s="0" t="inlineStr">
        <is>
          <t xml:space="preserve">Mazda</t>
        </is>
      </c>
      <c r="F12156" s="0" t="inlineStr">
        <is>
          <t xml:space="preserve">Mazda</t>
        </is>
      </c>
      <c r="G12156" s="0" t="s">
        <v>171</v>
      </c>
      <c r="H12156" s="5">
        <v>8499.905700</v>
      </c>
    </row>
    <row r="12157" spans="1:9">
      <c r="A12157" s="22" t="str">
        <f>HYPERLINK("https://app.vivvix.com/360/KMI/IntelliDrive/ApplUI/Pages/CreativePages/CustomReportCreativeDetail.aspx?App=23&amp;ReportView=4&amp;Qid=1711279&amp;Row=12149&amp;Col=1","No Title Assigned - #15272931678")</f>
        <v/>
      </c>
      <c r="B12157" s="0" t="s">
        <v>16416</v>
      </c>
      <c r="E12157" s="0" t="inlineStr">
        <is>
          <t xml:space="preserve">Mazda</t>
        </is>
      </c>
      <c r="F12157" s="0" t="inlineStr">
        <is>
          <t xml:space="preserve">Mazda</t>
        </is>
      </c>
      <c r="G12157" s="0" t="s">
        <v>171</v>
      </c>
      <c r="H12157" s="5">
        <v>17.465900</v>
      </c>
    </row>
    <row r="12158" spans="1:9">
      <c r="A12158" s="22" t="str">
        <f>HYPERLINK("https://app.vivvix.com/360/KMI/IntelliDrive/ApplUI/Pages/CreativePages/CustomReportCreativeDetail.aspx?App=23&amp;ReportView=4&amp;Qid=1711279&amp;Row=12150&amp;Col=1","No Title Assigned - #15272931696")</f>
        <v/>
      </c>
      <c r="B12158" s="0" t="s">
        <v>16417</v>
      </c>
      <c r="E12158" s="0" t="inlineStr">
        <is>
          <t xml:space="preserve">Mazda</t>
        </is>
      </c>
      <c r="F12158" s="0" t="inlineStr">
        <is>
          <t xml:space="preserve">Mazda</t>
        </is>
      </c>
      <c r="G12158" s="0" t="s">
        <v>171</v>
      </c>
      <c r="H12158" s="5">
        <v>34615.352700</v>
      </c>
    </row>
    <row r="12159" spans="1:9">
      <c r="A12159" s="22" t="str">
        <f>HYPERLINK("https://app.vivvix.com/360/KMI/IntelliDrive/ApplUI/Pages/CreativePages/CustomReportCreativeDetail.aspx?App=23&amp;ReportView=4&amp;Qid=1711279&amp;Row=12151&amp;Col=1","No Title Assigned - #15272931696")</f>
        <v/>
      </c>
      <c r="B12159" s="0" t="s">
        <v>16417</v>
      </c>
      <c r="E12159" s="0" t="inlineStr">
        <is>
          <t xml:space="preserve">Mazda</t>
        </is>
      </c>
      <c r="F12159" s="0" t="inlineStr">
        <is>
          <t xml:space="preserve">Mazda</t>
        </is>
      </c>
      <c r="G12159" s="0" t="s">
        <v>171</v>
      </c>
      <c r="H12159" s="5">
        <v>1087.421100</v>
      </c>
    </row>
    <row r="12160" spans="1:9">
      <c r="A12160" s="22" t="str">
        <f>HYPERLINK("https://app.vivvix.com/360/KMI/IntelliDrive/ApplUI/Pages/CreativePages/CustomReportCreativeDetail.aspx?App=23&amp;ReportView=4&amp;Qid=1711279&amp;Row=12152&amp;Col=1","No Title Assigned - #15272932211")</f>
        <v/>
      </c>
      <c r="B12160" s="0" t="s">
        <v>16418</v>
      </c>
      <c r="E12160" s="0" t="inlineStr">
        <is>
          <t xml:space="preserve">Mazda</t>
        </is>
      </c>
      <c r="F12160" s="0" t="inlineStr">
        <is>
          <t xml:space="preserve">Mazda</t>
        </is>
      </c>
      <c r="G12160" s="0" t="s">
        <v>171</v>
      </c>
      <c r="H12160" s="5">
        <v>3416.155200</v>
      </c>
    </row>
    <row r="12161" spans="1:9">
      <c r="A12161" s="22" t="str">
        <f>HYPERLINK("https://app.vivvix.com/360/KMI/IntelliDrive/ApplUI/Pages/CreativePages/CustomReportCreativeDetail.aspx?App=23&amp;ReportView=4&amp;Qid=1711279&amp;Row=12153&amp;Col=1","No Title Assigned - #15272932770")</f>
        <v/>
      </c>
      <c r="B12161" s="0" t="s">
        <v>16419</v>
      </c>
      <c r="E12161" s="0" t="inlineStr">
        <is>
          <t xml:space="preserve">Mazda</t>
        </is>
      </c>
      <c r="F12161" s="0" t="inlineStr">
        <is>
          <t xml:space="preserve">Mazda</t>
        </is>
      </c>
      <c r="G12161" s="0" t="s">
        <v>171</v>
      </c>
      <c r="H12161" s="5">
        <v>71.775700</v>
      </c>
    </row>
    <row r="12162" spans="1:9">
      <c r="A12162" s="22" t="str">
        <f>HYPERLINK("https://app.vivvix.com/360/KMI/IntelliDrive/ApplUI/Pages/CreativePages/CustomReportCreativeDetail.aspx?App=23&amp;ReportView=4&amp;Qid=1711279&amp;Row=12154&amp;Col=1","No Title Assigned - #15272933364")</f>
        <v/>
      </c>
      <c r="B12162" s="0" t="s">
        <v>16420</v>
      </c>
      <c r="E12162" s="0" t="inlineStr">
        <is>
          <t xml:space="preserve">Mazda</t>
        </is>
      </c>
      <c r="F12162" s="0" t="inlineStr">
        <is>
          <t xml:space="preserve">Mazda</t>
        </is>
      </c>
      <c r="G12162" s="0" t="s">
        <v>171</v>
      </c>
      <c r="H12162" s="5">
        <v>370.783200</v>
      </c>
    </row>
    <row r="12163" spans="1:9">
      <c r="A12163" s="22" t="str">
        <f>HYPERLINK("https://app.vivvix.com/360/KMI/IntelliDrive/ApplUI/Pages/CreativePages/CustomReportCreativeDetail.aspx?App=23&amp;ReportView=4&amp;Qid=1711279&amp;Row=12155&amp;Col=1","No Title Assigned - #15272933397")</f>
        <v/>
      </c>
      <c r="B12163" s="0" t="s">
        <v>16421</v>
      </c>
      <c r="E12163" s="0" t="inlineStr">
        <is>
          <t xml:space="preserve">Mazda</t>
        </is>
      </c>
      <c r="F12163" s="0" t="inlineStr">
        <is>
          <t xml:space="preserve">Mazda</t>
        </is>
      </c>
      <c r="G12163" s="0" t="s">
        <v>171</v>
      </c>
      <c r="H12163" s="5">
        <v>46.892600</v>
      </c>
    </row>
    <row r="12164" spans="1:9">
      <c r="A12164" s="22" t="str">
        <f>HYPERLINK("https://app.vivvix.com/360/KMI/IntelliDrive/ApplUI/Pages/CreativePages/CustomReportCreativeDetail.aspx?App=23&amp;ReportView=4&amp;Qid=1711279&amp;Row=12156&amp;Col=1","No Title Assigned - #15272933413")</f>
        <v/>
      </c>
      <c r="B12164" s="0" t="s">
        <v>16422</v>
      </c>
      <c r="E12164" s="0" t="inlineStr">
        <is>
          <t xml:space="preserve">Mazda</t>
        </is>
      </c>
      <c r="F12164" s="0" t="inlineStr">
        <is>
          <t xml:space="preserve">Mazda</t>
        </is>
      </c>
      <c r="G12164" s="0" t="s">
        <v>171</v>
      </c>
      <c r="H12164" s="5">
        <v>230.038500</v>
      </c>
    </row>
    <row r="12165" spans="1:9">
      <c r="A12165" s="22" t="str">
        <f>HYPERLINK("https://app.vivvix.com/360/KMI/IntelliDrive/ApplUI/Pages/CreativePages/CustomReportCreativeDetail.aspx?App=23&amp;ReportView=4&amp;Qid=1711279&amp;Row=12157&amp;Col=1","No Title Assigned - #15272933834")</f>
        <v/>
      </c>
      <c r="B12165" s="0" t="s">
        <v>16423</v>
      </c>
      <c r="E12165" s="0" t="inlineStr">
        <is>
          <t xml:space="preserve">Mazda</t>
        </is>
      </c>
      <c r="F12165" s="0" t="inlineStr">
        <is>
          <t xml:space="preserve">Mazda</t>
        </is>
      </c>
      <c r="G12165" s="0" t="s">
        <v>171</v>
      </c>
      <c r="H12165" s="5">
        <v>42.053200</v>
      </c>
    </row>
    <row r="12166" spans="1:9">
      <c r="A12166" s="22" t="str">
        <f>HYPERLINK("https://app.vivvix.com/360/KMI/IntelliDrive/ApplUI/Pages/CreativePages/CustomReportCreativeDetail.aspx?App=23&amp;ReportView=4&amp;Qid=1711279&amp;Row=12158&amp;Col=1","No Title Assigned - #15272934105")</f>
        <v/>
      </c>
      <c r="B12166" s="0" t="s">
        <v>16424</v>
      </c>
      <c r="E12166" s="0" t="inlineStr">
        <is>
          <t xml:space="preserve">Mazda</t>
        </is>
      </c>
      <c r="F12166" s="0" t="inlineStr">
        <is>
          <t xml:space="preserve">Mazda</t>
        </is>
      </c>
      <c r="G12166" s="0" t="s">
        <v>171</v>
      </c>
      <c r="H12166" s="5">
        <v>3192.614500</v>
      </c>
    </row>
    <row r="12167" spans="1:9">
      <c r="A12167" s="22" t="str">
        <f>HYPERLINK("https://app.vivvix.com/360/KMI/IntelliDrive/ApplUI/Pages/CreativePages/CustomReportCreativeDetail.aspx?App=23&amp;ReportView=4&amp;Qid=1711279&amp;Row=12159&amp;Col=1","No Title Assigned - #15272936005")</f>
        <v/>
      </c>
      <c r="B12167" s="0" t="s">
        <v>16425</v>
      </c>
      <c r="E12167" s="0" t="inlineStr">
        <is>
          <t xml:space="preserve">Mazda</t>
        </is>
      </c>
      <c r="F12167" s="0" t="inlineStr">
        <is>
          <t xml:space="preserve">Mazda</t>
        </is>
      </c>
      <c r="G12167" s="0" t="s">
        <v>171</v>
      </c>
      <c r="H12167" s="5">
        <v>18.027700</v>
      </c>
    </row>
    <row r="12168" spans="1:9">
      <c r="A12168" s="22" t="str">
        <f>HYPERLINK("https://app.vivvix.com/360/KMI/IntelliDrive/ApplUI/Pages/CreativePages/CustomReportCreativeDetail.aspx?App=23&amp;ReportView=4&amp;Qid=1711279&amp;Row=12160&amp;Col=1","No Title Assigned - #15272937118")</f>
        <v/>
      </c>
      <c r="B12168" s="0" t="s">
        <v>16426</v>
      </c>
      <c r="C12168" s="0" t="s">
        <v>16427</v>
      </c>
      <c r="D12168" s="0" t="s">
        <v>16427</v>
      </c>
      <c r="E12168" s="0" t="inlineStr">
        <is>
          <t xml:space="preserve">Mazda</t>
        </is>
      </c>
      <c r="F12168" s="0" t="inlineStr">
        <is>
          <t xml:space="preserve">Mazda</t>
        </is>
      </c>
      <c r="G12168" s="0" t="s">
        <v>171</v>
      </c>
      <c r="H12168" s="5">
        <v>73.675500</v>
      </c>
    </row>
    <row r="12169" spans="1:9">
      <c r="A12169" s="22" t="str">
        <f>HYPERLINK("https://app.vivvix.com/360/KMI/IntelliDrive/ApplUI/Pages/CreativePages/CustomReportCreativeDetail.aspx?App=23&amp;ReportView=4&amp;Qid=1711279&amp;Row=12161&amp;Col=1","No Title Assigned - #15272937217")</f>
        <v/>
      </c>
      <c r="B12169" s="0" t="s">
        <v>16428</v>
      </c>
      <c r="E12169" s="0" t="inlineStr">
        <is>
          <t xml:space="preserve">Mazda</t>
        </is>
      </c>
      <c r="F12169" s="0" t="inlineStr">
        <is>
          <t xml:space="preserve">Mazda</t>
        </is>
      </c>
      <c r="G12169" s="0" t="s">
        <v>171</v>
      </c>
      <c r="H12169" s="5">
        <v>269.781000</v>
      </c>
    </row>
    <row r="12170" spans="1:9">
      <c r="A12170" s="22" t="str">
        <f>HYPERLINK("https://app.vivvix.com/360/KMI/IntelliDrive/ApplUI/Pages/CreativePages/CustomReportCreativeDetail.aspx?App=23&amp;ReportView=4&amp;Qid=1711279&amp;Row=12162&amp;Col=1","No Title Assigned - #15272937319")</f>
        <v/>
      </c>
      <c r="B12170" s="0" t="s">
        <v>16429</v>
      </c>
      <c r="E12170" s="0" t="inlineStr">
        <is>
          <t xml:space="preserve">Mazda</t>
        </is>
      </c>
      <c r="F12170" s="0" t="inlineStr">
        <is>
          <t xml:space="preserve">Mazda</t>
        </is>
      </c>
      <c r="G12170" s="0" t="s">
        <v>171</v>
      </c>
      <c r="H12170" s="5">
        <v>1.795300</v>
      </c>
    </row>
    <row r="12171" spans="1:9">
      <c r="A12171" s="22" t="str">
        <f>HYPERLINK("https://app.vivvix.com/360/KMI/IntelliDrive/ApplUI/Pages/CreativePages/CustomReportCreativeDetail.aspx?App=23&amp;ReportView=4&amp;Qid=1711279&amp;Row=12163&amp;Col=1","No Title Assigned - #15272937400")</f>
        <v/>
      </c>
      <c r="B12171" s="0" t="s">
        <v>16430</v>
      </c>
      <c r="E12171" s="0" t="inlineStr">
        <is>
          <t xml:space="preserve">Mazda</t>
        </is>
      </c>
      <c r="F12171" s="0" t="inlineStr">
        <is>
          <t xml:space="preserve">Mazda</t>
        </is>
      </c>
      <c r="G12171" s="0" t="s">
        <v>171</v>
      </c>
      <c r="H12171" s="5">
        <v>69.643200</v>
      </c>
    </row>
    <row r="12172" spans="1:9">
      <c r="A12172" s="22" t="str">
        <f>HYPERLINK("https://app.vivvix.com/360/KMI/IntelliDrive/ApplUI/Pages/CreativePages/CustomReportCreativeDetail.aspx?App=23&amp;ReportView=4&amp;Qid=1711279&amp;Row=12164&amp;Col=1","No Title Assigned - #15272937823")</f>
        <v/>
      </c>
      <c r="B12172" s="0" t="s">
        <v>16431</v>
      </c>
      <c r="E12172" s="0" t="inlineStr">
        <is>
          <t xml:space="preserve">Mazda</t>
        </is>
      </c>
      <c r="F12172" s="0" t="inlineStr">
        <is>
          <t xml:space="preserve">Mazda</t>
        </is>
      </c>
      <c r="G12172" s="0" t="s">
        <v>171</v>
      </c>
      <c r="H12172" s="5">
        <v>12.075300</v>
      </c>
    </row>
    <row r="12173" spans="1:9">
      <c r="A12173" s="22" t="str">
        <f>HYPERLINK("https://app.vivvix.com/360/KMI/IntelliDrive/ApplUI/Pages/CreativePages/CustomReportCreativeDetail.aspx?App=23&amp;ReportView=4&amp;Qid=1711279&amp;Row=12165&amp;Col=1","No Title Assigned - #15272938326")</f>
        <v/>
      </c>
      <c r="B12173" s="0" t="s">
        <v>16432</v>
      </c>
      <c r="C12173" s="0" t="s">
        <v>16433</v>
      </c>
      <c r="D12173" s="0" t="s">
        <v>16433</v>
      </c>
      <c r="E12173" s="0" t="inlineStr">
        <is>
          <t xml:space="preserve">Mazda</t>
        </is>
      </c>
      <c r="F12173" s="0" t="inlineStr">
        <is>
          <t xml:space="preserve">Mazda</t>
        </is>
      </c>
      <c r="G12173" s="0" t="s">
        <v>171</v>
      </c>
      <c r="H12173" s="5">
        <v>7.115100</v>
      </c>
    </row>
    <row r="12174" spans="1:9">
      <c r="A12174" s="22" t="str">
        <f>HYPERLINK("https://app.vivvix.com/360/KMI/IntelliDrive/ApplUI/Pages/CreativePages/CustomReportCreativeDetail.aspx?App=23&amp;ReportView=4&amp;Qid=1711279&amp;Row=12166&amp;Col=1","No Title Assigned - #15272938456")</f>
        <v/>
      </c>
      <c r="B12174" s="0" t="s">
        <v>16434</v>
      </c>
      <c r="E12174" s="0" t="inlineStr">
        <is>
          <t xml:space="preserve">Mazda</t>
        </is>
      </c>
      <c r="F12174" s="0" t="inlineStr">
        <is>
          <t xml:space="preserve">Mazda</t>
        </is>
      </c>
      <c r="G12174" s="0" t="s">
        <v>171</v>
      </c>
      <c r="H12174" s="5">
        <v>6.288000</v>
      </c>
    </row>
    <row r="12175" spans="1:9">
      <c r="A12175" s="22" t="str">
        <f>HYPERLINK("https://app.vivvix.com/360/KMI/IntelliDrive/ApplUI/Pages/CreativePages/CustomReportCreativeDetail.aspx?App=23&amp;ReportView=4&amp;Qid=1711279&amp;Row=12167&amp;Col=1","No Title Assigned - #15272938745")</f>
        <v/>
      </c>
      <c r="B12175" s="0" t="s">
        <v>16435</v>
      </c>
      <c r="E12175" s="0" t="inlineStr">
        <is>
          <t xml:space="preserve">Mazda</t>
        </is>
      </c>
      <c r="F12175" s="0" t="inlineStr">
        <is>
          <t xml:space="preserve">Mazda</t>
        </is>
      </c>
      <c r="G12175" s="0" t="s">
        <v>171</v>
      </c>
      <c r="H12175" s="5">
        <v>3101.045200</v>
      </c>
    </row>
    <row r="12176" spans="1:9">
      <c r="A12176" s="22" t="str">
        <f>HYPERLINK("https://app.vivvix.com/360/KMI/IntelliDrive/ApplUI/Pages/CreativePages/CustomReportCreativeDetail.aspx?App=23&amp;ReportView=4&amp;Qid=1711279&amp;Row=12168&amp;Col=1","No Title Assigned - #15272939459")</f>
        <v/>
      </c>
      <c r="B12176" s="0" t="s">
        <v>16436</v>
      </c>
      <c r="E12176" s="0" t="inlineStr">
        <is>
          <t xml:space="preserve">Mazda</t>
        </is>
      </c>
      <c r="F12176" s="0" t="inlineStr">
        <is>
          <t xml:space="preserve">Mazda</t>
        </is>
      </c>
      <c r="G12176" s="0" t="s">
        <v>171</v>
      </c>
      <c r="H12176" s="5">
        <v>10.624000</v>
      </c>
    </row>
    <row r="12177" spans="1:9">
      <c r="A12177" s="22" t="str">
        <f>HYPERLINK("https://app.vivvix.com/360/KMI/IntelliDrive/ApplUI/Pages/CreativePages/CustomReportCreativeDetail.aspx?App=23&amp;ReportView=4&amp;Qid=1711279&amp;Row=12169&amp;Col=1","No Title Assigned - #15272939521")</f>
        <v/>
      </c>
      <c r="B12177" s="0" t="s">
        <v>16437</v>
      </c>
      <c r="E12177" s="0" t="inlineStr">
        <is>
          <t xml:space="preserve">Mazda</t>
        </is>
      </c>
      <c r="F12177" s="0" t="inlineStr">
        <is>
          <t xml:space="preserve">Mazda</t>
        </is>
      </c>
      <c r="G12177" s="0" t="s">
        <v>171</v>
      </c>
      <c r="H12177" s="5">
        <v>7.510500</v>
      </c>
    </row>
    <row r="12178" spans="1:9">
      <c r="A12178" s="22" t="str">
        <f>HYPERLINK("https://app.vivvix.com/360/KMI/IntelliDrive/ApplUI/Pages/CreativePages/CustomReportCreativeDetail.aspx?App=23&amp;ReportView=4&amp;Qid=1711279&amp;Row=12170&amp;Col=1","No Title Assigned - #15272939777")</f>
        <v/>
      </c>
      <c r="B12178" s="0" t="s">
        <v>16438</v>
      </c>
      <c r="C12178" s="0" t="s">
        <v>16439</v>
      </c>
      <c r="D12178" s="0" t="s">
        <v>16439</v>
      </c>
      <c r="E12178" s="0" t="inlineStr">
        <is>
          <t xml:space="preserve">Mazda</t>
        </is>
      </c>
      <c r="F12178" s="0" t="inlineStr">
        <is>
          <t xml:space="preserve">Mazda</t>
        </is>
      </c>
      <c r="G12178" s="0" t="s">
        <v>171</v>
      </c>
      <c r="H12178" s="5">
        <v>22.685600</v>
      </c>
    </row>
    <row r="12179" spans="1:9">
      <c r="A12179" s="22" t="str">
        <f>HYPERLINK("https://app.vivvix.com/360/KMI/IntelliDrive/ApplUI/Pages/CreativePages/CustomReportCreativeDetail.aspx?App=23&amp;ReportView=4&amp;Qid=1711279&amp;Row=12171&amp;Col=1","No Title Assigned - #15272939800")</f>
        <v/>
      </c>
      <c r="B12179" s="0" t="s">
        <v>16440</v>
      </c>
      <c r="E12179" s="0" t="inlineStr">
        <is>
          <t xml:space="preserve">Mazda</t>
        </is>
      </c>
      <c r="F12179" s="0" t="inlineStr">
        <is>
          <t xml:space="preserve">Mazda</t>
        </is>
      </c>
      <c r="G12179" s="0" t="s">
        <v>171</v>
      </c>
      <c r="H12179" s="5">
        <v>216.720000</v>
      </c>
    </row>
    <row r="12180" spans="1:9">
      <c r="A12180" s="22" t="str">
        <f>HYPERLINK("https://app.vivvix.com/360/KMI/IntelliDrive/ApplUI/Pages/CreativePages/CustomReportCreativeDetail.aspx?App=23&amp;ReportView=4&amp;Qid=1711279&amp;Row=12172&amp;Col=1","No Title Assigned - #15272940001")</f>
        <v/>
      </c>
      <c r="B12180" s="0" t="s">
        <v>16441</v>
      </c>
      <c r="E12180" s="0" t="inlineStr">
        <is>
          <t xml:space="preserve">Mazda</t>
        </is>
      </c>
      <c r="F12180" s="0" t="inlineStr">
        <is>
          <t xml:space="preserve">Mazda</t>
        </is>
      </c>
      <c r="G12180" s="0" t="s">
        <v>171</v>
      </c>
      <c r="H12180" s="5">
        <v>15.947900</v>
      </c>
    </row>
    <row r="12181" spans="1:9">
      <c r="A12181" s="22" t="str">
        <f>HYPERLINK("https://app.vivvix.com/360/KMI/IntelliDrive/ApplUI/Pages/CreativePages/CustomReportCreativeDetail.aspx?App=23&amp;ReportView=4&amp;Qid=1711279&amp;Row=12173&amp;Col=1","No Title Assigned - #15272940221")</f>
        <v/>
      </c>
      <c r="B12181" s="0" t="s">
        <v>16442</v>
      </c>
      <c r="E12181" s="0" t="inlineStr">
        <is>
          <t xml:space="preserve">Mazda</t>
        </is>
      </c>
      <c r="F12181" s="0" t="inlineStr">
        <is>
          <t xml:space="preserve">Mazda</t>
        </is>
      </c>
      <c r="G12181" s="0" t="s">
        <v>171</v>
      </c>
      <c r="H12181" s="5">
        <v>240.986400</v>
      </c>
    </row>
    <row r="12182" spans="1:9">
      <c r="A12182" s="22" t="str">
        <f>HYPERLINK("https://app.vivvix.com/360/KMI/IntelliDrive/ApplUI/Pages/CreativePages/CustomReportCreativeDetail.aspx?App=23&amp;ReportView=4&amp;Qid=1711279&amp;Row=12174&amp;Col=1","No Title Assigned - #15272940533")</f>
        <v/>
      </c>
      <c r="B12182" s="0" t="s">
        <v>16443</v>
      </c>
      <c r="E12182" s="0" t="inlineStr">
        <is>
          <t xml:space="preserve">Mazda</t>
        </is>
      </c>
      <c r="F12182" s="0" t="inlineStr">
        <is>
          <t xml:space="preserve">Mazda</t>
        </is>
      </c>
      <c r="G12182" s="0" t="s">
        <v>171</v>
      </c>
      <c r="H12182" s="5">
        <v>31.698500</v>
      </c>
    </row>
    <row r="12183" spans="1:9">
      <c r="A12183" s="22" t="str">
        <f>HYPERLINK("https://app.vivvix.com/360/KMI/IntelliDrive/ApplUI/Pages/CreativePages/CustomReportCreativeDetail.aspx?App=23&amp;ReportView=4&amp;Qid=1711279&amp;Row=12175&amp;Col=1","No Title Assigned - #15272941422")</f>
        <v/>
      </c>
      <c r="B12183" s="0" t="s">
        <v>16444</v>
      </c>
      <c r="E12183" s="0" t="inlineStr">
        <is>
          <t xml:space="preserve">Mazda</t>
        </is>
      </c>
      <c r="F12183" s="0" t="inlineStr">
        <is>
          <t xml:space="preserve">Mazda</t>
        </is>
      </c>
      <c r="G12183" s="0" t="s">
        <v>171</v>
      </c>
      <c r="H12183" s="5">
        <v>90.683300</v>
      </c>
    </row>
    <row r="12184" spans="1:9">
      <c r="A12184" s="22" t="str">
        <f>HYPERLINK("https://app.vivvix.com/360/KMI/IntelliDrive/ApplUI/Pages/CreativePages/CustomReportCreativeDetail.aspx?App=23&amp;ReportView=4&amp;Qid=1711279&amp;Row=12176&amp;Col=1","No Title Assigned - #15272941514")</f>
        <v/>
      </c>
      <c r="B12184" s="0" t="s">
        <v>16445</v>
      </c>
      <c r="E12184" s="0" t="inlineStr">
        <is>
          <t xml:space="preserve">Mazda</t>
        </is>
      </c>
      <c r="F12184" s="0" t="inlineStr">
        <is>
          <t xml:space="preserve">Mazda</t>
        </is>
      </c>
      <c r="G12184" s="0" t="s">
        <v>171</v>
      </c>
      <c r="H12184" s="5">
        <v>38.253000</v>
      </c>
    </row>
    <row r="12185" spans="1:9">
      <c r="A12185" s="22" t="str">
        <f>HYPERLINK("https://app.vivvix.com/360/KMI/IntelliDrive/ApplUI/Pages/CreativePages/CustomReportCreativeDetail.aspx?App=23&amp;ReportView=4&amp;Qid=1711279&amp;Row=12177&amp;Col=1","No Title Assigned - #15272941599")</f>
        <v/>
      </c>
      <c r="B12185" s="0" t="s">
        <v>16446</v>
      </c>
      <c r="E12185" s="0" t="inlineStr">
        <is>
          <t xml:space="preserve">Mazda</t>
        </is>
      </c>
      <c r="F12185" s="0" t="inlineStr">
        <is>
          <t xml:space="preserve">Mazda</t>
        </is>
      </c>
      <c r="G12185" s="0" t="s">
        <v>171</v>
      </c>
      <c r="H12185" s="5">
        <v>5104.942900</v>
      </c>
    </row>
    <row r="12186" spans="1:9">
      <c r="A12186" s="22" t="str">
        <f>HYPERLINK("https://app.vivvix.com/360/KMI/IntelliDrive/ApplUI/Pages/CreativePages/CustomReportCreativeDetail.aspx?App=23&amp;ReportView=4&amp;Qid=1711279&amp;Row=12178&amp;Col=1","No Title Assigned - #15272941856")</f>
        <v/>
      </c>
      <c r="B12186" s="0" t="s">
        <v>16447</v>
      </c>
      <c r="E12186" s="0" t="inlineStr">
        <is>
          <t xml:space="preserve">Mazda</t>
        </is>
      </c>
      <c r="F12186" s="0" t="inlineStr">
        <is>
          <t xml:space="preserve">Mazda</t>
        </is>
      </c>
      <c r="G12186" s="0" t="s">
        <v>171</v>
      </c>
      <c r="H12186" s="5">
        <v>25.270100</v>
      </c>
    </row>
    <row r="12187" spans="1:9">
      <c r="A12187" s="22" t="str">
        <f>HYPERLINK("https://app.vivvix.com/360/KMI/IntelliDrive/ApplUI/Pages/CreativePages/CustomReportCreativeDetail.aspx?App=23&amp;ReportView=4&amp;Qid=1711279&amp;Row=12179&amp;Col=1","No Title Assigned - #15272942606")</f>
        <v/>
      </c>
      <c r="B12187" s="0" t="s">
        <v>16448</v>
      </c>
      <c r="E12187" s="0" t="inlineStr">
        <is>
          <t xml:space="preserve">Mazda</t>
        </is>
      </c>
      <c r="F12187" s="0" t="inlineStr">
        <is>
          <t xml:space="preserve">Mazda</t>
        </is>
      </c>
      <c r="G12187" s="0" t="s">
        <v>171</v>
      </c>
      <c r="H12187" s="5">
        <v>1582.855800</v>
      </c>
    </row>
    <row r="12188" spans="1:9">
      <c r="A12188" s="22" t="str">
        <f>HYPERLINK("https://app.vivvix.com/360/KMI/IntelliDrive/ApplUI/Pages/CreativePages/CustomReportCreativeDetail.aspx?App=23&amp;ReportView=4&amp;Qid=1711279&amp;Row=12180&amp;Col=1","No Title Assigned - #15272943142")</f>
        <v/>
      </c>
      <c r="B12188" s="0" t="s">
        <v>16449</v>
      </c>
      <c r="E12188" s="0" t="inlineStr">
        <is>
          <t xml:space="preserve">Mazda</t>
        </is>
      </c>
      <c r="F12188" s="0" t="inlineStr">
        <is>
          <t xml:space="preserve">Mazda</t>
        </is>
      </c>
      <c r="G12188" s="0" t="s">
        <v>171</v>
      </c>
      <c r="H12188" s="5">
        <v>589.783000</v>
      </c>
    </row>
    <row r="12189" spans="1:9">
      <c r="A12189" s="22" t="str">
        <f>HYPERLINK("https://app.vivvix.com/360/KMI/IntelliDrive/ApplUI/Pages/CreativePages/CustomReportCreativeDetail.aspx?App=23&amp;ReportView=4&amp;Qid=1711279&amp;Row=12181&amp;Col=1","No Title Assigned - #15272943334")</f>
        <v/>
      </c>
      <c r="B12189" s="0" t="s">
        <v>16450</v>
      </c>
      <c r="E12189" s="0" t="inlineStr">
        <is>
          <t xml:space="preserve">Mazda</t>
        </is>
      </c>
      <c r="F12189" s="0" t="s">
        <v>21</v>
      </c>
      <c r="G12189" s="0" t="s">
        <v>22</v>
      </c>
      <c r="H12189" s="5">
        <v>2036.216200</v>
      </c>
    </row>
    <row r="12190" spans="1:9">
      <c r="A12190" s="22" t="str">
        <f>HYPERLINK("https://app.vivvix.com/360/KMI/IntelliDrive/ApplUI/Pages/CreativePages/CustomReportCreativeDetail.aspx?App=23&amp;ReportView=4&amp;Qid=1711279&amp;Row=12182&amp;Col=1","No Title Assigned - #15272943831")</f>
        <v/>
      </c>
      <c r="B12190" s="0" t="s">
        <v>16451</v>
      </c>
      <c r="E12190" s="0" t="inlineStr">
        <is>
          <t xml:space="preserve">Mazda</t>
        </is>
      </c>
      <c r="F12190" s="0" t="inlineStr">
        <is>
          <t xml:space="preserve">Mazda</t>
        </is>
      </c>
      <c r="G12190" s="0" t="s">
        <v>171</v>
      </c>
      <c r="H12190" s="5">
        <v>62.983100</v>
      </c>
    </row>
    <row r="12191" spans="1:9">
      <c r="A12191" s="22" t="str">
        <f>HYPERLINK("https://app.vivvix.com/360/KMI/IntelliDrive/ApplUI/Pages/CreativePages/CustomReportCreativeDetail.aspx?App=23&amp;ReportView=4&amp;Qid=1711279&amp;Row=12183&amp;Col=1","No Title Assigned - #15272944035")</f>
        <v/>
      </c>
      <c r="B12191" s="0" t="s">
        <v>16452</v>
      </c>
      <c r="E12191" s="0" t="inlineStr">
        <is>
          <t xml:space="preserve">Mazda</t>
        </is>
      </c>
      <c r="F12191" s="0" t="inlineStr">
        <is>
          <t xml:space="preserve">Mazda</t>
        </is>
      </c>
      <c r="G12191" s="0" t="s">
        <v>171</v>
      </c>
      <c r="H12191" s="5">
        <v>210.871000</v>
      </c>
    </row>
    <row r="12192" spans="1:9">
      <c r="A12192" s="22" t="str">
        <f>HYPERLINK("https://app.vivvix.com/360/KMI/IntelliDrive/ApplUI/Pages/CreativePages/CustomReportCreativeDetail.aspx?App=23&amp;ReportView=4&amp;Qid=1711279&amp;Row=12184&amp;Col=1","No Title Assigned - #15272944112")</f>
        <v/>
      </c>
      <c r="B12192" s="0" t="s">
        <v>16453</v>
      </c>
      <c r="E12192" s="0" t="inlineStr">
        <is>
          <t xml:space="preserve">Mazda</t>
        </is>
      </c>
      <c r="F12192" s="0" t="inlineStr">
        <is>
          <t xml:space="preserve">Mazda</t>
        </is>
      </c>
      <c r="G12192" s="0" t="s">
        <v>171</v>
      </c>
      <c r="H12192" s="5">
        <v>1541.310200</v>
      </c>
    </row>
    <row r="12193" spans="1:9">
      <c r="A12193" s="22" t="str">
        <f>HYPERLINK("https://app.vivvix.com/360/KMI/IntelliDrive/ApplUI/Pages/CreativePages/CustomReportCreativeDetail.aspx?App=23&amp;ReportView=4&amp;Qid=1711279&amp;Row=12185&amp;Col=1","No Title Assigned - #15272944456")</f>
        <v/>
      </c>
      <c r="B12193" s="0" t="s">
        <v>16454</v>
      </c>
      <c r="E12193" s="0" t="inlineStr">
        <is>
          <t xml:space="preserve">Mazda</t>
        </is>
      </c>
      <c r="F12193" s="0" t="inlineStr">
        <is>
          <t xml:space="preserve">Mazda</t>
        </is>
      </c>
      <c r="G12193" s="0" t="s">
        <v>171</v>
      </c>
      <c r="H12193" s="5">
        <v>20.211000</v>
      </c>
    </row>
    <row r="12194" spans="1:9">
      <c r="A12194" s="22" t="str">
        <f>HYPERLINK("https://app.vivvix.com/360/KMI/IntelliDrive/ApplUI/Pages/CreativePages/CustomReportCreativeDetail.aspx?App=23&amp;ReportView=4&amp;Qid=1711279&amp;Row=12186&amp;Col=1","No Title Assigned - #15272944456")</f>
        <v/>
      </c>
      <c r="B12194" s="0" t="s">
        <v>16454</v>
      </c>
      <c r="E12194" s="0" t="inlineStr">
        <is>
          <t xml:space="preserve">Mazda</t>
        </is>
      </c>
      <c r="F12194" s="0" t="inlineStr">
        <is>
          <t xml:space="preserve">Mazda</t>
        </is>
      </c>
      <c r="G12194" s="0" t="s">
        <v>171</v>
      </c>
      <c r="H12194" s="5">
        <v>617.133400</v>
      </c>
    </row>
    <row r="12195" spans="1:9">
      <c r="A12195" s="22" t="str">
        <f>HYPERLINK("https://app.vivvix.com/360/KMI/IntelliDrive/ApplUI/Pages/CreativePages/CustomReportCreativeDetail.aspx?App=23&amp;ReportView=4&amp;Qid=1711279&amp;Row=12187&amp;Col=1","No Title Assigned - #15272945210")</f>
        <v/>
      </c>
      <c r="B12195" s="0" t="s">
        <v>16455</v>
      </c>
      <c r="E12195" s="0" t="inlineStr">
        <is>
          <t xml:space="preserve">Mazda</t>
        </is>
      </c>
      <c r="F12195" s="0" t="inlineStr">
        <is>
          <t xml:space="preserve">Mazda</t>
        </is>
      </c>
      <c r="G12195" s="0" t="s">
        <v>171</v>
      </c>
      <c r="H12195" s="5">
        <v>99.741800</v>
      </c>
    </row>
    <row r="12196" spans="1:9">
      <c r="A12196" s="22" t="str">
        <f>HYPERLINK("https://app.vivvix.com/360/KMI/IntelliDrive/ApplUI/Pages/CreativePages/CustomReportCreativeDetail.aspx?App=23&amp;ReportView=4&amp;Qid=1711279&amp;Row=12188&amp;Col=1","No Title Assigned - #15272945986")</f>
        <v/>
      </c>
      <c r="B12196" s="0" t="s">
        <v>16456</v>
      </c>
      <c r="E12196" s="0" t="inlineStr">
        <is>
          <t xml:space="preserve">Mazda</t>
        </is>
      </c>
      <c r="F12196" s="0" t="inlineStr">
        <is>
          <t xml:space="preserve">Mazda</t>
        </is>
      </c>
      <c r="G12196" s="0" t="s">
        <v>171</v>
      </c>
      <c r="H12196" s="5">
        <v>103.179800</v>
      </c>
    </row>
    <row r="12197" spans="1:9">
      <c r="A12197" s="22" t="str">
        <f>HYPERLINK("https://app.vivvix.com/360/KMI/IntelliDrive/ApplUI/Pages/CreativePages/CustomReportCreativeDetail.aspx?App=23&amp;ReportView=4&amp;Qid=1711279&amp;Row=12189&amp;Col=1","No Title Assigned - #15272945986")</f>
        <v/>
      </c>
      <c r="B12197" s="0" t="s">
        <v>16456</v>
      </c>
      <c r="C12197" s="0" t="s">
        <v>16457</v>
      </c>
      <c r="D12197" s="0" t="s">
        <v>16457</v>
      </c>
      <c r="E12197" s="0" t="inlineStr">
        <is>
          <t xml:space="preserve">Mazda</t>
        </is>
      </c>
      <c r="F12197" s="0" t="inlineStr">
        <is>
          <t xml:space="preserve">Mazda</t>
        </is>
      </c>
      <c r="G12197" s="0" t="s">
        <v>171</v>
      </c>
      <c r="H12197" s="5">
        <v>27.595600</v>
      </c>
    </row>
    <row r="12198" spans="1:9">
      <c r="A12198" s="22" t="str">
        <f>HYPERLINK("https://app.vivvix.com/360/KMI/IntelliDrive/ApplUI/Pages/CreativePages/CustomReportCreativeDetail.aspx?App=23&amp;ReportView=4&amp;Qid=1711279&amp;Row=12190&amp;Col=1","No Title Assigned - #15272946025")</f>
        <v/>
      </c>
      <c r="B12198" s="0" t="s">
        <v>16458</v>
      </c>
      <c r="E12198" s="0" t="inlineStr">
        <is>
          <t xml:space="preserve">Mazda</t>
        </is>
      </c>
      <c r="F12198" s="0" t="inlineStr">
        <is>
          <t xml:space="preserve">Mazda</t>
        </is>
      </c>
      <c r="G12198" s="0" t="s">
        <v>171</v>
      </c>
      <c r="H12198" s="5">
        <v>47.891900</v>
      </c>
    </row>
    <row r="12199" spans="1:9">
      <c r="A12199" s="22" t="str">
        <f>HYPERLINK("https://app.vivvix.com/360/KMI/IntelliDrive/ApplUI/Pages/CreativePages/CustomReportCreativeDetail.aspx?App=23&amp;ReportView=4&amp;Qid=1711279&amp;Row=12191&amp;Col=1","No Title Assigned - #15272946436")</f>
        <v/>
      </c>
      <c r="B12199" s="0" t="s">
        <v>16459</v>
      </c>
      <c r="E12199" s="0" t="inlineStr">
        <is>
          <t xml:space="preserve">Mazda</t>
        </is>
      </c>
      <c r="F12199" s="0" t="inlineStr">
        <is>
          <t xml:space="preserve">Mazda</t>
        </is>
      </c>
      <c r="G12199" s="0" t="s">
        <v>171</v>
      </c>
      <c r="H12199" s="5">
        <v>11.708700</v>
      </c>
    </row>
    <row r="12200" spans="1:9">
      <c r="A12200" s="22" t="str">
        <f>HYPERLINK("https://app.vivvix.com/360/KMI/IntelliDrive/ApplUI/Pages/CreativePages/CustomReportCreativeDetail.aspx?App=23&amp;ReportView=4&amp;Qid=1711279&amp;Row=12192&amp;Col=1","No Title Assigned - #15272947915")</f>
        <v/>
      </c>
      <c r="B12200" s="0" t="s">
        <v>16460</v>
      </c>
      <c r="E12200" s="0" t="inlineStr">
        <is>
          <t xml:space="preserve">Mazda</t>
        </is>
      </c>
      <c r="F12200" s="0" t="inlineStr">
        <is>
          <t xml:space="preserve">Mazda</t>
        </is>
      </c>
      <c r="G12200" s="0" t="s">
        <v>171</v>
      </c>
      <c r="H12200" s="5">
        <v>221.189500</v>
      </c>
    </row>
    <row r="12201" spans="1:9">
      <c r="A12201" s="22" t="str">
        <f>HYPERLINK("https://app.vivvix.com/360/KMI/IntelliDrive/ApplUI/Pages/CreativePages/CustomReportCreativeDetail.aspx?App=23&amp;ReportView=4&amp;Qid=1711279&amp;Row=12193&amp;Col=1","No Title Assigned - #15272948172")</f>
        <v/>
      </c>
      <c r="B12201" s="0" t="s">
        <v>16461</v>
      </c>
      <c r="E12201" s="0" t="inlineStr">
        <is>
          <t xml:space="preserve">Mazda</t>
        </is>
      </c>
      <c r="F12201" s="0" t="inlineStr">
        <is>
          <t xml:space="preserve">Mazda</t>
        </is>
      </c>
      <c r="G12201" s="0" t="s">
        <v>171</v>
      </c>
      <c r="H12201" s="5">
        <v>1404.029300</v>
      </c>
    </row>
    <row r="12202" spans="1:9">
      <c r="A12202" s="22" t="str">
        <f>HYPERLINK("https://app.vivvix.com/360/KMI/IntelliDrive/ApplUI/Pages/CreativePages/CustomReportCreativeDetail.aspx?App=23&amp;ReportView=4&amp;Qid=1711279&amp;Row=12194&amp;Col=1","No Title Assigned - #15272949859")</f>
        <v/>
      </c>
      <c r="B12202" s="0" t="s">
        <v>16462</v>
      </c>
      <c r="E12202" s="0" t="inlineStr">
        <is>
          <t xml:space="preserve">Mazda</t>
        </is>
      </c>
      <c r="F12202" s="0" t="inlineStr">
        <is>
          <t xml:space="preserve">Mazda</t>
        </is>
      </c>
      <c r="G12202" s="0" t="s">
        <v>171</v>
      </c>
      <c r="H12202" s="5">
        <v>13.146600</v>
      </c>
    </row>
    <row r="12203" spans="1:9">
      <c r="A12203" s="22" t="str">
        <f>HYPERLINK("https://app.vivvix.com/360/KMI/IntelliDrive/ApplUI/Pages/CreativePages/CustomReportCreativeDetail.aspx?App=23&amp;ReportView=4&amp;Qid=1711279&amp;Row=12195&amp;Col=1","No Title Assigned - #15272952401")</f>
        <v/>
      </c>
      <c r="B12203" s="0" t="s">
        <v>16463</v>
      </c>
      <c r="C12203" s="0" t="s">
        <v>16464</v>
      </c>
      <c r="D12203" s="0" t="s">
        <v>10492</v>
      </c>
      <c r="E12203" s="0" t="inlineStr">
        <is>
          <t xml:space="preserve">Mazda</t>
        </is>
      </c>
      <c r="F12203" s="0" t="s">
        <v>28</v>
      </c>
      <c r="G12203" s="0" t="s">
        <v>29</v>
      </c>
      <c r="H12203" s="5">
        <v>48.838000</v>
      </c>
    </row>
    <row r="12204" spans="1:9">
      <c r="A12204" s="22" t="str">
        <f>HYPERLINK("https://app.vivvix.com/360/KMI/IntelliDrive/ApplUI/Pages/CreativePages/CustomReportCreativeDetail.aspx?App=23&amp;ReportView=4&amp;Qid=1711279&amp;Row=12196&amp;Col=1","No Title Assigned - #15272952765")</f>
        <v/>
      </c>
      <c r="B12204" s="0" t="s">
        <v>16465</v>
      </c>
      <c r="E12204" s="0" t="inlineStr">
        <is>
          <t xml:space="preserve">Mazda</t>
        </is>
      </c>
      <c r="F12204" s="0" t="inlineStr">
        <is>
          <t xml:space="preserve">Mazda</t>
        </is>
      </c>
      <c r="G12204" s="0" t="s">
        <v>171</v>
      </c>
      <c r="H12204" s="5">
        <v>16.660200</v>
      </c>
    </row>
    <row r="12205" spans="1:9">
      <c r="A12205" s="22" t="str">
        <f>HYPERLINK("https://app.vivvix.com/360/KMI/IntelliDrive/ApplUI/Pages/CreativePages/CustomReportCreativeDetail.aspx?App=23&amp;ReportView=4&amp;Qid=1711279&amp;Row=12197&amp;Col=1","No Title Assigned - #15272953203")</f>
        <v/>
      </c>
      <c r="B12205" s="0" t="s">
        <v>16466</v>
      </c>
      <c r="E12205" s="0" t="inlineStr">
        <is>
          <t xml:space="preserve">Mazda</t>
        </is>
      </c>
      <c r="F12205" s="0" t="inlineStr">
        <is>
          <t xml:space="preserve">Mazda</t>
        </is>
      </c>
      <c r="G12205" s="0" t="s">
        <v>171</v>
      </c>
      <c r="H12205" s="5">
        <v>65.898000</v>
      </c>
    </row>
    <row r="12206" spans="1:9">
      <c r="A12206" s="22" t="str">
        <f>HYPERLINK("https://app.vivvix.com/360/KMI/IntelliDrive/ApplUI/Pages/CreativePages/CustomReportCreativeDetail.aspx?App=23&amp;ReportView=4&amp;Qid=1711279&amp;Row=12198&amp;Col=1","No Title Assigned - #15272955515")</f>
        <v/>
      </c>
      <c r="B12206" s="0" t="s">
        <v>16467</v>
      </c>
      <c r="E12206" s="0" t="inlineStr">
        <is>
          <t xml:space="preserve">Mazda</t>
        </is>
      </c>
      <c r="F12206" s="0" t="inlineStr">
        <is>
          <t xml:space="preserve">Mazda</t>
        </is>
      </c>
      <c r="G12206" s="0" t="s">
        <v>171</v>
      </c>
      <c r="H12206" s="5">
        <v>514.578200</v>
      </c>
    </row>
    <row r="12207" spans="1:9">
      <c r="A12207" s="22" t="str">
        <f>HYPERLINK("https://app.vivvix.com/360/KMI/IntelliDrive/ApplUI/Pages/CreativePages/CustomReportCreativeDetail.aspx?App=23&amp;ReportView=4&amp;Qid=1711279&amp;Row=12199&amp;Col=1","No Title Assigned - #15272956860")</f>
        <v/>
      </c>
      <c r="B12207" s="0" t="s">
        <v>16468</v>
      </c>
      <c r="E12207" s="0" t="inlineStr">
        <is>
          <t xml:space="preserve">Mazda</t>
        </is>
      </c>
      <c r="F12207" s="0" t="inlineStr">
        <is>
          <t xml:space="preserve">Mazda</t>
        </is>
      </c>
      <c r="G12207" s="0" t="s">
        <v>171</v>
      </c>
      <c r="H12207" s="5">
        <v>9.222900</v>
      </c>
    </row>
    <row r="12208" spans="1:9">
      <c r="A12208" s="22" t="str">
        <f>HYPERLINK("https://app.vivvix.com/360/KMI/IntelliDrive/ApplUI/Pages/CreativePages/CustomReportCreativeDetail.aspx?App=23&amp;ReportView=4&amp;Qid=1711279&amp;Row=12200&amp;Col=1","No Title Assigned - #15272957067")</f>
        <v/>
      </c>
      <c r="B12208" s="0" t="s">
        <v>16469</v>
      </c>
      <c r="E12208" s="0" t="inlineStr">
        <is>
          <t xml:space="preserve">Mazda</t>
        </is>
      </c>
      <c r="F12208" s="0" t="inlineStr">
        <is>
          <t xml:space="preserve">Mazda</t>
        </is>
      </c>
      <c r="G12208" s="0" t="s">
        <v>171</v>
      </c>
      <c r="H12208" s="5">
        <v>177.192300</v>
      </c>
    </row>
    <row r="12209" spans="1:9">
      <c r="A12209" s="22" t="str">
        <f>HYPERLINK("https://app.vivvix.com/360/KMI/IntelliDrive/ApplUI/Pages/CreativePages/CustomReportCreativeDetail.aspx?App=23&amp;ReportView=4&amp;Qid=1711279&amp;Row=12201&amp;Col=1","No Title Assigned - #15272962091")</f>
        <v/>
      </c>
      <c r="B12209" s="0" t="s">
        <v>16470</v>
      </c>
      <c r="E12209" s="0" t="inlineStr">
        <is>
          <t xml:space="preserve">Mazda</t>
        </is>
      </c>
      <c r="F12209" s="0" t="inlineStr">
        <is>
          <t xml:space="preserve">Mazda</t>
        </is>
      </c>
      <c r="G12209" s="0" t="s">
        <v>171</v>
      </c>
      <c r="H12209" s="5">
        <v>499.064900</v>
      </c>
    </row>
    <row r="12210" spans="1:9">
      <c r="A12210" s="22" t="str">
        <f>HYPERLINK("https://app.vivvix.com/360/KMI/IntelliDrive/ApplUI/Pages/CreativePages/CustomReportCreativeDetail.aspx?App=23&amp;ReportView=4&amp;Qid=1711279&amp;Row=12202&amp;Col=1","No Title Assigned - #15272962536")</f>
        <v/>
      </c>
      <c r="B12210" s="0" t="s">
        <v>16471</v>
      </c>
      <c r="E12210" s="0" t="inlineStr">
        <is>
          <t xml:space="preserve">Mazda</t>
        </is>
      </c>
      <c r="F12210" s="0" t="inlineStr">
        <is>
          <t xml:space="preserve">Mazda</t>
        </is>
      </c>
      <c r="G12210" s="0" t="s">
        <v>171</v>
      </c>
      <c r="H12210" s="5">
        <v>38.110900</v>
      </c>
    </row>
    <row r="12211" spans="1:9">
      <c r="A12211" s="22" t="str">
        <f>HYPERLINK("https://app.vivvix.com/360/KMI/IntelliDrive/ApplUI/Pages/CreativePages/CustomReportCreativeDetail.aspx?App=23&amp;ReportView=4&amp;Qid=1711279&amp;Row=12203&amp;Col=1","No Title Assigned - #15272962885")</f>
        <v/>
      </c>
      <c r="B12211" s="0" t="s">
        <v>16472</v>
      </c>
      <c r="E12211" s="0" t="inlineStr">
        <is>
          <t xml:space="preserve">Mazda</t>
        </is>
      </c>
      <c r="F12211" s="0" t="inlineStr">
        <is>
          <t xml:space="preserve">Mazda</t>
        </is>
      </c>
      <c r="G12211" s="0" t="s">
        <v>171</v>
      </c>
      <c r="H12211" s="5">
        <v>420.764500</v>
      </c>
    </row>
    <row r="12212" spans="1:9">
      <c r="A12212" s="22" t="str">
        <f>HYPERLINK("https://app.vivvix.com/360/KMI/IntelliDrive/ApplUI/Pages/CreativePages/CustomReportCreativeDetail.aspx?App=23&amp;ReportView=4&amp;Qid=1711279&amp;Row=12204&amp;Col=1","No Title Assigned - #15272963295")</f>
        <v/>
      </c>
      <c r="B12212" s="0" t="s">
        <v>16473</v>
      </c>
      <c r="E12212" s="0" t="inlineStr">
        <is>
          <t xml:space="preserve">Mazda</t>
        </is>
      </c>
      <c r="F12212" s="0" t="inlineStr">
        <is>
          <t xml:space="preserve">Mazda</t>
        </is>
      </c>
      <c r="G12212" s="0" t="s">
        <v>171</v>
      </c>
      <c r="H12212" s="5">
        <v>40.015000</v>
      </c>
    </row>
    <row r="12213" spans="1:9">
      <c r="A12213" s="22" t="str">
        <f>HYPERLINK("https://app.vivvix.com/360/KMI/IntelliDrive/ApplUI/Pages/CreativePages/CustomReportCreativeDetail.aspx?App=23&amp;ReportView=4&amp;Qid=1711279&amp;Row=12205&amp;Col=1","No Title Assigned - #15272965914")</f>
        <v/>
      </c>
      <c r="B12213" s="0" t="s">
        <v>16474</v>
      </c>
      <c r="E12213" s="0" t="inlineStr">
        <is>
          <t xml:space="preserve">Mazda</t>
        </is>
      </c>
      <c r="F12213" s="0" t="inlineStr">
        <is>
          <t xml:space="preserve">Mazda</t>
        </is>
      </c>
      <c r="G12213" s="0" t="s">
        <v>171</v>
      </c>
      <c r="H12213" s="5">
        <v>20.305800</v>
      </c>
    </row>
    <row r="12214" spans="1:9">
      <c r="A12214" s="22" t="str">
        <f>HYPERLINK("https://app.vivvix.com/360/KMI/IntelliDrive/ApplUI/Pages/CreativePages/CustomReportCreativeDetail.aspx?App=23&amp;ReportView=4&amp;Qid=1711279&amp;Row=12206&amp;Col=1","No Title Assigned - #15272967781")</f>
        <v/>
      </c>
      <c r="B12214" s="0" t="s">
        <v>16475</v>
      </c>
      <c r="E12214" s="0" t="inlineStr">
        <is>
          <t xml:space="preserve">Mazda</t>
        </is>
      </c>
      <c r="F12214" s="0" t="inlineStr">
        <is>
          <t xml:space="preserve">Mazda</t>
        </is>
      </c>
      <c r="G12214" s="0" t="s">
        <v>171</v>
      </c>
      <c r="H12214" s="5">
        <v>12.675800</v>
      </c>
    </row>
    <row r="12215" spans="1:9">
      <c r="A12215" s="22" t="str">
        <f>HYPERLINK("https://app.vivvix.com/360/KMI/IntelliDrive/ApplUI/Pages/CreativePages/CustomReportCreativeDetail.aspx?App=23&amp;ReportView=4&amp;Qid=1711279&amp;Row=12207&amp;Col=1","No Title Assigned - #15272972482")</f>
        <v/>
      </c>
      <c r="B12215" s="0" t="s">
        <v>16476</v>
      </c>
      <c r="C12215" s="0" t="s">
        <v>16477</v>
      </c>
      <c r="D12215" s="0" t="s">
        <v>4200</v>
      </c>
      <c r="E12215" s="0" t="inlineStr">
        <is>
          <t xml:space="preserve">Mazda</t>
        </is>
      </c>
      <c r="F12215" s="0" t="s">
        <v>28</v>
      </c>
      <c r="G12215" s="0" t="s">
        <v>29</v>
      </c>
      <c r="H12215" s="5">
        <v>4.871800</v>
      </c>
    </row>
    <row r="12216" spans="1:9">
      <c r="A12216" s="22" t="str">
        <f>HYPERLINK("https://app.vivvix.com/360/KMI/IntelliDrive/ApplUI/Pages/CreativePages/CustomReportCreativeDetail.aspx?App=23&amp;ReportView=4&amp;Qid=1711279&amp;Row=12208&amp;Col=1","No Title Assigned - #15272973088")</f>
        <v/>
      </c>
      <c r="B12216" s="0" t="s">
        <v>16478</v>
      </c>
      <c r="C12216" s="0" t="s">
        <v>16479</v>
      </c>
      <c r="D12216" s="0" t="s">
        <v>4200</v>
      </c>
      <c r="E12216" s="0" t="inlineStr">
        <is>
          <t xml:space="preserve">Mazda</t>
        </is>
      </c>
      <c r="F12216" s="0" t="s">
        <v>28</v>
      </c>
      <c r="G12216" s="0" t="s">
        <v>29</v>
      </c>
      <c r="H12216" s="5">
        <v>406.423400</v>
      </c>
    </row>
    <row r="12217" spans="1:9">
      <c r="A12217" s="22" t="str">
        <f>HYPERLINK("https://app.vivvix.com/360/KMI/IntelliDrive/ApplUI/Pages/CreativePages/CustomReportCreativeDetail.aspx?App=23&amp;ReportView=4&amp;Qid=1711279&amp;Row=12209&amp;Col=1","No Title Assigned - #15272973475")</f>
        <v/>
      </c>
      <c r="B12217" s="0" t="s">
        <v>16480</v>
      </c>
      <c r="C12217" s="0" t="s">
        <v>16481</v>
      </c>
      <c r="D12217" s="0" t="s">
        <v>16481</v>
      </c>
      <c r="E12217" s="0" t="inlineStr">
        <is>
          <t xml:space="preserve">Mazda</t>
        </is>
      </c>
      <c r="F12217" s="0" t="s">
        <v>28</v>
      </c>
      <c r="G12217" s="0" t="s">
        <v>29</v>
      </c>
      <c r="H12217" s="5">
        <v>782.831600</v>
      </c>
    </row>
    <row r="12218" spans="1:9">
      <c r="A12218" s="22" t="str">
        <f>HYPERLINK("https://app.vivvix.com/360/KMI/IntelliDrive/ApplUI/Pages/CreativePages/CustomReportCreativeDetail.aspx?App=23&amp;ReportView=4&amp;Qid=1711279&amp;Row=12210&amp;Col=1","No Title Assigned - #15272974272")</f>
        <v/>
      </c>
      <c r="B12218" s="0" t="s">
        <v>16482</v>
      </c>
      <c r="C12218" s="0" t="s">
        <v>16483</v>
      </c>
      <c r="D12218" s="0" t="s">
        <v>16483</v>
      </c>
      <c r="E12218" s="0" t="inlineStr">
        <is>
          <t xml:space="preserve">Mazda</t>
        </is>
      </c>
      <c r="F12218" s="0" t="s">
        <v>13</v>
      </c>
      <c r="G12218" s="0" t="s">
        <v>49</v>
      </c>
      <c r="H12218" s="5">
        <v>6.330700</v>
      </c>
    </row>
    <row r="12219" spans="1:9">
      <c r="A12219" s="22" t="str">
        <f>HYPERLINK("https://app.vivvix.com/360/KMI/IntelliDrive/ApplUI/Pages/CreativePages/CustomReportCreativeDetail.aspx?App=23&amp;ReportView=4&amp;Qid=1711279&amp;Row=12211&amp;Col=1","No Title Assigned - #15272979910")</f>
        <v/>
      </c>
      <c r="B12219" s="0" t="s">
        <v>16484</v>
      </c>
      <c r="C12219" s="0" t="s">
        <v>16485</v>
      </c>
      <c r="D12219" s="0" t="s">
        <v>16485</v>
      </c>
      <c r="E12219" s="0" t="inlineStr">
        <is>
          <t xml:space="preserve">Mazda</t>
        </is>
      </c>
      <c r="F12219" s="0" t="s">
        <v>28</v>
      </c>
      <c r="G12219" s="0" t="s">
        <v>29</v>
      </c>
      <c r="H12219" s="5">
        <v>24.842200</v>
      </c>
    </row>
    <row r="12220" spans="1:9">
      <c r="A12220" s="22" t="str">
        <f>HYPERLINK("https://app.vivvix.com/360/KMI/IntelliDrive/ApplUI/Pages/CreativePages/CustomReportCreativeDetail.aspx?App=23&amp;ReportView=4&amp;Qid=1711279&amp;Row=12212&amp;Col=1","No Title Assigned - #15272981056")</f>
        <v/>
      </c>
      <c r="B12220" s="0" t="s">
        <v>16486</v>
      </c>
      <c r="E12220" s="0" t="inlineStr">
        <is>
          <t xml:space="preserve">Mazda</t>
        </is>
      </c>
      <c r="F12220" s="0" t="inlineStr">
        <is>
          <t xml:space="preserve">Mazda</t>
        </is>
      </c>
      <c r="G12220" s="0" t="s">
        <v>171</v>
      </c>
      <c r="H12220" s="5">
        <v>102.265300</v>
      </c>
    </row>
    <row r="12221" spans="1:9">
      <c r="A12221" s="22" t="str">
        <f>HYPERLINK("https://app.vivvix.com/360/KMI/IntelliDrive/ApplUI/Pages/CreativePages/CustomReportCreativeDetail.aspx?App=23&amp;ReportView=4&amp;Qid=1711279&amp;Row=12213&amp;Col=1","No Title Assigned - #15272981203")</f>
        <v/>
      </c>
      <c r="B12221" s="0" t="s">
        <v>16487</v>
      </c>
      <c r="E12221" s="0" t="inlineStr">
        <is>
          <t xml:space="preserve">Mazda</t>
        </is>
      </c>
      <c r="F12221" s="0" t="inlineStr">
        <is>
          <t xml:space="preserve">Mazda</t>
        </is>
      </c>
      <c r="G12221" s="0" t="s">
        <v>171</v>
      </c>
      <c r="H12221" s="5">
        <v>26.105400</v>
      </c>
    </row>
    <row r="12222" spans="1:9">
      <c r="A12222" s="22" t="str">
        <f>HYPERLINK("https://app.vivvix.com/360/KMI/IntelliDrive/ApplUI/Pages/CreativePages/CustomReportCreativeDetail.aspx?App=23&amp;ReportView=4&amp;Qid=1711279&amp;Row=12214&amp;Col=1","No Title Assigned - #15272982840")</f>
        <v/>
      </c>
      <c r="B12222" s="0" t="s">
        <v>16488</v>
      </c>
      <c r="C12222" s="0" t="s">
        <v>16489</v>
      </c>
      <c r="D12222" s="0" t="s">
        <v>10724</v>
      </c>
      <c r="E12222" s="0" t="inlineStr">
        <is>
          <t xml:space="preserve">Mazda</t>
        </is>
      </c>
      <c r="F12222" s="0" t="s">
        <v>28</v>
      </c>
      <c r="G12222" s="0" t="s">
        <v>29</v>
      </c>
      <c r="H12222" s="5">
        <v>465.047900</v>
      </c>
    </row>
    <row r="12223" spans="1:9">
      <c r="A12223" s="22" t="str">
        <f>HYPERLINK("https://app.vivvix.com/360/KMI/IntelliDrive/ApplUI/Pages/CreativePages/CustomReportCreativeDetail.aspx?App=23&amp;ReportView=4&amp;Qid=1711279&amp;Row=12215&amp;Col=1","No Title Assigned - #15272984351")</f>
        <v/>
      </c>
      <c r="B12223" s="0" t="s">
        <v>16490</v>
      </c>
      <c r="E12223" s="0" t="inlineStr">
        <is>
          <t xml:space="preserve">Mazda</t>
        </is>
      </c>
      <c r="F12223" s="0" t="inlineStr">
        <is>
          <t xml:space="preserve">Mazda</t>
        </is>
      </c>
      <c r="G12223" s="0" t="s">
        <v>171</v>
      </c>
      <c r="H12223" s="5">
        <v>12.484100</v>
      </c>
    </row>
    <row r="12224" spans="1:9">
      <c r="A12224" s="22" t="str">
        <f>HYPERLINK("https://app.vivvix.com/360/KMI/IntelliDrive/ApplUI/Pages/CreativePages/CustomReportCreativeDetail.aspx?App=23&amp;ReportView=4&amp;Qid=1711279&amp;Row=12216&amp;Col=1","No Title Assigned - #15272984530")</f>
        <v/>
      </c>
      <c r="B12224" s="0" t="s">
        <v>16491</v>
      </c>
      <c r="E12224" s="0" t="inlineStr">
        <is>
          <t xml:space="preserve">Mazda</t>
        </is>
      </c>
      <c r="F12224" s="0" t="inlineStr">
        <is>
          <t xml:space="preserve">Mazda</t>
        </is>
      </c>
      <c r="G12224" s="0" t="s">
        <v>171</v>
      </c>
      <c r="H12224" s="5">
        <v>9.542600</v>
      </c>
    </row>
    <row r="12225" spans="1:9">
      <c r="A12225" s="22" t="str">
        <f>HYPERLINK("https://app.vivvix.com/360/KMI/IntelliDrive/ApplUI/Pages/CreativePages/CustomReportCreativeDetail.aspx?App=23&amp;ReportView=4&amp;Qid=1711279&amp;Row=12217&amp;Col=1","No Title Assigned - #15272985489")</f>
        <v/>
      </c>
      <c r="B12225" s="0" t="s">
        <v>16492</v>
      </c>
      <c r="E12225" s="0" t="inlineStr">
        <is>
          <t xml:space="preserve">Mazda</t>
        </is>
      </c>
      <c r="F12225" s="0" t="inlineStr">
        <is>
          <t xml:space="preserve">Mazda</t>
        </is>
      </c>
      <c r="G12225" s="0" t="s">
        <v>171</v>
      </c>
      <c r="H12225" s="5">
        <v>2.161700</v>
      </c>
    </row>
    <row r="12226" spans="1:9">
      <c r="A12226" s="22" t="str">
        <f>HYPERLINK("https://app.vivvix.com/360/KMI/IntelliDrive/ApplUI/Pages/CreativePages/CustomReportCreativeDetail.aspx?App=23&amp;ReportView=4&amp;Qid=1711279&amp;Row=12218&amp;Col=1","No Title Assigned - #15272985801")</f>
        <v/>
      </c>
      <c r="B12226" s="0" t="s">
        <v>16493</v>
      </c>
      <c r="E12226" s="0" t="inlineStr">
        <is>
          <t xml:space="preserve">Mazda</t>
        </is>
      </c>
      <c r="F12226" s="0" t="inlineStr">
        <is>
          <t xml:space="preserve">Mazda</t>
        </is>
      </c>
      <c r="G12226" s="0" t="s">
        <v>171</v>
      </c>
      <c r="H12226" s="5">
        <v>12.842300</v>
      </c>
    </row>
    <row r="12227" spans="1:9">
      <c r="A12227" s="22" t="str">
        <f>HYPERLINK("https://app.vivvix.com/360/KMI/IntelliDrive/ApplUI/Pages/CreativePages/CustomReportCreativeDetail.aspx?App=23&amp;ReportView=4&amp;Qid=1711279&amp;Row=12219&amp;Col=1","No Title Assigned - #15272986584")</f>
        <v/>
      </c>
      <c r="B12227" s="0" t="s">
        <v>16494</v>
      </c>
      <c r="E12227" s="0" t="inlineStr">
        <is>
          <t xml:space="preserve">Mazda</t>
        </is>
      </c>
      <c r="F12227" s="0" t="inlineStr">
        <is>
          <t xml:space="preserve">Mazda</t>
        </is>
      </c>
      <c r="G12227" s="0" t="s">
        <v>171</v>
      </c>
      <c r="H12227" s="5">
        <v>5.011000</v>
      </c>
    </row>
    <row r="12228" spans="1:9">
      <c r="A12228" s="22" t="str">
        <f>HYPERLINK("https://app.vivvix.com/360/KMI/IntelliDrive/ApplUI/Pages/CreativePages/CustomReportCreativeDetail.aspx?App=23&amp;ReportView=4&amp;Qid=1711279&amp;Row=12220&amp;Col=1","No Title Assigned - #15272987336")</f>
        <v/>
      </c>
      <c r="B12228" s="0" t="s">
        <v>16495</v>
      </c>
      <c r="E12228" s="0" t="inlineStr">
        <is>
          <t xml:space="preserve">Mazda</t>
        </is>
      </c>
      <c r="F12228" s="0" t="inlineStr">
        <is>
          <t xml:space="preserve">Mazda</t>
        </is>
      </c>
      <c r="G12228" s="0" t="s">
        <v>171</v>
      </c>
      <c r="H12228" s="5">
        <v>82.534500</v>
      </c>
    </row>
    <row r="12229" spans="1:9">
      <c r="A12229" s="22" t="str">
        <f>HYPERLINK("https://app.vivvix.com/360/KMI/IntelliDrive/ApplUI/Pages/CreativePages/CustomReportCreativeDetail.aspx?App=23&amp;ReportView=4&amp;Qid=1711279&amp;Row=12221&amp;Col=1","No Title Assigned - #15272988130")</f>
        <v/>
      </c>
      <c r="B12229" s="0" t="s">
        <v>16496</v>
      </c>
      <c r="C12229" s="0" t="s">
        <v>16497</v>
      </c>
      <c r="D12229" s="0" t="s">
        <v>16497</v>
      </c>
      <c r="E12229" s="0" t="inlineStr">
        <is>
          <t xml:space="preserve">Mazda</t>
        </is>
      </c>
      <c r="F12229" s="0" t="inlineStr">
        <is>
          <t xml:space="preserve">Mazda</t>
        </is>
      </c>
      <c r="G12229" s="0" t="s">
        <v>171</v>
      </c>
      <c r="H12229" s="5">
        <v>196.572900</v>
      </c>
    </row>
    <row r="12230" spans="1:9">
      <c r="A12230" s="22" t="str">
        <f>HYPERLINK("https://app.vivvix.com/360/KMI/IntelliDrive/ApplUI/Pages/CreativePages/CustomReportCreativeDetail.aspx?App=23&amp;ReportView=4&amp;Qid=1711279&amp;Row=12222&amp;Col=1","No Title Assigned - #15272988373")</f>
        <v/>
      </c>
      <c r="B12230" s="0" t="s">
        <v>16498</v>
      </c>
      <c r="E12230" s="0" t="inlineStr">
        <is>
          <t xml:space="preserve">Mazda</t>
        </is>
      </c>
      <c r="F12230" s="0" t="inlineStr">
        <is>
          <t xml:space="preserve">Mazda</t>
        </is>
      </c>
      <c r="G12230" s="0" t="s">
        <v>171</v>
      </c>
      <c r="H12230" s="5">
        <v>12.225400</v>
      </c>
    </row>
    <row r="12231" spans="1:9">
      <c r="A12231" s="22" t="str">
        <f>HYPERLINK("https://app.vivvix.com/360/KMI/IntelliDrive/ApplUI/Pages/CreativePages/CustomReportCreativeDetail.aspx?App=23&amp;ReportView=4&amp;Qid=1711279&amp;Row=12223&amp;Col=1","No Title Assigned - #15272988731")</f>
        <v/>
      </c>
      <c r="B12231" s="0" t="s">
        <v>16499</v>
      </c>
      <c r="E12231" s="0" t="inlineStr">
        <is>
          <t xml:space="preserve">Mazda</t>
        </is>
      </c>
      <c r="F12231" s="0" t="inlineStr">
        <is>
          <t xml:space="preserve">Mazda</t>
        </is>
      </c>
      <c r="G12231" s="0" t="s">
        <v>171</v>
      </c>
      <c r="H12231" s="5">
        <v>20.538100</v>
      </c>
    </row>
    <row r="12232" spans="1:9">
      <c r="A12232" s="22" t="str">
        <f>HYPERLINK("https://app.vivvix.com/360/KMI/IntelliDrive/ApplUI/Pages/CreativePages/CustomReportCreativeDetail.aspx?App=23&amp;ReportView=4&amp;Qid=1711279&amp;Row=12224&amp;Col=1","No Title Assigned - #15272989201")</f>
        <v/>
      </c>
      <c r="B12232" s="0" t="s">
        <v>16500</v>
      </c>
      <c r="E12232" s="0" t="inlineStr">
        <is>
          <t xml:space="preserve">Mazda</t>
        </is>
      </c>
      <c r="F12232" s="0" t="inlineStr">
        <is>
          <t xml:space="preserve">Mazda</t>
        </is>
      </c>
      <c r="G12232" s="0" t="s">
        <v>171</v>
      </c>
      <c r="H12232" s="5">
        <v>29.835300</v>
      </c>
    </row>
    <row r="12233" spans="1:9">
      <c r="A12233" s="22" t="str">
        <f>HYPERLINK("https://app.vivvix.com/360/KMI/IntelliDrive/ApplUI/Pages/CreativePages/CustomReportCreativeDetail.aspx?App=23&amp;ReportView=4&amp;Qid=1711279&amp;Row=12225&amp;Col=1","No Title Assigned - #15272989743")</f>
        <v/>
      </c>
      <c r="B12233" s="0" t="s">
        <v>16501</v>
      </c>
      <c r="E12233" s="0" t="inlineStr">
        <is>
          <t xml:space="preserve">Mazda</t>
        </is>
      </c>
      <c r="F12233" s="0" t="inlineStr">
        <is>
          <t xml:space="preserve">Mazda</t>
        </is>
      </c>
      <c r="G12233" s="0" t="s">
        <v>171</v>
      </c>
      <c r="H12233" s="5">
        <v>186.172400</v>
      </c>
    </row>
    <row r="12234" spans="1:9">
      <c r="A12234" s="22" t="str">
        <f>HYPERLINK("https://app.vivvix.com/360/KMI/IntelliDrive/ApplUI/Pages/CreativePages/CustomReportCreativeDetail.aspx?App=23&amp;ReportView=4&amp;Qid=1711279&amp;Row=12226&amp;Col=1","No Title Assigned - #15272990110")</f>
        <v/>
      </c>
      <c r="B12234" s="0" t="s">
        <v>16502</v>
      </c>
      <c r="E12234" s="0" t="inlineStr">
        <is>
          <t xml:space="preserve">Mazda</t>
        </is>
      </c>
      <c r="F12234" s="0" t="inlineStr">
        <is>
          <t xml:space="preserve">Mazda</t>
        </is>
      </c>
      <c r="G12234" s="0" t="s">
        <v>171</v>
      </c>
      <c r="H12234" s="5">
        <v>18.834300</v>
      </c>
    </row>
    <row r="12235" spans="1:9">
      <c r="A12235" s="22" t="str">
        <f>HYPERLINK("https://app.vivvix.com/360/KMI/IntelliDrive/ApplUI/Pages/CreativePages/CustomReportCreativeDetail.aspx?App=23&amp;ReportView=4&amp;Qid=1711279&amp;Row=12227&amp;Col=1","No Title Assigned - #15272990209")</f>
        <v/>
      </c>
      <c r="B12235" s="0" t="s">
        <v>16503</v>
      </c>
      <c r="E12235" s="0" t="inlineStr">
        <is>
          <t xml:space="preserve">Mazda</t>
        </is>
      </c>
      <c r="F12235" s="0" t="inlineStr">
        <is>
          <t xml:space="preserve">Mazda</t>
        </is>
      </c>
      <c r="G12235" s="0" t="s">
        <v>171</v>
      </c>
      <c r="H12235" s="5">
        <v>18.834300</v>
      </c>
    </row>
    <row r="12236" spans="1:9">
      <c r="A12236" s="22" t="str">
        <f>HYPERLINK("https://app.vivvix.com/360/KMI/IntelliDrive/ApplUI/Pages/CreativePages/CustomReportCreativeDetail.aspx?App=23&amp;ReportView=4&amp;Qid=1711279&amp;Row=12228&amp;Col=1","No Title Assigned - #15272990364")</f>
        <v/>
      </c>
      <c r="B12236" s="0" t="s">
        <v>16504</v>
      </c>
      <c r="E12236" s="0" t="inlineStr">
        <is>
          <t xml:space="preserve">Mazda</t>
        </is>
      </c>
      <c r="F12236" s="0" t="inlineStr">
        <is>
          <t xml:space="preserve">Mazda</t>
        </is>
      </c>
      <c r="G12236" s="0" t="s">
        <v>171</v>
      </c>
      <c r="H12236" s="5">
        <v>529.817600</v>
      </c>
    </row>
    <row r="12237" spans="1:9">
      <c r="A12237" s="22" t="str">
        <f>HYPERLINK("https://app.vivvix.com/360/KMI/IntelliDrive/ApplUI/Pages/CreativePages/CustomReportCreativeDetail.aspx?App=23&amp;ReportView=4&amp;Qid=1711279&amp;Row=12229&amp;Col=1","No Title Assigned - #15272991097")</f>
        <v/>
      </c>
      <c r="B12237" s="0" t="s">
        <v>16505</v>
      </c>
      <c r="E12237" s="0" t="inlineStr">
        <is>
          <t xml:space="preserve">Mazda</t>
        </is>
      </c>
      <c r="F12237" s="0" t="inlineStr">
        <is>
          <t xml:space="preserve">Mazda</t>
        </is>
      </c>
      <c r="G12237" s="0" t="s">
        <v>171</v>
      </c>
      <c r="H12237" s="5">
        <v>7.542100</v>
      </c>
    </row>
    <row r="12238" spans="1:9">
      <c r="A12238" s="22" t="str">
        <f>HYPERLINK("https://app.vivvix.com/360/KMI/IntelliDrive/ApplUI/Pages/CreativePages/CustomReportCreativeDetail.aspx?App=23&amp;ReportView=4&amp;Qid=1711279&amp;Row=12230&amp;Col=1","No Title Assigned - #15272991350")</f>
        <v/>
      </c>
      <c r="B12238" s="0" t="s">
        <v>16506</v>
      </c>
      <c r="E12238" s="0" t="inlineStr">
        <is>
          <t xml:space="preserve">Mazda</t>
        </is>
      </c>
      <c r="F12238" s="0" t="inlineStr">
        <is>
          <t xml:space="preserve">Mazda</t>
        </is>
      </c>
      <c r="G12238" s="0" t="s">
        <v>171</v>
      </c>
      <c r="H12238" s="5">
        <v>38.851800</v>
      </c>
    </row>
    <row r="12239" spans="1:9">
      <c r="A12239" s="22" t="str">
        <f>HYPERLINK("https://app.vivvix.com/360/KMI/IntelliDrive/ApplUI/Pages/CreativePages/CustomReportCreativeDetail.aspx?App=23&amp;ReportView=4&amp;Qid=1711279&amp;Row=12231&amp;Col=1","No Title Assigned - #15272991850")</f>
        <v/>
      </c>
      <c r="B12239" s="0" t="s">
        <v>16507</v>
      </c>
      <c r="E12239" s="0" t="inlineStr">
        <is>
          <t xml:space="preserve">Mazda</t>
        </is>
      </c>
      <c r="F12239" s="0" t="inlineStr">
        <is>
          <t xml:space="preserve">Mazda</t>
        </is>
      </c>
      <c r="G12239" s="0" t="s">
        <v>171</v>
      </c>
      <c r="H12239" s="5">
        <v>56.361100</v>
      </c>
    </row>
    <row r="12240" spans="1:9">
      <c r="A12240" s="22" t="str">
        <f>HYPERLINK("https://app.vivvix.com/360/KMI/IntelliDrive/ApplUI/Pages/CreativePages/CustomReportCreativeDetail.aspx?App=23&amp;ReportView=4&amp;Qid=1711279&amp;Row=12232&amp;Col=1","No Title Assigned - #15272991867")</f>
        <v/>
      </c>
      <c r="B12240" s="0" t="s">
        <v>16508</v>
      </c>
      <c r="E12240" s="0" t="inlineStr">
        <is>
          <t xml:space="preserve">Mazda</t>
        </is>
      </c>
      <c r="F12240" s="0" t="inlineStr">
        <is>
          <t xml:space="preserve">Mazda</t>
        </is>
      </c>
      <c r="G12240" s="0" t="s">
        <v>171</v>
      </c>
      <c r="H12240" s="5">
        <v>1.350900</v>
      </c>
    </row>
    <row r="12241" spans="1:9">
      <c r="A12241" s="22" t="str">
        <f>HYPERLINK("https://app.vivvix.com/360/KMI/IntelliDrive/ApplUI/Pages/CreativePages/CustomReportCreativeDetail.aspx?App=23&amp;ReportView=4&amp;Qid=1711279&amp;Row=12233&amp;Col=1","No Title Assigned - #15272992240")</f>
        <v/>
      </c>
      <c r="B12241" s="0" t="s">
        <v>16509</v>
      </c>
      <c r="C12241" s="0" t="s">
        <v>16510</v>
      </c>
      <c r="D12241" s="0" t="s">
        <v>16510</v>
      </c>
      <c r="E12241" s="0" t="inlineStr">
        <is>
          <t xml:space="preserve">Mazda</t>
        </is>
      </c>
      <c r="F12241" s="0" t="inlineStr">
        <is>
          <t xml:space="preserve">Mazda</t>
        </is>
      </c>
      <c r="G12241" s="0" t="s">
        <v>171</v>
      </c>
      <c r="H12241" s="5">
        <v>34.458200</v>
      </c>
    </row>
    <row r="12242" spans="1:9">
      <c r="A12242" s="22" t="str">
        <f>HYPERLINK("https://app.vivvix.com/360/KMI/IntelliDrive/ApplUI/Pages/CreativePages/CustomReportCreativeDetail.aspx?App=23&amp;ReportView=4&amp;Qid=1711279&amp;Row=12234&amp;Col=1","No Title Assigned - #15272992240")</f>
        <v/>
      </c>
      <c r="B12242" s="0" t="s">
        <v>16509</v>
      </c>
      <c r="E12242" s="0" t="inlineStr">
        <is>
          <t xml:space="preserve">Mazda</t>
        </is>
      </c>
      <c r="F12242" s="0" t="inlineStr">
        <is>
          <t xml:space="preserve">Mazda</t>
        </is>
      </c>
      <c r="G12242" s="0" t="s">
        <v>171</v>
      </c>
      <c r="H12242" s="5">
        <v>43.779400</v>
      </c>
    </row>
    <row r="12243" spans="1:9">
      <c r="A12243" s="22" t="str">
        <f>HYPERLINK("https://app.vivvix.com/360/KMI/IntelliDrive/ApplUI/Pages/CreativePages/CustomReportCreativeDetail.aspx?App=23&amp;ReportView=4&amp;Qid=1711279&amp;Row=12235&amp;Col=1","No Title Assigned - #15272992495")</f>
        <v/>
      </c>
      <c r="B12243" s="0" t="s">
        <v>16511</v>
      </c>
      <c r="E12243" s="0" t="inlineStr">
        <is>
          <t xml:space="preserve">Mazda</t>
        </is>
      </c>
      <c r="F12243" s="0" t="inlineStr">
        <is>
          <t xml:space="preserve">Mazda</t>
        </is>
      </c>
      <c r="G12243" s="0" t="s">
        <v>171</v>
      </c>
      <c r="H12243" s="5">
        <v>18.738700</v>
      </c>
    </row>
    <row r="12244" spans="1:9">
      <c r="A12244" s="22" t="str">
        <f>HYPERLINK("https://app.vivvix.com/360/KMI/IntelliDrive/ApplUI/Pages/CreativePages/CustomReportCreativeDetail.aspx?App=23&amp;ReportView=4&amp;Qid=1711279&amp;Row=12236&amp;Col=1","No Title Assigned - #15272992560")</f>
        <v/>
      </c>
      <c r="B12244" s="0" t="s">
        <v>16512</v>
      </c>
      <c r="E12244" s="0" t="inlineStr">
        <is>
          <t xml:space="preserve">Mazda</t>
        </is>
      </c>
      <c r="F12244" s="0" t="inlineStr">
        <is>
          <t xml:space="preserve">Mazda</t>
        </is>
      </c>
      <c r="G12244" s="0" t="s">
        <v>171</v>
      </c>
      <c r="H12244" s="5">
        <v>8.250900</v>
      </c>
    </row>
    <row r="12245" spans="1:9">
      <c r="A12245" s="22" t="str">
        <f>HYPERLINK("https://app.vivvix.com/360/KMI/IntelliDrive/ApplUI/Pages/CreativePages/CustomReportCreativeDetail.aspx?App=23&amp;ReportView=4&amp;Qid=1711279&amp;Row=12237&amp;Col=1","No Title Assigned - #15272996377")</f>
        <v/>
      </c>
      <c r="B12245" s="0" t="s">
        <v>16513</v>
      </c>
      <c r="E12245" s="0" t="inlineStr">
        <is>
          <t xml:space="preserve">Mazda</t>
        </is>
      </c>
      <c r="F12245" s="0" t="inlineStr">
        <is>
          <t xml:space="preserve">Mazda</t>
        </is>
      </c>
      <c r="G12245" s="0" t="s">
        <v>171</v>
      </c>
      <c r="H12245" s="5">
        <v>75.736000</v>
      </c>
    </row>
    <row r="12246" spans="1:9">
      <c r="A12246" s="22" t="str">
        <f>HYPERLINK("https://app.vivvix.com/360/KMI/IntelliDrive/ApplUI/Pages/CreativePages/CustomReportCreativeDetail.aspx?App=23&amp;ReportView=4&amp;Qid=1711279&amp;Row=12238&amp;Col=1","No Title Assigned - #15272996568")</f>
        <v/>
      </c>
      <c r="B12246" s="0" t="s">
        <v>16514</v>
      </c>
      <c r="E12246" s="0" t="inlineStr">
        <is>
          <t xml:space="preserve">Mazda</t>
        </is>
      </c>
      <c r="F12246" s="0" t="inlineStr">
        <is>
          <t xml:space="preserve">Mazda</t>
        </is>
      </c>
      <c r="G12246" s="0" t="s">
        <v>171</v>
      </c>
      <c r="H12246" s="5">
        <v>370.735400</v>
      </c>
    </row>
    <row r="12247" spans="1:9">
      <c r="A12247" s="22" t="str">
        <f>HYPERLINK("https://app.vivvix.com/360/KMI/IntelliDrive/ApplUI/Pages/CreativePages/CustomReportCreativeDetail.aspx?App=23&amp;ReportView=4&amp;Qid=1711279&amp;Row=12239&amp;Col=1","No Title Assigned - #15272996577")</f>
        <v/>
      </c>
      <c r="B12247" s="0" t="s">
        <v>16515</v>
      </c>
      <c r="E12247" s="0" t="inlineStr">
        <is>
          <t xml:space="preserve">Mazda</t>
        </is>
      </c>
      <c r="F12247" s="0" t="inlineStr">
        <is>
          <t xml:space="preserve">Mazda</t>
        </is>
      </c>
      <c r="G12247" s="0" t="s">
        <v>171</v>
      </c>
      <c r="H12247" s="5">
        <v>0.744400</v>
      </c>
    </row>
    <row r="12248" spans="1:9">
      <c r="A12248" s="22" t="str">
        <f>HYPERLINK("https://app.vivvix.com/360/KMI/IntelliDrive/ApplUI/Pages/CreativePages/CustomReportCreativeDetail.aspx?App=23&amp;ReportView=4&amp;Qid=1711279&amp;Row=12240&amp;Col=1","No Title Assigned - #15272997006")</f>
        <v/>
      </c>
      <c r="B12248" s="0" t="s">
        <v>16516</v>
      </c>
      <c r="E12248" s="0" t="inlineStr">
        <is>
          <t xml:space="preserve">Mazda</t>
        </is>
      </c>
      <c r="F12248" s="0" t="inlineStr">
        <is>
          <t xml:space="preserve">Mazda</t>
        </is>
      </c>
      <c r="G12248" s="0" t="s">
        <v>171</v>
      </c>
      <c r="H12248" s="5">
        <v>468.091600</v>
      </c>
    </row>
    <row r="12249" spans="1:9">
      <c r="A12249" s="22" t="str">
        <f>HYPERLINK("https://app.vivvix.com/360/KMI/IntelliDrive/ApplUI/Pages/CreativePages/CustomReportCreativeDetail.aspx?App=23&amp;ReportView=4&amp;Qid=1711279&amp;Row=12241&amp;Col=1","No Title Assigned - #15272998931")</f>
        <v/>
      </c>
      <c r="B12249" s="0" t="s">
        <v>16517</v>
      </c>
      <c r="C12249" s="0" t="s">
        <v>16518</v>
      </c>
      <c r="D12249" s="0" t="s">
        <v>16518</v>
      </c>
      <c r="E12249" s="0" t="inlineStr">
        <is>
          <t xml:space="preserve">Mazda</t>
        </is>
      </c>
      <c r="F12249" s="0" t="s">
        <v>13</v>
      </c>
      <c r="G12249" s="0" t="s">
        <v>49</v>
      </c>
      <c r="H12249" s="5">
        <v>37.394500</v>
      </c>
    </row>
    <row r="12250" spans="1:9">
      <c r="A12250" s="22" t="str">
        <f>HYPERLINK("https://app.vivvix.com/360/KMI/IntelliDrive/ApplUI/Pages/CreativePages/CustomReportCreativeDetail.aspx?App=23&amp;ReportView=4&amp;Qid=1711279&amp;Row=12242&amp;Col=1","No Title Assigned - #15272999767")</f>
        <v/>
      </c>
      <c r="B12250" s="0" t="s">
        <v>16519</v>
      </c>
      <c r="C12250" s="0" t="s">
        <v>16520</v>
      </c>
      <c r="D12250" s="0" t="s">
        <v>4200</v>
      </c>
      <c r="E12250" s="0" t="inlineStr">
        <is>
          <t xml:space="preserve">Mazda</t>
        </is>
      </c>
      <c r="F12250" s="0" t="s">
        <v>28</v>
      </c>
      <c r="G12250" s="0" t="s">
        <v>29</v>
      </c>
      <c r="H12250" s="5">
        <v>28.986500</v>
      </c>
    </row>
    <row r="12251" spans="1:9">
      <c r="A12251" s="22" t="str">
        <f>HYPERLINK("https://app.vivvix.com/360/KMI/IntelliDrive/ApplUI/Pages/CreativePages/CustomReportCreativeDetail.aspx?App=23&amp;ReportView=4&amp;Qid=1711279&amp;Row=12243&amp;Col=1","No Title Assigned - #15273000155")</f>
        <v/>
      </c>
      <c r="B12251" s="0" t="s">
        <v>16521</v>
      </c>
      <c r="C12251" s="0" t="s">
        <v>16522</v>
      </c>
      <c r="D12251" s="0" t="s">
        <v>4204</v>
      </c>
      <c r="E12251" s="0" t="inlineStr">
        <is>
          <t xml:space="preserve">Mazda</t>
        </is>
      </c>
      <c r="F12251" s="0" t="s">
        <v>28</v>
      </c>
      <c r="G12251" s="0" t="s">
        <v>29</v>
      </c>
      <c r="H12251" s="5">
        <v>48.107400</v>
      </c>
    </row>
    <row r="12252" spans="1:9">
      <c r="A12252" s="22" t="str">
        <f>HYPERLINK("https://app.vivvix.com/360/KMI/IntelliDrive/ApplUI/Pages/CreativePages/CustomReportCreativeDetail.aspx?App=23&amp;ReportView=4&amp;Qid=1711279&amp;Row=12244&amp;Col=1","No Title Assigned - #15273000328")</f>
        <v/>
      </c>
      <c r="B12252" s="0" t="s">
        <v>16523</v>
      </c>
      <c r="C12252" s="0" t="s">
        <v>16524</v>
      </c>
      <c r="D12252" s="0" t="s">
        <v>16524</v>
      </c>
      <c r="E12252" s="0" t="inlineStr">
        <is>
          <t xml:space="preserve">Mazda</t>
        </is>
      </c>
      <c r="F12252" s="0" t="s">
        <v>13</v>
      </c>
      <c r="G12252" s="0" t="s">
        <v>49</v>
      </c>
      <c r="H12252" s="5">
        <v>10104.324400</v>
      </c>
    </row>
    <row r="12253" spans="1:9">
      <c r="A12253" s="22" t="str">
        <f>HYPERLINK("https://app.vivvix.com/360/KMI/IntelliDrive/ApplUI/Pages/CreativePages/CustomReportCreativeDetail.aspx?App=23&amp;ReportView=4&amp;Qid=1711279&amp;Row=12245&amp;Col=1","No Title Assigned - #15273001639")</f>
        <v/>
      </c>
      <c r="B12253" s="0" t="s">
        <v>16525</v>
      </c>
      <c r="C12253" s="0" t="s">
        <v>16526</v>
      </c>
      <c r="D12253" s="0" t="s">
        <v>4225</v>
      </c>
      <c r="E12253" s="0" t="inlineStr">
        <is>
          <t xml:space="preserve">Mazda</t>
        </is>
      </c>
      <c r="F12253" s="0" t="s">
        <v>28</v>
      </c>
      <c r="G12253" s="0" t="s">
        <v>29</v>
      </c>
      <c r="H12253" s="5">
        <v>2.514400</v>
      </c>
    </row>
    <row r="12254" spans="1:9">
      <c r="A12254" s="22" t="str">
        <f>HYPERLINK("https://app.vivvix.com/360/KMI/IntelliDrive/ApplUI/Pages/CreativePages/CustomReportCreativeDetail.aspx?App=23&amp;ReportView=4&amp;Qid=1711279&amp;Row=12246&amp;Col=1","No Title Assigned - #15273001693")</f>
        <v/>
      </c>
      <c r="B12254" s="0" t="s">
        <v>16527</v>
      </c>
      <c r="C12254" s="0" t="s">
        <v>16528</v>
      </c>
      <c r="D12254" s="0" t="s">
        <v>4225</v>
      </c>
      <c r="E12254" s="0" t="inlineStr">
        <is>
          <t xml:space="preserve">Mazda</t>
        </is>
      </c>
      <c r="F12254" s="0" t="s">
        <v>28</v>
      </c>
      <c r="G12254" s="0" t="s">
        <v>29</v>
      </c>
      <c r="H12254" s="5">
        <v>9.244100</v>
      </c>
    </row>
    <row r="12255" spans="1:9">
      <c r="A12255" s="22" t="str">
        <f>HYPERLINK("https://app.vivvix.com/360/KMI/IntelliDrive/ApplUI/Pages/CreativePages/CustomReportCreativeDetail.aspx?App=23&amp;ReportView=4&amp;Qid=1711279&amp;Row=12247&amp;Col=1","No Title Assigned - #15273001766")</f>
        <v/>
      </c>
      <c r="B12255" s="0" t="s">
        <v>16529</v>
      </c>
      <c r="C12255" s="0" t="s">
        <v>16530</v>
      </c>
      <c r="D12255" s="0" t="s">
        <v>4204</v>
      </c>
      <c r="E12255" s="0" t="inlineStr">
        <is>
          <t xml:space="preserve">Mazda</t>
        </is>
      </c>
      <c r="F12255" s="0" t="s">
        <v>28</v>
      </c>
      <c r="G12255" s="0" t="s">
        <v>29</v>
      </c>
      <c r="H12255" s="5">
        <v>42.713200</v>
      </c>
    </row>
    <row r="12256" spans="1:9">
      <c r="A12256" s="22" t="str">
        <f>HYPERLINK("https://app.vivvix.com/360/KMI/IntelliDrive/ApplUI/Pages/CreativePages/CustomReportCreativeDetail.aspx?App=23&amp;ReportView=4&amp;Qid=1711279&amp;Row=12248&amp;Col=1","No Title Assigned - #15273002124")</f>
        <v/>
      </c>
      <c r="B12256" s="0" t="s">
        <v>16531</v>
      </c>
      <c r="C12256" s="0" t="s">
        <v>16532</v>
      </c>
      <c r="D12256" s="0" t="s">
        <v>16532</v>
      </c>
      <c r="E12256" s="0" t="inlineStr">
        <is>
          <t xml:space="preserve">Mazda</t>
        </is>
      </c>
      <c r="F12256" s="0" t="s">
        <v>13</v>
      </c>
      <c r="G12256" s="0" t="s">
        <v>49</v>
      </c>
      <c r="H12256" s="5">
        <v>48.996300</v>
      </c>
    </row>
    <row r="12257" spans="1:9">
      <c r="A12257" s="22" t="str">
        <f>HYPERLINK("https://app.vivvix.com/360/KMI/IntelliDrive/ApplUI/Pages/CreativePages/CustomReportCreativeDetail.aspx?App=23&amp;ReportView=4&amp;Qid=1711279&amp;Row=12249&amp;Col=1","No Title Assigned - #15273002979")</f>
        <v/>
      </c>
      <c r="B12257" s="0" t="s">
        <v>16533</v>
      </c>
      <c r="C12257" s="0" t="s">
        <v>16534</v>
      </c>
      <c r="D12257" s="0" t="s">
        <v>6183</v>
      </c>
      <c r="E12257" s="0" t="inlineStr">
        <is>
          <t xml:space="preserve">Mazda</t>
        </is>
      </c>
      <c r="F12257" s="0" t="s">
        <v>13</v>
      </c>
      <c r="G12257" s="0" t="s">
        <v>49</v>
      </c>
      <c r="H12257" s="5">
        <v>113.574200</v>
      </c>
    </row>
    <row r="12258" spans="1:9">
      <c r="A12258" s="22" t="str">
        <f>HYPERLINK("https://app.vivvix.com/360/KMI/IntelliDrive/ApplUI/Pages/CreativePages/CustomReportCreativeDetail.aspx?App=23&amp;ReportView=4&amp;Qid=1711279&amp;Row=12250&amp;Col=1","No Title Assigned - #15273003196")</f>
        <v/>
      </c>
      <c r="B12258" s="0" t="s">
        <v>16535</v>
      </c>
      <c r="C12258" s="0" t="s">
        <v>16536</v>
      </c>
      <c r="D12258" s="0" t="s">
        <v>4200</v>
      </c>
      <c r="E12258" s="0" t="inlineStr">
        <is>
          <t xml:space="preserve">Mazda</t>
        </is>
      </c>
      <c r="F12258" s="0" t="s">
        <v>28</v>
      </c>
      <c r="G12258" s="0" t="s">
        <v>29</v>
      </c>
      <c r="H12258" s="5">
        <v>55.112400</v>
      </c>
    </row>
    <row r="12259" spans="1:9">
      <c r="A12259" s="22" t="str">
        <f>HYPERLINK("https://app.vivvix.com/360/KMI/IntelliDrive/ApplUI/Pages/CreativePages/CustomReportCreativeDetail.aspx?App=23&amp;ReportView=4&amp;Qid=1711279&amp;Row=12251&amp;Col=1","No Title Assigned - #15273005506")</f>
        <v/>
      </c>
      <c r="B12259" s="0" t="s">
        <v>16537</v>
      </c>
      <c r="C12259" s="0" t="s">
        <v>16538</v>
      </c>
      <c r="D12259" s="0" t="s">
        <v>4225</v>
      </c>
      <c r="E12259" s="0" t="inlineStr">
        <is>
          <t xml:space="preserve">Mazda</t>
        </is>
      </c>
      <c r="F12259" s="0" t="s">
        <v>28</v>
      </c>
      <c r="G12259" s="0" t="s">
        <v>29</v>
      </c>
      <c r="H12259" s="5">
        <v>16.913100</v>
      </c>
    </row>
    <row r="12260" spans="1:9">
      <c r="A12260" s="22" t="str">
        <f>HYPERLINK("https://app.vivvix.com/360/KMI/IntelliDrive/ApplUI/Pages/CreativePages/CustomReportCreativeDetail.aspx?App=23&amp;ReportView=4&amp;Qid=1711279&amp;Row=12252&amp;Col=1","No Title Assigned - #15273006316")</f>
        <v/>
      </c>
      <c r="B12260" s="0" t="s">
        <v>16539</v>
      </c>
      <c r="C12260" s="0" t="s">
        <v>16540</v>
      </c>
      <c r="D12260" s="0" t="s">
        <v>16540</v>
      </c>
      <c r="E12260" s="0" t="inlineStr">
        <is>
          <t xml:space="preserve">Mazda</t>
        </is>
      </c>
      <c r="F12260" s="0" t="s">
        <v>28</v>
      </c>
      <c r="G12260" s="0" t="s">
        <v>29</v>
      </c>
      <c r="H12260" s="5">
        <v>7.461400</v>
      </c>
    </row>
    <row r="12261" spans="1:9">
      <c r="A12261" s="22" t="str">
        <f>HYPERLINK("https://app.vivvix.com/360/KMI/IntelliDrive/ApplUI/Pages/CreativePages/CustomReportCreativeDetail.aspx?App=23&amp;ReportView=4&amp;Qid=1711279&amp;Row=12253&amp;Col=1","No Title Assigned - #15273006354")</f>
        <v/>
      </c>
      <c r="B12261" s="0" t="s">
        <v>16541</v>
      </c>
      <c r="C12261" s="0" t="s">
        <v>16542</v>
      </c>
      <c r="D12261" s="0" t="s">
        <v>6416</v>
      </c>
      <c r="E12261" s="0" t="inlineStr">
        <is>
          <t xml:space="preserve">Mazda</t>
        </is>
      </c>
      <c r="F12261" s="0" t="s">
        <v>13</v>
      </c>
      <c r="G12261" s="0" t="s">
        <v>49</v>
      </c>
      <c r="H12261" s="5">
        <v>48680.079000</v>
      </c>
    </row>
    <row r="12262" spans="1:9">
      <c r="A12262" s="22" t="str">
        <f>HYPERLINK("https://app.vivvix.com/360/KMI/IntelliDrive/ApplUI/Pages/CreativePages/CustomReportCreativeDetail.aspx?App=23&amp;ReportView=4&amp;Qid=1711279&amp;Row=12254&amp;Col=1","No Title Assigned - #15273006354")</f>
        <v/>
      </c>
      <c r="B12262" s="0" t="s">
        <v>16541</v>
      </c>
      <c r="E12262" s="0" t="inlineStr">
        <is>
          <t xml:space="preserve">Mazda</t>
        </is>
      </c>
      <c r="F12262" s="0" t="s">
        <v>13</v>
      </c>
      <c r="G12262" s="0" t="s">
        <v>49</v>
      </c>
      <c r="H12262" s="5">
        <v>50628.694100</v>
      </c>
    </row>
    <row r="12263" spans="1:9">
      <c r="A12263" s="22" t="str">
        <f>HYPERLINK("https://app.vivvix.com/360/KMI/IntelliDrive/ApplUI/Pages/CreativePages/CustomReportCreativeDetail.aspx?App=23&amp;ReportView=4&amp;Qid=1711279&amp;Row=12255&amp;Col=1","No Title Assigned - #15273006846")</f>
        <v/>
      </c>
      <c r="B12263" s="0" t="s">
        <v>16543</v>
      </c>
      <c r="E12263" s="0" t="inlineStr">
        <is>
          <t xml:space="preserve">Mazda</t>
        </is>
      </c>
      <c r="F12263" s="0" t="s">
        <v>28</v>
      </c>
      <c r="G12263" s="0" t="s">
        <v>29</v>
      </c>
      <c r="H12263" s="5">
        <v>75.913000</v>
      </c>
    </row>
    <row r="12264" spans="1:9">
      <c r="A12264" s="22" t="str">
        <f>HYPERLINK("https://app.vivvix.com/360/KMI/IntelliDrive/ApplUI/Pages/CreativePages/CustomReportCreativeDetail.aspx?App=23&amp;ReportView=4&amp;Qid=1711279&amp;Row=12256&amp;Col=1","No Title Assigned - #15273006920")</f>
        <v/>
      </c>
      <c r="B12264" s="0" t="s">
        <v>16544</v>
      </c>
      <c r="E12264" s="0" t="inlineStr">
        <is>
          <t xml:space="preserve">Mazda</t>
        </is>
      </c>
      <c r="F12264" s="0" t="s">
        <v>21</v>
      </c>
      <c r="G12264" s="0" t="s">
        <v>22</v>
      </c>
      <c r="H12264" s="5">
        <v>66.569900</v>
      </c>
    </row>
    <row r="12265" spans="1:9">
      <c r="A12265" s="22" t="str">
        <f>HYPERLINK("https://app.vivvix.com/360/KMI/IntelliDrive/ApplUI/Pages/CreativePages/CustomReportCreativeDetail.aspx?App=23&amp;ReportView=4&amp;Qid=1711279&amp;Row=12257&amp;Col=1","No Title Assigned - #15273007398")</f>
        <v/>
      </c>
      <c r="B12265" s="0" t="s">
        <v>16545</v>
      </c>
      <c r="E12265" s="0" t="inlineStr">
        <is>
          <t xml:space="preserve">Mazda</t>
        </is>
      </c>
      <c r="F12265" s="0" t="s">
        <v>21</v>
      </c>
      <c r="G12265" s="0" t="s">
        <v>22</v>
      </c>
      <c r="H12265" s="5">
        <v>48.286300</v>
      </c>
    </row>
    <row r="12266" spans="1:9">
      <c r="A12266" s="22" t="str">
        <f>HYPERLINK("https://app.vivvix.com/360/KMI/IntelliDrive/ApplUI/Pages/CreativePages/CustomReportCreativeDetail.aspx?App=23&amp;ReportView=4&amp;Qid=1711279&amp;Row=12258&amp;Col=1","No Title Assigned - #15273008413")</f>
        <v/>
      </c>
      <c r="B12266" s="0" t="s">
        <v>16546</v>
      </c>
      <c r="C12266" s="0" t="s">
        <v>16547</v>
      </c>
      <c r="D12266" s="0" t="s">
        <v>16547</v>
      </c>
      <c r="E12266" s="0" t="inlineStr">
        <is>
          <t xml:space="preserve">Mazda</t>
        </is>
      </c>
      <c r="F12266" s="0" t="s">
        <v>28</v>
      </c>
      <c r="G12266" s="0" t="s">
        <v>29</v>
      </c>
      <c r="H12266" s="5">
        <v>162.030300</v>
      </c>
    </row>
    <row r="12267" spans="1:9">
      <c r="A12267" s="22" t="str">
        <f>HYPERLINK("https://app.vivvix.com/360/KMI/IntelliDrive/ApplUI/Pages/CreativePages/CustomReportCreativeDetail.aspx?App=23&amp;ReportView=4&amp;Qid=1711279&amp;Row=12259&amp;Col=1","No Title Assigned - #15273010084")</f>
        <v/>
      </c>
      <c r="B12267" s="0" t="s">
        <v>16548</v>
      </c>
      <c r="C12267" s="0" t="s">
        <v>16549</v>
      </c>
      <c r="D12267" s="0" t="s">
        <v>16549</v>
      </c>
      <c r="E12267" s="0" t="inlineStr">
        <is>
          <t xml:space="preserve">Mazda</t>
        </is>
      </c>
      <c r="F12267" s="0" t="s">
        <v>28</v>
      </c>
      <c r="G12267" s="0" t="s">
        <v>29</v>
      </c>
      <c r="H12267" s="5">
        <v>379.143100</v>
      </c>
    </row>
    <row r="12268" spans="1:9">
      <c r="A12268" s="22" t="str">
        <f>HYPERLINK("https://app.vivvix.com/360/KMI/IntelliDrive/ApplUI/Pages/CreativePages/CustomReportCreativeDetail.aspx?App=23&amp;ReportView=4&amp;Qid=1711279&amp;Row=12260&amp;Col=1","No Title Assigned - #15273010556")</f>
        <v/>
      </c>
      <c r="B12268" s="0" t="s">
        <v>16550</v>
      </c>
      <c r="C12268" s="0" t="s">
        <v>16551</v>
      </c>
      <c r="D12268" s="0" t="s">
        <v>4200</v>
      </c>
      <c r="E12268" s="0" t="inlineStr">
        <is>
          <t xml:space="preserve">Mazda</t>
        </is>
      </c>
      <c r="F12268" s="0" t="s">
        <v>28</v>
      </c>
      <c r="G12268" s="0" t="s">
        <v>29</v>
      </c>
      <c r="H12268" s="5">
        <v>177.631000</v>
      </c>
    </row>
    <row r="12269" spans="1:9">
      <c r="A12269" s="22" t="str">
        <f>HYPERLINK("https://app.vivvix.com/360/KMI/IntelliDrive/ApplUI/Pages/CreativePages/CustomReportCreativeDetail.aspx?App=23&amp;ReportView=4&amp;Qid=1711279&amp;Row=12261&amp;Col=1","No Title Assigned - #15273010645")</f>
        <v/>
      </c>
      <c r="B12269" s="0" t="s">
        <v>16552</v>
      </c>
      <c r="E12269" s="0" t="inlineStr">
        <is>
          <t xml:space="preserve">Mazda</t>
        </is>
      </c>
      <c r="F12269" s="0" t="inlineStr">
        <is>
          <t xml:space="preserve">Mazda</t>
        </is>
      </c>
      <c r="G12269" s="0" t="s">
        <v>171</v>
      </c>
      <c r="H12269" s="5">
        <v>6550.717300</v>
      </c>
    </row>
    <row r="12270" spans="1:9">
      <c r="A12270" s="22" t="str">
        <f>HYPERLINK("https://app.vivvix.com/360/KMI/IntelliDrive/ApplUI/Pages/CreativePages/CustomReportCreativeDetail.aspx?App=23&amp;ReportView=4&amp;Qid=1711279&amp;Row=12262&amp;Col=1","No Title Assigned - #15273011559")</f>
        <v/>
      </c>
      <c r="B12270" s="0" t="s">
        <v>16553</v>
      </c>
      <c r="E12270" s="0" t="inlineStr">
        <is>
          <t xml:space="preserve">Mazda</t>
        </is>
      </c>
      <c r="F12270" s="0" t="inlineStr">
        <is>
          <t xml:space="preserve">Mazda</t>
        </is>
      </c>
      <c r="G12270" s="0" t="s">
        <v>171</v>
      </c>
      <c r="H12270" s="5">
        <v>11.020900</v>
      </c>
    </row>
    <row r="12271" spans="1:9">
      <c r="A12271" s="22" t="str">
        <f>HYPERLINK("https://app.vivvix.com/360/KMI/IntelliDrive/ApplUI/Pages/CreativePages/CustomReportCreativeDetail.aspx?App=23&amp;ReportView=4&amp;Qid=1711279&amp;Row=12263&amp;Col=1","No Title Assigned - #15273012213")</f>
        <v/>
      </c>
      <c r="B12271" s="0" t="s">
        <v>16554</v>
      </c>
      <c r="C12271" s="0" t="s">
        <v>16555</v>
      </c>
      <c r="D12271" s="0" t="s">
        <v>16555</v>
      </c>
      <c r="E12271" s="0" t="inlineStr">
        <is>
          <t xml:space="preserve">Mazda</t>
        </is>
      </c>
      <c r="F12271" s="0" t="s">
        <v>13</v>
      </c>
      <c r="G12271" s="0" t="s">
        <v>49</v>
      </c>
      <c r="H12271" s="5">
        <v>50.400800</v>
      </c>
    </row>
    <row r="12272" spans="1:9">
      <c r="A12272" s="22" t="str">
        <f>HYPERLINK("https://app.vivvix.com/360/KMI/IntelliDrive/ApplUI/Pages/CreativePages/CustomReportCreativeDetail.aspx?App=23&amp;ReportView=4&amp;Qid=1711279&amp;Row=12264&amp;Col=1","No Title Assigned - #15273012993")</f>
        <v/>
      </c>
      <c r="B12272" s="0" t="s">
        <v>16556</v>
      </c>
      <c r="C12272" s="0" t="s">
        <v>16557</v>
      </c>
      <c r="D12272" s="0" t="s">
        <v>16557</v>
      </c>
      <c r="E12272" s="0" t="inlineStr">
        <is>
          <t xml:space="preserve">Mazda</t>
        </is>
      </c>
      <c r="F12272" s="0" t="s">
        <v>13</v>
      </c>
      <c r="G12272" s="0" t="s">
        <v>49</v>
      </c>
      <c r="H12272" s="5">
        <v>86.368600</v>
      </c>
    </row>
    <row r="12273" spans="1:9">
      <c r="A12273" s="22" t="str">
        <f>HYPERLINK("https://app.vivvix.com/360/KMI/IntelliDrive/ApplUI/Pages/CreativePages/CustomReportCreativeDetail.aspx?App=23&amp;ReportView=4&amp;Qid=1711279&amp;Row=12265&amp;Col=1","No Title Assigned - #15273013199")</f>
        <v/>
      </c>
      <c r="B12273" s="0" t="s">
        <v>16558</v>
      </c>
      <c r="C12273" s="0" t="s">
        <v>16559</v>
      </c>
      <c r="D12273" s="0" t="s">
        <v>16559</v>
      </c>
      <c r="E12273" s="0" t="inlineStr">
        <is>
          <t xml:space="preserve">Mazda</t>
        </is>
      </c>
      <c r="F12273" s="0" t="s">
        <v>13</v>
      </c>
      <c r="G12273" s="0" t="s">
        <v>49</v>
      </c>
      <c r="H12273" s="5">
        <v>66.240900</v>
      </c>
    </row>
    <row r="12274" spans="1:9">
      <c r="A12274" s="22" t="str">
        <f>HYPERLINK("https://app.vivvix.com/360/KMI/IntelliDrive/ApplUI/Pages/CreativePages/CustomReportCreativeDetail.aspx?App=23&amp;ReportView=4&amp;Qid=1711279&amp;Row=12266&amp;Col=1","No Title Assigned - #15273014530")</f>
        <v/>
      </c>
      <c r="B12274" s="0" t="s">
        <v>16560</v>
      </c>
      <c r="C12274" s="0" t="s">
        <v>16561</v>
      </c>
      <c r="D12274" s="0" t="s">
        <v>16561</v>
      </c>
      <c r="E12274" s="0" t="inlineStr">
        <is>
          <t xml:space="preserve">Mazda</t>
        </is>
      </c>
      <c r="F12274" s="0" t="s">
        <v>13</v>
      </c>
      <c r="G12274" s="0" t="s">
        <v>49</v>
      </c>
      <c r="H12274" s="5">
        <v>1767.164700</v>
      </c>
    </row>
    <row r="12275" spans="1:9">
      <c r="A12275" s="22" t="str">
        <f>HYPERLINK("https://app.vivvix.com/360/KMI/IntelliDrive/ApplUI/Pages/CreativePages/CustomReportCreativeDetail.aspx?App=23&amp;ReportView=4&amp;Qid=1711279&amp;Row=12267&amp;Col=1","No Title Assigned - #15273014546")</f>
        <v/>
      </c>
      <c r="B12275" s="0" t="s">
        <v>16562</v>
      </c>
      <c r="C12275" s="0" t="s">
        <v>16563</v>
      </c>
      <c r="D12275" s="0" t="s">
        <v>9354</v>
      </c>
      <c r="E12275" s="0" t="inlineStr">
        <is>
          <t xml:space="preserve">Mazda</t>
        </is>
      </c>
      <c r="F12275" s="0" t="s">
        <v>28</v>
      </c>
      <c r="G12275" s="0" t="s">
        <v>29</v>
      </c>
      <c r="H12275" s="5">
        <v>33.005600</v>
      </c>
    </row>
    <row r="12276" spans="1:9">
      <c r="A12276" s="22" t="str">
        <f>HYPERLINK("https://app.vivvix.com/360/KMI/IntelliDrive/ApplUI/Pages/CreativePages/CustomReportCreativeDetail.aspx?App=23&amp;ReportView=4&amp;Qid=1711279&amp;Row=12268&amp;Col=1","No Title Assigned - #15273014965")</f>
        <v/>
      </c>
      <c r="B12276" s="0" t="s">
        <v>16564</v>
      </c>
      <c r="E12276" s="0" t="inlineStr">
        <is>
          <t xml:space="preserve">Mazda</t>
        </is>
      </c>
      <c r="F12276" s="0" t="inlineStr">
        <is>
          <t xml:space="preserve">Mazda</t>
        </is>
      </c>
      <c r="G12276" s="0" t="s">
        <v>171</v>
      </c>
      <c r="H12276" s="5">
        <v>147.033800</v>
      </c>
    </row>
    <row r="12277" spans="1:9">
      <c r="A12277" s="22" t="str">
        <f>HYPERLINK("https://app.vivvix.com/360/KMI/IntelliDrive/ApplUI/Pages/CreativePages/CustomReportCreativeDetail.aspx?App=23&amp;ReportView=4&amp;Qid=1711279&amp;Row=12269&amp;Col=1","No Title Assigned - #15273015019")</f>
        <v/>
      </c>
      <c r="B12277" s="0" t="s">
        <v>16565</v>
      </c>
      <c r="C12277" s="0" t="s">
        <v>16566</v>
      </c>
      <c r="D12277" s="0" t="s">
        <v>16566</v>
      </c>
      <c r="E12277" s="0" t="inlineStr">
        <is>
          <t xml:space="preserve">Mazda</t>
        </is>
      </c>
      <c r="F12277" s="0" t="s">
        <v>28</v>
      </c>
      <c r="G12277" s="0" t="s">
        <v>29</v>
      </c>
      <c r="H12277" s="5">
        <v>202.757700</v>
      </c>
    </row>
    <row r="12278" spans="1:9">
      <c r="A12278" s="22" t="str">
        <f>HYPERLINK("https://app.vivvix.com/360/KMI/IntelliDrive/ApplUI/Pages/CreativePages/CustomReportCreativeDetail.aspx?App=23&amp;ReportView=4&amp;Qid=1711279&amp;Row=12270&amp;Col=1","No Title Assigned - #15273015199")</f>
        <v/>
      </c>
      <c r="B12278" s="0" t="s">
        <v>16567</v>
      </c>
      <c r="C12278" s="0" t="s">
        <v>16568</v>
      </c>
      <c r="D12278" s="0" t="s">
        <v>12825</v>
      </c>
      <c r="E12278" s="0" t="inlineStr">
        <is>
          <t xml:space="preserve">Mazda</t>
        </is>
      </c>
      <c r="F12278" s="0" t="s">
        <v>28</v>
      </c>
      <c r="G12278" s="0" t="s">
        <v>29</v>
      </c>
      <c r="H12278" s="5">
        <v>19.871100</v>
      </c>
    </row>
    <row r="12279" spans="1:9">
      <c r="A12279" s="22" t="str">
        <f>HYPERLINK("https://app.vivvix.com/360/KMI/IntelliDrive/ApplUI/Pages/CreativePages/CustomReportCreativeDetail.aspx?App=23&amp;ReportView=4&amp;Qid=1711279&amp;Row=12271&amp;Col=1","No Title Assigned - #15273015629")</f>
        <v/>
      </c>
      <c r="B12279" s="0" t="s">
        <v>16569</v>
      </c>
      <c r="C12279" s="0" t="s">
        <v>16570</v>
      </c>
      <c r="D12279" s="0" t="s">
        <v>16570</v>
      </c>
      <c r="E12279" s="0" t="inlineStr">
        <is>
          <t xml:space="preserve">Mazda</t>
        </is>
      </c>
      <c r="F12279" s="0" t="s">
        <v>13</v>
      </c>
      <c r="G12279" s="0" t="s">
        <v>49</v>
      </c>
      <c r="H12279" s="5">
        <v>109.379400</v>
      </c>
    </row>
    <row r="12280" spans="1:9">
      <c r="A12280" s="22" t="str">
        <f>HYPERLINK("https://app.vivvix.com/360/KMI/IntelliDrive/ApplUI/Pages/CreativePages/CustomReportCreativeDetail.aspx?App=23&amp;ReportView=4&amp;Qid=1711279&amp;Row=12272&amp;Col=1","No Title Assigned - #15273015799")</f>
        <v/>
      </c>
      <c r="B12280" s="0" t="s">
        <v>16571</v>
      </c>
      <c r="C12280" s="0" t="s">
        <v>16572</v>
      </c>
      <c r="D12280" s="0" t="s">
        <v>6416</v>
      </c>
      <c r="E12280" s="0" t="inlineStr">
        <is>
          <t xml:space="preserve">Mazda</t>
        </is>
      </c>
      <c r="F12280" s="0" t="s">
        <v>13</v>
      </c>
      <c r="G12280" s="0" t="s">
        <v>49</v>
      </c>
      <c r="H12280" s="5">
        <v>374.970000</v>
      </c>
    </row>
    <row r="12281" spans="1:9">
      <c r="A12281" s="22" t="str">
        <f>HYPERLINK("https://app.vivvix.com/360/KMI/IntelliDrive/ApplUI/Pages/CreativePages/CustomReportCreativeDetail.aspx?App=23&amp;ReportView=4&amp;Qid=1711279&amp;Row=12273&amp;Col=1","No Title Assigned - #15273015935")</f>
        <v/>
      </c>
      <c r="B12281" s="0" t="s">
        <v>16573</v>
      </c>
      <c r="C12281" s="0" t="s">
        <v>16574</v>
      </c>
      <c r="D12281" s="0" t="s">
        <v>16574</v>
      </c>
      <c r="E12281" s="0" t="inlineStr">
        <is>
          <t xml:space="preserve">Mazda</t>
        </is>
      </c>
      <c r="F12281" s="0" t="s">
        <v>13</v>
      </c>
      <c r="G12281" s="0" t="s">
        <v>49</v>
      </c>
      <c r="H12281" s="5">
        <v>33.435300</v>
      </c>
    </row>
    <row r="12282" spans="1:9">
      <c r="A12282" s="22" t="str">
        <f>HYPERLINK("https://app.vivvix.com/360/KMI/IntelliDrive/ApplUI/Pages/CreativePages/CustomReportCreativeDetail.aspx?App=23&amp;ReportView=4&amp;Qid=1711279&amp;Row=12274&amp;Col=1","No Title Assigned - #15273016480")</f>
        <v/>
      </c>
      <c r="B12282" s="0" t="s">
        <v>16575</v>
      </c>
      <c r="E12282" s="0" t="inlineStr">
        <is>
          <t xml:space="preserve">Mazda</t>
        </is>
      </c>
      <c r="F12282" s="0" t="inlineStr">
        <is>
          <t xml:space="preserve">Mazda</t>
        </is>
      </c>
      <c r="G12282" s="0" t="s">
        <v>171</v>
      </c>
      <c r="H12282" s="5">
        <v>3.459800</v>
      </c>
    </row>
    <row r="12283" spans="1:9">
      <c r="A12283" s="22" t="str">
        <f>HYPERLINK("https://app.vivvix.com/360/KMI/IntelliDrive/ApplUI/Pages/CreativePages/CustomReportCreativeDetail.aspx?App=23&amp;ReportView=4&amp;Qid=1711279&amp;Row=12275&amp;Col=1","No Title Assigned - #15273016502")</f>
        <v/>
      </c>
      <c r="B12283" s="0" t="s">
        <v>16576</v>
      </c>
      <c r="C12283" s="0" t="s">
        <v>16577</v>
      </c>
      <c r="D12283" s="0" t="s">
        <v>8886</v>
      </c>
      <c r="E12283" s="0" t="inlineStr">
        <is>
          <t xml:space="preserve">Mazda</t>
        </is>
      </c>
      <c r="F12283" s="0" t="s">
        <v>21</v>
      </c>
      <c r="G12283" s="0" t="s">
        <v>22</v>
      </c>
      <c r="H12283" s="5">
        <v>64.284000</v>
      </c>
    </row>
    <row r="12284" spans="1:9">
      <c r="A12284" s="22" t="str">
        <f>HYPERLINK("https://app.vivvix.com/360/KMI/IntelliDrive/ApplUI/Pages/CreativePages/CustomReportCreativeDetail.aspx?App=23&amp;ReportView=4&amp;Qid=1711279&amp;Row=12276&amp;Col=1","No Title Assigned - #15273016719")</f>
        <v/>
      </c>
      <c r="B12284" s="0" t="s">
        <v>16578</v>
      </c>
      <c r="C12284" s="0" t="s">
        <v>16579</v>
      </c>
      <c r="D12284" s="0" t="s">
        <v>16579</v>
      </c>
      <c r="E12284" s="0" t="inlineStr">
        <is>
          <t xml:space="preserve">Mazda</t>
        </is>
      </c>
      <c r="F12284" s="0" t="s">
        <v>28</v>
      </c>
      <c r="G12284" s="0" t="s">
        <v>29</v>
      </c>
      <c r="H12284" s="5">
        <v>28.986500</v>
      </c>
    </row>
    <row r="12285" spans="1:9">
      <c r="A12285" s="22" t="str">
        <f>HYPERLINK("https://app.vivvix.com/360/KMI/IntelliDrive/ApplUI/Pages/CreativePages/CustomReportCreativeDetail.aspx?App=23&amp;ReportView=4&amp;Qid=1711279&amp;Row=12277&amp;Col=1","No Title Assigned - #15273016844")</f>
        <v/>
      </c>
      <c r="B12285" s="0" t="s">
        <v>16580</v>
      </c>
      <c r="C12285" s="0" t="s">
        <v>16581</v>
      </c>
      <c r="D12285" s="0" t="s">
        <v>4204</v>
      </c>
      <c r="E12285" s="0" t="inlineStr">
        <is>
          <t xml:space="preserve">Mazda</t>
        </is>
      </c>
      <c r="F12285" s="0" t="s">
        <v>28</v>
      </c>
      <c r="G12285" s="0" t="s">
        <v>29</v>
      </c>
      <c r="H12285" s="5">
        <v>7.636500</v>
      </c>
    </row>
    <row r="12286" spans="1:9">
      <c r="A12286" s="22" t="str">
        <f>HYPERLINK("https://app.vivvix.com/360/KMI/IntelliDrive/ApplUI/Pages/CreativePages/CustomReportCreativeDetail.aspx?App=23&amp;ReportView=4&amp;Qid=1711279&amp;Row=12278&amp;Col=1","No Title Assigned - #15273017376")</f>
        <v/>
      </c>
      <c r="B12286" s="0" t="s">
        <v>16582</v>
      </c>
      <c r="C12286" s="0" t="s">
        <v>16583</v>
      </c>
      <c r="D12286" s="0" t="s">
        <v>16583</v>
      </c>
      <c r="E12286" s="0" t="inlineStr">
        <is>
          <t xml:space="preserve">Mazda</t>
        </is>
      </c>
      <c r="F12286" s="0" t="s">
        <v>13</v>
      </c>
      <c r="G12286" s="0" t="s">
        <v>49</v>
      </c>
      <c r="H12286" s="5">
        <v>66.240900</v>
      </c>
    </row>
    <row r="12287" spans="1:9">
      <c r="A12287" s="22" t="str">
        <f>HYPERLINK("https://app.vivvix.com/360/KMI/IntelliDrive/ApplUI/Pages/CreativePages/CustomReportCreativeDetail.aspx?App=23&amp;ReportView=4&amp;Qid=1711279&amp;Row=12279&amp;Col=1","No Title Assigned - #15273017574")</f>
        <v/>
      </c>
      <c r="B12287" s="0" t="s">
        <v>16584</v>
      </c>
      <c r="C12287" s="0" t="s">
        <v>16585</v>
      </c>
      <c r="D12287" s="0" t="s">
        <v>16585</v>
      </c>
      <c r="E12287" s="0" t="inlineStr">
        <is>
          <t xml:space="preserve">Mazda</t>
        </is>
      </c>
      <c r="F12287" s="0" t="inlineStr">
        <is>
          <t xml:space="preserve">Mazda</t>
        </is>
      </c>
      <c r="G12287" s="0" t="s">
        <v>210</v>
      </c>
      <c r="H12287" s="5">
        <v>64089.692100</v>
      </c>
    </row>
    <row r="12288" spans="1:9">
      <c r="A12288" s="22" t="str">
        <f>HYPERLINK("https://app.vivvix.com/360/KMI/IntelliDrive/ApplUI/Pages/CreativePages/CustomReportCreativeDetail.aspx?App=23&amp;ReportView=4&amp;Qid=1711279&amp;Row=12280&amp;Col=1","No Title Assigned - #15273017574")</f>
        <v/>
      </c>
      <c r="B12288" s="0" t="s">
        <v>16584</v>
      </c>
      <c r="E12288" s="0" t="inlineStr">
        <is>
          <t xml:space="preserve">Mazda</t>
        </is>
      </c>
      <c r="F12288" s="0" t="inlineStr">
        <is>
          <t xml:space="preserve">Mazda</t>
        </is>
      </c>
      <c r="G12288" s="0" t="s">
        <v>210</v>
      </c>
      <c r="H12288" s="5">
        <v>59403.379500</v>
      </c>
    </row>
    <row r="12289" spans="1:9">
      <c r="A12289" s="22" t="str">
        <f>HYPERLINK("https://app.vivvix.com/360/KMI/IntelliDrive/ApplUI/Pages/CreativePages/CustomReportCreativeDetail.aspx?App=23&amp;ReportView=4&amp;Qid=1711279&amp;Row=12281&amp;Col=1","No Title Assigned - #15273017581")</f>
        <v/>
      </c>
      <c r="B12289" s="0" t="s">
        <v>16586</v>
      </c>
      <c r="E12289" s="0" t="inlineStr">
        <is>
          <t xml:space="preserve">Mazda</t>
        </is>
      </c>
      <c r="F12289" s="0" t="inlineStr">
        <is>
          <t xml:space="preserve">Mazda</t>
        </is>
      </c>
      <c r="G12289" s="0" t="s">
        <v>210</v>
      </c>
      <c r="H12289" s="5">
        <v>247.073700</v>
      </c>
    </row>
    <row r="12290" spans="1:9">
      <c r="A12290" s="22" t="str">
        <f>HYPERLINK("https://app.vivvix.com/360/KMI/IntelliDrive/ApplUI/Pages/CreativePages/CustomReportCreativeDetail.aspx?App=23&amp;ReportView=4&amp;Qid=1711279&amp;Row=12282&amp;Col=1","No Title Assigned - #15273017624")</f>
        <v/>
      </c>
      <c r="B12290" s="0" t="s">
        <v>16587</v>
      </c>
      <c r="C12290" s="0" t="s">
        <v>16588</v>
      </c>
      <c r="D12290" s="0" t="s">
        <v>16588</v>
      </c>
      <c r="E12290" s="0" t="inlineStr">
        <is>
          <t xml:space="preserve">Mazda</t>
        </is>
      </c>
      <c r="F12290" s="0" t="s">
        <v>13</v>
      </c>
      <c r="G12290" s="0" t="s">
        <v>49</v>
      </c>
      <c r="H12290" s="5">
        <v>224.686800</v>
      </c>
    </row>
    <row r="12291" spans="1:9">
      <c r="A12291" s="22" t="str">
        <f>HYPERLINK("https://app.vivvix.com/360/KMI/IntelliDrive/ApplUI/Pages/CreativePages/CustomReportCreativeDetail.aspx?App=23&amp;ReportView=4&amp;Qid=1711279&amp;Row=12283&amp;Col=1","No Title Assigned - #15273017796")</f>
        <v/>
      </c>
      <c r="B12291" s="0" t="s">
        <v>16589</v>
      </c>
      <c r="C12291" s="0" t="s">
        <v>16590</v>
      </c>
      <c r="D12291" s="0" t="s">
        <v>4407</v>
      </c>
      <c r="E12291" s="0" t="inlineStr">
        <is>
          <t xml:space="preserve">Mazda</t>
        </is>
      </c>
      <c r="F12291" s="0" t="s">
        <v>28</v>
      </c>
      <c r="G12291" s="0" t="s">
        <v>29</v>
      </c>
      <c r="H12291" s="5">
        <v>31.739400</v>
      </c>
    </row>
    <row r="12292" spans="1:9">
      <c r="A12292" s="22" t="str">
        <f>HYPERLINK("https://app.vivvix.com/360/KMI/IntelliDrive/ApplUI/Pages/CreativePages/CustomReportCreativeDetail.aspx?App=23&amp;ReportView=4&amp;Qid=1711279&amp;Row=12284&amp;Col=1","No Title Assigned - #15273017965")</f>
        <v/>
      </c>
      <c r="B12292" s="0" t="s">
        <v>16591</v>
      </c>
      <c r="C12292" s="0" t="s">
        <v>16592</v>
      </c>
      <c r="D12292" s="0" t="s">
        <v>16592</v>
      </c>
      <c r="E12292" s="0" t="inlineStr">
        <is>
          <t xml:space="preserve">Mazda</t>
        </is>
      </c>
      <c r="F12292" s="0" t="s">
        <v>13</v>
      </c>
      <c r="G12292" s="0" t="s">
        <v>49</v>
      </c>
      <c r="H12292" s="5">
        <v>37.144800</v>
      </c>
    </row>
    <row r="12293" spans="1:9">
      <c r="A12293" s="22" t="str">
        <f>HYPERLINK("https://app.vivvix.com/360/KMI/IntelliDrive/ApplUI/Pages/CreativePages/CustomReportCreativeDetail.aspx?App=23&amp;ReportView=4&amp;Qid=1711279&amp;Row=12285&amp;Col=1","No Title Assigned - #15273018434")</f>
        <v/>
      </c>
      <c r="B12293" s="0" t="s">
        <v>16593</v>
      </c>
      <c r="C12293" s="0" t="s">
        <v>16594</v>
      </c>
      <c r="D12293" s="0" t="s">
        <v>11347</v>
      </c>
      <c r="E12293" s="0" t="inlineStr">
        <is>
          <t xml:space="preserve">Mazda</t>
        </is>
      </c>
      <c r="F12293" s="0" t="s">
        <v>13</v>
      </c>
      <c r="G12293" s="0" t="s">
        <v>49</v>
      </c>
      <c r="H12293" s="5">
        <v>81.229400</v>
      </c>
    </row>
    <row r="12294" spans="1:9">
      <c r="A12294" s="22" t="str">
        <f>HYPERLINK("https://app.vivvix.com/360/KMI/IntelliDrive/ApplUI/Pages/CreativePages/CustomReportCreativeDetail.aspx?App=23&amp;ReportView=4&amp;Qid=1711279&amp;Row=12286&amp;Col=1","No Title Assigned - #15273018496")</f>
        <v/>
      </c>
      <c r="B12294" s="0" t="s">
        <v>16595</v>
      </c>
      <c r="C12294" s="0" t="s">
        <v>16596</v>
      </c>
      <c r="D12294" s="0" t="s">
        <v>16596</v>
      </c>
      <c r="E12294" s="0" t="inlineStr">
        <is>
          <t xml:space="preserve">Mazda</t>
        </is>
      </c>
      <c r="F12294" s="0" t="s">
        <v>13</v>
      </c>
      <c r="G12294" s="0" t="s">
        <v>49</v>
      </c>
      <c r="H12294" s="5">
        <v>7827.648300</v>
      </c>
    </row>
    <row r="12295" spans="1:9">
      <c r="A12295" s="22" t="str">
        <f>HYPERLINK("https://app.vivvix.com/360/KMI/IntelliDrive/ApplUI/Pages/CreativePages/CustomReportCreativeDetail.aspx?App=23&amp;ReportView=4&amp;Qid=1711279&amp;Row=12287&amp;Col=1","No Title Assigned - #15273018496")</f>
        <v/>
      </c>
      <c r="B12295" s="0" t="s">
        <v>16595</v>
      </c>
      <c r="E12295" s="0" t="inlineStr">
        <is>
          <t xml:space="preserve">Mazda</t>
        </is>
      </c>
      <c r="F12295" s="0" t="s">
        <v>13</v>
      </c>
      <c r="G12295" s="0" t="s">
        <v>49</v>
      </c>
      <c r="H12295" s="5">
        <v>2156.445300</v>
      </c>
    </row>
    <row r="12296" spans="1:9">
      <c r="A12296" s="22" t="str">
        <f>HYPERLINK("https://app.vivvix.com/360/KMI/IntelliDrive/ApplUI/Pages/CreativePages/CustomReportCreativeDetail.aspx?App=23&amp;ReportView=4&amp;Qid=1711279&amp;Row=12288&amp;Col=1","No Title Assigned - #15273018751")</f>
        <v/>
      </c>
      <c r="B12296" s="0" t="s">
        <v>16597</v>
      </c>
      <c r="E12296" s="0" t="inlineStr">
        <is>
          <t xml:space="preserve">Mazda</t>
        </is>
      </c>
      <c r="F12296" s="0" t="s">
        <v>13</v>
      </c>
      <c r="G12296" s="0" t="s">
        <v>49</v>
      </c>
      <c r="H12296" s="5">
        <v>58.486500</v>
      </c>
    </row>
    <row r="12297" spans="1:9">
      <c r="A12297" s="22" t="str">
        <f>HYPERLINK("https://app.vivvix.com/360/KMI/IntelliDrive/ApplUI/Pages/CreativePages/CustomReportCreativeDetail.aspx?App=23&amp;ReportView=4&amp;Qid=1711279&amp;Row=12289&amp;Col=1","No Title Assigned - #15273018818")</f>
        <v/>
      </c>
      <c r="B12297" s="0" t="s">
        <v>16598</v>
      </c>
      <c r="C12297" s="0" t="s">
        <v>16599</v>
      </c>
      <c r="D12297" s="0" t="s">
        <v>4204</v>
      </c>
      <c r="E12297" s="0" t="inlineStr">
        <is>
          <t xml:space="preserve">Mazda</t>
        </is>
      </c>
      <c r="F12297" s="0" t="s">
        <v>28</v>
      </c>
      <c r="G12297" s="0" t="s">
        <v>29</v>
      </c>
      <c r="H12297" s="5">
        <v>5.443700</v>
      </c>
    </row>
    <row r="12298" spans="1:9">
      <c r="A12298" s="22" t="str">
        <f>HYPERLINK("https://app.vivvix.com/360/KMI/IntelliDrive/ApplUI/Pages/CreativePages/CustomReportCreativeDetail.aspx?App=23&amp;ReportView=4&amp;Qid=1711279&amp;Row=12290&amp;Col=1","No Title Assigned - #15273019051")</f>
        <v/>
      </c>
      <c r="B12298" s="0" t="s">
        <v>16600</v>
      </c>
      <c r="C12298" s="0" t="s">
        <v>16601</v>
      </c>
      <c r="D12298" s="0" t="s">
        <v>16601</v>
      </c>
      <c r="E12298" s="0" t="inlineStr">
        <is>
          <t xml:space="preserve">Mazda</t>
        </is>
      </c>
      <c r="F12298" s="0" t="s">
        <v>13</v>
      </c>
      <c r="G12298" s="0" t="s">
        <v>49</v>
      </c>
      <c r="H12298" s="5">
        <v>55.310600</v>
      </c>
    </row>
    <row r="12299" spans="1:9">
      <c r="A12299" s="22" t="str">
        <f>HYPERLINK("https://app.vivvix.com/360/KMI/IntelliDrive/ApplUI/Pages/CreativePages/CustomReportCreativeDetail.aspx?App=23&amp;ReportView=4&amp;Qid=1711279&amp;Row=12291&amp;Col=1","No Title Assigned - #15273019282")</f>
        <v/>
      </c>
      <c r="B12299" s="0" t="s">
        <v>16602</v>
      </c>
      <c r="C12299" s="0" t="s">
        <v>16603</v>
      </c>
      <c r="D12299" s="0" t="s">
        <v>4225</v>
      </c>
      <c r="E12299" s="0" t="inlineStr">
        <is>
          <t xml:space="preserve">Mazda</t>
        </is>
      </c>
      <c r="F12299" s="0" t="s">
        <v>28</v>
      </c>
      <c r="G12299" s="0" t="s">
        <v>29</v>
      </c>
      <c r="H12299" s="5">
        <v>153.847800</v>
      </c>
    </row>
    <row r="12300" spans="1:9">
      <c r="A12300" s="22" t="str">
        <f>HYPERLINK("https://app.vivvix.com/360/KMI/IntelliDrive/ApplUI/Pages/CreativePages/CustomReportCreativeDetail.aspx?App=23&amp;ReportView=4&amp;Qid=1711279&amp;Row=12292&amp;Col=1","No Title Assigned - #15273019554")</f>
        <v/>
      </c>
      <c r="B12300" s="0" t="s">
        <v>16604</v>
      </c>
      <c r="C12300" s="0" t="s">
        <v>16605</v>
      </c>
      <c r="D12300" s="0" t="s">
        <v>16605</v>
      </c>
      <c r="E12300" s="0" t="inlineStr">
        <is>
          <t xml:space="preserve">Mazda</t>
        </is>
      </c>
      <c r="F12300" s="0" t="s">
        <v>13</v>
      </c>
      <c r="G12300" s="0" t="s">
        <v>49</v>
      </c>
      <c r="H12300" s="5">
        <v>411.189800</v>
      </c>
    </row>
    <row r="12301" spans="1:9">
      <c r="A12301" s="22" t="str">
        <f>HYPERLINK("https://app.vivvix.com/360/KMI/IntelliDrive/ApplUI/Pages/CreativePages/CustomReportCreativeDetail.aspx?App=23&amp;ReportView=4&amp;Qid=1711279&amp;Row=12293&amp;Col=1","No Title Assigned - #15273019602")</f>
        <v/>
      </c>
      <c r="B12301" s="0" t="s">
        <v>16606</v>
      </c>
      <c r="E12301" s="0" t="inlineStr">
        <is>
          <t xml:space="preserve">Mazda</t>
        </is>
      </c>
      <c r="F12301" s="0" t="s">
        <v>13</v>
      </c>
      <c r="G12301" s="0" t="s">
        <v>49</v>
      </c>
      <c r="H12301" s="5">
        <v>14656.217800</v>
      </c>
    </row>
    <row r="12302" spans="1:9">
      <c r="A12302" s="22" t="str">
        <f>HYPERLINK("https://app.vivvix.com/360/KMI/IntelliDrive/ApplUI/Pages/CreativePages/CustomReportCreativeDetail.aspx?App=23&amp;ReportView=4&amp;Qid=1711279&amp;Row=12294&amp;Col=1","No Title Assigned - #15273019602")</f>
        <v/>
      </c>
      <c r="B12302" s="0" t="s">
        <v>16606</v>
      </c>
      <c r="E12302" s="0" t="inlineStr">
        <is>
          <t xml:space="preserve">Mazda</t>
        </is>
      </c>
      <c r="F12302" s="0" t="s">
        <v>13</v>
      </c>
      <c r="G12302" s="0" t="s">
        <v>49</v>
      </c>
      <c r="H12302" s="5">
        <v>89.498500</v>
      </c>
    </row>
    <row r="12303" spans="1:9">
      <c r="A12303" s="22" t="str">
        <f>HYPERLINK("https://app.vivvix.com/360/KMI/IntelliDrive/ApplUI/Pages/CreativePages/CustomReportCreativeDetail.aspx?App=23&amp;ReportView=4&amp;Qid=1711279&amp;Row=12295&amp;Col=1","No Title Assigned - #15273022246")</f>
        <v/>
      </c>
      <c r="B12303" s="0" t="s">
        <v>16607</v>
      </c>
      <c r="E12303" s="0" t="inlineStr">
        <is>
          <t xml:space="preserve">Mazda</t>
        </is>
      </c>
      <c r="F12303" s="0" t="inlineStr">
        <is>
          <t xml:space="preserve">Mazda</t>
        </is>
      </c>
      <c r="G12303" s="0" t="s">
        <v>171</v>
      </c>
      <c r="H12303" s="5">
        <v>14.130300</v>
      </c>
    </row>
    <row r="12304" spans="1:9">
      <c r="A12304" s="22" t="str">
        <f>HYPERLINK("https://app.vivvix.com/360/KMI/IntelliDrive/ApplUI/Pages/CreativePages/CustomReportCreativeDetail.aspx?App=23&amp;ReportView=4&amp;Qid=1711279&amp;Row=12296&amp;Col=1","No Title Assigned - #15273022254")</f>
        <v/>
      </c>
      <c r="B12304" s="0" t="s">
        <v>16608</v>
      </c>
      <c r="C12304" s="0" t="s">
        <v>16609</v>
      </c>
      <c r="D12304" s="0" t="s">
        <v>16609</v>
      </c>
      <c r="E12304" s="0" t="inlineStr">
        <is>
          <t xml:space="preserve">Mazda</t>
        </is>
      </c>
      <c r="F12304" s="0" t="inlineStr">
        <is>
          <t xml:space="preserve">Mazda</t>
        </is>
      </c>
      <c r="G12304" s="0" t="s">
        <v>171</v>
      </c>
      <c r="H12304" s="5">
        <v>6.898900</v>
      </c>
    </row>
    <row r="12305" spans="1:9">
      <c r="A12305" s="22" t="str">
        <f>HYPERLINK("https://app.vivvix.com/360/KMI/IntelliDrive/ApplUI/Pages/CreativePages/CustomReportCreativeDetail.aspx?App=23&amp;ReportView=4&amp;Qid=1711279&amp;Row=12297&amp;Col=1","No Title Assigned - #15273022339")</f>
        <v/>
      </c>
      <c r="B12305" s="0" t="s">
        <v>16610</v>
      </c>
      <c r="E12305" s="0" t="inlineStr">
        <is>
          <t xml:space="preserve">Mazda</t>
        </is>
      </c>
      <c r="F12305" s="0" t="inlineStr">
        <is>
          <t xml:space="preserve">Mazda</t>
        </is>
      </c>
      <c r="G12305" s="0" t="s">
        <v>171</v>
      </c>
      <c r="H12305" s="5">
        <v>468.091600</v>
      </c>
    </row>
    <row r="12306" spans="1:9">
      <c r="A12306" s="22" t="str">
        <f>HYPERLINK("https://app.vivvix.com/360/KMI/IntelliDrive/ApplUI/Pages/CreativePages/CustomReportCreativeDetail.aspx?App=23&amp;ReportView=4&amp;Qid=1711279&amp;Row=12298&amp;Col=1","No Title Assigned - #15273022545")</f>
        <v/>
      </c>
      <c r="B12306" s="0" t="s">
        <v>16611</v>
      </c>
      <c r="E12306" s="0" t="inlineStr">
        <is>
          <t xml:space="preserve">Mazda</t>
        </is>
      </c>
      <c r="F12306" s="0" t="inlineStr">
        <is>
          <t xml:space="preserve">Mazda</t>
        </is>
      </c>
      <c r="G12306" s="0" t="s">
        <v>171</v>
      </c>
      <c r="H12306" s="5">
        <v>63.698900</v>
      </c>
    </row>
    <row r="12307" spans="1:9">
      <c r="A12307" s="22" t="str">
        <f>HYPERLINK("https://app.vivvix.com/360/KMI/IntelliDrive/ApplUI/Pages/CreativePages/CustomReportCreativeDetail.aspx?App=23&amp;ReportView=4&amp;Qid=1711279&amp;Row=12299&amp;Col=1","No Title Assigned - #15273023082")</f>
        <v/>
      </c>
      <c r="B12307" s="0" t="s">
        <v>16612</v>
      </c>
      <c r="C12307" s="0" t="s">
        <v>16613</v>
      </c>
      <c r="D12307" s="0" t="s">
        <v>16613</v>
      </c>
      <c r="E12307" s="0" t="inlineStr">
        <is>
          <t xml:space="preserve">Mazda</t>
        </is>
      </c>
      <c r="F12307" s="0" t="s">
        <v>28</v>
      </c>
      <c r="G12307" s="0" t="s">
        <v>29</v>
      </c>
      <c r="H12307" s="5">
        <v>153.649800</v>
      </c>
    </row>
    <row r="12308" spans="1:9">
      <c r="A12308" s="22" t="str">
        <f>HYPERLINK("https://app.vivvix.com/360/KMI/IntelliDrive/ApplUI/Pages/CreativePages/CustomReportCreativeDetail.aspx?App=23&amp;ReportView=4&amp;Qid=1711279&amp;Row=12300&amp;Col=1","No Title Assigned - #15273023576")</f>
        <v/>
      </c>
      <c r="B12308" s="0" t="s">
        <v>16614</v>
      </c>
      <c r="C12308" s="0" t="s">
        <v>16615</v>
      </c>
      <c r="D12308" s="0" t="s">
        <v>16615</v>
      </c>
      <c r="E12308" s="0" t="inlineStr">
        <is>
          <t xml:space="preserve">Mazda</t>
        </is>
      </c>
      <c r="F12308" s="0" t="s">
        <v>28</v>
      </c>
      <c r="G12308" s="0" t="s">
        <v>29</v>
      </c>
      <c r="H12308" s="5">
        <v>0.738300</v>
      </c>
    </row>
    <row r="12309" spans="1:9">
      <c r="A12309" s="22" t="str">
        <f>HYPERLINK("https://app.vivvix.com/360/KMI/IntelliDrive/ApplUI/Pages/CreativePages/CustomReportCreativeDetail.aspx?App=23&amp;ReportView=4&amp;Qid=1711279&amp;Row=12301&amp;Col=1","No Title Assigned - #15273023809")</f>
        <v/>
      </c>
      <c r="B12309" s="0" t="s">
        <v>16616</v>
      </c>
      <c r="E12309" s="0" t="inlineStr">
        <is>
          <t xml:space="preserve">Mazda</t>
        </is>
      </c>
      <c r="F12309" s="0" t="inlineStr">
        <is>
          <t xml:space="preserve">Mazda</t>
        </is>
      </c>
      <c r="G12309" s="0" t="s">
        <v>171</v>
      </c>
      <c r="H12309" s="5">
        <v>1138.330900</v>
      </c>
    </row>
    <row r="12310" spans="1:9">
      <c r="A12310" s="22" t="str">
        <f>HYPERLINK("https://app.vivvix.com/360/KMI/IntelliDrive/ApplUI/Pages/CreativePages/CustomReportCreativeDetail.aspx?App=23&amp;ReportView=4&amp;Qid=1711279&amp;Row=12302&amp;Col=1","No Title Assigned - #15273023979")</f>
        <v/>
      </c>
      <c r="B12310" s="0" t="s">
        <v>16617</v>
      </c>
      <c r="E12310" s="0" t="inlineStr">
        <is>
          <t xml:space="preserve">Mazda</t>
        </is>
      </c>
      <c r="F12310" s="0" t="inlineStr">
        <is>
          <t xml:space="preserve">Mazda</t>
        </is>
      </c>
      <c r="G12310" s="0" t="s">
        <v>171</v>
      </c>
      <c r="H12310" s="5">
        <v>2949.802000</v>
      </c>
    </row>
    <row r="12311" spans="1:9">
      <c r="A12311" s="22" t="str">
        <f>HYPERLINK("https://app.vivvix.com/360/KMI/IntelliDrive/ApplUI/Pages/CreativePages/CustomReportCreativeDetail.aspx?App=23&amp;ReportView=4&amp;Qid=1711279&amp;Row=12303&amp;Col=1","No Title Assigned - #15273024776")</f>
        <v/>
      </c>
      <c r="B12311" s="0" t="s">
        <v>16618</v>
      </c>
      <c r="E12311" s="0" t="inlineStr">
        <is>
          <t xml:space="preserve">Mazda</t>
        </is>
      </c>
      <c r="F12311" s="0" t="inlineStr">
        <is>
          <t xml:space="preserve">Mazda</t>
        </is>
      </c>
      <c r="G12311" s="0" t="s">
        <v>171</v>
      </c>
      <c r="H12311" s="5">
        <v>8.879600</v>
      </c>
    </row>
    <row r="12312" spans="1:9">
      <c r="A12312" s="22" t="str">
        <f>HYPERLINK("https://app.vivvix.com/360/KMI/IntelliDrive/ApplUI/Pages/CreativePages/CustomReportCreativeDetail.aspx?App=23&amp;ReportView=4&amp;Qid=1711279&amp;Row=12304&amp;Col=1","No Title Assigned - #15273024880")</f>
        <v/>
      </c>
      <c r="B12312" s="0" t="s">
        <v>16619</v>
      </c>
      <c r="E12312" s="0" t="inlineStr">
        <is>
          <t xml:space="preserve">Mazda</t>
        </is>
      </c>
      <c r="F12312" s="0" t="inlineStr">
        <is>
          <t xml:space="preserve">Mazda</t>
        </is>
      </c>
      <c r="G12312" s="0" t="s">
        <v>171</v>
      </c>
      <c r="H12312" s="5">
        <v>11.174700</v>
      </c>
    </row>
    <row r="12313" spans="1:9">
      <c r="A12313" s="22" t="str">
        <f>HYPERLINK("https://app.vivvix.com/360/KMI/IntelliDrive/ApplUI/Pages/CreativePages/CustomReportCreativeDetail.aspx?App=23&amp;ReportView=4&amp;Qid=1711279&amp;Row=12305&amp;Col=1","No Title Assigned - #15273025124")</f>
        <v/>
      </c>
      <c r="B12313" s="0" t="s">
        <v>16620</v>
      </c>
      <c r="E12313" s="0" t="inlineStr">
        <is>
          <t xml:space="preserve">Mazda</t>
        </is>
      </c>
      <c r="F12313" s="0" t="inlineStr">
        <is>
          <t xml:space="preserve">Mazda</t>
        </is>
      </c>
      <c r="G12313" s="0" t="s">
        <v>171</v>
      </c>
      <c r="H12313" s="5">
        <v>8.606100</v>
      </c>
    </row>
    <row r="12314" spans="1:9">
      <c r="A12314" s="22" t="str">
        <f>HYPERLINK("https://app.vivvix.com/360/KMI/IntelliDrive/ApplUI/Pages/CreativePages/CustomReportCreativeDetail.aspx?App=23&amp;ReportView=4&amp;Qid=1711279&amp;Row=12306&amp;Col=1","No Title Assigned - #15273025125")</f>
        <v/>
      </c>
      <c r="B12314" s="0" t="s">
        <v>16621</v>
      </c>
      <c r="E12314" s="0" t="inlineStr">
        <is>
          <t xml:space="preserve">Mazda</t>
        </is>
      </c>
      <c r="F12314" s="0" t="inlineStr">
        <is>
          <t xml:space="preserve">Mazda</t>
        </is>
      </c>
      <c r="G12314" s="0" t="s">
        <v>171</v>
      </c>
      <c r="H12314" s="5">
        <v>8.606100</v>
      </c>
    </row>
    <row r="12315" spans="1:9">
      <c r="A12315" s="22" t="str">
        <f>HYPERLINK("https://app.vivvix.com/360/KMI/IntelliDrive/ApplUI/Pages/CreativePages/CustomReportCreativeDetail.aspx?App=23&amp;ReportView=4&amp;Qid=1711279&amp;Row=12307&amp;Col=1","No Title Assigned - #15273025254")</f>
        <v/>
      </c>
      <c r="B12315" s="0" t="s">
        <v>16622</v>
      </c>
      <c r="E12315" s="0" t="inlineStr">
        <is>
          <t xml:space="preserve">Mazda</t>
        </is>
      </c>
      <c r="F12315" s="0" t="inlineStr">
        <is>
          <t xml:space="preserve">Mazda</t>
        </is>
      </c>
      <c r="G12315" s="0" t="s">
        <v>171</v>
      </c>
      <c r="H12315" s="5">
        <v>1.916600</v>
      </c>
    </row>
    <row r="12316" spans="1:9">
      <c r="A12316" s="22" t="str">
        <f>HYPERLINK("https://app.vivvix.com/360/KMI/IntelliDrive/ApplUI/Pages/CreativePages/CustomReportCreativeDetail.aspx?App=23&amp;ReportView=4&amp;Qid=1711279&amp;Row=12308&amp;Col=1","No Title Assigned - #15273026279")</f>
        <v/>
      </c>
      <c r="B12316" s="0" t="s">
        <v>16623</v>
      </c>
      <c r="E12316" s="0" t="inlineStr">
        <is>
          <t xml:space="preserve">Mazda</t>
        </is>
      </c>
      <c r="F12316" s="0" t="inlineStr">
        <is>
          <t xml:space="preserve">Mazda</t>
        </is>
      </c>
      <c r="G12316" s="0" t="s">
        <v>171</v>
      </c>
      <c r="H12316" s="5">
        <v>14.915800</v>
      </c>
    </row>
    <row r="12317" spans="1:9">
      <c r="A12317" s="22" t="str">
        <f>HYPERLINK("https://app.vivvix.com/360/KMI/IntelliDrive/ApplUI/Pages/CreativePages/CustomReportCreativeDetail.aspx?App=23&amp;ReportView=4&amp;Qid=1711279&amp;Row=12309&amp;Col=1","No Title Assigned - #15273027922")</f>
        <v/>
      </c>
      <c r="B12317" s="0" t="s">
        <v>16624</v>
      </c>
      <c r="E12317" s="0" t="inlineStr">
        <is>
          <t xml:space="preserve">Mazda</t>
        </is>
      </c>
      <c r="F12317" s="0" t="inlineStr">
        <is>
          <t xml:space="preserve">Mazda</t>
        </is>
      </c>
      <c r="G12317" s="0" t="s">
        <v>171</v>
      </c>
      <c r="H12317" s="5">
        <v>552.322600</v>
      </c>
    </row>
    <row r="12318" spans="1:9">
      <c r="A12318" s="22" t="str">
        <f>HYPERLINK("https://app.vivvix.com/360/KMI/IntelliDrive/ApplUI/Pages/CreativePages/CustomReportCreativeDetail.aspx?App=23&amp;ReportView=4&amp;Qid=1711279&amp;Row=12310&amp;Col=1","No Title Assigned - #15273028099")</f>
        <v/>
      </c>
      <c r="B12318" s="0" t="s">
        <v>16625</v>
      </c>
      <c r="E12318" s="0" t="inlineStr">
        <is>
          <t xml:space="preserve">Mazda</t>
        </is>
      </c>
      <c r="F12318" s="0" t="inlineStr">
        <is>
          <t xml:space="preserve">Mazda</t>
        </is>
      </c>
      <c r="G12318" s="0" t="s">
        <v>171</v>
      </c>
      <c r="H12318" s="5">
        <v>62.761200</v>
      </c>
    </row>
    <row r="12319" spans="1:9">
      <c r="A12319" s="22" t="str">
        <f>HYPERLINK("https://app.vivvix.com/360/KMI/IntelliDrive/ApplUI/Pages/CreativePages/CustomReportCreativeDetail.aspx?App=23&amp;ReportView=4&amp;Qid=1711279&amp;Row=12311&amp;Col=1","No Title Assigned - #15273028180")</f>
        <v/>
      </c>
      <c r="B12319" s="0" t="s">
        <v>16626</v>
      </c>
      <c r="E12319" s="0" t="inlineStr">
        <is>
          <t xml:space="preserve">Mazda</t>
        </is>
      </c>
      <c r="F12319" s="0" t="inlineStr">
        <is>
          <t xml:space="preserve">Mazda</t>
        </is>
      </c>
      <c r="G12319" s="0" t="s">
        <v>171</v>
      </c>
      <c r="H12319" s="5">
        <v>225.842900</v>
      </c>
    </row>
    <row r="12320" spans="1:9">
      <c r="A12320" s="22" t="str">
        <f>HYPERLINK("https://app.vivvix.com/360/KMI/IntelliDrive/ApplUI/Pages/CreativePages/CustomReportCreativeDetail.aspx?App=23&amp;ReportView=4&amp;Qid=1711279&amp;Row=12312&amp;Col=1","No Title Assigned - #15273030445")</f>
        <v/>
      </c>
      <c r="B12320" s="0" t="s">
        <v>16627</v>
      </c>
      <c r="E12320" s="0" t="inlineStr">
        <is>
          <t xml:space="preserve">Mazda</t>
        </is>
      </c>
      <c r="F12320" s="0" t="inlineStr">
        <is>
          <t xml:space="preserve">Mazda</t>
        </is>
      </c>
      <c r="G12320" s="0" t="s">
        <v>171</v>
      </c>
      <c r="H12320" s="5">
        <v>7.024000</v>
      </c>
    </row>
    <row r="12321" spans="1:9">
      <c r="A12321" s="22" t="str">
        <f>HYPERLINK("https://app.vivvix.com/360/KMI/IntelliDrive/ApplUI/Pages/CreativePages/CustomReportCreativeDetail.aspx?App=23&amp;ReportView=4&amp;Qid=1711279&amp;Row=12313&amp;Col=1","No Title Assigned - #15273030635")</f>
        <v/>
      </c>
      <c r="B12321" s="0" t="s">
        <v>16628</v>
      </c>
      <c r="E12321" s="0" t="inlineStr">
        <is>
          <t xml:space="preserve">Mazda</t>
        </is>
      </c>
      <c r="F12321" s="0" t="inlineStr">
        <is>
          <t xml:space="preserve">Mazda</t>
        </is>
      </c>
      <c r="G12321" s="0" t="s">
        <v>171</v>
      </c>
      <c r="H12321" s="5">
        <v>48.460700</v>
      </c>
    </row>
    <row r="12322" spans="1:9">
      <c r="A12322" s="22" t="str">
        <f>HYPERLINK("https://app.vivvix.com/360/KMI/IntelliDrive/ApplUI/Pages/CreativePages/CustomReportCreativeDetail.aspx?App=23&amp;ReportView=4&amp;Qid=1711279&amp;Row=12314&amp;Col=1","No Title Assigned - #15273030851")</f>
        <v/>
      </c>
      <c r="B12322" s="0" t="s">
        <v>16629</v>
      </c>
      <c r="E12322" s="0" t="inlineStr">
        <is>
          <t xml:space="preserve">Mazda</t>
        </is>
      </c>
      <c r="F12322" s="0" t="inlineStr">
        <is>
          <t xml:space="preserve">Mazda</t>
        </is>
      </c>
      <c r="G12322" s="0" t="s">
        <v>171</v>
      </c>
      <c r="H12322" s="5">
        <v>6.419200</v>
      </c>
    </row>
    <row r="12323" spans="1:9">
      <c r="A12323" s="22" t="str">
        <f>HYPERLINK("https://app.vivvix.com/360/KMI/IntelliDrive/ApplUI/Pages/CreativePages/CustomReportCreativeDetail.aspx?App=23&amp;ReportView=4&amp;Qid=1711279&amp;Row=12315&amp;Col=1","No Title Assigned - #15273033642")</f>
        <v/>
      </c>
      <c r="B12323" s="0" t="s">
        <v>16630</v>
      </c>
      <c r="E12323" s="0" t="inlineStr">
        <is>
          <t xml:space="preserve">Mazda</t>
        </is>
      </c>
      <c r="F12323" s="0" t="inlineStr">
        <is>
          <t xml:space="preserve">Mazda</t>
        </is>
      </c>
      <c r="G12323" s="0" t="s">
        <v>171</v>
      </c>
      <c r="H12323" s="5">
        <v>95.956800</v>
      </c>
    </row>
    <row r="12324" spans="1:9">
      <c r="A12324" s="22" t="str">
        <f>HYPERLINK("https://app.vivvix.com/360/KMI/IntelliDrive/ApplUI/Pages/CreativePages/CustomReportCreativeDetail.aspx?App=23&amp;ReportView=4&amp;Qid=1711279&amp;Row=12316&amp;Col=1","No Title Assigned - #15273033725")</f>
        <v/>
      </c>
      <c r="B12324" s="0" t="s">
        <v>16631</v>
      </c>
      <c r="E12324" s="0" t="inlineStr">
        <is>
          <t xml:space="preserve">Mazda</t>
        </is>
      </c>
      <c r="F12324" s="0" t="inlineStr">
        <is>
          <t xml:space="preserve">Mazda</t>
        </is>
      </c>
      <c r="G12324" s="0" t="s">
        <v>171</v>
      </c>
      <c r="H12324" s="5">
        <v>84033.747200</v>
      </c>
    </row>
    <row r="12325" spans="1:9">
      <c r="A12325" s="22" t="str">
        <f>HYPERLINK("https://app.vivvix.com/360/KMI/IntelliDrive/ApplUI/Pages/CreativePages/CustomReportCreativeDetail.aspx?App=23&amp;ReportView=4&amp;Qid=1711279&amp;Row=12317&amp;Col=1","No Title Assigned - #15273034400")</f>
        <v/>
      </c>
      <c r="B12325" s="0" t="s">
        <v>16632</v>
      </c>
      <c r="E12325" s="0" t="inlineStr">
        <is>
          <t xml:space="preserve">Mazda</t>
        </is>
      </c>
      <c r="F12325" s="0" t="inlineStr">
        <is>
          <t xml:space="preserve">Mazda</t>
        </is>
      </c>
      <c r="G12325" s="0" t="s">
        <v>171</v>
      </c>
      <c r="H12325" s="5">
        <v>85.166200</v>
      </c>
    </row>
    <row r="12326" spans="1:9">
      <c r="A12326" s="22" t="str">
        <f>HYPERLINK("https://app.vivvix.com/360/KMI/IntelliDrive/ApplUI/Pages/CreativePages/CustomReportCreativeDetail.aspx?App=23&amp;ReportView=4&amp;Qid=1711279&amp;Row=12318&amp;Col=1","No Title Assigned - #15273042253")</f>
        <v/>
      </c>
      <c r="B12326" s="0" t="s">
        <v>16633</v>
      </c>
      <c r="E12326" s="0" t="inlineStr">
        <is>
          <t xml:space="preserve">Mazda</t>
        </is>
      </c>
      <c r="F12326" s="0" t="inlineStr">
        <is>
          <t xml:space="preserve">Mazda</t>
        </is>
      </c>
      <c r="G12326" s="0" t="s">
        <v>171</v>
      </c>
      <c r="H12326" s="5">
        <v>870.929700</v>
      </c>
    </row>
    <row r="12327" spans="1:9">
      <c r="A12327" s="22" t="str">
        <f>HYPERLINK("https://app.vivvix.com/360/KMI/IntelliDrive/ApplUI/Pages/CreativePages/CustomReportCreativeDetail.aspx?App=23&amp;ReportView=4&amp;Qid=1711279&amp;Row=12319&amp;Col=1","No Title Assigned - #15273043320")</f>
        <v/>
      </c>
      <c r="B12327" s="0" t="s">
        <v>16634</v>
      </c>
      <c r="E12327" s="0" t="inlineStr">
        <is>
          <t xml:space="preserve">Mazda</t>
        </is>
      </c>
      <c r="F12327" s="0" t="inlineStr">
        <is>
          <t xml:space="preserve">Mazda</t>
        </is>
      </c>
      <c r="G12327" s="0" t="s">
        <v>171</v>
      </c>
      <c r="H12327" s="5">
        <v>9.867400</v>
      </c>
    </row>
    <row r="12328" spans="1:9">
      <c r="A12328" s="22" t="str">
        <f>HYPERLINK("https://app.vivvix.com/360/KMI/IntelliDrive/ApplUI/Pages/CreativePages/CustomReportCreativeDetail.aspx?App=23&amp;ReportView=4&amp;Qid=1711279&amp;Row=12320&amp;Col=1","No Title Assigned - #15273045735")</f>
        <v/>
      </c>
      <c r="B12328" s="0" t="s">
        <v>16635</v>
      </c>
      <c r="E12328" s="0" t="inlineStr">
        <is>
          <t xml:space="preserve">Mazda</t>
        </is>
      </c>
      <c r="F12328" s="0" t="inlineStr">
        <is>
          <t xml:space="preserve">Mazda</t>
        </is>
      </c>
      <c r="G12328" s="0" t="s">
        <v>171</v>
      </c>
      <c r="H12328" s="5">
        <v>52.003900</v>
      </c>
    </row>
    <row r="12329" spans="1:9">
      <c r="A12329" s="22" t="str">
        <f>HYPERLINK("https://app.vivvix.com/360/KMI/IntelliDrive/ApplUI/Pages/CreativePages/CustomReportCreativeDetail.aspx?App=23&amp;ReportView=4&amp;Qid=1711279&amp;Row=12321&amp;Col=1","No Title Assigned - #15273046150")</f>
        <v/>
      </c>
      <c r="B12329" s="0" t="s">
        <v>16636</v>
      </c>
      <c r="E12329" s="0" t="inlineStr">
        <is>
          <t xml:space="preserve">Mazda</t>
        </is>
      </c>
      <c r="F12329" s="0" t="inlineStr">
        <is>
          <t xml:space="preserve">Mazda</t>
        </is>
      </c>
      <c r="G12329" s="0" t="s">
        <v>171</v>
      </c>
      <c r="H12329" s="5">
        <v>12.067100</v>
      </c>
    </row>
    <row r="12330" spans="1:9">
      <c r="A12330" s="22" t="str">
        <f>HYPERLINK("https://app.vivvix.com/360/KMI/IntelliDrive/ApplUI/Pages/CreativePages/CustomReportCreativeDetail.aspx?App=23&amp;ReportView=4&amp;Qid=1711279&amp;Row=12322&amp;Col=1","No Title Assigned - #15273069623")</f>
        <v/>
      </c>
      <c r="B12330" s="0" t="s">
        <v>16637</v>
      </c>
      <c r="E12330" s="0" t="inlineStr">
        <is>
          <t xml:space="preserve">Mazda</t>
        </is>
      </c>
      <c r="F12330" s="0" t="s">
        <v>28</v>
      </c>
      <c r="G12330" s="0" t="s">
        <v>29</v>
      </c>
      <c r="H12330" s="5">
        <v>31.754000</v>
      </c>
    </row>
    <row r="12331" spans="1:9">
      <c r="A12331" s="22" t="str">
        <f>HYPERLINK("https://app.vivvix.com/360/KMI/IntelliDrive/ApplUI/Pages/CreativePages/CustomReportCreativeDetail.aspx?App=23&amp;ReportView=4&amp;Qid=1711279&amp;Row=12323&amp;Col=1","No Title Assigned - #15273071638")</f>
        <v/>
      </c>
      <c r="B12331" s="0" t="s">
        <v>16638</v>
      </c>
      <c r="E12331" s="0" t="inlineStr">
        <is>
          <t xml:space="preserve">Mazda</t>
        </is>
      </c>
      <c r="F12331" s="0" t="inlineStr">
        <is>
          <t xml:space="preserve">Mazda</t>
        </is>
      </c>
      <c r="G12331" s="0" t="s">
        <v>171</v>
      </c>
      <c r="H12331" s="5">
        <v>206.863400</v>
      </c>
    </row>
    <row r="12332" spans="1:9">
      <c r="A12332" s="22" t="str">
        <f>HYPERLINK("https://app.vivvix.com/360/KMI/IntelliDrive/ApplUI/Pages/CreativePages/CustomReportCreativeDetail.aspx?App=23&amp;ReportView=4&amp;Qid=1711279&amp;Row=12324&amp;Col=1","No Title Assigned - #15273077427")</f>
        <v/>
      </c>
      <c r="B12332" s="0" t="s">
        <v>16639</v>
      </c>
      <c r="E12332" s="0" t="inlineStr">
        <is>
          <t xml:space="preserve">Mazda</t>
        </is>
      </c>
      <c r="F12332" s="0" t="inlineStr">
        <is>
          <t xml:space="preserve">Mazda</t>
        </is>
      </c>
      <c r="G12332" s="0" t="s">
        <v>171</v>
      </c>
      <c r="H12332" s="5">
        <v>102.265300</v>
      </c>
    </row>
    <row r="12333" spans="1:9">
      <c r="A12333" s="22" t="str">
        <f>HYPERLINK("https://app.vivvix.com/360/KMI/IntelliDrive/ApplUI/Pages/CreativePages/CustomReportCreativeDetail.aspx?App=23&amp;ReportView=4&amp;Qid=1711279&amp;Row=12325&amp;Col=1","No Title Assigned - #15273078326")</f>
        <v/>
      </c>
      <c r="B12333" s="0" t="s">
        <v>16640</v>
      </c>
      <c r="E12333" s="0" t="inlineStr">
        <is>
          <t xml:space="preserve">Mazda</t>
        </is>
      </c>
      <c r="F12333" s="0" t="inlineStr">
        <is>
          <t xml:space="preserve">Mazda</t>
        </is>
      </c>
      <c r="G12333" s="0" t="s">
        <v>171</v>
      </c>
      <c r="H12333" s="5">
        <v>424.827500</v>
      </c>
    </row>
    <row r="12334" spans="1:9">
      <c r="A12334" s="22" t="str">
        <f>HYPERLINK("https://app.vivvix.com/360/KMI/IntelliDrive/ApplUI/Pages/CreativePages/CustomReportCreativeDetail.aspx?App=23&amp;ReportView=4&amp;Qid=1711279&amp;Row=12326&amp;Col=1","No Title Assigned - #15273078326")</f>
        <v/>
      </c>
      <c r="B12334" s="0" t="s">
        <v>16640</v>
      </c>
      <c r="E12334" s="0" t="inlineStr">
        <is>
          <t xml:space="preserve">Mazda</t>
        </is>
      </c>
      <c r="F12334" s="0" t="inlineStr">
        <is>
          <t xml:space="preserve">Mazda</t>
        </is>
      </c>
      <c r="G12334" s="0" t="s">
        <v>171</v>
      </c>
      <c r="H12334" s="5">
        <v>220.240900</v>
      </c>
    </row>
    <row r="12335" spans="1:9">
      <c r="A12335" s="22" t="str">
        <f>HYPERLINK("https://app.vivvix.com/360/KMI/IntelliDrive/ApplUI/Pages/CreativePages/CustomReportCreativeDetail.aspx?App=23&amp;ReportView=4&amp;Qid=1711279&amp;Row=12327&amp;Col=1","No Title Assigned - #15273080637")</f>
        <v/>
      </c>
      <c r="B12335" s="0" t="s">
        <v>16641</v>
      </c>
      <c r="C12335" s="0" t="s">
        <v>16642</v>
      </c>
      <c r="D12335" s="0" t="s">
        <v>16642</v>
      </c>
      <c r="E12335" s="0" t="inlineStr">
        <is>
          <t xml:space="preserve">Mazda</t>
        </is>
      </c>
      <c r="F12335" s="0" t="s">
        <v>28</v>
      </c>
      <c r="G12335" s="0" t="s">
        <v>29</v>
      </c>
      <c r="H12335" s="5">
        <v>1863.736700</v>
      </c>
    </row>
    <row r="12336" spans="1:9">
      <c r="A12336" s="22" t="str">
        <f>HYPERLINK("https://app.vivvix.com/360/KMI/IntelliDrive/ApplUI/Pages/CreativePages/CustomReportCreativeDetail.aspx?App=23&amp;ReportView=4&amp;Qid=1711279&amp;Row=12328&amp;Col=1","No Title Assigned - #15273081434")</f>
        <v/>
      </c>
      <c r="B12336" s="0" t="s">
        <v>16643</v>
      </c>
      <c r="C12336" s="0" t="s">
        <v>16644</v>
      </c>
      <c r="D12336" s="0" t="s">
        <v>16644</v>
      </c>
      <c r="E12336" s="0" t="inlineStr">
        <is>
          <t xml:space="preserve">Mazda</t>
        </is>
      </c>
      <c r="F12336" s="0" t="inlineStr">
        <is>
          <t xml:space="preserve">Mazda</t>
        </is>
      </c>
      <c r="G12336" s="0" t="s">
        <v>210</v>
      </c>
      <c r="H12336" s="5">
        <v>720.457600</v>
      </c>
    </row>
    <row r="12337" spans="1:9">
      <c r="A12337" s="22" t="str">
        <f>HYPERLINK("https://app.vivvix.com/360/KMI/IntelliDrive/ApplUI/Pages/CreativePages/CustomReportCreativeDetail.aspx?App=23&amp;ReportView=4&amp;Qid=1711279&amp;Row=12329&amp;Col=1","No Title Assigned - #15273083888")</f>
        <v/>
      </c>
      <c r="B12337" s="0" t="s">
        <v>16645</v>
      </c>
      <c r="C12337" s="0" t="s">
        <v>16646</v>
      </c>
      <c r="D12337" s="0" t="s">
        <v>16646</v>
      </c>
      <c r="E12337" s="0" t="inlineStr">
        <is>
          <t xml:space="preserve">Mazda</t>
        </is>
      </c>
      <c r="F12337" s="0" t="s">
        <v>13</v>
      </c>
      <c r="G12337" s="0" t="s">
        <v>49</v>
      </c>
      <c r="H12337" s="5">
        <v>288.014500</v>
      </c>
    </row>
    <row r="12338" spans="1:9">
      <c r="A12338" s="22" t="str">
        <f>HYPERLINK("https://app.vivvix.com/360/KMI/IntelliDrive/ApplUI/Pages/CreativePages/CustomReportCreativeDetail.aspx?App=23&amp;ReportView=4&amp;Qid=1711279&amp;Row=12330&amp;Col=1","No Title Assigned - #15273084518")</f>
        <v/>
      </c>
      <c r="B12338" s="0" t="s">
        <v>16647</v>
      </c>
      <c r="C12338" s="0" t="s">
        <v>16648</v>
      </c>
      <c r="D12338" s="0" t="s">
        <v>16648</v>
      </c>
      <c r="E12338" s="0" t="inlineStr">
        <is>
          <t xml:space="preserve">Mazda</t>
        </is>
      </c>
      <c r="F12338" s="0" t="s">
        <v>13</v>
      </c>
      <c r="G12338" s="0" t="s">
        <v>49</v>
      </c>
      <c r="H12338" s="5">
        <v>33.236100</v>
      </c>
    </row>
    <row r="12339" spans="1:9">
      <c r="A12339" s="22" t="str">
        <f>HYPERLINK("https://app.vivvix.com/360/KMI/IntelliDrive/ApplUI/Pages/CreativePages/CustomReportCreativeDetail.aspx?App=23&amp;ReportView=4&amp;Qid=1711279&amp;Row=12331&amp;Col=1","No Title Assigned - #15273085687")</f>
        <v/>
      </c>
      <c r="B12339" s="0" t="s">
        <v>16649</v>
      </c>
      <c r="C12339" s="0" t="s">
        <v>16650</v>
      </c>
      <c r="D12339" s="0" t="s">
        <v>16650</v>
      </c>
      <c r="E12339" s="0" t="inlineStr">
        <is>
          <t xml:space="preserve">Mazda</t>
        </is>
      </c>
      <c r="F12339" s="0" t="s">
        <v>28</v>
      </c>
      <c r="G12339" s="0" t="s">
        <v>29</v>
      </c>
      <c r="H12339" s="5">
        <v>2155.750600</v>
      </c>
    </row>
    <row r="12340" spans="1:9">
      <c r="A12340" s="22" t="str">
        <f>HYPERLINK("https://app.vivvix.com/360/KMI/IntelliDrive/ApplUI/Pages/CreativePages/CustomReportCreativeDetail.aspx?App=23&amp;ReportView=4&amp;Qid=1711279&amp;Row=12332&amp;Col=1","No Title Assigned - #15273085687")</f>
        <v/>
      </c>
      <c r="B12340" s="0" t="s">
        <v>16649</v>
      </c>
      <c r="E12340" s="0" t="inlineStr">
        <is>
          <t xml:space="preserve">Mazda</t>
        </is>
      </c>
      <c r="F12340" s="0" t="s">
        <v>28</v>
      </c>
      <c r="G12340" s="0" t="s">
        <v>29</v>
      </c>
      <c r="H12340" s="5">
        <v>1144.535400</v>
      </c>
    </row>
    <row r="12341" spans="1:9">
      <c r="A12341" s="22" t="str">
        <f>HYPERLINK("https://app.vivvix.com/360/KMI/IntelliDrive/ApplUI/Pages/CreativePages/CustomReportCreativeDetail.aspx?App=23&amp;ReportView=4&amp;Qid=1711279&amp;Row=12333&amp;Col=1","No Title Assigned - #15273087514")</f>
        <v/>
      </c>
      <c r="B12341" s="0" t="s">
        <v>16651</v>
      </c>
      <c r="E12341" s="0" t="inlineStr">
        <is>
          <t xml:space="preserve">Mazda</t>
        </is>
      </c>
      <c r="F12341" s="0" t="s">
        <v>13</v>
      </c>
      <c r="G12341" s="0" t="s">
        <v>49</v>
      </c>
      <c r="H12341" s="5">
        <v>1408.471700</v>
      </c>
    </row>
    <row r="12342" spans="1:9">
      <c r="A12342" s="22" t="str">
        <f>HYPERLINK("https://app.vivvix.com/360/KMI/IntelliDrive/ApplUI/Pages/CreativePages/CustomReportCreativeDetail.aspx?App=23&amp;ReportView=4&amp;Qid=1711279&amp;Row=12334&amp;Col=1","No Title Assigned - #15273088426")</f>
        <v/>
      </c>
      <c r="B12342" s="0" t="s">
        <v>16652</v>
      </c>
      <c r="C12342" s="0" t="s">
        <v>16653</v>
      </c>
      <c r="D12342" s="0" t="s">
        <v>16653</v>
      </c>
      <c r="E12342" s="0" t="inlineStr">
        <is>
          <t xml:space="preserve">Mazda</t>
        </is>
      </c>
      <c r="F12342" s="0" t="s">
        <v>28</v>
      </c>
      <c r="G12342" s="0" t="s">
        <v>29</v>
      </c>
      <c r="H12342" s="5">
        <v>205.534500</v>
      </c>
    </row>
    <row r="12343" spans="1:9">
      <c r="A12343" s="22" t="str">
        <f>HYPERLINK("https://app.vivvix.com/360/KMI/IntelliDrive/ApplUI/Pages/CreativePages/CustomReportCreativeDetail.aspx?App=23&amp;ReportView=4&amp;Qid=1711279&amp;Row=12335&amp;Col=1","No Title Assigned - #15273088426")</f>
        <v/>
      </c>
      <c r="B12343" s="0" t="s">
        <v>16652</v>
      </c>
      <c r="E12343" s="0" t="inlineStr">
        <is>
          <t xml:space="preserve">Mazda</t>
        </is>
      </c>
      <c r="F12343" s="0" t="s">
        <v>28</v>
      </c>
      <c r="G12343" s="0" t="s">
        <v>29</v>
      </c>
      <c r="H12343" s="5">
        <v>10.128500</v>
      </c>
    </row>
    <row r="12344" spans="1:9">
      <c r="A12344" s="22" t="str">
        <f>HYPERLINK("https://app.vivvix.com/360/KMI/IntelliDrive/ApplUI/Pages/CreativePages/CustomReportCreativeDetail.aspx?App=23&amp;ReportView=4&amp;Qid=1711279&amp;Row=12336&amp;Col=1","No Title Assigned - #15273088552")</f>
        <v/>
      </c>
      <c r="B12344" s="0" t="s">
        <v>16654</v>
      </c>
      <c r="C12344" s="0" t="s">
        <v>16655</v>
      </c>
      <c r="D12344" s="0" t="s">
        <v>16655</v>
      </c>
      <c r="E12344" s="0" t="inlineStr">
        <is>
          <t xml:space="preserve">Mazda</t>
        </is>
      </c>
      <c r="F12344" s="0" t="s">
        <v>28</v>
      </c>
      <c r="G12344" s="0" t="s">
        <v>29</v>
      </c>
      <c r="H12344" s="5">
        <v>25.779000</v>
      </c>
    </row>
    <row r="12345" spans="1:9">
      <c r="A12345" s="22" t="str">
        <f>HYPERLINK("https://app.vivvix.com/360/KMI/IntelliDrive/ApplUI/Pages/CreativePages/CustomReportCreativeDetail.aspx?App=23&amp;ReportView=4&amp;Qid=1711279&amp;Row=12337&amp;Col=1","No Title Assigned - #15273088639")</f>
        <v/>
      </c>
      <c r="B12345" s="0" t="s">
        <v>16656</v>
      </c>
      <c r="C12345" s="0" t="s">
        <v>16657</v>
      </c>
      <c r="D12345" s="0" t="s">
        <v>16657</v>
      </c>
      <c r="E12345" s="0" t="inlineStr">
        <is>
          <t xml:space="preserve">Mazda</t>
        </is>
      </c>
      <c r="F12345" s="0" t="s">
        <v>13</v>
      </c>
      <c r="G12345" s="0" t="s">
        <v>49</v>
      </c>
      <c r="H12345" s="5">
        <v>62.644600</v>
      </c>
    </row>
    <row r="12346" spans="1:9">
      <c r="A12346" s="22" t="str">
        <f>HYPERLINK("https://app.vivvix.com/360/KMI/IntelliDrive/ApplUI/Pages/CreativePages/CustomReportCreativeDetail.aspx?App=23&amp;ReportView=4&amp;Qid=1711279&amp;Row=12338&amp;Col=1","No Title Assigned - #15273088878")</f>
        <v/>
      </c>
      <c r="B12346" s="0" t="s">
        <v>16658</v>
      </c>
      <c r="C12346" s="0" t="s">
        <v>16659</v>
      </c>
      <c r="D12346" s="0" t="s">
        <v>6404</v>
      </c>
      <c r="E12346" s="0" t="inlineStr">
        <is>
          <t xml:space="preserve">Mazda</t>
        </is>
      </c>
      <c r="F12346" s="0" t="s">
        <v>13</v>
      </c>
      <c r="G12346" s="0" t="s">
        <v>49</v>
      </c>
      <c r="H12346" s="5">
        <v>131.898900</v>
      </c>
    </row>
    <row r="12347" spans="1:9">
      <c r="A12347" s="22" t="str">
        <f>HYPERLINK("https://app.vivvix.com/360/KMI/IntelliDrive/ApplUI/Pages/CreativePages/CustomReportCreativeDetail.aspx?App=23&amp;ReportView=4&amp;Qid=1711279&amp;Row=12339&amp;Col=1","No Title Assigned - #15273090414")</f>
        <v/>
      </c>
      <c r="B12347" s="0" t="s">
        <v>16660</v>
      </c>
      <c r="E12347" s="0" t="inlineStr">
        <is>
          <t xml:space="preserve">Mazda</t>
        </is>
      </c>
      <c r="F12347" s="0" t="inlineStr">
        <is>
          <t xml:space="preserve">Mazda</t>
        </is>
      </c>
      <c r="G12347" s="0" t="s">
        <v>210</v>
      </c>
      <c r="H12347" s="5">
        <v>556.312000</v>
      </c>
    </row>
    <row r="12348" spans="1:9">
      <c r="A12348" s="22" t="str">
        <f>HYPERLINK("https://app.vivvix.com/360/KMI/IntelliDrive/ApplUI/Pages/CreativePages/CustomReportCreativeDetail.aspx?App=23&amp;ReportView=4&amp;Qid=1711279&amp;Row=12340&amp;Col=1","No Title Assigned - #15273090639")</f>
        <v/>
      </c>
      <c r="B12348" s="0" t="s">
        <v>16661</v>
      </c>
      <c r="C12348" s="0" t="s">
        <v>16662</v>
      </c>
      <c r="D12348" s="0" t="s">
        <v>16662</v>
      </c>
      <c r="E12348" s="0" t="inlineStr">
        <is>
          <t xml:space="preserve">Mazda</t>
        </is>
      </c>
      <c r="F12348" s="0" t="s">
        <v>13</v>
      </c>
      <c r="G12348" s="0" t="s">
        <v>49</v>
      </c>
      <c r="H12348" s="5">
        <v>350.972200</v>
      </c>
    </row>
    <row r="12349" spans="1:9">
      <c r="A12349" s="22" t="str">
        <f>HYPERLINK("https://app.vivvix.com/360/KMI/IntelliDrive/ApplUI/Pages/CreativePages/CustomReportCreativeDetail.aspx?App=23&amp;ReportView=4&amp;Qid=1711279&amp;Row=12341&amp;Col=1","No Title Assigned - #15273090639")</f>
        <v/>
      </c>
      <c r="B12349" s="0" t="s">
        <v>16661</v>
      </c>
      <c r="E12349" s="0" t="inlineStr">
        <is>
          <t xml:space="preserve">Mazda</t>
        </is>
      </c>
      <c r="F12349" s="0" t="s">
        <v>13</v>
      </c>
      <c r="G12349" s="0" t="s">
        <v>49</v>
      </c>
      <c r="H12349" s="5">
        <v>583.948000</v>
      </c>
    </row>
    <row r="12350" spans="1:9">
      <c r="A12350" s="22" t="str">
        <f>HYPERLINK("https://app.vivvix.com/360/KMI/IntelliDrive/ApplUI/Pages/CreativePages/CustomReportCreativeDetail.aspx?App=23&amp;ReportView=4&amp;Qid=1711279&amp;Row=12342&amp;Col=1","No Title Assigned - #15273090850")</f>
        <v/>
      </c>
      <c r="B12350" s="0" t="s">
        <v>16663</v>
      </c>
      <c r="E12350" s="0" t="inlineStr">
        <is>
          <t xml:space="preserve">Mazda</t>
        </is>
      </c>
      <c r="F12350" s="0" t="s">
        <v>13</v>
      </c>
      <c r="G12350" s="0" t="s">
        <v>49</v>
      </c>
      <c r="H12350" s="5">
        <v>13.066100</v>
      </c>
    </row>
    <row r="12351" spans="1:9">
      <c r="A12351" s="22" t="str">
        <f>HYPERLINK("https://app.vivvix.com/360/KMI/IntelliDrive/ApplUI/Pages/CreativePages/CustomReportCreativeDetail.aspx?App=23&amp;ReportView=4&amp;Qid=1711279&amp;Row=12343&amp;Col=1","No Title Assigned - #15273091191")</f>
        <v/>
      </c>
      <c r="B12351" s="0" t="s">
        <v>16664</v>
      </c>
      <c r="C12351" s="0" t="s">
        <v>16665</v>
      </c>
      <c r="D12351" s="0" t="s">
        <v>16665</v>
      </c>
      <c r="E12351" s="0" t="inlineStr">
        <is>
          <t xml:space="preserve">Mazda</t>
        </is>
      </c>
      <c r="F12351" s="0" t="s">
        <v>13</v>
      </c>
      <c r="G12351" s="0" t="s">
        <v>49</v>
      </c>
      <c r="H12351" s="5">
        <v>49.606500</v>
      </c>
    </row>
    <row r="12352" spans="1:9">
      <c r="A12352" s="22" t="str">
        <f>HYPERLINK("https://app.vivvix.com/360/KMI/IntelliDrive/ApplUI/Pages/CreativePages/CustomReportCreativeDetail.aspx?App=23&amp;ReportView=4&amp;Qid=1711279&amp;Row=12344&amp;Col=1","No Title Assigned - #15273091308")</f>
        <v/>
      </c>
      <c r="B12352" s="0" t="s">
        <v>16666</v>
      </c>
      <c r="C12352" s="0" t="s">
        <v>16667</v>
      </c>
      <c r="D12352" s="0" t="s">
        <v>8439</v>
      </c>
      <c r="E12352" s="0" t="inlineStr">
        <is>
          <t xml:space="preserve">Mazda</t>
        </is>
      </c>
      <c r="F12352" s="0" t="s">
        <v>13</v>
      </c>
      <c r="G12352" s="0" t="s">
        <v>49</v>
      </c>
      <c r="H12352" s="5">
        <v>44.462500</v>
      </c>
    </row>
    <row r="12353" spans="1:9">
      <c r="A12353" s="22" t="str">
        <f>HYPERLINK("https://app.vivvix.com/360/KMI/IntelliDrive/ApplUI/Pages/CreativePages/CustomReportCreativeDetail.aspx?App=23&amp;ReportView=4&amp;Qid=1711279&amp;Row=12345&amp;Col=1","No Title Assigned - #15273091697")</f>
        <v/>
      </c>
      <c r="B12353" s="0" t="s">
        <v>16668</v>
      </c>
      <c r="C12353" s="0" t="s">
        <v>16669</v>
      </c>
      <c r="D12353" s="0" t="s">
        <v>8476</v>
      </c>
      <c r="E12353" s="0" t="inlineStr">
        <is>
          <t xml:space="preserve">Mazda</t>
        </is>
      </c>
      <c r="F12353" s="0" t="s">
        <v>13</v>
      </c>
      <c r="G12353" s="0" t="s">
        <v>49</v>
      </c>
      <c r="H12353" s="5">
        <v>16.348400</v>
      </c>
    </row>
    <row r="12354" spans="1:9">
      <c r="A12354" s="22" t="str">
        <f>HYPERLINK("https://app.vivvix.com/360/KMI/IntelliDrive/ApplUI/Pages/CreativePages/CustomReportCreativeDetail.aspx?App=23&amp;ReportView=4&amp;Qid=1711279&amp;Row=12346&amp;Col=1","No Title Assigned - #15273092174")</f>
        <v/>
      </c>
      <c r="B12354" s="0" t="s">
        <v>16670</v>
      </c>
      <c r="E12354" s="0" t="inlineStr">
        <is>
          <t xml:space="preserve">Mazda</t>
        </is>
      </c>
      <c r="F12354" s="0" t="s">
        <v>28</v>
      </c>
      <c r="G12354" s="0" t="s">
        <v>29</v>
      </c>
      <c r="H12354" s="5">
        <v>154.556000</v>
      </c>
    </row>
    <row r="12355" spans="1:9">
      <c r="A12355" s="22" t="str">
        <f>HYPERLINK("https://app.vivvix.com/360/KMI/IntelliDrive/ApplUI/Pages/CreativePages/CustomReportCreativeDetail.aspx?App=23&amp;ReportView=4&amp;Qid=1711279&amp;Row=12347&amp;Col=1","No Title Assigned - #15273092251")</f>
        <v/>
      </c>
      <c r="B12355" s="0" t="s">
        <v>16671</v>
      </c>
      <c r="E12355" s="0" t="inlineStr">
        <is>
          <t xml:space="preserve">Mazda</t>
        </is>
      </c>
      <c r="F12355" s="0" t="s">
        <v>13</v>
      </c>
      <c r="G12355" s="0" t="s">
        <v>49</v>
      </c>
      <c r="H12355" s="5">
        <v>104.667000</v>
      </c>
    </row>
    <row r="12356" spans="1:9">
      <c r="A12356" s="22" t="str">
        <f>HYPERLINK("https://app.vivvix.com/360/KMI/IntelliDrive/ApplUI/Pages/CreativePages/CustomReportCreativeDetail.aspx?App=23&amp;ReportView=4&amp;Qid=1711279&amp;Row=12348&amp;Col=1","No Title Assigned - #15273092642")</f>
        <v/>
      </c>
      <c r="B12356" s="0" t="s">
        <v>16672</v>
      </c>
      <c r="E12356" s="0" t="inlineStr">
        <is>
          <t xml:space="preserve">Mazda</t>
        </is>
      </c>
      <c r="F12356" s="0" t="s">
        <v>28</v>
      </c>
      <c r="G12356" s="0" t="s">
        <v>29</v>
      </c>
      <c r="H12356" s="5">
        <v>16.058200</v>
      </c>
    </row>
    <row r="12357" spans="1:9">
      <c r="A12357" s="22" t="str">
        <f>HYPERLINK("https://app.vivvix.com/360/KMI/IntelliDrive/ApplUI/Pages/CreativePages/CustomReportCreativeDetail.aspx?App=23&amp;ReportView=4&amp;Qid=1711279&amp;Row=12349&amp;Col=1","No Title Assigned - #15273092908")</f>
        <v/>
      </c>
      <c r="B12357" s="0" t="s">
        <v>16673</v>
      </c>
      <c r="E12357" s="0" t="inlineStr">
        <is>
          <t xml:space="preserve">Mazda</t>
        </is>
      </c>
      <c r="F12357" s="0" t="s">
        <v>28</v>
      </c>
      <c r="G12357" s="0" t="s">
        <v>29</v>
      </c>
      <c r="H12357" s="5">
        <v>10.546900</v>
      </c>
    </row>
    <row r="12358" spans="1:9">
      <c r="A12358" s="22" t="str">
        <f>HYPERLINK("https://app.vivvix.com/360/KMI/IntelliDrive/ApplUI/Pages/CreativePages/CustomReportCreativeDetail.aspx?App=23&amp;ReportView=4&amp;Qid=1711279&amp;Row=12350&amp;Col=1","No Title Assigned - #15273093332")</f>
        <v/>
      </c>
      <c r="B12358" s="0" t="s">
        <v>16674</v>
      </c>
      <c r="E12358" s="0" t="inlineStr">
        <is>
          <t xml:space="preserve">Mazda</t>
        </is>
      </c>
      <c r="F12358" s="0" t="s">
        <v>28</v>
      </c>
      <c r="G12358" s="0" t="s">
        <v>29</v>
      </c>
      <c r="H12358" s="5">
        <v>868.891000</v>
      </c>
    </row>
    <row r="12359" spans="1:9">
      <c r="A12359" s="22" t="str">
        <f>HYPERLINK("https://app.vivvix.com/360/KMI/IntelliDrive/ApplUI/Pages/CreativePages/CustomReportCreativeDetail.aspx?App=23&amp;ReportView=4&amp;Qid=1711279&amp;Row=12351&amp;Col=1","No Title Assigned - #15273093332")</f>
        <v/>
      </c>
      <c r="B12359" s="0" t="s">
        <v>16674</v>
      </c>
      <c r="E12359" s="0" t="inlineStr">
        <is>
          <t xml:space="preserve">Mazda</t>
        </is>
      </c>
      <c r="F12359" s="0" t="s">
        <v>28</v>
      </c>
      <c r="G12359" s="0" t="s">
        <v>29</v>
      </c>
      <c r="H12359" s="5">
        <v>8.848500</v>
      </c>
    </row>
    <row r="12360" spans="1:9">
      <c r="A12360" s="22" t="str">
        <f>HYPERLINK("https://app.vivvix.com/360/KMI/IntelliDrive/ApplUI/Pages/CreativePages/CustomReportCreativeDetail.aspx?App=23&amp;ReportView=4&amp;Qid=1711279&amp;Row=12352&amp;Col=1","No Title Assigned - #15273093515")</f>
        <v/>
      </c>
      <c r="B12360" s="0" t="s">
        <v>16675</v>
      </c>
      <c r="C12360" s="0" t="s">
        <v>16676</v>
      </c>
      <c r="D12360" s="0" t="s">
        <v>4418</v>
      </c>
      <c r="E12360" s="0" t="inlineStr">
        <is>
          <t xml:space="preserve">Mazda</t>
        </is>
      </c>
      <c r="F12360" s="0" t="s">
        <v>28</v>
      </c>
      <c r="G12360" s="0" t="s">
        <v>29</v>
      </c>
      <c r="H12360" s="5">
        <v>53.933200</v>
      </c>
    </row>
    <row r="12361" spans="1:9">
      <c r="A12361" s="22" t="str">
        <f>HYPERLINK("https://app.vivvix.com/360/KMI/IntelliDrive/ApplUI/Pages/CreativePages/CustomReportCreativeDetail.aspx?App=23&amp;ReportView=4&amp;Qid=1711279&amp;Row=12353&amp;Col=1","No Title Assigned - #15273094296")</f>
        <v/>
      </c>
      <c r="B12361" s="0" t="s">
        <v>16677</v>
      </c>
      <c r="E12361" s="0" t="inlineStr">
        <is>
          <t xml:space="preserve">Mazda</t>
        </is>
      </c>
      <c r="F12361" s="0" t="s">
        <v>13</v>
      </c>
      <c r="G12361" s="0" t="s">
        <v>49</v>
      </c>
      <c r="H12361" s="5">
        <v>320.895100</v>
      </c>
    </row>
    <row r="12362" spans="1:9">
      <c r="A12362" s="22" t="str">
        <f>HYPERLINK("https://app.vivvix.com/360/KMI/IntelliDrive/ApplUI/Pages/CreativePages/CustomReportCreativeDetail.aspx?App=23&amp;ReportView=4&amp;Qid=1711279&amp;Row=12354&amp;Col=1","No Title Assigned - #15273094296")</f>
        <v/>
      </c>
      <c r="B12362" s="0" t="s">
        <v>16677</v>
      </c>
      <c r="E12362" s="0" t="inlineStr">
        <is>
          <t xml:space="preserve">Mazda</t>
        </is>
      </c>
      <c r="F12362" s="0" t="s">
        <v>13</v>
      </c>
      <c r="G12362" s="0" t="s">
        <v>49</v>
      </c>
      <c r="H12362" s="5">
        <v>72.543700</v>
      </c>
    </row>
    <row r="12363" spans="1:9">
      <c r="A12363" s="22" t="str">
        <f>HYPERLINK("https://app.vivvix.com/360/KMI/IntelliDrive/ApplUI/Pages/CreativePages/CustomReportCreativeDetail.aspx?App=23&amp;ReportView=4&amp;Qid=1711279&amp;Row=12355&amp;Col=1","No Title Assigned - #15273094352")</f>
        <v/>
      </c>
      <c r="B12363" s="0" t="s">
        <v>16678</v>
      </c>
      <c r="E12363" s="0" t="inlineStr">
        <is>
          <t xml:space="preserve">Mazda</t>
        </is>
      </c>
      <c r="F12363" s="0" t="s">
        <v>13</v>
      </c>
      <c r="G12363" s="0" t="s">
        <v>49</v>
      </c>
      <c r="H12363" s="5">
        <v>19.355800</v>
      </c>
    </row>
    <row r="12364" spans="1:9">
      <c r="A12364" s="22" t="str">
        <f>HYPERLINK("https://app.vivvix.com/360/KMI/IntelliDrive/ApplUI/Pages/CreativePages/CustomReportCreativeDetail.aspx?App=23&amp;ReportView=4&amp;Qid=1711279&amp;Row=12356&amp;Col=1","No Title Assigned - #15273094356")</f>
        <v/>
      </c>
      <c r="B12364" s="0" t="s">
        <v>16679</v>
      </c>
      <c r="C12364" s="0" t="s">
        <v>16680</v>
      </c>
      <c r="D12364" s="0" t="s">
        <v>4225</v>
      </c>
      <c r="E12364" s="0" t="inlineStr">
        <is>
          <t xml:space="preserve">Mazda</t>
        </is>
      </c>
      <c r="F12364" s="0" t="s">
        <v>28</v>
      </c>
      <c r="G12364" s="0" t="s">
        <v>29</v>
      </c>
      <c r="H12364" s="5">
        <v>42.406400</v>
      </c>
    </row>
    <row r="12365" spans="1:9">
      <c r="A12365" s="22" t="str">
        <f>HYPERLINK("https://app.vivvix.com/360/KMI/IntelliDrive/ApplUI/Pages/CreativePages/CustomReportCreativeDetail.aspx?App=23&amp;ReportView=4&amp;Qid=1711279&amp;Row=12357&amp;Col=1","No Title Assigned - #15273094768")</f>
        <v/>
      </c>
      <c r="B12365" s="0" t="s">
        <v>16681</v>
      </c>
      <c r="E12365" s="0" t="inlineStr">
        <is>
          <t xml:space="preserve">Mazda</t>
        </is>
      </c>
      <c r="F12365" s="0" t="s">
        <v>28</v>
      </c>
      <c r="G12365" s="0" t="s">
        <v>29</v>
      </c>
      <c r="H12365" s="5">
        <v>37.064700</v>
      </c>
    </row>
    <row r="12366" spans="1:9">
      <c r="A12366" s="22" t="str">
        <f>HYPERLINK("https://app.vivvix.com/360/KMI/IntelliDrive/ApplUI/Pages/CreativePages/CustomReportCreativeDetail.aspx?App=23&amp;ReportView=4&amp;Qid=1711279&amp;Row=12358&amp;Col=1","No Title Assigned - #15273094970")</f>
        <v/>
      </c>
      <c r="B12366" s="0" t="s">
        <v>16682</v>
      </c>
      <c r="C12366" s="0" t="s">
        <v>16683</v>
      </c>
      <c r="D12366" s="0" t="s">
        <v>16683</v>
      </c>
      <c r="E12366" s="0" t="inlineStr">
        <is>
          <t xml:space="preserve">Mazda</t>
        </is>
      </c>
      <c r="F12366" s="0" t="s">
        <v>28</v>
      </c>
      <c r="G12366" s="0" t="s">
        <v>29</v>
      </c>
      <c r="H12366" s="5">
        <v>4.092200</v>
      </c>
    </row>
    <row r="12367" spans="1:9">
      <c r="A12367" s="22" t="str">
        <f>HYPERLINK("https://app.vivvix.com/360/KMI/IntelliDrive/ApplUI/Pages/CreativePages/CustomReportCreativeDetail.aspx?App=23&amp;ReportView=4&amp;Qid=1711279&amp;Row=12359&amp;Col=1","No Title Assigned - #15273095040")</f>
        <v/>
      </c>
      <c r="B12367" s="0" t="s">
        <v>16684</v>
      </c>
      <c r="C12367" s="0" t="s">
        <v>16685</v>
      </c>
      <c r="D12367" s="0" t="s">
        <v>9769</v>
      </c>
      <c r="E12367" s="0" t="inlineStr">
        <is>
          <t xml:space="preserve">Mazda</t>
        </is>
      </c>
      <c r="F12367" s="0" t="s">
        <v>13</v>
      </c>
      <c r="G12367" s="0" t="s">
        <v>49</v>
      </c>
      <c r="H12367" s="5">
        <v>30.911100</v>
      </c>
    </row>
    <row r="12368" spans="1:9">
      <c r="A12368" s="22" t="str">
        <f>HYPERLINK("https://app.vivvix.com/360/KMI/IntelliDrive/ApplUI/Pages/CreativePages/CustomReportCreativeDetail.aspx?App=23&amp;ReportView=4&amp;Qid=1711279&amp;Row=12360&amp;Col=1","No Title Assigned - #15273095179")</f>
        <v/>
      </c>
      <c r="B12368" s="0" t="s">
        <v>16686</v>
      </c>
      <c r="C12368" s="0" t="s">
        <v>16687</v>
      </c>
      <c r="D12368" s="0" t="s">
        <v>4274</v>
      </c>
      <c r="E12368" s="0" t="inlineStr">
        <is>
          <t xml:space="preserve">Mazda</t>
        </is>
      </c>
      <c r="F12368" s="0" t="s">
        <v>28</v>
      </c>
      <c r="G12368" s="0" t="s">
        <v>29</v>
      </c>
      <c r="H12368" s="5">
        <v>683.627100</v>
      </c>
    </row>
    <row r="12369" spans="1:9">
      <c r="A12369" s="22" t="str">
        <f>HYPERLINK("https://app.vivvix.com/360/KMI/IntelliDrive/ApplUI/Pages/CreativePages/CustomReportCreativeDetail.aspx?App=23&amp;ReportView=4&amp;Qid=1711279&amp;Row=12361&amp;Col=1","No Title Assigned - #15273095657")</f>
        <v/>
      </c>
      <c r="B12369" s="0" t="s">
        <v>16688</v>
      </c>
      <c r="E12369" s="0" t="inlineStr">
        <is>
          <t xml:space="preserve">Mazda</t>
        </is>
      </c>
      <c r="F12369" s="0" t="inlineStr">
        <is>
          <t xml:space="preserve">Mazda</t>
        </is>
      </c>
      <c r="G12369" s="0" t="s">
        <v>210</v>
      </c>
      <c r="H12369" s="5">
        <v>4580.153800</v>
      </c>
    </row>
    <row r="12370" spans="1:9">
      <c r="A12370" s="22" t="str">
        <f>HYPERLINK("https://app.vivvix.com/360/KMI/IntelliDrive/ApplUI/Pages/CreativePages/CustomReportCreativeDetail.aspx?App=23&amp;ReportView=4&amp;Qid=1711279&amp;Row=12362&amp;Col=1","No Title Assigned - #15273096240")</f>
        <v/>
      </c>
      <c r="B12370" s="0" t="s">
        <v>16689</v>
      </c>
      <c r="E12370" s="0" t="inlineStr">
        <is>
          <t xml:space="preserve">Mazda</t>
        </is>
      </c>
      <c r="F12370" s="0" t="inlineStr">
        <is>
          <t xml:space="preserve">Mazda</t>
        </is>
      </c>
      <c r="G12370" s="0" t="s">
        <v>171</v>
      </c>
      <c r="H12370" s="5">
        <v>870.465100</v>
      </c>
    </row>
    <row r="12371" spans="1:9">
      <c r="A12371" s="22" t="str">
        <f>HYPERLINK("https://app.vivvix.com/360/KMI/IntelliDrive/ApplUI/Pages/CreativePages/CustomReportCreativeDetail.aspx?App=23&amp;ReportView=4&amp;Qid=1711279&amp;Row=12363&amp;Col=1","No Title Assigned - #15273099045")</f>
        <v/>
      </c>
      <c r="B12371" s="0" t="s">
        <v>16690</v>
      </c>
      <c r="C12371" s="0" t="s">
        <v>16691</v>
      </c>
      <c r="D12371" s="0" t="s">
        <v>16691</v>
      </c>
      <c r="E12371" s="0" t="inlineStr">
        <is>
          <t xml:space="preserve">Mazda</t>
        </is>
      </c>
      <c r="F12371" s="0" t="s">
        <v>28</v>
      </c>
      <c r="G12371" s="0" t="s">
        <v>29</v>
      </c>
      <c r="H12371" s="5">
        <v>2898.642700</v>
      </c>
    </row>
    <row r="12372" spans="1:9">
      <c r="A12372" s="22" t="str">
        <f>HYPERLINK("https://app.vivvix.com/360/KMI/IntelliDrive/ApplUI/Pages/CreativePages/CustomReportCreativeDetail.aspx?App=23&amp;ReportView=4&amp;Qid=1711279&amp;Row=12364&amp;Col=1","No Title Assigned - #15273100341")</f>
        <v/>
      </c>
      <c r="B12372" s="0" t="s">
        <v>16692</v>
      </c>
      <c r="E12372" s="0" t="inlineStr">
        <is>
          <t xml:space="preserve">Mazda</t>
        </is>
      </c>
      <c r="F12372" s="0" t="s">
        <v>13</v>
      </c>
      <c r="G12372" s="0" t="s">
        <v>49</v>
      </c>
      <c r="H12372" s="5">
        <v>386.632200</v>
      </c>
    </row>
    <row r="12373" spans="1:9">
      <c r="A12373" s="22" t="str">
        <f>HYPERLINK("https://app.vivvix.com/360/KMI/IntelliDrive/ApplUI/Pages/CreativePages/CustomReportCreativeDetail.aspx?App=23&amp;ReportView=4&amp;Qid=1711279&amp;Row=12365&amp;Col=1","No Title Assigned - #15273100341")</f>
        <v/>
      </c>
      <c r="B12373" s="0" t="s">
        <v>16692</v>
      </c>
      <c r="E12373" s="0" t="inlineStr">
        <is>
          <t xml:space="preserve">Mazda</t>
        </is>
      </c>
      <c r="F12373" s="0" t="s">
        <v>13</v>
      </c>
      <c r="G12373" s="0" t="s">
        <v>49</v>
      </c>
      <c r="H12373" s="5">
        <v>86.698600</v>
      </c>
    </row>
    <row r="12374" spans="1:9">
      <c r="A12374" s="22" t="str">
        <f>HYPERLINK("https://app.vivvix.com/360/KMI/IntelliDrive/ApplUI/Pages/CreativePages/CustomReportCreativeDetail.aspx?App=23&amp;ReportView=4&amp;Qid=1711279&amp;Row=12366&amp;Col=1","No Title Assigned - #15273100976")</f>
        <v/>
      </c>
      <c r="B12374" s="0" t="s">
        <v>16693</v>
      </c>
      <c r="C12374" s="0" t="s">
        <v>16694</v>
      </c>
      <c r="D12374" s="0" t="s">
        <v>6238</v>
      </c>
      <c r="E12374" s="0" t="inlineStr">
        <is>
          <t xml:space="preserve">Mazda</t>
        </is>
      </c>
      <c r="F12374" s="0" t="s">
        <v>13</v>
      </c>
      <c r="G12374" s="0" t="s">
        <v>49</v>
      </c>
      <c r="H12374" s="5">
        <v>12.986100</v>
      </c>
    </row>
    <row r="12375" spans="1:9">
      <c r="A12375" s="22" t="str">
        <f>HYPERLINK("https://app.vivvix.com/360/KMI/IntelliDrive/ApplUI/Pages/CreativePages/CustomReportCreativeDetail.aspx?App=23&amp;ReportView=4&amp;Qid=1711279&amp;Row=12367&amp;Col=1","No Title Assigned - #15273101161")</f>
        <v/>
      </c>
      <c r="B12375" s="0" t="s">
        <v>16695</v>
      </c>
      <c r="E12375" s="0" t="inlineStr">
        <is>
          <t xml:space="preserve">Mazda</t>
        </is>
      </c>
      <c r="F12375" s="0" t="s">
        <v>13</v>
      </c>
      <c r="G12375" s="0" t="s">
        <v>49</v>
      </c>
      <c r="H12375" s="5">
        <v>1632.675500</v>
      </c>
    </row>
    <row r="12376" spans="1:9">
      <c r="A12376" s="22" t="str">
        <f>HYPERLINK("https://app.vivvix.com/360/KMI/IntelliDrive/ApplUI/Pages/CreativePages/CustomReportCreativeDetail.aspx?App=23&amp;ReportView=4&amp;Qid=1711279&amp;Row=12368&amp;Col=1","No Title Assigned - #15273101554")</f>
        <v/>
      </c>
      <c r="B12376" s="0" t="s">
        <v>16696</v>
      </c>
      <c r="E12376" s="0" t="inlineStr">
        <is>
          <t xml:space="preserve">Mazda</t>
        </is>
      </c>
      <c r="F12376" s="0" t="s">
        <v>28</v>
      </c>
      <c r="G12376" s="0" t="s">
        <v>29</v>
      </c>
      <c r="H12376" s="5">
        <v>33.159600</v>
      </c>
    </row>
    <row r="12377" spans="1:9">
      <c r="A12377" s="22" t="str">
        <f>HYPERLINK("https://app.vivvix.com/360/KMI/IntelliDrive/ApplUI/Pages/CreativePages/CustomReportCreativeDetail.aspx?App=23&amp;ReportView=4&amp;Qid=1711279&amp;Row=12369&amp;Col=1","No Title Assigned - #15273101561")</f>
        <v/>
      </c>
      <c r="B12377" s="0" t="s">
        <v>16697</v>
      </c>
      <c r="E12377" s="0" t="inlineStr">
        <is>
          <t xml:space="preserve">Mazda</t>
        </is>
      </c>
      <c r="F12377" s="0" t="s">
        <v>28</v>
      </c>
      <c r="G12377" s="0" t="s">
        <v>29</v>
      </c>
      <c r="H12377" s="5">
        <v>817.072300</v>
      </c>
    </row>
    <row r="12378" spans="1:9">
      <c r="A12378" s="22" t="str">
        <f>HYPERLINK("https://app.vivvix.com/360/KMI/IntelliDrive/ApplUI/Pages/CreativePages/CustomReportCreativeDetail.aspx?App=23&amp;ReportView=4&amp;Qid=1711279&amp;Row=12370&amp;Col=1","No Title Assigned - #15273102417")</f>
        <v/>
      </c>
      <c r="B12378" s="0" t="s">
        <v>16698</v>
      </c>
      <c r="E12378" s="0" t="inlineStr">
        <is>
          <t xml:space="preserve">Mazda</t>
        </is>
      </c>
      <c r="F12378" s="0" t="s">
        <v>21</v>
      </c>
      <c r="G12378" s="0" t="s">
        <v>22</v>
      </c>
      <c r="H12378" s="5">
        <v>2800.892900</v>
      </c>
    </row>
    <row r="12379" spans="1:9">
      <c r="A12379" s="22" t="str">
        <f>HYPERLINK("https://app.vivvix.com/360/KMI/IntelliDrive/ApplUI/Pages/CreativePages/CustomReportCreativeDetail.aspx?App=23&amp;ReportView=4&amp;Qid=1711279&amp;Row=12371&amp;Col=1","No Title Assigned - #15273102817")</f>
        <v/>
      </c>
      <c r="B12379" s="0" t="s">
        <v>16699</v>
      </c>
      <c r="E12379" s="0" t="inlineStr">
        <is>
          <t xml:space="preserve">Mazda</t>
        </is>
      </c>
      <c r="F12379" s="0" t="inlineStr">
        <is>
          <t xml:space="preserve">Mazda</t>
        </is>
      </c>
      <c r="G12379" s="0" t="s">
        <v>171</v>
      </c>
      <c r="H12379" s="5">
        <v>365.801000</v>
      </c>
    </row>
    <row r="12380" spans="1:9">
      <c r="A12380" s="22" t="str">
        <f>HYPERLINK("https://app.vivvix.com/360/KMI/IntelliDrive/ApplUI/Pages/CreativePages/CustomReportCreativeDetail.aspx?App=23&amp;ReportView=4&amp;Qid=1711279&amp;Row=12372&amp;Col=1","No Title Assigned - #15273103304")</f>
        <v/>
      </c>
      <c r="B12380" s="0" t="s">
        <v>16700</v>
      </c>
      <c r="C12380" s="0" t="s">
        <v>16701</v>
      </c>
      <c r="D12380" s="0" t="s">
        <v>16701</v>
      </c>
      <c r="E12380" s="0" t="inlineStr">
        <is>
          <t xml:space="preserve">Mazda</t>
        </is>
      </c>
      <c r="F12380" s="0" t="inlineStr">
        <is>
          <t xml:space="preserve">Mazda</t>
        </is>
      </c>
      <c r="G12380" s="0" t="s">
        <v>171</v>
      </c>
      <c r="H12380" s="5">
        <v>76.151300</v>
      </c>
    </row>
    <row r="12381" spans="1:9">
      <c r="A12381" s="22" t="str">
        <f>HYPERLINK("https://app.vivvix.com/360/KMI/IntelliDrive/ApplUI/Pages/CreativePages/CustomReportCreativeDetail.aspx?App=23&amp;ReportView=4&amp;Qid=1711279&amp;Row=12373&amp;Col=1","No Title Assigned - #15273104111")</f>
        <v/>
      </c>
      <c r="B12381" s="0" t="s">
        <v>16702</v>
      </c>
      <c r="E12381" s="0" t="inlineStr">
        <is>
          <t xml:space="preserve">Mazda</t>
        </is>
      </c>
      <c r="F12381" s="0" t="inlineStr">
        <is>
          <t xml:space="preserve">Mazda</t>
        </is>
      </c>
      <c r="G12381" s="0" t="s">
        <v>171</v>
      </c>
      <c r="H12381" s="5">
        <v>422.011300</v>
      </c>
    </row>
    <row r="12382" spans="1:9">
      <c r="A12382" s="22" t="str">
        <f>HYPERLINK("https://app.vivvix.com/360/KMI/IntelliDrive/ApplUI/Pages/CreativePages/CustomReportCreativeDetail.aspx?App=23&amp;ReportView=4&amp;Qid=1711279&amp;Row=12374&amp;Col=1","No Title Assigned - #15273104174")</f>
        <v/>
      </c>
      <c r="B12382" s="0" t="s">
        <v>16703</v>
      </c>
      <c r="E12382" s="0" t="inlineStr">
        <is>
          <t xml:space="preserve">Mazda</t>
        </is>
      </c>
      <c r="F12382" s="0" t="inlineStr">
        <is>
          <t xml:space="preserve">Mazda</t>
        </is>
      </c>
      <c r="G12382" s="0" t="s">
        <v>171</v>
      </c>
      <c r="H12382" s="5">
        <v>3145.116600</v>
      </c>
    </row>
    <row r="12383" spans="1:9">
      <c r="A12383" s="22" t="str">
        <f>HYPERLINK("https://app.vivvix.com/360/KMI/IntelliDrive/ApplUI/Pages/CreativePages/CustomReportCreativeDetail.aspx?App=23&amp;ReportView=4&amp;Qid=1711279&amp;Row=12375&amp;Col=1","No Title Assigned - #15273104192")</f>
        <v/>
      </c>
      <c r="B12383" s="0" t="s">
        <v>16704</v>
      </c>
      <c r="E12383" s="0" t="inlineStr">
        <is>
          <t xml:space="preserve">Mazda</t>
        </is>
      </c>
      <c r="F12383" s="0" t="inlineStr">
        <is>
          <t xml:space="preserve">Mazda</t>
        </is>
      </c>
      <c r="G12383" s="0" t="s">
        <v>171</v>
      </c>
      <c r="H12383" s="5">
        <v>51817.365300</v>
      </c>
    </row>
    <row r="12384" spans="1:9">
      <c r="A12384" s="22" t="str">
        <f>HYPERLINK("https://app.vivvix.com/360/KMI/IntelliDrive/ApplUI/Pages/CreativePages/CustomReportCreativeDetail.aspx?App=23&amp;ReportView=4&amp;Qid=1711279&amp;Row=12376&amp;Col=1","No Title Assigned - #15273104311")</f>
        <v/>
      </c>
      <c r="B12384" s="0" t="s">
        <v>16705</v>
      </c>
      <c r="E12384" s="0" t="inlineStr">
        <is>
          <t xml:space="preserve">Mazda</t>
        </is>
      </c>
      <c r="F12384" s="0" t="inlineStr">
        <is>
          <t xml:space="preserve">Mazda</t>
        </is>
      </c>
      <c r="G12384" s="0" t="s">
        <v>171</v>
      </c>
      <c r="H12384" s="5">
        <v>18426.744100</v>
      </c>
    </row>
    <row r="12385" spans="1:9">
      <c r="A12385" s="22" t="str">
        <f>HYPERLINK("https://app.vivvix.com/360/KMI/IntelliDrive/ApplUI/Pages/CreativePages/CustomReportCreativeDetail.aspx?App=23&amp;ReportView=4&amp;Qid=1711279&amp;Row=12377&amp;Col=1","No Title Assigned - #15273104576")</f>
        <v/>
      </c>
      <c r="B12385" s="0" t="s">
        <v>16706</v>
      </c>
      <c r="E12385" s="0" t="inlineStr">
        <is>
          <t xml:space="preserve">Mazda</t>
        </is>
      </c>
      <c r="F12385" s="0" t="inlineStr">
        <is>
          <t xml:space="preserve">Mazda</t>
        </is>
      </c>
      <c r="G12385" s="0" t="s">
        <v>171</v>
      </c>
      <c r="H12385" s="5">
        <v>1.771000</v>
      </c>
    </row>
    <row r="12386" spans="1:9">
      <c r="A12386" s="22" t="str">
        <f>HYPERLINK("https://app.vivvix.com/360/KMI/IntelliDrive/ApplUI/Pages/CreativePages/CustomReportCreativeDetail.aspx?App=23&amp;ReportView=4&amp;Qid=1711279&amp;Row=12378&amp;Col=1","No Title Assigned - #15273105541")</f>
        <v/>
      </c>
      <c r="B12386" s="0" t="s">
        <v>16707</v>
      </c>
      <c r="E12386" s="0" t="inlineStr">
        <is>
          <t xml:space="preserve">Mazda</t>
        </is>
      </c>
      <c r="F12386" s="0" t="inlineStr">
        <is>
          <t xml:space="preserve">Mazda</t>
        </is>
      </c>
      <c r="G12386" s="0" t="s">
        <v>171</v>
      </c>
      <c r="H12386" s="5">
        <v>94.322700</v>
      </c>
    </row>
    <row r="12387" spans="1:9">
      <c r="A12387" s="22" t="str">
        <f>HYPERLINK("https://app.vivvix.com/360/KMI/IntelliDrive/ApplUI/Pages/CreativePages/CustomReportCreativeDetail.aspx?App=23&amp;ReportView=4&amp;Qid=1711279&amp;Row=12379&amp;Col=1","No Title Assigned - #15273105785")</f>
        <v/>
      </c>
      <c r="B12387" s="0" t="s">
        <v>16708</v>
      </c>
      <c r="E12387" s="0" t="inlineStr">
        <is>
          <t xml:space="preserve">Mazda</t>
        </is>
      </c>
      <c r="F12387" s="0" t="inlineStr">
        <is>
          <t xml:space="preserve">Mazda</t>
        </is>
      </c>
      <c r="G12387" s="0" t="s">
        <v>171</v>
      </c>
      <c r="H12387" s="5">
        <v>12.659200</v>
      </c>
    </row>
    <row r="12388" spans="1:9">
      <c r="A12388" s="22" t="str">
        <f>HYPERLINK("https://app.vivvix.com/360/KMI/IntelliDrive/ApplUI/Pages/CreativePages/CustomReportCreativeDetail.aspx?App=23&amp;ReportView=4&amp;Qid=1711279&amp;Row=12380&amp;Col=1","No Title Assigned - #15273105943")</f>
        <v/>
      </c>
      <c r="B12388" s="0" t="s">
        <v>16709</v>
      </c>
      <c r="E12388" s="0" t="inlineStr">
        <is>
          <t xml:space="preserve">Mazda</t>
        </is>
      </c>
      <c r="F12388" s="0" t="s">
        <v>13</v>
      </c>
      <c r="G12388" s="0" t="s">
        <v>49</v>
      </c>
      <c r="H12388" s="5">
        <v>204.997600</v>
      </c>
    </row>
    <row r="12389" spans="1:9">
      <c r="A12389" s="22" t="str">
        <f>HYPERLINK("https://app.vivvix.com/360/KMI/IntelliDrive/ApplUI/Pages/CreativePages/CustomReportCreativeDetail.aspx?App=23&amp;ReportView=4&amp;Qid=1711279&amp;Row=12381&amp;Col=1","No Title Assigned - #15273106298")</f>
        <v/>
      </c>
      <c r="B12389" s="0" t="s">
        <v>16710</v>
      </c>
      <c r="E12389" s="0" t="inlineStr">
        <is>
          <t xml:space="preserve">Mazda</t>
        </is>
      </c>
      <c r="F12389" s="0" t="s">
        <v>13</v>
      </c>
      <c r="G12389" s="0" t="s">
        <v>49</v>
      </c>
      <c r="H12389" s="5">
        <v>215.107200</v>
      </c>
    </row>
    <row r="12390" spans="1:9">
      <c r="A12390" s="22" t="str">
        <f>HYPERLINK("https://app.vivvix.com/360/KMI/IntelliDrive/ApplUI/Pages/CreativePages/CustomReportCreativeDetail.aspx?App=23&amp;ReportView=4&amp;Qid=1711279&amp;Row=12382&amp;Col=1","No Title Assigned - #15273106300")</f>
        <v/>
      </c>
      <c r="B12390" s="0" t="s">
        <v>16711</v>
      </c>
      <c r="E12390" s="0" t="inlineStr">
        <is>
          <t xml:space="preserve">Mazda</t>
        </is>
      </c>
      <c r="F12390" s="0" t="inlineStr">
        <is>
          <t xml:space="preserve">Mazda</t>
        </is>
      </c>
      <c r="G12390" s="0" t="s">
        <v>171</v>
      </c>
      <c r="H12390" s="5">
        <v>11.342800</v>
      </c>
    </row>
    <row r="12391" spans="1:9">
      <c r="A12391" s="22" t="str">
        <f>HYPERLINK("https://app.vivvix.com/360/KMI/IntelliDrive/ApplUI/Pages/CreativePages/CustomReportCreativeDetail.aspx?App=23&amp;ReportView=4&amp;Qid=1711279&amp;Row=12383&amp;Col=1","No Title Assigned - #15273106366")</f>
        <v/>
      </c>
      <c r="B12391" s="0" t="s">
        <v>16712</v>
      </c>
      <c r="C12391" s="0" t="s">
        <v>16713</v>
      </c>
      <c r="D12391" s="0" t="s">
        <v>16713</v>
      </c>
      <c r="E12391" s="0" t="inlineStr">
        <is>
          <t xml:space="preserve">Mazda</t>
        </is>
      </c>
      <c r="F12391" s="0" t="inlineStr">
        <is>
          <t xml:space="preserve">Mazda</t>
        </is>
      </c>
      <c r="G12391" s="0" t="s">
        <v>171</v>
      </c>
      <c r="H12391" s="5">
        <v>277.825100</v>
      </c>
    </row>
    <row r="12392" spans="1:9">
      <c r="A12392" s="22" t="str">
        <f>HYPERLINK("https://app.vivvix.com/360/KMI/IntelliDrive/ApplUI/Pages/CreativePages/CustomReportCreativeDetail.aspx?App=23&amp;ReportView=4&amp;Qid=1711279&amp;Row=12384&amp;Col=1","No Title Assigned - #15273106500")</f>
        <v/>
      </c>
      <c r="B12392" s="0" t="s">
        <v>16714</v>
      </c>
      <c r="E12392" s="0" t="inlineStr">
        <is>
          <t xml:space="preserve">Mazda</t>
        </is>
      </c>
      <c r="F12392" s="0" t="s">
        <v>13</v>
      </c>
      <c r="G12392" s="0" t="s">
        <v>49</v>
      </c>
      <c r="H12392" s="5">
        <v>11.260700</v>
      </c>
    </row>
    <row r="12393" spans="1:9">
      <c r="A12393" s="22" t="str">
        <f>HYPERLINK("https://app.vivvix.com/360/KMI/IntelliDrive/ApplUI/Pages/CreativePages/CustomReportCreativeDetail.aspx?App=23&amp;ReportView=4&amp;Qid=1711279&amp;Row=12385&amp;Col=1","No Title Assigned - #15273106621")</f>
        <v/>
      </c>
      <c r="B12393" s="0" t="s">
        <v>16715</v>
      </c>
      <c r="E12393" s="0" t="inlineStr">
        <is>
          <t xml:space="preserve">Mazda</t>
        </is>
      </c>
      <c r="F12393" s="0" t="inlineStr">
        <is>
          <t xml:space="preserve">Mazda</t>
        </is>
      </c>
      <c r="G12393" s="0" t="s">
        <v>171</v>
      </c>
      <c r="H12393" s="5">
        <v>21.314400</v>
      </c>
    </row>
    <row r="12394" spans="1:9">
      <c r="A12394" s="22" t="str">
        <f>HYPERLINK("https://app.vivvix.com/360/KMI/IntelliDrive/ApplUI/Pages/CreativePages/CustomReportCreativeDetail.aspx?App=23&amp;ReportView=4&amp;Qid=1711279&amp;Row=12386&amp;Col=1","No Title Assigned - #15273106649")</f>
        <v/>
      </c>
      <c r="B12394" s="0" t="s">
        <v>16716</v>
      </c>
      <c r="E12394" s="0" t="inlineStr">
        <is>
          <t xml:space="preserve">Mazda</t>
        </is>
      </c>
      <c r="F12394" s="0" t="inlineStr">
        <is>
          <t xml:space="preserve">Mazda</t>
        </is>
      </c>
      <c r="G12394" s="0" t="s">
        <v>171</v>
      </c>
      <c r="H12394" s="5">
        <v>58.519600</v>
      </c>
    </row>
    <row r="12395" spans="1:9">
      <c r="A12395" s="22" t="str">
        <f>HYPERLINK("https://app.vivvix.com/360/KMI/IntelliDrive/ApplUI/Pages/CreativePages/CustomReportCreativeDetail.aspx?App=23&amp;ReportView=4&amp;Qid=1711279&amp;Row=12387&amp;Col=1","No Title Assigned - #15273106707")</f>
        <v/>
      </c>
      <c r="B12395" s="0" t="s">
        <v>16717</v>
      </c>
      <c r="C12395" s="0" t="s">
        <v>16718</v>
      </c>
      <c r="D12395" s="0" t="s">
        <v>16718</v>
      </c>
      <c r="E12395" s="0" t="inlineStr">
        <is>
          <t xml:space="preserve">Mazda</t>
        </is>
      </c>
      <c r="F12395" s="0" t="inlineStr">
        <is>
          <t xml:space="preserve">Mazda</t>
        </is>
      </c>
      <c r="G12395" s="0" t="s">
        <v>171</v>
      </c>
      <c r="H12395" s="5">
        <v>127.794200</v>
      </c>
    </row>
    <row r="12396" spans="1:9">
      <c r="A12396" s="22" t="str">
        <f>HYPERLINK("https://app.vivvix.com/360/KMI/IntelliDrive/ApplUI/Pages/CreativePages/CustomReportCreativeDetail.aspx?App=23&amp;ReportView=4&amp;Qid=1711279&amp;Row=12388&amp;Col=1","No Title Assigned - #15273106797")</f>
        <v/>
      </c>
      <c r="B12396" s="0" t="s">
        <v>16719</v>
      </c>
      <c r="E12396" s="0" t="inlineStr">
        <is>
          <t xml:space="preserve">Mazda</t>
        </is>
      </c>
      <c r="F12396" s="0" t="inlineStr">
        <is>
          <t xml:space="preserve">Mazda</t>
        </is>
      </c>
      <c r="G12396" s="0" t="s">
        <v>171</v>
      </c>
      <c r="H12396" s="5">
        <v>7.223500</v>
      </c>
    </row>
    <row r="12397" spans="1:9">
      <c r="A12397" s="22" t="str">
        <f>HYPERLINK("https://app.vivvix.com/360/KMI/IntelliDrive/ApplUI/Pages/CreativePages/CustomReportCreativeDetail.aspx?App=23&amp;ReportView=4&amp;Qid=1711279&amp;Row=12389&amp;Col=1","No Title Assigned - #15273106856")</f>
        <v/>
      </c>
      <c r="B12397" s="0" t="s">
        <v>16720</v>
      </c>
      <c r="E12397" s="0" t="inlineStr">
        <is>
          <t xml:space="preserve">Mazda</t>
        </is>
      </c>
      <c r="F12397" s="0" t="inlineStr">
        <is>
          <t xml:space="preserve">Mazda</t>
        </is>
      </c>
      <c r="G12397" s="0" t="s">
        <v>171</v>
      </c>
      <c r="H12397" s="5">
        <v>2304.749700</v>
      </c>
    </row>
    <row r="12398" spans="1:9">
      <c r="A12398" s="22" t="str">
        <f>HYPERLINK("https://app.vivvix.com/360/KMI/IntelliDrive/ApplUI/Pages/CreativePages/CustomReportCreativeDetail.aspx?App=23&amp;ReportView=4&amp;Qid=1711279&amp;Row=12390&amp;Col=1","No Title Assigned - #15273107040")</f>
        <v/>
      </c>
      <c r="B12398" s="0" t="s">
        <v>16721</v>
      </c>
      <c r="E12398" s="0" t="inlineStr">
        <is>
          <t xml:space="preserve">Mazda</t>
        </is>
      </c>
      <c r="F12398" s="0" t="inlineStr">
        <is>
          <t xml:space="preserve">Mazda</t>
        </is>
      </c>
      <c r="G12398" s="0" t="s">
        <v>171</v>
      </c>
      <c r="H12398" s="5">
        <v>80.520000</v>
      </c>
    </row>
    <row r="12399" spans="1:9">
      <c r="A12399" s="22" t="str">
        <f>HYPERLINK("https://app.vivvix.com/360/KMI/IntelliDrive/ApplUI/Pages/CreativePages/CustomReportCreativeDetail.aspx?App=23&amp;ReportView=4&amp;Qid=1711279&amp;Row=12391&amp;Col=1","No Title Assigned - #15273107320")</f>
        <v/>
      </c>
      <c r="B12399" s="0" t="s">
        <v>16722</v>
      </c>
      <c r="E12399" s="0" t="inlineStr">
        <is>
          <t xml:space="preserve">Mazda</t>
        </is>
      </c>
      <c r="F12399" s="0" t="inlineStr">
        <is>
          <t xml:space="preserve">Mazda</t>
        </is>
      </c>
      <c r="G12399" s="0" t="s">
        <v>171</v>
      </c>
      <c r="H12399" s="5">
        <v>135.648600</v>
      </c>
    </row>
    <row r="12400" spans="1:9">
      <c r="A12400" s="22" t="str">
        <f>HYPERLINK("https://app.vivvix.com/360/KMI/IntelliDrive/ApplUI/Pages/CreativePages/CustomReportCreativeDetail.aspx?App=23&amp;ReportView=4&amp;Qid=1711279&amp;Row=12392&amp;Col=1","No Title Assigned - #15273107347")</f>
        <v/>
      </c>
      <c r="B12400" s="0" t="s">
        <v>16723</v>
      </c>
      <c r="E12400" s="0" t="inlineStr">
        <is>
          <t xml:space="preserve">Mazda</t>
        </is>
      </c>
      <c r="F12400" s="0" t="inlineStr">
        <is>
          <t xml:space="preserve">Mazda</t>
        </is>
      </c>
      <c r="G12400" s="0" t="s">
        <v>171</v>
      </c>
      <c r="H12400" s="5">
        <v>5217.998600</v>
      </c>
    </row>
    <row r="12401" spans="1:9">
      <c r="A12401" s="22" t="str">
        <f>HYPERLINK("https://app.vivvix.com/360/KMI/IntelliDrive/ApplUI/Pages/CreativePages/CustomReportCreativeDetail.aspx?App=23&amp;ReportView=4&amp;Qid=1711279&amp;Row=12393&amp;Col=1","No Title Assigned - #15273107347")</f>
        <v/>
      </c>
      <c r="B12401" s="0" t="s">
        <v>16723</v>
      </c>
      <c r="E12401" s="0" t="inlineStr">
        <is>
          <t xml:space="preserve">Mazda</t>
        </is>
      </c>
      <c r="F12401" s="0" t="inlineStr">
        <is>
          <t xml:space="preserve">Mazda</t>
        </is>
      </c>
      <c r="G12401" s="0" t="s">
        <v>171</v>
      </c>
      <c r="H12401" s="5">
        <v>51649.363300</v>
      </c>
    </row>
    <row r="12402" spans="1:9">
      <c r="A12402" s="22" t="str">
        <f>HYPERLINK("https://app.vivvix.com/360/KMI/IntelliDrive/ApplUI/Pages/CreativePages/CustomReportCreativeDetail.aspx?App=23&amp;ReportView=4&amp;Qid=1711279&amp;Row=12394&amp;Col=1","No Title Assigned - #15273107375")</f>
        <v/>
      </c>
      <c r="B12402" s="0" t="s">
        <v>16724</v>
      </c>
      <c r="E12402" s="0" t="inlineStr">
        <is>
          <t xml:space="preserve">Mazda</t>
        </is>
      </c>
      <c r="F12402" s="0" t="inlineStr">
        <is>
          <t xml:space="preserve">Mazda</t>
        </is>
      </c>
      <c r="G12402" s="0" t="s">
        <v>171</v>
      </c>
      <c r="H12402" s="5">
        <v>7.631000</v>
      </c>
    </row>
    <row r="12403" spans="1:9">
      <c r="A12403" s="22" t="str">
        <f>HYPERLINK("https://app.vivvix.com/360/KMI/IntelliDrive/ApplUI/Pages/CreativePages/CustomReportCreativeDetail.aspx?App=23&amp;ReportView=4&amp;Qid=1711279&amp;Row=12395&amp;Col=1","No Title Assigned - #15273107589")</f>
        <v/>
      </c>
      <c r="B12403" s="0" t="s">
        <v>16725</v>
      </c>
      <c r="E12403" s="0" t="inlineStr">
        <is>
          <t xml:space="preserve">Mazda</t>
        </is>
      </c>
      <c r="F12403" s="0" t="inlineStr">
        <is>
          <t xml:space="preserve">Mazda</t>
        </is>
      </c>
      <c r="G12403" s="0" t="s">
        <v>171</v>
      </c>
      <c r="H12403" s="5">
        <v>12.225400</v>
      </c>
    </row>
    <row r="12404" spans="1:9">
      <c r="A12404" s="22" t="str">
        <f>HYPERLINK("https://app.vivvix.com/360/KMI/IntelliDrive/ApplUI/Pages/CreativePages/CustomReportCreativeDetail.aspx?App=23&amp;ReportView=4&amp;Qid=1711279&amp;Row=12396&amp;Col=1","No Title Assigned - #15273107822")</f>
        <v/>
      </c>
      <c r="B12404" s="0" t="s">
        <v>16726</v>
      </c>
      <c r="E12404" s="0" t="inlineStr">
        <is>
          <t xml:space="preserve">Mazda</t>
        </is>
      </c>
      <c r="F12404" s="0" t="inlineStr">
        <is>
          <t xml:space="preserve">Mazda</t>
        </is>
      </c>
      <c r="G12404" s="0" t="s">
        <v>171</v>
      </c>
      <c r="H12404" s="5">
        <v>9.741400</v>
      </c>
    </row>
    <row r="12405" spans="1:9">
      <c r="A12405" s="22" t="str">
        <f>HYPERLINK("https://app.vivvix.com/360/KMI/IntelliDrive/ApplUI/Pages/CreativePages/CustomReportCreativeDetail.aspx?App=23&amp;ReportView=4&amp;Qid=1711279&amp;Row=12397&amp;Col=1","No Title Assigned - #15273107931")</f>
        <v/>
      </c>
      <c r="B12405" s="0" t="s">
        <v>16727</v>
      </c>
      <c r="E12405" s="0" t="inlineStr">
        <is>
          <t xml:space="preserve">Mazda</t>
        </is>
      </c>
      <c r="F12405" s="0" t="inlineStr">
        <is>
          <t xml:space="preserve">Mazda</t>
        </is>
      </c>
      <c r="G12405" s="0" t="s">
        <v>171</v>
      </c>
      <c r="H12405" s="5">
        <v>13991.261200</v>
      </c>
    </row>
    <row r="12406" spans="1:9">
      <c r="A12406" s="22" t="str">
        <f>HYPERLINK("https://app.vivvix.com/360/KMI/IntelliDrive/ApplUI/Pages/CreativePages/CustomReportCreativeDetail.aspx?App=23&amp;ReportView=4&amp;Qid=1711279&amp;Row=12398&amp;Col=1","No Title Assigned - #15273108124")</f>
        <v/>
      </c>
      <c r="B12406" s="0" t="s">
        <v>16728</v>
      </c>
      <c r="E12406" s="0" t="inlineStr">
        <is>
          <t xml:space="preserve">Mazda</t>
        </is>
      </c>
      <c r="F12406" s="0" t="inlineStr">
        <is>
          <t xml:space="preserve">Mazda</t>
        </is>
      </c>
      <c r="G12406" s="0" t="s">
        <v>171</v>
      </c>
      <c r="H12406" s="5">
        <v>28.717200</v>
      </c>
    </row>
    <row r="12407" spans="1:9">
      <c r="A12407" s="22" t="str">
        <f>HYPERLINK("https://app.vivvix.com/360/KMI/IntelliDrive/ApplUI/Pages/CreativePages/CustomReportCreativeDetail.aspx?App=23&amp;ReportView=4&amp;Qid=1711279&amp;Row=12399&amp;Col=1","No Title Assigned - #15273108432")</f>
        <v/>
      </c>
      <c r="B12407" s="0" t="s">
        <v>16729</v>
      </c>
      <c r="E12407" s="0" t="inlineStr">
        <is>
          <t xml:space="preserve">Mazda</t>
        </is>
      </c>
      <c r="F12407" s="0" t="inlineStr">
        <is>
          <t xml:space="preserve">Mazda</t>
        </is>
      </c>
      <c r="G12407" s="0" t="s">
        <v>171</v>
      </c>
      <c r="H12407" s="5">
        <v>31.646200</v>
      </c>
    </row>
    <row r="12408" spans="1:9">
      <c r="A12408" s="22" t="str">
        <f>HYPERLINK("https://app.vivvix.com/360/KMI/IntelliDrive/ApplUI/Pages/CreativePages/CustomReportCreativeDetail.aspx?App=23&amp;ReportView=4&amp;Qid=1711279&amp;Row=12400&amp;Col=1","No Title Assigned - #15273108516")</f>
        <v/>
      </c>
      <c r="B12408" s="0" t="s">
        <v>16730</v>
      </c>
      <c r="E12408" s="0" t="inlineStr">
        <is>
          <t xml:space="preserve">Mazda</t>
        </is>
      </c>
      <c r="F12408" s="0" t="inlineStr">
        <is>
          <t xml:space="preserve">Mazda</t>
        </is>
      </c>
      <c r="G12408" s="0" t="s">
        <v>171</v>
      </c>
      <c r="H12408" s="5">
        <v>18.834300</v>
      </c>
    </row>
    <row r="12409" spans="1:9">
      <c r="A12409" s="22" t="str">
        <f>HYPERLINK("https://app.vivvix.com/360/KMI/IntelliDrive/ApplUI/Pages/CreativePages/CustomReportCreativeDetail.aspx?App=23&amp;ReportView=4&amp;Qid=1711279&amp;Row=12401&amp;Col=1","No Title Assigned - #15273108598")</f>
        <v/>
      </c>
      <c r="B12409" s="0" t="s">
        <v>16731</v>
      </c>
      <c r="E12409" s="0" t="inlineStr">
        <is>
          <t xml:space="preserve">Mazda</t>
        </is>
      </c>
      <c r="F12409" s="0" t="inlineStr">
        <is>
          <t xml:space="preserve">Mazda</t>
        </is>
      </c>
      <c r="G12409" s="0" t="s">
        <v>171</v>
      </c>
      <c r="H12409" s="5">
        <v>6964.123600</v>
      </c>
    </row>
    <row r="12410" spans="1:9">
      <c r="A12410" s="22" t="str">
        <f>HYPERLINK("https://app.vivvix.com/360/KMI/IntelliDrive/ApplUI/Pages/CreativePages/CustomReportCreativeDetail.aspx?App=23&amp;ReportView=4&amp;Qid=1711279&amp;Row=12402&amp;Col=1","No Title Assigned - #15273108681")</f>
        <v/>
      </c>
      <c r="B12410" s="0" t="s">
        <v>16732</v>
      </c>
      <c r="E12410" s="0" t="inlineStr">
        <is>
          <t xml:space="preserve">Mazda</t>
        </is>
      </c>
      <c r="F12410" s="0" t="inlineStr">
        <is>
          <t xml:space="preserve">Mazda</t>
        </is>
      </c>
      <c r="G12410" s="0" t="s">
        <v>171</v>
      </c>
      <c r="H12410" s="5">
        <v>8.823200</v>
      </c>
    </row>
    <row r="12411" spans="1:9">
      <c r="A12411" s="22" t="str">
        <f>HYPERLINK("https://app.vivvix.com/360/KMI/IntelliDrive/ApplUI/Pages/CreativePages/CustomReportCreativeDetail.aspx?App=23&amp;ReportView=4&amp;Qid=1711279&amp;Row=12403&amp;Col=1","No Title Assigned - #15273108681")</f>
        <v/>
      </c>
      <c r="B12411" s="0" t="s">
        <v>16732</v>
      </c>
      <c r="E12411" s="0" t="inlineStr">
        <is>
          <t xml:space="preserve">Mazda</t>
        </is>
      </c>
      <c r="F12411" s="0" t="inlineStr">
        <is>
          <t xml:space="preserve">Mazda</t>
        </is>
      </c>
      <c r="G12411" s="0" t="s">
        <v>171</v>
      </c>
      <c r="H12411" s="5">
        <v>26.638800</v>
      </c>
    </row>
    <row r="12412" spans="1:9">
      <c r="A12412" s="22" t="str">
        <f>HYPERLINK("https://app.vivvix.com/360/KMI/IntelliDrive/ApplUI/Pages/CreativePages/CustomReportCreativeDetail.aspx?App=23&amp;ReportView=4&amp;Qid=1711279&amp;Row=12404&amp;Col=1","No Title Assigned - #15273108708")</f>
        <v/>
      </c>
      <c r="B12412" s="0" t="s">
        <v>16733</v>
      </c>
      <c r="E12412" s="0" t="inlineStr">
        <is>
          <t xml:space="preserve">Mazda</t>
        </is>
      </c>
      <c r="F12412" s="0" t="inlineStr">
        <is>
          <t xml:space="preserve">Mazda</t>
        </is>
      </c>
      <c r="G12412" s="0" t="s">
        <v>171</v>
      </c>
      <c r="H12412" s="5">
        <v>60838.347700</v>
      </c>
    </row>
    <row r="12413" spans="1:9">
      <c r="A12413" s="22" t="str">
        <f>HYPERLINK("https://app.vivvix.com/360/KMI/IntelliDrive/ApplUI/Pages/CreativePages/CustomReportCreativeDetail.aspx?App=23&amp;ReportView=4&amp;Qid=1711279&amp;Row=12405&amp;Col=1","No Title Assigned - #15273108798")</f>
        <v/>
      </c>
      <c r="B12413" s="0" t="s">
        <v>16734</v>
      </c>
      <c r="E12413" s="0" t="inlineStr">
        <is>
          <t xml:space="preserve">Mazda</t>
        </is>
      </c>
      <c r="F12413" s="0" t="inlineStr">
        <is>
          <t xml:space="preserve">Mazda</t>
        </is>
      </c>
      <c r="G12413" s="0" t="s">
        <v>171</v>
      </c>
      <c r="H12413" s="5">
        <v>594.629300</v>
      </c>
    </row>
    <row r="12414" spans="1:9">
      <c r="A12414" s="22" t="str">
        <f>HYPERLINK("https://app.vivvix.com/360/KMI/IntelliDrive/ApplUI/Pages/CreativePages/CustomReportCreativeDetail.aspx?App=23&amp;ReportView=4&amp;Qid=1711279&amp;Row=12406&amp;Col=1","No Title Assigned - #15273108938")</f>
        <v/>
      </c>
      <c r="B12414" s="0" t="s">
        <v>16735</v>
      </c>
      <c r="E12414" s="0" t="inlineStr">
        <is>
          <t xml:space="preserve">Mazda</t>
        </is>
      </c>
      <c r="F12414" s="0" t="inlineStr">
        <is>
          <t xml:space="preserve">Mazda</t>
        </is>
      </c>
      <c r="G12414" s="0" t="s">
        <v>171</v>
      </c>
      <c r="H12414" s="5">
        <v>21394.873000</v>
      </c>
    </row>
    <row r="12415" spans="1:9">
      <c r="A12415" s="22" t="str">
        <f>HYPERLINK("https://app.vivvix.com/360/KMI/IntelliDrive/ApplUI/Pages/CreativePages/CustomReportCreativeDetail.aspx?App=23&amp;ReportView=4&amp;Qid=1711279&amp;Row=12407&amp;Col=1","No Title Assigned - #15273109164")</f>
        <v/>
      </c>
      <c r="B12415" s="0" t="s">
        <v>16736</v>
      </c>
      <c r="E12415" s="0" t="inlineStr">
        <is>
          <t xml:space="preserve">Mazda</t>
        </is>
      </c>
      <c r="F12415" s="0" t="inlineStr">
        <is>
          <t xml:space="preserve">Mazda</t>
        </is>
      </c>
      <c r="G12415" s="0" t="s">
        <v>171</v>
      </c>
      <c r="H12415" s="5">
        <v>447.610200</v>
      </c>
    </row>
    <row r="12416" spans="1:9">
      <c r="A12416" s="22" t="str">
        <f>HYPERLINK("https://app.vivvix.com/360/KMI/IntelliDrive/ApplUI/Pages/CreativePages/CustomReportCreativeDetail.aspx?App=23&amp;ReportView=4&amp;Qid=1711279&amp;Row=12408&amp;Col=1","No Title Assigned - #15273109166")</f>
        <v/>
      </c>
      <c r="B12416" s="0" t="s">
        <v>16737</v>
      </c>
      <c r="E12416" s="0" t="inlineStr">
        <is>
          <t xml:space="preserve">Mazda</t>
        </is>
      </c>
      <c r="F12416" s="0" t="inlineStr">
        <is>
          <t xml:space="preserve">Mazda</t>
        </is>
      </c>
      <c r="G12416" s="0" t="s">
        <v>171</v>
      </c>
      <c r="H12416" s="5">
        <v>114.681500</v>
      </c>
    </row>
    <row r="12417" spans="1:9">
      <c r="A12417" s="22" t="str">
        <f>HYPERLINK("https://app.vivvix.com/360/KMI/IntelliDrive/ApplUI/Pages/CreativePages/CustomReportCreativeDetail.aspx?App=23&amp;ReportView=4&amp;Qid=1711279&amp;Row=12409&amp;Col=1","No Title Assigned - #15273109374")</f>
        <v/>
      </c>
      <c r="B12417" s="0" t="s">
        <v>16738</v>
      </c>
      <c r="E12417" s="0" t="inlineStr">
        <is>
          <t xml:space="preserve">Mazda</t>
        </is>
      </c>
      <c r="F12417" s="0" t="inlineStr">
        <is>
          <t xml:space="preserve">Mazda</t>
        </is>
      </c>
      <c r="G12417" s="0" t="s">
        <v>171</v>
      </c>
      <c r="H12417" s="5">
        <v>1246.783800</v>
      </c>
    </row>
    <row r="12418" spans="1:9">
      <c r="A12418" s="22" t="str">
        <f>HYPERLINK("https://app.vivvix.com/360/KMI/IntelliDrive/ApplUI/Pages/CreativePages/CustomReportCreativeDetail.aspx?App=23&amp;ReportView=4&amp;Qid=1711279&amp;Row=12410&amp;Col=1","No Title Assigned - #15273109571")</f>
        <v/>
      </c>
      <c r="B12418" s="0" t="s">
        <v>16739</v>
      </c>
      <c r="E12418" s="0" t="inlineStr">
        <is>
          <t xml:space="preserve">Mazda</t>
        </is>
      </c>
      <c r="F12418" s="0" t="inlineStr">
        <is>
          <t xml:space="preserve">Mazda</t>
        </is>
      </c>
      <c r="G12418" s="0" t="s">
        <v>171</v>
      </c>
      <c r="H12418" s="5">
        <v>40.123500</v>
      </c>
    </row>
    <row r="12419" spans="1:9">
      <c r="A12419" s="22" t="str">
        <f>HYPERLINK("https://app.vivvix.com/360/KMI/IntelliDrive/ApplUI/Pages/CreativePages/CustomReportCreativeDetail.aspx?App=23&amp;ReportView=4&amp;Qid=1711279&amp;Row=12411&amp;Col=1","No Title Assigned - #15273109620")</f>
        <v/>
      </c>
      <c r="B12419" s="0" t="s">
        <v>16740</v>
      </c>
      <c r="C12419" s="0" t="s">
        <v>16741</v>
      </c>
      <c r="D12419" s="0" t="s">
        <v>16741</v>
      </c>
      <c r="E12419" s="0" t="inlineStr">
        <is>
          <t xml:space="preserve">Mazda</t>
        </is>
      </c>
      <c r="F12419" s="0" t="inlineStr">
        <is>
          <t xml:space="preserve">Mazda</t>
        </is>
      </c>
      <c r="G12419" s="0" t="s">
        <v>171</v>
      </c>
      <c r="H12419" s="5">
        <v>9.592800</v>
      </c>
    </row>
    <row r="12420" spans="1:9">
      <c r="A12420" s="22" t="str">
        <f>HYPERLINK("https://app.vivvix.com/360/KMI/IntelliDrive/ApplUI/Pages/CreativePages/CustomReportCreativeDetail.aspx?App=23&amp;ReportView=4&amp;Qid=1711279&amp;Row=12412&amp;Col=1","No Title Assigned - #15273109742")</f>
        <v/>
      </c>
      <c r="B12420" s="0" t="s">
        <v>16742</v>
      </c>
      <c r="E12420" s="0" t="inlineStr">
        <is>
          <t xml:space="preserve">Mazda</t>
        </is>
      </c>
      <c r="F12420" s="0" t="inlineStr">
        <is>
          <t xml:space="preserve">Mazda</t>
        </is>
      </c>
      <c r="G12420" s="0" t="s">
        <v>171</v>
      </c>
      <c r="H12420" s="5">
        <v>50.114500</v>
      </c>
    </row>
    <row r="12421" spans="1:9">
      <c r="A12421" s="22" t="str">
        <f>HYPERLINK("https://app.vivvix.com/360/KMI/IntelliDrive/ApplUI/Pages/CreativePages/CustomReportCreativeDetail.aspx?App=23&amp;ReportView=4&amp;Qid=1711279&amp;Row=12413&amp;Col=1","No Title Assigned - #15273109796")</f>
        <v/>
      </c>
      <c r="B12421" s="0" t="s">
        <v>16743</v>
      </c>
      <c r="E12421" s="0" t="inlineStr">
        <is>
          <t xml:space="preserve">Mazda</t>
        </is>
      </c>
      <c r="F12421" s="0" t="inlineStr">
        <is>
          <t xml:space="preserve">Mazda</t>
        </is>
      </c>
      <c r="G12421" s="0" t="s">
        <v>171</v>
      </c>
      <c r="H12421" s="5">
        <v>3.949900</v>
      </c>
    </row>
    <row r="12422" spans="1:9">
      <c r="A12422" s="22" t="str">
        <f>HYPERLINK("https://app.vivvix.com/360/KMI/IntelliDrive/ApplUI/Pages/CreativePages/CustomReportCreativeDetail.aspx?App=23&amp;ReportView=4&amp;Qid=1711279&amp;Row=12414&amp;Col=1","No Title Assigned - #15273109864")</f>
        <v/>
      </c>
      <c r="B12422" s="0" t="s">
        <v>16744</v>
      </c>
      <c r="E12422" s="0" t="inlineStr">
        <is>
          <t xml:space="preserve">Mazda</t>
        </is>
      </c>
      <c r="F12422" s="0" t="inlineStr">
        <is>
          <t xml:space="preserve">Mazda</t>
        </is>
      </c>
      <c r="G12422" s="0" t="s">
        <v>171</v>
      </c>
      <c r="H12422" s="5">
        <v>61.020200</v>
      </c>
    </row>
    <row r="12423" spans="1:9">
      <c r="A12423" s="22" t="str">
        <f>HYPERLINK("https://app.vivvix.com/360/KMI/IntelliDrive/ApplUI/Pages/CreativePages/CustomReportCreativeDetail.aspx?App=23&amp;ReportView=4&amp;Qid=1711279&amp;Row=12415&amp;Col=1","No Title Assigned - #15273109876")</f>
        <v/>
      </c>
      <c r="B12423" s="0" t="s">
        <v>16745</v>
      </c>
      <c r="E12423" s="0" t="inlineStr">
        <is>
          <t xml:space="preserve">Mazda</t>
        </is>
      </c>
      <c r="F12423" s="0" t="inlineStr">
        <is>
          <t xml:space="preserve">Mazda</t>
        </is>
      </c>
      <c r="G12423" s="0" t="s">
        <v>171</v>
      </c>
      <c r="H12423" s="5">
        <v>13.385600</v>
      </c>
    </row>
    <row r="12424" spans="1:9">
      <c r="A12424" s="22" t="str">
        <f>HYPERLINK("https://app.vivvix.com/360/KMI/IntelliDrive/ApplUI/Pages/CreativePages/CustomReportCreativeDetail.aspx?App=23&amp;ReportView=4&amp;Qid=1711279&amp;Row=12416&amp;Col=1","No Title Assigned - #15273109934")</f>
        <v/>
      </c>
      <c r="B12424" s="0" t="s">
        <v>16746</v>
      </c>
      <c r="E12424" s="0" t="inlineStr">
        <is>
          <t xml:space="preserve">Mazda</t>
        </is>
      </c>
      <c r="F12424" s="0" t="inlineStr">
        <is>
          <t xml:space="preserve">Mazda</t>
        </is>
      </c>
      <c r="G12424" s="0" t="s">
        <v>171</v>
      </c>
      <c r="H12424" s="5">
        <v>3166.796700</v>
      </c>
    </row>
    <row r="12425" spans="1:9">
      <c r="A12425" s="22" t="str">
        <f>HYPERLINK("https://app.vivvix.com/360/KMI/IntelliDrive/ApplUI/Pages/CreativePages/CustomReportCreativeDetail.aspx?App=23&amp;ReportView=4&amp;Qid=1711279&amp;Row=12417&amp;Col=1","No Title Assigned - #15273109972")</f>
        <v/>
      </c>
      <c r="B12425" s="0" t="s">
        <v>16747</v>
      </c>
      <c r="E12425" s="0" t="inlineStr">
        <is>
          <t xml:space="preserve">Mazda</t>
        </is>
      </c>
      <c r="F12425" s="0" t="s">
        <v>13</v>
      </c>
      <c r="G12425" s="0" t="s">
        <v>49</v>
      </c>
      <c r="H12425" s="5">
        <v>122.198300</v>
      </c>
    </row>
    <row r="12426" spans="1:9">
      <c r="A12426" s="22" t="str">
        <f>HYPERLINK("https://app.vivvix.com/360/KMI/IntelliDrive/ApplUI/Pages/CreativePages/CustomReportCreativeDetail.aspx?App=23&amp;ReportView=4&amp;Qid=1711279&amp;Row=12418&amp;Col=1","No Title Assigned - #15273109999")</f>
        <v/>
      </c>
      <c r="B12426" s="0" t="s">
        <v>16748</v>
      </c>
      <c r="E12426" s="0" t="inlineStr">
        <is>
          <t xml:space="preserve">Mazda</t>
        </is>
      </c>
      <c r="F12426" s="0" t="inlineStr">
        <is>
          <t xml:space="preserve">Mazda</t>
        </is>
      </c>
      <c r="G12426" s="0" t="s">
        <v>171</v>
      </c>
      <c r="H12426" s="5">
        <v>231.427600</v>
      </c>
    </row>
    <row r="12427" spans="1:9">
      <c r="A12427" s="22" t="str">
        <f>HYPERLINK("https://app.vivvix.com/360/KMI/IntelliDrive/ApplUI/Pages/CreativePages/CustomReportCreativeDetail.aspx?App=23&amp;ReportView=4&amp;Qid=1711279&amp;Row=12419&amp;Col=1","No Title Assigned - #15273110037")</f>
        <v/>
      </c>
      <c r="B12427" s="0" t="s">
        <v>16749</v>
      </c>
      <c r="E12427" s="0" t="inlineStr">
        <is>
          <t xml:space="preserve">Mazda</t>
        </is>
      </c>
      <c r="F12427" s="0" t="inlineStr">
        <is>
          <t xml:space="preserve">Mazda</t>
        </is>
      </c>
      <c r="G12427" s="0" t="s">
        <v>171</v>
      </c>
      <c r="H12427" s="5">
        <v>20.842000</v>
      </c>
    </row>
    <row r="12428" spans="1:9">
      <c r="A12428" s="22" t="str">
        <f>HYPERLINK("https://app.vivvix.com/360/KMI/IntelliDrive/ApplUI/Pages/CreativePages/CustomReportCreativeDetail.aspx?App=23&amp;ReportView=4&amp;Qid=1711279&amp;Row=12420&amp;Col=1","No Title Assigned - #15273110191")</f>
        <v/>
      </c>
      <c r="B12428" s="0" t="s">
        <v>16750</v>
      </c>
      <c r="E12428" s="0" t="inlineStr">
        <is>
          <t xml:space="preserve">Mazda</t>
        </is>
      </c>
      <c r="F12428" s="0" t="inlineStr">
        <is>
          <t xml:space="preserve">Mazda</t>
        </is>
      </c>
      <c r="G12428" s="0" t="s">
        <v>171</v>
      </c>
      <c r="H12428" s="5">
        <v>25.211500</v>
      </c>
    </row>
    <row r="12429" spans="1:9">
      <c r="A12429" s="22" t="str">
        <f>HYPERLINK("https://app.vivvix.com/360/KMI/IntelliDrive/ApplUI/Pages/CreativePages/CustomReportCreativeDetail.aspx?App=23&amp;ReportView=4&amp;Qid=1711279&amp;Row=12421&amp;Col=1","No Title Assigned - #15273110237")</f>
        <v/>
      </c>
      <c r="B12429" s="0" t="s">
        <v>16751</v>
      </c>
      <c r="E12429" s="0" t="inlineStr">
        <is>
          <t xml:space="preserve">Mazda</t>
        </is>
      </c>
      <c r="F12429" s="0" t="s">
        <v>13</v>
      </c>
      <c r="G12429" s="0" t="s">
        <v>49</v>
      </c>
      <c r="H12429" s="5">
        <v>5752.172500</v>
      </c>
    </row>
    <row r="12430" spans="1:9">
      <c r="A12430" s="22" t="str">
        <f>HYPERLINK("https://app.vivvix.com/360/KMI/IntelliDrive/ApplUI/Pages/CreativePages/CustomReportCreativeDetail.aspx?App=23&amp;ReportView=4&amp;Qid=1711279&amp;Row=12422&amp;Col=1","No Title Assigned - #15273110424")</f>
        <v/>
      </c>
      <c r="B12430" s="0" t="s">
        <v>16752</v>
      </c>
      <c r="E12430" s="0" t="inlineStr">
        <is>
          <t xml:space="preserve">Mazda</t>
        </is>
      </c>
      <c r="F12430" s="0" t="inlineStr">
        <is>
          <t xml:space="preserve">Mazda</t>
        </is>
      </c>
      <c r="G12430" s="0" t="s">
        <v>171</v>
      </c>
      <c r="H12430" s="5">
        <v>729.186700</v>
      </c>
    </row>
    <row r="12431" spans="1:9">
      <c r="A12431" s="22" t="str">
        <f>HYPERLINK("https://app.vivvix.com/360/KMI/IntelliDrive/ApplUI/Pages/CreativePages/CustomReportCreativeDetail.aspx?App=23&amp;ReportView=4&amp;Qid=1711279&amp;Row=12423&amp;Col=1","No Title Assigned - #15273110493")</f>
        <v/>
      </c>
      <c r="B12431" s="0" t="s">
        <v>16753</v>
      </c>
      <c r="E12431" s="0" t="inlineStr">
        <is>
          <t xml:space="preserve">Mazda</t>
        </is>
      </c>
      <c r="F12431" s="0" t="inlineStr">
        <is>
          <t xml:space="preserve">Mazda</t>
        </is>
      </c>
      <c r="G12431" s="0" t="s">
        <v>171</v>
      </c>
      <c r="H12431" s="5">
        <v>13.537900</v>
      </c>
    </row>
    <row r="12432" spans="1:9">
      <c r="A12432" s="22" t="str">
        <f>HYPERLINK("https://app.vivvix.com/360/KMI/IntelliDrive/ApplUI/Pages/CreativePages/CustomReportCreativeDetail.aspx?App=23&amp;ReportView=4&amp;Qid=1711279&amp;Row=12424&amp;Col=1","No Title Assigned - #15273110559")</f>
        <v/>
      </c>
      <c r="B12432" s="0" t="s">
        <v>16754</v>
      </c>
      <c r="E12432" s="0" t="inlineStr">
        <is>
          <t xml:space="preserve">Mazda</t>
        </is>
      </c>
      <c r="F12432" s="0" t="inlineStr">
        <is>
          <t xml:space="preserve">Mazda</t>
        </is>
      </c>
      <c r="G12432" s="0" t="s">
        <v>171</v>
      </c>
      <c r="H12432" s="5">
        <v>23.365400</v>
      </c>
    </row>
    <row r="12433" spans="1:9">
      <c r="A12433" s="22" t="str">
        <f>HYPERLINK("https://app.vivvix.com/360/KMI/IntelliDrive/ApplUI/Pages/CreativePages/CustomReportCreativeDetail.aspx?App=23&amp;ReportView=4&amp;Qid=1711279&amp;Row=12425&amp;Col=1","No Title Assigned - #15273111011")</f>
        <v/>
      </c>
      <c r="B12433" s="0" t="s">
        <v>16755</v>
      </c>
      <c r="E12433" s="0" t="inlineStr">
        <is>
          <t xml:space="preserve">Mazda</t>
        </is>
      </c>
      <c r="F12433" s="0" t="inlineStr">
        <is>
          <t xml:space="preserve">Mazda</t>
        </is>
      </c>
      <c r="G12433" s="0" t="s">
        <v>171</v>
      </c>
      <c r="H12433" s="5">
        <v>669.146800</v>
      </c>
    </row>
    <row r="12434" spans="1:9">
      <c r="A12434" s="22" t="str">
        <f>HYPERLINK("https://app.vivvix.com/360/KMI/IntelliDrive/ApplUI/Pages/CreativePages/CustomReportCreativeDetail.aspx?App=23&amp;ReportView=4&amp;Qid=1711279&amp;Row=12426&amp;Col=1","No Title Assigned - #15273111012")</f>
        <v/>
      </c>
      <c r="B12434" s="0" t="s">
        <v>16756</v>
      </c>
      <c r="E12434" s="0" t="inlineStr">
        <is>
          <t xml:space="preserve">Mazda</t>
        </is>
      </c>
      <c r="F12434" s="0" t="inlineStr">
        <is>
          <t xml:space="preserve">Mazda</t>
        </is>
      </c>
      <c r="G12434" s="0" t="s">
        <v>171</v>
      </c>
      <c r="H12434" s="5">
        <v>83.749900</v>
      </c>
    </row>
    <row r="12435" spans="1:9">
      <c r="A12435" s="22" t="str">
        <f>HYPERLINK("https://app.vivvix.com/360/KMI/IntelliDrive/ApplUI/Pages/CreativePages/CustomReportCreativeDetail.aspx?App=23&amp;ReportView=4&amp;Qid=1711279&amp;Row=12427&amp;Col=1","No Title Assigned - #15273111013")</f>
        <v/>
      </c>
      <c r="B12435" s="0" t="s">
        <v>16757</v>
      </c>
      <c r="E12435" s="0" t="inlineStr">
        <is>
          <t xml:space="preserve">Mazda</t>
        </is>
      </c>
      <c r="F12435" s="0" t="inlineStr">
        <is>
          <t xml:space="preserve">Mazda</t>
        </is>
      </c>
      <c r="G12435" s="0" t="s">
        <v>171</v>
      </c>
      <c r="H12435" s="5">
        <v>83.749900</v>
      </c>
    </row>
    <row r="12436" spans="1:9">
      <c r="A12436" s="22" t="str">
        <f>HYPERLINK("https://app.vivvix.com/360/KMI/IntelliDrive/ApplUI/Pages/CreativePages/CustomReportCreativeDetail.aspx?App=23&amp;ReportView=4&amp;Qid=1711279&amp;Row=12428&amp;Col=1","No Title Assigned - #15273111014")</f>
        <v/>
      </c>
      <c r="B12436" s="0" t="s">
        <v>16758</v>
      </c>
      <c r="E12436" s="0" t="inlineStr">
        <is>
          <t xml:space="preserve">Mazda</t>
        </is>
      </c>
      <c r="F12436" s="0" t="inlineStr">
        <is>
          <t xml:space="preserve">Mazda</t>
        </is>
      </c>
      <c r="G12436" s="0" t="s">
        <v>171</v>
      </c>
      <c r="H12436" s="5">
        <v>83.749900</v>
      </c>
    </row>
    <row r="12437" spans="1:9">
      <c r="A12437" s="22" t="str">
        <f>HYPERLINK("https://app.vivvix.com/360/KMI/IntelliDrive/ApplUI/Pages/CreativePages/CustomReportCreativeDetail.aspx?App=23&amp;ReportView=4&amp;Qid=1711279&amp;Row=12429&amp;Col=1","No Title Assigned - #15273111288")</f>
        <v/>
      </c>
      <c r="B12437" s="0" t="s">
        <v>16759</v>
      </c>
      <c r="C12437" s="0" t="s">
        <v>16760</v>
      </c>
      <c r="D12437" s="0" t="s">
        <v>16760</v>
      </c>
      <c r="E12437" s="0" t="inlineStr">
        <is>
          <t xml:space="preserve">Mazda</t>
        </is>
      </c>
      <c r="F12437" s="0" t="inlineStr">
        <is>
          <t xml:space="preserve">Mazda</t>
        </is>
      </c>
      <c r="G12437" s="0" t="s">
        <v>171</v>
      </c>
      <c r="H12437" s="5">
        <v>16.611400</v>
      </c>
    </row>
    <row r="12438" spans="1:9">
      <c r="A12438" s="22" t="str">
        <f>HYPERLINK("https://app.vivvix.com/360/KMI/IntelliDrive/ApplUI/Pages/CreativePages/CustomReportCreativeDetail.aspx?App=23&amp;ReportView=4&amp;Qid=1711279&amp;Row=12430&amp;Col=1","No Title Assigned - #15273111531")</f>
        <v/>
      </c>
      <c r="B12438" s="0" t="s">
        <v>16761</v>
      </c>
      <c r="E12438" s="0" t="inlineStr">
        <is>
          <t xml:space="preserve">Mazda</t>
        </is>
      </c>
      <c r="F12438" s="0" t="inlineStr">
        <is>
          <t xml:space="preserve">Mazda</t>
        </is>
      </c>
      <c r="G12438" s="0" t="s">
        <v>171</v>
      </c>
      <c r="H12438" s="5">
        <v>2583.499800</v>
      </c>
    </row>
    <row r="12439" spans="1:9">
      <c r="A12439" s="22" t="str">
        <f>HYPERLINK("https://app.vivvix.com/360/KMI/IntelliDrive/ApplUI/Pages/CreativePages/CustomReportCreativeDetail.aspx?App=23&amp;ReportView=4&amp;Qid=1711279&amp;Row=12431&amp;Col=1","No Title Assigned - #15273111621")</f>
        <v/>
      </c>
      <c r="B12439" s="0" t="s">
        <v>16762</v>
      </c>
      <c r="E12439" s="0" t="inlineStr">
        <is>
          <t xml:space="preserve">Mazda</t>
        </is>
      </c>
      <c r="F12439" s="0" t="inlineStr">
        <is>
          <t xml:space="preserve">Mazda</t>
        </is>
      </c>
      <c r="G12439" s="0" t="s">
        <v>171</v>
      </c>
      <c r="H12439" s="5">
        <v>7021.022900</v>
      </c>
    </row>
    <row r="12440" spans="1:9">
      <c r="A12440" s="22" t="str">
        <f>HYPERLINK("https://app.vivvix.com/360/KMI/IntelliDrive/ApplUI/Pages/CreativePages/CustomReportCreativeDetail.aspx?App=23&amp;ReportView=4&amp;Qid=1711279&amp;Row=12432&amp;Col=1","No Title Assigned - #15273111621")</f>
        <v/>
      </c>
      <c r="B12440" s="0" t="s">
        <v>16762</v>
      </c>
      <c r="E12440" s="0" t="inlineStr">
        <is>
          <t xml:space="preserve">Mazda</t>
        </is>
      </c>
      <c r="F12440" s="0" t="inlineStr">
        <is>
          <t xml:space="preserve">Mazda</t>
        </is>
      </c>
      <c r="G12440" s="0" t="s">
        <v>171</v>
      </c>
      <c r="H12440" s="5">
        <v>12.842300</v>
      </c>
    </row>
    <row r="12441" spans="1:9">
      <c r="A12441" s="22" t="str">
        <f>HYPERLINK("https://app.vivvix.com/360/KMI/IntelliDrive/ApplUI/Pages/CreativePages/CustomReportCreativeDetail.aspx?App=23&amp;ReportView=4&amp;Qid=1711279&amp;Row=12433&amp;Col=1","No Title Assigned - #15273111769")</f>
        <v/>
      </c>
      <c r="B12441" s="0" t="s">
        <v>16763</v>
      </c>
      <c r="E12441" s="0" t="inlineStr">
        <is>
          <t xml:space="preserve">Mazda</t>
        </is>
      </c>
      <c r="F12441" s="0" t="inlineStr">
        <is>
          <t xml:space="preserve">Mazda</t>
        </is>
      </c>
      <c r="G12441" s="0" t="s">
        <v>171</v>
      </c>
      <c r="H12441" s="5">
        <v>1.795300</v>
      </c>
    </row>
    <row r="12442" spans="1:9">
      <c r="A12442" s="22" t="str">
        <f>HYPERLINK("https://app.vivvix.com/360/KMI/IntelliDrive/ApplUI/Pages/CreativePages/CustomReportCreativeDetail.aspx?App=23&amp;ReportView=4&amp;Qid=1711279&amp;Row=12434&amp;Col=1","No Title Assigned - #15273112160")</f>
        <v/>
      </c>
      <c r="B12442" s="0" t="s">
        <v>16764</v>
      </c>
      <c r="E12442" s="0" t="inlineStr">
        <is>
          <t xml:space="preserve">Mazda</t>
        </is>
      </c>
      <c r="F12442" s="0" t="inlineStr">
        <is>
          <t xml:space="preserve">Mazda</t>
        </is>
      </c>
      <c r="G12442" s="0" t="s">
        <v>171</v>
      </c>
      <c r="H12442" s="5">
        <v>4.938500</v>
      </c>
    </row>
    <row r="12443" spans="1:9">
      <c r="A12443" s="22" t="str">
        <f>HYPERLINK("https://app.vivvix.com/360/KMI/IntelliDrive/ApplUI/Pages/CreativePages/CustomReportCreativeDetail.aspx?App=23&amp;ReportView=4&amp;Qid=1711279&amp;Row=12435&amp;Col=1","No Title Assigned - #15273112500")</f>
        <v/>
      </c>
      <c r="B12443" s="0" t="s">
        <v>16765</v>
      </c>
      <c r="E12443" s="0" t="inlineStr">
        <is>
          <t xml:space="preserve">Mazda</t>
        </is>
      </c>
      <c r="F12443" s="0" t="inlineStr">
        <is>
          <t xml:space="preserve">Mazda</t>
        </is>
      </c>
      <c r="G12443" s="0" t="s">
        <v>171</v>
      </c>
      <c r="H12443" s="5">
        <v>2705.519200</v>
      </c>
    </row>
    <row r="12444" spans="1:9">
      <c r="A12444" s="22" t="str">
        <f>HYPERLINK("https://app.vivvix.com/360/KMI/IntelliDrive/ApplUI/Pages/CreativePages/CustomReportCreativeDetail.aspx?App=23&amp;ReportView=4&amp;Qid=1711279&amp;Row=12436&amp;Col=1","No Title Assigned - #15273112819")</f>
        <v/>
      </c>
      <c r="B12444" s="0" t="s">
        <v>16766</v>
      </c>
      <c r="E12444" s="0" t="inlineStr">
        <is>
          <t xml:space="preserve">Mazda</t>
        </is>
      </c>
      <c r="F12444" s="0" t="inlineStr">
        <is>
          <t xml:space="preserve">Mazda</t>
        </is>
      </c>
      <c r="G12444" s="0" t="s">
        <v>171</v>
      </c>
      <c r="H12444" s="5">
        <v>287.973800</v>
      </c>
    </row>
    <row r="12445" spans="1:9">
      <c r="A12445" s="22" t="str">
        <f>HYPERLINK("https://app.vivvix.com/360/KMI/IntelliDrive/ApplUI/Pages/CreativePages/CustomReportCreativeDetail.aspx?App=23&amp;ReportView=4&amp;Qid=1711279&amp;Row=12437&amp;Col=1","No Title Assigned - #15273112819")</f>
        <v/>
      </c>
      <c r="B12445" s="0" t="s">
        <v>16766</v>
      </c>
      <c r="E12445" s="0" t="inlineStr">
        <is>
          <t xml:space="preserve">Mazda</t>
        </is>
      </c>
      <c r="F12445" s="0" t="inlineStr">
        <is>
          <t xml:space="preserve">Mazda</t>
        </is>
      </c>
      <c r="G12445" s="0" t="s">
        <v>171</v>
      </c>
      <c r="H12445" s="5">
        <v>179.494000</v>
      </c>
    </row>
    <row r="12446" spans="1:9">
      <c r="A12446" s="22" t="str">
        <f>HYPERLINK("https://app.vivvix.com/360/KMI/IntelliDrive/ApplUI/Pages/CreativePages/CustomReportCreativeDetail.aspx?App=23&amp;ReportView=4&amp;Qid=1711279&amp;Row=12438&amp;Col=1","No Title Assigned - #15273112883")</f>
        <v/>
      </c>
      <c r="B12446" s="0" t="s">
        <v>16767</v>
      </c>
      <c r="E12446" s="0" t="inlineStr">
        <is>
          <t xml:space="preserve">Mazda</t>
        </is>
      </c>
      <c r="F12446" s="0" t="inlineStr">
        <is>
          <t xml:space="preserve">Mazda</t>
        </is>
      </c>
      <c r="G12446" s="0" t="s">
        <v>171</v>
      </c>
      <c r="H12446" s="5">
        <v>12.226700</v>
      </c>
    </row>
    <row r="12447" spans="1:9">
      <c r="A12447" s="22" t="str">
        <f>HYPERLINK("https://app.vivvix.com/360/KMI/IntelliDrive/ApplUI/Pages/CreativePages/CustomReportCreativeDetail.aspx?App=23&amp;ReportView=4&amp;Qid=1711279&amp;Row=12439&amp;Col=1","No Title Assigned - #15273113063")</f>
        <v/>
      </c>
      <c r="B12447" s="0" t="s">
        <v>16768</v>
      </c>
      <c r="E12447" s="0" t="inlineStr">
        <is>
          <t xml:space="preserve">Mazda</t>
        </is>
      </c>
      <c r="F12447" s="0" t="inlineStr">
        <is>
          <t xml:space="preserve">Mazda</t>
        </is>
      </c>
      <c r="G12447" s="0" t="s">
        <v>171</v>
      </c>
      <c r="H12447" s="5">
        <v>738.512100</v>
      </c>
    </row>
    <row r="12448" spans="1:9">
      <c r="A12448" s="22" t="str">
        <f>HYPERLINK("https://app.vivvix.com/360/KMI/IntelliDrive/ApplUI/Pages/CreativePages/CustomReportCreativeDetail.aspx?App=23&amp;ReportView=4&amp;Qid=1711279&amp;Row=12440&amp;Col=1","No Title Assigned - #15273117540")</f>
        <v/>
      </c>
      <c r="B12448" s="0" t="s">
        <v>16769</v>
      </c>
      <c r="E12448" s="0" t="inlineStr">
        <is>
          <t xml:space="preserve">Mazda</t>
        </is>
      </c>
      <c r="F12448" s="0" t="inlineStr">
        <is>
          <t xml:space="preserve">Mazda</t>
        </is>
      </c>
      <c r="G12448" s="0" t="s">
        <v>171</v>
      </c>
      <c r="H12448" s="5">
        <v>1036.027000</v>
      </c>
    </row>
    <row r="12449" spans="1:9">
      <c r="A12449" s="22" t="str">
        <f>HYPERLINK("https://app.vivvix.com/360/KMI/IntelliDrive/ApplUI/Pages/CreativePages/CustomReportCreativeDetail.aspx?App=23&amp;ReportView=4&amp;Qid=1711279&amp;Row=12441&amp;Col=1","No Title Assigned - #15273121069")</f>
        <v/>
      </c>
      <c r="B12449" s="0" t="s">
        <v>16770</v>
      </c>
      <c r="E12449" s="0" t="inlineStr">
        <is>
          <t xml:space="preserve">Mazda</t>
        </is>
      </c>
      <c r="F12449" s="0" t="inlineStr">
        <is>
          <t xml:space="preserve">Mazda</t>
        </is>
      </c>
      <c r="G12449" s="0" t="s">
        <v>171</v>
      </c>
      <c r="H12449" s="5">
        <v>47.895400</v>
      </c>
    </row>
    <row r="12450" spans="1:9">
      <c r="A12450" s="22" t="str">
        <f>HYPERLINK("https://app.vivvix.com/360/KMI/IntelliDrive/ApplUI/Pages/CreativePages/CustomReportCreativeDetail.aspx?App=23&amp;ReportView=4&amp;Qid=1711279&amp;Row=12442&amp;Col=1","No Title Assigned - #15273134399")</f>
        <v/>
      </c>
      <c r="B12450" s="0" t="s">
        <v>16771</v>
      </c>
      <c r="E12450" s="0" t="inlineStr">
        <is>
          <t xml:space="preserve">Mazda</t>
        </is>
      </c>
      <c r="F12450" s="0" t="inlineStr">
        <is>
          <t xml:space="preserve">Mazda</t>
        </is>
      </c>
      <c r="G12450" s="0" t="s">
        <v>171</v>
      </c>
      <c r="H12450" s="5">
        <v>426.406500</v>
      </c>
    </row>
    <row r="12451" spans="1:9">
      <c r="A12451" s="22" t="str">
        <f>HYPERLINK("https://app.vivvix.com/360/KMI/IntelliDrive/ApplUI/Pages/CreativePages/CustomReportCreativeDetail.aspx?App=23&amp;ReportView=4&amp;Qid=1711279&amp;Row=12443&amp;Col=1","No Title Assigned - #15273137163")</f>
        <v/>
      </c>
      <c r="B12451" s="0" t="s">
        <v>16772</v>
      </c>
      <c r="E12451" s="0" t="inlineStr">
        <is>
          <t xml:space="preserve">Mazda</t>
        </is>
      </c>
      <c r="F12451" s="0" t="inlineStr">
        <is>
          <t xml:space="preserve">Mazda</t>
        </is>
      </c>
      <c r="G12451" s="0" t="s">
        <v>171</v>
      </c>
      <c r="H12451" s="5">
        <v>64.171100</v>
      </c>
    </row>
    <row r="12452" spans="1:9">
      <c r="A12452" s="22" t="str">
        <f>HYPERLINK("https://app.vivvix.com/360/KMI/IntelliDrive/ApplUI/Pages/CreativePages/CustomReportCreativeDetail.aspx?App=23&amp;ReportView=4&amp;Qid=1711279&amp;Row=12444&amp;Col=1","No Title Assigned - #15273141568")</f>
        <v/>
      </c>
      <c r="B12452" s="0" t="s">
        <v>16773</v>
      </c>
      <c r="E12452" s="0" t="inlineStr">
        <is>
          <t xml:space="preserve">Mazda</t>
        </is>
      </c>
      <c r="F12452" s="0" t="s">
        <v>28</v>
      </c>
      <c r="G12452" s="0" t="s">
        <v>29</v>
      </c>
      <c r="H12452" s="5">
        <v>2.195600</v>
      </c>
    </row>
    <row r="12453" spans="1:9">
      <c r="A12453" s="22" t="str">
        <f>HYPERLINK("https://app.vivvix.com/360/KMI/IntelliDrive/ApplUI/Pages/CreativePages/CustomReportCreativeDetail.aspx?App=23&amp;ReportView=4&amp;Qid=1711279&amp;Row=12445&amp;Col=1","No Title Assigned - #15273142414")</f>
        <v/>
      </c>
      <c r="B12453" s="0" t="s">
        <v>16774</v>
      </c>
      <c r="E12453" s="0" t="inlineStr">
        <is>
          <t xml:space="preserve">Mazda</t>
        </is>
      </c>
      <c r="F12453" s="0" t="s">
        <v>28</v>
      </c>
      <c r="G12453" s="0" t="s">
        <v>29</v>
      </c>
      <c r="H12453" s="5">
        <v>48.391100</v>
      </c>
    </row>
    <row r="12454" spans="1:9">
      <c r="A12454" s="22" t="str">
        <f>HYPERLINK("https://app.vivvix.com/360/KMI/IntelliDrive/ApplUI/Pages/CreativePages/CustomReportCreativeDetail.aspx?App=23&amp;ReportView=4&amp;Qid=1711279&amp;Row=12446&amp;Col=1","No Title Assigned - #15273142476")</f>
        <v/>
      </c>
      <c r="B12454" s="0" t="s">
        <v>16775</v>
      </c>
      <c r="E12454" s="0" t="inlineStr">
        <is>
          <t xml:space="preserve">Mazda</t>
        </is>
      </c>
      <c r="F12454" s="0" t="s">
        <v>28</v>
      </c>
      <c r="G12454" s="0" t="s">
        <v>29</v>
      </c>
      <c r="H12454" s="5">
        <v>270.365300</v>
      </c>
    </row>
    <row r="12455" spans="1:9">
      <c r="A12455" s="22" t="str">
        <f>HYPERLINK("https://app.vivvix.com/360/KMI/IntelliDrive/ApplUI/Pages/CreativePages/CustomReportCreativeDetail.aspx?App=23&amp;ReportView=4&amp;Qid=1711279&amp;Row=12447&amp;Col=1","No Title Assigned - #15273149127")</f>
        <v/>
      </c>
      <c r="B12455" s="0" t="s">
        <v>16776</v>
      </c>
      <c r="E12455" s="0" t="inlineStr">
        <is>
          <t xml:space="preserve">Mazda</t>
        </is>
      </c>
      <c r="F12455" s="0" t="inlineStr">
        <is>
          <t xml:space="preserve">Mazda</t>
        </is>
      </c>
      <c r="G12455" s="0" t="s">
        <v>171</v>
      </c>
      <c r="H12455" s="5">
        <v>182.039500</v>
      </c>
    </row>
    <row r="12456" spans="1:9">
      <c r="A12456" s="22" t="str">
        <f>HYPERLINK("https://app.vivvix.com/360/KMI/IntelliDrive/ApplUI/Pages/CreativePages/CustomReportCreativeDetail.aspx?App=23&amp;ReportView=4&amp;Qid=1711279&amp;Row=12448&amp;Col=1","No Title Assigned - #15273154831")</f>
        <v/>
      </c>
      <c r="B12456" s="0" t="s">
        <v>16777</v>
      </c>
      <c r="E12456" s="0" t="inlineStr">
        <is>
          <t xml:space="preserve">Mazda</t>
        </is>
      </c>
      <c r="F12456" s="0" t="inlineStr">
        <is>
          <t xml:space="preserve">Mazda</t>
        </is>
      </c>
      <c r="G12456" s="0" t="s">
        <v>171</v>
      </c>
      <c r="H12456" s="5">
        <v>18.012000</v>
      </c>
    </row>
    <row r="12457" spans="1:9">
      <c r="A12457" s="22" t="str">
        <f>HYPERLINK("https://app.vivvix.com/360/KMI/IntelliDrive/ApplUI/Pages/CreativePages/CustomReportCreativeDetail.aspx?App=23&amp;ReportView=4&amp;Qid=1711279&amp;Row=12449&amp;Col=1","No Title Assigned - #15273154882")</f>
        <v/>
      </c>
      <c r="B12457" s="0" t="s">
        <v>16778</v>
      </c>
      <c r="C12457" s="0" t="s">
        <v>16779</v>
      </c>
      <c r="D12457" s="0" t="s">
        <v>16779</v>
      </c>
      <c r="E12457" s="0" t="inlineStr">
        <is>
          <t xml:space="preserve">Mazda</t>
        </is>
      </c>
      <c r="F12457" s="0" t="inlineStr">
        <is>
          <t xml:space="preserve">Mazda</t>
        </is>
      </c>
      <c r="G12457" s="0" t="s">
        <v>171</v>
      </c>
      <c r="H12457" s="5">
        <v>7.510500</v>
      </c>
    </row>
    <row r="12458" spans="1:9">
      <c r="A12458" s="22" t="str">
        <f>HYPERLINK("https://app.vivvix.com/360/KMI/IntelliDrive/ApplUI/Pages/CreativePages/CustomReportCreativeDetail.aspx?App=23&amp;ReportView=4&amp;Qid=1711279&amp;Row=12450&amp;Col=1","No Title Assigned - #15273154930")</f>
        <v/>
      </c>
      <c r="B12458" s="0" t="s">
        <v>16780</v>
      </c>
      <c r="E12458" s="0" t="inlineStr">
        <is>
          <t xml:space="preserve">Mazda</t>
        </is>
      </c>
      <c r="F12458" s="0" t="inlineStr">
        <is>
          <t xml:space="preserve">Mazda</t>
        </is>
      </c>
      <c r="G12458" s="0" t="s">
        <v>171</v>
      </c>
      <c r="H12458" s="5">
        <v>7.139500</v>
      </c>
    </row>
    <row r="12459" spans="1:9">
      <c r="A12459" s="22" t="str">
        <f>HYPERLINK("https://app.vivvix.com/360/KMI/IntelliDrive/ApplUI/Pages/CreativePages/CustomReportCreativeDetail.aspx?App=23&amp;ReportView=4&amp;Qid=1711279&amp;Row=12451&amp;Col=1","No Title Assigned - #15273157195")</f>
        <v/>
      </c>
      <c r="B12459" s="0" t="s">
        <v>16781</v>
      </c>
      <c r="E12459" s="0" t="inlineStr">
        <is>
          <t xml:space="preserve">Mazda</t>
        </is>
      </c>
      <c r="F12459" s="0" t="s">
        <v>28</v>
      </c>
      <c r="G12459" s="0" t="s">
        <v>29</v>
      </c>
      <c r="H12459" s="5">
        <v>458.127000</v>
      </c>
    </row>
    <row r="12460" spans="1:9">
      <c r="A12460" s="22" t="str">
        <f>HYPERLINK("https://app.vivvix.com/360/KMI/IntelliDrive/ApplUI/Pages/CreativePages/CustomReportCreativeDetail.aspx?App=23&amp;ReportView=4&amp;Qid=1711279&amp;Row=12452&amp;Col=1","No Title Assigned - #15273160818")</f>
        <v/>
      </c>
      <c r="B12460" s="0" t="s">
        <v>16782</v>
      </c>
      <c r="E12460" s="0" t="inlineStr">
        <is>
          <t xml:space="preserve">Mazda</t>
        </is>
      </c>
      <c r="F12460" s="0" t="inlineStr">
        <is>
          <t xml:space="preserve">Mazda</t>
        </is>
      </c>
      <c r="G12460" s="0" t="s">
        <v>171</v>
      </c>
      <c r="H12460" s="5">
        <v>259.501200</v>
      </c>
    </row>
    <row r="12461" spans="1:9">
      <c r="A12461" s="22" t="str">
        <f>HYPERLINK("https://app.vivvix.com/360/KMI/IntelliDrive/ApplUI/Pages/CreativePages/CustomReportCreativeDetail.aspx?App=23&amp;ReportView=4&amp;Qid=1711279&amp;Row=12453&amp;Col=1","No Title Assigned - #15273161086")</f>
        <v/>
      </c>
      <c r="B12461" s="0" t="s">
        <v>16783</v>
      </c>
      <c r="C12461" s="0" t="s">
        <v>16784</v>
      </c>
      <c r="D12461" s="0" t="s">
        <v>16784</v>
      </c>
      <c r="E12461" s="0" t="inlineStr">
        <is>
          <t xml:space="preserve">Mazda</t>
        </is>
      </c>
      <c r="F12461" s="0" t="inlineStr">
        <is>
          <t xml:space="preserve">Mazda</t>
        </is>
      </c>
      <c r="G12461" s="0" t="s">
        <v>171</v>
      </c>
      <c r="H12461" s="5">
        <v>388.648700</v>
      </c>
    </row>
    <row r="12462" spans="1:9">
      <c r="A12462" s="22" t="str">
        <f>HYPERLINK("https://app.vivvix.com/360/KMI/IntelliDrive/ApplUI/Pages/CreativePages/CustomReportCreativeDetail.aspx?App=23&amp;ReportView=4&amp;Qid=1711279&amp;Row=12454&amp;Col=1","No Title Assigned - #15273161086")</f>
        <v/>
      </c>
      <c r="B12462" s="0" t="s">
        <v>16783</v>
      </c>
      <c r="E12462" s="0" t="inlineStr">
        <is>
          <t xml:space="preserve">Mazda</t>
        </is>
      </c>
      <c r="F12462" s="0" t="inlineStr">
        <is>
          <t xml:space="preserve">Mazda</t>
        </is>
      </c>
      <c r="G12462" s="0" t="s">
        <v>171</v>
      </c>
      <c r="H12462" s="5">
        <v>2.833200</v>
      </c>
    </row>
    <row r="12463" spans="1:9">
      <c r="A12463" s="22" t="str">
        <f>HYPERLINK("https://app.vivvix.com/360/KMI/IntelliDrive/ApplUI/Pages/CreativePages/CustomReportCreativeDetail.aspx?App=23&amp;ReportView=4&amp;Qid=1711279&amp;Row=12455&amp;Col=1","No Title Assigned - #15273161378")</f>
        <v/>
      </c>
      <c r="B12463" s="0" t="s">
        <v>16785</v>
      </c>
      <c r="E12463" s="0" t="inlineStr">
        <is>
          <t xml:space="preserve">Mazda</t>
        </is>
      </c>
      <c r="F12463" s="0" t="inlineStr">
        <is>
          <t xml:space="preserve">Mazda</t>
        </is>
      </c>
      <c r="G12463" s="0" t="s">
        <v>171</v>
      </c>
      <c r="H12463" s="5">
        <v>275.561100</v>
      </c>
    </row>
    <row r="12464" spans="1:9">
      <c r="A12464" s="22" t="str">
        <f>HYPERLINK("https://app.vivvix.com/360/KMI/IntelliDrive/ApplUI/Pages/CreativePages/CustomReportCreativeDetail.aspx?App=23&amp;ReportView=4&amp;Qid=1711279&amp;Row=12456&amp;Col=1","No Title Assigned - #15273161577")</f>
        <v/>
      </c>
      <c r="B12464" s="0" t="s">
        <v>16786</v>
      </c>
      <c r="E12464" s="0" t="inlineStr">
        <is>
          <t xml:space="preserve">Mazda</t>
        </is>
      </c>
      <c r="F12464" s="0" t="inlineStr">
        <is>
          <t xml:space="preserve">Mazda</t>
        </is>
      </c>
      <c r="G12464" s="0" t="s">
        <v>171</v>
      </c>
      <c r="H12464" s="5">
        <v>1036.027000</v>
      </c>
    </row>
    <row r="12465" spans="1:9">
      <c r="A12465" s="22" t="str">
        <f>HYPERLINK("https://app.vivvix.com/360/KMI/IntelliDrive/ApplUI/Pages/CreativePages/CustomReportCreativeDetail.aspx?App=23&amp;ReportView=4&amp;Qid=1711279&amp;Row=12457&amp;Col=1","No Title Assigned - #15273162801")</f>
        <v/>
      </c>
      <c r="B12465" s="0" t="s">
        <v>16787</v>
      </c>
      <c r="E12465" s="0" t="inlineStr">
        <is>
          <t xml:space="preserve">Mazda</t>
        </is>
      </c>
      <c r="F12465" s="0" t="inlineStr">
        <is>
          <t xml:space="preserve">Mazda</t>
        </is>
      </c>
      <c r="G12465" s="0" t="s">
        <v>171</v>
      </c>
      <c r="H12465" s="5">
        <v>548.389000</v>
      </c>
    </row>
    <row r="12466" spans="1:9">
      <c r="A12466" s="22" t="str">
        <f>HYPERLINK("https://app.vivvix.com/360/KMI/IntelliDrive/ApplUI/Pages/CreativePages/CustomReportCreativeDetail.aspx?App=23&amp;ReportView=4&amp;Qid=1711279&amp;Row=12458&amp;Col=1","No Title Assigned - #15273165967")</f>
        <v/>
      </c>
      <c r="B12466" s="0" t="s">
        <v>16788</v>
      </c>
      <c r="E12466" s="0" t="inlineStr">
        <is>
          <t xml:space="preserve">Mazda</t>
        </is>
      </c>
      <c r="F12466" s="0" t="inlineStr">
        <is>
          <t xml:space="preserve">Mazda</t>
        </is>
      </c>
      <c r="G12466" s="0" t="s">
        <v>210</v>
      </c>
      <c r="H12466" s="5">
        <v>391.425800</v>
      </c>
    </row>
    <row r="12467" spans="1:9">
      <c r="A12467" s="22" t="str">
        <f>HYPERLINK("https://app.vivvix.com/360/KMI/IntelliDrive/ApplUI/Pages/CreativePages/CustomReportCreativeDetail.aspx?App=23&amp;ReportView=4&amp;Qid=1711279&amp;Row=12459&amp;Col=1","No Title Assigned - #15273166466")</f>
        <v/>
      </c>
      <c r="B12467" s="0" t="s">
        <v>16789</v>
      </c>
      <c r="E12467" s="0" t="inlineStr">
        <is>
          <t xml:space="preserve">Mazda</t>
        </is>
      </c>
      <c r="F12467" s="0" t="s">
        <v>28</v>
      </c>
      <c r="G12467" s="0" t="s">
        <v>29</v>
      </c>
      <c r="H12467" s="5">
        <v>173.380100</v>
      </c>
    </row>
    <row r="12468" spans="1:9">
      <c r="A12468" s="22" t="str">
        <f>HYPERLINK("https://app.vivvix.com/360/KMI/IntelliDrive/ApplUI/Pages/CreativePages/CustomReportCreativeDetail.aspx?App=23&amp;ReportView=4&amp;Qid=1711279&amp;Row=12460&amp;Col=1","No Title Assigned - #15273167676")</f>
        <v/>
      </c>
      <c r="B12468" s="0" t="s">
        <v>16790</v>
      </c>
      <c r="E12468" s="0" t="inlineStr">
        <is>
          <t xml:space="preserve">Mazda</t>
        </is>
      </c>
      <c r="F12468" s="0" t="inlineStr">
        <is>
          <t xml:space="preserve">Mazda</t>
        </is>
      </c>
      <c r="G12468" s="0" t="s">
        <v>171</v>
      </c>
      <c r="H12468" s="5">
        <v>770.655100</v>
      </c>
    </row>
    <row r="12469" spans="1:9">
      <c r="A12469" s="22" t="str">
        <f>HYPERLINK("https://app.vivvix.com/360/KMI/IntelliDrive/ApplUI/Pages/CreativePages/CustomReportCreativeDetail.aspx?App=23&amp;ReportView=4&amp;Qid=1711279&amp;Row=12461&amp;Col=1","No Title Assigned - #15273169071")</f>
        <v/>
      </c>
      <c r="B12469" s="0" t="s">
        <v>16791</v>
      </c>
      <c r="E12469" s="0" t="inlineStr">
        <is>
          <t xml:space="preserve">Mazda</t>
        </is>
      </c>
      <c r="F12469" s="0" t="inlineStr">
        <is>
          <t xml:space="preserve">Mazda</t>
        </is>
      </c>
      <c r="G12469" s="0" t="s">
        <v>171</v>
      </c>
      <c r="H12469" s="5">
        <v>1.536100</v>
      </c>
    </row>
    <row r="12470" spans="1:9">
      <c r="A12470" s="22" t="str">
        <f>HYPERLINK("https://app.vivvix.com/360/KMI/IntelliDrive/ApplUI/Pages/CreativePages/CustomReportCreativeDetail.aspx?App=23&amp;ReportView=4&amp;Qid=1711279&amp;Row=12462&amp;Col=1","No Title Assigned - #15273170747")</f>
        <v/>
      </c>
      <c r="B12470" s="0" t="s">
        <v>16792</v>
      </c>
      <c r="E12470" s="0" t="inlineStr">
        <is>
          <t xml:space="preserve">Mazda</t>
        </is>
      </c>
      <c r="F12470" s="0" t="inlineStr">
        <is>
          <t xml:space="preserve">Mazda</t>
        </is>
      </c>
      <c r="G12470" s="0" t="s">
        <v>171</v>
      </c>
      <c r="H12470" s="5">
        <v>7.631000</v>
      </c>
    </row>
    <row r="12471" spans="1:9">
      <c r="A12471" s="22" t="str">
        <f>HYPERLINK("https://app.vivvix.com/360/KMI/IntelliDrive/ApplUI/Pages/CreativePages/CustomReportCreativeDetail.aspx?App=23&amp;ReportView=4&amp;Qid=1711279&amp;Row=12463&amp;Col=1","No Title Assigned - #15273172576")</f>
        <v/>
      </c>
      <c r="B12471" s="0" t="s">
        <v>16793</v>
      </c>
      <c r="E12471" s="0" t="inlineStr">
        <is>
          <t xml:space="preserve">Mazda</t>
        </is>
      </c>
      <c r="F12471" s="0" t="inlineStr">
        <is>
          <t xml:space="preserve">Mazda</t>
        </is>
      </c>
      <c r="G12471" s="0" t="s">
        <v>171</v>
      </c>
      <c r="H12471" s="5">
        <v>449.968400</v>
      </c>
    </row>
    <row r="12472" spans="1:9">
      <c r="A12472" s="22" t="str">
        <f>HYPERLINK("https://app.vivvix.com/360/KMI/IntelliDrive/ApplUI/Pages/CreativePages/CustomReportCreativeDetail.aspx?App=23&amp;ReportView=4&amp;Qid=1711279&amp;Row=12464&amp;Col=1","No Title Assigned - #15273177168")</f>
        <v/>
      </c>
      <c r="B12472" s="0" t="s">
        <v>16794</v>
      </c>
      <c r="E12472" s="0" t="inlineStr">
        <is>
          <t xml:space="preserve">Mazda</t>
        </is>
      </c>
      <c r="F12472" s="0" t="s">
        <v>28</v>
      </c>
      <c r="G12472" s="0" t="s">
        <v>29</v>
      </c>
      <c r="H12472" s="5">
        <v>25.864000</v>
      </c>
    </row>
    <row r="12473" spans="1:9">
      <c r="A12473" s="22" t="str">
        <f>HYPERLINK("https://app.vivvix.com/360/KMI/IntelliDrive/ApplUI/Pages/CreativePages/CustomReportCreativeDetail.aspx?App=23&amp;ReportView=4&amp;Qid=1711279&amp;Row=12465&amp;Col=1","No Title Assigned - #15273177657")</f>
        <v/>
      </c>
      <c r="B12473" s="0" t="s">
        <v>16795</v>
      </c>
      <c r="E12473" s="0" t="inlineStr">
        <is>
          <t xml:space="preserve">Mazda</t>
        </is>
      </c>
      <c r="F12473" s="0" t="s">
        <v>13</v>
      </c>
      <c r="G12473" s="0" t="s">
        <v>49</v>
      </c>
      <c r="H12473" s="5">
        <v>70.724800</v>
      </c>
    </row>
    <row r="12474" spans="1:9">
      <c r="A12474" s="22" t="str">
        <f>HYPERLINK("https://app.vivvix.com/360/KMI/IntelliDrive/ApplUI/Pages/CreativePages/CustomReportCreativeDetail.aspx?App=23&amp;ReportView=4&amp;Qid=1711279&amp;Row=12466&amp;Col=1","No Title Assigned - #15273178487")</f>
        <v/>
      </c>
      <c r="B12474" s="0" t="s">
        <v>16796</v>
      </c>
      <c r="C12474" s="0" t="s">
        <v>16797</v>
      </c>
      <c r="D12474" s="0" t="s">
        <v>16797</v>
      </c>
      <c r="E12474" s="0" t="inlineStr">
        <is>
          <t xml:space="preserve">Mazda</t>
        </is>
      </c>
      <c r="F12474" s="0" t="s">
        <v>28</v>
      </c>
      <c r="G12474" s="0" t="s">
        <v>29</v>
      </c>
      <c r="H12474" s="5">
        <v>1009.844900</v>
      </c>
    </row>
    <row r="12475" spans="1:9">
      <c r="A12475" s="22" t="str">
        <f>HYPERLINK("https://app.vivvix.com/360/KMI/IntelliDrive/ApplUI/Pages/CreativePages/CustomReportCreativeDetail.aspx?App=23&amp;ReportView=4&amp;Qid=1711279&amp;Row=12467&amp;Col=1","No Title Assigned - #15273178648")</f>
        <v/>
      </c>
      <c r="B12475" s="0" t="s">
        <v>16798</v>
      </c>
      <c r="E12475" s="0" t="inlineStr">
        <is>
          <t xml:space="preserve">Mazda</t>
        </is>
      </c>
      <c r="F12475" s="0" t="s">
        <v>13</v>
      </c>
      <c r="G12475" s="0" t="s">
        <v>49</v>
      </c>
      <c r="H12475" s="5">
        <v>18358.205600</v>
      </c>
    </row>
    <row r="12476" spans="1:9">
      <c r="A12476" s="22" t="str">
        <f>HYPERLINK("https://app.vivvix.com/360/KMI/IntelliDrive/ApplUI/Pages/CreativePages/CustomReportCreativeDetail.aspx?App=23&amp;ReportView=4&amp;Qid=1711279&amp;Row=12468&amp;Col=1","No Title Assigned - #15273178648")</f>
        <v/>
      </c>
      <c r="B12476" s="0" t="s">
        <v>16798</v>
      </c>
      <c r="C12476" s="0" t="s">
        <v>16799</v>
      </c>
      <c r="D12476" s="0" t="s">
        <v>16799</v>
      </c>
      <c r="E12476" s="0" t="inlineStr">
        <is>
          <t xml:space="preserve">Mazda</t>
        </is>
      </c>
      <c r="F12476" s="0" t="s">
        <v>13</v>
      </c>
      <c r="G12476" s="0" t="s">
        <v>49</v>
      </c>
      <c r="H12476" s="5">
        <v>68.584900</v>
      </c>
    </row>
    <row r="12477" spans="1:9">
      <c r="A12477" s="22" t="str">
        <f>HYPERLINK("https://app.vivvix.com/360/KMI/IntelliDrive/ApplUI/Pages/CreativePages/CustomReportCreativeDetail.aspx?App=23&amp;ReportView=4&amp;Qid=1711279&amp;Row=12469&amp;Col=1","No Title Assigned - #15273179068")</f>
        <v/>
      </c>
      <c r="B12477" s="0" t="s">
        <v>16800</v>
      </c>
      <c r="E12477" s="0" t="inlineStr">
        <is>
          <t xml:space="preserve">Mazda</t>
        </is>
      </c>
      <c r="F12477" s="0" t="s">
        <v>28</v>
      </c>
      <c r="G12477" s="0" t="s">
        <v>29</v>
      </c>
      <c r="H12477" s="5">
        <v>5980.636400</v>
      </c>
    </row>
    <row r="12478" spans="1:9">
      <c r="A12478" s="22" t="str">
        <f>HYPERLINK("https://app.vivvix.com/360/KMI/IntelliDrive/ApplUI/Pages/CreativePages/CustomReportCreativeDetail.aspx?App=23&amp;ReportView=4&amp;Qid=1711279&amp;Row=12470&amp;Col=1","No Title Assigned - #15273179521")</f>
        <v/>
      </c>
      <c r="B12478" s="0" t="s">
        <v>16801</v>
      </c>
      <c r="E12478" s="0" t="inlineStr">
        <is>
          <t xml:space="preserve">Mazda</t>
        </is>
      </c>
      <c r="F12478" s="0" t="s">
        <v>28</v>
      </c>
      <c r="G12478" s="0" t="s">
        <v>29</v>
      </c>
      <c r="H12478" s="5">
        <v>774.056300</v>
      </c>
    </row>
    <row r="12479" spans="1:9">
      <c r="A12479" s="22" t="str">
        <f>HYPERLINK("https://app.vivvix.com/360/KMI/IntelliDrive/ApplUI/Pages/CreativePages/CustomReportCreativeDetail.aspx?App=23&amp;ReportView=4&amp;Qid=1711279&amp;Row=12471&amp;Col=1","No Title Assigned - #15273179602")</f>
        <v/>
      </c>
      <c r="B12479" s="0" t="s">
        <v>16802</v>
      </c>
      <c r="E12479" s="0" t="inlineStr">
        <is>
          <t xml:space="preserve">Mazda</t>
        </is>
      </c>
      <c r="F12479" s="0" t="s">
        <v>28</v>
      </c>
      <c r="G12479" s="0" t="s">
        <v>29</v>
      </c>
      <c r="H12479" s="5">
        <v>221.756200</v>
      </c>
    </row>
    <row r="12480" spans="1:9">
      <c r="A12480" s="22" t="str">
        <f>HYPERLINK("https://app.vivvix.com/360/KMI/IntelliDrive/ApplUI/Pages/CreativePages/CustomReportCreativeDetail.aspx?App=23&amp;ReportView=4&amp;Qid=1711279&amp;Row=12472&amp;Col=1","No Title Assigned - #15273179602")</f>
        <v/>
      </c>
      <c r="B12480" s="0" t="s">
        <v>16802</v>
      </c>
      <c r="E12480" s="0" t="inlineStr">
        <is>
          <t xml:space="preserve">Mazda</t>
        </is>
      </c>
      <c r="F12480" s="0" t="s">
        <v>28</v>
      </c>
      <c r="G12480" s="0" t="s">
        <v>29</v>
      </c>
      <c r="H12480" s="5">
        <v>18.651200</v>
      </c>
    </row>
    <row r="12481" spans="1:9">
      <c r="A12481" s="22" t="str">
        <f>HYPERLINK("https://app.vivvix.com/360/KMI/IntelliDrive/ApplUI/Pages/CreativePages/CustomReportCreativeDetail.aspx?App=23&amp;ReportView=4&amp;Qid=1711279&amp;Row=12473&amp;Col=1","No Title Assigned - #15273180164")</f>
        <v/>
      </c>
      <c r="B12481" s="0" t="s">
        <v>16803</v>
      </c>
      <c r="E12481" s="0" t="inlineStr">
        <is>
          <t xml:space="preserve">Mazda</t>
        </is>
      </c>
      <c r="F12481" s="0" t="inlineStr">
        <is>
          <t xml:space="preserve">Mazda</t>
        </is>
      </c>
      <c r="G12481" s="0" t="s">
        <v>210</v>
      </c>
      <c r="H12481" s="5">
        <v>239.052400</v>
      </c>
    </row>
    <row r="12482" spans="1:9">
      <c r="A12482" s="22" t="str">
        <f>HYPERLINK("https://app.vivvix.com/360/KMI/IntelliDrive/ApplUI/Pages/CreativePages/CustomReportCreativeDetail.aspx?App=23&amp;ReportView=4&amp;Qid=1711279&amp;Row=12474&amp;Col=1","No Title Assigned - #15273180188")</f>
        <v/>
      </c>
      <c r="B12482" s="0" t="s">
        <v>16804</v>
      </c>
      <c r="E12482" s="0" t="inlineStr">
        <is>
          <t xml:space="preserve">Mazda</t>
        </is>
      </c>
      <c r="F12482" s="0" t="s">
        <v>28</v>
      </c>
      <c r="G12482" s="0" t="s">
        <v>29</v>
      </c>
      <c r="H12482" s="5">
        <v>56.599200</v>
      </c>
    </row>
    <row r="12483" spans="1:9">
      <c r="A12483" s="22" t="str">
        <f>HYPERLINK("https://app.vivvix.com/360/KMI/IntelliDrive/ApplUI/Pages/CreativePages/CustomReportCreativeDetail.aspx?App=23&amp;ReportView=4&amp;Qid=1711279&amp;Row=12475&amp;Col=1","No Title Assigned - #15273181011")</f>
        <v/>
      </c>
      <c r="B12483" s="0" t="s">
        <v>16805</v>
      </c>
      <c r="E12483" s="0" t="inlineStr">
        <is>
          <t xml:space="preserve">Mazda</t>
        </is>
      </c>
      <c r="F12483" s="0" t="s">
        <v>28</v>
      </c>
      <c r="G12483" s="0" t="s">
        <v>29</v>
      </c>
      <c r="H12483" s="5">
        <v>37.270000</v>
      </c>
    </row>
    <row r="12484" spans="1:9">
      <c r="A12484" s="22" t="str">
        <f>HYPERLINK("https://app.vivvix.com/360/KMI/IntelliDrive/ApplUI/Pages/CreativePages/CustomReportCreativeDetail.aspx?App=23&amp;ReportView=4&amp;Qid=1711279&amp;Row=12476&amp;Col=1","No Title Assigned - #15273181893")</f>
        <v/>
      </c>
      <c r="B12484" s="0" t="s">
        <v>16806</v>
      </c>
      <c r="E12484" s="0" t="inlineStr">
        <is>
          <t xml:space="preserve">Mazda</t>
        </is>
      </c>
      <c r="F12484" s="0" t="inlineStr">
        <is>
          <t xml:space="preserve">Mazda</t>
        </is>
      </c>
      <c r="G12484" s="0" t="s">
        <v>171</v>
      </c>
      <c r="H12484" s="5">
        <v>16026.791000</v>
      </c>
    </row>
    <row r="12485" spans="1:9">
      <c r="A12485" s="22" t="str">
        <f>HYPERLINK("https://app.vivvix.com/360/KMI/IntelliDrive/ApplUI/Pages/CreativePages/CustomReportCreativeDetail.aspx?App=23&amp;ReportView=4&amp;Qid=1711279&amp;Row=12477&amp;Col=1","No Title Assigned - #15273182061")</f>
        <v/>
      </c>
      <c r="B12485" s="0" t="s">
        <v>16807</v>
      </c>
      <c r="E12485" s="0" t="inlineStr">
        <is>
          <t xml:space="preserve">Mazda</t>
        </is>
      </c>
      <c r="F12485" s="0" t="inlineStr">
        <is>
          <t xml:space="preserve">Mazda</t>
        </is>
      </c>
      <c r="G12485" s="0" t="s">
        <v>171</v>
      </c>
      <c r="H12485" s="5">
        <v>738.233400</v>
      </c>
    </row>
    <row r="12486" spans="1:9">
      <c r="A12486" s="22" t="str">
        <f>HYPERLINK("https://app.vivvix.com/360/KMI/IntelliDrive/ApplUI/Pages/CreativePages/CustomReportCreativeDetail.aspx?App=23&amp;ReportView=4&amp;Qid=1711279&amp;Row=12478&amp;Col=1","No Title Assigned - #15273182431")</f>
        <v/>
      </c>
      <c r="B12486" s="0" t="s">
        <v>16808</v>
      </c>
      <c r="E12486" s="0" t="inlineStr">
        <is>
          <t xml:space="preserve">Mazda</t>
        </is>
      </c>
      <c r="F12486" s="0" t="inlineStr">
        <is>
          <t xml:space="preserve">Mazda</t>
        </is>
      </c>
      <c r="G12486" s="0" t="s">
        <v>171</v>
      </c>
      <c r="H12486" s="5">
        <v>24.930900</v>
      </c>
    </row>
    <row r="12487" spans="1:9">
      <c r="A12487" s="22" t="str">
        <f>HYPERLINK("https://app.vivvix.com/360/KMI/IntelliDrive/ApplUI/Pages/CreativePages/CustomReportCreativeDetail.aspx?App=23&amp;ReportView=4&amp;Qid=1711279&amp;Row=12479&amp;Col=1","No Title Assigned - #15273182463")</f>
        <v/>
      </c>
      <c r="B12487" s="0" t="s">
        <v>16809</v>
      </c>
      <c r="E12487" s="0" t="inlineStr">
        <is>
          <t xml:space="preserve">Mazda</t>
        </is>
      </c>
      <c r="F12487" s="0" t="inlineStr">
        <is>
          <t xml:space="preserve">Mazda</t>
        </is>
      </c>
      <c r="G12487" s="0" t="s">
        <v>171</v>
      </c>
      <c r="H12487" s="5">
        <v>37.097900</v>
      </c>
    </row>
    <row r="12488" spans="1:9">
      <c r="A12488" s="22" t="str">
        <f>HYPERLINK("https://app.vivvix.com/360/KMI/IntelliDrive/ApplUI/Pages/CreativePages/CustomReportCreativeDetail.aspx?App=23&amp;ReportView=4&amp;Qid=1711279&amp;Row=12480&amp;Col=1","No Title Assigned - #15273182664")</f>
        <v/>
      </c>
      <c r="B12488" s="0" t="s">
        <v>16810</v>
      </c>
      <c r="E12488" s="0" t="inlineStr">
        <is>
          <t xml:space="preserve">Mazda</t>
        </is>
      </c>
      <c r="F12488" s="0" t="inlineStr">
        <is>
          <t xml:space="preserve">Mazda</t>
        </is>
      </c>
      <c r="G12488" s="0" t="s">
        <v>171</v>
      </c>
      <c r="H12488" s="5">
        <v>30.183000</v>
      </c>
    </row>
    <row r="12489" spans="1:9">
      <c r="A12489" s="22" t="str">
        <f>HYPERLINK("https://app.vivvix.com/360/KMI/IntelliDrive/ApplUI/Pages/CreativePages/CustomReportCreativeDetail.aspx?App=23&amp;ReportView=4&amp;Qid=1711279&amp;Row=12481&amp;Col=1","No Title Assigned - #15273182800")</f>
        <v/>
      </c>
      <c r="B12489" s="0" t="s">
        <v>16811</v>
      </c>
      <c r="E12489" s="0" t="inlineStr">
        <is>
          <t xml:space="preserve">Mazda</t>
        </is>
      </c>
      <c r="F12489" s="0" t="inlineStr">
        <is>
          <t xml:space="preserve">Mazda</t>
        </is>
      </c>
      <c r="G12489" s="0" t="s">
        <v>171</v>
      </c>
      <c r="H12489" s="5">
        <v>1316.066800</v>
      </c>
    </row>
    <row r="12490" spans="1:9">
      <c r="A12490" s="22" t="str">
        <f>HYPERLINK("https://app.vivvix.com/360/KMI/IntelliDrive/ApplUI/Pages/CreativePages/CustomReportCreativeDetail.aspx?App=23&amp;ReportView=4&amp;Qid=1711279&amp;Row=12482&amp;Col=1","No Title Assigned - #15273186089")</f>
        <v/>
      </c>
      <c r="B12490" s="0" t="s">
        <v>16812</v>
      </c>
      <c r="E12490" s="0" t="inlineStr">
        <is>
          <t xml:space="preserve">Mazda</t>
        </is>
      </c>
      <c r="F12490" s="0" t="inlineStr">
        <is>
          <t xml:space="preserve">Mazda</t>
        </is>
      </c>
      <c r="G12490" s="0" t="s">
        <v>171</v>
      </c>
      <c r="H12490" s="5">
        <v>1.536100</v>
      </c>
    </row>
    <row r="12491" spans="1:9">
      <c r="A12491" s="22" t="str">
        <f>HYPERLINK("https://app.vivvix.com/360/KMI/IntelliDrive/ApplUI/Pages/CreativePages/CustomReportCreativeDetail.aspx?App=23&amp;ReportView=4&amp;Qid=1711279&amp;Row=12483&amp;Col=1","No Title Assigned - #15273186296")</f>
        <v/>
      </c>
      <c r="B12491" s="0" t="s">
        <v>16813</v>
      </c>
      <c r="E12491" s="0" t="inlineStr">
        <is>
          <t xml:space="preserve">Mazda</t>
        </is>
      </c>
      <c r="F12491" s="0" t="inlineStr">
        <is>
          <t xml:space="preserve">Mazda</t>
        </is>
      </c>
      <c r="G12491" s="0" t="s">
        <v>171</v>
      </c>
      <c r="H12491" s="5">
        <v>32.221600</v>
      </c>
    </row>
    <row r="12492" spans="1:9">
      <c r="A12492" s="22" t="str">
        <f>HYPERLINK("https://app.vivvix.com/360/KMI/IntelliDrive/ApplUI/Pages/CreativePages/CustomReportCreativeDetail.aspx?App=23&amp;ReportView=4&amp;Qid=1711279&amp;Row=12484&amp;Col=1","No Title Assigned - #15273187027")</f>
        <v/>
      </c>
      <c r="B12492" s="0" t="s">
        <v>16814</v>
      </c>
      <c r="E12492" s="0" t="inlineStr">
        <is>
          <t xml:space="preserve">Mazda</t>
        </is>
      </c>
      <c r="F12492" s="0" t="inlineStr">
        <is>
          <t xml:space="preserve">Mazda</t>
        </is>
      </c>
      <c r="G12492" s="0" t="s">
        <v>171</v>
      </c>
      <c r="H12492" s="5">
        <v>61.229300</v>
      </c>
    </row>
    <row r="12493" spans="1:9">
      <c r="A12493" s="22" t="str">
        <f>HYPERLINK("https://app.vivvix.com/360/KMI/IntelliDrive/ApplUI/Pages/CreativePages/CustomReportCreativeDetail.aspx?App=23&amp;ReportView=4&amp;Qid=1711279&amp;Row=12485&amp;Col=1","No Title Assigned - #15273187352")</f>
        <v/>
      </c>
      <c r="B12493" s="0" t="s">
        <v>16815</v>
      </c>
      <c r="E12493" s="0" t="inlineStr">
        <is>
          <t xml:space="preserve">Mazda</t>
        </is>
      </c>
      <c r="F12493" s="0" t="inlineStr">
        <is>
          <t xml:space="preserve">Mazda</t>
        </is>
      </c>
      <c r="G12493" s="0" t="s">
        <v>171</v>
      </c>
      <c r="H12493" s="5">
        <v>36.088500</v>
      </c>
    </row>
    <row r="12494" spans="1:9">
      <c r="A12494" s="22" t="str">
        <f>HYPERLINK("https://app.vivvix.com/360/KMI/IntelliDrive/ApplUI/Pages/CreativePages/CustomReportCreativeDetail.aspx?App=23&amp;ReportView=4&amp;Qid=1711279&amp;Row=12486&amp;Col=1","No Title Assigned - #15273187728")</f>
        <v/>
      </c>
      <c r="B12494" s="0" t="s">
        <v>16816</v>
      </c>
      <c r="C12494" s="0" t="s">
        <v>16817</v>
      </c>
      <c r="D12494" s="0" t="s">
        <v>16817</v>
      </c>
      <c r="E12494" s="0" t="inlineStr">
        <is>
          <t xml:space="preserve">Mazda</t>
        </is>
      </c>
      <c r="F12494" s="0" t="inlineStr">
        <is>
          <t xml:space="preserve">Mazda</t>
        </is>
      </c>
      <c r="G12494" s="0" t="s">
        <v>171</v>
      </c>
      <c r="H12494" s="5">
        <v>192.058800</v>
      </c>
    </row>
    <row r="12495" spans="1:9">
      <c r="A12495" s="22" t="str">
        <f>HYPERLINK("https://app.vivvix.com/360/KMI/IntelliDrive/ApplUI/Pages/CreativePages/CustomReportCreativeDetail.aspx?App=23&amp;ReportView=4&amp;Qid=1711279&amp;Row=12487&amp;Col=1","No Title Assigned - #15273188915")</f>
        <v/>
      </c>
      <c r="B12495" s="0" t="s">
        <v>16818</v>
      </c>
      <c r="E12495" s="0" t="inlineStr">
        <is>
          <t xml:space="preserve">Mazda</t>
        </is>
      </c>
      <c r="F12495" s="0" t="inlineStr">
        <is>
          <t xml:space="preserve">Mazda</t>
        </is>
      </c>
      <c r="G12495" s="0" t="s">
        <v>171</v>
      </c>
      <c r="H12495" s="5">
        <v>1246.783800</v>
      </c>
    </row>
    <row r="12496" spans="1:9">
      <c r="A12496" s="22" t="str">
        <f>HYPERLINK("https://app.vivvix.com/360/KMI/IntelliDrive/ApplUI/Pages/CreativePages/CustomReportCreativeDetail.aspx?App=23&amp;ReportView=4&amp;Qid=1711279&amp;Row=12488&amp;Col=1","No Title Assigned - #15273190892")</f>
        <v/>
      </c>
      <c r="B12496" s="0" t="s">
        <v>16819</v>
      </c>
      <c r="E12496" s="0" t="inlineStr">
        <is>
          <t xml:space="preserve">Mazda</t>
        </is>
      </c>
      <c r="F12496" s="0" t="inlineStr">
        <is>
          <t xml:space="preserve">Mazda</t>
        </is>
      </c>
      <c r="G12496" s="0" t="s">
        <v>171</v>
      </c>
      <c r="H12496" s="5">
        <v>97.964200</v>
      </c>
    </row>
    <row r="12497" spans="1:9">
      <c r="A12497" s="22" t="str">
        <f>HYPERLINK("https://app.vivvix.com/360/KMI/IntelliDrive/ApplUI/Pages/CreativePages/CustomReportCreativeDetail.aspx?App=23&amp;ReportView=4&amp;Qid=1711279&amp;Row=12489&amp;Col=1","No Title Assigned - #15273191058")</f>
        <v/>
      </c>
      <c r="B12497" s="0" t="s">
        <v>16820</v>
      </c>
      <c r="E12497" s="0" t="inlineStr">
        <is>
          <t xml:space="preserve">Mazda</t>
        </is>
      </c>
      <c r="F12497" s="0" t="inlineStr">
        <is>
          <t xml:space="preserve">Mazda</t>
        </is>
      </c>
      <c r="G12497" s="0" t="s">
        <v>171</v>
      </c>
      <c r="H12497" s="5">
        <v>10.436000</v>
      </c>
    </row>
    <row r="12498" spans="1:9">
      <c r="A12498" s="22" t="str">
        <f>HYPERLINK("https://app.vivvix.com/360/KMI/IntelliDrive/ApplUI/Pages/CreativePages/CustomReportCreativeDetail.aspx?App=23&amp;ReportView=4&amp;Qid=1711279&amp;Row=12490&amp;Col=1","No Title Assigned - #15273191511")</f>
        <v/>
      </c>
      <c r="B12498" s="0" t="s">
        <v>16821</v>
      </c>
      <c r="E12498" s="0" t="inlineStr">
        <is>
          <t xml:space="preserve">Mazda</t>
        </is>
      </c>
      <c r="F12498" s="0" t="inlineStr">
        <is>
          <t xml:space="preserve">Mazda</t>
        </is>
      </c>
      <c r="G12498" s="0" t="s">
        <v>171</v>
      </c>
      <c r="H12498" s="5">
        <v>168.822100</v>
      </c>
    </row>
    <row r="12499" spans="1:9">
      <c r="A12499" s="22" t="str">
        <f>HYPERLINK("https://app.vivvix.com/360/KMI/IntelliDrive/ApplUI/Pages/CreativePages/CustomReportCreativeDetail.aspx?App=23&amp;ReportView=4&amp;Qid=1711279&amp;Row=12491&amp;Col=1","No Title Assigned - #15273192202")</f>
        <v/>
      </c>
      <c r="B12499" s="0" t="s">
        <v>16822</v>
      </c>
      <c r="C12499" s="0" t="s">
        <v>16823</v>
      </c>
      <c r="D12499" s="0" t="s">
        <v>16823</v>
      </c>
      <c r="E12499" s="0" t="inlineStr">
        <is>
          <t xml:space="preserve">Mazda</t>
        </is>
      </c>
      <c r="F12499" s="0" t="inlineStr">
        <is>
          <t xml:space="preserve">Mazda</t>
        </is>
      </c>
      <c r="G12499" s="0" t="s">
        <v>171</v>
      </c>
      <c r="H12499" s="5">
        <v>426.139300</v>
      </c>
    </row>
    <row r="12500" spans="1:9">
      <c r="A12500" s="22" t="str">
        <f>HYPERLINK("https://app.vivvix.com/360/KMI/IntelliDrive/ApplUI/Pages/CreativePages/CustomReportCreativeDetail.aspx?App=23&amp;ReportView=4&amp;Qid=1711279&amp;Row=12492&amp;Col=1","No Title Assigned - #15273192202")</f>
        <v/>
      </c>
      <c r="B12500" s="0" t="s">
        <v>16822</v>
      </c>
      <c r="E12500" s="0" t="inlineStr">
        <is>
          <t xml:space="preserve">Mazda</t>
        </is>
      </c>
      <c r="F12500" s="0" t="inlineStr">
        <is>
          <t xml:space="preserve">Mazda</t>
        </is>
      </c>
      <c r="G12500" s="0" t="s">
        <v>171</v>
      </c>
      <c r="H12500" s="5">
        <v>93.267900</v>
      </c>
    </row>
    <row r="12501" spans="1:9">
      <c r="A12501" s="22" t="str">
        <f>HYPERLINK("https://app.vivvix.com/360/KMI/IntelliDrive/ApplUI/Pages/CreativePages/CustomReportCreativeDetail.aspx?App=23&amp;ReportView=4&amp;Qid=1711279&amp;Row=12493&amp;Col=1","No Title Assigned - #15273193167")</f>
        <v/>
      </c>
      <c r="B12501" s="0" t="s">
        <v>16824</v>
      </c>
      <c r="E12501" s="0" t="inlineStr">
        <is>
          <t xml:space="preserve">Mazda</t>
        </is>
      </c>
      <c r="F12501" s="0" t="inlineStr">
        <is>
          <t xml:space="preserve">Mazda</t>
        </is>
      </c>
      <c r="G12501" s="0" t="s">
        <v>171</v>
      </c>
      <c r="H12501" s="5">
        <v>29.187500</v>
      </c>
    </row>
    <row r="12502" spans="1:9">
      <c r="A12502" s="22" t="str">
        <f>HYPERLINK("https://app.vivvix.com/360/KMI/IntelliDrive/ApplUI/Pages/CreativePages/CustomReportCreativeDetail.aspx?App=23&amp;ReportView=4&amp;Qid=1711279&amp;Row=12494&amp;Col=1","No Title Assigned - #15273197476")</f>
        <v/>
      </c>
      <c r="B12502" s="0" t="s">
        <v>16825</v>
      </c>
      <c r="E12502" s="0" t="inlineStr">
        <is>
          <t xml:space="preserve">Mazda</t>
        </is>
      </c>
      <c r="F12502" s="0" t="inlineStr">
        <is>
          <t xml:space="preserve">Mazda</t>
        </is>
      </c>
      <c r="G12502" s="0" t="s">
        <v>171</v>
      </c>
      <c r="H12502" s="5">
        <v>230.038500</v>
      </c>
    </row>
    <row r="12503" spans="1:9">
      <c r="A12503" s="22" t="str">
        <f>HYPERLINK("https://app.vivvix.com/360/KMI/IntelliDrive/ApplUI/Pages/CreativePages/CustomReportCreativeDetail.aspx?App=23&amp;ReportView=4&amp;Qid=1711279&amp;Row=12495&amp;Col=1","No Title Assigned - #15273197539")</f>
        <v/>
      </c>
      <c r="B12503" s="0" t="s">
        <v>16826</v>
      </c>
      <c r="E12503" s="0" t="inlineStr">
        <is>
          <t xml:space="preserve">Mazda</t>
        </is>
      </c>
      <c r="F12503" s="0" t="inlineStr">
        <is>
          <t xml:space="preserve">Mazda</t>
        </is>
      </c>
      <c r="G12503" s="0" t="s">
        <v>171</v>
      </c>
      <c r="H12503" s="5">
        <v>113.797000</v>
      </c>
    </row>
    <row r="12504" spans="1:9">
      <c r="A12504" s="22" t="str">
        <f>HYPERLINK("https://app.vivvix.com/360/KMI/IntelliDrive/ApplUI/Pages/CreativePages/CustomReportCreativeDetail.aspx?App=23&amp;ReportView=4&amp;Qid=1711279&amp;Row=12496&amp;Col=1","No Title Assigned - #15273197749")</f>
        <v/>
      </c>
      <c r="B12504" s="0" t="s">
        <v>16827</v>
      </c>
      <c r="E12504" s="0" t="inlineStr">
        <is>
          <t xml:space="preserve">Mazda</t>
        </is>
      </c>
      <c r="F12504" s="0" t="inlineStr">
        <is>
          <t xml:space="preserve">Mazda</t>
        </is>
      </c>
      <c r="G12504" s="0" t="s">
        <v>171</v>
      </c>
      <c r="H12504" s="5">
        <v>867.023700</v>
      </c>
    </row>
    <row r="12505" spans="1:9">
      <c r="A12505" s="22" t="str">
        <f>HYPERLINK("https://app.vivvix.com/360/KMI/IntelliDrive/ApplUI/Pages/CreativePages/CustomReportCreativeDetail.aspx?App=23&amp;ReportView=4&amp;Qid=1711279&amp;Row=12497&amp;Col=1","No Title Assigned - #15273198030")</f>
        <v/>
      </c>
      <c r="B12505" s="0" t="s">
        <v>16828</v>
      </c>
      <c r="E12505" s="0" t="inlineStr">
        <is>
          <t xml:space="preserve">Mazda</t>
        </is>
      </c>
      <c r="F12505" s="0" t="inlineStr">
        <is>
          <t xml:space="preserve">Mazda</t>
        </is>
      </c>
      <c r="G12505" s="0" t="s">
        <v>171</v>
      </c>
      <c r="H12505" s="5">
        <v>29.320500</v>
      </c>
    </row>
    <row r="12506" spans="1:9">
      <c r="A12506" s="22" t="str">
        <f>HYPERLINK("https://app.vivvix.com/360/KMI/IntelliDrive/ApplUI/Pages/CreativePages/CustomReportCreativeDetail.aspx?App=23&amp;ReportView=4&amp;Qid=1711279&amp;Row=12498&amp;Col=1","No Title Assigned - #15273198360")</f>
        <v/>
      </c>
      <c r="B12506" s="0" t="s">
        <v>16829</v>
      </c>
      <c r="E12506" s="0" t="inlineStr">
        <is>
          <t xml:space="preserve">Mazda</t>
        </is>
      </c>
      <c r="F12506" s="0" t="inlineStr">
        <is>
          <t xml:space="preserve">Mazda</t>
        </is>
      </c>
      <c r="G12506" s="0" t="s">
        <v>171</v>
      </c>
      <c r="H12506" s="5">
        <v>13896.080300</v>
      </c>
    </row>
    <row r="12507" spans="1:9">
      <c r="A12507" s="22" t="str">
        <f>HYPERLINK("https://app.vivvix.com/360/KMI/IntelliDrive/ApplUI/Pages/CreativePages/CustomReportCreativeDetail.aspx?App=23&amp;ReportView=4&amp;Qid=1711279&amp;Row=12499&amp;Col=1","No Title Assigned - #15273198360")</f>
        <v/>
      </c>
      <c r="B12507" s="0" t="s">
        <v>16829</v>
      </c>
      <c r="E12507" s="0" t="inlineStr">
        <is>
          <t xml:space="preserve">Mazda</t>
        </is>
      </c>
      <c r="F12507" s="0" t="inlineStr">
        <is>
          <t xml:space="preserve">Mazda</t>
        </is>
      </c>
      <c r="G12507" s="0" t="s">
        <v>171</v>
      </c>
      <c r="H12507" s="5">
        <v>25181.780600</v>
      </c>
    </row>
    <row r="12508" spans="1:9">
      <c r="A12508" s="22" t="str">
        <f>HYPERLINK("https://app.vivvix.com/360/KMI/IntelliDrive/ApplUI/Pages/CreativePages/CustomReportCreativeDetail.aspx?App=23&amp;ReportView=4&amp;Qid=1711279&amp;Row=12500&amp;Col=1","No Title Assigned - #15273198446")</f>
        <v/>
      </c>
      <c r="B12508" s="0" t="s">
        <v>16830</v>
      </c>
      <c r="E12508" s="0" t="inlineStr">
        <is>
          <t xml:space="preserve">Mazda</t>
        </is>
      </c>
      <c r="F12508" s="0" t="s">
        <v>13</v>
      </c>
      <c r="G12508" s="0" t="s">
        <v>49</v>
      </c>
      <c r="H12508" s="5">
        <v>24.114100</v>
      </c>
    </row>
    <row r="12509" spans="1:9">
      <c r="A12509" s="22" t="str">
        <f>HYPERLINK("https://app.vivvix.com/360/KMI/IntelliDrive/ApplUI/Pages/CreativePages/CustomReportCreativeDetail.aspx?App=23&amp;ReportView=4&amp;Qid=1711279&amp;Row=12501&amp;Col=1","No Title Assigned - #15273198542")</f>
        <v/>
      </c>
      <c r="B12509" s="0" t="s">
        <v>16831</v>
      </c>
      <c r="E12509" s="0" t="inlineStr">
        <is>
          <t xml:space="preserve">Mazda</t>
        </is>
      </c>
      <c r="F12509" s="0" t="inlineStr">
        <is>
          <t xml:space="preserve">Mazda</t>
        </is>
      </c>
      <c r="G12509" s="0" t="s">
        <v>171</v>
      </c>
      <c r="H12509" s="5">
        <v>6.382400</v>
      </c>
    </row>
    <row r="12510" spans="1:9">
      <c r="A12510" s="22" t="str">
        <f>HYPERLINK("https://app.vivvix.com/360/KMI/IntelliDrive/ApplUI/Pages/CreativePages/CustomReportCreativeDetail.aspx?App=23&amp;ReportView=4&amp;Qid=1711279&amp;Row=12502&amp;Col=1","No Title Assigned - #15273199022")</f>
        <v/>
      </c>
      <c r="B12510" s="0" t="s">
        <v>16832</v>
      </c>
      <c r="E12510" s="0" t="inlineStr">
        <is>
          <t xml:space="preserve">Mazda</t>
        </is>
      </c>
      <c r="F12510" s="0" t="inlineStr">
        <is>
          <t xml:space="preserve">Mazda</t>
        </is>
      </c>
      <c r="G12510" s="0" t="s">
        <v>171</v>
      </c>
      <c r="H12510" s="5">
        <v>770.655100</v>
      </c>
    </row>
    <row r="12511" spans="1:9">
      <c r="A12511" s="22" t="str">
        <f>HYPERLINK("https://app.vivvix.com/360/KMI/IntelliDrive/ApplUI/Pages/CreativePages/CustomReportCreativeDetail.aspx?App=23&amp;ReportView=4&amp;Qid=1711279&amp;Row=12503&amp;Col=1","No Title Assigned - #15273201034")</f>
        <v/>
      </c>
      <c r="B12511" s="0" t="s">
        <v>16833</v>
      </c>
      <c r="E12511" s="0" t="inlineStr">
        <is>
          <t xml:space="preserve">Mazda</t>
        </is>
      </c>
      <c r="F12511" s="0" t="inlineStr">
        <is>
          <t xml:space="preserve">Mazda</t>
        </is>
      </c>
      <c r="G12511" s="0" t="s">
        <v>171</v>
      </c>
      <c r="H12511" s="5">
        <v>183.133900</v>
      </c>
    </row>
    <row r="12512" spans="1:9">
      <c r="A12512" s="22" t="str">
        <f>HYPERLINK("https://app.vivvix.com/360/KMI/IntelliDrive/ApplUI/Pages/CreativePages/CustomReportCreativeDetail.aspx?App=23&amp;ReportView=4&amp;Qid=1711279&amp;Row=12504&amp;Col=1","No Title Assigned - #15273201332")</f>
        <v/>
      </c>
      <c r="B12512" s="0" t="s">
        <v>16834</v>
      </c>
      <c r="E12512" s="0" t="inlineStr">
        <is>
          <t xml:space="preserve">Mazda</t>
        </is>
      </c>
      <c r="F12512" s="0" t="inlineStr">
        <is>
          <t xml:space="preserve">Mazda</t>
        </is>
      </c>
      <c r="G12512" s="0" t="s">
        <v>171</v>
      </c>
      <c r="H12512" s="5">
        <v>8.879600</v>
      </c>
    </row>
    <row r="12513" spans="1:9">
      <c r="A12513" s="22" t="str">
        <f>HYPERLINK("https://app.vivvix.com/360/KMI/IntelliDrive/ApplUI/Pages/CreativePages/CustomReportCreativeDetail.aspx?App=23&amp;ReportView=4&amp;Qid=1711279&amp;Row=12505&amp;Col=1","No Title Assigned - #15273201696")</f>
        <v/>
      </c>
      <c r="B12513" s="0" t="s">
        <v>16835</v>
      </c>
      <c r="E12513" s="0" t="inlineStr">
        <is>
          <t xml:space="preserve">Mazda</t>
        </is>
      </c>
      <c r="F12513" s="0" t="inlineStr">
        <is>
          <t xml:space="preserve">Mazda</t>
        </is>
      </c>
      <c r="G12513" s="0" t="s">
        <v>171</v>
      </c>
      <c r="H12513" s="5">
        <v>20334.568400</v>
      </c>
    </row>
    <row r="12514" spans="1:9">
      <c r="A12514" s="22" t="str">
        <f>HYPERLINK("https://app.vivvix.com/360/KMI/IntelliDrive/ApplUI/Pages/CreativePages/CustomReportCreativeDetail.aspx?App=23&amp;ReportView=4&amp;Qid=1711279&amp;Row=12506&amp;Col=1","No Title Assigned - #15273201696")</f>
        <v/>
      </c>
      <c r="B12514" s="0" t="s">
        <v>16835</v>
      </c>
      <c r="E12514" s="0" t="inlineStr">
        <is>
          <t xml:space="preserve">Mazda</t>
        </is>
      </c>
      <c r="F12514" s="0" t="inlineStr">
        <is>
          <t xml:space="preserve">Mazda</t>
        </is>
      </c>
      <c r="G12514" s="0" t="s">
        <v>171</v>
      </c>
      <c r="H12514" s="5">
        <v>28.997300</v>
      </c>
    </row>
    <row r="12515" spans="1:9">
      <c r="A12515" s="22" t="str">
        <f>HYPERLINK("https://app.vivvix.com/360/KMI/IntelliDrive/ApplUI/Pages/CreativePages/CustomReportCreativeDetail.aspx?App=23&amp;ReportView=4&amp;Qid=1711279&amp;Row=12507&amp;Col=1","No Title Assigned - #15273202580")</f>
        <v/>
      </c>
      <c r="B12515" s="0" t="s">
        <v>16836</v>
      </c>
      <c r="E12515" s="0" t="inlineStr">
        <is>
          <t xml:space="preserve">Mazda</t>
        </is>
      </c>
      <c r="F12515" s="0" t="inlineStr">
        <is>
          <t xml:space="preserve">Mazda</t>
        </is>
      </c>
      <c r="G12515" s="0" t="s">
        <v>171</v>
      </c>
      <c r="H12515" s="5">
        <v>22.082700</v>
      </c>
    </row>
    <row r="12516" spans="1:9">
      <c r="A12516" s="22" t="str">
        <f>HYPERLINK("https://app.vivvix.com/360/KMI/IntelliDrive/ApplUI/Pages/CreativePages/CustomReportCreativeDetail.aspx?App=23&amp;ReportView=4&amp;Qid=1711279&amp;Row=12508&amp;Col=1","No Title Assigned - #15273203154")</f>
        <v/>
      </c>
      <c r="B12516" s="0" t="s">
        <v>16837</v>
      </c>
      <c r="E12516" s="0" t="inlineStr">
        <is>
          <t xml:space="preserve">Mazda</t>
        </is>
      </c>
      <c r="F12516" s="0" t="inlineStr">
        <is>
          <t xml:space="preserve">Mazda</t>
        </is>
      </c>
      <c r="G12516" s="0" t="s">
        <v>171</v>
      </c>
      <c r="H12516" s="5">
        <v>26.320400</v>
      </c>
    </row>
    <row r="12517" spans="1:9">
      <c r="A12517" s="22" t="str">
        <f>HYPERLINK("https://app.vivvix.com/360/KMI/IntelliDrive/ApplUI/Pages/CreativePages/CustomReportCreativeDetail.aspx?App=23&amp;ReportView=4&amp;Qid=1711279&amp;Row=12509&amp;Col=1","No Title Assigned - #15273203303")</f>
        <v/>
      </c>
      <c r="B12517" s="0" t="s">
        <v>16838</v>
      </c>
      <c r="E12517" s="0" t="inlineStr">
        <is>
          <t xml:space="preserve">Mazda</t>
        </is>
      </c>
      <c r="F12517" s="0" t="inlineStr">
        <is>
          <t xml:space="preserve">Mazda</t>
        </is>
      </c>
      <c r="G12517" s="0" t="s">
        <v>171</v>
      </c>
      <c r="H12517" s="5">
        <v>8.757900</v>
      </c>
    </row>
    <row r="12518" spans="1:9">
      <c r="A12518" s="22" t="str">
        <f>HYPERLINK("https://app.vivvix.com/360/KMI/IntelliDrive/ApplUI/Pages/CreativePages/CustomReportCreativeDetail.aspx?App=23&amp;ReportView=4&amp;Qid=1711279&amp;Row=12510&amp;Col=1","No Title Assigned - #15273203369")</f>
        <v/>
      </c>
      <c r="B12518" s="0" t="s">
        <v>16839</v>
      </c>
      <c r="E12518" s="0" t="inlineStr">
        <is>
          <t xml:space="preserve">Mazda</t>
        </is>
      </c>
      <c r="F12518" s="0" t="inlineStr">
        <is>
          <t xml:space="preserve">Mazda</t>
        </is>
      </c>
      <c r="G12518" s="0" t="s">
        <v>171</v>
      </c>
      <c r="H12518" s="5">
        <v>28.997300</v>
      </c>
    </row>
    <row r="12519" spans="1:9">
      <c r="A12519" s="22" t="str">
        <f>HYPERLINK("https://app.vivvix.com/360/KMI/IntelliDrive/ApplUI/Pages/CreativePages/CustomReportCreativeDetail.aspx?App=23&amp;ReportView=4&amp;Qid=1711279&amp;Row=12511&amp;Col=1","No Title Assigned - #15273203381")</f>
        <v/>
      </c>
      <c r="B12519" s="0" t="s">
        <v>16840</v>
      </c>
      <c r="E12519" s="0" t="inlineStr">
        <is>
          <t xml:space="preserve">Mazda</t>
        </is>
      </c>
      <c r="F12519" s="0" t="inlineStr">
        <is>
          <t xml:space="preserve">Mazda</t>
        </is>
      </c>
      <c r="G12519" s="0" t="s">
        <v>171</v>
      </c>
      <c r="H12519" s="5">
        <v>28.997300</v>
      </c>
    </row>
    <row r="12520" spans="1:9">
      <c r="A12520" s="22" t="str">
        <f>HYPERLINK("https://app.vivvix.com/360/KMI/IntelliDrive/ApplUI/Pages/CreativePages/CustomReportCreativeDetail.aspx?App=23&amp;ReportView=4&amp;Qid=1711279&amp;Row=12512&amp;Col=1","No Title Assigned - #15273203457")</f>
        <v/>
      </c>
      <c r="B12520" s="0" t="s">
        <v>16841</v>
      </c>
      <c r="E12520" s="0" t="inlineStr">
        <is>
          <t xml:space="preserve">Mazda</t>
        </is>
      </c>
      <c r="F12520" s="0" t="inlineStr">
        <is>
          <t xml:space="preserve">Mazda</t>
        </is>
      </c>
      <c r="G12520" s="0" t="s">
        <v>171</v>
      </c>
      <c r="H12520" s="5">
        <v>1.771000</v>
      </c>
    </row>
    <row r="12521" spans="1:9">
      <c r="A12521" s="22" t="str">
        <f>HYPERLINK("https://app.vivvix.com/360/KMI/IntelliDrive/ApplUI/Pages/CreativePages/CustomReportCreativeDetail.aspx?App=23&amp;ReportView=4&amp;Qid=1711279&amp;Row=12513&amp;Col=1","No Title Assigned - #15273203602")</f>
        <v/>
      </c>
      <c r="B12521" s="0" t="s">
        <v>16842</v>
      </c>
      <c r="E12521" s="0" t="inlineStr">
        <is>
          <t xml:space="preserve">Mazda</t>
        </is>
      </c>
      <c r="F12521" s="0" t="inlineStr">
        <is>
          <t xml:space="preserve">Mazda</t>
        </is>
      </c>
      <c r="G12521" s="0" t="s">
        <v>171</v>
      </c>
      <c r="H12521" s="5">
        <v>25.302900</v>
      </c>
    </row>
    <row r="12522" spans="1:9">
      <c r="A12522" s="22" t="str">
        <f>HYPERLINK("https://app.vivvix.com/360/KMI/IntelliDrive/ApplUI/Pages/CreativePages/CustomReportCreativeDetail.aspx?App=23&amp;ReportView=4&amp;Qid=1711279&amp;Row=12514&amp;Col=1","No Title Assigned - #15273203602")</f>
        <v/>
      </c>
      <c r="B12522" s="0" t="s">
        <v>16842</v>
      </c>
      <c r="E12522" s="0" t="inlineStr">
        <is>
          <t xml:space="preserve">Mazda</t>
        </is>
      </c>
      <c r="F12522" s="0" t="inlineStr">
        <is>
          <t xml:space="preserve">Mazda</t>
        </is>
      </c>
      <c r="G12522" s="0" t="s">
        <v>171</v>
      </c>
      <c r="H12522" s="5">
        <v>101.349600</v>
      </c>
    </row>
    <row r="12523" spans="1:9">
      <c r="A12523" s="22" t="str">
        <f>HYPERLINK("https://app.vivvix.com/360/KMI/IntelliDrive/ApplUI/Pages/CreativePages/CustomReportCreativeDetail.aspx?App=23&amp;ReportView=4&amp;Qid=1711279&amp;Row=12515&amp;Col=1","No Title Assigned - #15273203669")</f>
        <v/>
      </c>
      <c r="B12523" s="0" t="s">
        <v>16843</v>
      </c>
      <c r="E12523" s="0" t="inlineStr">
        <is>
          <t xml:space="preserve">Mazda</t>
        </is>
      </c>
      <c r="F12523" s="0" t="inlineStr">
        <is>
          <t xml:space="preserve">Mazda</t>
        </is>
      </c>
      <c r="G12523" s="0" t="s">
        <v>171</v>
      </c>
      <c r="H12523" s="5">
        <v>4.348400</v>
      </c>
    </row>
    <row r="12524" spans="1:9">
      <c r="A12524" s="22" t="str">
        <f>HYPERLINK("https://app.vivvix.com/360/KMI/IntelliDrive/ApplUI/Pages/CreativePages/CustomReportCreativeDetail.aspx?App=23&amp;ReportView=4&amp;Qid=1711279&amp;Row=12516&amp;Col=1","No Title Assigned - #15273203673")</f>
        <v/>
      </c>
      <c r="B12524" s="0" t="s">
        <v>16844</v>
      </c>
      <c r="C12524" s="0" t="s">
        <v>16845</v>
      </c>
      <c r="D12524" s="0" t="s">
        <v>16845</v>
      </c>
      <c r="E12524" s="0" t="inlineStr">
        <is>
          <t xml:space="preserve">Mazda</t>
        </is>
      </c>
      <c r="F12524" s="0" t="inlineStr">
        <is>
          <t xml:space="preserve">Mazda</t>
        </is>
      </c>
      <c r="G12524" s="0" t="s">
        <v>171</v>
      </c>
      <c r="H12524" s="5">
        <v>4.348400</v>
      </c>
    </row>
    <row r="12525" spans="1:9">
      <c r="A12525" s="22" t="str">
        <f>HYPERLINK("https://app.vivvix.com/360/KMI/IntelliDrive/ApplUI/Pages/CreativePages/CustomReportCreativeDetail.aspx?App=23&amp;ReportView=4&amp;Qid=1711279&amp;Row=12517&amp;Col=1","No Title Assigned - #15273203841")</f>
        <v/>
      </c>
      <c r="B12525" s="0" t="s">
        <v>16846</v>
      </c>
      <c r="E12525" s="0" t="inlineStr">
        <is>
          <t xml:space="preserve">Mazda</t>
        </is>
      </c>
      <c r="F12525" s="0" t="inlineStr">
        <is>
          <t xml:space="preserve">Mazda</t>
        </is>
      </c>
      <c r="G12525" s="0" t="s">
        <v>171</v>
      </c>
      <c r="H12525" s="5">
        <v>22.403100</v>
      </c>
    </row>
    <row r="12526" spans="1:9">
      <c r="A12526" s="22" t="str">
        <f>HYPERLINK("https://app.vivvix.com/360/KMI/IntelliDrive/ApplUI/Pages/CreativePages/CustomReportCreativeDetail.aspx?App=23&amp;ReportView=4&amp;Qid=1711279&amp;Row=12518&amp;Col=1","No Title Assigned - #15273203874")</f>
        <v/>
      </c>
      <c r="B12526" s="0" t="s">
        <v>16847</v>
      </c>
      <c r="E12526" s="0" t="inlineStr">
        <is>
          <t xml:space="preserve">Mazda</t>
        </is>
      </c>
      <c r="F12526" s="0" t="inlineStr">
        <is>
          <t xml:space="preserve">Mazda</t>
        </is>
      </c>
      <c r="G12526" s="0" t="s">
        <v>171</v>
      </c>
      <c r="H12526" s="5">
        <v>742.656300</v>
      </c>
    </row>
    <row r="12527" spans="1:9">
      <c r="A12527" s="22" t="str">
        <f>HYPERLINK("https://app.vivvix.com/360/KMI/IntelliDrive/ApplUI/Pages/CreativePages/CustomReportCreativeDetail.aspx?App=23&amp;ReportView=4&amp;Qid=1711279&amp;Row=12519&amp;Col=1","No Title Assigned - #15273203892")</f>
        <v/>
      </c>
      <c r="B12527" s="0" t="s">
        <v>16848</v>
      </c>
      <c r="E12527" s="0" t="inlineStr">
        <is>
          <t xml:space="preserve">Mazda</t>
        </is>
      </c>
      <c r="F12527" s="0" t="inlineStr">
        <is>
          <t xml:space="preserve">Mazda</t>
        </is>
      </c>
      <c r="G12527" s="0" t="s">
        <v>171</v>
      </c>
      <c r="H12527" s="5">
        <v>7.631000</v>
      </c>
    </row>
    <row r="12528" spans="1:9">
      <c r="A12528" s="22" t="str">
        <f>HYPERLINK("https://app.vivvix.com/360/KMI/IntelliDrive/ApplUI/Pages/CreativePages/CustomReportCreativeDetail.aspx?App=23&amp;ReportView=4&amp;Qid=1711279&amp;Row=12520&amp;Col=1","No Title Assigned - #15273203998")</f>
        <v/>
      </c>
      <c r="B12528" s="0" t="s">
        <v>16849</v>
      </c>
      <c r="E12528" s="0" t="inlineStr">
        <is>
          <t xml:space="preserve">Mazda</t>
        </is>
      </c>
      <c r="F12528" s="0" t="inlineStr">
        <is>
          <t xml:space="preserve">Mazda</t>
        </is>
      </c>
      <c r="G12528" s="0" t="s">
        <v>171</v>
      </c>
      <c r="H12528" s="5">
        <v>17.838300</v>
      </c>
    </row>
    <row r="12529" spans="1:9">
      <c r="A12529" s="22" t="str">
        <f>HYPERLINK("https://app.vivvix.com/360/KMI/IntelliDrive/ApplUI/Pages/CreativePages/CustomReportCreativeDetail.aspx?App=23&amp;ReportView=4&amp;Qid=1711279&amp;Row=12521&amp;Col=1","No Title Assigned - #15273204204")</f>
        <v/>
      </c>
      <c r="B12529" s="0" t="s">
        <v>16850</v>
      </c>
      <c r="E12529" s="0" t="inlineStr">
        <is>
          <t xml:space="preserve">Mazda</t>
        </is>
      </c>
      <c r="F12529" s="0" t="inlineStr">
        <is>
          <t xml:space="preserve">Mazda</t>
        </is>
      </c>
      <c r="G12529" s="0" t="s">
        <v>171</v>
      </c>
      <c r="H12529" s="5">
        <v>3082.620400</v>
      </c>
    </row>
    <row r="12530" spans="1:9">
      <c r="A12530" s="22" t="str">
        <f>HYPERLINK("https://app.vivvix.com/360/KMI/IntelliDrive/ApplUI/Pages/CreativePages/CustomReportCreativeDetail.aspx?App=23&amp;ReportView=4&amp;Qid=1711279&amp;Row=12522&amp;Col=1","No Title Assigned - #15273204370")</f>
        <v/>
      </c>
      <c r="B12530" s="0" t="s">
        <v>16851</v>
      </c>
      <c r="E12530" s="0" t="inlineStr">
        <is>
          <t xml:space="preserve">Mazda</t>
        </is>
      </c>
      <c r="F12530" s="0" t="inlineStr">
        <is>
          <t xml:space="preserve">Mazda</t>
        </is>
      </c>
      <c r="G12530" s="0" t="s">
        <v>171</v>
      </c>
      <c r="H12530" s="5">
        <v>6.382400</v>
      </c>
    </row>
    <row r="12531" spans="1:9">
      <c r="A12531" s="22" t="str">
        <f>HYPERLINK("https://app.vivvix.com/360/KMI/IntelliDrive/ApplUI/Pages/CreativePages/CustomReportCreativeDetail.aspx?App=23&amp;ReportView=4&amp;Qid=1711279&amp;Row=12523&amp;Col=1","No Title Assigned - #15273204372")</f>
        <v/>
      </c>
      <c r="B12531" s="0" t="s">
        <v>16852</v>
      </c>
      <c r="E12531" s="0" t="inlineStr">
        <is>
          <t xml:space="preserve">Mazda</t>
        </is>
      </c>
      <c r="F12531" s="0" t="inlineStr">
        <is>
          <t xml:space="preserve">Mazda</t>
        </is>
      </c>
      <c r="G12531" s="0" t="s">
        <v>171</v>
      </c>
      <c r="H12531" s="5">
        <v>16778.078100</v>
      </c>
    </row>
    <row r="12532" spans="1:9">
      <c r="A12532" s="22" t="str">
        <f>HYPERLINK("https://app.vivvix.com/360/KMI/IntelliDrive/ApplUI/Pages/CreativePages/CustomReportCreativeDetail.aspx?App=23&amp;ReportView=4&amp;Qid=1711279&amp;Row=12524&amp;Col=1","No Title Assigned - #15273204372")</f>
        <v/>
      </c>
      <c r="B12532" s="0" t="s">
        <v>16852</v>
      </c>
      <c r="E12532" s="0" t="inlineStr">
        <is>
          <t xml:space="preserve">Mazda</t>
        </is>
      </c>
      <c r="F12532" s="0" t="inlineStr">
        <is>
          <t xml:space="preserve">Mazda</t>
        </is>
      </c>
      <c r="G12532" s="0" t="s">
        <v>171</v>
      </c>
      <c r="H12532" s="5">
        <v>770.655100</v>
      </c>
    </row>
    <row r="12533" spans="1:9">
      <c r="A12533" s="22" t="str">
        <f>HYPERLINK("https://app.vivvix.com/360/KMI/IntelliDrive/ApplUI/Pages/CreativePages/CustomReportCreativeDetail.aspx?App=23&amp;ReportView=4&amp;Qid=1711279&amp;Row=12525&amp;Col=1","No Title Assigned - #15273204450")</f>
        <v/>
      </c>
      <c r="B12533" s="0" t="s">
        <v>16853</v>
      </c>
      <c r="E12533" s="0" t="inlineStr">
        <is>
          <t xml:space="preserve">Mazda</t>
        </is>
      </c>
      <c r="F12533" s="0" t="inlineStr">
        <is>
          <t xml:space="preserve">Mazda</t>
        </is>
      </c>
      <c r="G12533" s="0" t="s">
        <v>171</v>
      </c>
      <c r="H12533" s="5">
        <v>37007.089500</v>
      </c>
    </row>
    <row r="12534" spans="1:9">
      <c r="A12534" s="22" t="str">
        <f>HYPERLINK("https://app.vivvix.com/360/KMI/IntelliDrive/ApplUI/Pages/CreativePages/CustomReportCreativeDetail.aspx?App=23&amp;ReportView=4&amp;Qid=1711279&amp;Row=12526&amp;Col=1","No Title Assigned - #15273204478")</f>
        <v/>
      </c>
      <c r="B12534" s="0" t="s">
        <v>16854</v>
      </c>
      <c r="E12534" s="0" t="inlineStr">
        <is>
          <t xml:space="preserve">Mazda</t>
        </is>
      </c>
      <c r="F12534" s="0" t="inlineStr">
        <is>
          <t xml:space="preserve">Mazda</t>
        </is>
      </c>
      <c r="G12534" s="0" t="s">
        <v>171</v>
      </c>
      <c r="H12534" s="5">
        <v>9.456400</v>
      </c>
    </row>
    <row r="12535" spans="1:9">
      <c r="A12535" s="22" t="str">
        <f>HYPERLINK("https://app.vivvix.com/360/KMI/IntelliDrive/ApplUI/Pages/CreativePages/CustomReportCreativeDetail.aspx?App=23&amp;ReportView=4&amp;Qid=1711279&amp;Row=12527&amp;Col=1","No Title Assigned - #15273204761")</f>
        <v/>
      </c>
      <c r="B12535" s="0" t="s">
        <v>16855</v>
      </c>
      <c r="E12535" s="0" t="inlineStr">
        <is>
          <t xml:space="preserve">Mazda</t>
        </is>
      </c>
      <c r="F12535" s="0" t="inlineStr">
        <is>
          <t xml:space="preserve">Mazda</t>
        </is>
      </c>
      <c r="G12535" s="0" t="s">
        <v>171</v>
      </c>
      <c r="H12535" s="5">
        <v>82.628100</v>
      </c>
    </row>
    <row r="12536" spans="1:9">
      <c r="A12536" s="22" t="str">
        <f>HYPERLINK("https://app.vivvix.com/360/KMI/IntelliDrive/ApplUI/Pages/CreativePages/CustomReportCreativeDetail.aspx?App=23&amp;ReportView=4&amp;Qid=1711279&amp;Row=12528&amp;Col=1","No Title Assigned - #15273205855")</f>
        <v/>
      </c>
      <c r="B12536" s="0" t="s">
        <v>16856</v>
      </c>
      <c r="C12536" s="0" t="s">
        <v>16857</v>
      </c>
      <c r="D12536" s="0" t="s">
        <v>16857</v>
      </c>
      <c r="E12536" s="0" t="inlineStr">
        <is>
          <t xml:space="preserve">Mazda</t>
        </is>
      </c>
      <c r="F12536" s="0" t="s">
        <v>13</v>
      </c>
      <c r="G12536" s="0" t="s">
        <v>49</v>
      </c>
      <c r="H12536" s="5">
        <v>33.842000</v>
      </c>
    </row>
    <row r="12537" spans="1:9">
      <c r="A12537" s="22" t="str">
        <f>HYPERLINK("https://app.vivvix.com/360/KMI/IntelliDrive/ApplUI/Pages/CreativePages/CustomReportCreativeDetail.aspx?App=23&amp;ReportView=4&amp;Qid=1711279&amp;Row=12529&amp;Col=1","No Title Assigned - #15273205944")</f>
        <v/>
      </c>
      <c r="B12537" s="0" t="s">
        <v>16858</v>
      </c>
      <c r="C12537" s="0" t="s">
        <v>16859</v>
      </c>
      <c r="D12537" s="0" t="s">
        <v>16859</v>
      </c>
      <c r="E12537" s="0" t="inlineStr">
        <is>
          <t xml:space="preserve">Mazda</t>
        </is>
      </c>
      <c r="F12537" s="0" t="inlineStr">
        <is>
          <t xml:space="preserve">Mazda</t>
        </is>
      </c>
      <c r="G12537" s="0" t="s">
        <v>171</v>
      </c>
      <c r="H12537" s="5">
        <v>10.222900</v>
      </c>
    </row>
    <row r="12538" spans="1:9">
      <c r="A12538" s="22" t="str">
        <f>HYPERLINK("https://app.vivvix.com/360/KMI/IntelliDrive/ApplUI/Pages/CreativePages/CustomReportCreativeDetail.aspx?App=23&amp;ReportView=4&amp;Qid=1711279&amp;Row=12530&amp;Col=1","No Title Assigned - #15273206555")</f>
        <v/>
      </c>
      <c r="B12538" s="0" t="s">
        <v>16860</v>
      </c>
      <c r="E12538" s="0" t="inlineStr">
        <is>
          <t xml:space="preserve">Mazda</t>
        </is>
      </c>
      <c r="F12538" s="0" t="inlineStr">
        <is>
          <t xml:space="preserve">Mazda</t>
        </is>
      </c>
      <c r="G12538" s="0" t="s">
        <v>171</v>
      </c>
      <c r="H12538" s="5">
        <v>336.968300</v>
      </c>
    </row>
    <row r="12539" spans="1:9">
      <c r="A12539" s="22" t="str">
        <f>HYPERLINK("https://app.vivvix.com/360/KMI/IntelliDrive/ApplUI/Pages/CreativePages/CustomReportCreativeDetail.aspx?App=23&amp;ReportView=4&amp;Qid=1711279&amp;Row=12531&amp;Col=1","No Title Assigned - #15273206555")</f>
        <v/>
      </c>
      <c r="B12539" s="0" t="s">
        <v>16860</v>
      </c>
      <c r="E12539" s="0" t="inlineStr">
        <is>
          <t xml:space="preserve">Mazda</t>
        </is>
      </c>
      <c r="F12539" s="0" t="inlineStr">
        <is>
          <t xml:space="preserve">Mazda</t>
        </is>
      </c>
      <c r="G12539" s="0" t="s">
        <v>171</v>
      </c>
      <c r="H12539" s="5">
        <v>1489.897300</v>
      </c>
    </row>
    <row r="12540" spans="1:9">
      <c r="A12540" s="22" t="str">
        <f>HYPERLINK("https://app.vivvix.com/360/KMI/IntelliDrive/ApplUI/Pages/CreativePages/CustomReportCreativeDetail.aspx?App=23&amp;ReportView=4&amp;Qid=1711279&amp;Row=12532&amp;Col=1","No Title Assigned - #15273207328")</f>
        <v/>
      </c>
      <c r="B12540" s="0" t="s">
        <v>16861</v>
      </c>
      <c r="E12540" s="0" t="inlineStr">
        <is>
          <t xml:space="preserve">Mazda</t>
        </is>
      </c>
      <c r="F12540" s="0" t="inlineStr">
        <is>
          <t xml:space="preserve">Mazda</t>
        </is>
      </c>
      <c r="G12540" s="0" t="s">
        <v>171</v>
      </c>
      <c r="H12540" s="5">
        <v>236.713000</v>
      </c>
    </row>
    <row r="12541" spans="1:9">
      <c r="A12541" s="22" t="str">
        <f>HYPERLINK("https://app.vivvix.com/360/KMI/IntelliDrive/ApplUI/Pages/CreativePages/CustomReportCreativeDetail.aspx?App=23&amp;ReportView=4&amp;Qid=1711279&amp;Row=12533&amp;Col=1","No Title Assigned - #15273207480")</f>
        <v/>
      </c>
      <c r="B12541" s="0" t="s">
        <v>16862</v>
      </c>
      <c r="E12541" s="0" t="inlineStr">
        <is>
          <t xml:space="preserve">Mazda</t>
        </is>
      </c>
      <c r="F12541" s="0" t="inlineStr">
        <is>
          <t xml:space="preserve">Mazda</t>
        </is>
      </c>
      <c r="G12541" s="0" t="s">
        <v>171</v>
      </c>
      <c r="H12541" s="5">
        <v>91.681000</v>
      </c>
    </row>
    <row r="12542" spans="1:9">
      <c r="A12542" s="22" t="str">
        <f>HYPERLINK("https://app.vivvix.com/360/KMI/IntelliDrive/ApplUI/Pages/CreativePages/CustomReportCreativeDetail.aspx?App=23&amp;ReportView=4&amp;Qid=1711279&amp;Row=12534&amp;Col=1","No Title Assigned - #15273216506")</f>
        <v/>
      </c>
      <c r="B12542" s="0" t="s">
        <v>16863</v>
      </c>
      <c r="E12542" s="0" t="inlineStr">
        <is>
          <t xml:space="preserve">Mazda</t>
        </is>
      </c>
      <c r="F12542" s="0" t="inlineStr">
        <is>
          <t xml:space="preserve">Mazda</t>
        </is>
      </c>
      <c r="G12542" s="0" t="s">
        <v>171</v>
      </c>
      <c r="H12542" s="5">
        <v>963.156000</v>
      </c>
    </row>
    <row r="12543" spans="1:9">
      <c r="A12543" s="22" t="str">
        <f>HYPERLINK("https://app.vivvix.com/360/KMI/IntelliDrive/ApplUI/Pages/CreativePages/CustomReportCreativeDetail.aspx?App=23&amp;ReportView=4&amp;Qid=1711279&amp;Row=12535&amp;Col=1","No Title Assigned - #15273217080")</f>
        <v/>
      </c>
      <c r="B12543" s="0" t="s">
        <v>16864</v>
      </c>
      <c r="E12543" s="0" t="inlineStr">
        <is>
          <t xml:space="preserve">Mazda</t>
        </is>
      </c>
      <c r="F12543" s="0" t="inlineStr">
        <is>
          <t xml:space="preserve">Mazda</t>
        </is>
      </c>
      <c r="G12543" s="0" t="s">
        <v>171</v>
      </c>
      <c r="H12543" s="5">
        <v>11.184200</v>
      </c>
    </row>
    <row r="12544" spans="1:9">
      <c r="A12544" s="22" t="str">
        <f>HYPERLINK("https://app.vivvix.com/360/KMI/IntelliDrive/ApplUI/Pages/CreativePages/CustomReportCreativeDetail.aspx?App=23&amp;ReportView=4&amp;Qid=1711279&amp;Row=12536&amp;Col=1","No Title Assigned - #15273217080")</f>
        <v/>
      </c>
      <c r="B12544" s="0" t="s">
        <v>16864</v>
      </c>
      <c r="E12544" s="0" t="inlineStr">
        <is>
          <t xml:space="preserve">Mazda</t>
        </is>
      </c>
      <c r="F12544" s="0" t="inlineStr">
        <is>
          <t xml:space="preserve">Mazda</t>
        </is>
      </c>
      <c r="G12544" s="0" t="s">
        <v>171</v>
      </c>
      <c r="H12544" s="5">
        <v>921.452000</v>
      </c>
    </row>
    <row r="12545" spans="1:9">
      <c r="A12545" s="22" t="str">
        <f>HYPERLINK("https://app.vivvix.com/360/KMI/IntelliDrive/ApplUI/Pages/CreativePages/CustomReportCreativeDetail.aspx?App=23&amp;ReportView=4&amp;Qid=1711279&amp;Row=12537&amp;Col=1","No Title Assigned - #15273217377")</f>
        <v/>
      </c>
      <c r="B12545" s="0" t="s">
        <v>16865</v>
      </c>
      <c r="E12545" s="0" t="inlineStr">
        <is>
          <t xml:space="preserve">Mazda</t>
        </is>
      </c>
      <c r="F12545" s="0" t="inlineStr">
        <is>
          <t xml:space="preserve">Mazda</t>
        </is>
      </c>
      <c r="G12545" s="0" t="s">
        <v>171</v>
      </c>
      <c r="H12545" s="5">
        <v>29629.093800</v>
      </c>
    </row>
    <row r="12546" spans="1:9">
      <c r="A12546" s="22" t="str">
        <f>HYPERLINK("https://app.vivvix.com/360/KMI/IntelliDrive/ApplUI/Pages/CreativePages/CustomReportCreativeDetail.aspx?App=23&amp;ReportView=4&amp;Qid=1711279&amp;Row=12538&amp;Col=1","No Title Assigned - #15273217377")</f>
        <v/>
      </c>
      <c r="B12546" s="0" t="s">
        <v>16865</v>
      </c>
      <c r="E12546" s="0" t="inlineStr">
        <is>
          <t xml:space="preserve">Mazda</t>
        </is>
      </c>
      <c r="F12546" s="0" t="inlineStr">
        <is>
          <t xml:space="preserve">Mazda</t>
        </is>
      </c>
      <c r="G12546" s="0" t="s">
        <v>171</v>
      </c>
      <c r="H12546" s="5">
        <v>401.283000</v>
      </c>
    </row>
    <row r="12547" spans="1:9">
      <c r="A12547" s="22" t="str">
        <f>HYPERLINK("https://app.vivvix.com/360/KMI/IntelliDrive/ApplUI/Pages/CreativePages/CustomReportCreativeDetail.aspx?App=23&amp;ReportView=4&amp;Qid=1711279&amp;Row=12539&amp;Col=1","No Title Assigned - #15273218004")</f>
        <v/>
      </c>
      <c r="B12547" s="0" t="s">
        <v>16866</v>
      </c>
      <c r="E12547" s="0" t="inlineStr">
        <is>
          <t xml:space="preserve">Mazda</t>
        </is>
      </c>
      <c r="F12547" s="0" t="inlineStr">
        <is>
          <t xml:space="preserve">Mazda</t>
        </is>
      </c>
      <c r="G12547" s="0" t="s">
        <v>171</v>
      </c>
      <c r="H12547" s="5">
        <v>3.732900</v>
      </c>
    </row>
    <row r="12548" spans="1:9">
      <c r="A12548" s="22" t="str">
        <f>HYPERLINK("https://app.vivvix.com/360/KMI/IntelliDrive/ApplUI/Pages/CreativePages/CustomReportCreativeDetail.aspx?App=23&amp;ReportView=4&amp;Qid=1711279&amp;Row=12540&amp;Col=1","No Title Assigned - #15273218149")</f>
        <v/>
      </c>
      <c r="B12548" s="0" t="s">
        <v>16867</v>
      </c>
      <c r="E12548" s="0" t="inlineStr">
        <is>
          <t xml:space="preserve">Mazda</t>
        </is>
      </c>
      <c r="F12548" s="0" t="inlineStr">
        <is>
          <t xml:space="preserve">Mazda</t>
        </is>
      </c>
      <c r="G12548" s="0" t="s">
        <v>171</v>
      </c>
      <c r="H12548" s="5">
        <v>25.342300</v>
      </c>
    </row>
    <row r="12549" spans="1:9">
      <c r="A12549" s="22" t="str">
        <f>HYPERLINK("https://app.vivvix.com/360/KMI/IntelliDrive/ApplUI/Pages/CreativePages/CustomReportCreativeDetail.aspx?App=23&amp;ReportView=4&amp;Qid=1711279&amp;Row=12541&amp;Col=1","No Title Assigned - #15273227649")</f>
        <v/>
      </c>
      <c r="B12549" s="0" t="s">
        <v>16868</v>
      </c>
      <c r="C12549" s="0" t="s">
        <v>16869</v>
      </c>
      <c r="D12549" s="0" t="s">
        <v>4202</v>
      </c>
      <c r="E12549" s="0" t="inlineStr">
        <is>
          <t xml:space="preserve">Mazda</t>
        </is>
      </c>
      <c r="F12549" s="0" t="s">
        <v>28</v>
      </c>
      <c r="G12549" s="0" t="s">
        <v>29</v>
      </c>
      <c r="H12549" s="5">
        <v>204.148600</v>
      </c>
    </row>
    <row r="12550" spans="1:9">
      <c r="A12550" s="22" t="str">
        <f>HYPERLINK("https://app.vivvix.com/360/KMI/IntelliDrive/ApplUI/Pages/CreativePages/CustomReportCreativeDetail.aspx?App=23&amp;ReportView=4&amp;Qid=1711279&amp;Row=12542&amp;Col=1","No Title Assigned - #15273233289")</f>
        <v/>
      </c>
      <c r="B12550" s="0" t="s">
        <v>16870</v>
      </c>
      <c r="C12550" s="0" t="s">
        <v>16871</v>
      </c>
      <c r="D12550" s="0" t="s">
        <v>10059</v>
      </c>
      <c r="E12550" s="0" t="inlineStr">
        <is>
          <t xml:space="preserve">Mazda</t>
        </is>
      </c>
      <c r="F12550" s="0" t="s">
        <v>13</v>
      </c>
      <c r="G12550" s="0" t="s">
        <v>49</v>
      </c>
      <c r="H12550" s="5">
        <v>37.144800</v>
      </c>
    </row>
    <row r="12551" spans="1:9">
      <c r="A12551" s="22" t="str">
        <f>HYPERLINK("https://app.vivvix.com/360/KMI/IntelliDrive/ApplUI/Pages/CreativePages/CustomReportCreativeDetail.aspx?App=23&amp;ReportView=4&amp;Qid=1711279&amp;Row=12543&amp;Col=1","No Title Assigned - #15273234534")</f>
        <v/>
      </c>
      <c r="B12551" s="0" t="s">
        <v>16872</v>
      </c>
      <c r="C12551" s="0" t="s">
        <v>16873</v>
      </c>
      <c r="D12551" s="0" t="s">
        <v>6044</v>
      </c>
      <c r="E12551" s="0" t="inlineStr">
        <is>
          <t xml:space="preserve">Mazda</t>
        </is>
      </c>
      <c r="F12551" s="0" t="s">
        <v>13</v>
      </c>
      <c r="G12551" s="0" t="s">
        <v>49</v>
      </c>
      <c r="H12551" s="5">
        <v>104.667000</v>
      </c>
    </row>
    <row r="12552" spans="1:9">
      <c r="A12552" s="22" t="str">
        <f>HYPERLINK("https://app.vivvix.com/360/KMI/IntelliDrive/ApplUI/Pages/CreativePages/CustomReportCreativeDetail.aspx?App=23&amp;ReportView=4&amp;Qid=1711279&amp;Row=12544&amp;Col=1","No Title Assigned - #15273234877")</f>
        <v/>
      </c>
      <c r="B12552" s="0" t="s">
        <v>16874</v>
      </c>
      <c r="C12552" s="0" t="s">
        <v>16875</v>
      </c>
      <c r="D12552" s="0" t="s">
        <v>4200</v>
      </c>
      <c r="E12552" s="0" t="inlineStr">
        <is>
          <t xml:space="preserve">Mazda</t>
        </is>
      </c>
      <c r="F12552" s="0" t="s">
        <v>28</v>
      </c>
      <c r="G12552" s="0" t="s">
        <v>29</v>
      </c>
      <c r="H12552" s="5">
        <v>41.641900</v>
      </c>
    </row>
    <row r="12553" spans="1:9">
      <c r="A12553" s="22" t="str">
        <f>HYPERLINK("https://app.vivvix.com/360/KMI/IntelliDrive/ApplUI/Pages/CreativePages/CustomReportCreativeDetail.aspx?App=23&amp;ReportView=4&amp;Qid=1711279&amp;Row=12545&amp;Col=1","No Title Assigned - #15273237754")</f>
        <v/>
      </c>
      <c r="B12553" s="0" t="s">
        <v>16876</v>
      </c>
      <c r="E12553" s="0" t="inlineStr">
        <is>
          <t xml:space="preserve">Mazda</t>
        </is>
      </c>
      <c r="F12553" s="0" t="inlineStr">
        <is>
          <t xml:space="preserve">Mazda</t>
        </is>
      </c>
      <c r="G12553" s="0" t="s">
        <v>171</v>
      </c>
      <c r="H12553" s="5">
        <v>37.980100</v>
      </c>
    </row>
    <row r="12554" spans="1:9">
      <c r="A12554" s="22" t="str">
        <f>HYPERLINK("https://app.vivvix.com/360/KMI/IntelliDrive/ApplUI/Pages/CreativePages/CustomReportCreativeDetail.aspx?App=23&amp;ReportView=4&amp;Qid=1711279&amp;Row=12546&amp;Col=1","No Title Assigned - #15273239644")</f>
        <v/>
      </c>
      <c r="B12554" s="0" t="s">
        <v>16877</v>
      </c>
      <c r="C12554" s="0" t="s">
        <v>16878</v>
      </c>
      <c r="D12554" s="0" t="s">
        <v>16878</v>
      </c>
      <c r="E12554" s="0" t="inlineStr">
        <is>
          <t xml:space="preserve">Mazda</t>
        </is>
      </c>
      <c r="F12554" s="0" t="s">
        <v>28</v>
      </c>
      <c r="G12554" s="0" t="s">
        <v>29</v>
      </c>
      <c r="H12554" s="5">
        <v>14.191000</v>
      </c>
    </row>
    <row r="12555" spans="1:9">
      <c r="A12555" s="22" t="str">
        <f>HYPERLINK("https://app.vivvix.com/360/KMI/IntelliDrive/ApplUI/Pages/CreativePages/CustomReportCreativeDetail.aspx?App=23&amp;ReportView=4&amp;Qid=1711279&amp;Row=12547&amp;Col=1","No Title Assigned - #15273239647")</f>
        <v/>
      </c>
      <c r="B12555" s="0" t="s">
        <v>16879</v>
      </c>
      <c r="C12555" s="0" t="s">
        <v>16880</v>
      </c>
      <c r="D12555" s="0" t="s">
        <v>16880</v>
      </c>
      <c r="E12555" s="0" t="inlineStr">
        <is>
          <t xml:space="preserve">Mazda</t>
        </is>
      </c>
      <c r="F12555" s="0" t="s">
        <v>28</v>
      </c>
      <c r="G12555" s="0" t="s">
        <v>29</v>
      </c>
      <c r="H12555" s="5">
        <v>1041.617400</v>
      </c>
    </row>
    <row r="12556" spans="1:9">
      <c r="A12556" s="22" t="str">
        <f>HYPERLINK("https://app.vivvix.com/360/KMI/IntelliDrive/ApplUI/Pages/CreativePages/CustomReportCreativeDetail.aspx?App=23&amp;ReportView=4&amp;Qid=1711279&amp;Row=12548&amp;Col=1","No Title Assigned - #15273239647")</f>
        <v/>
      </c>
      <c r="B12556" s="0" t="s">
        <v>16879</v>
      </c>
      <c r="E12556" s="0" t="inlineStr">
        <is>
          <t xml:space="preserve">Mazda</t>
        </is>
      </c>
      <c r="F12556" s="0" t="s">
        <v>28</v>
      </c>
      <c r="G12556" s="0" t="s">
        <v>29</v>
      </c>
      <c r="H12556" s="5">
        <v>5009.861800</v>
      </c>
    </row>
    <row r="12557" spans="1:9">
      <c r="A12557" s="22" t="str">
        <f>HYPERLINK("https://app.vivvix.com/360/KMI/IntelliDrive/ApplUI/Pages/CreativePages/CustomReportCreativeDetail.aspx?App=23&amp;ReportView=4&amp;Qid=1711279&amp;Row=12549&amp;Col=1","No Title Assigned - #15273245526")</f>
        <v/>
      </c>
      <c r="B12557" s="0" t="s">
        <v>16881</v>
      </c>
      <c r="C12557" s="0" t="s">
        <v>16882</v>
      </c>
      <c r="D12557" s="0" t="s">
        <v>16882</v>
      </c>
      <c r="E12557" s="0" t="inlineStr">
        <is>
          <t xml:space="preserve">Mazda</t>
        </is>
      </c>
      <c r="F12557" s="0" t="s">
        <v>28</v>
      </c>
      <c r="G12557" s="0" t="s">
        <v>29</v>
      </c>
      <c r="H12557" s="5">
        <v>1263.477900</v>
      </c>
    </row>
    <row r="12558" spans="1:9">
      <c r="A12558" s="22" t="str">
        <f>HYPERLINK("https://app.vivvix.com/360/KMI/IntelliDrive/ApplUI/Pages/CreativePages/CustomReportCreativeDetail.aspx?App=23&amp;ReportView=4&amp;Qid=1711279&amp;Row=12550&amp;Col=1","No Title Assigned - #15273246057")</f>
        <v/>
      </c>
      <c r="B12558" s="0" t="s">
        <v>16883</v>
      </c>
      <c r="C12558" s="0" t="s">
        <v>16884</v>
      </c>
      <c r="D12558" s="0" t="s">
        <v>16884</v>
      </c>
      <c r="E12558" s="0" t="inlineStr">
        <is>
          <t xml:space="preserve">Mazda</t>
        </is>
      </c>
      <c r="F12558" s="0" t="s">
        <v>13</v>
      </c>
      <c r="G12558" s="0" t="s">
        <v>49</v>
      </c>
      <c r="H12558" s="5">
        <v>246.718100</v>
      </c>
    </row>
    <row r="12559" spans="1:9">
      <c r="A12559" s="22" t="str">
        <f>HYPERLINK("https://app.vivvix.com/360/KMI/IntelliDrive/ApplUI/Pages/CreativePages/CustomReportCreativeDetail.aspx?App=23&amp;ReportView=4&amp;Qid=1711279&amp;Row=12551&amp;Col=1","No Title Assigned - #15273246822")</f>
        <v/>
      </c>
      <c r="B12559" s="0" t="s">
        <v>16885</v>
      </c>
      <c r="C12559" s="0" t="s">
        <v>16886</v>
      </c>
      <c r="D12559" s="0" t="s">
        <v>4798</v>
      </c>
      <c r="E12559" s="0" t="inlineStr">
        <is>
          <t xml:space="preserve">Mazda</t>
        </is>
      </c>
      <c r="F12559" s="0" t="s">
        <v>28</v>
      </c>
      <c r="G12559" s="0" t="s">
        <v>29</v>
      </c>
      <c r="H12559" s="5">
        <v>255.595500</v>
      </c>
    </row>
    <row r="12560" spans="1:9">
      <c r="A12560" s="22" t="str">
        <f>HYPERLINK("https://app.vivvix.com/360/KMI/IntelliDrive/ApplUI/Pages/CreativePages/CustomReportCreativeDetail.aspx?App=23&amp;ReportView=4&amp;Qid=1711279&amp;Row=12552&amp;Col=1","No Title Assigned - #15273248138")</f>
        <v/>
      </c>
      <c r="B12560" s="0" t="s">
        <v>16887</v>
      </c>
      <c r="E12560" s="0" t="inlineStr">
        <is>
          <t xml:space="preserve">Mazda</t>
        </is>
      </c>
      <c r="F12560" s="0" t="inlineStr">
        <is>
          <t xml:space="preserve">Mazda</t>
        </is>
      </c>
      <c r="G12560" s="0" t="s">
        <v>171</v>
      </c>
      <c r="H12560" s="5">
        <v>261.112500</v>
      </c>
    </row>
    <row r="12561" spans="1:9">
      <c r="A12561" s="22" t="str">
        <f>HYPERLINK("https://app.vivvix.com/360/KMI/IntelliDrive/ApplUI/Pages/CreativePages/CustomReportCreativeDetail.aspx?App=23&amp;ReportView=4&amp;Qid=1711279&amp;Row=12553&amp;Col=1","No Title Assigned - #15273248715")</f>
        <v/>
      </c>
      <c r="B12561" s="0" t="s">
        <v>16888</v>
      </c>
      <c r="E12561" s="0" t="inlineStr">
        <is>
          <t xml:space="preserve">Mazda</t>
        </is>
      </c>
      <c r="F12561" s="0" t="inlineStr">
        <is>
          <t xml:space="preserve">Mazda</t>
        </is>
      </c>
      <c r="G12561" s="0" t="s">
        <v>171</v>
      </c>
      <c r="H12561" s="5">
        <v>3.459400</v>
      </c>
    </row>
    <row r="12562" spans="1:9">
      <c r="A12562" s="22" t="str">
        <f>HYPERLINK("https://app.vivvix.com/360/KMI/IntelliDrive/ApplUI/Pages/CreativePages/CustomReportCreativeDetail.aspx?App=23&amp;ReportView=4&amp;Qid=1711279&amp;Row=12554&amp;Col=1","No Title Assigned - #15273251017")</f>
        <v/>
      </c>
      <c r="B12562" s="0" t="s">
        <v>16889</v>
      </c>
      <c r="E12562" s="0" t="inlineStr">
        <is>
          <t xml:space="preserve">Mazda</t>
        </is>
      </c>
      <c r="F12562" s="0" t="inlineStr">
        <is>
          <t xml:space="preserve">Mazda</t>
        </is>
      </c>
      <c r="G12562" s="0" t="s">
        <v>171</v>
      </c>
      <c r="H12562" s="5">
        <v>81.360800</v>
      </c>
    </row>
    <row r="12563" spans="1:9">
      <c r="A12563" s="22" t="str">
        <f>HYPERLINK("https://app.vivvix.com/360/KMI/IntelliDrive/ApplUI/Pages/CreativePages/CustomReportCreativeDetail.aspx?App=23&amp;ReportView=4&amp;Qid=1711279&amp;Row=12555&amp;Col=1","No Title Assigned - #15273251730")</f>
        <v/>
      </c>
      <c r="B12563" s="0" t="s">
        <v>16890</v>
      </c>
      <c r="E12563" s="0" t="inlineStr">
        <is>
          <t xml:space="preserve">Mazda</t>
        </is>
      </c>
      <c r="F12563" s="0" t="inlineStr">
        <is>
          <t xml:space="preserve">Mazda</t>
        </is>
      </c>
      <c r="G12563" s="0" t="s">
        <v>171</v>
      </c>
      <c r="H12563" s="5">
        <v>5387.079900</v>
      </c>
    </row>
    <row r="12564" spans="1:9">
      <c r="A12564" s="22" t="str">
        <f>HYPERLINK("https://app.vivvix.com/360/KMI/IntelliDrive/ApplUI/Pages/CreativePages/CustomReportCreativeDetail.aspx?App=23&amp;ReportView=4&amp;Qid=1711279&amp;Row=12556&amp;Col=1","No Title Assigned - #15273253475")</f>
        <v/>
      </c>
      <c r="B12564" s="0" t="s">
        <v>16891</v>
      </c>
      <c r="E12564" s="0" t="inlineStr">
        <is>
          <t xml:space="preserve">Mazda</t>
        </is>
      </c>
      <c r="F12564" s="0" t="inlineStr">
        <is>
          <t xml:space="preserve">Mazda</t>
        </is>
      </c>
      <c r="G12564" s="0" t="s">
        <v>171</v>
      </c>
      <c r="H12564" s="5">
        <v>124.674900</v>
      </c>
    </row>
    <row r="12565" spans="1:9">
      <c r="A12565" s="22" t="str">
        <f>HYPERLINK("https://app.vivvix.com/360/KMI/IntelliDrive/ApplUI/Pages/CreativePages/CustomReportCreativeDetail.aspx?App=23&amp;ReportView=4&amp;Qid=1711279&amp;Row=12557&amp;Col=1","No Title Assigned - #15273253667")</f>
        <v/>
      </c>
      <c r="B12565" s="0" t="s">
        <v>16892</v>
      </c>
      <c r="E12565" s="0" t="inlineStr">
        <is>
          <t xml:space="preserve">Mazda</t>
        </is>
      </c>
      <c r="F12565" s="0" t="inlineStr">
        <is>
          <t xml:space="preserve">Mazda</t>
        </is>
      </c>
      <c r="G12565" s="0" t="s">
        <v>171</v>
      </c>
      <c r="H12565" s="5">
        <v>3893.889400</v>
      </c>
    </row>
    <row r="12566" spans="1:9">
      <c r="A12566" s="22" t="str">
        <f>HYPERLINK("https://app.vivvix.com/360/KMI/IntelliDrive/ApplUI/Pages/CreativePages/CustomReportCreativeDetail.aspx?App=23&amp;ReportView=4&amp;Qid=1711279&amp;Row=12558&amp;Col=1","No Title Assigned - #15273253958")</f>
        <v/>
      </c>
      <c r="B12566" s="0" t="s">
        <v>16893</v>
      </c>
      <c r="E12566" s="0" t="inlineStr">
        <is>
          <t xml:space="preserve">Mazda</t>
        </is>
      </c>
      <c r="F12566" s="0" t="inlineStr">
        <is>
          <t xml:space="preserve">Mazda</t>
        </is>
      </c>
      <c r="G12566" s="0" t="s">
        <v>171</v>
      </c>
      <c r="H12566" s="5">
        <v>19.185600</v>
      </c>
    </row>
    <row r="12567" spans="1:9">
      <c r="A12567" s="22" t="str">
        <f>HYPERLINK("https://app.vivvix.com/360/KMI/IntelliDrive/ApplUI/Pages/CreativePages/CustomReportCreativeDetail.aspx?App=23&amp;ReportView=4&amp;Qid=1711279&amp;Row=12559&amp;Col=1","No Title Assigned - #15273254385")</f>
        <v/>
      </c>
      <c r="B12567" s="0" t="s">
        <v>16894</v>
      </c>
      <c r="E12567" s="0" t="inlineStr">
        <is>
          <t xml:space="preserve">Mazda</t>
        </is>
      </c>
      <c r="F12567" s="0" t="inlineStr">
        <is>
          <t xml:space="preserve">Mazda</t>
        </is>
      </c>
      <c r="G12567" s="0" t="s">
        <v>171</v>
      </c>
      <c r="H12567" s="5">
        <v>107.521200</v>
      </c>
    </row>
    <row r="12568" spans="1:9">
      <c r="A12568" s="22" t="str">
        <f>HYPERLINK("https://app.vivvix.com/360/KMI/IntelliDrive/ApplUI/Pages/CreativePages/CustomReportCreativeDetail.aspx?App=23&amp;ReportView=4&amp;Qid=1711279&amp;Row=12560&amp;Col=1","No Title Assigned - #15273254868")</f>
        <v/>
      </c>
      <c r="B12568" s="0" t="s">
        <v>16895</v>
      </c>
      <c r="E12568" s="0" t="inlineStr">
        <is>
          <t xml:space="preserve">Mazda</t>
        </is>
      </c>
      <c r="F12568" s="0" t="inlineStr">
        <is>
          <t xml:space="preserve">Mazda</t>
        </is>
      </c>
      <c r="G12568" s="0" t="s">
        <v>171</v>
      </c>
      <c r="H12568" s="5">
        <v>16.660200</v>
      </c>
    </row>
    <row r="12569" spans="1:9">
      <c r="A12569" s="22" t="str">
        <f>HYPERLINK("https://app.vivvix.com/360/KMI/IntelliDrive/ApplUI/Pages/CreativePages/CustomReportCreativeDetail.aspx?App=23&amp;ReportView=4&amp;Qid=1711279&amp;Row=12561&amp;Col=1","No Title Assigned - #15273255813")</f>
        <v/>
      </c>
      <c r="B12569" s="0" t="s">
        <v>16896</v>
      </c>
      <c r="C12569" s="0" t="s">
        <v>16897</v>
      </c>
      <c r="D12569" s="0" t="s">
        <v>9676</v>
      </c>
      <c r="E12569" s="0" t="inlineStr">
        <is>
          <t xml:space="preserve">Mazda</t>
        </is>
      </c>
      <c r="F12569" s="0" t="s">
        <v>13</v>
      </c>
      <c r="G12569" s="0" t="s">
        <v>49</v>
      </c>
      <c r="H12569" s="5">
        <v>12.986100</v>
      </c>
    </row>
    <row r="12570" spans="1:9">
      <c r="A12570" s="22" t="str">
        <f>HYPERLINK("https://app.vivvix.com/360/KMI/IntelliDrive/ApplUI/Pages/CreativePages/CustomReportCreativeDetail.aspx?App=23&amp;ReportView=4&amp;Qid=1711279&amp;Row=12562&amp;Col=1","No Title Assigned - #15273256451")</f>
        <v/>
      </c>
      <c r="B12570" s="0" t="s">
        <v>16898</v>
      </c>
      <c r="E12570" s="0" t="inlineStr">
        <is>
          <t xml:space="preserve">Mazda</t>
        </is>
      </c>
      <c r="F12570" s="0" t="inlineStr">
        <is>
          <t xml:space="preserve">Mazda</t>
        </is>
      </c>
      <c r="G12570" s="0" t="s">
        <v>171</v>
      </c>
      <c r="H12570" s="5">
        <v>6.411900</v>
      </c>
    </row>
    <row r="12571" spans="1:9">
      <c r="A12571" s="22" t="str">
        <f>HYPERLINK("https://app.vivvix.com/360/KMI/IntelliDrive/ApplUI/Pages/CreativePages/CustomReportCreativeDetail.aspx?App=23&amp;ReportView=4&amp;Qid=1711279&amp;Row=12563&amp;Col=1","No Title Assigned - #15273258039")</f>
        <v/>
      </c>
      <c r="B12571" s="0" t="s">
        <v>16899</v>
      </c>
      <c r="E12571" s="0" t="inlineStr">
        <is>
          <t xml:space="preserve">Mazda</t>
        </is>
      </c>
      <c r="F12571" s="0" t="inlineStr">
        <is>
          <t xml:space="preserve">Mazda</t>
        </is>
      </c>
      <c r="G12571" s="0" t="s">
        <v>171</v>
      </c>
      <c r="H12571" s="5">
        <v>119.361800</v>
      </c>
    </row>
    <row r="12572" spans="1:9">
      <c r="A12572" s="22" t="str">
        <f>HYPERLINK("https://app.vivvix.com/360/KMI/IntelliDrive/ApplUI/Pages/CreativePages/CustomReportCreativeDetail.aspx?App=23&amp;ReportView=4&amp;Qid=1711279&amp;Row=12564&amp;Col=1","No Title Assigned - #15273259596")</f>
        <v/>
      </c>
      <c r="B12572" s="0" t="s">
        <v>16900</v>
      </c>
      <c r="C12572" s="0" t="s">
        <v>16901</v>
      </c>
      <c r="D12572" s="0" t="s">
        <v>4418</v>
      </c>
      <c r="E12572" s="0" t="inlineStr">
        <is>
          <t xml:space="preserve">Mazda</t>
        </is>
      </c>
      <c r="F12572" s="0" t="s">
        <v>28</v>
      </c>
      <c r="G12572" s="0" t="s">
        <v>29</v>
      </c>
      <c r="H12572" s="5">
        <v>6.413000</v>
      </c>
    </row>
    <row r="12573" spans="1:9">
      <c r="A12573" s="22" t="str">
        <f>HYPERLINK("https://app.vivvix.com/360/KMI/IntelliDrive/ApplUI/Pages/CreativePages/CustomReportCreativeDetail.aspx?App=23&amp;ReportView=4&amp;Qid=1711279&amp;Row=12565&amp;Col=1","No Title Assigned - #15273259756")</f>
        <v/>
      </c>
      <c r="B12573" s="0" t="s">
        <v>16902</v>
      </c>
      <c r="C12573" s="0" t="s">
        <v>16903</v>
      </c>
      <c r="D12573" s="0" t="s">
        <v>16903</v>
      </c>
      <c r="E12573" s="0" t="inlineStr">
        <is>
          <t xml:space="preserve">Mazda</t>
        </is>
      </c>
      <c r="F12573" s="0" t="s">
        <v>13</v>
      </c>
      <c r="G12573" s="0" t="s">
        <v>49</v>
      </c>
      <c r="H12573" s="5">
        <v>155.026300</v>
      </c>
    </row>
    <row r="12574" spans="1:9">
      <c r="A12574" s="22" t="str">
        <f>HYPERLINK("https://app.vivvix.com/360/KMI/IntelliDrive/ApplUI/Pages/CreativePages/CustomReportCreativeDetail.aspx?App=23&amp;ReportView=4&amp;Qid=1711279&amp;Row=12566&amp;Col=1","No Title Assigned - #15273259995")</f>
        <v/>
      </c>
      <c r="B12574" s="0" t="s">
        <v>16904</v>
      </c>
      <c r="C12574" s="0" t="s">
        <v>16905</v>
      </c>
      <c r="D12574" s="0" t="s">
        <v>5013</v>
      </c>
      <c r="E12574" s="0" t="inlineStr">
        <is>
          <t xml:space="preserve">Mazda</t>
        </is>
      </c>
      <c r="F12574" s="0" t="s">
        <v>13</v>
      </c>
      <c r="G12574" s="0" t="s">
        <v>49</v>
      </c>
      <c r="H12574" s="5">
        <v>223.879300</v>
      </c>
    </row>
    <row r="12575" spans="1:9">
      <c r="A12575" s="22" t="str">
        <f>HYPERLINK("https://app.vivvix.com/360/KMI/IntelliDrive/ApplUI/Pages/CreativePages/CustomReportCreativeDetail.aspx?App=23&amp;ReportView=4&amp;Qid=1711279&amp;Row=12567&amp;Col=1","No Title Assigned - #15273263302")</f>
        <v/>
      </c>
      <c r="B12575" s="0" t="s">
        <v>16906</v>
      </c>
      <c r="C12575" s="0" t="s">
        <v>16907</v>
      </c>
      <c r="D12575" s="0" t="s">
        <v>7920</v>
      </c>
      <c r="E12575" s="0" t="inlineStr">
        <is>
          <t xml:space="preserve">Mazda</t>
        </is>
      </c>
      <c r="F12575" s="0" t="s">
        <v>28</v>
      </c>
      <c r="G12575" s="0" t="s">
        <v>29</v>
      </c>
      <c r="H12575" s="5">
        <v>17.848400</v>
      </c>
    </row>
    <row r="12576" spans="1:9">
      <c r="A12576" s="22" t="str">
        <f>HYPERLINK("https://app.vivvix.com/360/KMI/IntelliDrive/ApplUI/Pages/CreativePages/CustomReportCreativeDetail.aspx?App=23&amp;ReportView=4&amp;Qid=1711279&amp;Row=12568&amp;Col=1","No Title Assigned - #15273263452")</f>
        <v/>
      </c>
      <c r="B12576" s="0" t="s">
        <v>16908</v>
      </c>
      <c r="C12576" s="0" t="s">
        <v>16909</v>
      </c>
      <c r="D12576" s="0" t="s">
        <v>16909</v>
      </c>
      <c r="E12576" s="0" t="inlineStr">
        <is>
          <t xml:space="preserve">Mazda</t>
        </is>
      </c>
      <c r="F12576" s="0" t="s">
        <v>13</v>
      </c>
      <c r="G12576" s="0" t="s">
        <v>49</v>
      </c>
      <c r="H12576" s="5">
        <v>296.590200</v>
      </c>
    </row>
    <row r="12577" spans="1:9">
      <c r="A12577" s="22" t="str">
        <f>HYPERLINK("https://app.vivvix.com/360/KMI/IntelliDrive/ApplUI/Pages/CreativePages/CustomReportCreativeDetail.aspx?App=23&amp;ReportView=4&amp;Qid=1711279&amp;Row=12569&amp;Col=1","No Title Assigned - #15273263478")</f>
        <v/>
      </c>
      <c r="B12577" s="0" t="s">
        <v>16910</v>
      </c>
      <c r="C12577" s="0" t="s">
        <v>16911</v>
      </c>
      <c r="D12577" s="0" t="s">
        <v>12877</v>
      </c>
      <c r="E12577" s="0" t="inlineStr">
        <is>
          <t xml:space="preserve">Mazda</t>
        </is>
      </c>
      <c r="F12577" s="0" t="s">
        <v>28</v>
      </c>
      <c r="G12577" s="0" t="s">
        <v>29</v>
      </c>
      <c r="H12577" s="5">
        <v>2.532900</v>
      </c>
    </row>
    <row r="12578" spans="1:9">
      <c r="A12578" s="22" t="str">
        <f>HYPERLINK("https://app.vivvix.com/360/KMI/IntelliDrive/ApplUI/Pages/CreativePages/CustomReportCreativeDetail.aspx?App=23&amp;ReportView=4&amp;Qid=1711279&amp;Row=12570&amp;Col=1","No Title Assigned - #15273263479")</f>
        <v/>
      </c>
      <c r="B12578" s="0" t="s">
        <v>16912</v>
      </c>
      <c r="C12578" s="0" t="s">
        <v>16913</v>
      </c>
      <c r="D12578" s="0" t="s">
        <v>16913</v>
      </c>
      <c r="E12578" s="0" t="inlineStr">
        <is>
          <t xml:space="preserve">Mazda</t>
        </is>
      </c>
      <c r="F12578" s="0" t="s">
        <v>28</v>
      </c>
      <c r="G12578" s="0" t="s">
        <v>29</v>
      </c>
      <c r="H12578" s="5">
        <v>2.532900</v>
      </c>
    </row>
    <row r="12579" spans="1:9">
      <c r="A12579" s="22" t="str">
        <f>HYPERLINK("https://app.vivvix.com/360/KMI/IntelliDrive/ApplUI/Pages/CreativePages/CustomReportCreativeDetail.aspx?App=23&amp;ReportView=4&amp;Qid=1711279&amp;Row=12571&amp;Col=1","No Title Assigned - #15273263513")</f>
        <v/>
      </c>
      <c r="B12579" s="0" t="s">
        <v>16914</v>
      </c>
      <c r="C12579" s="0" t="s">
        <v>16915</v>
      </c>
      <c r="D12579" s="0" t="s">
        <v>16915</v>
      </c>
      <c r="E12579" s="0" t="inlineStr">
        <is>
          <t xml:space="preserve">Mazda</t>
        </is>
      </c>
      <c r="F12579" s="0" t="s">
        <v>28</v>
      </c>
      <c r="G12579" s="0" t="s">
        <v>29</v>
      </c>
      <c r="H12579" s="5">
        <v>718.446300</v>
      </c>
    </row>
    <row r="12580" spans="1:9">
      <c r="A12580" s="22" t="str">
        <f>HYPERLINK("https://app.vivvix.com/360/KMI/IntelliDrive/ApplUI/Pages/CreativePages/CustomReportCreativeDetail.aspx?App=23&amp;ReportView=4&amp;Qid=1711279&amp;Row=12572&amp;Col=1","No Title Assigned - #15273265142")</f>
        <v/>
      </c>
      <c r="B12580" s="0" t="s">
        <v>16916</v>
      </c>
      <c r="C12580" s="0" t="s">
        <v>16917</v>
      </c>
      <c r="D12580" s="0" t="s">
        <v>16917</v>
      </c>
      <c r="E12580" s="0" t="inlineStr">
        <is>
          <t xml:space="preserve">Mazda</t>
        </is>
      </c>
      <c r="F12580" s="0" t="s">
        <v>13</v>
      </c>
      <c r="G12580" s="0" t="s">
        <v>49</v>
      </c>
      <c r="H12580" s="5">
        <v>211.464600</v>
      </c>
    </row>
    <row r="12581" spans="1:9">
      <c r="A12581" s="22" t="str">
        <f>HYPERLINK("https://app.vivvix.com/360/KMI/IntelliDrive/ApplUI/Pages/CreativePages/CustomReportCreativeDetail.aspx?App=23&amp;ReportView=4&amp;Qid=1711279&amp;Row=12573&amp;Col=1","No Title Assigned - #15273266190")</f>
        <v/>
      </c>
      <c r="B12581" s="0" t="s">
        <v>16918</v>
      </c>
      <c r="C12581" s="0" t="s">
        <v>16919</v>
      </c>
      <c r="D12581" s="0" t="s">
        <v>4202</v>
      </c>
      <c r="E12581" s="0" t="inlineStr">
        <is>
          <t xml:space="preserve">Mazda</t>
        </is>
      </c>
      <c r="F12581" s="0" t="s">
        <v>28</v>
      </c>
      <c r="G12581" s="0" t="s">
        <v>29</v>
      </c>
      <c r="H12581" s="5">
        <v>21.264500</v>
      </c>
    </row>
    <row r="12582" spans="1:9">
      <c r="A12582" s="22" t="str">
        <f>HYPERLINK("https://app.vivvix.com/360/KMI/IntelliDrive/ApplUI/Pages/CreativePages/CustomReportCreativeDetail.aspx?App=23&amp;ReportView=4&amp;Qid=1711279&amp;Row=12574&amp;Col=1","No Title Assigned - #15273268349")</f>
        <v/>
      </c>
      <c r="B12582" s="0" t="s">
        <v>16920</v>
      </c>
      <c r="E12582" s="0" t="inlineStr">
        <is>
          <t xml:space="preserve">Mazda</t>
        </is>
      </c>
      <c r="F12582" s="0" t="inlineStr">
        <is>
          <t xml:space="preserve">Mazda</t>
        </is>
      </c>
      <c r="G12582" s="0" t="s">
        <v>171</v>
      </c>
      <c r="H12582" s="5">
        <v>821.262400</v>
      </c>
    </row>
    <row r="12583" spans="1:9">
      <c r="A12583" s="22" t="str">
        <f>HYPERLINK("https://app.vivvix.com/360/KMI/IntelliDrive/ApplUI/Pages/CreativePages/CustomReportCreativeDetail.aspx?App=23&amp;ReportView=4&amp;Qid=1711279&amp;Row=12575&amp;Col=1","No Title Assigned - #15273269138")</f>
        <v/>
      </c>
      <c r="B12583" s="0" t="s">
        <v>16921</v>
      </c>
      <c r="E12583" s="0" t="inlineStr">
        <is>
          <t xml:space="preserve">Mazda</t>
        </is>
      </c>
      <c r="F12583" s="0" t="inlineStr">
        <is>
          <t xml:space="preserve">Mazda</t>
        </is>
      </c>
      <c r="G12583" s="0" t="s">
        <v>171</v>
      </c>
      <c r="H12583" s="5">
        <v>7.217700</v>
      </c>
    </row>
    <row r="12584" spans="1:9">
      <c r="A12584" s="22" t="str">
        <f>HYPERLINK("https://app.vivvix.com/360/KMI/IntelliDrive/ApplUI/Pages/CreativePages/CustomReportCreativeDetail.aspx?App=23&amp;ReportView=4&amp;Qid=1711279&amp;Row=12576&amp;Col=1","No Title Assigned - #15273269936")</f>
        <v/>
      </c>
      <c r="B12584" s="0" t="s">
        <v>16922</v>
      </c>
      <c r="C12584" s="0" t="s">
        <v>16923</v>
      </c>
      <c r="D12584" s="0" t="s">
        <v>16923</v>
      </c>
      <c r="E12584" s="0" t="inlineStr">
        <is>
          <t xml:space="preserve">Mazda</t>
        </is>
      </c>
      <c r="F12584" s="0" t="inlineStr">
        <is>
          <t xml:space="preserve">Mazda</t>
        </is>
      </c>
      <c r="G12584" s="0" t="s">
        <v>171</v>
      </c>
      <c r="H12584" s="5">
        <v>903.301000</v>
      </c>
    </row>
    <row r="12585" spans="1:9">
      <c r="A12585" s="22" t="str">
        <f>HYPERLINK("https://app.vivvix.com/360/KMI/IntelliDrive/ApplUI/Pages/CreativePages/CustomReportCreativeDetail.aspx?App=23&amp;ReportView=4&amp;Qid=1711279&amp;Row=12577&amp;Col=1","No Title Assigned - #15273270331")</f>
        <v/>
      </c>
      <c r="B12585" s="0" t="s">
        <v>16924</v>
      </c>
      <c r="E12585" s="0" t="inlineStr">
        <is>
          <t xml:space="preserve">Mazda</t>
        </is>
      </c>
      <c r="F12585" s="0" t="inlineStr">
        <is>
          <t xml:space="preserve">Mazda</t>
        </is>
      </c>
      <c r="G12585" s="0" t="s">
        <v>171</v>
      </c>
      <c r="H12585" s="5">
        <v>770.655100</v>
      </c>
    </row>
    <row r="12586" spans="1:9">
      <c r="A12586" s="22" t="str">
        <f>HYPERLINK("https://app.vivvix.com/360/KMI/IntelliDrive/ApplUI/Pages/CreativePages/CustomReportCreativeDetail.aspx?App=23&amp;ReportView=4&amp;Qid=1711279&amp;Row=12578&amp;Col=1","No Title Assigned - #15273270662")</f>
        <v/>
      </c>
      <c r="B12586" s="0" t="s">
        <v>16925</v>
      </c>
      <c r="C12586" s="0" t="s">
        <v>16926</v>
      </c>
      <c r="D12586" s="0" t="s">
        <v>16926</v>
      </c>
      <c r="E12586" s="0" t="inlineStr">
        <is>
          <t xml:space="preserve">Mazda</t>
        </is>
      </c>
      <c r="F12586" s="0" t="inlineStr">
        <is>
          <t xml:space="preserve">Mazda</t>
        </is>
      </c>
      <c r="G12586" s="0" t="s">
        <v>171</v>
      </c>
      <c r="H12586" s="5">
        <v>327.999000</v>
      </c>
    </row>
    <row r="12587" spans="1:9">
      <c r="A12587" s="22" t="str">
        <f>HYPERLINK("https://app.vivvix.com/360/KMI/IntelliDrive/ApplUI/Pages/CreativePages/CustomReportCreativeDetail.aspx?App=23&amp;ReportView=4&amp;Qid=1711279&amp;Row=12579&amp;Col=1","No Title Assigned - #15273271283")</f>
        <v/>
      </c>
      <c r="B12587" s="0" t="s">
        <v>16927</v>
      </c>
      <c r="E12587" s="0" t="inlineStr">
        <is>
          <t xml:space="preserve">Mazda</t>
        </is>
      </c>
      <c r="F12587" s="0" t="inlineStr">
        <is>
          <t xml:space="preserve">Mazda</t>
        </is>
      </c>
      <c r="G12587" s="0" t="s">
        <v>171</v>
      </c>
      <c r="H12587" s="5">
        <v>27.922300</v>
      </c>
    </row>
    <row r="12588" spans="1:9">
      <c r="A12588" s="22" t="str">
        <f>HYPERLINK("https://app.vivvix.com/360/KMI/IntelliDrive/ApplUI/Pages/CreativePages/CustomReportCreativeDetail.aspx?App=23&amp;ReportView=4&amp;Qid=1711279&amp;Row=12580&amp;Col=1","No Title Assigned - #15273271518")</f>
        <v/>
      </c>
      <c r="B12588" s="0" t="s">
        <v>16928</v>
      </c>
      <c r="E12588" s="0" t="inlineStr">
        <is>
          <t xml:space="preserve">Mazda</t>
        </is>
      </c>
      <c r="F12588" s="0" t="inlineStr">
        <is>
          <t xml:space="preserve">Mazda</t>
        </is>
      </c>
      <c r="G12588" s="0" t="s">
        <v>171</v>
      </c>
      <c r="H12588" s="5">
        <v>72.470500</v>
      </c>
    </row>
    <row r="12589" spans="1:9">
      <c r="A12589" s="22" t="str">
        <f>HYPERLINK("https://app.vivvix.com/360/KMI/IntelliDrive/ApplUI/Pages/CreativePages/CustomReportCreativeDetail.aspx?App=23&amp;ReportView=4&amp;Qid=1711279&amp;Row=12581&amp;Col=1","No Title Assigned - #15273272751")</f>
        <v/>
      </c>
      <c r="B12589" s="0" t="s">
        <v>16929</v>
      </c>
      <c r="E12589" s="0" t="inlineStr">
        <is>
          <t xml:space="preserve">Mazda</t>
        </is>
      </c>
      <c r="F12589" s="0" t="inlineStr">
        <is>
          <t xml:space="preserve">Mazda</t>
        </is>
      </c>
      <c r="G12589" s="0" t="s">
        <v>171</v>
      </c>
      <c r="H12589" s="5">
        <v>309.853600</v>
      </c>
    </row>
    <row r="12590" spans="1:9">
      <c r="A12590" s="22" t="str">
        <f>HYPERLINK("https://app.vivvix.com/360/KMI/IntelliDrive/ApplUI/Pages/CreativePages/CustomReportCreativeDetail.aspx?App=23&amp;ReportView=4&amp;Qid=1711279&amp;Row=12582&amp;Col=1","No Title Assigned - #15273274207")</f>
        <v/>
      </c>
      <c r="B12590" s="0" t="s">
        <v>16930</v>
      </c>
      <c r="E12590" s="0" t="inlineStr">
        <is>
          <t xml:space="preserve">Mazda</t>
        </is>
      </c>
      <c r="F12590" s="0" t="inlineStr">
        <is>
          <t xml:space="preserve">Mazda</t>
        </is>
      </c>
      <c r="G12590" s="0" t="s">
        <v>171</v>
      </c>
      <c r="H12590" s="5">
        <v>19.231900</v>
      </c>
    </row>
    <row r="12591" spans="1:9">
      <c r="A12591" s="22" t="str">
        <f>HYPERLINK("https://app.vivvix.com/360/KMI/IntelliDrive/ApplUI/Pages/CreativePages/CustomReportCreativeDetail.aspx?App=23&amp;ReportView=4&amp;Qid=1711279&amp;Row=12583&amp;Col=1","No Title Assigned - #15273275455")</f>
        <v/>
      </c>
      <c r="B12591" s="0" t="s">
        <v>16931</v>
      </c>
      <c r="C12591" s="0" t="s">
        <v>16932</v>
      </c>
      <c r="D12591" s="0" t="s">
        <v>16932</v>
      </c>
      <c r="E12591" s="0" t="inlineStr">
        <is>
          <t xml:space="preserve">Mazda</t>
        </is>
      </c>
      <c r="F12591" s="0" t="inlineStr">
        <is>
          <t xml:space="preserve">Mazda</t>
        </is>
      </c>
      <c r="G12591" s="0" t="s">
        <v>171</v>
      </c>
      <c r="H12591" s="5">
        <v>1755.249000</v>
      </c>
    </row>
    <row r="12592" spans="1:9">
      <c r="A12592" s="22" t="str">
        <f>HYPERLINK("https://app.vivvix.com/360/KMI/IntelliDrive/ApplUI/Pages/CreativePages/CustomReportCreativeDetail.aspx?App=23&amp;ReportView=4&amp;Qid=1711279&amp;Row=12584&amp;Col=1","No Title Assigned - #15273278247")</f>
        <v/>
      </c>
      <c r="B12592" s="0" t="s">
        <v>16933</v>
      </c>
      <c r="E12592" s="0" t="inlineStr">
        <is>
          <t xml:space="preserve">Mazda</t>
        </is>
      </c>
      <c r="F12592" s="0" t="inlineStr">
        <is>
          <t xml:space="preserve">Mazda</t>
        </is>
      </c>
      <c r="G12592" s="0" t="s">
        <v>171</v>
      </c>
      <c r="H12592" s="5">
        <v>4.796400</v>
      </c>
    </row>
    <row r="12593" spans="1:9">
      <c r="A12593" s="22" t="str">
        <f>HYPERLINK("https://app.vivvix.com/360/KMI/IntelliDrive/ApplUI/Pages/CreativePages/CustomReportCreativeDetail.aspx?App=23&amp;ReportView=4&amp;Qid=1711279&amp;Row=12585&amp;Col=1","No Title Assigned - #15273278465")</f>
        <v/>
      </c>
      <c r="B12593" s="0" t="s">
        <v>16934</v>
      </c>
      <c r="E12593" s="0" t="inlineStr">
        <is>
          <t xml:space="preserve">Mazda</t>
        </is>
      </c>
      <c r="F12593" s="0" t="s">
        <v>21</v>
      </c>
      <c r="G12593" s="0" t="s">
        <v>22</v>
      </c>
      <c r="H12593" s="5">
        <v>858.202200</v>
      </c>
    </row>
    <row r="12594" spans="1:9">
      <c r="A12594" s="22" t="str">
        <f>HYPERLINK("https://app.vivvix.com/360/KMI/IntelliDrive/ApplUI/Pages/CreativePages/CustomReportCreativeDetail.aspx?App=23&amp;ReportView=4&amp;Qid=1711279&amp;Row=12586&amp;Col=1","No Title Assigned - #15273278772")</f>
        <v/>
      </c>
      <c r="B12594" s="0" t="s">
        <v>16935</v>
      </c>
      <c r="E12594" s="0" t="inlineStr">
        <is>
          <t xml:space="preserve">Mazda</t>
        </is>
      </c>
      <c r="F12594" s="0" t="inlineStr">
        <is>
          <t xml:space="preserve">Mazda</t>
        </is>
      </c>
      <c r="G12594" s="0" t="s">
        <v>171</v>
      </c>
      <c r="H12594" s="5">
        <v>8.606100</v>
      </c>
    </row>
    <row r="12595" spans="1:9">
      <c r="A12595" s="22" t="str">
        <f>HYPERLINK("https://app.vivvix.com/360/KMI/IntelliDrive/ApplUI/Pages/CreativePages/CustomReportCreativeDetail.aspx?App=23&amp;ReportView=4&amp;Qid=1711279&amp;Row=12587&amp;Col=1","No Title Assigned - #15273278824")</f>
        <v/>
      </c>
      <c r="B12595" s="0" t="s">
        <v>16936</v>
      </c>
      <c r="E12595" s="0" t="inlineStr">
        <is>
          <t xml:space="preserve">Mazda</t>
        </is>
      </c>
      <c r="F12595" s="0" t="inlineStr">
        <is>
          <t xml:space="preserve">Mazda</t>
        </is>
      </c>
      <c r="G12595" s="0" t="s">
        <v>171</v>
      </c>
      <c r="H12595" s="5">
        <v>9951.125000</v>
      </c>
    </row>
    <row r="12596" spans="1:9">
      <c r="A12596" s="22" t="str">
        <f>HYPERLINK("https://app.vivvix.com/360/KMI/IntelliDrive/ApplUI/Pages/CreativePages/CustomReportCreativeDetail.aspx?App=23&amp;ReportView=4&amp;Qid=1711279&amp;Row=12588&amp;Col=1","No Title Assigned - #15273279587")</f>
        <v/>
      </c>
      <c r="B12596" s="0" t="s">
        <v>16937</v>
      </c>
      <c r="E12596" s="0" t="inlineStr">
        <is>
          <t xml:space="preserve">Mazda</t>
        </is>
      </c>
      <c r="F12596" s="0" t="inlineStr">
        <is>
          <t xml:space="preserve">Mazda</t>
        </is>
      </c>
      <c r="G12596" s="0" t="s">
        <v>171</v>
      </c>
      <c r="H12596" s="5">
        <v>0.324400</v>
      </c>
    </row>
    <row r="12597" spans="1:9">
      <c r="A12597" s="22" t="str">
        <f>HYPERLINK("https://app.vivvix.com/360/KMI/IntelliDrive/ApplUI/Pages/CreativePages/CustomReportCreativeDetail.aspx?App=23&amp;ReportView=4&amp;Qid=1711279&amp;Row=12589&amp;Col=1","No Title Assigned - #15273280556")</f>
        <v/>
      </c>
      <c r="B12597" s="0" t="s">
        <v>16938</v>
      </c>
      <c r="E12597" s="0" t="inlineStr">
        <is>
          <t xml:space="preserve">Mazda</t>
        </is>
      </c>
      <c r="F12597" s="0" t="inlineStr">
        <is>
          <t xml:space="preserve">Mazda</t>
        </is>
      </c>
      <c r="G12597" s="0" t="s">
        <v>171</v>
      </c>
      <c r="H12597" s="5">
        <v>219.745100</v>
      </c>
    </row>
    <row r="12598" spans="1:9">
      <c r="A12598" s="22" t="str">
        <f>HYPERLINK("https://app.vivvix.com/360/KMI/IntelliDrive/ApplUI/Pages/CreativePages/CustomReportCreativeDetail.aspx?App=23&amp;ReportView=4&amp;Qid=1711279&amp;Row=12590&amp;Col=1","No Title Assigned - #15273280990")</f>
        <v/>
      </c>
      <c r="B12598" s="0" t="s">
        <v>16939</v>
      </c>
      <c r="E12598" s="0" t="inlineStr">
        <is>
          <t xml:space="preserve">Mazda</t>
        </is>
      </c>
      <c r="F12598" s="0" t="inlineStr">
        <is>
          <t xml:space="preserve">Mazda</t>
        </is>
      </c>
      <c r="G12598" s="0" t="s">
        <v>171</v>
      </c>
      <c r="H12598" s="5">
        <v>18.573200</v>
      </c>
    </row>
    <row r="12599" spans="1:9">
      <c r="A12599" s="22" t="str">
        <f>HYPERLINK("https://app.vivvix.com/360/KMI/IntelliDrive/ApplUI/Pages/CreativePages/CustomReportCreativeDetail.aspx?App=23&amp;ReportView=4&amp;Qid=1711279&amp;Row=12591&amp;Col=1","No Title Assigned - #15273281077")</f>
        <v/>
      </c>
      <c r="B12599" s="0" t="s">
        <v>16940</v>
      </c>
      <c r="E12599" s="0" t="inlineStr">
        <is>
          <t xml:space="preserve">Mazda</t>
        </is>
      </c>
      <c r="F12599" s="0" t="inlineStr">
        <is>
          <t xml:space="preserve">Mazda</t>
        </is>
      </c>
      <c r="G12599" s="0" t="s">
        <v>171</v>
      </c>
      <c r="H12599" s="5">
        <v>428.981000</v>
      </c>
    </row>
    <row r="12600" spans="1:9">
      <c r="A12600" s="22" t="str">
        <f>HYPERLINK("https://app.vivvix.com/360/KMI/IntelliDrive/ApplUI/Pages/CreativePages/CustomReportCreativeDetail.aspx?App=23&amp;ReportView=4&amp;Qid=1711279&amp;Row=12592&amp;Col=1","No Title Assigned - #15273281204")</f>
        <v/>
      </c>
      <c r="B12600" s="0" t="s">
        <v>16941</v>
      </c>
      <c r="C12600" s="0" t="s">
        <v>16942</v>
      </c>
      <c r="D12600" s="0" t="s">
        <v>16942</v>
      </c>
      <c r="E12600" s="0" t="inlineStr">
        <is>
          <t xml:space="preserve">Mazda</t>
        </is>
      </c>
      <c r="F12600" s="0" t="s">
        <v>28</v>
      </c>
      <c r="G12600" s="0" t="s">
        <v>29</v>
      </c>
      <c r="H12600" s="5">
        <v>4.062500</v>
      </c>
    </row>
    <row r="12601" spans="1:9">
      <c r="A12601" s="22" t="str">
        <f>HYPERLINK("https://app.vivvix.com/360/KMI/IntelliDrive/ApplUI/Pages/CreativePages/CustomReportCreativeDetail.aspx?App=23&amp;ReportView=4&amp;Qid=1711279&amp;Row=12593&amp;Col=1","No Title Assigned - #15273281204")</f>
        <v/>
      </c>
      <c r="B12601" s="0" t="s">
        <v>16941</v>
      </c>
      <c r="E12601" s="0" t="inlineStr">
        <is>
          <t xml:space="preserve">Mazda</t>
        </is>
      </c>
      <c r="F12601" s="0" t="s">
        <v>28</v>
      </c>
      <c r="G12601" s="0" t="s">
        <v>29</v>
      </c>
      <c r="H12601" s="5">
        <v>46429.500800</v>
      </c>
    </row>
    <row r="12602" spans="1:9">
      <c r="A12602" s="22" t="str">
        <f>HYPERLINK("https://app.vivvix.com/360/KMI/IntelliDrive/ApplUI/Pages/CreativePages/CustomReportCreativeDetail.aspx?App=23&amp;ReportView=4&amp;Qid=1711279&amp;Row=12594&amp;Col=1","No Title Assigned - #15273281469")</f>
        <v/>
      </c>
      <c r="B12602" s="0" t="s">
        <v>16943</v>
      </c>
      <c r="E12602" s="0" t="inlineStr">
        <is>
          <t xml:space="preserve">Mazda</t>
        </is>
      </c>
      <c r="F12602" s="0" t="inlineStr">
        <is>
          <t xml:space="preserve">Mazda</t>
        </is>
      </c>
      <c r="G12602" s="0" t="s">
        <v>171</v>
      </c>
      <c r="H12602" s="5">
        <v>214.697800</v>
      </c>
    </row>
    <row r="12603" spans="1:9">
      <c r="A12603" s="22" t="str">
        <f>HYPERLINK("https://app.vivvix.com/360/KMI/IntelliDrive/ApplUI/Pages/CreativePages/CustomReportCreativeDetail.aspx?App=23&amp;ReportView=4&amp;Qid=1711279&amp;Row=12595&amp;Col=1","No Title Assigned - #15273281877")</f>
        <v/>
      </c>
      <c r="B12603" s="0" t="s">
        <v>16944</v>
      </c>
      <c r="E12603" s="0" t="inlineStr">
        <is>
          <t xml:space="preserve">Mazda</t>
        </is>
      </c>
      <c r="F12603" s="0" t="inlineStr">
        <is>
          <t xml:space="preserve">Mazda</t>
        </is>
      </c>
      <c r="G12603" s="0" t="s">
        <v>171</v>
      </c>
      <c r="H12603" s="5">
        <v>22.271300</v>
      </c>
    </row>
    <row r="12604" spans="1:9">
      <c r="A12604" s="22" t="str">
        <f>HYPERLINK("https://app.vivvix.com/360/KMI/IntelliDrive/ApplUI/Pages/CreativePages/CustomReportCreativeDetail.aspx?App=23&amp;ReportView=4&amp;Qid=1711279&amp;Row=12596&amp;Col=1","No Title Assigned - #15273283251")</f>
        <v/>
      </c>
      <c r="B12604" s="0" t="s">
        <v>16945</v>
      </c>
      <c r="E12604" s="0" t="inlineStr">
        <is>
          <t xml:space="preserve">Mazda</t>
        </is>
      </c>
      <c r="F12604" s="0" t="inlineStr">
        <is>
          <t xml:space="preserve">Mazda</t>
        </is>
      </c>
      <c r="G12604" s="0" t="s">
        <v>171</v>
      </c>
      <c r="H12604" s="5">
        <v>411.810300</v>
      </c>
    </row>
    <row r="12605" spans="1:9">
      <c r="A12605" s="22" t="str">
        <f>HYPERLINK("https://app.vivvix.com/360/KMI/IntelliDrive/ApplUI/Pages/CreativePages/CustomReportCreativeDetail.aspx?App=23&amp;ReportView=4&amp;Qid=1711279&amp;Row=12597&amp;Col=1","No Title Assigned - #15273285138")</f>
        <v/>
      </c>
      <c r="B12605" s="0" t="s">
        <v>16946</v>
      </c>
      <c r="E12605" s="0" t="inlineStr">
        <is>
          <t xml:space="preserve">Mazda</t>
        </is>
      </c>
      <c r="F12605" s="0" t="inlineStr">
        <is>
          <t xml:space="preserve">Mazda</t>
        </is>
      </c>
      <c r="G12605" s="0" t="s">
        <v>171</v>
      </c>
      <c r="H12605" s="5">
        <v>192.396200</v>
      </c>
    </row>
    <row r="12606" spans="1:9">
      <c r="A12606" s="22" t="str">
        <f>HYPERLINK("https://app.vivvix.com/360/KMI/IntelliDrive/ApplUI/Pages/CreativePages/CustomReportCreativeDetail.aspx?App=23&amp;ReportView=4&amp;Qid=1711279&amp;Row=12598&amp;Col=1","No Title Assigned - #15273286183")</f>
        <v/>
      </c>
      <c r="B12606" s="0" t="s">
        <v>16947</v>
      </c>
      <c r="E12606" s="0" t="inlineStr">
        <is>
          <t xml:space="preserve">Mazda</t>
        </is>
      </c>
      <c r="F12606" s="0" t="inlineStr">
        <is>
          <t xml:space="preserve">Mazda</t>
        </is>
      </c>
      <c r="G12606" s="0" t="s">
        <v>171</v>
      </c>
      <c r="H12606" s="5">
        <v>72.921400</v>
      </c>
    </row>
    <row r="12607" spans="1:9">
      <c r="A12607" s="22" t="str">
        <f>HYPERLINK("https://app.vivvix.com/360/KMI/IntelliDrive/ApplUI/Pages/CreativePages/CustomReportCreativeDetail.aspx?App=23&amp;ReportView=4&amp;Qid=1711279&amp;Row=12599&amp;Col=1","No Title Assigned - #15273286682")</f>
        <v/>
      </c>
      <c r="B12607" s="0" t="s">
        <v>16948</v>
      </c>
      <c r="E12607" s="0" t="inlineStr">
        <is>
          <t xml:space="preserve">Mazda</t>
        </is>
      </c>
      <c r="F12607" s="0" t="inlineStr">
        <is>
          <t xml:space="preserve">Mazda</t>
        </is>
      </c>
      <c r="G12607" s="0" t="s">
        <v>171</v>
      </c>
      <c r="H12607" s="5">
        <v>770.655100</v>
      </c>
    </row>
    <row r="12608" spans="1:9">
      <c r="A12608" s="22" t="str">
        <f>HYPERLINK("https://app.vivvix.com/360/KMI/IntelliDrive/ApplUI/Pages/CreativePages/CustomReportCreativeDetail.aspx?App=23&amp;ReportView=4&amp;Qid=1711279&amp;Row=12600&amp;Col=1","No Title Assigned - #15273287921")</f>
        <v/>
      </c>
      <c r="B12608" s="0" t="s">
        <v>16949</v>
      </c>
      <c r="E12608" s="0" t="inlineStr">
        <is>
          <t xml:space="preserve">Mazda</t>
        </is>
      </c>
      <c r="F12608" s="0" t="inlineStr">
        <is>
          <t xml:space="preserve">Mazda</t>
        </is>
      </c>
      <c r="G12608" s="0" t="s">
        <v>171</v>
      </c>
      <c r="H12608" s="5">
        <v>101545.059000</v>
      </c>
    </row>
    <row r="12609" spans="1:9">
      <c r="A12609" s="22" t="str">
        <f>HYPERLINK("https://app.vivvix.com/360/KMI/IntelliDrive/ApplUI/Pages/CreativePages/CustomReportCreativeDetail.aspx?App=23&amp;ReportView=4&amp;Qid=1711279&amp;Row=12601&amp;Col=1","No Title Assigned - #15273287921")</f>
        <v/>
      </c>
      <c r="B12609" s="0" t="s">
        <v>16949</v>
      </c>
      <c r="E12609" s="0" t="inlineStr">
        <is>
          <t xml:space="preserve">Mazda</t>
        </is>
      </c>
      <c r="F12609" s="0" t="inlineStr">
        <is>
          <t xml:space="preserve">Mazda</t>
        </is>
      </c>
      <c r="G12609" s="0" t="s">
        <v>171</v>
      </c>
      <c r="H12609" s="5">
        <v>2.833200</v>
      </c>
    </row>
    <row r="12610" spans="1:9">
      <c r="A12610" s="22" t="str">
        <f>HYPERLINK("https://app.vivvix.com/360/KMI/IntelliDrive/ApplUI/Pages/CreativePages/CustomReportCreativeDetail.aspx?App=23&amp;ReportView=4&amp;Qid=1711279&amp;Row=12602&amp;Col=1","No Title Assigned - #15273290598")</f>
        <v/>
      </c>
      <c r="B12610" s="0" t="s">
        <v>16950</v>
      </c>
      <c r="E12610" s="0" t="inlineStr">
        <is>
          <t xml:space="preserve">Mazda</t>
        </is>
      </c>
      <c r="F12610" s="0" t="inlineStr">
        <is>
          <t xml:space="preserve">Mazda</t>
        </is>
      </c>
      <c r="G12610" s="0" t="s">
        <v>171</v>
      </c>
      <c r="H12610" s="5">
        <v>16541.355500</v>
      </c>
    </row>
    <row r="12611" spans="1:9">
      <c r="A12611" s="22" t="str">
        <f>HYPERLINK("https://app.vivvix.com/360/KMI/IntelliDrive/ApplUI/Pages/CreativePages/CustomReportCreativeDetail.aspx?App=23&amp;ReportView=4&amp;Qid=1711279&amp;Row=12603&amp;Col=1","No Title Assigned - #15273296777")</f>
        <v/>
      </c>
      <c r="B12611" s="0" t="s">
        <v>16951</v>
      </c>
      <c r="E12611" s="0" t="inlineStr">
        <is>
          <t xml:space="preserve">Mazda</t>
        </is>
      </c>
      <c r="F12611" s="0" t="inlineStr">
        <is>
          <t xml:space="preserve">Mazda</t>
        </is>
      </c>
      <c r="G12611" s="0" t="s">
        <v>171</v>
      </c>
      <c r="H12611" s="5">
        <v>5.773300</v>
      </c>
    </row>
    <row r="12612" spans="1:9">
      <c r="A12612" s="22" t="str">
        <f>HYPERLINK("https://app.vivvix.com/360/KMI/IntelliDrive/ApplUI/Pages/CreativePages/CustomReportCreativeDetail.aspx?App=23&amp;ReportView=4&amp;Qid=1711279&amp;Row=12604&amp;Col=1","No Title Assigned - #15273297101")</f>
        <v/>
      </c>
      <c r="B12612" s="0" t="s">
        <v>16952</v>
      </c>
      <c r="E12612" s="0" t="inlineStr">
        <is>
          <t xml:space="preserve">Mazda</t>
        </is>
      </c>
      <c r="F12612" s="0" t="inlineStr">
        <is>
          <t xml:space="preserve">Mazda</t>
        </is>
      </c>
      <c r="G12612" s="0" t="s">
        <v>171</v>
      </c>
      <c r="H12612" s="5">
        <v>524.974800</v>
      </c>
    </row>
    <row r="12613" spans="1:9">
      <c r="A12613" s="22" t="str">
        <f>HYPERLINK("https://app.vivvix.com/360/KMI/IntelliDrive/ApplUI/Pages/CreativePages/CustomReportCreativeDetail.aspx?App=23&amp;ReportView=4&amp;Qid=1711279&amp;Row=12605&amp;Col=1","No Title Assigned - #15273297101")</f>
        <v/>
      </c>
      <c r="B12613" s="0" t="s">
        <v>16952</v>
      </c>
      <c r="E12613" s="0" t="inlineStr">
        <is>
          <t xml:space="preserve">Mazda</t>
        </is>
      </c>
      <c r="F12613" s="0" t="inlineStr">
        <is>
          <t xml:space="preserve">Mazda</t>
        </is>
      </c>
      <c r="G12613" s="0" t="s">
        <v>171</v>
      </c>
      <c r="H12613" s="5">
        <v>2075.148400</v>
      </c>
    </row>
    <row r="12614" spans="1:9">
      <c r="A12614" s="22" t="str">
        <f>HYPERLINK("https://app.vivvix.com/360/KMI/IntelliDrive/ApplUI/Pages/CreativePages/CustomReportCreativeDetail.aspx?App=23&amp;ReportView=4&amp;Qid=1711279&amp;Row=12606&amp;Col=1","No Title Assigned - #15273305037")</f>
        <v/>
      </c>
      <c r="B12614" s="0" t="s">
        <v>16953</v>
      </c>
      <c r="C12614" s="0" t="s">
        <v>16954</v>
      </c>
      <c r="D12614" s="0" t="s">
        <v>16954</v>
      </c>
      <c r="E12614" s="0" t="inlineStr">
        <is>
          <t xml:space="preserve">Mazda</t>
        </is>
      </c>
      <c r="F12614" s="0" t="s">
        <v>28</v>
      </c>
      <c r="G12614" s="0" t="s">
        <v>29</v>
      </c>
      <c r="H12614" s="5">
        <v>6.804400</v>
      </c>
    </row>
    <row r="12615" spans="1:9">
      <c r="A12615" s="22" t="str">
        <f>HYPERLINK("https://app.vivvix.com/360/KMI/IntelliDrive/ApplUI/Pages/CreativePages/CustomReportCreativeDetail.aspx?App=23&amp;ReportView=4&amp;Qid=1711279&amp;Row=12607&amp;Col=1","No Title Assigned - #15273305166")</f>
        <v/>
      </c>
      <c r="B12615" s="0" t="s">
        <v>16955</v>
      </c>
      <c r="C12615" s="0" t="s">
        <v>16956</v>
      </c>
      <c r="D12615" s="0" t="s">
        <v>16956</v>
      </c>
      <c r="E12615" s="0" t="inlineStr">
        <is>
          <t xml:space="preserve">Mazda</t>
        </is>
      </c>
      <c r="F12615" s="0" t="s">
        <v>28</v>
      </c>
      <c r="G12615" s="0" t="s">
        <v>29</v>
      </c>
      <c r="H12615" s="5">
        <v>201.457200</v>
      </c>
    </row>
    <row r="12616" spans="1:9">
      <c r="A12616" s="22" t="str">
        <f>HYPERLINK("https://app.vivvix.com/360/KMI/IntelliDrive/ApplUI/Pages/CreativePages/CustomReportCreativeDetail.aspx?App=23&amp;ReportView=4&amp;Qid=1711279&amp;Row=12608&amp;Col=1","No Title Assigned - #15273307786")</f>
        <v/>
      </c>
      <c r="B12616" s="0" t="s">
        <v>16957</v>
      </c>
      <c r="C12616" s="0" t="s">
        <v>16958</v>
      </c>
      <c r="D12616" s="0" t="s">
        <v>4335</v>
      </c>
      <c r="E12616" s="0" t="inlineStr">
        <is>
          <t xml:space="preserve">Mazda</t>
        </is>
      </c>
      <c r="F12616" s="0" t="s">
        <v>13</v>
      </c>
      <c r="G12616" s="0" t="s">
        <v>49</v>
      </c>
      <c r="H12616" s="5">
        <v>45.096800</v>
      </c>
    </row>
    <row r="12617" spans="1:9">
      <c r="A12617" s="22" t="str">
        <f>HYPERLINK("https://app.vivvix.com/360/KMI/IntelliDrive/ApplUI/Pages/CreativePages/CustomReportCreativeDetail.aspx?App=23&amp;ReportView=4&amp;Qid=1711279&amp;Row=12609&amp;Col=1","No Title Assigned - #15273314218")</f>
        <v/>
      </c>
      <c r="B12617" s="0" t="s">
        <v>16959</v>
      </c>
      <c r="E12617" s="0" t="inlineStr">
        <is>
          <t xml:space="preserve">Mazda</t>
        </is>
      </c>
      <c r="F12617" s="0" t="inlineStr">
        <is>
          <t xml:space="preserve">Mazda</t>
        </is>
      </c>
      <c r="G12617" s="0" t="s">
        <v>171</v>
      </c>
      <c r="H12617" s="5">
        <v>306.479200</v>
      </c>
    </row>
    <row r="12618" spans="1:9">
      <c r="A12618" s="22" t="str">
        <f>HYPERLINK("https://app.vivvix.com/360/KMI/IntelliDrive/ApplUI/Pages/CreativePages/CustomReportCreativeDetail.aspx?App=23&amp;ReportView=4&amp;Qid=1711279&amp;Row=12610&amp;Col=1","No Title Assigned - #15273314408")</f>
        <v/>
      </c>
      <c r="B12618" s="0" t="s">
        <v>16960</v>
      </c>
      <c r="E12618" s="0" t="inlineStr">
        <is>
          <t xml:space="preserve">Mazda</t>
        </is>
      </c>
      <c r="F12618" s="0" t="inlineStr">
        <is>
          <t xml:space="preserve">Mazda</t>
        </is>
      </c>
      <c r="G12618" s="0" t="s">
        <v>171</v>
      </c>
      <c r="H12618" s="5">
        <v>1204.075400</v>
      </c>
    </row>
    <row r="12619" spans="1:9">
      <c r="A12619" s="22" t="str">
        <f>HYPERLINK("https://app.vivvix.com/360/KMI/IntelliDrive/ApplUI/Pages/CreativePages/CustomReportCreativeDetail.aspx?App=23&amp;ReportView=4&amp;Qid=1711279&amp;Row=12611&amp;Col=1","No Title Assigned - #15273314763")</f>
        <v/>
      </c>
      <c r="B12619" s="0" t="s">
        <v>16961</v>
      </c>
      <c r="E12619" s="0" t="inlineStr">
        <is>
          <t xml:space="preserve">Mazda</t>
        </is>
      </c>
      <c r="F12619" s="0" t="inlineStr">
        <is>
          <t xml:space="preserve">Mazda</t>
        </is>
      </c>
      <c r="G12619" s="0" t="s">
        <v>171</v>
      </c>
      <c r="H12619" s="5">
        <v>27.603800</v>
      </c>
    </row>
    <row r="12620" spans="1:9">
      <c r="A12620" s="22" t="str">
        <f>HYPERLINK("https://app.vivvix.com/360/KMI/IntelliDrive/ApplUI/Pages/CreativePages/CustomReportCreativeDetail.aspx?App=23&amp;ReportView=4&amp;Qid=1711279&amp;Row=12612&amp;Col=1","No Title Assigned - #15273315040")</f>
        <v/>
      </c>
      <c r="B12620" s="0" t="s">
        <v>16962</v>
      </c>
      <c r="C12620" s="0" t="s">
        <v>16963</v>
      </c>
      <c r="D12620" s="0" t="s">
        <v>4202</v>
      </c>
      <c r="E12620" s="0" t="inlineStr">
        <is>
          <t xml:space="preserve">Mazda</t>
        </is>
      </c>
      <c r="F12620" s="0" t="s">
        <v>28</v>
      </c>
      <c r="G12620" s="0" t="s">
        <v>29</v>
      </c>
      <c r="H12620" s="5">
        <v>14.191000</v>
      </c>
    </row>
    <row r="12621" spans="1:9">
      <c r="A12621" s="22" t="str">
        <f>HYPERLINK("https://app.vivvix.com/360/KMI/IntelliDrive/ApplUI/Pages/CreativePages/CustomReportCreativeDetail.aspx?App=23&amp;ReportView=4&amp;Qid=1711279&amp;Row=12613&amp;Col=1","No Title Assigned - #15273315330")</f>
        <v/>
      </c>
      <c r="B12621" s="0" t="s">
        <v>16964</v>
      </c>
      <c r="C12621" s="0" t="s">
        <v>16965</v>
      </c>
      <c r="D12621" s="0" t="s">
        <v>5013</v>
      </c>
      <c r="E12621" s="0" t="inlineStr">
        <is>
          <t xml:space="preserve">Mazda</t>
        </is>
      </c>
      <c r="F12621" s="0" t="s">
        <v>13</v>
      </c>
      <c r="G12621" s="0" t="s">
        <v>49</v>
      </c>
      <c r="H12621" s="5">
        <v>788.184800</v>
      </c>
    </row>
    <row r="12622" spans="1:9">
      <c r="A12622" s="22" t="str">
        <f>HYPERLINK("https://app.vivvix.com/360/KMI/IntelliDrive/ApplUI/Pages/CreativePages/CustomReportCreativeDetail.aspx?App=23&amp;ReportView=4&amp;Qid=1711279&amp;Row=12614&amp;Col=1","No Title Assigned - #15273315330")</f>
        <v/>
      </c>
      <c r="B12622" s="0" t="s">
        <v>16964</v>
      </c>
      <c r="E12622" s="0" t="inlineStr">
        <is>
          <t xml:space="preserve">Mazda</t>
        </is>
      </c>
      <c r="F12622" s="0" t="s">
        <v>13</v>
      </c>
      <c r="G12622" s="0" t="s">
        <v>49</v>
      </c>
      <c r="H12622" s="5">
        <v>290.764500</v>
      </c>
    </row>
    <row r="12623" spans="1:9">
      <c r="A12623" s="22" t="str">
        <f>HYPERLINK("https://app.vivvix.com/360/KMI/IntelliDrive/ApplUI/Pages/CreativePages/CustomReportCreativeDetail.aspx?App=23&amp;ReportView=4&amp;Qid=1711279&amp;Row=12615&amp;Col=1","No Title Assigned - #15273315508")</f>
        <v/>
      </c>
      <c r="B12623" s="0" t="s">
        <v>16966</v>
      </c>
      <c r="C12623" s="0" t="s">
        <v>16967</v>
      </c>
      <c r="D12623" s="0" t="s">
        <v>16967</v>
      </c>
      <c r="E12623" s="0" t="inlineStr">
        <is>
          <t xml:space="preserve">Mazda</t>
        </is>
      </c>
      <c r="F12623" s="0" t="inlineStr">
        <is>
          <t xml:space="preserve">Mazda</t>
        </is>
      </c>
      <c r="G12623" s="0" t="s">
        <v>171</v>
      </c>
      <c r="H12623" s="5">
        <v>6.183000</v>
      </c>
    </row>
    <row r="12624" spans="1:9">
      <c r="A12624" s="22" t="str">
        <f>HYPERLINK("https://app.vivvix.com/360/KMI/IntelliDrive/ApplUI/Pages/CreativePages/CustomReportCreativeDetail.aspx?App=23&amp;ReportView=4&amp;Qid=1711279&amp;Row=12616&amp;Col=1","No Title Assigned - #15273316866")</f>
        <v/>
      </c>
      <c r="B12624" s="0" t="s">
        <v>16968</v>
      </c>
      <c r="E12624" s="0" t="inlineStr">
        <is>
          <t xml:space="preserve">Mazda</t>
        </is>
      </c>
      <c r="F12624" s="0" t="inlineStr">
        <is>
          <t xml:space="preserve">Mazda</t>
        </is>
      </c>
      <c r="G12624" s="0" t="s">
        <v>171</v>
      </c>
      <c r="H12624" s="5">
        <v>12.245400</v>
      </c>
    </row>
    <row r="12625" spans="1:9">
      <c r="A12625" s="22" t="str">
        <f>HYPERLINK("https://app.vivvix.com/360/KMI/IntelliDrive/ApplUI/Pages/CreativePages/CustomReportCreativeDetail.aspx?App=23&amp;ReportView=4&amp;Qid=1711279&amp;Row=12617&amp;Col=1","No Title Assigned - #15273318911")</f>
        <v/>
      </c>
      <c r="B12625" s="0" t="s">
        <v>16969</v>
      </c>
      <c r="E12625" s="0" t="inlineStr">
        <is>
          <t xml:space="preserve">Mazda</t>
        </is>
      </c>
      <c r="F12625" s="0" t="inlineStr">
        <is>
          <t xml:space="preserve">Mazda</t>
        </is>
      </c>
      <c r="G12625" s="0" t="s">
        <v>171</v>
      </c>
      <c r="H12625" s="5">
        <v>19.727200</v>
      </c>
    </row>
    <row r="12626" spans="1:9">
      <c r="A12626" s="22" t="str">
        <f>HYPERLINK("https://app.vivvix.com/360/KMI/IntelliDrive/ApplUI/Pages/CreativePages/CustomReportCreativeDetail.aspx?App=23&amp;ReportView=4&amp;Qid=1711279&amp;Row=12618&amp;Col=1","No Title Assigned - #15273319910")</f>
        <v/>
      </c>
      <c r="B12626" s="0" t="s">
        <v>16970</v>
      </c>
      <c r="E12626" s="0" t="inlineStr">
        <is>
          <t xml:space="preserve">Mazda</t>
        </is>
      </c>
      <c r="F12626" s="0" t="inlineStr">
        <is>
          <t xml:space="preserve">Mazda</t>
        </is>
      </c>
      <c r="G12626" s="0" t="s">
        <v>171</v>
      </c>
      <c r="H12626" s="5">
        <v>389.095900</v>
      </c>
    </row>
    <row r="12627" spans="1:9">
      <c r="A12627" s="22" t="str">
        <f>HYPERLINK("https://app.vivvix.com/360/KMI/IntelliDrive/ApplUI/Pages/CreativePages/CustomReportCreativeDetail.aspx?App=23&amp;ReportView=4&amp;Qid=1711279&amp;Row=12619&amp;Col=1","No Title Assigned - #15273320195")</f>
        <v/>
      </c>
      <c r="B12627" s="0" t="s">
        <v>16971</v>
      </c>
      <c r="E12627" s="0" t="inlineStr">
        <is>
          <t xml:space="preserve">Mazda</t>
        </is>
      </c>
      <c r="F12627" s="0" t="inlineStr">
        <is>
          <t xml:space="preserve">Mazda</t>
        </is>
      </c>
      <c r="G12627" s="0" t="s">
        <v>171</v>
      </c>
      <c r="H12627" s="5">
        <v>107.000900</v>
      </c>
    </row>
    <row r="12628" spans="1:9">
      <c r="A12628" s="22" t="str">
        <f>HYPERLINK("https://app.vivvix.com/360/KMI/IntelliDrive/ApplUI/Pages/CreativePages/CustomReportCreativeDetail.aspx?App=23&amp;ReportView=4&amp;Qid=1711279&amp;Row=12620&amp;Col=1","No Title Assigned - #15273321248")</f>
        <v/>
      </c>
      <c r="B12628" s="0" t="s">
        <v>16972</v>
      </c>
      <c r="E12628" s="0" t="inlineStr">
        <is>
          <t xml:space="preserve">Mazda</t>
        </is>
      </c>
      <c r="F12628" s="0" t="inlineStr">
        <is>
          <t xml:space="preserve">Mazda</t>
        </is>
      </c>
      <c r="G12628" s="0" t="s">
        <v>171</v>
      </c>
      <c r="H12628" s="5">
        <v>1036.027000</v>
      </c>
    </row>
    <row r="12629" spans="1:9">
      <c r="A12629" s="22" t="str">
        <f>HYPERLINK("https://app.vivvix.com/360/KMI/IntelliDrive/ApplUI/Pages/CreativePages/CustomReportCreativeDetail.aspx?App=23&amp;ReportView=4&amp;Qid=1711279&amp;Row=12621&amp;Col=1","No Title Assigned - #15273322383")</f>
        <v/>
      </c>
      <c r="B12629" s="0" t="s">
        <v>16973</v>
      </c>
      <c r="E12629" s="0" t="inlineStr">
        <is>
          <t xml:space="preserve">Mazda</t>
        </is>
      </c>
      <c r="F12629" s="0" t="inlineStr">
        <is>
          <t xml:space="preserve">Mazda</t>
        </is>
      </c>
      <c r="G12629" s="0" t="s">
        <v>171</v>
      </c>
      <c r="H12629" s="5">
        <v>1.350900</v>
      </c>
    </row>
    <row r="12630" spans="1:9">
      <c r="A12630" s="22" t="str">
        <f>HYPERLINK("https://app.vivvix.com/360/KMI/IntelliDrive/ApplUI/Pages/CreativePages/CustomReportCreativeDetail.aspx?App=23&amp;ReportView=4&amp;Qid=1711279&amp;Row=12622&amp;Col=1","No Title Assigned - #15273327105")</f>
        <v/>
      </c>
      <c r="B12630" s="0" t="s">
        <v>16974</v>
      </c>
      <c r="E12630" s="0" t="inlineStr">
        <is>
          <t xml:space="preserve">Mazda</t>
        </is>
      </c>
      <c r="F12630" s="0" t="inlineStr">
        <is>
          <t xml:space="preserve">Mazda</t>
        </is>
      </c>
      <c r="G12630" s="0" t="s">
        <v>171</v>
      </c>
      <c r="H12630" s="5">
        <v>474.133600</v>
      </c>
    </row>
    <row r="12631" spans="1:9">
      <c r="A12631" s="22" t="str">
        <f>HYPERLINK("https://app.vivvix.com/360/KMI/IntelliDrive/ApplUI/Pages/CreativePages/CustomReportCreativeDetail.aspx?App=23&amp;ReportView=4&amp;Qid=1711279&amp;Row=12623&amp;Col=1","No Title Assigned - #15273327224")</f>
        <v/>
      </c>
      <c r="B12631" s="0" t="s">
        <v>16975</v>
      </c>
      <c r="E12631" s="0" t="inlineStr">
        <is>
          <t xml:space="preserve">Mazda</t>
        </is>
      </c>
      <c r="F12631" s="0" t="inlineStr">
        <is>
          <t xml:space="preserve">Mazda</t>
        </is>
      </c>
      <c r="G12631" s="0" t="s">
        <v>171</v>
      </c>
      <c r="H12631" s="5">
        <v>37.699100</v>
      </c>
    </row>
    <row r="12632" spans="1:9">
      <c r="A12632" s="22" t="str">
        <f>HYPERLINK("https://app.vivvix.com/360/KMI/IntelliDrive/ApplUI/Pages/CreativePages/CustomReportCreativeDetail.aspx?App=23&amp;ReportView=4&amp;Qid=1711279&amp;Row=12624&amp;Col=1","No Title Assigned - #15273327224")</f>
        <v/>
      </c>
      <c r="B12632" s="0" t="s">
        <v>16975</v>
      </c>
      <c r="E12632" s="0" t="inlineStr">
        <is>
          <t xml:space="preserve">Mazda</t>
        </is>
      </c>
      <c r="F12632" s="0" t="inlineStr">
        <is>
          <t xml:space="preserve">Mazda</t>
        </is>
      </c>
      <c r="G12632" s="0" t="s">
        <v>171</v>
      </c>
      <c r="H12632" s="5">
        <v>146.170300</v>
      </c>
    </row>
    <row r="12633" spans="1:9">
      <c r="A12633" s="22" t="str">
        <f>HYPERLINK("https://app.vivvix.com/360/KMI/IntelliDrive/ApplUI/Pages/CreativePages/CustomReportCreativeDetail.aspx?App=23&amp;ReportView=4&amp;Qid=1711279&amp;Row=12625&amp;Col=1","No Title Assigned - #15273327429")</f>
        <v/>
      </c>
      <c r="B12633" s="0" t="s">
        <v>16976</v>
      </c>
      <c r="C12633" s="0" t="s">
        <v>16977</v>
      </c>
      <c r="D12633" s="0" t="s">
        <v>16977</v>
      </c>
      <c r="E12633" s="0" t="inlineStr">
        <is>
          <t xml:space="preserve">Mazda</t>
        </is>
      </c>
      <c r="F12633" s="0" t="inlineStr">
        <is>
          <t xml:space="preserve">Mazda</t>
        </is>
      </c>
      <c r="G12633" s="0" t="s">
        <v>171</v>
      </c>
      <c r="H12633" s="5">
        <v>340.104000</v>
      </c>
    </row>
    <row r="12634" spans="1:9">
      <c r="A12634" s="22" t="str">
        <f>HYPERLINK("https://app.vivvix.com/360/KMI/IntelliDrive/ApplUI/Pages/CreativePages/CustomReportCreativeDetail.aspx?App=23&amp;ReportView=4&amp;Qid=1711279&amp;Row=12626&amp;Col=1","No Title Assigned - #15273328134")</f>
        <v/>
      </c>
      <c r="B12634" s="0" t="s">
        <v>16978</v>
      </c>
      <c r="E12634" s="0" t="inlineStr">
        <is>
          <t xml:space="preserve">Mazda</t>
        </is>
      </c>
      <c r="F12634" s="0" t="inlineStr">
        <is>
          <t xml:space="preserve">Mazda</t>
        </is>
      </c>
      <c r="G12634" s="0" t="s">
        <v>171</v>
      </c>
      <c r="H12634" s="5">
        <v>115.736600</v>
      </c>
    </row>
    <row r="12635" spans="1:9">
      <c r="A12635" s="22" t="str">
        <f>HYPERLINK("https://app.vivvix.com/360/KMI/IntelliDrive/ApplUI/Pages/CreativePages/CustomReportCreativeDetail.aspx?App=23&amp;ReportView=4&amp;Qid=1711279&amp;Row=12627&amp;Col=1","No Title Assigned - #15273328419")</f>
        <v/>
      </c>
      <c r="B12635" s="0" t="s">
        <v>16979</v>
      </c>
      <c r="E12635" s="0" t="inlineStr">
        <is>
          <t xml:space="preserve">Mazda</t>
        </is>
      </c>
      <c r="F12635" s="0" t="inlineStr">
        <is>
          <t xml:space="preserve">Mazda</t>
        </is>
      </c>
      <c r="G12635" s="0" t="s">
        <v>171</v>
      </c>
      <c r="H12635" s="5">
        <v>2.728500</v>
      </c>
    </row>
    <row r="12636" spans="1:9">
      <c r="A12636" s="22" t="str">
        <f>HYPERLINK("https://app.vivvix.com/360/KMI/IntelliDrive/ApplUI/Pages/CreativePages/CustomReportCreativeDetail.aspx?App=23&amp;ReportView=4&amp;Qid=1711279&amp;Row=12628&amp;Col=1","No Title Assigned - #15273329711")</f>
        <v/>
      </c>
      <c r="B12636" s="0" t="s">
        <v>16980</v>
      </c>
      <c r="E12636" s="0" t="inlineStr">
        <is>
          <t xml:space="preserve">Mazda</t>
        </is>
      </c>
      <c r="F12636" s="0" t="inlineStr">
        <is>
          <t xml:space="preserve">Mazda</t>
        </is>
      </c>
      <c r="G12636" s="0" t="s">
        <v>171</v>
      </c>
      <c r="H12636" s="5">
        <v>451.650500</v>
      </c>
    </row>
    <row r="12637" spans="1:9">
      <c r="A12637" s="22" t="str">
        <f>HYPERLINK("https://app.vivvix.com/360/KMI/IntelliDrive/ApplUI/Pages/CreativePages/CustomReportCreativeDetail.aspx?App=23&amp;ReportView=4&amp;Qid=1711279&amp;Row=12629&amp;Col=1","No Title Assigned - #15273329957")</f>
        <v/>
      </c>
      <c r="B12637" s="0" t="s">
        <v>16981</v>
      </c>
      <c r="E12637" s="0" t="inlineStr">
        <is>
          <t xml:space="preserve">Mazda</t>
        </is>
      </c>
      <c r="F12637" s="0" t="inlineStr">
        <is>
          <t xml:space="preserve">Mazda</t>
        </is>
      </c>
      <c r="G12637" s="0" t="s">
        <v>171</v>
      </c>
      <c r="H12637" s="5">
        <v>1.043900</v>
      </c>
    </row>
    <row r="12638" spans="1:9">
      <c r="A12638" s="22" t="str">
        <f>HYPERLINK("https://app.vivvix.com/360/KMI/IntelliDrive/ApplUI/Pages/CreativePages/CustomReportCreativeDetail.aspx?App=23&amp;ReportView=4&amp;Qid=1711279&amp;Row=12630&amp;Col=1","No Title Assigned - #15273331053")</f>
        <v/>
      </c>
      <c r="B12638" s="0" t="s">
        <v>16982</v>
      </c>
      <c r="E12638" s="0" t="inlineStr">
        <is>
          <t xml:space="preserve">Mazda</t>
        </is>
      </c>
      <c r="F12638" s="0" t="inlineStr">
        <is>
          <t xml:space="preserve">Mazda</t>
        </is>
      </c>
      <c r="G12638" s="0" t="s">
        <v>171</v>
      </c>
      <c r="H12638" s="5">
        <v>38.211900</v>
      </c>
    </row>
    <row r="12639" spans="1:9">
      <c r="A12639" s="22" t="str">
        <f>HYPERLINK("https://app.vivvix.com/360/KMI/IntelliDrive/ApplUI/Pages/CreativePages/CustomReportCreativeDetail.aspx?App=23&amp;ReportView=4&amp;Qid=1711279&amp;Row=12631&amp;Col=1","No Title Assigned - #15273332492")</f>
        <v/>
      </c>
      <c r="B12639" s="0" t="s">
        <v>16983</v>
      </c>
      <c r="E12639" s="0" t="inlineStr">
        <is>
          <t xml:space="preserve">Mazda</t>
        </is>
      </c>
      <c r="F12639" s="0" t="inlineStr">
        <is>
          <t xml:space="preserve">Mazda</t>
        </is>
      </c>
      <c r="G12639" s="0" t="s">
        <v>171</v>
      </c>
      <c r="H12639" s="5">
        <v>16.660200</v>
      </c>
    </row>
    <row r="12640" spans="1:9">
      <c r="A12640" s="22" t="str">
        <f>HYPERLINK("https://app.vivvix.com/360/KMI/IntelliDrive/ApplUI/Pages/CreativePages/CustomReportCreativeDetail.aspx?App=23&amp;ReportView=4&amp;Qid=1711279&amp;Row=12632&amp;Col=1","No Title Assigned - #15273334605")</f>
        <v/>
      </c>
      <c r="B12640" s="0" t="s">
        <v>16984</v>
      </c>
      <c r="E12640" s="0" t="inlineStr">
        <is>
          <t xml:space="preserve">Mazda</t>
        </is>
      </c>
      <c r="F12640" s="0" t="inlineStr">
        <is>
          <t xml:space="preserve">Mazda</t>
        </is>
      </c>
      <c r="G12640" s="0" t="s">
        <v>171</v>
      </c>
      <c r="H12640" s="5">
        <v>312.941900</v>
      </c>
    </row>
    <row r="12641" spans="1:9">
      <c r="A12641" s="22" t="str">
        <f>HYPERLINK("https://app.vivvix.com/360/KMI/IntelliDrive/ApplUI/Pages/CreativePages/CustomReportCreativeDetail.aspx?App=23&amp;ReportView=4&amp;Qid=1711279&amp;Row=12633&amp;Col=1","No Title Assigned - #15273335406")</f>
        <v/>
      </c>
      <c r="B12641" s="0" t="s">
        <v>16985</v>
      </c>
      <c r="E12641" s="0" t="inlineStr">
        <is>
          <t xml:space="preserve">Mazda</t>
        </is>
      </c>
      <c r="F12641" s="0" t="inlineStr">
        <is>
          <t xml:space="preserve">Mazda</t>
        </is>
      </c>
      <c r="G12641" s="0" t="s">
        <v>171</v>
      </c>
      <c r="H12641" s="5">
        <v>136.948300</v>
      </c>
    </row>
    <row r="12642" spans="1:9">
      <c r="A12642" s="22" t="str">
        <f>HYPERLINK("https://app.vivvix.com/360/KMI/IntelliDrive/ApplUI/Pages/CreativePages/CustomReportCreativeDetail.aspx?App=23&amp;ReportView=4&amp;Qid=1711279&amp;Row=12634&amp;Col=1","No Title Assigned - #15273336019")</f>
        <v/>
      </c>
      <c r="B12642" s="0" t="s">
        <v>16986</v>
      </c>
      <c r="E12642" s="0" t="inlineStr">
        <is>
          <t xml:space="preserve">Mazda</t>
        </is>
      </c>
      <c r="F12642" s="0" t="inlineStr">
        <is>
          <t xml:space="preserve">Mazda</t>
        </is>
      </c>
      <c r="G12642" s="0" t="s">
        <v>171</v>
      </c>
      <c r="H12642" s="5">
        <v>226.368400</v>
      </c>
    </row>
    <row r="12643" spans="1:9">
      <c r="A12643" s="22" t="str">
        <f>HYPERLINK("https://app.vivvix.com/360/KMI/IntelliDrive/ApplUI/Pages/CreativePages/CustomReportCreativeDetail.aspx?App=23&amp;ReportView=4&amp;Qid=1711279&amp;Row=12635&amp;Col=1","No Title Assigned - #15273337670")</f>
        <v/>
      </c>
      <c r="B12643" s="0" t="s">
        <v>16987</v>
      </c>
      <c r="C12643" s="0" t="s">
        <v>16988</v>
      </c>
      <c r="D12643" s="0" t="s">
        <v>4204</v>
      </c>
      <c r="E12643" s="0" t="inlineStr">
        <is>
          <t xml:space="preserve">Mazda</t>
        </is>
      </c>
      <c r="F12643" s="0" t="s">
        <v>28</v>
      </c>
      <c r="G12643" s="0" t="s">
        <v>29</v>
      </c>
      <c r="H12643" s="5">
        <v>492.968900</v>
      </c>
    </row>
    <row r="12644" spans="1:9">
      <c r="A12644" s="22" t="str">
        <f>HYPERLINK("https://app.vivvix.com/360/KMI/IntelliDrive/ApplUI/Pages/CreativePages/CustomReportCreativeDetail.aspx?App=23&amp;ReportView=4&amp;Qid=1711279&amp;Row=12636&amp;Col=1","No Title Assigned - #15273338758")</f>
        <v/>
      </c>
      <c r="B12644" s="0" t="s">
        <v>16989</v>
      </c>
      <c r="C12644" s="0" t="s">
        <v>16990</v>
      </c>
      <c r="D12644" s="0" t="s">
        <v>12666</v>
      </c>
      <c r="E12644" s="0" t="inlineStr">
        <is>
          <t xml:space="preserve">Mazda</t>
        </is>
      </c>
      <c r="F12644" s="0" t="s">
        <v>28</v>
      </c>
      <c r="G12644" s="0" t="s">
        <v>29</v>
      </c>
      <c r="H12644" s="5">
        <v>86.914700</v>
      </c>
    </row>
    <row r="12645" spans="1:9">
      <c r="A12645" s="22" t="str">
        <f>HYPERLINK("https://app.vivvix.com/360/KMI/IntelliDrive/ApplUI/Pages/CreativePages/CustomReportCreativeDetail.aspx?App=23&amp;ReportView=4&amp;Qid=1711279&amp;Row=12637&amp;Col=1","No Title Assigned - #15273339029")</f>
        <v/>
      </c>
      <c r="B12645" s="0" t="s">
        <v>16991</v>
      </c>
      <c r="E12645" s="0" t="inlineStr">
        <is>
          <t xml:space="preserve">Mazda</t>
        </is>
      </c>
      <c r="F12645" s="0" t="s">
        <v>13</v>
      </c>
      <c r="G12645" s="0" t="s">
        <v>49</v>
      </c>
      <c r="H12645" s="5">
        <v>45.096800</v>
      </c>
    </row>
    <row r="12646" spans="1:9">
      <c r="A12646" s="22" t="str">
        <f>HYPERLINK("https://app.vivvix.com/360/KMI/IntelliDrive/ApplUI/Pages/CreativePages/CustomReportCreativeDetail.aspx?App=23&amp;ReportView=4&amp;Qid=1711279&amp;Row=12638&amp;Col=1","No Title Assigned - #15273339322")</f>
        <v/>
      </c>
      <c r="B12646" s="0" t="s">
        <v>16992</v>
      </c>
      <c r="C12646" s="0" t="s">
        <v>16993</v>
      </c>
      <c r="D12646" s="0" t="s">
        <v>16993</v>
      </c>
      <c r="E12646" s="0" t="inlineStr">
        <is>
          <t xml:space="preserve">Mazda</t>
        </is>
      </c>
      <c r="F12646" s="0" t="s">
        <v>28</v>
      </c>
      <c r="G12646" s="0" t="s">
        <v>29</v>
      </c>
      <c r="H12646" s="5">
        <v>11.711400</v>
      </c>
    </row>
    <row r="12647" spans="1:9">
      <c r="A12647" s="22" t="str">
        <f>HYPERLINK("https://app.vivvix.com/360/KMI/IntelliDrive/ApplUI/Pages/CreativePages/CustomReportCreativeDetail.aspx?App=23&amp;ReportView=4&amp;Qid=1711279&amp;Row=12639&amp;Col=1","No Title Assigned - #15273339965")</f>
        <v/>
      </c>
      <c r="B12647" s="0" t="s">
        <v>16994</v>
      </c>
      <c r="C12647" s="0" t="s">
        <v>16995</v>
      </c>
      <c r="D12647" s="0" t="s">
        <v>16995</v>
      </c>
      <c r="E12647" s="0" t="inlineStr">
        <is>
          <t xml:space="preserve">Mazda</t>
        </is>
      </c>
      <c r="F12647" s="0" t="s">
        <v>28</v>
      </c>
      <c r="G12647" s="0" t="s">
        <v>29</v>
      </c>
      <c r="H12647" s="5">
        <v>72.741300</v>
      </c>
    </row>
    <row r="12648" spans="1:9">
      <c r="A12648" s="22" t="str">
        <f>HYPERLINK("https://app.vivvix.com/360/KMI/IntelliDrive/ApplUI/Pages/CreativePages/CustomReportCreativeDetail.aspx?App=23&amp;ReportView=4&amp;Qid=1711279&amp;Row=12640&amp;Col=1","No Title Assigned - #15273341361")</f>
        <v/>
      </c>
      <c r="B12648" s="0" t="s">
        <v>16996</v>
      </c>
      <c r="C12648" s="0" t="s">
        <v>16997</v>
      </c>
      <c r="D12648" s="0" t="s">
        <v>10724</v>
      </c>
      <c r="E12648" s="0" t="inlineStr">
        <is>
          <t xml:space="preserve">Mazda</t>
        </is>
      </c>
      <c r="F12648" s="0" t="s">
        <v>28</v>
      </c>
      <c r="G12648" s="0" t="s">
        <v>29</v>
      </c>
      <c r="H12648" s="5">
        <v>107.184700</v>
      </c>
    </row>
    <row r="12649" spans="1:9">
      <c r="A12649" s="22" t="str">
        <f>HYPERLINK("https://app.vivvix.com/360/KMI/IntelliDrive/ApplUI/Pages/CreativePages/CustomReportCreativeDetail.aspx?App=23&amp;ReportView=4&amp;Qid=1711279&amp;Row=12641&amp;Col=1","No Title Assigned - #15273341691")</f>
        <v/>
      </c>
      <c r="B12649" s="0" t="s">
        <v>16998</v>
      </c>
      <c r="C12649" s="0" t="s">
        <v>16999</v>
      </c>
      <c r="D12649" s="0" t="s">
        <v>17000</v>
      </c>
      <c r="E12649" s="0" t="inlineStr">
        <is>
          <t xml:space="preserve">Mazda</t>
        </is>
      </c>
      <c r="F12649" s="0" t="s">
        <v>28</v>
      </c>
      <c r="G12649" s="0" t="s">
        <v>29</v>
      </c>
      <c r="H12649" s="5">
        <v>7.461400</v>
      </c>
    </row>
    <row r="12650" spans="1:9">
      <c r="A12650" s="22" t="str">
        <f>HYPERLINK("https://app.vivvix.com/360/KMI/IntelliDrive/ApplUI/Pages/CreativePages/CustomReportCreativeDetail.aspx?App=23&amp;ReportView=4&amp;Qid=1711279&amp;Row=12642&amp;Col=1","No Title Assigned - #15273342029")</f>
        <v/>
      </c>
      <c r="B12650" s="0" t="s">
        <v>17001</v>
      </c>
      <c r="C12650" s="0" t="s">
        <v>17002</v>
      </c>
      <c r="D12650" s="0" t="s">
        <v>17002</v>
      </c>
      <c r="E12650" s="0" t="inlineStr">
        <is>
          <t xml:space="preserve">Mazda</t>
        </is>
      </c>
      <c r="F12650" s="0" t="s">
        <v>28</v>
      </c>
      <c r="G12650" s="0" t="s">
        <v>295</v>
      </c>
      <c r="H12650" s="5">
        <v>1935.114300</v>
      </c>
    </row>
    <row r="12651" spans="1:9">
      <c r="A12651" s="22" t="str">
        <f>HYPERLINK("https://app.vivvix.com/360/KMI/IntelliDrive/ApplUI/Pages/CreativePages/CustomReportCreativeDetail.aspx?App=23&amp;ReportView=4&amp;Qid=1711279&amp;Row=12643&amp;Col=1","No Title Assigned - #15273342162")</f>
        <v/>
      </c>
      <c r="B12651" s="0" t="s">
        <v>17003</v>
      </c>
      <c r="C12651" s="0" t="s">
        <v>17004</v>
      </c>
      <c r="D12651" s="0" t="s">
        <v>17004</v>
      </c>
      <c r="E12651" s="0" t="inlineStr">
        <is>
          <t xml:space="preserve">Mazda</t>
        </is>
      </c>
      <c r="F12651" s="0" t="s">
        <v>28</v>
      </c>
      <c r="G12651" s="0" t="s">
        <v>29</v>
      </c>
      <c r="H12651" s="5">
        <v>105.132500</v>
      </c>
    </row>
    <row r="12652" spans="1:9">
      <c r="A12652" s="22" t="str">
        <f>HYPERLINK("https://app.vivvix.com/360/KMI/IntelliDrive/ApplUI/Pages/CreativePages/CustomReportCreativeDetail.aspx?App=23&amp;ReportView=4&amp;Qid=1711279&amp;Row=12644&amp;Col=1","No Title Assigned - #15273342254")</f>
        <v/>
      </c>
      <c r="B12652" s="0" t="s">
        <v>17005</v>
      </c>
      <c r="C12652" s="0" t="s">
        <v>17006</v>
      </c>
      <c r="D12652" s="0" t="s">
        <v>4274</v>
      </c>
      <c r="E12652" s="0" t="inlineStr">
        <is>
          <t xml:space="preserve">Mazda</t>
        </is>
      </c>
      <c r="F12652" s="0" t="s">
        <v>28</v>
      </c>
      <c r="G12652" s="0" t="s">
        <v>29</v>
      </c>
      <c r="H12652" s="5">
        <v>25.779000</v>
      </c>
    </row>
    <row r="12653" spans="1:9">
      <c r="A12653" s="22" t="str">
        <f>HYPERLINK("https://app.vivvix.com/360/KMI/IntelliDrive/ApplUI/Pages/CreativePages/CustomReportCreativeDetail.aspx?App=23&amp;ReportView=4&amp;Qid=1711279&amp;Row=12645&amp;Col=1","No Title Assigned - #15273344510")</f>
        <v/>
      </c>
      <c r="B12653" s="0" t="s">
        <v>17007</v>
      </c>
      <c r="C12653" s="0" t="s">
        <v>17008</v>
      </c>
      <c r="D12653" s="0" t="s">
        <v>17008</v>
      </c>
      <c r="E12653" s="0" t="inlineStr">
        <is>
          <t xml:space="preserve">Mazda</t>
        </is>
      </c>
      <c r="F12653" s="0" t="s">
        <v>28</v>
      </c>
      <c r="G12653" s="0" t="s">
        <v>29</v>
      </c>
      <c r="H12653" s="5">
        <v>280.477100</v>
      </c>
    </row>
    <row r="12654" spans="1:9">
      <c r="A12654" s="22" t="str">
        <f>HYPERLINK("https://app.vivvix.com/360/KMI/IntelliDrive/ApplUI/Pages/CreativePages/CustomReportCreativeDetail.aspx?App=23&amp;ReportView=4&amp;Qid=1711279&amp;Row=12646&amp;Col=1","No Title Assigned - #15273345087")</f>
        <v/>
      </c>
      <c r="B12654" s="0" t="s">
        <v>17009</v>
      </c>
      <c r="E12654" s="0" t="inlineStr">
        <is>
          <t xml:space="preserve">Mazda</t>
        </is>
      </c>
      <c r="F12654" s="0" t="s">
        <v>13</v>
      </c>
      <c r="G12654" s="0" t="s">
        <v>49</v>
      </c>
      <c r="H12654" s="5">
        <v>1650.119400</v>
      </c>
    </row>
    <row r="12655" spans="1:9">
      <c r="A12655" s="22" t="str">
        <f>HYPERLINK("https://app.vivvix.com/360/KMI/IntelliDrive/ApplUI/Pages/CreativePages/CustomReportCreativeDetail.aspx?App=23&amp;ReportView=4&amp;Qid=1711279&amp;Row=12647&amp;Col=1","No Title Assigned - #15273345420")</f>
        <v/>
      </c>
      <c r="B12655" s="0" t="s">
        <v>17010</v>
      </c>
      <c r="C12655" s="0" t="s">
        <v>17011</v>
      </c>
      <c r="D12655" s="0" t="s">
        <v>4200</v>
      </c>
      <c r="E12655" s="0" t="inlineStr">
        <is>
          <t xml:space="preserve">Mazda</t>
        </is>
      </c>
      <c r="F12655" s="0" t="s">
        <v>28</v>
      </c>
      <c r="G12655" s="0" t="s">
        <v>29</v>
      </c>
      <c r="H12655" s="5">
        <v>17.499200</v>
      </c>
    </row>
    <row r="12656" spans="1:9">
      <c r="A12656" s="22" t="str">
        <f>HYPERLINK("https://app.vivvix.com/360/KMI/IntelliDrive/ApplUI/Pages/CreativePages/CustomReportCreativeDetail.aspx?App=23&amp;ReportView=4&amp;Qid=1711279&amp;Row=12648&amp;Col=1","No Title Assigned - #15273347451")</f>
        <v/>
      </c>
      <c r="B12656" s="0" t="s">
        <v>17012</v>
      </c>
      <c r="C12656" s="0" t="s">
        <v>17013</v>
      </c>
      <c r="D12656" s="0" t="s">
        <v>15862</v>
      </c>
      <c r="E12656" s="0" t="inlineStr">
        <is>
          <t xml:space="preserve">Mazda</t>
        </is>
      </c>
      <c r="F12656" s="0" t="s">
        <v>28</v>
      </c>
      <c r="G12656" s="0" t="s">
        <v>29</v>
      </c>
      <c r="H12656" s="5">
        <v>2198.084000</v>
      </c>
    </row>
    <row r="12657" spans="1:9">
      <c r="A12657" s="22" t="str">
        <f>HYPERLINK("https://app.vivvix.com/360/KMI/IntelliDrive/ApplUI/Pages/CreativePages/CustomReportCreativeDetail.aspx?App=23&amp;ReportView=4&amp;Qid=1711279&amp;Row=12649&amp;Col=1","No Title Assigned - #15273347588")</f>
        <v/>
      </c>
      <c r="B12657" s="0" t="s">
        <v>17014</v>
      </c>
      <c r="C12657" s="0" t="s">
        <v>17015</v>
      </c>
      <c r="D12657" s="0" t="s">
        <v>5977</v>
      </c>
      <c r="E12657" s="0" t="inlineStr">
        <is>
          <t xml:space="preserve">Mazda</t>
        </is>
      </c>
      <c r="F12657" s="0" t="s">
        <v>28</v>
      </c>
      <c r="G12657" s="0" t="s">
        <v>29</v>
      </c>
      <c r="H12657" s="5">
        <v>13.979300</v>
      </c>
    </row>
    <row r="12658" spans="1:9">
      <c r="A12658" s="22" t="str">
        <f>HYPERLINK("https://app.vivvix.com/360/KMI/IntelliDrive/ApplUI/Pages/CreativePages/CustomReportCreativeDetail.aspx?App=23&amp;ReportView=4&amp;Qid=1711279&amp;Row=12650&amp;Col=1","No Title Assigned - #15273348872")</f>
        <v/>
      </c>
      <c r="B12658" s="0" t="s">
        <v>17016</v>
      </c>
      <c r="E12658" s="0" t="inlineStr">
        <is>
          <t xml:space="preserve">Mazda</t>
        </is>
      </c>
      <c r="F12658" s="0" t="s">
        <v>13</v>
      </c>
      <c r="G12658" s="0" t="s">
        <v>49</v>
      </c>
      <c r="H12658" s="5">
        <v>68.800200</v>
      </c>
    </row>
    <row r="12659" spans="1:9">
      <c r="A12659" s="22" t="str">
        <f>HYPERLINK("https://app.vivvix.com/360/KMI/IntelliDrive/ApplUI/Pages/CreativePages/CustomReportCreativeDetail.aspx?App=23&amp;ReportView=4&amp;Qid=1711279&amp;Row=12651&amp;Col=1","No Title Assigned - #15273349163")</f>
        <v/>
      </c>
      <c r="B12659" s="0" t="s">
        <v>17017</v>
      </c>
      <c r="C12659" s="0" t="s">
        <v>17018</v>
      </c>
      <c r="D12659" s="0" t="s">
        <v>16549</v>
      </c>
      <c r="E12659" s="0" t="inlineStr">
        <is>
          <t xml:space="preserve">Mazda</t>
        </is>
      </c>
      <c r="F12659" s="0" t="s">
        <v>28</v>
      </c>
      <c r="G12659" s="0" t="s">
        <v>29</v>
      </c>
      <c r="H12659" s="5">
        <v>5.921900</v>
      </c>
    </row>
    <row r="12660" spans="1:9">
      <c r="A12660" s="22" t="str">
        <f>HYPERLINK("https://app.vivvix.com/360/KMI/IntelliDrive/ApplUI/Pages/CreativePages/CustomReportCreativeDetail.aspx?App=23&amp;ReportView=4&amp;Qid=1711279&amp;Row=12652&amp;Col=1","No Title Assigned - #15273349228")</f>
        <v/>
      </c>
      <c r="B12660" s="0" t="s">
        <v>17019</v>
      </c>
      <c r="C12660" s="0" t="s">
        <v>17020</v>
      </c>
      <c r="D12660" s="0" t="s">
        <v>6656</v>
      </c>
      <c r="E12660" s="0" t="inlineStr">
        <is>
          <t xml:space="preserve">Mazda</t>
        </is>
      </c>
      <c r="F12660" s="0" t="s">
        <v>28</v>
      </c>
      <c r="G12660" s="0" t="s">
        <v>29</v>
      </c>
      <c r="H12660" s="5">
        <v>5.000200</v>
      </c>
    </row>
    <row r="12661" spans="1:9">
      <c r="A12661" s="22" t="str">
        <f>HYPERLINK("https://app.vivvix.com/360/KMI/IntelliDrive/ApplUI/Pages/CreativePages/CustomReportCreativeDetail.aspx?App=23&amp;ReportView=4&amp;Qid=1711279&amp;Row=12653&amp;Col=1","No Title Assigned - #15273349270")</f>
        <v/>
      </c>
      <c r="B12661" s="0" t="s">
        <v>17021</v>
      </c>
      <c r="E12661" s="0" t="inlineStr">
        <is>
          <t xml:space="preserve">Mazda</t>
        </is>
      </c>
      <c r="F12661" s="0" t="inlineStr">
        <is>
          <t xml:space="preserve">Mazda</t>
        </is>
      </c>
      <c r="G12661" s="0" t="s">
        <v>210</v>
      </c>
      <c r="H12661" s="5">
        <v>216.356300</v>
      </c>
    </row>
    <row r="12662" spans="1:9">
      <c r="A12662" s="22" t="str">
        <f>HYPERLINK("https://app.vivvix.com/360/KMI/IntelliDrive/ApplUI/Pages/CreativePages/CustomReportCreativeDetail.aspx?App=23&amp;ReportView=4&amp;Qid=1711279&amp;Row=12654&amp;Col=1","No Title Assigned - #15273349525")</f>
        <v/>
      </c>
      <c r="B12662" s="0" t="s">
        <v>17022</v>
      </c>
      <c r="E12662" s="0" t="inlineStr">
        <is>
          <t xml:space="preserve">Mazda</t>
        </is>
      </c>
      <c r="F12662" s="0" t="s">
        <v>13</v>
      </c>
      <c r="G12662" s="0" t="s">
        <v>49</v>
      </c>
      <c r="H12662" s="5">
        <v>30.845300</v>
      </c>
    </row>
    <row r="12663" spans="1:9">
      <c r="A12663" s="22" t="str">
        <f>HYPERLINK("https://app.vivvix.com/360/KMI/IntelliDrive/ApplUI/Pages/CreativePages/CustomReportCreativeDetail.aspx?App=23&amp;ReportView=4&amp;Qid=1711279&amp;Row=12655&amp;Col=1","No Title Assigned - #15273349648")</f>
        <v/>
      </c>
      <c r="B12663" s="0" t="s">
        <v>17023</v>
      </c>
      <c r="C12663" s="0" t="s">
        <v>17024</v>
      </c>
      <c r="D12663" s="0" t="s">
        <v>4204</v>
      </c>
      <c r="E12663" s="0" t="inlineStr">
        <is>
          <t xml:space="preserve">Mazda</t>
        </is>
      </c>
      <c r="F12663" s="0" t="s">
        <v>28</v>
      </c>
      <c r="G12663" s="0" t="s">
        <v>29</v>
      </c>
      <c r="H12663" s="5">
        <v>35.385600</v>
      </c>
    </row>
    <row r="12664" spans="1:9">
      <c r="A12664" s="22" t="str">
        <f>HYPERLINK("https://app.vivvix.com/360/KMI/IntelliDrive/ApplUI/Pages/CreativePages/CustomReportCreativeDetail.aspx?App=23&amp;ReportView=4&amp;Qid=1711279&amp;Row=12656&amp;Col=1","No Title Assigned - #15273350106")</f>
        <v/>
      </c>
      <c r="B12664" s="0" t="s">
        <v>17025</v>
      </c>
      <c r="C12664" s="0" t="s">
        <v>17026</v>
      </c>
      <c r="D12664" s="0" t="s">
        <v>11258</v>
      </c>
      <c r="E12664" s="0" t="inlineStr">
        <is>
          <t xml:space="preserve">Mazda</t>
        </is>
      </c>
      <c r="F12664" s="0" t="s">
        <v>13</v>
      </c>
      <c r="G12664" s="0" t="s">
        <v>49</v>
      </c>
      <c r="H12664" s="5">
        <v>31.322300</v>
      </c>
    </row>
    <row r="12665" spans="1:9">
      <c r="A12665" s="22" t="str">
        <f>HYPERLINK("https://app.vivvix.com/360/KMI/IntelliDrive/ApplUI/Pages/CreativePages/CustomReportCreativeDetail.aspx?App=23&amp;ReportView=4&amp;Qid=1711279&amp;Row=12657&amp;Col=1","No Title Assigned - #15273350174")</f>
        <v/>
      </c>
      <c r="B12665" s="0" t="s">
        <v>17027</v>
      </c>
      <c r="C12665" s="0" t="s">
        <v>17028</v>
      </c>
      <c r="D12665" s="0" t="s">
        <v>17028</v>
      </c>
      <c r="E12665" s="0" t="inlineStr">
        <is>
          <t xml:space="preserve">Mazda</t>
        </is>
      </c>
      <c r="F12665" s="0" t="s">
        <v>28</v>
      </c>
      <c r="G12665" s="0" t="s">
        <v>29</v>
      </c>
      <c r="H12665" s="5">
        <v>5.221400</v>
      </c>
    </row>
    <row r="12666" spans="1:9">
      <c r="A12666" s="22" t="str">
        <f>HYPERLINK("https://app.vivvix.com/360/KMI/IntelliDrive/ApplUI/Pages/CreativePages/CustomReportCreativeDetail.aspx?App=23&amp;ReportView=4&amp;Qid=1711279&amp;Row=12658&amp;Col=1","No Title Assigned - #15273350538")</f>
        <v/>
      </c>
      <c r="B12666" s="0" t="s">
        <v>17029</v>
      </c>
      <c r="C12666" s="0" t="s">
        <v>17030</v>
      </c>
      <c r="D12666" s="0" t="s">
        <v>13898</v>
      </c>
      <c r="E12666" s="0" t="inlineStr">
        <is>
          <t xml:space="preserve">Mazda</t>
        </is>
      </c>
      <c r="F12666" s="0" t="s">
        <v>28</v>
      </c>
      <c r="G12666" s="0" t="s">
        <v>29</v>
      </c>
      <c r="H12666" s="5">
        <v>18.289000</v>
      </c>
    </row>
    <row r="12667" spans="1:9">
      <c r="A12667" s="22" t="str">
        <f>HYPERLINK("https://app.vivvix.com/360/KMI/IntelliDrive/ApplUI/Pages/CreativePages/CustomReportCreativeDetail.aspx?App=23&amp;ReportView=4&amp;Qid=1711279&amp;Row=12659&amp;Col=1","No Title Assigned - #15273350602")</f>
        <v/>
      </c>
      <c r="B12667" s="0" t="s">
        <v>17031</v>
      </c>
      <c r="C12667" s="0" t="s">
        <v>17032</v>
      </c>
      <c r="D12667" s="0" t="s">
        <v>17032</v>
      </c>
      <c r="E12667" s="0" t="inlineStr">
        <is>
          <t xml:space="preserve">Mazda</t>
        </is>
      </c>
      <c r="F12667" s="0" t="s">
        <v>13</v>
      </c>
      <c r="G12667" s="0" t="s">
        <v>49</v>
      </c>
      <c r="H12667" s="5">
        <v>2258.694600</v>
      </c>
    </row>
    <row r="12668" spans="1:9">
      <c r="A12668" s="22" t="str">
        <f>HYPERLINK("https://app.vivvix.com/360/KMI/IntelliDrive/ApplUI/Pages/CreativePages/CustomReportCreativeDetail.aspx?App=23&amp;ReportView=4&amp;Qid=1711279&amp;Row=12660&amp;Col=1","No Title Assigned - #15273350811")</f>
        <v/>
      </c>
      <c r="B12668" s="0" t="s">
        <v>17033</v>
      </c>
      <c r="E12668" s="0" t="inlineStr">
        <is>
          <t xml:space="preserve">Mazda</t>
        </is>
      </c>
      <c r="F12668" s="0" t="inlineStr">
        <is>
          <t xml:space="preserve">Mazda</t>
        </is>
      </c>
      <c r="G12668" s="0" t="s">
        <v>171</v>
      </c>
      <c r="H12668" s="5">
        <v>640.397100</v>
      </c>
    </row>
    <row r="12669" spans="1:9">
      <c r="A12669" s="22" t="str">
        <f>HYPERLINK("https://app.vivvix.com/360/KMI/IntelliDrive/ApplUI/Pages/CreativePages/CustomReportCreativeDetail.aspx?App=23&amp;ReportView=4&amp;Qid=1711279&amp;Row=12661&amp;Col=1","No Title Assigned - #15273351266")</f>
        <v/>
      </c>
      <c r="B12669" s="0" t="s">
        <v>17034</v>
      </c>
      <c r="C12669" s="0" t="s">
        <v>17035</v>
      </c>
      <c r="D12669" s="0" t="s">
        <v>17035</v>
      </c>
      <c r="E12669" s="0" t="inlineStr">
        <is>
          <t xml:space="preserve">Mazda</t>
        </is>
      </c>
      <c r="F12669" s="0" t="s">
        <v>13</v>
      </c>
      <c r="G12669" s="0" t="s">
        <v>49</v>
      </c>
      <c r="H12669" s="5">
        <v>306.691000</v>
      </c>
    </row>
    <row r="12670" spans="1:9">
      <c r="A12670" s="22" t="str">
        <f>HYPERLINK("https://app.vivvix.com/360/KMI/IntelliDrive/ApplUI/Pages/CreativePages/CustomReportCreativeDetail.aspx?App=23&amp;ReportView=4&amp;Qid=1711279&amp;Row=12662&amp;Col=1","No Title Assigned - #15273351313")</f>
        <v/>
      </c>
      <c r="B12670" s="0" t="s">
        <v>17036</v>
      </c>
      <c r="C12670" s="0" t="s">
        <v>17037</v>
      </c>
      <c r="D12670" s="0" t="s">
        <v>13898</v>
      </c>
      <c r="E12670" s="0" t="inlineStr">
        <is>
          <t xml:space="preserve">Mazda</t>
        </is>
      </c>
      <c r="F12670" s="0" t="s">
        <v>28</v>
      </c>
      <c r="G12670" s="0" t="s">
        <v>29</v>
      </c>
      <c r="H12670" s="5">
        <v>189.537400</v>
      </c>
    </row>
    <row r="12671" spans="1:9">
      <c r="A12671" s="22" t="str">
        <f>HYPERLINK("https://app.vivvix.com/360/KMI/IntelliDrive/ApplUI/Pages/CreativePages/CustomReportCreativeDetail.aspx?App=23&amp;ReportView=4&amp;Qid=1711279&amp;Row=12663&amp;Col=1","No Title Assigned - #15273351758")</f>
        <v/>
      </c>
      <c r="B12671" s="0" t="s">
        <v>17038</v>
      </c>
      <c r="C12671" s="0" t="s">
        <v>17039</v>
      </c>
      <c r="D12671" s="0" t="s">
        <v>17039</v>
      </c>
      <c r="E12671" s="0" t="inlineStr">
        <is>
          <t xml:space="preserve">Mazda</t>
        </is>
      </c>
      <c r="F12671" s="0" t="s">
        <v>28</v>
      </c>
      <c r="G12671" s="0" t="s">
        <v>29</v>
      </c>
      <c r="H12671" s="5">
        <v>0.652800</v>
      </c>
    </row>
    <row r="12672" spans="1:9">
      <c r="A12672" s="22" t="str">
        <f>HYPERLINK("https://app.vivvix.com/360/KMI/IntelliDrive/ApplUI/Pages/CreativePages/CustomReportCreativeDetail.aspx?App=23&amp;ReportView=4&amp;Qid=1711279&amp;Row=12664&amp;Col=1","No Title Assigned - #15273352316")</f>
        <v/>
      </c>
      <c r="B12672" s="0" t="s">
        <v>17040</v>
      </c>
      <c r="C12672" s="0" t="s">
        <v>17041</v>
      </c>
      <c r="D12672" s="0" t="s">
        <v>6204</v>
      </c>
      <c r="E12672" s="0" t="inlineStr">
        <is>
          <t xml:space="preserve">Mazda</t>
        </is>
      </c>
      <c r="F12672" s="0" t="s">
        <v>28</v>
      </c>
      <c r="G12672" s="0" t="s">
        <v>29</v>
      </c>
      <c r="H12672" s="5">
        <v>5.926000</v>
      </c>
    </row>
    <row r="12673" spans="1:9">
      <c r="A12673" s="22" t="str">
        <f>HYPERLINK("https://app.vivvix.com/360/KMI/IntelliDrive/ApplUI/Pages/CreativePages/CustomReportCreativeDetail.aspx?App=23&amp;ReportView=4&amp;Qid=1711279&amp;Row=12665&amp;Col=1","No Title Assigned - #15273352383")</f>
        <v/>
      </c>
      <c r="B12673" s="0" t="s">
        <v>17042</v>
      </c>
      <c r="C12673" s="0" t="s">
        <v>17043</v>
      </c>
      <c r="D12673" s="0" t="s">
        <v>4202</v>
      </c>
      <c r="E12673" s="0" t="inlineStr">
        <is>
          <t xml:space="preserve">Mazda</t>
        </is>
      </c>
      <c r="F12673" s="0" t="s">
        <v>28</v>
      </c>
      <c r="G12673" s="0" t="s">
        <v>29</v>
      </c>
      <c r="H12673" s="5">
        <v>248.563900</v>
      </c>
    </row>
    <row r="12674" spans="1:9">
      <c r="A12674" s="22" t="str">
        <f>HYPERLINK("https://app.vivvix.com/360/KMI/IntelliDrive/ApplUI/Pages/CreativePages/CustomReportCreativeDetail.aspx?App=23&amp;ReportView=4&amp;Qid=1711279&amp;Row=12666&amp;Col=1","No Title Assigned - #15273353730")</f>
        <v/>
      </c>
      <c r="B12674" s="0" t="s">
        <v>17044</v>
      </c>
      <c r="C12674" s="0" t="s">
        <v>17000</v>
      </c>
      <c r="D12674" s="0" t="s">
        <v>17000</v>
      </c>
      <c r="E12674" s="0" t="inlineStr">
        <is>
          <t xml:space="preserve">Mazda</t>
        </is>
      </c>
      <c r="F12674" s="0" t="s">
        <v>28</v>
      </c>
      <c r="G12674" s="0" t="s">
        <v>29</v>
      </c>
      <c r="H12674" s="5">
        <v>863.691300</v>
      </c>
    </row>
    <row r="12675" spans="1:9">
      <c r="A12675" s="22" t="str">
        <f>HYPERLINK("https://app.vivvix.com/360/KMI/IntelliDrive/ApplUI/Pages/CreativePages/CustomReportCreativeDetail.aspx?App=23&amp;ReportView=4&amp;Qid=1711279&amp;Row=12667&amp;Col=1","No Title Assigned - #15273354264")</f>
        <v/>
      </c>
      <c r="B12675" s="0" t="s">
        <v>17045</v>
      </c>
      <c r="C12675" s="0" t="s">
        <v>17046</v>
      </c>
      <c r="D12675" s="0" t="s">
        <v>12666</v>
      </c>
      <c r="E12675" s="0" t="inlineStr">
        <is>
          <t xml:space="preserve">Mazda</t>
        </is>
      </c>
      <c r="F12675" s="0" t="s">
        <v>28</v>
      </c>
      <c r="G12675" s="0" t="s">
        <v>29</v>
      </c>
      <c r="H12675" s="5">
        <v>9.860200</v>
      </c>
    </row>
    <row r="12676" spans="1:9">
      <c r="A12676" s="22" t="str">
        <f>HYPERLINK("https://app.vivvix.com/360/KMI/IntelliDrive/ApplUI/Pages/CreativePages/CustomReportCreativeDetail.aspx?App=23&amp;ReportView=4&amp;Qid=1711279&amp;Row=12668&amp;Col=1","No Title Assigned - #15273354590")</f>
        <v/>
      </c>
      <c r="B12676" s="0" t="s">
        <v>17047</v>
      </c>
      <c r="C12676" s="0" t="s">
        <v>17048</v>
      </c>
      <c r="D12676" s="0" t="s">
        <v>4774</v>
      </c>
      <c r="E12676" s="0" t="inlineStr">
        <is>
          <t xml:space="preserve">Mazda</t>
        </is>
      </c>
      <c r="F12676" s="0" t="s">
        <v>13</v>
      </c>
      <c r="G12676" s="0" t="s">
        <v>49</v>
      </c>
      <c r="H12676" s="5">
        <v>1273.606400</v>
      </c>
    </row>
    <row r="12677" spans="1:9">
      <c r="A12677" s="22" t="str">
        <f>HYPERLINK("https://app.vivvix.com/360/KMI/IntelliDrive/ApplUI/Pages/CreativePages/CustomReportCreativeDetail.aspx?App=23&amp;ReportView=4&amp;Qid=1711279&amp;Row=12669&amp;Col=1","No Title Assigned - #15273355108")</f>
        <v/>
      </c>
      <c r="B12677" s="0" t="s">
        <v>17049</v>
      </c>
      <c r="C12677" s="0" t="s">
        <v>17050</v>
      </c>
      <c r="D12677" s="0" t="s">
        <v>16585</v>
      </c>
      <c r="E12677" s="0" t="inlineStr">
        <is>
          <t xml:space="preserve">Mazda</t>
        </is>
      </c>
      <c r="F12677" s="0" t="inlineStr">
        <is>
          <t xml:space="preserve">Mazda</t>
        </is>
      </c>
      <c r="G12677" s="0" t="s">
        <v>210</v>
      </c>
      <c r="H12677" s="5">
        <v>3362.251900</v>
      </c>
    </row>
    <row r="12678" spans="1:9">
      <c r="A12678" s="22" t="str">
        <f>HYPERLINK("https://app.vivvix.com/360/KMI/IntelliDrive/ApplUI/Pages/CreativePages/CustomReportCreativeDetail.aspx?App=23&amp;ReportView=4&amp;Qid=1711279&amp;Row=12670&amp;Col=1","No Title Assigned - #15273356285")</f>
        <v/>
      </c>
      <c r="B12678" s="0" t="s">
        <v>17051</v>
      </c>
      <c r="C12678" s="0" t="s">
        <v>17052</v>
      </c>
      <c r="D12678" s="0" t="s">
        <v>6420</v>
      </c>
      <c r="E12678" s="0" t="inlineStr">
        <is>
          <t xml:space="preserve">Mazda</t>
        </is>
      </c>
      <c r="F12678" s="0" t="s">
        <v>13</v>
      </c>
      <c r="G12678" s="0" t="s">
        <v>49</v>
      </c>
      <c r="H12678" s="5">
        <v>37.534200</v>
      </c>
    </row>
    <row r="12679" spans="1:9">
      <c r="A12679" s="22" t="str">
        <f>HYPERLINK("https://app.vivvix.com/360/KMI/IntelliDrive/ApplUI/Pages/CreativePages/CustomReportCreativeDetail.aspx?App=23&amp;ReportView=4&amp;Qid=1711279&amp;Row=12671&amp;Col=1","No Title Assigned - #15273356362")</f>
        <v/>
      </c>
      <c r="B12679" s="0" t="s">
        <v>17053</v>
      </c>
      <c r="C12679" s="0" t="s">
        <v>17054</v>
      </c>
      <c r="D12679" s="0" t="s">
        <v>10770</v>
      </c>
      <c r="E12679" s="0" t="inlineStr">
        <is>
          <t xml:space="preserve">Mazda</t>
        </is>
      </c>
      <c r="F12679" s="0" t="s">
        <v>13</v>
      </c>
      <c r="G12679" s="0" t="s">
        <v>49</v>
      </c>
      <c r="H12679" s="5">
        <v>597.271100</v>
      </c>
    </row>
    <row r="12680" spans="1:9">
      <c r="A12680" s="22" t="str">
        <f>HYPERLINK("https://app.vivvix.com/360/KMI/IntelliDrive/ApplUI/Pages/CreativePages/CustomReportCreativeDetail.aspx?App=23&amp;ReportView=4&amp;Qid=1711279&amp;Row=12672&amp;Col=1","No Title Assigned - #15273356550")</f>
        <v/>
      </c>
      <c r="B12680" s="0" t="s">
        <v>17055</v>
      </c>
      <c r="C12680" s="0" t="s">
        <v>17056</v>
      </c>
      <c r="D12680" s="0" t="s">
        <v>17056</v>
      </c>
      <c r="E12680" s="0" t="inlineStr">
        <is>
          <t xml:space="preserve">Mazda</t>
        </is>
      </c>
      <c r="F12680" s="0" t="s">
        <v>13</v>
      </c>
      <c r="G12680" s="0" t="s">
        <v>49</v>
      </c>
      <c r="H12680" s="5">
        <v>240.505200</v>
      </c>
    </row>
    <row r="12681" spans="1:9">
      <c r="A12681" s="22" t="str">
        <f>HYPERLINK("https://app.vivvix.com/360/KMI/IntelliDrive/ApplUI/Pages/CreativePages/CustomReportCreativeDetail.aspx?App=23&amp;ReportView=4&amp;Qid=1711279&amp;Row=12673&amp;Col=1","No Title Assigned - #15273356692")</f>
        <v/>
      </c>
      <c r="B12681" s="0" t="s">
        <v>17057</v>
      </c>
      <c r="C12681" s="0" t="s">
        <v>17058</v>
      </c>
      <c r="D12681" s="0" t="s">
        <v>17058</v>
      </c>
      <c r="E12681" s="0" t="inlineStr">
        <is>
          <t xml:space="preserve">Mazda</t>
        </is>
      </c>
      <c r="F12681" s="0" t="s">
        <v>13</v>
      </c>
      <c r="G12681" s="0" t="s">
        <v>49</v>
      </c>
      <c r="H12681" s="5">
        <v>10181.269000</v>
      </c>
    </row>
    <row r="12682" spans="1:9">
      <c r="A12682" s="22" t="str">
        <f>HYPERLINK("https://app.vivvix.com/360/KMI/IntelliDrive/ApplUI/Pages/CreativePages/CustomReportCreativeDetail.aspx?App=23&amp;ReportView=4&amp;Qid=1711279&amp;Row=12674&amp;Col=1","No Title Assigned - #15273356692")</f>
        <v/>
      </c>
      <c r="B12682" s="0" t="s">
        <v>17057</v>
      </c>
      <c r="E12682" s="0" t="inlineStr">
        <is>
          <t xml:space="preserve">Mazda</t>
        </is>
      </c>
      <c r="F12682" s="0" t="s">
        <v>13</v>
      </c>
      <c r="G12682" s="0" t="s">
        <v>49</v>
      </c>
      <c r="H12682" s="5">
        <v>89138.182100</v>
      </c>
    </row>
    <row r="12683" spans="1:9">
      <c r="A12683" s="22" t="str">
        <f>HYPERLINK("https://app.vivvix.com/360/KMI/IntelliDrive/ApplUI/Pages/CreativePages/CustomReportCreativeDetail.aspx?App=23&amp;ReportView=4&amp;Qid=1711279&amp;Row=12675&amp;Col=1","No Title Assigned - #15273357530")</f>
        <v/>
      </c>
      <c r="B12683" s="0" t="s">
        <v>17059</v>
      </c>
      <c r="C12683" s="0" t="s">
        <v>17060</v>
      </c>
      <c r="D12683" s="0" t="s">
        <v>17060</v>
      </c>
      <c r="E12683" s="0" t="inlineStr">
        <is>
          <t xml:space="preserve">Mazda</t>
        </is>
      </c>
      <c r="F12683" s="0" t="s">
        <v>13</v>
      </c>
      <c r="G12683" s="0" t="s">
        <v>49</v>
      </c>
      <c r="H12683" s="5">
        <v>218.164100</v>
      </c>
    </row>
    <row r="12684" spans="1:9">
      <c r="A12684" s="22" t="str">
        <f>HYPERLINK("https://app.vivvix.com/360/KMI/IntelliDrive/ApplUI/Pages/CreativePages/CustomReportCreativeDetail.aspx?App=23&amp;ReportView=4&amp;Qid=1711279&amp;Row=12676&amp;Col=1","No Title Assigned - #15273357695")</f>
        <v/>
      </c>
      <c r="B12684" s="0" t="s">
        <v>17061</v>
      </c>
      <c r="C12684" s="0" t="s">
        <v>17062</v>
      </c>
      <c r="D12684" s="0" t="s">
        <v>16585</v>
      </c>
      <c r="E12684" s="0" t="inlineStr">
        <is>
          <t xml:space="preserve">Mazda</t>
        </is>
      </c>
      <c r="F12684" s="0" t="inlineStr">
        <is>
          <t xml:space="preserve">Mazda</t>
        </is>
      </c>
      <c r="G12684" s="0" t="s">
        <v>210</v>
      </c>
      <c r="H12684" s="5">
        <v>2441.749200</v>
      </c>
    </row>
    <row r="12685" spans="1:9">
      <c r="A12685" s="22" t="str">
        <f>HYPERLINK("https://app.vivvix.com/360/KMI/IntelliDrive/ApplUI/Pages/CreativePages/CustomReportCreativeDetail.aspx?App=23&amp;ReportView=4&amp;Qid=1711279&amp;Row=12677&amp;Col=1","No Title Assigned - #15273358692")</f>
        <v/>
      </c>
      <c r="B12685" s="0" t="s">
        <v>17063</v>
      </c>
      <c r="E12685" s="0" t="inlineStr">
        <is>
          <t xml:space="preserve">Mazda</t>
        </is>
      </c>
      <c r="F12685" s="0" t="inlineStr">
        <is>
          <t xml:space="preserve">Mazda</t>
        </is>
      </c>
      <c r="G12685" s="0" t="s">
        <v>171</v>
      </c>
      <c r="H12685" s="5">
        <v>4.058200</v>
      </c>
    </row>
    <row r="12686" spans="1:9">
      <c r="A12686" s="22" t="str">
        <f>HYPERLINK("https://app.vivvix.com/360/KMI/IntelliDrive/ApplUI/Pages/CreativePages/CustomReportCreativeDetail.aspx?App=23&amp;ReportView=4&amp;Qid=1711279&amp;Row=12678&amp;Col=1","No Title Assigned - #15273359274")</f>
        <v/>
      </c>
      <c r="B12686" s="0" t="s">
        <v>17064</v>
      </c>
      <c r="E12686" s="0" t="inlineStr">
        <is>
          <t xml:space="preserve">Mazda</t>
        </is>
      </c>
      <c r="F12686" s="0" t="inlineStr">
        <is>
          <t xml:space="preserve">Mazda</t>
        </is>
      </c>
      <c r="G12686" s="0" t="s">
        <v>171</v>
      </c>
      <c r="H12686" s="5">
        <v>958.536200</v>
      </c>
    </row>
    <row r="12687" spans="1:9">
      <c r="A12687" s="22" t="str">
        <f>HYPERLINK("https://app.vivvix.com/360/KMI/IntelliDrive/ApplUI/Pages/CreativePages/CustomReportCreativeDetail.aspx?App=23&amp;ReportView=4&amp;Qid=1711279&amp;Row=12679&amp;Col=1","No Title Assigned - #15273359310")</f>
        <v/>
      </c>
      <c r="B12687" s="0" t="s">
        <v>17065</v>
      </c>
      <c r="E12687" s="0" t="inlineStr">
        <is>
          <t xml:space="preserve">Mazda</t>
        </is>
      </c>
      <c r="F12687" s="0" t="inlineStr">
        <is>
          <t xml:space="preserve">Mazda</t>
        </is>
      </c>
      <c r="G12687" s="0" t="s">
        <v>171</v>
      </c>
      <c r="H12687" s="5">
        <v>1580.380000</v>
      </c>
    </row>
    <row r="12688" spans="1:9">
      <c r="A12688" s="22" t="str">
        <f>HYPERLINK("https://app.vivvix.com/360/KMI/IntelliDrive/ApplUI/Pages/CreativePages/CustomReportCreativeDetail.aspx?App=23&amp;ReportView=4&amp;Qid=1711279&amp;Row=12680&amp;Col=1","No Title Assigned - #15273359788")</f>
        <v/>
      </c>
      <c r="B12688" s="0" t="s">
        <v>17066</v>
      </c>
      <c r="E12688" s="0" t="inlineStr">
        <is>
          <t xml:space="preserve">Mazda</t>
        </is>
      </c>
      <c r="F12688" s="0" t="inlineStr">
        <is>
          <t xml:space="preserve">Mazda</t>
        </is>
      </c>
      <c r="G12688" s="0" t="s">
        <v>171</v>
      </c>
      <c r="H12688" s="5">
        <v>15.909500</v>
      </c>
    </row>
    <row r="12689" spans="1:9">
      <c r="A12689" s="22" t="str">
        <f>HYPERLINK("https://app.vivvix.com/360/KMI/IntelliDrive/ApplUI/Pages/CreativePages/CustomReportCreativeDetail.aspx?App=23&amp;ReportView=4&amp;Qid=1711279&amp;Row=12681&amp;Col=1","No Title Assigned - #15273360988")</f>
        <v/>
      </c>
      <c r="B12689" s="0" t="s">
        <v>17067</v>
      </c>
      <c r="C12689" s="0" t="s">
        <v>17068</v>
      </c>
      <c r="D12689" s="0" t="s">
        <v>17068</v>
      </c>
      <c r="E12689" s="0" t="inlineStr">
        <is>
          <t xml:space="preserve">Mazda</t>
        </is>
      </c>
      <c r="F12689" s="0" t="inlineStr">
        <is>
          <t xml:space="preserve">Mazda</t>
        </is>
      </c>
      <c r="G12689" s="0" t="s">
        <v>171</v>
      </c>
      <c r="H12689" s="5">
        <v>25.231700</v>
      </c>
    </row>
    <row r="12690" spans="1:9">
      <c r="A12690" s="22" t="str">
        <f>HYPERLINK("https://app.vivvix.com/360/KMI/IntelliDrive/ApplUI/Pages/CreativePages/CustomReportCreativeDetail.aspx?App=23&amp;ReportView=4&amp;Qid=1711279&amp;Row=12682&amp;Col=1","No Title Assigned - #15273361345")</f>
        <v/>
      </c>
      <c r="B12690" s="0" t="s">
        <v>17069</v>
      </c>
      <c r="C12690" s="0" t="s">
        <v>17070</v>
      </c>
      <c r="D12690" s="0" t="s">
        <v>17070</v>
      </c>
      <c r="E12690" s="0" t="inlineStr">
        <is>
          <t xml:space="preserve">Mazda</t>
        </is>
      </c>
      <c r="F12690" s="0" t="inlineStr">
        <is>
          <t xml:space="preserve">Mazda</t>
        </is>
      </c>
      <c r="G12690" s="0" t="s">
        <v>171</v>
      </c>
      <c r="H12690" s="5">
        <v>76.868500</v>
      </c>
    </row>
    <row r="12691" spans="1:9">
      <c r="A12691" s="22" t="str">
        <f>HYPERLINK("https://app.vivvix.com/360/KMI/IntelliDrive/ApplUI/Pages/CreativePages/CustomReportCreativeDetail.aspx?App=23&amp;ReportView=4&amp;Qid=1711279&amp;Row=12683&amp;Col=1","No Title Assigned - #15273361374")</f>
        <v/>
      </c>
      <c r="B12691" s="0" t="s">
        <v>17071</v>
      </c>
      <c r="E12691" s="0" t="inlineStr">
        <is>
          <t xml:space="preserve">Mazda</t>
        </is>
      </c>
      <c r="F12691" s="0" t="inlineStr">
        <is>
          <t xml:space="preserve">Mazda</t>
        </is>
      </c>
      <c r="G12691" s="0" t="s">
        <v>171</v>
      </c>
      <c r="H12691" s="5">
        <v>92.627200</v>
      </c>
    </row>
    <row r="12692" spans="1:9">
      <c r="A12692" s="22" t="str">
        <f>HYPERLINK("https://app.vivvix.com/360/KMI/IntelliDrive/ApplUI/Pages/CreativePages/CustomReportCreativeDetail.aspx?App=23&amp;ReportView=4&amp;Qid=1711279&amp;Row=12684&amp;Col=1","No Title Assigned - #15273362366")</f>
        <v/>
      </c>
      <c r="B12692" s="0" t="s">
        <v>17072</v>
      </c>
      <c r="E12692" s="0" t="inlineStr">
        <is>
          <t xml:space="preserve">Mazda</t>
        </is>
      </c>
      <c r="F12692" s="0" t="inlineStr">
        <is>
          <t xml:space="preserve">Mazda</t>
        </is>
      </c>
      <c r="G12692" s="0" t="s">
        <v>171</v>
      </c>
      <c r="H12692" s="5">
        <v>78.576800</v>
      </c>
    </row>
    <row r="12693" spans="1:9">
      <c r="A12693" s="22" t="str">
        <f>HYPERLINK("https://app.vivvix.com/360/KMI/IntelliDrive/ApplUI/Pages/CreativePages/CustomReportCreativeDetail.aspx?App=23&amp;ReportView=4&amp;Qid=1711279&amp;Row=12685&amp;Col=1","No Title Assigned - #15273362522")</f>
        <v/>
      </c>
      <c r="B12693" s="0" t="s">
        <v>17073</v>
      </c>
      <c r="E12693" s="0" t="inlineStr">
        <is>
          <t xml:space="preserve">Mazda</t>
        </is>
      </c>
      <c r="F12693" s="0" t="inlineStr">
        <is>
          <t xml:space="preserve">Mazda</t>
        </is>
      </c>
      <c r="G12693" s="0" t="s">
        <v>171</v>
      </c>
      <c r="H12693" s="5">
        <v>13.625000</v>
      </c>
    </row>
    <row r="12694" spans="1:9">
      <c r="A12694" s="22" t="str">
        <f>HYPERLINK("https://app.vivvix.com/360/KMI/IntelliDrive/ApplUI/Pages/CreativePages/CustomReportCreativeDetail.aspx?App=23&amp;ReportView=4&amp;Qid=1711279&amp;Row=12686&amp;Col=1","No Title Assigned - #15273363896")</f>
        <v/>
      </c>
      <c r="B12694" s="0" t="s">
        <v>17074</v>
      </c>
      <c r="E12694" s="0" t="inlineStr">
        <is>
          <t xml:space="preserve">Mazda</t>
        </is>
      </c>
      <c r="F12694" s="0" t="inlineStr">
        <is>
          <t xml:space="preserve">Mazda</t>
        </is>
      </c>
      <c r="G12694" s="0" t="s">
        <v>171</v>
      </c>
      <c r="H12694" s="5">
        <v>3.949900</v>
      </c>
    </row>
    <row r="12695" spans="1:9">
      <c r="A12695" s="22" t="str">
        <f>HYPERLINK("https://app.vivvix.com/360/KMI/IntelliDrive/ApplUI/Pages/CreativePages/CustomReportCreativeDetail.aspx?App=23&amp;ReportView=4&amp;Qid=1711279&amp;Row=12687&amp;Col=1","No Title Assigned - #15273364058")</f>
        <v/>
      </c>
      <c r="B12695" s="0" t="s">
        <v>17075</v>
      </c>
      <c r="E12695" s="0" t="inlineStr">
        <is>
          <t xml:space="preserve">Mazda</t>
        </is>
      </c>
      <c r="F12695" s="0" t="inlineStr">
        <is>
          <t xml:space="preserve">Mazda</t>
        </is>
      </c>
      <c r="G12695" s="0" t="s">
        <v>171</v>
      </c>
      <c r="H12695" s="5">
        <v>11.121400</v>
      </c>
    </row>
    <row r="12696" spans="1:9">
      <c r="A12696" s="22" t="str">
        <f>HYPERLINK("https://app.vivvix.com/360/KMI/IntelliDrive/ApplUI/Pages/CreativePages/CustomReportCreativeDetail.aspx?App=23&amp;ReportView=4&amp;Qid=1711279&amp;Row=12688&amp;Col=1","No Title Assigned - #15273364159")</f>
        <v/>
      </c>
      <c r="B12696" s="0" t="s">
        <v>17076</v>
      </c>
      <c r="E12696" s="0" t="inlineStr">
        <is>
          <t xml:space="preserve">Mazda</t>
        </is>
      </c>
      <c r="F12696" s="0" t="inlineStr">
        <is>
          <t xml:space="preserve">Mazda</t>
        </is>
      </c>
      <c r="G12696" s="0" t="s">
        <v>171</v>
      </c>
      <c r="H12696" s="5">
        <v>55617.301000</v>
      </c>
    </row>
    <row r="12697" spans="1:9">
      <c r="A12697" s="22" t="str">
        <f>HYPERLINK("https://app.vivvix.com/360/KMI/IntelliDrive/ApplUI/Pages/CreativePages/CustomReportCreativeDetail.aspx?App=23&amp;ReportView=4&amp;Qid=1711279&amp;Row=12689&amp;Col=1","No Title Assigned - #15273364338")</f>
        <v/>
      </c>
      <c r="B12697" s="0" t="s">
        <v>17077</v>
      </c>
      <c r="E12697" s="0" t="inlineStr">
        <is>
          <t xml:space="preserve">Mazda</t>
        </is>
      </c>
      <c r="F12697" s="0" t="inlineStr">
        <is>
          <t xml:space="preserve">Mazda</t>
        </is>
      </c>
      <c r="G12697" s="0" t="s">
        <v>171</v>
      </c>
      <c r="H12697" s="5">
        <v>38.851800</v>
      </c>
    </row>
    <row r="12698" spans="1:9">
      <c r="A12698" s="22" t="str">
        <f>HYPERLINK("https://app.vivvix.com/360/KMI/IntelliDrive/ApplUI/Pages/CreativePages/CustomReportCreativeDetail.aspx?App=23&amp;ReportView=4&amp;Qid=1711279&amp;Row=12690&amp;Col=1","No Title Assigned - #15273364696")</f>
        <v/>
      </c>
      <c r="B12698" s="0" t="s">
        <v>17078</v>
      </c>
      <c r="E12698" s="0" t="inlineStr">
        <is>
          <t xml:space="preserve">Mazda</t>
        </is>
      </c>
      <c r="F12698" s="0" t="inlineStr">
        <is>
          <t xml:space="preserve">Mazda</t>
        </is>
      </c>
      <c r="G12698" s="0" t="s">
        <v>171</v>
      </c>
      <c r="H12698" s="5">
        <v>5.843100</v>
      </c>
    </row>
    <row r="12699" spans="1:9">
      <c r="A12699" s="22" t="str">
        <f>HYPERLINK("https://app.vivvix.com/360/KMI/IntelliDrive/ApplUI/Pages/CreativePages/CustomReportCreativeDetail.aspx?App=23&amp;ReportView=4&amp;Qid=1711279&amp;Row=12691&amp;Col=1","No Title Assigned - #15273364696")</f>
        <v/>
      </c>
      <c r="B12699" s="0" t="s">
        <v>17078</v>
      </c>
      <c r="E12699" s="0" t="inlineStr">
        <is>
          <t xml:space="preserve">Mazda</t>
        </is>
      </c>
      <c r="F12699" s="0" t="inlineStr">
        <is>
          <t xml:space="preserve">Mazda</t>
        </is>
      </c>
      <c r="G12699" s="0" t="s">
        <v>171</v>
      </c>
      <c r="H12699" s="5">
        <v>34.643900</v>
      </c>
    </row>
    <row r="12700" spans="1:9">
      <c r="A12700" s="22" t="str">
        <f>HYPERLINK("https://app.vivvix.com/360/KMI/IntelliDrive/ApplUI/Pages/CreativePages/CustomReportCreativeDetail.aspx?App=23&amp;ReportView=4&amp;Qid=1711279&amp;Row=12692&amp;Col=1","No Title Assigned - #15273364795")</f>
        <v/>
      </c>
      <c r="B12700" s="0" t="s">
        <v>17079</v>
      </c>
      <c r="E12700" s="0" t="inlineStr">
        <is>
          <t xml:space="preserve">Mazda</t>
        </is>
      </c>
      <c r="F12700" s="0" t="inlineStr">
        <is>
          <t xml:space="preserve">Mazda</t>
        </is>
      </c>
      <c r="G12700" s="0" t="s">
        <v>171</v>
      </c>
      <c r="H12700" s="5">
        <v>68.470600</v>
      </c>
    </row>
    <row r="12701" spans="1:9">
      <c r="A12701" s="22" t="str">
        <f>HYPERLINK("https://app.vivvix.com/360/KMI/IntelliDrive/ApplUI/Pages/CreativePages/CustomReportCreativeDetail.aspx?App=23&amp;ReportView=4&amp;Qid=1711279&amp;Row=12693&amp;Col=1","No Title Assigned - #15273365821")</f>
        <v/>
      </c>
      <c r="B12701" s="0" t="s">
        <v>17080</v>
      </c>
      <c r="E12701" s="0" t="inlineStr">
        <is>
          <t xml:space="preserve">Mazda</t>
        </is>
      </c>
      <c r="F12701" s="0" t="inlineStr">
        <is>
          <t xml:space="preserve">Mazda</t>
        </is>
      </c>
      <c r="G12701" s="0" t="s">
        <v>171</v>
      </c>
      <c r="H12701" s="5">
        <v>2.077100</v>
      </c>
    </row>
    <row r="12702" spans="1:9">
      <c r="A12702" s="22" t="str">
        <f>HYPERLINK("https://app.vivvix.com/360/KMI/IntelliDrive/ApplUI/Pages/CreativePages/CustomReportCreativeDetail.aspx?App=23&amp;ReportView=4&amp;Qid=1711279&amp;Row=12694&amp;Col=1","No Title Assigned - #15273369693")</f>
        <v/>
      </c>
      <c r="B12702" s="0" t="s">
        <v>17081</v>
      </c>
      <c r="E12702" s="0" t="inlineStr">
        <is>
          <t xml:space="preserve">Mazda</t>
        </is>
      </c>
      <c r="F12702" s="0" t="inlineStr">
        <is>
          <t xml:space="preserve">Mazda</t>
        </is>
      </c>
      <c r="G12702" s="0" t="s">
        <v>171</v>
      </c>
      <c r="H12702" s="5">
        <v>29.062800</v>
      </c>
    </row>
    <row r="12703" spans="1:9">
      <c r="A12703" s="22" t="str">
        <f>HYPERLINK("https://app.vivvix.com/360/KMI/IntelliDrive/ApplUI/Pages/CreativePages/CustomReportCreativeDetail.aspx?App=23&amp;ReportView=4&amp;Qid=1711279&amp;Row=12695&amp;Col=1","No Title Assigned - #15273369693")</f>
        <v/>
      </c>
      <c r="B12703" s="0" t="s">
        <v>17081</v>
      </c>
      <c r="E12703" s="0" t="inlineStr">
        <is>
          <t xml:space="preserve">Mazda</t>
        </is>
      </c>
      <c r="F12703" s="0" t="inlineStr">
        <is>
          <t xml:space="preserve">Mazda</t>
        </is>
      </c>
      <c r="G12703" s="0" t="s">
        <v>171</v>
      </c>
      <c r="H12703" s="5">
        <v>34.643900</v>
      </c>
    </row>
    <row r="12704" spans="1:9">
      <c r="A12704" s="22" t="str">
        <f>HYPERLINK("https://app.vivvix.com/360/KMI/IntelliDrive/ApplUI/Pages/CreativePages/CustomReportCreativeDetail.aspx?App=23&amp;ReportView=4&amp;Qid=1711279&amp;Row=12696&amp;Col=1","No Title Assigned - #15273370398")</f>
        <v/>
      </c>
      <c r="B12704" s="0" t="s">
        <v>17082</v>
      </c>
      <c r="E12704" s="0" t="inlineStr">
        <is>
          <t xml:space="preserve">Mazda</t>
        </is>
      </c>
      <c r="F12704" s="0" t="inlineStr">
        <is>
          <t xml:space="preserve">Mazda</t>
        </is>
      </c>
      <c r="G12704" s="0" t="s">
        <v>171</v>
      </c>
      <c r="H12704" s="5">
        <v>92.147600</v>
      </c>
    </row>
    <row r="12705" spans="1:9">
      <c r="A12705" s="22" t="str">
        <f>HYPERLINK("https://app.vivvix.com/360/KMI/IntelliDrive/ApplUI/Pages/CreativePages/CustomReportCreativeDetail.aspx?App=23&amp;ReportView=4&amp;Qid=1711279&amp;Row=12697&amp;Col=1","No Title Assigned - #15273373817")</f>
        <v/>
      </c>
      <c r="B12705" s="0" t="s">
        <v>17083</v>
      </c>
      <c r="E12705" s="0" t="inlineStr">
        <is>
          <t xml:space="preserve">Mazda</t>
        </is>
      </c>
      <c r="F12705" s="0" t="inlineStr">
        <is>
          <t xml:space="preserve">Mazda</t>
        </is>
      </c>
      <c r="G12705" s="0" t="s">
        <v>171</v>
      </c>
      <c r="H12705" s="5">
        <v>7.115100</v>
      </c>
    </row>
    <row r="12706" spans="1:9">
      <c r="A12706" s="22" t="str">
        <f>HYPERLINK("https://app.vivvix.com/360/KMI/IntelliDrive/ApplUI/Pages/CreativePages/CustomReportCreativeDetail.aspx?App=23&amp;ReportView=4&amp;Qid=1711279&amp;Row=12698&amp;Col=1","No Title Assigned - #15273380539")</f>
        <v/>
      </c>
      <c r="B12706" s="0" t="s">
        <v>17084</v>
      </c>
      <c r="E12706" s="0" t="inlineStr">
        <is>
          <t xml:space="preserve">Mazda</t>
        </is>
      </c>
      <c r="F12706" s="0" t="inlineStr">
        <is>
          <t xml:space="preserve">Mazda</t>
        </is>
      </c>
      <c r="G12706" s="0" t="s">
        <v>171</v>
      </c>
      <c r="H12706" s="5">
        <v>281.381300</v>
      </c>
    </row>
    <row r="12707" spans="1:9">
      <c r="A12707" s="22" t="str">
        <f>HYPERLINK("https://app.vivvix.com/360/KMI/IntelliDrive/ApplUI/Pages/CreativePages/CustomReportCreativeDetail.aspx?App=23&amp;ReportView=4&amp;Qid=1711279&amp;Row=12699&amp;Col=1","No Title Assigned - #15273396340")</f>
        <v/>
      </c>
      <c r="B12707" s="0" t="s">
        <v>17085</v>
      </c>
      <c r="E12707" s="0" t="inlineStr">
        <is>
          <t xml:space="preserve">Mazda</t>
        </is>
      </c>
      <c r="F12707" s="0" t="inlineStr">
        <is>
          <t xml:space="preserve">Mazda</t>
        </is>
      </c>
      <c r="G12707" s="0" t="s">
        <v>171</v>
      </c>
      <c r="H12707" s="5">
        <v>26.329500</v>
      </c>
    </row>
    <row r="12708" spans="1:9">
      <c r="A12708" s="22" t="str">
        <f>HYPERLINK("https://app.vivvix.com/360/KMI/IntelliDrive/ApplUI/Pages/CreativePages/CustomReportCreativeDetail.aspx?App=23&amp;ReportView=4&amp;Qid=1711279&amp;Row=12700&amp;Col=1","No Title Assigned - #15273396662")</f>
        <v/>
      </c>
      <c r="B12708" s="0" t="s">
        <v>17086</v>
      </c>
      <c r="E12708" s="0" t="inlineStr">
        <is>
          <t xml:space="preserve">Mazda</t>
        </is>
      </c>
      <c r="F12708" s="0" t="inlineStr">
        <is>
          <t xml:space="preserve">Mazda</t>
        </is>
      </c>
      <c r="G12708" s="0" t="s">
        <v>171</v>
      </c>
      <c r="H12708" s="5">
        <v>1453.165000</v>
      </c>
    </row>
    <row r="12709" spans="1:9">
      <c r="A12709" s="22" t="str">
        <f>HYPERLINK("https://app.vivvix.com/360/KMI/IntelliDrive/ApplUI/Pages/CreativePages/CustomReportCreativeDetail.aspx?App=23&amp;ReportView=4&amp;Qid=1711279&amp;Row=12701&amp;Col=1","No Title Assigned - #15273396662")</f>
        <v/>
      </c>
      <c r="B12709" s="0" t="s">
        <v>17086</v>
      </c>
      <c r="E12709" s="0" t="inlineStr">
        <is>
          <t xml:space="preserve">Mazda</t>
        </is>
      </c>
      <c r="F12709" s="0" t="inlineStr">
        <is>
          <t xml:space="preserve">Mazda</t>
        </is>
      </c>
      <c r="G12709" s="0" t="s">
        <v>171</v>
      </c>
      <c r="H12709" s="5">
        <v>3046.505600</v>
      </c>
    </row>
    <row r="12710" spans="1:9">
      <c r="A12710" s="22" t="str">
        <f>HYPERLINK("https://app.vivvix.com/360/KMI/IntelliDrive/ApplUI/Pages/CreativePages/CustomReportCreativeDetail.aspx?App=23&amp;ReportView=4&amp;Qid=1711279&amp;Row=12702&amp;Col=1","No Title Assigned - #15273399937")</f>
        <v/>
      </c>
      <c r="B12710" s="0" t="s">
        <v>17087</v>
      </c>
      <c r="E12710" s="0" t="inlineStr">
        <is>
          <t xml:space="preserve">Mazda</t>
        </is>
      </c>
      <c r="F12710" s="0" t="inlineStr">
        <is>
          <t xml:space="preserve">Mazda</t>
        </is>
      </c>
      <c r="G12710" s="0" t="s">
        <v>171</v>
      </c>
      <c r="H12710" s="5">
        <v>10.615700</v>
      </c>
    </row>
    <row r="12711" spans="1:9">
      <c r="A12711" s="22" t="str">
        <f>HYPERLINK("https://app.vivvix.com/360/KMI/IntelliDrive/ApplUI/Pages/CreativePages/CustomReportCreativeDetail.aspx?App=23&amp;ReportView=4&amp;Qid=1711279&amp;Row=12703&amp;Col=1","No Title Assigned - #15273402498")</f>
        <v/>
      </c>
      <c r="B12711" s="0" t="s">
        <v>17088</v>
      </c>
      <c r="E12711" s="0" t="inlineStr">
        <is>
          <t xml:space="preserve">Mazda</t>
        </is>
      </c>
      <c r="F12711" s="0" t="inlineStr">
        <is>
          <t xml:space="preserve">Mazda</t>
        </is>
      </c>
      <c r="G12711" s="0" t="s">
        <v>171</v>
      </c>
      <c r="H12711" s="5">
        <v>20.060900</v>
      </c>
    </row>
    <row r="12712" spans="1:9">
      <c r="A12712" s="22" t="str">
        <f>HYPERLINK("https://app.vivvix.com/360/KMI/IntelliDrive/ApplUI/Pages/CreativePages/CustomReportCreativeDetail.aspx?App=23&amp;ReportView=4&amp;Qid=1711279&amp;Row=12704&amp;Col=1","No Title Assigned - #15273403379")</f>
        <v/>
      </c>
      <c r="B12712" s="0" t="s">
        <v>17089</v>
      </c>
      <c r="E12712" s="0" t="inlineStr">
        <is>
          <t xml:space="preserve">Mazda</t>
        </is>
      </c>
      <c r="F12712" s="0" t="inlineStr">
        <is>
          <t xml:space="preserve">Mazda</t>
        </is>
      </c>
      <c r="G12712" s="0" t="s">
        <v>171</v>
      </c>
      <c r="H12712" s="5">
        <v>471.764800</v>
      </c>
    </row>
    <row r="12713" spans="1:9">
      <c r="A12713" s="22" t="str">
        <f>HYPERLINK("https://app.vivvix.com/360/KMI/IntelliDrive/ApplUI/Pages/CreativePages/CustomReportCreativeDetail.aspx?App=23&amp;ReportView=4&amp;Qid=1711279&amp;Row=12705&amp;Col=1","No Title Assigned - #15273403905")</f>
        <v/>
      </c>
      <c r="B12713" s="0" t="s">
        <v>17090</v>
      </c>
      <c r="C12713" s="0" t="s">
        <v>17091</v>
      </c>
      <c r="D12713" s="0" t="s">
        <v>17091</v>
      </c>
      <c r="E12713" s="0" t="inlineStr">
        <is>
          <t xml:space="preserve">Mazda</t>
        </is>
      </c>
      <c r="F12713" s="0" t="inlineStr">
        <is>
          <t xml:space="preserve">Mazda</t>
        </is>
      </c>
      <c r="G12713" s="0" t="s">
        <v>171</v>
      </c>
      <c r="H12713" s="5">
        <v>677.676300</v>
      </c>
    </row>
    <row r="12714" spans="1:9">
      <c r="A12714" s="22" t="str">
        <f>HYPERLINK("https://app.vivvix.com/360/KMI/IntelliDrive/ApplUI/Pages/CreativePages/CustomReportCreativeDetail.aspx?App=23&amp;ReportView=4&amp;Qid=1711279&amp;Row=12706&amp;Col=1","No Title Assigned - #15273406143")</f>
        <v/>
      </c>
      <c r="B12714" s="0" t="s">
        <v>17092</v>
      </c>
      <c r="C12714" s="0" t="s">
        <v>17093</v>
      </c>
      <c r="D12714" s="0" t="s">
        <v>17093</v>
      </c>
      <c r="E12714" s="0" t="inlineStr">
        <is>
          <t xml:space="preserve">Mazda</t>
        </is>
      </c>
      <c r="F12714" s="0" t="s">
        <v>13</v>
      </c>
      <c r="G12714" s="0" t="s">
        <v>49</v>
      </c>
      <c r="H12714" s="5">
        <v>27389.418000</v>
      </c>
    </row>
    <row r="12715" spans="1:9">
      <c r="A12715" s="22" t="str">
        <f>HYPERLINK("https://app.vivvix.com/360/KMI/IntelliDrive/ApplUI/Pages/CreativePages/CustomReportCreativeDetail.aspx?App=23&amp;ReportView=4&amp;Qid=1711279&amp;Row=12707&amp;Col=1","No Title Assigned - #15273406402")</f>
        <v/>
      </c>
      <c r="B12715" s="0" t="s">
        <v>17094</v>
      </c>
      <c r="C12715" s="0" t="s">
        <v>17095</v>
      </c>
      <c r="D12715" s="0" t="s">
        <v>11872</v>
      </c>
      <c r="E12715" s="0" t="inlineStr">
        <is>
          <t xml:space="preserve">Mazda</t>
        </is>
      </c>
      <c r="F12715" s="0" t="s">
        <v>13</v>
      </c>
      <c r="G12715" s="0" t="s">
        <v>49</v>
      </c>
      <c r="H12715" s="5">
        <v>20.021500</v>
      </c>
    </row>
    <row r="12716" spans="1:9">
      <c r="A12716" s="22" t="str">
        <f>HYPERLINK("https://app.vivvix.com/360/KMI/IntelliDrive/ApplUI/Pages/CreativePages/CustomReportCreativeDetail.aspx?App=23&amp;ReportView=4&amp;Qid=1711279&amp;Row=12708&amp;Col=1","No Title Assigned - #15273406630")</f>
        <v/>
      </c>
      <c r="B12716" s="0" t="s">
        <v>17096</v>
      </c>
      <c r="C12716" s="0" t="s">
        <v>17097</v>
      </c>
      <c r="D12716" s="0" t="s">
        <v>17097</v>
      </c>
      <c r="E12716" s="0" t="inlineStr">
        <is>
          <t xml:space="preserve">Mazda</t>
        </is>
      </c>
      <c r="F12716" s="0" t="s">
        <v>13</v>
      </c>
      <c r="G12716" s="0" t="s">
        <v>49</v>
      </c>
      <c r="H12716" s="5">
        <v>155.026300</v>
      </c>
    </row>
    <row r="12717" spans="1:9">
      <c r="A12717" s="22" t="str">
        <f>HYPERLINK("https://app.vivvix.com/360/KMI/IntelliDrive/ApplUI/Pages/CreativePages/CustomReportCreativeDetail.aspx?App=23&amp;ReportView=4&amp;Qid=1711279&amp;Row=12709&amp;Col=1","No Title Assigned - #15273406778")</f>
        <v/>
      </c>
      <c r="B12717" s="0" t="s">
        <v>17098</v>
      </c>
      <c r="C12717" s="0" t="s">
        <v>17099</v>
      </c>
      <c r="D12717" s="0" t="s">
        <v>7396</v>
      </c>
      <c r="E12717" s="0" t="inlineStr">
        <is>
          <t xml:space="preserve">Mazda</t>
        </is>
      </c>
      <c r="F12717" s="0" t="s">
        <v>13</v>
      </c>
      <c r="G12717" s="0" t="s">
        <v>49</v>
      </c>
      <c r="H12717" s="5">
        <v>556.569200</v>
      </c>
    </row>
    <row r="12718" spans="1:9">
      <c r="A12718" s="22" t="str">
        <f>HYPERLINK("https://app.vivvix.com/360/KMI/IntelliDrive/ApplUI/Pages/CreativePages/CustomReportCreativeDetail.aspx?App=23&amp;ReportView=4&amp;Qid=1711279&amp;Row=12710&amp;Col=1","No Title Assigned - #15273409250")</f>
        <v/>
      </c>
      <c r="B12718" s="0" t="s">
        <v>17100</v>
      </c>
      <c r="E12718" s="0" t="inlineStr">
        <is>
          <t xml:space="preserve">Mazda</t>
        </is>
      </c>
      <c r="F12718" s="0" t="inlineStr">
        <is>
          <t xml:space="preserve">Mazda</t>
        </is>
      </c>
      <c r="G12718" s="0" t="s">
        <v>171</v>
      </c>
      <c r="H12718" s="5">
        <v>923.558600</v>
      </c>
    </row>
    <row r="12719" spans="1:9">
      <c r="A12719" s="22" t="str">
        <f>HYPERLINK("https://app.vivvix.com/360/KMI/IntelliDrive/ApplUI/Pages/CreativePages/CustomReportCreativeDetail.aspx?App=23&amp;ReportView=4&amp;Qid=1711279&amp;Row=12711&amp;Col=1","No Title Assigned - #15273409250")</f>
        <v/>
      </c>
      <c r="B12719" s="0" t="s">
        <v>17100</v>
      </c>
      <c r="E12719" s="0" t="inlineStr">
        <is>
          <t xml:space="preserve">Mazda</t>
        </is>
      </c>
      <c r="F12719" s="0" t="inlineStr">
        <is>
          <t xml:space="preserve">Mazda</t>
        </is>
      </c>
      <c r="G12719" s="0" t="s">
        <v>171</v>
      </c>
      <c r="H12719" s="5">
        <v>43085.710900</v>
      </c>
    </row>
    <row r="12720" spans="1:9">
      <c r="A12720" s="22" t="str">
        <f>HYPERLINK("https://app.vivvix.com/360/KMI/IntelliDrive/ApplUI/Pages/CreativePages/CustomReportCreativeDetail.aspx?App=23&amp;ReportView=4&amp;Qid=1711279&amp;Row=12712&amp;Col=1","No Title Assigned - #15273409349")</f>
        <v/>
      </c>
      <c r="B12720" s="0" t="s">
        <v>17101</v>
      </c>
      <c r="E12720" s="0" t="inlineStr">
        <is>
          <t xml:space="preserve">Mazda</t>
        </is>
      </c>
      <c r="F12720" s="0" t="inlineStr">
        <is>
          <t xml:space="preserve">Mazda</t>
        </is>
      </c>
      <c r="G12720" s="0" t="s">
        <v>171</v>
      </c>
      <c r="H12720" s="5">
        <v>199.500900</v>
      </c>
    </row>
    <row r="12721" spans="1:9">
      <c r="A12721" s="22" t="str">
        <f>HYPERLINK("https://app.vivvix.com/360/KMI/IntelliDrive/ApplUI/Pages/CreativePages/CustomReportCreativeDetail.aspx?App=23&amp;ReportView=4&amp;Qid=1711279&amp;Row=12713&amp;Col=1","No Title Assigned - #15273410601")</f>
        <v/>
      </c>
      <c r="B12721" s="0" t="s">
        <v>17102</v>
      </c>
      <c r="E12721" s="0" t="inlineStr">
        <is>
          <t xml:space="preserve">Mazda</t>
        </is>
      </c>
      <c r="F12721" s="0" t="inlineStr">
        <is>
          <t xml:space="preserve">Mazda</t>
        </is>
      </c>
      <c r="G12721" s="0" t="s">
        <v>171</v>
      </c>
      <c r="H12721" s="5">
        <v>7.115100</v>
      </c>
    </row>
    <row r="12722" spans="1:9">
      <c r="A12722" s="22" t="str">
        <f>HYPERLINK("https://app.vivvix.com/360/KMI/IntelliDrive/ApplUI/Pages/CreativePages/CustomReportCreativeDetail.aspx?App=23&amp;ReportView=4&amp;Qid=1711279&amp;Row=12714&amp;Col=1","No Title Assigned - #15273412975")</f>
        <v/>
      </c>
      <c r="B12722" s="0" t="s">
        <v>17103</v>
      </c>
      <c r="E12722" s="0" t="inlineStr">
        <is>
          <t xml:space="preserve">Mazda</t>
        </is>
      </c>
      <c r="F12722" s="0" t="inlineStr">
        <is>
          <t xml:space="preserve">Mazda</t>
        </is>
      </c>
      <c r="G12722" s="0" t="s">
        <v>171</v>
      </c>
      <c r="H12722" s="5">
        <v>68.470600</v>
      </c>
    </row>
    <row r="12723" spans="1:9">
      <c r="A12723" s="22" t="str">
        <f>HYPERLINK("https://app.vivvix.com/360/KMI/IntelliDrive/ApplUI/Pages/CreativePages/CustomReportCreativeDetail.aspx?App=23&amp;ReportView=4&amp;Qid=1711279&amp;Row=12715&amp;Col=1","No Title Assigned - #15273412975")</f>
        <v/>
      </c>
      <c r="B12723" s="0" t="s">
        <v>17103</v>
      </c>
      <c r="C12723" s="0" t="s">
        <v>17104</v>
      </c>
      <c r="D12723" s="0" t="s">
        <v>17104</v>
      </c>
      <c r="E12723" s="0" t="inlineStr">
        <is>
          <t xml:space="preserve">Mazda</t>
        </is>
      </c>
      <c r="F12723" s="0" t="inlineStr">
        <is>
          <t xml:space="preserve">Mazda</t>
        </is>
      </c>
      <c r="G12723" s="0" t="s">
        <v>171</v>
      </c>
      <c r="H12723" s="5">
        <v>671.086000</v>
      </c>
    </row>
    <row r="12724" spans="1:9">
      <c r="A12724" s="22" t="str">
        <f>HYPERLINK("https://app.vivvix.com/360/KMI/IntelliDrive/ApplUI/Pages/CreativePages/CustomReportCreativeDetail.aspx?App=23&amp;ReportView=4&amp;Qid=1711279&amp;Row=12716&amp;Col=1","No Title Assigned - #15273413868")</f>
        <v/>
      </c>
      <c r="B12724" s="0" t="s">
        <v>17105</v>
      </c>
      <c r="E12724" s="0" t="inlineStr">
        <is>
          <t xml:space="preserve">Mazda</t>
        </is>
      </c>
      <c r="F12724" s="0" t="inlineStr">
        <is>
          <t xml:space="preserve">Mazda</t>
        </is>
      </c>
      <c r="G12724" s="0" t="s">
        <v>171</v>
      </c>
      <c r="H12724" s="5">
        <v>63.033500</v>
      </c>
    </row>
    <row r="12725" spans="1:9">
      <c r="A12725" s="22" t="str">
        <f>HYPERLINK("https://app.vivvix.com/360/KMI/IntelliDrive/ApplUI/Pages/CreativePages/CustomReportCreativeDetail.aspx?App=23&amp;ReportView=4&amp;Qid=1711279&amp;Row=12717&amp;Col=1","No Title Assigned - #15273414079")</f>
        <v/>
      </c>
      <c r="B12725" s="0" t="s">
        <v>17106</v>
      </c>
      <c r="C12725" s="0" t="s">
        <v>17107</v>
      </c>
      <c r="D12725" s="0" t="s">
        <v>17107</v>
      </c>
      <c r="E12725" s="0" t="inlineStr">
        <is>
          <t xml:space="preserve">Mazda</t>
        </is>
      </c>
      <c r="F12725" s="0" t="inlineStr">
        <is>
          <t xml:space="preserve">Mazda</t>
        </is>
      </c>
      <c r="G12725" s="0" t="s">
        <v>171</v>
      </c>
      <c r="H12725" s="5">
        <v>37.654600</v>
      </c>
    </row>
    <row r="12726" spans="1:9">
      <c r="A12726" s="22" t="str">
        <f>HYPERLINK("https://app.vivvix.com/360/KMI/IntelliDrive/ApplUI/Pages/CreativePages/CustomReportCreativeDetail.aspx?App=23&amp;ReportView=4&amp;Qid=1711279&amp;Row=12718&amp;Col=1","No Title Assigned - #15273414798")</f>
        <v/>
      </c>
      <c r="B12726" s="0" t="s">
        <v>17108</v>
      </c>
      <c r="E12726" s="0" t="inlineStr">
        <is>
          <t xml:space="preserve">Mazda</t>
        </is>
      </c>
      <c r="F12726" s="0" t="inlineStr">
        <is>
          <t xml:space="preserve">Mazda</t>
        </is>
      </c>
      <c r="G12726" s="0" t="s">
        <v>171</v>
      </c>
      <c r="H12726" s="5">
        <v>1541.310200</v>
      </c>
    </row>
    <row r="12727" spans="1:9">
      <c r="A12727" s="22" t="str">
        <f>HYPERLINK("https://app.vivvix.com/360/KMI/IntelliDrive/ApplUI/Pages/CreativePages/CustomReportCreativeDetail.aspx?App=23&amp;ReportView=4&amp;Qid=1711279&amp;Row=12719&amp;Col=1","No Title Assigned - #15273415043")</f>
        <v/>
      </c>
      <c r="B12727" s="0" t="s">
        <v>17109</v>
      </c>
      <c r="E12727" s="0" t="inlineStr">
        <is>
          <t xml:space="preserve">Mazda</t>
        </is>
      </c>
      <c r="F12727" s="0" t="inlineStr">
        <is>
          <t xml:space="preserve">Mazda</t>
        </is>
      </c>
      <c r="G12727" s="0" t="s">
        <v>171</v>
      </c>
      <c r="H12727" s="5">
        <v>22.082700</v>
      </c>
    </row>
    <row r="12728" spans="1:9">
      <c r="A12728" s="22" t="str">
        <f>HYPERLINK("https://app.vivvix.com/360/KMI/IntelliDrive/ApplUI/Pages/CreativePages/CustomReportCreativeDetail.aspx?App=23&amp;ReportView=4&amp;Qid=1711279&amp;Row=12720&amp;Col=1","No Title Assigned - #15273415213")</f>
        <v/>
      </c>
      <c r="B12728" s="0" t="s">
        <v>17110</v>
      </c>
      <c r="E12728" s="0" t="inlineStr">
        <is>
          <t xml:space="preserve">Mazda</t>
        </is>
      </c>
      <c r="F12728" s="0" t="inlineStr">
        <is>
          <t xml:space="preserve">Mazda</t>
        </is>
      </c>
      <c r="G12728" s="0" t="s">
        <v>171</v>
      </c>
      <c r="H12728" s="5">
        <v>1616.673200</v>
      </c>
    </row>
    <row r="12729" spans="1:9">
      <c r="A12729" s="22" t="str">
        <f>HYPERLINK("https://app.vivvix.com/360/KMI/IntelliDrive/ApplUI/Pages/CreativePages/CustomReportCreativeDetail.aspx?App=23&amp;ReportView=4&amp;Qid=1711279&amp;Row=12721&amp;Col=1","No Title Assigned - #15273415237")</f>
        <v/>
      </c>
      <c r="B12729" s="0" t="s">
        <v>17111</v>
      </c>
      <c r="E12729" s="0" t="inlineStr">
        <is>
          <t xml:space="preserve">Mazda</t>
        </is>
      </c>
      <c r="F12729" s="0" t="inlineStr">
        <is>
          <t xml:space="preserve">Mazda</t>
        </is>
      </c>
      <c r="G12729" s="0" t="s">
        <v>171</v>
      </c>
      <c r="H12729" s="5">
        <v>3956.703400</v>
      </c>
    </row>
    <row r="12730" spans="1:9">
      <c r="A12730" s="22" t="str">
        <f>HYPERLINK("https://app.vivvix.com/360/KMI/IntelliDrive/ApplUI/Pages/CreativePages/CustomReportCreativeDetail.aspx?App=23&amp;ReportView=4&amp;Qid=1711279&amp;Row=12722&amp;Col=1","No Title Assigned - #15273415561")</f>
        <v/>
      </c>
      <c r="B12730" s="0" t="s">
        <v>17112</v>
      </c>
      <c r="E12730" s="0" t="inlineStr">
        <is>
          <t xml:space="preserve">Mazda</t>
        </is>
      </c>
      <c r="F12730" s="0" t="inlineStr">
        <is>
          <t xml:space="preserve">Mazda</t>
        </is>
      </c>
      <c r="G12730" s="0" t="s">
        <v>171</v>
      </c>
      <c r="H12730" s="5">
        <v>42.657300</v>
      </c>
    </row>
    <row r="12731" spans="1:9">
      <c r="A12731" s="22" t="str">
        <f>HYPERLINK("https://app.vivvix.com/360/KMI/IntelliDrive/ApplUI/Pages/CreativePages/CustomReportCreativeDetail.aspx?App=23&amp;ReportView=4&amp;Qid=1711279&amp;Row=12723&amp;Col=1","No Title Assigned - #15273415672")</f>
        <v/>
      </c>
      <c r="B12731" s="0" t="s">
        <v>17113</v>
      </c>
      <c r="E12731" s="0" t="inlineStr">
        <is>
          <t xml:space="preserve">Mazda</t>
        </is>
      </c>
      <c r="F12731" s="0" t="inlineStr">
        <is>
          <t xml:space="preserve">Mazda</t>
        </is>
      </c>
      <c r="G12731" s="0" t="s">
        <v>171</v>
      </c>
      <c r="H12731" s="5">
        <v>1.744200</v>
      </c>
    </row>
    <row r="12732" spans="1:9">
      <c r="A12732" s="22" t="str">
        <f>HYPERLINK("https://app.vivvix.com/360/KMI/IntelliDrive/ApplUI/Pages/CreativePages/CustomReportCreativeDetail.aspx?App=23&amp;ReportView=4&amp;Qid=1711279&amp;Row=12724&amp;Col=1","No Title Assigned - #15273415894")</f>
        <v/>
      </c>
      <c r="B12732" s="0" t="s">
        <v>17114</v>
      </c>
      <c r="C12732" s="0" t="s">
        <v>17115</v>
      </c>
      <c r="D12732" s="0" t="s">
        <v>17115</v>
      </c>
      <c r="E12732" s="0" t="inlineStr">
        <is>
          <t xml:space="preserve">Mazda</t>
        </is>
      </c>
      <c r="F12732" s="0" t="inlineStr">
        <is>
          <t xml:space="preserve">Mazda</t>
        </is>
      </c>
      <c r="G12732" s="0" t="s">
        <v>171</v>
      </c>
      <c r="H12732" s="5">
        <v>4.052700</v>
      </c>
    </row>
    <row r="12733" spans="1:9">
      <c r="A12733" s="22" t="str">
        <f>HYPERLINK("https://app.vivvix.com/360/KMI/IntelliDrive/ApplUI/Pages/CreativePages/CustomReportCreativeDetail.aspx?App=23&amp;ReportView=4&amp;Qid=1711279&amp;Row=12725&amp;Col=1","No Title Assigned - #15273415896")</f>
        <v/>
      </c>
      <c r="B12733" s="0" t="s">
        <v>17116</v>
      </c>
      <c r="E12733" s="0" t="inlineStr">
        <is>
          <t xml:space="preserve">Mazda</t>
        </is>
      </c>
      <c r="F12733" s="0" t="inlineStr">
        <is>
          <t xml:space="preserve">Mazda</t>
        </is>
      </c>
      <c r="G12733" s="0" t="s">
        <v>171</v>
      </c>
      <c r="H12733" s="5">
        <v>1.350900</v>
      </c>
    </row>
    <row r="12734" spans="1:9">
      <c r="A12734" s="22" t="str">
        <f>HYPERLINK("https://app.vivvix.com/360/KMI/IntelliDrive/ApplUI/Pages/CreativePages/CustomReportCreativeDetail.aspx?App=23&amp;ReportView=4&amp;Qid=1711279&amp;Row=12726&amp;Col=1","No Title Assigned - #15273416100")</f>
        <v/>
      </c>
      <c r="B12734" s="0" t="s">
        <v>17117</v>
      </c>
      <c r="E12734" s="0" t="inlineStr">
        <is>
          <t xml:space="preserve">Mazda</t>
        </is>
      </c>
      <c r="F12734" s="0" t="inlineStr">
        <is>
          <t xml:space="preserve">Mazda</t>
        </is>
      </c>
      <c r="G12734" s="0" t="s">
        <v>171</v>
      </c>
      <c r="H12734" s="5">
        <v>1662.925700</v>
      </c>
    </row>
    <row r="12735" spans="1:9">
      <c r="A12735" s="22" t="str">
        <f>HYPERLINK("https://app.vivvix.com/360/KMI/IntelliDrive/ApplUI/Pages/CreativePages/CustomReportCreativeDetail.aspx?App=23&amp;ReportView=4&amp;Qid=1711279&amp;Row=12727&amp;Col=1","No Title Assigned - #15273417274")</f>
        <v/>
      </c>
      <c r="B12735" s="0" t="s">
        <v>17118</v>
      </c>
      <c r="C12735" s="0" t="s">
        <v>17119</v>
      </c>
      <c r="D12735" s="0" t="s">
        <v>17119</v>
      </c>
      <c r="E12735" s="0" t="inlineStr">
        <is>
          <t xml:space="preserve">Mazda</t>
        </is>
      </c>
      <c r="F12735" s="0" t="s">
        <v>13</v>
      </c>
      <c r="G12735" s="0" t="s">
        <v>49</v>
      </c>
      <c r="H12735" s="5">
        <v>448.970000</v>
      </c>
    </row>
    <row r="12736" spans="1:9">
      <c r="A12736" s="22" t="str">
        <f>HYPERLINK("https://app.vivvix.com/360/KMI/IntelliDrive/ApplUI/Pages/CreativePages/CustomReportCreativeDetail.aspx?App=23&amp;ReportView=4&amp;Qid=1711279&amp;Row=12728&amp;Col=1","No Title Assigned - #15273417275")</f>
        <v/>
      </c>
      <c r="B12736" s="0" t="s">
        <v>17120</v>
      </c>
      <c r="E12736" s="0" t="inlineStr">
        <is>
          <t xml:space="preserve">Mazda</t>
        </is>
      </c>
      <c r="F12736" s="0" t="s">
        <v>13</v>
      </c>
      <c r="G12736" s="0" t="s">
        <v>49</v>
      </c>
      <c r="H12736" s="5">
        <v>59.126500</v>
      </c>
    </row>
    <row r="12737" spans="1:9">
      <c r="A12737" s="22" t="str">
        <f>HYPERLINK("https://app.vivvix.com/360/KMI/IntelliDrive/ApplUI/Pages/CreativePages/CustomReportCreativeDetail.aspx?App=23&amp;ReportView=4&amp;Qid=1711279&amp;Row=12729&amp;Col=1","No Title Assigned - #15273417275")</f>
        <v/>
      </c>
      <c r="B12737" s="0" t="s">
        <v>17120</v>
      </c>
      <c r="E12737" s="0" t="inlineStr">
        <is>
          <t xml:space="preserve">Mazda</t>
        </is>
      </c>
      <c r="F12737" s="0" t="s">
        <v>13</v>
      </c>
      <c r="G12737" s="0" t="s">
        <v>49</v>
      </c>
      <c r="H12737" s="5">
        <v>968.699400</v>
      </c>
    </row>
    <row r="12738" spans="1:9">
      <c r="A12738" s="22" t="str">
        <f>HYPERLINK("https://app.vivvix.com/360/KMI/IntelliDrive/ApplUI/Pages/CreativePages/CustomReportCreativeDetail.aspx?App=23&amp;ReportView=4&amp;Qid=1711279&amp;Row=12730&amp;Col=1","No Title Assigned - #15273417639")</f>
        <v/>
      </c>
      <c r="B12738" s="0" t="s">
        <v>17121</v>
      </c>
      <c r="E12738" s="0" t="inlineStr">
        <is>
          <t xml:space="preserve">Mazda</t>
        </is>
      </c>
      <c r="F12738" s="0" t="inlineStr">
        <is>
          <t xml:space="preserve">Mazda</t>
        </is>
      </c>
      <c r="G12738" s="0" t="s">
        <v>171</v>
      </c>
      <c r="H12738" s="5">
        <v>5397.033200</v>
      </c>
    </row>
    <row r="12739" spans="1:9">
      <c r="A12739" s="22" t="str">
        <f>HYPERLINK("https://app.vivvix.com/360/KMI/IntelliDrive/ApplUI/Pages/CreativePages/CustomReportCreativeDetail.aspx?App=23&amp;ReportView=4&amp;Qid=1711279&amp;Row=12731&amp;Col=1","No Title Assigned - #15273420250")</f>
        <v/>
      </c>
      <c r="B12739" s="0" t="s">
        <v>17122</v>
      </c>
      <c r="E12739" s="0" t="inlineStr">
        <is>
          <t xml:space="preserve">Mazda</t>
        </is>
      </c>
      <c r="F12739" s="0" t="inlineStr">
        <is>
          <t xml:space="preserve">Mazda</t>
        </is>
      </c>
      <c r="G12739" s="0" t="s">
        <v>171</v>
      </c>
      <c r="H12739" s="5">
        <v>323.123600</v>
      </c>
    </row>
    <row r="12740" spans="1:9">
      <c r="A12740" s="22" t="str">
        <f>HYPERLINK("https://app.vivvix.com/360/KMI/IntelliDrive/ApplUI/Pages/CreativePages/CustomReportCreativeDetail.aspx?App=23&amp;ReportView=4&amp;Qid=1711279&amp;Row=12732&amp;Col=1","No Title Assigned - #15273421267")</f>
        <v/>
      </c>
      <c r="B12740" s="0" t="s">
        <v>17123</v>
      </c>
      <c r="C12740" s="0" t="s">
        <v>17124</v>
      </c>
      <c r="D12740" s="0" t="s">
        <v>17124</v>
      </c>
      <c r="E12740" s="0" t="inlineStr">
        <is>
          <t xml:space="preserve">Mazda</t>
        </is>
      </c>
      <c r="F12740" s="0" t="s">
        <v>13</v>
      </c>
      <c r="G12740" s="0" t="s">
        <v>49</v>
      </c>
      <c r="H12740" s="5">
        <v>448.970000</v>
      </c>
    </row>
    <row r="12741" spans="1:9">
      <c r="A12741" s="22" t="str">
        <f>HYPERLINK("https://app.vivvix.com/360/KMI/IntelliDrive/ApplUI/Pages/CreativePages/CustomReportCreativeDetail.aspx?App=23&amp;ReportView=4&amp;Qid=1711279&amp;Row=12733&amp;Col=1","No Title Assigned - #15273421639")</f>
        <v/>
      </c>
      <c r="B12741" s="0" t="s">
        <v>17125</v>
      </c>
      <c r="C12741" s="0" t="s">
        <v>17126</v>
      </c>
      <c r="D12741" s="0" t="s">
        <v>17126</v>
      </c>
      <c r="E12741" s="0" t="inlineStr">
        <is>
          <t xml:space="preserve">Mazda</t>
        </is>
      </c>
      <c r="F12741" s="0" t="s">
        <v>13</v>
      </c>
      <c r="G12741" s="0" t="s">
        <v>49</v>
      </c>
      <c r="H12741" s="5">
        <v>21.091800</v>
      </c>
    </row>
    <row r="12742" spans="1:9">
      <c r="A12742" s="22" t="str">
        <f>HYPERLINK("https://app.vivvix.com/360/KMI/IntelliDrive/ApplUI/Pages/CreativePages/CustomReportCreativeDetail.aspx?App=23&amp;ReportView=4&amp;Qid=1711279&amp;Row=12734&amp;Col=1","No Title Assigned - #15273421695")</f>
        <v/>
      </c>
      <c r="B12742" s="0" t="s">
        <v>17127</v>
      </c>
      <c r="C12742" s="0" t="s">
        <v>17128</v>
      </c>
      <c r="D12742" s="0" t="s">
        <v>17128</v>
      </c>
      <c r="E12742" s="0" t="inlineStr">
        <is>
          <t xml:space="preserve">Mazda</t>
        </is>
      </c>
      <c r="F12742" s="0" t="s">
        <v>13</v>
      </c>
      <c r="G12742" s="0" t="s">
        <v>49</v>
      </c>
      <c r="H12742" s="5">
        <v>4989.937000</v>
      </c>
    </row>
    <row r="12743" spans="1:9">
      <c r="A12743" s="22" t="str">
        <f>HYPERLINK("https://app.vivvix.com/360/KMI/IntelliDrive/ApplUI/Pages/CreativePages/CustomReportCreativeDetail.aspx?App=23&amp;ReportView=4&amp;Qid=1711279&amp;Row=12735&amp;Col=1","No Title Assigned - #15273422413")</f>
        <v/>
      </c>
      <c r="B12743" s="0" t="s">
        <v>17129</v>
      </c>
      <c r="C12743" s="0" t="s">
        <v>17130</v>
      </c>
      <c r="D12743" s="0" t="s">
        <v>11560</v>
      </c>
      <c r="E12743" s="0" t="inlineStr">
        <is>
          <t xml:space="preserve">Mazda</t>
        </is>
      </c>
      <c r="F12743" s="0" t="s">
        <v>13</v>
      </c>
      <c r="G12743" s="0" t="s">
        <v>49</v>
      </c>
      <c r="H12743" s="5">
        <v>52.372100</v>
      </c>
    </row>
    <row r="12744" spans="1:9">
      <c r="A12744" s="22" t="str">
        <f>HYPERLINK("https://app.vivvix.com/360/KMI/IntelliDrive/ApplUI/Pages/CreativePages/CustomReportCreativeDetail.aspx?App=23&amp;ReportView=4&amp;Qid=1711279&amp;Row=12736&amp;Col=1","No Title Assigned - #15273422419")</f>
        <v/>
      </c>
      <c r="B12744" s="0" t="s">
        <v>17131</v>
      </c>
      <c r="C12744" s="0" t="s">
        <v>17132</v>
      </c>
      <c r="D12744" s="0" t="s">
        <v>17132</v>
      </c>
      <c r="E12744" s="0" t="inlineStr">
        <is>
          <t xml:space="preserve">Mazda</t>
        </is>
      </c>
      <c r="F12744" s="0" t="s">
        <v>28</v>
      </c>
      <c r="G12744" s="0" t="s">
        <v>29</v>
      </c>
      <c r="H12744" s="5">
        <v>393.142800</v>
      </c>
    </row>
    <row r="12745" spans="1:9">
      <c r="A12745" s="22" t="str">
        <f>HYPERLINK("https://app.vivvix.com/360/KMI/IntelliDrive/ApplUI/Pages/CreativePages/CustomReportCreativeDetail.aspx?App=23&amp;ReportView=4&amp;Qid=1711279&amp;Row=12737&amp;Col=1","No Title Assigned - #15273422503")</f>
        <v/>
      </c>
      <c r="B12745" s="0" t="s">
        <v>17133</v>
      </c>
      <c r="E12745" s="0" t="inlineStr">
        <is>
          <t xml:space="preserve">Mazda</t>
        </is>
      </c>
      <c r="F12745" s="0" t="inlineStr">
        <is>
          <t xml:space="preserve">Mazda</t>
        </is>
      </c>
      <c r="G12745" s="0" t="s">
        <v>210</v>
      </c>
      <c r="H12745" s="5">
        <v>1844.617200</v>
      </c>
    </row>
    <row r="12746" spans="1:9">
      <c r="A12746" s="22" t="str">
        <f>HYPERLINK("https://app.vivvix.com/360/KMI/IntelliDrive/ApplUI/Pages/CreativePages/CustomReportCreativeDetail.aspx?App=23&amp;ReportView=4&amp;Qid=1711279&amp;Row=12738&amp;Col=1","No Title Assigned - #15273422503")</f>
        <v/>
      </c>
      <c r="B12746" s="0" t="s">
        <v>17133</v>
      </c>
      <c r="C12746" s="0" t="s">
        <v>17134</v>
      </c>
      <c r="D12746" s="0" t="s">
        <v>17134</v>
      </c>
      <c r="E12746" s="0" t="inlineStr">
        <is>
          <t xml:space="preserve">Mazda</t>
        </is>
      </c>
      <c r="F12746" s="0" t="inlineStr">
        <is>
          <t xml:space="preserve">Mazda</t>
        </is>
      </c>
      <c r="G12746" s="0" t="s">
        <v>210</v>
      </c>
      <c r="H12746" s="5">
        <v>701.158700</v>
      </c>
    </row>
    <row r="12747" spans="1:9">
      <c r="A12747" s="22" t="str">
        <f>HYPERLINK("https://app.vivvix.com/360/KMI/IntelliDrive/ApplUI/Pages/CreativePages/CustomReportCreativeDetail.aspx?App=23&amp;ReportView=4&amp;Qid=1711279&amp;Row=12739&amp;Col=1","No Title Assigned - #15273422637")</f>
        <v/>
      </c>
      <c r="B12747" s="0" t="s">
        <v>17135</v>
      </c>
      <c r="C12747" s="0" t="s">
        <v>17136</v>
      </c>
      <c r="D12747" s="0" t="s">
        <v>10955</v>
      </c>
      <c r="E12747" s="0" t="inlineStr">
        <is>
          <t xml:space="preserve">Mazda</t>
        </is>
      </c>
      <c r="F12747" s="0" t="s">
        <v>13</v>
      </c>
      <c r="G12747" s="0" t="s">
        <v>49</v>
      </c>
      <c r="H12747" s="5">
        <v>136.370200</v>
      </c>
    </row>
    <row r="12748" spans="1:9">
      <c r="A12748" s="22" t="str">
        <f>HYPERLINK("https://app.vivvix.com/360/KMI/IntelliDrive/ApplUI/Pages/CreativePages/CustomReportCreativeDetail.aspx?App=23&amp;ReportView=4&amp;Qid=1711279&amp;Row=12740&amp;Col=1","No Title Assigned - #15273424272")</f>
        <v/>
      </c>
      <c r="B12748" s="0" t="s">
        <v>17137</v>
      </c>
      <c r="E12748" s="0" t="inlineStr">
        <is>
          <t xml:space="preserve">Mazda</t>
        </is>
      </c>
      <c r="F12748" s="0" t="s">
        <v>13</v>
      </c>
      <c r="G12748" s="0" t="s">
        <v>49</v>
      </c>
      <c r="H12748" s="5">
        <v>1167.761100</v>
      </c>
    </row>
    <row r="12749" spans="1:9">
      <c r="A12749" s="22" t="str">
        <f>HYPERLINK("https://app.vivvix.com/360/KMI/IntelliDrive/ApplUI/Pages/CreativePages/CustomReportCreativeDetail.aspx?App=23&amp;ReportView=4&amp;Qid=1711279&amp;Row=12741&amp;Col=1","No Title Assigned - #15273424272")</f>
        <v/>
      </c>
      <c r="B12749" s="0" t="s">
        <v>17137</v>
      </c>
      <c r="C12749" s="0" t="s">
        <v>17138</v>
      </c>
      <c r="D12749" s="0" t="s">
        <v>17138</v>
      </c>
      <c r="E12749" s="0" t="inlineStr">
        <is>
          <t xml:space="preserve">Mazda</t>
        </is>
      </c>
      <c r="F12749" s="0" t="s">
        <v>13</v>
      </c>
      <c r="G12749" s="0" t="s">
        <v>49</v>
      </c>
      <c r="H12749" s="5">
        <v>18897.696800</v>
      </c>
    </row>
    <row r="12750" spans="1:9">
      <c r="A12750" s="22" t="str">
        <f>HYPERLINK("https://app.vivvix.com/360/KMI/IntelliDrive/ApplUI/Pages/CreativePages/CustomReportCreativeDetail.aspx?App=23&amp;ReportView=4&amp;Qid=1711279&amp;Row=12742&amp;Col=1","No Title Assigned - #15273424337")</f>
        <v/>
      </c>
      <c r="B12750" s="0" t="s">
        <v>17139</v>
      </c>
      <c r="C12750" s="0" t="s">
        <v>17140</v>
      </c>
      <c r="D12750" s="0" t="s">
        <v>6656</v>
      </c>
      <c r="E12750" s="0" t="inlineStr">
        <is>
          <t xml:space="preserve">Mazda</t>
        </is>
      </c>
      <c r="F12750" s="0" t="s">
        <v>28</v>
      </c>
      <c r="G12750" s="0" t="s">
        <v>29</v>
      </c>
      <c r="H12750" s="5">
        <v>4.062500</v>
      </c>
    </row>
    <row r="12751" spans="1:9">
      <c r="A12751" s="22" t="str">
        <f>HYPERLINK("https://app.vivvix.com/360/KMI/IntelliDrive/ApplUI/Pages/CreativePages/CustomReportCreativeDetail.aspx?App=23&amp;ReportView=4&amp;Qid=1711279&amp;Row=12743&amp;Col=1","No Title Assigned - #15273424441")</f>
        <v/>
      </c>
      <c r="B12751" s="0" t="s">
        <v>17141</v>
      </c>
      <c r="E12751" s="0" t="inlineStr">
        <is>
          <t xml:space="preserve">Mazda</t>
        </is>
      </c>
      <c r="F12751" s="0" t="s">
        <v>13</v>
      </c>
      <c r="G12751" s="0" t="s">
        <v>49</v>
      </c>
      <c r="H12751" s="5">
        <v>838.547700</v>
      </c>
    </row>
    <row r="12752" spans="1:9">
      <c r="A12752" s="22" t="str">
        <f>HYPERLINK("https://app.vivvix.com/360/KMI/IntelliDrive/ApplUI/Pages/CreativePages/CustomReportCreativeDetail.aspx?App=23&amp;ReportView=4&amp;Qid=1711279&amp;Row=12744&amp;Col=1","No Title Assigned - #15273424441")</f>
        <v/>
      </c>
      <c r="B12752" s="0" t="s">
        <v>17141</v>
      </c>
      <c r="C12752" s="0" t="s">
        <v>17142</v>
      </c>
      <c r="D12752" s="0" t="s">
        <v>17142</v>
      </c>
      <c r="E12752" s="0" t="inlineStr">
        <is>
          <t xml:space="preserve">Mazda</t>
        </is>
      </c>
      <c r="F12752" s="0" t="s">
        <v>13</v>
      </c>
      <c r="G12752" s="0" t="s">
        <v>49</v>
      </c>
      <c r="H12752" s="5">
        <v>1272.214500</v>
      </c>
    </row>
    <row r="12753" spans="1:9">
      <c r="A12753" s="22" t="str">
        <f>HYPERLINK("https://app.vivvix.com/360/KMI/IntelliDrive/ApplUI/Pages/CreativePages/CustomReportCreativeDetail.aspx?App=23&amp;ReportView=4&amp;Qid=1711279&amp;Row=12745&amp;Col=1","No Title Assigned - #15273424497")</f>
        <v/>
      </c>
      <c r="B12753" s="0" t="s">
        <v>17143</v>
      </c>
      <c r="C12753" s="0" t="s">
        <v>17144</v>
      </c>
      <c r="D12753" s="0" t="s">
        <v>16585</v>
      </c>
      <c r="E12753" s="0" t="inlineStr">
        <is>
          <t xml:space="preserve">Mazda</t>
        </is>
      </c>
      <c r="F12753" s="0" t="inlineStr">
        <is>
          <t xml:space="preserve">Mazda</t>
        </is>
      </c>
      <c r="G12753" s="0" t="s">
        <v>210</v>
      </c>
      <c r="H12753" s="5">
        <v>247.098200</v>
      </c>
    </row>
    <row r="12754" spans="1:9">
      <c r="A12754" s="22" t="str">
        <f>HYPERLINK("https://app.vivvix.com/360/KMI/IntelliDrive/ApplUI/Pages/CreativePages/CustomReportCreativeDetail.aspx?App=23&amp;ReportView=4&amp;Qid=1711279&amp;Row=12746&amp;Col=1","No Title Assigned - #15273424955")</f>
        <v/>
      </c>
      <c r="B12754" s="0" t="s">
        <v>17145</v>
      </c>
      <c r="C12754" s="0" t="s">
        <v>17146</v>
      </c>
      <c r="D12754" s="0" t="s">
        <v>8859</v>
      </c>
      <c r="E12754" s="0" t="inlineStr">
        <is>
          <t xml:space="preserve">Mazda</t>
        </is>
      </c>
      <c r="F12754" s="0" t="s">
        <v>28</v>
      </c>
      <c r="G12754" s="0" t="s">
        <v>29</v>
      </c>
      <c r="H12754" s="5">
        <v>9.144500</v>
      </c>
    </row>
    <row r="12755" spans="1:9">
      <c r="A12755" s="22" t="str">
        <f>HYPERLINK("https://app.vivvix.com/360/KMI/IntelliDrive/ApplUI/Pages/CreativePages/CustomReportCreativeDetail.aspx?App=23&amp;ReportView=4&amp;Qid=1711279&amp;Row=12747&amp;Col=1","No Title Assigned - #15273425440")</f>
        <v/>
      </c>
      <c r="B12755" s="0" t="s">
        <v>17147</v>
      </c>
      <c r="C12755" s="0" t="s">
        <v>17148</v>
      </c>
      <c r="D12755" s="0" t="s">
        <v>17148</v>
      </c>
      <c r="E12755" s="0" t="inlineStr">
        <is>
          <t xml:space="preserve">Mazda</t>
        </is>
      </c>
      <c r="F12755" s="0" t="s">
        <v>28</v>
      </c>
      <c r="G12755" s="0" t="s">
        <v>29</v>
      </c>
      <c r="H12755" s="5">
        <v>2.514400</v>
      </c>
    </row>
    <row r="12756" spans="1:9">
      <c r="A12756" s="22" t="str">
        <f>HYPERLINK("https://app.vivvix.com/360/KMI/IntelliDrive/ApplUI/Pages/CreativePages/CustomReportCreativeDetail.aspx?App=23&amp;ReportView=4&amp;Qid=1711279&amp;Row=12748&amp;Col=1","No Title Assigned - #15273425921")</f>
        <v/>
      </c>
      <c r="B12756" s="0" t="s">
        <v>17149</v>
      </c>
      <c r="C12756" s="0" t="s">
        <v>17150</v>
      </c>
      <c r="D12756" s="0" t="s">
        <v>17150</v>
      </c>
      <c r="E12756" s="0" t="inlineStr">
        <is>
          <t xml:space="preserve">Mazda</t>
        </is>
      </c>
      <c r="F12756" s="0" t="s">
        <v>13</v>
      </c>
      <c r="G12756" s="0" t="s">
        <v>49</v>
      </c>
      <c r="H12756" s="5">
        <v>46.622200</v>
      </c>
    </row>
    <row r="12757" spans="1:9">
      <c r="A12757" s="22" t="str">
        <f>HYPERLINK("https://app.vivvix.com/360/KMI/IntelliDrive/ApplUI/Pages/CreativePages/CustomReportCreativeDetail.aspx?App=23&amp;ReportView=4&amp;Qid=1711279&amp;Row=12749&amp;Col=1","No Title Assigned - #15273426250")</f>
        <v/>
      </c>
      <c r="B12757" s="0" t="s">
        <v>17151</v>
      </c>
      <c r="C12757" s="0" t="s">
        <v>17152</v>
      </c>
      <c r="D12757" s="0" t="s">
        <v>17152</v>
      </c>
      <c r="E12757" s="0" t="inlineStr">
        <is>
          <t xml:space="preserve">Mazda</t>
        </is>
      </c>
      <c r="F12757" s="0" t="s">
        <v>13</v>
      </c>
      <c r="G12757" s="0" t="s">
        <v>49</v>
      </c>
      <c r="H12757" s="5">
        <v>20.021500</v>
      </c>
    </row>
    <row r="12758" spans="1:9">
      <c r="A12758" s="22" t="str">
        <f>HYPERLINK("https://app.vivvix.com/360/KMI/IntelliDrive/ApplUI/Pages/CreativePages/CustomReportCreativeDetail.aspx?App=23&amp;ReportView=4&amp;Qid=1711279&amp;Row=12750&amp;Col=1","No Title Assigned - #15273427548")</f>
        <v/>
      </c>
      <c r="B12758" s="0" t="s">
        <v>17153</v>
      </c>
      <c r="C12758" s="0" t="s">
        <v>17154</v>
      </c>
      <c r="D12758" s="0" t="s">
        <v>17154</v>
      </c>
      <c r="E12758" s="0" t="inlineStr">
        <is>
          <t xml:space="preserve">Mazda</t>
        </is>
      </c>
      <c r="F12758" s="0" t="s">
        <v>13</v>
      </c>
      <c r="G12758" s="0" t="s">
        <v>49</v>
      </c>
      <c r="H12758" s="5">
        <v>1760.023300</v>
      </c>
    </row>
    <row r="12759" spans="1:9">
      <c r="A12759" s="22" t="str">
        <f>HYPERLINK("https://app.vivvix.com/360/KMI/IntelliDrive/ApplUI/Pages/CreativePages/CustomReportCreativeDetail.aspx?App=23&amp;ReportView=4&amp;Qid=1711279&amp;Row=12751&amp;Col=1","No Title Assigned - #15273427548")</f>
        <v/>
      </c>
      <c r="B12759" s="0" t="s">
        <v>17153</v>
      </c>
      <c r="C12759" s="0" t="s">
        <v>17155</v>
      </c>
      <c r="D12759" s="0" t="s">
        <v>17155</v>
      </c>
      <c r="E12759" s="0" t="inlineStr">
        <is>
          <t xml:space="preserve">Mazda</t>
        </is>
      </c>
      <c r="F12759" s="0" t="s">
        <v>13</v>
      </c>
      <c r="G12759" s="0" t="s">
        <v>49</v>
      </c>
      <c r="H12759" s="5">
        <v>495.762100</v>
      </c>
    </row>
    <row r="12760" spans="1:9">
      <c r="A12760" s="22" t="str">
        <f>HYPERLINK("https://app.vivvix.com/360/KMI/IntelliDrive/ApplUI/Pages/CreativePages/CustomReportCreativeDetail.aspx?App=23&amp;ReportView=4&amp;Qid=1711279&amp;Row=12752&amp;Col=1","No Title Assigned - #15273430392")</f>
        <v/>
      </c>
      <c r="B12760" s="0" t="s">
        <v>17156</v>
      </c>
      <c r="C12760" s="0" t="s">
        <v>17157</v>
      </c>
      <c r="D12760" s="0" t="s">
        <v>17157</v>
      </c>
      <c r="E12760" s="0" t="inlineStr">
        <is>
          <t xml:space="preserve">Mazda</t>
        </is>
      </c>
      <c r="F12760" s="0" t="inlineStr">
        <is>
          <t xml:space="preserve">Mazda</t>
        </is>
      </c>
      <c r="G12760" s="0" t="s">
        <v>210</v>
      </c>
      <c r="H12760" s="5">
        <v>333.962000</v>
      </c>
    </row>
    <row r="12761" spans="1:9">
      <c r="A12761" s="22" t="str">
        <f>HYPERLINK("https://app.vivvix.com/360/KMI/IntelliDrive/ApplUI/Pages/CreativePages/CustomReportCreativeDetail.aspx?App=23&amp;ReportView=4&amp;Qid=1711279&amp;Row=12753&amp;Col=1","No Title Assigned - #15273431450")</f>
        <v/>
      </c>
      <c r="B12761" s="0" t="s">
        <v>17158</v>
      </c>
      <c r="E12761" s="0" t="inlineStr">
        <is>
          <t xml:space="preserve">Mazda</t>
        </is>
      </c>
      <c r="F12761" s="0" t="inlineStr">
        <is>
          <t xml:space="preserve">Mazda</t>
        </is>
      </c>
      <c r="G12761" s="0" t="s">
        <v>171</v>
      </c>
      <c r="H12761" s="5">
        <v>12.177700</v>
      </c>
    </row>
    <row r="12762" spans="1:9">
      <c r="A12762" s="22" t="str">
        <f>HYPERLINK("https://app.vivvix.com/360/KMI/IntelliDrive/ApplUI/Pages/CreativePages/CustomReportCreativeDetail.aspx?App=23&amp;ReportView=4&amp;Qid=1711279&amp;Row=12754&amp;Col=1","No Title Assigned - #15273433020")</f>
        <v/>
      </c>
      <c r="B12762" s="0" t="s">
        <v>17159</v>
      </c>
      <c r="E12762" s="0" t="inlineStr">
        <is>
          <t xml:space="preserve">Mazda</t>
        </is>
      </c>
      <c r="F12762" s="0" t="inlineStr">
        <is>
          <t xml:space="preserve">Mazda</t>
        </is>
      </c>
      <c r="G12762" s="0" t="s">
        <v>171</v>
      </c>
      <c r="H12762" s="5">
        <v>83.273200</v>
      </c>
    </row>
    <row r="12763" spans="1:9">
      <c r="A12763" s="22" t="str">
        <f>HYPERLINK("https://app.vivvix.com/360/KMI/IntelliDrive/ApplUI/Pages/CreativePages/CustomReportCreativeDetail.aspx?App=23&amp;ReportView=4&amp;Qid=1711279&amp;Row=12755&amp;Col=1","No Title Assigned - #15273433979")</f>
        <v/>
      </c>
      <c r="B12763" s="0" t="s">
        <v>17160</v>
      </c>
      <c r="E12763" s="0" t="inlineStr">
        <is>
          <t xml:space="preserve">Mazda</t>
        </is>
      </c>
      <c r="F12763" s="0" t="inlineStr">
        <is>
          <t xml:space="preserve">Mazda</t>
        </is>
      </c>
      <c r="G12763" s="0" t="s">
        <v>171</v>
      </c>
      <c r="H12763" s="5">
        <v>280.064200</v>
      </c>
    </row>
    <row r="12764" spans="1:9">
      <c r="A12764" s="22" t="str">
        <f>HYPERLINK("https://app.vivvix.com/360/KMI/IntelliDrive/ApplUI/Pages/CreativePages/CustomReportCreativeDetail.aspx?App=23&amp;ReportView=4&amp;Qid=1711279&amp;Row=12756&amp;Col=1","No Title Assigned - #15273433979")</f>
        <v/>
      </c>
      <c r="B12764" s="0" t="s">
        <v>17160</v>
      </c>
      <c r="E12764" s="0" t="inlineStr">
        <is>
          <t xml:space="preserve">Mazda</t>
        </is>
      </c>
      <c r="F12764" s="0" t="inlineStr">
        <is>
          <t xml:space="preserve">Mazda</t>
        </is>
      </c>
      <c r="G12764" s="0" t="s">
        <v>171</v>
      </c>
      <c r="H12764" s="5">
        <v>80.520000</v>
      </c>
    </row>
    <row r="12765" spans="1:9">
      <c r="A12765" s="22" t="str">
        <f>HYPERLINK("https://app.vivvix.com/360/KMI/IntelliDrive/ApplUI/Pages/CreativePages/CustomReportCreativeDetail.aspx?App=23&amp;ReportView=4&amp;Qid=1711279&amp;Row=12757&amp;Col=1","No Title Assigned - #15273434791")</f>
        <v/>
      </c>
      <c r="B12765" s="0" t="s">
        <v>17161</v>
      </c>
      <c r="E12765" s="0" t="inlineStr">
        <is>
          <t xml:space="preserve">Mazda</t>
        </is>
      </c>
      <c r="F12765" s="0" t="inlineStr">
        <is>
          <t xml:space="preserve">Mazda</t>
        </is>
      </c>
      <c r="G12765" s="0" t="s">
        <v>171</v>
      </c>
      <c r="H12765" s="5">
        <v>52.313800</v>
      </c>
    </row>
    <row r="12766" spans="1:9">
      <c r="A12766" s="22" t="str">
        <f>HYPERLINK("https://app.vivvix.com/360/KMI/IntelliDrive/ApplUI/Pages/CreativePages/CustomReportCreativeDetail.aspx?App=23&amp;ReportView=4&amp;Qid=1711279&amp;Row=12758&amp;Col=1","No Title Assigned - #15273434903")</f>
        <v/>
      </c>
      <c r="B12766" s="0" t="s">
        <v>17162</v>
      </c>
      <c r="E12766" s="0" t="inlineStr">
        <is>
          <t xml:space="preserve">Mazda</t>
        </is>
      </c>
      <c r="F12766" s="0" t="inlineStr">
        <is>
          <t xml:space="preserve">Mazda</t>
        </is>
      </c>
      <c r="G12766" s="0" t="s">
        <v>171</v>
      </c>
      <c r="H12766" s="5">
        <v>116.999200</v>
      </c>
    </row>
    <row r="12767" spans="1:9">
      <c r="A12767" s="22" t="str">
        <f>HYPERLINK("https://app.vivvix.com/360/KMI/IntelliDrive/ApplUI/Pages/CreativePages/CustomReportCreativeDetail.aspx?App=23&amp;ReportView=4&amp;Qid=1711279&amp;Row=12759&amp;Col=1","No Title Assigned - #15273435797")</f>
        <v/>
      </c>
      <c r="B12767" s="0" t="s">
        <v>17163</v>
      </c>
      <c r="E12767" s="0" t="inlineStr">
        <is>
          <t xml:space="preserve">Mazda</t>
        </is>
      </c>
      <c r="F12767" s="0" t="inlineStr">
        <is>
          <t xml:space="preserve">Mazda</t>
        </is>
      </c>
      <c r="G12767" s="0" t="s">
        <v>171</v>
      </c>
      <c r="H12767" s="5">
        <v>380.846400</v>
      </c>
    </row>
    <row r="12768" spans="1:9">
      <c r="A12768" s="22" t="str">
        <f>HYPERLINK("https://app.vivvix.com/360/KMI/IntelliDrive/ApplUI/Pages/CreativePages/CustomReportCreativeDetail.aspx?App=23&amp;ReportView=4&amp;Qid=1711279&amp;Row=12760&amp;Col=1","No Title Assigned - #15273436068")</f>
        <v/>
      </c>
      <c r="B12768" s="0" t="s">
        <v>17164</v>
      </c>
      <c r="E12768" s="0" t="inlineStr">
        <is>
          <t xml:space="preserve">Mazda</t>
        </is>
      </c>
      <c r="F12768" s="0" t="inlineStr">
        <is>
          <t xml:space="preserve">Mazda</t>
        </is>
      </c>
      <c r="G12768" s="0" t="s">
        <v>171</v>
      </c>
      <c r="H12768" s="5">
        <v>1994.178100</v>
      </c>
    </row>
    <row r="12769" spans="1:9">
      <c r="A12769" s="22" t="str">
        <f>HYPERLINK("https://app.vivvix.com/360/KMI/IntelliDrive/ApplUI/Pages/CreativePages/CustomReportCreativeDetail.aspx?App=23&amp;ReportView=4&amp;Qid=1711279&amp;Row=12761&amp;Col=1","No Title Assigned - #15273436068")</f>
        <v/>
      </c>
      <c r="B12769" s="0" t="s">
        <v>17164</v>
      </c>
      <c r="E12769" s="0" t="inlineStr">
        <is>
          <t xml:space="preserve">Mazda</t>
        </is>
      </c>
      <c r="F12769" s="0" t="inlineStr">
        <is>
          <t xml:space="preserve">Mazda</t>
        </is>
      </c>
      <c r="G12769" s="0" t="s">
        <v>171</v>
      </c>
      <c r="H12769" s="5">
        <v>740.367000</v>
      </c>
    </row>
    <row r="12770" spans="1:9">
      <c r="A12770" s="22" t="str">
        <f>HYPERLINK("https://app.vivvix.com/360/KMI/IntelliDrive/ApplUI/Pages/CreativePages/CustomReportCreativeDetail.aspx?App=23&amp;ReportView=4&amp;Qid=1711279&amp;Row=12762&amp;Col=1","No Title Assigned - #15273436242")</f>
        <v/>
      </c>
      <c r="B12770" s="0" t="s">
        <v>17165</v>
      </c>
      <c r="E12770" s="0" t="inlineStr">
        <is>
          <t xml:space="preserve">Mazda</t>
        </is>
      </c>
      <c r="F12770" s="0" t="inlineStr">
        <is>
          <t xml:space="preserve">Mazda</t>
        </is>
      </c>
      <c r="G12770" s="0" t="s">
        <v>171</v>
      </c>
      <c r="H12770" s="5">
        <v>25370.978500</v>
      </c>
    </row>
    <row r="12771" spans="1:9">
      <c r="A12771" s="22" t="str">
        <f>HYPERLINK("https://app.vivvix.com/360/KMI/IntelliDrive/ApplUI/Pages/CreativePages/CustomReportCreativeDetail.aspx?App=23&amp;ReportView=4&amp;Qid=1711279&amp;Row=12763&amp;Col=1","No Title Assigned - #15273436447")</f>
        <v/>
      </c>
      <c r="B12771" s="0" t="s">
        <v>17166</v>
      </c>
      <c r="C12771" s="0" t="s">
        <v>17167</v>
      </c>
      <c r="D12771" s="0" t="s">
        <v>4774</v>
      </c>
      <c r="E12771" s="0" t="inlineStr">
        <is>
          <t xml:space="preserve">Mazda</t>
        </is>
      </c>
      <c r="F12771" s="0" t="s">
        <v>13</v>
      </c>
      <c r="G12771" s="0" t="s">
        <v>49</v>
      </c>
      <c r="H12771" s="5">
        <v>8.391100</v>
      </c>
    </row>
    <row r="12772" spans="1:9">
      <c r="A12772" s="22" t="str">
        <f>HYPERLINK("https://app.vivvix.com/360/KMI/IntelliDrive/ApplUI/Pages/CreativePages/CustomReportCreativeDetail.aspx?App=23&amp;ReportView=4&amp;Qid=1711279&amp;Row=12764&amp;Col=1","No Title Assigned - #15273436631")</f>
        <v/>
      </c>
      <c r="B12772" s="0" t="s">
        <v>17168</v>
      </c>
      <c r="E12772" s="0" t="inlineStr">
        <is>
          <t xml:space="preserve">Mazda</t>
        </is>
      </c>
      <c r="F12772" s="0" t="inlineStr">
        <is>
          <t xml:space="preserve">Mazda</t>
        </is>
      </c>
      <c r="G12772" s="0" t="s">
        <v>171</v>
      </c>
      <c r="H12772" s="5">
        <v>8.471300</v>
      </c>
    </row>
    <row r="12773" spans="1:9">
      <c r="A12773" s="22" t="str">
        <f>HYPERLINK("https://app.vivvix.com/360/KMI/IntelliDrive/ApplUI/Pages/CreativePages/CustomReportCreativeDetail.aspx?App=23&amp;ReportView=4&amp;Qid=1711279&amp;Row=12765&amp;Col=1","No Title Assigned - #15273436667")</f>
        <v/>
      </c>
      <c r="B12773" s="0" t="s">
        <v>17169</v>
      </c>
      <c r="E12773" s="0" t="inlineStr">
        <is>
          <t xml:space="preserve">Mazda</t>
        </is>
      </c>
      <c r="F12773" s="0" t="inlineStr">
        <is>
          <t xml:space="preserve">Mazda</t>
        </is>
      </c>
      <c r="G12773" s="0" t="s">
        <v>171</v>
      </c>
      <c r="H12773" s="5">
        <v>8.757900</v>
      </c>
    </row>
    <row r="12774" spans="1:9">
      <c r="A12774" s="22" t="str">
        <f>HYPERLINK("https://app.vivvix.com/360/KMI/IntelliDrive/ApplUI/Pages/CreativePages/CustomReportCreativeDetail.aspx?App=23&amp;ReportView=4&amp;Qid=1711279&amp;Row=12766&amp;Col=1","No Title Assigned - #15273436852")</f>
        <v/>
      </c>
      <c r="B12774" s="0" t="s">
        <v>17170</v>
      </c>
      <c r="C12774" s="0" t="s">
        <v>17171</v>
      </c>
      <c r="D12774" s="0" t="s">
        <v>8588</v>
      </c>
      <c r="E12774" s="0" t="inlineStr">
        <is>
          <t xml:space="preserve">Mazda</t>
        </is>
      </c>
      <c r="F12774" s="0" t="s">
        <v>13</v>
      </c>
      <c r="G12774" s="0" t="s">
        <v>49</v>
      </c>
      <c r="H12774" s="5">
        <v>8.391100</v>
      </c>
    </row>
    <row r="12775" spans="1:9">
      <c r="A12775" s="22" t="str">
        <f>HYPERLINK("https://app.vivvix.com/360/KMI/IntelliDrive/ApplUI/Pages/CreativePages/CustomReportCreativeDetail.aspx?App=23&amp;ReportView=4&amp;Qid=1711279&amp;Row=12767&amp;Col=1","No Title Assigned - #15273437601")</f>
        <v/>
      </c>
      <c r="B12775" s="0" t="s">
        <v>17172</v>
      </c>
      <c r="E12775" s="0" t="inlineStr">
        <is>
          <t xml:space="preserve">Mazda</t>
        </is>
      </c>
      <c r="F12775" s="0" t="inlineStr">
        <is>
          <t xml:space="preserve">Mazda</t>
        </is>
      </c>
      <c r="G12775" s="0" t="s">
        <v>171</v>
      </c>
      <c r="H12775" s="5">
        <v>16541.355500</v>
      </c>
    </row>
    <row r="12776" spans="1:9">
      <c r="A12776" s="22" t="str">
        <f>HYPERLINK("https://app.vivvix.com/360/KMI/IntelliDrive/ApplUI/Pages/CreativePages/CustomReportCreativeDetail.aspx?App=23&amp;ReportView=4&amp;Qid=1711279&amp;Row=12768&amp;Col=1","No Title Assigned - #15273437839")</f>
        <v/>
      </c>
      <c r="B12776" s="0" t="s">
        <v>17173</v>
      </c>
      <c r="E12776" s="0" t="inlineStr">
        <is>
          <t xml:space="preserve">Mazda</t>
        </is>
      </c>
      <c r="F12776" s="0" t="inlineStr">
        <is>
          <t xml:space="preserve">Mazda</t>
        </is>
      </c>
      <c r="G12776" s="0" t="s">
        <v>171</v>
      </c>
      <c r="H12776" s="5">
        <v>24894.177700</v>
      </c>
    </row>
    <row r="12777" spans="1:9">
      <c r="A12777" s="22" t="str">
        <f>HYPERLINK("https://app.vivvix.com/360/KMI/IntelliDrive/ApplUI/Pages/CreativePages/CustomReportCreativeDetail.aspx?App=23&amp;ReportView=4&amp;Qid=1711279&amp;Row=12769&amp;Col=1","No Title Assigned - #15273438037")</f>
        <v/>
      </c>
      <c r="B12777" s="0" t="s">
        <v>17174</v>
      </c>
      <c r="E12777" s="0" t="inlineStr">
        <is>
          <t xml:space="preserve">Mazda</t>
        </is>
      </c>
      <c r="F12777" s="0" t="inlineStr">
        <is>
          <t xml:space="preserve">Mazda</t>
        </is>
      </c>
      <c r="G12777" s="0" t="s">
        <v>171</v>
      </c>
      <c r="H12777" s="5">
        <v>8.879600</v>
      </c>
    </row>
    <row r="12778" spans="1:9">
      <c r="A12778" s="22" t="str">
        <f>HYPERLINK("https://app.vivvix.com/360/KMI/IntelliDrive/ApplUI/Pages/CreativePages/CustomReportCreativeDetail.aspx?App=23&amp;ReportView=4&amp;Qid=1711279&amp;Row=12770&amp;Col=1","No Title Assigned - #15273438331")</f>
        <v/>
      </c>
      <c r="B12778" s="0" t="s">
        <v>17175</v>
      </c>
      <c r="E12778" s="0" t="inlineStr">
        <is>
          <t xml:space="preserve">Mazda</t>
        </is>
      </c>
      <c r="F12778" s="0" t="inlineStr">
        <is>
          <t xml:space="preserve">Mazda</t>
        </is>
      </c>
      <c r="G12778" s="0" t="s">
        <v>171</v>
      </c>
      <c r="H12778" s="5">
        <v>520.975400</v>
      </c>
    </row>
    <row r="12779" spans="1:9">
      <c r="A12779" s="22" t="str">
        <f>HYPERLINK("https://app.vivvix.com/360/KMI/IntelliDrive/ApplUI/Pages/CreativePages/CustomReportCreativeDetail.aspx?App=23&amp;ReportView=4&amp;Qid=1711279&amp;Row=12771&amp;Col=1","No Title Assigned - #15273439222")</f>
        <v/>
      </c>
      <c r="B12779" s="0" t="s">
        <v>17176</v>
      </c>
      <c r="E12779" s="0" t="inlineStr">
        <is>
          <t xml:space="preserve">Mazda</t>
        </is>
      </c>
      <c r="F12779" s="0" t="inlineStr">
        <is>
          <t xml:space="preserve">Mazda</t>
        </is>
      </c>
      <c r="G12779" s="0" t="s">
        <v>171</v>
      </c>
      <c r="H12779" s="5">
        <v>7.722800</v>
      </c>
    </row>
    <row r="12780" spans="1:9">
      <c r="A12780" s="22" t="str">
        <f>HYPERLINK("https://app.vivvix.com/360/KMI/IntelliDrive/ApplUI/Pages/CreativePages/CustomReportCreativeDetail.aspx?App=23&amp;ReportView=4&amp;Qid=1711279&amp;Row=12772&amp;Col=1","No Title Assigned - #15273439510")</f>
        <v/>
      </c>
      <c r="B12780" s="0" t="s">
        <v>17177</v>
      </c>
      <c r="E12780" s="0" t="inlineStr">
        <is>
          <t xml:space="preserve">Mazda</t>
        </is>
      </c>
      <c r="F12780" s="0" t="inlineStr">
        <is>
          <t xml:space="preserve">Mazda</t>
        </is>
      </c>
      <c r="G12780" s="0" t="s">
        <v>171</v>
      </c>
      <c r="H12780" s="5">
        <v>4264.606900</v>
      </c>
    </row>
    <row r="12781" spans="1:9">
      <c r="A12781" s="22" t="str">
        <f>HYPERLINK("https://app.vivvix.com/360/KMI/IntelliDrive/ApplUI/Pages/CreativePages/CustomReportCreativeDetail.aspx?App=23&amp;ReportView=4&amp;Qid=1711279&amp;Row=12773&amp;Col=1","No Title Assigned - #15273439510")</f>
        <v/>
      </c>
      <c r="B12781" s="0" t="s">
        <v>17177</v>
      </c>
      <c r="C12781" s="0" t="s">
        <v>17178</v>
      </c>
      <c r="D12781" s="0" t="s">
        <v>17178</v>
      </c>
      <c r="E12781" s="0" t="inlineStr">
        <is>
          <t xml:space="preserve">Mazda</t>
        </is>
      </c>
      <c r="F12781" s="0" t="inlineStr">
        <is>
          <t xml:space="preserve">Mazda</t>
        </is>
      </c>
      <c r="G12781" s="0" t="s">
        <v>171</v>
      </c>
      <c r="H12781" s="5">
        <v>203.110600</v>
      </c>
    </row>
    <row r="12782" spans="1:9">
      <c r="A12782" s="22" t="str">
        <f>HYPERLINK("https://app.vivvix.com/360/KMI/IntelliDrive/ApplUI/Pages/CreativePages/CustomReportCreativeDetail.aspx?App=23&amp;ReportView=4&amp;Qid=1711279&amp;Row=12774&amp;Col=1","No Title Assigned - #15273439672")</f>
        <v/>
      </c>
      <c r="B12782" s="0" t="s">
        <v>17179</v>
      </c>
      <c r="C12782" s="0" t="s">
        <v>17180</v>
      </c>
      <c r="D12782" s="0" t="s">
        <v>13431</v>
      </c>
      <c r="E12782" s="0" t="inlineStr">
        <is>
          <t xml:space="preserve">Mazda</t>
        </is>
      </c>
      <c r="F12782" s="0" t="s">
        <v>28</v>
      </c>
      <c r="G12782" s="0" t="s">
        <v>29</v>
      </c>
      <c r="H12782" s="5">
        <v>4.062500</v>
      </c>
    </row>
    <row r="12783" spans="1:9">
      <c r="A12783" s="22" t="str">
        <f>HYPERLINK("https://app.vivvix.com/360/KMI/IntelliDrive/ApplUI/Pages/CreativePages/CustomReportCreativeDetail.aspx?App=23&amp;ReportView=4&amp;Qid=1711279&amp;Row=12775&amp;Col=1","No Title Assigned - #15273439720")</f>
        <v/>
      </c>
      <c r="B12783" s="0" t="s">
        <v>17181</v>
      </c>
      <c r="C12783" s="0" t="s">
        <v>17182</v>
      </c>
      <c r="D12783" s="0" t="s">
        <v>17182</v>
      </c>
      <c r="E12783" s="0" t="inlineStr">
        <is>
          <t xml:space="preserve">Mazda</t>
        </is>
      </c>
      <c r="F12783" s="0" t="inlineStr">
        <is>
          <t xml:space="preserve">Mazda</t>
        </is>
      </c>
      <c r="G12783" s="0" t="s">
        <v>171</v>
      </c>
      <c r="H12783" s="5">
        <v>1959.029500</v>
      </c>
    </row>
    <row r="12784" spans="1:9">
      <c r="A12784" s="22" t="str">
        <f>HYPERLINK("https://app.vivvix.com/360/KMI/IntelliDrive/ApplUI/Pages/CreativePages/CustomReportCreativeDetail.aspx?App=23&amp;ReportView=4&amp;Qid=1711279&amp;Row=12776&amp;Col=1","No Title Assigned - #15273440224")</f>
        <v/>
      </c>
      <c r="B12784" s="0" t="s">
        <v>17183</v>
      </c>
      <c r="E12784" s="0" t="inlineStr">
        <is>
          <t xml:space="preserve">Mazda</t>
        </is>
      </c>
      <c r="F12784" s="0" t="inlineStr">
        <is>
          <t xml:space="preserve">Mazda</t>
        </is>
      </c>
      <c r="G12784" s="0" t="s">
        <v>171</v>
      </c>
      <c r="H12784" s="5">
        <v>565.122400</v>
      </c>
    </row>
    <row r="12785" spans="1:9">
      <c r="A12785" s="22" t="str">
        <f>HYPERLINK("https://app.vivvix.com/360/KMI/IntelliDrive/ApplUI/Pages/CreativePages/CustomReportCreativeDetail.aspx?App=23&amp;ReportView=4&amp;Qid=1711279&amp;Row=12777&amp;Col=1","No Title Assigned - #15273440657")</f>
        <v/>
      </c>
      <c r="B12785" s="0" t="s">
        <v>17184</v>
      </c>
      <c r="E12785" s="0" t="inlineStr">
        <is>
          <t xml:space="preserve">Mazda</t>
        </is>
      </c>
      <c r="F12785" s="0" t="inlineStr">
        <is>
          <t xml:space="preserve">Mazda</t>
        </is>
      </c>
      <c r="G12785" s="0" t="s">
        <v>171</v>
      </c>
      <c r="H12785" s="5">
        <v>9659.092800</v>
      </c>
    </row>
    <row r="12786" spans="1:9">
      <c r="A12786" s="22" t="str">
        <f>HYPERLINK("https://app.vivvix.com/360/KMI/IntelliDrive/ApplUI/Pages/CreativePages/CustomReportCreativeDetail.aspx?App=23&amp;ReportView=4&amp;Qid=1711279&amp;Row=12778&amp;Col=1","No Title Assigned - #15273440657")</f>
        <v/>
      </c>
      <c r="B12786" s="0" t="s">
        <v>17184</v>
      </c>
      <c r="E12786" s="0" t="inlineStr">
        <is>
          <t xml:space="preserve">Mazda</t>
        </is>
      </c>
      <c r="F12786" s="0" t="inlineStr">
        <is>
          <t xml:space="preserve">Mazda</t>
        </is>
      </c>
      <c r="G12786" s="0" t="s">
        <v>171</v>
      </c>
      <c r="H12786" s="5">
        <v>225.842900</v>
      </c>
    </row>
    <row r="12787" spans="1:9">
      <c r="A12787" s="22" t="str">
        <f>HYPERLINK("https://app.vivvix.com/360/KMI/IntelliDrive/ApplUI/Pages/CreativePages/CustomReportCreativeDetail.aspx?App=23&amp;ReportView=4&amp;Qid=1711279&amp;Row=12779&amp;Col=1","No Title Assigned - #15273441357")</f>
        <v/>
      </c>
      <c r="B12787" s="0" t="s">
        <v>17185</v>
      </c>
      <c r="E12787" s="0" t="inlineStr">
        <is>
          <t xml:space="preserve">Mazda</t>
        </is>
      </c>
      <c r="F12787" s="0" t="inlineStr">
        <is>
          <t xml:space="preserve">Mazda</t>
        </is>
      </c>
      <c r="G12787" s="0" t="s">
        <v>171</v>
      </c>
      <c r="H12787" s="5">
        <v>1.787400</v>
      </c>
    </row>
    <row r="12788" spans="1:9">
      <c r="A12788" s="22" t="str">
        <f>HYPERLINK("https://app.vivvix.com/360/KMI/IntelliDrive/ApplUI/Pages/CreativePages/CustomReportCreativeDetail.aspx?App=23&amp;ReportView=4&amp;Qid=1711279&amp;Row=12780&amp;Col=1","No Title Assigned - #15273441357")</f>
        <v/>
      </c>
      <c r="B12788" s="0" t="s">
        <v>17185</v>
      </c>
      <c r="E12788" s="0" t="inlineStr">
        <is>
          <t xml:space="preserve">Mazda</t>
        </is>
      </c>
      <c r="F12788" s="0" t="inlineStr">
        <is>
          <t xml:space="preserve">Mazda</t>
        </is>
      </c>
      <c r="G12788" s="0" t="s">
        <v>171</v>
      </c>
      <c r="H12788" s="5">
        <v>406.242800</v>
      </c>
    </row>
    <row r="12789" spans="1:9">
      <c r="A12789" s="22" t="str">
        <f>HYPERLINK("https://app.vivvix.com/360/KMI/IntelliDrive/ApplUI/Pages/CreativePages/CustomReportCreativeDetail.aspx?App=23&amp;ReportView=4&amp;Qid=1711279&amp;Row=12781&amp;Col=1","No Title Assigned - #15273441634")</f>
        <v/>
      </c>
      <c r="B12789" s="0" t="s">
        <v>17186</v>
      </c>
      <c r="E12789" s="0" t="inlineStr">
        <is>
          <t xml:space="preserve">Mazda</t>
        </is>
      </c>
      <c r="F12789" s="0" t="inlineStr">
        <is>
          <t xml:space="preserve">Mazda</t>
        </is>
      </c>
      <c r="G12789" s="0" t="s">
        <v>171</v>
      </c>
      <c r="H12789" s="5">
        <v>1036.027000</v>
      </c>
    </row>
    <row r="12790" spans="1:9">
      <c r="A12790" s="22" t="str">
        <f>HYPERLINK("https://app.vivvix.com/360/KMI/IntelliDrive/ApplUI/Pages/CreativePages/CustomReportCreativeDetail.aspx?App=23&amp;ReportView=4&amp;Qid=1711279&amp;Row=12782&amp;Col=1","No Title Assigned - #15273441806")</f>
        <v/>
      </c>
      <c r="B12790" s="0" t="s">
        <v>17187</v>
      </c>
      <c r="E12790" s="0" t="inlineStr">
        <is>
          <t xml:space="preserve">Mazda</t>
        </is>
      </c>
      <c r="F12790" s="0" t="inlineStr">
        <is>
          <t xml:space="preserve">Mazda</t>
        </is>
      </c>
      <c r="G12790" s="0" t="s">
        <v>171</v>
      </c>
      <c r="H12790" s="5">
        <v>43.272200</v>
      </c>
    </row>
    <row r="12791" spans="1:9">
      <c r="A12791" s="22" t="str">
        <f>HYPERLINK("https://app.vivvix.com/360/KMI/IntelliDrive/ApplUI/Pages/CreativePages/CustomReportCreativeDetail.aspx?App=23&amp;ReportView=4&amp;Qid=1711279&amp;Row=12783&amp;Col=1","No Title Assigned - #15273445151")</f>
        <v/>
      </c>
      <c r="B12791" s="0" t="s">
        <v>17188</v>
      </c>
      <c r="E12791" s="0" t="inlineStr">
        <is>
          <t xml:space="preserve">Mazda</t>
        </is>
      </c>
      <c r="F12791" s="0" t="inlineStr">
        <is>
          <t xml:space="preserve">Mazda</t>
        </is>
      </c>
      <c r="G12791" s="0" t="s">
        <v>171</v>
      </c>
      <c r="H12791" s="5">
        <v>7.389800</v>
      </c>
    </row>
    <row r="12792" spans="1:9">
      <c r="A12792" s="22" t="str">
        <f>HYPERLINK("https://app.vivvix.com/360/KMI/IntelliDrive/ApplUI/Pages/CreativePages/CustomReportCreativeDetail.aspx?App=23&amp;ReportView=4&amp;Qid=1711279&amp;Row=12784&amp;Col=1","No Title Assigned - #15273462644")</f>
        <v/>
      </c>
      <c r="B12792" s="0" t="s">
        <v>17189</v>
      </c>
      <c r="E12792" s="0" t="inlineStr">
        <is>
          <t xml:space="preserve">Mazda</t>
        </is>
      </c>
      <c r="F12792" s="0" t="inlineStr">
        <is>
          <t xml:space="preserve">Mazda</t>
        </is>
      </c>
      <c r="G12792" s="0" t="s">
        <v>171</v>
      </c>
      <c r="H12792" s="5">
        <v>7.024000</v>
      </c>
    </row>
    <row r="12793" spans="1:9">
      <c r="A12793" s="22" t="str">
        <f>HYPERLINK("https://app.vivvix.com/360/KMI/IntelliDrive/ApplUI/Pages/CreativePages/CustomReportCreativeDetail.aspx?App=23&amp;ReportView=4&amp;Qid=1711279&amp;Row=12785&amp;Col=1","No Title Assigned - #15273474583")</f>
        <v/>
      </c>
      <c r="B12793" s="0" t="s">
        <v>17190</v>
      </c>
      <c r="E12793" s="0" t="inlineStr">
        <is>
          <t xml:space="preserve">Mazda</t>
        </is>
      </c>
      <c r="F12793" s="0" t="s">
        <v>13</v>
      </c>
      <c r="G12793" s="0" t="s">
        <v>49</v>
      </c>
      <c r="H12793" s="5">
        <v>88.996200</v>
      </c>
    </row>
    <row r="12794" spans="1:9">
      <c r="A12794" s="22" t="str">
        <f>HYPERLINK("https://app.vivvix.com/360/KMI/IntelliDrive/ApplUI/Pages/CreativePages/CustomReportCreativeDetail.aspx?App=23&amp;ReportView=4&amp;Qid=1711279&amp;Row=12786&amp;Col=1","No Title Assigned - #15273475046")</f>
        <v/>
      </c>
      <c r="B12794" s="0" t="s">
        <v>17191</v>
      </c>
      <c r="C12794" s="0" t="s">
        <v>17192</v>
      </c>
      <c r="D12794" s="0" t="s">
        <v>17192</v>
      </c>
      <c r="E12794" s="0" t="inlineStr">
        <is>
          <t xml:space="preserve">Mazda</t>
        </is>
      </c>
      <c r="F12794" s="0" t="s">
        <v>21</v>
      </c>
      <c r="G12794" s="0" t="s">
        <v>22</v>
      </c>
      <c r="H12794" s="5">
        <v>64.284000</v>
      </c>
    </row>
    <row r="12795" spans="1:9">
      <c r="A12795" s="22" t="str">
        <f>HYPERLINK("https://app.vivvix.com/360/KMI/IntelliDrive/ApplUI/Pages/CreativePages/CustomReportCreativeDetail.aspx?App=23&amp;ReportView=4&amp;Qid=1711279&amp;Row=12787&amp;Col=1","No Title Assigned - #15273475752")</f>
        <v/>
      </c>
      <c r="B12795" s="0" t="s">
        <v>17193</v>
      </c>
      <c r="C12795" s="0" t="s">
        <v>17194</v>
      </c>
      <c r="D12795" s="0" t="s">
        <v>17194</v>
      </c>
      <c r="E12795" s="0" t="inlineStr">
        <is>
          <t xml:space="preserve">Mazda</t>
        </is>
      </c>
      <c r="F12795" s="0" t="s">
        <v>28</v>
      </c>
      <c r="G12795" s="0" t="s">
        <v>29</v>
      </c>
      <c r="H12795" s="5">
        <v>893.699700</v>
      </c>
    </row>
    <row r="12796" spans="1:9">
      <c r="A12796" s="22" t="str">
        <f>HYPERLINK("https://app.vivvix.com/360/KMI/IntelliDrive/ApplUI/Pages/CreativePages/CustomReportCreativeDetail.aspx?App=23&amp;ReportView=4&amp;Qid=1711279&amp;Row=12788&amp;Col=1","No Title Assigned - #15273476682")</f>
        <v/>
      </c>
      <c r="B12796" s="0" t="s">
        <v>17195</v>
      </c>
      <c r="C12796" s="0" t="s">
        <v>17196</v>
      </c>
      <c r="D12796" s="0" t="s">
        <v>17196</v>
      </c>
      <c r="E12796" s="0" t="inlineStr">
        <is>
          <t xml:space="preserve">Mazda</t>
        </is>
      </c>
      <c r="F12796" s="0" t="s">
        <v>13</v>
      </c>
      <c r="G12796" s="0" t="s">
        <v>49</v>
      </c>
      <c r="H12796" s="5">
        <v>13830.372100</v>
      </c>
    </row>
    <row r="12797" spans="1:9">
      <c r="A12797" s="22" t="str">
        <f>HYPERLINK("https://app.vivvix.com/360/KMI/IntelliDrive/ApplUI/Pages/CreativePages/CustomReportCreativeDetail.aspx?App=23&amp;ReportView=4&amp;Qid=1711279&amp;Row=12789&amp;Col=1","No Title Assigned - #15273479354")</f>
        <v/>
      </c>
      <c r="B12797" s="0" t="s">
        <v>17197</v>
      </c>
      <c r="C12797" s="0" t="s">
        <v>17198</v>
      </c>
      <c r="D12797" s="0" t="s">
        <v>17198</v>
      </c>
      <c r="E12797" s="0" t="inlineStr">
        <is>
          <t xml:space="preserve">Mazda</t>
        </is>
      </c>
      <c r="F12797" s="0" t="s">
        <v>13</v>
      </c>
      <c r="G12797" s="0" t="s">
        <v>49</v>
      </c>
      <c r="H12797" s="5">
        <v>2328.814100</v>
      </c>
    </row>
    <row r="12798" spans="1:9">
      <c r="A12798" s="22" t="str">
        <f>HYPERLINK("https://app.vivvix.com/360/KMI/IntelliDrive/ApplUI/Pages/CreativePages/CustomReportCreativeDetail.aspx?App=23&amp;ReportView=4&amp;Qid=1711279&amp;Row=12790&amp;Col=1","No Title Assigned - #15273479359")</f>
        <v/>
      </c>
      <c r="B12798" s="0" t="s">
        <v>17199</v>
      </c>
      <c r="C12798" s="0" t="s">
        <v>17200</v>
      </c>
      <c r="D12798" s="0" t="s">
        <v>17200</v>
      </c>
      <c r="E12798" s="0" t="inlineStr">
        <is>
          <t xml:space="preserve">Mazda</t>
        </is>
      </c>
      <c r="F12798" s="0" t="s">
        <v>13</v>
      </c>
      <c r="G12798" s="0" t="s">
        <v>49</v>
      </c>
      <c r="H12798" s="5">
        <v>1389.688800</v>
      </c>
    </row>
    <row r="12799" spans="1:9">
      <c r="A12799" s="22" t="str">
        <f>HYPERLINK("https://app.vivvix.com/360/KMI/IntelliDrive/ApplUI/Pages/CreativePages/CustomReportCreativeDetail.aspx?App=23&amp;ReportView=4&amp;Qid=1711279&amp;Row=12791&amp;Col=1","No Title Assigned - #15273482316")</f>
        <v/>
      </c>
      <c r="B12799" s="0" t="s">
        <v>17201</v>
      </c>
      <c r="C12799" s="0" t="s">
        <v>17202</v>
      </c>
      <c r="D12799" s="0" t="s">
        <v>17202</v>
      </c>
      <c r="E12799" s="0" t="inlineStr">
        <is>
          <t xml:space="preserve">Mazda</t>
        </is>
      </c>
      <c r="F12799" s="0" t="s">
        <v>13</v>
      </c>
      <c r="G12799" s="0" t="s">
        <v>49</v>
      </c>
      <c r="H12799" s="5">
        <v>33.435300</v>
      </c>
    </row>
    <row r="12800" spans="1:9">
      <c r="A12800" s="22" t="str">
        <f>HYPERLINK("https://app.vivvix.com/360/KMI/IntelliDrive/ApplUI/Pages/CreativePages/CustomReportCreativeDetail.aspx?App=23&amp;ReportView=4&amp;Qid=1711279&amp;Row=12792&amp;Col=1","No Title Assigned - #15273482316")</f>
        <v/>
      </c>
      <c r="B12800" s="0" t="s">
        <v>17201</v>
      </c>
      <c r="E12800" s="0" t="inlineStr">
        <is>
          <t xml:space="preserve">Mazda</t>
        </is>
      </c>
      <c r="F12800" s="0" t="s">
        <v>13</v>
      </c>
      <c r="G12800" s="0" t="s">
        <v>49</v>
      </c>
      <c r="H12800" s="5">
        <v>382.172100</v>
      </c>
    </row>
    <row r="12801" spans="1:9">
      <c r="A12801" s="22" t="str">
        <f>HYPERLINK("https://app.vivvix.com/360/KMI/IntelliDrive/ApplUI/Pages/CreativePages/CustomReportCreativeDetail.aspx?App=23&amp;ReportView=4&amp;Qid=1711279&amp;Row=12793&amp;Col=1","No Title Assigned - #15273482564")</f>
        <v/>
      </c>
      <c r="B12801" s="0" t="s">
        <v>17203</v>
      </c>
      <c r="C12801" s="0" t="s">
        <v>17204</v>
      </c>
      <c r="D12801" s="0" t="s">
        <v>17204</v>
      </c>
      <c r="E12801" s="0" t="inlineStr">
        <is>
          <t xml:space="preserve">Mazda</t>
        </is>
      </c>
      <c r="F12801" s="0" t="s">
        <v>13</v>
      </c>
      <c r="G12801" s="0" t="s">
        <v>49</v>
      </c>
      <c r="H12801" s="5">
        <v>108.311300</v>
      </c>
    </row>
    <row r="12802" spans="1:9">
      <c r="A12802" s="22" t="str">
        <f>HYPERLINK("https://app.vivvix.com/360/KMI/IntelliDrive/ApplUI/Pages/CreativePages/CustomReportCreativeDetail.aspx?App=23&amp;ReportView=4&amp;Qid=1711279&amp;Row=12794&amp;Col=1","No Title Assigned - #15273482646")</f>
        <v/>
      </c>
      <c r="B12802" s="0" t="s">
        <v>17205</v>
      </c>
      <c r="C12802" s="0" t="s">
        <v>17206</v>
      </c>
      <c r="D12802" s="0" t="s">
        <v>15952</v>
      </c>
      <c r="E12802" s="0" t="inlineStr">
        <is>
          <t xml:space="preserve">Mazda</t>
        </is>
      </c>
      <c r="F12802" s="0" t="s">
        <v>13</v>
      </c>
      <c r="G12802" s="0" t="s">
        <v>49</v>
      </c>
      <c r="H12802" s="5">
        <v>1480.672700</v>
      </c>
    </row>
    <row r="12803" spans="1:9">
      <c r="A12803" s="22" t="str">
        <f>HYPERLINK("https://app.vivvix.com/360/KMI/IntelliDrive/ApplUI/Pages/CreativePages/CustomReportCreativeDetail.aspx?App=23&amp;ReportView=4&amp;Qid=1711279&amp;Row=12795&amp;Col=1","No Title Assigned - #15273482760")</f>
        <v/>
      </c>
      <c r="B12803" s="0" t="s">
        <v>17207</v>
      </c>
      <c r="E12803" s="0" t="inlineStr">
        <is>
          <t xml:space="preserve">Mazda</t>
        </is>
      </c>
      <c r="F12803" s="0" t="inlineStr">
        <is>
          <t xml:space="preserve">Mazda</t>
        </is>
      </c>
      <c r="G12803" s="0" t="s">
        <v>210</v>
      </c>
      <c r="H12803" s="5">
        <v>324.493200</v>
      </c>
    </row>
    <row r="12804" spans="1:9">
      <c r="A12804" s="22" t="str">
        <f>HYPERLINK("https://app.vivvix.com/360/KMI/IntelliDrive/ApplUI/Pages/CreativePages/CustomReportCreativeDetail.aspx?App=23&amp;ReportView=4&amp;Qid=1711279&amp;Row=12796&amp;Col=1","No Title Assigned - #15273482760")</f>
        <v/>
      </c>
      <c r="B12804" s="0" t="s">
        <v>17207</v>
      </c>
      <c r="C12804" s="0" t="s">
        <v>17208</v>
      </c>
      <c r="D12804" s="0" t="s">
        <v>17208</v>
      </c>
      <c r="E12804" s="0" t="inlineStr">
        <is>
          <t xml:space="preserve">Mazda</t>
        </is>
      </c>
      <c r="F12804" s="0" t="inlineStr">
        <is>
          <t xml:space="preserve">Mazda</t>
        </is>
      </c>
      <c r="G12804" s="0" t="s">
        <v>210</v>
      </c>
      <c r="H12804" s="5">
        <v>44404.114700</v>
      </c>
    </row>
    <row r="12805" spans="1:9">
      <c r="A12805" s="22" t="str">
        <f>HYPERLINK("https://app.vivvix.com/360/KMI/IntelliDrive/ApplUI/Pages/CreativePages/CustomReportCreativeDetail.aspx?App=23&amp;ReportView=4&amp;Qid=1711279&amp;Row=12797&amp;Col=1","No Title Assigned - #15273483399")</f>
        <v/>
      </c>
      <c r="B12805" s="0" t="s">
        <v>17209</v>
      </c>
      <c r="C12805" s="0" t="s">
        <v>17210</v>
      </c>
      <c r="D12805" s="0" t="s">
        <v>10770</v>
      </c>
      <c r="E12805" s="0" t="inlineStr">
        <is>
          <t xml:space="preserve">Mazda</t>
        </is>
      </c>
      <c r="F12805" s="0" t="s">
        <v>13</v>
      </c>
      <c r="G12805" s="0" t="s">
        <v>49</v>
      </c>
      <c r="H12805" s="5">
        <v>1524.241500</v>
      </c>
    </row>
    <row r="12806" spans="1:9">
      <c r="A12806" s="22" t="str">
        <f>HYPERLINK("https://app.vivvix.com/360/KMI/IntelliDrive/ApplUI/Pages/CreativePages/CustomReportCreativeDetail.aspx?App=23&amp;ReportView=4&amp;Qid=1711279&amp;Row=12798&amp;Col=1","No Title Assigned - #15273489718")</f>
        <v/>
      </c>
      <c r="B12806" s="0" t="s">
        <v>17211</v>
      </c>
      <c r="E12806" s="0" t="inlineStr">
        <is>
          <t xml:space="preserve">Mazda</t>
        </is>
      </c>
      <c r="F12806" s="0" t="inlineStr">
        <is>
          <t xml:space="preserve">Mazda</t>
        </is>
      </c>
      <c r="G12806" s="0" t="s">
        <v>171</v>
      </c>
      <c r="H12806" s="5">
        <v>860.087500</v>
      </c>
    </row>
    <row r="12807" spans="1:9">
      <c r="A12807" s="22" t="str">
        <f>HYPERLINK("https://app.vivvix.com/360/KMI/IntelliDrive/ApplUI/Pages/CreativePages/CustomReportCreativeDetail.aspx?App=23&amp;ReportView=4&amp;Qid=1711279&amp;Row=12799&amp;Col=1","No Title Assigned - #15273491243")</f>
        <v/>
      </c>
      <c r="B12807" s="0" t="s">
        <v>17212</v>
      </c>
      <c r="E12807" s="0" t="inlineStr">
        <is>
          <t xml:space="preserve">Mazda</t>
        </is>
      </c>
      <c r="F12807" s="0" t="inlineStr">
        <is>
          <t xml:space="preserve">Mazda</t>
        </is>
      </c>
      <c r="G12807" s="0" t="s">
        <v>171</v>
      </c>
      <c r="H12807" s="5">
        <v>26814.712700</v>
      </c>
    </row>
    <row r="12808" spans="1:9">
      <c r="A12808" s="22" t="str">
        <f>HYPERLINK("https://app.vivvix.com/360/KMI/IntelliDrive/ApplUI/Pages/CreativePages/CustomReportCreativeDetail.aspx?App=23&amp;ReportView=4&amp;Qid=1711279&amp;Row=12800&amp;Col=1","No Title Assigned - #15273491684")</f>
        <v/>
      </c>
      <c r="B12808" s="0" t="s">
        <v>17213</v>
      </c>
      <c r="E12808" s="0" t="inlineStr">
        <is>
          <t xml:space="preserve">Mazda</t>
        </is>
      </c>
      <c r="F12808" s="0" t="inlineStr">
        <is>
          <t xml:space="preserve">Mazda</t>
        </is>
      </c>
      <c r="G12808" s="0" t="s">
        <v>171</v>
      </c>
      <c r="H12808" s="5">
        <v>11.215700</v>
      </c>
    </row>
    <row r="12809" spans="1:9">
      <c r="A12809" s="22" t="str">
        <f>HYPERLINK("https://app.vivvix.com/360/KMI/IntelliDrive/ApplUI/Pages/CreativePages/CustomReportCreativeDetail.aspx?App=23&amp;ReportView=4&amp;Qid=1711279&amp;Row=12801&amp;Col=1","No Title Assigned - #15273492042")</f>
        <v/>
      </c>
      <c r="B12809" s="0" t="s">
        <v>17214</v>
      </c>
      <c r="C12809" s="0" t="s">
        <v>17215</v>
      </c>
      <c r="D12809" s="0" t="s">
        <v>17215</v>
      </c>
      <c r="E12809" s="0" t="inlineStr">
        <is>
          <t xml:space="preserve">Mazda</t>
        </is>
      </c>
      <c r="F12809" s="0" t="inlineStr">
        <is>
          <t xml:space="preserve">Mazda</t>
        </is>
      </c>
      <c r="G12809" s="0" t="s">
        <v>171</v>
      </c>
      <c r="H12809" s="5">
        <v>429.292800</v>
      </c>
    </row>
    <row r="12810" spans="1:9">
      <c r="A12810" s="22" t="str">
        <f>HYPERLINK("https://app.vivvix.com/360/KMI/IntelliDrive/ApplUI/Pages/CreativePages/CustomReportCreativeDetail.aspx?App=23&amp;ReportView=4&amp;Qid=1711279&amp;Row=12802&amp;Col=1","No Title Assigned - #15273492395")</f>
        <v/>
      </c>
      <c r="B12810" s="0" t="s">
        <v>17216</v>
      </c>
      <c r="C12810" s="0" t="s">
        <v>17217</v>
      </c>
      <c r="D12810" s="0" t="s">
        <v>17217</v>
      </c>
      <c r="E12810" s="0" t="inlineStr">
        <is>
          <t xml:space="preserve">Mazda</t>
        </is>
      </c>
      <c r="F12810" s="0" t="s">
        <v>13</v>
      </c>
      <c r="G12810" s="0" t="s">
        <v>49</v>
      </c>
      <c r="H12810" s="5">
        <v>855.984300</v>
      </c>
    </row>
    <row r="12811" spans="1:9">
      <c r="A12811" s="22" t="str">
        <f>HYPERLINK("https://app.vivvix.com/360/KMI/IntelliDrive/ApplUI/Pages/CreativePages/CustomReportCreativeDetail.aspx?App=23&amp;ReportView=4&amp;Qid=1711279&amp;Row=12803&amp;Col=1","No Title Assigned - #15273492395")</f>
        <v/>
      </c>
      <c r="B12811" s="0" t="s">
        <v>17216</v>
      </c>
      <c r="E12811" s="0" t="inlineStr">
        <is>
          <t xml:space="preserve">Mazda</t>
        </is>
      </c>
      <c r="F12811" s="0" t="s">
        <v>13</v>
      </c>
      <c r="G12811" s="0" t="s">
        <v>49</v>
      </c>
      <c r="H12811" s="5">
        <v>118.104500</v>
      </c>
    </row>
    <row r="12812" spans="1:9">
      <c r="A12812" s="22" t="str">
        <f>HYPERLINK("https://app.vivvix.com/360/KMI/IntelliDrive/ApplUI/Pages/CreativePages/CustomReportCreativeDetail.aspx?App=23&amp;ReportView=4&amp;Qid=1711279&amp;Row=12804&amp;Col=1","No Title Assigned - #15273492527")</f>
        <v/>
      </c>
      <c r="B12812" s="0" t="s">
        <v>17218</v>
      </c>
      <c r="C12812" s="0" t="s">
        <v>17219</v>
      </c>
      <c r="D12812" s="0" t="s">
        <v>17219</v>
      </c>
      <c r="E12812" s="0" t="inlineStr">
        <is>
          <t xml:space="preserve">Mazda</t>
        </is>
      </c>
      <c r="F12812" s="0" t="s">
        <v>28</v>
      </c>
      <c r="G12812" s="0" t="s">
        <v>29</v>
      </c>
      <c r="H12812" s="5">
        <v>4.902500</v>
      </c>
    </row>
    <row r="12813" spans="1:9">
      <c r="A12813" s="22" t="str">
        <f>HYPERLINK("https://app.vivvix.com/360/KMI/IntelliDrive/ApplUI/Pages/CreativePages/CustomReportCreativeDetail.aspx?App=23&amp;ReportView=4&amp;Qid=1711279&amp;Row=12805&amp;Col=1","No Title Assigned - #15273493018")</f>
        <v/>
      </c>
      <c r="B12813" s="0" t="s">
        <v>17220</v>
      </c>
      <c r="E12813" s="0" t="inlineStr">
        <is>
          <t xml:space="preserve">Mazda</t>
        </is>
      </c>
      <c r="F12813" s="0" t="s">
        <v>13</v>
      </c>
      <c r="G12813" s="0" t="s">
        <v>49</v>
      </c>
      <c r="H12813" s="5">
        <v>155.068000</v>
      </c>
    </row>
    <row r="12814" spans="1:9">
      <c r="A12814" s="22" t="str">
        <f>HYPERLINK("https://app.vivvix.com/360/KMI/IntelliDrive/ApplUI/Pages/CreativePages/CustomReportCreativeDetail.aspx?App=23&amp;ReportView=4&amp;Qid=1711279&amp;Row=12806&amp;Col=1","No Title Assigned - #15273493050")</f>
        <v/>
      </c>
      <c r="B12814" s="0" t="s">
        <v>17221</v>
      </c>
      <c r="C12814" s="0" t="s">
        <v>17222</v>
      </c>
      <c r="D12814" s="0" t="s">
        <v>17222</v>
      </c>
      <c r="E12814" s="0" t="inlineStr">
        <is>
          <t xml:space="preserve">Mazda</t>
        </is>
      </c>
      <c r="F12814" s="0" t="s">
        <v>28</v>
      </c>
      <c r="G12814" s="0" t="s">
        <v>29</v>
      </c>
      <c r="H12814" s="5">
        <v>72019.253900</v>
      </c>
    </row>
    <row r="12815" spans="1:9">
      <c r="A12815" s="22" t="str">
        <f>HYPERLINK("https://app.vivvix.com/360/KMI/IntelliDrive/ApplUI/Pages/CreativePages/CustomReportCreativeDetail.aspx?App=23&amp;ReportView=4&amp;Qid=1711279&amp;Row=12807&amp;Col=1","No Title Assigned - #15273493300")</f>
        <v/>
      </c>
      <c r="B12815" s="0" t="s">
        <v>17223</v>
      </c>
      <c r="C12815" s="0" t="s">
        <v>17224</v>
      </c>
      <c r="D12815" s="0" t="s">
        <v>15819</v>
      </c>
      <c r="E12815" s="0" t="inlineStr">
        <is>
          <t xml:space="preserve">Mazda</t>
        </is>
      </c>
      <c r="F12815" s="0" t="s">
        <v>13</v>
      </c>
      <c r="G12815" s="0" t="s">
        <v>49</v>
      </c>
      <c r="H12815" s="5">
        <v>10.920000</v>
      </c>
    </row>
    <row r="12816" spans="1:9">
      <c r="A12816" s="22" t="str">
        <f>HYPERLINK("https://app.vivvix.com/360/KMI/IntelliDrive/ApplUI/Pages/CreativePages/CustomReportCreativeDetail.aspx?App=23&amp;ReportView=4&amp;Qid=1711279&amp;Row=12808&amp;Col=1","No Title Assigned - #15273493342")</f>
        <v/>
      </c>
      <c r="B12816" s="0" t="s">
        <v>17225</v>
      </c>
      <c r="E12816" s="0" t="inlineStr">
        <is>
          <t xml:space="preserve">Mazda</t>
        </is>
      </c>
      <c r="F12816" s="0" t="s">
        <v>13</v>
      </c>
      <c r="G12816" s="0" t="s">
        <v>49</v>
      </c>
      <c r="H12816" s="5">
        <v>975.985500</v>
      </c>
    </row>
    <row r="12817" spans="1:9">
      <c r="A12817" s="22" t="str">
        <f>HYPERLINK("https://app.vivvix.com/360/KMI/IntelliDrive/ApplUI/Pages/CreativePages/CustomReportCreativeDetail.aspx?App=23&amp;ReportView=4&amp;Qid=1711279&amp;Row=12809&amp;Col=1","No Title Assigned - #15273493521")</f>
        <v/>
      </c>
      <c r="B12817" s="0" t="s">
        <v>17226</v>
      </c>
      <c r="C12817" s="0" t="s">
        <v>17227</v>
      </c>
      <c r="D12817" s="0" t="s">
        <v>10988</v>
      </c>
      <c r="E12817" s="0" t="inlineStr">
        <is>
          <t xml:space="preserve">Mazda</t>
        </is>
      </c>
      <c r="F12817" s="0" t="s">
        <v>13</v>
      </c>
      <c r="G12817" s="0" t="s">
        <v>49</v>
      </c>
      <c r="H12817" s="5">
        <v>835.598900</v>
      </c>
    </row>
    <row r="12818" spans="1:9">
      <c r="A12818" s="22" t="str">
        <f>HYPERLINK("https://app.vivvix.com/360/KMI/IntelliDrive/ApplUI/Pages/CreativePages/CustomReportCreativeDetail.aspx?App=23&amp;ReportView=4&amp;Qid=1711279&amp;Row=12810&amp;Col=1","No Title Assigned - #15273493828")</f>
        <v/>
      </c>
      <c r="B12818" s="0" t="s">
        <v>17228</v>
      </c>
      <c r="C12818" s="0" t="s">
        <v>17229</v>
      </c>
      <c r="D12818" s="0" t="s">
        <v>17229</v>
      </c>
      <c r="E12818" s="0" t="inlineStr">
        <is>
          <t xml:space="preserve">Mazda</t>
        </is>
      </c>
      <c r="F12818" s="0" t="s">
        <v>13</v>
      </c>
      <c r="G12818" s="0" t="s">
        <v>49</v>
      </c>
      <c r="H12818" s="5">
        <v>124.808800</v>
      </c>
    </row>
    <row r="12819" spans="1:9">
      <c r="A12819" s="22" t="str">
        <f>HYPERLINK("https://app.vivvix.com/360/KMI/IntelliDrive/ApplUI/Pages/CreativePages/CustomReportCreativeDetail.aspx?App=23&amp;ReportView=4&amp;Qid=1711279&amp;Row=12811&amp;Col=1","No Title Assigned - #15273493836")</f>
        <v/>
      </c>
      <c r="B12819" s="0" t="s">
        <v>17230</v>
      </c>
      <c r="C12819" s="0" t="s">
        <v>17231</v>
      </c>
      <c r="D12819" s="0" t="s">
        <v>8808</v>
      </c>
      <c r="E12819" s="0" t="inlineStr">
        <is>
          <t xml:space="preserve">Mazda</t>
        </is>
      </c>
      <c r="F12819" s="0" t="s">
        <v>13</v>
      </c>
      <c r="G12819" s="0" t="s">
        <v>49</v>
      </c>
      <c r="H12819" s="5">
        <v>49.340100</v>
      </c>
    </row>
    <row r="12820" spans="1:9">
      <c r="A12820" s="22" t="str">
        <f>HYPERLINK("https://app.vivvix.com/360/KMI/IntelliDrive/ApplUI/Pages/CreativePages/CustomReportCreativeDetail.aspx?App=23&amp;ReportView=4&amp;Qid=1711279&amp;Row=12812&amp;Col=1","No Title Assigned - #15273493992")</f>
        <v/>
      </c>
      <c r="B12820" s="0" t="s">
        <v>17232</v>
      </c>
      <c r="E12820" s="0" t="inlineStr">
        <is>
          <t xml:space="preserve">Mazda</t>
        </is>
      </c>
      <c r="F12820" s="0" t="s">
        <v>13</v>
      </c>
      <c r="G12820" s="0" t="s">
        <v>49</v>
      </c>
      <c r="H12820" s="5">
        <v>93.187300</v>
      </c>
    </row>
    <row r="12821" spans="1:9">
      <c r="A12821" s="22" t="str">
        <f>HYPERLINK("https://app.vivvix.com/360/KMI/IntelliDrive/ApplUI/Pages/CreativePages/CustomReportCreativeDetail.aspx?App=23&amp;ReportView=4&amp;Qid=1711279&amp;Row=12813&amp;Col=1","No Title Assigned - #15273493992")</f>
        <v/>
      </c>
      <c r="B12821" s="0" t="s">
        <v>17232</v>
      </c>
      <c r="C12821" s="0" t="s">
        <v>17233</v>
      </c>
      <c r="D12821" s="0" t="s">
        <v>17233</v>
      </c>
      <c r="E12821" s="0" t="inlineStr">
        <is>
          <t xml:space="preserve">Mazda</t>
        </is>
      </c>
      <c r="F12821" s="0" t="s">
        <v>13</v>
      </c>
      <c r="G12821" s="0" t="s">
        <v>49</v>
      </c>
      <c r="H12821" s="5">
        <v>1053.547400</v>
      </c>
    </row>
    <row r="12822" spans="1:9">
      <c r="A12822" s="22" t="str">
        <f>HYPERLINK("https://app.vivvix.com/360/KMI/IntelliDrive/ApplUI/Pages/CreativePages/CustomReportCreativeDetail.aspx?App=23&amp;ReportView=4&amp;Qid=1711279&amp;Row=12814&amp;Col=1","No Title Assigned - #15273493993")</f>
        <v/>
      </c>
      <c r="B12822" s="0" t="s">
        <v>17234</v>
      </c>
      <c r="C12822" s="0" t="s">
        <v>17235</v>
      </c>
      <c r="D12822" s="0" t="s">
        <v>17235</v>
      </c>
      <c r="E12822" s="0" t="inlineStr">
        <is>
          <t xml:space="preserve">Mazda</t>
        </is>
      </c>
      <c r="F12822" s="0" t="s">
        <v>13</v>
      </c>
      <c r="G12822" s="0" t="s">
        <v>49</v>
      </c>
      <c r="H12822" s="5">
        <v>1053.547400</v>
      </c>
    </row>
    <row r="12823" spans="1:9">
      <c r="A12823" s="22" t="str">
        <f>HYPERLINK("https://app.vivvix.com/360/KMI/IntelliDrive/ApplUI/Pages/CreativePages/CustomReportCreativeDetail.aspx?App=23&amp;ReportView=4&amp;Qid=1711279&amp;Row=12815&amp;Col=1","No Title Assigned - #15273494312")</f>
        <v/>
      </c>
      <c r="B12823" s="0" t="s">
        <v>17236</v>
      </c>
      <c r="C12823" s="0" t="s">
        <v>17237</v>
      </c>
      <c r="D12823" s="0" t="s">
        <v>17237</v>
      </c>
      <c r="E12823" s="0" t="inlineStr">
        <is>
          <t xml:space="preserve">Mazda</t>
        </is>
      </c>
      <c r="F12823" s="0" t="inlineStr">
        <is>
          <t xml:space="preserve">Mazda</t>
        </is>
      </c>
      <c r="G12823" s="0" t="s">
        <v>210</v>
      </c>
      <c r="H12823" s="5">
        <v>213.268000</v>
      </c>
    </row>
    <row r="12824" spans="1:9">
      <c r="A12824" s="22" t="str">
        <f>HYPERLINK("https://app.vivvix.com/360/KMI/IntelliDrive/ApplUI/Pages/CreativePages/CustomReportCreativeDetail.aspx?App=23&amp;ReportView=4&amp;Qid=1711279&amp;Row=12816&amp;Col=1","No Title Assigned - #15273494625")</f>
        <v/>
      </c>
      <c r="B12824" s="0" t="s">
        <v>17238</v>
      </c>
      <c r="C12824" s="0" t="s">
        <v>17239</v>
      </c>
      <c r="D12824" s="0" t="s">
        <v>12720</v>
      </c>
      <c r="E12824" s="0" t="inlineStr">
        <is>
          <t xml:space="preserve">Mazda</t>
        </is>
      </c>
      <c r="F12824" s="0" t="s">
        <v>13</v>
      </c>
      <c r="G12824" s="0" t="s">
        <v>49</v>
      </c>
      <c r="H12824" s="5">
        <v>76.322800</v>
      </c>
    </row>
    <row r="12825" spans="1:9">
      <c r="A12825" s="22" t="str">
        <f>HYPERLINK("https://app.vivvix.com/360/KMI/IntelliDrive/ApplUI/Pages/CreativePages/CustomReportCreativeDetail.aspx?App=23&amp;ReportView=4&amp;Qid=1711279&amp;Row=12817&amp;Col=1","No Title Assigned - #15273494626")</f>
        <v/>
      </c>
      <c r="B12825" s="0" t="s">
        <v>17240</v>
      </c>
      <c r="C12825" s="0" t="s">
        <v>17241</v>
      </c>
      <c r="D12825" s="0" t="s">
        <v>11499</v>
      </c>
      <c r="E12825" s="0" t="inlineStr">
        <is>
          <t xml:space="preserve">Mazda</t>
        </is>
      </c>
      <c r="F12825" s="0" t="s">
        <v>13</v>
      </c>
      <c r="G12825" s="0" t="s">
        <v>49</v>
      </c>
      <c r="H12825" s="5">
        <v>152.645600</v>
      </c>
    </row>
    <row r="12826" spans="1:9">
      <c r="A12826" s="22" t="str">
        <f>HYPERLINK("https://app.vivvix.com/360/KMI/IntelliDrive/ApplUI/Pages/CreativePages/CustomReportCreativeDetail.aspx?App=23&amp;ReportView=4&amp;Qid=1711279&amp;Row=12818&amp;Col=1","No Title Assigned - #15273494908")</f>
        <v/>
      </c>
      <c r="B12826" s="0" t="s">
        <v>17242</v>
      </c>
      <c r="C12826" s="0" t="s">
        <v>17243</v>
      </c>
      <c r="D12826" s="0" t="s">
        <v>17243</v>
      </c>
      <c r="E12826" s="0" t="inlineStr">
        <is>
          <t xml:space="preserve">Mazda</t>
        </is>
      </c>
      <c r="F12826" s="0" t="s">
        <v>28</v>
      </c>
      <c r="G12826" s="0" t="s">
        <v>29</v>
      </c>
      <c r="H12826" s="5">
        <v>5.782200</v>
      </c>
    </row>
    <row r="12827" spans="1:9">
      <c r="A12827" s="22" t="str">
        <f>HYPERLINK("https://app.vivvix.com/360/KMI/IntelliDrive/ApplUI/Pages/CreativePages/CustomReportCreativeDetail.aspx?App=23&amp;ReportView=4&amp;Qid=1711279&amp;Row=12819&amp;Col=1","No Title Assigned - #15273495959")</f>
        <v/>
      </c>
      <c r="B12827" s="0" t="s">
        <v>17244</v>
      </c>
      <c r="C12827" s="0" t="s">
        <v>17245</v>
      </c>
      <c r="D12827" s="0" t="s">
        <v>17245</v>
      </c>
      <c r="E12827" s="0" t="inlineStr">
        <is>
          <t xml:space="preserve">Mazda</t>
        </is>
      </c>
      <c r="F12827" s="0" t="s">
        <v>13</v>
      </c>
      <c r="G12827" s="0" t="s">
        <v>49</v>
      </c>
      <c r="H12827" s="5">
        <v>1501.536000</v>
      </c>
    </row>
    <row r="12828" spans="1:9">
      <c r="A12828" s="22" t="str">
        <f>HYPERLINK("https://app.vivvix.com/360/KMI/IntelliDrive/ApplUI/Pages/CreativePages/CustomReportCreativeDetail.aspx?App=23&amp;ReportView=4&amp;Qid=1711279&amp;Row=12820&amp;Col=1","No Title Assigned - #15273496258")</f>
        <v/>
      </c>
      <c r="B12828" s="0" t="s">
        <v>17246</v>
      </c>
      <c r="C12828" s="0" t="s">
        <v>17247</v>
      </c>
      <c r="D12828" s="0" t="s">
        <v>17247</v>
      </c>
      <c r="E12828" s="0" t="inlineStr">
        <is>
          <t xml:space="preserve">Mazda</t>
        </is>
      </c>
      <c r="F12828" s="0" t="s">
        <v>28</v>
      </c>
      <c r="G12828" s="0" t="s">
        <v>29</v>
      </c>
      <c r="H12828" s="5">
        <v>1673.532500</v>
      </c>
    </row>
    <row r="12829" spans="1:9">
      <c r="A12829" s="22" t="str">
        <f>HYPERLINK("https://app.vivvix.com/360/KMI/IntelliDrive/ApplUI/Pages/CreativePages/CustomReportCreativeDetail.aspx?App=23&amp;ReportView=4&amp;Qid=1711279&amp;Row=12821&amp;Col=1","No Title Assigned - #15273496259")</f>
        <v/>
      </c>
      <c r="B12829" s="0" t="s">
        <v>17248</v>
      </c>
      <c r="C12829" s="0" t="s">
        <v>17249</v>
      </c>
      <c r="D12829" s="0" t="s">
        <v>8779</v>
      </c>
      <c r="E12829" s="0" t="inlineStr">
        <is>
          <t xml:space="preserve">Mazda</t>
        </is>
      </c>
      <c r="F12829" s="0" t="s">
        <v>13</v>
      </c>
      <c r="G12829" s="0" t="s">
        <v>49</v>
      </c>
      <c r="H12829" s="5">
        <v>725.037000</v>
      </c>
    </row>
    <row r="12830" spans="1:9">
      <c r="A12830" s="22" t="str">
        <f>HYPERLINK("https://app.vivvix.com/360/KMI/IntelliDrive/ApplUI/Pages/CreativePages/CustomReportCreativeDetail.aspx?App=23&amp;ReportView=4&amp;Qid=1711279&amp;Row=12822&amp;Col=1","No Title Assigned - #15273496571")</f>
        <v/>
      </c>
      <c r="B12830" s="0" t="s">
        <v>17250</v>
      </c>
      <c r="C12830" s="0" t="s">
        <v>17251</v>
      </c>
      <c r="D12830" s="0" t="s">
        <v>17251</v>
      </c>
      <c r="E12830" s="0" t="inlineStr">
        <is>
          <t xml:space="preserve">Mazda</t>
        </is>
      </c>
      <c r="F12830" s="0" t="s">
        <v>28</v>
      </c>
      <c r="G12830" s="0" t="s">
        <v>29</v>
      </c>
      <c r="H12830" s="5">
        <v>17.848400</v>
      </c>
    </row>
    <row r="12831" spans="1:9">
      <c r="A12831" s="22" t="str">
        <f>HYPERLINK("https://app.vivvix.com/360/KMI/IntelliDrive/ApplUI/Pages/CreativePages/CustomReportCreativeDetail.aspx?App=23&amp;ReportView=4&amp;Qid=1711279&amp;Row=12823&amp;Col=1","No Title Assigned - #15273496793")</f>
        <v/>
      </c>
      <c r="B12831" s="0" t="s">
        <v>17252</v>
      </c>
      <c r="C12831" s="0" t="s">
        <v>17253</v>
      </c>
      <c r="D12831" s="0" t="s">
        <v>10770</v>
      </c>
      <c r="E12831" s="0" t="inlineStr">
        <is>
          <t xml:space="preserve">Mazda</t>
        </is>
      </c>
      <c r="F12831" s="0" t="s">
        <v>13</v>
      </c>
      <c r="G12831" s="0" t="s">
        <v>49</v>
      </c>
      <c r="H12831" s="5">
        <v>1405.074100</v>
      </c>
    </row>
    <row r="12832" spans="1:9">
      <c r="A12832" s="22" t="str">
        <f>HYPERLINK("https://app.vivvix.com/360/KMI/IntelliDrive/ApplUI/Pages/CreativePages/CustomReportCreativeDetail.aspx?App=23&amp;ReportView=4&amp;Qid=1711279&amp;Row=12824&amp;Col=1","No Title Assigned - #15273497155")</f>
        <v/>
      </c>
      <c r="B12832" s="0" t="s">
        <v>17254</v>
      </c>
      <c r="C12832" s="0" t="s">
        <v>17255</v>
      </c>
      <c r="D12832" s="0" t="s">
        <v>11560</v>
      </c>
      <c r="E12832" s="0" t="inlineStr">
        <is>
          <t xml:space="preserve">Mazda</t>
        </is>
      </c>
      <c r="F12832" s="0" t="s">
        <v>13</v>
      </c>
      <c r="G12832" s="0" t="s">
        <v>49</v>
      </c>
      <c r="H12832" s="5">
        <v>111.430800</v>
      </c>
    </row>
    <row r="12833" spans="1:9">
      <c r="A12833" s="22" t="str">
        <f>HYPERLINK("https://app.vivvix.com/360/KMI/IntelliDrive/ApplUI/Pages/CreativePages/CustomReportCreativeDetail.aspx?App=23&amp;ReportView=4&amp;Qid=1711279&amp;Row=12825&amp;Col=1","No Title Assigned - #15273497172")</f>
        <v/>
      </c>
      <c r="B12833" s="0" t="s">
        <v>17256</v>
      </c>
      <c r="C12833" s="0" t="s">
        <v>17257</v>
      </c>
      <c r="D12833" s="0" t="s">
        <v>17257</v>
      </c>
      <c r="E12833" s="0" t="inlineStr">
        <is>
          <t xml:space="preserve">Mazda</t>
        </is>
      </c>
      <c r="F12833" s="0" t="s">
        <v>13</v>
      </c>
      <c r="G12833" s="0" t="s">
        <v>49</v>
      </c>
      <c r="H12833" s="5">
        <v>2078.082200</v>
      </c>
    </row>
    <row r="12834" spans="1:9">
      <c r="A12834" s="22" t="str">
        <f>HYPERLINK("https://app.vivvix.com/360/KMI/IntelliDrive/ApplUI/Pages/CreativePages/CustomReportCreativeDetail.aspx?App=23&amp;ReportView=4&amp;Qid=1711279&amp;Row=12826&amp;Col=1","No Title Assigned - #15273497769")</f>
        <v/>
      </c>
      <c r="B12834" s="0" t="s">
        <v>17258</v>
      </c>
      <c r="C12834" s="0" t="s">
        <v>17259</v>
      </c>
      <c r="D12834" s="0" t="s">
        <v>6180</v>
      </c>
      <c r="E12834" s="0" t="inlineStr">
        <is>
          <t xml:space="preserve">Mazda</t>
        </is>
      </c>
      <c r="F12834" s="0" t="s">
        <v>13</v>
      </c>
      <c r="G12834" s="0" t="s">
        <v>49</v>
      </c>
      <c r="H12834" s="5">
        <v>4729.655000</v>
      </c>
    </row>
    <row r="12835" spans="1:9">
      <c r="A12835" s="22" t="str">
        <f>HYPERLINK("https://app.vivvix.com/360/KMI/IntelliDrive/ApplUI/Pages/CreativePages/CustomReportCreativeDetail.aspx?App=23&amp;ReportView=4&amp;Qid=1711279&amp;Row=12827&amp;Col=1","No Title Assigned - #15273497978")</f>
        <v/>
      </c>
      <c r="B12835" s="0" t="s">
        <v>17260</v>
      </c>
      <c r="E12835" s="0" t="inlineStr">
        <is>
          <t xml:space="preserve">Mazda</t>
        </is>
      </c>
      <c r="F12835" s="0" t="s">
        <v>28</v>
      </c>
      <c r="G12835" s="0" t="s">
        <v>29</v>
      </c>
      <c r="H12835" s="5">
        <v>104.099800</v>
      </c>
    </row>
    <row r="12836" spans="1:9">
      <c r="A12836" s="22" t="str">
        <f>HYPERLINK("https://app.vivvix.com/360/KMI/IntelliDrive/ApplUI/Pages/CreativePages/CustomReportCreativeDetail.aspx?App=23&amp;ReportView=4&amp;Qid=1711279&amp;Row=12828&amp;Col=1","No Title Assigned - #15273498198")</f>
        <v/>
      </c>
      <c r="B12836" s="0" t="s">
        <v>17261</v>
      </c>
      <c r="C12836" s="0" t="s">
        <v>17262</v>
      </c>
      <c r="D12836" s="0" t="s">
        <v>17262</v>
      </c>
      <c r="E12836" s="0" t="inlineStr">
        <is>
          <t xml:space="preserve">Mazda</t>
        </is>
      </c>
      <c r="F12836" s="0" t="inlineStr">
        <is>
          <t xml:space="preserve">Mazda</t>
        </is>
      </c>
      <c r="G12836" s="0" t="s">
        <v>210</v>
      </c>
      <c r="H12836" s="5">
        <v>213.268000</v>
      </c>
    </row>
    <row r="12837" spans="1:9">
      <c r="A12837" s="22" t="str">
        <f>HYPERLINK("https://app.vivvix.com/360/KMI/IntelliDrive/ApplUI/Pages/CreativePages/CustomReportCreativeDetail.aspx?App=23&amp;ReportView=4&amp;Qid=1711279&amp;Row=12829&amp;Col=1","No Title Assigned - #15273500092")</f>
        <v/>
      </c>
      <c r="B12837" s="0" t="s">
        <v>17263</v>
      </c>
      <c r="C12837" s="0" t="s">
        <v>17264</v>
      </c>
      <c r="D12837" s="0" t="s">
        <v>10067</v>
      </c>
      <c r="E12837" s="0" t="inlineStr">
        <is>
          <t xml:space="preserve">Mazda</t>
        </is>
      </c>
      <c r="F12837" s="0" t="s">
        <v>13</v>
      </c>
      <c r="G12837" s="0" t="s">
        <v>49</v>
      </c>
      <c r="H12837" s="5">
        <v>1573.848800</v>
      </c>
    </row>
    <row r="12838" spans="1:9">
      <c r="A12838" s="22" t="str">
        <f>HYPERLINK("https://app.vivvix.com/360/KMI/IntelliDrive/ApplUI/Pages/CreativePages/CustomReportCreativeDetail.aspx?App=23&amp;ReportView=4&amp;Qid=1711279&amp;Row=12830&amp;Col=1","No Title Assigned - #15273500194")</f>
        <v/>
      </c>
      <c r="B12838" s="0" t="s">
        <v>17265</v>
      </c>
      <c r="E12838" s="0" t="inlineStr">
        <is>
          <t xml:space="preserve">Mazda</t>
        </is>
      </c>
      <c r="F12838" s="0" t="inlineStr">
        <is>
          <t xml:space="preserve">Mazda</t>
        </is>
      </c>
      <c r="G12838" s="0" t="s">
        <v>171</v>
      </c>
      <c r="H12838" s="5">
        <v>8.329600</v>
      </c>
    </row>
    <row r="12839" spans="1:9">
      <c r="A12839" s="22" t="str">
        <f>HYPERLINK("https://app.vivvix.com/360/KMI/IntelliDrive/ApplUI/Pages/CreativePages/CustomReportCreativeDetail.aspx?App=23&amp;ReportView=4&amp;Qid=1711279&amp;Row=12831&amp;Col=1","No Title Assigned - #15273500300")</f>
        <v/>
      </c>
      <c r="B12839" s="0" t="s">
        <v>17266</v>
      </c>
      <c r="E12839" s="0" t="inlineStr">
        <is>
          <t xml:space="preserve">Mazda</t>
        </is>
      </c>
      <c r="F12839" s="0" t="inlineStr">
        <is>
          <t xml:space="preserve">Mazda</t>
        </is>
      </c>
      <c r="G12839" s="0" t="s">
        <v>171</v>
      </c>
      <c r="H12839" s="5">
        <v>11.174700</v>
      </c>
    </row>
    <row r="12840" spans="1:9">
      <c r="A12840" s="22" t="str">
        <f>HYPERLINK("https://app.vivvix.com/360/KMI/IntelliDrive/ApplUI/Pages/CreativePages/CustomReportCreativeDetail.aspx?App=23&amp;ReportView=4&amp;Qid=1711279&amp;Row=12832&amp;Col=1","No Title Assigned - #15273500300")</f>
        <v/>
      </c>
      <c r="B12840" s="0" t="s">
        <v>17266</v>
      </c>
      <c r="E12840" s="0" t="inlineStr">
        <is>
          <t xml:space="preserve">Mazda</t>
        </is>
      </c>
      <c r="F12840" s="0" t="inlineStr">
        <is>
          <t xml:space="preserve">Mazda</t>
        </is>
      </c>
      <c r="G12840" s="0" t="s">
        <v>171</v>
      </c>
      <c r="H12840" s="5">
        <v>17.449900</v>
      </c>
    </row>
    <row r="12841" spans="1:9">
      <c r="A12841" s="22" t="str">
        <f>HYPERLINK("https://app.vivvix.com/360/KMI/IntelliDrive/ApplUI/Pages/CreativePages/CustomReportCreativeDetail.aspx?App=23&amp;ReportView=4&amp;Qid=1711279&amp;Row=12833&amp;Col=1","No Title Assigned - #15273500405")</f>
        <v/>
      </c>
      <c r="B12841" s="0" t="s">
        <v>17267</v>
      </c>
      <c r="E12841" s="0" t="inlineStr">
        <is>
          <t xml:space="preserve">Mazda</t>
        </is>
      </c>
      <c r="F12841" s="0" t="inlineStr">
        <is>
          <t xml:space="preserve">Mazda</t>
        </is>
      </c>
      <c r="G12841" s="0" t="s">
        <v>171</v>
      </c>
      <c r="H12841" s="5">
        <v>102.265300</v>
      </c>
    </row>
    <row r="12842" spans="1:9">
      <c r="A12842" s="22" t="str">
        <f>HYPERLINK("https://app.vivvix.com/360/KMI/IntelliDrive/ApplUI/Pages/CreativePages/CustomReportCreativeDetail.aspx?App=23&amp;ReportView=4&amp;Qid=1711279&amp;Row=12834&amp;Col=1","No Title Assigned - #15273500474")</f>
        <v/>
      </c>
      <c r="B12842" s="0" t="s">
        <v>17268</v>
      </c>
      <c r="E12842" s="0" t="inlineStr">
        <is>
          <t xml:space="preserve">Mazda</t>
        </is>
      </c>
      <c r="F12842" s="0" t="inlineStr">
        <is>
          <t xml:space="preserve">Mazda</t>
        </is>
      </c>
      <c r="G12842" s="0" t="s">
        <v>171</v>
      </c>
      <c r="H12842" s="5">
        <v>1614.413100</v>
      </c>
    </row>
    <row r="12843" spans="1:9">
      <c r="A12843" s="22" t="str">
        <f>HYPERLINK("https://app.vivvix.com/360/KMI/IntelliDrive/ApplUI/Pages/CreativePages/CustomReportCreativeDetail.aspx?App=23&amp;ReportView=4&amp;Qid=1711279&amp;Row=12835&amp;Col=1","No Title Assigned - #15273500474")</f>
        <v/>
      </c>
      <c r="B12843" s="0" t="s">
        <v>17268</v>
      </c>
      <c r="E12843" s="0" t="inlineStr">
        <is>
          <t xml:space="preserve">Mazda</t>
        </is>
      </c>
      <c r="F12843" s="0" t="inlineStr">
        <is>
          <t xml:space="preserve">Mazda</t>
        </is>
      </c>
      <c r="G12843" s="0" t="s">
        <v>171</v>
      </c>
      <c r="H12843" s="5">
        <v>9551.136800</v>
      </c>
    </row>
    <row r="12844" spans="1:9">
      <c r="A12844" s="22" t="str">
        <f>HYPERLINK("https://app.vivvix.com/360/KMI/IntelliDrive/ApplUI/Pages/CreativePages/CustomReportCreativeDetail.aspx?App=23&amp;ReportView=4&amp;Qid=1711279&amp;Row=12836&amp;Col=1","No Title Assigned - #15273501686")</f>
        <v/>
      </c>
      <c r="B12844" s="0" t="s">
        <v>17269</v>
      </c>
      <c r="E12844" s="0" t="inlineStr">
        <is>
          <t xml:space="preserve">Mazda</t>
        </is>
      </c>
      <c r="F12844" s="0" t="inlineStr">
        <is>
          <t xml:space="preserve">Mazda</t>
        </is>
      </c>
      <c r="G12844" s="0" t="s">
        <v>171</v>
      </c>
      <c r="H12844" s="5">
        <v>0.324400</v>
      </c>
    </row>
    <row r="12845" spans="1:9">
      <c r="A12845" s="22" t="str">
        <f>HYPERLINK("https://app.vivvix.com/360/KMI/IntelliDrive/ApplUI/Pages/CreativePages/CustomReportCreativeDetail.aspx?App=23&amp;ReportView=4&amp;Qid=1711279&amp;Row=12837&amp;Col=1","No Title Assigned - #15273502096")</f>
        <v/>
      </c>
      <c r="B12845" s="0" t="s">
        <v>17270</v>
      </c>
      <c r="E12845" s="0" t="inlineStr">
        <is>
          <t xml:space="preserve">Mazda</t>
        </is>
      </c>
      <c r="F12845" s="0" t="inlineStr">
        <is>
          <t xml:space="preserve">Mazda</t>
        </is>
      </c>
      <c r="G12845" s="0" t="s">
        <v>171</v>
      </c>
      <c r="H12845" s="5">
        <v>145.613800</v>
      </c>
    </row>
    <row r="12846" spans="1:9">
      <c r="A12846" s="22" t="str">
        <f>HYPERLINK("https://app.vivvix.com/360/KMI/IntelliDrive/ApplUI/Pages/CreativePages/CustomReportCreativeDetail.aspx?App=23&amp;ReportView=4&amp;Qid=1711279&amp;Row=12838&amp;Col=1","No Title Assigned - #15273503671")</f>
        <v/>
      </c>
      <c r="B12846" s="0" t="s">
        <v>17271</v>
      </c>
      <c r="E12846" s="0" t="inlineStr">
        <is>
          <t xml:space="preserve">Mazda</t>
        </is>
      </c>
      <c r="F12846" s="0" t="s">
        <v>13</v>
      </c>
      <c r="G12846" s="0" t="s">
        <v>49</v>
      </c>
      <c r="H12846" s="5">
        <v>1211.096100</v>
      </c>
    </row>
    <row r="12847" spans="1:9">
      <c r="A12847" s="22" t="str">
        <f>HYPERLINK("https://app.vivvix.com/360/KMI/IntelliDrive/ApplUI/Pages/CreativePages/CustomReportCreativeDetail.aspx?App=23&amp;ReportView=4&amp;Qid=1711279&amp;Row=12839&amp;Col=1","No Title Assigned - #15273503700")</f>
        <v/>
      </c>
      <c r="B12847" s="0" t="s">
        <v>17272</v>
      </c>
      <c r="C12847" s="0" t="s">
        <v>17273</v>
      </c>
      <c r="D12847" s="0" t="s">
        <v>17273</v>
      </c>
      <c r="E12847" s="0" t="inlineStr">
        <is>
          <t xml:space="preserve">Mazda</t>
        </is>
      </c>
      <c r="F12847" s="0" t="s">
        <v>13</v>
      </c>
      <c r="G12847" s="0" t="s">
        <v>49</v>
      </c>
      <c r="H12847" s="5">
        <v>1263.250300</v>
      </c>
    </row>
    <row r="12848" spans="1:9">
      <c r="A12848" s="22" t="str">
        <f>HYPERLINK("https://app.vivvix.com/360/KMI/IntelliDrive/ApplUI/Pages/CreativePages/CustomReportCreativeDetail.aspx?App=23&amp;ReportView=4&amp;Qid=1711279&amp;Row=12840&amp;Col=1","No Title Assigned - #15273504025")</f>
        <v/>
      </c>
      <c r="B12848" s="0" t="s">
        <v>17274</v>
      </c>
      <c r="C12848" s="0" t="s">
        <v>17275</v>
      </c>
      <c r="D12848" s="0" t="s">
        <v>9800</v>
      </c>
      <c r="E12848" s="0" t="inlineStr">
        <is>
          <t xml:space="preserve">Mazda</t>
        </is>
      </c>
      <c r="F12848" s="0" t="s">
        <v>13</v>
      </c>
      <c r="G12848" s="0" t="s">
        <v>49</v>
      </c>
      <c r="H12848" s="5">
        <v>57.182200</v>
      </c>
    </row>
    <row r="12849" spans="1:9">
      <c r="A12849" s="22" t="str">
        <f>HYPERLINK("https://app.vivvix.com/360/KMI/IntelliDrive/ApplUI/Pages/CreativePages/CustomReportCreativeDetail.aspx?App=23&amp;ReportView=4&amp;Qid=1711279&amp;Row=12841&amp;Col=1","No Title Assigned - #15273504082")</f>
        <v/>
      </c>
      <c r="B12849" s="0" t="s">
        <v>17276</v>
      </c>
      <c r="E12849" s="0" t="inlineStr">
        <is>
          <t xml:space="preserve">Mazda</t>
        </is>
      </c>
      <c r="F12849" s="0" t="s">
        <v>13</v>
      </c>
      <c r="G12849" s="0" t="s">
        <v>49</v>
      </c>
      <c r="H12849" s="5">
        <v>196.775300</v>
      </c>
    </row>
    <row r="12850" spans="1:9">
      <c r="A12850" s="22" t="str">
        <f>HYPERLINK("https://app.vivvix.com/360/KMI/IntelliDrive/ApplUI/Pages/CreativePages/CustomReportCreativeDetail.aspx?App=23&amp;ReportView=4&amp;Qid=1711279&amp;Row=12842&amp;Col=1","No Title Assigned - #15273504088")</f>
        <v/>
      </c>
      <c r="B12850" s="0" t="s">
        <v>17277</v>
      </c>
      <c r="E12850" s="0" t="inlineStr">
        <is>
          <t xml:space="preserve">Mazda</t>
        </is>
      </c>
      <c r="F12850" s="0" t="inlineStr">
        <is>
          <t xml:space="preserve">Mazda</t>
        </is>
      </c>
      <c r="G12850" s="0" t="s">
        <v>210</v>
      </c>
      <c r="H12850" s="5">
        <v>38008.818600</v>
      </c>
    </row>
    <row r="12851" spans="1:9">
      <c r="A12851" s="22" t="str">
        <f>HYPERLINK("https://app.vivvix.com/360/KMI/IntelliDrive/ApplUI/Pages/CreativePages/CustomReportCreativeDetail.aspx?App=23&amp;ReportView=4&amp;Qid=1711279&amp;Row=12843&amp;Col=1","No Title Assigned - #15273504088")</f>
        <v/>
      </c>
      <c r="B12851" s="0" t="s">
        <v>17277</v>
      </c>
      <c r="E12851" s="0" t="inlineStr">
        <is>
          <t xml:space="preserve">Mazda</t>
        </is>
      </c>
      <c r="F12851" s="0" t="inlineStr">
        <is>
          <t xml:space="preserve">Mazda</t>
        </is>
      </c>
      <c r="G12851" s="0" t="s">
        <v>210</v>
      </c>
      <c r="H12851" s="5">
        <v>1806.646900</v>
      </c>
    </row>
    <row r="12852" spans="1:9">
      <c r="A12852" s="22" t="str">
        <f>HYPERLINK("https://app.vivvix.com/360/KMI/IntelliDrive/ApplUI/Pages/CreativePages/CustomReportCreativeDetail.aspx?App=23&amp;ReportView=4&amp;Qid=1711279&amp;Row=12844&amp;Col=1","No Title Assigned - #15273505120")</f>
        <v/>
      </c>
      <c r="B12852" s="0" t="s">
        <v>17278</v>
      </c>
      <c r="E12852" s="0" t="inlineStr">
        <is>
          <t xml:space="preserve">Mazda</t>
        </is>
      </c>
      <c r="F12852" s="0" t="inlineStr">
        <is>
          <t xml:space="preserve">Mazda</t>
        </is>
      </c>
      <c r="G12852" s="0" t="s">
        <v>171</v>
      </c>
      <c r="H12852" s="5">
        <v>8.766800</v>
      </c>
    </row>
    <row r="12853" spans="1:9">
      <c r="A12853" s="22" t="str">
        <f>HYPERLINK("https://app.vivvix.com/360/KMI/IntelliDrive/ApplUI/Pages/CreativePages/CustomReportCreativeDetail.aspx?App=23&amp;ReportView=4&amp;Qid=1711279&amp;Row=12845&amp;Col=1","No Title Assigned - #15273505547")</f>
        <v/>
      </c>
      <c r="B12853" s="0" t="s">
        <v>17279</v>
      </c>
      <c r="E12853" s="0" t="inlineStr">
        <is>
          <t xml:space="preserve">Mazda</t>
        </is>
      </c>
      <c r="F12853" s="0" t="inlineStr">
        <is>
          <t xml:space="preserve">Mazda</t>
        </is>
      </c>
      <c r="G12853" s="0" t="s">
        <v>171</v>
      </c>
      <c r="H12853" s="5">
        <v>18.834300</v>
      </c>
    </row>
    <row r="12854" spans="1:9">
      <c r="A12854" s="22" t="str">
        <f>HYPERLINK("https://app.vivvix.com/360/KMI/IntelliDrive/ApplUI/Pages/CreativePages/CustomReportCreativeDetail.aspx?App=23&amp;ReportView=4&amp;Qid=1711279&amp;Row=12846&amp;Col=1","No Title Assigned - #15273505618")</f>
        <v/>
      </c>
      <c r="B12854" s="0" t="s">
        <v>17280</v>
      </c>
      <c r="E12854" s="0" t="inlineStr">
        <is>
          <t xml:space="preserve">Mazda</t>
        </is>
      </c>
      <c r="F12854" s="0" t="inlineStr">
        <is>
          <t xml:space="preserve">Mazda</t>
        </is>
      </c>
      <c r="G12854" s="0" t="s">
        <v>171</v>
      </c>
      <c r="H12854" s="5">
        <v>573.104500</v>
      </c>
    </row>
    <row r="12855" spans="1:9">
      <c r="A12855" s="22" t="str">
        <f>HYPERLINK("https://app.vivvix.com/360/KMI/IntelliDrive/ApplUI/Pages/CreativePages/CustomReportCreativeDetail.aspx?App=23&amp;ReportView=4&amp;Qid=1711279&amp;Row=12847&amp;Col=1","No Title Assigned - #15273505656")</f>
        <v/>
      </c>
      <c r="B12855" s="0" t="s">
        <v>17281</v>
      </c>
      <c r="E12855" s="0" t="inlineStr">
        <is>
          <t xml:space="preserve">Mazda</t>
        </is>
      </c>
      <c r="F12855" s="0" t="inlineStr">
        <is>
          <t xml:space="preserve">Mazda</t>
        </is>
      </c>
      <c r="G12855" s="0" t="s">
        <v>171</v>
      </c>
      <c r="H12855" s="5">
        <v>608.579800</v>
      </c>
    </row>
    <row r="12856" spans="1:9">
      <c r="A12856" s="22" t="str">
        <f>HYPERLINK("https://app.vivvix.com/360/KMI/IntelliDrive/ApplUI/Pages/CreativePages/CustomReportCreativeDetail.aspx?App=23&amp;ReportView=4&amp;Qid=1711279&amp;Row=12848&amp;Col=1","No Title Assigned - #15273505848")</f>
        <v/>
      </c>
      <c r="B12856" s="0" t="s">
        <v>17282</v>
      </c>
      <c r="E12856" s="0" t="inlineStr">
        <is>
          <t xml:space="preserve">Mazda</t>
        </is>
      </c>
      <c r="F12856" s="0" t="inlineStr">
        <is>
          <t xml:space="preserve">Mazda</t>
        </is>
      </c>
      <c r="G12856" s="0" t="s">
        <v>171</v>
      </c>
      <c r="H12856" s="5">
        <v>27.591400</v>
      </c>
    </row>
    <row r="12857" spans="1:9">
      <c r="A12857" s="22" t="str">
        <f>HYPERLINK("https://app.vivvix.com/360/KMI/IntelliDrive/ApplUI/Pages/CreativePages/CustomReportCreativeDetail.aspx?App=23&amp;ReportView=4&amp;Qid=1711279&amp;Row=12849&amp;Col=1","No Title Assigned - #15273505935")</f>
        <v/>
      </c>
      <c r="B12857" s="0" t="s">
        <v>17283</v>
      </c>
      <c r="E12857" s="0" t="inlineStr">
        <is>
          <t xml:space="preserve">Mazda</t>
        </is>
      </c>
      <c r="F12857" s="0" t="inlineStr">
        <is>
          <t xml:space="preserve">Mazda</t>
        </is>
      </c>
      <c r="G12857" s="0" t="s">
        <v>171</v>
      </c>
      <c r="H12857" s="5">
        <v>23.658300</v>
      </c>
    </row>
    <row r="12858" spans="1:9">
      <c r="A12858" s="22" t="str">
        <f>HYPERLINK("https://app.vivvix.com/360/KMI/IntelliDrive/ApplUI/Pages/CreativePages/CustomReportCreativeDetail.aspx?App=23&amp;ReportView=4&amp;Qid=1711279&amp;Row=12850&amp;Col=1","No Title Assigned - #15273506170")</f>
        <v/>
      </c>
      <c r="B12858" s="0" t="s">
        <v>17284</v>
      </c>
      <c r="E12858" s="0" t="inlineStr">
        <is>
          <t xml:space="preserve">Mazda</t>
        </is>
      </c>
      <c r="F12858" s="0" t="inlineStr">
        <is>
          <t xml:space="preserve">Mazda</t>
        </is>
      </c>
      <c r="G12858" s="0" t="s">
        <v>171</v>
      </c>
      <c r="H12858" s="5">
        <v>3.970800</v>
      </c>
    </row>
    <row r="12859" spans="1:9">
      <c r="A12859" s="22" t="str">
        <f>HYPERLINK("https://app.vivvix.com/360/KMI/IntelliDrive/ApplUI/Pages/CreativePages/CustomReportCreativeDetail.aspx?App=23&amp;ReportView=4&amp;Qid=1711279&amp;Row=12851&amp;Col=1","No Title Assigned - #15273506172")</f>
        <v/>
      </c>
      <c r="B12859" s="0" t="s">
        <v>17285</v>
      </c>
      <c r="E12859" s="0" t="inlineStr">
        <is>
          <t xml:space="preserve">Mazda</t>
        </is>
      </c>
      <c r="F12859" s="0" t="inlineStr">
        <is>
          <t xml:space="preserve">Mazda</t>
        </is>
      </c>
      <c r="G12859" s="0" t="s">
        <v>171</v>
      </c>
      <c r="H12859" s="5">
        <v>141058.875000</v>
      </c>
    </row>
    <row r="12860" spans="1:9">
      <c r="A12860" s="22" t="str">
        <f>HYPERLINK("https://app.vivvix.com/360/KMI/IntelliDrive/ApplUI/Pages/CreativePages/CustomReportCreativeDetail.aspx?App=23&amp;ReportView=4&amp;Qid=1711279&amp;Row=12852&amp;Col=1","No Title Assigned - #15273506172")</f>
        <v/>
      </c>
      <c r="B12860" s="0" t="s">
        <v>17285</v>
      </c>
      <c r="E12860" s="0" t="inlineStr">
        <is>
          <t xml:space="preserve">Mazda</t>
        </is>
      </c>
      <c r="F12860" s="0" t="inlineStr">
        <is>
          <t xml:space="preserve">Mazda</t>
        </is>
      </c>
      <c r="G12860" s="0" t="s">
        <v>171</v>
      </c>
      <c r="H12860" s="5">
        <v>390.515700</v>
      </c>
    </row>
    <row r="12861" spans="1:9">
      <c r="A12861" s="22" t="str">
        <f>HYPERLINK("https://app.vivvix.com/360/KMI/IntelliDrive/ApplUI/Pages/CreativePages/CustomReportCreativeDetail.aspx?App=23&amp;ReportView=4&amp;Qid=1711279&amp;Row=12853&amp;Col=1","No Title Assigned - #15273506188")</f>
        <v/>
      </c>
      <c r="B12861" s="0" t="s">
        <v>17286</v>
      </c>
      <c r="E12861" s="0" t="inlineStr">
        <is>
          <t xml:space="preserve">Mazda</t>
        </is>
      </c>
      <c r="F12861" s="0" t="inlineStr">
        <is>
          <t xml:space="preserve">Mazda</t>
        </is>
      </c>
      <c r="G12861" s="0" t="s">
        <v>171</v>
      </c>
      <c r="H12861" s="5">
        <v>1.155800</v>
      </c>
    </row>
    <row r="12862" spans="1:9">
      <c r="A12862" s="22" t="str">
        <f>HYPERLINK("https://app.vivvix.com/360/KMI/IntelliDrive/ApplUI/Pages/CreativePages/CustomReportCreativeDetail.aspx?App=23&amp;ReportView=4&amp;Qid=1711279&amp;Row=12854&amp;Col=1","No Title Assigned - #15273506196")</f>
        <v/>
      </c>
      <c r="B12862" s="0" t="s">
        <v>17287</v>
      </c>
      <c r="E12862" s="0" t="inlineStr">
        <is>
          <t xml:space="preserve">Mazda</t>
        </is>
      </c>
      <c r="F12862" s="0" t="inlineStr">
        <is>
          <t xml:space="preserve">Mazda</t>
        </is>
      </c>
      <c r="G12862" s="0" t="s">
        <v>171</v>
      </c>
      <c r="H12862" s="5">
        <v>3345.949800</v>
      </c>
    </row>
    <row r="12863" spans="1:9">
      <c r="A12863" s="22" t="str">
        <f>HYPERLINK("https://app.vivvix.com/360/KMI/IntelliDrive/ApplUI/Pages/CreativePages/CustomReportCreativeDetail.aspx?App=23&amp;ReportView=4&amp;Qid=1711279&amp;Row=12855&amp;Col=1","No Title Assigned - #15273506302")</f>
        <v/>
      </c>
      <c r="B12863" s="0" t="s">
        <v>17288</v>
      </c>
      <c r="E12863" s="0" t="inlineStr">
        <is>
          <t xml:space="preserve">Mazda</t>
        </is>
      </c>
      <c r="F12863" s="0" t="inlineStr">
        <is>
          <t xml:space="preserve">Mazda</t>
        </is>
      </c>
      <c r="G12863" s="0" t="s">
        <v>171</v>
      </c>
      <c r="H12863" s="5">
        <v>47.583900</v>
      </c>
    </row>
    <row r="12864" spans="1:9">
      <c r="A12864" s="22" t="str">
        <f>HYPERLINK("https://app.vivvix.com/360/KMI/IntelliDrive/ApplUI/Pages/CreativePages/CustomReportCreativeDetail.aspx?App=23&amp;ReportView=4&amp;Qid=1711279&amp;Row=12856&amp;Col=1","No Title Assigned - #15273506304")</f>
        <v/>
      </c>
      <c r="B12864" s="0" t="s">
        <v>17289</v>
      </c>
      <c r="C12864" s="0" t="s">
        <v>17290</v>
      </c>
      <c r="D12864" s="0" t="s">
        <v>17290</v>
      </c>
      <c r="E12864" s="0" t="inlineStr">
        <is>
          <t xml:space="preserve">Mazda</t>
        </is>
      </c>
      <c r="F12864" s="0" t="inlineStr">
        <is>
          <t xml:space="preserve">Mazda</t>
        </is>
      </c>
      <c r="G12864" s="0" t="s">
        <v>171</v>
      </c>
      <c r="H12864" s="5">
        <v>156.152100</v>
      </c>
    </row>
    <row r="12865" spans="1:9">
      <c r="A12865" s="22" t="str">
        <f>HYPERLINK("https://app.vivvix.com/360/KMI/IntelliDrive/ApplUI/Pages/CreativePages/CustomReportCreativeDetail.aspx?App=23&amp;ReportView=4&amp;Qid=1711279&amp;Row=12857&amp;Col=1","No Title Assigned - #15273507236")</f>
        <v/>
      </c>
      <c r="B12865" s="0" t="s">
        <v>17291</v>
      </c>
      <c r="E12865" s="0" t="inlineStr">
        <is>
          <t xml:space="preserve">Mazda</t>
        </is>
      </c>
      <c r="F12865" s="0" t="inlineStr">
        <is>
          <t xml:space="preserve">Mazda</t>
        </is>
      </c>
      <c r="G12865" s="0" t="s">
        <v>171</v>
      </c>
      <c r="H12865" s="5">
        <v>2.728500</v>
      </c>
    </row>
    <row r="12866" spans="1:9">
      <c r="A12866" s="22" t="str">
        <f>HYPERLINK("https://app.vivvix.com/360/KMI/IntelliDrive/ApplUI/Pages/CreativePages/CustomReportCreativeDetail.aspx?App=23&amp;ReportView=4&amp;Qid=1711279&amp;Row=12858&amp;Col=1","No Title Assigned - #15273507266")</f>
        <v/>
      </c>
      <c r="B12866" s="0" t="s">
        <v>17292</v>
      </c>
      <c r="E12866" s="0" t="inlineStr">
        <is>
          <t xml:space="preserve">Mazda</t>
        </is>
      </c>
      <c r="F12866" s="0" t="inlineStr">
        <is>
          <t xml:space="preserve">Mazda</t>
        </is>
      </c>
      <c r="G12866" s="0" t="s">
        <v>171</v>
      </c>
      <c r="H12866" s="5">
        <v>431.484000</v>
      </c>
    </row>
    <row r="12867" spans="1:9">
      <c r="A12867" s="22" t="str">
        <f>HYPERLINK("https://app.vivvix.com/360/KMI/IntelliDrive/ApplUI/Pages/CreativePages/CustomReportCreativeDetail.aspx?App=23&amp;ReportView=4&amp;Qid=1711279&amp;Row=12859&amp;Col=1","No Title Assigned - #15273507266")</f>
        <v/>
      </c>
      <c r="B12867" s="0" t="s">
        <v>17292</v>
      </c>
      <c r="C12867" s="0" t="s">
        <v>17293</v>
      </c>
      <c r="D12867" s="0" t="s">
        <v>17293</v>
      </c>
      <c r="E12867" s="0" t="inlineStr">
        <is>
          <t xml:space="preserve">Mazda</t>
        </is>
      </c>
      <c r="F12867" s="0" t="inlineStr">
        <is>
          <t xml:space="preserve">Mazda</t>
        </is>
      </c>
      <c r="G12867" s="0" t="s">
        <v>171</v>
      </c>
      <c r="H12867" s="5">
        <v>33.588700</v>
      </c>
    </row>
    <row r="12868" spans="1:9">
      <c r="A12868" s="22" t="str">
        <f>HYPERLINK("https://app.vivvix.com/360/KMI/IntelliDrive/ApplUI/Pages/CreativePages/CustomReportCreativeDetail.aspx?App=23&amp;ReportView=4&amp;Qid=1711279&amp;Row=12860&amp;Col=1","No Title Assigned - #15273507816")</f>
        <v/>
      </c>
      <c r="B12868" s="0" t="s">
        <v>17294</v>
      </c>
      <c r="E12868" s="0" t="inlineStr">
        <is>
          <t xml:space="preserve">Mazda</t>
        </is>
      </c>
      <c r="F12868" s="0" t="inlineStr">
        <is>
          <t xml:space="preserve">Mazda</t>
        </is>
      </c>
      <c r="G12868" s="0" t="s">
        <v>171</v>
      </c>
      <c r="H12868" s="5">
        <v>42.637700</v>
      </c>
    </row>
    <row r="12869" spans="1:9">
      <c r="A12869" s="22" t="str">
        <f>HYPERLINK("https://app.vivvix.com/360/KMI/IntelliDrive/ApplUI/Pages/CreativePages/CustomReportCreativeDetail.aspx?App=23&amp;ReportView=4&amp;Qid=1711279&amp;Row=12861&amp;Col=1","No Title Assigned - #15273507985")</f>
        <v/>
      </c>
      <c r="B12869" s="0" t="s">
        <v>17295</v>
      </c>
      <c r="E12869" s="0" t="inlineStr">
        <is>
          <t xml:space="preserve">Mazda</t>
        </is>
      </c>
      <c r="F12869" s="0" t="inlineStr">
        <is>
          <t xml:space="preserve">Mazda</t>
        </is>
      </c>
      <c r="G12869" s="0" t="s">
        <v>171</v>
      </c>
      <c r="H12869" s="5">
        <v>261.112500</v>
      </c>
    </row>
    <row r="12870" spans="1:9">
      <c r="A12870" s="22" t="str">
        <f>HYPERLINK("https://app.vivvix.com/360/KMI/IntelliDrive/ApplUI/Pages/CreativePages/CustomReportCreativeDetail.aspx?App=23&amp;ReportView=4&amp;Qid=1711279&amp;Row=12862&amp;Col=1","No Title Assigned - #15273508169")</f>
        <v/>
      </c>
      <c r="B12870" s="0" t="s">
        <v>17296</v>
      </c>
      <c r="E12870" s="0" t="inlineStr">
        <is>
          <t xml:space="preserve">Mazda</t>
        </is>
      </c>
      <c r="F12870" s="0" t="inlineStr">
        <is>
          <t xml:space="preserve">Mazda</t>
        </is>
      </c>
      <c r="G12870" s="0" t="s">
        <v>171</v>
      </c>
      <c r="H12870" s="5">
        <v>6.682500</v>
      </c>
    </row>
    <row r="12871" spans="1:9">
      <c r="A12871" s="22" t="str">
        <f>HYPERLINK("https://app.vivvix.com/360/KMI/IntelliDrive/ApplUI/Pages/CreativePages/CustomReportCreativeDetail.aspx?App=23&amp;ReportView=4&amp;Qid=1711279&amp;Row=12863&amp;Col=1","No Title Assigned - #15273508863")</f>
        <v/>
      </c>
      <c r="B12871" s="0" t="s">
        <v>17297</v>
      </c>
      <c r="E12871" s="0" t="inlineStr">
        <is>
          <t xml:space="preserve">Mazda</t>
        </is>
      </c>
      <c r="F12871" s="0" t="inlineStr">
        <is>
          <t xml:space="preserve">Mazda</t>
        </is>
      </c>
      <c r="G12871" s="0" t="s">
        <v>171</v>
      </c>
      <c r="H12871" s="5">
        <v>13.625000</v>
      </c>
    </row>
    <row r="12872" spans="1:9">
      <c r="A12872" s="22" t="str">
        <f>HYPERLINK("https://app.vivvix.com/360/KMI/IntelliDrive/ApplUI/Pages/CreativePages/CustomReportCreativeDetail.aspx?App=23&amp;ReportView=4&amp;Qid=1711279&amp;Row=12864&amp;Col=1","No Title Assigned - #15273509402")</f>
        <v/>
      </c>
      <c r="B12872" s="0" t="s">
        <v>17298</v>
      </c>
      <c r="E12872" s="0" t="inlineStr">
        <is>
          <t xml:space="preserve">Mazda</t>
        </is>
      </c>
      <c r="F12872" s="0" t="inlineStr">
        <is>
          <t xml:space="preserve">Mazda</t>
        </is>
      </c>
      <c r="G12872" s="0" t="s">
        <v>171</v>
      </c>
      <c r="H12872" s="5">
        <v>8.606100</v>
      </c>
    </row>
    <row r="12873" spans="1:9">
      <c r="A12873" s="22" t="str">
        <f>HYPERLINK("https://app.vivvix.com/360/KMI/IntelliDrive/ApplUI/Pages/CreativePages/CustomReportCreativeDetail.aspx?App=23&amp;ReportView=4&amp;Qid=1711279&amp;Row=12865&amp;Col=1","No Title Assigned - #15273509429")</f>
        <v/>
      </c>
      <c r="B12873" s="0" t="s">
        <v>17299</v>
      </c>
      <c r="E12873" s="0" t="inlineStr">
        <is>
          <t xml:space="preserve">Mazda</t>
        </is>
      </c>
      <c r="F12873" s="0" t="inlineStr">
        <is>
          <t xml:space="preserve">Mazda</t>
        </is>
      </c>
      <c r="G12873" s="0" t="s">
        <v>171</v>
      </c>
      <c r="H12873" s="5">
        <v>24.064000</v>
      </c>
    </row>
    <row r="12874" spans="1:9">
      <c r="A12874" s="22" t="str">
        <f>HYPERLINK("https://app.vivvix.com/360/KMI/IntelliDrive/ApplUI/Pages/CreativePages/CustomReportCreativeDetail.aspx?App=23&amp;ReportView=4&amp;Qid=1711279&amp;Row=12866&amp;Col=1","No Title Assigned - #15273509686")</f>
        <v/>
      </c>
      <c r="B12874" s="0" t="s">
        <v>17300</v>
      </c>
      <c r="E12874" s="0" t="inlineStr">
        <is>
          <t xml:space="preserve">Mazda</t>
        </is>
      </c>
      <c r="F12874" s="0" t="inlineStr">
        <is>
          <t xml:space="preserve">Mazda</t>
        </is>
      </c>
      <c r="G12874" s="0" t="s">
        <v>171</v>
      </c>
      <c r="H12874" s="5">
        <v>7.024000</v>
      </c>
    </row>
    <row r="12875" spans="1:9">
      <c r="A12875" s="22" t="str">
        <f>HYPERLINK("https://app.vivvix.com/360/KMI/IntelliDrive/ApplUI/Pages/CreativePages/CustomReportCreativeDetail.aspx?App=23&amp;ReportView=4&amp;Qid=1711279&amp;Row=12867&amp;Col=1","No Title Assigned - #15273509688")</f>
        <v/>
      </c>
      <c r="B12875" s="0" t="s">
        <v>17301</v>
      </c>
      <c r="E12875" s="0" t="inlineStr">
        <is>
          <t xml:space="preserve">Mazda</t>
        </is>
      </c>
      <c r="F12875" s="0" t="inlineStr">
        <is>
          <t xml:space="preserve">Mazda</t>
        </is>
      </c>
      <c r="G12875" s="0" t="s">
        <v>171</v>
      </c>
      <c r="H12875" s="5">
        <v>7.024000</v>
      </c>
    </row>
    <row r="12876" spans="1:9">
      <c r="A12876" s="22" t="str">
        <f>HYPERLINK("https://app.vivvix.com/360/KMI/IntelliDrive/ApplUI/Pages/CreativePages/CustomReportCreativeDetail.aspx?App=23&amp;ReportView=4&amp;Qid=1711279&amp;Row=12868&amp;Col=1","No Title Assigned - #15273509806")</f>
        <v/>
      </c>
      <c r="B12876" s="0" t="s">
        <v>17302</v>
      </c>
      <c r="E12876" s="0" t="inlineStr">
        <is>
          <t xml:space="preserve">Mazda</t>
        </is>
      </c>
      <c r="F12876" s="0" t="inlineStr">
        <is>
          <t xml:space="preserve">Mazda</t>
        </is>
      </c>
      <c r="G12876" s="0" t="s">
        <v>171</v>
      </c>
      <c r="H12876" s="5">
        <v>76.868500</v>
      </c>
    </row>
    <row r="12877" spans="1:9">
      <c r="A12877" s="22" t="str">
        <f>HYPERLINK("https://app.vivvix.com/360/KMI/IntelliDrive/ApplUI/Pages/CreativePages/CustomReportCreativeDetail.aspx?App=23&amp;ReportView=4&amp;Qid=1711279&amp;Row=12869&amp;Col=1","No Title Assigned - #15273510004")</f>
        <v/>
      </c>
      <c r="B12877" s="0" t="s">
        <v>17303</v>
      </c>
      <c r="E12877" s="0" t="inlineStr">
        <is>
          <t xml:space="preserve">Mazda</t>
        </is>
      </c>
      <c r="F12877" s="0" t="inlineStr">
        <is>
          <t xml:space="preserve">Mazda</t>
        </is>
      </c>
      <c r="G12877" s="0" t="s">
        <v>171</v>
      </c>
      <c r="H12877" s="5">
        <v>8.879600</v>
      </c>
    </row>
    <row r="12878" spans="1:9">
      <c r="A12878" s="22" t="str">
        <f>HYPERLINK("https://app.vivvix.com/360/KMI/IntelliDrive/ApplUI/Pages/CreativePages/CustomReportCreativeDetail.aspx?App=23&amp;ReportView=4&amp;Qid=1711279&amp;Row=12870&amp;Col=1","No Title Assigned - #15273510017")</f>
        <v/>
      </c>
      <c r="B12878" s="0" t="s">
        <v>17304</v>
      </c>
      <c r="C12878" s="0" t="s">
        <v>17305</v>
      </c>
      <c r="D12878" s="0" t="s">
        <v>9919</v>
      </c>
      <c r="E12878" s="0" t="inlineStr">
        <is>
          <t xml:space="preserve">Mazda</t>
        </is>
      </c>
      <c r="F12878" s="0" t="s">
        <v>13</v>
      </c>
      <c r="G12878" s="0" t="s">
        <v>49</v>
      </c>
      <c r="H12878" s="5">
        <v>71.892200</v>
      </c>
    </row>
    <row r="12879" spans="1:9">
      <c r="A12879" s="22" t="str">
        <f>HYPERLINK("https://app.vivvix.com/360/KMI/IntelliDrive/ApplUI/Pages/CreativePages/CustomReportCreativeDetail.aspx?App=23&amp;ReportView=4&amp;Qid=1711279&amp;Row=12871&amp;Col=1","No Title Assigned - #15273510560")</f>
        <v/>
      </c>
      <c r="B12879" s="0" t="s">
        <v>17306</v>
      </c>
      <c r="E12879" s="0" t="inlineStr">
        <is>
          <t xml:space="preserve">Mazda</t>
        </is>
      </c>
      <c r="F12879" s="0" t="inlineStr">
        <is>
          <t xml:space="preserve">Mazda</t>
        </is>
      </c>
      <c r="G12879" s="0" t="s">
        <v>171</v>
      </c>
      <c r="H12879" s="5">
        <v>237.051100</v>
      </c>
    </row>
    <row r="12880" spans="1:9">
      <c r="A12880" s="22" t="str">
        <f>HYPERLINK("https://app.vivvix.com/360/KMI/IntelliDrive/ApplUI/Pages/CreativePages/CustomReportCreativeDetail.aspx?App=23&amp;ReportView=4&amp;Qid=1711279&amp;Row=12872&amp;Col=1","No Title Assigned - #15273510641")</f>
        <v/>
      </c>
      <c r="B12880" s="0" t="s">
        <v>17307</v>
      </c>
      <c r="E12880" s="0" t="inlineStr">
        <is>
          <t xml:space="preserve">Mazda</t>
        </is>
      </c>
      <c r="F12880" s="0" t="inlineStr">
        <is>
          <t xml:space="preserve">Mazda</t>
        </is>
      </c>
      <c r="G12880" s="0" t="s">
        <v>171</v>
      </c>
      <c r="H12880" s="5">
        <v>240.372000</v>
      </c>
    </row>
    <row r="12881" spans="1:9">
      <c r="A12881" s="22" t="str">
        <f>HYPERLINK("https://app.vivvix.com/360/KMI/IntelliDrive/ApplUI/Pages/CreativePages/CustomReportCreativeDetail.aspx?App=23&amp;ReportView=4&amp;Qid=1711279&amp;Row=12873&amp;Col=1","No Title Assigned - #15273510775")</f>
        <v/>
      </c>
      <c r="B12881" s="0" t="s">
        <v>17308</v>
      </c>
      <c r="C12881" s="0" t="s">
        <v>17309</v>
      </c>
      <c r="D12881" s="0" t="s">
        <v>17309</v>
      </c>
      <c r="E12881" s="0" t="inlineStr">
        <is>
          <t xml:space="preserve">Mazda</t>
        </is>
      </c>
      <c r="F12881" s="0" t="inlineStr">
        <is>
          <t xml:space="preserve">Mazda</t>
        </is>
      </c>
      <c r="G12881" s="0" t="s">
        <v>171</v>
      </c>
      <c r="H12881" s="5">
        <v>70.261800</v>
      </c>
    </row>
    <row r="12882" spans="1:9">
      <c r="A12882" s="22" t="str">
        <f>HYPERLINK("https://app.vivvix.com/360/KMI/IntelliDrive/ApplUI/Pages/CreativePages/CustomReportCreativeDetail.aspx?App=23&amp;ReportView=4&amp;Qid=1711279&amp;Row=12874&amp;Col=1","No Title Assigned - #15273510800")</f>
        <v/>
      </c>
      <c r="B12882" s="0" t="s">
        <v>17310</v>
      </c>
      <c r="E12882" s="0" t="inlineStr">
        <is>
          <t xml:space="preserve">Mazda</t>
        </is>
      </c>
      <c r="F12882" s="0" t="inlineStr">
        <is>
          <t xml:space="preserve">Mazda</t>
        </is>
      </c>
      <c r="G12882" s="0" t="s">
        <v>171</v>
      </c>
      <c r="H12882" s="5">
        <v>109.839400</v>
      </c>
    </row>
    <row r="12883" spans="1:9">
      <c r="A12883" s="22" t="str">
        <f>HYPERLINK("https://app.vivvix.com/360/KMI/IntelliDrive/ApplUI/Pages/CreativePages/CustomReportCreativeDetail.aspx?App=23&amp;ReportView=4&amp;Qid=1711279&amp;Row=12875&amp;Col=1","No Title Assigned - #15273510884")</f>
        <v/>
      </c>
      <c r="B12883" s="0" t="s">
        <v>17311</v>
      </c>
      <c r="E12883" s="0" t="inlineStr">
        <is>
          <t xml:space="preserve">Mazda</t>
        </is>
      </c>
      <c r="F12883" s="0" t="inlineStr">
        <is>
          <t xml:space="preserve">Mazda</t>
        </is>
      </c>
      <c r="G12883" s="0" t="s">
        <v>171</v>
      </c>
      <c r="H12883" s="5">
        <v>502.821600</v>
      </c>
    </row>
    <row r="12884" spans="1:9">
      <c r="A12884" s="22" t="str">
        <f>HYPERLINK("https://app.vivvix.com/360/KMI/IntelliDrive/ApplUI/Pages/CreativePages/CustomReportCreativeDetail.aspx?App=23&amp;ReportView=4&amp;Qid=1711279&amp;Row=12876&amp;Col=1","No Title Assigned - #15273510978")</f>
        <v/>
      </c>
      <c r="B12884" s="0" t="s">
        <v>17312</v>
      </c>
      <c r="E12884" s="0" t="inlineStr">
        <is>
          <t xml:space="preserve">Mazda</t>
        </is>
      </c>
      <c r="F12884" s="0" t="inlineStr">
        <is>
          <t xml:space="preserve">Mazda</t>
        </is>
      </c>
      <c r="G12884" s="0" t="s">
        <v>171</v>
      </c>
      <c r="H12884" s="5">
        <v>5.003600</v>
      </c>
    </row>
    <row r="12885" spans="1:9">
      <c r="A12885" s="22" t="str">
        <f>HYPERLINK("https://app.vivvix.com/360/KMI/IntelliDrive/ApplUI/Pages/CreativePages/CustomReportCreativeDetail.aspx?App=23&amp;ReportView=4&amp;Qid=1711279&amp;Row=12877&amp;Col=1","No Title Assigned - #15273511050")</f>
        <v/>
      </c>
      <c r="B12885" s="0" t="s">
        <v>17313</v>
      </c>
      <c r="C12885" s="0" t="s">
        <v>17314</v>
      </c>
      <c r="D12885" s="0" t="s">
        <v>9037</v>
      </c>
      <c r="E12885" s="0" t="inlineStr">
        <is>
          <t xml:space="preserve">Mazda</t>
        </is>
      </c>
      <c r="F12885" s="0" t="s">
        <v>13</v>
      </c>
      <c r="G12885" s="0" t="s">
        <v>49</v>
      </c>
      <c r="H12885" s="5">
        <v>78.688800</v>
      </c>
    </row>
    <row r="12886" spans="1:9">
      <c r="A12886" s="22" t="str">
        <f>HYPERLINK("https://app.vivvix.com/360/KMI/IntelliDrive/ApplUI/Pages/CreativePages/CustomReportCreativeDetail.aspx?App=23&amp;ReportView=4&amp;Qid=1711279&amp;Row=12878&amp;Col=1","No Title Assigned - #15273511260")</f>
        <v/>
      </c>
      <c r="B12886" s="0" t="s">
        <v>17315</v>
      </c>
      <c r="E12886" s="0" t="inlineStr">
        <is>
          <t xml:space="preserve">Mazda</t>
        </is>
      </c>
      <c r="F12886" s="0" t="inlineStr">
        <is>
          <t xml:space="preserve">Mazda</t>
        </is>
      </c>
      <c r="G12886" s="0" t="s">
        <v>171</v>
      </c>
      <c r="H12886" s="5">
        <v>2.161700</v>
      </c>
    </row>
    <row r="12887" spans="1:9">
      <c r="A12887" s="22" t="str">
        <f>HYPERLINK("https://app.vivvix.com/360/KMI/IntelliDrive/ApplUI/Pages/CreativePages/CustomReportCreativeDetail.aspx?App=23&amp;ReportView=4&amp;Qid=1711279&amp;Row=12879&amp;Col=1","No Title Assigned - #15273511458")</f>
        <v/>
      </c>
      <c r="B12887" s="0" t="s">
        <v>17316</v>
      </c>
      <c r="E12887" s="0" t="inlineStr">
        <is>
          <t xml:space="preserve">Mazda</t>
        </is>
      </c>
      <c r="F12887" s="0" t="inlineStr">
        <is>
          <t xml:space="preserve">Mazda</t>
        </is>
      </c>
      <c r="G12887" s="0" t="s">
        <v>171</v>
      </c>
      <c r="H12887" s="5">
        <v>1.030500</v>
      </c>
    </row>
    <row r="12888" spans="1:9">
      <c r="A12888" s="22" t="str">
        <f>HYPERLINK("https://app.vivvix.com/360/KMI/IntelliDrive/ApplUI/Pages/CreativePages/CustomReportCreativeDetail.aspx?App=23&amp;ReportView=4&amp;Qid=1711279&amp;Row=12880&amp;Col=1","No Title Assigned - #15273511629")</f>
        <v/>
      </c>
      <c r="B12888" s="0" t="s">
        <v>17317</v>
      </c>
      <c r="E12888" s="0" t="inlineStr">
        <is>
          <t xml:space="preserve">Mazda</t>
        </is>
      </c>
      <c r="F12888" s="0" t="inlineStr">
        <is>
          <t xml:space="preserve">Mazda</t>
        </is>
      </c>
      <c r="G12888" s="0" t="s">
        <v>171</v>
      </c>
      <c r="H12888" s="5">
        <v>379.061800</v>
      </c>
    </row>
    <row r="12889" spans="1:9">
      <c r="A12889" s="22" t="str">
        <f>HYPERLINK("https://app.vivvix.com/360/KMI/IntelliDrive/ApplUI/Pages/CreativePages/CustomReportCreativeDetail.aspx?App=23&amp;ReportView=4&amp;Qid=1711279&amp;Row=12881&amp;Col=1","No Title Assigned - #15273511760")</f>
        <v/>
      </c>
      <c r="B12889" s="0" t="s">
        <v>17318</v>
      </c>
      <c r="E12889" s="0" t="inlineStr">
        <is>
          <t xml:space="preserve">Mazda</t>
        </is>
      </c>
      <c r="F12889" s="0" t="inlineStr">
        <is>
          <t xml:space="preserve">Mazda</t>
        </is>
      </c>
      <c r="G12889" s="0" t="s">
        <v>171</v>
      </c>
      <c r="H12889" s="5">
        <v>324.102900</v>
      </c>
    </row>
    <row r="12890" spans="1:9">
      <c r="A12890" s="22" t="str">
        <f>HYPERLINK("https://app.vivvix.com/360/KMI/IntelliDrive/ApplUI/Pages/CreativePages/CustomReportCreativeDetail.aspx?App=23&amp;ReportView=4&amp;Qid=1711279&amp;Row=12882&amp;Col=1","No Title Assigned - #15273513065")</f>
        <v/>
      </c>
      <c r="B12890" s="0" t="s">
        <v>17319</v>
      </c>
      <c r="C12890" s="0" t="s">
        <v>17320</v>
      </c>
      <c r="D12890" s="0" t="s">
        <v>17320</v>
      </c>
      <c r="E12890" s="0" t="inlineStr">
        <is>
          <t xml:space="preserve">Mazda</t>
        </is>
      </c>
      <c r="F12890" s="0" t="inlineStr">
        <is>
          <t xml:space="preserve">Mazda</t>
        </is>
      </c>
      <c r="G12890" s="0" t="s">
        <v>171</v>
      </c>
      <c r="H12890" s="5">
        <v>1844.204200</v>
      </c>
    </row>
    <row r="12891" spans="1:9">
      <c r="A12891" s="22" t="str">
        <f>HYPERLINK("https://app.vivvix.com/360/KMI/IntelliDrive/ApplUI/Pages/CreativePages/CustomReportCreativeDetail.aspx?App=23&amp;ReportView=4&amp;Qid=1711279&amp;Row=12883&amp;Col=1","No Title Assigned - #15273513076")</f>
        <v/>
      </c>
      <c r="B12891" s="0" t="s">
        <v>17321</v>
      </c>
      <c r="E12891" s="0" t="inlineStr">
        <is>
          <t xml:space="preserve">Mazda</t>
        </is>
      </c>
      <c r="F12891" s="0" t="inlineStr">
        <is>
          <t xml:space="preserve">Mazda</t>
        </is>
      </c>
      <c r="G12891" s="0" t="s">
        <v>171</v>
      </c>
      <c r="H12891" s="5">
        <v>62.983100</v>
      </c>
    </row>
    <row r="12892" spans="1:9">
      <c r="A12892" s="22" t="str">
        <f>HYPERLINK("https://app.vivvix.com/360/KMI/IntelliDrive/ApplUI/Pages/CreativePages/CustomReportCreativeDetail.aspx?App=23&amp;ReportView=4&amp;Qid=1711279&amp;Row=12884&amp;Col=1","No Title Assigned - #15273513475")</f>
        <v/>
      </c>
      <c r="B12892" s="0" t="s">
        <v>17322</v>
      </c>
      <c r="E12892" s="0" t="inlineStr">
        <is>
          <t xml:space="preserve">Mazda</t>
        </is>
      </c>
      <c r="F12892" s="0" t="inlineStr">
        <is>
          <t xml:space="preserve">Mazda</t>
        </is>
      </c>
      <c r="G12892" s="0" t="s">
        <v>171</v>
      </c>
      <c r="H12892" s="5">
        <v>402.992500</v>
      </c>
    </row>
    <row r="12893" spans="1:9">
      <c r="A12893" s="22" t="str">
        <f>HYPERLINK("https://app.vivvix.com/360/KMI/IntelliDrive/ApplUI/Pages/CreativePages/CustomReportCreativeDetail.aspx?App=23&amp;ReportView=4&amp;Qid=1711279&amp;Row=12885&amp;Col=1","No Title Assigned - #15273513866")</f>
        <v/>
      </c>
      <c r="B12893" s="0" t="s">
        <v>17323</v>
      </c>
      <c r="E12893" s="0" t="inlineStr">
        <is>
          <t xml:space="preserve">Mazda</t>
        </is>
      </c>
      <c r="F12893" s="0" t="inlineStr">
        <is>
          <t xml:space="preserve">Mazda</t>
        </is>
      </c>
      <c r="G12893" s="0" t="s">
        <v>171</v>
      </c>
      <c r="H12893" s="5">
        <v>9.456400</v>
      </c>
    </row>
    <row r="12894" spans="1:9">
      <c r="A12894" s="22" t="str">
        <f>HYPERLINK("https://app.vivvix.com/360/KMI/IntelliDrive/ApplUI/Pages/CreativePages/CustomReportCreativeDetail.aspx?App=23&amp;ReportView=4&amp;Qid=1711279&amp;Row=12886&amp;Col=1","No Title Assigned - #15273514836")</f>
        <v/>
      </c>
      <c r="B12894" s="0" t="s">
        <v>17324</v>
      </c>
      <c r="E12894" s="0" t="inlineStr">
        <is>
          <t xml:space="preserve">Mazda</t>
        </is>
      </c>
      <c r="F12894" s="0" t="inlineStr">
        <is>
          <t xml:space="preserve">Mazda</t>
        </is>
      </c>
      <c r="G12894" s="0" t="s">
        <v>171</v>
      </c>
      <c r="H12894" s="5">
        <v>28.997300</v>
      </c>
    </row>
    <row r="12895" spans="1:9">
      <c r="A12895" s="22" t="str">
        <f>HYPERLINK("https://app.vivvix.com/360/KMI/IntelliDrive/ApplUI/Pages/CreativePages/CustomReportCreativeDetail.aspx?App=23&amp;ReportView=4&amp;Qid=1711279&amp;Row=12887&amp;Col=1","No Title Assigned - #15273514845")</f>
        <v/>
      </c>
      <c r="B12895" s="0" t="s">
        <v>17325</v>
      </c>
      <c r="E12895" s="0" t="inlineStr">
        <is>
          <t xml:space="preserve">Mazda</t>
        </is>
      </c>
      <c r="F12895" s="0" t="inlineStr">
        <is>
          <t xml:space="preserve">Mazda</t>
        </is>
      </c>
      <c r="G12895" s="0" t="s">
        <v>171</v>
      </c>
      <c r="H12895" s="5">
        <v>13.860200</v>
      </c>
    </row>
    <row r="12896" spans="1:9">
      <c r="A12896" s="22" t="str">
        <f>HYPERLINK("https://app.vivvix.com/360/KMI/IntelliDrive/ApplUI/Pages/CreativePages/CustomReportCreativeDetail.aspx?App=23&amp;ReportView=4&amp;Qid=1711279&amp;Row=12888&amp;Col=1","No Title Assigned - #15273515547")</f>
        <v/>
      </c>
      <c r="B12896" s="0" t="s">
        <v>17326</v>
      </c>
      <c r="C12896" s="0" t="s">
        <v>17327</v>
      </c>
      <c r="D12896" s="0" t="s">
        <v>17327</v>
      </c>
      <c r="E12896" s="0" t="inlineStr">
        <is>
          <t xml:space="preserve">Mazda</t>
        </is>
      </c>
      <c r="F12896" s="0" t="inlineStr">
        <is>
          <t xml:space="preserve">Mazda</t>
        </is>
      </c>
      <c r="G12896" s="0" t="s">
        <v>171</v>
      </c>
      <c r="H12896" s="5">
        <v>650.495900</v>
      </c>
    </row>
    <row r="12897" spans="1:9">
      <c r="A12897" s="22" t="str">
        <f>HYPERLINK("https://app.vivvix.com/360/KMI/IntelliDrive/ApplUI/Pages/CreativePages/CustomReportCreativeDetail.aspx?App=23&amp;ReportView=4&amp;Qid=1711279&amp;Row=12889&amp;Col=1","No Title Assigned - #15273515662")</f>
        <v/>
      </c>
      <c r="B12897" s="0" t="s">
        <v>17328</v>
      </c>
      <c r="E12897" s="0" t="inlineStr">
        <is>
          <t xml:space="preserve">Mazda</t>
        </is>
      </c>
      <c r="F12897" s="0" t="inlineStr">
        <is>
          <t xml:space="preserve">Mazda</t>
        </is>
      </c>
      <c r="G12897" s="0" t="s">
        <v>171</v>
      </c>
      <c r="H12897" s="5">
        <v>128.319700</v>
      </c>
    </row>
    <row r="12898" spans="1:9">
      <c r="A12898" s="22" t="str">
        <f>HYPERLINK("https://app.vivvix.com/360/KMI/IntelliDrive/ApplUI/Pages/CreativePages/CustomReportCreativeDetail.aspx?App=23&amp;ReportView=4&amp;Qid=1711279&amp;Row=12890&amp;Col=1","No Title Assigned - #15273515695")</f>
        <v/>
      </c>
      <c r="B12898" s="0" t="s">
        <v>17329</v>
      </c>
      <c r="E12898" s="0" t="inlineStr">
        <is>
          <t xml:space="preserve">Mazda</t>
        </is>
      </c>
      <c r="F12898" s="0" t="inlineStr">
        <is>
          <t xml:space="preserve">Mazda</t>
        </is>
      </c>
      <c r="G12898" s="0" t="s">
        <v>171</v>
      </c>
      <c r="H12898" s="5">
        <v>2218.376100</v>
      </c>
    </row>
    <row r="12899" spans="1:9">
      <c r="A12899" s="22" t="str">
        <f>HYPERLINK("https://app.vivvix.com/360/KMI/IntelliDrive/ApplUI/Pages/CreativePages/CustomReportCreativeDetail.aspx?App=23&amp;ReportView=4&amp;Qid=1711279&amp;Row=12891&amp;Col=1","No Title Assigned - #15273516834")</f>
        <v/>
      </c>
      <c r="B12899" s="0" t="s">
        <v>17330</v>
      </c>
      <c r="E12899" s="0" t="inlineStr">
        <is>
          <t xml:space="preserve">Mazda</t>
        </is>
      </c>
      <c r="F12899" s="0" t="inlineStr">
        <is>
          <t xml:space="preserve">Mazda</t>
        </is>
      </c>
      <c r="G12899" s="0" t="s">
        <v>171</v>
      </c>
      <c r="H12899" s="5">
        <v>13.052700</v>
      </c>
    </row>
    <row r="12900" spans="1:9">
      <c r="A12900" s="22" t="str">
        <f>HYPERLINK("https://app.vivvix.com/360/KMI/IntelliDrive/ApplUI/Pages/CreativePages/CustomReportCreativeDetail.aspx?App=23&amp;ReportView=4&amp;Qid=1711279&amp;Row=12892&amp;Col=1","No Title Assigned - #15273517739")</f>
        <v/>
      </c>
      <c r="B12900" s="0" t="s">
        <v>17331</v>
      </c>
      <c r="E12900" s="0" t="inlineStr">
        <is>
          <t xml:space="preserve">Mazda</t>
        </is>
      </c>
      <c r="F12900" s="0" t="s">
        <v>21</v>
      </c>
      <c r="G12900" s="0" t="s">
        <v>22</v>
      </c>
      <c r="H12900" s="5">
        <v>5440.740700</v>
      </c>
    </row>
    <row r="12901" spans="1:9">
      <c r="A12901" s="22" t="str">
        <f>HYPERLINK("https://app.vivvix.com/360/KMI/IntelliDrive/ApplUI/Pages/CreativePages/CustomReportCreativeDetail.aspx?App=23&amp;ReportView=4&amp;Qid=1711279&amp;Row=12893&amp;Col=1","No Title Assigned - #15273518946")</f>
        <v/>
      </c>
      <c r="B12901" s="0" t="s">
        <v>17332</v>
      </c>
      <c r="E12901" s="0" t="inlineStr">
        <is>
          <t xml:space="preserve">Mazda</t>
        </is>
      </c>
      <c r="F12901" s="0" t="inlineStr">
        <is>
          <t xml:space="preserve">Mazda</t>
        </is>
      </c>
      <c r="G12901" s="0" t="s">
        <v>171</v>
      </c>
      <c r="H12901" s="5">
        <v>15531.272700</v>
      </c>
    </row>
    <row r="12902" spans="1:9">
      <c r="A12902" s="22" t="str">
        <f>HYPERLINK("https://app.vivvix.com/360/KMI/IntelliDrive/ApplUI/Pages/CreativePages/CustomReportCreativeDetail.aspx?App=23&amp;ReportView=4&amp;Qid=1711279&amp;Row=12894&amp;Col=1","No Title Assigned - #15273519172")</f>
        <v/>
      </c>
      <c r="B12902" s="0" t="s">
        <v>17333</v>
      </c>
      <c r="E12902" s="0" t="inlineStr">
        <is>
          <t xml:space="preserve">Mazda</t>
        </is>
      </c>
      <c r="F12902" s="0" t="inlineStr">
        <is>
          <t xml:space="preserve">Mazda</t>
        </is>
      </c>
      <c r="G12902" s="0" t="s">
        <v>171</v>
      </c>
      <c r="H12902" s="5">
        <v>40.631500</v>
      </c>
    </row>
    <row r="12903" spans="1:9">
      <c r="A12903" s="22" t="str">
        <f>HYPERLINK("https://app.vivvix.com/360/KMI/IntelliDrive/ApplUI/Pages/CreativePages/CustomReportCreativeDetail.aspx?App=23&amp;ReportView=4&amp;Qid=1711279&amp;Row=12895&amp;Col=1","No Title Assigned - #15273519339")</f>
        <v/>
      </c>
      <c r="B12903" s="0" t="s">
        <v>17334</v>
      </c>
      <c r="C12903" s="0" t="s">
        <v>17335</v>
      </c>
      <c r="D12903" s="0" t="s">
        <v>17335</v>
      </c>
      <c r="E12903" s="0" t="inlineStr">
        <is>
          <t xml:space="preserve">Mazda</t>
        </is>
      </c>
      <c r="F12903" s="0" t="s">
        <v>28</v>
      </c>
      <c r="G12903" s="0" t="s">
        <v>29</v>
      </c>
      <c r="H12903" s="5">
        <v>52.985500</v>
      </c>
    </row>
    <row r="12904" spans="1:9">
      <c r="A12904" s="22" t="str">
        <f>HYPERLINK("https://app.vivvix.com/360/KMI/IntelliDrive/ApplUI/Pages/CreativePages/CustomReportCreativeDetail.aspx?App=23&amp;ReportView=4&amp;Qid=1711279&amp;Row=12896&amp;Col=1","No Title Assigned - #15273525458")</f>
        <v/>
      </c>
      <c r="B12904" s="0" t="s">
        <v>17336</v>
      </c>
      <c r="E12904" s="0" t="inlineStr">
        <is>
          <t xml:space="preserve">Mazda</t>
        </is>
      </c>
      <c r="F12904" s="0" t="inlineStr">
        <is>
          <t xml:space="preserve">Mazda</t>
        </is>
      </c>
      <c r="G12904" s="0" t="s">
        <v>171</v>
      </c>
      <c r="H12904" s="5">
        <v>604.354100</v>
      </c>
    </row>
    <row r="12905" spans="1:9">
      <c r="A12905" s="22" t="str">
        <f>HYPERLINK("https://app.vivvix.com/360/KMI/IntelliDrive/ApplUI/Pages/CreativePages/CustomReportCreativeDetail.aspx?App=23&amp;ReportView=4&amp;Qid=1711279&amp;Row=12897&amp;Col=1","No Title Assigned - #15273525994")</f>
        <v/>
      </c>
      <c r="B12905" s="0" t="s">
        <v>17337</v>
      </c>
      <c r="E12905" s="0" t="inlineStr">
        <is>
          <t xml:space="preserve">Mazda</t>
        </is>
      </c>
      <c r="F12905" s="0" t="inlineStr">
        <is>
          <t xml:space="preserve">Mazda</t>
        </is>
      </c>
      <c r="G12905" s="0" t="s">
        <v>171</v>
      </c>
      <c r="H12905" s="5">
        <v>1036.027000</v>
      </c>
    </row>
    <row r="12906" spans="1:9">
      <c r="A12906" s="22" t="str">
        <f>HYPERLINK("https://app.vivvix.com/360/KMI/IntelliDrive/ApplUI/Pages/CreativePages/CustomReportCreativeDetail.aspx?App=23&amp;ReportView=4&amp;Qid=1711279&amp;Row=12898&amp;Col=1","No Title Assigned - #15273525994")</f>
        <v/>
      </c>
      <c r="B12906" s="0" t="s">
        <v>17337</v>
      </c>
      <c r="E12906" s="0" t="inlineStr">
        <is>
          <t xml:space="preserve">Mazda</t>
        </is>
      </c>
      <c r="F12906" s="0" t="inlineStr">
        <is>
          <t xml:space="preserve">Mazda</t>
        </is>
      </c>
      <c r="G12906" s="0" t="s">
        <v>171</v>
      </c>
      <c r="H12906" s="5">
        <v>19.418600</v>
      </c>
    </row>
    <row r="12907" spans="1:9">
      <c r="A12907" s="22" t="str">
        <f>HYPERLINK("https://app.vivvix.com/360/KMI/IntelliDrive/ApplUI/Pages/CreativePages/CustomReportCreativeDetail.aspx?App=23&amp;ReportView=4&amp;Qid=1711279&amp;Row=12899&amp;Col=1","No Title Assigned - #15273533350")</f>
        <v/>
      </c>
      <c r="B12907" s="0" t="s">
        <v>17338</v>
      </c>
      <c r="E12907" s="0" t="inlineStr">
        <is>
          <t xml:space="preserve">Mazda</t>
        </is>
      </c>
      <c r="F12907" s="0" t="inlineStr">
        <is>
          <t xml:space="preserve">Mazda</t>
        </is>
      </c>
      <c r="G12907" s="0" t="s">
        <v>171</v>
      </c>
      <c r="H12907" s="5">
        <v>18.027700</v>
      </c>
    </row>
    <row r="12908" spans="1:9">
      <c r="A12908" s="22" t="str">
        <f>HYPERLINK("https://app.vivvix.com/360/KMI/IntelliDrive/ApplUI/Pages/CreativePages/CustomReportCreativeDetail.aspx?App=23&amp;ReportView=4&amp;Qid=1711279&amp;Row=12900&amp;Col=1","No Title Assigned - #15273535260")</f>
        <v/>
      </c>
      <c r="B12908" s="0" t="s">
        <v>17339</v>
      </c>
      <c r="E12908" s="0" t="inlineStr">
        <is>
          <t xml:space="preserve">Mazda</t>
        </is>
      </c>
      <c r="F12908" s="0" t="inlineStr">
        <is>
          <t xml:space="preserve">Mazda</t>
        </is>
      </c>
      <c r="G12908" s="0" t="s">
        <v>171</v>
      </c>
      <c r="H12908" s="5">
        <v>9.867400</v>
      </c>
    </row>
    <row r="12909" spans="1:9">
      <c r="A12909" s="22" t="str">
        <f>HYPERLINK("https://app.vivvix.com/360/KMI/IntelliDrive/ApplUI/Pages/CreativePages/CustomReportCreativeDetail.aspx?App=23&amp;ReportView=4&amp;Qid=1711279&amp;Row=12901&amp;Col=1","No Title Assigned - #15273536720")</f>
        <v/>
      </c>
      <c r="B12909" s="0" t="s">
        <v>17340</v>
      </c>
      <c r="C12909" s="0" t="s">
        <v>17341</v>
      </c>
      <c r="D12909" s="0" t="s">
        <v>13614</v>
      </c>
      <c r="E12909" s="0" t="inlineStr">
        <is>
          <t xml:space="preserve">Mazda</t>
        </is>
      </c>
      <c r="F12909" s="0" t="s">
        <v>28</v>
      </c>
      <c r="G12909" s="0" t="s">
        <v>29</v>
      </c>
      <c r="H12909" s="5">
        <v>4.062500</v>
      </c>
    </row>
    <row r="12910" spans="1:9">
      <c r="A12910" s="22" t="str">
        <f>HYPERLINK("https://app.vivvix.com/360/KMI/IntelliDrive/ApplUI/Pages/CreativePages/CustomReportCreativeDetail.aspx?App=23&amp;ReportView=4&amp;Qid=1711279&amp;Row=12902&amp;Col=1","No Title Assigned - #15273537035")</f>
        <v/>
      </c>
      <c r="B12910" s="0" t="s">
        <v>17342</v>
      </c>
      <c r="E12910" s="0" t="inlineStr">
        <is>
          <t xml:space="preserve">Mazda</t>
        </is>
      </c>
      <c r="F12910" s="0" t="inlineStr">
        <is>
          <t xml:space="preserve">Mazda</t>
        </is>
      </c>
      <c r="G12910" s="0" t="s">
        <v>171</v>
      </c>
      <c r="H12910" s="5">
        <v>15.209500</v>
      </c>
    </row>
    <row r="12911" spans="1:9">
      <c r="A12911" s="22" t="str">
        <f>HYPERLINK("https://app.vivvix.com/360/KMI/IntelliDrive/ApplUI/Pages/CreativePages/CustomReportCreativeDetail.aspx?App=23&amp;ReportView=4&amp;Qid=1711279&amp;Row=12903&amp;Col=1","No Title Assigned - #15273537570")</f>
        <v/>
      </c>
      <c r="B12911" s="0" t="s">
        <v>17343</v>
      </c>
      <c r="E12911" s="0" t="inlineStr">
        <is>
          <t xml:space="preserve">Mazda</t>
        </is>
      </c>
      <c r="F12911" s="0" t="inlineStr">
        <is>
          <t xml:space="preserve">Mazda</t>
        </is>
      </c>
      <c r="G12911" s="0" t="s">
        <v>171</v>
      </c>
      <c r="H12911" s="5">
        <v>24.064000</v>
      </c>
    </row>
    <row r="12912" spans="1:9">
      <c r="A12912" s="22" t="str">
        <f>HYPERLINK("https://app.vivvix.com/360/KMI/IntelliDrive/ApplUI/Pages/CreativePages/CustomReportCreativeDetail.aspx?App=23&amp;ReportView=4&amp;Qid=1711279&amp;Row=12904&amp;Col=1","No Title Assigned - #15273538191")</f>
        <v/>
      </c>
      <c r="B12912" s="0" t="s">
        <v>17344</v>
      </c>
      <c r="C12912" s="0" t="s">
        <v>17345</v>
      </c>
      <c r="D12912" s="0" t="s">
        <v>9037</v>
      </c>
      <c r="E12912" s="0" t="inlineStr">
        <is>
          <t xml:space="preserve">Mazda</t>
        </is>
      </c>
      <c r="F12912" s="0" t="s">
        <v>13</v>
      </c>
      <c r="G12912" s="0" t="s">
        <v>49</v>
      </c>
      <c r="H12912" s="5">
        <v>476.900100</v>
      </c>
    </row>
    <row r="12913" spans="1:9">
      <c r="A12913" s="22" t="str">
        <f>HYPERLINK("https://app.vivvix.com/360/KMI/IntelliDrive/ApplUI/Pages/CreativePages/CustomReportCreativeDetail.aspx?App=23&amp;ReportView=4&amp;Qid=1711279&amp;Row=12905&amp;Col=1","No Title Assigned - #15273541917")</f>
        <v/>
      </c>
      <c r="B12913" s="0" t="s">
        <v>17346</v>
      </c>
      <c r="E12913" s="0" t="inlineStr">
        <is>
          <t xml:space="preserve">Mazda</t>
        </is>
      </c>
      <c r="F12913" s="0" t="inlineStr">
        <is>
          <t xml:space="preserve">Mazda</t>
        </is>
      </c>
      <c r="G12913" s="0" t="s">
        <v>171</v>
      </c>
      <c r="H12913" s="5">
        <v>5.446800</v>
      </c>
    </row>
    <row r="12914" spans="1:9">
      <c r="A12914" s="22" t="str">
        <f>HYPERLINK("https://app.vivvix.com/360/KMI/IntelliDrive/ApplUI/Pages/CreativePages/CustomReportCreativeDetail.aspx?App=23&amp;ReportView=4&amp;Qid=1711279&amp;Row=12906&amp;Col=1","No Title Assigned - #15273542873")</f>
        <v/>
      </c>
      <c r="B12914" s="0" t="s">
        <v>17347</v>
      </c>
      <c r="C12914" s="0" t="s">
        <v>17348</v>
      </c>
      <c r="D12914" s="0" t="s">
        <v>6170</v>
      </c>
      <c r="E12914" s="0" t="inlineStr">
        <is>
          <t xml:space="preserve">Mazda</t>
        </is>
      </c>
      <c r="F12914" s="0" t="s">
        <v>28</v>
      </c>
      <c r="G12914" s="0" t="s">
        <v>29</v>
      </c>
      <c r="H12914" s="5">
        <v>6.371700</v>
      </c>
    </row>
    <row r="12915" spans="1:9">
      <c r="A12915" s="22" t="str">
        <f>HYPERLINK("https://app.vivvix.com/360/KMI/IntelliDrive/ApplUI/Pages/CreativePages/CustomReportCreativeDetail.aspx?App=23&amp;ReportView=4&amp;Qid=1711279&amp;Row=12907&amp;Col=1","No Title Assigned - #15273544349")</f>
        <v/>
      </c>
      <c r="B12915" s="0" t="s">
        <v>17349</v>
      </c>
      <c r="C12915" s="0" t="s">
        <v>17350</v>
      </c>
      <c r="D12915" s="0" t="s">
        <v>10089</v>
      </c>
      <c r="E12915" s="0" t="inlineStr">
        <is>
          <t xml:space="preserve">Mazda</t>
        </is>
      </c>
      <c r="F12915" s="0" t="s">
        <v>13</v>
      </c>
      <c r="G12915" s="0" t="s">
        <v>49</v>
      </c>
      <c r="H12915" s="5">
        <v>25.427800</v>
      </c>
    </row>
    <row r="12916" spans="1:9">
      <c r="A12916" s="22" t="str">
        <f>HYPERLINK("https://app.vivvix.com/360/KMI/IntelliDrive/ApplUI/Pages/CreativePages/CustomReportCreativeDetail.aspx?App=23&amp;ReportView=4&amp;Qid=1711279&amp;Row=12908&amp;Col=1","No Title Assigned - #15273545449")</f>
        <v/>
      </c>
      <c r="B12916" s="0" t="s">
        <v>17351</v>
      </c>
      <c r="C12916" s="0" t="s">
        <v>17352</v>
      </c>
      <c r="D12916" s="0" t="s">
        <v>4335</v>
      </c>
      <c r="E12916" s="0" t="inlineStr">
        <is>
          <t xml:space="preserve">Mazda</t>
        </is>
      </c>
      <c r="F12916" s="0" t="s">
        <v>13</v>
      </c>
      <c r="G12916" s="0" t="s">
        <v>49</v>
      </c>
      <c r="H12916" s="5">
        <v>727.115700</v>
      </c>
    </row>
    <row r="12917" spans="1:9">
      <c r="A12917" s="22" t="str">
        <f>HYPERLINK("https://app.vivvix.com/360/KMI/IntelliDrive/ApplUI/Pages/CreativePages/CustomReportCreativeDetail.aspx?App=23&amp;ReportView=4&amp;Qid=1711279&amp;Row=12909&amp;Col=1","No Title Assigned - #15273546048")</f>
        <v/>
      </c>
      <c r="B12917" s="0" t="s">
        <v>17353</v>
      </c>
      <c r="C12917" s="0" t="s">
        <v>17354</v>
      </c>
      <c r="D12917" s="0" t="s">
        <v>17354</v>
      </c>
      <c r="E12917" s="0" t="inlineStr">
        <is>
          <t xml:space="preserve">Mazda</t>
        </is>
      </c>
      <c r="F12917" s="0" t="s">
        <v>13</v>
      </c>
      <c r="G12917" s="0" t="s">
        <v>49</v>
      </c>
      <c r="H12917" s="5">
        <v>280.569400</v>
      </c>
    </row>
    <row r="12918" spans="1:9">
      <c r="A12918" s="22" t="str">
        <f>HYPERLINK("https://app.vivvix.com/360/KMI/IntelliDrive/ApplUI/Pages/CreativePages/CustomReportCreativeDetail.aspx?App=23&amp;ReportView=4&amp;Qid=1711279&amp;Row=12910&amp;Col=1","No Title Assigned - #15273549297")</f>
        <v/>
      </c>
      <c r="B12918" s="0" t="s">
        <v>17355</v>
      </c>
      <c r="C12918" s="0" t="s">
        <v>17356</v>
      </c>
      <c r="D12918" s="0" t="s">
        <v>10770</v>
      </c>
      <c r="E12918" s="0" t="inlineStr">
        <is>
          <t xml:space="preserve">Mazda</t>
        </is>
      </c>
      <c r="F12918" s="0" t="s">
        <v>13</v>
      </c>
      <c r="G12918" s="0" t="s">
        <v>49</v>
      </c>
      <c r="H12918" s="5">
        <v>138.358500</v>
      </c>
    </row>
    <row r="12919" spans="1:9">
      <c r="A12919" s="22" t="str">
        <f>HYPERLINK("https://app.vivvix.com/360/KMI/IntelliDrive/ApplUI/Pages/CreativePages/CustomReportCreativeDetail.aspx?App=23&amp;ReportView=4&amp;Qid=1711279&amp;Row=12911&amp;Col=1","No Title Assigned - #15273551359")</f>
        <v/>
      </c>
      <c r="B12919" s="0" t="s">
        <v>17357</v>
      </c>
      <c r="C12919" s="0" t="s">
        <v>17358</v>
      </c>
      <c r="D12919" s="0" t="s">
        <v>17358</v>
      </c>
      <c r="E12919" s="0" t="inlineStr">
        <is>
          <t xml:space="preserve">Mazda</t>
        </is>
      </c>
      <c r="F12919" s="0" t="s">
        <v>13</v>
      </c>
      <c r="G12919" s="0" t="s">
        <v>49</v>
      </c>
      <c r="H12919" s="5">
        <v>254.250400</v>
      </c>
    </row>
    <row r="12920" spans="1:9">
      <c r="A12920" s="22" t="str">
        <f>HYPERLINK("https://app.vivvix.com/360/KMI/IntelliDrive/ApplUI/Pages/CreativePages/CustomReportCreativeDetail.aspx?App=23&amp;ReportView=4&amp;Qid=1711279&amp;Row=12912&amp;Col=1","No Title Assigned - #15273552938")</f>
        <v/>
      </c>
      <c r="B12920" s="0" t="s">
        <v>17359</v>
      </c>
      <c r="C12920" s="0" t="s">
        <v>17360</v>
      </c>
      <c r="D12920" s="0" t="s">
        <v>17360</v>
      </c>
      <c r="E12920" s="0" t="inlineStr">
        <is>
          <t xml:space="preserve">Mazda</t>
        </is>
      </c>
      <c r="F12920" s="0" t="s">
        <v>28</v>
      </c>
      <c r="G12920" s="0" t="s">
        <v>29</v>
      </c>
      <c r="H12920" s="5">
        <v>21.700500</v>
      </c>
    </row>
    <row r="12921" spans="1:9">
      <c r="A12921" s="22" t="str">
        <f>HYPERLINK("https://app.vivvix.com/360/KMI/IntelliDrive/ApplUI/Pages/CreativePages/CustomReportCreativeDetail.aspx?App=23&amp;ReportView=4&amp;Qid=1711279&amp;Row=12913&amp;Col=1","No Title Assigned - #15273553726")</f>
        <v/>
      </c>
      <c r="B12921" s="0" t="s">
        <v>17361</v>
      </c>
      <c r="C12921" s="0" t="s">
        <v>17362</v>
      </c>
      <c r="D12921" s="0" t="s">
        <v>10490</v>
      </c>
      <c r="E12921" s="0" t="inlineStr">
        <is>
          <t xml:space="preserve">Mazda</t>
        </is>
      </c>
      <c r="F12921" s="0" t="s">
        <v>21</v>
      </c>
      <c r="G12921" s="0" t="s">
        <v>22</v>
      </c>
      <c r="H12921" s="5">
        <v>7895.950100</v>
      </c>
    </row>
    <row r="12922" spans="1:9">
      <c r="A12922" s="22" t="str">
        <f>HYPERLINK("https://app.vivvix.com/360/KMI/IntelliDrive/ApplUI/Pages/CreativePages/CustomReportCreativeDetail.aspx?App=23&amp;ReportView=4&amp;Qid=1711279&amp;Row=12914&amp;Col=1","No Title Assigned - #15273554595")</f>
        <v/>
      </c>
      <c r="B12922" s="0" t="s">
        <v>17363</v>
      </c>
      <c r="C12922" s="0" t="s">
        <v>17364</v>
      </c>
      <c r="D12922" s="0" t="s">
        <v>17364</v>
      </c>
      <c r="E12922" s="0" t="inlineStr">
        <is>
          <t xml:space="preserve">Mazda</t>
        </is>
      </c>
      <c r="F12922" s="0" t="s">
        <v>13</v>
      </c>
      <c r="G12922" s="0" t="s">
        <v>49</v>
      </c>
      <c r="H12922" s="5">
        <v>20.230600</v>
      </c>
    </row>
    <row r="12923" spans="1:9">
      <c r="A12923" s="22" t="str">
        <f>HYPERLINK("https://app.vivvix.com/360/KMI/IntelliDrive/ApplUI/Pages/CreativePages/CustomReportCreativeDetail.aspx?App=23&amp;ReportView=4&amp;Qid=1711279&amp;Row=12915&amp;Col=1","No Title Assigned - #15273554968")</f>
        <v/>
      </c>
      <c r="B12923" s="0" t="s">
        <v>17365</v>
      </c>
      <c r="E12923" s="0" t="inlineStr">
        <is>
          <t xml:space="preserve">Mazda</t>
        </is>
      </c>
      <c r="F12923" s="0" t="inlineStr">
        <is>
          <t xml:space="preserve">Mazda</t>
        </is>
      </c>
      <c r="G12923" s="0" t="s">
        <v>171</v>
      </c>
      <c r="H12923" s="5">
        <v>1.990500</v>
      </c>
    </row>
    <row r="12924" spans="1:9">
      <c r="A12924" s="22" t="str">
        <f>HYPERLINK("https://app.vivvix.com/360/KMI/IntelliDrive/ApplUI/Pages/CreativePages/CustomReportCreativeDetail.aspx?App=23&amp;ReportView=4&amp;Qid=1711279&amp;Row=12916&amp;Col=1","No Title Assigned - #15273556130")</f>
        <v/>
      </c>
      <c r="B12924" s="0" t="s">
        <v>17366</v>
      </c>
      <c r="C12924" s="0" t="s">
        <v>17367</v>
      </c>
      <c r="D12924" s="0" t="s">
        <v>17367</v>
      </c>
      <c r="E12924" s="0" t="inlineStr">
        <is>
          <t xml:space="preserve">Mazda</t>
        </is>
      </c>
      <c r="F12924" s="0" t="s">
        <v>13</v>
      </c>
      <c r="G12924" s="0" t="s">
        <v>49</v>
      </c>
      <c r="H12924" s="5">
        <v>278.964800</v>
      </c>
    </row>
    <row r="12925" spans="1:9">
      <c r="A12925" s="22" t="str">
        <f>HYPERLINK("https://app.vivvix.com/360/KMI/IntelliDrive/ApplUI/Pages/CreativePages/CustomReportCreativeDetail.aspx?App=23&amp;ReportView=4&amp;Qid=1711279&amp;Row=12917&amp;Col=1","No Title Assigned - #15273558120")</f>
        <v/>
      </c>
      <c r="B12925" s="0" t="s">
        <v>17368</v>
      </c>
      <c r="E12925" s="0" t="inlineStr">
        <is>
          <t xml:space="preserve">Mazda</t>
        </is>
      </c>
      <c r="F12925" s="0" t="s">
        <v>13</v>
      </c>
      <c r="G12925" s="0" t="s">
        <v>49</v>
      </c>
      <c r="H12925" s="5">
        <v>7741.840800</v>
      </c>
    </row>
    <row r="12926" spans="1:9">
      <c r="A12926" s="22" t="str">
        <f>HYPERLINK("https://app.vivvix.com/360/KMI/IntelliDrive/ApplUI/Pages/CreativePages/CustomReportCreativeDetail.aspx?App=23&amp;ReportView=4&amp;Qid=1711279&amp;Row=12918&amp;Col=1","No Title Assigned - #15273558120")</f>
        <v/>
      </c>
      <c r="B12926" s="0" t="s">
        <v>17368</v>
      </c>
      <c r="C12926" s="0" t="s">
        <v>17369</v>
      </c>
      <c r="D12926" s="0" t="s">
        <v>6420</v>
      </c>
      <c r="E12926" s="0" t="inlineStr">
        <is>
          <t xml:space="preserve">Mazda</t>
        </is>
      </c>
      <c r="F12926" s="0" t="s">
        <v>13</v>
      </c>
      <c r="G12926" s="0" t="s">
        <v>49</v>
      </c>
      <c r="H12926" s="5">
        <v>59.641000</v>
      </c>
    </row>
    <row r="12927" spans="1:9">
      <c r="A12927" s="22" t="str">
        <f>HYPERLINK("https://app.vivvix.com/360/KMI/IntelliDrive/ApplUI/Pages/CreativePages/CustomReportCreativeDetail.aspx?App=23&amp;ReportView=4&amp;Qid=1711279&amp;Row=12919&amp;Col=1","No Title Assigned - #15273559422")</f>
        <v/>
      </c>
      <c r="B12927" s="0" t="s">
        <v>17370</v>
      </c>
      <c r="C12927" s="0" t="s">
        <v>17371</v>
      </c>
      <c r="D12927" s="0" t="s">
        <v>17371</v>
      </c>
      <c r="E12927" s="0" t="inlineStr">
        <is>
          <t xml:space="preserve">Mazda</t>
        </is>
      </c>
      <c r="F12927" s="0" t="s">
        <v>13</v>
      </c>
      <c r="G12927" s="0" t="s">
        <v>49</v>
      </c>
      <c r="H12927" s="5">
        <v>2388.511300</v>
      </c>
    </row>
    <row r="12928" spans="1:9">
      <c r="A12928" s="22" t="str">
        <f>HYPERLINK("https://app.vivvix.com/360/KMI/IntelliDrive/ApplUI/Pages/CreativePages/CustomReportCreativeDetail.aspx?App=23&amp;ReportView=4&amp;Qid=1711279&amp;Row=12920&amp;Col=1","No Title Assigned - #15273559736")</f>
        <v/>
      </c>
      <c r="B12928" s="0" t="s">
        <v>17372</v>
      </c>
      <c r="C12928" s="0" t="s">
        <v>17373</v>
      </c>
      <c r="D12928" s="0" t="s">
        <v>17373</v>
      </c>
      <c r="E12928" s="0" t="inlineStr">
        <is>
          <t xml:space="preserve">Mazda</t>
        </is>
      </c>
      <c r="F12928" s="0" t="inlineStr">
        <is>
          <t xml:space="preserve">Mazda</t>
        </is>
      </c>
      <c r="G12928" s="0" t="s">
        <v>210</v>
      </c>
      <c r="H12928" s="5">
        <v>3035.941800</v>
      </c>
    </row>
    <row r="12929" spans="1:9">
      <c r="A12929" s="22" t="str">
        <f>HYPERLINK("https://app.vivvix.com/360/KMI/IntelliDrive/ApplUI/Pages/CreativePages/CustomReportCreativeDetail.aspx?App=23&amp;ReportView=4&amp;Qid=1711279&amp;Row=12921&amp;Col=1","No Title Assigned - #15273559889")</f>
        <v/>
      </c>
      <c r="B12929" s="0" t="s">
        <v>17374</v>
      </c>
      <c r="C12929" s="0" t="s">
        <v>17375</v>
      </c>
      <c r="D12929" s="0" t="s">
        <v>17375</v>
      </c>
      <c r="E12929" s="0" t="inlineStr">
        <is>
          <t xml:space="preserve">Mazda</t>
        </is>
      </c>
      <c r="F12929" s="0" t="s">
        <v>28</v>
      </c>
      <c r="G12929" s="0" t="s">
        <v>29</v>
      </c>
      <c r="H12929" s="5">
        <v>32.087600</v>
      </c>
    </row>
    <row r="12930" spans="1:9">
      <c r="A12930" s="22" t="str">
        <f>HYPERLINK("https://app.vivvix.com/360/KMI/IntelliDrive/ApplUI/Pages/CreativePages/CustomReportCreativeDetail.aspx?App=23&amp;ReportView=4&amp;Qid=1711279&amp;Row=12922&amp;Col=1","No Title Assigned - #15273559894")</f>
        <v/>
      </c>
      <c r="B12930" s="0" t="s">
        <v>17376</v>
      </c>
      <c r="C12930" s="0" t="s">
        <v>17377</v>
      </c>
      <c r="D12930" s="0" t="s">
        <v>12720</v>
      </c>
      <c r="E12930" s="0" t="inlineStr">
        <is>
          <t xml:space="preserve">Mazda</t>
        </is>
      </c>
      <c r="F12930" s="0" t="s">
        <v>13</v>
      </c>
      <c r="G12930" s="0" t="s">
        <v>49</v>
      </c>
      <c r="H12930" s="5">
        <v>88.384000</v>
      </c>
    </row>
    <row r="12931" spans="1:9">
      <c r="A12931" s="22" t="str">
        <f>HYPERLINK("https://app.vivvix.com/360/KMI/IntelliDrive/ApplUI/Pages/CreativePages/CustomReportCreativeDetail.aspx?App=23&amp;ReportView=4&amp;Qid=1711279&amp;Row=12923&amp;Col=1","No Title Assigned - #15273561605")</f>
        <v/>
      </c>
      <c r="B12931" s="0" t="s">
        <v>17378</v>
      </c>
      <c r="C12931" s="0" t="s">
        <v>17379</v>
      </c>
      <c r="D12931" s="0" t="s">
        <v>16585</v>
      </c>
      <c r="E12931" s="0" t="inlineStr">
        <is>
          <t xml:space="preserve">Mazda</t>
        </is>
      </c>
      <c r="F12931" s="0" t="inlineStr">
        <is>
          <t xml:space="preserve">Mazda</t>
        </is>
      </c>
      <c r="G12931" s="0" t="s">
        <v>210</v>
      </c>
      <c r="H12931" s="5">
        <v>121.161300</v>
      </c>
    </row>
    <row r="12932" spans="1:9">
      <c r="A12932" s="22" t="str">
        <f>HYPERLINK("https://app.vivvix.com/360/KMI/IntelliDrive/ApplUI/Pages/CreativePages/CustomReportCreativeDetail.aspx?App=23&amp;ReportView=4&amp;Qid=1711279&amp;Row=12924&amp;Col=1","No Title Assigned - #15273562253")</f>
        <v/>
      </c>
      <c r="B12932" s="0" t="s">
        <v>17380</v>
      </c>
      <c r="C12932" s="0" t="s">
        <v>17381</v>
      </c>
      <c r="D12932" s="0" t="s">
        <v>17381</v>
      </c>
      <c r="E12932" s="0" t="inlineStr">
        <is>
          <t xml:space="preserve">Mazda</t>
        </is>
      </c>
      <c r="F12932" s="0" t="s">
        <v>13</v>
      </c>
      <c r="G12932" s="0" t="s">
        <v>49</v>
      </c>
      <c r="H12932" s="5">
        <v>1496.004700</v>
      </c>
    </row>
    <row r="12933" spans="1:9">
      <c r="A12933" s="22" t="str">
        <f>HYPERLINK("https://app.vivvix.com/360/KMI/IntelliDrive/ApplUI/Pages/CreativePages/CustomReportCreativeDetail.aspx?App=23&amp;ReportView=4&amp;Qid=1711279&amp;Row=12925&amp;Col=1","No Title Assigned - #15273562366")</f>
        <v/>
      </c>
      <c r="B12933" s="0" t="s">
        <v>17382</v>
      </c>
      <c r="C12933" s="0" t="s">
        <v>17383</v>
      </c>
      <c r="D12933" s="0" t="s">
        <v>17383</v>
      </c>
      <c r="E12933" s="0" t="inlineStr">
        <is>
          <t xml:space="preserve">Mazda</t>
        </is>
      </c>
      <c r="F12933" s="0" t="s">
        <v>13</v>
      </c>
      <c r="G12933" s="0" t="s">
        <v>49</v>
      </c>
      <c r="H12933" s="5">
        <v>36.435200</v>
      </c>
    </row>
    <row r="12934" spans="1:9">
      <c r="A12934" s="22" t="str">
        <f>HYPERLINK("https://app.vivvix.com/360/KMI/IntelliDrive/ApplUI/Pages/CreativePages/CustomReportCreativeDetail.aspx?App=23&amp;ReportView=4&amp;Qid=1711279&amp;Row=12926&amp;Col=1","No Title Assigned - #15273563616")</f>
        <v/>
      </c>
      <c r="B12934" s="0" t="s">
        <v>17384</v>
      </c>
      <c r="C12934" s="0" t="s">
        <v>17385</v>
      </c>
      <c r="D12934" s="0" t="s">
        <v>6183</v>
      </c>
      <c r="E12934" s="0" t="inlineStr">
        <is>
          <t xml:space="preserve">Mazda</t>
        </is>
      </c>
      <c r="F12934" s="0" t="s">
        <v>13</v>
      </c>
      <c r="G12934" s="0" t="s">
        <v>49</v>
      </c>
      <c r="H12934" s="5">
        <v>395.789500</v>
      </c>
    </row>
    <row r="12935" spans="1:9">
      <c r="A12935" s="22" t="str">
        <f>HYPERLINK("https://app.vivvix.com/360/KMI/IntelliDrive/ApplUI/Pages/CreativePages/CustomReportCreativeDetail.aspx?App=23&amp;ReportView=4&amp;Qid=1711279&amp;Row=12927&amp;Col=1","No Title Assigned - #15273564142")</f>
        <v/>
      </c>
      <c r="B12935" s="0" t="s">
        <v>17386</v>
      </c>
      <c r="C12935" s="0" t="s">
        <v>17387</v>
      </c>
      <c r="D12935" s="0" t="s">
        <v>17387</v>
      </c>
      <c r="E12935" s="0" t="inlineStr">
        <is>
          <t xml:space="preserve">Mazda</t>
        </is>
      </c>
      <c r="F12935" s="0" t="s">
        <v>28</v>
      </c>
      <c r="G12935" s="0" t="s">
        <v>29</v>
      </c>
      <c r="H12935" s="5">
        <v>1.990500</v>
      </c>
    </row>
    <row r="12936" spans="1:9">
      <c r="A12936" s="22" t="str">
        <f>HYPERLINK("https://app.vivvix.com/360/KMI/IntelliDrive/ApplUI/Pages/CreativePages/CustomReportCreativeDetail.aspx?App=23&amp;ReportView=4&amp;Qid=1711279&amp;Row=12928&amp;Col=1","No Title Assigned - #15273564149")</f>
        <v/>
      </c>
      <c r="B12936" s="0" t="s">
        <v>17388</v>
      </c>
      <c r="C12936" s="0" t="s">
        <v>17389</v>
      </c>
      <c r="D12936" s="0" t="s">
        <v>17389</v>
      </c>
      <c r="E12936" s="0" t="inlineStr">
        <is>
          <t xml:space="preserve">Mazda</t>
        </is>
      </c>
      <c r="F12936" s="0" t="inlineStr">
        <is>
          <t xml:space="preserve">Mazda</t>
        </is>
      </c>
      <c r="G12936" s="0" t="s">
        <v>210</v>
      </c>
      <c r="H12936" s="5">
        <v>412.086500</v>
      </c>
    </row>
    <row r="12937" spans="1:9">
      <c r="A12937" s="22" t="str">
        <f>HYPERLINK("https://app.vivvix.com/360/KMI/IntelliDrive/ApplUI/Pages/CreativePages/CustomReportCreativeDetail.aspx?App=23&amp;ReportView=4&amp;Qid=1711279&amp;Row=12929&amp;Col=1","No Title Assigned - #15273566016")</f>
        <v/>
      </c>
      <c r="B12937" s="0" t="s">
        <v>17390</v>
      </c>
      <c r="C12937" s="0" t="s">
        <v>17391</v>
      </c>
      <c r="D12937" s="0" t="s">
        <v>15952</v>
      </c>
      <c r="E12937" s="0" t="inlineStr">
        <is>
          <t xml:space="preserve">Mazda</t>
        </is>
      </c>
      <c r="F12937" s="0" t="s">
        <v>13</v>
      </c>
      <c r="G12937" s="0" t="s">
        <v>49</v>
      </c>
      <c r="H12937" s="5">
        <v>451.668300</v>
      </c>
    </row>
    <row r="12938" spans="1:9">
      <c r="A12938" s="22" t="str">
        <f>HYPERLINK("https://app.vivvix.com/360/KMI/IntelliDrive/ApplUI/Pages/CreativePages/CustomReportCreativeDetail.aspx?App=23&amp;ReportView=4&amp;Qid=1711279&amp;Row=12930&amp;Col=1","No Title Assigned - #15273566403")</f>
        <v/>
      </c>
      <c r="B12938" s="0" t="s">
        <v>17392</v>
      </c>
      <c r="E12938" s="0" t="inlineStr">
        <is>
          <t xml:space="preserve">Mazda</t>
        </is>
      </c>
      <c r="F12938" s="0" t="inlineStr">
        <is>
          <t xml:space="preserve">Mazda</t>
        </is>
      </c>
      <c r="G12938" s="0" t="s">
        <v>171</v>
      </c>
      <c r="H12938" s="5">
        <v>1545.383500</v>
      </c>
    </row>
    <row r="12939" spans="1:9">
      <c r="A12939" s="22" t="str">
        <f>HYPERLINK("https://app.vivvix.com/360/KMI/IntelliDrive/ApplUI/Pages/CreativePages/CustomReportCreativeDetail.aspx?App=23&amp;ReportView=4&amp;Qid=1711279&amp;Row=12931&amp;Col=1","No Title Assigned - #15273566423")</f>
        <v/>
      </c>
      <c r="B12939" s="0" t="s">
        <v>17393</v>
      </c>
      <c r="E12939" s="0" t="inlineStr">
        <is>
          <t xml:space="preserve">Mazda</t>
        </is>
      </c>
      <c r="F12939" s="0" t="inlineStr">
        <is>
          <t xml:space="preserve">Mazda</t>
        </is>
      </c>
      <c r="G12939" s="0" t="s">
        <v>171</v>
      </c>
      <c r="H12939" s="5">
        <v>13.912600</v>
      </c>
    </row>
    <row r="12940" spans="1:9">
      <c r="A12940" s="22" t="str">
        <f>HYPERLINK("https://app.vivvix.com/360/KMI/IntelliDrive/ApplUI/Pages/CreativePages/CustomReportCreativeDetail.aspx?App=23&amp;ReportView=4&amp;Qid=1711279&amp;Row=12932&amp;Col=1","No Title Assigned - #15273566514")</f>
        <v/>
      </c>
      <c r="B12940" s="0" t="s">
        <v>17394</v>
      </c>
      <c r="E12940" s="0" t="inlineStr">
        <is>
          <t xml:space="preserve">Mazda</t>
        </is>
      </c>
      <c r="F12940" s="0" t="inlineStr">
        <is>
          <t xml:space="preserve">Mazda</t>
        </is>
      </c>
      <c r="G12940" s="0" t="s">
        <v>171</v>
      </c>
      <c r="H12940" s="5">
        <v>440.789300</v>
      </c>
    </row>
    <row r="12941" spans="1:9">
      <c r="A12941" s="22" t="str">
        <f>HYPERLINK("https://app.vivvix.com/360/KMI/IntelliDrive/ApplUI/Pages/CreativePages/CustomReportCreativeDetail.aspx?App=23&amp;ReportView=4&amp;Qid=1711279&amp;Row=12933&amp;Col=1","No Title Assigned - #15273567085")</f>
        <v/>
      </c>
      <c r="B12941" s="0" t="s">
        <v>17395</v>
      </c>
      <c r="E12941" s="0" t="inlineStr">
        <is>
          <t xml:space="preserve">Mazda</t>
        </is>
      </c>
      <c r="F12941" s="0" t="inlineStr">
        <is>
          <t xml:space="preserve">Mazda</t>
        </is>
      </c>
      <c r="G12941" s="0" t="s">
        <v>171</v>
      </c>
      <c r="H12941" s="5">
        <v>13.679500</v>
      </c>
    </row>
    <row r="12942" spans="1:9">
      <c r="A12942" s="22" t="str">
        <f>HYPERLINK("https://app.vivvix.com/360/KMI/IntelliDrive/ApplUI/Pages/CreativePages/CustomReportCreativeDetail.aspx?App=23&amp;ReportView=4&amp;Qid=1711279&amp;Row=12934&amp;Col=1","No Title Assigned - #15273567250")</f>
        <v/>
      </c>
      <c r="B12942" s="0" t="s">
        <v>17396</v>
      </c>
      <c r="E12942" s="0" t="inlineStr">
        <is>
          <t xml:space="preserve">Mazda</t>
        </is>
      </c>
      <c r="F12942" s="0" t="inlineStr">
        <is>
          <t xml:space="preserve">Mazda</t>
        </is>
      </c>
      <c r="G12942" s="0" t="s">
        <v>171</v>
      </c>
      <c r="H12942" s="5">
        <v>74.846200</v>
      </c>
    </row>
    <row r="12943" spans="1:9">
      <c r="A12943" s="22" t="str">
        <f>HYPERLINK("https://app.vivvix.com/360/KMI/IntelliDrive/ApplUI/Pages/CreativePages/CustomReportCreativeDetail.aspx?App=23&amp;ReportView=4&amp;Qid=1711279&amp;Row=12935&amp;Col=1","No Title Assigned - #15273567253")</f>
        <v/>
      </c>
      <c r="B12943" s="0" t="s">
        <v>17397</v>
      </c>
      <c r="E12943" s="0" t="inlineStr">
        <is>
          <t xml:space="preserve">Mazda</t>
        </is>
      </c>
      <c r="F12943" s="0" t="inlineStr">
        <is>
          <t xml:space="preserve">Mazda</t>
        </is>
      </c>
      <c r="G12943" s="0" t="s">
        <v>171</v>
      </c>
      <c r="H12943" s="5">
        <v>240.036400</v>
      </c>
    </row>
    <row r="12944" spans="1:9">
      <c r="A12944" s="22" t="str">
        <f>HYPERLINK("https://app.vivvix.com/360/KMI/IntelliDrive/ApplUI/Pages/CreativePages/CustomReportCreativeDetail.aspx?App=23&amp;ReportView=4&amp;Qid=1711279&amp;Row=12936&amp;Col=1","No Title Assigned - #15273567556")</f>
        <v/>
      </c>
      <c r="B12944" s="0" t="s">
        <v>17398</v>
      </c>
      <c r="E12944" s="0" t="inlineStr">
        <is>
          <t xml:space="preserve">Mazda</t>
        </is>
      </c>
      <c r="F12944" s="0" t="inlineStr">
        <is>
          <t xml:space="preserve">Mazda</t>
        </is>
      </c>
      <c r="G12944" s="0" t="s">
        <v>171</v>
      </c>
      <c r="H12944" s="5">
        <v>880.366800</v>
      </c>
    </row>
    <row r="12945" spans="1:9">
      <c r="A12945" s="22" t="str">
        <f>HYPERLINK("https://app.vivvix.com/360/KMI/IntelliDrive/ApplUI/Pages/CreativePages/CustomReportCreativeDetail.aspx?App=23&amp;ReportView=4&amp;Qid=1711279&amp;Row=12937&amp;Col=1","No Title Assigned - #15273567556")</f>
        <v/>
      </c>
      <c r="B12945" s="0" t="s">
        <v>17398</v>
      </c>
      <c r="E12945" s="0" t="inlineStr">
        <is>
          <t xml:space="preserve">Mazda</t>
        </is>
      </c>
      <c r="F12945" s="0" t="inlineStr">
        <is>
          <t xml:space="preserve">Mazda</t>
        </is>
      </c>
      <c r="G12945" s="0" t="s">
        <v>171</v>
      </c>
      <c r="H12945" s="5">
        <v>17.449900</v>
      </c>
    </row>
    <row r="12946" spans="1:9">
      <c r="A12946" s="22" t="str">
        <f>HYPERLINK("https://app.vivvix.com/360/KMI/IntelliDrive/ApplUI/Pages/CreativePages/CustomReportCreativeDetail.aspx?App=23&amp;ReportView=4&amp;Qid=1711279&amp;Row=12938&amp;Col=1","No Title Assigned - #15273567748")</f>
        <v/>
      </c>
      <c r="B12946" s="0" t="s">
        <v>17399</v>
      </c>
      <c r="E12946" s="0" t="inlineStr">
        <is>
          <t xml:space="preserve">Mazda</t>
        </is>
      </c>
      <c r="F12946" s="0" t="inlineStr">
        <is>
          <t xml:space="preserve">Mazda</t>
        </is>
      </c>
      <c r="G12946" s="0" t="s">
        <v>171</v>
      </c>
      <c r="H12946" s="5">
        <v>1122.557200</v>
      </c>
    </row>
    <row r="12947" spans="1:9">
      <c r="A12947" s="22" t="str">
        <f>HYPERLINK("https://app.vivvix.com/360/KMI/IntelliDrive/ApplUI/Pages/CreativePages/CustomReportCreativeDetail.aspx?App=23&amp;ReportView=4&amp;Qid=1711279&amp;Row=12939&amp;Col=1","No Title Assigned - #15273568424")</f>
        <v/>
      </c>
      <c r="B12947" s="0" t="s">
        <v>17400</v>
      </c>
      <c r="E12947" s="0" t="inlineStr">
        <is>
          <t xml:space="preserve">Mazda</t>
        </is>
      </c>
      <c r="F12947" s="0" t="inlineStr">
        <is>
          <t xml:space="preserve">Mazda</t>
        </is>
      </c>
      <c r="G12947" s="0" t="s">
        <v>171</v>
      </c>
      <c r="H12947" s="5">
        <v>144.108600</v>
      </c>
    </row>
    <row r="12948" spans="1:9">
      <c r="A12948" s="22" t="str">
        <f>HYPERLINK("https://app.vivvix.com/360/KMI/IntelliDrive/ApplUI/Pages/CreativePages/CustomReportCreativeDetail.aspx?App=23&amp;ReportView=4&amp;Qid=1711279&amp;Row=12940&amp;Col=1","No Title Assigned - #15273568547")</f>
        <v/>
      </c>
      <c r="B12948" s="0" t="s">
        <v>17401</v>
      </c>
      <c r="E12948" s="0" t="inlineStr">
        <is>
          <t xml:space="preserve">Mazda</t>
        </is>
      </c>
      <c r="F12948" s="0" t="inlineStr">
        <is>
          <t xml:space="preserve">Mazda</t>
        </is>
      </c>
      <c r="G12948" s="0" t="s">
        <v>171</v>
      </c>
      <c r="H12948" s="5">
        <v>16.660200</v>
      </c>
    </row>
    <row r="12949" spans="1:9">
      <c r="A12949" s="22" t="str">
        <f>HYPERLINK("https://app.vivvix.com/360/KMI/IntelliDrive/ApplUI/Pages/CreativePages/CustomReportCreativeDetail.aspx?App=23&amp;ReportView=4&amp;Qid=1711279&amp;Row=12941&amp;Col=1","No Title Assigned - #15273568572")</f>
        <v/>
      </c>
      <c r="B12949" s="0" t="s">
        <v>17402</v>
      </c>
      <c r="E12949" s="0" t="inlineStr">
        <is>
          <t xml:space="preserve">Mazda</t>
        </is>
      </c>
      <c r="F12949" s="0" t="inlineStr">
        <is>
          <t xml:space="preserve">Mazda</t>
        </is>
      </c>
      <c r="G12949" s="0" t="s">
        <v>171</v>
      </c>
      <c r="H12949" s="5">
        <v>573.341400</v>
      </c>
    </row>
    <row r="12950" spans="1:9">
      <c r="A12950" s="22" t="str">
        <f>HYPERLINK("https://app.vivvix.com/360/KMI/IntelliDrive/ApplUI/Pages/CreativePages/CustomReportCreativeDetail.aspx?App=23&amp;ReportView=4&amp;Qid=1711279&amp;Row=12942&amp;Col=1","No Title Assigned - #15273568590")</f>
        <v/>
      </c>
      <c r="B12950" s="0" t="s">
        <v>17403</v>
      </c>
      <c r="E12950" s="0" t="inlineStr">
        <is>
          <t xml:space="preserve">Mazda</t>
        </is>
      </c>
      <c r="F12950" s="0" t="inlineStr">
        <is>
          <t xml:space="preserve">Mazda</t>
        </is>
      </c>
      <c r="G12950" s="0" t="s">
        <v>171</v>
      </c>
      <c r="H12950" s="5">
        <v>326.949900</v>
      </c>
    </row>
    <row r="12951" spans="1:9">
      <c r="A12951" s="22" t="str">
        <f>HYPERLINK("https://app.vivvix.com/360/KMI/IntelliDrive/ApplUI/Pages/CreativePages/CustomReportCreativeDetail.aspx?App=23&amp;ReportView=4&amp;Qid=1711279&amp;Row=12943&amp;Col=1","No Title Assigned - #15273568590")</f>
        <v/>
      </c>
      <c r="B12951" s="0" t="s">
        <v>17403</v>
      </c>
      <c r="E12951" s="0" t="inlineStr">
        <is>
          <t xml:space="preserve">Mazda</t>
        </is>
      </c>
      <c r="F12951" s="0" t="inlineStr">
        <is>
          <t xml:space="preserve">Mazda</t>
        </is>
      </c>
      <c r="G12951" s="0" t="s">
        <v>171</v>
      </c>
      <c r="H12951" s="5">
        <v>2743.953900</v>
      </c>
    </row>
    <row r="12952" spans="1:9">
      <c r="A12952" s="22" t="str">
        <f>HYPERLINK("https://app.vivvix.com/360/KMI/IntelliDrive/ApplUI/Pages/CreativePages/CustomReportCreativeDetail.aspx?App=23&amp;ReportView=4&amp;Qid=1711279&amp;Row=12944&amp;Col=1","No Title Assigned - #15273569687")</f>
        <v/>
      </c>
      <c r="B12952" s="0" t="s">
        <v>17404</v>
      </c>
      <c r="E12952" s="0" t="inlineStr">
        <is>
          <t xml:space="preserve">Mazda</t>
        </is>
      </c>
      <c r="F12952" s="0" t="inlineStr">
        <is>
          <t xml:space="preserve">Mazda</t>
        </is>
      </c>
      <c r="G12952" s="0" t="s">
        <v>171</v>
      </c>
      <c r="H12952" s="5">
        <v>532.051300</v>
      </c>
    </row>
    <row r="12953" spans="1:9">
      <c r="A12953" s="22" t="str">
        <f>HYPERLINK("https://app.vivvix.com/360/KMI/IntelliDrive/ApplUI/Pages/CreativePages/CustomReportCreativeDetail.aspx?App=23&amp;ReportView=4&amp;Qid=1711279&amp;Row=12945&amp;Col=1","No Title Assigned - #15273569710")</f>
        <v/>
      </c>
      <c r="B12953" s="0" t="s">
        <v>17405</v>
      </c>
      <c r="E12953" s="0" t="inlineStr">
        <is>
          <t xml:space="preserve">Mazda</t>
        </is>
      </c>
      <c r="F12953" s="0" t="inlineStr">
        <is>
          <t xml:space="preserve">Mazda</t>
        </is>
      </c>
      <c r="G12953" s="0" t="s">
        <v>171</v>
      </c>
      <c r="H12953" s="5">
        <v>246.482600</v>
      </c>
    </row>
    <row r="12954" spans="1:9">
      <c r="A12954" s="22" t="str">
        <f>HYPERLINK("https://app.vivvix.com/360/KMI/IntelliDrive/ApplUI/Pages/CreativePages/CustomReportCreativeDetail.aspx?App=23&amp;ReportView=4&amp;Qid=1711279&amp;Row=12946&amp;Col=1","No Title Assigned - #15273569715")</f>
        <v/>
      </c>
      <c r="B12954" s="0" t="s">
        <v>17406</v>
      </c>
      <c r="E12954" s="0" t="inlineStr">
        <is>
          <t xml:space="preserve">Mazda</t>
        </is>
      </c>
      <c r="F12954" s="0" t="inlineStr">
        <is>
          <t xml:space="preserve">Mazda</t>
        </is>
      </c>
      <c r="G12954" s="0" t="s">
        <v>171</v>
      </c>
      <c r="H12954" s="5">
        <v>564.503500</v>
      </c>
    </row>
    <row r="12955" spans="1:9">
      <c r="A12955" s="22" t="str">
        <f>HYPERLINK("https://app.vivvix.com/360/KMI/IntelliDrive/ApplUI/Pages/CreativePages/CustomReportCreativeDetail.aspx?App=23&amp;ReportView=4&amp;Qid=1711279&amp;Row=12947&amp;Col=1","No Title Assigned - #15273569909")</f>
        <v/>
      </c>
      <c r="B12955" s="0" t="s">
        <v>17407</v>
      </c>
      <c r="E12955" s="0" t="inlineStr">
        <is>
          <t xml:space="preserve">Mazda</t>
        </is>
      </c>
      <c r="F12955" s="0" t="inlineStr">
        <is>
          <t xml:space="preserve">Mazda</t>
        </is>
      </c>
      <c r="G12955" s="0" t="s">
        <v>171</v>
      </c>
      <c r="H12955" s="5">
        <v>347.076800</v>
      </c>
    </row>
    <row r="12956" spans="1:9">
      <c r="A12956" s="22" t="str">
        <f>HYPERLINK("https://app.vivvix.com/360/KMI/IntelliDrive/ApplUI/Pages/CreativePages/CustomReportCreativeDetail.aspx?App=23&amp;ReportView=4&amp;Qid=1711279&amp;Row=12948&amp;Col=1","No Title Assigned - #15273570279")</f>
        <v/>
      </c>
      <c r="B12956" s="0" t="s">
        <v>17408</v>
      </c>
      <c r="E12956" s="0" t="inlineStr">
        <is>
          <t xml:space="preserve">Mazda</t>
        </is>
      </c>
      <c r="F12956" s="0" t="inlineStr">
        <is>
          <t xml:space="preserve">Mazda</t>
        </is>
      </c>
      <c r="G12956" s="0" t="s">
        <v>171</v>
      </c>
      <c r="H12956" s="5">
        <v>53.990600</v>
      </c>
    </row>
    <row r="12957" spans="1:9">
      <c r="A12957" s="22" t="str">
        <f>HYPERLINK("https://app.vivvix.com/360/KMI/IntelliDrive/ApplUI/Pages/CreativePages/CustomReportCreativeDetail.aspx?App=23&amp;ReportView=4&amp;Qid=1711279&amp;Row=12949&amp;Col=1","No Title Assigned - #15273570291")</f>
        <v/>
      </c>
      <c r="B12957" s="0" t="s">
        <v>17409</v>
      </c>
      <c r="E12957" s="0" t="inlineStr">
        <is>
          <t xml:space="preserve">Mazda</t>
        </is>
      </c>
      <c r="F12957" s="0" t="inlineStr">
        <is>
          <t xml:space="preserve">Mazda</t>
        </is>
      </c>
      <c r="G12957" s="0" t="s">
        <v>171</v>
      </c>
      <c r="H12957" s="5">
        <v>9971.262700</v>
      </c>
    </row>
    <row r="12958" spans="1:9">
      <c r="A12958" s="22" t="str">
        <f>HYPERLINK("https://app.vivvix.com/360/KMI/IntelliDrive/ApplUI/Pages/CreativePages/CustomReportCreativeDetail.aspx?App=23&amp;ReportView=4&amp;Qid=1711279&amp;Row=12950&amp;Col=1","No Title Assigned - #15273571837")</f>
        <v/>
      </c>
      <c r="B12958" s="0" t="s">
        <v>17410</v>
      </c>
      <c r="E12958" s="0" t="inlineStr">
        <is>
          <t xml:space="preserve">Mazda</t>
        </is>
      </c>
      <c r="F12958" s="0" t="inlineStr">
        <is>
          <t xml:space="preserve">Mazda</t>
        </is>
      </c>
      <c r="G12958" s="0" t="s">
        <v>171</v>
      </c>
      <c r="H12958" s="5">
        <v>4.656900</v>
      </c>
    </row>
    <row r="12959" spans="1:9">
      <c r="A12959" s="22" t="str">
        <f>HYPERLINK("https://app.vivvix.com/360/KMI/IntelliDrive/ApplUI/Pages/CreativePages/CustomReportCreativeDetail.aspx?App=23&amp;ReportView=4&amp;Qid=1711279&amp;Row=12951&amp;Col=1","No Title Assigned - #15273571924")</f>
        <v/>
      </c>
      <c r="B12959" s="0" t="s">
        <v>17411</v>
      </c>
      <c r="E12959" s="0" t="inlineStr">
        <is>
          <t xml:space="preserve">Mazda</t>
        </is>
      </c>
      <c r="F12959" s="0" t="inlineStr">
        <is>
          <t xml:space="preserve">Mazda</t>
        </is>
      </c>
      <c r="G12959" s="0" t="s">
        <v>171</v>
      </c>
      <c r="H12959" s="5">
        <v>3842.755700</v>
      </c>
    </row>
    <row r="12960" spans="1:9">
      <c r="A12960" s="22" t="str">
        <f>HYPERLINK("https://app.vivvix.com/360/KMI/IntelliDrive/ApplUI/Pages/CreativePages/CustomReportCreativeDetail.aspx?App=23&amp;ReportView=4&amp;Qid=1711279&amp;Row=12952&amp;Col=1","No Title Assigned - #15273572115")</f>
        <v/>
      </c>
      <c r="B12960" s="0" t="s">
        <v>17412</v>
      </c>
      <c r="E12960" s="0" t="inlineStr">
        <is>
          <t xml:space="preserve">Mazda</t>
        </is>
      </c>
      <c r="F12960" s="0" t="inlineStr">
        <is>
          <t xml:space="preserve">Mazda</t>
        </is>
      </c>
      <c r="G12960" s="0" t="s">
        <v>171</v>
      </c>
      <c r="H12960" s="5">
        <v>1477.840000</v>
      </c>
    </row>
    <row r="12961" spans="1:9">
      <c r="A12961" s="22" t="str">
        <f>HYPERLINK("https://app.vivvix.com/360/KMI/IntelliDrive/ApplUI/Pages/CreativePages/CustomReportCreativeDetail.aspx?App=23&amp;ReportView=4&amp;Qid=1711279&amp;Row=12953&amp;Col=1","No Title Assigned - #15273574494")</f>
        <v/>
      </c>
      <c r="B12961" s="0" t="s">
        <v>17413</v>
      </c>
      <c r="E12961" s="0" t="inlineStr">
        <is>
          <t xml:space="preserve">Mazda</t>
        </is>
      </c>
      <c r="F12961" s="0" t="inlineStr">
        <is>
          <t xml:space="preserve">Mazda</t>
        </is>
      </c>
      <c r="G12961" s="0" t="s">
        <v>171</v>
      </c>
      <c r="H12961" s="5">
        <v>21768.252000</v>
      </c>
    </row>
    <row r="12962" spans="1:9">
      <c r="A12962" s="22" t="str">
        <f>HYPERLINK("https://app.vivvix.com/360/KMI/IntelliDrive/ApplUI/Pages/CreativePages/CustomReportCreativeDetail.aspx?App=23&amp;ReportView=4&amp;Qid=1711279&amp;Row=12954&amp;Col=1","No Title Assigned - #15273574494")</f>
        <v/>
      </c>
      <c r="B12962" s="0" t="s">
        <v>17413</v>
      </c>
      <c r="C12962" s="0" t="s">
        <v>17414</v>
      </c>
      <c r="D12962" s="0" t="s">
        <v>17414</v>
      </c>
      <c r="E12962" s="0" t="inlineStr">
        <is>
          <t xml:space="preserve">Mazda</t>
        </is>
      </c>
      <c r="F12962" s="0" t="inlineStr">
        <is>
          <t xml:space="preserve">Mazda</t>
        </is>
      </c>
      <c r="G12962" s="0" t="s">
        <v>171</v>
      </c>
      <c r="H12962" s="5">
        <v>18.738700</v>
      </c>
    </row>
    <row r="12963" spans="1:9">
      <c r="A12963" s="22" t="str">
        <f>HYPERLINK("https://app.vivvix.com/360/KMI/IntelliDrive/ApplUI/Pages/CreativePages/CustomReportCreativeDetail.aspx?App=23&amp;ReportView=4&amp;Qid=1711279&amp;Row=12955&amp;Col=1","No Title Assigned - #15273574563")</f>
        <v/>
      </c>
      <c r="B12963" s="0" t="s">
        <v>17415</v>
      </c>
      <c r="E12963" s="0" t="inlineStr">
        <is>
          <t xml:space="preserve">Mazda</t>
        </is>
      </c>
      <c r="F12963" s="0" t="inlineStr">
        <is>
          <t xml:space="preserve">Mazda</t>
        </is>
      </c>
      <c r="G12963" s="0" t="s">
        <v>171</v>
      </c>
      <c r="H12963" s="5">
        <v>65155.767100</v>
      </c>
    </row>
    <row r="12964" spans="1:9">
      <c r="A12964" s="22" t="str">
        <f>HYPERLINK("https://app.vivvix.com/360/KMI/IntelliDrive/ApplUI/Pages/CreativePages/CustomReportCreativeDetail.aspx?App=23&amp;ReportView=4&amp;Qid=1711279&amp;Row=12956&amp;Col=1","No Title Assigned - #15273574563")</f>
        <v/>
      </c>
      <c r="B12964" s="0" t="s">
        <v>17415</v>
      </c>
      <c r="E12964" s="0" t="inlineStr">
        <is>
          <t xml:space="preserve">Mazda</t>
        </is>
      </c>
      <c r="F12964" s="0" t="inlineStr">
        <is>
          <t xml:space="preserve">Mazda</t>
        </is>
      </c>
      <c r="G12964" s="0" t="s">
        <v>171</v>
      </c>
      <c r="H12964" s="5">
        <v>105.937500</v>
      </c>
    </row>
    <row r="12965" spans="1:9">
      <c r="A12965" s="22" t="str">
        <f>HYPERLINK("https://app.vivvix.com/360/KMI/IntelliDrive/ApplUI/Pages/CreativePages/CustomReportCreativeDetail.aspx?App=23&amp;ReportView=4&amp;Qid=1711279&amp;Row=12957&amp;Col=1","No Title Assigned - #15273574575")</f>
        <v/>
      </c>
      <c r="B12965" s="0" t="s">
        <v>17416</v>
      </c>
      <c r="E12965" s="0" t="inlineStr">
        <is>
          <t xml:space="preserve">Mazda</t>
        </is>
      </c>
      <c r="F12965" s="0" t="inlineStr">
        <is>
          <t xml:space="preserve">Mazda</t>
        </is>
      </c>
      <c r="G12965" s="0" t="s">
        <v>171</v>
      </c>
      <c r="H12965" s="5">
        <v>125.651600</v>
      </c>
    </row>
    <row r="12966" spans="1:9">
      <c r="A12966" s="22" t="str">
        <f>HYPERLINK("https://app.vivvix.com/360/KMI/IntelliDrive/ApplUI/Pages/CreativePages/CustomReportCreativeDetail.aspx?App=23&amp;ReportView=4&amp;Qid=1711279&amp;Row=12958&amp;Col=1","No Title Assigned - #15273575026")</f>
        <v/>
      </c>
      <c r="B12966" s="0" t="s">
        <v>17417</v>
      </c>
      <c r="E12966" s="0" t="inlineStr">
        <is>
          <t xml:space="preserve">Mazda</t>
        </is>
      </c>
      <c r="F12966" s="0" t="inlineStr">
        <is>
          <t xml:space="preserve">Mazda</t>
        </is>
      </c>
      <c r="G12966" s="0" t="s">
        <v>171</v>
      </c>
      <c r="H12966" s="5">
        <v>53.990600</v>
      </c>
    </row>
    <row r="12967" spans="1:9">
      <c r="A12967" s="22" t="str">
        <f>HYPERLINK("https://app.vivvix.com/360/KMI/IntelliDrive/ApplUI/Pages/CreativePages/CustomReportCreativeDetail.aspx?App=23&amp;ReportView=4&amp;Qid=1711279&amp;Row=12959&amp;Col=1","No Title Assigned - #15273575201")</f>
        <v/>
      </c>
      <c r="B12967" s="0" t="s">
        <v>17418</v>
      </c>
      <c r="E12967" s="0" t="inlineStr">
        <is>
          <t xml:space="preserve">Mazda</t>
        </is>
      </c>
      <c r="F12967" s="0" t="inlineStr">
        <is>
          <t xml:space="preserve">Mazda</t>
        </is>
      </c>
      <c r="G12967" s="0" t="s">
        <v>171</v>
      </c>
      <c r="H12967" s="5">
        <v>1483.275300</v>
      </c>
    </row>
    <row r="12968" spans="1:9">
      <c r="A12968" s="22" t="str">
        <f>HYPERLINK("https://app.vivvix.com/360/KMI/IntelliDrive/ApplUI/Pages/CreativePages/CustomReportCreativeDetail.aspx?App=23&amp;ReportView=4&amp;Qid=1711279&amp;Row=12960&amp;Col=1","No Title Assigned - #15273575316")</f>
        <v/>
      </c>
      <c r="B12968" s="0" t="s">
        <v>17419</v>
      </c>
      <c r="E12968" s="0" t="inlineStr">
        <is>
          <t xml:space="preserve">Mazda</t>
        </is>
      </c>
      <c r="F12968" s="0" t="inlineStr">
        <is>
          <t xml:space="preserve">Mazda</t>
        </is>
      </c>
      <c r="G12968" s="0" t="s">
        <v>171</v>
      </c>
      <c r="H12968" s="5">
        <v>224.523900</v>
      </c>
    </row>
    <row r="12969" spans="1:9">
      <c r="A12969" s="22" t="str">
        <f>HYPERLINK("https://app.vivvix.com/360/KMI/IntelliDrive/ApplUI/Pages/CreativePages/CustomReportCreativeDetail.aspx?App=23&amp;ReportView=4&amp;Qid=1711279&amp;Row=12961&amp;Col=1","No Title Assigned - #15273575597")</f>
        <v/>
      </c>
      <c r="B12969" s="0" t="s">
        <v>17420</v>
      </c>
      <c r="E12969" s="0" t="inlineStr">
        <is>
          <t xml:space="preserve">Mazda</t>
        </is>
      </c>
      <c r="F12969" s="0" t="inlineStr">
        <is>
          <t xml:space="preserve">Mazda</t>
        </is>
      </c>
      <c r="G12969" s="0" t="s">
        <v>171</v>
      </c>
      <c r="H12969" s="5">
        <v>2611.187600</v>
      </c>
    </row>
    <row r="12970" spans="1:9">
      <c r="A12970" s="22" t="str">
        <f>HYPERLINK("https://app.vivvix.com/360/KMI/IntelliDrive/ApplUI/Pages/CreativePages/CustomReportCreativeDetail.aspx?App=23&amp;ReportView=4&amp;Qid=1711279&amp;Row=12962&amp;Col=1","No Title Assigned - #15273575597")</f>
        <v/>
      </c>
      <c r="B12970" s="0" t="s">
        <v>17420</v>
      </c>
      <c r="E12970" s="0" t="inlineStr">
        <is>
          <t xml:space="preserve">Mazda</t>
        </is>
      </c>
      <c r="F12970" s="0" t="inlineStr">
        <is>
          <t xml:space="preserve">Mazda</t>
        </is>
      </c>
      <c r="G12970" s="0" t="s">
        <v>171</v>
      </c>
      <c r="H12970" s="5">
        <v>1538.060500</v>
      </c>
    </row>
    <row r="12971" spans="1:9">
      <c r="A12971" s="22" t="str">
        <f>HYPERLINK("https://app.vivvix.com/360/KMI/IntelliDrive/ApplUI/Pages/CreativePages/CustomReportCreativeDetail.aspx?App=23&amp;ReportView=4&amp;Qid=1711279&amp;Row=12963&amp;Col=1","No Title Assigned - #15273575729")</f>
        <v/>
      </c>
      <c r="B12971" s="0" t="s">
        <v>17421</v>
      </c>
      <c r="E12971" s="0" t="inlineStr">
        <is>
          <t xml:space="preserve">Mazda</t>
        </is>
      </c>
      <c r="F12971" s="0" t="inlineStr">
        <is>
          <t xml:space="preserve">Mazda</t>
        </is>
      </c>
      <c r="G12971" s="0" t="s">
        <v>171</v>
      </c>
      <c r="H12971" s="5">
        <v>12.756600</v>
      </c>
    </row>
    <row r="12972" spans="1:9">
      <c r="A12972" s="22" t="str">
        <f>HYPERLINK("https://app.vivvix.com/360/KMI/IntelliDrive/ApplUI/Pages/CreativePages/CustomReportCreativeDetail.aspx?App=23&amp;ReportView=4&amp;Qid=1711279&amp;Row=12964&amp;Col=1","No Title Assigned - #15273575787")</f>
        <v/>
      </c>
      <c r="B12972" s="0" t="s">
        <v>17422</v>
      </c>
      <c r="E12972" s="0" t="inlineStr">
        <is>
          <t xml:space="preserve">Mazda</t>
        </is>
      </c>
      <c r="F12972" s="0" t="inlineStr">
        <is>
          <t xml:space="preserve">Mazda</t>
        </is>
      </c>
      <c r="G12972" s="0" t="s">
        <v>171</v>
      </c>
      <c r="H12972" s="5">
        <v>192.653700</v>
      </c>
    </row>
    <row r="12973" spans="1:9">
      <c r="A12973" s="22" t="str">
        <f>HYPERLINK("https://app.vivvix.com/360/KMI/IntelliDrive/ApplUI/Pages/CreativePages/CustomReportCreativeDetail.aspx?App=23&amp;ReportView=4&amp;Qid=1711279&amp;Row=12965&amp;Col=1","No Title Assigned - #15273575901")</f>
        <v/>
      </c>
      <c r="B12973" s="0" t="s">
        <v>17423</v>
      </c>
      <c r="E12973" s="0" t="inlineStr">
        <is>
          <t xml:space="preserve">Mazda</t>
        </is>
      </c>
      <c r="F12973" s="0" t="inlineStr">
        <is>
          <t xml:space="preserve">Mazda</t>
        </is>
      </c>
      <c r="G12973" s="0" t="s">
        <v>171</v>
      </c>
      <c r="H12973" s="5">
        <v>314.095800</v>
      </c>
    </row>
    <row r="12974" spans="1:9">
      <c r="A12974" s="22" t="str">
        <f>HYPERLINK("https://app.vivvix.com/360/KMI/IntelliDrive/ApplUI/Pages/CreativePages/CustomReportCreativeDetail.aspx?App=23&amp;ReportView=4&amp;Qid=1711279&amp;Row=12966&amp;Col=1","No Title Assigned - #15273575910")</f>
        <v/>
      </c>
      <c r="B12974" s="0" t="s">
        <v>17424</v>
      </c>
      <c r="E12974" s="0" t="inlineStr">
        <is>
          <t xml:space="preserve">Mazda</t>
        </is>
      </c>
      <c r="F12974" s="0" t="inlineStr">
        <is>
          <t xml:space="preserve">Mazda</t>
        </is>
      </c>
      <c r="G12974" s="0" t="s">
        <v>171</v>
      </c>
      <c r="H12974" s="5">
        <v>1784.675900</v>
      </c>
    </row>
    <row r="12975" spans="1:9">
      <c r="A12975" s="22" t="str">
        <f>HYPERLINK("https://app.vivvix.com/360/KMI/IntelliDrive/ApplUI/Pages/CreativePages/CustomReportCreativeDetail.aspx?App=23&amp;ReportView=4&amp;Qid=1711279&amp;Row=12967&amp;Col=1","No Title Assigned - #15273575987")</f>
        <v/>
      </c>
      <c r="B12975" s="0" t="s">
        <v>17425</v>
      </c>
      <c r="E12975" s="0" t="inlineStr">
        <is>
          <t xml:space="preserve">Mazda</t>
        </is>
      </c>
      <c r="F12975" s="0" t="inlineStr">
        <is>
          <t xml:space="preserve">Mazda</t>
        </is>
      </c>
      <c r="G12975" s="0" t="s">
        <v>171</v>
      </c>
      <c r="H12975" s="5">
        <v>7.510500</v>
      </c>
    </row>
    <row r="12976" spans="1:9">
      <c r="A12976" s="22" t="str">
        <f>HYPERLINK("https://app.vivvix.com/360/KMI/IntelliDrive/ApplUI/Pages/CreativePages/CustomReportCreativeDetail.aspx?App=23&amp;ReportView=4&amp;Qid=1711279&amp;Row=12968&amp;Col=1","No Title Assigned - #15273576384")</f>
        <v/>
      </c>
      <c r="B12976" s="0" t="s">
        <v>17426</v>
      </c>
      <c r="E12976" s="0" t="inlineStr">
        <is>
          <t xml:space="preserve">Mazda</t>
        </is>
      </c>
      <c r="F12976" s="0" t="inlineStr">
        <is>
          <t xml:space="preserve">Mazda</t>
        </is>
      </c>
      <c r="G12976" s="0" t="s">
        <v>171</v>
      </c>
      <c r="H12976" s="5">
        <v>0.985800</v>
      </c>
    </row>
    <row r="12977" spans="1:9">
      <c r="A12977" s="22" t="str">
        <f>HYPERLINK("https://app.vivvix.com/360/KMI/IntelliDrive/ApplUI/Pages/CreativePages/CustomReportCreativeDetail.aspx?App=23&amp;ReportView=4&amp;Qid=1711279&amp;Row=12969&amp;Col=1","No Title Assigned - #15273576798")</f>
        <v/>
      </c>
      <c r="B12977" s="0" t="s">
        <v>17427</v>
      </c>
      <c r="E12977" s="0" t="inlineStr">
        <is>
          <t xml:space="preserve">Mazda</t>
        </is>
      </c>
      <c r="F12977" s="0" t="inlineStr">
        <is>
          <t xml:space="preserve">Mazda</t>
        </is>
      </c>
      <c r="G12977" s="0" t="s">
        <v>171</v>
      </c>
      <c r="H12977" s="5">
        <v>42.546500</v>
      </c>
    </row>
    <row r="12978" spans="1:9">
      <c r="A12978" s="22" t="str">
        <f>HYPERLINK("https://app.vivvix.com/360/KMI/IntelliDrive/ApplUI/Pages/CreativePages/CustomReportCreativeDetail.aspx?App=23&amp;ReportView=4&amp;Qid=1711279&amp;Row=12970&amp;Col=1","No Title Assigned - #15273577325")</f>
        <v/>
      </c>
      <c r="B12978" s="0" t="s">
        <v>17428</v>
      </c>
      <c r="E12978" s="0" t="inlineStr">
        <is>
          <t xml:space="preserve">Mazda</t>
        </is>
      </c>
      <c r="F12978" s="0" t="inlineStr">
        <is>
          <t xml:space="preserve">Mazda</t>
        </is>
      </c>
      <c r="G12978" s="0" t="s">
        <v>171</v>
      </c>
      <c r="H12978" s="5">
        <v>2111.457900</v>
      </c>
    </row>
    <row r="12979" spans="1:9">
      <c r="A12979" s="22" t="str">
        <f>HYPERLINK("https://app.vivvix.com/360/KMI/IntelliDrive/ApplUI/Pages/CreativePages/CustomReportCreativeDetail.aspx?App=23&amp;ReportView=4&amp;Qid=1711279&amp;Row=12971&amp;Col=1","No Title Assigned - #15273577598")</f>
        <v/>
      </c>
      <c r="B12979" s="0" t="s">
        <v>17429</v>
      </c>
      <c r="E12979" s="0" t="inlineStr">
        <is>
          <t xml:space="preserve">Mazda</t>
        </is>
      </c>
      <c r="F12979" s="0" t="inlineStr">
        <is>
          <t xml:space="preserve">Mazda</t>
        </is>
      </c>
      <c r="G12979" s="0" t="s">
        <v>171</v>
      </c>
      <c r="H12979" s="5">
        <v>30.801000</v>
      </c>
    </row>
    <row r="12980" spans="1:9">
      <c r="A12980" s="22" t="str">
        <f>HYPERLINK("https://app.vivvix.com/360/KMI/IntelliDrive/ApplUI/Pages/CreativePages/CustomReportCreativeDetail.aspx?App=23&amp;ReportView=4&amp;Qid=1711279&amp;Row=12972&amp;Col=1","No Title Assigned - #15273577599")</f>
        <v/>
      </c>
      <c r="B12980" s="0" t="s">
        <v>17430</v>
      </c>
      <c r="C12980" s="0" t="s">
        <v>17431</v>
      </c>
      <c r="D12980" s="0" t="s">
        <v>17431</v>
      </c>
      <c r="E12980" s="0" t="inlineStr">
        <is>
          <t xml:space="preserve">Mazda</t>
        </is>
      </c>
      <c r="F12980" s="0" t="inlineStr">
        <is>
          <t xml:space="preserve">Mazda</t>
        </is>
      </c>
      <c r="G12980" s="0" t="s">
        <v>171</v>
      </c>
      <c r="H12980" s="5">
        <v>10.195400</v>
      </c>
    </row>
    <row r="12981" spans="1:9">
      <c r="A12981" s="22" t="str">
        <f>HYPERLINK("https://app.vivvix.com/360/KMI/IntelliDrive/ApplUI/Pages/CreativePages/CustomReportCreativeDetail.aspx?App=23&amp;ReportView=4&amp;Qid=1711279&amp;Row=12973&amp;Col=1","No Title Assigned - #15273577936")</f>
        <v/>
      </c>
      <c r="B12981" s="0" t="s">
        <v>17432</v>
      </c>
      <c r="E12981" s="0" t="inlineStr">
        <is>
          <t xml:space="preserve">Mazda</t>
        </is>
      </c>
      <c r="F12981" s="0" t="inlineStr">
        <is>
          <t xml:space="preserve">Mazda</t>
        </is>
      </c>
      <c r="G12981" s="0" t="s">
        <v>171</v>
      </c>
      <c r="H12981" s="5">
        <v>342.444000</v>
      </c>
    </row>
    <row r="12982" spans="1:9">
      <c r="A12982" s="22" t="str">
        <f>HYPERLINK("https://app.vivvix.com/360/KMI/IntelliDrive/ApplUI/Pages/CreativePages/CustomReportCreativeDetail.aspx?App=23&amp;ReportView=4&amp;Qid=1711279&amp;Row=12974&amp;Col=1","No Title Assigned - #15273578315")</f>
        <v/>
      </c>
      <c r="B12982" s="0" t="s">
        <v>17433</v>
      </c>
      <c r="E12982" s="0" t="inlineStr">
        <is>
          <t xml:space="preserve">Mazda</t>
        </is>
      </c>
      <c r="F12982" s="0" t="inlineStr">
        <is>
          <t xml:space="preserve">Mazda</t>
        </is>
      </c>
      <c r="G12982" s="0" t="s">
        <v>171</v>
      </c>
      <c r="H12982" s="5">
        <v>245.164400</v>
      </c>
    </row>
    <row r="12983" spans="1:9">
      <c r="A12983" s="22" t="str">
        <f>HYPERLINK("https://app.vivvix.com/360/KMI/IntelliDrive/ApplUI/Pages/CreativePages/CustomReportCreativeDetail.aspx?App=23&amp;ReportView=4&amp;Qid=1711279&amp;Row=12975&amp;Col=1","No Title Assigned - #15273578321")</f>
        <v/>
      </c>
      <c r="B12983" s="0" t="s">
        <v>17434</v>
      </c>
      <c r="E12983" s="0" t="inlineStr">
        <is>
          <t xml:space="preserve">Mazda</t>
        </is>
      </c>
      <c r="F12983" s="0" t="inlineStr">
        <is>
          <t xml:space="preserve">Mazda</t>
        </is>
      </c>
      <c r="G12983" s="0" t="s">
        <v>171</v>
      </c>
      <c r="H12983" s="5">
        <v>8.879600</v>
      </c>
    </row>
    <row r="12984" spans="1:9">
      <c r="A12984" s="22" t="str">
        <f>HYPERLINK("https://app.vivvix.com/360/KMI/IntelliDrive/ApplUI/Pages/CreativePages/CustomReportCreativeDetail.aspx?App=23&amp;ReportView=4&amp;Qid=1711279&amp;Row=12976&amp;Col=1","No Title Assigned - #15273578920")</f>
        <v/>
      </c>
      <c r="B12984" s="0" t="s">
        <v>17435</v>
      </c>
      <c r="E12984" s="0" t="inlineStr">
        <is>
          <t xml:space="preserve">Mazda</t>
        </is>
      </c>
      <c r="F12984" s="0" t="inlineStr">
        <is>
          <t xml:space="preserve">Mazda</t>
        </is>
      </c>
      <c r="G12984" s="0" t="s">
        <v>171</v>
      </c>
      <c r="H12984" s="5">
        <v>99.087300</v>
      </c>
    </row>
    <row r="12985" spans="1:9">
      <c r="A12985" s="22" t="str">
        <f>HYPERLINK("https://app.vivvix.com/360/KMI/IntelliDrive/ApplUI/Pages/CreativePages/CustomReportCreativeDetail.aspx?App=23&amp;ReportView=4&amp;Qid=1711279&amp;Row=12977&amp;Col=1","No Title Assigned - #15273578956")</f>
        <v/>
      </c>
      <c r="B12985" s="0" t="s">
        <v>17436</v>
      </c>
      <c r="E12985" s="0" t="inlineStr">
        <is>
          <t xml:space="preserve">Mazda</t>
        </is>
      </c>
      <c r="F12985" s="0" t="inlineStr">
        <is>
          <t xml:space="preserve">Mazda</t>
        </is>
      </c>
      <c r="G12985" s="0" t="s">
        <v>171</v>
      </c>
      <c r="H12985" s="5">
        <v>150.370500</v>
      </c>
    </row>
    <row r="12986" spans="1:9">
      <c r="A12986" s="22" t="str">
        <f>HYPERLINK("https://app.vivvix.com/360/KMI/IntelliDrive/ApplUI/Pages/CreativePages/CustomReportCreativeDetail.aspx?App=23&amp;ReportView=4&amp;Qid=1711279&amp;Row=12978&amp;Col=1","No Title Assigned - #15273578957")</f>
        <v/>
      </c>
      <c r="B12986" s="0" t="s">
        <v>17437</v>
      </c>
      <c r="E12986" s="0" t="inlineStr">
        <is>
          <t xml:space="preserve">Mazda</t>
        </is>
      </c>
      <c r="F12986" s="0" t="inlineStr">
        <is>
          <t xml:space="preserve">Mazda</t>
        </is>
      </c>
      <c r="G12986" s="0" t="s">
        <v>171</v>
      </c>
      <c r="H12986" s="5">
        <v>1297.858600</v>
      </c>
    </row>
    <row r="12987" spans="1:9">
      <c r="A12987" s="22" t="str">
        <f>HYPERLINK("https://app.vivvix.com/360/KMI/IntelliDrive/ApplUI/Pages/CreativePages/CustomReportCreativeDetail.aspx?App=23&amp;ReportView=4&amp;Qid=1711279&amp;Row=12979&amp;Col=1","No Title Assigned - #15273579005")</f>
        <v/>
      </c>
      <c r="B12987" s="0" t="s">
        <v>17438</v>
      </c>
      <c r="E12987" s="0" t="inlineStr">
        <is>
          <t xml:space="preserve">Mazda</t>
        </is>
      </c>
      <c r="F12987" s="0" t="inlineStr">
        <is>
          <t xml:space="preserve">Mazda</t>
        </is>
      </c>
      <c r="G12987" s="0" t="s">
        <v>171</v>
      </c>
      <c r="H12987" s="5">
        <v>316.794600</v>
      </c>
    </row>
    <row r="12988" spans="1:9">
      <c r="A12988" s="22" t="str">
        <f>HYPERLINK("https://app.vivvix.com/360/KMI/IntelliDrive/ApplUI/Pages/CreativePages/CustomReportCreativeDetail.aspx?App=23&amp;ReportView=4&amp;Qid=1711279&amp;Row=12980&amp;Col=1","No Title Assigned - #15273579153")</f>
        <v/>
      </c>
      <c r="B12988" s="0" t="s">
        <v>17439</v>
      </c>
      <c r="E12988" s="0" t="inlineStr">
        <is>
          <t xml:space="preserve">Mazda</t>
        </is>
      </c>
      <c r="F12988" s="0" t="inlineStr">
        <is>
          <t xml:space="preserve">Mazda</t>
        </is>
      </c>
      <c r="G12988" s="0" t="s">
        <v>171</v>
      </c>
      <c r="H12988" s="5">
        <v>40.621200</v>
      </c>
    </row>
    <row r="12989" spans="1:9">
      <c r="A12989" s="22" t="str">
        <f>HYPERLINK("https://app.vivvix.com/360/KMI/IntelliDrive/ApplUI/Pages/CreativePages/CustomReportCreativeDetail.aspx?App=23&amp;ReportView=4&amp;Qid=1711279&amp;Row=12981&amp;Col=1","No Title Assigned - #15273579232")</f>
        <v/>
      </c>
      <c r="B12989" s="0" t="s">
        <v>17440</v>
      </c>
      <c r="E12989" s="0" t="inlineStr">
        <is>
          <t xml:space="preserve">Mazda</t>
        </is>
      </c>
      <c r="F12989" s="0" t="inlineStr">
        <is>
          <t xml:space="preserve">Mazda</t>
        </is>
      </c>
      <c r="G12989" s="0" t="s">
        <v>171</v>
      </c>
      <c r="H12989" s="5">
        <v>47.515800</v>
      </c>
    </row>
    <row r="12990" spans="1:9">
      <c r="A12990" s="22" t="str">
        <f>HYPERLINK("https://app.vivvix.com/360/KMI/IntelliDrive/ApplUI/Pages/CreativePages/CustomReportCreativeDetail.aspx?App=23&amp;ReportView=4&amp;Qid=1711279&amp;Row=12982&amp;Col=1","No Title Assigned - #15273579459")</f>
        <v/>
      </c>
      <c r="B12990" s="0" t="s">
        <v>17441</v>
      </c>
      <c r="E12990" s="0" t="inlineStr">
        <is>
          <t xml:space="preserve">Mazda</t>
        </is>
      </c>
      <c r="F12990" s="0" t="inlineStr">
        <is>
          <t xml:space="preserve">Mazda</t>
        </is>
      </c>
      <c r="G12990" s="0" t="s">
        <v>171</v>
      </c>
      <c r="H12990" s="5">
        <v>154.834600</v>
      </c>
    </row>
    <row r="12991" spans="1:9">
      <c r="A12991" s="22" t="str">
        <f>HYPERLINK("https://app.vivvix.com/360/KMI/IntelliDrive/ApplUI/Pages/CreativePages/CustomReportCreativeDetail.aspx?App=23&amp;ReportView=4&amp;Qid=1711279&amp;Row=12983&amp;Col=1","No Title Assigned - #15273579715")</f>
        <v/>
      </c>
      <c r="B12991" s="0" t="s">
        <v>17442</v>
      </c>
      <c r="E12991" s="0" t="inlineStr">
        <is>
          <t xml:space="preserve">Mazda</t>
        </is>
      </c>
      <c r="F12991" s="0" t="inlineStr">
        <is>
          <t xml:space="preserve">Mazda</t>
        </is>
      </c>
      <c r="G12991" s="0" t="s">
        <v>171</v>
      </c>
      <c r="H12991" s="5">
        <v>1707.463500</v>
      </c>
    </row>
    <row r="12992" spans="1:9">
      <c r="A12992" s="22" t="str">
        <f>HYPERLINK("https://app.vivvix.com/360/KMI/IntelliDrive/ApplUI/Pages/CreativePages/CustomReportCreativeDetail.aspx?App=23&amp;ReportView=4&amp;Qid=1711279&amp;Row=12984&amp;Col=1","No Title Assigned - #15273579735")</f>
        <v/>
      </c>
      <c r="B12992" s="0" t="s">
        <v>17443</v>
      </c>
      <c r="E12992" s="0" t="inlineStr">
        <is>
          <t xml:space="preserve">Mazda</t>
        </is>
      </c>
      <c r="F12992" s="0" t="inlineStr">
        <is>
          <t xml:space="preserve">Mazda</t>
        </is>
      </c>
      <c r="G12992" s="0" t="s">
        <v>171</v>
      </c>
      <c r="H12992" s="5">
        <v>1.744200</v>
      </c>
    </row>
    <row r="12993" spans="1:9">
      <c r="A12993" s="22" t="str">
        <f>HYPERLINK("https://app.vivvix.com/360/KMI/IntelliDrive/ApplUI/Pages/CreativePages/CustomReportCreativeDetail.aspx?App=23&amp;ReportView=4&amp;Qid=1711279&amp;Row=12985&amp;Col=1","No Title Assigned - #15273579933")</f>
        <v/>
      </c>
      <c r="B12993" s="0" t="s">
        <v>17444</v>
      </c>
      <c r="E12993" s="0" t="inlineStr">
        <is>
          <t xml:space="preserve">Mazda</t>
        </is>
      </c>
      <c r="F12993" s="0" t="inlineStr">
        <is>
          <t xml:space="preserve">Mazda</t>
        </is>
      </c>
      <c r="G12993" s="0" t="s">
        <v>171</v>
      </c>
      <c r="H12993" s="5">
        <v>104.930700</v>
      </c>
    </row>
    <row r="12994" spans="1:9">
      <c r="A12994" s="22" t="str">
        <f>HYPERLINK("https://app.vivvix.com/360/KMI/IntelliDrive/ApplUI/Pages/CreativePages/CustomReportCreativeDetail.aspx?App=23&amp;ReportView=4&amp;Qid=1711279&amp;Row=12986&amp;Col=1","No Title Assigned - #15273580091")</f>
        <v/>
      </c>
      <c r="B12994" s="0" t="s">
        <v>17445</v>
      </c>
      <c r="E12994" s="0" t="inlineStr">
        <is>
          <t xml:space="preserve">Mazda</t>
        </is>
      </c>
      <c r="F12994" s="0" t="inlineStr">
        <is>
          <t xml:space="preserve">Mazda</t>
        </is>
      </c>
      <c r="G12994" s="0" t="s">
        <v>171</v>
      </c>
      <c r="H12994" s="5">
        <v>6.958200</v>
      </c>
    </row>
    <row r="12995" spans="1:9">
      <c r="A12995" s="22" t="str">
        <f>HYPERLINK("https://app.vivvix.com/360/KMI/IntelliDrive/ApplUI/Pages/CreativePages/CustomReportCreativeDetail.aspx?App=23&amp;ReportView=4&amp;Qid=1711279&amp;Row=12987&amp;Col=1","No Title Assigned - #15273580187")</f>
        <v/>
      </c>
      <c r="B12995" s="0" t="s">
        <v>17446</v>
      </c>
      <c r="E12995" s="0" t="inlineStr">
        <is>
          <t xml:space="preserve">Mazda</t>
        </is>
      </c>
      <c r="F12995" s="0" t="inlineStr">
        <is>
          <t xml:space="preserve">Mazda</t>
        </is>
      </c>
      <c r="G12995" s="0" t="s">
        <v>171</v>
      </c>
      <c r="H12995" s="5">
        <v>6.863800</v>
      </c>
    </row>
    <row r="12996" spans="1:9">
      <c r="A12996" s="22" t="str">
        <f>HYPERLINK("https://app.vivvix.com/360/KMI/IntelliDrive/ApplUI/Pages/CreativePages/CustomReportCreativeDetail.aspx?App=23&amp;ReportView=4&amp;Qid=1711279&amp;Row=12988&amp;Col=1","No Title Assigned - #15273580534")</f>
        <v/>
      </c>
      <c r="B12996" s="0" t="s">
        <v>17447</v>
      </c>
      <c r="E12996" s="0" t="inlineStr">
        <is>
          <t xml:space="preserve">Mazda</t>
        </is>
      </c>
      <c r="F12996" s="0" t="inlineStr">
        <is>
          <t xml:space="preserve">Mazda</t>
        </is>
      </c>
      <c r="G12996" s="0" t="s">
        <v>171</v>
      </c>
      <c r="H12996" s="5">
        <v>117.493600</v>
      </c>
    </row>
    <row r="12997" spans="1:9">
      <c r="A12997" s="22" t="str">
        <f>HYPERLINK("https://app.vivvix.com/360/KMI/IntelliDrive/ApplUI/Pages/CreativePages/CustomReportCreativeDetail.aspx?App=23&amp;ReportView=4&amp;Qid=1711279&amp;Row=12989&amp;Col=1","No Title Assigned - #15273580546")</f>
        <v/>
      </c>
      <c r="B12997" s="0" t="s">
        <v>17448</v>
      </c>
      <c r="E12997" s="0" t="inlineStr">
        <is>
          <t xml:space="preserve">Mazda</t>
        </is>
      </c>
      <c r="F12997" s="0" t="inlineStr">
        <is>
          <t xml:space="preserve">Mazda</t>
        </is>
      </c>
      <c r="G12997" s="0" t="s">
        <v>171</v>
      </c>
      <c r="H12997" s="5">
        <v>221.189500</v>
      </c>
    </row>
    <row r="12998" spans="1:9">
      <c r="A12998" s="22" t="str">
        <f>HYPERLINK("https://app.vivvix.com/360/KMI/IntelliDrive/ApplUI/Pages/CreativePages/CustomReportCreativeDetail.aspx?App=23&amp;ReportView=4&amp;Qid=1711279&amp;Row=12990&amp;Col=1","No Title Assigned - #15273580848")</f>
        <v/>
      </c>
      <c r="B12998" s="0" t="s">
        <v>17449</v>
      </c>
      <c r="E12998" s="0" t="inlineStr">
        <is>
          <t xml:space="preserve">Mazda</t>
        </is>
      </c>
      <c r="F12998" s="0" t="inlineStr">
        <is>
          <t xml:space="preserve">Mazda</t>
        </is>
      </c>
      <c r="G12998" s="0" t="s">
        <v>171</v>
      </c>
      <c r="H12998" s="5">
        <v>2958.628600</v>
      </c>
    </row>
    <row r="12999" spans="1:9">
      <c r="A12999" s="22" t="str">
        <f>HYPERLINK("https://app.vivvix.com/360/KMI/IntelliDrive/ApplUI/Pages/CreativePages/CustomReportCreativeDetail.aspx?App=23&amp;ReportView=4&amp;Qid=1711279&amp;Row=12991&amp;Col=1","No Title Assigned - #15273580868")</f>
        <v/>
      </c>
      <c r="B12999" s="0" t="s">
        <v>17450</v>
      </c>
      <c r="E12999" s="0" t="inlineStr">
        <is>
          <t xml:space="preserve">Mazda</t>
        </is>
      </c>
      <c r="F12999" s="0" t="inlineStr">
        <is>
          <t xml:space="preserve">Mazda</t>
        </is>
      </c>
      <c r="G12999" s="0" t="s">
        <v>171</v>
      </c>
      <c r="H12999" s="5">
        <v>6961.106600</v>
      </c>
    </row>
    <row r="13000" spans="1:9">
      <c r="A13000" s="22" t="str">
        <f>HYPERLINK("https://app.vivvix.com/360/KMI/IntelliDrive/ApplUI/Pages/CreativePages/CustomReportCreativeDetail.aspx?App=23&amp;ReportView=4&amp;Qid=1711279&amp;Row=12992&amp;Col=1","No Title Assigned - #15273581208")</f>
        <v/>
      </c>
      <c r="B13000" s="0" t="s">
        <v>17451</v>
      </c>
      <c r="C13000" s="0" t="s">
        <v>17452</v>
      </c>
      <c r="D13000" s="0" t="s">
        <v>17452</v>
      </c>
      <c r="E13000" s="0" t="inlineStr">
        <is>
          <t xml:space="preserve">Mazda</t>
        </is>
      </c>
      <c r="F13000" s="0" t="s">
        <v>13</v>
      </c>
      <c r="G13000" s="0" t="s">
        <v>49</v>
      </c>
      <c r="H13000" s="5">
        <v>290.764500</v>
      </c>
    </row>
    <row r="13001" spans="1:9">
      <c r="A13001" s="22" t="str">
        <f>HYPERLINK("https://app.vivvix.com/360/KMI/IntelliDrive/ApplUI/Pages/CreativePages/CustomReportCreativeDetail.aspx?App=23&amp;ReportView=4&amp;Qid=1711279&amp;Row=12993&amp;Col=1","No Title Assigned - #15273581257")</f>
        <v/>
      </c>
      <c r="B13001" s="0" t="s">
        <v>17453</v>
      </c>
      <c r="E13001" s="0" t="inlineStr">
        <is>
          <t xml:space="preserve">Mazda</t>
        </is>
      </c>
      <c r="F13001" s="0" t="inlineStr">
        <is>
          <t xml:space="preserve">Mazda</t>
        </is>
      </c>
      <c r="G13001" s="0" t="s">
        <v>171</v>
      </c>
      <c r="H13001" s="5">
        <v>128.541900</v>
      </c>
    </row>
    <row r="13002" spans="1:9">
      <c r="A13002" s="22" t="str">
        <f>HYPERLINK("https://app.vivvix.com/360/KMI/IntelliDrive/ApplUI/Pages/CreativePages/CustomReportCreativeDetail.aspx?App=23&amp;ReportView=4&amp;Qid=1711279&amp;Row=12994&amp;Col=1","No Title Assigned - #15273581917")</f>
        <v/>
      </c>
      <c r="B13002" s="0" t="s">
        <v>17454</v>
      </c>
      <c r="E13002" s="0" t="inlineStr">
        <is>
          <t xml:space="preserve">Mazda</t>
        </is>
      </c>
      <c r="F13002" s="0" t="inlineStr">
        <is>
          <t xml:space="preserve">Mazda</t>
        </is>
      </c>
      <c r="G13002" s="0" t="s">
        <v>171</v>
      </c>
      <c r="H13002" s="5">
        <v>636.069500</v>
      </c>
    </row>
    <row r="13003" spans="1:9">
      <c r="A13003" s="22" t="str">
        <f>HYPERLINK("https://app.vivvix.com/360/KMI/IntelliDrive/ApplUI/Pages/CreativePages/CustomReportCreativeDetail.aspx?App=23&amp;ReportView=4&amp;Qid=1711279&amp;Row=12995&amp;Col=1","No Title Assigned - #15273582018")</f>
        <v/>
      </c>
      <c r="B13003" s="0" t="s">
        <v>17455</v>
      </c>
      <c r="C13003" s="0" t="s">
        <v>17456</v>
      </c>
      <c r="D13003" s="0" t="s">
        <v>17456</v>
      </c>
      <c r="E13003" s="0" t="inlineStr">
        <is>
          <t xml:space="preserve">Mazda</t>
        </is>
      </c>
      <c r="F13003" s="0" t="inlineStr">
        <is>
          <t xml:space="preserve">Mazda</t>
        </is>
      </c>
      <c r="G13003" s="0" t="s">
        <v>171</v>
      </c>
      <c r="H13003" s="5">
        <v>977.811300</v>
      </c>
    </row>
    <row r="13004" spans="1:9">
      <c r="A13004" s="22" t="str">
        <f>HYPERLINK("https://app.vivvix.com/360/KMI/IntelliDrive/ApplUI/Pages/CreativePages/CustomReportCreativeDetail.aspx?App=23&amp;ReportView=4&amp;Qid=1711279&amp;Row=12996&amp;Col=1","No Title Assigned - #15273582083")</f>
        <v/>
      </c>
      <c r="B13004" s="0" t="s">
        <v>17457</v>
      </c>
      <c r="E13004" s="0" t="inlineStr">
        <is>
          <t xml:space="preserve">Mazda</t>
        </is>
      </c>
      <c r="F13004" s="0" t="inlineStr">
        <is>
          <t xml:space="preserve">Mazda</t>
        </is>
      </c>
      <c r="G13004" s="0" t="s">
        <v>171</v>
      </c>
      <c r="H13004" s="5">
        <v>138.847800</v>
      </c>
    </row>
    <row r="13005" spans="1:9">
      <c r="A13005" s="22" t="str">
        <f>HYPERLINK("https://app.vivvix.com/360/KMI/IntelliDrive/ApplUI/Pages/CreativePages/CustomReportCreativeDetail.aspx?App=23&amp;ReportView=4&amp;Qid=1711279&amp;Row=12997&amp;Col=1","No Title Assigned - #15273582084")</f>
        <v/>
      </c>
      <c r="B13005" s="0" t="s">
        <v>17458</v>
      </c>
      <c r="E13005" s="0" t="inlineStr">
        <is>
          <t xml:space="preserve">Mazda</t>
        </is>
      </c>
      <c r="F13005" s="0" t="inlineStr">
        <is>
          <t xml:space="preserve">Mazda</t>
        </is>
      </c>
      <c r="G13005" s="0" t="s">
        <v>171</v>
      </c>
      <c r="H13005" s="5">
        <v>166.526500</v>
      </c>
    </row>
    <row r="13006" spans="1:9">
      <c r="A13006" s="22" t="str">
        <f>HYPERLINK("https://app.vivvix.com/360/KMI/IntelliDrive/ApplUI/Pages/CreativePages/CustomReportCreativeDetail.aspx?App=23&amp;ReportView=4&amp;Qid=1711279&amp;Row=12998&amp;Col=1","No Title Assigned - #15273582152")</f>
        <v/>
      </c>
      <c r="B13006" s="0" t="s">
        <v>17459</v>
      </c>
      <c r="E13006" s="0" t="inlineStr">
        <is>
          <t xml:space="preserve">Mazda</t>
        </is>
      </c>
      <c r="F13006" s="0" t="inlineStr">
        <is>
          <t xml:space="preserve">Mazda</t>
        </is>
      </c>
      <c r="G13006" s="0" t="s">
        <v>171</v>
      </c>
      <c r="H13006" s="5">
        <v>14.262500</v>
      </c>
    </row>
    <row r="13007" spans="1:9">
      <c r="A13007" s="22" t="str">
        <f>HYPERLINK("https://app.vivvix.com/360/KMI/IntelliDrive/ApplUI/Pages/CreativePages/CustomReportCreativeDetail.aspx?App=23&amp;ReportView=4&amp;Qid=1711279&amp;Row=12999&amp;Col=1","No Title Assigned - #15273582187")</f>
        <v/>
      </c>
      <c r="B13007" s="0" t="s">
        <v>17460</v>
      </c>
      <c r="E13007" s="0" t="inlineStr">
        <is>
          <t xml:space="preserve">Mazda</t>
        </is>
      </c>
      <c r="F13007" s="0" t="inlineStr">
        <is>
          <t xml:space="preserve">Mazda</t>
        </is>
      </c>
      <c r="G13007" s="0" t="s">
        <v>171</v>
      </c>
      <c r="H13007" s="5">
        <v>68.324800</v>
      </c>
    </row>
    <row r="13008" spans="1:9">
      <c r="A13008" s="22" t="str">
        <f>HYPERLINK("https://app.vivvix.com/360/KMI/IntelliDrive/ApplUI/Pages/CreativePages/CustomReportCreativeDetail.aspx?App=23&amp;ReportView=4&amp;Qid=1711279&amp;Row=13000&amp;Col=1","No Title Assigned - #15273582213")</f>
        <v/>
      </c>
      <c r="B13008" s="0" t="s">
        <v>17461</v>
      </c>
      <c r="E13008" s="0" t="inlineStr">
        <is>
          <t xml:space="preserve">Mazda</t>
        </is>
      </c>
      <c r="F13008" s="0" t="inlineStr">
        <is>
          <t xml:space="preserve">Mazda</t>
        </is>
      </c>
      <c r="G13008" s="0" t="s">
        <v>171</v>
      </c>
      <c r="H13008" s="5">
        <v>245.953300</v>
      </c>
    </row>
    <row r="13009" spans="1:9">
      <c r="A13009" s="22" t="str">
        <f>HYPERLINK("https://app.vivvix.com/360/KMI/IntelliDrive/ApplUI/Pages/CreativePages/CustomReportCreativeDetail.aspx?App=23&amp;ReportView=4&amp;Qid=1711279&amp;Row=13001&amp;Col=1","No Title Assigned - #15273582282")</f>
        <v/>
      </c>
      <c r="B13009" s="0" t="s">
        <v>17462</v>
      </c>
      <c r="E13009" s="0" t="inlineStr">
        <is>
          <t xml:space="preserve">Mazda</t>
        </is>
      </c>
      <c r="F13009" s="0" t="inlineStr">
        <is>
          <t xml:space="preserve">Mazda</t>
        </is>
      </c>
      <c r="G13009" s="0" t="s">
        <v>171</v>
      </c>
      <c r="H13009" s="5">
        <v>240.997400</v>
      </c>
    </row>
    <row r="13010" spans="1:9">
      <c r="A13010" s="22" t="str">
        <f>HYPERLINK("https://app.vivvix.com/360/KMI/IntelliDrive/ApplUI/Pages/CreativePages/CustomReportCreativeDetail.aspx?App=23&amp;ReportView=4&amp;Qid=1711279&amp;Row=13002&amp;Col=1","No Title Assigned - #15273582295")</f>
        <v/>
      </c>
      <c r="B13010" s="0" t="s">
        <v>17463</v>
      </c>
      <c r="C13010" s="0" t="s">
        <v>17464</v>
      </c>
      <c r="D13010" s="0" t="s">
        <v>17464</v>
      </c>
      <c r="E13010" s="0" t="inlineStr">
        <is>
          <t xml:space="preserve">Mazda</t>
        </is>
      </c>
      <c r="F13010" s="0" t="inlineStr">
        <is>
          <t xml:space="preserve">Mazda</t>
        </is>
      </c>
      <c r="G13010" s="0" t="s">
        <v>171</v>
      </c>
      <c r="H13010" s="5">
        <v>254.418800</v>
      </c>
    </row>
    <row r="13011" spans="1:9">
      <c r="A13011" s="22" t="str">
        <f>HYPERLINK("https://app.vivvix.com/360/KMI/IntelliDrive/ApplUI/Pages/CreativePages/CustomReportCreativeDetail.aspx?App=23&amp;ReportView=4&amp;Qid=1711279&amp;Row=13003&amp;Col=1","No Title Assigned - #15273585409")</f>
        <v/>
      </c>
      <c r="B13011" s="0" t="s">
        <v>17465</v>
      </c>
      <c r="C13011" s="0" t="s">
        <v>17466</v>
      </c>
      <c r="D13011" s="0" t="s">
        <v>17466</v>
      </c>
      <c r="E13011" s="0" t="inlineStr">
        <is>
          <t xml:space="preserve">Mazda</t>
        </is>
      </c>
      <c r="F13011" s="0" t="inlineStr">
        <is>
          <t xml:space="preserve">Mazda</t>
        </is>
      </c>
      <c r="G13011" s="0" t="s">
        <v>171</v>
      </c>
      <c r="H13011" s="5">
        <v>571.100000</v>
      </c>
    </row>
    <row r="13012" spans="1:9">
      <c r="A13012" s="22" t="str">
        <f>HYPERLINK("https://app.vivvix.com/360/KMI/IntelliDrive/ApplUI/Pages/CreativePages/CustomReportCreativeDetail.aspx?App=23&amp;ReportView=4&amp;Qid=1711279&amp;Row=13004&amp;Col=1","No Title Assigned - #15273585533")</f>
        <v/>
      </c>
      <c r="B13012" s="0" t="s">
        <v>17467</v>
      </c>
      <c r="E13012" s="0" t="inlineStr">
        <is>
          <t xml:space="preserve">Mazda</t>
        </is>
      </c>
      <c r="F13012" s="0" t="inlineStr">
        <is>
          <t xml:space="preserve">Mazda</t>
        </is>
      </c>
      <c r="G13012" s="0" t="s">
        <v>171</v>
      </c>
      <c r="H13012" s="5">
        <v>85.575000</v>
      </c>
    </row>
    <row r="13013" spans="1:9">
      <c r="A13013" s="22" t="str">
        <f>HYPERLINK("https://app.vivvix.com/360/KMI/IntelliDrive/ApplUI/Pages/CreativePages/CustomReportCreativeDetail.aspx?App=23&amp;ReportView=4&amp;Qid=1711279&amp;Row=13005&amp;Col=1","No Title Assigned - #15273585606")</f>
        <v/>
      </c>
      <c r="B13013" s="0" t="s">
        <v>17468</v>
      </c>
      <c r="E13013" s="0" t="inlineStr">
        <is>
          <t xml:space="preserve">Mazda</t>
        </is>
      </c>
      <c r="F13013" s="0" t="inlineStr">
        <is>
          <t xml:space="preserve">Mazda</t>
        </is>
      </c>
      <c r="G13013" s="0" t="s">
        <v>171</v>
      </c>
      <c r="H13013" s="5">
        <v>341.141400</v>
      </c>
    </row>
    <row r="13014" spans="1:9">
      <c r="A13014" s="22" t="str">
        <f>HYPERLINK("https://app.vivvix.com/360/KMI/IntelliDrive/ApplUI/Pages/CreativePages/CustomReportCreativeDetail.aspx?App=23&amp;ReportView=4&amp;Qid=1711279&amp;Row=13006&amp;Col=1","No Title Assigned - #15273585697")</f>
        <v/>
      </c>
      <c r="B13014" s="0" t="s">
        <v>17469</v>
      </c>
      <c r="E13014" s="0" t="inlineStr">
        <is>
          <t xml:space="preserve">Mazda</t>
        </is>
      </c>
      <c r="F13014" s="0" t="inlineStr">
        <is>
          <t xml:space="preserve">Mazda</t>
        </is>
      </c>
      <c r="G13014" s="0" t="s">
        <v>171</v>
      </c>
      <c r="H13014" s="5">
        <v>33.834300</v>
      </c>
    </row>
    <row r="13015" spans="1:9">
      <c r="A13015" s="22" t="str">
        <f>HYPERLINK("https://app.vivvix.com/360/KMI/IntelliDrive/ApplUI/Pages/CreativePages/CustomReportCreativeDetail.aspx?App=23&amp;ReportView=4&amp;Qid=1711279&amp;Row=13007&amp;Col=1","No Title Assigned - #15273585717")</f>
        <v/>
      </c>
      <c r="B13015" s="0" t="s">
        <v>17470</v>
      </c>
      <c r="E13015" s="0" t="inlineStr">
        <is>
          <t xml:space="preserve">Mazda</t>
        </is>
      </c>
      <c r="F13015" s="0" t="inlineStr">
        <is>
          <t xml:space="preserve">Mazda</t>
        </is>
      </c>
      <c r="G13015" s="0" t="s">
        <v>171</v>
      </c>
      <c r="H13015" s="5">
        <v>2956.600100</v>
      </c>
    </row>
    <row r="13016" spans="1:9">
      <c r="A13016" s="22" t="str">
        <f>HYPERLINK("https://app.vivvix.com/360/KMI/IntelliDrive/ApplUI/Pages/CreativePages/CustomReportCreativeDetail.aspx?App=23&amp;ReportView=4&amp;Qid=1711279&amp;Row=13008&amp;Col=1","No Title Assigned - #15273585717")</f>
        <v/>
      </c>
      <c r="B13016" s="0" t="s">
        <v>17470</v>
      </c>
      <c r="E13016" s="0" t="inlineStr">
        <is>
          <t xml:space="preserve">Mazda</t>
        </is>
      </c>
      <c r="F13016" s="0" t="inlineStr">
        <is>
          <t xml:space="preserve">Mazda</t>
        </is>
      </c>
      <c r="G13016" s="0" t="s">
        <v>171</v>
      </c>
      <c r="H13016" s="5">
        <v>34.643900</v>
      </c>
    </row>
    <row r="13017" spans="1:9">
      <c r="A13017" s="22" t="str">
        <f>HYPERLINK("https://app.vivvix.com/360/KMI/IntelliDrive/ApplUI/Pages/CreativePages/CustomReportCreativeDetail.aspx?App=23&amp;ReportView=4&amp;Qid=1711279&amp;Row=13009&amp;Col=1","No Title Assigned - #15273585879")</f>
        <v/>
      </c>
      <c r="B13017" s="0" t="s">
        <v>17471</v>
      </c>
      <c r="E13017" s="0" t="inlineStr">
        <is>
          <t xml:space="preserve">Mazda</t>
        </is>
      </c>
      <c r="F13017" s="0" t="inlineStr">
        <is>
          <t xml:space="preserve">Mazda</t>
        </is>
      </c>
      <c r="G13017" s="0" t="s">
        <v>171</v>
      </c>
      <c r="H13017" s="5">
        <v>4813.766400</v>
      </c>
    </row>
    <row r="13018" spans="1:9">
      <c r="A13018" s="22" t="str">
        <f>HYPERLINK("https://app.vivvix.com/360/KMI/IntelliDrive/ApplUI/Pages/CreativePages/CustomReportCreativeDetail.aspx?App=23&amp;ReportView=4&amp;Qid=1711279&amp;Row=13010&amp;Col=1","No Title Assigned - #15273585880")</f>
        <v/>
      </c>
      <c r="B13018" s="0" t="s">
        <v>17472</v>
      </c>
      <c r="E13018" s="0" t="inlineStr">
        <is>
          <t xml:space="preserve">Mazda</t>
        </is>
      </c>
      <c r="F13018" s="0" t="inlineStr">
        <is>
          <t xml:space="preserve">Mazda</t>
        </is>
      </c>
      <c r="G13018" s="0" t="s">
        <v>171</v>
      </c>
      <c r="H13018" s="5">
        <v>54471.901300</v>
      </c>
    </row>
    <row r="13019" spans="1:9">
      <c r="A13019" s="22" t="str">
        <f>HYPERLINK("https://app.vivvix.com/360/KMI/IntelliDrive/ApplUI/Pages/CreativePages/CustomReportCreativeDetail.aspx?App=23&amp;ReportView=4&amp;Qid=1711279&amp;Row=13011&amp;Col=1","No Title Assigned - #15273585880")</f>
        <v/>
      </c>
      <c r="B13019" s="0" t="s">
        <v>17472</v>
      </c>
      <c r="E13019" s="0" t="inlineStr">
        <is>
          <t xml:space="preserve">Mazda</t>
        </is>
      </c>
      <c r="F13019" s="0" t="inlineStr">
        <is>
          <t xml:space="preserve">Mazda</t>
        </is>
      </c>
      <c r="G13019" s="0" t="s">
        <v>171</v>
      </c>
      <c r="H13019" s="5">
        <v>700.755300</v>
      </c>
    </row>
    <row r="13020" spans="1:9">
      <c r="A13020" s="22" t="str">
        <f>HYPERLINK("https://app.vivvix.com/360/KMI/IntelliDrive/ApplUI/Pages/CreativePages/CustomReportCreativeDetail.aspx?App=23&amp;ReportView=4&amp;Qid=1711279&amp;Row=13012&amp;Col=1","No Title Assigned - #15273585995")</f>
        <v/>
      </c>
      <c r="B13020" s="0" t="s">
        <v>17473</v>
      </c>
      <c r="E13020" s="0" t="inlineStr">
        <is>
          <t xml:space="preserve">Mazda</t>
        </is>
      </c>
      <c r="F13020" s="0" t="inlineStr">
        <is>
          <t xml:space="preserve">Mazda</t>
        </is>
      </c>
      <c r="G13020" s="0" t="s">
        <v>171</v>
      </c>
      <c r="H13020" s="5">
        <v>43.179700</v>
      </c>
    </row>
    <row r="13021" spans="1:9">
      <c r="A13021" s="22" t="str">
        <f>HYPERLINK("https://app.vivvix.com/360/KMI/IntelliDrive/ApplUI/Pages/CreativePages/CustomReportCreativeDetail.aspx?App=23&amp;ReportView=4&amp;Qid=1711279&amp;Row=13013&amp;Col=1","No Title Assigned - #15273586037")</f>
        <v/>
      </c>
      <c r="B13021" s="0" t="s">
        <v>17474</v>
      </c>
      <c r="E13021" s="0" t="inlineStr">
        <is>
          <t xml:space="preserve">Mazda</t>
        </is>
      </c>
      <c r="F13021" s="0" t="inlineStr">
        <is>
          <t xml:space="preserve">Mazda</t>
        </is>
      </c>
      <c r="G13021" s="0" t="s">
        <v>171</v>
      </c>
      <c r="H13021" s="5">
        <v>19020.502000</v>
      </c>
    </row>
    <row r="13022" spans="1:9">
      <c r="A13022" s="22" t="str">
        <f>HYPERLINK("https://app.vivvix.com/360/KMI/IntelliDrive/ApplUI/Pages/CreativePages/CustomReportCreativeDetail.aspx?App=23&amp;ReportView=4&amp;Qid=1711279&amp;Row=13014&amp;Col=1","No Title Assigned - #15273586037")</f>
        <v/>
      </c>
      <c r="B13022" s="0" t="s">
        <v>17474</v>
      </c>
      <c r="E13022" s="0" t="inlineStr">
        <is>
          <t xml:space="preserve">Mazda</t>
        </is>
      </c>
      <c r="F13022" s="0" t="inlineStr">
        <is>
          <t xml:space="preserve">Mazda</t>
        </is>
      </c>
      <c r="G13022" s="0" t="s">
        <v>171</v>
      </c>
      <c r="H13022" s="5">
        <v>475.428800</v>
      </c>
    </row>
    <row r="13023" spans="1:9">
      <c r="A13023" s="22" t="str">
        <f>HYPERLINK("https://app.vivvix.com/360/KMI/IntelliDrive/ApplUI/Pages/CreativePages/CustomReportCreativeDetail.aspx?App=23&amp;ReportView=4&amp;Qid=1711279&amp;Row=13015&amp;Col=1","No Title Assigned - #15273586455")</f>
        <v/>
      </c>
      <c r="B13023" s="0" t="s">
        <v>17475</v>
      </c>
      <c r="E13023" s="0" t="inlineStr">
        <is>
          <t xml:space="preserve">Mazda</t>
        </is>
      </c>
      <c r="F13023" s="0" t="inlineStr">
        <is>
          <t xml:space="preserve">Mazda</t>
        </is>
      </c>
      <c r="G13023" s="0" t="s">
        <v>171</v>
      </c>
      <c r="H13023" s="5">
        <v>47.036400</v>
      </c>
    </row>
    <row r="13024" spans="1:9">
      <c r="A13024" s="22" t="str">
        <f>HYPERLINK("https://app.vivvix.com/360/KMI/IntelliDrive/ApplUI/Pages/CreativePages/CustomReportCreativeDetail.aspx?App=23&amp;ReportView=4&amp;Qid=1711279&amp;Row=13016&amp;Col=1","No Title Assigned - #15273586589")</f>
        <v/>
      </c>
      <c r="B13024" s="0" t="s">
        <v>17476</v>
      </c>
      <c r="E13024" s="0" t="inlineStr">
        <is>
          <t xml:space="preserve">Mazda</t>
        </is>
      </c>
      <c r="F13024" s="0" t="inlineStr">
        <is>
          <t xml:space="preserve">Mazda</t>
        </is>
      </c>
      <c r="G13024" s="0" t="s">
        <v>171</v>
      </c>
      <c r="H13024" s="5">
        <v>39.864600</v>
      </c>
    </row>
    <row r="13025" spans="1:9">
      <c r="A13025" s="22" t="str">
        <f>HYPERLINK("https://app.vivvix.com/360/KMI/IntelliDrive/ApplUI/Pages/CreativePages/CustomReportCreativeDetail.aspx?App=23&amp;ReportView=4&amp;Qid=1711279&amp;Row=13017&amp;Col=1","No Title Assigned - #15273586647")</f>
        <v/>
      </c>
      <c r="B13025" s="0" t="s">
        <v>17477</v>
      </c>
      <c r="E13025" s="0" t="inlineStr">
        <is>
          <t xml:space="preserve">Mazda</t>
        </is>
      </c>
      <c r="F13025" s="0" t="inlineStr">
        <is>
          <t xml:space="preserve">Mazda</t>
        </is>
      </c>
      <c r="G13025" s="0" t="s">
        <v>171</v>
      </c>
      <c r="H13025" s="5">
        <v>83.681400</v>
      </c>
    </row>
    <row r="13026" spans="1:9">
      <c r="A13026" s="22" t="str">
        <f>HYPERLINK("https://app.vivvix.com/360/KMI/IntelliDrive/ApplUI/Pages/CreativePages/CustomReportCreativeDetail.aspx?App=23&amp;ReportView=4&amp;Qid=1711279&amp;Row=13018&amp;Col=1","No Title Assigned - #15273586942")</f>
        <v/>
      </c>
      <c r="B13026" s="0" t="s">
        <v>17478</v>
      </c>
      <c r="E13026" s="0" t="inlineStr">
        <is>
          <t xml:space="preserve">Mazda</t>
        </is>
      </c>
      <c r="F13026" s="0" t="inlineStr">
        <is>
          <t xml:space="preserve">Mazda</t>
        </is>
      </c>
      <c r="G13026" s="0" t="s">
        <v>171</v>
      </c>
      <c r="H13026" s="5">
        <v>103.336200</v>
      </c>
    </row>
    <row r="13027" spans="1:9">
      <c r="A13027" s="22" t="str">
        <f>HYPERLINK("https://app.vivvix.com/360/KMI/IntelliDrive/ApplUI/Pages/CreativePages/CustomReportCreativeDetail.aspx?App=23&amp;ReportView=4&amp;Qid=1711279&amp;Row=13019&amp;Col=1","No Title Assigned - #15273586968")</f>
        <v/>
      </c>
      <c r="B13027" s="0" t="s">
        <v>17479</v>
      </c>
      <c r="E13027" s="0" t="inlineStr">
        <is>
          <t xml:space="preserve">Mazda</t>
        </is>
      </c>
      <c r="F13027" s="0" t="inlineStr">
        <is>
          <t xml:space="preserve">Mazda</t>
        </is>
      </c>
      <c r="G13027" s="0" t="s">
        <v>171</v>
      </c>
      <c r="H13027" s="5">
        <v>33.955100</v>
      </c>
    </row>
    <row r="13028" spans="1:9">
      <c r="A13028" s="22" t="str">
        <f>HYPERLINK("https://app.vivvix.com/360/KMI/IntelliDrive/ApplUI/Pages/CreativePages/CustomReportCreativeDetail.aspx?App=23&amp;ReportView=4&amp;Qid=1711279&amp;Row=13020&amp;Col=1","No Title Assigned - #15273587261")</f>
        <v/>
      </c>
      <c r="B13028" s="0" t="s">
        <v>17480</v>
      </c>
      <c r="E13028" s="0" t="inlineStr">
        <is>
          <t xml:space="preserve">Mazda</t>
        </is>
      </c>
      <c r="F13028" s="0" t="inlineStr">
        <is>
          <t xml:space="preserve">Mazda</t>
        </is>
      </c>
      <c r="G13028" s="0" t="s">
        <v>171</v>
      </c>
      <c r="H13028" s="5">
        <v>1106.003100</v>
      </c>
    </row>
    <row r="13029" spans="1:9">
      <c r="A13029" s="22" t="str">
        <f>HYPERLINK("https://app.vivvix.com/360/KMI/IntelliDrive/ApplUI/Pages/CreativePages/CustomReportCreativeDetail.aspx?App=23&amp;ReportView=4&amp;Qid=1711279&amp;Row=13021&amp;Col=1","No Title Assigned - #15273587328")</f>
        <v/>
      </c>
      <c r="B13029" s="0" t="s">
        <v>17481</v>
      </c>
      <c r="E13029" s="0" t="inlineStr">
        <is>
          <t xml:space="preserve">Mazda</t>
        </is>
      </c>
      <c r="F13029" s="0" t="inlineStr">
        <is>
          <t xml:space="preserve">Mazda</t>
        </is>
      </c>
      <c r="G13029" s="0" t="s">
        <v>171</v>
      </c>
      <c r="H13029" s="5">
        <v>307.480700</v>
      </c>
    </row>
    <row r="13030" spans="1:9">
      <c r="A13030" s="22" t="str">
        <f>HYPERLINK("https://app.vivvix.com/360/KMI/IntelliDrive/ApplUI/Pages/CreativePages/CustomReportCreativeDetail.aspx?App=23&amp;ReportView=4&amp;Qid=1711279&amp;Row=13022&amp;Col=1","No Title Assigned - #15273587755")</f>
        <v/>
      </c>
      <c r="B13030" s="0" t="s">
        <v>17482</v>
      </c>
      <c r="E13030" s="0" t="inlineStr">
        <is>
          <t xml:space="preserve">Mazda</t>
        </is>
      </c>
      <c r="F13030" s="0" t="inlineStr">
        <is>
          <t xml:space="preserve">Mazda</t>
        </is>
      </c>
      <c r="G13030" s="0" t="s">
        <v>171</v>
      </c>
      <c r="H13030" s="5">
        <v>333.171900</v>
      </c>
    </row>
    <row r="13031" spans="1:9">
      <c r="A13031" s="22" t="str">
        <f>HYPERLINK("https://app.vivvix.com/360/KMI/IntelliDrive/ApplUI/Pages/CreativePages/CustomReportCreativeDetail.aspx?App=23&amp;ReportView=4&amp;Qid=1711279&amp;Row=13023&amp;Col=1","No Title Assigned - #15273587757")</f>
        <v/>
      </c>
      <c r="B13031" s="0" t="s">
        <v>17483</v>
      </c>
      <c r="E13031" s="0" t="inlineStr">
        <is>
          <t xml:space="preserve">Mazda</t>
        </is>
      </c>
      <c r="F13031" s="0" t="inlineStr">
        <is>
          <t xml:space="preserve">Mazda</t>
        </is>
      </c>
      <c r="G13031" s="0" t="s">
        <v>171</v>
      </c>
      <c r="H13031" s="5">
        <v>487.336500</v>
      </c>
    </row>
    <row r="13032" spans="1:9">
      <c r="A13032" s="22" t="str">
        <f>HYPERLINK("https://app.vivvix.com/360/KMI/IntelliDrive/ApplUI/Pages/CreativePages/CustomReportCreativeDetail.aspx?App=23&amp;ReportView=4&amp;Qid=1711279&amp;Row=13024&amp;Col=1","No Title Assigned - #15273587864")</f>
        <v/>
      </c>
      <c r="B13032" s="0" t="s">
        <v>17484</v>
      </c>
      <c r="E13032" s="0" t="inlineStr">
        <is>
          <t xml:space="preserve">Mazda</t>
        </is>
      </c>
      <c r="F13032" s="0" t="inlineStr">
        <is>
          <t xml:space="preserve">Mazda</t>
        </is>
      </c>
      <c r="G13032" s="0" t="s">
        <v>171</v>
      </c>
      <c r="H13032" s="5">
        <v>566.015400</v>
      </c>
    </row>
    <row r="13033" spans="1:9">
      <c r="A13033" s="22" t="str">
        <f>HYPERLINK("https://app.vivvix.com/360/KMI/IntelliDrive/ApplUI/Pages/CreativePages/CustomReportCreativeDetail.aspx?App=23&amp;ReportView=4&amp;Qid=1711279&amp;Row=13025&amp;Col=1","No Title Assigned - #15273588108")</f>
        <v/>
      </c>
      <c r="B13033" s="0" t="s">
        <v>17485</v>
      </c>
      <c r="E13033" s="0" t="inlineStr">
        <is>
          <t xml:space="preserve">Mazda</t>
        </is>
      </c>
      <c r="F13033" s="0" t="inlineStr">
        <is>
          <t xml:space="preserve">Mazda</t>
        </is>
      </c>
      <c r="G13033" s="0" t="s">
        <v>171</v>
      </c>
      <c r="H13033" s="5">
        <v>142.557600</v>
      </c>
    </row>
    <row r="13034" spans="1:9">
      <c r="A13034" s="22" t="str">
        <f>HYPERLINK("https://app.vivvix.com/360/KMI/IntelliDrive/ApplUI/Pages/CreativePages/CustomReportCreativeDetail.aspx?App=23&amp;ReportView=4&amp;Qid=1711279&amp;Row=13026&amp;Col=1","No Title Assigned - #15273588144")</f>
        <v/>
      </c>
      <c r="B13034" s="0" t="s">
        <v>17486</v>
      </c>
      <c r="E13034" s="0" t="inlineStr">
        <is>
          <t xml:space="preserve">Mazda</t>
        </is>
      </c>
      <c r="F13034" s="0" t="inlineStr">
        <is>
          <t xml:space="preserve">Mazda</t>
        </is>
      </c>
      <c r="G13034" s="0" t="s">
        <v>171</v>
      </c>
      <c r="H13034" s="5">
        <v>64.207400</v>
      </c>
    </row>
    <row r="13035" spans="1:9">
      <c r="A13035" s="22" t="str">
        <f>HYPERLINK("https://app.vivvix.com/360/KMI/IntelliDrive/ApplUI/Pages/CreativePages/CustomReportCreativeDetail.aspx?App=23&amp;ReportView=4&amp;Qid=1711279&amp;Row=13027&amp;Col=1","No Title Assigned - #15273588335")</f>
        <v/>
      </c>
      <c r="B13035" s="0" t="s">
        <v>17487</v>
      </c>
      <c r="E13035" s="0" t="inlineStr">
        <is>
          <t xml:space="preserve">Mazda</t>
        </is>
      </c>
      <c r="F13035" s="0" t="inlineStr">
        <is>
          <t xml:space="preserve">Mazda</t>
        </is>
      </c>
      <c r="G13035" s="0" t="s">
        <v>171</v>
      </c>
      <c r="H13035" s="5">
        <v>616.298700</v>
      </c>
    </row>
    <row r="13036" spans="1:9">
      <c r="A13036" s="22" t="str">
        <f>HYPERLINK("https://app.vivvix.com/360/KMI/IntelliDrive/ApplUI/Pages/CreativePages/CustomReportCreativeDetail.aspx?App=23&amp;ReportView=4&amp;Qid=1711279&amp;Row=13028&amp;Col=1","No Title Assigned - #15273588336")</f>
        <v/>
      </c>
      <c r="B13036" s="0" t="s">
        <v>17488</v>
      </c>
      <c r="E13036" s="0" t="inlineStr">
        <is>
          <t xml:space="preserve">Mazda</t>
        </is>
      </c>
      <c r="F13036" s="0" t="inlineStr">
        <is>
          <t xml:space="preserve">Mazda</t>
        </is>
      </c>
      <c r="G13036" s="0" t="s">
        <v>171</v>
      </c>
      <c r="H13036" s="5">
        <v>616.298700</v>
      </c>
    </row>
    <row r="13037" spans="1:9">
      <c r="A13037" s="22" t="str">
        <f>HYPERLINK("https://app.vivvix.com/360/KMI/IntelliDrive/ApplUI/Pages/CreativePages/CustomReportCreativeDetail.aspx?App=23&amp;ReportView=4&amp;Qid=1711279&amp;Row=13029&amp;Col=1","No Title Assigned - #15273588337")</f>
        <v/>
      </c>
      <c r="B13037" s="0" t="s">
        <v>17489</v>
      </c>
      <c r="E13037" s="0" t="inlineStr">
        <is>
          <t xml:space="preserve">Mazda</t>
        </is>
      </c>
      <c r="F13037" s="0" t="inlineStr">
        <is>
          <t xml:space="preserve">Mazda</t>
        </is>
      </c>
      <c r="G13037" s="0" t="s">
        <v>171</v>
      </c>
      <c r="H13037" s="5">
        <v>616.298700</v>
      </c>
    </row>
    <row r="13038" spans="1:9">
      <c r="A13038" s="22" t="str">
        <f>HYPERLINK("https://app.vivvix.com/360/KMI/IntelliDrive/ApplUI/Pages/CreativePages/CustomReportCreativeDetail.aspx?App=23&amp;ReportView=4&amp;Qid=1711279&amp;Row=13030&amp;Col=1","No Title Assigned - #15273588343")</f>
        <v/>
      </c>
      <c r="B13038" s="0" t="s">
        <v>17490</v>
      </c>
      <c r="E13038" s="0" t="inlineStr">
        <is>
          <t xml:space="preserve">Mazda</t>
        </is>
      </c>
      <c r="F13038" s="0" t="inlineStr">
        <is>
          <t xml:space="preserve">Mazda</t>
        </is>
      </c>
      <c r="G13038" s="0" t="s">
        <v>171</v>
      </c>
      <c r="H13038" s="5">
        <v>48.038700</v>
      </c>
    </row>
    <row r="13039" spans="1:9">
      <c r="A13039" s="22" t="str">
        <f>HYPERLINK("https://app.vivvix.com/360/KMI/IntelliDrive/ApplUI/Pages/CreativePages/CustomReportCreativeDetail.aspx?App=23&amp;ReportView=4&amp;Qid=1711279&amp;Row=13031&amp;Col=1","No Title Assigned - #15273588395")</f>
        <v/>
      </c>
      <c r="B13039" s="0" t="s">
        <v>17491</v>
      </c>
      <c r="E13039" s="0" t="inlineStr">
        <is>
          <t xml:space="preserve">Mazda</t>
        </is>
      </c>
      <c r="F13039" s="0" t="inlineStr">
        <is>
          <t xml:space="preserve">Mazda</t>
        </is>
      </c>
      <c r="G13039" s="0" t="s">
        <v>171</v>
      </c>
      <c r="H13039" s="5">
        <v>464.864800</v>
      </c>
    </row>
    <row r="13040" spans="1:9">
      <c r="A13040" s="22" t="str">
        <f>HYPERLINK("https://app.vivvix.com/360/KMI/IntelliDrive/ApplUI/Pages/CreativePages/CustomReportCreativeDetail.aspx?App=23&amp;ReportView=4&amp;Qid=1711279&amp;Row=13032&amp;Col=1","No Title Assigned - #15273588396")</f>
        <v/>
      </c>
      <c r="B13040" s="0" t="s">
        <v>17492</v>
      </c>
      <c r="E13040" s="0" t="inlineStr">
        <is>
          <t xml:space="preserve">Mazda</t>
        </is>
      </c>
      <c r="F13040" s="0" t="inlineStr">
        <is>
          <t xml:space="preserve">Mazda</t>
        </is>
      </c>
      <c r="G13040" s="0" t="s">
        <v>171</v>
      </c>
      <c r="H13040" s="5">
        <v>232.432400</v>
      </c>
    </row>
    <row r="13041" spans="1:9">
      <c r="A13041" s="22" t="str">
        <f>HYPERLINK("https://app.vivvix.com/360/KMI/IntelliDrive/ApplUI/Pages/CreativePages/CustomReportCreativeDetail.aspx?App=23&amp;ReportView=4&amp;Qid=1711279&amp;Row=13033&amp;Col=1","No Title Assigned - #15273589148")</f>
        <v/>
      </c>
      <c r="B13041" s="0" t="s">
        <v>17493</v>
      </c>
      <c r="E13041" s="0" t="inlineStr">
        <is>
          <t xml:space="preserve">Mazda</t>
        </is>
      </c>
      <c r="F13041" s="0" t="inlineStr">
        <is>
          <t xml:space="preserve">Mazda</t>
        </is>
      </c>
      <c r="G13041" s="0" t="s">
        <v>171</v>
      </c>
      <c r="H13041" s="5">
        <v>397.605400</v>
      </c>
    </row>
    <row r="13042" spans="1:9">
      <c r="A13042" s="22" t="str">
        <f>HYPERLINK("https://app.vivvix.com/360/KMI/IntelliDrive/ApplUI/Pages/CreativePages/CustomReportCreativeDetail.aspx?App=23&amp;ReportView=4&amp;Qid=1711279&amp;Row=13034&amp;Col=1","No Title Assigned - #15273589195")</f>
        <v/>
      </c>
      <c r="B13042" s="0" t="s">
        <v>17494</v>
      </c>
      <c r="C13042" s="0" t="s">
        <v>17495</v>
      </c>
      <c r="D13042" s="0" t="s">
        <v>17495</v>
      </c>
      <c r="E13042" s="0" t="inlineStr">
        <is>
          <t xml:space="preserve">Mazda</t>
        </is>
      </c>
      <c r="F13042" s="0" t="inlineStr">
        <is>
          <t xml:space="preserve">Mazda</t>
        </is>
      </c>
      <c r="G13042" s="0" t="s">
        <v>171</v>
      </c>
      <c r="H13042" s="5">
        <v>52.250400</v>
      </c>
    </row>
    <row r="13043" spans="1:9">
      <c r="A13043" s="22" t="str">
        <f>HYPERLINK("https://app.vivvix.com/360/KMI/IntelliDrive/ApplUI/Pages/CreativePages/CustomReportCreativeDetail.aspx?App=23&amp;ReportView=4&amp;Qid=1711279&amp;Row=13035&amp;Col=1","No Title Assigned - #15273589198")</f>
        <v/>
      </c>
      <c r="B13043" s="0" t="s">
        <v>17496</v>
      </c>
      <c r="E13043" s="0" t="inlineStr">
        <is>
          <t xml:space="preserve">Mazda</t>
        </is>
      </c>
      <c r="F13043" s="0" t="inlineStr">
        <is>
          <t xml:space="preserve">Mazda</t>
        </is>
      </c>
      <c r="G13043" s="0" t="s">
        <v>171</v>
      </c>
      <c r="H13043" s="5">
        <v>26.125200</v>
      </c>
    </row>
    <row r="13044" spans="1:9">
      <c r="A13044" s="22" t="str">
        <f>HYPERLINK("https://app.vivvix.com/360/KMI/IntelliDrive/ApplUI/Pages/CreativePages/CustomReportCreativeDetail.aspx?App=23&amp;ReportView=4&amp;Qid=1711279&amp;Row=13036&amp;Col=1","No Title Assigned - #15273589201")</f>
        <v/>
      </c>
      <c r="B13044" s="0" t="s">
        <v>17497</v>
      </c>
      <c r="E13044" s="0" t="inlineStr">
        <is>
          <t xml:space="preserve">Mazda</t>
        </is>
      </c>
      <c r="F13044" s="0" t="inlineStr">
        <is>
          <t xml:space="preserve">Mazda</t>
        </is>
      </c>
      <c r="G13044" s="0" t="s">
        <v>171</v>
      </c>
      <c r="H13044" s="5">
        <v>13.062600</v>
      </c>
    </row>
    <row r="13045" spans="1:9">
      <c r="A13045" s="22" t="str">
        <f>HYPERLINK("https://app.vivvix.com/360/KMI/IntelliDrive/ApplUI/Pages/CreativePages/CustomReportCreativeDetail.aspx?App=23&amp;ReportView=4&amp;Qid=1711279&amp;Row=13037&amp;Col=1","No Title Assigned - #15273589690")</f>
        <v/>
      </c>
      <c r="B13045" s="0" t="s">
        <v>17498</v>
      </c>
      <c r="E13045" s="0" t="inlineStr">
        <is>
          <t xml:space="preserve">Mazda</t>
        </is>
      </c>
      <c r="F13045" s="0" t="inlineStr">
        <is>
          <t xml:space="preserve">Mazda</t>
        </is>
      </c>
      <c r="G13045" s="0" t="s">
        <v>171</v>
      </c>
      <c r="H13045" s="5">
        <v>597.702700</v>
      </c>
    </row>
    <row r="13046" spans="1:9">
      <c r="A13046" s="22" t="str">
        <f>HYPERLINK("https://app.vivvix.com/360/KMI/IntelliDrive/ApplUI/Pages/CreativePages/CustomReportCreativeDetail.aspx?App=23&amp;ReportView=4&amp;Qid=1711279&amp;Row=13038&amp;Col=1","No Title Assigned - #15273589903")</f>
        <v/>
      </c>
      <c r="B13046" s="0" t="s">
        <v>17499</v>
      </c>
      <c r="E13046" s="0" t="inlineStr">
        <is>
          <t xml:space="preserve">Mazda</t>
        </is>
      </c>
      <c r="F13046" s="0" t="inlineStr">
        <is>
          <t xml:space="preserve">Mazda</t>
        </is>
      </c>
      <c r="G13046" s="0" t="s">
        <v>171</v>
      </c>
      <c r="H13046" s="5">
        <v>304.513900</v>
      </c>
    </row>
    <row r="13047" spans="1:9">
      <c r="A13047" s="22" t="str">
        <f>HYPERLINK("https://app.vivvix.com/360/KMI/IntelliDrive/ApplUI/Pages/CreativePages/CustomReportCreativeDetail.aspx?App=23&amp;ReportView=4&amp;Qid=1711279&amp;Row=13039&amp;Col=1","No Title Assigned - #15273589903")</f>
        <v/>
      </c>
      <c r="B13047" s="0" t="s">
        <v>17499</v>
      </c>
      <c r="E13047" s="0" t="inlineStr">
        <is>
          <t xml:space="preserve">Mazda</t>
        </is>
      </c>
      <c r="F13047" s="0" t="inlineStr">
        <is>
          <t xml:space="preserve">Mazda</t>
        </is>
      </c>
      <c r="G13047" s="0" t="s">
        <v>171</v>
      </c>
      <c r="H13047" s="5">
        <v>147.056500</v>
      </c>
    </row>
    <row r="13048" spans="1:9">
      <c r="A13048" s="22" t="str">
        <f>HYPERLINK("https://app.vivvix.com/360/KMI/IntelliDrive/ApplUI/Pages/CreativePages/CustomReportCreativeDetail.aspx?App=23&amp;ReportView=4&amp;Qid=1711279&amp;Row=13040&amp;Col=1","No Title Assigned - #15273589904")</f>
        <v/>
      </c>
      <c r="B13048" s="0" t="s">
        <v>17500</v>
      </c>
      <c r="E13048" s="0" t="inlineStr">
        <is>
          <t xml:space="preserve">Mazda</t>
        </is>
      </c>
      <c r="F13048" s="0" t="inlineStr">
        <is>
          <t xml:space="preserve">Mazda</t>
        </is>
      </c>
      <c r="G13048" s="0" t="s">
        <v>171</v>
      </c>
      <c r="H13048" s="5">
        <v>147.056500</v>
      </c>
    </row>
    <row r="13049" spans="1:9">
      <c r="A13049" s="22" t="str">
        <f>HYPERLINK("https://app.vivvix.com/360/KMI/IntelliDrive/ApplUI/Pages/CreativePages/CustomReportCreativeDetail.aspx?App=23&amp;ReportView=4&amp;Qid=1711279&amp;Row=13041&amp;Col=1","No Title Assigned - #15273589987")</f>
        <v/>
      </c>
      <c r="B13049" s="0" t="s">
        <v>17501</v>
      </c>
      <c r="E13049" s="0" t="inlineStr">
        <is>
          <t xml:space="preserve">Mazda</t>
        </is>
      </c>
      <c r="F13049" s="0" t="inlineStr">
        <is>
          <t xml:space="preserve">Mazda</t>
        </is>
      </c>
      <c r="G13049" s="0" t="s">
        <v>171</v>
      </c>
      <c r="H13049" s="5">
        <v>659.715000</v>
      </c>
    </row>
    <row r="13050" spans="1:9">
      <c r="A13050" s="22" t="str">
        <f>HYPERLINK("https://app.vivvix.com/360/KMI/IntelliDrive/ApplUI/Pages/CreativePages/CustomReportCreativeDetail.aspx?App=23&amp;ReportView=4&amp;Qid=1711279&amp;Row=13042&amp;Col=1","No Title Assigned - #15273590736")</f>
        <v/>
      </c>
      <c r="B13050" s="0" t="s">
        <v>17502</v>
      </c>
      <c r="C13050" s="0" t="s">
        <v>17503</v>
      </c>
      <c r="D13050" s="0" t="s">
        <v>17503</v>
      </c>
      <c r="E13050" s="0" t="inlineStr">
        <is>
          <t xml:space="preserve">Mazda</t>
        </is>
      </c>
      <c r="F13050" s="0" t="inlineStr">
        <is>
          <t xml:space="preserve">Mazda</t>
        </is>
      </c>
      <c r="G13050" s="0" t="s">
        <v>171</v>
      </c>
      <c r="H13050" s="5">
        <v>312.368300</v>
      </c>
    </row>
    <row r="13051" spans="1:9">
      <c r="A13051" s="22" t="str">
        <f>HYPERLINK("https://app.vivvix.com/360/KMI/IntelliDrive/ApplUI/Pages/CreativePages/CustomReportCreativeDetail.aspx?App=23&amp;ReportView=4&amp;Qid=1711279&amp;Row=13043&amp;Col=1","No Title Assigned - #15273590961")</f>
        <v/>
      </c>
      <c r="B13051" s="0" t="s">
        <v>17504</v>
      </c>
      <c r="E13051" s="0" t="inlineStr">
        <is>
          <t xml:space="preserve">Mazda</t>
        </is>
      </c>
      <c r="F13051" s="0" t="inlineStr">
        <is>
          <t xml:space="preserve">Mazda</t>
        </is>
      </c>
      <c r="G13051" s="0" t="s">
        <v>171</v>
      </c>
      <c r="H13051" s="5">
        <v>30.364000</v>
      </c>
    </row>
    <row r="13052" spans="1:9">
      <c r="A13052" s="22" t="str">
        <f>HYPERLINK("https://app.vivvix.com/360/KMI/IntelliDrive/ApplUI/Pages/CreativePages/CustomReportCreativeDetail.aspx?App=23&amp;ReportView=4&amp;Qid=1711279&amp;Row=13044&amp;Col=1","No Title Assigned - #15273591301")</f>
        <v/>
      </c>
      <c r="B13052" s="0" t="s">
        <v>17505</v>
      </c>
      <c r="E13052" s="0" t="inlineStr">
        <is>
          <t xml:space="preserve">Mazda</t>
        </is>
      </c>
      <c r="F13052" s="0" t="inlineStr">
        <is>
          <t xml:space="preserve">Mazda</t>
        </is>
      </c>
      <c r="G13052" s="0" t="s">
        <v>171</v>
      </c>
      <c r="H13052" s="5">
        <v>67.675500</v>
      </c>
    </row>
    <row r="13053" spans="1:9">
      <c r="A13053" s="22" t="str">
        <f>HYPERLINK("https://app.vivvix.com/360/KMI/IntelliDrive/ApplUI/Pages/CreativePages/CustomReportCreativeDetail.aspx?App=23&amp;ReportView=4&amp;Qid=1711279&amp;Row=13045&amp;Col=1","No Title Assigned - #15273591390")</f>
        <v/>
      </c>
      <c r="B13053" s="0" t="s">
        <v>17506</v>
      </c>
      <c r="E13053" s="0" t="inlineStr">
        <is>
          <t xml:space="preserve">Mazda</t>
        </is>
      </c>
      <c r="F13053" s="0" t="inlineStr">
        <is>
          <t xml:space="preserve">Mazda</t>
        </is>
      </c>
      <c r="G13053" s="0" t="s">
        <v>171</v>
      </c>
      <c r="H13053" s="5">
        <v>1078.700200</v>
      </c>
    </row>
    <row r="13054" spans="1:9">
      <c r="A13054" s="22" t="str">
        <f>HYPERLINK("https://app.vivvix.com/360/KMI/IntelliDrive/ApplUI/Pages/CreativePages/CustomReportCreativeDetail.aspx?App=23&amp;ReportView=4&amp;Qid=1711279&amp;Row=13046&amp;Col=1","No Title Assigned - #15273591390")</f>
        <v/>
      </c>
      <c r="B13054" s="0" t="s">
        <v>17506</v>
      </c>
      <c r="E13054" s="0" t="inlineStr">
        <is>
          <t xml:space="preserve">Mazda</t>
        </is>
      </c>
      <c r="F13054" s="0" t="inlineStr">
        <is>
          <t xml:space="preserve">Mazda</t>
        </is>
      </c>
      <c r="G13054" s="0" t="s">
        <v>171</v>
      </c>
      <c r="H13054" s="5">
        <v>10.323700</v>
      </c>
    </row>
    <row r="13055" spans="1:9">
      <c r="A13055" s="22" t="str">
        <f>HYPERLINK("https://app.vivvix.com/360/KMI/IntelliDrive/ApplUI/Pages/CreativePages/CustomReportCreativeDetail.aspx?App=23&amp;ReportView=4&amp;Qid=1711279&amp;Row=13047&amp;Col=1","No Title Assigned - #15273591431")</f>
        <v/>
      </c>
      <c r="B13055" s="0" t="s">
        <v>17507</v>
      </c>
      <c r="E13055" s="0" t="inlineStr">
        <is>
          <t xml:space="preserve">Mazda</t>
        </is>
      </c>
      <c r="F13055" s="0" t="inlineStr">
        <is>
          <t xml:space="preserve">Mazda</t>
        </is>
      </c>
      <c r="G13055" s="0" t="s">
        <v>171</v>
      </c>
      <c r="H13055" s="5">
        <v>16.750000</v>
      </c>
    </row>
    <row r="13056" spans="1:9">
      <c r="A13056" s="22" t="str">
        <f>HYPERLINK("https://app.vivvix.com/360/KMI/IntelliDrive/ApplUI/Pages/CreativePages/CustomReportCreativeDetail.aspx?App=23&amp;ReportView=4&amp;Qid=1711279&amp;Row=13048&amp;Col=1","No Title Assigned - #15273591497")</f>
        <v/>
      </c>
      <c r="B13056" s="0" t="s">
        <v>17508</v>
      </c>
      <c r="E13056" s="0" t="inlineStr">
        <is>
          <t xml:space="preserve">Mazda</t>
        </is>
      </c>
      <c r="F13056" s="0" t="inlineStr">
        <is>
          <t xml:space="preserve">Mazda</t>
        </is>
      </c>
      <c r="G13056" s="0" t="s">
        <v>171</v>
      </c>
      <c r="H13056" s="5">
        <v>159.475100</v>
      </c>
    </row>
    <row r="13057" spans="1:9">
      <c r="A13057" s="22" t="str">
        <f>HYPERLINK("https://app.vivvix.com/360/KMI/IntelliDrive/ApplUI/Pages/CreativePages/CustomReportCreativeDetail.aspx?App=23&amp;ReportView=4&amp;Qid=1711279&amp;Row=13049&amp;Col=1","No Title Assigned - #15273591590")</f>
        <v/>
      </c>
      <c r="B13057" s="0" t="s">
        <v>17509</v>
      </c>
      <c r="E13057" s="0" t="inlineStr">
        <is>
          <t xml:space="preserve">Mazda</t>
        </is>
      </c>
      <c r="F13057" s="0" t="inlineStr">
        <is>
          <t xml:space="preserve">Mazda</t>
        </is>
      </c>
      <c r="G13057" s="0" t="s">
        <v>171</v>
      </c>
      <c r="H13057" s="5">
        <v>1479.314300</v>
      </c>
    </row>
    <row r="13058" spans="1:9">
      <c r="A13058" s="22" t="str">
        <f>HYPERLINK("https://app.vivvix.com/360/KMI/IntelliDrive/ApplUI/Pages/CreativePages/CustomReportCreativeDetail.aspx?App=23&amp;ReportView=4&amp;Qid=1711279&amp;Row=13050&amp;Col=1","No Title Assigned - #15273591645")</f>
        <v/>
      </c>
      <c r="B13058" s="0" t="s">
        <v>17510</v>
      </c>
      <c r="E13058" s="0" t="inlineStr">
        <is>
          <t xml:space="preserve">Mazda</t>
        </is>
      </c>
      <c r="F13058" s="0" t="inlineStr">
        <is>
          <t xml:space="preserve">Mazda</t>
        </is>
      </c>
      <c r="G13058" s="0" t="s">
        <v>171</v>
      </c>
      <c r="H13058" s="5">
        <v>1.787400</v>
      </c>
    </row>
    <row r="13059" spans="1:9">
      <c r="A13059" s="22" t="str">
        <f>HYPERLINK("https://app.vivvix.com/360/KMI/IntelliDrive/ApplUI/Pages/CreativePages/CustomReportCreativeDetail.aspx?App=23&amp;ReportView=4&amp;Qid=1711279&amp;Row=13051&amp;Col=1","No Title Assigned - #15273591808")</f>
        <v/>
      </c>
      <c r="B13059" s="0" t="s">
        <v>17511</v>
      </c>
      <c r="E13059" s="0" t="inlineStr">
        <is>
          <t xml:space="preserve">Mazda</t>
        </is>
      </c>
      <c r="F13059" s="0" t="inlineStr">
        <is>
          <t xml:space="preserve">Mazda</t>
        </is>
      </c>
      <c r="G13059" s="0" t="s">
        <v>171</v>
      </c>
      <c r="H13059" s="5">
        <v>1.787400</v>
      </c>
    </row>
    <row r="13060" spans="1:9">
      <c r="A13060" s="22" t="str">
        <f>HYPERLINK("https://app.vivvix.com/360/KMI/IntelliDrive/ApplUI/Pages/CreativePages/CustomReportCreativeDetail.aspx?App=23&amp;ReportView=4&amp;Qid=1711279&amp;Row=13052&amp;Col=1","No Title Assigned - #15273591999")</f>
        <v/>
      </c>
      <c r="B13060" s="0" t="s">
        <v>17512</v>
      </c>
      <c r="E13060" s="0" t="inlineStr">
        <is>
          <t xml:space="preserve">Mazda</t>
        </is>
      </c>
      <c r="F13060" s="0" t="inlineStr">
        <is>
          <t xml:space="preserve">Mazda</t>
        </is>
      </c>
      <c r="G13060" s="0" t="s">
        <v>171</v>
      </c>
      <c r="H13060" s="5">
        <v>51.206400</v>
      </c>
    </row>
    <row r="13061" spans="1:9">
      <c r="A13061" s="22" t="str">
        <f>HYPERLINK("https://app.vivvix.com/360/KMI/IntelliDrive/ApplUI/Pages/CreativePages/CustomReportCreativeDetail.aspx?App=23&amp;ReportView=4&amp;Qid=1711279&amp;Row=13053&amp;Col=1","No Title Assigned - #15273596772")</f>
        <v/>
      </c>
      <c r="B13061" s="0" t="s">
        <v>17513</v>
      </c>
      <c r="E13061" s="0" t="inlineStr">
        <is>
          <t xml:space="preserve">Mazda</t>
        </is>
      </c>
      <c r="F13061" s="0" t="inlineStr">
        <is>
          <t xml:space="preserve">Mazda</t>
        </is>
      </c>
      <c r="G13061" s="0" t="s">
        <v>171</v>
      </c>
      <c r="H13061" s="5">
        <v>245.953300</v>
      </c>
    </row>
    <row r="13062" spans="1:9">
      <c r="A13062" s="22" t="str">
        <f>HYPERLINK("https://app.vivvix.com/360/KMI/IntelliDrive/ApplUI/Pages/CreativePages/CustomReportCreativeDetail.aspx?App=23&amp;ReportView=4&amp;Qid=1711279&amp;Row=13054&amp;Col=1","No Title Assigned - #15273599972")</f>
        <v/>
      </c>
      <c r="B13062" s="0" t="s">
        <v>17514</v>
      </c>
      <c r="C13062" s="0" t="s">
        <v>17515</v>
      </c>
      <c r="D13062" s="0" t="s">
        <v>17515</v>
      </c>
      <c r="E13062" s="0" t="inlineStr">
        <is>
          <t xml:space="preserve">Mazda</t>
        </is>
      </c>
      <c r="F13062" s="0" t="inlineStr">
        <is>
          <t xml:space="preserve">Mazda</t>
        </is>
      </c>
      <c r="G13062" s="0" t="s">
        <v>171</v>
      </c>
      <c r="H13062" s="5">
        <v>1257.351100</v>
      </c>
    </row>
    <row r="13063" spans="1:9">
      <c r="A13063" s="22" t="str">
        <f>HYPERLINK("https://app.vivvix.com/360/KMI/IntelliDrive/ApplUI/Pages/CreativePages/CustomReportCreativeDetail.aspx?App=23&amp;ReportView=4&amp;Qid=1711279&amp;Row=13055&amp;Col=1","No Title Assigned - #15273600159")</f>
        <v/>
      </c>
      <c r="B13063" s="0" t="s">
        <v>17516</v>
      </c>
      <c r="E13063" s="0" t="inlineStr">
        <is>
          <t xml:space="preserve">Mazda</t>
        </is>
      </c>
      <c r="F13063" s="0" t="inlineStr">
        <is>
          <t xml:space="preserve">Mazda</t>
        </is>
      </c>
      <c r="G13063" s="0" t="s">
        <v>171</v>
      </c>
      <c r="H13063" s="5">
        <v>97.042100</v>
      </c>
    </row>
    <row r="13064" spans="1:9">
      <c r="A13064" s="22" t="str">
        <f>HYPERLINK("https://app.vivvix.com/360/KMI/IntelliDrive/ApplUI/Pages/CreativePages/CustomReportCreativeDetail.aspx?App=23&amp;ReportView=4&amp;Qid=1711279&amp;Row=13056&amp;Col=1","No Title Assigned - #15273600720")</f>
        <v/>
      </c>
      <c r="B13064" s="0" t="s">
        <v>17517</v>
      </c>
      <c r="E13064" s="0" t="inlineStr">
        <is>
          <t xml:space="preserve">Mazda</t>
        </is>
      </c>
      <c r="F13064" s="0" t="inlineStr">
        <is>
          <t xml:space="preserve">Mazda</t>
        </is>
      </c>
      <c r="G13064" s="0" t="s">
        <v>171</v>
      </c>
      <c r="H13064" s="5">
        <v>9761.612200</v>
      </c>
    </row>
    <row r="13065" spans="1:9">
      <c r="A13065" s="22" t="str">
        <f>HYPERLINK("https://app.vivvix.com/360/KMI/IntelliDrive/ApplUI/Pages/CreativePages/CustomReportCreativeDetail.aspx?App=23&amp;ReportView=4&amp;Qid=1711279&amp;Row=13057&amp;Col=1","No Title Assigned - #15273606492")</f>
        <v/>
      </c>
      <c r="B13065" s="0" t="s">
        <v>17518</v>
      </c>
      <c r="C13065" s="0" t="s">
        <v>17519</v>
      </c>
      <c r="D13065" s="0" t="s">
        <v>17519</v>
      </c>
      <c r="E13065" s="0" t="inlineStr">
        <is>
          <t xml:space="preserve">Mazda</t>
        </is>
      </c>
      <c r="F13065" s="0" t="inlineStr">
        <is>
          <t xml:space="preserve">Mazda</t>
        </is>
      </c>
      <c r="G13065" s="0" t="s">
        <v>171</v>
      </c>
      <c r="H13065" s="5">
        <v>12.827600</v>
      </c>
    </row>
    <row r="13066" spans="1:9">
      <c r="A13066" s="22" t="str">
        <f>HYPERLINK("https://app.vivvix.com/360/KMI/IntelliDrive/ApplUI/Pages/CreativePages/CustomReportCreativeDetail.aspx?App=23&amp;ReportView=4&amp;Qid=1711279&amp;Row=13058&amp;Col=1","No Title Assigned - #15273608913")</f>
        <v/>
      </c>
      <c r="B13066" s="0" t="s">
        <v>17520</v>
      </c>
      <c r="E13066" s="0" t="inlineStr">
        <is>
          <t xml:space="preserve">Mazda</t>
        </is>
      </c>
      <c r="F13066" s="0" t="inlineStr">
        <is>
          <t xml:space="preserve">Mazda</t>
        </is>
      </c>
      <c r="G13066" s="0" t="s">
        <v>171</v>
      </c>
      <c r="H13066" s="5">
        <v>422.431700</v>
      </c>
    </row>
    <row r="13067" spans="1:9">
      <c r="A13067" s="22" t="str">
        <f>HYPERLINK("https://app.vivvix.com/360/KMI/IntelliDrive/ApplUI/Pages/CreativePages/CustomReportCreativeDetail.aspx?App=23&amp;ReportView=4&amp;Qid=1711279&amp;Row=13059&amp;Col=1","No Title Assigned - #15273610308")</f>
        <v/>
      </c>
      <c r="B13067" s="0" t="s">
        <v>17521</v>
      </c>
      <c r="E13067" s="0" t="inlineStr">
        <is>
          <t xml:space="preserve">Mazda</t>
        </is>
      </c>
      <c r="F13067" s="0" t="inlineStr">
        <is>
          <t xml:space="preserve">Mazda</t>
        </is>
      </c>
      <c r="G13067" s="0" t="s">
        <v>171</v>
      </c>
      <c r="H13067" s="5">
        <v>1.450600</v>
      </c>
    </row>
    <row r="13068" spans="1:9">
      <c r="A13068" s="22" t="str">
        <f>HYPERLINK("https://app.vivvix.com/360/KMI/IntelliDrive/ApplUI/Pages/CreativePages/CustomReportCreativeDetail.aspx?App=23&amp;ReportView=4&amp;Qid=1711279&amp;Row=13060&amp;Col=1","No Title Assigned - #15273620543")</f>
        <v/>
      </c>
      <c r="B13068" s="0" t="s">
        <v>17522</v>
      </c>
      <c r="C13068" s="0" t="s">
        <v>17523</v>
      </c>
      <c r="D13068" s="0" t="s">
        <v>17523</v>
      </c>
      <c r="E13068" s="0" t="inlineStr">
        <is>
          <t xml:space="preserve">Mazda</t>
        </is>
      </c>
      <c r="F13068" s="0" t="inlineStr">
        <is>
          <t xml:space="preserve">Mazda</t>
        </is>
      </c>
      <c r="G13068" s="0" t="s">
        <v>171</v>
      </c>
      <c r="H13068" s="5">
        <v>586.310100</v>
      </c>
    </row>
    <row r="13069" spans="1:9">
      <c r="A13069" s="22" t="str">
        <f>HYPERLINK("https://app.vivvix.com/360/KMI/IntelliDrive/ApplUI/Pages/CreativePages/CustomReportCreativeDetail.aspx?App=23&amp;ReportView=4&amp;Qid=1711279&amp;Row=13061&amp;Col=1","No Title Assigned - #15273620601")</f>
        <v/>
      </c>
      <c r="B13069" s="0" t="s">
        <v>17524</v>
      </c>
      <c r="E13069" s="0" t="inlineStr">
        <is>
          <t xml:space="preserve">Mazda</t>
        </is>
      </c>
      <c r="F13069" s="0" t="inlineStr">
        <is>
          <t xml:space="preserve">Mazda</t>
        </is>
      </c>
      <c r="G13069" s="0" t="s">
        <v>171</v>
      </c>
      <c r="H13069" s="5">
        <v>24.780700</v>
      </c>
    </row>
    <row r="13070" spans="1:9">
      <c r="A13070" s="22" t="str">
        <f>HYPERLINK("https://app.vivvix.com/360/KMI/IntelliDrive/ApplUI/Pages/CreativePages/CustomReportCreativeDetail.aspx?App=23&amp;ReportView=4&amp;Qid=1711279&amp;Row=13062&amp;Col=1","No Title Assigned - #15273628147")</f>
        <v/>
      </c>
      <c r="B13070" s="0" t="s">
        <v>17525</v>
      </c>
      <c r="C13070" s="0" t="s">
        <v>17526</v>
      </c>
      <c r="D13070" s="0" t="s">
        <v>17526</v>
      </c>
      <c r="E13070" s="0" t="inlineStr">
        <is>
          <t xml:space="preserve">Mazda</t>
        </is>
      </c>
      <c r="F13070" s="0" t="s">
        <v>13</v>
      </c>
      <c r="G13070" s="0" t="s">
        <v>49</v>
      </c>
      <c r="H13070" s="5">
        <v>724.617000</v>
      </c>
    </row>
    <row r="13071" spans="1:9">
      <c r="A13071" s="22" t="str">
        <f>HYPERLINK("https://app.vivvix.com/360/KMI/IntelliDrive/ApplUI/Pages/CreativePages/CustomReportCreativeDetail.aspx?App=23&amp;ReportView=4&amp;Qid=1711279&amp;Row=13063&amp;Col=1","No Title Assigned - #15273628820")</f>
        <v/>
      </c>
      <c r="B13071" s="0" t="s">
        <v>17527</v>
      </c>
      <c r="C13071" s="0" t="s">
        <v>17528</v>
      </c>
      <c r="D13071" s="0" t="s">
        <v>17528</v>
      </c>
      <c r="E13071" s="0" t="inlineStr">
        <is>
          <t xml:space="preserve">Mazda</t>
        </is>
      </c>
      <c r="F13071" s="0" t="s">
        <v>13</v>
      </c>
      <c r="G13071" s="0" t="s">
        <v>49</v>
      </c>
      <c r="H13071" s="5">
        <v>804.760000</v>
      </c>
    </row>
    <row r="13072" spans="1:9">
      <c r="A13072" s="22" t="str">
        <f>HYPERLINK("https://app.vivvix.com/360/KMI/IntelliDrive/ApplUI/Pages/CreativePages/CustomReportCreativeDetail.aspx?App=23&amp;ReportView=4&amp;Qid=1711279&amp;Row=13064&amp;Col=1","No Title Assigned - #15273630424")</f>
        <v/>
      </c>
      <c r="B13072" s="0" t="s">
        <v>17529</v>
      </c>
      <c r="C13072" s="0" t="s">
        <v>17530</v>
      </c>
      <c r="D13072" s="0" t="s">
        <v>9167</v>
      </c>
      <c r="E13072" s="0" t="inlineStr">
        <is>
          <t xml:space="preserve">Mazda</t>
        </is>
      </c>
      <c r="F13072" s="0" t="s">
        <v>13</v>
      </c>
      <c r="G13072" s="0" t="s">
        <v>49</v>
      </c>
      <c r="H13072" s="5">
        <v>52.453900</v>
      </c>
    </row>
    <row r="13073" spans="1:9">
      <c r="A13073" s="22" t="str">
        <f>HYPERLINK("https://app.vivvix.com/360/KMI/IntelliDrive/ApplUI/Pages/CreativePages/CustomReportCreativeDetail.aspx?App=23&amp;ReportView=4&amp;Qid=1711279&amp;Row=13065&amp;Col=1","No Title Assigned - #15273632554")</f>
        <v/>
      </c>
      <c r="B13073" s="0" t="s">
        <v>17531</v>
      </c>
      <c r="C13073" s="0" t="s">
        <v>17532</v>
      </c>
      <c r="D13073" s="0" t="s">
        <v>17532</v>
      </c>
      <c r="E13073" s="0" t="inlineStr">
        <is>
          <t xml:space="preserve">Mazda</t>
        </is>
      </c>
      <c r="F13073" s="0" t="s">
        <v>13</v>
      </c>
      <c r="G13073" s="0" t="s">
        <v>49</v>
      </c>
      <c r="H13073" s="5">
        <v>701.705200</v>
      </c>
    </row>
    <row r="13074" spans="1:9">
      <c r="A13074" s="22" t="str">
        <f>HYPERLINK("https://app.vivvix.com/360/KMI/IntelliDrive/ApplUI/Pages/CreativePages/CustomReportCreativeDetail.aspx?App=23&amp;ReportView=4&amp;Qid=1711279&amp;Row=13066&amp;Col=1","No Title Assigned - #15273632656")</f>
        <v/>
      </c>
      <c r="B13074" s="0" t="s">
        <v>17533</v>
      </c>
      <c r="C13074" s="0" t="s">
        <v>17534</v>
      </c>
      <c r="D13074" s="0" t="s">
        <v>17534</v>
      </c>
      <c r="E13074" s="0" t="inlineStr">
        <is>
          <t xml:space="preserve">Mazda</t>
        </is>
      </c>
      <c r="F13074" s="0" t="s">
        <v>28</v>
      </c>
      <c r="G13074" s="0" t="s">
        <v>29</v>
      </c>
      <c r="H13074" s="5">
        <v>156.608000</v>
      </c>
    </row>
    <row r="13075" spans="1:9">
      <c r="A13075" s="22" t="str">
        <f>HYPERLINK("https://app.vivvix.com/360/KMI/IntelliDrive/ApplUI/Pages/CreativePages/CustomReportCreativeDetail.aspx?App=23&amp;ReportView=4&amp;Qid=1711279&amp;Row=13067&amp;Col=1","No Title Assigned - #15273633667")</f>
        <v/>
      </c>
      <c r="B13075" s="0" t="s">
        <v>17535</v>
      </c>
      <c r="C13075" s="0" t="s">
        <v>17536</v>
      </c>
      <c r="D13075" s="0" t="s">
        <v>17536</v>
      </c>
      <c r="E13075" s="0" t="inlineStr">
        <is>
          <t xml:space="preserve">Mazda</t>
        </is>
      </c>
      <c r="F13075" s="0" t="inlineStr">
        <is>
          <t xml:space="preserve">Mazda</t>
        </is>
      </c>
      <c r="G13075" s="0" t="s">
        <v>210</v>
      </c>
      <c r="H13075" s="5">
        <v>161670.115100</v>
      </c>
    </row>
    <row r="13076" spans="1:9">
      <c r="A13076" s="22" t="str">
        <f>HYPERLINK("https://app.vivvix.com/360/KMI/IntelliDrive/ApplUI/Pages/CreativePages/CustomReportCreativeDetail.aspx?App=23&amp;ReportView=4&amp;Qid=1711279&amp;Row=13068&amp;Col=1","No Title Assigned - #15273634074")</f>
        <v/>
      </c>
      <c r="B13076" s="0" t="s">
        <v>17537</v>
      </c>
      <c r="C13076" s="0" t="s">
        <v>17538</v>
      </c>
      <c r="D13076" s="0" t="s">
        <v>17538</v>
      </c>
      <c r="E13076" s="0" t="inlineStr">
        <is>
          <t xml:space="preserve">Mazda</t>
        </is>
      </c>
      <c r="F13076" s="0" t="s">
        <v>13</v>
      </c>
      <c r="G13076" s="0" t="s">
        <v>49</v>
      </c>
      <c r="H13076" s="5">
        <v>109.533800</v>
      </c>
    </row>
    <row r="13077" spans="1:9">
      <c r="A13077" s="22" t="str">
        <f>HYPERLINK("https://app.vivvix.com/360/KMI/IntelliDrive/ApplUI/Pages/CreativePages/CustomReportCreativeDetail.aspx?App=23&amp;ReportView=4&amp;Qid=1711279&amp;Row=13069&amp;Col=1","No Title Assigned - #15273634778")</f>
        <v/>
      </c>
      <c r="B13077" s="0" t="s">
        <v>17539</v>
      </c>
      <c r="C13077" s="0" t="s">
        <v>17540</v>
      </c>
      <c r="D13077" s="0" t="s">
        <v>10745</v>
      </c>
      <c r="E13077" s="0" t="inlineStr">
        <is>
          <t xml:space="preserve">Mazda</t>
        </is>
      </c>
      <c r="F13077" s="0" t="s">
        <v>13</v>
      </c>
      <c r="G13077" s="0" t="s">
        <v>49</v>
      </c>
      <c r="H13077" s="5">
        <v>10.408200</v>
      </c>
    </row>
    <row r="13078" spans="1:9">
      <c r="A13078" s="22" t="str">
        <f>HYPERLINK("https://app.vivvix.com/360/KMI/IntelliDrive/ApplUI/Pages/CreativePages/CustomReportCreativeDetail.aspx?App=23&amp;ReportView=4&amp;Qid=1711279&amp;Row=13070&amp;Col=1","No Title Assigned - #15273637144")</f>
        <v/>
      </c>
      <c r="B13078" s="0" t="s">
        <v>17541</v>
      </c>
      <c r="C13078" s="0" t="s">
        <v>17542</v>
      </c>
      <c r="D13078" s="0" t="s">
        <v>8558</v>
      </c>
      <c r="E13078" s="0" t="inlineStr">
        <is>
          <t xml:space="preserve">Mazda</t>
        </is>
      </c>
      <c r="F13078" s="0" t="s">
        <v>13</v>
      </c>
      <c r="G13078" s="0" t="s">
        <v>49</v>
      </c>
      <c r="H13078" s="5">
        <v>96.585400</v>
      </c>
    </row>
    <row r="13079" spans="1:9">
      <c r="A13079" s="22" t="str">
        <f>HYPERLINK("https://app.vivvix.com/360/KMI/IntelliDrive/ApplUI/Pages/CreativePages/CustomReportCreativeDetail.aspx?App=23&amp;ReportView=4&amp;Qid=1711279&amp;Row=13071&amp;Col=1","No Title Assigned - #15273637997")</f>
        <v/>
      </c>
      <c r="B13079" s="0" t="s">
        <v>17543</v>
      </c>
      <c r="C13079" s="0" t="s">
        <v>17544</v>
      </c>
      <c r="D13079" s="0" t="s">
        <v>17544</v>
      </c>
      <c r="E13079" s="0" t="inlineStr">
        <is>
          <t xml:space="preserve">Mazda</t>
        </is>
      </c>
      <c r="F13079" s="0" t="s">
        <v>13</v>
      </c>
      <c r="G13079" s="0" t="s">
        <v>49</v>
      </c>
      <c r="H13079" s="5">
        <v>7081.049300</v>
      </c>
    </row>
    <row r="13080" spans="1:9">
      <c r="A13080" s="22" t="str">
        <f>HYPERLINK("https://app.vivvix.com/360/KMI/IntelliDrive/ApplUI/Pages/CreativePages/CustomReportCreativeDetail.aspx?App=23&amp;ReportView=4&amp;Qid=1711279&amp;Row=13072&amp;Col=1","No Title Assigned - #15273638228")</f>
        <v/>
      </c>
      <c r="B13080" s="0" t="s">
        <v>17545</v>
      </c>
      <c r="C13080" s="0" t="s">
        <v>17546</v>
      </c>
      <c r="D13080" s="0" t="s">
        <v>17546</v>
      </c>
      <c r="E13080" s="0" t="inlineStr">
        <is>
          <t xml:space="preserve">Mazda</t>
        </is>
      </c>
      <c r="F13080" s="0" t="s">
        <v>28</v>
      </c>
      <c r="G13080" s="0" t="s">
        <v>29</v>
      </c>
      <c r="H13080" s="5">
        <v>160.806900</v>
      </c>
    </row>
    <row r="13081" spans="1:9">
      <c r="A13081" s="22" t="str">
        <f>HYPERLINK("https://app.vivvix.com/360/KMI/IntelliDrive/ApplUI/Pages/CreativePages/CustomReportCreativeDetail.aspx?App=23&amp;ReportView=4&amp;Qid=1711279&amp;Row=13073&amp;Col=1","No Title Assigned - #15273639228")</f>
        <v/>
      </c>
      <c r="B13081" s="0" t="s">
        <v>17547</v>
      </c>
      <c r="C13081" s="0" t="s">
        <v>17548</v>
      </c>
      <c r="D13081" s="0" t="s">
        <v>14288</v>
      </c>
      <c r="E13081" s="0" t="inlineStr">
        <is>
          <t xml:space="preserve">Mazda</t>
        </is>
      </c>
      <c r="F13081" s="0" t="inlineStr">
        <is>
          <t xml:space="preserve">Mazda</t>
        </is>
      </c>
      <c r="G13081" s="0" t="s">
        <v>210</v>
      </c>
      <c r="H13081" s="5">
        <v>10254.740800</v>
      </c>
    </row>
    <row r="13082" spans="1:9">
      <c r="A13082" s="22" t="str">
        <f>HYPERLINK("https://app.vivvix.com/360/KMI/IntelliDrive/ApplUI/Pages/CreativePages/CustomReportCreativeDetail.aspx?App=23&amp;ReportView=4&amp;Qid=1711279&amp;Row=13074&amp;Col=1","No Title Assigned - #15273639228")</f>
        <v/>
      </c>
      <c r="B13082" s="0" t="s">
        <v>17547</v>
      </c>
      <c r="E13082" s="0" t="inlineStr">
        <is>
          <t xml:space="preserve">Mazda</t>
        </is>
      </c>
      <c r="F13082" s="0" t="inlineStr">
        <is>
          <t xml:space="preserve">Mazda</t>
        </is>
      </c>
      <c r="G13082" s="0" t="s">
        <v>210</v>
      </c>
      <c r="H13082" s="5">
        <v>894.584600</v>
      </c>
    </row>
    <row r="13083" spans="1:9">
      <c r="A13083" s="22" t="str">
        <f>HYPERLINK("https://app.vivvix.com/360/KMI/IntelliDrive/ApplUI/Pages/CreativePages/CustomReportCreativeDetail.aspx?App=23&amp;ReportView=4&amp;Qid=1711279&amp;Row=13075&amp;Col=1","No Title Assigned - #15273639984")</f>
        <v/>
      </c>
      <c r="B13083" s="0" t="s">
        <v>17549</v>
      </c>
      <c r="C13083" s="0" t="s">
        <v>17550</v>
      </c>
      <c r="D13083" s="0" t="s">
        <v>17550</v>
      </c>
      <c r="E13083" s="0" t="inlineStr">
        <is>
          <t xml:space="preserve">Mazda</t>
        </is>
      </c>
      <c r="F13083" s="0" t="s">
        <v>28</v>
      </c>
      <c r="G13083" s="0" t="s">
        <v>29</v>
      </c>
      <c r="H13083" s="5">
        <v>4786.619500</v>
      </c>
    </row>
    <row r="13084" spans="1:9">
      <c r="A13084" s="22" t="str">
        <f>HYPERLINK("https://app.vivvix.com/360/KMI/IntelliDrive/ApplUI/Pages/CreativePages/CustomReportCreativeDetail.aspx?App=23&amp;ReportView=4&amp;Qid=1711279&amp;Row=13076&amp;Col=1","No Title Assigned - #15273640330")</f>
        <v/>
      </c>
      <c r="B13084" s="0" t="s">
        <v>17551</v>
      </c>
      <c r="C13084" s="0" t="s">
        <v>17552</v>
      </c>
      <c r="D13084" s="0" t="s">
        <v>17552</v>
      </c>
      <c r="E13084" s="0" t="inlineStr">
        <is>
          <t xml:space="preserve">Mazda</t>
        </is>
      </c>
      <c r="F13084" s="0" t="s">
        <v>13</v>
      </c>
      <c r="G13084" s="0" t="s">
        <v>49</v>
      </c>
      <c r="H13084" s="5">
        <v>22.138000</v>
      </c>
    </row>
    <row r="13085" spans="1:9">
      <c r="A13085" s="22" t="str">
        <f>HYPERLINK("https://app.vivvix.com/360/KMI/IntelliDrive/ApplUI/Pages/CreativePages/CustomReportCreativeDetail.aspx?App=23&amp;ReportView=4&amp;Qid=1711279&amp;Row=13077&amp;Col=1","No Title Assigned - #15273641661")</f>
        <v/>
      </c>
      <c r="B13085" s="0" t="s">
        <v>17553</v>
      </c>
      <c r="C13085" s="0" t="s">
        <v>17554</v>
      </c>
      <c r="D13085" s="0" t="s">
        <v>17554</v>
      </c>
      <c r="E13085" s="0" t="inlineStr">
        <is>
          <t xml:space="preserve">Mazda</t>
        </is>
      </c>
      <c r="F13085" s="0" t="s">
        <v>13</v>
      </c>
      <c r="G13085" s="0" t="s">
        <v>49</v>
      </c>
      <c r="H13085" s="5">
        <v>2029.702500</v>
      </c>
    </row>
    <row r="13086" spans="1:9">
      <c r="A13086" s="22" t="str">
        <f>HYPERLINK("https://app.vivvix.com/360/KMI/IntelliDrive/ApplUI/Pages/CreativePages/CustomReportCreativeDetail.aspx?App=23&amp;ReportView=4&amp;Qid=1711279&amp;Row=13078&amp;Col=1","No Title Assigned - #15273641927")</f>
        <v/>
      </c>
      <c r="B13086" s="0" t="s">
        <v>17555</v>
      </c>
      <c r="E13086" s="0" t="inlineStr">
        <is>
          <t xml:space="preserve">Mazda</t>
        </is>
      </c>
      <c r="F13086" s="0" t="inlineStr">
        <is>
          <t xml:space="preserve">Mazda</t>
        </is>
      </c>
      <c r="G13086" s="0" t="s">
        <v>171</v>
      </c>
      <c r="H13086" s="5">
        <v>34.643900</v>
      </c>
    </row>
    <row r="13087" spans="1:9">
      <c r="A13087" s="22" t="str">
        <f>HYPERLINK("https://app.vivvix.com/360/KMI/IntelliDrive/ApplUI/Pages/CreativePages/CustomReportCreativeDetail.aspx?App=23&amp;ReportView=4&amp;Qid=1711279&amp;Row=13079&amp;Col=1","No Title Assigned - #15273642949")</f>
        <v/>
      </c>
      <c r="B13087" s="0" t="s">
        <v>17556</v>
      </c>
      <c r="C13087" s="0" t="s">
        <v>17557</v>
      </c>
      <c r="D13087" s="0" t="s">
        <v>17557</v>
      </c>
      <c r="E13087" s="0" t="inlineStr">
        <is>
          <t xml:space="preserve">Mazda</t>
        </is>
      </c>
      <c r="F13087" s="0" t="inlineStr">
        <is>
          <t xml:space="preserve">Mazda</t>
        </is>
      </c>
      <c r="G13087" s="0" t="s">
        <v>171</v>
      </c>
      <c r="H13087" s="5">
        <v>526.423000</v>
      </c>
    </row>
    <row r="13088" spans="1:9">
      <c r="A13088" s="22" t="str">
        <f>HYPERLINK("https://app.vivvix.com/360/KMI/IntelliDrive/ApplUI/Pages/CreativePages/CustomReportCreativeDetail.aspx?App=23&amp;ReportView=4&amp;Qid=1711279&amp;Row=13080&amp;Col=1","No Title Assigned - #15273644714")</f>
        <v/>
      </c>
      <c r="B13088" s="0" t="s">
        <v>17558</v>
      </c>
      <c r="E13088" s="0" t="inlineStr">
        <is>
          <t xml:space="preserve">Mazda</t>
        </is>
      </c>
      <c r="F13088" s="0" t="inlineStr">
        <is>
          <t xml:space="preserve">Mazda</t>
        </is>
      </c>
      <c r="G13088" s="0" t="s">
        <v>171</v>
      </c>
      <c r="H13088" s="5">
        <v>13587.938900</v>
      </c>
    </row>
    <row r="13089" spans="1:9">
      <c r="A13089" s="22" t="str">
        <f>HYPERLINK("https://app.vivvix.com/360/KMI/IntelliDrive/ApplUI/Pages/CreativePages/CustomReportCreativeDetail.aspx?App=23&amp;ReportView=4&amp;Qid=1711279&amp;Row=13081&amp;Col=1","No Title Assigned - #15273644936")</f>
        <v/>
      </c>
      <c r="B13089" s="0" t="s">
        <v>17559</v>
      </c>
      <c r="C13089" s="0" t="s">
        <v>17560</v>
      </c>
      <c r="D13089" s="0" t="s">
        <v>17560</v>
      </c>
      <c r="E13089" s="0" t="inlineStr">
        <is>
          <t xml:space="preserve">Mazda</t>
        </is>
      </c>
      <c r="F13089" s="0" t="inlineStr">
        <is>
          <t xml:space="preserve">Mazda</t>
        </is>
      </c>
      <c r="G13089" s="0" t="s">
        <v>171</v>
      </c>
      <c r="H13089" s="5">
        <v>1342.458100</v>
      </c>
    </row>
    <row r="13090" spans="1:9">
      <c r="A13090" s="22" t="str">
        <f>HYPERLINK("https://app.vivvix.com/360/KMI/IntelliDrive/ApplUI/Pages/CreativePages/CustomReportCreativeDetail.aspx?App=23&amp;ReportView=4&amp;Qid=1711279&amp;Row=13082&amp;Col=1","No Title Assigned - #15273645361")</f>
        <v/>
      </c>
      <c r="B13090" s="0" t="s">
        <v>17561</v>
      </c>
      <c r="E13090" s="0" t="inlineStr">
        <is>
          <t xml:space="preserve">Mazda</t>
        </is>
      </c>
      <c r="F13090" s="0" t="inlineStr">
        <is>
          <t xml:space="preserve">Mazda</t>
        </is>
      </c>
      <c r="G13090" s="0" t="s">
        <v>171</v>
      </c>
      <c r="H13090" s="5">
        <v>42537.909400</v>
      </c>
    </row>
    <row r="13091" spans="1:9">
      <c r="A13091" s="22" t="str">
        <f>HYPERLINK("https://app.vivvix.com/360/KMI/IntelliDrive/ApplUI/Pages/CreativePages/CustomReportCreativeDetail.aspx?App=23&amp;ReportView=4&amp;Qid=1711279&amp;Row=13083&amp;Col=1","No Title Assigned - #15273645513")</f>
        <v/>
      </c>
      <c r="B13091" s="0" t="s">
        <v>17562</v>
      </c>
      <c r="E13091" s="0" t="inlineStr">
        <is>
          <t xml:space="preserve">Mazda</t>
        </is>
      </c>
      <c r="F13091" s="0" t="s">
        <v>21</v>
      </c>
      <c r="G13091" s="0" t="s">
        <v>22</v>
      </c>
      <c r="H13091" s="5">
        <v>481.260900</v>
      </c>
    </row>
    <row r="13092" spans="1:9">
      <c r="A13092" s="22" t="str">
        <f>HYPERLINK("https://app.vivvix.com/360/KMI/IntelliDrive/ApplUI/Pages/CreativePages/CustomReportCreativeDetail.aspx?App=23&amp;ReportView=4&amp;Qid=1711279&amp;Row=13084&amp;Col=1","No Title Assigned - #15273645627")</f>
        <v/>
      </c>
      <c r="B13092" s="0" t="s">
        <v>17563</v>
      </c>
      <c r="E13092" s="0" t="inlineStr">
        <is>
          <t xml:space="preserve">Mazda</t>
        </is>
      </c>
      <c r="F13092" s="0" t="inlineStr">
        <is>
          <t xml:space="preserve">Mazda</t>
        </is>
      </c>
      <c r="G13092" s="0" t="s">
        <v>171</v>
      </c>
      <c r="H13092" s="5">
        <v>1670.565800</v>
      </c>
    </row>
    <row r="13093" spans="1:9">
      <c r="A13093" s="22" t="str">
        <f>HYPERLINK("https://app.vivvix.com/360/KMI/IntelliDrive/ApplUI/Pages/CreativePages/CustomReportCreativeDetail.aspx?App=23&amp;ReportView=4&amp;Qid=1711279&amp;Row=13085&amp;Col=1","No Title Assigned - #15273646622")</f>
        <v/>
      </c>
      <c r="B13093" s="0" t="s">
        <v>17564</v>
      </c>
      <c r="E13093" s="0" t="inlineStr">
        <is>
          <t xml:space="preserve">Mazda</t>
        </is>
      </c>
      <c r="F13093" s="0" t="inlineStr">
        <is>
          <t xml:space="preserve">Mazda</t>
        </is>
      </c>
      <c r="G13093" s="0" t="s">
        <v>171</v>
      </c>
      <c r="H13093" s="5">
        <v>147.056500</v>
      </c>
    </row>
    <row r="13094" spans="1:9">
      <c r="A13094" s="22" t="str">
        <f>HYPERLINK("https://app.vivvix.com/360/KMI/IntelliDrive/ApplUI/Pages/CreativePages/CustomReportCreativeDetail.aspx?App=23&amp;ReportView=4&amp;Qid=1711279&amp;Row=13086&amp;Col=1","No Title Assigned - #15273647501")</f>
        <v/>
      </c>
      <c r="B13094" s="0" t="s">
        <v>17565</v>
      </c>
      <c r="E13094" s="0" t="inlineStr">
        <is>
          <t xml:space="preserve">Mazda</t>
        </is>
      </c>
      <c r="F13094" s="0" t="inlineStr">
        <is>
          <t xml:space="preserve">Mazda</t>
        </is>
      </c>
      <c r="G13094" s="0" t="s">
        <v>171</v>
      </c>
      <c r="H13094" s="5">
        <v>10.323700</v>
      </c>
    </row>
    <row r="13095" spans="1:9">
      <c r="A13095" s="22" t="str">
        <f>HYPERLINK("https://app.vivvix.com/360/KMI/IntelliDrive/ApplUI/Pages/CreativePages/CustomReportCreativeDetail.aspx?App=23&amp;ReportView=4&amp;Qid=1711279&amp;Row=13087&amp;Col=1","No Title Assigned - #15273647689")</f>
        <v/>
      </c>
      <c r="B13095" s="0" t="s">
        <v>17566</v>
      </c>
      <c r="E13095" s="0" t="inlineStr">
        <is>
          <t xml:space="preserve">Mazda</t>
        </is>
      </c>
      <c r="F13095" s="0" t="inlineStr">
        <is>
          <t xml:space="preserve">Mazda</t>
        </is>
      </c>
      <c r="G13095" s="0" t="s">
        <v>171</v>
      </c>
      <c r="H13095" s="5">
        <v>5047.093800</v>
      </c>
    </row>
    <row r="13096" spans="1:9">
      <c r="A13096" s="22" t="str">
        <f>HYPERLINK("https://app.vivvix.com/360/KMI/IntelliDrive/ApplUI/Pages/CreativePages/CustomReportCreativeDetail.aspx?App=23&amp;ReportView=4&amp;Qid=1711279&amp;Row=13088&amp;Col=1","No Title Assigned - #15273649307")</f>
        <v/>
      </c>
      <c r="B13096" s="0" t="s">
        <v>17567</v>
      </c>
      <c r="E13096" s="0" t="inlineStr">
        <is>
          <t xml:space="preserve">Mazda</t>
        </is>
      </c>
      <c r="F13096" s="0" t="inlineStr">
        <is>
          <t xml:space="preserve">Mazda</t>
        </is>
      </c>
      <c r="G13096" s="0" t="s">
        <v>171</v>
      </c>
      <c r="H13096" s="5">
        <v>40.844200</v>
      </c>
    </row>
    <row r="13097" spans="1:9">
      <c r="A13097" s="22" t="str">
        <f>HYPERLINK("https://app.vivvix.com/360/KMI/IntelliDrive/ApplUI/Pages/CreativePages/CustomReportCreativeDetail.aspx?App=23&amp;ReportView=4&amp;Qid=1711279&amp;Row=13089&amp;Col=1","No Title Assigned - #15273649851")</f>
        <v/>
      </c>
      <c r="B13097" s="0" t="s">
        <v>17568</v>
      </c>
      <c r="E13097" s="0" t="inlineStr">
        <is>
          <t xml:space="preserve">Mazda</t>
        </is>
      </c>
      <c r="F13097" s="0" t="inlineStr">
        <is>
          <t xml:space="preserve">Mazda</t>
        </is>
      </c>
      <c r="G13097" s="0" t="s">
        <v>171</v>
      </c>
      <c r="H13097" s="5">
        <v>1504.656400</v>
      </c>
    </row>
    <row r="13098" spans="1:9">
      <c r="A13098" s="22" t="str">
        <f>HYPERLINK("https://app.vivvix.com/360/KMI/IntelliDrive/ApplUI/Pages/CreativePages/CustomReportCreativeDetail.aspx?App=23&amp;ReportView=4&amp;Qid=1711279&amp;Row=13090&amp;Col=1","No Title Assigned - #15273649878")</f>
        <v/>
      </c>
      <c r="B13098" s="0" t="s">
        <v>17569</v>
      </c>
      <c r="E13098" s="0" t="inlineStr">
        <is>
          <t xml:space="preserve">Mazda</t>
        </is>
      </c>
      <c r="F13098" s="0" t="inlineStr">
        <is>
          <t xml:space="preserve">Mazda</t>
        </is>
      </c>
      <c r="G13098" s="0" t="s">
        <v>171</v>
      </c>
      <c r="H13098" s="5">
        <v>197.034900</v>
      </c>
    </row>
    <row r="13099" spans="1:9">
      <c r="A13099" s="22" t="str">
        <f>HYPERLINK("https://app.vivvix.com/360/KMI/IntelliDrive/ApplUI/Pages/CreativePages/CustomReportCreativeDetail.aspx?App=23&amp;ReportView=4&amp;Qid=1711279&amp;Row=13091&amp;Col=1","No Title Assigned - #15273649879")</f>
        <v/>
      </c>
      <c r="B13099" s="0" t="s">
        <v>17570</v>
      </c>
      <c r="E13099" s="0" t="inlineStr">
        <is>
          <t xml:space="preserve">Mazda</t>
        </is>
      </c>
      <c r="F13099" s="0" t="inlineStr">
        <is>
          <t xml:space="preserve">Mazda</t>
        </is>
      </c>
      <c r="G13099" s="0" t="s">
        <v>171</v>
      </c>
      <c r="H13099" s="5">
        <v>124.715100</v>
      </c>
    </row>
    <row r="13100" spans="1:9">
      <c r="A13100" s="22" t="str">
        <f>HYPERLINK("https://app.vivvix.com/360/KMI/IntelliDrive/ApplUI/Pages/CreativePages/CustomReportCreativeDetail.aspx?App=23&amp;ReportView=4&amp;Qid=1711279&amp;Row=13092&amp;Col=1","No Title Assigned - #15273649951")</f>
        <v/>
      </c>
      <c r="B13100" s="0" t="s">
        <v>17571</v>
      </c>
      <c r="E13100" s="0" t="inlineStr">
        <is>
          <t xml:space="preserve">Mazda</t>
        </is>
      </c>
      <c r="F13100" s="0" t="inlineStr">
        <is>
          <t xml:space="preserve">Mazda</t>
        </is>
      </c>
      <c r="G13100" s="0" t="s">
        <v>171</v>
      </c>
      <c r="H13100" s="5">
        <v>1446.563600</v>
      </c>
    </row>
    <row r="13101" spans="1:9">
      <c r="A13101" s="22" t="str">
        <f>HYPERLINK("https://app.vivvix.com/360/KMI/IntelliDrive/ApplUI/Pages/CreativePages/CustomReportCreativeDetail.aspx?App=23&amp;ReportView=4&amp;Qid=1711279&amp;Row=13093&amp;Col=1","No Title Assigned - #15273649969")</f>
        <v/>
      </c>
      <c r="B13101" s="0" t="s">
        <v>17572</v>
      </c>
      <c r="C13101" s="0" t="s">
        <v>17573</v>
      </c>
      <c r="D13101" s="0" t="s">
        <v>17573</v>
      </c>
      <c r="E13101" s="0" t="inlineStr">
        <is>
          <t xml:space="preserve">Mazda</t>
        </is>
      </c>
      <c r="F13101" s="0" t="s">
        <v>56</v>
      </c>
      <c r="G13101" s="0" t="s">
        <v>57</v>
      </c>
      <c r="H13101" s="5">
        <v>2711.625800</v>
      </c>
    </row>
    <row r="13102" spans="1:9">
      <c r="A13102" s="22" t="str">
        <f>HYPERLINK("https://app.vivvix.com/360/KMI/IntelliDrive/ApplUI/Pages/CreativePages/CustomReportCreativeDetail.aspx?App=23&amp;ReportView=4&amp;Qid=1711279&amp;Row=13094&amp;Col=1","No Title Assigned - #15273650599")</f>
        <v/>
      </c>
      <c r="B13102" s="0" t="s">
        <v>17574</v>
      </c>
      <c r="C13102" s="0" t="s">
        <v>17575</v>
      </c>
      <c r="D13102" s="0" t="s">
        <v>17575</v>
      </c>
      <c r="E13102" s="0" t="inlineStr">
        <is>
          <t xml:space="preserve">Mazda</t>
        </is>
      </c>
      <c r="F13102" s="0" t="inlineStr">
        <is>
          <t xml:space="preserve">Mazda</t>
        </is>
      </c>
      <c r="G13102" s="0" t="s">
        <v>171</v>
      </c>
      <c r="H13102" s="5">
        <v>183.330600</v>
      </c>
    </row>
    <row r="13103" spans="1:9">
      <c r="A13103" s="22" t="str">
        <f>HYPERLINK("https://app.vivvix.com/360/KMI/IntelliDrive/ApplUI/Pages/CreativePages/CustomReportCreativeDetail.aspx?App=23&amp;ReportView=4&amp;Qid=1711279&amp;Row=13095&amp;Col=1","No Title Assigned - #15273651354")</f>
        <v/>
      </c>
      <c r="B13103" s="0" t="s">
        <v>17576</v>
      </c>
      <c r="E13103" s="0" t="inlineStr">
        <is>
          <t xml:space="preserve">Mazda</t>
        </is>
      </c>
      <c r="F13103" s="0" t="inlineStr">
        <is>
          <t xml:space="preserve">Mazda</t>
        </is>
      </c>
      <c r="G13103" s="0" t="s">
        <v>171</v>
      </c>
      <c r="H13103" s="5">
        <v>586.565800</v>
      </c>
    </row>
    <row r="13104" spans="1:9">
      <c r="A13104" s="22" t="str">
        <f>HYPERLINK("https://app.vivvix.com/360/KMI/IntelliDrive/ApplUI/Pages/CreativePages/CustomReportCreativeDetail.aspx?App=23&amp;ReportView=4&amp;Qid=1711279&amp;Row=13096&amp;Col=1","No Title Assigned - #15273651714")</f>
        <v/>
      </c>
      <c r="B13104" s="0" t="s">
        <v>17577</v>
      </c>
      <c r="E13104" s="0" t="inlineStr">
        <is>
          <t xml:space="preserve">Mazda</t>
        </is>
      </c>
      <c r="F13104" s="0" t="inlineStr">
        <is>
          <t xml:space="preserve">Mazda</t>
        </is>
      </c>
      <c r="G13104" s="0" t="s">
        <v>171</v>
      </c>
      <c r="H13104" s="5">
        <v>1.787400</v>
      </c>
    </row>
    <row r="13105" spans="1:9">
      <c r="A13105" s="22" t="str">
        <f>HYPERLINK("https://app.vivvix.com/360/KMI/IntelliDrive/ApplUI/Pages/CreativePages/CustomReportCreativeDetail.aspx?App=23&amp;ReportView=4&amp;Qid=1711279&amp;Row=13097&amp;Col=1","No Title Assigned - #15273652163")</f>
        <v/>
      </c>
      <c r="B13105" s="0" t="s">
        <v>17578</v>
      </c>
      <c r="E13105" s="0" t="inlineStr">
        <is>
          <t xml:space="preserve">Mazda</t>
        </is>
      </c>
      <c r="F13105" s="0" t="inlineStr">
        <is>
          <t xml:space="preserve">Mazda</t>
        </is>
      </c>
      <c r="G13105" s="0" t="s">
        <v>171</v>
      </c>
      <c r="H13105" s="5">
        <v>161.267900</v>
      </c>
    </row>
    <row r="13106" spans="1:9">
      <c r="A13106" s="22" t="str">
        <f>HYPERLINK("https://app.vivvix.com/360/KMI/IntelliDrive/ApplUI/Pages/CreativePages/CustomReportCreativeDetail.aspx?App=23&amp;ReportView=4&amp;Qid=1711279&amp;Row=13098&amp;Col=1","No Title Assigned - #15273652705")</f>
        <v/>
      </c>
      <c r="B13106" s="0" t="s">
        <v>17579</v>
      </c>
      <c r="E13106" s="0" t="inlineStr">
        <is>
          <t xml:space="preserve">Mazda</t>
        </is>
      </c>
      <c r="F13106" s="0" t="inlineStr">
        <is>
          <t xml:space="preserve">Mazda</t>
        </is>
      </c>
      <c r="G13106" s="0" t="s">
        <v>171</v>
      </c>
      <c r="H13106" s="5">
        <v>1109.677600</v>
      </c>
    </row>
    <row r="13107" spans="1:9">
      <c r="A13107" s="22" t="str">
        <f>HYPERLINK("https://app.vivvix.com/360/KMI/IntelliDrive/ApplUI/Pages/CreativePages/CustomReportCreativeDetail.aspx?App=23&amp;ReportView=4&amp;Qid=1711279&amp;Row=13099&amp;Col=1","No Title Assigned - #15273652705")</f>
        <v/>
      </c>
      <c r="B13107" s="0" t="s">
        <v>17579</v>
      </c>
      <c r="E13107" s="0" t="inlineStr">
        <is>
          <t xml:space="preserve">Mazda</t>
        </is>
      </c>
      <c r="F13107" s="0" t="inlineStr">
        <is>
          <t xml:space="preserve">Mazda</t>
        </is>
      </c>
      <c r="G13107" s="0" t="s">
        <v>171</v>
      </c>
      <c r="H13107" s="5">
        <v>9275.250300</v>
      </c>
    </row>
    <row r="13108" spans="1:9">
      <c r="A13108" s="22" t="str">
        <f>HYPERLINK("https://app.vivvix.com/360/KMI/IntelliDrive/ApplUI/Pages/CreativePages/CustomReportCreativeDetail.aspx?App=23&amp;ReportView=4&amp;Qid=1711279&amp;Row=13100&amp;Col=1","No Title Assigned - #15273652762")</f>
        <v/>
      </c>
      <c r="B13108" s="0" t="s">
        <v>17580</v>
      </c>
      <c r="E13108" s="0" t="inlineStr">
        <is>
          <t xml:space="preserve">Mazda</t>
        </is>
      </c>
      <c r="F13108" s="0" t="inlineStr">
        <is>
          <t xml:space="preserve">Mazda</t>
        </is>
      </c>
      <c r="G13108" s="0" t="s">
        <v>171</v>
      </c>
      <c r="H13108" s="5">
        <v>19308.136500</v>
      </c>
    </row>
    <row r="13109" spans="1:9">
      <c r="A13109" s="22" t="str">
        <f>HYPERLINK("https://app.vivvix.com/360/KMI/IntelliDrive/ApplUI/Pages/CreativePages/CustomReportCreativeDetail.aspx?App=23&amp;ReportView=4&amp;Qid=1711279&amp;Row=13101&amp;Col=1","No Title Assigned - #15273655526")</f>
        <v/>
      </c>
      <c r="B13109" s="0" t="s">
        <v>17581</v>
      </c>
      <c r="E13109" s="0" t="inlineStr">
        <is>
          <t xml:space="preserve">Mazda</t>
        </is>
      </c>
      <c r="F13109" s="0" t="inlineStr">
        <is>
          <t xml:space="preserve">Mazda</t>
        </is>
      </c>
      <c r="G13109" s="0" t="s">
        <v>171</v>
      </c>
      <c r="H13109" s="5">
        <v>56.386300</v>
      </c>
    </row>
    <row r="13110" spans="1:9">
      <c r="A13110" s="22" t="str">
        <f>HYPERLINK("https://app.vivvix.com/360/KMI/IntelliDrive/ApplUI/Pages/CreativePages/CustomReportCreativeDetail.aspx?App=23&amp;ReportView=4&amp;Qid=1711279&amp;Row=13102&amp;Col=1","No Title Assigned - #15273655915")</f>
        <v/>
      </c>
      <c r="B13110" s="0" t="s">
        <v>17582</v>
      </c>
      <c r="E13110" s="0" t="inlineStr">
        <is>
          <t xml:space="preserve">Mazda</t>
        </is>
      </c>
      <c r="F13110" s="0" t="inlineStr">
        <is>
          <t xml:space="preserve">Mazda</t>
        </is>
      </c>
      <c r="G13110" s="0" t="s">
        <v>171</v>
      </c>
      <c r="H13110" s="5">
        <v>2308.212400</v>
      </c>
    </row>
    <row r="13111" spans="1:9">
      <c r="A13111" s="22" t="str">
        <f>HYPERLINK("https://app.vivvix.com/360/KMI/IntelliDrive/ApplUI/Pages/CreativePages/CustomReportCreativeDetail.aspx?App=23&amp;ReportView=4&amp;Qid=1711279&amp;Row=13103&amp;Col=1","No Title Assigned - #15273656232")</f>
        <v/>
      </c>
      <c r="B13111" s="0" t="s">
        <v>17583</v>
      </c>
      <c r="E13111" s="0" t="inlineStr">
        <is>
          <t xml:space="preserve">Mazda</t>
        </is>
      </c>
      <c r="F13111" s="0" t="inlineStr">
        <is>
          <t xml:space="preserve">Mazda</t>
        </is>
      </c>
      <c r="G13111" s="0" t="s">
        <v>171</v>
      </c>
      <c r="H13111" s="5">
        <v>159.218400</v>
      </c>
    </row>
    <row r="13112" spans="1:9">
      <c r="A13112" s="22" t="str">
        <f>HYPERLINK("https://app.vivvix.com/360/KMI/IntelliDrive/ApplUI/Pages/CreativePages/CustomReportCreativeDetail.aspx?App=23&amp;ReportView=4&amp;Qid=1711279&amp;Row=13104&amp;Col=1","No Title Assigned - #15273656578")</f>
        <v/>
      </c>
      <c r="B13112" s="0" t="s">
        <v>17584</v>
      </c>
      <c r="E13112" s="0" t="inlineStr">
        <is>
          <t xml:space="preserve">Mazda</t>
        </is>
      </c>
      <c r="F13112" s="0" t="s">
        <v>21</v>
      </c>
      <c r="G13112" s="0" t="s">
        <v>22</v>
      </c>
      <c r="H13112" s="5">
        <v>1584.605000</v>
      </c>
    </row>
    <row r="13113" spans="1:9">
      <c r="A13113" s="22" t="str">
        <f>HYPERLINK("https://app.vivvix.com/360/KMI/IntelliDrive/ApplUI/Pages/CreativePages/CustomReportCreativeDetail.aspx?App=23&amp;ReportView=4&amp;Qid=1711279&amp;Row=13105&amp;Col=1","No Title Assigned - #15273657148")</f>
        <v/>
      </c>
      <c r="B13113" s="0" t="s">
        <v>17585</v>
      </c>
      <c r="E13113" s="0" t="inlineStr">
        <is>
          <t xml:space="preserve">Mazda</t>
        </is>
      </c>
      <c r="F13113" s="0" t="inlineStr">
        <is>
          <t xml:space="preserve">Mazda</t>
        </is>
      </c>
      <c r="G13113" s="0" t="s">
        <v>171</v>
      </c>
      <c r="H13113" s="5">
        <v>12.069200</v>
      </c>
    </row>
    <row r="13114" spans="1:9">
      <c r="A13114" s="22" t="str">
        <f>HYPERLINK("https://app.vivvix.com/360/KMI/IntelliDrive/ApplUI/Pages/CreativePages/CustomReportCreativeDetail.aspx?App=23&amp;ReportView=4&amp;Qid=1711279&amp;Row=13106&amp;Col=1","No Title Assigned - #15273657505")</f>
        <v/>
      </c>
      <c r="B13114" s="0" t="s">
        <v>17586</v>
      </c>
      <c r="E13114" s="0" t="inlineStr">
        <is>
          <t xml:space="preserve">Mazda</t>
        </is>
      </c>
      <c r="F13114" s="0" t="inlineStr">
        <is>
          <t xml:space="preserve">Mazda</t>
        </is>
      </c>
      <c r="G13114" s="0" t="s">
        <v>171</v>
      </c>
      <c r="H13114" s="5">
        <v>189.048100</v>
      </c>
    </row>
    <row r="13115" spans="1:9">
      <c r="A13115" s="22" t="str">
        <f>HYPERLINK("https://app.vivvix.com/360/KMI/IntelliDrive/ApplUI/Pages/CreativePages/CustomReportCreativeDetail.aspx?App=23&amp;ReportView=4&amp;Qid=1711279&amp;Row=13107&amp;Col=1","No Title Assigned - #15273658044")</f>
        <v/>
      </c>
      <c r="B13115" s="0" t="s">
        <v>17587</v>
      </c>
      <c r="E13115" s="0" t="inlineStr">
        <is>
          <t xml:space="preserve">Mazda</t>
        </is>
      </c>
      <c r="F13115" s="0" t="inlineStr">
        <is>
          <t xml:space="preserve">Mazda</t>
        </is>
      </c>
      <c r="G13115" s="0" t="s">
        <v>171</v>
      </c>
      <c r="H13115" s="5">
        <v>19003.005200</v>
      </c>
    </row>
    <row r="13116" spans="1:9">
      <c r="A13116" s="22" t="str">
        <f>HYPERLINK("https://app.vivvix.com/360/KMI/IntelliDrive/ApplUI/Pages/CreativePages/CustomReportCreativeDetail.aspx?App=23&amp;ReportView=4&amp;Qid=1711279&amp;Row=13108&amp;Col=1","No Title Assigned - #15273658073")</f>
        <v/>
      </c>
      <c r="B13116" s="0" t="s">
        <v>17588</v>
      </c>
      <c r="E13116" s="0" t="inlineStr">
        <is>
          <t xml:space="preserve">Mazda</t>
        </is>
      </c>
      <c r="F13116" s="0" t="inlineStr">
        <is>
          <t xml:space="preserve">Mazda</t>
        </is>
      </c>
      <c r="G13116" s="0" t="s">
        <v>171</v>
      </c>
      <c r="H13116" s="5">
        <v>685.731800</v>
      </c>
    </row>
    <row r="13117" spans="1:9">
      <c r="A13117" s="22" t="str">
        <f>HYPERLINK("https://app.vivvix.com/360/KMI/IntelliDrive/ApplUI/Pages/CreativePages/CustomReportCreativeDetail.aspx?App=23&amp;ReportView=4&amp;Qid=1711279&amp;Row=13109&amp;Col=1","No Title Assigned - #15273658263")</f>
        <v/>
      </c>
      <c r="B13117" s="0" t="s">
        <v>17589</v>
      </c>
      <c r="E13117" s="0" t="inlineStr">
        <is>
          <t xml:space="preserve">Mazda</t>
        </is>
      </c>
      <c r="F13117" s="0" t="inlineStr">
        <is>
          <t xml:space="preserve">Mazda</t>
        </is>
      </c>
      <c r="G13117" s="0" t="s">
        <v>171</v>
      </c>
      <c r="H13117" s="5">
        <v>4.288000</v>
      </c>
    </row>
    <row r="13118" spans="1:9">
      <c r="A13118" s="22" t="str">
        <f>HYPERLINK("https://app.vivvix.com/360/KMI/IntelliDrive/ApplUI/Pages/CreativePages/CustomReportCreativeDetail.aspx?App=23&amp;ReportView=4&amp;Qid=1711279&amp;Row=13110&amp;Col=1","No Title Assigned - #15273659567")</f>
        <v/>
      </c>
      <c r="B13118" s="0" t="s">
        <v>17590</v>
      </c>
      <c r="E13118" s="0" t="inlineStr">
        <is>
          <t xml:space="preserve">Mazda</t>
        </is>
      </c>
      <c r="F13118" s="0" t="s">
        <v>21</v>
      </c>
      <c r="G13118" s="0" t="s">
        <v>22</v>
      </c>
      <c r="H13118" s="5">
        <v>888.475600</v>
      </c>
    </row>
    <row r="13119" spans="1:9">
      <c r="A13119" s="22" t="str">
        <f>HYPERLINK("https://app.vivvix.com/360/KMI/IntelliDrive/ApplUI/Pages/CreativePages/CustomReportCreativeDetail.aspx?App=23&amp;ReportView=4&amp;Qid=1711279&amp;Row=13111&amp;Col=1","No Title Assigned - #15273659608")</f>
        <v/>
      </c>
      <c r="B13119" s="0" t="s">
        <v>17591</v>
      </c>
      <c r="C13119" s="0" t="s">
        <v>17592</v>
      </c>
      <c r="D13119" s="0" t="s">
        <v>17592</v>
      </c>
      <c r="E13119" s="0" t="inlineStr">
        <is>
          <t xml:space="preserve">Mazda</t>
        </is>
      </c>
      <c r="F13119" s="0" t="inlineStr">
        <is>
          <t xml:space="preserve">Mazda</t>
        </is>
      </c>
      <c r="G13119" s="0" t="s">
        <v>171</v>
      </c>
      <c r="H13119" s="5">
        <v>73.163200</v>
      </c>
    </row>
    <row r="13120" spans="1:9">
      <c r="A13120" s="22" t="str">
        <f>HYPERLINK("https://app.vivvix.com/360/KMI/IntelliDrive/ApplUI/Pages/CreativePages/CustomReportCreativeDetail.aspx?App=23&amp;ReportView=4&amp;Qid=1711279&amp;Row=13112&amp;Col=1","No Title Assigned - #15273660444")</f>
        <v/>
      </c>
      <c r="B13120" s="0" t="s">
        <v>17593</v>
      </c>
      <c r="E13120" s="0" t="inlineStr">
        <is>
          <t xml:space="preserve">Mazda</t>
        </is>
      </c>
      <c r="F13120" s="0" t="s">
        <v>21</v>
      </c>
      <c r="G13120" s="0" t="s">
        <v>22</v>
      </c>
      <c r="H13120" s="5">
        <v>87.423700</v>
      </c>
    </row>
    <row r="13121" spans="1:9">
      <c r="A13121" s="22" t="str">
        <f>HYPERLINK("https://app.vivvix.com/360/KMI/IntelliDrive/ApplUI/Pages/CreativePages/CustomReportCreativeDetail.aspx?App=23&amp;ReportView=4&amp;Qid=1711279&amp;Row=13113&amp;Col=1","No Title Assigned - #15273661321")</f>
        <v/>
      </c>
      <c r="B13121" s="0" t="s">
        <v>17594</v>
      </c>
      <c r="E13121" s="0" t="inlineStr">
        <is>
          <t xml:space="preserve">Mazda</t>
        </is>
      </c>
      <c r="F13121" s="0" t="s">
        <v>21</v>
      </c>
      <c r="G13121" s="0" t="s">
        <v>22</v>
      </c>
      <c r="H13121" s="5">
        <v>265.230600</v>
      </c>
    </row>
    <row r="13122" spans="1:9">
      <c r="A13122" s="22" t="str">
        <f>HYPERLINK("https://app.vivvix.com/360/KMI/IntelliDrive/ApplUI/Pages/CreativePages/CustomReportCreativeDetail.aspx?App=23&amp;ReportView=4&amp;Qid=1711279&amp;Row=13114&amp;Col=1","No Title Assigned - #15273661350")</f>
        <v/>
      </c>
      <c r="B13122" s="0" t="s">
        <v>17595</v>
      </c>
      <c r="C13122" s="0" t="s">
        <v>17596</v>
      </c>
      <c r="D13122" s="0" t="s">
        <v>17596</v>
      </c>
      <c r="E13122" s="0" t="inlineStr">
        <is>
          <t xml:space="preserve">Mazda</t>
        </is>
      </c>
      <c r="F13122" s="0" t="inlineStr">
        <is>
          <t xml:space="preserve">Mazda</t>
        </is>
      </c>
      <c r="G13122" s="0" t="s">
        <v>171</v>
      </c>
      <c r="H13122" s="5">
        <v>259.738800</v>
      </c>
    </row>
    <row r="13123" spans="1:9">
      <c r="A13123" s="22" t="str">
        <f>HYPERLINK("https://app.vivvix.com/360/KMI/IntelliDrive/ApplUI/Pages/CreativePages/CustomReportCreativeDetail.aspx?App=23&amp;ReportView=4&amp;Qid=1711279&amp;Row=13115&amp;Col=1","No Title Assigned - #15273662707")</f>
        <v/>
      </c>
      <c r="B13123" s="0" t="s">
        <v>17597</v>
      </c>
      <c r="C13123" s="0" t="s">
        <v>17598</v>
      </c>
      <c r="D13123" s="0" t="s">
        <v>17598</v>
      </c>
      <c r="E13123" s="0" t="inlineStr">
        <is>
          <t xml:space="preserve">Mazda</t>
        </is>
      </c>
      <c r="F13123" s="0" t="s">
        <v>13</v>
      </c>
      <c r="G13123" s="0" t="s">
        <v>49</v>
      </c>
      <c r="H13123" s="5">
        <v>96.714600</v>
      </c>
    </row>
    <row r="13124" spans="1:9">
      <c r="A13124" s="22" t="str">
        <f>HYPERLINK("https://app.vivvix.com/360/KMI/IntelliDrive/ApplUI/Pages/CreativePages/CustomReportCreativeDetail.aspx?App=23&amp;ReportView=4&amp;Qid=1711279&amp;Row=13116&amp;Col=1","No Title Assigned - #15273662728")</f>
        <v/>
      </c>
      <c r="B13124" s="0" t="s">
        <v>17599</v>
      </c>
      <c r="C13124" s="0" t="s">
        <v>17600</v>
      </c>
      <c r="D13124" s="0" t="s">
        <v>17600</v>
      </c>
      <c r="E13124" s="0" t="inlineStr">
        <is>
          <t xml:space="preserve">Mazda</t>
        </is>
      </c>
      <c r="F13124" s="0" t="s">
        <v>13</v>
      </c>
      <c r="G13124" s="0" t="s">
        <v>49</v>
      </c>
      <c r="H13124" s="5">
        <v>472.702300</v>
      </c>
    </row>
    <row r="13125" spans="1:9">
      <c r="A13125" s="22" t="str">
        <f>HYPERLINK("https://app.vivvix.com/360/KMI/IntelliDrive/ApplUI/Pages/CreativePages/CustomReportCreativeDetail.aspx?App=23&amp;ReportView=4&amp;Qid=1711279&amp;Row=13117&amp;Col=1","No Title Assigned - #15273663119")</f>
        <v/>
      </c>
      <c r="B13125" s="0" t="s">
        <v>17601</v>
      </c>
      <c r="C13125" s="0" t="s">
        <v>17602</v>
      </c>
      <c r="D13125" s="0" t="s">
        <v>17602</v>
      </c>
      <c r="E13125" s="0" t="inlineStr">
        <is>
          <t xml:space="preserve">Mazda</t>
        </is>
      </c>
      <c r="F13125" s="0" t="s">
        <v>13</v>
      </c>
      <c r="G13125" s="0" t="s">
        <v>49</v>
      </c>
      <c r="H13125" s="5">
        <v>37.646800</v>
      </c>
    </row>
    <row r="13126" spans="1:9">
      <c r="A13126" s="22" t="str">
        <f>HYPERLINK("https://app.vivvix.com/360/KMI/IntelliDrive/ApplUI/Pages/CreativePages/CustomReportCreativeDetail.aspx?App=23&amp;ReportView=4&amp;Qid=1711279&amp;Row=13118&amp;Col=1","No Title Assigned - #15273663349")</f>
        <v/>
      </c>
      <c r="B13126" s="0" t="s">
        <v>17603</v>
      </c>
      <c r="C13126" s="0" t="s">
        <v>17604</v>
      </c>
      <c r="D13126" s="0" t="s">
        <v>17604</v>
      </c>
      <c r="E13126" s="0" t="inlineStr">
        <is>
          <t xml:space="preserve">Mazda</t>
        </is>
      </c>
      <c r="F13126" s="0" t="s">
        <v>13</v>
      </c>
      <c r="G13126" s="0" t="s">
        <v>49</v>
      </c>
      <c r="H13126" s="5">
        <v>27.631100</v>
      </c>
    </row>
    <row r="13127" spans="1:9">
      <c r="A13127" s="22" t="str">
        <f>HYPERLINK("https://app.vivvix.com/360/KMI/IntelliDrive/ApplUI/Pages/CreativePages/CustomReportCreativeDetail.aspx?App=23&amp;ReportView=4&amp;Qid=1711279&amp;Row=13119&amp;Col=1","No Title Assigned - #15273663437")</f>
        <v/>
      </c>
      <c r="B13127" s="0" t="s">
        <v>17605</v>
      </c>
      <c r="C13127" s="0" t="s">
        <v>17606</v>
      </c>
      <c r="D13127" s="0" t="s">
        <v>17606</v>
      </c>
      <c r="E13127" s="0" t="inlineStr">
        <is>
          <t xml:space="preserve">Mazda</t>
        </is>
      </c>
      <c r="F13127" s="0" t="s">
        <v>13</v>
      </c>
      <c r="G13127" s="0" t="s">
        <v>49</v>
      </c>
      <c r="H13127" s="5">
        <v>7337.830000</v>
      </c>
    </row>
    <row r="13128" spans="1:9">
      <c r="A13128" s="22" t="str">
        <f>HYPERLINK("https://app.vivvix.com/360/KMI/IntelliDrive/ApplUI/Pages/CreativePages/CustomReportCreativeDetail.aspx?App=23&amp;ReportView=4&amp;Qid=1711279&amp;Row=13120&amp;Col=1","No Title Assigned - #15273663488")</f>
        <v/>
      </c>
      <c r="B13128" s="0" t="s">
        <v>17607</v>
      </c>
      <c r="C13128" s="0" t="s">
        <v>17608</v>
      </c>
      <c r="D13128" s="0" t="s">
        <v>17608</v>
      </c>
      <c r="E13128" s="0" t="inlineStr">
        <is>
          <t xml:space="preserve">Mazda</t>
        </is>
      </c>
      <c r="F13128" s="0" t="s">
        <v>17</v>
      </c>
      <c r="G13128" s="0" t="s">
        <v>33</v>
      </c>
      <c r="H13128" s="5">
        <v>293.124600</v>
      </c>
    </row>
    <row r="13129" spans="1:9">
      <c r="A13129" s="22" t="str">
        <f>HYPERLINK("https://app.vivvix.com/360/KMI/IntelliDrive/ApplUI/Pages/CreativePages/CustomReportCreativeDetail.aspx?App=23&amp;ReportView=4&amp;Qid=1711279&amp;Row=13121&amp;Col=1","No Title Assigned - #15273664127")</f>
        <v/>
      </c>
      <c r="B13129" s="0" t="s">
        <v>17609</v>
      </c>
      <c r="C13129" s="0" t="s">
        <v>17610</v>
      </c>
      <c r="D13129" s="0" t="s">
        <v>17610</v>
      </c>
      <c r="E13129" s="0" t="inlineStr">
        <is>
          <t xml:space="preserve">Mazda</t>
        </is>
      </c>
      <c r="F13129" s="0" t="s">
        <v>13</v>
      </c>
      <c r="G13129" s="0" t="s">
        <v>49</v>
      </c>
      <c r="H13129" s="5">
        <v>334.373500</v>
      </c>
    </row>
    <row r="13130" spans="1:9">
      <c r="A13130" s="22" t="str">
        <f>HYPERLINK("https://app.vivvix.com/360/KMI/IntelliDrive/ApplUI/Pages/CreativePages/CustomReportCreativeDetail.aspx?App=23&amp;ReportView=4&amp;Qid=1711279&amp;Row=13122&amp;Col=1","No Title Assigned - #15273664805")</f>
        <v/>
      </c>
      <c r="B13130" s="0" t="s">
        <v>17611</v>
      </c>
      <c r="C13130" s="0" t="s">
        <v>17612</v>
      </c>
      <c r="D13130" s="0" t="s">
        <v>17612</v>
      </c>
      <c r="E13130" s="0" t="inlineStr">
        <is>
          <t xml:space="preserve">Mazda</t>
        </is>
      </c>
      <c r="F13130" s="0" t="s">
        <v>28</v>
      </c>
      <c r="G13130" s="0" t="s">
        <v>29</v>
      </c>
      <c r="H13130" s="5">
        <v>128.582200</v>
      </c>
    </row>
    <row r="13131" spans="1:9">
      <c r="A13131" s="22" t="str">
        <f>HYPERLINK("https://app.vivvix.com/360/KMI/IntelliDrive/ApplUI/Pages/CreativePages/CustomReportCreativeDetail.aspx?App=23&amp;ReportView=4&amp;Qid=1711279&amp;Row=13123&amp;Col=1","No Title Assigned - #15273665137")</f>
        <v/>
      </c>
      <c r="B13131" s="0" t="s">
        <v>17613</v>
      </c>
      <c r="C13131" s="0" t="s">
        <v>17614</v>
      </c>
      <c r="D13131" s="0" t="s">
        <v>8558</v>
      </c>
      <c r="E13131" s="0" t="inlineStr">
        <is>
          <t xml:space="preserve">Mazda</t>
        </is>
      </c>
      <c r="F13131" s="0" t="s">
        <v>13</v>
      </c>
      <c r="G13131" s="0" t="s">
        <v>49</v>
      </c>
      <c r="H13131" s="5">
        <v>101.044400</v>
      </c>
    </row>
    <row r="13132" spans="1:9">
      <c r="A13132" s="22" t="str">
        <f>HYPERLINK("https://app.vivvix.com/360/KMI/IntelliDrive/ApplUI/Pages/CreativePages/CustomReportCreativeDetail.aspx?App=23&amp;ReportView=4&amp;Qid=1711279&amp;Row=13124&amp;Col=1","No Title Assigned - #15273666256")</f>
        <v/>
      </c>
      <c r="B13132" s="0" t="s">
        <v>17615</v>
      </c>
      <c r="C13132" s="0" t="s">
        <v>17616</v>
      </c>
      <c r="D13132" s="0" t="s">
        <v>17616</v>
      </c>
      <c r="E13132" s="0" t="inlineStr">
        <is>
          <t xml:space="preserve">Mazda</t>
        </is>
      </c>
      <c r="F13132" s="0" t="s">
        <v>13</v>
      </c>
      <c r="G13132" s="0" t="s">
        <v>49</v>
      </c>
      <c r="H13132" s="5">
        <v>21881.736600</v>
      </c>
    </row>
    <row r="13133" spans="1:9">
      <c r="A13133" s="22" t="str">
        <f>HYPERLINK("https://app.vivvix.com/360/KMI/IntelliDrive/ApplUI/Pages/CreativePages/CustomReportCreativeDetail.aspx?App=23&amp;ReportView=4&amp;Qid=1711279&amp;Row=13125&amp;Col=1","No Title Assigned - #15273667453")</f>
        <v/>
      </c>
      <c r="B13133" s="0" t="s">
        <v>17617</v>
      </c>
      <c r="C13133" s="0" t="s">
        <v>17618</v>
      </c>
      <c r="D13133" s="0" t="s">
        <v>17618</v>
      </c>
      <c r="E13133" s="0" t="inlineStr">
        <is>
          <t xml:space="preserve">Mazda</t>
        </is>
      </c>
      <c r="F13133" s="0" t="s">
        <v>13</v>
      </c>
      <c r="G13133" s="0" t="s">
        <v>49</v>
      </c>
      <c r="H13133" s="5">
        <v>370.821900</v>
      </c>
    </row>
    <row r="13134" spans="1:9">
      <c r="A13134" s="22" t="str">
        <f>HYPERLINK("https://app.vivvix.com/360/KMI/IntelliDrive/ApplUI/Pages/CreativePages/CustomReportCreativeDetail.aspx?App=23&amp;ReportView=4&amp;Qid=1711279&amp;Row=13126&amp;Col=1","No Title Assigned - #15273667811")</f>
        <v/>
      </c>
      <c r="B13134" s="0" t="s">
        <v>17619</v>
      </c>
      <c r="C13134" s="0" t="s">
        <v>17620</v>
      </c>
      <c r="D13134" s="0" t="s">
        <v>4200</v>
      </c>
      <c r="E13134" s="0" t="inlineStr">
        <is>
          <t xml:space="preserve">Mazda</t>
        </is>
      </c>
      <c r="F13134" s="0" t="s">
        <v>28</v>
      </c>
      <c r="G13134" s="0" t="s">
        <v>29</v>
      </c>
      <c r="H13134" s="5">
        <v>241.599200</v>
      </c>
    </row>
    <row r="13135" spans="1:9">
      <c r="A13135" s="22" t="str">
        <f>HYPERLINK("https://app.vivvix.com/360/KMI/IntelliDrive/ApplUI/Pages/CreativePages/CustomReportCreativeDetail.aspx?App=23&amp;ReportView=4&amp;Qid=1711279&amp;Row=13127&amp;Col=1","No Title Assigned - #15273668203")</f>
        <v/>
      </c>
      <c r="B13135" s="0" t="s">
        <v>17621</v>
      </c>
      <c r="E13135" s="0" t="inlineStr">
        <is>
          <t xml:space="preserve">Mazda</t>
        </is>
      </c>
      <c r="F13135" s="0" t="inlineStr">
        <is>
          <t xml:space="preserve">Mazda</t>
        </is>
      </c>
      <c r="G13135" s="0" t="s">
        <v>171</v>
      </c>
      <c r="H13135" s="5">
        <v>1084.787800</v>
      </c>
    </row>
    <row r="13136" spans="1:9">
      <c r="A13136" s="22" t="str">
        <f>HYPERLINK("https://app.vivvix.com/360/KMI/IntelliDrive/ApplUI/Pages/CreativePages/CustomReportCreativeDetail.aspx?App=23&amp;ReportView=4&amp;Qid=1711279&amp;Row=13128&amp;Col=1","No Title Assigned - #15273668203")</f>
        <v/>
      </c>
      <c r="B13136" s="0" t="s">
        <v>17621</v>
      </c>
      <c r="E13136" s="0" t="inlineStr">
        <is>
          <t xml:space="preserve">Mazda</t>
        </is>
      </c>
      <c r="F13136" s="0" t="inlineStr">
        <is>
          <t xml:space="preserve">Mazda</t>
        </is>
      </c>
      <c r="G13136" s="0" t="s">
        <v>171</v>
      </c>
      <c r="H13136" s="5">
        <v>482.760100</v>
      </c>
    </row>
    <row r="13137" spans="1:9">
      <c r="A13137" s="22" t="str">
        <f>HYPERLINK("https://app.vivvix.com/360/KMI/IntelliDrive/ApplUI/Pages/CreativePages/CustomReportCreativeDetail.aspx?App=23&amp;ReportView=4&amp;Qid=1711279&amp;Row=13129&amp;Col=1","No Title Assigned - #15273668487")</f>
        <v/>
      </c>
      <c r="B13137" s="0" t="s">
        <v>17622</v>
      </c>
      <c r="E13137" s="0" t="inlineStr">
        <is>
          <t xml:space="preserve">Mazda</t>
        </is>
      </c>
      <c r="F13137" s="0" t="s">
        <v>21</v>
      </c>
      <c r="G13137" s="0" t="s">
        <v>22</v>
      </c>
      <c r="H13137" s="5">
        <v>1190.798000</v>
      </c>
    </row>
    <row r="13138" spans="1:9">
      <c r="A13138" s="22" t="str">
        <f>HYPERLINK("https://app.vivvix.com/360/KMI/IntelliDrive/ApplUI/Pages/CreativePages/CustomReportCreativeDetail.aspx?App=23&amp;ReportView=4&amp;Qid=1711279&amp;Row=13130&amp;Col=1","No Title Assigned - #15273668582")</f>
        <v/>
      </c>
      <c r="B13138" s="0" t="s">
        <v>17623</v>
      </c>
      <c r="E13138" s="0" t="inlineStr">
        <is>
          <t xml:space="preserve">Mazda</t>
        </is>
      </c>
      <c r="F13138" s="0" t="inlineStr">
        <is>
          <t xml:space="preserve">Mazda</t>
        </is>
      </c>
      <c r="G13138" s="0" t="s">
        <v>171</v>
      </c>
      <c r="H13138" s="5">
        <v>83.194800</v>
      </c>
    </row>
    <row r="13139" spans="1:9">
      <c r="A13139" s="22" t="str">
        <f>HYPERLINK("https://app.vivvix.com/360/KMI/IntelliDrive/ApplUI/Pages/CreativePages/CustomReportCreativeDetail.aspx?App=23&amp;ReportView=4&amp;Qid=1711279&amp;Row=13131&amp;Col=1","No Title Assigned - #15273668620")</f>
        <v/>
      </c>
      <c r="B13139" s="0" t="s">
        <v>17624</v>
      </c>
      <c r="E13139" s="0" t="inlineStr">
        <is>
          <t xml:space="preserve">Mazda</t>
        </is>
      </c>
      <c r="F13139" s="0" t="inlineStr">
        <is>
          <t xml:space="preserve">Mazda</t>
        </is>
      </c>
      <c r="G13139" s="0" t="s">
        <v>171</v>
      </c>
      <c r="H13139" s="5">
        <v>23839.448700</v>
      </c>
    </row>
    <row r="13140" spans="1:9">
      <c r="A13140" s="22" t="str">
        <f>HYPERLINK("https://app.vivvix.com/360/KMI/IntelliDrive/ApplUI/Pages/CreativePages/CustomReportCreativeDetail.aspx?App=23&amp;ReportView=4&amp;Qid=1711279&amp;Row=13132&amp;Col=1","No Title Assigned - #15273668792")</f>
        <v/>
      </c>
      <c r="B13140" s="0" t="s">
        <v>17625</v>
      </c>
      <c r="E13140" s="0" t="inlineStr">
        <is>
          <t xml:space="preserve">Mazda</t>
        </is>
      </c>
      <c r="F13140" s="0" t="inlineStr">
        <is>
          <t xml:space="preserve">Mazda</t>
        </is>
      </c>
      <c r="G13140" s="0" t="s">
        <v>171</v>
      </c>
      <c r="H13140" s="5">
        <v>421.486600</v>
      </c>
    </row>
    <row r="13141" spans="1:9">
      <c r="A13141" s="22" t="str">
        <f>HYPERLINK("https://app.vivvix.com/360/KMI/IntelliDrive/ApplUI/Pages/CreativePages/CustomReportCreativeDetail.aspx?App=23&amp;ReportView=4&amp;Qid=1711279&amp;Row=13133&amp;Col=1","No Title Assigned - #15273669283")</f>
        <v/>
      </c>
      <c r="B13141" s="0" t="s">
        <v>17626</v>
      </c>
      <c r="E13141" s="0" t="inlineStr">
        <is>
          <t xml:space="preserve">Mazda</t>
        </is>
      </c>
      <c r="F13141" s="0" t="inlineStr">
        <is>
          <t xml:space="preserve">Mazda</t>
        </is>
      </c>
      <c r="G13141" s="0" t="s">
        <v>171</v>
      </c>
      <c r="H13141" s="5">
        <v>42.151200</v>
      </c>
    </row>
    <row r="13142" spans="1:9">
      <c r="A13142" s="22" t="str">
        <f>HYPERLINK("https://app.vivvix.com/360/KMI/IntelliDrive/ApplUI/Pages/CreativePages/CustomReportCreativeDetail.aspx?App=23&amp;ReportView=4&amp;Qid=1711279&amp;Row=13134&amp;Col=1","No Title Assigned - #15273669941")</f>
        <v/>
      </c>
      <c r="B13142" s="0" t="s">
        <v>17627</v>
      </c>
      <c r="E13142" s="0" t="inlineStr">
        <is>
          <t xml:space="preserve">Mazda</t>
        </is>
      </c>
      <c r="F13142" s="0" t="inlineStr">
        <is>
          <t xml:space="preserve">Mazda</t>
        </is>
      </c>
      <c r="G13142" s="0" t="s">
        <v>171</v>
      </c>
      <c r="H13142" s="5">
        <v>870.364500</v>
      </c>
    </row>
    <row r="13143" spans="1:9">
      <c r="A13143" s="22" t="str">
        <f>HYPERLINK("https://app.vivvix.com/360/KMI/IntelliDrive/ApplUI/Pages/CreativePages/CustomReportCreativeDetail.aspx?App=23&amp;ReportView=4&amp;Qid=1711279&amp;Row=13135&amp;Col=1","No Title Assigned - #15273670496")</f>
        <v/>
      </c>
      <c r="B13143" s="0" t="s">
        <v>17628</v>
      </c>
      <c r="E13143" s="0" t="inlineStr">
        <is>
          <t xml:space="preserve">Mazda</t>
        </is>
      </c>
      <c r="F13143" s="0" t="inlineStr">
        <is>
          <t xml:space="preserve">Mazda</t>
        </is>
      </c>
      <c r="G13143" s="0" t="s">
        <v>171</v>
      </c>
      <c r="H13143" s="5">
        <v>631.680200</v>
      </c>
    </row>
    <row r="13144" spans="1:9">
      <c r="A13144" s="22" t="str">
        <f>HYPERLINK("https://app.vivvix.com/360/KMI/IntelliDrive/ApplUI/Pages/CreativePages/CustomReportCreativeDetail.aspx?App=23&amp;ReportView=4&amp;Qid=1711279&amp;Row=13136&amp;Col=1","No Title Assigned - #15273670930")</f>
        <v/>
      </c>
      <c r="B13144" s="0" t="s">
        <v>17629</v>
      </c>
      <c r="C13144" s="0" t="s">
        <v>17630</v>
      </c>
      <c r="D13144" s="0" t="s">
        <v>17630</v>
      </c>
      <c r="E13144" s="0" t="inlineStr">
        <is>
          <t xml:space="preserve">Mazda</t>
        </is>
      </c>
      <c r="F13144" s="0" t="inlineStr">
        <is>
          <t xml:space="preserve">Mazda</t>
        </is>
      </c>
      <c r="G13144" s="0" t="s">
        <v>171</v>
      </c>
      <c r="H13144" s="5">
        <v>7731.991200</v>
      </c>
    </row>
    <row r="13145" spans="1:9">
      <c r="A13145" s="22" t="str">
        <f>HYPERLINK("https://app.vivvix.com/360/KMI/IntelliDrive/ApplUI/Pages/CreativePages/CustomReportCreativeDetail.aspx?App=23&amp;ReportView=4&amp;Qid=1711279&amp;Row=13137&amp;Col=1","No Title Assigned - #15273670930")</f>
        <v/>
      </c>
      <c r="B13145" s="0" t="s">
        <v>17629</v>
      </c>
      <c r="E13145" s="0" t="inlineStr">
        <is>
          <t xml:space="preserve">Mazda</t>
        </is>
      </c>
      <c r="F13145" s="0" t="inlineStr">
        <is>
          <t xml:space="preserve">Mazda</t>
        </is>
      </c>
      <c r="G13145" s="0" t="s">
        <v>171</v>
      </c>
      <c r="H13145" s="5">
        <v>1037.574200</v>
      </c>
    </row>
    <row r="13146" spans="1:9">
      <c r="A13146" s="22" t="str">
        <f>HYPERLINK("https://app.vivvix.com/360/KMI/IntelliDrive/ApplUI/Pages/CreativePages/CustomReportCreativeDetail.aspx?App=23&amp;ReportView=4&amp;Qid=1711279&amp;Row=13138&amp;Col=1","No Title Assigned - #15273670968")</f>
        <v/>
      </c>
      <c r="B13146" s="0" t="s">
        <v>17631</v>
      </c>
      <c r="E13146" s="0" t="inlineStr">
        <is>
          <t xml:space="preserve">Mazda</t>
        </is>
      </c>
      <c r="F13146" s="0" t="inlineStr">
        <is>
          <t xml:space="preserve">Mazda</t>
        </is>
      </c>
      <c r="G13146" s="0" t="s">
        <v>171</v>
      </c>
      <c r="H13146" s="5">
        <v>4736.048600</v>
      </c>
    </row>
    <row r="13147" spans="1:9">
      <c r="A13147" s="22" t="str">
        <f>HYPERLINK("https://app.vivvix.com/360/KMI/IntelliDrive/ApplUI/Pages/CreativePages/CustomReportCreativeDetail.aspx?App=23&amp;ReportView=4&amp;Qid=1711279&amp;Row=13139&amp;Col=1","No Title Assigned - #15273671534")</f>
        <v/>
      </c>
      <c r="B13147" s="0" t="s">
        <v>17632</v>
      </c>
      <c r="E13147" s="0" t="inlineStr">
        <is>
          <t xml:space="preserve">Mazda</t>
        </is>
      </c>
      <c r="F13147" s="0" t="inlineStr">
        <is>
          <t xml:space="preserve">Mazda</t>
        </is>
      </c>
      <c r="G13147" s="0" t="s">
        <v>171</v>
      </c>
      <c r="H13147" s="5">
        <v>25.363000</v>
      </c>
    </row>
    <row r="13148" spans="1:9">
      <c r="A13148" s="22" t="str">
        <f>HYPERLINK("https://app.vivvix.com/360/KMI/IntelliDrive/ApplUI/Pages/CreativePages/CustomReportCreativeDetail.aspx?App=23&amp;ReportView=4&amp;Qid=1711279&amp;Row=13140&amp;Col=1","No Title Assigned - #15273674400")</f>
        <v/>
      </c>
      <c r="B13148" s="0" t="s">
        <v>17633</v>
      </c>
      <c r="C13148" s="0" t="s">
        <v>17634</v>
      </c>
      <c r="D13148" s="0" t="s">
        <v>17634</v>
      </c>
      <c r="E13148" s="0" t="inlineStr">
        <is>
          <t xml:space="preserve">Mazda</t>
        </is>
      </c>
      <c r="F13148" s="0" t="s">
        <v>21</v>
      </c>
      <c r="G13148" s="0" t="s">
        <v>22</v>
      </c>
      <c r="H13148" s="5">
        <v>331.215300</v>
      </c>
    </row>
    <row r="13149" spans="1:9">
      <c r="A13149" s="22" t="str">
        <f>HYPERLINK("https://app.vivvix.com/360/KMI/IntelliDrive/ApplUI/Pages/CreativePages/CustomReportCreativeDetail.aspx?App=23&amp;ReportView=4&amp;Qid=1711279&amp;Row=13141&amp;Col=1","No Title Assigned - #15273686308")</f>
        <v/>
      </c>
      <c r="B13149" s="0" t="s">
        <v>17635</v>
      </c>
      <c r="E13149" s="0" t="inlineStr">
        <is>
          <t xml:space="preserve">Mazda</t>
        </is>
      </c>
      <c r="F13149" s="0" t="inlineStr">
        <is>
          <t xml:space="preserve">Mazda</t>
        </is>
      </c>
      <c r="G13149" s="0" t="s">
        <v>171</v>
      </c>
      <c r="H13149" s="5">
        <v>8.341600</v>
      </c>
    </row>
    <row r="13150" spans="1:9">
      <c r="A13150" s="22" t="str">
        <f>HYPERLINK("https://app.vivvix.com/360/KMI/IntelliDrive/ApplUI/Pages/CreativePages/CustomReportCreativeDetail.aspx?App=23&amp;ReportView=4&amp;Qid=1711279&amp;Row=13142&amp;Col=1","No Title Assigned - #15273687081")</f>
        <v/>
      </c>
      <c r="B13150" s="0" t="s">
        <v>17636</v>
      </c>
      <c r="C13150" s="0" t="s">
        <v>17637</v>
      </c>
      <c r="D13150" s="0" t="s">
        <v>17637</v>
      </c>
      <c r="E13150" s="0" t="inlineStr">
        <is>
          <t xml:space="preserve">Mazda</t>
        </is>
      </c>
      <c r="F13150" s="0" t="inlineStr">
        <is>
          <t xml:space="preserve">Mazda</t>
        </is>
      </c>
      <c r="G13150" s="0" t="s">
        <v>171</v>
      </c>
      <c r="H13150" s="5">
        <v>78.249400</v>
      </c>
    </row>
    <row r="13151" spans="1:9">
      <c r="A13151" s="22" t="str">
        <f>HYPERLINK("https://app.vivvix.com/360/KMI/IntelliDrive/ApplUI/Pages/CreativePages/CustomReportCreativeDetail.aspx?App=23&amp;ReportView=4&amp;Qid=1711279&amp;Row=13143&amp;Col=1","No Title Assigned - #15273689063")</f>
        <v/>
      </c>
      <c r="B13151" s="0" t="s">
        <v>17638</v>
      </c>
      <c r="E13151" s="0" t="inlineStr">
        <is>
          <t xml:space="preserve">Mazda</t>
        </is>
      </c>
      <c r="F13151" s="0" t="s">
        <v>21</v>
      </c>
      <c r="G13151" s="0" t="s">
        <v>22</v>
      </c>
      <c r="H13151" s="5">
        <v>13250.185900</v>
      </c>
    </row>
    <row r="13152" spans="1:9">
      <c r="A13152" s="22" t="str">
        <f>HYPERLINK("https://app.vivvix.com/360/KMI/IntelliDrive/ApplUI/Pages/CreativePages/CustomReportCreativeDetail.aspx?App=23&amp;ReportView=4&amp;Qid=1711279&amp;Row=13144&amp;Col=1","No Title Assigned - #15273692397")</f>
        <v/>
      </c>
      <c r="B13152" s="0" t="s">
        <v>17639</v>
      </c>
      <c r="E13152" s="0" t="inlineStr">
        <is>
          <t xml:space="preserve">Mazda</t>
        </is>
      </c>
      <c r="F13152" s="0" t="inlineStr">
        <is>
          <t xml:space="preserve">Mazda</t>
        </is>
      </c>
      <c r="G13152" s="0" t="s">
        <v>171</v>
      </c>
      <c r="H13152" s="5">
        <v>35.802200</v>
      </c>
    </row>
    <row r="13153" spans="1:9">
      <c r="A13153" s="22" t="str">
        <f>HYPERLINK("https://app.vivvix.com/360/KMI/IntelliDrive/ApplUI/Pages/CreativePages/CustomReportCreativeDetail.aspx?App=23&amp;ReportView=4&amp;Qid=1711279&amp;Row=13145&amp;Col=1","No Title Assigned - #15273692754")</f>
        <v/>
      </c>
      <c r="B13153" s="0" t="s">
        <v>17640</v>
      </c>
      <c r="E13153" s="0" t="inlineStr">
        <is>
          <t xml:space="preserve">Mazda</t>
        </is>
      </c>
      <c r="F13153" s="0" t="inlineStr">
        <is>
          <t xml:space="preserve">Mazda</t>
        </is>
      </c>
      <c r="G13153" s="0" t="s">
        <v>171</v>
      </c>
      <c r="H13153" s="5">
        <v>8561.343600</v>
      </c>
    </row>
    <row r="13154" spans="1:9">
      <c r="A13154" s="22" t="str">
        <f>HYPERLINK("https://app.vivvix.com/360/KMI/IntelliDrive/ApplUI/Pages/CreativePages/CustomReportCreativeDetail.aspx?App=23&amp;ReportView=4&amp;Qid=1711279&amp;Row=13146&amp;Col=1","No Title Assigned - #15273692998")</f>
        <v/>
      </c>
      <c r="B13154" s="0" t="s">
        <v>17641</v>
      </c>
      <c r="C13154" s="0" t="s">
        <v>17642</v>
      </c>
      <c r="D13154" s="0" t="s">
        <v>17642</v>
      </c>
      <c r="E13154" s="0" t="inlineStr">
        <is>
          <t xml:space="preserve">Mazda</t>
        </is>
      </c>
      <c r="F13154" s="0" t="inlineStr">
        <is>
          <t xml:space="preserve">Mazda</t>
        </is>
      </c>
      <c r="G13154" s="0" t="s">
        <v>171</v>
      </c>
      <c r="H13154" s="5">
        <v>22.804800</v>
      </c>
    </row>
    <row r="13155" spans="1:9">
      <c r="A13155" s="22" t="str">
        <f>HYPERLINK("https://app.vivvix.com/360/KMI/IntelliDrive/ApplUI/Pages/CreativePages/CustomReportCreativeDetail.aspx?App=23&amp;ReportView=4&amp;Qid=1711279&amp;Row=13147&amp;Col=1","No Title Assigned - #15273693374")</f>
        <v/>
      </c>
      <c r="B13155" s="0" t="s">
        <v>17643</v>
      </c>
      <c r="E13155" s="0" t="inlineStr">
        <is>
          <t xml:space="preserve">Mazda</t>
        </is>
      </c>
      <c r="F13155" s="0" t="inlineStr">
        <is>
          <t xml:space="preserve">Mazda</t>
        </is>
      </c>
      <c r="G13155" s="0" t="s">
        <v>171</v>
      </c>
      <c r="H13155" s="5">
        <v>603.209200</v>
      </c>
    </row>
    <row r="13156" spans="1:9">
      <c r="A13156" s="22" t="str">
        <f>HYPERLINK("https://app.vivvix.com/360/KMI/IntelliDrive/ApplUI/Pages/CreativePages/CustomReportCreativeDetail.aspx?App=23&amp;ReportView=4&amp;Qid=1711279&amp;Row=13148&amp;Col=1","No Title Assigned - #15273694396")</f>
        <v/>
      </c>
      <c r="B13156" s="0" t="s">
        <v>17644</v>
      </c>
      <c r="C13156" s="0" t="s">
        <v>17645</v>
      </c>
      <c r="D13156" s="0" t="s">
        <v>17612</v>
      </c>
      <c r="E13156" s="0" t="inlineStr">
        <is>
          <t xml:space="preserve">Mazda</t>
        </is>
      </c>
      <c r="F13156" s="0" t="s">
        <v>28</v>
      </c>
      <c r="G13156" s="0" t="s">
        <v>29</v>
      </c>
      <c r="H13156" s="5">
        <v>497.363600</v>
      </c>
    </row>
    <row r="13157" spans="1:9">
      <c r="A13157" s="22" t="str">
        <f>HYPERLINK("https://app.vivvix.com/360/KMI/IntelliDrive/ApplUI/Pages/CreativePages/CustomReportCreativeDetail.aspx?App=23&amp;ReportView=4&amp;Qid=1711279&amp;Row=13149&amp;Col=1","No Title Assigned - #15273694509")</f>
        <v/>
      </c>
      <c r="B13157" s="0" t="s">
        <v>17646</v>
      </c>
      <c r="C13157" s="0" t="s">
        <v>17647</v>
      </c>
      <c r="D13157" s="0" t="s">
        <v>17647</v>
      </c>
      <c r="E13157" s="0" t="inlineStr">
        <is>
          <t xml:space="preserve">Mazda</t>
        </is>
      </c>
      <c r="F13157" s="0" t="s">
        <v>13</v>
      </c>
      <c r="G13157" s="0" t="s">
        <v>49</v>
      </c>
      <c r="H13157" s="5">
        <v>1891.973600</v>
      </c>
    </row>
    <row r="13158" spans="1:9">
      <c r="A13158" s="22" t="str">
        <f>HYPERLINK("https://app.vivvix.com/360/KMI/IntelliDrive/ApplUI/Pages/CreativePages/CustomReportCreativeDetail.aspx?App=23&amp;ReportView=4&amp;Qid=1711279&amp;Row=13150&amp;Col=1","No Title Assigned - #15273694707")</f>
        <v/>
      </c>
      <c r="B13158" s="0" t="s">
        <v>17648</v>
      </c>
      <c r="C13158" s="0" t="s">
        <v>17649</v>
      </c>
      <c r="D13158" s="0" t="s">
        <v>17649</v>
      </c>
      <c r="E13158" s="0" t="inlineStr">
        <is>
          <t xml:space="preserve">Mazda</t>
        </is>
      </c>
      <c r="F13158" s="0" t="s">
        <v>13</v>
      </c>
      <c r="G13158" s="0" t="s">
        <v>49</v>
      </c>
      <c r="H13158" s="5">
        <v>994.666800</v>
      </c>
    </row>
    <row r="13159" spans="1:9">
      <c r="A13159" s="22" t="str">
        <f>HYPERLINK("https://app.vivvix.com/360/KMI/IntelliDrive/ApplUI/Pages/CreativePages/CustomReportCreativeDetail.aspx?App=23&amp;ReportView=4&amp;Qid=1711279&amp;Row=13151&amp;Col=1","No Title Assigned - #15273694904")</f>
        <v/>
      </c>
      <c r="B13159" s="0" t="s">
        <v>17650</v>
      </c>
      <c r="C13159" s="0" t="s">
        <v>17651</v>
      </c>
      <c r="D13159" s="0" t="s">
        <v>17651</v>
      </c>
      <c r="E13159" s="0" t="inlineStr">
        <is>
          <t xml:space="preserve">Mazda</t>
        </is>
      </c>
      <c r="F13159" s="0" t="s">
        <v>13</v>
      </c>
      <c r="G13159" s="0" t="s">
        <v>49</v>
      </c>
      <c r="H13159" s="5">
        <v>36556.739900</v>
      </c>
    </row>
    <row r="13160" spans="1:9">
      <c r="A13160" s="22" t="str">
        <f>HYPERLINK("https://app.vivvix.com/360/KMI/IntelliDrive/ApplUI/Pages/CreativePages/CustomReportCreativeDetail.aspx?App=23&amp;ReportView=4&amp;Qid=1711279&amp;Row=13152&amp;Col=1","No Title Assigned - #15273695095")</f>
        <v/>
      </c>
      <c r="B13160" s="0" t="s">
        <v>17652</v>
      </c>
      <c r="C13160" s="0" t="s">
        <v>17653</v>
      </c>
      <c r="D13160" s="0" t="s">
        <v>17653</v>
      </c>
      <c r="E13160" s="0" t="inlineStr">
        <is>
          <t xml:space="preserve">Mazda</t>
        </is>
      </c>
      <c r="F13160" s="0" t="s">
        <v>21</v>
      </c>
      <c r="G13160" s="0" t="s">
        <v>22</v>
      </c>
      <c r="H13160" s="5">
        <v>230.423900</v>
      </c>
    </row>
    <row r="13161" spans="1:9">
      <c r="A13161" s="22" t="str">
        <f>HYPERLINK("https://app.vivvix.com/360/KMI/IntelliDrive/ApplUI/Pages/CreativePages/CustomReportCreativeDetail.aspx?App=23&amp;ReportView=4&amp;Qid=1711279&amp;Row=13153&amp;Col=1","No Title Assigned - #15273696186")</f>
        <v/>
      </c>
      <c r="B13161" s="0" t="s">
        <v>17654</v>
      </c>
      <c r="C13161" s="0" t="s">
        <v>17655</v>
      </c>
      <c r="D13161" s="0" t="s">
        <v>17655</v>
      </c>
      <c r="E13161" s="0" t="inlineStr">
        <is>
          <t xml:space="preserve">Mazda</t>
        </is>
      </c>
      <c r="F13161" s="0" t="s">
        <v>13</v>
      </c>
      <c r="G13161" s="0" t="s">
        <v>49</v>
      </c>
      <c r="H13161" s="5">
        <v>1501.662200</v>
      </c>
    </row>
    <row r="13162" spans="1:9">
      <c r="A13162" s="22" t="str">
        <f>HYPERLINK("https://app.vivvix.com/360/KMI/IntelliDrive/ApplUI/Pages/CreativePages/CustomReportCreativeDetail.aspx?App=23&amp;ReportView=4&amp;Qid=1711279&amp;Row=13154&amp;Col=1","No Title Assigned - #15273696345")</f>
        <v/>
      </c>
      <c r="B13162" s="0" t="s">
        <v>17656</v>
      </c>
      <c r="C13162" s="0" t="s">
        <v>17657</v>
      </c>
      <c r="D13162" s="0" t="s">
        <v>17657</v>
      </c>
      <c r="E13162" s="0" t="inlineStr">
        <is>
          <t xml:space="preserve">Mazda</t>
        </is>
      </c>
      <c r="F13162" s="0" t="s">
        <v>28</v>
      </c>
      <c r="G13162" s="0" t="s">
        <v>29</v>
      </c>
      <c r="H13162" s="5">
        <v>532.978500</v>
      </c>
    </row>
    <row r="13163" spans="1:9">
      <c r="A13163" s="22" t="str">
        <f>HYPERLINK("https://app.vivvix.com/360/KMI/IntelliDrive/ApplUI/Pages/CreativePages/CustomReportCreativeDetail.aspx?App=23&amp;ReportView=4&amp;Qid=1711279&amp;Row=13155&amp;Col=1","No Title Assigned - #15273696556")</f>
        <v/>
      </c>
      <c r="B13163" s="0" t="s">
        <v>17658</v>
      </c>
      <c r="C13163" s="0" t="s">
        <v>17659</v>
      </c>
      <c r="D13163" s="0" t="s">
        <v>5013</v>
      </c>
      <c r="E13163" s="0" t="inlineStr">
        <is>
          <t xml:space="preserve">Mazda</t>
        </is>
      </c>
      <c r="F13163" s="0" t="s">
        <v>13</v>
      </c>
      <c r="G13163" s="0" t="s">
        <v>49</v>
      </c>
      <c r="H13163" s="5">
        <v>3153.750500</v>
      </c>
    </row>
    <row r="13164" spans="1:9">
      <c r="A13164" s="22" t="str">
        <f>HYPERLINK("https://app.vivvix.com/360/KMI/IntelliDrive/ApplUI/Pages/CreativePages/CustomReportCreativeDetail.aspx?App=23&amp;ReportView=4&amp;Qid=1711279&amp;Row=13156&amp;Col=1","No Title Assigned - #15273696725")</f>
        <v/>
      </c>
      <c r="B13164" s="0" t="s">
        <v>17660</v>
      </c>
      <c r="E13164" s="0" t="inlineStr">
        <is>
          <t xml:space="preserve">Mazda</t>
        </is>
      </c>
      <c r="F13164" s="0" t="s">
        <v>13</v>
      </c>
      <c r="G13164" s="0" t="s">
        <v>49</v>
      </c>
      <c r="H13164" s="5">
        <v>322.646200</v>
      </c>
    </row>
    <row r="13165" spans="1:9">
      <c r="A13165" s="22" t="str">
        <f>HYPERLINK("https://app.vivvix.com/360/KMI/IntelliDrive/ApplUI/Pages/CreativePages/CustomReportCreativeDetail.aspx?App=23&amp;ReportView=4&amp;Qid=1711279&amp;Row=13157&amp;Col=1","No Title Assigned - #15273696725")</f>
        <v/>
      </c>
      <c r="B13165" s="0" t="s">
        <v>17660</v>
      </c>
      <c r="C13165" s="0" t="s">
        <v>17661</v>
      </c>
      <c r="D13165" s="0" t="s">
        <v>17661</v>
      </c>
      <c r="E13165" s="0" t="inlineStr">
        <is>
          <t xml:space="preserve">Mazda</t>
        </is>
      </c>
      <c r="F13165" s="0" t="s">
        <v>13</v>
      </c>
      <c r="G13165" s="0" t="s">
        <v>49</v>
      </c>
      <c r="H13165" s="5">
        <v>18.823400</v>
      </c>
    </row>
    <row r="13166" spans="1:9">
      <c r="A13166" s="22" t="str">
        <f>HYPERLINK("https://app.vivvix.com/360/KMI/IntelliDrive/ApplUI/Pages/CreativePages/CustomReportCreativeDetail.aspx?App=23&amp;ReportView=4&amp;Qid=1711279&amp;Row=13158&amp;Col=1","No Title Assigned - #15273697131")</f>
        <v/>
      </c>
      <c r="B13166" s="0" t="s">
        <v>17662</v>
      </c>
      <c r="C13166" s="0" t="s">
        <v>17663</v>
      </c>
      <c r="D13166" s="0" t="s">
        <v>17663</v>
      </c>
      <c r="E13166" s="0" t="inlineStr">
        <is>
          <t xml:space="preserve">Mazda</t>
        </is>
      </c>
      <c r="F13166" s="0" t="s">
        <v>13</v>
      </c>
      <c r="G13166" s="0" t="s">
        <v>49</v>
      </c>
      <c r="H13166" s="5">
        <v>48.363300</v>
      </c>
    </row>
    <row r="13167" spans="1:9">
      <c r="A13167" s="22" t="str">
        <f>HYPERLINK("https://app.vivvix.com/360/KMI/IntelliDrive/ApplUI/Pages/CreativePages/CustomReportCreativeDetail.aspx?App=23&amp;ReportView=4&amp;Qid=1711279&amp;Row=13159&amp;Col=1","No Title Assigned - #15273697539")</f>
        <v/>
      </c>
      <c r="B13167" s="0" t="s">
        <v>17664</v>
      </c>
      <c r="E13167" s="0" t="inlineStr">
        <is>
          <t xml:space="preserve">Mazda</t>
        </is>
      </c>
      <c r="F13167" s="0" t="s">
        <v>21</v>
      </c>
      <c r="G13167" s="0" t="s">
        <v>22</v>
      </c>
      <c r="H13167" s="5">
        <v>72288.062800</v>
      </c>
    </row>
    <row r="13168" spans="1:9">
      <c r="A13168" s="22" t="str">
        <f>HYPERLINK("https://app.vivvix.com/360/KMI/IntelliDrive/ApplUI/Pages/CreativePages/CustomReportCreativeDetail.aspx?App=23&amp;ReportView=4&amp;Qid=1711279&amp;Row=13160&amp;Col=1","No Title Assigned - #15273698124")</f>
        <v/>
      </c>
      <c r="B13168" s="0" t="s">
        <v>17665</v>
      </c>
      <c r="C13168" s="0" t="s">
        <v>17666</v>
      </c>
      <c r="D13168" s="0" t="s">
        <v>11499</v>
      </c>
      <c r="E13168" s="0" t="inlineStr">
        <is>
          <t xml:space="preserve">Mazda</t>
        </is>
      </c>
      <c r="F13168" s="0" t="s">
        <v>13</v>
      </c>
      <c r="G13168" s="0" t="s">
        <v>49</v>
      </c>
      <c r="H13168" s="5">
        <v>76.691600</v>
      </c>
    </row>
    <row r="13169" spans="1:9">
      <c r="A13169" s="22" t="str">
        <f>HYPERLINK("https://app.vivvix.com/360/KMI/IntelliDrive/ApplUI/Pages/CreativePages/CustomReportCreativeDetail.aspx?App=23&amp;ReportView=4&amp;Qid=1711279&amp;Row=13161&amp;Col=1","No Title Assigned - #15273698650")</f>
        <v/>
      </c>
      <c r="B13169" s="0" t="s">
        <v>17667</v>
      </c>
      <c r="C13169" s="0" t="s">
        <v>17668</v>
      </c>
      <c r="D13169" s="0" t="s">
        <v>8779</v>
      </c>
      <c r="E13169" s="0" t="inlineStr">
        <is>
          <t xml:space="preserve">Mazda</t>
        </is>
      </c>
      <c r="F13169" s="0" t="s">
        <v>13</v>
      </c>
      <c r="G13169" s="0" t="s">
        <v>49</v>
      </c>
      <c r="H13169" s="5">
        <v>1370.752200</v>
      </c>
    </row>
    <row r="13170" spans="1:9">
      <c r="A13170" s="22" t="str">
        <f>HYPERLINK("https://app.vivvix.com/360/KMI/IntelliDrive/ApplUI/Pages/CreativePages/CustomReportCreativeDetail.aspx?App=23&amp;ReportView=4&amp;Qid=1711279&amp;Row=13162&amp;Col=1","No Title Assigned - #15273698650")</f>
        <v/>
      </c>
      <c r="B13170" s="0" t="s">
        <v>17667</v>
      </c>
      <c r="E13170" s="0" t="inlineStr">
        <is>
          <t xml:space="preserve">Mazda</t>
        </is>
      </c>
      <c r="F13170" s="0" t="s">
        <v>13</v>
      </c>
      <c r="G13170" s="0" t="s">
        <v>49</v>
      </c>
      <c r="H13170" s="5">
        <v>878.467600</v>
      </c>
    </row>
    <row r="13171" spans="1:9">
      <c r="A13171" s="22" t="str">
        <f>HYPERLINK("https://app.vivvix.com/360/KMI/IntelliDrive/ApplUI/Pages/CreativePages/CustomReportCreativeDetail.aspx?App=23&amp;ReportView=4&amp;Qid=1711279&amp;Row=13163&amp;Col=1","No Title Assigned - #15273699260")</f>
        <v/>
      </c>
      <c r="B13171" s="0" t="s">
        <v>17669</v>
      </c>
      <c r="C13171" s="0" t="s">
        <v>17670</v>
      </c>
      <c r="D13171" s="0" t="s">
        <v>17671</v>
      </c>
      <c r="E13171" s="0" t="inlineStr">
        <is>
          <t xml:space="preserve">Mazda</t>
        </is>
      </c>
      <c r="F13171" s="0" t="s">
        <v>13</v>
      </c>
      <c r="G13171" s="0" t="s">
        <v>49</v>
      </c>
      <c r="H13171" s="5">
        <v>122.862600</v>
      </c>
    </row>
    <row r="13172" spans="1:9">
      <c r="A13172" s="22" t="str">
        <f>HYPERLINK("https://app.vivvix.com/360/KMI/IntelliDrive/ApplUI/Pages/CreativePages/CustomReportCreativeDetail.aspx?App=23&amp;ReportView=4&amp;Qid=1711279&amp;Row=13164&amp;Col=1","No Title Assigned - #15273699492")</f>
        <v/>
      </c>
      <c r="B13172" s="0" t="s">
        <v>17672</v>
      </c>
      <c r="C13172" s="0" t="s">
        <v>17673</v>
      </c>
      <c r="D13172" s="0" t="s">
        <v>10770</v>
      </c>
      <c r="E13172" s="0" t="inlineStr">
        <is>
          <t xml:space="preserve">Mazda</t>
        </is>
      </c>
      <c r="F13172" s="0" t="s">
        <v>13</v>
      </c>
      <c r="G13172" s="0" t="s">
        <v>49</v>
      </c>
      <c r="H13172" s="5">
        <v>119.199500</v>
      </c>
    </row>
    <row r="13173" spans="1:9">
      <c r="A13173" s="22" t="str">
        <f>HYPERLINK("https://app.vivvix.com/360/KMI/IntelliDrive/ApplUI/Pages/CreativePages/CustomReportCreativeDetail.aspx?App=23&amp;ReportView=4&amp;Qid=1711279&amp;Row=13165&amp;Col=1","No Title Assigned - #15273700938")</f>
        <v/>
      </c>
      <c r="B13173" s="0" t="s">
        <v>17674</v>
      </c>
      <c r="E13173" s="0" t="inlineStr">
        <is>
          <t xml:space="preserve">Mazda</t>
        </is>
      </c>
      <c r="F13173" s="0" t="s">
        <v>13</v>
      </c>
      <c r="G13173" s="0" t="s">
        <v>49</v>
      </c>
      <c r="H13173" s="5">
        <v>28413.359400</v>
      </c>
    </row>
    <row r="13174" spans="1:9">
      <c r="A13174" s="22" t="str">
        <f>HYPERLINK("https://app.vivvix.com/360/KMI/IntelliDrive/ApplUI/Pages/CreativePages/CustomReportCreativeDetail.aspx?App=23&amp;ReportView=4&amp;Qid=1711279&amp;Row=13166&amp;Col=1","No Title Assigned - #15273700938")</f>
        <v/>
      </c>
      <c r="B13174" s="0" t="s">
        <v>17674</v>
      </c>
      <c r="C13174" s="0" t="s">
        <v>17675</v>
      </c>
      <c r="D13174" s="0" t="s">
        <v>5013</v>
      </c>
      <c r="E13174" s="0" t="inlineStr">
        <is>
          <t xml:space="preserve">Mazda</t>
        </is>
      </c>
      <c r="F13174" s="0" t="s">
        <v>13</v>
      </c>
      <c r="G13174" s="0" t="s">
        <v>49</v>
      </c>
      <c r="H13174" s="5">
        <v>818.515000</v>
      </c>
    </row>
    <row r="13175" spans="1:9">
      <c r="A13175" s="22" t="str">
        <f>HYPERLINK("https://app.vivvix.com/360/KMI/IntelliDrive/ApplUI/Pages/CreativePages/CustomReportCreativeDetail.aspx?App=23&amp;ReportView=4&amp;Qid=1711279&amp;Row=13167&amp;Col=1","No Title Assigned - #15273701380")</f>
        <v/>
      </c>
      <c r="B13175" s="0" t="s">
        <v>17676</v>
      </c>
      <c r="C13175" s="0" t="s">
        <v>17677</v>
      </c>
      <c r="D13175" s="0" t="s">
        <v>17677</v>
      </c>
      <c r="E13175" s="0" t="inlineStr">
        <is>
          <t xml:space="preserve">Mazda</t>
        </is>
      </c>
      <c r="F13175" s="0" t="s">
        <v>13</v>
      </c>
      <c r="G13175" s="0" t="s">
        <v>49</v>
      </c>
      <c r="H13175" s="5">
        <v>782.141100</v>
      </c>
    </row>
    <row r="13176" spans="1:9">
      <c r="A13176" s="22" t="str">
        <f>HYPERLINK("https://app.vivvix.com/360/KMI/IntelliDrive/ApplUI/Pages/CreativePages/CustomReportCreativeDetail.aspx?App=23&amp;ReportView=4&amp;Qid=1711279&amp;Row=13168&amp;Col=1","No Title Assigned - #15273701653")</f>
        <v/>
      </c>
      <c r="B13176" s="0" t="s">
        <v>17678</v>
      </c>
      <c r="C13176" s="0" t="s">
        <v>17679</v>
      </c>
      <c r="D13176" s="0" t="s">
        <v>4335</v>
      </c>
      <c r="E13176" s="0" t="inlineStr">
        <is>
          <t xml:space="preserve">Mazda</t>
        </is>
      </c>
      <c r="F13176" s="0" t="s">
        <v>13</v>
      </c>
      <c r="G13176" s="0" t="s">
        <v>49</v>
      </c>
      <c r="H13176" s="5">
        <v>271.476800</v>
      </c>
    </row>
    <row r="13177" spans="1:9">
      <c r="A13177" s="22" t="str">
        <f>HYPERLINK("https://app.vivvix.com/360/KMI/IntelliDrive/ApplUI/Pages/CreativePages/CustomReportCreativeDetail.aspx?App=23&amp;ReportView=4&amp;Qid=1711279&amp;Row=13169&amp;Col=1","No Title Assigned - #15273701673")</f>
        <v/>
      </c>
      <c r="B13177" s="0" t="s">
        <v>17680</v>
      </c>
      <c r="C13177" s="0" t="s">
        <v>17681</v>
      </c>
      <c r="D13177" s="0" t="s">
        <v>10770</v>
      </c>
      <c r="E13177" s="0" t="inlineStr">
        <is>
          <t xml:space="preserve">Mazda</t>
        </is>
      </c>
      <c r="F13177" s="0" t="s">
        <v>13</v>
      </c>
      <c r="G13177" s="0" t="s">
        <v>49</v>
      </c>
      <c r="H13177" s="5">
        <v>693.456900</v>
      </c>
    </row>
    <row r="13178" spans="1:9">
      <c r="A13178" s="22" t="str">
        <f>HYPERLINK("https://app.vivvix.com/360/KMI/IntelliDrive/ApplUI/Pages/CreativePages/CustomReportCreativeDetail.aspx?App=23&amp;ReportView=4&amp;Qid=1711279&amp;Row=13170&amp;Col=1","No Title Assigned - #15273702034")</f>
        <v/>
      </c>
      <c r="B13178" s="0" t="s">
        <v>17682</v>
      </c>
      <c r="C13178" s="0" t="s">
        <v>17683</v>
      </c>
      <c r="D13178" s="0" t="s">
        <v>17683</v>
      </c>
      <c r="E13178" s="0" t="inlineStr">
        <is>
          <t xml:space="preserve">Mazda</t>
        </is>
      </c>
      <c r="F13178" s="0" t="s">
        <v>13</v>
      </c>
      <c r="G13178" s="0" t="s">
        <v>49</v>
      </c>
      <c r="H13178" s="5">
        <v>18.823400</v>
      </c>
    </row>
    <row r="13179" spans="1:9">
      <c r="A13179" s="22" t="str">
        <f>HYPERLINK("https://app.vivvix.com/360/KMI/IntelliDrive/ApplUI/Pages/CreativePages/CustomReportCreativeDetail.aspx?App=23&amp;ReportView=4&amp;Qid=1711279&amp;Row=13171&amp;Col=1","No Title Assigned - #15273702190")</f>
        <v/>
      </c>
      <c r="B13179" s="0" t="s">
        <v>17684</v>
      </c>
      <c r="C13179" s="0" t="s">
        <v>17685</v>
      </c>
      <c r="D13179" s="0" t="s">
        <v>17685</v>
      </c>
      <c r="E13179" s="0" t="inlineStr">
        <is>
          <t xml:space="preserve">Mazda</t>
        </is>
      </c>
      <c r="F13179" s="0" t="s">
        <v>13</v>
      </c>
      <c r="G13179" s="0" t="s">
        <v>49</v>
      </c>
      <c r="H13179" s="5">
        <v>796.165800</v>
      </c>
    </row>
    <row r="13180" spans="1:9">
      <c r="A13180" s="22" t="str">
        <f>HYPERLINK("https://app.vivvix.com/360/KMI/IntelliDrive/ApplUI/Pages/CreativePages/CustomReportCreativeDetail.aspx?App=23&amp;ReportView=4&amp;Qid=1711279&amp;Row=13172&amp;Col=1","No Title Assigned - #15273702274")</f>
        <v/>
      </c>
      <c r="B13180" s="0" t="s">
        <v>17686</v>
      </c>
      <c r="C13180" s="0" t="s">
        <v>17687</v>
      </c>
      <c r="D13180" s="0" t="s">
        <v>10770</v>
      </c>
      <c r="E13180" s="0" t="inlineStr">
        <is>
          <t xml:space="preserve">Mazda</t>
        </is>
      </c>
      <c r="F13180" s="0" t="s">
        <v>13</v>
      </c>
      <c r="G13180" s="0" t="s">
        <v>49</v>
      </c>
      <c r="H13180" s="5">
        <v>1484.879800</v>
      </c>
    </row>
    <row r="13181" spans="1:9">
      <c r="A13181" s="22" t="str">
        <f>HYPERLINK("https://app.vivvix.com/360/KMI/IntelliDrive/ApplUI/Pages/CreativePages/CustomReportCreativeDetail.aspx?App=23&amp;ReportView=4&amp;Qid=1711279&amp;Row=13173&amp;Col=1","No Title Assigned - #15273702746")</f>
        <v/>
      </c>
      <c r="B13181" s="0" t="s">
        <v>17688</v>
      </c>
      <c r="C13181" s="0" t="s">
        <v>17689</v>
      </c>
      <c r="D13181" s="0" t="s">
        <v>4200</v>
      </c>
      <c r="E13181" s="0" t="inlineStr">
        <is>
          <t xml:space="preserve">Mazda</t>
        </is>
      </c>
      <c r="F13181" s="0" t="s">
        <v>28</v>
      </c>
      <c r="G13181" s="0" t="s">
        <v>29</v>
      </c>
      <c r="H13181" s="5">
        <v>58.842100</v>
      </c>
    </row>
    <row r="13182" spans="1:9">
      <c r="A13182" s="22" t="str">
        <f>HYPERLINK("https://app.vivvix.com/360/KMI/IntelliDrive/ApplUI/Pages/CreativePages/CustomReportCreativeDetail.aspx?App=23&amp;ReportView=4&amp;Qid=1711279&amp;Row=13174&amp;Col=1","No Title Assigned - #15273702876")</f>
        <v/>
      </c>
      <c r="B13182" s="0" t="s">
        <v>17690</v>
      </c>
      <c r="C13182" s="0" t="s">
        <v>17691</v>
      </c>
      <c r="D13182" s="0" t="s">
        <v>10453</v>
      </c>
      <c r="E13182" s="0" t="inlineStr">
        <is>
          <t xml:space="preserve">Mazda</t>
        </is>
      </c>
      <c r="F13182" s="0" t="s">
        <v>13</v>
      </c>
      <c r="G13182" s="0" t="s">
        <v>49</v>
      </c>
      <c r="H13182" s="5">
        <v>42.695100</v>
      </c>
    </row>
    <row r="13183" spans="1:9">
      <c r="A13183" s="22" t="str">
        <f>HYPERLINK("https://app.vivvix.com/360/KMI/IntelliDrive/ApplUI/Pages/CreativePages/CustomReportCreativeDetail.aspx?App=23&amp;ReportView=4&amp;Qid=1711279&amp;Row=13175&amp;Col=1","No Title Assigned - #15273703739")</f>
        <v/>
      </c>
      <c r="B13183" s="0" t="s">
        <v>17692</v>
      </c>
      <c r="C13183" s="0" t="s">
        <v>17693</v>
      </c>
      <c r="D13183" s="0" t="s">
        <v>10770</v>
      </c>
      <c r="E13183" s="0" t="inlineStr">
        <is>
          <t xml:space="preserve">Mazda</t>
        </is>
      </c>
      <c r="F13183" s="0" t="s">
        <v>13</v>
      </c>
      <c r="G13183" s="0" t="s">
        <v>49</v>
      </c>
      <c r="H13183" s="5">
        <v>52.818000</v>
      </c>
    </row>
    <row r="13184" spans="1:9">
      <c r="A13184" s="22" t="str">
        <f>HYPERLINK("https://app.vivvix.com/360/KMI/IntelliDrive/ApplUI/Pages/CreativePages/CustomReportCreativeDetail.aspx?App=23&amp;ReportView=4&amp;Qid=1711279&amp;Row=13176&amp;Col=1","No Title Assigned - #15273704289")</f>
        <v/>
      </c>
      <c r="B13184" s="0" t="s">
        <v>17694</v>
      </c>
      <c r="C13184" s="0" t="s">
        <v>17695</v>
      </c>
      <c r="D13184" s="0" t="s">
        <v>4390</v>
      </c>
      <c r="E13184" s="0" t="inlineStr">
        <is>
          <t xml:space="preserve">Mazda</t>
        </is>
      </c>
      <c r="F13184" s="0" t="s">
        <v>28</v>
      </c>
      <c r="G13184" s="0" t="s">
        <v>29</v>
      </c>
      <c r="H13184" s="5">
        <v>787.233300</v>
      </c>
    </row>
    <row r="13185" spans="1:9">
      <c r="A13185" s="22" t="str">
        <f>HYPERLINK("https://app.vivvix.com/360/KMI/IntelliDrive/ApplUI/Pages/CreativePages/CustomReportCreativeDetail.aspx?App=23&amp;ReportView=4&amp;Qid=1711279&amp;Row=13177&amp;Col=1","No Title Assigned - #15273704483")</f>
        <v/>
      </c>
      <c r="B13185" s="0" t="s">
        <v>17696</v>
      </c>
      <c r="C13185" s="0" t="s">
        <v>17697</v>
      </c>
      <c r="D13185" s="0" t="s">
        <v>8779</v>
      </c>
      <c r="E13185" s="0" t="inlineStr">
        <is>
          <t xml:space="preserve">Mazda</t>
        </is>
      </c>
      <c r="F13185" s="0" t="s">
        <v>13</v>
      </c>
      <c r="G13185" s="0" t="s">
        <v>49</v>
      </c>
      <c r="H13185" s="5">
        <v>162.352600</v>
      </c>
    </row>
    <row r="13186" spans="1:9">
      <c r="A13186" s="22" t="str">
        <f>HYPERLINK("https://app.vivvix.com/360/KMI/IntelliDrive/ApplUI/Pages/CreativePages/CustomReportCreativeDetail.aspx?App=23&amp;ReportView=4&amp;Qid=1711279&amp;Row=13178&amp;Col=1","No Title Assigned - #15273704493")</f>
        <v/>
      </c>
      <c r="B13186" s="0" t="s">
        <v>17698</v>
      </c>
      <c r="E13186" s="0" t="inlineStr">
        <is>
          <t xml:space="preserve">Mazda</t>
        </is>
      </c>
      <c r="F13186" s="0" t="s">
        <v>13</v>
      </c>
      <c r="G13186" s="0" t="s">
        <v>49</v>
      </c>
      <c r="H13186" s="5">
        <v>243.528900</v>
      </c>
    </row>
    <row r="13187" spans="1:9">
      <c r="A13187" s="22" t="str">
        <f>HYPERLINK("https://app.vivvix.com/360/KMI/IntelliDrive/ApplUI/Pages/CreativePages/CustomReportCreativeDetail.aspx?App=23&amp;ReportView=4&amp;Qid=1711279&amp;Row=13179&amp;Col=1","No Title Assigned - #15273705220")</f>
        <v/>
      </c>
      <c r="B13187" s="0" t="s">
        <v>17699</v>
      </c>
      <c r="C13187" s="0" t="s">
        <v>17700</v>
      </c>
      <c r="D13187" s="0" t="s">
        <v>9825</v>
      </c>
      <c r="E13187" s="0" t="inlineStr">
        <is>
          <t xml:space="preserve">Mazda</t>
        </is>
      </c>
      <c r="F13187" s="0" t="s">
        <v>13</v>
      </c>
      <c r="G13187" s="0" t="s">
        <v>49</v>
      </c>
      <c r="H13187" s="5">
        <v>493.032200</v>
      </c>
    </row>
    <row r="13188" spans="1:9">
      <c r="A13188" s="22" t="str">
        <f>HYPERLINK("https://app.vivvix.com/360/KMI/IntelliDrive/ApplUI/Pages/CreativePages/CustomReportCreativeDetail.aspx?App=23&amp;ReportView=4&amp;Qid=1711279&amp;Row=13180&amp;Col=1","No Title Assigned - #15273705375")</f>
        <v/>
      </c>
      <c r="B13188" s="0" t="s">
        <v>17701</v>
      </c>
      <c r="C13188" s="0" t="s">
        <v>17702</v>
      </c>
      <c r="D13188" s="0" t="s">
        <v>16585</v>
      </c>
      <c r="E13188" s="0" t="inlineStr">
        <is>
          <t xml:space="preserve">Mazda</t>
        </is>
      </c>
      <c r="F13188" s="0" t="inlineStr">
        <is>
          <t xml:space="preserve">Mazda</t>
        </is>
      </c>
      <c r="G13188" s="0" t="s">
        <v>210</v>
      </c>
      <c r="H13188" s="5">
        <v>17096.243500</v>
      </c>
    </row>
    <row r="13189" spans="1:9">
      <c r="A13189" s="22" t="str">
        <f>HYPERLINK("https://app.vivvix.com/360/KMI/IntelliDrive/ApplUI/Pages/CreativePages/CustomReportCreativeDetail.aspx?App=23&amp;ReportView=4&amp;Qid=1711279&amp;Row=13181&amp;Col=1","No Title Assigned - #15273705394")</f>
        <v/>
      </c>
      <c r="B13189" s="0" t="s">
        <v>17703</v>
      </c>
      <c r="C13189" s="0" t="s">
        <v>17704</v>
      </c>
      <c r="D13189" s="0" t="s">
        <v>6238</v>
      </c>
      <c r="E13189" s="0" t="inlineStr">
        <is>
          <t xml:space="preserve">Mazda</t>
        </is>
      </c>
      <c r="F13189" s="0" t="s">
        <v>13</v>
      </c>
      <c r="G13189" s="0" t="s">
        <v>49</v>
      </c>
      <c r="H13189" s="5">
        <v>18.751800</v>
      </c>
    </row>
    <row r="13190" spans="1:9">
      <c r="A13190" s="22" t="str">
        <f>HYPERLINK("https://app.vivvix.com/360/KMI/IntelliDrive/ApplUI/Pages/CreativePages/CustomReportCreativeDetail.aspx?App=23&amp;ReportView=4&amp;Qid=1711279&amp;Row=13182&amp;Col=1","No Title Assigned - #15273705511")</f>
        <v/>
      </c>
      <c r="B13190" s="0" t="s">
        <v>17705</v>
      </c>
      <c r="C13190" s="0" t="s">
        <v>17706</v>
      </c>
      <c r="D13190" s="0" t="s">
        <v>17706</v>
      </c>
      <c r="E13190" s="0" t="inlineStr">
        <is>
          <t xml:space="preserve">Mazda</t>
        </is>
      </c>
      <c r="F13190" s="0" t="s">
        <v>13</v>
      </c>
      <c r="G13190" s="0" t="s">
        <v>49</v>
      </c>
      <c r="H13190" s="5">
        <v>4.160900</v>
      </c>
    </row>
    <row r="13191" spans="1:9">
      <c r="A13191" s="22" t="str">
        <f>HYPERLINK("https://app.vivvix.com/360/KMI/IntelliDrive/ApplUI/Pages/CreativePages/CustomReportCreativeDetail.aspx?App=23&amp;ReportView=4&amp;Qid=1711279&amp;Row=13183&amp;Col=1","No Title Assigned - #15273705861")</f>
        <v/>
      </c>
      <c r="B13191" s="0" t="s">
        <v>17707</v>
      </c>
      <c r="E13191" s="0" t="inlineStr">
        <is>
          <t xml:space="preserve">Mazda</t>
        </is>
      </c>
      <c r="F13191" s="0" t="s">
        <v>13</v>
      </c>
      <c r="G13191" s="0" t="s">
        <v>49</v>
      </c>
      <c r="H13191" s="5">
        <v>187.990500</v>
      </c>
    </row>
    <row r="13192" spans="1:9">
      <c r="A13192" s="22" t="str">
        <f>HYPERLINK("https://app.vivvix.com/360/KMI/IntelliDrive/ApplUI/Pages/CreativePages/CustomReportCreativeDetail.aspx?App=23&amp;ReportView=4&amp;Qid=1711279&amp;Row=13184&amp;Col=1","No Title Assigned - #15273706346")</f>
        <v/>
      </c>
      <c r="B13192" s="0" t="s">
        <v>17708</v>
      </c>
      <c r="C13192" s="0" t="s">
        <v>17709</v>
      </c>
      <c r="D13192" s="0" t="s">
        <v>10889</v>
      </c>
      <c r="E13192" s="0" t="inlineStr">
        <is>
          <t xml:space="preserve">Mazda</t>
        </is>
      </c>
      <c r="F13192" s="0" t="s">
        <v>13</v>
      </c>
      <c r="G13192" s="0" t="s">
        <v>49</v>
      </c>
      <c r="H13192" s="5">
        <v>476.798000</v>
      </c>
    </row>
    <row r="13193" spans="1:9">
      <c r="A13193" s="22" t="str">
        <f>HYPERLINK("https://app.vivvix.com/360/KMI/IntelliDrive/ApplUI/Pages/CreativePages/CustomReportCreativeDetail.aspx?App=23&amp;ReportView=4&amp;Qid=1711279&amp;Row=13185&amp;Col=1","No Title Assigned - #15273706581")</f>
        <v/>
      </c>
      <c r="B13193" s="0" t="s">
        <v>17710</v>
      </c>
      <c r="C13193" s="0" t="s">
        <v>17711</v>
      </c>
      <c r="D13193" s="0" t="s">
        <v>10059</v>
      </c>
      <c r="E13193" s="0" t="inlineStr">
        <is>
          <t xml:space="preserve">Mazda</t>
        </is>
      </c>
      <c r="F13193" s="0" t="s">
        <v>13</v>
      </c>
      <c r="G13193" s="0" t="s">
        <v>49</v>
      </c>
      <c r="H13193" s="5">
        <v>328.457300</v>
      </c>
    </row>
    <row r="13194" spans="1:9">
      <c r="A13194" s="22" t="str">
        <f>HYPERLINK("https://app.vivvix.com/360/KMI/IntelliDrive/ApplUI/Pages/CreativePages/CustomReportCreativeDetail.aspx?App=23&amp;ReportView=4&amp;Qid=1711279&amp;Row=13186&amp;Col=1","No Title Assigned - #15273706737")</f>
        <v/>
      </c>
      <c r="B13194" s="0" t="s">
        <v>17712</v>
      </c>
      <c r="C13194" s="0" t="s">
        <v>17713</v>
      </c>
      <c r="D13194" s="0" t="s">
        <v>4335</v>
      </c>
      <c r="E13194" s="0" t="inlineStr">
        <is>
          <t xml:space="preserve">Mazda</t>
        </is>
      </c>
      <c r="F13194" s="0" t="s">
        <v>13</v>
      </c>
      <c r="G13194" s="0" t="s">
        <v>49</v>
      </c>
      <c r="H13194" s="5">
        <v>45.653200</v>
      </c>
    </row>
    <row r="13195" spans="1:9">
      <c r="A13195" s="22" t="str">
        <f>HYPERLINK("https://app.vivvix.com/360/KMI/IntelliDrive/ApplUI/Pages/CreativePages/CustomReportCreativeDetail.aspx?App=23&amp;ReportView=4&amp;Qid=1711279&amp;Row=13187&amp;Col=1","No Title Assigned - #15273707300")</f>
        <v/>
      </c>
      <c r="B13195" s="0" t="s">
        <v>17714</v>
      </c>
      <c r="C13195" s="0" t="s">
        <v>17715</v>
      </c>
      <c r="D13195" s="0" t="s">
        <v>17715</v>
      </c>
      <c r="E13195" s="0" t="inlineStr">
        <is>
          <t xml:space="preserve">Mazda</t>
        </is>
      </c>
      <c r="F13195" s="0" t="s">
        <v>13</v>
      </c>
      <c r="G13195" s="0" t="s">
        <v>49</v>
      </c>
      <c r="H13195" s="5">
        <v>278.979100</v>
      </c>
    </row>
    <row r="13196" spans="1:9">
      <c r="A13196" s="22" t="str">
        <f>HYPERLINK("https://app.vivvix.com/360/KMI/IntelliDrive/ApplUI/Pages/CreativePages/CustomReportCreativeDetail.aspx?App=23&amp;ReportView=4&amp;Qid=1711279&amp;Row=13188&amp;Col=1","No Title Assigned - #15273707547")</f>
        <v/>
      </c>
      <c r="B13196" s="0" t="s">
        <v>17716</v>
      </c>
      <c r="C13196" s="0" t="s">
        <v>17717</v>
      </c>
      <c r="D13196" s="0" t="s">
        <v>17717</v>
      </c>
      <c r="E13196" s="0" t="inlineStr">
        <is>
          <t xml:space="preserve">Mazda</t>
        </is>
      </c>
      <c r="F13196" s="0" t="s">
        <v>13</v>
      </c>
      <c r="G13196" s="0" t="s">
        <v>49</v>
      </c>
      <c r="H13196" s="5">
        <v>688.610400</v>
      </c>
    </row>
    <row r="13197" spans="1:9">
      <c r="A13197" s="22" t="str">
        <f>HYPERLINK("https://app.vivvix.com/360/KMI/IntelliDrive/ApplUI/Pages/CreativePages/CustomReportCreativeDetail.aspx?App=23&amp;ReportView=4&amp;Qid=1711279&amp;Row=13189&amp;Col=1","No Title Assigned - #15273708450")</f>
        <v/>
      </c>
      <c r="B13197" s="0" t="s">
        <v>17718</v>
      </c>
      <c r="C13197" s="0" t="s">
        <v>17719</v>
      </c>
      <c r="D13197" s="0" t="s">
        <v>8930</v>
      </c>
      <c r="E13197" s="0" t="inlineStr">
        <is>
          <t xml:space="preserve">Mazda</t>
        </is>
      </c>
      <c r="F13197" s="0" t="s">
        <v>13</v>
      </c>
      <c r="G13197" s="0" t="s">
        <v>49</v>
      </c>
      <c r="H13197" s="5">
        <v>23.259600</v>
      </c>
    </row>
    <row r="13198" spans="1:9">
      <c r="A13198" s="22" t="str">
        <f>HYPERLINK("https://app.vivvix.com/360/KMI/IntelliDrive/ApplUI/Pages/CreativePages/CustomReportCreativeDetail.aspx?App=23&amp;ReportView=4&amp;Qid=1711279&amp;Row=13190&amp;Col=1","No Title Assigned - #15273709046")</f>
        <v/>
      </c>
      <c r="B13198" s="0" t="s">
        <v>17720</v>
      </c>
      <c r="E13198" s="0" t="inlineStr">
        <is>
          <t xml:space="preserve">Mazda</t>
        </is>
      </c>
      <c r="F13198" s="0" t="s">
        <v>13</v>
      </c>
      <c r="G13198" s="0" t="s">
        <v>49</v>
      </c>
      <c r="H13198" s="5">
        <v>41.626400</v>
      </c>
    </row>
    <row r="13199" spans="1:9">
      <c r="A13199" s="22" t="str">
        <f>HYPERLINK("https://app.vivvix.com/360/KMI/IntelliDrive/ApplUI/Pages/CreativePages/CustomReportCreativeDetail.aspx?App=23&amp;ReportView=4&amp;Qid=1711279&amp;Row=13191&amp;Col=1","No Title Assigned - #15273709183")</f>
        <v/>
      </c>
      <c r="B13199" s="0" t="s">
        <v>17721</v>
      </c>
      <c r="C13199" s="0" t="s">
        <v>17722</v>
      </c>
      <c r="D13199" s="0" t="s">
        <v>17722</v>
      </c>
      <c r="E13199" s="0" t="inlineStr">
        <is>
          <t xml:space="preserve">Mazda</t>
        </is>
      </c>
      <c r="F13199" s="0" t="inlineStr">
        <is>
          <t xml:space="preserve">Mazda</t>
        </is>
      </c>
      <c r="G13199" s="0" t="s">
        <v>210</v>
      </c>
      <c r="H13199" s="5">
        <v>2418.875300</v>
      </c>
    </row>
    <row r="13200" spans="1:9">
      <c r="A13200" s="22" t="str">
        <f>HYPERLINK("https://app.vivvix.com/360/KMI/IntelliDrive/ApplUI/Pages/CreativePages/CustomReportCreativeDetail.aspx?App=23&amp;ReportView=4&amp;Qid=1711279&amp;Row=13192&amp;Col=1","No Title Assigned - #15273709218")</f>
        <v/>
      </c>
      <c r="B13200" s="0" t="s">
        <v>17723</v>
      </c>
      <c r="E13200" s="0" t="inlineStr">
        <is>
          <t xml:space="preserve">Mazda</t>
        </is>
      </c>
      <c r="F13200" s="0" t="s">
        <v>13</v>
      </c>
      <c r="G13200" s="0" t="s">
        <v>49</v>
      </c>
      <c r="H13200" s="5">
        <v>843.857600</v>
      </c>
    </row>
    <row r="13201" spans="1:9">
      <c r="A13201" s="22" t="str">
        <f>HYPERLINK("https://app.vivvix.com/360/KMI/IntelliDrive/ApplUI/Pages/CreativePages/CustomReportCreativeDetail.aspx?App=23&amp;ReportView=4&amp;Qid=1711279&amp;Row=13193&amp;Col=1","No Title Assigned - #15273709434")</f>
        <v/>
      </c>
      <c r="B13201" s="0" t="s">
        <v>17724</v>
      </c>
      <c r="C13201" s="0" t="s">
        <v>17725</v>
      </c>
      <c r="D13201" s="0" t="s">
        <v>10770</v>
      </c>
      <c r="E13201" s="0" t="inlineStr">
        <is>
          <t xml:space="preserve">Mazda</t>
        </is>
      </c>
      <c r="F13201" s="0" t="s">
        <v>13</v>
      </c>
      <c r="G13201" s="0" t="s">
        <v>49</v>
      </c>
      <c r="H13201" s="5">
        <v>172.921200</v>
      </c>
    </row>
    <row r="13202" spans="1:9">
      <c r="A13202" s="22" t="str">
        <f>HYPERLINK("https://app.vivvix.com/360/KMI/IntelliDrive/ApplUI/Pages/CreativePages/CustomReportCreativeDetail.aspx?App=23&amp;ReportView=4&amp;Qid=1711279&amp;Row=13194&amp;Col=1","No Title Assigned - #15273710044")</f>
        <v/>
      </c>
      <c r="B13202" s="0" t="s">
        <v>17726</v>
      </c>
      <c r="C13202" s="0" t="s">
        <v>17727</v>
      </c>
      <c r="D13202" s="0" t="s">
        <v>17727</v>
      </c>
      <c r="E13202" s="0" t="inlineStr">
        <is>
          <t xml:space="preserve">Mazda</t>
        </is>
      </c>
      <c r="F13202" s="0" t="s">
        <v>13</v>
      </c>
      <c r="G13202" s="0" t="s">
        <v>49</v>
      </c>
      <c r="H13202" s="5">
        <v>165.573200</v>
      </c>
    </row>
    <row r="13203" spans="1:9">
      <c r="A13203" s="22" t="str">
        <f>HYPERLINK("https://app.vivvix.com/360/KMI/IntelliDrive/ApplUI/Pages/CreativePages/CustomReportCreativeDetail.aspx?App=23&amp;ReportView=4&amp;Qid=1711279&amp;Row=13195&amp;Col=1","No Title Assigned - #15273710207")</f>
        <v/>
      </c>
      <c r="B13203" s="0" t="s">
        <v>17728</v>
      </c>
      <c r="C13203" s="0" t="s">
        <v>17729</v>
      </c>
      <c r="D13203" s="0" t="s">
        <v>17729</v>
      </c>
      <c r="E13203" s="0" t="inlineStr">
        <is>
          <t xml:space="preserve">Mazda</t>
        </is>
      </c>
      <c r="F13203" s="0" t="s">
        <v>13</v>
      </c>
      <c r="G13203" s="0" t="s">
        <v>49</v>
      </c>
      <c r="H13203" s="5">
        <v>11.629800</v>
      </c>
    </row>
    <row r="13204" spans="1:9">
      <c r="A13204" s="22" t="str">
        <f>HYPERLINK("https://app.vivvix.com/360/KMI/IntelliDrive/ApplUI/Pages/CreativePages/CustomReportCreativeDetail.aspx?App=23&amp;ReportView=4&amp;Qid=1711279&amp;Row=13196&amp;Col=1","No Title Assigned - #15273711151")</f>
        <v/>
      </c>
      <c r="B13204" s="0" t="s">
        <v>17730</v>
      </c>
      <c r="C13204" s="0" t="s">
        <v>17731</v>
      </c>
      <c r="D13204" s="0" t="s">
        <v>17731</v>
      </c>
      <c r="E13204" s="0" t="inlineStr">
        <is>
          <t xml:space="preserve">Mazda</t>
        </is>
      </c>
      <c r="F13204" s="0" t="s">
        <v>13</v>
      </c>
      <c r="G13204" s="0" t="s">
        <v>49</v>
      </c>
      <c r="H13204" s="5">
        <v>67.339600</v>
      </c>
    </row>
    <row r="13205" spans="1:9">
      <c r="A13205" s="22" t="str">
        <f>HYPERLINK("https://app.vivvix.com/360/KMI/IntelliDrive/ApplUI/Pages/CreativePages/CustomReportCreativeDetail.aspx?App=23&amp;ReportView=4&amp;Qid=1711279&amp;Row=13197&amp;Col=1","No Title Assigned - #15273711864")</f>
        <v/>
      </c>
      <c r="B13205" s="0" t="s">
        <v>17732</v>
      </c>
      <c r="C13205" s="0" t="s">
        <v>17733</v>
      </c>
      <c r="D13205" s="0" t="s">
        <v>17733</v>
      </c>
      <c r="E13205" s="0" t="inlineStr">
        <is>
          <t xml:space="preserve">Mazda</t>
        </is>
      </c>
      <c r="F13205" s="0" t="s">
        <v>13</v>
      </c>
      <c r="G13205" s="0" t="s">
        <v>49</v>
      </c>
      <c r="H13205" s="5">
        <v>316.636300</v>
      </c>
    </row>
    <row r="13206" spans="1:9">
      <c r="A13206" s="22" t="str">
        <f>HYPERLINK("https://app.vivvix.com/360/KMI/IntelliDrive/ApplUI/Pages/CreativePages/CustomReportCreativeDetail.aspx?App=23&amp;ReportView=4&amp;Qid=1711279&amp;Row=13198&amp;Col=1","No Title Assigned - #15273712258")</f>
        <v/>
      </c>
      <c r="B13206" s="0" t="s">
        <v>17734</v>
      </c>
      <c r="C13206" s="0" t="s">
        <v>17735</v>
      </c>
      <c r="D13206" s="0" t="s">
        <v>17735</v>
      </c>
      <c r="E13206" s="0" t="inlineStr">
        <is>
          <t xml:space="preserve">Mazda</t>
        </is>
      </c>
      <c r="F13206" s="0" t="s">
        <v>13</v>
      </c>
      <c r="G13206" s="0" t="s">
        <v>49</v>
      </c>
      <c r="H13206" s="5">
        <v>238.335300</v>
      </c>
    </row>
    <row r="13207" spans="1:9">
      <c r="A13207" s="22" t="str">
        <f>HYPERLINK("https://app.vivvix.com/360/KMI/IntelliDrive/ApplUI/Pages/CreativePages/CustomReportCreativeDetail.aspx?App=23&amp;ReportView=4&amp;Qid=1711279&amp;Row=13199&amp;Col=1","No Title Assigned - #15273712446")</f>
        <v/>
      </c>
      <c r="B13207" s="0" t="s">
        <v>17736</v>
      </c>
      <c r="C13207" s="0" t="s">
        <v>17737</v>
      </c>
      <c r="D13207" s="0" t="s">
        <v>5013</v>
      </c>
      <c r="E13207" s="0" t="inlineStr">
        <is>
          <t xml:space="preserve">Mazda</t>
        </is>
      </c>
      <c r="F13207" s="0" t="s">
        <v>13</v>
      </c>
      <c r="G13207" s="0" t="s">
        <v>49</v>
      </c>
      <c r="H13207" s="5">
        <v>9569.895100</v>
      </c>
    </row>
    <row r="13208" spans="1:9">
      <c r="A13208" s="22" t="str">
        <f>HYPERLINK("https://app.vivvix.com/360/KMI/IntelliDrive/ApplUI/Pages/CreativePages/CustomReportCreativeDetail.aspx?App=23&amp;ReportView=4&amp;Qid=1711279&amp;Row=13200&amp;Col=1","No Title Assigned - #15273712446")</f>
        <v/>
      </c>
      <c r="B13208" s="0" t="s">
        <v>17736</v>
      </c>
      <c r="E13208" s="0" t="inlineStr">
        <is>
          <t xml:space="preserve">Mazda</t>
        </is>
      </c>
      <c r="F13208" s="0" t="s">
        <v>13</v>
      </c>
      <c r="G13208" s="0" t="s">
        <v>49</v>
      </c>
      <c r="H13208" s="5">
        <v>1906.045300</v>
      </c>
    </row>
    <row r="13209" spans="1:9">
      <c r="A13209" s="22" t="str">
        <f>HYPERLINK("https://app.vivvix.com/360/KMI/IntelliDrive/ApplUI/Pages/CreativePages/CustomReportCreativeDetail.aspx?App=23&amp;ReportView=4&amp;Qid=1711279&amp;Row=13201&amp;Col=1","No Title Assigned - #15273714999")</f>
        <v/>
      </c>
      <c r="B13209" s="0" t="s">
        <v>17738</v>
      </c>
      <c r="C13209" s="0" t="s">
        <v>17739</v>
      </c>
      <c r="D13209" s="0" t="s">
        <v>10745</v>
      </c>
      <c r="E13209" s="0" t="inlineStr">
        <is>
          <t xml:space="preserve">Mazda</t>
        </is>
      </c>
      <c r="F13209" s="0" t="s">
        <v>13</v>
      </c>
      <c r="G13209" s="0" t="s">
        <v>49</v>
      </c>
      <c r="H13209" s="5">
        <v>134.679200</v>
      </c>
    </row>
    <row r="13210" spans="1:9">
      <c r="A13210" s="22" t="str">
        <f>HYPERLINK("https://app.vivvix.com/360/KMI/IntelliDrive/ApplUI/Pages/CreativePages/CustomReportCreativeDetail.aspx?App=23&amp;ReportView=4&amp;Qid=1711279&amp;Row=13202&amp;Col=1","No Title Assigned - #15273715194")</f>
        <v/>
      </c>
      <c r="B13210" s="0" t="s">
        <v>17740</v>
      </c>
      <c r="C13210" s="0" t="s">
        <v>17741</v>
      </c>
      <c r="D13210" s="0" t="s">
        <v>17741</v>
      </c>
      <c r="E13210" s="0" t="inlineStr">
        <is>
          <t xml:space="preserve">Mazda</t>
        </is>
      </c>
      <c r="F13210" s="0" t="s">
        <v>13</v>
      </c>
      <c r="G13210" s="0" t="s">
        <v>49</v>
      </c>
      <c r="H13210" s="5">
        <v>14108.858400</v>
      </c>
    </row>
    <row r="13211" spans="1:9">
      <c r="A13211" s="22" t="str">
        <f>HYPERLINK("https://app.vivvix.com/360/KMI/IntelliDrive/ApplUI/Pages/CreativePages/CustomReportCreativeDetail.aspx?App=23&amp;ReportView=4&amp;Qid=1711279&amp;Row=13203&amp;Col=1","No Title Assigned - #15273715194")</f>
        <v/>
      </c>
      <c r="B13211" s="0" t="s">
        <v>17740</v>
      </c>
      <c r="E13211" s="0" t="inlineStr">
        <is>
          <t xml:space="preserve">Mazda</t>
        </is>
      </c>
      <c r="F13211" s="0" t="s">
        <v>13</v>
      </c>
      <c r="G13211" s="0" t="s">
        <v>49</v>
      </c>
      <c r="H13211" s="5">
        <v>682.249100</v>
      </c>
    </row>
    <row r="13212" spans="1:9">
      <c r="A13212" s="22" t="str">
        <f>HYPERLINK("https://app.vivvix.com/360/KMI/IntelliDrive/ApplUI/Pages/CreativePages/CustomReportCreativeDetail.aspx?App=23&amp;ReportView=4&amp;Qid=1711279&amp;Row=13204&amp;Col=1","No Title Assigned - #15273715266")</f>
        <v/>
      </c>
      <c r="B13212" s="0" t="s">
        <v>17742</v>
      </c>
      <c r="C13212" s="0" t="s">
        <v>17743</v>
      </c>
      <c r="D13212" s="0" t="s">
        <v>17743</v>
      </c>
      <c r="E13212" s="0" t="inlineStr">
        <is>
          <t xml:space="preserve">Mazda</t>
        </is>
      </c>
      <c r="F13212" s="0" t="s">
        <v>13</v>
      </c>
      <c r="G13212" s="0" t="s">
        <v>49</v>
      </c>
      <c r="H13212" s="5">
        <v>110895.436500</v>
      </c>
    </row>
    <row r="13213" spans="1:9">
      <c r="A13213" s="22" t="str">
        <f>HYPERLINK("https://app.vivvix.com/360/KMI/IntelliDrive/ApplUI/Pages/CreativePages/CustomReportCreativeDetail.aspx?App=23&amp;ReportView=4&amp;Qid=1711279&amp;Row=13205&amp;Col=1","No Title Assigned - #15273715266")</f>
        <v/>
      </c>
      <c r="B13213" s="0" t="s">
        <v>17742</v>
      </c>
      <c r="E13213" s="0" t="inlineStr">
        <is>
          <t xml:space="preserve">Mazda</t>
        </is>
      </c>
      <c r="F13213" s="0" t="s">
        <v>13</v>
      </c>
      <c r="G13213" s="0" t="s">
        <v>49</v>
      </c>
      <c r="H13213" s="5">
        <v>170023.846300</v>
      </c>
    </row>
    <row r="13214" spans="1:9">
      <c r="A13214" s="22" t="str">
        <f>HYPERLINK("https://app.vivvix.com/360/KMI/IntelliDrive/ApplUI/Pages/CreativePages/CustomReportCreativeDetail.aspx?App=23&amp;ReportView=4&amp;Qid=1711279&amp;Row=13206&amp;Col=1","No Title Assigned - #15273715391")</f>
        <v/>
      </c>
      <c r="B13214" s="0" t="s">
        <v>17744</v>
      </c>
      <c r="C13214" s="0" t="s">
        <v>17745</v>
      </c>
      <c r="D13214" s="0" t="s">
        <v>17745</v>
      </c>
      <c r="E13214" s="0" t="inlineStr">
        <is>
          <t xml:space="preserve">Mazda</t>
        </is>
      </c>
      <c r="F13214" s="0" t="s">
        <v>28</v>
      </c>
      <c r="G13214" s="0" t="s">
        <v>29</v>
      </c>
      <c r="H13214" s="5">
        <v>497.920300</v>
      </c>
    </row>
    <row r="13215" spans="1:9">
      <c r="A13215" s="22" t="str">
        <f>HYPERLINK("https://app.vivvix.com/360/KMI/IntelliDrive/ApplUI/Pages/CreativePages/CustomReportCreativeDetail.aspx?App=23&amp;ReportView=4&amp;Qid=1711279&amp;Row=13207&amp;Col=1","No Title Assigned - #15273715416")</f>
        <v/>
      </c>
      <c r="B13215" s="0" t="s">
        <v>17746</v>
      </c>
      <c r="C13215" s="0" t="s">
        <v>17747</v>
      </c>
      <c r="D13215" s="0" t="s">
        <v>17747</v>
      </c>
      <c r="E13215" s="0" t="inlineStr">
        <is>
          <t xml:space="preserve">Mazda</t>
        </is>
      </c>
      <c r="F13215" s="0" t="s">
        <v>28</v>
      </c>
      <c r="G13215" s="0" t="s">
        <v>29</v>
      </c>
      <c r="H13215" s="5">
        <v>34.173300</v>
      </c>
    </row>
    <row r="13216" spans="1:9">
      <c r="A13216" s="22" t="str">
        <f>HYPERLINK("https://app.vivvix.com/360/KMI/IntelliDrive/ApplUI/Pages/CreativePages/CustomReportCreativeDetail.aspx?App=23&amp;ReportView=4&amp;Qid=1711279&amp;Row=13208&amp;Col=1","No Title Assigned - #15273715555")</f>
        <v/>
      </c>
      <c r="B13216" s="0" t="s">
        <v>17748</v>
      </c>
      <c r="C13216" s="0" t="s">
        <v>17749</v>
      </c>
      <c r="D13216" s="0" t="s">
        <v>17749</v>
      </c>
      <c r="E13216" s="0" t="inlineStr">
        <is>
          <t xml:space="preserve">Mazda</t>
        </is>
      </c>
      <c r="F13216" s="0" t="s">
        <v>13</v>
      </c>
      <c r="G13216" s="0" t="s">
        <v>49</v>
      </c>
      <c r="H13216" s="5">
        <v>403.406100</v>
      </c>
    </row>
    <row r="13217" spans="1:9">
      <c r="A13217" s="22" t="str">
        <f>HYPERLINK("https://app.vivvix.com/360/KMI/IntelliDrive/ApplUI/Pages/CreativePages/CustomReportCreativeDetail.aspx?App=23&amp;ReportView=4&amp;Qid=1711279&amp;Row=13209&amp;Col=1","No Title Assigned - #15273715643")</f>
        <v/>
      </c>
      <c r="B13217" s="0" t="s">
        <v>17750</v>
      </c>
      <c r="C13217" s="0" t="s">
        <v>17751</v>
      </c>
      <c r="D13217" s="0" t="s">
        <v>15819</v>
      </c>
      <c r="E13217" s="0" t="inlineStr">
        <is>
          <t xml:space="preserve">Mazda</t>
        </is>
      </c>
      <c r="F13217" s="0" t="s">
        <v>13</v>
      </c>
      <c r="G13217" s="0" t="s">
        <v>49</v>
      </c>
      <c r="H13217" s="5">
        <v>277.935100</v>
      </c>
    </row>
    <row r="13218" spans="1:9">
      <c r="A13218" s="22" t="str">
        <f>HYPERLINK("https://app.vivvix.com/360/KMI/IntelliDrive/ApplUI/Pages/CreativePages/CustomReportCreativeDetail.aspx?App=23&amp;ReportView=4&amp;Qid=1711279&amp;Row=13210&amp;Col=1","No Title Assigned - #15273715670")</f>
        <v/>
      </c>
      <c r="B13218" s="0" t="s">
        <v>17752</v>
      </c>
      <c r="C13218" s="0" t="s">
        <v>17753</v>
      </c>
      <c r="D13218" s="0" t="s">
        <v>10770</v>
      </c>
      <c r="E13218" s="0" t="inlineStr">
        <is>
          <t xml:space="preserve">Mazda</t>
        </is>
      </c>
      <c r="F13218" s="0" t="s">
        <v>13</v>
      </c>
      <c r="G13218" s="0" t="s">
        <v>49</v>
      </c>
      <c r="H13218" s="5">
        <v>242.633100</v>
      </c>
    </row>
    <row r="13219" spans="1:9">
      <c r="A13219" s="22" t="str">
        <f>HYPERLINK("https://app.vivvix.com/360/KMI/IntelliDrive/ApplUI/Pages/CreativePages/CustomReportCreativeDetail.aspx?App=23&amp;ReportView=4&amp;Qid=1711279&amp;Row=13211&amp;Col=1","No Title Assigned - #15273716021")</f>
        <v/>
      </c>
      <c r="B13219" s="0" t="s">
        <v>17754</v>
      </c>
      <c r="C13219" s="0" t="s">
        <v>17755</v>
      </c>
      <c r="D13219" s="0" t="s">
        <v>17755</v>
      </c>
      <c r="E13219" s="0" t="inlineStr">
        <is>
          <t xml:space="preserve">Mazda</t>
        </is>
      </c>
      <c r="F13219" s="0" t="s">
        <v>28</v>
      </c>
      <c r="G13219" s="0" t="s">
        <v>29</v>
      </c>
      <c r="H13219" s="5">
        <v>95.999800</v>
      </c>
    </row>
    <row r="13220" spans="1:9">
      <c r="A13220" s="22" t="str">
        <f>HYPERLINK("https://app.vivvix.com/360/KMI/IntelliDrive/ApplUI/Pages/CreativePages/CustomReportCreativeDetail.aspx?App=23&amp;ReportView=4&amp;Qid=1711279&amp;Row=13212&amp;Col=1","No Title Assigned - #15273716026")</f>
        <v/>
      </c>
      <c r="B13220" s="0" t="s">
        <v>17756</v>
      </c>
      <c r="E13220" s="0" t="inlineStr">
        <is>
          <t xml:space="preserve">Mazda</t>
        </is>
      </c>
      <c r="F13220" s="0" t="s">
        <v>13</v>
      </c>
      <c r="G13220" s="0" t="s">
        <v>49</v>
      </c>
      <c r="H13220" s="5">
        <v>13453.171900</v>
      </c>
    </row>
    <row r="13221" spans="1:9">
      <c r="A13221" s="22" t="str">
        <f>HYPERLINK("https://app.vivvix.com/360/KMI/IntelliDrive/ApplUI/Pages/CreativePages/CustomReportCreativeDetail.aspx?App=23&amp;ReportView=4&amp;Qid=1711279&amp;Row=13213&amp;Col=1","No Title Assigned - #15273716026")</f>
        <v/>
      </c>
      <c r="B13221" s="0" t="s">
        <v>17756</v>
      </c>
      <c r="C13221" s="0" t="s">
        <v>17757</v>
      </c>
      <c r="D13221" s="0" t="s">
        <v>6180</v>
      </c>
      <c r="E13221" s="0" t="inlineStr">
        <is>
          <t xml:space="preserve">Mazda</t>
        </is>
      </c>
      <c r="F13221" s="0" t="s">
        <v>13</v>
      </c>
      <c r="G13221" s="0" t="s">
        <v>49</v>
      </c>
      <c r="H13221" s="5">
        <v>168.202300</v>
      </c>
    </row>
    <row r="13222" spans="1:9">
      <c r="A13222" s="22" t="str">
        <f>HYPERLINK("https://app.vivvix.com/360/KMI/IntelliDrive/ApplUI/Pages/CreativePages/CustomReportCreativeDetail.aspx?App=23&amp;ReportView=4&amp;Qid=1711279&amp;Row=13214&amp;Col=1","No Title Assigned - #15273716110")</f>
        <v/>
      </c>
      <c r="B13222" s="0" t="s">
        <v>17758</v>
      </c>
      <c r="C13222" s="0" t="s">
        <v>17759</v>
      </c>
      <c r="D13222" s="0" t="s">
        <v>8476</v>
      </c>
      <c r="E13222" s="0" t="inlineStr">
        <is>
          <t xml:space="preserve">Mazda</t>
        </is>
      </c>
      <c r="F13222" s="0" t="s">
        <v>13</v>
      </c>
      <c r="G13222" s="0" t="s">
        <v>49</v>
      </c>
      <c r="H13222" s="5">
        <v>785.421300</v>
      </c>
    </row>
    <row r="13223" spans="1:9">
      <c r="A13223" s="22" t="str">
        <f>HYPERLINK("https://app.vivvix.com/360/KMI/IntelliDrive/ApplUI/Pages/CreativePages/CustomReportCreativeDetail.aspx?App=23&amp;ReportView=4&amp;Qid=1711279&amp;Row=13215&amp;Col=1","No Title Assigned - #15273717030")</f>
        <v/>
      </c>
      <c r="B13223" s="0" t="s">
        <v>17760</v>
      </c>
      <c r="E13223" s="0" t="inlineStr">
        <is>
          <t xml:space="preserve">Mazda</t>
        </is>
      </c>
      <c r="F13223" s="0" t="inlineStr">
        <is>
          <t xml:space="preserve">Mazda</t>
        </is>
      </c>
      <c r="G13223" s="0" t="s">
        <v>171</v>
      </c>
      <c r="H13223" s="5">
        <v>1273.727600</v>
      </c>
    </row>
    <row r="13224" spans="1:9">
      <c r="A13224" s="22" t="str">
        <f>HYPERLINK("https://app.vivvix.com/360/KMI/IntelliDrive/ApplUI/Pages/CreativePages/CustomReportCreativeDetail.aspx?App=23&amp;ReportView=4&amp;Qid=1711279&amp;Row=13216&amp;Col=1","No Title Assigned - #15273717037")</f>
        <v/>
      </c>
      <c r="B13224" s="0" t="s">
        <v>17761</v>
      </c>
      <c r="E13224" s="0" t="inlineStr">
        <is>
          <t xml:space="preserve">Mazda</t>
        </is>
      </c>
      <c r="F13224" s="0" t="inlineStr">
        <is>
          <t xml:space="preserve">Mazda</t>
        </is>
      </c>
      <c r="G13224" s="0" t="s">
        <v>171</v>
      </c>
      <c r="H13224" s="5">
        <v>96.363100</v>
      </c>
    </row>
    <row r="13225" spans="1:9">
      <c r="A13225" s="22" t="str">
        <f>HYPERLINK("https://app.vivvix.com/360/KMI/IntelliDrive/ApplUI/Pages/CreativePages/CustomReportCreativeDetail.aspx?App=23&amp;ReportView=4&amp;Qid=1711279&amp;Row=13217&amp;Col=1","No Title Assigned - #15273717045")</f>
        <v/>
      </c>
      <c r="B13225" s="0" t="s">
        <v>17762</v>
      </c>
      <c r="E13225" s="0" t="inlineStr">
        <is>
          <t xml:space="preserve">Mazda</t>
        </is>
      </c>
      <c r="F13225" s="0" t="inlineStr">
        <is>
          <t xml:space="preserve">Mazda</t>
        </is>
      </c>
      <c r="G13225" s="0" t="s">
        <v>171</v>
      </c>
      <c r="H13225" s="5">
        <v>775.909100</v>
      </c>
    </row>
    <row r="13226" spans="1:9">
      <c r="A13226" s="22" t="str">
        <f>HYPERLINK("https://app.vivvix.com/360/KMI/IntelliDrive/ApplUI/Pages/CreativePages/CustomReportCreativeDetail.aspx?App=23&amp;ReportView=4&amp;Qid=1711279&amp;Row=13218&amp;Col=1","No Title Assigned - #15273717192")</f>
        <v/>
      </c>
      <c r="B13226" s="0" t="s">
        <v>17763</v>
      </c>
      <c r="E13226" s="0" t="inlineStr">
        <is>
          <t xml:space="preserve">Mazda</t>
        </is>
      </c>
      <c r="F13226" s="0" t="inlineStr">
        <is>
          <t xml:space="preserve">Mazda</t>
        </is>
      </c>
      <c r="G13226" s="0" t="s">
        <v>171</v>
      </c>
      <c r="H13226" s="5">
        <v>455.826900</v>
      </c>
    </row>
    <row r="13227" spans="1:9">
      <c r="A13227" s="22" t="str">
        <f>HYPERLINK("https://app.vivvix.com/360/KMI/IntelliDrive/ApplUI/Pages/CreativePages/CustomReportCreativeDetail.aspx?App=23&amp;ReportView=4&amp;Qid=1711279&amp;Row=13219&amp;Col=1","No Title Assigned - #15273717259")</f>
        <v/>
      </c>
      <c r="B13227" s="0" t="s">
        <v>17764</v>
      </c>
      <c r="E13227" s="0" t="inlineStr">
        <is>
          <t xml:space="preserve">Mazda</t>
        </is>
      </c>
      <c r="F13227" s="0" t="inlineStr">
        <is>
          <t xml:space="preserve">Mazda</t>
        </is>
      </c>
      <c r="G13227" s="0" t="s">
        <v>171</v>
      </c>
      <c r="H13227" s="5">
        <v>64.963600</v>
      </c>
    </row>
    <row r="13228" spans="1:9">
      <c r="A13228" s="22" t="str">
        <f>HYPERLINK("https://app.vivvix.com/360/KMI/IntelliDrive/ApplUI/Pages/CreativePages/CustomReportCreativeDetail.aspx?App=23&amp;ReportView=4&amp;Qid=1711279&amp;Row=13220&amp;Col=1","No Title Assigned - #15273717477")</f>
        <v/>
      </c>
      <c r="B13228" s="0" t="s">
        <v>17765</v>
      </c>
      <c r="E13228" s="0" t="inlineStr">
        <is>
          <t xml:space="preserve">Mazda</t>
        </is>
      </c>
      <c r="F13228" s="0" t="inlineStr">
        <is>
          <t xml:space="preserve">Mazda</t>
        </is>
      </c>
      <c r="G13228" s="0" t="s">
        <v>171</v>
      </c>
      <c r="H13228" s="5">
        <v>8288.494700</v>
      </c>
    </row>
    <row r="13229" spans="1:9">
      <c r="A13229" s="22" t="str">
        <f>HYPERLINK("https://app.vivvix.com/360/KMI/IntelliDrive/ApplUI/Pages/CreativePages/CustomReportCreativeDetail.aspx?App=23&amp;ReportView=4&amp;Qid=1711279&amp;Row=13221&amp;Col=1","No Title Assigned - #15273717490")</f>
        <v/>
      </c>
      <c r="B13229" s="0" t="s">
        <v>17766</v>
      </c>
      <c r="E13229" s="0" t="inlineStr">
        <is>
          <t xml:space="preserve">Mazda</t>
        </is>
      </c>
      <c r="F13229" s="0" t="inlineStr">
        <is>
          <t xml:space="preserve">Mazda</t>
        </is>
      </c>
      <c r="G13229" s="0" t="s">
        <v>171</v>
      </c>
      <c r="H13229" s="5">
        <v>230.202100</v>
      </c>
    </row>
    <row r="13230" spans="1:9">
      <c r="A13230" s="22" t="str">
        <f>HYPERLINK("https://app.vivvix.com/360/KMI/IntelliDrive/ApplUI/Pages/CreativePages/CustomReportCreativeDetail.aspx?App=23&amp;ReportView=4&amp;Qid=1711279&amp;Row=13222&amp;Col=1","No Title Assigned - #15273717507")</f>
        <v/>
      </c>
      <c r="B13230" s="0" t="s">
        <v>17767</v>
      </c>
      <c r="E13230" s="0" t="inlineStr">
        <is>
          <t xml:space="preserve">Mazda</t>
        </is>
      </c>
      <c r="F13230" s="0" t="inlineStr">
        <is>
          <t xml:space="preserve">Mazda</t>
        </is>
      </c>
      <c r="G13230" s="0" t="s">
        <v>171</v>
      </c>
      <c r="H13230" s="5">
        <v>137.295900</v>
      </c>
    </row>
    <row r="13231" spans="1:9">
      <c r="A13231" s="22" t="str">
        <f>HYPERLINK("https://app.vivvix.com/360/KMI/IntelliDrive/ApplUI/Pages/CreativePages/CustomReportCreativeDetail.aspx?App=23&amp;ReportView=4&amp;Qid=1711279&amp;Row=13223&amp;Col=1","No Title Assigned - #15273717510")</f>
        <v/>
      </c>
      <c r="B13231" s="0" t="s">
        <v>17768</v>
      </c>
      <c r="E13231" s="0" t="inlineStr">
        <is>
          <t xml:space="preserve">Mazda</t>
        </is>
      </c>
      <c r="F13231" s="0" t="inlineStr">
        <is>
          <t xml:space="preserve">Mazda</t>
        </is>
      </c>
      <c r="G13231" s="0" t="s">
        <v>171</v>
      </c>
      <c r="H13231" s="5">
        <v>13.775300</v>
      </c>
    </row>
    <row r="13232" spans="1:9">
      <c r="A13232" s="22" t="str">
        <f>HYPERLINK("https://app.vivvix.com/360/KMI/IntelliDrive/ApplUI/Pages/CreativePages/CustomReportCreativeDetail.aspx?App=23&amp;ReportView=4&amp;Qid=1711279&amp;Row=13224&amp;Col=1","No Title Assigned - #15273717547")</f>
        <v/>
      </c>
      <c r="B13232" s="0" t="s">
        <v>17769</v>
      </c>
      <c r="E13232" s="0" t="inlineStr">
        <is>
          <t xml:space="preserve">Mazda</t>
        </is>
      </c>
      <c r="F13232" s="0" t="inlineStr">
        <is>
          <t xml:space="preserve">Mazda</t>
        </is>
      </c>
      <c r="G13232" s="0" t="s">
        <v>171</v>
      </c>
      <c r="H13232" s="5">
        <v>126.059200</v>
      </c>
    </row>
    <row r="13233" spans="1:9">
      <c r="A13233" s="22" t="str">
        <f>HYPERLINK("https://app.vivvix.com/360/KMI/IntelliDrive/ApplUI/Pages/CreativePages/CustomReportCreativeDetail.aspx?App=23&amp;ReportView=4&amp;Qid=1711279&amp;Row=13225&amp;Col=1","No Title Assigned - #15273717641")</f>
        <v/>
      </c>
      <c r="B13233" s="0" t="s">
        <v>17770</v>
      </c>
      <c r="E13233" s="0" t="inlineStr">
        <is>
          <t xml:space="preserve">Mazda</t>
        </is>
      </c>
      <c r="F13233" s="0" t="inlineStr">
        <is>
          <t xml:space="preserve">Mazda</t>
        </is>
      </c>
      <c r="G13233" s="0" t="s">
        <v>171</v>
      </c>
      <c r="H13233" s="5">
        <v>139.747600</v>
      </c>
    </row>
    <row r="13234" spans="1:9">
      <c r="A13234" s="22" t="str">
        <f>HYPERLINK("https://app.vivvix.com/360/KMI/IntelliDrive/ApplUI/Pages/CreativePages/CustomReportCreativeDetail.aspx?App=23&amp;ReportView=4&amp;Qid=1711279&amp;Row=13226&amp;Col=1","No Title Assigned - #15273717651")</f>
        <v/>
      </c>
      <c r="B13234" s="0" t="s">
        <v>17771</v>
      </c>
      <c r="E13234" s="0" t="inlineStr">
        <is>
          <t xml:space="preserve">Mazda</t>
        </is>
      </c>
      <c r="F13234" s="0" t="inlineStr">
        <is>
          <t xml:space="preserve">Mazda</t>
        </is>
      </c>
      <c r="G13234" s="0" t="s">
        <v>171</v>
      </c>
      <c r="H13234" s="5">
        <v>351.169400</v>
      </c>
    </row>
    <row r="13235" spans="1:9">
      <c r="A13235" s="22" t="str">
        <f>HYPERLINK("https://app.vivvix.com/360/KMI/IntelliDrive/ApplUI/Pages/CreativePages/CustomReportCreativeDetail.aspx?App=23&amp;ReportView=4&amp;Qid=1711279&amp;Row=13227&amp;Col=1","No Title Assigned - #15273718105")</f>
        <v/>
      </c>
      <c r="B13235" s="0" t="s">
        <v>17772</v>
      </c>
      <c r="E13235" s="0" t="inlineStr">
        <is>
          <t xml:space="preserve">Mazda</t>
        </is>
      </c>
      <c r="F13235" s="0" t="inlineStr">
        <is>
          <t xml:space="preserve">Mazda</t>
        </is>
      </c>
      <c r="G13235" s="0" t="s">
        <v>171</v>
      </c>
      <c r="H13235" s="5">
        <v>49.307700</v>
      </c>
    </row>
    <row r="13236" spans="1:9">
      <c r="A13236" s="22" t="str">
        <f>HYPERLINK("https://app.vivvix.com/360/KMI/IntelliDrive/ApplUI/Pages/CreativePages/CustomReportCreativeDetail.aspx?App=23&amp;ReportView=4&amp;Qid=1711279&amp;Row=13228&amp;Col=1","No Title Assigned - #15273718216")</f>
        <v/>
      </c>
      <c r="B13236" s="0" t="s">
        <v>17773</v>
      </c>
      <c r="E13236" s="0" t="inlineStr">
        <is>
          <t xml:space="preserve">Mazda</t>
        </is>
      </c>
      <c r="F13236" s="0" t="inlineStr">
        <is>
          <t xml:space="preserve">Mazda</t>
        </is>
      </c>
      <c r="G13236" s="0" t="s">
        <v>171</v>
      </c>
      <c r="H13236" s="5">
        <v>27.735600</v>
      </c>
    </row>
    <row r="13237" spans="1:9">
      <c r="A13237" s="22" t="str">
        <f>HYPERLINK("https://app.vivvix.com/360/KMI/IntelliDrive/ApplUI/Pages/CreativePages/CustomReportCreativeDetail.aspx?App=23&amp;ReportView=4&amp;Qid=1711279&amp;Row=13229&amp;Col=1","No Title Assigned - #15273719074")</f>
        <v/>
      </c>
      <c r="B13237" s="0" t="s">
        <v>17774</v>
      </c>
      <c r="E13237" s="0" t="inlineStr">
        <is>
          <t xml:space="preserve">Mazda</t>
        </is>
      </c>
      <c r="F13237" s="0" t="inlineStr">
        <is>
          <t xml:space="preserve">Mazda</t>
        </is>
      </c>
      <c r="G13237" s="0" t="s">
        <v>171</v>
      </c>
      <c r="H13237" s="5">
        <v>338.992800</v>
      </c>
    </row>
    <row r="13238" spans="1:9">
      <c r="A13238" s="22" t="str">
        <f>HYPERLINK("https://app.vivvix.com/360/KMI/IntelliDrive/ApplUI/Pages/CreativePages/CustomReportCreativeDetail.aspx?App=23&amp;ReportView=4&amp;Qid=1711279&amp;Row=13230&amp;Col=1","No Title Assigned - #15273719183")</f>
        <v/>
      </c>
      <c r="B13238" s="0" t="s">
        <v>17775</v>
      </c>
      <c r="E13238" s="0" t="inlineStr">
        <is>
          <t xml:space="preserve">Mazda</t>
        </is>
      </c>
      <c r="F13238" s="0" t="inlineStr">
        <is>
          <t xml:space="preserve">Mazda</t>
        </is>
      </c>
      <c r="G13238" s="0" t="s">
        <v>171</v>
      </c>
      <c r="H13238" s="5">
        <v>566.015400</v>
      </c>
    </row>
    <row r="13239" spans="1:9">
      <c r="A13239" s="22" t="str">
        <f>HYPERLINK("https://app.vivvix.com/360/KMI/IntelliDrive/ApplUI/Pages/CreativePages/CustomReportCreativeDetail.aspx?App=23&amp;ReportView=4&amp;Qid=1711279&amp;Row=13231&amp;Col=1","No Title Assigned - #15273719297")</f>
        <v/>
      </c>
      <c r="B13239" s="0" t="s">
        <v>17776</v>
      </c>
      <c r="E13239" s="0" t="inlineStr">
        <is>
          <t xml:space="preserve">Mazda</t>
        </is>
      </c>
      <c r="F13239" s="0" t="inlineStr">
        <is>
          <t xml:space="preserve">Mazda</t>
        </is>
      </c>
      <c r="G13239" s="0" t="s">
        <v>171</v>
      </c>
      <c r="H13239" s="5">
        <v>22.982700</v>
      </c>
    </row>
    <row r="13240" spans="1:9">
      <c r="A13240" s="22" t="str">
        <f>HYPERLINK("https://app.vivvix.com/360/KMI/IntelliDrive/ApplUI/Pages/CreativePages/CustomReportCreativeDetail.aspx?App=23&amp;ReportView=4&amp;Qid=1711279&amp;Row=13232&amp;Col=1","No Title Assigned - #15273719330")</f>
        <v/>
      </c>
      <c r="B13240" s="0" t="s">
        <v>17777</v>
      </c>
      <c r="E13240" s="0" t="inlineStr">
        <is>
          <t xml:space="preserve">Mazda</t>
        </is>
      </c>
      <c r="F13240" s="0" t="inlineStr">
        <is>
          <t xml:space="preserve">Mazda</t>
        </is>
      </c>
      <c r="G13240" s="0" t="s">
        <v>171</v>
      </c>
      <c r="H13240" s="5">
        <v>8.375000</v>
      </c>
    </row>
    <row r="13241" spans="1:9">
      <c r="A13241" s="22" t="str">
        <f>HYPERLINK("https://app.vivvix.com/360/KMI/IntelliDrive/ApplUI/Pages/CreativePages/CustomReportCreativeDetail.aspx?App=23&amp;ReportView=4&amp;Qid=1711279&amp;Row=13233&amp;Col=1","No Title Assigned - #15273719388")</f>
        <v/>
      </c>
      <c r="B13241" s="0" t="s">
        <v>17778</v>
      </c>
      <c r="E13241" s="0" t="inlineStr">
        <is>
          <t xml:space="preserve">Mazda</t>
        </is>
      </c>
      <c r="F13241" s="0" t="inlineStr">
        <is>
          <t xml:space="preserve">Mazda</t>
        </is>
      </c>
      <c r="G13241" s="0" t="s">
        <v>171</v>
      </c>
      <c r="H13241" s="5">
        <v>247.680100</v>
      </c>
    </row>
    <row r="13242" spans="1:9">
      <c r="A13242" s="22" t="str">
        <f>HYPERLINK("https://app.vivvix.com/360/KMI/IntelliDrive/ApplUI/Pages/CreativePages/CustomReportCreativeDetail.aspx?App=23&amp;ReportView=4&amp;Qid=1711279&amp;Row=13234&amp;Col=1","No Title Assigned - #15273719392")</f>
        <v/>
      </c>
      <c r="B13242" s="0" t="s">
        <v>17779</v>
      </c>
      <c r="E13242" s="0" t="inlineStr">
        <is>
          <t xml:space="preserve">Mazda</t>
        </is>
      </c>
      <c r="F13242" s="0" t="inlineStr">
        <is>
          <t xml:space="preserve">Mazda</t>
        </is>
      </c>
      <c r="G13242" s="0" t="s">
        <v>171</v>
      </c>
      <c r="H13242" s="5">
        <v>377.409800</v>
      </c>
    </row>
    <row r="13243" spans="1:9">
      <c r="A13243" s="22" t="str">
        <f>HYPERLINK("https://app.vivvix.com/360/KMI/IntelliDrive/ApplUI/Pages/CreativePages/CustomReportCreativeDetail.aspx?App=23&amp;ReportView=4&amp;Qid=1711279&amp;Row=13235&amp;Col=1","No Title Assigned - #15273719581")</f>
        <v/>
      </c>
      <c r="B13243" s="0" t="s">
        <v>17780</v>
      </c>
      <c r="E13243" s="0" t="inlineStr">
        <is>
          <t xml:space="preserve">Mazda</t>
        </is>
      </c>
      <c r="F13243" s="0" t="inlineStr">
        <is>
          <t xml:space="preserve">Mazda</t>
        </is>
      </c>
      <c r="G13243" s="0" t="s">
        <v>171</v>
      </c>
      <c r="H13243" s="5">
        <v>1037.574200</v>
      </c>
    </row>
    <row r="13244" spans="1:9">
      <c r="A13244" s="22" t="str">
        <f>HYPERLINK("https://app.vivvix.com/360/KMI/IntelliDrive/ApplUI/Pages/CreativePages/CustomReportCreativeDetail.aspx?App=23&amp;ReportView=4&amp;Qid=1711279&amp;Row=13236&amp;Col=1","No Title Assigned - #15273719582")</f>
        <v/>
      </c>
      <c r="B13244" s="0" t="s">
        <v>17781</v>
      </c>
      <c r="E13244" s="0" t="inlineStr">
        <is>
          <t xml:space="preserve">Mazda</t>
        </is>
      </c>
      <c r="F13244" s="0" t="inlineStr">
        <is>
          <t xml:space="preserve">Mazda</t>
        </is>
      </c>
      <c r="G13244" s="0" t="s">
        <v>171</v>
      </c>
      <c r="H13244" s="5">
        <v>2075.148400</v>
      </c>
    </row>
    <row r="13245" spans="1:9">
      <c r="A13245" s="22" t="str">
        <f>HYPERLINK("https://app.vivvix.com/360/KMI/IntelliDrive/ApplUI/Pages/CreativePages/CustomReportCreativeDetail.aspx?App=23&amp;ReportView=4&amp;Qid=1711279&amp;Row=13237&amp;Col=1","No Title Assigned - #15273720003")</f>
        <v/>
      </c>
      <c r="B13245" s="0" t="s">
        <v>17782</v>
      </c>
      <c r="E13245" s="0" t="inlineStr">
        <is>
          <t xml:space="preserve">Mazda</t>
        </is>
      </c>
      <c r="F13245" s="0" t="inlineStr">
        <is>
          <t xml:space="preserve">Mazda</t>
        </is>
      </c>
      <c r="G13245" s="0" t="s">
        <v>171</v>
      </c>
      <c r="H13245" s="5">
        <v>22.703400</v>
      </c>
    </row>
    <row r="13246" spans="1:9">
      <c r="A13246" s="22" t="str">
        <f>HYPERLINK("https://app.vivvix.com/360/KMI/IntelliDrive/ApplUI/Pages/CreativePages/CustomReportCreativeDetail.aspx?App=23&amp;ReportView=4&amp;Qid=1711279&amp;Row=13238&amp;Col=1","No Title Assigned - #15273720190")</f>
        <v/>
      </c>
      <c r="B13246" s="0" t="s">
        <v>17783</v>
      </c>
      <c r="E13246" s="0" t="inlineStr">
        <is>
          <t xml:space="preserve">Mazda</t>
        </is>
      </c>
      <c r="F13246" s="0" t="inlineStr">
        <is>
          <t xml:space="preserve">Mazda</t>
        </is>
      </c>
      <c r="G13246" s="0" t="s">
        <v>171</v>
      </c>
      <c r="H13246" s="5">
        <v>98.615400</v>
      </c>
    </row>
    <row r="13247" spans="1:9">
      <c r="A13247" s="22" t="str">
        <f>HYPERLINK("https://app.vivvix.com/360/KMI/IntelliDrive/ApplUI/Pages/CreativePages/CustomReportCreativeDetail.aspx?App=23&amp;ReportView=4&amp;Qid=1711279&amp;Row=13239&amp;Col=1","No Title Assigned - #15273720685")</f>
        <v/>
      </c>
      <c r="B13247" s="0" t="s">
        <v>17784</v>
      </c>
      <c r="E13247" s="0" t="inlineStr">
        <is>
          <t xml:space="preserve">Mazda</t>
        </is>
      </c>
      <c r="F13247" s="0" t="inlineStr">
        <is>
          <t xml:space="preserve">Mazda</t>
        </is>
      </c>
      <c r="G13247" s="0" t="s">
        <v>171</v>
      </c>
      <c r="H13247" s="5">
        <v>988.521900</v>
      </c>
    </row>
    <row r="13248" spans="1:9">
      <c r="A13248" s="22" t="str">
        <f>HYPERLINK("https://app.vivvix.com/360/KMI/IntelliDrive/ApplUI/Pages/CreativePages/CustomReportCreativeDetail.aspx?App=23&amp;ReportView=4&amp;Qid=1711279&amp;Row=13240&amp;Col=1","No Title Assigned - #15273720751")</f>
        <v/>
      </c>
      <c r="B13248" s="0" t="s">
        <v>17785</v>
      </c>
      <c r="E13248" s="0" t="inlineStr">
        <is>
          <t xml:space="preserve">Mazda</t>
        </is>
      </c>
      <c r="F13248" s="0" t="inlineStr">
        <is>
          <t xml:space="preserve">Mazda</t>
        </is>
      </c>
      <c r="G13248" s="0" t="s">
        <v>171</v>
      </c>
      <c r="H13248" s="5">
        <v>145.583300</v>
      </c>
    </row>
    <row r="13249" spans="1:9">
      <c r="A13249" s="22" t="str">
        <f>HYPERLINK("https://app.vivvix.com/360/KMI/IntelliDrive/ApplUI/Pages/CreativePages/CustomReportCreativeDetail.aspx?App=23&amp;ReportView=4&amp;Qid=1711279&amp;Row=13241&amp;Col=1","No Title Assigned - #15273720813")</f>
        <v/>
      </c>
      <c r="B13249" s="0" t="s">
        <v>17786</v>
      </c>
      <c r="E13249" s="0" t="inlineStr">
        <is>
          <t xml:space="preserve">Mazda</t>
        </is>
      </c>
      <c r="F13249" s="0" t="inlineStr">
        <is>
          <t xml:space="preserve">Mazda</t>
        </is>
      </c>
      <c r="G13249" s="0" t="s">
        <v>171</v>
      </c>
      <c r="H13249" s="5">
        <v>5395.511800</v>
      </c>
    </row>
    <row r="13250" spans="1:9">
      <c r="A13250" s="22" t="str">
        <f>HYPERLINK("https://app.vivvix.com/360/KMI/IntelliDrive/ApplUI/Pages/CreativePages/CustomReportCreativeDetail.aspx?App=23&amp;ReportView=4&amp;Qid=1711279&amp;Row=13242&amp;Col=1","No Title Assigned - #15273720813")</f>
        <v/>
      </c>
      <c r="B13250" s="0" t="s">
        <v>17786</v>
      </c>
      <c r="E13250" s="0" t="inlineStr">
        <is>
          <t xml:space="preserve">Mazda</t>
        </is>
      </c>
      <c r="F13250" s="0" t="inlineStr">
        <is>
          <t xml:space="preserve">Mazda</t>
        </is>
      </c>
      <c r="G13250" s="0" t="s">
        <v>171</v>
      </c>
      <c r="H13250" s="5">
        <v>13511.880900</v>
      </c>
    </row>
    <row r="13251" spans="1:9">
      <c r="A13251" s="22" t="str">
        <f>HYPERLINK("https://app.vivvix.com/360/KMI/IntelliDrive/ApplUI/Pages/CreativePages/CustomReportCreativeDetail.aspx?App=23&amp;ReportView=4&amp;Qid=1711279&amp;Row=13243&amp;Col=1","No Title Assigned - #15273720902")</f>
        <v/>
      </c>
      <c r="B13251" s="0" t="s">
        <v>17787</v>
      </c>
      <c r="C13251" s="0" t="s">
        <v>17788</v>
      </c>
      <c r="D13251" s="0" t="s">
        <v>11499</v>
      </c>
      <c r="E13251" s="0" t="inlineStr">
        <is>
          <t xml:space="preserve">Mazda</t>
        </is>
      </c>
      <c r="F13251" s="0" t="s">
        <v>13</v>
      </c>
      <c r="G13251" s="0" t="s">
        <v>49</v>
      </c>
      <c r="H13251" s="5">
        <v>17.059800</v>
      </c>
    </row>
    <row r="13252" spans="1:9">
      <c r="A13252" s="22" t="str">
        <f>HYPERLINK("https://app.vivvix.com/360/KMI/IntelliDrive/ApplUI/Pages/CreativePages/CustomReportCreativeDetail.aspx?App=23&amp;ReportView=4&amp;Qid=1711279&amp;Row=13244&amp;Col=1","No Title Assigned - #15273722811")</f>
        <v/>
      </c>
      <c r="B13252" s="0" t="s">
        <v>17789</v>
      </c>
      <c r="E13252" s="0" t="inlineStr">
        <is>
          <t xml:space="preserve">Mazda</t>
        </is>
      </c>
      <c r="F13252" s="0" t="inlineStr">
        <is>
          <t xml:space="preserve">Mazda</t>
        </is>
      </c>
      <c r="G13252" s="0" t="s">
        <v>171</v>
      </c>
      <c r="H13252" s="5">
        <v>17.449900</v>
      </c>
    </row>
    <row r="13253" spans="1:9">
      <c r="A13253" s="22" t="str">
        <f>HYPERLINK("https://app.vivvix.com/360/KMI/IntelliDrive/ApplUI/Pages/CreativePages/CustomReportCreativeDetail.aspx?App=23&amp;ReportView=4&amp;Qid=1711279&amp;Row=13245&amp;Col=1","No Title Assigned - #15273723042")</f>
        <v/>
      </c>
      <c r="B13253" s="0" t="s">
        <v>17790</v>
      </c>
      <c r="C13253" s="0" t="s">
        <v>17791</v>
      </c>
      <c r="D13253" s="0" t="s">
        <v>17791</v>
      </c>
      <c r="E13253" s="0" t="inlineStr">
        <is>
          <t xml:space="preserve">Mazda</t>
        </is>
      </c>
      <c r="F13253" s="0" t="inlineStr">
        <is>
          <t xml:space="preserve">Mazda</t>
        </is>
      </c>
      <c r="G13253" s="0" t="s">
        <v>171</v>
      </c>
      <c r="H13253" s="5">
        <v>25.508500</v>
      </c>
    </row>
    <row r="13254" spans="1:9">
      <c r="A13254" s="22" t="str">
        <f>HYPERLINK("https://app.vivvix.com/360/KMI/IntelliDrive/ApplUI/Pages/CreativePages/CustomReportCreativeDetail.aspx?App=23&amp;ReportView=4&amp;Qid=1711279&amp;Row=13246&amp;Col=1","No Title Assigned - #15273723365")</f>
        <v/>
      </c>
      <c r="B13254" s="0" t="s">
        <v>17792</v>
      </c>
      <c r="E13254" s="0" t="inlineStr">
        <is>
          <t xml:space="preserve">Mazda</t>
        </is>
      </c>
      <c r="F13254" s="0" t="inlineStr">
        <is>
          <t xml:space="preserve">Mazda</t>
        </is>
      </c>
      <c r="G13254" s="0" t="s">
        <v>171</v>
      </c>
      <c r="H13254" s="5">
        <v>17.449900</v>
      </c>
    </row>
    <row r="13255" spans="1:9">
      <c r="A13255" s="22" t="str">
        <f>HYPERLINK("https://app.vivvix.com/360/KMI/IntelliDrive/ApplUI/Pages/CreativePages/CustomReportCreativeDetail.aspx?App=23&amp;ReportView=4&amp;Qid=1711279&amp;Row=13247&amp;Col=1","No Title Assigned - #15273723705")</f>
        <v/>
      </c>
      <c r="B13255" s="0" t="s">
        <v>17793</v>
      </c>
      <c r="E13255" s="0" t="inlineStr">
        <is>
          <t xml:space="preserve">Mazda</t>
        </is>
      </c>
      <c r="F13255" s="0" t="inlineStr">
        <is>
          <t xml:space="preserve">Mazda</t>
        </is>
      </c>
      <c r="G13255" s="0" t="s">
        <v>171</v>
      </c>
      <c r="H13255" s="5">
        <v>91.665300</v>
      </c>
    </row>
    <row r="13256" spans="1:9">
      <c r="A13256" s="22" t="str">
        <f>HYPERLINK("https://app.vivvix.com/360/KMI/IntelliDrive/ApplUI/Pages/CreativePages/CustomReportCreativeDetail.aspx?App=23&amp;ReportView=4&amp;Qid=1711279&amp;Row=13248&amp;Col=1","No Title Assigned - #15273723776")</f>
        <v/>
      </c>
      <c r="B13256" s="0" t="s">
        <v>17794</v>
      </c>
      <c r="E13256" s="0" t="inlineStr">
        <is>
          <t xml:space="preserve">Mazda</t>
        </is>
      </c>
      <c r="F13256" s="0" t="inlineStr">
        <is>
          <t xml:space="preserve">Mazda</t>
        </is>
      </c>
      <c r="G13256" s="0" t="s">
        <v>171</v>
      </c>
      <c r="H13256" s="5">
        <v>83.457800</v>
      </c>
    </row>
    <row r="13257" spans="1:9">
      <c r="A13257" s="22" t="str">
        <f>HYPERLINK("https://app.vivvix.com/360/KMI/IntelliDrive/ApplUI/Pages/CreativePages/CustomReportCreativeDetail.aspx?App=23&amp;ReportView=4&amp;Qid=1711279&amp;Row=13249&amp;Col=1","No Title Assigned - #15273723822")</f>
        <v/>
      </c>
      <c r="B13257" s="0" t="s">
        <v>17795</v>
      </c>
      <c r="E13257" s="0" t="inlineStr">
        <is>
          <t xml:space="preserve">Mazda</t>
        </is>
      </c>
      <c r="F13257" s="0" t="inlineStr">
        <is>
          <t xml:space="preserve">Mazda</t>
        </is>
      </c>
      <c r="G13257" s="0" t="s">
        <v>171</v>
      </c>
      <c r="H13257" s="5">
        <v>668.934300</v>
      </c>
    </row>
    <row r="13258" spans="1:9">
      <c r="A13258" s="22" t="str">
        <f>HYPERLINK("https://app.vivvix.com/360/KMI/IntelliDrive/ApplUI/Pages/CreativePages/CustomReportCreativeDetail.aspx?App=23&amp;ReportView=4&amp;Qid=1711279&amp;Row=13250&amp;Col=1","No Title Assigned - #15273723925")</f>
        <v/>
      </c>
      <c r="B13258" s="0" t="s">
        <v>17796</v>
      </c>
      <c r="E13258" s="0" t="inlineStr">
        <is>
          <t xml:space="preserve">Mazda</t>
        </is>
      </c>
      <c r="F13258" s="0" t="inlineStr">
        <is>
          <t xml:space="preserve">Mazda</t>
        </is>
      </c>
      <c r="G13258" s="0" t="s">
        <v>171</v>
      </c>
      <c r="H13258" s="5">
        <v>118.698400</v>
      </c>
    </row>
    <row r="13259" spans="1:9">
      <c r="A13259" s="22" t="str">
        <f>HYPERLINK("https://app.vivvix.com/360/KMI/IntelliDrive/ApplUI/Pages/CreativePages/CustomReportCreativeDetail.aspx?App=23&amp;ReportView=4&amp;Qid=1711279&amp;Row=13251&amp;Col=1","No Title Assigned - #15273723925")</f>
        <v/>
      </c>
      <c r="B13259" s="0" t="s">
        <v>17796</v>
      </c>
      <c r="E13259" s="0" t="inlineStr">
        <is>
          <t xml:space="preserve">Mazda</t>
        </is>
      </c>
      <c r="F13259" s="0" t="inlineStr">
        <is>
          <t xml:space="preserve">Mazda</t>
        </is>
      </c>
      <c r="G13259" s="0" t="s">
        <v>171</v>
      </c>
      <c r="H13259" s="5">
        <v>3726.639400</v>
      </c>
    </row>
    <row r="13260" spans="1:9">
      <c r="A13260" s="22" t="str">
        <f>HYPERLINK("https://app.vivvix.com/360/KMI/IntelliDrive/ApplUI/Pages/CreativePages/CustomReportCreativeDetail.aspx?App=23&amp;ReportView=4&amp;Qid=1711279&amp;Row=13252&amp;Col=1","No Title Assigned - #15273723956")</f>
        <v/>
      </c>
      <c r="B13260" s="0" t="s">
        <v>17797</v>
      </c>
      <c r="E13260" s="0" t="inlineStr">
        <is>
          <t xml:space="preserve">Mazda</t>
        </is>
      </c>
      <c r="F13260" s="0" t="inlineStr">
        <is>
          <t xml:space="preserve">Mazda</t>
        </is>
      </c>
      <c r="G13260" s="0" t="s">
        <v>171</v>
      </c>
      <c r="H13260" s="5">
        <v>2685.173700</v>
      </c>
    </row>
    <row r="13261" spans="1:9">
      <c r="A13261" s="22" t="str">
        <f>HYPERLINK("https://app.vivvix.com/360/KMI/IntelliDrive/ApplUI/Pages/CreativePages/CustomReportCreativeDetail.aspx?App=23&amp;ReportView=4&amp;Qid=1711279&amp;Row=13253&amp;Col=1","No Title Assigned - #15273723995")</f>
        <v/>
      </c>
      <c r="B13261" s="0" t="s">
        <v>17798</v>
      </c>
      <c r="E13261" s="0" t="inlineStr">
        <is>
          <t xml:space="preserve">Mazda</t>
        </is>
      </c>
      <c r="F13261" s="0" t="inlineStr">
        <is>
          <t xml:space="preserve">Mazda</t>
        </is>
      </c>
      <c r="G13261" s="0" t="s">
        <v>171</v>
      </c>
      <c r="H13261" s="5">
        <v>34.979000</v>
      </c>
    </row>
    <row r="13262" spans="1:9">
      <c r="A13262" s="22" t="str">
        <f>HYPERLINK("https://app.vivvix.com/360/KMI/IntelliDrive/ApplUI/Pages/CreativePages/CustomReportCreativeDetail.aspx?App=23&amp;ReportView=4&amp;Qid=1711279&amp;Row=13254&amp;Col=1","No Title Assigned - #15273724092")</f>
        <v/>
      </c>
      <c r="B13262" s="0" t="s">
        <v>17799</v>
      </c>
      <c r="E13262" s="0" t="inlineStr">
        <is>
          <t xml:space="preserve">Mazda</t>
        </is>
      </c>
      <c r="F13262" s="0" t="inlineStr">
        <is>
          <t xml:space="preserve">Mazda</t>
        </is>
      </c>
      <c r="G13262" s="0" t="s">
        <v>171</v>
      </c>
      <c r="H13262" s="5">
        <v>25.502500</v>
      </c>
    </row>
    <row r="13263" spans="1:9">
      <c r="A13263" s="22" t="str">
        <f>HYPERLINK("https://app.vivvix.com/360/KMI/IntelliDrive/ApplUI/Pages/CreativePages/CustomReportCreativeDetail.aspx?App=23&amp;ReportView=4&amp;Qid=1711279&amp;Row=13255&amp;Col=1","No Title Assigned - #15273724120")</f>
        <v/>
      </c>
      <c r="B13263" s="0" t="s">
        <v>17800</v>
      </c>
      <c r="E13263" s="0" t="inlineStr">
        <is>
          <t xml:space="preserve">Mazda</t>
        </is>
      </c>
      <c r="F13263" s="0" t="inlineStr">
        <is>
          <t xml:space="preserve">Mazda</t>
        </is>
      </c>
      <c r="G13263" s="0" t="s">
        <v>171</v>
      </c>
      <c r="H13263" s="5">
        <v>268.548500</v>
      </c>
    </row>
    <row r="13264" spans="1:9">
      <c r="A13264" s="22" t="str">
        <f>HYPERLINK("https://app.vivvix.com/360/KMI/IntelliDrive/ApplUI/Pages/CreativePages/CustomReportCreativeDetail.aspx?App=23&amp;ReportView=4&amp;Qid=1711279&amp;Row=13256&amp;Col=1","No Title Assigned - #15273724129")</f>
        <v/>
      </c>
      <c r="B13264" s="0" t="s">
        <v>17801</v>
      </c>
      <c r="E13264" s="0" t="inlineStr">
        <is>
          <t xml:space="preserve">Mazda</t>
        </is>
      </c>
      <c r="F13264" s="0" t="inlineStr">
        <is>
          <t xml:space="preserve">Mazda</t>
        </is>
      </c>
      <c r="G13264" s="0" t="s">
        <v>171</v>
      </c>
      <c r="H13264" s="5">
        <v>19.296900</v>
      </c>
    </row>
    <row r="13265" spans="1:9">
      <c r="A13265" s="22" t="str">
        <f>HYPERLINK("https://app.vivvix.com/360/KMI/IntelliDrive/ApplUI/Pages/CreativePages/CustomReportCreativeDetail.aspx?App=23&amp;ReportView=4&amp;Qid=1711279&amp;Row=13257&amp;Col=1","No Title Assigned - #15273724616")</f>
        <v/>
      </c>
      <c r="B13265" s="0" t="s">
        <v>17802</v>
      </c>
      <c r="E13265" s="0" t="inlineStr">
        <is>
          <t xml:space="preserve">Mazda</t>
        </is>
      </c>
      <c r="F13265" s="0" t="inlineStr">
        <is>
          <t xml:space="preserve">Mazda</t>
        </is>
      </c>
      <c r="G13265" s="0" t="s">
        <v>171</v>
      </c>
      <c r="H13265" s="5">
        <v>62.544600</v>
      </c>
    </row>
    <row r="13266" spans="1:9">
      <c r="A13266" s="22" t="str">
        <f>HYPERLINK("https://app.vivvix.com/360/KMI/IntelliDrive/ApplUI/Pages/CreativePages/CustomReportCreativeDetail.aspx?App=23&amp;ReportView=4&amp;Qid=1711279&amp;Row=13258&amp;Col=1","No Title Assigned - #15273724713")</f>
        <v/>
      </c>
      <c r="B13266" s="0" t="s">
        <v>17803</v>
      </c>
      <c r="E13266" s="0" t="inlineStr">
        <is>
          <t xml:space="preserve">Mazda</t>
        </is>
      </c>
      <c r="F13266" s="0" t="inlineStr">
        <is>
          <t xml:space="preserve">Mazda</t>
        </is>
      </c>
      <c r="G13266" s="0" t="s">
        <v>171</v>
      </c>
      <c r="H13266" s="5">
        <v>30.668200</v>
      </c>
    </row>
    <row r="13267" spans="1:9">
      <c r="A13267" s="22" t="str">
        <f>HYPERLINK("https://app.vivvix.com/360/KMI/IntelliDrive/ApplUI/Pages/CreativePages/CustomReportCreativeDetail.aspx?App=23&amp;ReportView=4&amp;Qid=1711279&amp;Row=13259&amp;Col=1","No Title Assigned - #15273724821")</f>
        <v/>
      </c>
      <c r="B13267" s="0" t="s">
        <v>17804</v>
      </c>
      <c r="E13267" s="0" t="inlineStr">
        <is>
          <t xml:space="preserve">Mazda</t>
        </is>
      </c>
      <c r="F13267" s="0" t="inlineStr">
        <is>
          <t xml:space="preserve">Mazda</t>
        </is>
      </c>
      <c r="G13267" s="0" t="s">
        <v>171</v>
      </c>
      <c r="H13267" s="5">
        <v>165.348600</v>
      </c>
    </row>
    <row r="13268" spans="1:9">
      <c r="A13268" s="22" t="str">
        <f>HYPERLINK("https://app.vivvix.com/360/KMI/IntelliDrive/ApplUI/Pages/CreativePages/CustomReportCreativeDetail.aspx?App=23&amp;ReportView=4&amp;Qid=1711279&amp;Row=13260&amp;Col=1","No Title Assigned - #15273724857")</f>
        <v/>
      </c>
      <c r="B13268" s="0" t="s">
        <v>17805</v>
      </c>
      <c r="E13268" s="0" t="inlineStr">
        <is>
          <t xml:space="preserve">Mazda</t>
        </is>
      </c>
      <c r="F13268" s="0" t="inlineStr">
        <is>
          <t xml:space="preserve">Mazda</t>
        </is>
      </c>
      <c r="G13268" s="0" t="s">
        <v>171</v>
      </c>
      <c r="H13268" s="5">
        <v>132.465700</v>
      </c>
    </row>
    <row r="13269" spans="1:9">
      <c r="A13269" s="22" t="str">
        <f>HYPERLINK("https://app.vivvix.com/360/KMI/IntelliDrive/ApplUI/Pages/CreativePages/CustomReportCreativeDetail.aspx?App=23&amp;ReportView=4&amp;Qid=1711279&amp;Row=13261&amp;Col=1","No Title Assigned - #15273724940")</f>
        <v/>
      </c>
      <c r="B13269" s="0" t="s">
        <v>17806</v>
      </c>
      <c r="E13269" s="0" t="inlineStr">
        <is>
          <t xml:space="preserve">Mazda</t>
        </is>
      </c>
      <c r="F13269" s="0" t="inlineStr">
        <is>
          <t xml:space="preserve">Mazda</t>
        </is>
      </c>
      <c r="G13269" s="0" t="s">
        <v>171</v>
      </c>
      <c r="H13269" s="5">
        <v>188.228300</v>
      </c>
    </row>
    <row r="13270" spans="1:9">
      <c r="A13270" s="22" t="str">
        <f>HYPERLINK("https://app.vivvix.com/360/KMI/IntelliDrive/ApplUI/Pages/CreativePages/CustomReportCreativeDetail.aspx?App=23&amp;ReportView=4&amp;Qid=1711279&amp;Row=13262&amp;Col=1","No Title Assigned - #15273724974")</f>
        <v/>
      </c>
      <c r="B13270" s="0" t="s">
        <v>17807</v>
      </c>
      <c r="E13270" s="0" t="inlineStr">
        <is>
          <t xml:space="preserve">Mazda</t>
        </is>
      </c>
      <c r="F13270" s="0" t="inlineStr">
        <is>
          <t xml:space="preserve">Mazda</t>
        </is>
      </c>
      <c r="G13270" s="0" t="s">
        <v>171</v>
      </c>
      <c r="H13270" s="5">
        <v>262.152300</v>
      </c>
    </row>
    <row r="13271" spans="1:9">
      <c r="A13271" s="22" t="str">
        <f>HYPERLINK("https://app.vivvix.com/360/KMI/IntelliDrive/ApplUI/Pages/CreativePages/CustomReportCreativeDetail.aspx?App=23&amp;ReportView=4&amp;Qid=1711279&amp;Row=13263&amp;Col=1","No Title Assigned - #15273725066")</f>
        <v/>
      </c>
      <c r="B13271" s="0" t="s">
        <v>17808</v>
      </c>
      <c r="E13271" s="0" t="inlineStr">
        <is>
          <t xml:space="preserve">Mazda</t>
        </is>
      </c>
      <c r="F13271" s="0" t="inlineStr">
        <is>
          <t xml:space="preserve">Mazda</t>
        </is>
      </c>
      <c r="G13271" s="0" t="s">
        <v>171</v>
      </c>
      <c r="H13271" s="5">
        <v>35.703900</v>
      </c>
    </row>
    <row r="13272" spans="1:9">
      <c r="A13272" s="22" t="str">
        <f>HYPERLINK("https://app.vivvix.com/360/KMI/IntelliDrive/ApplUI/Pages/CreativePages/CustomReportCreativeDetail.aspx?App=23&amp;ReportView=4&amp;Qid=1711279&amp;Row=13264&amp;Col=1","No Title Assigned - #15273725210")</f>
        <v/>
      </c>
      <c r="B13272" s="0" t="s">
        <v>17809</v>
      </c>
      <c r="E13272" s="0" t="inlineStr">
        <is>
          <t xml:space="preserve">Mazda</t>
        </is>
      </c>
      <c r="F13272" s="0" t="inlineStr">
        <is>
          <t xml:space="preserve">Mazda</t>
        </is>
      </c>
      <c r="G13272" s="0" t="s">
        <v>171</v>
      </c>
      <c r="H13272" s="5">
        <v>1169.522000</v>
      </c>
    </row>
    <row r="13273" spans="1:9">
      <c r="A13273" s="22" t="str">
        <f>HYPERLINK("https://app.vivvix.com/360/KMI/IntelliDrive/ApplUI/Pages/CreativePages/CustomReportCreativeDetail.aspx?App=23&amp;ReportView=4&amp;Qid=1711279&amp;Row=13265&amp;Col=1","No Title Assigned - #15273725316")</f>
        <v/>
      </c>
      <c r="B13273" s="0" t="s">
        <v>17810</v>
      </c>
      <c r="E13273" s="0" t="inlineStr">
        <is>
          <t xml:space="preserve">Mazda</t>
        </is>
      </c>
      <c r="F13273" s="0" t="inlineStr">
        <is>
          <t xml:space="preserve">Mazda</t>
        </is>
      </c>
      <c r="G13273" s="0" t="s">
        <v>171</v>
      </c>
      <c r="H13273" s="5">
        <v>2059.866800</v>
      </c>
    </row>
    <row r="13274" spans="1:9">
      <c r="A13274" s="22" t="str">
        <f>HYPERLINK("https://app.vivvix.com/360/KMI/IntelliDrive/ApplUI/Pages/CreativePages/CustomReportCreativeDetail.aspx?App=23&amp;ReportView=4&amp;Qid=1711279&amp;Row=13266&amp;Col=1","No Title Assigned - #15273725359")</f>
        <v/>
      </c>
      <c r="B13274" s="0" t="s">
        <v>17811</v>
      </c>
      <c r="E13274" s="0" t="inlineStr">
        <is>
          <t xml:space="preserve">Mazda</t>
        </is>
      </c>
      <c r="F13274" s="0" t="inlineStr">
        <is>
          <t xml:space="preserve">Mazda</t>
        </is>
      </c>
      <c r="G13274" s="0" t="s">
        <v>171</v>
      </c>
      <c r="H13274" s="5">
        <v>31.151800</v>
      </c>
    </row>
    <row r="13275" spans="1:9">
      <c r="A13275" s="22" t="str">
        <f>HYPERLINK("https://app.vivvix.com/360/KMI/IntelliDrive/ApplUI/Pages/CreativePages/CustomReportCreativeDetail.aspx?App=23&amp;ReportView=4&amp;Qid=1711279&amp;Row=13267&amp;Col=1","No Title Assigned - #15273725364")</f>
        <v/>
      </c>
      <c r="B13275" s="0" t="s">
        <v>17812</v>
      </c>
      <c r="C13275" s="0" t="s">
        <v>17813</v>
      </c>
      <c r="D13275" s="0" t="s">
        <v>17813</v>
      </c>
      <c r="E13275" s="0" t="inlineStr">
        <is>
          <t xml:space="preserve">Mazda</t>
        </is>
      </c>
      <c r="F13275" s="0" t="inlineStr">
        <is>
          <t xml:space="preserve">Mazda</t>
        </is>
      </c>
      <c r="G13275" s="0" t="s">
        <v>171</v>
      </c>
      <c r="H13275" s="5">
        <v>34.173900</v>
      </c>
    </row>
    <row r="13276" spans="1:9">
      <c r="A13276" s="22" t="str">
        <f>HYPERLINK("https://app.vivvix.com/360/KMI/IntelliDrive/ApplUI/Pages/CreativePages/CustomReportCreativeDetail.aspx?App=23&amp;ReportView=4&amp;Qid=1711279&amp;Row=13268&amp;Col=1","No Title Assigned - #15273725500")</f>
        <v/>
      </c>
      <c r="B13276" s="0" t="s">
        <v>17814</v>
      </c>
      <c r="E13276" s="0" t="inlineStr">
        <is>
          <t xml:space="preserve">Mazda</t>
        </is>
      </c>
      <c r="F13276" s="0" t="inlineStr">
        <is>
          <t xml:space="preserve">Mazda</t>
        </is>
      </c>
      <c r="G13276" s="0" t="s">
        <v>171</v>
      </c>
      <c r="H13276" s="5">
        <v>95.461400</v>
      </c>
    </row>
    <row r="13277" spans="1:9">
      <c r="A13277" s="22" t="str">
        <f>HYPERLINK("https://app.vivvix.com/360/KMI/IntelliDrive/ApplUI/Pages/CreativePages/CustomReportCreativeDetail.aspx?App=23&amp;ReportView=4&amp;Qid=1711279&amp;Row=13269&amp;Col=1","No Title Assigned - #15273725869")</f>
        <v/>
      </c>
      <c r="B13277" s="0" t="s">
        <v>17815</v>
      </c>
      <c r="E13277" s="0" t="inlineStr">
        <is>
          <t xml:space="preserve">Mazda</t>
        </is>
      </c>
      <c r="F13277" s="0" t="inlineStr">
        <is>
          <t xml:space="preserve">Mazda</t>
        </is>
      </c>
      <c r="G13277" s="0" t="s">
        <v>171</v>
      </c>
      <c r="H13277" s="5">
        <v>91.381300</v>
      </c>
    </row>
    <row r="13278" spans="1:9">
      <c r="A13278" s="22" t="str">
        <f>HYPERLINK("https://app.vivvix.com/360/KMI/IntelliDrive/ApplUI/Pages/CreativePages/CustomReportCreativeDetail.aspx?App=23&amp;ReportView=4&amp;Qid=1711279&amp;Row=13270&amp;Col=1","No Title Assigned - #15273726029")</f>
        <v/>
      </c>
      <c r="B13278" s="0" t="s">
        <v>17816</v>
      </c>
      <c r="E13278" s="0" t="inlineStr">
        <is>
          <t xml:space="preserve">Mazda</t>
        </is>
      </c>
      <c r="F13278" s="0" t="inlineStr">
        <is>
          <t xml:space="preserve">Mazda</t>
        </is>
      </c>
      <c r="G13278" s="0" t="s">
        <v>171</v>
      </c>
      <c r="H13278" s="5">
        <v>6378.032700</v>
      </c>
    </row>
    <row r="13279" spans="1:9">
      <c r="A13279" s="22" t="str">
        <f>HYPERLINK("https://app.vivvix.com/360/KMI/IntelliDrive/ApplUI/Pages/CreativePages/CustomReportCreativeDetail.aspx?App=23&amp;ReportView=4&amp;Qid=1711279&amp;Row=13271&amp;Col=1","No Title Assigned - #15273726409")</f>
        <v/>
      </c>
      <c r="B13279" s="0" t="s">
        <v>17817</v>
      </c>
      <c r="E13279" s="0" t="inlineStr">
        <is>
          <t xml:space="preserve">Mazda</t>
        </is>
      </c>
      <c r="F13279" s="0" t="inlineStr">
        <is>
          <t xml:space="preserve">Mazda</t>
        </is>
      </c>
      <c r="G13279" s="0" t="s">
        <v>171</v>
      </c>
      <c r="H13279" s="5">
        <v>29.317800</v>
      </c>
    </row>
    <row r="13280" spans="1:9">
      <c r="A13280" s="22" t="str">
        <f>HYPERLINK("https://app.vivvix.com/360/KMI/IntelliDrive/ApplUI/Pages/CreativePages/CustomReportCreativeDetail.aspx?App=23&amp;ReportView=4&amp;Qid=1711279&amp;Row=13272&amp;Col=1","No Title Assigned - #15273726410")</f>
        <v/>
      </c>
      <c r="B13280" s="0" t="s">
        <v>17818</v>
      </c>
      <c r="E13280" s="0" t="inlineStr">
        <is>
          <t xml:space="preserve">Mazda</t>
        </is>
      </c>
      <c r="F13280" s="0" t="inlineStr">
        <is>
          <t xml:space="preserve">Mazda</t>
        </is>
      </c>
      <c r="G13280" s="0" t="s">
        <v>171</v>
      </c>
      <c r="H13280" s="5">
        <v>81.970700</v>
      </c>
    </row>
    <row r="13281" spans="1:9">
      <c r="A13281" s="22" t="str">
        <f>HYPERLINK("https://app.vivvix.com/360/KMI/IntelliDrive/ApplUI/Pages/CreativePages/CustomReportCreativeDetail.aspx?App=23&amp;ReportView=4&amp;Qid=1711279&amp;Row=13273&amp;Col=1","No Title Assigned - #15273727023")</f>
        <v/>
      </c>
      <c r="B13281" s="0" t="s">
        <v>17819</v>
      </c>
      <c r="E13281" s="0" t="inlineStr">
        <is>
          <t xml:space="preserve">Mazda</t>
        </is>
      </c>
      <c r="F13281" s="0" t="inlineStr">
        <is>
          <t xml:space="preserve">Mazda</t>
        </is>
      </c>
      <c r="G13281" s="0" t="s">
        <v>171</v>
      </c>
      <c r="H13281" s="5">
        <v>103.877500</v>
      </c>
    </row>
    <row r="13282" spans="1:9">
      <c r="A13282" s="22" t="str">
        <f>HYPERLINK("https://app.vivvix.com/360/KMI/IntelliDrive/ApplUI/Pages/CreativePages/CustomReportCreativeDetail.aspx?App=23&amp;ReportView=4&amp;Qid=1711279&amp;Row=13274&amp;Col=1","No Title Assigned - #15273727046")</f>
        <v/>
      </c>
      <c r="B13282" s="0" t="s">
        <v>17820</v>
      </c>
      <c r="E13282" s="0" t="inlineStr">
        <is>
          <t xml:space="preserve">Mazda</t>
        </is>
      </c>
      <c r="F13282" s="0" t="inlineStr">
        <is>
          <t xml:space="preserve">Mazda</t>
        </is>
      </c>
      <c r="G13282" s="0" t="s">
        <v>171</v>
      </c>
      <c r="H13282" s="5">
        <v>34.979000</v>
      </c>
    </row>
    <row r="13283" spans="1:9">
      <c r="A13283" s="22" t="str">
        <f>HYPERLINK("https://app.vivvix.com/360/KMI/IntelliDrive/ApplUI/Pages/CreativePages/CustomReportCreativeDetail.aspx?App=23&amp;ReportView=4&amp;Qid=1711279&amp;Row=13275&amp;Col=1","No Title Assigned - #15273727606")</f>
        <v/>
      </c>
      <c r="B13283" s="0" t="s">
        <v>17821</v>
      </c>
      <c r="E13283" s="0" t="inlineStr">
        <is>
          <t xml:space="preserve">Mazda</t>
        </is>
      </c>
      <c r="F13283" s="0" t="inlineStr">
        <is>
          <t xml:space="preserve">Mazda</t>
        </is>
      </c>
      <c r="G13283" s="0" t="s">
        <v>171</v>
      </c>
      <c r="H13283" s="5">
        <v>71.327700</v>
      </c>
    </row>
    <row r="13284" spans="1:9">
      <c r="A13284" s="22" t="str">
        <f>HYPERLINK("https://app.vivvix.com/360/KMI/IntelliDrive/ApplUI/Pages/CreativePages/CustomReportCreativeDetail.aspx?App=23&amp;ReportView=4&amp;Qid=1711279&amp;Row=13276&amp;Col=1","No Title Assigned - #15273727639")</f>
        <v/>
      </c>
      <c r="B13284" s="0" t="s">
        <v>17822</v>
      </c>
      <c r="C13284" s="0" t="s">
        <v>17823</v>
      </c>
      <c r="D13284" s="0" t="s">
        <v>17823</v>
      </c>
      <c r="E13284" s="0" t="inlineStr">
        <is>
          <t xml:space="preserve">Mazda</t>
        </is>
      </c>
      <c r="F13284" s="0" t="inlineStr">
        <is>
          <t xml:space="preserve">Mazda</t>
        </is>
      </c>
      <c r="G13284" s="0" t="s">
        <v>171</v>
      </c>
      <c r="H13284" s="5">
        <v>184.055800</v>
      </c>
    </row>
    <row r="13285" spans="1:9">
      <c r="A13285" s="22" t="str">
        <f>HYPERLINK("https://app.vivvix.com/360/KMI/IntelliDrive/ApplUI/Pages/CreativePages/CustomReportCreativeDetail.aspx?App=23&amp;ReportView=4&amp;Qid=1711279&amp;Row=13277&amp;Col=1","No Title Assigned - #15273727663")</f>
        <v/>
      </c>
      <c r="B13285" s="0" t="s">
        <v>17824</v>
      </c>
      <c r="E13285" s="0" t="inlineStr">
        <is>
          <t xml:space="preserve">Mazda</t>
        </is>
      </c>
      <c r="F13285" s="0" t="inlineStr">
        <is>
          <t xml:space="preserve">Mazda</t>
        </is>
      </c>
      <c r="G13285" s="0" t="s">
        <v>171</v>
      </c>
      <c r="H13285" s="5">
        <v>243.983100</v>
      </c>
    </row>
    <row r="13286" spans="1:9">
      <c r="A13286" s="22" t="str">
        <f>HYPERLINK("https://app.vivvix.com/360/KMI/IntelliDrive/ApplUI/Pages/CreativePages/CustomReportCreativeDetail.aspx?App=23&amp;ReportView=4&amp;Qid=1711279&amp;Row=13278&amp;Col=1","No Title Assigned - #15273728281")</f>
        <v/>
      </c>
      <c r="B13286" s="0" t="s">
        <v>17825</v>
      </c>
      <c r="E13286" s="0" t="inlineStr">
        <is>
          <t xml:space="preserve">Mazda</t>
        </is>
      </c>
      <c r="F13286" s="0" t="inlineStr">
        <is>
          <t xml:space="preserve">Mazda</t>
        </is>
      </c>
      <c r="G13286" s="0" t="s">
        <v>171</v>
      </c>
      <c r="H13286" s="5">
        <v>10.323700</v>
      </c>
    </row>
    <row r="13287" spans="1:9">
      <c r="A13287" s="22" t="str">
        <f>HYPERLINK("https://app.vivvix.com/360/KMI/IntelliDrive/ApplUI/Pages/CreativePages/CustomReportCreativeDetail.aspx?App=23&amp;ReportView=4&amp;Qid=1711279&amp;Row=13279&amp;Col=1","No Title Assigned - #15273728594")</f>
        <v/>
      </c>
      <c r="B13287" s="0" t="s">
        <v>17826</v>
      </c>
      <c r="E13287" s="0" t="inlineStr">
        <is>
          <t xml:space="preserve">Mazda</t>
        </is>
      </c>
      <c r="F13287" s="0" t="inlineStr">
        <is>
          <t xml:space="preserve">Mazda</t>
        </is>
      </c>
      <c r="G13287" s="0" t="s">
        <v>171</v>
      </c>
      <c r="H13287" s="5">
        <v>4187.635900</v>
      </c>
    </row>
    <row r="13288" spans="1:9">
      <c r="A13288" s="22" t="str">
        <f>HYPERLINK("https://app.vivvix.com/360/KMI/IntelliDrive/ApplUI/Pages/CreativePages/CustomReportCreativeDetail.aspx?App=23&amp;ReportView=4&amp;Qid=1711279&amp;Row=13280&amp;Col=1","No Title Assigned - #15273729144")</f>
        <v/>
      </c>
      <c r="B13288" s="0" t="s">
        <v>17827</v>
      </c>
      <c r="E13288" s="0" t="inlineStr">
        <is>
          <t xml:space="preserve">Mazda</t>
        </is>
      </c>
      <c r="F13288" s="0" t="inlineStr">
        <is>
          <t xml:space="preserve">Mazda</t>
        </is>
      </c>
      <c r="G13288" s="0" t="s">
        <v>171</v>
      </c>
      <c r="H13288" s="5">
        <v>28.599200</v>
      </c>
    </row>
    <row r="13289" spans="1:9">
      <c r="A13289" s="22" t="str">
        <f>HYPERLINK("https://app.vivvix.com/360/KMI/IntelliDrive/ApplUI/Pages/CreativePages/CustomReportCreativeDetail.aspx?App=23&amp;ReportView=4&amp;Qid=1711279&amp;Row=13281&amp;Col=1","No Title Assigned - #15273729637")</f>
        <v/>
      </c>
      <c r="B13289" s="0" t="s">
        <v>17828</v>
      </c>
      <c r="E13289" s="0" t="inlineStr">
        <is>
          <t xml:space="preserve">Mazda</t>
        </is>
      </c>
      <c r="F13289" s="0" t="inlineStr">
        <is>
          <t xml:space="preserve">Mazda</t>
        </is>
      </c>
      <c r="G13289" s="0" t="s">
        <v>171</v>
      </c>
      <c r="H13289" s="5">
        <v>230.918200</v>
      </c>
    </row>
    <row r="13290" spans="1:9">
      <c r="A13290" s="22" t="str">
        <f>HYPERLINK("https://app.vivvix.com/360/KMI/IntelliDrive/ApplUI/Pages/CreativePages/CustomReportCreativeDetail.aspx?App=23&amp;ReportView=4&amp;Qid=1711279&amp;Row=13282&amp;Col=1","No Title Assigned - #15273729995")</f>
        <v/>
      </c>
      <c r="B13290" s="0" t="s">
        <v>17829</v>
      </c>
      <c r="E13290" s="0" t="inlineStr">
        <is>
          <t xml:space="preserve">Mazda</t>
        </is>
      </c>
      <c r="F13290" s="0" t="inlineStr">
        <is>
          <t xml:space="preserve">Mazda</t>
        </is>
      </c>
      <c r="G13290" s="0" t="s">
        <v>171</v>
      </c>
      <c r="H13290" s="5">
        <v>177.236500</v>
      </c>
    </row>
    <row r="13291" spans="1:9">
      <c r="A13291" s="22" t="str">
        <f>HYPERLINK("https://app.vivvix.com/360/KMI/IntelliDrive/ApplUI/Pages/CreativePages/CustomReportCreativeDetail.aspx?App=23&amp;ReportView=4&amp;Qid=1711279&amp;Row=13283&amp;Col=1","No Title Assigned - #15273730019")</f>
        <v/>
      </c>
      <c r="B13291" s="0" t="s">
        <v>17830</v>
      </c>
      <c r="C13291" s="0" t="s">
        <v>17831</v>
      </c>
      <c r="D13291" s="0" t="s">
        <v>17831</v>
      </c>
      <c r="E13291" s="0" t="inlineStr">
        <is>
          <t xml:space="preserve">Mazda</t>
        </is>
      </c>
      <c r="F13291" s="0" t="inlineStr">
        <is>
          <t xml:space="preserve">Mazda</t>
        </is>
      </c>
      <c r="G13291" s="0" t="s">
        <v>171</v>
      </c>
      <c r="H13291" s="5">
        <v>240.408600</v>
      </c>
    </row>
    <row r="13292" spans="1:9">
      <c r="A13292" s="22" t="str">
        <f>HYPERLINK("https://app.vivvix.com/360/KMI/IntelliDrive/ApplUI/Pages/CreativePages/CustomReportCreativeDetail.aspx?App=23&amp;ReportView=4&amp;Qid=1711279&amp;Row=13284&amp;Col=1","No Title Assigned - #15273730180")</f>
        <v/>
      </c>
      <c r="B13292" s="0" t="s">
        <v>17832</v>
      </c>
      <c r="E13292" s="0" t="inlineStr">
        <is>
          <t xml:space="preserve">Mazda</t>
        </is>
      </c>
      <c r="F13292" s="0" t="inlineStr">
        <is>
          <t xml:space="preserve">Mazda</t>
        </is>
      </c>
      <c r="G13292" s="0" t="s">
        <v>171</v>
      </c>
      <c r="H13292" s="5">
        <v>47.615900</v>
      </c>
    </row>
    <row r="13293" spans="1:9">
      <c r="A13293" s="22" t="str">
        <f>HYPERLINK("https://app.vivvix.com/360/KMI/IntelliDrive/ApplUI/Pages/CreativePages/CustomReportCreativeDetail.aspx?App=23&amp;ReportView=4&amp;Qid=1711279&amp;Row=13285&amp;Col=1","No Title Assigned - #15273731492")</f>
        <v/>
      </c>
      <c r="B13293" s="0" t="s">
        <v>17833</v>
      </c>
      <c r="E13293" s="0" t="inlineStr">
        <is>
          <t xml:space="preserve">Mazda</t>
        </is>
      </c>
      <c r="F13293" s="0" t="inlineStr">
        <is>
          <t xml:space="preserve">Mazda</t>
        </is>
      </c>
      <c r="G13293" s="0" t="s">
        <v>171</v>
      </c>
      <c r="H13293" s="5">
        <v>388.462400</v>
      </c>
    </row>
    <row r="13294" spans="1:9">
      <c r="A13294" s="22" t="str">
        <f>HYPERLINK("https://app.vivvix.com/360/KMI/IntelliDrive/ApplUI/Pages/CreativePages/CustomReportCreativeDetail.aspx?App=23&amp;ReportView=4&amp;Qid=1711279&amp;Row=13286&amp;Col=1","No Title Assigned - #15273731950")</f>
        <v/>
      </c>
      <c r="B13294" s="0" t="s">
        <v>17834</v>
      </c>
      <c r="E13294" s="0" t="inlineStr">
        <is>
          <t xml:space="preserve">Mazda</t>
        </is>
      </c>
      <c r="F13294" s="0" t="inlineStr">
        <is>
          <t xml:space="preserve">Mazda</t>
        </is>
      </c>
      <c r="G13294" s="0" t="s">
        <v>171</v>
      </c>
      <c r="H13294" s="5">
        <v>878.467600</v>
      </c>
    </row>
    <row r="13295" spans="1:9">
      <c r="A13295" s="22" t="str">
        <f>HYPERLINK("https://app.vivvix.com/360/KMI/IntelliDrive/ApplUI/Pages/CreativePages/CustomReportCreativeDetail.aspx?App=23&amp;ReportView=4&amp;Qid=1711279&amp;Row=13287&amp;Col=1","No Title Assigned - #15273732179")</f>
        <v/>
      </c>
      <c r="B13295" s="0" t="s">
        <v>17835</v>
      </c>
      <c r="E13295" s="0" t="inlineStr">
        <is>
          <t xml:space="preserve">Mazda</t>
        </is>
      </c>
      <c r="F13295" s="0" t="inlineStr">
        <is>
          <t xml:space="preserve">Mazda</t>
        </is>
      </c>
      <c r="G13295" s="0" t="s">
        <v>171</v>
      </c>
      <c r="H13295" s="5">
        <v>23.724900</v>
      </c>
    </row>
    <row r="13296" spans="1:9">
      <c r="A13296" s="22" t="str">
        <f>HYPERLINK("https://app.vivvix.com/360/KMI/IntelliDrive/ApplUI/Pages/CreativePages/CustomReportCreativeDetail.aspx?App=23&amp;ReportView=4&amp;Qid=1711279&amp;Row=13288&amp;Col=1","No Title Assigned - #15273732741")</f>
        <v/>
      </c>
      <c r="B13296" s="0" t="s">
        <v>17836</v>
      </c>
      <c r="E13296" s="0" t="inlineStr">
        <is>
          <t xml:space="preserve">Mazda</t>
        </is>
      </c>
      <c r="F13296" s="0" t="inlineStr">
        <is>
          <t xml:space="preserve">Mazda</t>
        </is>
      </c>
      <c r="G13296" s="0" t="s">
        <v>171</v>
      </c>
      <c r="H13296" s="5">
        <v>63.701400</v>
      </c>
    </row>
    <row r="13297" spans="1:9">
      <c r="A13297" s="22" t="str">
        <f>HYPERLINK("https://app.vivvix.com/360/KMI/IntelliDrive/ApplUI/Pages/CreativePages/CustomReportCreativeDetail.aspx?App=23&amp;ReportView=4&amp;Qid=1711279&amp;Row=13289&amp;Col=1","No Title Assigned - #15273732931")</f>
        <v/>
      </c>
      <c r="B13297" s="0" t="s">
        <v>17837</v>
      </c>
      <c r="E13297" s="0" t="inlineStr">
        <is>
          <t xml:space="preserve">Mazda</t>
        </is>
      </c>
      <c r="F13297" s="0" t="inlineStr">
        <is>
          <t xml:space="preserve">Mazda</t>
        </is>
      </c>
      <c r="G13297" s="0" t="s">
        <v>171</v>
      </c>
      <c r="H13297" s="5">
        <v>120.498700</v>
      </c>
    </row>
    <row r="13298" spans="1:9">
      <c r="A13298" s="22" t="str">
        <f>HYPERLINK("https://app.vivvix.com/360/KMI/IntelliDrive/ApplUI/Pages/CreativePages/CustomReportCreativeDetail.aspx?App=23&amp;ReportView=4&amp;Qid=1711279&amp;Row=13290&amp;Col=1","No Title Assigned - #15273735063")</f>
        <v/>
      </c>
      <c r="B13298" s="0" t="s">
        <v>17838</v>
      </c>
      <c r="E13298" s="0" t="inlineStr">
        <is>
          <t xml:space="preserve">Mazda</t>
        </is>
      </c>
      <c r="F13298" s="0" t="inlineStr">
        <is>
          <t xml:space="preserve">Mazda</t>
        </is>
      </c>
      <c r="G13298" s="0" t="s">
        <v>171</v>
      </c>
      <c r="H13298" s="5">
        <v>223.253800</v>
      </c>
    </row>
    <row r="13299" spans="1:9">
      <c r="A13299" s="22" t="str">
        <f>HYPERLINK("https://app.vivvix.com/360/KMI/IntelliDrive/ApplUI/Pages/CreativePages/CustomReportCreativeDetail.aspx?App=23&amp;ReportView=4&amp;Qid=1711279&amp;Row=13291&amp;Col=1","No Title Assigned - #15273735872")</f>
        <v/>
      </c>
      <c r="B13299" s="0" t="s">
        <v>17839</v>
      </c>
      <c r="E13299" s="0" t="inlineStr">
        <is>
          <t xml:space="preserve">Mazda</t>
        </is>
      </c>
      <c r="F13299" s="0" t="inlineStr">
        <is>
          <t xml:space="preserve">Mazda</t>
        </is>
      </c>
      <c r="G13299" s="0" t="s">
        <v>171</v>
      </c>
      <c r="H13299" s="5">
        <v>666.158600</v>
      </c>
    </row>
    <row r="13300" spans="1:9">
      <c r="A13300" s="22" t="str">
        <f>HYPERLINK("https://app.vivvix.com/360/KMI/IntelliDrive/ApplUI/Pages/CreativePages/CustomReportCreativeDetail.aspx?App=23&amp;ReportView=4&amp;Qid=1711279&amp;Row=13292&amp;Col=1","No Title Assigned - #15273736845")</f>
        <v/>
      </c>
      <c r="B13300" s="0" t="s">
        <v>17840</v>
      </c>
      <c r="E13300" s="0" t="inlineStr">
        <is>
          <t xml:space="preserve">Mazda</t>
        </is>
      </c>
      <c r="F13300" s="0" t="inlineStr">
        <is>
          <t xml:space="preserve">Mazda</t>
        </is>
      </c>
      <c r="G13300" s="0" t="s">
        <v>171</v>
      </c>
      <c r="H13300" s="5">
        <v>22.713400</v>
      </c>
    </row>
    <row r="13301" spans="1:9">
      <c r="A13301" s="22" t="str">
        <f>HYPERLINK("https://app.vivvix.com/360/KMI/IntelliDrive/ApplUI/Pages/CreativePages/CustomReportCreativeDetail.aspx?App=23&amp;ReportView=4&amp;Qid=1711279&amp;Row=13293&amp;Col=1","No Title Assigned - #15273736901")</f>
        <v/>
      </c>
      <c r="B13301" s="0" t="s">
        <v>17841</v>
      </c>
      <c r="E13301" s="0" t="inlineStr">
        <is>
          <t xml:space="preserve">Mazda</t>
        </is>
      </c>
      <c r="F13301" s="0" t="inlineStr">
        <is>
          <t xml:space="preserve">Mazda</t>
        </is>
      </c>
      <c r="G13301" s="0" t="s">
        <v>171</v>
      </c>
      <c r="H13301" s="5">
        <v>242.504900</v>
      </c>
    </row>
    <row r="13302" spans="1:9">
      <c r="A13302" s="22" t="str">
        <f>HYPERLINK("https://app.vivvix.com/360/KMI/IntelliDrive/ApplUI/Pages/CreativePages/CustomReportCreativeDetail.aspx?App=23&amp;ReportView=4&amp;Qid=1711279&amp;Row=13294&amp;Col=1","No Title Assigned - #15273737014")</f>
        <v/>
      </c>
      <c r="B13302" s="0" t="s">
        <v>17842</v>
      </c>
      <c r="E13302" s="0" t="inlineStr">
        <is>
          <t xml:space="preserve">Mazda</t>
        </is>
      </c>
      <c r="F13302" s="0" t="inlineStr">
        <is>
          <t xml:space="preserve">Mazda</t>
        </is>
      </c>
      <c r="G13302" s="0" t="s">
        <v>171</v>
      </c>
      <c r="H13302" s="5">
        <v>59.538300</v>
      </c>
    </row>
    <row r="13303" spans="1:9">
      <c r="A13303" s="22" t="str">
        <f>HYPERLINK("https://app.vivvix.com/360/KMI/IntelliDrive/ApplUI/Pages/CreativePages/CustomReportCreativeDetail.aspx?App=23&amp;ReportView=4&amp;Qid=1711279&amp;Row=13295&amp;Col=1","No Title Assigned - #15273737354")</f>
        <v/>
      </c>
      <c r="B13303" s="0" t="s">
        <v>17843</v>
      </c>
      <c r="E13303" s="0" t="inlineStr">
        <is>
          <t xml:space="preserve">Mazda</t>
        </is>
      </c>
      <c r="F13303" s="0" t="inlineStr">
        <is>
          <t xml:space="preserve">Mazda</t>
        </is>
      </c>
      <c r="G13303" s="0" t="s">
        <v>171</v>
      </c>
      <c r="H13303" s="5">
        <v>1756.926600</v>
      </c>
    </row>
    <row r="13304" spans="1:9">
      <c r="A13304" s="22" t="str">
        <f>HYPERLINK("https://app.vivvix.com/360/KMI/IntelliDrive/ApplUI/Pages/CreativePages/CustomReportCreativeDetail.aspx?App=23&amp;ReportView=4&amp;Qid=1711279&amp;Row=13296&amp;Col=1","No Title Assigned - #15273737354")</f>
        <v/>
      </c>
      <c r="B13304" s="0" t="s">
        <v>17843</v>
      </c>
      <c r="E13304" s="0" t="inlineStr">
        <is>
          <t xml:space="preserve">Mazda</t>
        </is>
      </c>
      <c r="F13304" s="0" t="inlineStr">
        <is>
          <t xml:space="preserve">Mazda</t>
        </is>
      </c>
      <c r="G13304" s="0" t="s">
        <v>171</v>
      </c>
      <c r="H13304" s="5">
        <v>169063.171900</v>
      </c>
    </row>
    <row r="13305" spans="1:9">
      <c r="A13305" s="22" t="str">
        <f>HYPERLINK("https://app.vivvix.com/360/KMI/IntelliDrive/ApplUI/Pages/CreativePages/CustomReportCreativeDetail.aspx?App=23&amp;ReportView=4&amp;Qid=1711279&amp;Row=13297&amp;Col=1","No Title Assigned - #15273738203")</f>
        <v/>
      </c>
      <c r="B13305" s="0" t="s">
        <v>17844</v>
      </c>
      <c r="E13305" s="0" t="inlineStr">
        <is>
          <t xml:space="preserve">Mazda</t>
        </is>
      </c>
      <c r="F13305" s="0" t="inlineStr">
        <is>
          <t xml:space="preserve">Mazda</t>
        </is>
      </c>
      <c r="G13305" s="0" t="s">
        <v>171</v>
      </c>
      <c r="H13305" s="5">
        <v>7417.118600</v>
      </c>
    </row>
    <row r="13306" spans="1:9">
      <c r="A13306" s="22" t="str">
        <f>HYPERLINK("https://app.vivvix.com/360/KMI/IntelliDrive/ApplUI/Pages/CreativePages/CustomReportCreativeDetail.aspx?App=23&amp;ReportView=4&amp;Qid=1711279&amp;Row=13298&amp;Col=1","No Title Assigned - #15273738723")</f>
        <v/>
      </c>
      <c r="B13306" s="0" t="s">
        <v>17845</v>
      </c>
      <c r="E13306" s="0" t="inlineStr">
        <is>
          <t xml:space="preserve">Mazda</t>
        </is>
      </c>
      <c r="F13306" s="0" t="inlineStr">
        <is>
          <t xml:space="preserve">Mazda</t>
        </is>
      </c>
      <c r="G13306" s="0" t="s">
        <v>171</v>
      </c>
      <c r="H13306" s="5">
        <v>248.692900</v>
      </c>
    </row>
    <row r="13307" spans="1:9">
      <c r="A13307" s="22" t="str">
        <f>HYPERLINK("https://app.vivvix.com/360/KMI/IntelliDrive/ApplUI/Pages/CreativePages/CustomReportCreativeDetail.aspx?App=23&amp;ReportView=4&amp;Qid=1711279&amp;Row=13299&amp;Col=1","No Title Assigned - #15273738723")</f>
        <v/>
      </c>
      <c r="B13307" s="0" t="s">
        <v>17845</v>
      </c>
      <c r="E13307" s="0" t="inlineStr">
        <is>
          <t xml:space="preserve">Mazda</t>
        </is>
      </c>
      <c r="F13307" s="0" t="inlineStr">
        <is>
          <t xml:space="preserve">Mazda</t>
        </is>
      </c>
      <c r="G13307" s="0" t="s">
        <v>171</v>
      </c>
      <c r="H13307" s="5">
        <v>34.643900</v>
      </c>
    </row>
    <row r="13308" spans="1:9">
      <c r="A13308" s="22" t="str">
        <f>HYPERLINK("https://app.vivvix.com/360/KMI/IntelliDrive/ApplUI/Pages/CreativePages/CustomReportCreativeDetail.aspx?App=23&amp;ReportView=4&amp;Qid=1711279&amp;Row=13300&amp;Col=1","No Title Assigned - #15273745394")</f>
        <v/>
      </c>
      <c r="B13308" s="0" t="s">
        <v>17846</v>
      </c>
      <c r="E13308" s="0" t="inlineStr">
        <is>
          <t xml:space="preserve">Mazda</t>
        </is>
      </c>
      <c r="F13308" s="0" t="inlineStr">
        <is>
          <t xml:space="preserve">Mazda</t>
        </is>
      </c>
      <c r="G13308" s="0" t="s">
        <v>171</v>
      </c>
      <c r="H13308" s="5">
        <v>316.050100</v>
      </c>
    </row>
    <row r="13309" spans="1:9">
      <c r="A13309" s="22" t="str">
        <f>HYPERLINK("https://app.vivvix.com/360/KMI/IntelliDrive/ApplUI/Pages/CreativePages/CustomReportCreativeDetail.aspx?App=23&amp;ReportView=4&amp;Qid=1711279&amp;Row=13301&amp;Col=1","No Title Assigned - #15273747026")</f>
        <v/>
      </c>
      <c r="B13309" s="0" t="s">
        <v>17847</v>
      </c>
      <c r="E13309" s="0" t="inlineStr">
        <is>
          <t xml:space="preserve">Mazda</t>
        </is>
      </c>
      <c r="F13309" s="0" t="inlineStr">
        <is>
          <t xml:space="preserve">Mazda</t>
        </is>
      </c>
      <c r="G13309" s="0" t="s">
        <v>171</v>
      </c>
      <c r="H13309" s="5">
        <v>25.959100</v>
      </c>
    </row>
    <row r="13310" spans="1:9">
      <c r="A13310" s="22" t="str">
        <f>HYPERLINK("https://app.vivvix.com/360/KMI/IntelliDrive/ApplUI/Pages/CreativePages/CustomReportCreativeDetail.aspx?App=23&amp;ReportView=4&amp;Qid=1711279&amp;Row=13302&amp;Col=1","No Title Assigned - #15273767226")</f>
        <v/>
      </c>
      <c r="B13310" s="0" t="s">
        <v>17848</v>
      </c>
      <c r="C13310" s="0" t="s">
        <v>17849</v>
      </c>
      <c r="D13310" s="0" t="s">
        <v>17849</v>
      </c>
      <c r="E13310" s="0" t="inlineStr">
        <is>
          <t xml:space="preserve">Mazda</t>
        </is>
      </c>
      <c r="F13310" s="0" t="s">
        <v>13</v>
      </c>
      <c r="G13310" s="0" t="s">
        <v>49</v>
      </c>
      <c r="H13310" s="5">
        <v>787.683600</v>
      </c>
    </row>
    <row r="13311" spans="1:9">
      <c r="A13311" s="22" t="str">
        <f>HYPERLINK("https://app.vivvix.com/360/KMI/IntelliDrive/ApplUI/Pages/CreativePages/CustomReportCreativeDetail.aspx?App=23&amp;ReportView=4&amp;Qid=1711279&amp;Row=13303&amp;Col=1","No Title Assigned - #15273768932")</f>
        <v/>
      </c>
      <c r="B13311" s="0" t="s">
        <v>17850</v>
      </c>
      <c r="C13311" s="0" t="s">
        <v>17851</v>
      </c>
      <c r="D13311" s="0" t="s">
        <v>17851</v>
      </c>
      <c r="E13311" s="0" t="inlineStr">
        <is>
          <t xml:space="preserve">Mazda</t>
        </is>
      </c>
      <c r="F13311" s="0" t="s">
        <v>13</v>
      </c>
      <c r="G13311" s="0" t="s">
        <v>49</v>
      </c>
      <c r="H13311" s="5">
        <v>94.117000</v>
      </c>
    </row>
    <row r="13312" spans="1:9">
      <c r="A13312" s="22" t="str">
        <f>HYPERLINK("https://app.vivvix.com/360/KMI/IntelliDrive/ApplUI/Pages/CreativePages/CustomReportCreativeDetail.aspx?App=23&amp;ReportView=4&amp;Qid=1711279&amp;Row=13304&amp;Col=1","No Title Assigned - #15273772067")</f>
        <v/>
      </c>
      <c r="B13312" s="0" t="s">
        <v>17852</v>
      </c>
      <c r="C13312" s="0" t="s">
        <v>17853</v>
      </c>
      <c r="D13312" s="0" t="s">
        <v>4418</v>
      </c>
      <c r="E13312" s="0" t="inlineStr">
        <is>
          <t xml:space="preserve">Mazda</t>
        </is>
      </c>
      <c r="F13312" s="0" t="s">
        <v>28</v>
      </c>
      <c r="G13312" s="0" t="s">
        <v>29</v>
      </c>
      <c r="H13312" s="5">
        <v>10.128500</v>
      </c>
    </row>
    <row r="13313" spans="1:9">
      <c r="A13313" s="22" t="str">
        <f>HYPERLINK("https://app.vivvix.com/360/KMI/IntelliDrive/ApplUI/Pages/CreativePages/CustomReportCreativeDetail.aspx?App=23&amp;ReportView=4&amp;Qid=1711279&amp;Row=13305&amp;Col=1","No Title Assigned - #15273775267")</f>
        <v/>
      </c>
      <c r="B13313" s="0" t="s">
        <v>17854</v>
      </c>
      <c r="C13313" s="0" t="s">
        <v>17855</v>
      </c>
      <c r="D13313" s="0" t="s">
        <v>17856</v>
      </c>
      <c r="E13313" s="0" t="inlineStr">
        <is>
          <t xml:space="preserve">Mazda</t>
        </is>
      </c>
      <c r="F13313" s="0" t="s">
        <v>13</v>
      </c>
      <c r="G13313" s="0" t="s">
        <v>49</v>
      </c>
      <c r="H13313" s="5">
        <v>609.141500</v>
      </c>
    </row>
    <row r="13314" spans="1:9">
      <c r="A13314" s="22" t="str">
        <f>HYPERLINK("https://app.vivvix.com/360/KMI/IntelliDrive/ApplUI/Pages/CreativePages/CustomReportCreativeDetail.aspx?App=23&amp;ReportView=4&amp;Qid=1711279&amp;Row=13306&amp;Col=1","No Title Assigned - #15273777835")</f>
        <v/>
      </c>
      <c r="B13314" s="0" t="s">
        <v>17857</v>
      </c>
      <c r="C13314" s="0" t="s">
        <v>17858</v>
      </c>
      <c r="D13314" s="0" t="s">
        <v>17858</v>
      </c>
      <c r="E13314" s="0" t="inlineStr">
        <is>
          <t xml:space="preserve">Mazda</t>
        </is>
      </c>
      <c r="F13314" s="0" t="s">
        <v>28</v>
      </c>
      <c r="G13314" s="0" t="s">
        <v>29</v>
      </c>
      <c r="H13314" s="5">
        <v>441.767800</v>
      </c>
    </row>
    <row r="13315" spans="1:9">
      <c r="A13315" s="22" t="str">
        <f>HYPERLINK("https://app.vivvix.com/360/KMI/IntelliDrive/ApplUI/Pages/CreativePages/CustomReportCreativeDetail.aspx?App=23&amp;ReportView=4&amp;Qid=1711279&amp;Row=13307&amp;Col=1","No Title Assigned - #15273780589")</f>
        <v/>
      </c>
      <c r="B13315" s="0" t="s">
        <v>17859</v>
      </c>
      <c r="E13315" s="0" t="inlineStr">
        <is>
          <t xml:space="preserve">Mazda</t>
        </is>
      </c>
      <c r="F13315" s="0" t="inlineStr">
        <is>
          <t xml:space="preserve">Mazda</t>
        </is>
      </c>
      <c r="G13315" s="0" t="s">
        <v>171</v>
      </c>
      <c r="H13315" s="5">
        <v>780.273900</v>
      </c>
    </row>
    <row r="13316" spans="1:9">
      <c r="A13316" s="22" t="str">
        <f>HYPERLINK("https://app.vivvix.com/360/KMI/IntelliDrive/ApplUI/Pages/CreativePages/CustomReportCreativeDetail.aspx?App=23&amp;ReportView=4&amp;Qid=1711279&amp;Row=13308&amp;Col=1","No Title Assigned - #15273781172")</f>
        <v/>
      </c>
      <c r="B13316" s="0" t="s">
        <v>17860</v>
      </c>
      <c r="C13316" s="0" t="s">
        <v>17861</v>
      </c>
      <c r="D13316" s="0" t="s">
        <v>16549</v>
      </c>
      <c r="E13316" s="0" t="inlineStr">
        <is>
          <t xml:space="preserve">Mazda</t>
        </is>
      </c>
      <c r="F13316" s="0" t="s">
        <v>28</v>
      </c>
      <c r="G13316" s="0" t="s">
        <v>29</v>
      </c>
      <c r="H13316" s="5">
        <v>480.514100</v>
      </c>
    </row>
    <row r="13317" spans="1:9">
      <c r="A13317" s="22" t="str">
        <f>HYPERLINK("https://app.vivvix.com/360/KMI/IntelliDrive/ApplUI/Pages/CreativePages/CustomReportCreativeDetail.aspx?App=23&amp;ReportView=4&amp;Qid=1711279&amp;Row=13309&amp;Col=1","No Title Assigned - #15273781571")</f>
        <v/>
      </c>
      <c r="B13317" s="0" t="s">
        <v>17862</v>
      </c>
      <c r="C13317" s="0" t="s">
        <v>17863</v>
      </c>
      <c r="D13317" s="0" t="s">
        <v>17863</v>
      </c>
      <c r="E13317" s="0" t="inlineStr">
        <is>
          <t xml:space="preserve">Mazda</t>
        </is>
      </c>
      <c r="F13317" s="0" t="s">
        <v>13</v>
      </c>
      <c r="G13317" s="0" t="s">
        <v>49</v>
      </c>
      <c r="H13317" s="5">
        <v>65.636400</v>
      </c>
    </row>
    <row r="13318" spans="1:9">
      <c r="A13318" s="22" t="str">
        <f>HYPERLINK("https://app.vivvix.com/360/KMI/IntelliDrive/ApplUI/Pages/CreativePages/CustomReportCreativeDetail.aspx?App=23&amp;ReportView=4&amp;Qid=1711279&amp;Row=13310&amp;Col=1","No Title Assigned - #15273781572")</f>
        <v/>
      </c>
      <c r="B13318" s="0" t="s">
        <v>17864</v>
      </c>
      <c r="C13318" s="0" t="s">
        <v>17865</v>
      </c>
      <c r="D13318" s="0" t="s">
        <v>17865</v>
      </c>
      <c r="E13318" s="0" t="inlineStr">
        <is>
          <t xml:space="preserve">Mazda</t>
        </is>
      </c>
      <c r="F13318" s="0" t="s">
        <v>13</v>
      </c>
      <c r="G13318" s="0" t="s">
        <v>49</v>
      </c>
      <c r="H13318" s="5">
        <v>944.136400</v>
      </c>
    </row>
    <row r="13319" spans="1:9">
      <c r="A13319" s="22" t="str">
        <f>HYPERLINK("https://app.vivvix.com/360/KMI/IntelliDrive/ApplUI/Pages/CreativePages/CustomReportCreativeDetail.aspx?App=23&amp;ReportView=4&amp;Qid=1711279&amp;Row=13311&amp;Col=1","No Title Assigned - #15273781572")</f>
        <v/>
      </c>
      <c r="B13319" s="0" t="s">
        <v>17864</v>
      </c>
      <c r="C13319" s="0" t="s">
        <v>17866</v>
      </c>
      <c r="D13319" s="0" t="s">
        <v>17866</v>
      </c>
      <c r="E13319" s="0" t="inlineStr">
        <is>
          <t xml:space="preserve">Mazda</t>
        </is>
      </c>
      <c r="F13319" s="0" t="s">
        <v>13</v>
      </c>
      <c r="G13319" s="0" t="s">
        <v>49</v>
      </c>
      <c r="H13319" s="5">
        <v>65.636400</v>
      </c>
    </row>
    <row r="13320" spans="1:9">
      <c r="A13320" s="22" t="str">
        <f>HYPERLINK("https://app.vivvix.com/360/KMI/IntelliDrive/ApplUI/Pages/CreativePages/CustomReportCreativeDetail.aspx?App=23&amp;ReportView=4&amp;Qid=1711279&amp;Row=13312&amp;Col=1","No Title Assigned - #15273783546")</f>
        <v/>
      </c>
      <c r="B13320" s="0" t="s">
        <v>17867</v>
      </c>
      <c r="E13320" s="0" t="inlineStr">
        <is>
          <t xml:space="preserve">Mazda</t>
        </is>
      </c>
      <c r="F13320" s="0" t="inlineStr">
        <is>
          <t xml:space="preserve">Mazda</t>
        </is>
      </c>
      <c r="G13320" s="0" t="s">
        <v>171</v>
      </c>
      <c r="H13320" s="5">
        <v>47.967600</v>
      </c>
    </row>
    <row r="13321" spans="1:9">
      <c r="A13321" s="22" t="str">
        <f>HYPERLINK("https://app.vivvix.com/360/KMI/IntelliDrive/ApplUI/Pages/CreativePages/CustomReportCreativeDetail.aspx?App=23&amp;ReportView=4&amp;Qid=1711279&amp;Row=13313&amp;Col=1","No Title Assigned - #15273783961")</f>
        <v/>
      </c>
      <c r="B13321" s="0" t="s">
        <v>17868</v>
      </c>
      <c r="E13321" s="0" t="inlineStr">
        <is>
          <t xml:space="preserve">Mazda</t>
        </is>
      </c>
      <c r="F13321" s="0" t="inlineStr">
        <is>
          <t xml:space="preserve">Mazda</t>
        </is>
      </c>
      <c r="G13321" s="0" t="s">
        <v>171</v>
      </c>
      <c r="H13321" s="5">
        <v>485.394000</v>
      </c>
    </row>
    <row r="13322" spans="1:9">
      <c r="A13322" s="22" t="str">
        <f>HYPERLINK("https://app.vivvix.com/360/KMI/IntelliDrive/ApplUI/Pages/CreativePages/CustomReportCreativeDetail.aspx?App=23&amp;ReportView=4&amp;Qid=1711279&amp;Row=13314&amp;Col=1","No Title Assigned - #15273784184")</f>
        <v/>
      </c>
      <c r="B13322" s="0" t="s">
        <v>17869</v>
      </c>
      <c r="E13322" s="0" t="inlineStr">
        <is>
          <t xml:space="preserve">Mazda</t>
        </is>
      </c>
      <c r="F13322" s="0" t="inlineStr">
        <is>
          <t xml:space="preserve">Mazda</t>
        </is>
      </c>
      <c r="G13322" s="0" t="s">
        <v>171</v>
      </c>
      <c r="H13322" s="5">
        <v>64.207400</v>
      </c>
    </row>
    <row r="13323" spans="1:9">
      <c r="A13323" s="22" t="str">
        <f>HYPERLINK("https://app.vivvix.com/360/KMI/IntelliDrive/ApplUI/Pages/CreativePages/CustomReportCreativeDetail.aspx?App=23&amp;ReportView=4&amp;Qid=1711279&amp;Row=13315&amp;Col=1","No Title Assigned - #15273785450")</f>
        <v/>
      </c>
      <c r="B13323" s="0" t="s">
        <v>17870</v>
      </c>
      <c r="E13323" s="0" t="inlineStr">
        <is>
          <t xml:space="preserve">Mazda</t>
        </is>
      </c>
      <c r="F13323" s="0" t="inlineStr">
        <is>
          <t xml:space="preserve">Mazda</t>
        </is>
      </c>
      <c r="G13323" s="0" t="s">
        <v>171</v>
      </c>
      <c r="H13323" s="5">
        <v>175.584700</v>
      </c>
    </row>
    <row r="13324" spans="1:9">
      <c r="A13324" s="22" t="str">
        <f>HYPERLINK("https://app.vivvix.com/360/KMI/IntelliDrive/ApplUI/Pages/CreativePages/CustomReportCreativeDetail.aspx?App=23&amp;ReportView=4&amp;Qid=1711279&amp;Row=13316&amp;Col=1","No Title Assigned - #15273786038")</f>
        <v/>
      </c>
      <c r="B13324" s="0" t="s">
        <v>17871</v>
      </c>
      <c r="E13324" s="0" t="inlineStr">
        <is>
          <t xml:space="preserve">Mazda</t>
        </is>
      </c>
      <c r="F13324" s="0" t="inlineStr">
        <is>
          <t xml:space="preserve">Mazda</t>
        </is>
      </c>
      <c r="G13324" s="0" t="s">
        <v>171</v>
      </c>
      <c r="H13324" s="5">
        <v>325.350600</v>
      </c>
    </row>
    <row r="13325" spans="1:9">
      <c r="A13325" s="22" t="str">
        <f>HYPERLINK("https://app.vivvix.com/360/KMI/IntelliDrive/ApplUI/Pages/CreativePages/CustomReportCreativeDetail.aspx?App=23&amp;ReportView=4&amp;Qid=1711279&amp;Row=13317&amp;Col=1","No Title Assigned - #15273786600")</f>
        <v/>
      </c>
      <c r="B13325" s="0" t="s">
        <v>17872</v>
      </c>
      <c r="E13325" s="0" t="inlineStr">
        <is>
          <t xml:space="preserve">Mazda</t>
        </is>
      </c>
      <c r="F13325" s="0" t="inlineStr">
        <is>
          <t xml:space="preserve">Mazda</t>
        </is>
      </c>
      <c r="G13325" s="0" t="s">
        <v>171</v>
      </c>
      <c r="H13325" s="5">
        <v>493.395500</v>
      </c>
    </row>
    <row r="13326" spans="1:9">
      <c r="A13326" s="22" t="str">
        <f>HYPERLINK("https://app.vivvix.com/360/KMI/IntelliDrive/ApplUI/Pages/CreativePages/CustomReportCreativeDetail.aspx?App=23&amp;ReportView=4&amp;Qid=1711279&amp;Row=13318&amp;Col=1","No Title Assigned - #15273787369")</f>
        <v/>
      </c>
      <c r="B13326" s="0" t="s">
        <v>17873</v>
      </c>
      <c r="E13326" s="0" t="inlineStr">
        <is>
          <t xml:space="preserve">Mazda</t>
        </is>
      </c>
      <c r="F13326" s="0" t="inlineStr">
        <is>
          <t xml:space="preserve">Mazda</t>
        </is>
      </c>
      <c r="G13326" s="0" t="s">
        <v>171</v>
      </c>
      <c r="H13326" s="5">
        <v>28637.798200</v>
      </c>
    </row>
    <row r="13327" spans="1:9">
      <c r="A13327" s="22" t="str">
        <f>HYPERLINK("https://app.vivvix.com/360/KMI/IntelliDrive/ApplUI/Pages/CreativePages/CustomReportCreativeDetail.aspx?App=23&amp;ReportView=4&amp;Qid=1711279&amp;Row=13319&amp;Col=1","No Title Assigned - #15273787369")</f>
        <v/>
      </c>
      <c r="B13327" s="0" t="s">
        <v>17873</v>
      </c>
      <c r="E13327" s="0" t="inlineStr">
        <is>
          <t xml:space="preserve">Mazda</t>
        </is>
      </c>
      <c r="F13327" s="0" t="inlineStr">
        <is>
          <t xml:space="preserve">Mazda</t>
        </is>
      </c>
      <c r="G13327" s="0" t="s">
        <v>171</v>
      </c>
      <c r="H13327" s="5">
        <v>14525.233400</v>
      </c>
    </row>
    <row r="13328" spans="1:9">
      <c r="A13328" s="22" t="str">
        <f>HYPERLINK("https://app.vivvix.com/360/KMI/IntelliDrive/ApplUI/Pages/CreativePages/CustomReportCreativeDetail.aspx?App=23&amp;ReportView=4&amp;Qid=1711279&amp;Row=13320&amp;Col=1","No Title Assigned - #15273788565")</f>
        <v/>
      </c>
      <c r="B13328" s="0" t="s">
        <v>17874</v>
      </c>
      <c r="E13328" s="0" t="inlineStr">
        <is>
          <t xml:space="preserve">Mazda</t>
        </is>
      </c>
      <c r="F13328" s="0" t="inlineStr">
        <is>
          <t xml:space="preserve">Mazda</t>
        </is>
      </c>
      <c r="G13328" s="0" t="s">
        <v>171</v>
      </c>
      <c r="H13328" s="5">
        <v>224.342000</v>
      </c>
    </row>
    <row r="13329" spans="1:9">
      <c r="A13329" s="22" t="str">
        <f>HYPERLINK("https://app.vivvix.com/360/KMI/IntelliDrive/ApplUI/Pages/CreativePages/CustomReportCreativeDetail.aspx?App=23&amp;ReportView=4&amp;Qid=1711279&amp;Row=13321&amp;Col=1","No Title Assigned - #15273788870")</f>
        <v/>
      </c>
      <c r="B13329" s="0" t="s">
        <v>17875</v>
      </c>
      <c r="E13329" s="0" t="inlineStr">
        <is>
          <t xml:space="preserve">Mazda</t>
        </is>
      </c>
      <c r="F13329" s="0" t="inlineStr">
        <is>
          <t xml:space="preserve">Mazda</t>
        </is>
      </c>
      <c r="G13329" s="0" t="s">
        <v>171</v>
      </c>
      <c r="H13329" s="5">
        <v>169.497800</v>
      </c>
    </row>
    <row r="13330" spans="1:9">
      <c r="A13330" s="22" t="str">
        <f>HYPERLINK("https://app.vivvix.com/360/KMI/IntelliDrive/ApplUI/Pages/CreativePages/CustomReportCreativeDetail.aspx?App=23&amp;ReportView=4&amp;Qid=1711279&amp;Row=13322&amp;Col=1","No Title Assigned - #15273789223")</f>
        <v/>
      </c>
      <c r="B13330" s="0" t="s">
        <v>17876</v>
      </c>
      <c r="E13330" s="0" t="inlineStr">
        <is>
          <t xml:space="preserve">Mazda</t>
        </is>
      </c>
      <c r="F13330" s="0" t="inlineStr">
        <is>
          <t xml:space="preserve">Mazda</t>
        </is>
      </c>
      <c r="G13330" s="0" t="s">
        <v>171</v>
      </c>
      <c r="H13330" s="5">
        <v>796.165800</v>
      </c>
    </row>
    <row r="13331" spans="1:9">
      <c r="A13331" s="22" t="str">
        <f>HYPERLINK("https://app.vivvix.com/360/KMI/IntelliDrive/ApplUI/Pages/CreativePages/CustomReportCreativeDetail.aspx?App=23&amp;ReportView=4&amp;Qid=1711279&amp;Row=13323&amp;Col=1","No Title Assigned - #15273790642")</f>
        <v/>
      </c>
      <c r="B13331" s="0" t="s">
        <v>17877</v>
      </c>
      <c r="C13331" s="0" t="s">
        <v>17878</v>
      </c>
      <c r="D13331" s="0" t="s">
        <v>4232</v>
      </c>
      <c r="E13331" s="0" t="inlineStr">
        <is>
          <t xml:space="preserve">Mazda</t>
        </is>
      </c>
      <c r="F13331" s="0" t="s">
        <v>28</v>
      </c>
      <c r="G13331" s="0" t="s">
        <v>29</v>
      </c>
      <c r="H13331" s="5">
        <v>832.367500</v>
      </c>
    </row>
    <row r="13332" spans="1:9">
      <c r="A13332" s="22" t="str">
        <f>HYPERLINK("https://app.vivvix.com/360/KMI/IntelliDrive/ApplUI/Pages/CreativePages/CustomReportCreativeDetail.aspx?App=23&amp;ReportView=4&amp;Qid=1711279&amp;Row=13324&amp;Col=1","No Title Assigned - #15273791472")</f>
        <v/>
      </c>
      <c r="B13332" s="0" t="s">
        <v>17879</v>
      </c>
      <c r="E13332" s="0" t="inlineStr">
        <is>
          <t xml:space="preserve">Mazda</t>
        </is>
      </c>
      <c r="F13332" s="0" t="inlineStr">
        <is>
          <t xml:space="preserve">Mazda</t>
        </is>
      </c>
      <c r="G13332" s="0" t="s">
        <v>171</v>
      </c>
      <c r="H13332" s="5">
        <v>433.699100</v>
      </c>
    </row>
    <row r="13333" spans="1:9">
      <c r="A13333" s="22" t="str">
        <f>HYPERLINK("https://app.vivvix.com/360/KMI/IntelliDrive/ApplUI/Pages/CreativePages/CustomReportCreativeDetail.aspx?App=23&amp;ReportView=4&amp;Qid=1711279&amp;Row=13325&amp;Col=1","No Title Assigned - #15273791578")</f>
        <v/>
      </c>
      <c r="B13333" s="0" t="s">
        <v>17880</v>
      </c>
      <c r="E13333" s="0" t="inlineStr">
        <is>
          <t xml:space="preserve">Mazda</t>
        </is>
      </c>
      <c r="F13333" s="0" t="inlineStr">
        <is>
          <t xml:space="preserve">Mazda</t>
        </is>
      </c>
      <c r="G13333" s="0" t="s">
        <v>171</v>
      </c>
      <c r="H13333" s="5">
        <v>175.905700</v>
      </c>
    </row>
    <row r="13334" spans="1:9">
      <c r="A13334" s="22" t="str">
        <f>HYPERLINK("https://app.vivvix.com/360/KMI/IntelliDrive/ApplUI/Pages/CreativePages/CustomReportCreativeDetail.aspx?App=23&amp;ReportView=4&amp;Qid=1711279&amp;Row=13326&amp;Col=1","No Title Assigned - #15273791629")</f>
        <v/>
      </c>
      <c r="B13334" s="0" t="s">
        <v>17881</v>
      </c>
      <c r="E13334" s="0" t="inlineStr">
        <is>
          <t xml:space="preserve">Mazda</t>
        </is>
      </c>
      <c r="F13334" s="0" t="inlineStr">
        <is>
          <t xml:space="preserve">Mazda</t>
        </is>
      </c>
      <c r="G13334" s="0" t="s">
        <v>171</v>
      </c>
      <c r="H13334" s="5">
        <v>124.957000</v>
      </c>
    </row>
    <row r="13335" spans="1:9">
      <c r="A13335" s="22" t="str">
        <f>HYPERLINK("https://app.vivvix.com/360/KMI/IntelliDrive/ApplUI/Pages/CreativePages/CustomReportCreativeDetail.aspx?App=23&amp;ReportView=4&amp;Qid=1711279&amp;Row=13327&amp;Col=1","No Title Assigned - #15273792009")</f>
        <v/>
      </c>
      <c r="B13335" s="0" t="s">
        <v>17882</v>
      </c>
      <c r="E13335" s="0" t="inlineStr">
        <is>
          <t xml:space="preserve">Mazda</t>
        </is>
      </c>
      <c r="F13335" s="0" t="inlineStr">
        <is>
          <t xml:space="preserve">Mazda</t>
        </is>
      </c>
      <c r="G13335" s="0" t="s">
        <v>171</v>
      </c>
      <c r="H13335" s="5">
        <v>26.831900</v>
      </c>
    </row>
    <row r="13336" spans="1:9">
      <c r="A13336" s="22" t="str">
        <f>HYPERLINK("https://app.vivvix.com/360/KMI/IntelliDrive/ApplUI/Pages/CreativePages/CustomReportCreativeDetail.aspx?App=23&amp;ReportView=4&amp;Qid=1711279&amp;Row=13328&amp;Col=1","No Title Assigned - #15273792907")</f>
        <v/>
      </c>
      <c r="B13336" s="0" t="s">
        <v>17883</v>
      </c>
      <c r="C13336" s="0" t="s">
        <v>17884</v>
      </c>
      <c r="D13336" s="0" t="s">
        <v>17884</v>
      </c>
      <c r="E13336" s="0" t="inlineStr">
        <is>
          <t xml:space="preserve">Mazda</t>
        </is>
      </c>
      <c r="F13336" s="0" t="inlineStr">
        <is>
          <t xml:space="preserve">Mazda</t>
        </is>
      </c>
      <c r="G13336" s="0" t="s">
        <v>171</v>
      </c>
      <c r="H13336" s="5">
        <v>696.752800</v>
      </c>
    </row>
    <row r="13337" spans="1:9">
      <c r="A13337" s="22" t="str">
        <f>HYPERLINK("https://app.vivvix.com/360/KMI/IntelliDrive/ApplUI/Pages/CreativePages/CustomReportCreativeDetail.aspx?App=23&amp;ReportView=4&amp;Qid=1711279&amp;Row=13329&amp;Col=1","No Title Assigned - #15273792922")</f>
        <v/>
      </c>
      <c r="B13337" s="0" t="s">
        <v>17885</v>
      </c>
      <c r="E13337" s="0" t="inlineStr">
        <is>
          <t xml:space="preserve">Mazda</t>
        </is>
      </c>
      <c r="F13337" s="0" t="inlineStr">
        <is>
          <t xml:space="preserve">Mazda</t>
        </is>
      </c>
      <c r="G13337" s="0" t="s">
        <v>171</v>
      </c>
      <c r="H13337" s="5">
        <v>2266.782600</v>
      </c>
    </row>
    <row r="13338" spans="1:9">
      <c r="A13338" s="22" t="str">
        <f>HYPERLINK("https://app.vivvix.com/360/KMI/IntelliDrive/ApplUI/Pages/CreativePages/CustomReportCreativeDetail.aspx?App=23&amp;ReportView=4&amp;Qid=1711279&amp;Row=13330&amp;Col=1","No Title Assigned - #15273794698")</f>
        <v/>
      </c>
      <c r="B13338" s="0" t="s">
        <v>17886</v>
      </c>
      <c r="E13338" s="0" t="inlineStr">
        <is>
          <t xml:space="preserve">Mazda</t>
        </is>
      </c>
      <c r="F13338" s="0" t="inlineStr">
        <is>
          <t xml:space="preserve">Mazda</t>
        </is>
      </c>
      <c r="G13338" s="0" t="s">
        <v>171</v>
      </c>
      <c r="H13338" s="5">
        <v>10399.269600</v>
      </c>
    </row>
    <row r="13339" spans="1:9">
      <c r="A13339" s="22" t="str">
        <f>HYPERLINK("https://app.vivvix.com/360/KMI/IntelliDrive/ApplUI/Pages/CreativePages/CustomReportCreativeDetail.aspx?App=23&amp;ReportView=4&amp;Qid=1711279&amp;Row=13331&amp;Col=1","No Title Assigned - #15273794698")</f>
        <v/>
      </c>
      <c r="B13339" s="0" t="s">
        <v>17886</v>
      </c>
      <c r="E13339" s="0" t="inlineStr">
        <is>
          <t xml:space="preserve">Mazda</t>
        </is>
      </c>
      <c r="F13339" s="0" t="inlineStr">
        <is>
          <t xml:space="preserve">Mazda</t>
        </is>
      </c>
      <c r="G13339" s="0" t="s">
        <v>171</v>
      </c>
      <c r="H13339" s="5">
        <v>30114.780800</v>
      </c>
    </row>
    <row r="13340" spans="1:9">
      <c r="A13340" s="22" t="str">
        <f>HYPERLINK("https://app.vivvix.com/360/KMI/IntelliDrive/ApplUI/Pages/CreativePages/CustomReportCreativeDetail.aspx?App=23&amp;ReportView=4&amp;Qid=1711279&amp;Row=13332&amp;Col=1","No Title Assigned - #15273794880")</f>
        <v/>
      </c>
      <c r="B13340" s="0" t="s">
        <v>17887</v>
      </c>
      <c r="C13340" s="0" t="s">
        <v>17888</v>
      </c>
      <c r="D13340" s="0" t="s">
        <v>10772</v>
      </c>
      <c r="E13340" s="0" t="inlineStr">
        <is>
          <t xml:space="preserve">Mazda</t>
        </is>
      </c>
      <c r="F13340" s="0" t="s">
        <v>28</v>
      </c>
      <c r="G13340" s="0" t="s">
        <v>29</v>
      </c>
      <c r="H13340" s="5">
        <v>22968.994500</v>
      </c>
    </row>
    <row r="13341" spans="1:9">
      <c r="A13341" s="22" t="str">
        <f>HYPERLINK("https://app.vivvix.com/360/KMI/IntelliDrive/ApplUI/Pages/CreativePages/CustomReportCreativeDetail.aspx?App=23&amp;ReportView=4&amp;Qid=1711279&amp;Row=13333&amp;Col=1","No Title Assigned - #15273794881")</f>
        <v/>
      </c>
      <c r="B13341" s="0" t="s">
        <v>17889</v>
      </c>
      <c r="E13341" s="0" t="inlineStr">
        <is>
          <t xml:space="preserve">Mazda</t>
        </is>
      </c>
      <c r="F13341" s="0" t="s">
        <v>28</v>
      </c>
      <c r="G13341" s="0" t="s">
        <v>29</v>
      </c>
      <c r="H13341" s="5">
        <v>862.665000</v>
      </c>
    </row>
    <row r="13342" spans="1:9">
      <c r="A13342" s="22" t="str">
        <f>HYPERLINK("https://app.vivvix.com/360/KMI/IntelliDrive/ApplUI/Pages/CreativePages/CustomReportCreativeDetail.aspx?App=23&amp;ReportView=4&amp;Qid=1711279&amp;Row=13334&amp;Col=1","No Title Assigned - #15273794911")</f>
        <v/>
      </c>
      <c r="B13342" s="0" t="s">
        <v>17890</v>
      </c>
      <c r="E13342" s="0" t="inlineStr">
        <is>
          <t xml:space="preserve">Mazda</t>
        </is>
      </c>
      <c r="F13342" s="0" t="inlineStr">
        <is>
          <t xml:space="preserve">Mazda</t>
        </is>
      </c>
      <c r="G13342" s="0" t="s">
        <v>171</v>
      </c>
      <c r="H13342" s="5">
        <v>405.248400</v>
      </c>
    </row>
    <row r="13343" spans="1:9">
      <c r="A13343" s="22" t="str">
        <f>HYPERLINK("https://app.vivvix.com/360/KMI/IntelliDrive/ApplUI/Pages/CreativePages/CustomReportCreativeDetail.aspx?App=23&amp;ReportView=4&amp;Qid=1711279&amp;Row=13335&amp;Col=1","No Title Assigned - #15273795581")</f>
        <v/>
      </c>
      <c r="B13343" s="0" t="s">
        <v>17891</v>
      </c>
      <c r="E13343" s="0" t="inlineStr">
        <is>
          <t xml:space="preserve">Mazda</t>
        </is>
      </c>
      <c r="F13343" s="0" t="inlineStr">
        <is>
          <t xml:space="preserve">Mazda</t>
        </is>
      </c>
      <c r="G13343" s="0" t="s">
        <v>171</v>
      </c>
      <c r="H13343" s="5">
        <v>30.364000</v>
      </c>
    </row>
    <row r="13344" spans="1:9">
      <c r="A13344" s="22" t="str">
        <f>HYPERLINK("https://app.vivvix.com/360/KMI/IntelliDrive/ApplUI/Pages/CreativePages/CustomReportCreativeDetail.aspx?App=23&amp;ReportView=4&amp;Qid=1711279&amp;Row=13336&amp;Col=1","No Title Assigned - #15273795756")</f>
        <v/>
      </c>
      <c r="B13344" s="0" t="s">
        <v>17892</v>
      </c>
      <c r="E13344" s="0" t="inlineStr">
        <is>
          <t xml:space="preserve">Mazda</t>
        </is>
      </c>
      <c r="F13344" s="0" t="inlineStr">
        <is>
          <t xml:space="preserve">Mazda</t>
        </is>
      </c>
      <c r="G13344" s="0" t="s">
        <v>171</v>
      </c>
      <c r="H13344" s="5">
        <v>661.909100</v>
      </c>
    </row>
    <row r="13345" spans="1:9">
      <c r="A13345" s="22" t="str">
        <f>HYPERLINK("https://app.vivvix.com/360/KMI/IntelliDrive/ApplUI/Pages/CreativePages/CustomReportCreativeDetail.aspx?App=23&amp;ReportView=4&amp;Qid=1711279&amp;Row=13337&amp;Col=1","No Title Assigned - #15273795810")</f>
        <v/>
      </c>
      <c r="B13345" s="0" t="s">
        <v>17893</v>
      </c>
      <c r="E13345" s="0" t="inlineStr">
        <is>
          <t xml:space="preserve">Mazda</t>
        </is>
      </c>
      <c r="F13345" s="0" t="inlineStr">
        <is>
          <t xml:space="preserve">Mazda</t>
        </is>
      </c>
      <c r="G13345" s="0" t="s">
        <v>171</v>
      </c>
      <c r="H13345" s="5">
        <v>198.136000</v>
      </c>
    </row>
    <row r="13346" spans="1:9">
      <c r="A13346" s="22" t="str">
        <f>HYPERLINK("https://app.vivvix.com/360/KMI/IntelliDrive/ApplUI/Pages/CreativePages/CustomReportCreativeDetail.aspx?App=23&amp;ReportView=4&amp;Qid=1711279&amp;Row=13338&amp;Col=1","No Title Assigned - #15273796181")</f>
        <v/>
      </c>
      <c r="B13346" s="0" t="s">
        <v>17894</v>
      </c>
      <c r="E13346" s="0" t="inlineStr">
        <is>
          <t xml:space="preserve">Mazda</t>
        </is>
      </c>
      <c r="F13346" s="0" t="inlineStr">
        <is>
          <t xml:space="preserve">Mazda</t>
        </is>
      </c>
      <c r="G13346" s="0" t="s">
        <v>171</v>
      </c>
      <c r="H13346" s="5">
        <v>15.851700</v>
      </c>
    </row>
    <row r="13347" spans="1:9">
      <c r="A13347" s="22" t="str">
        <f>HYPERLINK("https://app.vivvix.com/360/KMI/IntelliDrive/ApplUI/Pages/CreativePages/CustomReportCreativeDetail.aspx?App=23&amp;ReportView=4&amp;Qid=1711279&amp;Row=13339&amp;Col=1","No Title Assigned - #15273796869")</f>
        <v/>
      </c>
      <c r="B13347" s="0" t="s">
        <v>17895</v>
      </c>
      <c r="E13347" s="0" t="inlineStr">
        <is>
          <t xml:space="preserve">Mazda</t>
        </is>
      </c>
      <c r="F13347" s="0" t="inlineStr">
        <is>
          <t xml:space="preserve">Mazda</t>
        </is>
      </c>
      <c r="G13347" s="0" t="s">
        <v>171</v>
      </c>
      <c r="H13347" s="5">
        <v>1170.939900</v>
      </c>
    </row>
    <row r="13348" spans="1:9">
      <c r="A13348" s="22" t="str">
        <f>HYPERLINK("https://app.vivvix.com/360/KMI/IntelliDrive/ApplUI/Pages/CreativePages/CustomReportCreativeDetail.aspx?App=23&amp;ReportView=4&amp;Qid=1711279&amp;Row=13340&amp;Col=1","No Title Assigned - #15273797933")</f>
        <v/>
      </c>
      <c r="B13348" s="0" t="s">
        <v>17896</v>
      </c>
      <c r="E13348" s="0" t="inlineStr">
        <is>
          <t xml:space="preserve">Mazda</t>
        </is>
      </c>
      <c r="F13348" s="0" t="inlineStr">
        <is>
          <t xml:space="preserve">Mazda</t>
        </is>
      </c>
      <c r="G13348" s="0" t="s">
        <v>171</v>
      </c>
      <c r="H13348" s="5">
        <v>269.571600</v>
      </c>
    </row>
    <row r="13349" spans="1:9">
      <c r="A13349" s="22" t="str">
        <f>HYPERLINK("https://app.vivvix.com/360/KMI/IntelliDrive/ApplUI/Pages/CreativePages/CustomReportCreativeDetail.aspx?App=23&amp;ReportView=4&amp;Qid=1711279&amp;Row=13341&amp;Col=1","No Title Assigned - #15273798326")</f>
        <v/>
      </c>
      <c r="B13349" s="0" t="s">
        <v>17897</v>
      </c>
      <c r="C13349" s="0" t="s">
        <v>17898</v>
      </c>
      <c r="D13349" s="0" t="s">
        <v>17898</v>
      </c>
      <c r="E13349" s="0" t="inlineStr">
        <is>
          <t xml:space="preserve">Mazda</t>
        </is>
      </c>
      <c r="F13349" s="0" t="inlineStr">
        <is>
          <t xml:space="preserve">Mazda</t>
        </is>
      </c>
      <c r="G13349" s="0" t="s">
        <v>171</v>
      </c>
      <c r="H13349" s="5">
        <v>7722.759200</v>
      </c>
    </row>
    <row r="13350" spans="1:9">
      <c r="A13350" s="22" t="str">
        <f>HYPERLINK("https://app.vivvix.com/360/KMI/IntelliDrive/ApplUI/Pages/CreativePages/CustomReportCreativeDetail.aspx?App=23&amp;ReportView=4&amp;Qid=1711279&amp;Row=13342&amp;Col=1","No Title Assigned - #15273798499")</f>
        <v/>
      </c>
      <c r="B13350" s="0" t="s">
        <v>17899</v>
      </c>
      <c r="E13350" s="0" t="inlineStr">
        <is>
          <t xml:space="preserve">Mazda</t>
        </is>
      </c>
      <c r="F13350" s="0" t="inlineStr">
        <is>
          <t xml:space="preserve">Mazda</t>
        </is>
      </c>
      <c r="G13350" s="0" t="s">
        <v>171</v>
      </c>
      <c r="H13350" s="5">
        <v>651.326600</v>
      </c>
    </row>
    <row r="13351" spans="1:9">
      <c r="A13351" s="22" t="str">
        <f>HYPERLINK("https://app.vivvix.com/360/KMI/IntelliDrive/ApplUI/Pages/CreativePages/CustomReportCreativeDetail.aspx?App=23&amp;ReportView=4&amp;Qid=1711279&amp;Row=13343&amp;Col=1","No Title Assigned - #15273798667")</f>
        <v/>
      </c>
      <c r="B13351" s="0" t="s">
        <v>17900</v>
      </c>
      <c r="E13351" s="0" t="inlineStr">
        <is>
          <t xml:space="preserve">Mazda</t>
        </is>
      </c>
      <c r="F13351" s="0" t="inlineStr">
        <is>
          <t xml:space="preserve">Mazda</t>
        </is>
      </c>
      <c r="G13351" s="0" t="s">
        <v>171</v>
      </c>
      <c r="H13351" s="5">
        <v>134.785800</v>
      </c>
    </row>
    <row r="13352" spans="1:9">
      <c r="A13352" s="22" t="str">
        <f>HYPERLINK("https://app.vivvix.com/360/KMI/IntelliDrive/ApplUI/Pages/CreativePages/CustomReportCreativeDetail.aspx?App=23&amp;ReportView=4&amp;Qid=1711279&amp;Row=13344&amp;Col=1","No Title Assigned - #15273798758")</f>
        <v/>
      </c>
      <c r="B13352" s="0" t="s">
        <v>17901</v>
      </c>
      <c r="E13352" s="0" t="inlineStr">
        <is>
          <t xml:space="preserve">Mazda</t>
        </is>
      </c>
      <c r="F13352" s="0" t="inlineStr">
        <is>
          <t xml:space="preserve">Mazda</t>
        </is>
      </c>
      <c r="G13352" s="0" t="s">
        <v>171</v>
      </c>
      <c r="H13352" s="5">
        <v>257.395200</v>
      </c>
    </row>
    <row r="13353" spans="1:9">
      <c r="A13353" s="22" t="str">
        <f>HYPERLINK("https://app.vivvix.com/360/KMI/IntelliDrive/ApplUI/Pages/CreativePages/CustomReportCreativeDetail.aspx?App=23&amp;ReportView=4&amp;Qid=1711279&amp;Row=13345&amp;Col=1","No Title Assigned - #15273799236")</f>
        <v/>
      </c>
      <c r="B13353" s="0" t="s">
        <v>17902</v>
      </c>
      <c r="E13353" s="0" t="inlineStr">
        <is>
          <t xml:space="preserve">Mazda</t>
        </is>
      </c>
      <c r="F13353" s="0" t="inlineStr">
        <is>
          <t xml:space="preserve">Mazda</t>
        </is>
      </c>
      <c r="G13353" s="0" t="s">
        <v>171</v>
      </c>
      <c r="H13353" s="5">
        <v>853.499000</v>
      </c>
    </row>
    <row r="13354" spans="1:9">
      <c r="A13354" s="22" t="str">
        <f>HYPERLINK("https://app.vivvix.com/360/KMI/IntelliDrive/ApplUI/Pages/CreativePages/CustomReportCreativeDetail.aspx?App=23&amp;ReportView=4&amp;Qid=1711279&amp;Row=13346&amp;Col=1","No Title Assigned - #15273799682")</f>
        <v/>
      </c>
      <c r="B13354" s="0" t="s">
        <v>17903</v>
      </c>
      <c r="E13354" s="0" t="inlineStr">
        <is>
          <t xml:space="preserve">Mazda</t>
        </is>
      </c>
      <c r="F13354" s="0" t="inlineStr">
        <is>
          <t xml:space="preserve">Mazda</t>
        </is>
      </c>
      <c r="G13354" s="0" t="s">
        <v>171</v>
      </c>
      <c r="H13354" s="5">
        <v>158.428200</v>
      </c>
    </row>
    <row r="13355" spans="1:9">
      <c r="A13355" s="22" t="str">
        <f>HYPERLINK("https://app.vivvix.com/360/KMI/IntelliDrive/ApplUI/Pages/CreativePages/CustomReportCreativeDetail.aspx?App=23&amp;ReportView=4&amp;Qid=1711279&amp;Row=13347&amp;Col=1","No Title Assigned - #15273800026")</f>
        <v/>
      </c>
      <c r="B13355" s="0" t="s">
        <v>17904</v>
      </c>
      <c r="C13355" s="0" t="s">
        <v>17905</v>
      </c>
      <c r="D13355" s="0" t="s">
        <v>17905</v>
      </c>
      <c r="E13355" s="0" t="inlineStr">
        <is>
          <t xml:space="preserve">Mazda</t>
        </is>
      </c>
      <c r="F13355" s="0" t="inlineStr">
        <is>
          <t xml:space="preserve">Mazda</t>
        </is>
      </c>
      <c r="G13355" s="0" t="s">
        <v>171</v>
      </c>
      <c r="H13355" s="5">
        <v>9339.275100</v>
      </c>
    </row>
    <row r="13356" spans="1:9">
      <c r="A13356" s="22" t="str">
        <f>HYPERLINK("https://app.vivvix.com/360/KMI/IntelliDrive/ApplUI/Pages/CreativePages/CustomReportCreativeDetail.aspx?App=23&amp;ReportView=4&amp;Qid=1711279&amp;Row=13348&amp;Col=1","No Title Assigned - #15273800254")</f>
        <v/>
      </c>
      <c r="B13356" s="0" t="s">
        <v>17906</v>
      </c>
      <c r="E13356" s="0" t="inlineStr">
        <is>
          <t xml:space="preserve">Mazda</t>
        </is>
      </c>
      <c r="F13356" s="0" t="inlineStr">
        <is>
          <t xml:space="preserve">Mazda</t>
        </is>
      </c>
      <c r="G13356" s="0" t="s">
        <v>171</v>
      </c>
      <c r="H13356" s="5">
        <v>39.852600</v>
      </c>
    </row>
    <row r="13357" spans="1:9">
      <c r="A13357" s="22" t="str">
        <f>HYPERLINK("https://app.vivvix.com/360/KMI/IntelliDrive/ApplUI/Pages/CreativePages/CustomReportCreativeDetail.aspx?App=23&amp;ReportView=4&amp;Qid=1711279&amp;Row=13349&amp;Col=1","No Title Assigned - #15273800353")</f>
        <v/>
      </c>
      <c r="B13357" s="0" t="s">
        <v>17907</v>
      </c>
      <c r="E13357" s="0" t="inlineStr">
        <is>
          <t xml:space="preserve">Mazda</t>
        </is>
      </c>
      <c r="F13357" s="0" t="inlineStr">
        <is>
          <t xml:space="preserve">Mazda</t>
        </is>
      </c>
      <c r="G13357" s="0" t="s">
        <v>171</v>
      </c>
      <c r="H13357" s="5">
        <v>12.310100</v>
      </c>
    </row>
    <row r="13358" spans="1:9">
      <c r="A13358" s="22" t="str">
        <f>HYPERLINK("https://app.vivvix.com/360/KMI/IntelliDrive/ApplUI/Pages/CreativePages/CustomReportCreativeDetail.aspx?App=23&amp;ReportView=4&amp;Qid=1711279&amp;Row=13350&amp;Col=1","No Title Assigned - #15273800405")</f>
        <v/>
      </c>
      <c r="B13358" s="0" t="s">
        <v>17908</v>
      </c>
      <c r="E13358" s="0" t="inlineStr">
        <is>
          <t xml:space="preserve">Mazda</t>
        </is>
      </c>
      <c r="F13358" s="0" t="inlineStr">
        <is>
          <t xml:space="preserve">Mazda</t>
        </is>
      </c>
      <c r="G13358" s="0" t="s">
        <v>171</v>
      </c>
      <c r="H13358" s="5">
        <v>76.550700</v>
      </c>
    </row>
    <row r="13359" spans="1:9">
      <c r="A13359" s="22" t="str">
        <f>HYPERLINK("https://app.vivvix.com/360/KMI/IntelliDrive/ApplUI/Pages/CreativePages/CustomReportCreativeDetail.aspx?App=23&amp;ReportView=4&amp;Qid=1711279&amp;Row=13351&amp;Col=1","No Title Assigned - #15273800463")</f>
        <v/>
      </c>
      <c r="B13359" s="0" t="s">
        <v>17909</v>
      </c>
      <c r="C13359" s="0" t="s">
        <v>17910</v>
      </c>
      <c r="D13359" s="0" t="s">
        <v>17910</v>
      </c>
      <c r="E13359" s="0" t="inlineStr">
        <is>
          <t xml:space="preserve">Mazda</t>
        </is>
      </c>
      <c r="F13359" s="0" t="inlineStr">
        <is>
          <t xml:space="preserve">Mazda</t>
        </is>
      </c>
      <c r="G13359" s="0" t="s">
        <v>171</v>
      </c>
      <c r="H13359" s="5">
        <v>2308.212400</v>
      </c>
    </row>
    <row r="13360" spans="1:9">
      <c r="A13360" s="22" t="str">
        <f>HYPERLINK("https://app.vivvix.com/360/KMI/IntelliDrive/ApplUI/Pages/CreativePages/CustomReportCreativeDetail.aspx?App=23&amp;ReportView=4&amp;Qid=1711279&amp;Row=13352&amp;Col=1","No Title Assigned - #15273800640")</f>
        <v/>
      </c>
      <c r="B13360" s="0" t="s">
        <v>17911</v>
      </c>
      <c r="C13360" s="0" t="s">
        <v>17912</v>
      </c>
      <c r="D13360" s="0" t="s">
        <v>17912</v>
      </c>
      <c r="E13360" s="0" t="inlineStr">
        <is>
          <t xml:space="preserve">Mazda</t>
        </is>
      </c>
      <c r="F13360" s="0" t="inlineStr">
        <is>
          <t xml:space="preserve">Mazda</t>
        </is>
      </c>
      <c r="G13360" s="0" t="s">
        <v>171</v>
      </c>
      <c r="H13360" s="5">
        <v>921.803600</v>
      </c>
    </row>
    <row r="13361" spans="1:9">
      <c r="A13361" s="22" t="str">
        <f>HYPERLINK("https://app.vivvix.com/360/KMI/IntelliDrive/ApplUI/Pages/CreativePages/CustomReportCreativeDetail.aspx?App=23&amp;ReportView=4&amp;Qid=1711279&amp;Row=13353&amp;Col=1","No Title Assigned - #15273800743")</f>
        <v/>
      </c>
      <c r="B13361" s="0" t="s">
        <v>17913</v>
      </c>
      <c r="C13361" s="0" t="s">
        <v>17914</v>
      </c>
      <c r="D13361" s="0" t="s">
        <v>17914</v>
      </c>
      <c r="E13361" s="0" t="inlineStr">
        <is>
          <t xml:space="preserve">Mazda</t>
        </is>
      </c>
      <c r="F13361" s="0" t="inlineStr">
        <is>
          <t xml:space="preserve">Mazda</t>
        </is>
      </c>
      <c r="G13361" s="0" t="s">
        <v>171</v>
      </c>
      <c r="H13361" s="5">
        <v>1147.510400</v>
      </c>
    </row>
    <row r="13362" spans="1:9">
      <c r="A13362" s="22" t="str">
        <f>HYPERLINK("https://app.vivvix.com/360/KMI/IntelliDrive/ApplUI/Pages/CreativePages/CustomReportCreativeDetail.aspx?App=23&amp;ReportView=4&amp;Qid=1711279&amp;Row=13354&amp;Col=1","No Title Assigned - #15273800771")</f>
        <v/>
      </c>
      <c r="B13362" s="0" t="s">
        <v>17915</v>
      </c>
      <c r="E13362" s="0" t="inlineStr">
        <is>
          <t xml:space="preserve">Mazda</t>
        </is>
      </c>
      <c r="F13362" s="0" t="inlineStr">
        <is>
          <t xml:space="preserve">Mazda</t>
        </is>
      </c>
      <c r="G13362" s="0" t="s">
        <v>171</v>
      </c>
      <c r="H13362" s="5">
        <v>13.775300</v>
      </c>
    </row>
    <row r="13363" spans="1:9">
      <c r="A13363" s="22" t="str">
        <f>HYPERLINK("https://app.vivvix.com/360/KMI/IntelliDrive/ApplUI/Pages/CreativePages/CustomReportCreativeDetail.aspx?App=23&amp;ReportView=4&amp;Qid=1711279&amp;Row=13355&amp;Col=1","No Title Assigned - #15273800779")</f>
        <v/>
      </c>
      <c r="B13363" s="0" t="s">
        <v>17916</v>
      </c>
      <c r="E13363" s="0" t="inlineStr">
        <is>
          <t xml:space="preserve">Mazda</t>
        </is>
      </c>
      <c r="F13363" s="0" t="inlineStr">
        <is>
          <t xml:space="preserve">Mazda</t>
        </is>
      </c>
      <c r="G13363" s="0" t="s">
        <v>171</v>
      </c>
      <c r="H13363" s="5">
        <v>1023.856600</v>
      </c>
    </row>
    <row r="13364" spans="1:9">
      <c r="A13364" s="22" t="str">
        <f>HYPERLINK("https://app.vivvix.com/360/KMI/IntelliDrive/ApplUI/Pages/CreativePages/CustomReportCreativeDetail.aspx?App=23&amp;ReportView=4&amp;Qid=1711279&amp;Row=13356&amp;Col=1","No Title Assigned - #15273800779")</f>
        <v/>
      </c>
      <c r="B13364" s="0" t="s">
        <v>17916</v>
      </c>
      <c r="E13364" s="0" t="inlineStr">
        <is>
          <t xml:space="preserve">Mazda</t>
        </is>
      </c>
      <c r="F13364" s="0" t="inlineStr">
        <is>
          <t xml:space="preserve">Mazda</t>
        </is>
      </c>
      <c r="G13364" s="0" t="s">
        <v>171</v>
      </c>
      <c r="H13364" s="5">
        <v>34.643900</v>
      </c>
    </row>
    <row r="13365" spans="1:9">
      <c r="A13365" s="22" t="str">
        <f>HYPERLINK("https://app.vivvix.com/360/KMI/IntelliDrive/ApplUI/Pages/CreativePages/CustomReportCreativeDetail.aspx?App=23&amp;ReportView=4&amp;Qid=1711279&amp;Row=13357&amp;Col=1","No Title Assigned - #15273800809")</f>
        <v/>
      </c>
      <c r="B13365" s="0" t="s">
        <v>17917</v>
      </c>
      <c r="E13365" s="0" t="inlineStr">
        <is>
          <t xml:space="preserve">Mazda</t>
        </is>
      </c>
      <c r="F13365" s="0" t="inlineStr">
        <is>
          <t xml:space="preserve">Mazda</t>
        </is>
      </c>
      <c r="G13365" s="0" t="s">
        <v>171</v>
      </c>
      <c r="H13365" s="5">
        <v>531.678300</v>
      </c>
    </row>
    <row r="13366" spans="1:9">
      <c r="A13366" s="22" t="str">
        <f>HYPERLINK("https://app.vivvix.com/360/KMI/IntelliDrive/ApplUI/Pages/CreativePages/CustomReportCreativeDetail.aspx?App=23&amp;ReportView=4&amp;Qid=1711279&amp;Row=13358&amp;Col=1","No Title Assigned - #15273800824")</f>
        <v/>
      </c>
      <c r="B13366" s="0" t="s">
        <v>17918</v>
      </c>
      <c r="E13366" s="0" t="inlineStr">
        <is>
          <t xml:space="preserve">Mazda</t>
        </is>
      </c>
      <c r="F13366" s="0" t="inlineStr">
        <is>
          <t xml:space="preserve">Mazda</t>
        </is>
      </c>
      <c r="G13366" s="0" t="s">
        <v>171</v>
      </c>
      <c r="H13366" s="5">
        <v>422.235600</v>
      </c>
    </row>
    <row r="13367" spans="1:9">
      <c r="A13367" s="22" t="str">
        <f>HYPERLINK("https://app.vivvix.com/360/KMI/IntelliDrive/ApplUI/Pages/CreativePages/CustomReportCreativeDetail.aspx?App=23&amp;ReportView=4&amp;Qid=1711279&amp;Row=13359&amp;Col=1","No Title Assigned - #15273800844")</f>
        <v/>
      </c>
      <c r="B13367" s="0" t="s">
        <v>17919</v>
      </c>
      <c r="E13367" s="0" t="inlineStr">
        <is>
          <t xml:space="preserve">Mazda</t>
        </is>
      </c>
      <c r="F13367" s="0" t="inlineStr">
        <is>
          <t xml:space="preserve">Mazda</t>
        </is>
      </c>
      <c r="G13367" s="0" t="s">
        <v>171</v>
      </c>
      <c r="H13367" s="5">
        <v>12.310100</v>
      </c>
    </row>
    <row r="13368" spans="1:9">
      <c r="A13368" s="22" t="str">
        <f>HYPERLINK("https://app.vivvix.com/360/KMI/IntelliDrive/ApplUI/Pages/CreativePages/CustomReportCreativeDetail.aspx?App=23&amp;ReportView=4&amp;Qid=1711279&amp;Row=13360&amp;Col=1","No Title Assigned - #15273800864")</f>
        <v/>
      </c>
      <c r="B13368" s="0" t="s">
        <v>17920</v>
      </c>
      <c r="C13368" s="0" t="s">
        <v>17921</v>
      </c>
      <c r="D13368" s="0" t="s">
        <v>17921</v>
      </c>
      <c r="E13368" s="0" t="inlineStr">
        <is>
          <t xml:space="preserve">Mazda</t>
        </is>
      </c>
      <c r="F13368" s="0" t="inlineStr">
        <is>
          <t xml:space="preserve">Mazda</t>
        </is>
      </c>
      <c r="G13368" s="0" t="s">
        <v>171</v>
      </c>
      <c r="H13368" s="5">
        <v>253.054800</v>
      </c>
    </row>
    <row r="13369" spans="1:9">
      <c r="A13369" s="22" t="str">
        <f>HYPERLINK("https://app.vivvix.com/360/KMI/IntelliDrive/ApplUI/Pages/CreativePages/CustomReportCreativeDetail.aspx?App=23&amp;ReportView=4&amp;Qid=1711279&amp;Row=13361&amp;Col=1","No Title Assigned - #15273800898")</f>
        <v/>
      </c>
      <c r="B13369" s="0" t="s">
        <v>17922</v>
      </c>
      <c r="C13369" s="0" t="s">
        <v>17923</v>
      </c>
      <c r="D13369" s="0" t="s">
        <v>17923</v>
      </c>
      <c r="E13369" s="0" t="inlineStr">
        <is>
          <t xml:space="preserve">Mazda</t>
        </is>
      </c>
      <c r="F13369" s="0" t="inlineStr">
        <is>
          <t xml:space="preserve">Mazda</t>
        </is>
      </c>
      <c r="G13369" s="0" t="s">
        <v>171</v>
      </c>
      <c r="H13369" s="5">
        <v>2403.132700</v>
      </c>
    </row>
    <row r="13370" spans="1:9">
      <c r="A13370" s="22" t="str">
        <f>HYPERLINK("https://app.vivvix.com/360/KMI/IntelliDrive/ApplUI/Pages/CreativePages/CustomReportCreativeDetail.aspx?App=23&amp;ReportView=4&amp;Qid=1711279&amp;Row=13362&amp;Col=1","No Title Assigned - #15273800961")</f>
        <v/>
      </c>
      <c r="B13370" s="0" t="s">
        <v>17924</v>
      </c>
      <c r="C13370" s="0" t="s">
        <v>17925</v>
      </c>
      <c r="D13370" s="0" t="s">
        <v>17925</v>
      </c>
      <c r="E13370" s="0" t="inlineStr">
        <is>
          <t xml:space="preserve">Mazda</t>
        </is>
      </c>
      <c r="F13370" s="0" t="inlineStr">
        <is>
          <t xml:space="preserve">Mazda</t>
        </is>
      </c>
      <c r="G13370" s="0" t="s">
        <v>171</v>
      </c>
      <c r="H13370" s="5">
        <v>254.903400</v>
      </c>
    </row>
    <row r="13371" spans="1:9">
      <c r="A13371" s="22" t="str">
        <f>HYPERLINK("https://app.vivvix.com/360/KMI/IntelliDrive/ApplUI/Pages/CreativePages/CustomReportCreativeDetail.aspx?App=23&amp;ReportView=4&amp;Qid=1711279&amp;Row=13363&amp;Col=1","No Title Assigned - #15273800999")</f>
        <v/>
      </c>
      <c r="B13371" s="0" t="s">
        <v>17926</v>
      </c>
      <c r="E13371" s="0" t="inlineStr">
        <is>
          <t xml:space="preserve">Mazda</t>
        </is>
      </c>
      <c r="F13371" s="0" t="inlineStr">
        <is>
          <t xml:space="preserve">Mazda</t>
        </is>
      </c>
      <c r="G13371" s="0" t="s">
        <v>171</v>
      </c>
      <c r="H13371" s="5">
        <v>48.262100</v>
      </c>
    </row>
    <row r="13372" spans="1:9">
      <c r="A13372" s="22" t="str">
        <f>HYPERLINK("https://app.vivvix.com/360/KMI/IntelliDrive/ApplUI/Pages/CreativePages/CustomReportCreativeDetail.aspx?App=23&amp;ReportView=4&amp;Qid=1711279&amp;Row=13364&amp;Col=1","No Title Assigned - #15273801053")</f>
        <v/>
      </c>
      <c r="B13372" s="0" t="s">
        <v>17927</v>
      </c>
      <c r="E13372" s="0" t="inlineStr">
        <is>
          <t xml:space="preserve">Mazda</t>
        </is>
      </c>
      <c r="F13372" s="0" t="inlineStr">
        <is>
          <t xml:space="preserve">Mazda</t>
        </is>
      </c>
      <c r="G13372" s="0" t="s">
        <v>171</v>
      </c>
      <c r="H13372" s="5">
        <v>78.848400</v>
      </c>
    </row>
    <row r="13373" spans="1:9">
      <c r="A13373" s="22" t="str">
        <f>HYPERLINK("https://app.vivvix.com/360/KMI/IntelliDrive/ApplUI/Pages/CreativePages/CustomReportCreativeDetail.aspx?App=23&amp;ReportView=4&amp;Qid=1711279&amp;Row=13365&amp;Col=1","No Title Assigned - #15273801167")</f>
        <v/>
      </c>
      <c r="B13373" s="0" t="s">
        <v>17928</v>
      </c>
      <c r="E13373" s="0" t="inlineStr">
        <is>
          <t xml:space="preserve">Mazda</t>
        </is>
      </c>
      <c r="F13373" s="0" t="inlineStr">
        <is>
          <t xml:space="preserve">Mazda</t>
        </is>
      </c>
      <c r="G13373" s="0" t="s">
        <v>171</v>
      </c>
      <c r="H13373" s="5">
        <v>25.807300</v>
      </c>
    </row>
    <row r="13374" spans="1:9">
      <c r="A13374" s="22" t="str">
        <f>HYPERLINK("https://app.vivvix.com/360/KMI/IntelliDrive/ApplUI/Pages/CreativePages/CustomReportCreativeDetail.aspx?App=23&amp;ReportView=4&amp;Qid=1711279&amp;Row=13366&amp;Col=1","No Title Assigned - #15273801272")</f>
        <v/>
      </c>
      <c r="B13374" s="0" t="s">
        <v>17929</v>
      </c>
      <c r="E13374" s="0" t="inlineStr">
        <is>
          <t xml:space="preserve">Mazda</t>
        </is>
      </c>
      <c r="F13374" s="0" t="inlineStr">
        <is>
          <t xml:space="preserve">Mazda</t>
        </is>
      </c>
      <c r="G13374" s="0" t="s">
        <v>171</v>
      </c>
      <c r="H13374" s="5">
        <v>3875.852500</v>
      </c>
    </row>
    <row r="13375" spans="1:9">
      <c r="A13375" s="22" t="str">
        <f>HYPERLINK("https://app.vivvix.com/360/KMI/IntelliDrive/ApplUI/Pages/CreativePages/CustomReportCreativeDetail.aspx?App=23&amp;ReportView=4&amp;Qid=1711279&amp;Row=13367&amp;Col=1","No Title Assigned - #15273801272")</f>
        <v/>
      </c>
      <c r="B13375" s="0" t="s">
        <v>17929</v>
      </c>
      <c r="E13375" s="0" t="inlineStr">
        <is>
          <t xml:space="preserve">Mazda</t>
        </is>
      </c>
      <c r="F13375" s="0" t="inlineStr">
        <is>
          <t xml:space="preserve">Mazda</t>
        </is>
      </c>
      <c r="G13375" s="0" t="s">
        <v>171</v>
      </c>
      <c r="H13375" s="5">
        <v>52.399200</v>
      </c>
    </row>
    <row r="13376" spans="1:9">
      <c r="A13376" s="22" t="str">
        <f>HYPERLINK("https://app.vivvix.com/360/KMI/IntelliDrive/ApplUI/Pages/CreativePages/CustomReportCreativeDetail.aspx?App=23&amp;ReportView=4&amp;Qid=1711279&amp;Row=13368&amp;Col=1","No Title Assigned - #15273801277")</f>
        <v/>
      </c>
      <c r="B13376" s="0" t="s">
        <v>17930</v>
      </c>
      <c r="E13376" s="0" t="inlineStr">
        <is>
          <t xml:space="preserve">Mazda</t>
        </is>
      </c>
      <c r="F13376" s="0" t="inlineStr">
        <is>
          <t xml:space="preserve">Mazda</t>
        </is>
      </c>
      <c r="G13376" s="0" t="s">
        <v>171</v>
      </c>
      <c r="H13376" s="5">
        <v>1579.173200</v>
      </c>
    </row>
    <row r="13377" spans="1:9">
      <c r="A13377" s="22" t="str">
        <f>HYPERLINK("https://app.vivvix.com/360/KMI/IntelliDrive/ApplUI/Pages/CreativePages/CustomReportCreativeDetail.aspx?App=23&amp;ReportView=4&amp;Qid=1711279&amp;Row=13369&amp;Col=1","No Title Assigned - #15273801309")</f>
        <v/>
      </c>
      <c r="B13377" s="0" t="s">
        <v>17931</v>
      </c>
      <c r="E13377" s="0" t="inlineStr">
        <is>
          <t xml:space="preserve">Mazda</t>
        </is>
      </c>
      <c r="F13377" s="0" t="inlineStr">
        <is>
          <t xml:space="preserve">Mazda</t>
        </is>
      </c>
      <c r="G13377" s="0" t="s">
        <v>171</v>
      </c>
      <c r="H13377" s="5">
        <v>56.150900</v>
      </c>
    </row>
    <row r="13378" spans="1:9">
      <c r="A13378" s="22" t="str">
        <f>HYPERLINK("https://app.vivvix.com/360/KMI/IntelliDrive/ApplUI/Pages/CreativePages/CustomReportCreativeDetail.aspx?App=23&amp;ReportView=4&amp;Qid=1711279&amp;Row=13370&amp;Col=1","No Title Assigned - #15273801442")</f>
        <v/>
      </c>
      <c r="B13378" s="0" t="s">
        <v>17932</v>
      </c>
      <c r="E13378" s="0" t="inlineStr">
        <is>
          <t xml:space="preserve">Mazda</t>
        </is>
      </c>
      <c r="F13378" s="0" t="inlineStr">
        <is>
          <t xml:space="preserve">Mazda</t>
        </is>
      </c>
      <c r="G13378" s="0" t="s">
        <v>171</v>
      </c>
      <c r="H13378" s="5">
        <v>64.963600</v>
      </c>
    </row>
    <row r="13379" spans="1:9">
      <c r="A13379" s="22" t="str">
        <f>HYPERLINK("https://app.vivvix.com/360/KMI/IntelliDrive/ApplUI/Pages/CreativePages/CustomReportCreativeDetail.aspx?App=23&amp;ReportView=4&amp;Qid=1711279&amp;Row=13371&amp;Col=1","No Title Assigned - #15273801463")</f>
        <v/>
      </c>
      <c r="B13379" s="0" t="s">
        <v>17933</v>
      </c>
      <c r="E13379" s="0" t="inlineStr">
        <is>
          <t xml:space="preserve">Mazda</t>
        </is>
      </c>
      <c r="F13379" s="0" t="inlineStr">
        <is>
          <t xml:space="preserve">Mazda</t>
        </is>
      </c>
      <c r="G13379" s="0" t="s">
        <v>171</v>
      </c>
      <c r="H13379" s="5">
        <v>942.880700</v>
      </c>
    </row>
    <row r="13380" spans="1:9">
      <c r="A13380" s="22" t="str">
        <f>HYPERLINK("https://app.vivvix.com/360/KMI/IntelliDrive/ApplUI/Pages/CreativePages/CustomReportCreativeDetail.aspx?App=23&amp;ReportView=4&amp;Qid=1711279&amp;Row=13372&amp;Col=1","No Title Assigned - #15273801549")</f>
        <v/>
      </c>
      <c r="B13380" s="0" t="s">
        <v>17934</v>
      </c>
      <c r="E13380" s="0" t="inlineStr">
        <is>
          <t xml:space="preserve">Mazda</t>
        </is>
      </c>
      <c r="F13380" s="0" t="inlineStr">
        <is>
          <t xml:space="preserve">Mazda</t>
        </is>
      </c>
      <c r="G13380" s="0" t="s">
        <v>171</v>
      </c>
      <c r="H13380" s="5">
        <v>163.837800</v>
      </c>
    </row>
    <row r="13381" spans="1:9">
      <c r="A13381" s="22" t="str">
        <f>HYPERLINK("https://app.vivvix.com/360/KMI/IntelliDrive/ApplUI/Pages/CreativePages/CustomReportCreativeDetail.aspx?App=23&amp;ReportView=4&amp;Qid=1711279&amp;Row=13373&amp;Col=1","No Title Assigned - #15273801583")</f>
        <v/>
      </c>
      <c r="B13381" s="0" t="s">
        <v>17935</v>
      </c>
      <c r="E13381" s="0" t="inlineStr">
        <is>
          <t xml:space="preserve">Mazda</t>
        </is>
      </c>
      <c r="F13381" s="0" t="inlineStr">
        <is>
          <t xml:space="preserve">Mazda</t>
        </is>
      </c>
      <c r="G13381" s="0" t="s">
        <v>171</v>
      </c>
      <c r="H13381" s="5">
        <v>110.448600</v>
      </c>
    </row>
    <row r="13382" spans="1:9">
      <c r="A13382" s="22" t="str">
        <f>HYPERLINK("https://app.vivvix.com/360/KMI/IntelliDrive/ApplUI/Pages/CreativePages/CustomReportCreativeDetail.aspx?App=23&amp;ReportView=4&amp;Qid=1711279&amp;Row=13374&amp;Col=1","No Title Assigned - #15273801595")</f>
        <v/>
      </c>
      <c r="B13382" s="0" t="s">
        <v>17936</v>
      </c>
      <c r="E13382" s="0" t="inlineStr">
        <is>
          <t xml:space="preserve">Mazda</t>
        </is>
      </c>
      <c r="F13382" s="0" t="inlineStr">
        <is>
          <t xml:space="preserve">Mazda</t>
        </is>
      </c>
      <c r="G13382" s="0" t="s">
        <v>171</v>
      </c>
      <c r="H13382" s="5">
        <v>104.778300</v>
      </c>
    </row>
    <row r="13383" spans="1:9">
      <c r="A13383" s="22" t="str">
        <f>HYPERLINK("https://app.vivvix.com/360/KMI/IntelliDrive/ApplUI/Pages/CreativePages/CustomReportCreativeDetail.aspx?App=23&amp;ReportView=4&amp;Qid=1711279&amp;Row=13375&amp;Col=1","No Title Assigned - #15273801631")</f>
        <v/>
      </c>
      <c r="B13383" s="0" t="s">
        <v>17937</v>
      </c>
      <c r="E13383" s="0" t="inlineStr">
        <is>
          <t xml:space="preserve">Mazda</t>
        </is>
      </c>
      <c r="F13383" s="0" t="inlineStr">
        <is>
          <t xml:space="preserve">Mazda</t>
        </is>
      </c>
      <c r="G13383" s="0" t="s">
        <v>171</v>
      </c>
      <c r="H13383" s="5">
        <v>343.659100</v>
      </c>
    </row>
    <row r="13384" spans="1:9">
      <c r="A13384" s="22" t="str">
        <f>HYPERLINK("https://app.vivvix.com/360/KMI/IntelliDrive/ApplUI/Pages/CreativePages/CustomReportCreativeDetail.aspx?App=23&amp;ReportView=4&amp;Qid=1711279&amp;Row=13376&amp;Col=1","No Title Assigned - #15273801688")</f>
        <v/>
      </c>
      <c r="B13384" s="0" t="s">
        <v>17938</v>
      </c>
      <c r="E13384" s="0" t="inlineStr">
        <is>
          <t xml:space="preserve">Mazda</t>
        </is>
      </c>
      <c r="F13384" s="0" t="inlineStr">
        <is>
          <t xml:space="preserve">Mazda</t>
        </is>
      </c>
      <c r="G13384" s="0" t="s">
        <v>171</v>
      </c>
      <c r="H13384" s="5">
        <v>128.224100</v>
      </c>
    </row>
    <row r="13385" spans="1:9">
      <c r="A13385" s="22" t="str">
        <f>HYPERLINK("https://app.vivvix.com/360/KMI/IntelliDrive/ApplUI/Pages/CreativePages/CustomReportCreativeDetail.aspx?App=23&amp;ReportView=4&amp;Qid=1711279&amp;Row=13377&amp;Col=1","No Title Assigned - #15273801786")</f>
        <v/>
      </c>
      <c r="B13385" s="0" t="s">
        <v>17939</v>
      </c>
      <c r="E13385" s="0" t="inlineStr">
        <is>
          <t xml:space="preserve">Mazda</t>
        </is>
      </c>
      <c r="F13385" s="0" t="inlineStr">
        <is>
          <t xml:space="preserve">Mazda</t>
        </is>
      </c>
      <c r="G13385" s="0" t="s">
        <v>171</v>
      </c>
      <c r="H13385" s="5">
        <v>1680.028200</v>
      </c>
    </row>
    <row r="13386" spans="1:9">
      <c r="A13386" s="22" t="str">
        <f>HYPERLINK("https://app.vivvix.com/360/KMI/IntelliDrive/ApplUI/Pages/CreativePages/CustomReportCreativeDetail.aspx?App=23&amp;ReportView=4&amp;Qid=1711279&amp;Row=13378&amp;Col=1","No Title Assigned - #15273801787")</f>
        <v/>
      </c>
      <c r="B13386" s="0" t="s">
        <v>17940</v>
      </c>
      <c r="E13386" s="0" t="inlineStr">
        <is>
          <t xml:space="preserve">Mazda</t>
        </is>
      </c>
      <c r="F13386" s="0" t="inlineStr">
        <is>
          <t xml:space="preserve">Mazda</t>
        </is>
      </c>
      <c r="G13386" s="0" t="s">
        <v>171</v>
      </c>
      <c r="H13386" s="5">
        <v>436.055000</v>
      </c>
    </row>
    <row r="13387" spans="1:9">
      <c r="A13387" s="22" t="str">
        <f>HYPERLINK("https://app.vivvix.com/360/KMI/IntelliDrive/ApplUI/Pages/CreativePages/CustomReportCreativeDetail.aspx?App=23&amp;ReportView=4&amp;Qid=1711279&amp;Row=13379&amp;Col=1","No Title Assigned - #15273801788")</f>
        <v/>
      </c>
      <c r="B13387" s="0" t="s">
        <v>17941</v>
      </c>
      <c r="E13387" s="0" t="inlineStr">
        <is>
          <t xml:space="preserve">Mazda</t>
        </is>
      </c>
      <c r="F13387" s="0" t="inlineStr">
        <is>
          <t xml:space="preserve">Mazda</t>
        </is>
      </c>
      <c r="G13387" s="0" t="s">
        <v>171</v>
      </c>
      <c r="H13387" s="5">
        <v>165.298900</v>
      </c>
    </row>
    <row r="13388" spans="1:9">
      <c r="A13388" s="22" t="str">
        <f>HYPERLINK("https://app.vivvix.com/360/KMI/IntelliDrive/ApplUI/Pages/CreativePages/CustomReportCreativeDetail.aspx?App=23&amp;ReportView=4&amp;Qid=1711279&amp;Row=13380&amp;Col=1","No Title Assigned - #15273801788")</f>
        <v/>
      </c>
      <c r="B13388" s="0" t="s">
        <v>17941</v>
      </c>
      <c r="E13388" s="0" t="inlineStr">
        <is>
          <t xml:space="preserve">Mazda</t>
        </is>
      </c>
      <c r="F13388" s="0" t="inlineStr">
        <is>
          <t xml:space="preserve">Mazda</t>
        </is>
      </c>
      <c r="G13388" s="0" t="s">
        <v>171</v>
      </c>
      <c r="H13388" s="5">
        <v>841.654900</v>
      </c>
    </row>
    <row r="13389" spans="1:9">
      <c r="A13389" s="22" t="str">
        <f>HYPERLINK("https://app.vivvix.com/360/KMI/IntelliDrive/ApplUI/Pages/CreativePages/CustomReportCreativeDetail.aspx?App=23&amp;ReportView=4&amp;Qid=1711279&amp;Row=13381&amp;Col=1","No Title Assigned - #15273801830")</f>
        <v/>
      </c>
      <c r="B13389" s="0" t="s">
        <v>17942</v>
      </c>
      <c r="E13389" s="0" t="inlineStr">
        <is>
          <t xml:space="preserve">Mazda</t>
        </is>
      </c>
      <c r="F13389" s="0" t="inlineStr">
        <is>
          <t xml:space="preserve">Mazda</t>
        </is>
      </c>
      <c r="G13389" s="0" t="s">
        <v>171</v>
      </c>
      <c r="H13389" s="5">
        <v>1089.222800</v>
      </c>
    </row>
    <row r="13390" spans="1:9">
      <c r="A13390" s="22" t="str">
        <f>HYPERLINK("https://app.vivvix.com/360/KMI/IntelliDrive/ApplUI/Pages/CreativePages/CustomReportCreativeDetail.aspx?App=23&amp;ReportView=4&amp;Qid=1711279&amp;Row=13382&amp;Col=1","No Title Assigned - #15273801830")</f>
        <v/>
      </c>
      <c r="B13390" s="0" t="s">
        <v>17942</v>
      </c>
      <c r="E13390" s="0" t="inlineStr">
        <is>
          <t xml:space="preserve">Mazda</t>
        </is>
      </c>
      <c r="F13390" s="0" t="inlineStr">
        <is>
          <t xml:space="preserve">Mazda</t>
        </is>
      </c>
      <c r="G13390" s="0" t="s">
        <v>171</v>
      </c>
      <c r="H13390" s="5">
        <v>269.571600</v>
      </c>
    </row>
    <row r="13391" spans="1:9">
      <c r="A13391" s="22" t="str">
        <f>HYPERLINK("https://app.vivvix.com/360/KMI/IntelliDrive/ApplUI/Pages/CreativePages/CustomReportCreativeDetail.aspx?App=23&amp;ReportView=4&amp;Qid=1711279&amp;Row=13383&amp;Col=1","No Title Assigned - #15273801841")</f>
        <v/>
      </c>
      <c r="B13391" s="0" t="s">
        <v>17943</v>
      </c>
      <c r="E13391" s="0" t="inlineStr">
        <is>
          <t xml:space="preserve">Mazda</t>
        </is>
      </c>
      <c r="F13391" s="0" t="inlineStr">
        <is>
          <t xml:space="preserve">Mazda</t>
        </is>
      </c>
      <c r="G13391" s="0" t="s">
        <v>171</v>
      </c>
      <c r="H13391" s="5">
        <v>160.102200</v>
      </c>
    </row>
    <row r="13392" spans="1:9">
      <c r="A13392" s="22" t="str">
        <f>HYPERLINK("https://app.vivvix.com/360/KMI/IntelliDrive/ApplUI/Pages/CreativePages/CustomReportCreativeDetail.aspx?App=23&amp;ReportView=4&amp;Qid=1711279&amp;Row=13384&amp;Col=1","No Title Assigned - #15273801881")</f>
        <v/>
      </c>
      <c r="B13392" s="0" t="s">
        <v>17944</v>
      </c>
      <c r="E13392" s="0" t="inlineStr">
        <is>
          <t xml:space="preserve">Mazda</t>
        </is>
      </c>
      <c r="F13392" s="0" t="inlineStr">
        <is>
          <t xml:space="preserve">Mazda</t>
        </is>
      </c>
      <c r="G13392" s="0" t="s">
        <v>171</v>
      </c>
      <c r="H13392" s="5">
        <v>79.672200</v>
      </c>
    </row>
    <row r="13393" spans="1:9">
      <c r="A13393" s="22" t="str">
        <f>HYPERLINK("https://app.vivvix.com/360/KMI/IntelliDrive/ApplUI/Pages/CreativePages/CustomReportCreativeDetail.aspx?App=23&amp;ReportView=4&amp;Qid=1711279&amp;Row=13385&amp;Col=1","No Title Assigned - #15273801895")</f>
        <v/>
      </c>
      <c r="B13393" s="0" t="s">
        <v>17945</v>
      </c>
      <c r="E13393" s="0" t="inlineStr">
        <is>
          <t xml:space="preserve">Mazda</t>
        </is>
      </c>
      <c r="F13393" s="0" t="inlineStr">
        <is>
          <t xml:space="preserve">Mazda</t>
        </is>
      </c>
      <c r="G13393" s="0" t="s">
        <v>171</v>
      </c>
      <c r="H13393" s="5">
        <v>61.228900</v>
      </c>
    </row>
    <row r="13394" spans="1:9">
      <c r="A13394" s="22" t="str">
        <f>HYPERLINK("https://app.vivvix.com/360/KMI/IntelliDrive/ApplUI/Pages/CreativePages/CustomReportCreativeDetail.aspx?App=23&amp;ReportView=4&amp;Qid=1711279&amp;Row=13386&amp;Col=1","No Title Assigned - #15273801947")</f>
        <v/>
      </c>
      <c r="B13394" s="0" t="s">
        <v>17946</v>
      </c>
      <c r="E13394" s="0" t="inlineStr">
        <is>
          <t xml:space="preserve">Mazda</t>
        </is>
      </c>
      <c r="F13394" s="0" t="inlineStr">
        <is>
          <t xml:space="preserve">Mazda</t>
        </is>
      </c>
      <c r="G13394" s="0" t="s">
        <v>171</v>
      </c>
      <c r="H13394" s="5">
        <v>44.179200</v>
      </c>
    </row>
    <row r="13395" spans="1:9">
      <c r="A13395" s="22" t="str">
        <f>HYPERLINK("https://app.vivvix.com/360/KMI/IntelliDrive/ApplUI/Pages/CreativePages/CustomReportCreativeDetail.aspx?App=23&amp;ReportView=4&amp;Qid=1711279&amp;Row=13387&amp;Col=1","No Title Assigned - #15273801948")</f>
        <v/>
      </c>
      <c r="B13395" s="0" t="s">
        <v>17947</v>
      </c>
      <c r="E13395" s="0" t="inlineStr">
        <is>
          <t xml:space="preserve">Mazda</t>
        </is>
      </c>
      <c r="F13395" s="0" t="inlineStr">
        <is>
          <t xml:space="preserve">Mazda</t>
        </is>
      </c>
      <c r="G13395" s="0" t="s">
        <v>171</v>
      </c>
      <c r="H13395" s="5">
        <v>44.179200</v>
      </c>
    </row>
    <row r="13396" spans="1:9">
      <c r="A13396" s="22" t="str">
        <f>HYPERLINK("https://app.vivvix.com/360/KMI/IntelliDrive/ApplUI/Pages/CreativePages/CustomReportCreativeDetail.aspx?App=23&amp;ReportView=4&amp;Qid=1711279&amp;Row=13388&amp;Col=1","No Title Assigned - #15273802009")</f>
        <v/>
      </c>
      <c r="B13396" s="0" t="s">
        <v>17948</v>
      </c>
      <c r="E13396" s="0" t="inlineStr">
        <is>
          <t xml:space="preserve">Mazda</t>
        </is>
      </c>
      <c r="F13396" s="0" t="inlineStr">
        <is>
          <t xml:space="preserve">Mazda</t>
        </is>
      </c>
      <c r="G13396" s="0" t="s">
        <v>171</v>
      </c>
      <c r="H13396" s="5">
        <v>712.893400</v>
      </c>
    </row>
    <row r="13397" spans="1:9">
      <c r="A13397" s="22" t="str">
        <f>HYPERLINK("https://app.vivvix.com/360/KMI/IntelliDrive/ApplUI/Pages/CreativePages/CustomReportCreativeDetail.aspx?App=23&amp;ReportView=4&amp;Qid=1711279&amp;Row=13389&amp;Col=1","No Title Assigned - #15273802018")</f>
        <v/>
      </c>
      <c r="B13397" s="0" t="s">
        <v>17949</v>
      </c>
      <c r="E13397" s="0" t="inlineStr">
        <is>
          <t xml:space="preserve">Mazda</t>
        </is>
      </c>
      <c r="F13397" s="0" t="inlineStr">
        <is>
          <t xml:space="preserve">Mazda</t>
        </is>
      </c>
      <c r="G13397" s="0" t="s">
        <v>171</v>
      </c>
      <c r="H13397" s="5">
        <v>48.511400</v>
      </c>
    </row>
    <row r="13398" spans="1:9">
      <c r="A13398" s="22" t="str">
        <f>HYPERLINK("https://app.vivvix.com/360/KMI/IntelliDrive/ApplUI/Pages/CreativePages/CustomReportCreativeDetail.aspx?App=23&amp;ReportView=4&amp;Qid=1711279&amp;Row=13390&amp;Col=1","No Title Assigned - #15273802071")</f>
        <v/>
      </c>
      <c r="B13398" s="0" t="s">
        <v>17950</v>
      </c>
      <c r="E13398" s="0" t="inlineStr">
        <is>
          <t xml:space="preserve">Mazda</t>
        </is>
      </c>
      <c r="F13398" s="0" t="inlineStr">
        <is>
          <t xml:space="preserve">Mazda</t>
        </is>
      </c>
      <c r="G13398" s="0" t="s">
        <v>171</v>
      </c>
      <c r="H13398" s="5">
        <v>148.776700</v>
      </c>
    </row>
    <row r="13399" spans="1:9">
      <c r="A13399" s="22" t="str">
        <f>HYPERLINK("https://app.vivvix.com/360/KMI/IntelliDrive/ApplUI/Pages/CreativePages/CustomReportCreativeDetail.aspx?App=23&amp;ReportView=4&amp;Qid=1711279&amp;Row=13391&amp;Col=1","No Title Assigned - #15273803487")</f>
        <v/>
      </c>
      <c r="B13399" s="0" t="s">
        <v>17951</v>
      </c>
      <c r="E13399" s="0" t="inlineStr">
        <is>
          <t xml:space="preserve">Mazda</t>
        </is>
      </c>
      <c r="F13399" s="0" t="inlineStr">
        <is>
          <t xml:space="preserve">Mazda</t>
        </is>
      </c>
      <c r="G13399" s="0" t="s">
        <v>171</v>
      </c>
      <c r="H13399" s="5">
        <v>8.341600</v>
      </c>
    </row>
    <row r="13400" spans="1:9">
      <c r="A13400" s="22" t="str">
        <f>HYPERLINK("https://app.vivvix.com/360/KMI/IntelliDrive/ApplUI/Pages/CreativePages/CustomReportCreativeDetail.aspx?App=23&amp;ReportView=4&amp;Qid=1711279&amp;Row=13392&amp;Col=1","No Title Assigned - #15273803723")</f>
        <v/>
      </c>
      <c r="B13400" s="0" t="s">
        <v>17952</v>
      </c>
      <c r="E13400" s="0" t="inlineStr">
        <is>
          <t xml:space="preserve">Mazda</t>
        </is>
      </c>
      <c r="F13400" s="0" t="inlineStr">
        <is>
          <t xml:space="preserve">Mazda</t>
        </is>
      </c>
      <c r="G13400" s="0" t="s">
        <v>171</v>
      </c>
      <c r="H13400" s="5">
        <v>76.089000</v>
      </c>
    </row>
    <row r="13401" spans="1:9">
      <c r="A13401" s="22" t="str">
        <f>HYPERLINK("https://app.vivvix.com/360/KMI/IntelliDrive/ApplUI/Pages/CreativePages/CustomReportCreativeDetail.aspx?App=23&amp;ReportView=4&amp;Qid=1711279&amp;Row=13393&amp;Col=1","No Title Assigned - #15273803819")</f>
        <v/>
      </c>
      <c r="B13401" s="0" t="s">
        <v>17953</v>
      </c>
      <c r="E13401" s="0" t="inlineStr">
        <is>
          <t xml:space="preserve">Mazda</t>
        </is>
      </c>
      <c r="F13401" s="0" t="inlineStr">
        <is>
          <t xml:space="preserve">Mazda</t>
        </is>
      </c>
      <c r="G13401" s="0" t="s">
        <v>171</v>
      </c>
      <c r="H13401" s="5">
        <v>1401.713300</v>
      </c>
    </row>
    <row r="13402" spans="1:9">
      <c r="A13402" s="22" t="str">
        <f>HYPERLINK("https://app.vivvix.com/360/KMI/IntelliDrive/ApplUI/Pages/CreativePages/CustomReportCreativeDetail.aspx?App=23&amp;ReportView=4&amp;Qid=1711279&amp;Row=13394&amp;Col=1","No Title Assigned - #15273803855")</f>
        <v/>
      </c>
      <c r="B13402" s="0" t="s">
        <v>17954</v>
      </c>
      <c r="E13402" s="0" t="inlineStr">
        <is>
          <t xml:space="preserve">Mazda</t>
        </is>
      </c>
      <c r="F13402" s="0" t="inlineStr">
        <is>
          <t xml:space="preserve">Mazda</t>
        </is>
      </c>
      <c r="G13402" s="0" t="s">
        <v>171</v>
      </c>
      <c r="H13402" s="5">
        <v>2308.212400</v>
      </c>
    </row>
    <row r="13403" spans="1:9">
      <c r="A13403" s="22" t="str">
        <f>HYPERLINK("https://app.vivvix.com/360/KMI/IntelliDrive/ApplUI/Pages/CreativePages/CustomReportCreativeDetail.aspx?App=23&amp;ReportView=4&amp;Qid=1711279&amp;Row=13395&amp;Col=1","No Title Assigned - #15273804011")</f>
        <v/>
      </c>
      <c r="B13403" s="0" t="s">
        <v>17955</v>
      </c>
      <c r="E13403" s="0" t="inlineStr">
        <is>
          <t xml:space="preserve">Mazda</t>
        </is>
      </c>
      <c r="F13403" s="0" t="inlineStr">
        <is>
          <t xml:space="preserve">Mazda</t>
        </is>
      </c>
      <c r="G13403" s="0" t="s">
        <v>171</v>
      </c>
      <c r="H13403" s="5">
        <v>1696.853000</v>
      </c>
    </row>
    <row r="13404" spans="1:9">
      <c r="A13404" s="22" t="str">
        <f>HYPERLINK("https://app.vivvix.com/360/KMI/IntelliDrive/ApplUI/Pages/CreativePages/CustomReportCreativeDetail.aspx?App=23&amp;ReportView=4&amp;Qid=1711279&amp;Row=13396&amp;Col=1","No Title Assigned - #15273804135")</f>
        <v/>
      </c>
      <c r="B13404" s="0" t="s">
        <v>17956</v>
      </c>
      <c r="E13404" s="0" t="inlineStr">
        <is>
          <t xml:space="preserve">Mazda</t>
        </is>
      </c>
      <c r="F13404" s="0" t="inlineStr">
        <is>
          <t xml:space="preserve">Mazda</t>
        </is>
      </c>
      <c r="G13404" s="0" t="s">
        <v>171</v>
      </c>
      <c r="H13404" s="5">
        <v>287.754600</v>
      </c>
    </row>
    <row r="13405" spans="1:9">
      <c r="A13405" s="22" t="str">
        <f>HYPERLINK("https://app.vivvix.com/360/KMI/IntelliDrive/ApplUI/Pages/CreativePages/CustomReportCreativeDetail.aspx?App=23&amp;ReportView=4&amp;Qid=1711279&amp;Row=13397&amp;Col=1","No Title Assigned - #15273804361")</f>
        <v/>
      </c>
      <c r="B13405" s="0" t="s">
        <v>17957</v>
      </c>
      <c r="E13405" s="0" t="inlineStr">
        <is>
          <t xml:space="preserve">Mazda</t>
        </is>
      </c>
      <c r="F13405" s="0" t="inlineStr">
        <is>
          <t xml:space="preserve">Mazda</t>
        </is>
      </c>
      <c r="G13405" s="0" t="s">
        <v>171</v>
      </c>
      <c r="H13405" s="5">
        <v>12.310100</v>
      </c>
    </row>
    <row r="13406" spans="1:9">
      <c r="A13406" s="22" t="str">
        <f>HYPERLINK("https://app.vivvix.com/360/KMI/IntelliDrive/ApplUI/Pages/CreativePages/CustomReportCreativeDetail.aspx?App=23&amp;ReportView=4&amp;Qid=1711279&amp;Row=13398&amp;Col=1","No Title Assigned - #15273804416")</f>
        <v/>
      </c>
      <c r="B13406" s="0" t="s">
        <v>17958</v>
      </c>
      <c r="C13406" s="0" t="s">
        <v>17959</v>
      </c>
      <c r="D13406" s="0" t="s">
        <v>17959</v>
      </c>
      <c r="E13406" s="0" t="inlineStr">
        <is>
          <t xml:space="preserve">Mazda</t>
        </is>
      </c>
      <c r="F13406" s="0" t="inlineStr">
        <is>
          <t xml:space="preserve">Mazda</t>
        </is>
      </c>
      <c r="G13406" s="0" t="s">
        <v>171</v>
      </c>
      <c r="H13406" s="5">
        <v>13.654000</v>
      </c>
    </row>
    <row r="13407" spans="1:9">
      <c r="A13407" s="22" t="str">
        <f>HYPERLINK("https://app.vivvix.com/360/KMI/IntelliDrive/ApplUI/Pages/CreativePages/CustomReportCreativeDetail.aspx?App=23&amp;ReportView=4&amp;Qid=1711279&amp;Row=13399&amp;Col=1","No Title Assigned - #15273804549")</f>
        <v/>
      </c>
      <c r="B13407" s="0" t="s">
        <v>17960</v>
      </c>
      <c r="E13407" s="0" t="inlineStr">
        <is>
          <t xml:space="preserve">Mazda</t>
        </is>
      </c>
      <c r="F13407" s="0" t="inlineStr">
        <is>
          <t xml:space="preserve">Mazda</t>
        </is>
      </c>
      <c r="G13407" s="0" t="s">
        <v>171</v>
      </c>
      <c r="H13407" s="5">
        <v>28.441100</v>
      </c>
    </row>
    <row r="13408" spans="1:9">
      <c r="A13408" s="22" t="str">
        <f>HYPERLINK("https://app.vivvix.com/360/KMI/IntelliDrive/ApplUI/Pages/CreativePages/CustomReportCreativeDetail.aspx?App=23&amp;ReportView=4&amp;Qid=1711279&amp;Row=13400&amp;Col=1","No Title Assigned - #15273804563")</f>
        <v/>
      </c>
      <c r="B13408" s="0" t="s">
        <v>17961</v>
      </c>
      <c r="E13408" s="0" t="inlineStr">
        <is>
          <t xml:space="preserve">Mazda</t>
        </is>
      </c>
      <c r="F13408" s="0" t="inlineStr">
        <is>
          <t xml:space="preserve">Mazda</t>
        </is>
      </c>
      <c r="G13408" s="0" t="s">
        <v>171</v>
      </c>
      <c r="H13408" s="5">
        <v>52.704700</v>
      </c>
    </row>
    <row r="13409" spans="1:9">
      <c r="A13409" s="22" t="str">
        <f>HYPERLINK("https://app.vivvix.com/360/KMI/IntelliDrive/ApplUI/Pages/CreativePages/CustomReportCreativeDetail.aspx?App=23&amp;ReportView=4&amp;Qid=1711279&amp;Row=13401&amp;Col=1","No Title Assigned - #15273804765")</f>
        <v/>
      </c>
      <c r="B13409" s="0" t="s">
        <v>17962</v>
      </c>
      <c r="E13409" s="0" t="inlineStr">
        <is>
          <t xml:space="preserve">Mazda</t>
        </is>
      </c>
      <c r="F13409" s="0" t="inlineStr">
        <is>
          <t xml:space="preserve">Mazda</t>
        </is>
      </c>
      <c r="G13409" s="0" t="s">
        <v>171</v>
      </c>
      <c r="H13409" s="5">
        <v>41.840700</v>
      </c>
    </row>
    <row r="13410" spans="1:9">
      <c r="A13410" s="22" t="str">
        <f>HYPERLINK("https://app.vivvix.com/360/KMI/IntelliDrive/ApplUI/Pages/CreativePages/CustomReportCreativeDetail.aspx?App=23&amp;ReportView=4&amp;Qid=1711279&amp;Row=13402&amp;Col=1","No Title Assigned - #15273804775")</f>
        <v/>
      </c>
      <c r="B13410" s="0" t="s">
        <v>17963</v>
      </c>
      <c r="C13410" s="0" t="s">
        <v>17964</v>
      </c>
      <c r="D13410" s="0" t="s">
        <v>17964</v>
      </c>
      <c r="E13410" s="0" t="inlineStr">
        <is>
          <t xml:space="preserve">Mazda</t>
        </is>
      </c>
      <c r="F13410" s="0" t="inlineStr">
        <is>
          <t xml:space="preserve">Mazda</t>
        </is>
      </c>
      <c r="G13410" s="0" t="s">
        <v>171</v>
      </c>
      <c r="H13410" s="5">
        <v>877.235800</v>
      </c>
    </row>
    <row r="13411" spans="1:9">
      <c r="A13411" s="22" t="str">
        <f>HYPERLINK("https://app.vivvix.com/360/KMI/IntelliDrive/ApplUI/Pages/CreativePages/CustomReportCreativeDetail.aspx?App=23&amp;ReportView=4&amp;Qid=1711279&amp;Row=13403&amp;Col=1","No Title Assigned - #15273804943")</f>
        <v/>
      </c>
      <c r="B13411" s="0" t="s">
        <v>17965</v>
      </c>
      <c r="E13411" s="0" t="inlineStr">
        <is>
          <t xml:space="preserve">Mazda</t>
        </is>
      </c>
      <c r="F13411" s="0" t="inlineStr">
        <is>
          <t xml:space="preserve">Mazda</t>
        </is>
      </c>
      <c r="G13411" s="0" t="s">
        <v>171</v>
      </c>
      <c r="H13411" s="5">
        <v>20.171500</v>
      </c>
    </row>
    <row r="13412" spans="1:9">
      <c r="A13412" s="22" t="str">
        <f>HYPERLINK("https://app.vivvix.com/360/KMI/IntelliDrive/ApplUI/Pages/CreativePages/CustomReportCreativeDetail.aspx?App=23&amp;ReportView=4&amp;Qid=1711279&amp;Row=13404&amp;Col=1","No Title Assigned - #15273805193")</f>
        <v/>
      </c>
      <c r="B13412" s="0" t="s">
        <v>17966</v>
      </c>
      <c r="E13412" s="0" t="inlineStr">
        <is>
          <t xml:space="preserve">Mazda</t>
        </is>
      </c>
      <c r="F13412" s="0" t="inlineStr">
        <is>
          <t xml:space="preserve">Mazda</t>
        </is>
      </c>
      <c r="G13412" s="0" t="s">
        <v>171</v>
      </c>
      <c r="H13412" s="5">
        <v>1428.075400</v>
      </c>
    </row>
    <row r="13413" spans="1:9">
      <c r="A13413" s="22" t="str">
        <f>HYPERLINK("https://app.vivvix.com/360/KMI/IntelliDrive/ApplUI/Pages/CreativePages/CustomReportCreativeDetail.aspx?App=23&amp;ReportView=4&amp;Qid=1711279&amp;Row=13405&amp;Col=1","No Title Assigned - #15273805202")</f>
        <v/>
      </c>
      <c r="B13413" s="0" t="s">
        <v>17967</v>
      </c>
      <c r="E13413" s="0" t="inlineStr">
        <is>
          <t xml:space="preserve">Mazda</t>
        </is>
      </c>
      <c r="F13413" s="0" t="inlineStr">
        <is>
          <t xml:space="preserve">Mazda</t>
        </is>
      </c>
      <c r="G13413" s="0" t="s">
        <v>171</v>
      </c>
      <c r="H13413" s="5">
        <v>2628.007900</v>
      </c>
    </row>
    <row r="13414" spans="1:9">
      <c r="A13414" s="22" t="str">
        <f>HYPERLINK("https://app.vivvix.com/360/KMI/IntelliDrive/ApplUI/Pages/CreativePages/CustomReportCreativeDetail.aspx?App=23&amp;ReportView=4&amp;Qid=1711279&amp;Row=13406&amp;Col=1","No Title Assigned - #15273805287")</f>
        <v/>
      </c>
      <c r="B13414" s="0" t="s">
        <v>17968</v>
      </c>
      <c r="E13414" s="0" t="inlineStr">
        <is>
          <t xml:space="preserve">Mazda</t>
        </is>
      </c>
      <c r="F13414" s="0" t="inlineStr">
        <is>
          <t xml:space="preserve">Mazda</t>
        </is>
      </c>
      <c r="G13414" s="0" t="s">
        <v>171</v>
      </c>
      <c r="H13414" s="5">
        <v>392.975500</v>
      </c>
    </row>
    <row r="13415" spans="1:9">
      <c r="A13415" s="22" t="str">
        <f>HYPERLINK("https://app.vivvix.com/360/KMI/IntelliDrive/ApplUI/Pages/CreativePages/CustomReportCreativeDetail.aspx?App=23&amp;ReportView=4&amp;Qid=1711279&amp;Row=13407&amp;Col=1","No Title Assigned - #15273805325")</f>
        <v/>
      </c>
      <c r="B13415" s="0" t="s">
        <v>17969</v>
      </c>
      <c r="E13415" s="0" t="inlineStr">
        <is>
          <t xml:space="preserve">Mazda</t>
        </is>
      </c>
      <c r="F13415" s="0" t="inlineStr">
        <is>
          <t xml:space="preserve">Mazda</t>
        </is>
      </c>
      <c r="G13415" s="0" t="s">
        <v>171</v>
      </c>
      <c r="H13415" s="5">
        <v>420.231200</v>
      </c>
    </row>
    <row r="13416" spans="1:9">
      <c r="A13416" s="22" t="str">
        <f>HYPERLINK("https://app.vivvix.com/360/KMI/IntelliDrive/ApplUI/Pages/CreativePages/CustomReportCreativeDetail.aspx?App=23&amp;ReportView=4&amp;Qid=1711279&amp;Row=13408&amp;Col=1","No Title Assigned - #15273805325")</f>
        <v/>
      </c>
      <c r="B13416" s="0" t="s">
        <v>17969</v>
      </c>
      <c r="E13416" s="0" t="inlineStr">
        <is>
          <t xml:space="preserve">Mazda</t>
        </is>
      </c>
      <c r="F13416" s="0" t="inlineStr">
        <is>
          <t xml:space="preserve">Mazda</t>
        </is>
      </c>
      <c r="G13416" s="0" t="s">
        <v>171</v>
      </c>
      <c r="H13416" s="5">
        <v>14091.812500</v>
      </c>
    </row>
    <row r="13417" spans="1:9">
      <c r="A13417" s="22" t="str">
        <f>HYPERLINK("https://app.vivvix.com/360/KMI/IntelliDrive/ApplUI/Pages/CreativePages/CustomReportCreativeDetail.aspx?App=23&amp;ReportView=4&amp;Qid=1711279&amp;Row=13409&amp;Col=1","No Title Assigned - #15273805425")</f>
        <v/>
      </c>
      <c r="B13417" s="0" t="s">
        <v>17970</v>
      </c>
      <c r="E13417" s="0" t="inlineStr">
        <is>
          <t xml:space="preserve">Mazda</t>
        </is>
      </c>
      <c r="F13417" s="0" t="inlineStr">
        <is>
          <t xml:space="preserve">Mazda</t>
        </is>
      </c>
      <c r="G13417" s="0" t="s">
        <v>171</v>
      </c>
      <c r="H13417" s="5">
        <v>880.689600</v>
      </c>
    </row>
    <row r="13418" spans="1:9">
      <c r="A13418" s="22" t="str">
        <f>HYPERLINK("https://app.vivvix.com/360/KMI/IntelliDrive/ApplUI/Pages/CreativePages/CustomReportCreativeDetail.aspx?App=23&amp;ReportView=4&amp;Qid=1711279&amp;Row=13410&amp;Col=1","No Title Assigned - #15273805628")</f>
        <v/>
      </c>
      <c r="B13418" s="0" t="s">
        <v>17971</v>
      </c>
      <c r="E13418" s="0" t="inlineStr">
        <is>
          <t xml:space="preserve">Mazda</t>
        </is>
      </c>
      <c r="F13418" s="0" t="inlineStr">
        <is>
          <t xml:space="preserve">Mazda</t>
        </is>
      </c>
      <c r="G13418" s="0" t="s">
        <v>171</v>
      </c>
      <c r="H13418" s="5">
        <v>134.785800</v>
      </c>
    </row>
    <row r="13419" spans="1:9">
      <c r="A13419" s="22" t="str">
        <f>HYPERLINK("https://app.vivvix.com/360/KMI/IntelliDrive/ApplUI/Pages/CreativePages/CustomReportCreativeDetail.aspx?App=23&amp;ReportView=4&amp;Qid=1711279&amp;Row=13411&amp;Col=1","No Title Assigned - #15273805702")</f>
        <v/>
      </c>
      <c r="B13419" s="0" t="s">
        <v>17972</v>
      </c>
      <c r="E13419" s="0" t="inlineStr">
        <is>
          <t xml:space="preserve">Mazda</t>
        </is>
      </c>
      <c r="F13419" s="0" t="inlineStr">
        <is>
          <t xml:space="preserve">Mazda</t>
        </is>
      </c>
      <c r="G13419" s="0" t="s">
        <v>171</v>
      </c>
      <c r="H13419" s="5">
        <v>20.934600</v>
      </c>
    </row>
    <row r="13420" spans="1:9">
      <c r="A13420" s="22" t="str">
        <f>HYPERLINK("https://app.vivvix.com/360/KMI/IntelliDrive/ApplUI/Pages/CreativePages/CustomReportCreativeDetail.aspx?App=23&amp;ReportView=4&amp;Qid=1711279&amp;Row=13412&amp;Col=1","No Title Assigned - #15273805743")</f>
        <v/>
      </c>
      <c r="B13420" s="0" t="s">
        <v>17973</v>
      </c>
      <c r="E13420" s="0" t="inlineStr">
        <is>
          <t xml:space="preserve">Mazda</t>
        </is>
      </c>
      <c r="F13420" s="0" t="inlineStr">
        <is>
          <t xml:space="preserve">Mazda</t>
        </is>
      </c>
      <c r="G13420" s="0" t="s">
        <v>171</v>
      </c>
      <c r="H13420" s="5">
        <v>5.055300</v>
      </c>
    </row>
    <row r="13421" spans="1:9">
      <c r="A13421" s="22" t="str">
        <f>HYPERLINK("https://app.vivvix.com/360/KMI/IntelliDrive/ApplUI/Pages/CreativePages/CustomReportCreativeDetail.aspx?App=23&amp;ReportView=4&amp;Qid=1711279&amp;Row=13413&amp;Col=1","No Title Assigned - #15273805748")</f>
        <v/>
      </c>
      <c r="B13421" s="0" t="s">
        <v>17974</v>
      </c>
      <c r="E13421" s="0" t="inlineStr">
        <is>
          <t xml:space="preserve">Mazda</t>
        </is>
      </c>
      <c r="F13421" s="0" t="inlineStr">
        <is>
          <t xml:space="preserve">Mazda</t>
        </is>
      </c>
      <c r="G13421" s="0" t="s">
        <v>171</v>
      </c>
      <c r="H13421" s="5">
        <v>25.502500</v>
      </c>
    </row>
    <row r="13422" spans="1:9">
      <c r="A13422" s="22" t="str">
        <f>HYPERLINK("https://app.vivvix.com/360/KMI/IntelliDrive/ApplUI/Pages/CreativePages/CustomReportCreativeDetail.aspx?App=23&amp;ReportView=4&amp;Qid=1711279&amp;Row=13414&amp;Col=1","No Title Assigned - #15273805838")</f>
        <v/>
      </c>
      <c r="B13422" s="0" t="s">
        <v>17975</v>
      </c>
      <c r="E13422" s="0" t="inlineStr">
        <is>
          <t xml:space="preserve">Mazda</t>
        </is>
      </c>
      <c r="F13422" s="0" t="inlineStr">
        <is>
          <t xml:space="preserve">Mazda</t>
        </is>
      </c>
      <c r="G13422" s="0" t="s">
        <v>171</v>
      </c>
      <c r="H13422" s="5">
        <v>7499.947500</v>
      </c>
    </row>
    <row r="13423" spans="1:9">
      <c r="A13423" s="22" t="str">
        <f>HYPERLINK("https://app.vivvix.com/360/KMI/IntelliDrive/ApplUI/Pages/CreativePages/CustomReportCreativeDetail.aspx?App=23&amp;ReportView=4&amp;Qid=1711279&amp;Row=13415&amp;Col=1","No Title Assigned - #15273805857")</f>
        <v/>
      </c>
      <c r="B13423" s="0" t="s">
        <v>17976</v>
      </c>
      <c r="E13423" s="0" t="inlineStr">
        <is>
          <t xml:space="preserve">Mazda</t>
        </is>
      </c>
      <c r="F13423" s="0" t="inlineStr">
        <is>
          <t xml:space="preserve">Mazda</t>
        </is>
      </c>
      <c r="G13423" s="0" t="s">
        <v>171</v>
      </c>
      <c r="H13423" s="5">
        <v>6.827000</v>
      </c>
    </row>
    <row r="13424" spans="1:9">
      <c r="A13424" s="22" t="str">
        <f>HYPERLINK("https://app.vivvix.com/360/KMI/IntelliDrive/ApplUI/Pages/CreativePages/CustomReportCreativeDetail.aspx?App=23&amp;ReportView=4&amp;Qid=1711279&amp;Row=13416&amp;Col=1","No Title Assigned - #15273805888")</f>
        <v/>
      </c>
      <c r="B13424" s="0" t="s">
        <v>17977</v>
      </c>
      <c r="E13424" s="0" t="inlineStr">
        <is>
          <t xml:space="preserve">Mazda</t>
        </is>
      </c>
      <c r="F13424" s="0" t="inlineStr">
        <is>
          <t xml:space="preserve">Mazda</t>
        </is>
      </c>
      <c r="G13424" s="0" t="s">
        <v>171</v>
      </c>
      <c r="H13424" s="5">
        <v>46.165200</v>
      </c>
    </row>
    <row r="13425" spans="1:9">
      <c r="A13425" s="22" t="str">
        <f>HYPERLINK("https://app.vivvix.com/360/KMI/IntelliDrive/ApplUI/Pages/CreativePages/CustomReportCreativeDetail.aspx?App=23&amp;ReportView=4&amp;Qid=1711279&amp;Row=13417&amp;Col=1","No Title Assigned - #15273805993")</f>
        <v/>
      </c>
      <c r="B13425" s="0" t="s">
        <v>17978</v>
      </c>
      <c r="E13425" s="0" t="inlineStr">
        <is>
          <t xml:space="preserve">Mazda</t>
        </is>
      </c>
      <c r="F13425" s="0" t="inlineStr">
        <is>
          <t xml:space="preserve">Mazda</t>
        </is>
      </c>
      <c r="G13425" s="0" t="s">
        <v>171</v>
      </c>
      <c r="H13425" s="5">
        <v>28.285100</v>
      </c>
    </row>
    <row r="13426" spans="1:9">
      <c r="A13426" s="22" t="str">
        <f>HYPERLINK("https://app.vivvix.com/360/KMI/IntelliDrive/ApplUI/Pages/CreativePages/CustomReportCreativeDetail.aspx?App=23&amp;ReportView=4&amp;Qid=1711279&amp;Row=13418&amp;Col=1","No Title Assigned - #15273806075")</f>
        <v/>
      </c>
      <c r="B13426" s="0" t="s">
        <v>17979</v>
      </c>
      <c r="E13426" s="0" t="inlineStr">
        <is>
          <t xml:space="preserve">Mazda</t>
        </is>
      </c>
      <c r="F13426" s="0" t="inlineStr">
        <is>
          <t xml:space="preserve">Mazda</t>
        </is>
      </c>
      <c r="G13426" s="0" t="s">
        <v>171</v>
      </c>
      <c r="H13426" s="5">
        <v>18.143300</v>
      </c>
    </row>
    <row r="13427" spans="1:9">
      <c r="A13427" s="22" t="str">
        <f>HYPERLINK("https://app.vivvix.com/360/KMI/IntelliDrive/ApplUI/Pages/CreativePages/CustomReportCreativeDetail.aspx?App=23&amp;ReportView=4&amp;Qid=1711279&amp;Row=13419&amp;Col=1","No Title Assigned - #15273806199")</f>
        <v/>
      </c>
      <c r="B13427" s="0" t="s">
        <v>17980</v>
      </c>
      <c r="E13427" s="0" t="inlineStr">
        <is>
          <t xml:space="preserve">Mazda</t>
        </is>
      </c>
      <c r="F13427" s="0" t="inlineStr">
        <is>
          <t xml:space="preserve">Mazda</t>
        </is>
      </c>
      <c r="G13427" s="0" t="s">
        <v>171</v>
      </c>
      <c r="H13427" s="5">
        <v>1214.153700</v>
      </c>
    </row>
    <row r="13428" spans="1:9">
      <c r="A13428" s="22" t="str">
        <f>HYPERLINK("https://app.vivvix.com/360/KMI/IntelliDrive/ApplUI/Pages/CreativePages/CustomReportCreativeDetail.aspx?App=23&amp;ReportView=4&amp;Qid=1711279&amp;Row=13420&amp;Col=1","No Title Assigned - #15273806222")</f>
        <v/>
      </c>
      <c r="B13428" s="0" t="s">
        <v>17981</v>
      </c>
      <c r="E13428" s="0" t="inlineStr">
        <is>
          <t xml:space="preserve">Mazda</t>
        </is>
      </c>
      <c r="F13428" s="0" t="inlineStr">
        <is>
          <t xml:space="preserve">Mazda</t>
        </is>
      </c>
      <c r="G13428" s="0" t="s">
        <v>171</v>
      </c>
      <c r="H13428" s="5">
        <v>14.344500</v>
      </c>
    </row>
    <row r="13429" spans="1:9">
      <c r="A13429" s="22" t="str">
        <f>HYPERLINK("https://app.vivvix.com/360/KMI/IntelliDrive/ApplUI/Pages/CreativePages/CustomReportCreativeDetail.aspx?App=23&amp;ReportView=4&amp;Qid=1711279&amp;Row=13421&amp;Col=1","No Title Assigned - #15273806287")</f>
        <v/>
      </c>
      <c r="B13429" s="0" t="s">
        <v>17982</v>
      </c>
      <c r="E13429" s="0" t="inlineStr">
        <is>
          <t xml:space="preserve">Mazda</t>
        </is>
      </c>
      <c r="F13429" s="0" t="inlineStr">
        <is>
          <t xml:space="preserve">Mazda</t>
        </is>
      </c>
      <c r="G13429" s="0" t="s">
        <v>171</v>
      </c>
      <c r="H13429" s="5">
        <v>167.598700</v>
      </c>
    </row>
    <row r="13430" spans="1:9">
      <c r="A13430" s="22" t="str">
        <f>HYPERLINK("https://app.vivvix.com/360/KMI/IntelliDrive/ApplUI/Pages/CreativePages/CustomReportCreativeDetail.aspx?App=23&amp;ReportView=4&amp;Qid=1711279&amp;Row=13422&amp;Col=1","No Title Assigned - #15273806344")</f>
        <v/>
      </c>
      <c r="B13430" s="0" t="s">
        <v>17983</v>
      </c>
      <c r="E13430" s="0" t="inlineStr">
        <is>
          <t xml:space="preserve">Mazda</t>
        </is>
      </c>
      <c r="F13430" s="0" t="inlineStr">
        <is>
          <t xml:space="preserve">Mazda</t>
        </is>
      </c>
      <c r="G13430" s="0" t="s">
        <v>171</v>
      </c>
      <c r="H13430" s="5">
        <v>487.336500</v>
      </c>
    </row>
    <row r="13431" spans="1:9">
      <c r="A13431" s="22" t="str">
        <f>HYPERLINK("https://app.vivvix.com/360/KMI/IntelliDrive/ApplUI/Pages/CreativePages/CustomReportCreativeDetail.aspx?App=23&amp;ReportView=4&amp;Qid=1711279&amp;Row=13423&amp;Col=1","No Title Assigned - #15273806370")</f>
        <v/>
      </c>
      <c r="B13431" s="0" t="s">
        <v>17984</v>
      </c>
      <c r="C13431" s="0" t="s">
        <v>17985</v>
      </c>
      <c r="D13431" s="0" t="s">
        <v>17985</v>
      </c>
      <c r="E13431" s="0" t="inlineStr">
        <is>
          <t xml:space="preserve">Mazda</t>
        </is>
      </c>
      <c r="F13431" s="0" t="inlineStr">
        <is>
          <t xml:space="preserve">Mazda</t>
        </is>
      </c>
      <c r="G13431" s="0" t="s">
        <v>171</v>
      </c>
      <c r="H13431" s="5">
        <v>19.808200</v>
      </c>
    </row>
    <row r="13432" spans="1:9">
      <c r="A13432" s="22" t="str">
        <f>HYPERLINK("https://app.vivvix.com/360/KMI/IntelliDrive/ApplUI/Pages/CreativePages/CustomReportCreativeDetail.aspx?App=23&amp;ReportView=4&amp;Qid=1711279&amp;Row=13424&amp;Col=1","No Title Assigned - #15273806483")</f>
        <v/>
      </c>
      <c r="B13432" s="0" t="s">
        <v>17986</v>
      </c>
      <c r="E13432" s="0" t="inlineStr">
        <is>
          <t xml:space="preserve">Mazda</t>
        </is>
      </c>
      <c r="F13432" s="0" t="inlineStr">
        <is>
          <t xml:space="preserve">Mazda</t>
        </is>
      </c>
      <c r="G13432" s="0" t="s">
        <v>171</v>
      </c>
      <c r="H13432" s="5">
        <v>3046.571600</v>
      </c>
    </row>
    <row r="13433" spans="1:9">
      <c r="A13433" s="22" t="str">
        <f>HYPERLINK("https://app.vivvix.com/360/KMI/IntelliDrive/ApplUI/Pages/CreativePages/CustomReportCreativeDetail.aspx?App=23&amp;ReportView=4&amp;Qid=1711279&amp;Row=13425&amp;Col=1","No Title Assigned - #15273806496")</f>
        <v/>
      </c>
      <c r="B13433" s="0" t="s">
        <v>17987</v>
      </c>
      <c r="E13433" s="0" t="inlineStr">
        <is>
          <t xml:space="preserve">Mazda</t>
        </is>
      </c>
      <c r="F13433" s="0" t="inlineStr">
        <is>
          <t xml:space="preserve">Mazda</t>
        </is>
      </c>
      <c r="G13433" s="0" t="s">
        <v>171</v>
      </c>
      <c r="H13433" s="5">
        <v>57.920900</v>
      </c>
    </row>
    <row r="13434" spans="1:9">
      <c r="A13434" s="22" t="str">
        <f>HYPERLINK("https://app.vivvix.com/360/KMI/IntelliDrive/ApplUI/Pages/CreativePages/CustomReportCreativeDetail.aspx?App=23&amp;ReportView=4&amp;Qid=1711279&amp;Row=13426&amp;Col=1","No Title Assigned - #15273806498")</f>
        <v/>
      </c>
      <c r="B13434" s="0" t="s">
        <v>17988</v>
      </c>
      <c r="C13434" s="0" t="s">
        <v>17989</v>
      </c>
      <c r="D13434" s="0" t="s">
        <v>17989</v>
      </c>
      <c r="E13434" s="0" t="inlineStr">
        <is>
          <t xml:space="preserve">Mazda</t>
        </is>
      </c>
      <c r="F13434" s="0" t="inlineStr">
        <is>
          <t xml:space="preserve">Mazda</t>
        </is>
      </c>
      <c r="G13434" s="0" t="s">
        <v>171</v>
      </c>
      <c r="H13434" s="5">
        <v>57.007900</v>
      </c>
    </row>
    <row r="13435" spans="1:9">
      <c r="A13435" s="22" t="str">
        <f>HYPERLINK("https://app.vivvix.com/360/KMI/IntelliDrive/ApplUI/Pages/CreativePages/CustomReportCreativeDetail.aspx?App=23&amp;ReportView=4&amp;Qid=1711279&amp;Row=13427&amp;Col=1","No Title Assigned - #15273806547")</f>
        <v/>
      </c>
      <c r="B13435" s="0" t="s">
        <v>17990</v>
      </c>
      <c r="C13435" s="0" t="s">
        <v>17991</v>
      </c>
      <c r="D13435" s="0" t="s">
        <v>17991</v>
      </c>
      <c r="E13435" s="0" t="inlineStr">
        <is>
          <t xml:space="preserve">Mazda</t>
        </is>
      </c>
      <c r="F13435" s="0" t="inlineStr">
        <is>
          <t xml:space="preserve">Mazda</t>
        </is>
      </c>
      <c r="G13435" s="0" t="s">
        <v>210</v>
      </c>
      <c r="H13435" s="5">
        <v>472.816000</v>
      </c>
    </row>
    <row r="13436" spans="1:9">
      <c r="A13436" s="22" t="str">
        <f>HYPERLINK("https://app.vivvix.com/360/KMI/IntelliDrive/ApplUI/Pages/CreativePages/CustomReportCreativeDetail.aspx?App=23&amp;ReportView=4&amp;Qid=1711279&amp;Row=13428&amp;Col=1","No Title Assigned - #15273806547")</f>
        <v/>
      </c>
      <c r="B13436" s="0" t="s">
        <v>17990</v>
      </c>
      <c r="E13436" s="0" t="inlineStr">
        <is>
          <t xml:space="preserve">Mazda</t>
        </is>
      </c>
      <c r="F13436" s="0" t="inlineStr">
        <is>
          <t xml:space="preserve">Mazda</t>
        </is>
      </c>
      <c r="G13436" s="0" t="s">
        <v>210</v>
      </c>
      <c r="H13436" s="5">
        <v>438.174500</v>
      </c>
    </row>
    <row r="13437" spans="1:9">
      <c r="A13437" s="22" t="str">
        <f>HYPERLINK("https://app.vivvix.com/360/KMI/IntelliDrive/ApplUI/Pages/CreativePages/CustomReportCreativeDetail.aspx?App=23&amp;ReportView=4&amp;Qid=1711279&amp;Row=13429&amp;Col=1","No Title Assigned - #15273806639")</f>
        <v/>
      </c>
      <c r="B13437" s="0" t="s">
        <v>17992</v>
      </c>
      <c r="E13437" s="0" t="inlineStr">
        <is>
          <t xml:space="preserve">Mazda</t>
        </is>
      </c>
      <c r="F13437" s="0" t="inlineStr">
        <is>
          <t xml:space="preserve">Mazda</t>
        </is>
      </c>
      <c r="G13437" s="0" t="s">
        <v>171</v>
      </c>
      <c r="H13437" s="5">
        <v>67.222100</v>
      </c>
    </row>
    <row r="13438" spans="1:9">
      <c r="A13438" s="22" t="str">
        <f>HYPERLINK("https://app.vivvix.com/360/KMI/IntelliDrive/ApplUI/Pages/CreativePages/CustomReportCreativeDetail.aspx?App=23&amp;ReportView=4&amp;Qid=1711279&amp;Row=13430&amp;Col=1","No Title Assigned - #15273806700")</f>
        <v/>
      </c>
      <c r="B13438" s="0" t="s">
        <v>17993</v>
      </c>
      <c r="E13438" s="0" t="inlineStr">
        <is>
          <t xml:space="preserve">Mazda</t>
        </is>
      </c>
      <c r="F13438" s="0" t="inlineStr">
        <is>
          <t xml:space="preserve">Mazda</t>
        </is>
      </c>
      <c r="G13438" s="0" t="s">
        <v>171</v>
      </c>
      <c r="H13438" s="5">
        <v>251.144300</v>
      </c>
    </row>
    <row r="13439" spans="1:9">
      <c r="A13439" s="22" t="str">
        <f>HYPERLINK("https://app.vivvix.com/360/KMI/IntelliDrive/ApplUI/Pages/CreativePages/CustomReportCreativeDetail.aspx?App=23&amp;ReportView=4&amp;Qid=1711279&amp;Row=13431&amp;Col=1","No Title Assigned - #15273806701")</f>
        <v/>
      </c>
      <c r="B13439" s="0" t="s">
        <v>17994</v>
      </c>
      <c r="E13439" s="0" t="inlineStr">
        <is>
          <t xml:space="preserve">Mazda</t>
        </is>
      </c>
      <c r="F13439" s="0" t="inlineStr">
        <is>
          <t xml:space="preserve">Mazda</t>
        </is>
      </c>
      <c r="G13439" s="0" t="s">
        <v>171</v>
      </c>
      <c r="H13439" s="5">
        <v>245.953300</v>
      </c>
    </row>
    <row r="13440" spans="1:9">
      <c r="A13440" s="22" t="str">
        <f>HYPERLINK("https://app.vivvix.com/360/KMI/IntelliDrive/ApplUI/Pages/CreativePages/CustomReportCreativeDetail.aspx?App=23&amp;ReportView=4&amp;Qid=1711279&amp;Row=13432&amp;Col=1","No Title Assigned - #15273806845")</f>
        <v/>
      </c>
      <c r="B13440" s="0" t="s">
        <v>17995</v>
      </c>
      <c r="E13440" s="0" t="inlineStr">
        <is>
          <t xml:space="preserve">Mazda</t>
        </is>
      </c>
      <c r="F13440" s="0" t="inlineStr">
        <is>
          <t xml:space="preserve">Mazda</t>
        </is>
      </c>
      <c r="G13440" s="0" t="s">
        <v>171</v>
      </c>
      <c r="H13440" s="5">
        <v>97.487200</v>
      </c>
    </row>
    <row r="13441" spans="1:9">
      <c r="A13441" s="22" t="str">
        <f>HYPERLINK("https://app.vivvix.com/360/KMI/IntelliDrive/ApplUI/Pages/CreativePages/CustomReportCreativeDetail.aspx?App=23&amp;ReportView=4&amp;Qid=1711279&amp;Row=13433&amp;Col=1","No Title Assigned - #15273807029")</f>
        <v/>
      </c>
      <c r="B13441" s="0" t="s">
        <v>17996</v>
      </c>
      <c r="E13441" s="0" t="inlineStr">
        <is>
          <t xml:space="preserve">Mazda</t>
        </is>
      </c>
      <c r="F13441" s="0" t="inlineStr">
        <is>
          <t xml:space="preserve">Mazda</t>
        </is>
      </c>
      <c r="G13441" s="0" t="s">
        <v>171</v>
      </c>
      <c r="H13441" s="5">
        <v>10.323700</v>
      </c>
    </row>
    <row r="13442" spans="1:9">
      <c r="A13442" s="22" t="str">
        <f>HYPERLINK("https://app.vivvix.com/360/KMI/IntelliDrive/ApplUI/Pages/CreativePages/CustomReportCreativeDetail.aspx?App=23&amp;ReportView=4&amp;Qid=1711279&amp;Row=13434&amp;Col=1","No Title Assigned - #15273807068")</f>
        <v/>
      </c>
      <c r="B13442" s="0" t="s">
        <v>17997</v>
      </c>
      <c r="E13442" s="0" t="inlineStr">
        <is>
          <t xml:space="preserve">Mazda</t>
        </is>
      </c>
      <c r="F13442" s="0" t="inlineStr">
        <is>
          <t xml:space="preserve">Mazda</t>
        </is>
      </c>
      <c r="G13442" s="0" t="s">
        <v>171</v>
      </c>
      <c r="H13442" s="5">
        <v>363.728100</v>
      </c>
    </row>
    <row r="13443" spans="1:9">
      <c r="A13443" s="22" t="str">
        <f>HYPERLINK("https://app.vivvix.com/360/KMI/IntelliDrive/ApplUI/Pages/CreativePages/CustomReportCreativeDetail.aspx?App=23&amp;ReportView=4&amp;Qid=1711279&amp;Row=13435&amp;Col=1","No Title Assigned - #15273807141")</f>
        <v/>
      </c>
      <c r="B13443" s="0" t="s">
        <v>17998</v>
      </c>
      <c r="E13443" s="0" t="inlineStr">
        <is>
          <t xml:space="preserve">Mazda</t>
        </is>
      </c>
      <c r="F13443" s="0" t="inlineStr">
        <is>
          <t xml:space="preserve">Mazda</t>
        </is>
      </c>
      <c r="G13443" s="0" t="s">
        <v>171</v>
      </c>
      <c r="H13443" s="5">
        <v>10.883200</v>
      </c>
    </row>
    <row r="13444" spans="1:9">
      <c r="A13444" s="22" t="str">
        <f>HYPERLINK("https://app.vivvix.com/360/KMI/IntelliDrive/ApplUI/Pages/CreativePages/CustomReportCreativeDetail.aspx?App=23&amp;ReportView=4&amp;Qid=1711279&amp;Row=13436&amp;Col=1","No Title Assigned - #15273807395")</f>
        <v/>
      </c>
      <c r="B13444" s="0" t="s">
        <v>17999</v>
      </c>
      <c r="E13444" s="0" t="inlineStr">
        <is>
          <t xml:space="preserve">Mazda</t>
        </is>
      </c>
      <c r="F13444" s="0" t="inlineStr">
        <is>
          <t xml:space="preserve">Mazda</t>
        </is>
      </c>
      <c r="G13444" s="0" t="s">
        <v>171</v>
      </c>
      <c r="H13444" s="5">
        <v>383.039600</v>
      </c>
    </row>
    <row r="13445" spans="1:9">
      <c r="A13445" s="22" t="str">
        <f>HYPERLINK("https://app.vivvix.com/360/KMI/IntelliDrive/ApplUI/Pages/CreativePages/CustomReportCreativeDetail.aspx?App=23&amp;ReportView=4&amp;Qid=1711279&amp;Row=13437&amp;Col=1","No Title Assigned - #15273807493")</f>
        <v/>
      </c>
      <c r="B13445" s="0" t="s">
        <v>18000</v>
      </c>
      <c r="E13445" s="0" t="inlineStr">
        <is>
          <t xml:space="preserve">Mazda</t>
        </is>
      </c>
      <c r="F13445" s="0" t="inlineStr">
        <is>
          <t xml:space="preserve">Mazda</t>
        </is>
      </c>
      <c r="G13445" s="0" t="s">
        <v>171</v>
      </c>
      <c r="H13445" s="5">
        <v>305.504300</v>
      </c>
    </row>
    <row r="13446" spans="1:9">
      <c r="A13446" s="22" t="str">
        <f>HYPERLINK("https://app.vivvix.com/360/KMI/IntelliDrive/ApplUI/Pages/CreativePages/CustomReportCreativeDetail.aspx?App=23&amp;ReportView=4&amp;Qid=1711279&amp;Row=13438&amp;Col=1","No Title Assigned - #15273807494")</f>
        <v/>
      </c>
      <c r="B13446" s="0" t="s">
        <v>18001</v>
      </c>
      <c r="E13446" s="0" t="inlineStr">
        <is>
          <t xml:space="preserve">Mazda</t>
        </is>
      </c>
      <c r="F13446" s="0" t="inlineStr">
        <is>
          <t xml:space="preserve">Mazda</t>
        </is>
      </c>
      <c r="G13446" s="0" t="s">
        <v>171</v>
      </c>
      <c r="H13446" s="5">
        <v>34.650300</v>
      </c>
    </row>
    <row r="13447" spans="1:9">
      <c r="A13447" s="22" t="str">
        <f>HYPERLINK("https://app.vivvix.com/360/KMI/IntelliDrive/ApplUI/Pages/CreativePages/CustomReportCreativeDetail.aspx?App=23&amp;ReportView=4&amp;Qid=1711279&amp;Row=13439&amp;Col=1","No Title Assigned - #15273807564")</f>
        <v/>
      </c>
      <c r="B13447" s="0" t="s">
        <v>18002</v>
      </c>
      <c r="E13447" s="0" t="inlineStr">
        <is>
          <t xml:space="preserve">Mazda</t>
        </is>
      </c>
      <c r="F13447" s="0" t="inlineStr">
        <is>
          <t xml:space="preserve">Mazda</t>
        </is>
      </c>
      <c r="G13447" s="0" t="s">
        <v>171</v>
      </c>
      <c r="H13447" s="5">
        <v>49.496300</v>
      </c>
    </row>
    <row r="13448" spans="1:9">
      <c r="A13448" s="22" t="str">
        <f>HYPERLINK("https://app.vivvix.com/360/KMI/IntelliDrive/ApplUI/Pages/CreativePages/CustomReportCreativeDetail.aspx?App=23&amp;ReportView=4&amp;Qid=1711279&amp;Row=13440&amp;Col=1","No Title Assigned - #15273807628")</f>
        <v/>
      </c>
      <c r="B13448" s="0" t="s">
        <v>18003</v>
      </c>
      <c r="E13448" s="0" t="inlineStr">
        <is>
          <t xml:space="preserve">Mazda</t>
        </is>
      </c>
      <c r="F13448" s="0" t="inlineStr">
        <is>
          <t xml:space="preserve">Mazda</t>
        </is>
      </c>
      <c r="G13448" s="0" t="s">
        <v>171</v>
      </c>
      <c r="H13448" s="5">
        <v>64.207400</v>
      </c>
    </row>
    <row r="13449" spans="1:9">
      <c r="A13449" s="22" t="str">
        <f>HYPERLINK("https://app.vivvix.com/360/KMI/IntelliDrive/ApplUI/Pages/CreativePages/CustomReportCreativeDetail.aspx?App=23&amp;ReportView=4&amp;Qid=1711279&amp;Row=13441&amp;Col=1","No Title Assigned - #15273807677")</f>
        <v/>
      </c>
      <c r="B13449" s="0" t="s">
        <v>18004</v>
      </c>
      <c r="E13449" s="0" t="inlineStr">
        <is>
          <t xml:space="preserve">Mazda</t>
        </is>
      </c>
      <c r="F13449" s="0" t="inlineStr">
        <is>
          <t xml:space="preserve">Mazda</t>
        </is>
      </c>
      <c r="G13449" s="0" t="s">
        <v>171</v>
      </c>
      <c r="H13449" s="5">
        <v>2459.533000</v>
      </c>
    </row>
    <row r="13450" spans="1:9">
      <c r="A13450" s="22" t="str">
        <f>HYPERLINK("https://app.vivvix.com/360/KMI/IntelliDrive/ApplUI/Pages/CreativePages/CustomReportCreativeDetail.aspx?App=23&amp;ReportView=4&amp;Qid=1711279&amp;Row=13442&amp;Col=1","No Title Assigned - #15273807682")</f>
        <v/>
      </c>
      <c r="B13450" s="0" t="s">
        <v>18005</v>
      </c>
      <c r="E13450" s="0" t="inlineStr">
        <is>
          <t xml:space="preserve">Mazda</t>
        </is>
      </c>
      <c r="F13450" s="0" t="inlineStr">
        <is>
          <t xml:space="preserve">Mazda</t>
        </is>
      </c>
      <c r="G13450" s="0" t="s">
        <v>171</v>
      </c>
      <c r="H13450" s="5">
        <v>749.010200</v>
      </c>
    </row>
    <row r="13451" spans="1:9">
      <c r="A13451" s="22" t="str">
        <f>HYPERLINK("https://app.vivvix.com/360/KMI/IntelliDrive/ApplUI/Pages/CreativePages/CustomReportCreativeDetail.aspx?App=23&amp;ReportView=4&amp;Qid=1711279&amp;Row=13443&amp;Col=1","No Title Assigned - #15273807690")</f>
        <v/>
      </c>
      <c r="B13451" s="0" t="s">
        <v>18006</v>
      </c>
      <c r="C13451" s="0" t="s">
        <v>18007</v>
      </c>
      <c r="D13451" s="0" t="s">
        <v>18007</v>
      </c>
      <c r="E13451" s="0" t="inlineStr">
        <is>
          <t xml:space="preserve">Mazda</t>
        </is>
      </c>
      <c r="F13451" s="0" t="inlineStr">
        <is>
          <t xml:space="preserve">Mazda</t>
        </is>
      </c>
      <c r="G13451" s="0" t="s">
        <v>171</v>
      </c>
      <c r="H13451" s="5">
        <v>67.222100</v>
      </c>
    </row>
    <row r="13452" spans="1:9">
      <c r="A13452" s="22" t="str">
        <f>HYPERLINK("https://app.vivvix.com/360/KMI/IntelliDrive/ApplUI/Pages/CreativePages/CustomReportCreativeDetail.aspx?App=23&amp;ReportView=4&amp;Qid=1711279&amp;Row=13444&amp;Col=1","No Title Assigned - #15273807706")</f>
        <v/>
      </c>
      <c r="B13452" s="0" t="s">
        <v>18008</v>
      </c>
      <c r="E13452" s="0" t="inlineStr">
        <is>
          <t xml:space="preserve">Mazda</t>
        </is>
      </c>
      <c r="F13452" s="0" t="inlineStr">
        <is>
          <t xml:space="preserve">Mazda</t>
        </is>
      </c>
      <c r="G13452" s="0" t="s">
        <v>171</v>
      </c>
      <c r="H13452" s="5">
        <v>619.080900</v>
      </c>
    </row>
    <row r="13453" spans="1:9">
      <c r="A13453" s="22" t="str">
        <f>HYPERLINK("https://app.vivvix.com/360/KMI/IntelliDrive/ApplUI/Pages/CreativePages/CustomReportCreativeDetail.aspx?App=23&amp;ReportView=4&amp;Qid=1711279&amp;Row=13445&amp;Col=1","No Title Assigned - #15273807727")</f>
        <v/>
      </c>
      <c r="B13453" s="0" t="s">
        <v>18009</v>
      </c>
      <c r="E13453" s="0" t="inlineStr">
        <is>
          <t xml:space="preserve">Mazda</t>
        </is>
      </c>
      <c r="F13453" s="0" t="inlineStr">
        <is>
          <t xml:space="preserve">Mazda</t>
        </is>
      </c>
      <c r="G13453" s="0" t="s">
        <v>171</v>
      </c>
      <c r="H13453" s="5">
        <v>164.947700</v>
      </c>
    </row>
    <row r="13454" spans="1:9">
      <c r="A13454" s="22" t="str">
        <f>HYPERLINK("https://app.vivvix.com/360/KMI/IntelliDrive/ApplUI/Pages/CreativePages/CustomReportCreativeDetail.aspx?App=23&amp;ReportView=4&amp;Qid=1711279&amp;Row=13446&amp;Col=1","No Title Assigned - #15273807813")</f>
        <v/>
      </c>
      <c r="B13454" s="0" t="s">
        <v>18010</v>
      </c>
      <c r="E13454" s="0" t="inlineStr">
        <is>
          <t xml:space="preserve">Mazda</t>
        </is>
      </c>
      <c r="F13454" s="0" t="inlineStr">
        <is>
          <t xml:space="preserve">Mazda</t>
        </is>
      </c>
      <c r="G13454" s="0" t="s">
        <v>171</v>
      </c>
      <c r="H13454" s="5">
        <v>6.413800</v>
      </c>
    </row>
    <row r="13455" spans="1:9">
      <c r="A13455" s="22" t="str">
        <f>HYPERLINK("https://app.vivvix.com/360/KMI/IntelliDrive/ApplUI/Pages/CreativePages/CustomReportCreativeDetail.aspx?App=23&amp;ReportView=4&amp;Qid=1711279&amp;Row=13447&amp;Col=1","No Title Assigned - #15273808158")</f>
        <v/>
      </c>
      <c r="B13455" s="0" t="s">
        <v>18011</v>
      </c>
      <c r="E13455" s="0" t="inlineStr">
        <is>
          <t xml:space="preserve">Mazda</t>
        </is>
      </c>
      <c r="F13455" s="0" t="inlineStr">
        <is>
          <t xml:space="preserve">Mazda</t>
        </is>
      </c>
      <c r="G13455" s="0" t="s">
        <v>171</v>
      </c>
      <c r="H13455" s="5">
        <v>31.073500</v>
      </c>
    </row>
    <row r="13456" spans="1:9">
      <c r="A13456" s="22" t="str">
        <f>HYPERLINK("https://app.vivvix.com/360/KMI/IntelliDrive/ApplUI/Pages/CreativePages/CustomReportCreativeDetail.aspx?App=23&amp;ReportView=4&amp;Qid=1711279&amp;Row=13448&amp;Col=1","No Title Assigned - #15273808206")</f>
        <v/>
      </c>
      <c r="B13456" s="0" t="s">
        <v>18012</v>
      </c>
      <c r="C13456" s="0" t="s">
        <v>18013</v>
      </c>
      <c r="D13456" s="0" t="s">
        <v>6656</v>
      </c>
      <c r="E13456" s="0" t="inlineStr">
        <is>
          <t xml:space="preserve">Mazda</t>
        </is>
      </c>
      <c r="F13456" s="0" t="s">
        <v>28</v>
      </c>
      <c r="G13456" s="0" t="s">
        <v>29</v>
      </c>
      <c r="H13456" s="5">
        <v>10.128500</v>
      </c>
    </row>
    <row r="13457" spans="1:9">
      <c r="A13457" s="22" t="str">
        <f>HYPERLINK("https://app.vivvix.com/360/KMI/IntelliDrive/ApplUI/Pages/CreativePages/CustomReportCreativeDetail.aspx?App=23&amp;ReportView=4&amp;Qid=1711279&amp;Row=13449&amp;Col=1","No Title Assigned - #15273808353")</f>
        <v/>
      </c>
      <c r="B13457" s="0" t="s">
        <v>18014</v>
      </c>
      <c r="E13457" s="0" t="inlineStr">
        <is>
          <t xml:space="preserve">Mazda</t>
        </is>
      </c>
      <c r="F13457" s="0" t="inlineStr">
        <is>
          <t xml:space="preserve">Mazda</t>
        </is>
      </c>
      <c r="G13457" s="0" t="s">
        <v>171</v>
      </c>
      <c r="H13457" s="5">
        <v>928.060600</v>
      </c>
    </row>
    <row r="13458" spans="1:9">
      <c r="A13458" s="22" t="str">
        <f>HYPERLINK("https://app.vivvix.com/360/KMI/IntelliDrive/ApplUI/Pages/CreativePages/CustomReportCreativeDetail.aspx?App=23&amp;ReportView=4&amp;Qid=1711279&amp;Row=13450&amp;Col=1","No Title Assigned - #15273808391")</f>
        <v/>
      </c>
      <c r="B13458" s="0" t="s">
        <v>18015</v>
      </c>
      <c r="E13458" s="0" t="inlineStr">
        <is>
          <t xml:space="preserve">Mazda</t>
        </is>
      </c>
      <c r="F13458" s="0" t="inlineStr">
        <is>
          <t xml:space="preserve">Mazda</t>
        </is>
      </c>
      <c r="G13458" s="0" t="s">
        <v>171</v>
      </c>
      <c r="H13458" s="5">
        <v>485.924300</v>
      </c>
    </row>
    <row r="13459" spans="1:9">
      <c r="A13459" s="22" t="str">
        <f>HYPERLINK("https://app.vivvix.com/360/KMI/IntelliDrive/ApplUI/Pages/CreativePages/CustomReportCreativeDetail.aspx?App=23&amp;ReportView=4&amp;Qid=1711279&amp;Row=13451&amp;Col=1","No Title Assigned - #15273808391")</f>
        <v/>
      </c>
      <c r="B13459" s="0" t="s">
        <v>18015</v>
      </c>
      <c r="E13459" s="0" t="inlineStr">
        <is>
          <t xml:space="preserve">Mazda</t>
        </is>
      </c>
      <c r="F13459" s="0" t="inlineStr">
        <is>
          <t xml:space="preserve">Mazda</t>
        </is>
      </c>
      <c r="G13459" s="0" t="s">
        <v>171</v>
      </c>
      <c r="H13459" s="5">
        <v>50802.492200</v>
      </c>
    </row>
    <row r="13460" spans="1:9">
      <c r="A13460" s="22" t="str">
        <f>HYPERLINK("https://app.vivvix.com/360/KMI/IntelliDrive/ApplUI/Pages/CreativePages/CustomReportCreativeDetail.aspx?App=23&amp;ReportView=4&amp;Qid=1711279&amp;Row=13452&amp;Col=1","No Title Assigned - #15273808476")</f>
        <v/>
      </c>
      <c r="B13460" s="0" t="s">
        <v>18016</v>
      </c>
      <c r="E13460" s="0" t="inlineStr">
        <is>
          <t xml:space="preserve">Mazda</t>
        </is>
      </c>
      <c r="F13460" s="0" t="inlineStr">
        <is>
          <t xml:space="preserve">Mazda</t>
        </is>
      </c>
      <c r="G13460" s="0" t="s">
        <v>171</v>
      </c>
      <c r="H13460" s="5">
        <v>64.963600</v>
      </c>
    </row>
    <row r="13461" spans="1:9">
      <c r="A13461" s="22" t="str">
        <f>HYPERLINK("https://app.vivvix.com/360/KMI/IntelliDrive/ApplUI/Pages/CreativePages/CustomReportCreativeDetail.aspx?App=23&amp;ReportView=4&amp;Qid=1711279&amp;Row=13453&amp;Col=1","No Title Assigned - #15273808651")</f>
        <v/>
      </c>
      <c r="B13461" s="0" t="s">
        <v>18017</v>
      </c>
      <c r="C13461" s="0" t="s">
        <v>18018</v>
      </c>
      <c r="D13461" s="0" t="s">
        <v>18018</v>
      </c>
      <c r="E13461" s="0" t="inlineStr">
        <is>
          <t xml:space="preserve">Mazda</t>
        </is>
      </c>
      <c r="F13461" s="0" t="s">
        <v>13</v>
      </c>
      <c r="G13461" s="0" t="s">
        <v>49</v>
      </c>
      <c r="H13461" s="5">
        <v>80.977000</v>
      </c>
    </row>
    <row r="13462" spans="1:9">
      <c r="A13462" s="22" t="str">
        <f>HYPERLINK("https://app.vivvix.com/360/KMI/IntelliDrive/ApplUI/Pages/CreativePages/CustomReportCreativeDetail.aspx?App=23&amp;ReportView=4&amp;Qid=1711279&amp;Row=13454&amp;Col=1","No Title Assigned - #15273808680")</f>
        <v/>
      </c>
      <c r="B13462" s="0" t="s">
        <v>18019</v>
      </c>
      <c r="C13462" s="0" t="s">
        <v>18020</v>
      </c>
      <c r="D13462" s="0" t="s">
        <v>18020</v>
      </c>
      <c r="E13462" s="0" t="inlineStr">
        <is>
          <t xml:space="preserve">Mazda</t>
        </is>
      </c>
      <c r="F13462" s="0" t="s">
        <v>13</v>
      </c>
      <c r="G13462" s="0" t="s">
        <v>49</v>
      </c>
      <c r="H13462" s="5">
        <v>128.085300</v>
      </c>
    </row>
    <row r="13463" spans="1:9">
      <c r="A13463" s="22" t="str">
        <f>HYPERLINK("https://app.vivvix.com/360/KMI/IntelliDrive/ApplUI/Pages/CreativePages/CustomReportCreativeDetail.aspx?App=23&amp;ReportView=4&amp;Qid=1711279&amp;Row=13455&amp;Col=1","No Title Assigned - #15273808699")</f>
        <v/>
      </c>
      <c r="B13463" s="0" t="s">
        <v>18021</v>
      </c>
      <c r="C13463" s="0" t="s">
        <v>18022</v>
      </c>
      <c r="D13463" s="0" t="s">
        <v>6183</v>
      </c>
      <c r="E13463" s="0" t="inlineStr">
        <is>
          <t xml:space="preserve">Mazda</t>
        </is>
      </c>
      <c r="F13463" s="0" t="s">
        <v>13</v>
      </c>
      <c r="G13463" s="0" t="s">
        <v>49</v>
      </c>
      <c r="H13463" s="5">
        <v>48.363300</v>
      </c>
    </row>
    <row r="13464" spans="1:9">
      <c r="A13464" s="22" t="str">
        <f>HYPERLINK("https://app.vivvix.com/360/KMI/IntelliDrive/ApplUI/Pages/CreativePages/CustomReportCreativeDetail.aspx?App=23&amp;ReportView=4&amp;Qid=1711279&amp;Row=13456&amp;Col=1","No Title Assigned - #15273808710")</f>
        <v/>
      </c>
      <c r="B13464" s="0" t="s">
        <v>18023</v>
      </c>
      <c r="C13464" s="0" t="s">
        <v>18024</v>
      </c>
      <c r="D13464" s="0" t="s">
        <v>18024</v>
      </c>
      <c r="E13464" s="0" t="inlineStr">
        <is>
          <t xml:space="preserve">Mazda</t>
        </is>
      </c>
      <c r="F13464" s="0" t="s">
        <v>13</v>
      </c>
      <c r="G13464" s="0" t="s">
        <v>49</v>
      </c>
      <c r="H13464" s="5">
        <v>81.176300</v>
      </c>
    </row>
    <row r="13465" spans="1:9">
      <c r="A13465" s="22" t="str">
        <f>HYPERLINK("https://app.vivvix.com/360/KMI/IntelliDrive/ApplUI/Pages/CreativePages/CustomReportCreativeDetail.aspx?App=23&amp;ReportView=4&amp;Qid=1711279&amp;Row=13457&amp;Col=1","No Title Assigned - #15273808754")</f>
        <v/>
      </c>
      <c r="B13465" s="0" t="s">
        <v>18025</v>
      </c>
      <c r="E13465" s="0" t="inlineStr">
        <is>
          <t xml:space="preserve">Mazda</t>
        </is>
      </c>
      <c r="F13465" s="0" t="s">
        <v>13</v>
      </c>
      <c r="G13465" s="0" t="s">
        <v>49</v>
      </c>
      <c r="H13465" s="5">
        <v>242.861200</v>
      </c>
    </row>
    <row r="13466" spans="1:9">
      <c r="A13466" s="22" t="str">
        <f>HYPERLINK("https://app.vivvix.com/360/KMI/IntelliDrive/ApplUI/Pages/CreativePages/CustomReportCreativeDetail.aspx?App=23&amp;ReportView=4&amp;Qid=1711279&amp;Row=13458&amp;Col=1","No Title Assigned - #15273808767")</f>
        <v/>
      </c>
      <c r="B13466" s="0" t="s">
        <v>18026</v>
      </c>
      <c r="C13466" s="0" t="s">
        <v>18027</v>
      </c>
      <c r="D13466" s="0" t="s">
        <v>18027</v>
      </c>
      <c r="E13466" s="0" t="inlineStr">
        <is>
          <t xml:space="preserve">Mazda</t>
        </is>
      </c>
      <c r="F13466" s="0" t="s">
        <v>13</v>
      </c>
      <c r="G13466" s="0" t="s">
        <v>49</v>
      </c>
      <c r="H13466" s="5">
        <v>241.929400</v>
      </c>
    </row>
    <row r="13467" spans="1:9">
      <c r="A13467" s="22" t="str">
        <f>HYPERLINK("https://app.vivvix.com/360/KMI/IntelliDrive/ApplUI/Pages/CreativePages/CustomReportCreativeDetail.aspx?App=23&amp;ReportView=4&amp;Qid=1711279&amp;Row=13459&amp;Col=1","No Title Assigned - #15273808785")</f>
        <v/>
      </c>
      <c r="B13467" s="0" t="s">
        <v>18028</v>
      </c>
      <c r="C13467" s="0" t="s">
        <v>18029</v>
      </c>
      <c r="D13467" s="0" t="s">
        <v>18029</v>
      </c>
      <c r="E13467" s="0" t="inlineStr">
        <is>
          <t xml:space="preserve">Mazda</t>
        </is>
      </c>
      <c r="F13467" s="0" t="s">
        <v>13</v>
      </c>
      <c r="G13467" s="0" t="s">
        <v>49</v>
      </c>
      <c r="H13467" s="5">
        <v>79.844500</v>
      </c>
    </row>
    <row r="13468" spans="1:9">
      <c r="A13468" s="22" t="str">
        <f>HYPERLINK("https://app.vivvix.com/360/KMI/IntelliDrive/ApplUI/Pages/CreativePages/CustomReportCreativeDetail.aspx?App=23&amp;ReportView=4&amp;Qid=1711279&amp;Row=13460&amp;Col=1","No Title Assigned - #15273808819")</f>
        <v/>
      </c>
      <c r="B13468" s="0" t="s">
        <v>18030</v>
      </c>
      <c r="E13468" s="0" t="inlineStr">
        <is>
          <t xml:space="preserve">Mazda</t>
        </is>
      </c>
      <c r="F13468" s="0" t="s">
        <v>13</v>
      </c>
      <c r="G13468" s="0" t="s">
        <v>49</v>
      </c>
      <c r="H13468" s="5">
        <v>55.428900</v>
      </c>
    </row>
    <row r="13469" spans="1:9">
      <c r="A13469" s="22" t="str">
        <f>HYPERLINK("https://app.vivvix.com/360/KMI/IntelliDrive/ApplUI/Pages/CreativePages/CustomReportCreativeDetail.aspx?App=23&amp;ReportView=4&amp;Qid=1711279&amp;Row=13461&amp;Col=1","No Title Assigned - #15273808873")</f>
        <v/>
      </c>
      <c r="B13469" s="0" t="s">
        <v>18031</v>
      </c>
      <c r="E13469" s="0" t="inlineStr">
        <is>
          <t xml:space="preserve">Mazda</t>
        </is>
      </c>
      <c r="F13469" s="0" t="s">
        <v>13</v>
      </c>
      <c r="G13469" s="0" t="s">
        <v>49</v>
      </c>
      <c r="H13469" s="5">
        <v>170.984700</v>
      </c>
    </row>
    <row r="13470" spans="1:9">
      <c r="A13470" s="22" t="str">
        <f>HYPERLINK("https://app.vivvix.com/360/KMI/IntelliDrive/ApplUI/Pages/CreativePages/CustomReportCreativeDetail.aspx?App=23&amp;ReportView=4&amp;Qid=1711279&amp;Row=13462&amp;Col=1","No Title Assigned - #15273808900")</f>
        <v/>
      </c>
      <c r="B13470" s="0" t="s">
        <v>18032</v>
      </c>
      <c r="C13470" s="0" t="s">
        <v>18033</v>
      </c>
      <c r="D13470" s="0" t="s">
        <v>18033</v>
      </c>
      <c r="E13470" s="0" t="inlineStr">
        <is>
          <t xml:space="preserve">Mazda</t>
        </is>
      </c>
      <c r="F13470" s="0" t="s">
        <v>13</v>
      </c>
      <c r="G13470" s="0" t="s">
        <v>49</v>
      </c>
      <c r="H13470" s="5">
        <v>162.559900</v>
      </c>
    </row>
    <row r="13471" spans="1:9">
      <c r="A13471" s="22" t="str">
        <f>HYPERLINK("https://app.vivvix.com/360/KMI/IntelliDrive/ApplUI/Pages/CreativePages/CustomReportCreativeDetail.aspx?App=23&amp;ReportView=4&amp;Qid=1711279&amp;Row=13463&amp;Col=1","No Title Assigned - #15273808931")</f>
        <v/>
      </c>
      <c r="B13471" s="0" t="s">
        <v>18034</v>
      </c>
      <c r="C13471" s="0" t="s">
        <v>18035</v>
      </c>
      <c r="D13471" s="0" t="s">
        <v>18035</v>
      </c>
      <c r="E13471" s="0" t="inlineStr">
        <is>
          <t xml:space="preserve">Mazda</t>
        </is>
      </c>
      <c r="F13471" s="0" t="s">
        <v>13</v>
      </c>
      <c r="G13471" s="0" t="s">
        <v>49</v>
      </c>
      <c r="H13471" s="5">
        <v>338.075600</v>
      </c>
    </row>
    <row r="13472" spans="1:9">
      <c r="A13472" s="22" t="str">
        <f>HYPERLINK("https://app.vivvix.com/360/KMI/IntelliDrive/ApplUI/Pages/CreativePages/CustomReportCreativeDetail.aspx?App=23&amp;ReportView=4&amp;Qid=1711279&amp;Row=13464&amp;Col=1","No Title Assigned - #15273808938")</f>
        <v/>
      </c>
      <c r="B13472" s="0" t="s">
        <v>18036</v>
      </c>
      <c r="C13472" s="0" t="s">
        <v>18037</v>
      </c>
      <c r="D13472" s="0" t="s">
        <v>18037</v>
      </c>
      <c r="E13472" s="0" t="inlineStr">
        <is>
          <t xml:space="preserve">Mazda</t>
        </is>
      </c>
      <c r="F13472" s="0" t="s">
        <v>13</v>
      </c>
      <c r="G13472" s="0" t="s">
        <v>49</v>
      </c>
      <c r="H13472" s="5">
        <v>17.558500</v>
      </c>
    </row>
    <row r="13473" spans="1:9">
      <c r="A13473" s="22" t="str">
        <f>HYPERLINK("https://app.vivvix.com/360/KMI/IntelliDrive/ApplUI/Pages/CreativePages/CustomReportCreativeDetail.aspx?App=23&amp;ReportView=4&amp;Qid=1711279&amp;Row=13465&amp;Col=1","No Title Assigned - #15273809044")</f>
        <v/>
      </c>
      <c r="B13473" s="0" t="s">
        <v>18038</v>
      </c>
      <c r="C13473" s="0" t="s">
        <v>18039</v>
      </c>
      <c r="D13473" s="0" t="s">
        <v>4200</v>
      </c>
      <c r="E13473" s="0" t="inlineStr">
        <is>
          <t xml:space="preserve">Mazda</t>
        </is>
      </c>
      <c r="F13473" s="0" t="s">
        <v>28</v>
      </c>
      <c r="G13473" s="0" t="s">
        <v>29</v>
      </c>
      <c r="H13473" s="5">
        <v>163.151800</v>
      </c>
    </row>
    <row r="13474" spans="1:9">
      <c r="A13474" s="22" t="str">
        <f>HYPERLINK("https://app.vivvix.com/360/KMI/IntelliDrive/ApplUI/Pages/CreativePages/CustomReportCreativeDetail.aspx?App=23&amp;ReportView=4&amp;Qid=1711279&amp;Row=13466&amp;Col=1","No Title Assigned - #15273809046")</f>
        <v/>
      </c>
      <c r="B13474" s="0" t="s">
        <v>18040</v>
      </c>
      <c r="C13474" s="0" t="s">
        <v>18041</v>
      </c>
      <c r="D13474" s="0" t="s">
        <v>18041</v>
      </c>
      <c r="E13474" s="0" t="inlineStr">
        <is>
          <t xml:space="preserve">Mazda</t>
        </is>
      </c>
      <c r="F13474" s="0" t="s">
        <v>13</v>
      </c>
      <c r="G13474" s="0" t="s">
        <v>49</v>
      </c>
      <c r="H13474" s="5">
        <v>36.384700</v>
      </c>
    </row>
    <row r="13475" spans="1:9">
      <c r="A13475" s="22" t="str">
        <f>HYPERLINK("https://app.vivvix.com/360/KMI/IntelliDrive/ApplUI/Pages/CreativePages/CustomReportCreativeDetail.aspx?App=23&amp;ReportView=4&amp;Qid=1711279&amp;Row=13467&amp;Col=1","No Title Assigned - #15273809081")</f>
        <v/>
      </c>
      <c r="B13475" s="0" t="s">
        <v>18042</v>
      </c>
      <c r="C13475" s="0" t="s">
        <v>18043</v>
      </c>
      <c r="D13475" s="0" t="s">
        <v>6656</v>
      </c>
      <c r="E13475" s="0" t="inlineStr">
        <is>
          <t xml:space="preserve">Mazda</t>
        </is>
      </c>
      <c r="F13475" s="0" t="s">
        <v>28</v>
      </c>
      <c r="G13475" s="0" t="s">
        <v>29</v>
      </c>
      <c r="H13475" s="5">
        <v>833.732700</v>
      </c>
    </row>
    <row r="13476" spans="1:9">
      <c r="A13476" s="22" t="str">
        <f>HYPERLINK("https://app.vivvix.com/360/KMI/IntelliDrive/ApplUI/Pages/CreativePages/CustomReportCreativeDetail.aspx?App=23&amp;ReportView=4&amp;Qid=1711279&amp;Row=13468&amp;Col=1","No Title Assigned - #15273809107")</f>
        <v/>
      </c>
      <c r="B13476" s="0" t="s">
        <v>18044</v>
      </c>
      <c r="C13476" s="0" t="s">
        <v>18045</v>
      </c>
      <c r="D13476" s="0" t="s">
        <v>18045</v>
      </c>
      <c r="E13476" s="0" t="inlineStr">
        <is>
          <t xml:space="preserve">Mazda</t>
        </is>
      </c>
      <c r="F13476" s="0" t="s">
        <v>13</v>
      </c>
      <c r="G13476" s="0" t="s">
        <v>49</v>
      </c>
      <c r="H13476" s="5">
        <v>13417.458100</v>
      </c>
    </row>
    <row r="13477" spans="1:9">
      <c r="A13477" s="22" t="str">
        <f>HYPERLINK("https://app.vivvix.com/360/KMI/IntelliDrive/ApplUI/Pages/CreativePages/CustomReportCreativeDetail.aspx?App=23&amp;ReportView=4&amp;Qid=1711279&amp;Row=13469&amp;Col=1","No Title Assigned - #15273809127")</f>
        <v/>
      </c>
      <c r="B13477" s="0" t="s">
        <v>18046</v>
      </c>
      <c r="C13477" s="0" t="s">
        <v>18047</v>
      </c>
      <c r="D13477" s="0" t="s">
        <v>10770</v>
      </c>
      <c r="E13477" s="0" t="inlineStr">
        <is>
          <t xml:space="preserve">Mazda</t>
        </is>
      </c>
      <c r="F13477" s="0" t="s">
        <v>13</v>
      </c>
      <c r="G13477" s="0" t="s">
        <v>49</v>
      </c>
      <c r="H13477" s="5">
        <v>157.836200</v>
      </c>
    </row>
    <row r="13478" spans="1:9">
      <c r="A13478" s="22" t="str">
        <f>HYPERLINK("https://app.vivvix.com/360/KMI/IntelliDrive/ApplUI/Pages/CreativePages/CustomReportCreativeDetail.aspx?App=23&amp;ReportView=4&amp;Qid=1711279&amp;Row=13470&amp;Col=1","No Title Assigned - #15273809203")</f>
        <v/>
      </c>
      <c r="B13478" s="0" t="s">
        <v>18048</v>
      </c>
      <c r="C13478" s="0" t="s">
        <v>18049</v>
      </c>
      <c r="D13478" s="0" t="s">
        <v>16585</v>
      </c>
      <c r="E13478" s="0" t="inlineStr">
        <is>
          <t xml:space="preserve">Mazda</t>
        </is>
      </c>
      <c r="F13478" s="0" t="inlineStr">
        <is>
          <t xml:space="preserve">Mazda</t>
        </is>
      </c>
      <c r="G13478" s="0" t="s">
        <v>210</v>
      </c>
      <c r="H13478" s="5">
        <v>244.474600</v>
      </c>
    </row>
    <row r="13479" spans="1:9">
      <c r="A13479" s="22" t="str">
        <f>HYPERLINK("https://app.vivvix.com/360/KMI/IntelliDrive/ApplUI/Pages/CreativePages/CustomReportCreativeDetail.aspx?App=23&amp;ReportView=4&amp;Qid=1711279&amp;Row=13471&amp;Col=1","No Title Assigned - #15273809212")</f>
        <v/>
      </c>
      <c r="B13479" s="0" t="s">
        <v>18050</v>
      </c>
      <c r="C13479" s="0" t="s">
        <v>18051</v>
      </c>
      <c r="D13479" s="0" t="s">
        <v>18051</v>
      </c>
      <c r="E13479" s="0" t="inlineStr">
        <is>
          <t xml:space="preserve">Mazda</t>
        </is>
      </c>
      <c r="F13479" s="0" t="s">
        <v>13</v>
      </c>
      <c r="G13479" s="0" t="s">
        <v>49</v>
      </c>
      <c r="H13479" s="5">
        <v>9.375900</v>
      </c>
    </row>
    <row r="13480" spans="1:9">
      <c r="A13480" s="22" t="str">
        <f>HYPERLINK("https://app.vivvix.com/360/KMI/IntelliDrive/ApplUI/Pages/CreativePages/CustomReportCreativeDetail.aspx?App=23&amp;ReportView=4&amp;Qid=1711279&amp;Row=13472&amp;Col=1","No Title Assigned - #15273809217")</f>
        <v/>
      </c>
      <c r="B13480" s="0" t="s">
        <v>18052</v>
      </c>
      <c r="C13480" s="0" t="s">
        <v>18053</v>
      </c>
      <c r="D13480" s="0" t="s">
        <v>18053</v>
      </c>
      <c r="E13480" s="0" t="inlineStr">
        <is>
          <t xml:space="preserve">Mazda</t>
        </is>
      </c>
      <c r="F13480" s="0" t="inlineStr">
        <is>
          <t xml:space="preserve">Mazda</t>
        </is>
      </c>
      <c r="G13480" s="0" t="s">
        <v>210</v>
      </c>
      <c r="H13480" s="5">
        <v>527.492800</v>
      </c>
    </row>
    <row r="13481" spans="1:9">
      <c r="A13481" s="22" t="str">
        <f>HYPERLINK("https://app.vivvix.com/360/KMI/IntelliDrive/ApplUI/Pages/CreativePages/CustomReportCreativeDetail.aspx?App=23&amp;ReportView=4&amp;Qid=1711279&amp;Row=13473&amp;Col=1","No Title Assigned - #15273809300")</f>
        <v/>
      </c>
      <c r="B13481" s="0" t="s">
        <v>18054</v>
      </c>
      <c r="C13481" s="0" t="s">
        <v>18055</v>
      </c>
      <c r="D13481" s="0" t="s">
        <v>10745</v>
      </c>
      <c r="E13481" s="0" t="inlineStr">
        <is>
          <t xml:space="preserve">Mazda</t>
        </is>
      </c>
      <c r="F13481" s="0" t="s">
        <v>13</v>
      </c>
      <c r="G13481" s="0" t="s">
        <v>49</v>
      </c>
      <c r="H13481" s="5">
        <v>543.006100</v>
      </c>
    </row>
    <row r="13482" spans="1:9">
      <c r="A13482" s="22" t="str">
        <f>HYPERLINK("https://app.vivvix.com/360/KMI/IntelliDrive/ApplUI/Pages/CreativePages/CustomReportCreativeDetail.aspx?App=23&amp;ReportView=4&amp;Qid=1711279&amp;Row=13474&amp;Col=1","No Title Assigned - #15273809309")</f>
        <v/>
      </c>
      <c r="B13482" s="0" t="s">
        <v>18056</v>
      </c>
      <c r="C13482" s="0" t="s">
        <v>18057</v>
      </c>
      <c r="D13482" s="0" t="s">
        <v>18057</v>
      </c>
      <c r="E13482" s="0" t="inlineStr">
        <is>
          <t xml:space="preserve">Mazda</t>
        </is>
      </c>
      <c r="F13482" s="0" t="s">
        <v>28</v>
      </c>
      <c r="G13482" s="0" t="s">
        <v>29</v>
      </c>
      <c r="H13482" s="5">
        <v>3634.953300</v>
      </c>
    </row>
    <row r="13483" spans="1:9">
      <c r="A13483" s="22" t="str">
        <f>HYPERLINK("https://app.vivvix.com/360/KMI/IntelliDrive/ApplUI/Pages/CreativePages/CustomReportCreativeDetail.aspx?App=23&amp;ReportView=4&amp;Qid=1711279&amp;Row=13475&amp;Col=1","No Title Assigned - #15273809479")</f>
        <v/>
      </c>
      <c r="B13483" s="0" t="s">
        <v>18058</v>
      </c>
      <c r="E13483" s="0" t="inlineStr">
        <is>
          <t xml:space="preserve">Mazda</t>
        </is>
      </c>
      <c r="F13483" s="0" t="s">
        <v>13</v>
      </c>
      <c r="G13483" s="0" t="s">
        <v>49</v>
      </c>
      <c r="H13483" s="5">
        <v>514.189000</v>
      </c>
    </row>
    <row r="13484" spans="1:9">
      <c r="A13484" s="22" t="str">
        <f>HYPERLINK("https://app.vivvix.com/360/KMI/IntelliDrive/ApplUI/Pages/CreativePages/CustomReportCreativeDetail.aspx?App=23&amp;ReportView=4&amp;Qid=1711279&amp;Row=13476&amp;Col=1","No Title Assigned - #15273809636")</f>
        <v/>
      </c>
      <c r="B13484" s="0" t="s">
        <v>18059</v>
      </c>
      <c r="C13484" s="0" t="s">
        <v>18060</v>
      </c>
      <c r="D13484" s="0" t="s">
        <v>18060</v>
      </c>
      <c r="E13484" s="0" t="inlineStr">
        <is>
          <t xml:space="preserve">Mazda</t>
        </is>
      </c>
      <c r="F13484" s="0" t="s">
        <v>13</v>
      </c>
      <c r="G13484" s="0" t="s">
        <v>49</v>
      </c>
      <c r="H13484" s="5">
        <v>2549.996500</v>
      </c>
    </row>
    <row r="13485" spans="1:9">
      <c r="A13485" s="22" t="str">
        <f>HYPERLINK("https://app.vivvix.com/360/KMI/IntelliDrive/ApplUI/Pages/CreativePages/CustomReportCreativeDetail.aspx?App=23&amp;ReportView=4&amp;Qid=1711279&amp;Row=13477&amp;Col=1","No Title Assigned - #15273809746")</f>
        <v/>
      </c>
      <c r="B13485" s="0" t="s">
        <v>18061</v>
      </c>
      <c r="E13485" s="0" t="inlineStr">
        <is>
          <t xml:space="preserve">Mazda</t>
        </is>
      </c>
      <c r="F13485" s="0" t="s">
        <v>13</v>
      </c>
      <c r="G13485" s="0" t="s">
        <v>49</v>
      </c>
      <c r="H13485" s="5">
        <v>47.795000</v>
      </c>
    </row>
    <row r="13486" spans="1:9">
      <c r="A13486" s="22" t="str">
        <f>HYPERLINK("https://app.vivvix.com/360/KMI/IntelliDrive/ApplUI/Pages/CreativePages/CustomReportCreativeDetail.aspx?App=23&amp;ReportView=4&amp;Qid=1711279&amp;Row=13478&amp;Col=1","No Title Assigned - #15273809818")</f>
        <v/>
      </c>
      <c r="B13486" s="0" t="s">
        <v>18062</v>
      </c>
      <c r="C13486" s="0" t="s">
        <v>18063</v>
      </c>
      <c r="D13486" s="0" t="s">
        <v>6404</v>
      </c>
      <c r="E13486" s="0" t="inlineStr">
        <is>
          <t xml:space="preserve">Mazda</t>
        </is>
      </c>
      <c r="F13486" s="0" t="s">
        <v>13</v>
      </c>
      <c r="G13486" s="0" t="s">
        <v>49</v>
      </c>
      <c r="H13486" s="5">
        <v>3693.448500</v>
      </c>
    </row>
    <row r="13487" spans="1:9">
      <c r="A13487" s="22" t="str">
        <f>HYPERLINK("https://app.vivvix.com/360/KMI/IntelliDrive/ApplUI/Pages/CreativePages/CustomReportCreativeDetail.aspx?App=23&amp;ReportView=4&amp;Qid=1711279&amp;Row=13479&amp;Col=1","No Title Assigned - #15273809818")</f>
        <v/>
      </c>
      <c r="B13487" s="0" t="s">
        <v>18062</v>
      </c>
      <c r="E13487" s="0" t="inlineStr">
        <is>
          <t xml:space="preserve">Mazda</t>
        </is>
      </c>
      <c r="F13487" s="0" t="s">
        <v>13</v>
      </c>
      <c r="G13487" s="0" t="s">
        <v>49</v>
      </c>
      <c r="H13487" s="5">
        <v>48107.173200</v>
      </c>
    </row>
    <row r="13488" spans="1:9">
      <c r="A13488" s="22" t="str">
        <f>HYPERLINK("https://app.vivvix.com/360/KMI/IntelliDrive/ApplUI/Pages/CreativePages/CustomReportCreativeDetail.aspx?App=23&amp;ReportView=4&amp;Qid=1711279&amp;Row=13480&amp;Col=1","No Title Assigned - #15273809833")</f>
        <v/>
      </c>
      <c r="B13488" s="0" t="s">
        <v>18064</v>
      </c>
      <c r="C13488" s="0" t="s">
        <v>18065</v>
      </c>
      <c r="D13488" s="0" t="s">
        <v>18065</v>
      </c>
      <c r="E13488" s="0" t="inlineStr">
        <is>
          <t xml:space="preserve">Mazda</t>
        </is>
      </c>
      <c r="F13488" s="0" t="s">
        <v>13</v>
      </c>
      <c r="G13488" s="0" t="s">
        <v>49</v>
      </c>
      <c r="H13488" s="5">
        <v>10657.461800</v>
      </c>
    </row>
    <row r="13489" spans="1:9">
      <c r="A13489" s="22" t="str">
        <f>HYPERLINK("https://app.vivvix.com/360/KMI/IntelliDrive/ApplUI/Pages/CreativePages/CustomReportCreativeDetail.aspx?App=23&amp;ReportView=4&amp;Qid=1711279&amp;Row=13481&amp;Col=1","No Title Assigned - #15273809896")</f>
        <v/>
      </c>
      <c r="B13489" s="0" t="s">
        <v>18066</v>
      </c>
      <c r="C13489" s="0" t="s">
        <v>18067</v>
      </c>
      <c r="D13489" s="0" t="s">
        <v>18067</v>
      </c>
      <c r="E13489" s="0" t="inlineStr">
        <is>
          <t xml:space="preserve">Mazda</t>
        </is>
      </c>
      <c r="F13489" s="0" t="inlineStr">
        <is>
          <t xml:space="preserve">Mazda</t>
        </is>
      </c>
      <c r="G13489" s="0" t="s">
        <v>210</v>
      </c>
      <c r="H13489" s="5">
        <v>4418.525100</v>
      </c>
    </row>
    <row r="13490" spans="1:9">
      <c r="A13490" s="22" t="str">
        <f>HYPERLINK("https://app.vivvix.com/360/KMI/IntelliDrive/ApplUI/Pages/CreativePages/CustomReportCreativeDetail.aspx?App=23&amp;ReportView=4&amp;Qid=1711279&amp;Row=13482&amp;Col=1","No Title Assigned - #15273809896")</f>
        <v/>
      </c>
      <c r="B13490" s="0" t="s">
        <v>18066</v>
      </c>
      <c r="E13490" s="0" t="inlineStr">
        <is>
          <t xml:space="preserve">Mazda</t>
        </is>
      </c>
      <c r="F13490" s="0" t="inlineStr">
        <is>
          <t xml:space="preserve">Mazda</t>
        </is>
      </c>
      <c r="G13490" s="0" t="s">
        <v>210</v>
      </c>
      <c r="H13490" s="5">
        <v>10355.216800</v>
      </c>
    </row>
    <row r="13491" spans="1:9">
      <c r="A13491" s="22" t="str">
        <f>HYPERLINK("https://app.vivvix.com/360/KMI/IntelliDrive/ApplUI/Pages/CreativePages/CustomReportCreativeDetail.aspx?App=23&amp;ReportView=4&amp;Qid=1711279&amp;Row=13483&amp;Col=1","No Title Assigned - #15273809903")</f>
        <v/>
      </c>
      <c r="B13491" s="0" t="s">
        <v>18068</v>
      </c>
      <c r="C13491" s="0" t="s">
        <v>18069</v>
      </c>
      <c r="D13491" s="0" t="s">
        <v>18069</v>
      </c>
      <c r="E13491" s="0" t="inlineStr">
        <is>
          <t xml:space="preserve">Mazda</t>
        </is>
      </c>
      <c r="F13491" s="0" t="s">
        <v>13</v>
      </c>
      <c r="G13491" s="0" t="s">
        <v>49</v>
      </c>
      <c r="H13491" s="5">
        <v>578.426800</v>
      </c>
    </row>
    <row r="13492" spans="1:9">
      <c r="A13492" s="22" t="str">
        <f>HYPERLINK("https://app.vivvix.com/360/KMI/IntelliDrive/ApplUI/Pages/CreativePages/CustomReportCreativeDetail.aspx?App=23&amp;ReportView=4&amp;Qid=1711279&amp;Row=13484&amp;Col=1","No Title Assigned - #15273809913")</f>
        <v/>
      </c>
      <c r="B13492" s="0" t="s">
        <v>18070</v>
      </c>
      <c r="E13492" s="0" t="inlineStr">
        <is>
          <t xml:space="preserve">Mazda</t>
        </is>
      </c>
      <c r="F13492" s="0" t="s">
        <v>28</v>
      </c>
      <c r="G13492" s="0" t="s">
        <v>29</v>
      </c>
      <c r="H13492" s="5">
        <v>479.371100</v>
      </c>
    </row>
    <row r="13493" spans="1:9">
      <c r="A13493" s="22" t="str">
        <f>HYPERLINK("https://app.vivvix.com/360/KMI/IntelliDrive/ApplUI/Pages/CreativePages/CustomReportCreativeDetail.aspx?App=23&amp;ReportView=4&amp;Qid=1711279&amp;Row=13485&amp;Col=1","No Title Assigned - #15273809948")</f>
        <v/>
      </c>
      <c r="B13493" s="0" t="s">
        <v>18071</v>
      </c>
      <c r="E13493" s="0" t="inlineStr">
        <is>
          <t xml:space="preserve">Mazda</t>
        </is>
      </c>
      <c r="F13493" s="0" t="s">
        <v>13</v>
      </c>
      <c r="G13493" s="0" t="s">
        <v>49</v>
      </c>
      <c r="H13493" s="5">
        <v>171.479300</v>
      </c>
    </row>
    <row r="13494" spans="1:9">
      <c r="A13494" s="22" t="str">
        <f>HYPERLINK("https://app.vivvix.com/360/KMI/IntelliDrive/ApplUI/Pages/CreativePages/CustomReportCreativeDetail.aspx?App=23&amp;ReportView=4&amp;Qid=1711279&amp;Row=13486&amp;Col=1","No Title Assigned - #15273809958")</f>
        <v/>
      </c>
      <c r="B13494" s="0" t="s">
        <v>18072</v>
      </c>
      <c r="C13494" s="0" t="s">
        <v>18073</v>
      </c>
      <c r="D13494" s="0" t="s">
        <v>18073</v>
      </c>
      <c r="E13494" s="0" t="inlineStr">
        <is>
          <t xml:space="preserve">Mazda</t>
        </is>
      </c>
      <c r="F13494" s="0" t="s">
        <v>13</v>
      </c>
      <c r="G13494" s="0" t="s">
        <v>49</v>
      </c>
      <c r="H13494" s="5">
        <v>390.241800</v>
      </c>
    </row>
    <row r="13495" spans="1:9">
      <c r="A13495" s="22" t="str">
        <f>HYPERLINK("https://app.vivvix.com/360/KMI/IntelliDrive/ApplUI/Pages/CreativePages/CustomReportCreativeDetail.aspx?App=23&amp;ReportView=4&amp;Qid=1711279&amp;Row=13487&amp;Col=1","No Title Assigned - #15273810012")</f>
        <v/>
      </c>
      <c r="B13495" s="0" t="s">
        <v>18074</v>
      </c>
      <c r="E13495" s="0" t="inlineStr">
        <is>
          <t xml:space="preserve">Mazda</t>
        </is>
      </c>
      <c r="F13495" s="0" t="s">
        <v>13</v>
      </c>
      <c r="G13495" s="0" t="s">
        <v>49</v>
      </c>
      <c r="H13495" s="5">
        <v>520.577900</v>
      </c>
    </row>
    <row r="13496" spans="1:9">
      <c r="A13496" s="22" t="str">
        <f>HYPERLINK("https://app.vivvix.com/360/KMI/IntelliDrive/ApplUI/Pages/CreativePages/CustomReportCreativeDetail.aspx?App=23&amp;ReportView=4&amp;Qid=1711279&amp;Row=13488&amp;Col=1","No Title Assigned - #15273810012")</f>
        <v/>
      </c>
      <c r="B13496" s="0" t="s">
        <v>18074</v>
      </c>
      <c r="C13496" s="0" t="s">
        <v>18075</v>
      </c>
      <c r="D13496" s="0" t="s">
        <v>18075</v>
      </c>
      <c r="E13496" s="0" t="inlineStr">
        <is>
          <t xml:space="preserve">Mazda</t>
        </is>
      </c>
      <c r="F13496" s="0" t="s">
        <v>13</v>
      </c>
      <c r="G13496" s="0" t="s">
        <v>49</v>
      </c>
      <c r="H13496" s="5">
        <v>320.834500</v>
      </c>
    </row>
    <row r="13497" spans="1:9">
      <c r="A13497" s="22" t="str">
        <f>HYPERLINK("https://app.vivvix.com/360/KMI/IntelliDrive/ApplUI/Pages/CreativePages/CustomReportCreativeDetail.aspx?App=23&amp;ReportView=4&amp;Qid=1711279&amp;Row=13489&amp;Col=1","No Title Assigned - #15273810049")</f>
        <v/>
      </c>
      <c r="B13497" s="0" t="s">
        <v>18076</v>
      </c>
      <c r="C13497" s="0" t="s">
        <v>18077</v>
      </c>
      <c r="D13497" s="0" t="s">
        <v>10770</v>
      </c>
      <c r="E13497" s="0" t="inlineStr">
        <is>
          <t xml:space="preserve">Mazda</t>
        </is>
      </c>
      <c r="F13497" s="0" t="s">
        <v>13</v>
      </c>
      <c r="G13497" s="0" t="s">
        <v>49</v>
      </c>
      <c r="H13497" s="5">
        <v>16808.254800</v>
      </c>
    </row>
    <row r="13498" spans="1:9">
      <c r="A13498" s="22" t="str">
        <f>HYPERLINK("https://app.vivvix.com/360/KMI/IntelliDrive/ApplUI/Pages/CreativePages/CustomReportCreativeDetail.aspx?App=23&amp;ReportView=4&amp;Qid=1711279&amp;Row=13490&amp;Col=1","No Title Assigned - #15273810085")</f>
        <v/>
      </c>
      <c r="B13498" s="0" t="s">
        <v>18078</v>
      </c>
      <c r="C13498" s="0" t="s">
        <v>18079</v>
      </c>
      <c r="D13498" s="0" t="s">
        <v>10770</v>
      </c>
      <c r="E13498" s="0" t="inlineStr">
        <is>
          <t xml:space="preserve">Mazda</t>
        </is>
      </c>
      <c r="F13498" s="0" t="s">
        <v>13</v>
      </c>
      <c r="G13498" s="0" t="s">
        <v>49</v>
      </c>
      <c r="H13498" s="5">
        <v>532.978500</v>
      </c>
    </row>
    <row r="13499" spans="1:9">
      <c r="A13499" s="22" t="str">
        <f>HYPERLINK("https://app.vivvix.com/360/KMI/IntelliDrive/ApplUI/Pages/CreativePages/CustomReportCreativeDetail.aspx?App=23&amp;ReportView=4&amp;Qid=1711279&amp;Row=13491&amp;Col=1","No Title Assigned - #15273810249")</f>
        <v/>
      </c>
      <c r="B13499" s="0" t="s">
        <v>18080</v>
      </c>
      <c r="C13499" s="0" t="s">
        <v>18081</v>
      </c>
      <c r="D13499" s="0" t="s">
        <v>10089</v>
      </c>
      <c r="E13499" s="0" t="inlineStr">
        <is>
          <t xml:space="preserve">Mazda</t>
        </is>
      </c>
      <c r="F13499" s="0" t="s">
        <v>13</v>
      </c>
      <c r="G13499" s="0" t="s">
        <v>49</v>
      </c>
      <c r="H13499" s="5">
        <v>203.682000</v>
      </c>
    </row>
    <row r="13500" spans="1:9">
      <c r="A13500" s="22" t="str">
        <f>HYPERLINK("https://app.vivvix.com/360/KMI/IntelliDrive/ApplUI/Pages/CreativePages/CustomReportCreativeDetail.aspx?App=23&amp;ReportView=4&amp;Qid=1711279&amp;Row=13492&amp;Col=1","No Title Assigned - #15273810365")</f>
        <v/>
      </c>
      <c r="B13500" s="0" t="s">
        <v>18082</v>
      </c>
      <c r="C13500" s="0" t="s">
        <v>18083</v>
      </c>
      <c r="D13500" s="0" t="s">
        <v>18083</v>
      </c>
      <c r="E13500" s="0" t="inlineStr">
        <is>
          <t xml:space="preserve">Mazda</t>
        </is>
      </c>
      <c r="F13500" s="0" t="s">
        <v>13</v>
      </c>
      <c r="G13500" s="0" t="s">
        <v>49</v>
      </c>
      <c r="H13500" s="5">
        <v>433.096200</v>
      </c>
    </row>
    <row r="13501" spans="1:9">
      <c r="A13501" s="22" t="str">
        <f>HYPERLINK("https://app.vivvix.com/360/KMI/IntelliDrive/ApplUI/Pages/CreativePages/CustomReportCreativeDetail.aspx?App=23&amp;ReportView=4&amp;Qid=1711279&amp;Row=13493&amp;Col=1","No Title Assigned - #15273810400")</f>
        <v/>
      </c>
      <c r="B13501" s="0" t="s">
        <v>18084</v>
      </c>
      <c r="C13501" s="0" t="s">
        <v>18085</v>
      </c>
      <c r="D13501" s="0" t="s">
        <v>18085</v>
      </c>
      <c r="E13501" s="0" t="inlineStr">
        <is>
          <t xml:space="preserve">Mazda</t>
        </is>
      </c>
      <c r="F13501" s="0" t="s">
        <v>13</v>
      </c>
      <c r="G13501" s="0" t="s">
        <v>49</v>
      </c>
      <c r="H13501" s="5">
        <v>1500.264600</v>
      </c>
    </row>
    <row r="13502" spans="1:9">
      <c r="A13502" s="22" t="str">
        <f>HYPERLINK("https://app.vivvix.com/360/KMI/IntelliDrive/ApplUI/Pages/CreativePages/CustomReportCreativeDetail.aspx?App=23&amp;ReportView=4&amp;Qid=1711279&amp;Row=13494&amp;Col=1","No Title Assigned - #15273810400")</f>
        <v/>
      </c>
      <c r="B13502" s="0" t="s">
        <v>18084</v>
      </c>
      <c r="E13502" s="0" t="inlineStr">
        <is>
          <t xml:space="preserve">Mazda</t>
        </is>
      </c>
      <c r="F13502" s="0" t="s">
        <v>13</v>
      </c>
      <c r="G13502" s="0" t="s">
        <v>49</v>
      </c>
      <c r="H13502" s="5">
        <v>22.207300</v>
      </c>
    </row>
    <row r="13503" spans="1:9">
      <c r="A13503" s="22" t="str">
        <f>HYPERLINK("https://app.vivvix.com/360/KMI/IntelliDrive/ApplUI/Pages/CreativePages/CustomReportCreativeDetail.aspx?App=23&amp;ReportView=4&amp;Qid=1711279&amp;Row=13495&amp;Col=1","No Title Assigned - #15273810446")</f>
        <v/>
      </c>
      <c r="B13503" s="0" t="s">
        <v>18086</v>
      </c>
      <c r="C13503" s="0" t="s">
        <v>18087</v>
      </c>
      <c r="D13503" s="0" t="s">
        <v>4204</v>
      </c>
      <c r="E13503" s="0" t="inlineStr">
        <is>
          <t xml:space="preserve">Mazda</t>
        </is>
      </c>
      <c r="F13503" s="0" t="s">
        <v>28</v>
      </c>
      <c r="G13503" s="0" t="s">
        <v>29</v>
      </c>
      <c r="H13503" s="5">
        <v>327.354200</v>
      </c>
    </row>
    <row r="13504" spans="1:9">
      <c r="A13504" s="22" t="str">
        <f>HYPERLINK("https://app.vivvix.com/360/KMI/IntelliDrive/ApplUI/Pages/CreativePages/CustomReportCreativeDetail.aspx?App=23&amp;ReportView=4&amp;Qid=1711279&amp;Row=13496&amp;Col=1","No Title Assigned - #15273810542")</f>
        <v/>
      </c>
      <c r="B13504" s="0" t="s">
        <v>18088</v>
      </c>
      <c r="C13504" s="0" t="s">
        <v>18089</v>
      </c>
      <c r="D13504" s="0" t="s">
        <v>18089</v>
      </c>
      <c r="E13504" s="0" t="inlineStr">
        <is>
          <t xml:space="preserve">Mazda</t>
        </is>
      </c>
      <c r="F13504" s="0" t="s">
        <v>13</v>
      </c>
      <c r="G13504" s="0" t="s">
        <v>49</v>
      </c>
      <c r="H13504" s="5">
        <v>725.664700</v>
      </c>
    </row>
    <row r="13505" spans="1:9">
      <c r="A13505" s="22" t="str">
        <f>HYPERLINK("https://app.vivvix.com/360/KMI/IntelliDrive/ApplUI/Pages/CreativePages/CustomReportCreativeDetail.aspx?App=23&amp;ReportView=4&amp;Qid=1711279&amp;Row=13497&amp;Col=1","No Title Assigned - #15273810656")</f>
        <v/>
      </c>
      <c r="B13505" s="0" t="s">
        <v>18090</v>
      </c>
      <c r="C13505" s="0" t="s">
        <v>18091</v>
      </c>
      <c r="D13505" s="0" t="s">
        <v>18091</v>
      </c>
      <c r="E13505" s="0" t="inlineStr">
        <is>
          <t xml:space="preserve">Mazda</t>
        </is>
      </c>
      <c r="F13505" s="0" t="s">
        <v>13</v>
      </c>
      <c r="G13505" s="0" t="s">
        <v>49</v>
      </c>
      <c r="H13505" s="5">
        <v>89702.168700</v>
      </c>
    </row>
    <row r="13506" spans="1:9">
      <c r="A13506" s="22" t="str">
        <f>HYPERLINK("https://app.vivvix.com/360/KMI/IntelliDrive/ApplUI/Pages/CreativePages/CustomReportCreativeDetail.aspx?App=23&amp;ReportView=4&amp;Qid=1711279&amp;Row=13498&amp;Col=1","No Title Assigned - #15273810660")</f>
        <v/>
      </c>
      <c r="B13506" s="0" t="s">
        <v>18092</v>
      </c>
      <c r="C13506" s="0" t="s">
        <v>18093</v>
      </c>
      <c r="D13506" s="0" t="s">
        <v>18093</v>
      </c>
      <c r="E13506" s="0" t="inlineStr">
        <is>
          <t xml:space="preserve">Mazda</t>
        </is>
      </c>
      <c r="F13506" s="0" t="s">
        <v>13</v>
      </c>
      <c r="G13506" s="0" t="s">
        <v>49</v>
      </c>
      <c r="H13506" s="5">
        <v>85.390200</v>
      </c>
    </row>
    <row r="13507" spans="1:9">
      <c r="A13507" s="22" t="str">
        <f>HYPERLINK("https://app.vivvix.com/360/KMI/IntelliDrive/ApplUI/Pages/CreativePages/CustomReportCreativeDetail.aspx?App=23&amp;ReportView=4&amp;Qid=1711279&amp;Row=13499&amp;Col=1","No Title Assigned - #15273810675")</f>
        <v/>
      </c>
      <c r="B13507" s="0" t="s">
        <v>18094</v>
      </c>
      <c r="C13507" s="0" t="s">
        <v>18095</v>
      </c>
      <c r="D13507" s="0" t="s">
        <v>18095</v>
      </c>
      <c r="E13507" s="0" t="inlineStr">
        <is>
          <t xml:space="preserve">Mazda</t>
        </is>
      </c>
      <c r="F13507" s="0" t="s">
        <v>13</v>
      </c>
      <c r="G13507" s="0" t="s">
        <v>49</v>
      </c>
      <c r="H13507" s="5">
        <v>85.764200</v>
      </c>
    </row>
    <row r="13508" spans="1:9">
      <c r="A13508" s="22" t="str">
        <f>HYPERLINK("https://app.vivvix.com/360/KMI/IntelliDrive/ApplUI/Pages/CreativePages/CustomReportCreativeDetail.aspx?App=23&amp;ReportView=4&amp;Qid=1711279&amp;Row=13500&amp;Col=1","No Title Assigned - #15273810929")</f>
        <v/>
      </c>
      <c r="B13508" s="0" t="s">
        <v>18096</v>
      </c>
      <c r="C13508" s="0" t="s">
        <v>18097</v>
      </c>
      <c r="D13508" s="0" t="s">
        <v>18097</v>
      </c>
      <c r="E13508" s="0" t="inlineStr">
        <is>
          <t xml:space="preserve">Mazda</t>
        </is>
      </c>
      <c r="F13508" s="0" t="s">
        <v>28</v>
      </c>
      <c r="G13508" s="0" t="s">
        <v>29</v>
      </c>
      <c r="H13508" s="5">
        <v>57673.594800</v>
      </c>
    </row>
    <row r="13509" spans="1:9">
      <c r="A13509" s="22" t="str">
        <f>HYPERLINK("https://app.vivvix.com/360/KMI/IntelliDrive/ApplUI/Pages/CreativePages/CustomReportCreativeDetail.aspx?App=23&amp;ReportView=4&amp;Qid=1711279&amp;Row=13501&amp;Col=1","No Title Assigned - #15273810935")</f>
        <v/>
      </c>
      <c r="B13509" s="0" t="s">
        <v>18098</v>
      </c>
      <c r="C13509" s="0" t="s">
        <v>18099</v>
      </c>
      <c r="D13509" s="0" t="s">
        <v>18099</v>
      </c>
      <c r="E13509" s="0" t="inlineStr">
        <is>
          <t xml:space="preserve">Mazda</t>
        </is>
      </c>
      <c r="F13509" s="0" t="s">
        <v>13</v>
      </c>
      <c r="G13509" s="0" t="s">
        <v>49</v>
      </c>
      <c r="H13509" s="5">
        <v>291.974000</v>
      </c>
    </row>
    <row r="13510" spans="1:9">
      <c r="A13510" s="22" t="str">
        <f>HYPERLINK("https://app.vivvix.com/360/KMI/IntelliDrive/ApplUI/Pages/CreativePages/CustomReportCreativeDetail.aspx?App=23&amp;ReportView=4&amp;Qid=1711279&amp;Row=13502&amp;Col=1","No Title Assigned - #15273811076")</f>
        <v/>
      </c>
      <c r="B13510" s="0" t="s">
        <v>18100</v>
      </c>
      <c r="C13510" s="0" t="s">
        <v>18101</v>
      </c>
      <c r="D13510" s="0" t="s">
        <v>18101</v>
      </c>
      <c r="E13510" s="0" t="inlineStr">
        <is>
          <t xml:space="preserve">Mazda</t>
        </is>
      </c>
      <c r="F13510" s="0" t="inlineStr">
        <is>
          <t xml:space="preserve">Mazda</t>
        </is>
      </c>
      <c r="G13510" s="0" t="s">
        <v>2413</v>
      </c>
      <c r="H13510" s="5">
        <v>474.406600</v>
      </c>
    </row>
    <row r="13511" spans="1:9">
      <c r="A13511" s="22" t="str">
        <f>HYPERLINK("https://app.vivvix.com/360/KMI/IntelliDrive/ApplUI/Pages/CreativePages/CustomReportCreativeDetail.aspx?App=23&amp;ReportView=4&amp;Qid=1711279&amp;Row=13503&amp;Col=1","No Title Assigned - #15273811111")</f>
        <v/>
      </c>
      <c r="B13511" s="0" t="s">
        <v>18102</v>
      </c>
      <c r="C13511" s="0" t="s">
        <v>18103</v>
      </c>
      <c r="D13511" s="0" t="s">
        <v>8445</v>
      </c>
      <c r="E13511" s="0" t="inlineStr">
        <is>
          <t xml:space="preserve">Mazda</t>
        </is>
      </c>
      <c r="F13511" s="0" t="s">
        <v>13</v>
      </c>
      <c r="G13511" s="0" t="s">
        <v>49</v>
      </c>
      <c r="H13511" s="5">
        <v>42.744000</v>
      </c>
    </row>
    <row r="13512" spans="1:9">
      <c r="A13512" s="22" t="str">
        <f>HYPERLINK("https://app.vivvix.com/360/KMI/IntelliDrive/ApplUI/Pages/CreativePages/CustomReportCreativeDetail.aspx?App=23&amp;ReportView=4&amp;Qid=1711279&amp;Row=13504&amp;Col=1","No Title Assigned - #15273811325")</f>
        <v/>
      </c>
      <c r="B13512" s="0" t="s">
        <v>18104</v>
      </c>
      <c r="C13512" s="0" t="s">
        <v>18105</v>
      </c>
      <c r="D13512" s="0" t="s">
        <v>18105</v>
      </c>
      <c r="E13512" s="0" t="inlineStr">
        <is>
          <t xml:space="preserve">Mazda</t>
        </is>
      </c>
      <c r="F13512" s="0" t="inlineStr">
        <is>
          <t xml:space="preserve">Mazda</t>
        </is>
      </c>
      <c r="G13512" s="0" t="s">
        <v>210</v>
      </c>
      <c r="H13512" s="5">
        <v>755.363800</v>
      </c>
    </row>
    <row r="13513" spans="1:9">
      <c r="A13513" s="22" t="str">
        <f>HYPERLINK("https://app.vivvix.com/360/KMI/IntelliDrive/ApplUI/Pages/CreativePages/CustomReportCreativeDetail.aspx?App=23&amp;ReportView=4&amp;Qid=1711279&amp;Row=13505&amp;Col=1","No Title Assigned - #15273811688")</f>
        <v/>
      </c>
      <c r="B13513" s="0" t="s">
        <v>18106</v>
      </c>
      <c r="C13513" s="0" t="s">
        <v>18107</v>
      </c>
      <c r="D13513" s="0" t="s">
        <v>18107</v>
      </c>
      <c r="E13513" s="0" t="inlineStr">
        <is>
          <t xml:space="preserve">Mazda</t>
        </is>
      </c>
      <c r="F13513" s="0" t="s">
        <v>13</v>
      </c>
      <c r="G13513" s="0" t="s">
        <v>49</v>
      </c>
      <c r="H13513" s="5">
        <v>1846.360400</v>
      </c>
    </row>
    <row r="13514" spans="1:9">
      <c r="A13514" s="22" t="str">
        <f>HYPERLINK("https://app.vivvix.com/360/KMI/IntelliDrive/ApplUI/Pages/CreativePages/CustomReportCreativeDetail.aspx?App=23&amp;ReportView=4&amp;Qid=1711279&amp;Row=13506&amp;Col=1","No Title Assigned - #15273811735")</f>
        <v/>
      </c>
      <c r="B13514" s="0" t="s">
        <v>18108</v>
      </c>
      <c r="C13514" s="0" t="s">
        <v>18109</v>
      </c>
      <c r="D13514" s="0" t="s">
        <v>10745</v>
      </c>
      <c r="E13514" s="0" t="inlineStr">
        <is>
          <t xml:space="preserve">Mazda</t>
        </is>
      </c>
      <c r="F13514" s="0" t="s">
        <v>13</v>
      </c>
      <c r="G13514" s="0" t="s">
        <v>49</v>
      </c>
      <c r="H13514" s="5">
        <v>347.321300</v>
      </c>
    </row>
    <row r="13515" spans="1:9">
      <c r="A13515" s="22" t="str">
        <f>HYPERLINK("https://app.vivvix.com/360/KMI/IntelliDrive/ApplUI/Pages/CreativePages/CustomReportCreativeDetail.aspx?App=23&amp;ReportView=4&amp;Qid=1711279&amp;Row=13507&amp;Col=1","No Title Assigned - #15273811815")</f>
        <v/>
      </c>
      <c r="B13515" s="0" t="s">
        <v>18110</v>
      </c>
      <c r="C13515" s="0" t="s">
        <v>18111</v>
      </c>
      <c r="D13515" s="0" t="s">
        <v>18111</v>
      </c>
      <c r="E13515" s="0" t="inlineStr">
        <is>
          <t xml:space="preserve">Mazda</t>
        </is>
      </c>
      <c r="F13515" s="0" t="s">
        <v>28</v>
      </c>
      <c r="G13515" s="0" t="s">
        <v>29</v>
      </c>
      <c r="H13515" s="5">
        <v>982.600300</v>
      </c>
    </row>
    <row r="13516" spans="1:9">
      <c r="A13516" s="22" t="str">
        <f>HYPERLINK("https://app.vivvix.com/360/KMI/IntelliDrive/ApplUI/Pages/CreativePages/CustomReportCreativeDetail.aspx?App=23&amp;ReportView=4&amp;Qid=1711279&amp;Row=13508&amp;Col=1","No Title Assigned - #15273811997")</f>
        <v/>
      </c>
      <c r="B13516" s="0" t="s">
        <v>18112</v>
      </c>
      <c r="C13516" s="0" t="s">
        <v>18113</v>
      </c>
      <c r="D13516" s="0" t="s">
        <v>18113</v>
      </c>
      <c r="E13516" s="0" t="inlineStr">
        <is>
          <t xml:space="preserve">Mazda</t>
        </is>
      </c>
      <c r="F13516" s="0" t="s">
        <v>13</v>
      </c>
      <c r="G13516" s="0" t="s">
        <v>49</v>
      </c>
      <c r="H13516" s="5">
        <v>907.655700</v>
      </c>
    </row>
    <row r="13517" spans="1:9">
      <c r="A13517" s="22" t="str">
        <f>HYPERLINK("https://app.vivvix.com/360/KMI/IntelliDrive/ApplUI/Pages/CreativePages/CustomReportCreativeDetail.aspx?App=23&amp;ReportView=4&amp;Qid=1711279&amp;Row=13509&amp;Col=1","No Title Assigned - #15273812042")</f>
        <v/>
      </c>
      <c r="B13517" s="0" t="s">
        <v>18114</v>
      </c>
      <c r="C13517" s="0" t="s">
        <v>18115</v>
      </c>
      <c r="D13517" s="0" t="s">
        <v>18115</v>
      </c>
      <c r="E13517" s="0" t="inlineStr">
        <is>
          <t xml:space="preserve">Mazda</t>
        </is>
      </c>
      <c r="F13517" s="0" t="s">
        <v>13</v>
      </c>
      <c r="G13517" s="0" t="s">
        <v>49</v>
      </c>
      <c r="H13517" s="5">
        <v>188.234000</v>
      </c>
    </row>
    <row r="13518" spans="1:9">
      <c r="A13518" s="22" t="str">
        <f>HYPERLINK("https://app.vivvix.com/360/KMI/IntelliDrive/ApplUI/Pages/CreativePages/CustomReportCreativeDetail.aspx?App=23&amp;ReportView=4&amp;Qid=1711279&amp;Row=13510&amp;Col=1","No Title Assigned - #15273812135")</f>
        <v/>
      </c>
      <c r="B13518" s="0" t="s">
        <v>18116</v>
      </c>
      <c r="C13518" s="0" t="s">
        <v>18117</v>
      </c>
      <c r="D13518" s="0" t="s">
        <v>18117</v>
      </c>
      <c r="E13518" s="0" t="inlineStr">
        <is>
          <t xml:space="preserve">Mazda</t>
        </is>
      </c>
      <c r="F13518" s="0" t="s">
        <v>13</v>
      </c>
      <c r="G13518" s="0" t="s">
        <v>49</v>
      </c>
      <c r="H13518" s="5">
        <v>491.400000</v>
      </c>
    </row>
    <row r="13519" spans="1:9">
      <c r="A13519" s="22" t="str">
        <f>HYPERLINK("https://app.vivvix.com/360/KMI/IntelliDrive/ApplUI/Pages/CreativePages/CustomReportCreativeDetail.aspx?App=23&amp;ReportView=4&amp;Qid=1711279&amp;Row=13511&amp;Col=1","No Title Assigned - #15273812152")</f>
        <v/>
      </c>
      <c r="B13519" s="0" t="s">
        <v>18118</v>
      </c>
      <c r="C13519" s="0" t="s">
        <v>18119</v>
      </c>
      <c r="D13519" s="0" t="s">
        <v>18119</v>
      </c>
      <c r="E13519" s="0" t="inlineStr">
        <is>
          <t xml:space="preserve">Mazda</t>
        </is>
      </c>
      <c r="F13519" s="0" t="inlineStr">
        <is>
          <t xml:space="preserve">Mazda</t>
        </is>
      </c>
      <c r="G13519" s="0" t="s">
        <v>210</v>
      </c>
      <c r="H13519" s="5">
        <v>1096.614600</v>
      </c>
    </row>
    <row r="13520" spans="1:9">
      <c r="A13520" s="22" t="str">
        <f>HYPERLINK("https://app.vivvix.com/360/KMI/IntelliDrive/ApplUI/Pages/CreativePages/CustomReportCreativeDetail.aspx?App=23&amp;ReportView=4&amp;Qid=1711279&amp;Row=13512&amp;Col=1","No Title Assigned - #15273812156")</f>
        <v/>
      </c>
      <c r="B13520" s="0" t="s">
        <v>18120</v>
      </c>
      <c r="C13520" s="0" t="s">
        <v>18121</v>
      </c>
      <c r="D13520" s="0" t="s">
        <v>18121</v>
      </c>
      <c r="E13520" s="0" t="inlineStr">
        <is>
          <t xml:space="preserve">Mazda</t>
        </is>
      </c>
      <c r="F13520" s="0" t="s">
        <v>13</v>
      </c>
      <c r="G13520" s="0" t="s">
        <v>49</v>
      </c>
      <c r="H13520" s="5">
        <v>244.055100</v>
      </c>
    </row>
    <row r="13521" spans="1:9">
      <c r="A13521" s="22" t="str">
        <f>HYPERLINK("https://app.vivvix.com/360/KMI/IntelliDrive/ApplUI/Pages/CreativePages/CustomReportCreativeDetail.aspx?App=23&amp;ReportView=4&amp;Qid=1711279&amp;Row=13513&amp;Col=1","No Title Assigned - #15273812161")</f>
        <v/>
      </c>
      <c r="B13521" s="0" t="s">
        <v>18122</v>
      </c>
      <c r="C13521" s="0" t="s">
        <v>18123</v>
      </c>
      <c r="D13521" s="0" t="s">
        <v>9800</v>
      </c>
      <c r="E13521" s="0" t="inlineStr">
        <is>
          <t xml:space="preserve">Mazda</t>
        </is>
      </c>
      <c r="F13521" s="0" t="s">
        <v>13</v>
      </c>
      <c r="G13521" s="0" t="s">
        <v>49</v>
      </c>
      <c r="H13521" s="5">
        <v>70.795200</v>
      </c>
    </row>
    <row r="13522" spans="1:9">
      <c r="A13522" s="22" t="str">
        <f>HYPERLINK("https://app.vivvix.com/360/KMI/IntelliDrive/ApplUI/Pages/CreativePages/CustomReportCreativeDetail.aspx?App=23&amp;ReportView=4&amp;Qid=1711279&amp;Row=13514&amp;Col=1","No Title Assigned - #15273812162")</f>
        <v/>
      </c>
      <c r="B13522" s="0" t="s">
        <v>18124</v>
      </c>
      <c r="C13522" s="0" t="s">
        <v>18125</v>
      </c>
      <c r="D13522" s="0" t="s">
        <v>7399</v>
      </c>
      <c r="E13522" s="0" t="inlineStr">
        <is>
          <t xml:space="preserve">Mazda</t>
        </is>
      </c>
      <c r="F13522" s="0" t="s">
        <v>13</v>
      </c>
      <c r="G13522" s="0" t="s">
        <v>49</v>
      </c>
      <c r="H13522" s="5">
        <v>70.795200</v>
      </c>
    </row>
    <row r="13523" spans="1:9">
      <c r="A13523" s="22" t="str">
        <f>HYPERLINK("https://app.vivvix.com/360/KMI/IntelliDrive/ApplUI/Pages/CreativePages/CustomReportCreativeDetail.aspx?App=23&amp;ReportView=4&amp;Qid=1711279&amp;Row=13515&amp;Col=1","No Title Assigned - #15273812165")</f>
        <v/>
      </c>
      <c r="B13523" s="0" t="s">
        <v>18126</v>
      </c>
      <c r="C13523" s="0" t="s">
        <v>18127</v>
      </c>
      <c r="D13523" s="0" t="s">
        <v>18127</v>
      </c>
      <c r="E13523" s="0" t="inlineStr">
        <is>
          <t xml:space="preserve">Mazda</t>
        </is>
      </c>
      <c r="F13523" s="0" t="s">
        <v>13</v>
      </c>
      <c r="G13523" s="0" t="s">
        <v>49</v>
      </c>
      <c r="H13523" s="5">
        <v>495.927500</v>
      </c>
    </row>
    <row r="13524" spans="1:9">
      <c r="A13524" s="22" t="str">
        <f>HYPERLINK("https://app.vivvix.com/360/KMI/IntelliDrive/ApplUI/Pages/CreativePages/CustomReportCreativeDetail.aspx?App=23&amp;ReportView=4&amp;Qid=1711279&amp;Row=13516&amp;Col=1","No Title Assigned - #15273812165")</f>
        <v/>
      </c>
      <c r="B13524" s="0" t="s">
        <v>18126</v>
      </c>
      <c r="C13524" s="0" t="s">
        <v>18128</v>
      </c>
      <c r="D13524" s="0" t="s">
        <v>18128</v>
      </c>
      <c r="E13524" s="0" t="inlineStr">
        <is>
          <t xml:space="preserve">Mazda</t>
        </is>
      </c>
      <c r="F13524" s="0" t="s">
        <v>13</v>
      </c>
      <c r="G13524" s="0" t="s">
        <v>49</v>
      </c>
      <c r="H13524" s="5">
        <v>955.964400</v>
      </c>
    </row>
    <row r="13525" spans="1:9">
      <c r="A13525" s="22" t="str">
        <f>HYPERLINK("https://app.vivvix.com/360/KMI/IntelliDrive/ApplUI/Pages/CreativePages/CustomReportCreativeDetail.aspx?App=23&amp;ReportView=4&amp;Qid=1711279&amp;Row=13517&amp;Col=1","No Title Assigned - #15273812187")</f>
        <v/>
      </c>
      <c r="B13525" s="0" t="s">
        <v>18129</v>
      </c>
      <c r="E13525" s="0" t="inlineStr">
        <is>
          <t xml:space="preserve">Mazda</t>
        </is>
      </c>
      <c r="F13525" s="0" t="s">
        <v>13</v>
      </c>
      <c r="G13525" s="0" t="s">
        <v>49</v>
      </c>
      <c r="H13525" s="5">
        <v>283.365900</v>
      </c>
    </row>
    <row r="13526" spans="1:9">
      <c r="A13526" s="22" t="str">
        <f>HYPERLINK("https://app.vivvix.com/360/KMI/IntelliDrive/ApplUI/Pages/CreativePages/CustomReportCreativeDetail.aspx?App=23&amp;ReportView=4&amp;Qid=1711279&amp;Row=13518&amp;Col=1","No Title Assigned - #15273812266")</f>
        <v/>
      </c>
      <c r="B13526" s="0" t="s">
        <v>18130</v>
      </c>
      <c r="C13526" s="0" t="s">
        <v>18131</v>
      </c>
      <c r="D13526" s="0" t="s">
        <v>6404</v>
      </c>
      <c r="E13526" s="0" t="inlineStr">
        <is>
          <t xml:space="preserve">Mazda</t>
        </is>
      </c>
      <c r="F13526" s="0" t="s">
        <v>13</v>
      </c>
      <c r="G13526" s="0" t="s">
        <v>49</v>
      </c>
      <c r="H13526" s="5">
        <v>1288.585300</v>
      </c>
    </row>
    <row r="13527" spans="1:9">
      <c r="A13527" s="22" t="str">
        <f>HYPERLINK("https://app.vivvix.com/360/KMI/IntelliDrive/ApplUI/Pages/CreativePages/CustomReportCreativeDetail.aspx?App=23&amp;ReportView=4&amp;Qid=1711279&amp;Row=13519&amp;Col=1","No Title Assigned - #15273812614")</f>
        <v/>
      </c>
      <c r="B13527" s="0" t="s">
        <v>18132</v>
      </c>
      <c r="C13527" s="0" t="s">
        <v>18133</v>
      </c>
      <c r="D13527" s="0" t="s">
        <v>10453</v>
      </c>
      <c r="E13527" s="0" t="inlineStr">
        <is>
          <t xml:space="preserve">Mazda</t>
        </is>
      </c>
      <c r="F13527" s="0" t="s">
        <v>13</v>
      </c>
      <c r="G13527" s="0" t="s">
        <v>49</v>
      </c>
      <c r="H13527" s="5">
        <v>138.977300</v>
      </c>
    </row>
    <row r="13528" spans="1:9">
      <c r="A13528" s="22" t="str">
        <f>HYPERLINK("https://app.vivvix.com/360/KMI/IntelliDrive/ApplUI/Pages/CreativePages/CustomReportCreativeDetail.aspx?App=23&amp;ReportView=4&amp;Qid=1711279&amp;Row=13520&amp;Col=1","No Title Assigned - #15273812894")</f>
        <v/>
      </c>
      <c r="B13528" s="0" t="s">
        <v>18134</v>
      </c>
      <c r="C13528" s="0" t="s">
        <v>18135</v>
      </c>
      <c r="D13528" s="0" t="s">
        <v>9037</v>
      </c>
      <c r="E13528" s="0" t="inlineStr">
        <is>
          <t xml:space="preserve">Mazda</t>
        </is>
      </c>
      <c r="F13528" s="0" t="s">
        <v>13</v>
      </c>
      <c r="G13528" s="0" t="s">
        <v>49</v>
      </c>
      <c r="H13528" s="5">
        <v>159.627600</v>
      </c>
    </row>
    <row r="13529" spans="1:9">
      <c r="A13529" s="22" t="str">
        <f>HYPERLINK("https://app.vivvix.com/360/KMI/IntelliDrive/ApplUI/Pages/CreativePages/CustomReportCreativeDetail.aspx?App=23&amp;ReportView=4&amp;Qid=1711279&amp;Row=13521&amp;Col=1","No Title Assigned - #15273813057")</f>
        <v/>
      </c>
      <c r="B13529" s="0" t="s">
        <v>18136</v>
      </c>
      <c r="C13529" s="0" t="s">
        <v>18137</v>
      </c>
      <c r="D13529" s="0" t="s">
        <v>18137</v>
      </c>
      <c r="E13529" s="0" t="inlineStr">
        <is>
          <t xml:space="preserve">Mazda</t>
        </is>
      </c>
      <c r="F13529" s="0" t="s">
        <v>13</v>
      </c>
      <c r="G13529" s="0" t="s">
        <v>49</v>
      </c>
      <c r="H13529" s="5">
        <v>965.199900</v>
      </c>
    </row>
    <row r="13530" spans="1:9">
      <c r="A13530" s="22" t="str">
        <f>HYPERLINK("https://app.vivvix.com/360/KMI/IntelliDrive/ApplUI/Pages/CreativePages/CustomReportCreativeDetail.aspx?App=23&amp;ReportView=4&amp;Qid=1711279&amp;Row=13522&amp;Col=1","No Title Assigned - #15273813127")</f>
        <v/>
      </c>
      <c r="B13530" s="0" t="s">
        <v>18138</v>
      </c>
      <c r="C13530" s="0" t="s">
        <v>18139</v>
      </c>
      <c r="D13530" s="0" t="s">
        <v>18139</v>
      </c>
      <c r="E13530" s="0" t="inlineStr">
        <is>
          <t xml:space="preserve">Mazda</t>
        </is>
      </c>
      <c r="F13530" s="0" t="s">
        <v>13</v>
      </c>
      <c r="G13530" s="0" t="s">
        <v>49</v>
      </c>
      <c r="H13530" s="5">
        <v>1396.422100</v>
      </c>
    </row>
    <row r="13531" spans="1:9">
      <c r="A13531" s="22" t="str">
        <f>HYPERLINK("https://app.vivvix.com/360/KMI/IntelliDrive/ApplUI/Pages/CreativePages/CustomReportCreativeDetail.aspx?App=23&amp;ReportView=4&amp;Qid=1711279&amp;Row=13523&amp;Col=1","No Title Assigned - #15273813201")</f>
        <v/>
      </c>
      <c r="B13531" s="0" t="s">
        <v>18140</v>
      </c>
      <c r="C13531" s="0" t="s">
        <v>18141</v>
      </c>
      <c r="D13531" s="0" t="s">
        <v>18141</v>
      </c>
      <c r="E13531" s="0" t="inlineStr">
        <is>
          <t xml:space="preserve">Mazda</t>
        </is>
      </c>
      <c r="F13531" s="0" t="s">
        <v>13</v>
      </c>
      <c r="G13531" s="0" t="s">
        <v>49</v>
      </c>
      <c r="H13531" s="5">
        <v>7582.404400</v>
      </c>
    </row>
    <row r="13532" spans="1:9">
      <c r="A13532" s="22" t="str">
        <f>HYPERLINK("https://app.vivvix.com/360/KMI/IntelliDrive/ApplUI/Pages/CreativePages/CustomReportCreativeDetail.aspx?App=23&amp;ReportView=4&amp;Qid=1711279&amp;Row=13524&amp;Col=1","No Title Assigned - #15273813403")</f>
        <v/>
      </c>
      <c r="B13532" s="0" t="s">
        <v>18142</v>
      </c>
      <c r="C13532" s="0" t="s">
        <v>18143</v>
      </c>
      <c r="D13532" s="0" t="s">
        <v>18143</v>
      </c>
      <c r="E13532" s="0" t="inlineStr">
        <is>
          <t xml:space="preserve">Mazda</t>
        </is>
      </c>
      <c r="F13532" s="0" t="s">
        <v>13</v>
      </c>
      <c r="G13532" s="0" t="s">
        <v>49</v>
      </c>
      <c r="H13532" s="5">
        <v>607.904400</v>
      </c>
    </row>
    <row r="13533" spans="1:9">
      <c r="A13533" s="22" t="str">
        <f>HYPERLINK("https://app.vivvix.com/360/KMI/IntelliDrive/ApplUI/Pages/CreativePages/CustomReportCreativeDetail.aspx?App=23&amp;ReportView=4&amp;Qid=1711279&amp;Row=13525&amp;Col=1","No Title Assigned - #15273813406")</f>
        <v/>
      </c>
      <c r="B13533" s="0" t="s">
        <v>18144</v>
      </c>
      <c r="C13533" s="0" t="s">
        <v>18145</v>
      </c>
      <c r="D13533" s="0" t="s">
        <v>18145</v>
      </c>
      <c r="E13533" s="0" t="inlineStr">
        <is>
          <t xml:space="preserve">Mazda</t>
        </is>
      </c>
      <c r="F13533" s="0" t="s">
        <v>13</v>
      </c>
      <c r="G13533" s="0" t="s">
        <v>49</v>
      </c>
      <c r="H13533" s="5">
        <v>1047.210800</v>
      </c>
    </row>
    <row r="13534" spans="1:9">
      <c r="A13534" s="22" t="str">
        <f>HYPERLINK("https://app.vivvix.com/360/KMI/IntelliDrive/ApplUI/Pages/CreativePages/CustomReportCreativeDetail.aspx?App=23&amp;ReportView=4&amp;Qid=1711279&amp;Row=13526&amp;Col=1","No Title Assigned - #15273813472")</f>
        <v/>
      </c>
      <c r="B13534" s="0" t="s">
        <v>18146</v>
      </c>
      <c r="C13534" s="0" t="s">
        <v>18147</v>
      </c>
      <c r="D13534" s="0" t="s">
        <v>18147</v>
      </c>
      <c r="E13534" s="0" t="inlineStr">
        <is>
          <t xml:space="preserve">Mazda</t>
        </is>
      </c>
      <c r="F13534" s="0" t="s">
        <v>13</v>
      </c>
      <c r="G13534" s="0" t="s">
        <v>49</v>
      </c>
      <c r="H13534" s="5">
        <v>96.175300</v>
      </c>
    </row>
    <row r="13535" spans="1:9">
      <c r="A13535" s="22" t="str">
        <f>HYPERLINK("https://app.vivvix.com/360/KMI/IntelliDrive/ApplUI/Pages/CreativePages/CustomReportCreativeDetail.aspx?App=23&amp;ReportView=4&amp;Qid=1711279&amp;Row=13527&amp;Col=1","No Title Assigned - #15273813476")</f>
        <v/>
      </c>
      <c r="B13535" s="0" t="s">
        <v>18148</v>
      </c>
      <c r="C13535" s="0" t="s">
        <v>18149</v>
      </c>
      <c r="D13535" s="0" t="s">
        <v>18149</v>
      </c>
      <c r="E13535" s="0" t="inlineStr">
        <is>
          <t xml:space="preserve">Mazda</t>
        </is>
      </c>
      <c r="F13535" s="0" t="s">
        <v>13</v>
      </c>
      <c r="G13535" s="0" t="s">
        <v>49</v>
      </c>
      <c r="H13535" s="5">
        <v>74938.838800</v>
      </c>
    </row>
    <row r="13536" spans="1:9">
      <c r="A13536" s="22" t="str">
        <f>HYPERLINK("https://app.vivvix.com/360/KMI/IntelliDrive/ApplUI/Pages/CreativePages/CustomReportCreativeDetail.aspx?App=23&amp;ReportView=4&amp;Qid=1711279&amp;Row=13528&amp;Col=1","No Title Assigned - #15273813476")</f>
        <v/>
      </c>
      <c r="B13536" s="0" t="s">
        <v>18148</v>
      </c>
      <c r="E13536" s="0" t="inlineStr">
        <is>
          <t xml:space="preserve">Mazda</t>
        </is>
      </c>
      <c r="F13536" s="0" t="s">
        <v>13</v>
      </c>
      <c r="G13536" s="0" t="s">
        <v>49</v>
      </c>
      <c r="H13536" s="5">
        <v>814.124200</v>
      </c>
    </row>
    <row r="13537" spans="1:9">
      <c r="A13537" s="22" t="str">
        <f>HYPERLINK("https://app.vivvix.com/360/KMI/IntelliDrive/ApplUI/Pages/CreativePages/CustomReportCreativeDetail.aspx?App=23&amp;ReportView=4&amp;Qid=1711279&amp;Row=13529&amp;Col=1","No Title Assigned - #15273813527")</f>
        <v/>
      </c>
      <c r="B13537" s="0" t="s">
        <v>18150</v>
      </c>
      <c r="C13537" s="0" t="s">
        <v>18151</v>
      </c>
      <c r="D13537" s="0" t="s">
        <v>18151</v>
      </c>
      <c r="E13537" s="0" t="inlineStr">
        <is>
          <t xml:space="preserve">Mazda</t>
        </is>
      </c>
      <c r="F13537" s="0" t="s">
        <v>13</v>
      </c>
      <c r="G13537" s="0" t="s">
        <v>49</v>
      </c>
      <c r="H13537" s="5">
        <v>547.152400</v>
      </c>
    </row>
    <row r="13538" spans="1:9">
      <c r="A13538" s="22" t="str">
        <f>HYPERLINK("https://app.vivvix.com/360/KMI/IntelliDrive/ApplUI/Pages/CreativePages/CustomReportCreativeDetail.aspx?App=23&amp;ReportView=4&amp;Qid=1711279&amp;Row=13530&amp;Col=1","No Title Assigned - #15273813999")</f>
        <v/>
      </c>
      <c r="B13538" s="0" t="s">
        <v>18152</v>
      </c>
      <c r="C13538" s="0" t="s">
        <v>18153</v>
      </c>
      <c r="D13538" s="0" t="s">
        <v>18153</v>
      </c>
      <c r="E13538" s="0" t="inlineStr">
        <is>
          <t xml:space="preserve">Mazda</t>
        </is>
      </c>
      <c r="F13538" s="0" t="s">
        <v>13</v>
      </c>
      <c r="G13538" s="0" t="s">
        <v>49</v>
      </c>
      <c r="H13538" s="5">
        <v>277.986300</v>
      </c>
    </row>
    <row r="13539" spans="1:9">
      <c r="A13539" s="22" t="str">
        <f>HYPERLINK("https://app.vivvix.com/360/KMI/IntelliDrive/ApplUI/Pages/CreativePages/CustomReportCreativeDetail.aspx?App=23&amp;ReportView=4&amp;Qid=1711279&amp;Row=13531&amp;Col=1","No Title Assigned - #15273814002")</f>
        <v/>
      </c>
      <c r="B13539" s="0" t="s">
        <v>18154</v>
      </c>
      <c r="C13539" s="0" t="s">
        <v>18155</v>
      </c>
      <c r="D13539" s="0" t="s">
        <v>18155</v>
      </c>
      <c r="E13539" s="0" t="inlineStr">
        <is>
          <t xml:space="preserve">Mazda</t>
        </is>
      </c>
      <c r="F13539" s="0" t="s">
        <v>13</v>
      </c>
      <c r="G13539" s="0" t="s">
        <v>49</v>
      </c>
      <c r="H13539" s="5">
        <v>163.800000</v>
      </c>
    </row>
    <row r="13540" spans="1:9">
      <c r="A13540" s="22" t="str">
        <f>HYPERLINK("https://app.vivvix.com/360/KMI/IntelliDrive/ApplUI/Pages/CreativePages/CustomReportCreativeDetail.aspx?App=23&amp;ReportView=4&amp;Qid=1711279&amp;Row=13532&amp;Col=1","No Title Assigned - #15273814005")</f>
        <v/>
      </c>
      <c r="B13540" s="0" t="s">
        <v>18156</v>
      </c>
      <c r="C13540" s="0" t="s">
        <v>18157</v>
      </c>
      <c r="D13540" s="0" t="s">
        <v>18157</v>
      </c>
      <c r="E13540" s="0" t="inlineStr">
        <is>
          <t xml:space="preserve">Mazda</t>
        </is>
      </c>
      <c r="F13540" s="0" t="s">
        <v>13</v>
      </c>
      <c r="G13540" s="0" t="s">
        <v>49</v>
      </c>
      <c r="H13540" s="5">
        <v>4041.156600</v>
      </c>
    </row>
    <row r="13541" spans="1:9">
      <c r="A13541" s="22" t="str">
        <f>HYPERLINK("https://app.vivvix.com/360/KMI/IntelliDrive/ApplUI/Pages/CreativePages/CustomReportCreativeDetail.aspx?App=23&amp;ReportView=4&amp;Qid=1711279&amp;Row=13533&amp;Col=1","No Title Assigned - #15273814042")</f>
        <v/>
      </c>
      <c r="B13541" s="0" t="s">
        <v>18158</v>
      </c>
      <c r="C13541" s="0" t="s">
        <v>18159</v>
      </c>
      <c r="D13541" s="0" t="s">
        <v>18159</v>
      </c>
      <c r="E13541" s="0" t="inlineStr">
        <is>
          <t xml:space="preserve">Mazda</t>
        </is>
      </c>
      <c r="F13541" s="0" t="s">
        <v>13</v>
      </c>
      <c r="G13541" s="0" t="s">
        <v>49</v>
      </c>
      <c r="H13541" s="5">
        <v>1520.461200</v>
      </c>
    </row>
    <row r="13542" spans="1:9">
      <c r="A13542" s="22" t="str">
        <f>HYPERLINK("https://app.vivvix.com/360/KMI/IntelliDrive/ApplUI/Pages/CreativePages/CustomReportCreativeDetail.aspx?App=23&amp;ReportView=4&amp;Qid=1711279&amp;Row=13534&amp;Col=1","No Title Assigned - #15273814185")</f>
        <v/>
      </c>
      <c r="B13542" s="0" t="s">
        <v>18160</v>
      </c>
      <c r="C13542" s="0" t="s">
        <v>18161</v>
      </c>
      <c r="D13542" s="0" t="s">
        <v>18161</v>
      </c>
      <c r="E13542" s="0" t="inlineStr">
        <is>
          <t xml:space="preserve">Mazda</t>
        </is>
      </c>
      <c r="F13542" s="0" t="inlineStr">
        <is>
          <t xml:space="preserve">Mazda</t>
        </is>
      </c>
      <c r="G13542" s="0" t="s">
        <v>210</v>
      </c>
      <c r="H13542" s="5">
        <v>1815.618600</v>
      </c>
    </row>
    <row r="13543" spans="1:9">
      <c r="A13543" s="22" t="str">
        <f>HYPERLINK("https://app.vivvix.com/360/KMI/IntelliDrive/ApplUI/Pages/CreativePages/CustomReportCreativeDetail.aspx?App=23&amp;ReportView=4&amp;Qid=1711279&amp;Row=13535&amp;Col=1","No Title Assigned - #15273814187")</f>
        <v/>
      </c>
      <c r="B13543" s="0" t="s">
        <v>18162</v>
      </c>
      <c r="C13543" s="0" t="s">
        <v>18163</v>
      </c>
      <c r="D13543" s="0" t="s">
        <v>18163</v>
      </c>
      <c r="E13543" s="0" t="inlineStr">
        <is>
          <t xml:space="preserve">Mazda</t>
        </is>
      </c>
      <c r="F13543" s="0" t="s">
        <v>28</v>
      </c>
      <c r="G13543" s="0" t="s">
        <v>29</v>
      </c>
      <c r="H13543" s="5">
        <v>53.602300</v>
      </c>
    </row>
    <row r="13544" spans="1:9">
      <c r="A13544" s="22" t="str">
        <f>HYPERLINK("https://app.vivvix.com/360/KMI/IntelliDrive/ApplUI/Pages/CreativePages/CustomReportCreativeDetail.aspx?App=23&amp;ReportView=4&amp;Qid=1711279&amp;Row=13536&amp;Col=1","No Title Assigned - #15273814192")</f>
        <v/>
      </c>
      <c r="B13544" s="0" t="s">
        <v>18164</v>
      </c>
      <c r="E13544" s="0" t="inlineStr">
        <is>
          <t xml:space="preserve">Mazda</t>
        </is>
      </c>
      <c r="F13544" s="0" t="s">
        <v>13</v>
      </c>
      <c r="G13544" s="0" t="s">
        <v>49</v>
      </c>
      <c r="H13544" s="5">
        <v>9.716000</v>
      </c>
    </row>
    <row r="13545" spans="1:9">
      <c r="A13545" s="22" t="str">
        <f>HYPERLINK("https://app.vivvix.com/360/KMI/IntelliDrive/ApplUI/Pages/CreativePages/CustomReportCreativeDetail.aspx?App=23&amp;ReportView=4&amp;Qid=1711279&amp;Row=13537&amp;Col=1","No Title Assigned - #15273814301")</f>
        <v/>
      </c>
      <c r="B13545" s="0" t="s">
        <v>18165</v>
      </c>
      <c r="C13545" s="0" t="s">
        <v>18166</v>
      </c>
      <c r="D13545" s="0" t="s">
        <v>18166</v>
      </c>
      <c r="E13545" s="0" t="inlineStr">
        <is>
          <t xml:space="preserve">Mazda</t>
        </is>
      </c>
      <c r="F13545" s="0" t="s">
        <v>13</v>
      </c>
      <c r="G13545" s="0" t="s">
        <v>49</v>
      </c>
      <c r="H13545" s="5">
        <v>34.006000</v>
      </c>
    </row>
    <row r="13546" spans="1:9">
      <c r="A13546" s="22" t="str">
        <f>HYPERLINK("https://app.vivvix.com/360/KMI/IntelliDrive/ApplUI/Pages/CreativePages/CustomReportCreativeDetail.aspx?App=23&amp;ReportView=4&amp;Qid=1711279&amp;Row=13538&amp;Col=1","No Title Assigned - #15273814462")</f>
        <v/>
      </c>
      <c r="B13546" s="0" t="s">
        <v>18167</v>
      </c>
      <c r="C13546" s="0" t="s">
        <v>18168</v>
      </c>
      <c r="D13546" s="0" t="s">
        <v>18168</v>
      </c>
      <c r="E13546" s="0" t="inlineStr">
        <is>
          <t xml:space="preserve">Mazda</t>
        </is>
      </c>
      <c r="F13546" s="0" t="s">
        <v>13</v>
      </c>
      <c r="G13546" s="0" t="s">
        <v>49</v>
      </c>
      <c r="H13546" s="5">
        <v>418.438900</v>
      </c>
    </row>
    <row r="13547" spans="1:9">
      <c r="A13547" s="22" t="str">
        <f>HYPERLINK("https://app.vivvix.com/360/KMI/IntelliDrive/ApplUI/Pages/CreativePages/CustomReportCreativeDetail.aspx?App=23&amp;ReportView=4&amp;Qid=1711279&amp;Row=13539&amp;Col=1","No Title Assigned - #15273814463")</f>
        <v/>
      </c>
      <c r="B13547" s="0" t="s">
        <v>18169</v>
      </c>
      <c r="C13547" s="0" t="s">
        <v>18170</v>
      </c>
      <c r="D13547" s="0" t="s">
        <v>18170</v>
      </c>
      <c r="E13547" s="0" t="inlineStr">
        <is>
          <t xml:space="preserve">Mazda</t>
        </is>
      </c>
      <c r="F13547" s="0" t="s">
        <v>28</v>
      </c>
      <c r="G13547" s="0" t="s">
        <v>29</v>
      </c>
      <c r="H13547" s="5">
        <v>445.755300</v>
      </c>
    </row>
    <row r="13548" spans="1:9">
      <c r="A13548" s="22" t="str">
        <f>HYPERLINK("https://app.vivvix.com/360/KMI/IntelliDrive/ApplUI/Pages/CreativePages/CustomReportCreativeDetail.aspx?App=23&amp;ReportView=4&amp;Qid=1711279&amp;Row=13540&amp;Col=1","No Title Assigned - #15273814484")</f>
        <v/>
      </c>
      <c r="B13548" s="0" t="s">
        <v>18171</v>
      </c>
      <c r="C13548" s="0" t="s">
        <v>18172</v>
      </c>
      <c r="D13548" s="0" t="s">
        <v>18172</v>
      </c>
      <c r="E13548" s="0" t="inlineStr">
        <is>
          <t xml:space="preserve">Mazda</t>
        </is>
      </c>
      <c r="F13548" s="0" t="s">
        <v>13</v>
      </c>
      <c r="G13548" s="0" t="s">
        <v>49</v>
      </c>
      <c r="H13548" s="5">
        <v>110.062400</v>
      </c>
    </row>
    <row r="13549" spans="1:9">
      <c r="A13549" s="22" t="str">
        <f>HYPERLINK("https://app.vivvix.com/360/KMI/IntelliDrive/ApplUI/Pages/CreativePages/CustomReportCreativeDetail.aspx?App=23&amp;ReportView=4&amp;Qid=1711279&amp;Row=13541&amp;Col=1","No Title Assigned - #15273814488")</f>
        <v/>
      </c>
      <c r="B13549" s="0" t="s">
        <v>18173</v>
      </c>
      <c r="C13549" s="0" t="s">
        <v>18174</v>
      </c>
      <c r="D13549" s="0" t="s">
        <v>10770</v>
      </c>
      <c r="E13549" s="0" t="inlineStr">
        <is>
          <t xml:space="preserve">Mazda</t>
        </is>
      </c>
      <c r="F13549" s="0" t="s">
        <v>13</v>
      </c>
      <c r="G13549" s="0" t="s">
        <v>49</v>
      </c>
      <c r="H13549" s="5">
        <v>184.761400</v>
      </c>
    </row>
    <row r="13550" spans="1:9">
      <c r="A13550" s="22" t="str">
        <f>HYPERLINK("https://app.vivvix.com/360/KMI/IntelliDrive/ApplUI/Pages/CreativePages/CustomReportCreativeDetail.aspx?App=23&amp;ReportView=4&amp;Qid=1711279&amp;Row=13542&amp;Col=1","No Title Assigned - #15273814549")</f>
        <v/>
      </c>
      <c r="B13550" s="0" t="s">
        <v>18175</v>
      </c>
      <c r="C13550" s="0" t="s">
        <v>18176</v>
      </c>
      <c r="D13550" s="0" t="s">
        <v>18176</v>
      </c>
      <c r="E13550" s="0" t="inlineStr">
        <is>
          <t xml:space="preserve">Mazda</t>
        </is>
      </c>
      <c r="F13550" s="0" t="inlineStr">
        <is>
          <t xml:space="preserve">Mazda</t>
        </is>
      </c>
      <c r="G13550" s="0" t="s">
        <v>171</v>
      </c>
      <c r="H13550" s="5">
        <v>949.238400</v>
      </c>
    </row>
    <row r="13551" spans="1:9">
      <c r="A13551" s="22" t="str">
        <f>HYPERLINK("https://app.vivvix.com/360/KMI/IntelliDrive/ApplUI/Pages/CreativePages/CustomReportCreativeDetail.aspx?App=23&amp;ReportView=4&amp;Qid=1711279&amp;Row=13543&amp;Col=1","No Title Assigned - #15273814638")</f>
        <v/>
      </c>
      <c r="B13551" s="0" t="s">
        <v>18177</v>
      </c>
      <c r="E13551" s="0" t="inlineStr">
        <is>
          <t xml:space="preserve">Mazda</t>
        </is>
      </c>
      <c r="F13551" s="0" t="inlineStr">
        <is>
          <t xml:space="preserve">Mazda</t>
        </is>
      </c>
      <c r="G13551" s="0" t="s">
        <v>171</v>
      </c>
      <c r="H13551" s="5">
        <v>723.592500</v>
      </c>
    </row>
    <row r="13552" spans="1:9">
      <c r="A13552" s="22" t="str">
        <f>HYPERLINK("https://app.vivvix.com/360/KMI/IntelliDrive/ApplUI/Pages/CreativePages/CustomReportCreativeDetail.aspx?App=23&amp;ReportView=4&amp;Qid=1711279&amp;Row=13544&amp;Col=1","No Title Assigned - #15273814678")</f>
        <v/>
      </c>
      <c r="B13552" s="0" t="s">
        <v>18178</v>
      </c>
      <c r="E13552" s="0" t="inlineStr">
        <is>
          <t xml:space="preserve">Mazda</t>
        </is>
      </c>
      <c r="F13552" s="0" t="inlineStr">
        <is>
          <t xml:space="preserve">Mazda</t>
        </is>
      </c>
      <c r="G13552" s="0" t="s">
        <v>171</v>
      </c>
      <c r="H13552" s="5">
        <v>9.138600</v>
      </c>
    </row>
    <row r="13553" spans="1:9">
      <c r="A13553" s="22" t="str">
        <f>HYPERLINK("https://app.vivvix.com/360/KMI/IntelliDrive/ApplUI/Pages/CreativePages/CustomReportCreativeDetail.aspx?App=23&amp;ReportView=4&amp;Qid=1711279&amp;Row=13545&amp;Col=1","No Title Assigned - #15273814681")</f>
        <v/>
      </c>
      <c r="B13553" s="0" t="s">
        <v>18179</v>
      </c>
      <c r="E13553" s="0" t="inlineStr">
        <is>
          <t xml:space="preserve">Mazda</t>
        </is>
      </c>
      <c r="F13553" s="0" t="inlineStr">
        <is>
          <t xml:space="preserve">Mazda</t>
        </is>
      </c>
      <c r="G13553" s="0" t="s">
        <v>171</v>
      </c>
      <c r="H13553" s="5">
        <v>978.242900</v>
      </c>
    </row>
    <row r="13554" spans="1:9">
      <c r="A13554" s="22" t="str">
        <f>HYPERLINK("https://app.vivvix.com/360/KMI/IntelliDrive/ApplUI/Pages/CreativePages/CustomReportCreativeDetail.aspx?App=23&amp;ReportView=4&amp;Qid=1711279&amp;Row=13546&amp;Col=1","No Title Assigned - #15273814862")</f>
        <v/>
      </c>
      <c r="B13554" s="0" t="s">
        <v>18180</v>
      </c>
      <c r="E13554" s="0" t="inlineStr">
        <is>
          <t xml:space="preserve">Mazda</t>
        </is>
      </c>
      <c r="F13554" s="0" t="inlineStr">
        <is>
          <t xml:space="preserve">Mazda</t>
        </is>
      </c>
      <c r="G13554" s="0" t="s">
        <v>171</v>
      </c>
      <c r="H13554" s="5">
        <v>569.499900</v>
      </c>
    </row>
    <row r="13555" spans="1:9">
      <c r="A13555" s="22" t="str">
        <f>HYPERLINK("https://app.vivvix.com/360/KMI/IntelliDrive/ApplUI/Pages/CreativePages/CustomReportCreativeDetail.aspx?App=23&amp;ReportView=4&amp;Qid=1711279&amp;Row=13547&amp;Col=1","No Title Assigned - #15273814873")</f>
        <v/>
      </c>
      <c r="B13555" s="0" t="s">
        <v>18181</v>
      </c>
      <c r="E13555" s="0" t="inlineStr">
        <is>
          <t xml:space="preserve">Mazda</t>
        </is>
      </c>
      <c r="F13555" s="0" t="inlineStr">
        <is>
          <t xml:space="preserve">Mazda</t>
        </is>
      </c>
      <c r="G13555" s="0" t="s">
        <v>171</v>
      </c>
      <c r="H13555" s="5">
        <v>143.877300</v>
      </c>
    </row>
    <row r="13556" spans="1:9">
      <c r="A13556" s="22" t="str">
        <f>HYPERLINK("https://app.vivvix.com/360/KMI/IntelliDrive/ApplUI/Pages/CreativePages/CustomReportCreativeDetail.aspx?App=23&amp;ReportView=4&amp;Qid=1711279&amp;Row=13548&amp;Col=1","No Title Assigned - #15273814965")</f>
        <v/>
      </c>
      <c r="B13556" s="0" t="s">
        <v>18182</v>
      </c>
      <c r="E13556" s="0" t="inlineStr">
        <is>
          <t xml:space="preserve">Mazda</t>
        </is>
      </c>
      <c r="F13556" s="0" t="inlineStr">
        <is>
          <t xml:space="preserve">Mazda</t>
        </is>
      </c>
      <c r="G13556" s="0" t="s">
        <v>171</v>
      </c>
      <c r="H13556" s="5">
        <v>100.824900</v>
      </c>
    </row>
    <row r="13557" spans="1:9">
      <c r="A13557" s="22" t="str">
        <f>HYPERLINK("https://app.vivvix.com/360/KMI/IntelliDrive/ApplUI/Pages/CreativePages/CustomReportCreativeDetail.aspx?App=23&amp;ReportView=4&amp;Qid=1711279&amp;Row=13549&amp;Col=1","No Title Assigned - #15273815011")</f>
        <v/>
      </c>
      <c r="B13557" s="0" t="s">
        <v>18183</v>
      </c>
      <c r="E13557" s="0" t="inlineStr">
        <is>
          <t xml:space="preserve">Mazda</t>
        </is>
      </c>
      <c r="F13557" s="0" t="inlineStr">
        <is>
          <t xml:space="preserve">Mazda</t>
        </is>
      </c>
      <c r="G13557" s="0" t="s">
        <v>171</v>
      </c>
      <c r="H13557" s="5">
        <v>1723.962000</v>
      </c>
    </row>
    <row r="13558" spans="1:9">
      <c r="A13558" s="22" t="str">
        <f>HYPERLINK("https://app.vivvix.com/360/KMI/IntelliDrive/ApplUI/Pages/CreativePages/CustomReportCreativeDetail.aspx?App=23&amp;ReportView=4&amp;Qid=1711279&amp;Row=13550&amp;Col=1","No Title Assigned - #15273815091")</f>
        <v/>
      </c>
      <c r="B13558" s="0" t="s">
        <v>18184</v>
      </c>
      <c r="E13558" s="0" t="inlineStr">
        <is>
          <t xml:space="preserve">Mazda</t>
        </is>
      </c>
      <c r="F13558" s="0" t="inlineStr">
        <is>
          <t xml:space="preserve">Mazda</t>
        </is>
      </c>
      <c r="G13558" s="0" t="s">
        <v>171</v>
      </c>
      <c r="H13558" s="5">
        <v>39.852600</v>
      </c>
    </row>
    <row r="13559" spans="1:9">
      <c r="A13559" s="22" t="str">
        <f>HYPERLINK("https://app.vivvix.com/360/KMI/IntelliDrive/ApplUI/Pages/CreativePages/CustomReportCreativeDetail.aspx?App=23&amp;ReportView=4&amp;Qid=1711279&amp;Row=13551&amp;Col=1","No Title Assigned - #15273815124")</f>
        <v/>
      </c>
      <c r="B13559" s="0" t="s">
        <v>18185</v>
      </c>
      <c r="E13559" s="0" t="inlineStr">
        <is>
          <t xml:space="preserve">Mazda</t>
        </is>
      </c>
      <c r="F13559" s="0" t="inlineStr">
        <is>
          <t xml:space="preserve">Mazda</t>
        </is>
      </c>
      <c r="G13559" s="0" t="s">
        <v>171</v>
      </c>
      <c r="H13559" s="5">
        <v>60.916900</v>
      </c>
    </row>
    <row r="13560" spans="1:9">
      <c r="A13560" s="22" t="str">
        <f>HYPERLINK("https://app.vivvix.com/360/KMI/IntelliDrive/ApplUI/Pages/CreativePages/CustomReportCreativeDetail.aspx?App=23&amp;ReportView=4&amp;Qid=1711279&amp;Row=13552&amp;Col=1","No Title Assigned - #15273815151")</f>
        <v/>
      </c>
      <c r="B13560" s="0" t="s">
        <v>18186</v>
      </c>
      <c r="E13560" s="0" t="inlineStr">
        <is>
          <t xml:space="preserve">Mazda</t>
        </is>
      </c>
      <c r="F13560" s="0" t="inlineStr">
        <is>
          <t xml:space="preserve">Mazda</t>
        </is>
      </c>
      <c r="G13560" s="0" t="s">
        <v>171</v>
      </c>
      <c r="H13560" s="5">
        <v>759.982900</v>
      </c>
    </row>
    <row r="13561" spans="1:9">
      <c r="A13561" s="22" t="str">
        <f>HYPERLINK("https://app.vivvix.com/360/KMI/IntelliDrive/ApplUI/Pages/CreativePages/CustomReportCreativeDetail.aspx?App=23&amp;ReportView=4&amp;Qid=1711279&amp;Row=13553&amp;Col=1","No Title Assigned - #15273815179")</f>
        <v/>
      </c>
      <c r="B13561" s="0" t="s">
        <v>18187</v>
      </c>
      <c r="E13561" s="0" t="inlineStr">
        <is>
          <t xml:space="preserve">Mazda</t>
        </is>
      </c>
      <c r="F13561" s="0" t="inlineStr">
        <is>
          <t xml:space="preserve">Mazda</t>
        </is>
      </c>
      <c r="G13561" s="0" t="s">
        <v>171</v>
      </c>
      <c r="H13561" s="5">
        <v>4.288000</v>
      </c>
    </row>
    <row r="13562" spans="1:9">
      <c r="A13562" s="22" t="str">
        <f>HYPERLINK("https://app.vivvix.com/360/KMI/IntelliDrive/ApplUI/Pages/CreativePages/CustomReportCreativeDetail.aspx?App=23&amp;ReportView=4&amp;Qid=1711279&amp;Row=13554&amp;Col=1","No Title Assigned - #15273815234")</f>
        <v/>
      </c>
      <c r="B13562" s="0" t="s">
        <v>18188</v>
      </c>
      <c r="E13562" s="0" t="inlineStr">
        <is>
          <t xml:space="preserve">Mazda</t>
        </is>
      </c>
      <c r="F13562" s="0" t="inlineStr">
        <is>
          <t xml:space="preserve">Mazda</t>
        </is>
      </c>
      <c r="G13562" s="0" t="s">
        <v>171</v>
      </c>
      <c r="H13562" s="5">
        <v>571.727300</v>
      </c>
    </row>
    <row r="13563" spans="1:9">
      <c r="A13563" s="22" t="str">
        <f>HYPERLINK("https://app.vivvix.com/360/KMI/IntelliDrive/ApplUI/Pages/CreativePages/CustomReportCreativeDetail.aspx?App=23&amp;ReportView=4&amp;Qid=1711279&amp;Row=13555&amp;Col=1","No Title Assigned - #15273815331")</f>
        <v/>
      </c>
      <c r="B13563" s="0" t="s">
        <v>18189</v>
      </c>
      <c r="E13563" s="0" t="inlineStr">
        <is>
          <t xml:space="preserve">Mazda</t>
        </is>
      </c>
      <c r="F13563" s="0" t="inlineStr">
        <is>
          <t xml:space="preserve">Mazda</t>
        </is>
      </c>
      <c r="G13563" s="0" t="s">
        <v>171</v>
      </c>
      <c r="H13563" s="5">
        <v>861.981000</v>
      </c>
    </row>
    <row r="13564" spans="1:9">
      <c r="A13564" s="22" t="str">
        <f>HYPERLINK("https://app.vivvix.com/360/KMI/IntelliDrive/ApplUI/Pages/CreativePages/CustomReportCreativeDetail.aspx?App=23&amp;ReportView=4&amp;Qid=1711279&amp;Row=13556&amp;Col=1","No Title Assigned - #15273815338")</f>
        <v/>
      </c>
      <c r="B13564" s="0" t="s">
        <v>18190</v>
      </c>
      <c r="E13564" s="0" t="inlineStr">
        <is>
          <t xml:space="preserve">Mazda</t>
        </is>
      </c>
      <c r="F13564" s="0" t="inlineStr">
        <is>
          <t xml:space="preserve">Mazda</t>
        </is>
      </c>
      <c r="G13564" s="0" t="s">
        <v>171</v>
      </c>
      <c r="H13564" s="5">
        <v>29.602300</v>
      </c>
    </row>
    <row r="13565" spans="1:9">
      <c r="A13565" s="22" t="str">
        <f>HYPERLINK("https://app.vivvix.com/360/KMI/IntelliDrive/ApplUI/Pages/CreativePages/CustomReportCreativeDetail.aspx?App=23&amp;ReportView=4&amp;Qid=1711279&amp;Row=13557&amp;Col=1","No Title Assigned - #15273815370")</f>
        <v/>
      </c>
      <c r="B13565" s="0" t="s">
        <v>18191</v>
      </c>
      <c r="E13565" s="0" t="inlineStr">
        <is>
          <t xml:space="preserve">Mazda</t>
        </is>
      </c>
      <c r="F13565" s="0" t="inlineStr">
        <is>
          <t xml:space="preserve">Mazda</t>
        </is>
      </c>
      <c r="G13565" s="0" t="s">
        <v>171</v>
      </c>
      <c r="H13565" s="5">
        <v>236.299500</v>
      </c>
    </row>
    <row r="13566" spans="1:9">
      <c r="A13566" s="22" t="str">
        <f>HYPERLINK("https://app.vivvix.com/360/KMI/IntelliDrive/ApplUI/Pages/CreativePages/CustomReportCreativeDetail.aspx?App=23&amp;ReportView=4&amp;Qid=1711279&amp;Row=13558&amp;Col=1","No Title Assigned - #15273815406")</f>
        <v/>
      </c>
      <c r="B13566" s="0" t="s">
        <v>18192</v>
      </c>
      <c r="E13566" s="0" t="inlineStr">
        <is>
          <t xml:space="preserve">Mazda</t>
        </is>
      </c>
      <c r="F13566" s="0" t="inlineStr">
        <is>
          <t xml:space="preserve">Mazda</t>
        </is>
      </c>
      <c r="G13566" s="0" t="s">
        <v>171</v>
      </c>
      <c r="H13566" s="5">
        <v>602.836500</v>
      </c>
    </row>
    <row r="13567" spans="1:9">
      <c r="A13567" s="22" t="str">
        <f>HYPERLINK("https://app.vivvix.com/360/KMI/IntelliDrive/ApplUI/Pages/CreativePages/CustomReportCreativeDetail.aspx?App=23&amp;ReportView=4&amp;Qid=1711279&amp;Row=13559&amp;Col=1","No Title Assigned - #15273815406")</f>
        <v/>
      </c>
      <c r="B13567" s="0" t="s">
        <v>18192</v>
      </c>
      <c r="E13567" s="0" t="inlineStr">
        <is>
          <t xml:space="preserve">Mazda</t>
        </is>
      </c>
      <c r="F13567" s="0" t="inlineStr">
        <is>
          <t xml:space="preserve">Mazda</t>
        </is>
      </c>
      <c r="G13567" s="0" t="s">
        <v>171</v>
      </c>
      <c r="H13567" s="5">
        <v>41.840700</v>
      </c>
    </row>
    <row r="13568" spans="1:9">
      <c r="A13568" s="22" t="str">
        <f>HYPERLINK("https://app.vivvix.com/360/KMI/IntelliDrive/ApplUI/Pages/CreativePages/CustomReportCreativeDetail.aspx?App=23&amp;ReportView=4&amp;Qid=1711279&amp;Row=13560&amp;Col=1","No Title Assigned - #15273815435")</f>
        <v/>
      </c>
      <c r="B13568" s="0" t="s">
        <v>18193</v>
      </c>
      <c r="E13568" s="0" t="inlineStr">
        <is>
          <t xml:space="preserve">Mazda</t>
        </is>
      </c>
      <c r="F13568" s="0" t="inlineStr">
        <is>
          <t xml:space="preserve">Mazda</t>
        </is>
      </c>
      <c r="G13568" s="0" t="s">
        <v>171</v>
      </c>
      <c r="H13568" s="5">
        <v>61269.687500</v>
      </c>
    </row>
    <row r="13569" spans="1:9">
      <c r="A13569" s="22" t="str">
        <f>HYPERLINK("https://app.vivvix.com/360/KMI/IntelliDrive/ApplUI/Pages/CreativePages/CustomReportCreativeDetail.aspx?App=23&amp;ReportView=4&amp;Qid=1711279&amp;Row=13561&amp;Col=1","No Title Assigned - #15273815570")</f>
        <v/>
      </c>
      <c r="B13569" s="0" t="s">
        <v>18194</v>
      </c>
      <c r="C13569" s="0" t="s">
        <v>18195</v>
      </c>
      <c r="D13569" s="0" t="s">
        <v>18195</v>
      </c>
      <c r="E13569" s="0" t="inlineStr">
        <is>
          <t xml:space="preserve">Mazda</t>
        </is>
      </c>
      <c r="F13569" s="0" t="inlineStr">
        <is>
          <t xml:space="preserve">Mazda</t>
        </is>
      </c>
      <c r="G13569" s="0" t="s">
        <v>171</v>
      </c>
      <c r="H13569" s="5">
        <v>93.533900</v>
      </c>
    </row>
    <row r="13570" spans="1:9">
      <c r="A13570" s="22" t="str">
        <f>HYPERLINK("https://app.vivvix.com/360/KMI/IntelliDrive/ApplUI/Pages/CreativePages/CustomReportCreativeDetail.aspx?App=23&amp;ReportView=4&amp;Qid=1711279&amp;Row=13562&amp;Col=1","No Title Assigned - #15273815616")</f>
        <v/>
      </c>
      <c r="B13570" s="0" t="s">
        <v>18196</v>
      </c>
      <c r="E13570" s="0" t="inlineStr">
        <is>
          <t xml:space="preserve">Mazda</t>
        </is>
      </c>
      <c r="F13570" s="0" t="inlineStr">
        <is>
          <t xml:space="preserve">Mazda</t>
        </is>
      </c>
      <c r="G13570" s="0" t="s">
        <v>171</v>
      </c>
      <c r="H13570" s="5">
        <v>1036.441700</v>
      </c>
    </row>
    <row r="13571" spans="1:9">
      <c r="A13571" s="22" t="str">
        <f>HYPERLINK("https://app.vivvix.com/360/KMI/IntelliDrive/ApplUI/Pages/CreativePages/CustomReportCreativeDetail.aspx?App=23&amp;ReportView=4&amp;Qid=1711279&amp;Row=13563&amp;Col=1","No Title Assigned - #15273815646")</f>
        <v/>
      </c>
      <c r="B13571" s="0" t="s">
        <v>18197</v>
      </c>
      <c r="E13571" s="0" t="inlineStr">
        <is>
          <t xml:space="preserve">Mazda</t>
        </is>
      </c>
      <c r="F13571" s="0" t="inlineStr">
        <is>
          <t xml:space="preserve">Mazda</t>
        </is>
      </c>
      <c r="G13571" s="0" t="s">
        <v>171</v>
      </c>
      <c r="H13571" s="5">
        <v>128.414800</v>
      </c>
    </row>
    <row r="13572" spans="1:9">
      <c r="A13572" s="22" t="str">
        <f>HYPERLINK("https://app.vivvix.com/360/KMI/IntelliDrive/ApplUI/Pages/CreativePages/CustomReportCreativeDetail.aspx?App=23&amp;ReportView=4&amp;Qid=1711279&amp;Row=13564&amp;Col=1","No Title Assigned - #15273815678")</f>
        <v/>
      </c>
      <c r="B13572" s="0" t="s">
        <v>18198</v>
      </c>
      <c r="E13572" s="0" t="inlineStr">
        <is>
          <t xml:space="preserve">Mazda</t>
        </is>
      </c>
      <c r="F13572" s="0" t="inlineStr">
        <is>
          <t xml:space="preserve">Mazda</t>
        </is>
      </c>
      <c r="G13572" s="0" t="s">
        <v>171</v>
      </c>
      <c r="H13572" s="5">
        <v>78.347900</v>
      </c>
    </row>
    <row r="13573" spans="1:9">
      <c r="A13573" s="22" t="str">
        <f>HYPERLINK("https://app.vivvix.com/360/KMI/IntelliDrive/ApplUI/Pages/CreativePages/CustomReportCreativeDetail.aspx?App=23&amp;ReportView=4&amp;Qid=1711279&amp;Row=13565&amp;Col=1","No Title Assigned - #15273815699")</f>
        <v/>
      </c>
      <c r="B13573" s="0" t="s">
        <v>18199</v>
      </c>
      <c r="E13573" s="0" t="inlineStr">
        <is>
          <t xml:space="preserve">Mazda</t>
        </is>
      </c>
      <c r="F13573" s="0" t="inlineStr">
        <is>
          <t xml:space="preserve">Mazda</t>
        </is>
      </c>
      <c r="G13573" s="0" t="s">
        <v>171</v>
      </c>
      <c r="H13573" s="5">
        <v>1532.151000</v>
      </c>
    </row>
    <row r="13574" spans="1:9">
      <c r="A13574" s="22" t="str">
        <f>HYPERLINK("https://app.vivvix.com/360/KMI/IntelliDrive/ApplUI/Pages/CreativePages/CustomReportCreativeDetail.aspx?App=23&amp;ReportView=4&amp;Qid=1711279&amp;Row=13566&amp;Col=1","No Title Assigned - #15273815790")</f>
        <v/>
      </c>
      <c r="B13574" s="0" t="s">
        <v>18200</v>
      </c>
      <c r="E13574" s="0" t="inlineStr">
        <is>
          <t xml:space="preserve">Mazda</t>
        </is>
      </c>
      <c r="F13574" s="0" t="inlineStr">
        <is>
          <t xml:space="preserve">Mazda</t>
        </is>
      </c>
      <c r="G13574" s="0" t="s">
        <v>171</v>
      </c>
      <c r="H13574" s="5">
        <v>224.342000</v>
      </c>
    </row>
    <row r="13575" spans="1:9">
      <c r="A13575" s="22" t="str">
        <f>HYPERLINK("https://app.vivvix.com/360/KMI/IntelliDrive/ApplUI/Pages/CreativePages/CustomReportCreativeDetail.aspx?App=23&amp;ReportView=4&amp;Qid=1711279&amp;Row=13567&amp;Col=1","No Title Assigned - #15273815790")</f>
        <v/>
      </c>
      <c r="B13575" s="0" t="s">
        <v>18200</v>
      </c>
      <c r="E13575" s="0" t="inlineStr">
        <is>
          <t xml:space="preserve">Mazda</t>
        </is>
      </c>
      <c r="F13575" s="0" t="inlineStr">
        <is>
          <t xml:space="preserve">Mazda</t>
        </is>
      </c>
      <c r="G13575" s="0" t="s">
        <v>171</v>
      </c>
      <c r="H13575" s="5">
        <v>478.778900</v>
      </c>
    </row>
    <row r="13576" spans="1:9">
      <c r="A13576" s="22" t="str">
        <f>HYPERLINK("https://app.vivvix.com/360/KMI/IntelliDrive/ApplUI/Pages/CreativePages/CustomReportCreativeDetail.aspx?App=23&amp;ReportView=4&amp;Qid=1711279&amp;Row=13568&amp;Col=1","No Title Assigned - #15273815849")</f>
        <v/>
      </c>
      <c r="B13576" s="0" t="s">
        <v>18201</v>
      </c>
      <c r="E13576" s="0" t="inlineStr">
        <is>
          <t xml:space="preserve">Mazda</t>
        </is>
      </c>
      <c r="F13576" s="0" t="inlineStr">
        <is>
          <t xml:space="preserve">Mazda</t>
        </is>
      </c>
      <c r="G13576" s="0" t="s">
        <v>171</v>
      </c>
      <c r="H13576" s="5">
        <v>7407.464700</v>
      </c>
    </row>
    <row r="13577" spans="1:9">
      <c r="A13577" s="22" t="str">
        <f>HYPERLINK("https://app.vivvix.com/360/KMI/IntelliDrive/ApplUI/Pages/CreativePages/CustomReportCreativeDetail.aspx?App=23&amp;ReportView=4&amp;Qid=1711279&amp;Row=13569&amp;Col=1","No Title Assigned - #15273815849")</f>
        <v/>
      </c>
      <c r="B13577" s="0" t="s">
        <v>18201</v>
      </c>
      <c r="E13577" s="0" t="inlineStr">
        <is>
          <t xml:space="preserve">Mazda</t>
        </is>
      </c>
      <c r="F13577" s="0" t="inlineStr">
        <is>
          <t xml:space="preserve">Mazda</t>
        </is>
      </c>
      <c r="G13577" s="0" t="s">
        <v>171</v>
      </c>
      <c r="H13577" s="5">
        <v>3522.522700</v>
      </c>
    </row>
    <row r="13578" spans="1:9">
      <c r="A13578" s="22" t="str">
        <f>HYPERLINK("https://app.vivvix.com/360/KMI/IntelliDrive/ApplUI/Pages/CreativePages/CustomReportCreativeDetail.aspx?App=23&amp;ReportView=4&amp;Qid=1711279&amp;Row=13570&amp;Col=1","No Title Assigned - #15273815850")</f>
        <v/>
      </c>
      <c r="B13578" s="0" t="s">
        <v>18202</v>
      </c>
      <c r="E13578" s="0" t="inlineStr">
        <is>
          <t xml:space="preserve">Mazda</t>
        </is>
      </c>
      <c r="F13578" s="0" t="inlineStr">
        <is>
          <t xml:space="preserve">Mazda</t>
        </is>
      </c>
      <c r="G13578" s="0" t="s">
        <v>171</v>
      </c>
      <c r="H13578" s="5">
        <v>64.963600</v>
      </c>
    </row>
    <row r="13579" spans="1:9">
      <c r="A13579" s="22" t="str">
        <f>HYPERLINK("https://app.vivvix.com/360/KMI/IntelliDrive/ApplUI/Pages/CreativePages/CustomReportCreativeDetail.aspx?App=23&amp;ReportView=4&amp;Qid=1711279&amp;Row=13571&amp;Col=1","No Title Assigned - #15273815968")</f>
        <v/>
      </c>
      <c r="B13579" s="0" t="s">
        <v>18203</v>
      </c>
      <c r="E13579" s="0" t="inlineStr">
        <is>
          <t xml:space="preserve">Mazda</t>
        </is>
      </c>
      <c r="F13579" s="0" t="inlineStr">
        <is>
          <t xml:space="preserve">Mazda</t>
        </is>
      </c>
      <c r="G13579" s="0" t="s">
        <v>171</v>
      </c>
      <c r="H13579" s="5">
        <v>268.250500</v>
      </c>
    </row>
    <row r="13580" spans="1:9">
      <c r="A13580" s="22" t="str">
        <f>HYPERLINK("https://app.vivvix.com/360/KMI/IntelliDrive/ApplUI/Pages/CreativePages/CustomReportCreativeDetail.aspx?App=23&amp;ReportView=4&amp;Qid=1711279&amp;Row=13572&amp;Col=1","No Title Assigned - #15273816012")</f>
        <v/>
      </c>
      <c r="B13580" s="0" t="s">
        <v>18204</v>
      </c>
      <c r="E13580" s="0" t="inlineStr">
        <is>
          <t xml:space="preserve">Mazda</t>
        </is>
      </c>
      <c r="F13580" s="0" t="inlineStr">
        <is>
          <t xml:space="preserve">Mazda</t>
        </is>
      </c>
      <c r="G13580" s="0" t="s">
        <v>171</v>
      </c>
      <c r="H13580" s="5">
        <v>30778.679700</v>
      </c>
    </row>
    <row r="13581" spans="1:9">
      <c r="A13581" s="22" t="str">
        <f>HYPERLINK("https://app.vivvix.com/360/KMI/IntelliDrive/ApplUI/Pages/CreativePages/CustomReportCreativeDetail.aspx?App=23&amp;ReportView=4&amp;Qid=1711279&amp;Row=13573&amp;Col=1","No Title Assigned - #15273816051")</f>
        <v/>
      </c>
      <c r="B13581" s="0" t="s">
        <v>18205</v>
      </c>
      <c r="E13581" s="0" t="inlineStr">
        <is>
          <t xml:space="preserve">Mazda</t>
        </is>
      </c>
      <c r="F13581" s="0" t="inlineStr">
        <is>
          <t xml:space="preserve">Mazda</t>
        </is>
      </c>
      <c r="G13581" s="0" t="s">
        <v>171</v>
      </c>
      <c r="H13581" s="5">
        <v>71.490000</v>
      </c>
    </row>
    <row r="13582" spans="1:9">
      <c r="A13582" s="22" t="str">
        <f>HYPERLINK("https://app.vivvix.com/360/KMI/IntelliDrive/ApplUI/Pages/CreativePages/CustomReportCreativeDetail.aspx?App=23&amp;ReportView=4&amp;Qid=1711279&amp;Row=13574&amp;Col=1","No Title Assigned - #15273816067")</f>
        <v/>
      </c>
      <c r="B13582" s="0" t="s">
        <v>18206</v>
      </c>
      <c r="E13582" s="0" t="inlineStr">
        <is>
          <t xml:space="preserve">Mazda</t>
        </is>
      </c>
      <c r="F13582" s="0" t="s">
        <v>21</v>
      </c>
      <c r="G13582" s="0" t="s">
        <v>22</v>
      </c>
      <c r="H13582" s="5">
        <v>262.821600</v>
      </c>
    </row>
    <row r="13583" spans="1:9">
      <c r="A13583" s="22" t="str">
        <f>HYPERLINK("https://app.vivvix.com/360/KMI/IntelliDrive/ApplUI/Pages/CreativePages/CustomReportCreativeDetail.aspx?App=23&amp;ReportView=4&amp;Qid=1711279&amp;Row=13575&amp;Col=1","No Title Assigned - #15273816115")</f>
        <v/>
      </c>
      <c r="B13583" s="0" t="s">
        <v>18207</v>
      </c>
      <c r="E13583" s="0" t="inlineStr">
        <is>
          <t xml:space="preserve">Mazda</t>
        </is>
      </c>
      <c r="F13583" s="0" t="inlineStr">
        <is>
          <t xml:space="preserve">Mazda</t>
        </is>
      </c>
      <c r="G13583" s="0" t="s">
        <v>171</v>
      </c>
      <c r="H13583" s="5">
        <v>616.298700</v>
      </c>
    </row>
    <row r="13584" spans="1:9">
      <c r="A13584" s="22" t="str">
        <f>HYPERLINK("https://app.vivvix.com/360/KMI/IntelliDrive/ApplUI/Pages/CreativePages/CustomReportCreativeDetail.aspx?App=23&amp;ReportView=4&amp;Qid=1711279&amp;Row=13576&amp;Col=1","No Title Assigned - #15273816124")</f>
        <v/>
      </c>
      <c r="B13584" s="0" t="s">
        <v>18208</v>
      </c>
      <c r="E13584" s="0" t="inlineStr">
        <is>
          <t xml:space="preserve">Mazda</t>
        </is>
      </c>
      <c r="F13584" s="0" t="inlineStr">
        <is>
          <t xml:space="preserve">Mazda</t>
        </is>
      </c>
      <c r="G13584" s="0" t="s">
        <v>171</v>
      </c>
      <c r="H13584" s="5">
        <v>2616.193100</v>
      </c>
    </row>
    <row r="13585" spans="1:9">
      <c r="A13585" s="22" t="str">
        <f>HYPERLINK("https://app.vivvix.com/360/KMI/IntelliDrive/ApplUI/Pages/CreativePages/CustomReportCreativeDetail.aspx?App=23&amp;ReportView=4&amp;Qid=1711279&amp;Row=13577&amp;Col=1","No Title Assigned - #15273816185")</f>
        <v/>
      </c>
      <c r="B13585" s="0" t="s">
        <v>18209</v>
      </c>
      <c r="E13585" s="0" t="inlineStr">
        <is>
          <t xml:space="preserve">Mazda</t>
        </is>
      </c>
      <c r="F13585" s="0" t="inlineStr">
        <is>
          <t xml:space="preserve">Mazda</t>
        </is>
      </c>
      <c r="G13585" s="0" t="s">
        <v>171</v>
      </c>
      <c r="H13585" s="5">
        <v>509.146400</v>
      </c>
    </row>
    <row r="13586" spans="1:9">
      <c r="A13586" s="22" t="str">
        <f>HYPERLINK("https://app.vivvix.com/360/KMI/IntelliDrive/ApplUI/Pages/CreativePages/CustomReportCreativeDetail.aspx?App=23&amp;ReportView=4&amp;Qid=1711279&amp;Row=13578&amp;Col=1","No Title Assigned - #15273816221")</f>
        <v/>
      </c>
      <c r="B13586" s="0" t="s">
        <v>18210</v>
      </c>
      <c r="C13586" s="0" t="s">
        <v>18211</v>
      </c>
      <c r="D13586" s="0" t="s">
        <v>18211</v>
      </c>
      <c r="E13586" s="0" t="inlineStr">
        <is>
          <t xml:space="preserve">Mazda</t>
        </is>
      </c>
      <c r="F13586" s="0" t="inlineStr">
        <is>
          <t xml:space="preserve">Mazda</t>
        </is>
      </c>
      <c r="G13586" s="0" t="s">
        <v>171</v>
      </c>
      <c r="H13586" s="5">
        <v>680.767600</v>
      </c>
    </row>
    <row r="13587" spans="1:9">
      <c r="A13587" s="22" t="str">
        <f>HYPERLINK("https://app.vivvix.com/360/KMI/IntelliDrive/ApplUI/Pages/CreativePages/CustomReportCreativeDetail.aspx?App=23&amp;ReportView=4&amp;Qid=1711279&amp;Row=13579&amp;Col=1","No Title Assigned - #15273816227")</f>
        <v/>
      </c>
      <c r="B13587" s="0" t="s">
        <v>18212</v>
      </c>
      <c r="E13587" s="0" t="inlineStr">
        <is>
          <t xml:space="preserve">Mazda</t>
        </is>
      </c>
      <c r="F13587" s="0" t="inlineStr">
        <is>
          <t xml:space="preserve">Mazda</t>
        </is>
      </c>
      <c r="G13587" s="0" t="s">
        <v>171</v>
      </c>
      <c r="H13587" s="5">
        <v>6.827000</v>
      </c>
    </row>
    <row r="13588" spans="1:9">
      <c r="A13588" s="22" t="str">
        <f>HYPERLINK("https://app.vivvix.com/360/KMI/IntelliDrive/ApplUI/Pages/CreativePages/CustomReportCreativeDetail.aspx?App=23&amp;ReportView=4&amp;Qid=1711279&amp;Row=13580&amp;Col=1","No Title Assigned - #15273816465")</f>
        <v/>
      </c>
      <c r="B13588" s="0" t="s">
        <v>18213</v>
      </c>
      <c r="E13588" s="0" t="inlineStr">
        <is>
          <t xml:space="preserve">Mazda</t>
        </is>
      </c>
      <c r="F13588" s="0" t="inlineStr">
        <is>
          <t xml:space="preserve">Mazda</t>
        </is>
      </c>
      <c r="G13588" s="0" t="s">
        <v>171</v>
      </c>
      <c r="H13588" s="5">
        <v>931.055900</v>
      </c>
    </row>
    <row r="13589" spans="1:9">
      <c r="A13589" s="22" t="str">
        <f>HYPERLINK("https://app.vivvix.com/360/KMI/IntelliDrive/ApplUI/Pages/CreativePages/CustomReportCreativeDetail.aspx?App=23&amp;ReportView=4&amp;Qid=1711279&amp;Row=13581&amp;Col=1","No Title Assigned - #15273816523")</f>
        <v/>
      </c>
      <c r="B13589" s="0" t="s">
        <v>18214</v>
      </c>
      <c r="E13589" s="0" t="inlineStr">
        <is>
          <t xml:space="preserve">Mazda</t>
        </is>
      </c>
      <c r="F13589" s="0" t="inlineStr">
        <is>
          <t xml:space="preserve">Mazda</t>
        </is>
      </c>
      <c r="G13589" s="0" t="s">
        <v>171</v>
      </c>
      <c r="H13589" s="5">
        <v>263.163700</v>
      </c>
    </row>
    <row r="13590" spans="1:9">
      <c r="A13590" s="22" t="str">
        <f>HYPERLINK("https://app.vivvix.com/360/KMI/IntelliDrive/ApplUI/Pages/CreativePages/CustomReportCreativeDetail.aspx?App=23&amp;ReportView=4&amp;Qid=1711279&amp;Row=13582&amp;Col=1","No Title Assigned - #15273816560")</f>
        <v/>
      </c>
      <c r="B13590" s="0" t="s">
        <v>18215</v>
      </c>
      <c r="E13590" s="0" t="inlineStr">
        <is>
          <t xml:space="preserve">Mazda</t>
        </is>
      </c>
      <c r="F13590" s="0" t="inlineStr">
        <is>
          <t xml:space="preserve">Mazda</t>
        </is>
      </c>
      <c r="G13590" s="0" t="s">
        <v>171</v>
      </c>
      <c r="H13590" s="5">
        <v>74.028000</v>
      </c>
    </row>
    <row r="13591" spans="1:9">
      <c r="A13591" s="22" t="str">
        <f>HYPERLINK("https://app.vivvix.com/360/KMI/IntelliDrive/ApplUI/Pages/CreativePages/CustomReportCreativeDetail.aspx?App=23&amp;ReportView=4&amp;Qid=1711279&amp;Row=13583&amp;Col=1","No Title Assigned - #15273816586")</f>
        <v/>
      </c>
      <c r="B13591" s="0" t="s">
        <v>18216</v>
      </c>
      <c r="E13591" s="0" t="inlineStr">
        <is>
          <t xml:space="preserve">Mazda</t>
        </is>
      </c>
      <c r="F13591" s="0" t="inlineStr">
        <is>
          <t xml:space="preserve">Mazda</t>
        </is>
      </c>
      <c r="G13591" s="0" t="s">
        <v>171</v>
      </c>
      <c r="H13591" s="5">
        <v>2992.884900</v>
      </c>
    </row>
    <row r="13592" spans="1:9">
      <c r="A13592" s="22" t="str">
        <f>HYPERLINK("https://app.vivvix.com/360/KMI/IntelliDrive/ApplUI/Pages/CreativePages/CustomReportCreativeDetail.aspx?App=23&amp;ReportView=4&amp;Qid=1711279&amp;Row=13584&amp;Col=1","No Title Assigned - #15273816605")</f>
        <v/>
      </c>
      <c r="B13592" s="0" t="s">
        <v>18217</v>
      </c>
      <c r="E13592" s="0" t="inlineStr">
        <is>
          <t xml:space="preserve">Mazda</t>
        </is>
      </c>
      <c r="F13592" s="0" t="inlineStr">
        <is>
          <t xml:space="preserve">Mazda</t>
        </is>
      </c>
      <c r="G13592" s="0" t="s">
        <v>171</v>
      </c>
      <c r="H13592" s="5">
        <v>52.361400</v>
      </c>
    </row>
    <row r="13593" spans="1:9">
      <c r="A13593" s="22" t="str">
        <f>HYPERLINK("https://app.vivvix.com/360/KMI/IntelliDrive/ApplUI/Pages/CreativePages/CustomReportCreativeDetail.aspx?App=23&amp;ReportView=4&amp;Qid=1711279&amp;Row=13585&amp;Col=1","No Title Assigned - #15273816717")</f>
        <v/>
      </c>
      <c r="B13593" s="0" t="s">
        <v>18218</v>
      </c>
      <c r="E13593" s="0" t="inlineStr">
        <is>
          <t xml:space="preserve">Mazda</t>
        </is>
      </c>
      <c r="F13593" s="0" t="inlineStr">
        <is>
          <t xml:space="preserve">Mazda</t>
        </is>
      </c>
      <c r="G13593" s="0" t="s">
        <v>171</v>
      </c>
      <c r="H13593" s="5">
        <v>73.018100</v>
      </c>
    </row>
    <row r="13594" spans="1:9">
      <c r="A13594" s="22" t="str">
        <f>HYPERLINK("https://app.vivvix.com/360/KMI/IntelliDrive/ApplUI/Pages/CreativePages/CustomReportCreativeDetail.aspx?App=23&amp;ReportView=4&amp;Qid=1711279&amp;Row=13586&amp;Col=1","No Title Assigned - #15273816817")</f>
        <v/>
      </c>
      <c r="B13594" s="0" t="s">
        <v>18219</v>
      </c>
      <c r="E13594" s="0" t="inlineStr">
        <is>
          <t xml:space="preserve">Mazda</t>
        </is>
      </c>
      <c r="F13594" s="0" t="inlineStr">
        <is>
          <t xml:space="preserve">Mazda</t>
        </is>
      </c>
      <c r="G13594" s="0" t="s">
        <v>171</v>
      </c>
      <c r="H13594" s="5">
        <v>149.941900</v>
      </c>
    </row>
    <row r="13595" spans="1:9">
      <c r="A13595" s="22" t="str">
        <f>HYPERLINK("https://app.vivvix.com/360/KMI/IntelliDrive/ApplUI/Pages/CreativePages/CustomReportCreativeDetail.aspx?App=23&amp;ReportView=4&amp;Qid=1711279&amp;Row=13587&amp;Col=1","No Title Assigned - #15273816904")</f>
        <v/>
      </c>
      <c r="B13595" s="0" t="s">
        <v>18220</v>
      </c>
      <c r="E13595" s="0" t="inlineStr">
        <is>
          <t xml:space="preserve">Mazda</t>
        </is>
      </c>
      <c r="F13595" s="0" t="inlineStr">
        <is>
          <t xml:space="preserve">Mazda</t>
        </is>
      </c>
      <c r="G13595" s="0" t="s">
        <v>171</v>
      </c>
      <c r="H13595" s="5">
        <v>160.243000</v>
      </c>
    </row>
    <row r="13596" spans="1:9">
      <c r="A13596" s="22" t="str">
        <f>HYPERLINK("https://app.vivvix.com/360/KMI/IntelliDrive/ApplUI/Pages/CreativePages/CustomReportCreativeDetail.aspx?App=23&amp;ReportView=4&amp;Qid=1711279&amp;Row=13588&amp;Col=1","No Title Assigned - #15273816915")</f>
        <v/>
      </c>
      <c r="B13596" s="0" t="s">
        <v>18221</v>
      </c>
      <c r="E13596" s="0" t="inlineStr">
        <is>
          <t xml:space="preserve">Mazda</t>
        </is>
      </c>
      <c r="F13596" s="0" t="inlineStr">
        <is>
          <t xml:space="preserve">Mazda</t>
        </is>
      </c>
      <c r="G13596" s="0" t="s">
        <v>171</v>
      </c>
      <c r="H13596" s="5">
        <v>1296.682000</v>
      </c>
    </row>
    <row r="13597" spans="1:9">
      <c r="A13597" s="22" t="str">
        <f>HYPERLINK("https://app.vivvix.com/360/KMI/IntelliDrive/ApplUI/Pages/CreativePages/CustomReportCreativeDetail.aspx?App=23&amp;ReportView=4&amp;Qid=1711279&amp;Row=13589&amp;Col=1","No Title Assigned - #15273816915")</f>
        <v/>
      </c>
      <c r="B13597" s="0" t="s">
        <v>18221</v>
      </c>
      <c r="E13597" s="0" t="inlineStr">
        <is>
          <t xml:space="preserve">Mazda</t>
        </is>
      </c>
      <c r="F13597" s="0" t="inlineStr">
        <is>
          <t xml:space="preserve">Mazda</t>
        </is>
      </c>
      <c r="G13597" s="0" t="s">
        <v>171</v>
      </c>
      <c r="H13597" s="5">
        <v>6.827000</v>
      </c>
    </row>
    <row r="13598" spans="1:9">
      <c r="A13598" s="22" t="str">
        <f>HYPERLINK("https://app.vivvix.com/360/KMI/IntelliDrive/ApplUI/Pages/CreativePages/CustomReportCreativeDetail.aspx?App=23&amp;ReportView=4&amp;Qid=1711279&amp;Row=13590&amp;Col=1","No Title Assigned - #15273816981")</f>
        <v/>
      </c>
      <c r="B13598" s="0" t="s">
        <v>18222</v>
      </c>
      <c r="E13598" s="0" t="inlineStr">
        <is>
          <t xml:space="preserve">Mazda</t>
        </is>
      </c>
      <c r="F13598" s="0" t="inlineStr">
        <is>
          <t xml:space="preserve">Mazda</t>
        </is>
      </c>
      <c r="G13598" s="0" t="s">
        <v>171</v>
      </c>
      <c r="H13598" s="5">
        <v>6.827000</v>
      </c>
    </row>
    <row r="13599" spans="1:9">
      <c r="A13599" s="22" t="str">
        <f>HYPERLINK("https://app.vivvix.com/360/KMI/IntelliDrive/ApplUI/Pages/CreativePages/CustomReportCreativeDetail.aspx?App=23&amp;ReportView=4&amp;Qid=1711279&amp;Row=13591&amp;Col=1","No Title Assigned - #15273817088")</f>
        <v/>
      </c>
      <c r="B13599" s="0" t="s">
        <v>18223</v>
      </c>
      <c r="E13599" s="0" t="inlineStr">
        <is>
          <t xml:space="preserve">Mazda</t>
        </is>
      </c>
      <c r="F13599" s="0" t="inlineStr">
        <is>
          <t xml:space="preserve">Mazda</t>
        </is>
      </c>
      <c r="G13599" s="0" t="s">
        <v>171</v>
      </c>
      <c r="H13599" s="5">
        <v>181.219600</v>
      </c>
    </row>
    <row r="13600" spans="1:9">
      <c r="A13600" s="22" t="str">
        <f>HYPERLINK("https://app.vivvix.com/360/KMI/IntelliDrive/ApplUI/Pages/CreativePages/CustomReportCreativeDetail.aspx?App=23&amp;ReportView=4&amp;Qid=1711279&amp;Row=13592&amp;Col=1","No Title Assigned - #15273817114")</f>
        <v/>
      </c>
      <c r="B13600" s="0" t="s">
        <v>18224</v>
      </c>
      <c r="E13600" s="0" t="inlineStr">
        <is>
          <t xml:space="preserve">Mazda</t>
        </is>
      </c>
      <c r="F13600" s="0" t="inlineStr">
        <is>
          <t xml:space="preserve">Mazda</t>
        </is>
      </c>
      <c r="G13600" s="0" t="s">
        <v>171</v>
      </c>
      <c r="H13600" s="5">
        <v>10119.270900</v>
      </c>
    </row>
    <row r="13601" spans="1:9">
      <c r="A13601" s="22" t="str">
        <f>HYPERLINK("https://app.vivvix.com/360/KMI/IntelliDrive/ApplUI/Pages/CreativePages/CustomReportCreativeDetail.aspx?App=23&amp;ReportView=4&amp;Qid=1711279&amp;Row=13593&amp;Col=1","No Title Assigned - #15273817134")</f>
        <v/>
      </c>
      <c r="B13601" s="0" t="s">
        <v>18225</v>
      </c>
      <c r="E13601" s="0" t="inlineStr">
        <is>
          <t xml:space="preserve">Mazda</t>
        </is>
      </c>
      <c r="F13601" s="0" t="inlineStr">
        <is>
          <t xml:space="preserve">Mazda</t>
        </is>
      </c>
      <c r="G13601" s="0" t="s">
        <v>171</v>
      </c>
      <c r="H13601" s="5">
        <v>175.019500</v>
      </c>
    </row>
    <row r="13602" spans="1:9">
      <c r="A13602" s="22" t="str">
        <f>HYPERLINK("https://app.vivvix.com/360/KMI/IntelliDrive/ApplUI/Pages/CreativePages/CustomReportCreativeDetail.aspx?App=23&amp;ReportView=4&amp;Qid=1711279&amp;Row=13594&amp;Col=1","No Title Assigned - #15273817135")</f>
        <v/>
      </c>
      <c r="B13602" s="0" t="s">
        <v>18226</v>
      </c>
      <c r="E13602" s="0" t="inlineStr">
        <is>
          <t xml:space="preserve">Mazda</t>
        </is>
      </c>
      <c r="F13602" s="0" t="inlineStr">
        <is>
          <t xml:space="preserve">Mazda</t>
        </is>
      </c>
      <c r="G13602" s="0" t="s">
        <v>171</v>
      </c>
      <c r="H13602" s="5">
        <v>175.019500</v>
      </c>
    </row>
    <row r="13603" spans="1:9">
      <c r="A13603" s="22" t="str">
        <f>HYPERLINK("https://app.vivvix.com/360/KMI/IntelliDrive/ApplUI/Pages/CreativePages/CustomReportCreativeDetail.aspx?App=23&amp;ReportView=4&amp;Qid=1711279&amp;Row=13595&amp;Col=1","No Title Assigned - #15273817185")</f>
        <v/>
      </c>
      <c r="B13603" s="0" t="s">
        <v>18227</v>
      </c>
      <c r="E13603" s="0" t="inlineStr">
        <is>
          <t xml:space="preserve">Mazda</t>
        </is>
      </c>
      <c r="F13603" s="0" t="inlineStr">
        <is>
          <t xml:space="preserve">Mazda</t>
        </is>
      </c>
      <c r="G13603" s="0" t="s">
        <v>171</v>
      </c>
      <c r="H13603" s="5">
        <v>8.341600</v>
      </c>
    </row>
    <row r="13604" spans="1:9">
      <c r="A13604" s="22" t="str">
        <f>HYPERLINK("https://app.vivvix.com/360/KMI/IntelliDrive/ApplUI/Pages/CreativePages/CustomReportCreativeDetail.aspx?App=23&amp;ReportView=4&amp;Qid=1711279&amp;Row=13596&amp;Col=1","No Title Assigned - #15273817218")</f>
        <v/>
      </c>
      <c r="B13604" s="0" t="s">
        <v>18228</v>
      </c>
      <c r="E13604" s="0" t="inlineStr">
        <is>
          <t xml:space="preserve">Mazda</t>
        </is>
      </c>
      <c r="F13604" s="0" t="inlineStr">
        <is>
          <t xml:space="preserve">Mazda</t>
        </is>
      </c>
      <c r="G13604" s="0" t="s">
        <v>171</v>
      </c>
      <c r="H13604" s="5">
        <v>20.481000</v>
      </c>
    </row>
    <row r="13605" spans="1:9">
      <c r="A13605" s="22" t="str">
        <f>HYPERLINK("https://app.vivvix.com/360/KMI/IntelliDrive/ApplUI/Pages/CreativePages/CustomReportCreativeDetail.aspx?App=23&amp;ReportView=4&amp;Qid=1711279&amp;Row=13597&amp;Col=1","No Title Assigned - #15273817355")</f>
        <v/>
      </c>
      <c r="B13605" s="0" t="s">
        <v>18229</v>
      </c>
      <c r="E13605" s="0" t="inlineStr">
        <is>
          <t xml:space="preserve">Mazda</t>
        </is>
      </c>
      <c r="F13605" s="0" t="inlineStr">
        <is>
          <t xml:space="preserve">Mazda</t>
        </is>
      </c>
      <c r="G13605" s="0" t="s">
        <v>171</v>
      </c>
      <c r="H13605" s="5">
        <v>137.295900</v>
      </c>
    </row>
    <row r="13606" spans="1:9">
      <c r="A13606" s="22" t="str">
        <f>HYPERLINK("https://app.vivvix.com/360/KMI/IntelliDrive/ApplUI/Pages/CreativePages/CustomReportCreativeDetail.aspx?App=23&amp;ReportView=4&amp;Qid=1711279&amp;Row=13598&amp;Col=1","No Title Assigned - #15273817502")</f>
        <v/>
      </c>
      <c r="B13606" s="0" t="s">
        <v>18230</v>
      </c>
      <c r="E13606" s="0" t="inlineStr">
        <is>
          <t xml:space="preserve">Mazda</t>
        </is>
      </c>
      <c r="F13606" s="0" t="inlineStr">
        <is>
          <t xml:space="preserve">Mazda</t>
        </is>
      </c>
      <c r="G13606" s="0" t="s">
        <v>171</v>
      </c>
      <c r="H13606" s="5">
        <v>67.668600</v>
      </c>
    </row>
    <row r="13607" spans="1:9">
      <c r="A13607" s="22" t="str">
        <f>HYPERLINK("https://app.vivvix.com/360/KMI/IntelliDrive/ApplUI/Pages/CreativePages/CustomReportCreativeDetail.aspx?App=23&amp;ReportView=4&amp;Qid=1711279&amp;Row=13599&amp;Col=1","No Title Assigned - #15273817665")</f>
        <v/>
      </c>
      <c r="B13607" s="0" t="s">
        <v>18231</v>
      </c>
      <c r="E13607" s="0" t="inlineStr">
        <is>
          <t xml:space="preserve">Mazda</t>
        </is>
      </c>
      <c r="F13607" s="0" t="inlineStr">
        <is>
          <t xml:space="preserve">Mazda</t>
        </is>
      </c>
      <c r="G13607" s="0" t="s">
        <v>171</v>
      </c>
      <c r="H13607" s="5">
        <v>422.650500</v>
      </c>
    </row>
    <row r="13608" spans="1:9">
      <c r="A13608" s="22" t="str">
        <f>HYPERLINK("https://app.vivvix.com/360/KMI/IntelliDrive/ApplUI/Pages/CreativePages/CustomReportCreativeDetail.aspx?App=23&amp;ReportView=4&amp;Qid=1711279&amp;Row=13600&amp;Col=1","No Title Assigned - #15273817695")</f>
        <v/>
      </c>
      <c r="B13608" s="0" t="s">
        <v>18232</v>
      </c>
      <c r="E13608" s="0" t="inlineStr">
        <is>
          <t xml:space="preserve">Mazda</t>
        </is>
      </c>
      <c r="F13608" s="0" t="inlineStr">
        <is>
          <t xml:space="preserve">Mazda</t>
        </is>
      </c>
      <c r="G13608" s="0" t="s">
        <v>171</v>
      </c>
      <c r="H13608" s="5">
        <v>1.787400</v>
      </c>
    </row>
    <row r="13609" spans="1:9">
      <c r="A13609" s="22" t="str">
        <f>HYPERLINK("https://app.vivvix.com/360/KMI/IntelliDrive/ApplUI/Pages/CreativePages/CustomReportCreativeDetail.aspx?App=23&amp;ReportView=4&amp;Qid=1711279&amp;Row=13601&amp;Col=1","No Title Assigned - #15273817774")</f>
        <v/>
      </c>
      <c r="B13609" s="0" t="s">
        <v>18233</v>
      </c>
      <c r="C13609" s="0" t="s">
        <v>18234</v>
      </c>
      <c r="D13609" s="0" t="s">
        <v>18234</v>
      </c>
      <c r="E13609" s="0" t="inlineStr">
        <is>
          <t xml:space="preserve">Mazda</t>
        </is>
      </c>
      <c r="F13609" s="0" t="inlineStr">
        <is>
          <t xml:space="preserve">Mazda</t>
        </is>
      </c>
      <c r="G13609" s="0" t="s">
        <v>171</v>
      </c>
      <c r="H13609" s="5">
        <v>1637.377900</v>
      </c>
    </row>
    <row r="13610" spans="1:9">
      <c r="A13610" s="22" t="str">
        <f>HYPERLINK("https://app.vivvix.com/360/KMI/IntelliDrive/ApplUI/Pages/CreativePages/CustomReportCreativeDetail.aspx?App=23&amp;ReportView=4&amp;Qid=1711279&amp;Row=13602&amp;Col=1","No Title Assigned - #15273817849")</f>
        <v/>
      </c>
      <c r="B13610" s="0" t="s">
        <v>18235</v>
      </c>
      <c r="E13610" s="0" t="inlineStr">
        <is>
          <t xml:space="preserve">Mazda</t>
        </is>
      </c>
      <c r="F13610" s="0" t="inlineStr">
        <is>
          <t xml:space="preserve">Mazda</t>
        </is>
      </c>
      <c r="G13610" s="0" t="s">
        <v>171</v>
      </c>
      <c r="H13610" s="5">
        <v>113.879400</v>
      </c>
    </row>
    <row r="13611" spans="1:9">
      <c r="A13611" s="22" t="str">
        <f>HYPERLINK("https://app.vivvix.com/360/KMI/IntelliDrive/ApplUI/Pages/CreativePages/CustomReportCreativeDetail.aspx?App=23&amp;ReportView=4&amp;Qid=1711279&amp;Row=13603&amp;Col=1","No Title Assigned - #15273817852")</f>
        <v/>
      </c>
      <c r="B13611" s="0" t="s">
        <v>18236</v>
      </c>
      <c r="E13611" s="0" t="inlineStr">
        <is>
          <t xml:space="preserve">Mazda</t>
        </is>
      </c>
      <c r="F13611" s="0" t="inlineStr">
        <is>
          <t xml:space="preserve">Mazda</t>
        </is>
      </c>
      <c r="G13611" s="0" t="s">
        <v>171</v>
      </c>
      <c r="H13611" s="5">
        <v>4503.133200</v>
      </c>
    </row>
    <row r="13612" spans="1:9">
      <c r="A13612" s="22" t="str">
        <f>HYPERLINK("https://app.vivvix.com/360/KMI/IntelliDrive/ApplUI/Pages/CreativePages/CustomReportCreativeDetail.aspx?App=23&amp;ReportView=4&amp;Qid=1711279&amp;Row=13604&amp;Col=1","No Title Assigned - #15273817852")</f>
        <v/>
      </c>
      <c r="B13612" s="0" t="s">
        <v>18236</v>
      </c>
      <c r="E13612" s="0" t="inlineStr">
        <is>
          <t xml:space="preserve">Mazda</t>
        </is>
      </c>
      <c r="F13612" s="0" t="inlineStr">
        <is>
          <t xml:space="preserve">Mazda</t>
        </is>
      </c>
      <c r="G13612" s="0" t="s">
        <v>171</v>
      </c>
      <c r="H13612" s="5">
        <v>320.184600</v>
      </c>
    </row>
    <row r="13613" spans="1:9">
      <c r="A13613" s="22" t="str">
        <f>HYPERLINK("https://app.vivvix.com/360/KMI/IntelliDrive/ApplUI/Pages/CreativePages/CustomReportCreativeDetail.aspx?App=23&amp;ReportView=4&amp;Qid=1711279&amp;Row=13605&amp;Col=1","No Title Assigned - #15273817912")</f>
        <v/>
      </c>
      <c r="B13613" s="0" t="s">
        <v>18237</v>
      </c>
      <c r="E13613" s="0" t="inlineStr">
        <is>
          <t xml:space="preserve">Mazda</t>
        </is>
      </c>
      <c r="F13613" s="0" t="inlineStr">
        <is>
          <t xml:space="preserve">Mazda</t>
        </is>
      </c>
      <c r="G13613" s="0" t="s">
        <v>171</v>
      </c>
      <c r="H13613" s="5">
        <v>87.245900</v>
      </c>
    </row>
    <row r="13614" spans="1:9">
      <c r="A13614" s="22" t="str">
        <f>HYPERLINK("https://app.vivvix.com/360/KMI/IntelliDrive/ApplUI/Pages/CreativePages/CustomReportCreativeDetail.aspx?App=23&amp;ReportView=4&amp;Qid=1711279&amp;Row=13606&amp;Col=1","No Title Assigned - #15273817969")</f>
        <v/>
      </c>
      <c r="B13614" s="0" t="s">
        <v>18238</v>
      </c>
      <c r="E13614" s="0" t="inlineStr">
        <is>
          <t xml:space="preserve">Mazda</t>
        </is>
      </c>
      <c r="F13614" s="0" t="inlineStr">
        <is>
          <t xml:space="preserve">Mazda</t>
        </is>
      </c>
      <c r="G13614" s="0" t="s">
        <v>171</v>
      </c>
      <c r="H13614" s="5">
        <v>344.260000</v>
      </c>
    </row>
    <row r="13615" spans="1:9">
      <c r="A13615" s="22" t="str">
        <f>HYPERLINK("https://app.vivvix.com/360/KMI/IntelliDrive/ApplUI/Pages/CreativePages/CustomReportCreativeDetail.aspx?App=23&amp;ReportView=4&amp;Qid=1711279&amp;Row=13607&amp;Col=1","No Title Assigned - #15273817987")</f>
        <v/>
      </c>
      <c r="B13615" s="0" t="s">
        <v>18239</v>
      </c>
      <c r="E13615" s="0" t="inlineStr">
        <is>
          <t xml:space="preserve">Mazda</t>
        </is>
      </c>
      <c r="F13615" s="0" t="inlineStr">
        <is>
          <t xml:space="preserve">Mazda</t>
        </is>
      </c>
      <c r="G13615" s="0" t="s">
        <v>171</v>
      </c>
      <c r="H13615" s="5">
        <v>119.573700</v>
      </c>
    </row>
    <row r="13616" spans="1:9">
      <c r="A13616" s="22" t="str">
        <f>HYPERLINK("https://app.vivvix.com/360/KMI/IntelliDrive/ApplUI/Pages/CreativePages/CustomReportCreativeDetail.aspx?App=23&amp;ReportView=4&amp;Qid=1711279&amp;Row=13608&amp;Col=1","No Title Assigned - #15273818044")</f>
        <v/>
      </c>
      <c r="B13616" s="0" t="s">
        <v>18240</v>
      </c>
      <c r="E13616" s="0" t="inlineStr">
        <is>
          <t xml:space="preserve">Mazda</t>
        </is>
      </c>
      <c r="F13616" s="0" t="inlineStr">
        <is>
          <t xml:space="preserve">Mazda</t>
        </is>
      </c>
      <c r="G13616" s="0" t="s">
        <v>171</v>
      </c>
      <c r="H13616" s="5">
        <v>1099.997500</v>
      </c>
    </row>
    <row r="13617" spans="1:9">
      <c r="A13617" s="22" t="str">
        <f>HYPERLINK("https://app.vivvix.com/360/KMI/IntelliDrive/ApplUI/Pages/CreativePages/CustomReportCreativeDetail.aspx?App=23&amp;ReportView=4&amp;Qid=1711279&amp;Row=13609&amp;Col=1","No Title Assigned - #15273818112")</f>
        <v/>
      </c>
      <c r="B13617" s="0" t="s">
        <v>18241</v>
      </c>
      <c r="E13617" s="0" t="inlineStr">
        <is>
          <t xml:space="preserve">Mazda</t>
        </is>
      </c>
      <c r="F13617" s="0" t="inlineStr">
        <is>
          <t xml:space="preserve">Mazda</t>
        </is>
      </c>
      <c r="G13617" s="0" t="s">
        <v>171</v>
      </c>
      <c r="H13617" s="5">
        <v>129.927200</v>
      </c>
    </row>
    <row r="13618" spans="1:9">
      <c r="A13618" s="22" t="str">
        <f>HYPERLINK("https://app.vivvix.com/360/KMI/IntelliDrive/ApplUI/Pages/CreativePages/CustomReportCreativeDetail.aspx?App=23&amp;ReportView=4&amp;Qid=1711279&amp;Row=13610&amp;Col=1","No Title Assigned - #15273818137")</f>
        <v/>
      </c>
      <c r="B13618" s="0" t="s">
        <v>18242</v>
      </c>
      <c r="E13618" s="0" t="inlineStr">
        <is>
          <t xml:space="preserve">Mazda</t>
        </is>
      </c>
      <c r="F13618" s="0" t="inlineStr">
        <is>
          <t xml:space="preserve">Mazda</t>
        </is>
      </c>
      <c r="G13618" s="0" t="s">
        <v>171</v>
      </c>
      <c r="H13618" s="5">
        <v>13.354100</v>
      </c>
    </row>
    <row r="13619" spans="1:9">
      <c r="A13619" s="22" t="str">
        <f>HYPERLINK("https://app.vivvix.com/360/KMI/IntelliDrive/ApplUI/Pages/CreativePages/CustomReportCreativeDetail.aspx?App=23&amp;ReportView=4&amp;Qid=1711279&amp;Row=13611&amp;Col=1","No Title Assigned - #15273818158")</f>
        <v/>
      </c>
      <c r="B13619" s="0" t="s">
        <v>18243</v>
      </c>
      <c r="E13619" s="0" t="inlineStr">
        <is>
          <t xml:space="preserve">Mazda</t>
        </is>
      </c>
      <c r="F13619" s="0" t="inlineStr">
        <is>
          <t xml:space="preserve">Mazda</t>
        </is>
      </c>
      <c r="G13619" s="0" t="s">
        <v>171</v>
      </c>
      <c r="H13619" s="5">
        <v>27.550600</v>
      </c>
    </row>
    <row r="13620" spans="1:9">
      <c r="A13620" s="22" t="str">
        <f>HYPERLINK("https://app.vivvix.com/360/KMI/IntelliDrive/ApplUI/Pages/CreativePages/CustomReportCreativeDetail.aspx?App=23&amp;ReportView=4&amp;Qid=1711279&amp;Row=13612&amp;Col=1","No Title Assigned - #15273818159")</f>
        <v/>
      </c>
      <c r="B13620" s="0" t="s">
        <v>18244</v>
      </c>
      <c r="E13620" s="0" t="inlineStr">
        <is>
          <t xml:space="preserve">Mazda</t>
        </is>
      </c>
      <c r="F13620" s="0" t="inlineStr">
        <is>
          <t xml:space="preserve">Mazda</t>
        </is>
      </c>
      <c r="G13620" s="0" t="s">
        <v>171</v>
      </c>
      <c r="H13620" s="5">
        <v>41.325900</v>
      </c>
    </row>
    <row r="13621" spans="1:9">
      <c r="A13621" s="22" t="str">
        <f>HYPERLINK("https://app.vivvix.com/360/KMI/IntelliDrive/ApplUI/Pages/CreativePages/CustomReportCreativeDetail.aspx?App=23&amp;ReportView=4&amp;Qid=1711279&amp;Row=13613&amp;Col=1","No Title Assigned - #15273818220")</f>
        <v/>
      </c>
      <c r="B13621" s="0" t="s">
        <v>18245</v>
      </c>
      <c r="E13621" s="0" t="inlineStr">
        <is>
          <t xml:space="preserve">Mazda</t>
        </is>
      </c>
      <c r="F13621" s="0" t="inlineStr">
        <is>
          <t xml:space="preserve">Mazda</t>
        </is>
      </c>
      <c r="G13621" s="0" t="s">
        <v>171</v>
      </c>
      <c r="H13621" s="5">
        <v>491.160900</v>
      </c>
    </row>
    <row r="13622" spans="1:9">
      <c r="A13622" s="22" t="str">
        <f>HYPERLINK("https://app.vivvix.com/360/KMI/IntelliDrive/ApplUI/Pages/CreativePages/CustomReportCreativeDetail.aspx?App=23&amp;ReportView=4&amp;Qid=1711279&amp;Row=13614&amp;Col=1","No Title Assigned - #15273818272")</f>
        <v/>
      </c>
      <c r="B13622" s="0" t="s">
        <v>18246</v>
      </c>
      <c r="E13622" s="0" t="inlineStr">
        <is>
          <t xml:space="preserve">Mazda</t>
        </is>
      </c>
      <c r="F13622" s="0" t="inlineStr">
        <is>
          <t xml:space="preserve">Mazda</t>
        </is>
      </c>
      <c r="G13622" s="0" t="s">
        <v>171</v>
      </c>
      <c r="H13622" s="5">
        <v>138.589500</v>
      </c>
    </row>
    <row r="13623" spans="1:9">
      <c r="A13623" s="22" t="str">
        <f>HYPERLINK("https://app.vivvix.com/360/KMI/IntelliDrive/ApplUI/Pages/CreativePages/CustomReportCreativeDetail.aspx?App=23&amp;ReportView=4&amp;Qid=1711279&amp;Row=13615&amp;Col=1","No Title Assigned - #15273818333")</f>
        <v/>
      </c>
      <c r="B13623" s="0" t="s">
        <v>18247</v>
      </c>
      <c r="E13623" s="0" t="inlineStr">
        <is>
          <t xml:space="preserve">Mazda</t>
        </is>
      </c>
      <c r="F13623" s="0" t="inlineStr">
        <is>
          <t xml:space="preserve">Mazda</t>
        </is>
      </c>
      <c r="G13623" s="0" t="s">
        <v>171</v>
      </c>
      <c r="H13623" s="5">
        <v>6116.562000</v>
      </c>
    </row>
    <row r="13624" spans="1:9">
      <c r="A13624" s="22" t="str">
        <f>HYPERLINK("https://app.vivvix.com/360/KMI/IntelliDrive/ApplUI/Pages/CreativePages/CustomReportCreativeDetail.aspx?App=23&amp;ReportView=4&amp;Qid=1711279&amp;Row=13616&amp;Col=1","No Title Assigned - #15273818369")</f>
        <v/>
      </c>
      <c r="B13624" s="0" t="s">
        <v>18248</v>
      </c>
      <c r="E13624" s="0" t="inlineStr">
        <is>
          <t xml:space="preserve">Mazda</t>
        </is>
      </c>
      <c r="F13624" s="0" t="inlineStr">
        <is>
          <t xml:space="preserve">Mazda</t>
        </is>
      </c>
      <c r="G13624" s="0" t="s">
        <v>171</v>
      </c>
      <c r="H13624" s="5">
        <v>705.537900</v>
      </c>
    </row>
    <row r="13625" spans="1:9">
      <c r="A13625" s="22" t="str">
        <f>HYPERLINK("https://app.vivvix.com/360/KMI/IntelliDrive/ApplUI/Pages/CreativePages/CustomReportCreativeDetail.aspx?App=23&amp;ReportView=4&amp;Qid=1711279&amp;Row=13617&amp;Col=1","No Title Assigned - #15273818423")</f>
        <v/>
      </c>
      <c r="B13625" s="0" t="s">
        <v>18249</v>
      </c>
      <c r="E13625" s="0" t="inlineStr">
        <is>
          <t xml:space="preserve">Mazda</t>
        </is>
      </c>
      <c r="F13625" s="0" t="inlineStr">
        <is>
          <t xml:space="preserve">Mazda</t>
        </is>
      </c>
      <c r="G13625" s="0" t="s">
        <v>171</v>
      </c>
      <c r="H13625" s="5">
        <v>6512.089200</v>
      </c>
    </row>
    <row r="13626" spans="1:9">
      <c r="A13626" s="22" t="str">
        <f>HYPERLINK("https://app.vivvix.com/360/KMI/IntelliDrive/ApplUI/Pages/CreativePages/CustomReportCreativeDetail.aspx?App=23&amp;ReportView=4&amp;Qid=1711279&amp;Row=13618&amp;Col=1","No Title Assigned - #15273818423")</f>
        <v/>
      </c>
      <c r="B13626" s="0" t="s">
        <v>18249</v>
      </c>
      <c r="E13626" s="0" t="inlineStr">
        <is>
          <t xml:space="preserve">Mazda</t>
        </is>
      </c>
      <c r="F13626" s="0" t="inlineStr">
        <is>
          <t xml:space="preserve">Mazda</t>
        </is>
      </c>
      <c r="G13626" s="0" t="s">
        <v>171</v>
      </c>
      <c r="H13626" s="5">
        <v>408.935800</v>
      </c>
    </row>
    <row r="13627" spans="1:9">
      <c r="A13627" s="22" t="str">
        <f>HYPERLINK("https://app.vivvix.com/360/KMI/IntelliDrive/ApplUI/Pages/CreativePages/CustomReportCreativeDetail.aspx?App=23&amp;ReportView=4&amp;Qid=1711279&amp;Row=13619&amp;Col=1","No Title Assigned - #15273818426")</f>
        <v/>
      </c>
      <c r="B13627" s="0" t="s">
        <v>18250</v>
      </c>
      <c r="E13627" s="0" t="inlineStr">
        <is>
          <t xml:space="preserve">Mazda</t>
        </is>
      </c>
      <c r="F13627" s="0" t="inlineStr">
        <is>
          <t xml:space="preserve">Mazda</t>
        </is>
      </c>
      <c r="G13627" s="0" t="s">
        <v>171</v>
      </c>
      <c r="H13627" s="5">
        <v>52.884300</v>
      </c>
    </row>
    <row r="13628" spans="1:9">
      <c r="A13628" s="22" t="str">
        <f>HYPERLINK("https://app.vivvix.com/360/KMI/IntelliDrive/ApplUI/Pages/CreativePages/CustomReportCreativeDetail.aspx?App=23&amp;ReportView=4&amp;Qid=1711279&amp;Row=13620&amp;Col=1","No Title Assigned - #15273818429")</f>
        <v/>
      </c>
      <c r="B13628" s="0" t="s">
        <v>18251</v>
      </c>
      <c r="E13628" s="0" t="inlineStr">
        <is>
          <t xml:space="preserve">Mazda</t>
        </is>
      </c>
      <c r="F13628" s="0" t="inlineStr">
        <is>
          <t xml:space="preserve">Mazda</t>
        </is>
      </c>
      <c r="G13628" s="0" t="s">
        <v>171</v>
      </c>
      <c r="H13628" s="5">
        <v>52.884300</v>
      </c>
    </row>
    <row r="13629" spans="1:9">
      <c r="A13629" s="22" t="str">
        <f>HYPERLINK("https://app.vivvix.com/360/KMI/IntelliDrive/ApplUI/Pages/CreativePages/CustomReportCreativeDetail.aspx?App=23&amp;ReportView=4&amp;Qid=1711279&amp;Row=13621&amp;Col=1","No Title Assigned - #15273818603")</f>
        <v/>
      </c>
      <c r="B13629" s="0" t="s">
        <v>18252</v>
      </c>
      <c r="E13629" s="0" t="inlineStr">
        <is>
          <t xml:space="preserve">Mazda</t>
        </is>
      </c>
      <c r="F13629" s="0" t="inlineStr">
        <is>
          <t xml:space="preserve">Mazda</t>
        </is>
      </c>
      <c r="G13629" s="0" t="s">
        <v>171</v>
      </c>
      <c r="H13629" s="5">
        <v>19.296900</v>
      </c>
    </row>
    <row r="13630" spans="1:9">
      <c r="A13630" s="22" t="str">
        <f>HYPERLINK("https://app.vivvix.com/360/KMI/IntelliDrive/ApplUI/Pages/CreativePages/CustomReportCreativeDetail.aspx?App=23&amp;ReportView=4&amp;Qid=1711279&amp;Row=13622&amp;Col=1","No Title Assigned - #15273818606")</f>
        <v/>
      </c>
      <c r="B13630" s="0" t="s">
        <v>18253</v>
      </c>
      <c r="E13630" s="0" t="inlineStr">
        <is>
          <t xml:space="preserve">Mazda</t>
        </is>
      </c>
      <c r="F13630" s="0" t="inlineStr">
        <is>
          <t xml:space="preserve">Mazda</t>
        </is>
      </c>
      <c r="G13630" s="0" t="s">
        <v>171</v>
      </c>
      <c r="H13630" s="5">
        <v>57.154400</v>
      </c>
    </row>
    <row r="13631" spans="1:9">
      <c r="A13631" s="22" t="str">
        <f>HYPERLINK("https://app.vivvix.com/360/KMI/IntelliDrive/ApplUI/Pages/CreativePages/CustomReportCreativeDetail.aspx?App=23&amp;ReportView=4&amp;Qid=1711279&amp;Row=13623&amp;Col=1","No Title Assigned - #15273818704")</f>
        <v/>
      </c>
      <c r="B13631" s="0" t="s">
        <v>18254</v>
      </c>
      <c r="E13631" s="0" t="inlineStr">
        <is>
          <t xml:space="preserve">Mazda</t>
        </is>
      </c>
      <c r="F13631" s="0" t="inlineStr">
        <is>
          <t xml:space="preserve">Mazda</t>
        </is>
      </c>
      <c r="G13631" s="0" t="s">
        <v>171</v>
      </c>
      <c r="H13631" s="5">
        <v>669.950100</v>
      </c>
    </row>
    <row r="13632" spans="1:9">
      <c r="A13632" s="22" t="str">
        <f>HYPERLINK("https://app.vivvix.com/360/KMI/IntelliDrive/ApplUI/Pages/CreativePages/CustomReportCreativeDetail.aspx?App=23&amp;ReportView=4&amp;Qid=1711279&amp;Row=13624&amp;Col=1","No Title Assigned - #15273818766")</f>
        <v/>
      </c>
      <c r="B13632" s="0" t="s">
        <v>18255</v>
      </c>
      <c r="E13632" s="0" t="inlineStr">
        <is>
          <t xml:space="preserve">Mazda</t>
        </is>
      </c>
      <c r="F13632" s="0" t="inlineStr">
        <is>
          <t xml:space="preserve">Mazda</t>
        </is>
      </c>
      <c r="G13632" s="0" t="s">
        <v>171</v>
      </c>
      <c r="H13632" s="5">
        <v>40.844200</v>
      </c>
    </row>
    <row r="13633" spans="1:9">
      <c r="A13633" s="22" t="str">
        <f>HYPERLINK("https://app.vivvix.com/360/KMI/IntelliDrive/ApplUI/Pages/CreativePages/CustomReportCreativeDetail.aspx?App=23&amp;ReportView=4&amp;Qid=1711279&amp;Row=13625&amp;Col=1","No Title Assigned - #15273818767")</f>
        <v/>
      </c>
      <c r="B13633" s="0" t="s">
        <v>18256</v>
      </c>
      <c r="E13633" s="0" t="inlineStr">
        <is>
          <t xml:space="preserve">Mazda</t>
        </is>
      </c>
      <c r="F13633" s="0" t="inlineStr">
        <is>
          <t xml:space="preserve">Mazda</t>
        </is>
      </c>
      <c r="G13633" s="0" t="s">
        <v>171</v>
      </c>
      <c r="H13633" s="5">
        <v>245.953300</v>
      </c>
    </row>
    <row r="13634" spans="1:9">
      <c r="A13634" s="22" t="str">
        <f>HYPERLINK("https://app.vivvix.com/360/KMI/IntelliDrive/ApplUI/Pages/CreativePages/CustomReportCreativeDetail.aspx?App=23&amp;ReportView=4&amp;Qid=1711279&amp;Row=13626&amp;Col=1","No Title Assigned - #15273818788")</f>
        <v/>
      </c>
      <c r="B13634" s="0" t="s">
        <v>18257</v>
      </c>
      <c r="E13634" s="0" t="inlineStr">
        <is>
          <t xml:space="preserve">Mazda</t>
        </is>
      </c>
      <c r="F13634" s="0" t="inlineStr">
        <is>
          <t xml:space="preserve">Mazda</t>
        </is>
      </c>
      <c r="G13634" s="0" t="s">
        <v>171</v>
      </c>
      <c r="H13634" s="5">
        <v>1003.081800</v>
      </c>
    </row>
    <row r="13635" spans="1:9">
      <c r="A13635" s="22" t="str">
        <f>HYPERLINK("https://app.vivvix.com/360/KMI/IntelliDrive/ApplUI/Pages/CreativePages/CustomReportCreativeDetail.aspx?App=23&amp;ReportView=4&amp;Qid=1711279&amp;Row=13627&amp;Col=1","No Title Assigned - #15273818818")</f>
        <v/>
      </c>
      <c r="B13635" s="0" t="s">
        <v>18258</v>
      </c>
      <c r="E13635" s="0" t="inlineStr">
        <is>
          <t xml:space="preserve">Mazda</t>
        </is>
      </c>
      <c r="F13635" s="0" t="inlineStr">
        <is>
          <t xml:space="preserve">Mazda</t>
        </is>
      </c>
      <c r="G13635" s="0" t="s">
        <v>171</v>
      </c>
      <c r="H13635" s="5">
        <v>1.787400</v>
      </c>
    </row>
    <row r="13636" spans="1:9">
      <c r="A13636" s="22" t="str">
        <f>HYPERLINK("https://app.vivvix.com/360/KMI/IntelliDrive/ApplUI/Pages/CreativePages/CustomReportCreativeDetail.aspx?App=23&amp;ReportView=4&amp;Qid=1711279&amp;Row=13628&amp;Col=1","No Title Assigned - #15273818856")</f>
        <v/>
      </c>
      <c r="B13636" s="0" t="s">
        <v>18259</v>
      </c>
      <c r="E13636" s="0" t="inlineStr">
        <is>
          <t xml:space="preserve">Mazda</t>
        </is>
      </c>
      <c r="F13636" s="0" t="inlineStr">
        <is>
          <t xml:space="preserve">Mazda</t>
        </is>
      </c>
      <c r="G13636" s="0" t="s">
        <v>171</v>
      </c>
      <c r="H13636" s="5">
        <v>52.361400</v>
      </c>
    </row>
    <row r="13637" spans="1:9">
      <c r="A13637" s="22" t="str">
        <f>HYPERLINK("https://app.vivvix.com/360/KMI/IntelliDrive/ApplUI/Pages/CreativePages/CustomReportCreativeDetail.aspx?App=23&amp;ReportView=4&amp;Qid=1711279&amp;Row=13629&amp;Col=1","No Title Assigned - #15273818865")</f>
        <v/>
      </c>
      <c r="B13637" s="0" t="s">
        <v>18260</v>
      </c>
      <c r="C13637" s="0" t="s">
        <v>18261</v>
      </c>
      <c r="D13637" s="0" t="s">
        <v>18261</v>
      </c>
      <c r="E13637" s="0" t="inlineStr">
        <is>
          <t xml:space="preserve">Mazda</t>
        </is>
      </c>
      <c r="F13637" s="0" t="inlineStr">
        <is>
          <t xml:space="preserve">Mazda</t>
        </is>
      </c>
      <c r="G13637" s="0" t="s">
        <v>171</v>
      </c>
      <c r="H13637" s="5">
        <v>192.061400</v>
      </c>
    </row>
    <row r="13638" spans="1:9">
      <c r="A13638" s="22" t="str">
        <f>HYPERLINK("https://app.vivvix.com/360/KMI/IntelliDrive/ApplUI/Pages/CreativePages/CustomReportCreativeDetail.aspx?App=23&amp;ReportView=4&amp;Qid=1711279&amp;Row=13630&amp;Col=1","No Title Assigned - #15273818866")</f>
        <v/>
      </c>
      <c r="B13638" s="0" t="s">
        <v>18262</v>
      </c>
      <c r="E13638" s="0" t="inlineStr">
        <is>
          <t xml:space="preserve">Mazda</t>
        </is>
      </c>
      <c r="F13638" s="0" t="inlineStr">
        <is>
          <t xml:space="preserve">Mazda</t>
        </is>
      </c>
      <c r="G13638" s="0" t="s">
        <v>171</v>
      </c>
      <c r="H13638" s="5">
        <v>169.654300</v>
      </c>
    </row>
    <row r="13639" spans="1:9">
      <c r="A13639" s="22" t="str">
        <f>HYPERLINK("https://app.vivvix.com/360/KMI/IntelliDrive/ApplUI/Pages/CreativePages/CustomReportCreativeDetail.aspx?App=23&amp;ReportView=4&amp;Qid=1711279&amp;Row=13631&amp;Col=1","No Title Assigned - #15273818945")</f>
        <v/>
      </c>
      <c r="B13639" s="0" t="s">
        <v>18263</v>
      </c>
      <c r="E13639" s="0" t="inlineStr">
        <is>
          <t xml:space="preserve">Mazda</t>
        </is>
      </c>
      <c r="F13639" s="0" t="inlineStr">
        <is>
          <t xml:space="preserve">Mazda</t>
        </is>
      </c>
      <c r="G13639" s="0" t="s">
        <v>171</v>
      </c>
      <c r="H13639" s="5">
        <v>528.804200</v>
      </c>
    </row>
    <row r="13640" spans="1:9">
      <c r="A13640" s="22" t="str">
        <f>HYPERLINK("https://app.vivvix.com/360/KMI/IntelliDrive/ApplUI/Pages/CreativePages/CustomReportCreativeDetail.aspx?App=23&amp;ReportView=4&amp;Qid=1711279&amp;Row=13632&amp;Col=1","No Title Assigned - #15273818950")</f>
        <v/>
      </c>
      <c r="B13640" s="0" t="s">
        <v>18264</v>
      </c>
      <c r="E13640" s="0" t="inlineStr">
        <is>
          <t xml:space="preserve">Mazda</t>
        </is>
      </c>
      <c r="F13640" s="0" t="s">
        <v>21</v>
      </c>
      <c r="G13640" s="0" t="s">
        <v>22</v>
      </c>
      <c r="H13640" s="5">
        <v>120.958500</v>
      </c>
    </row>
    <row r="13641" spans="1:9">
      <c r="A13641" s="22" t="str">
        <f>HYPERLINK("https://app.vivvix.com/360/KMI/IntelliDrive/ApplUI/Pages/CreativePages/CustomReportCreativeDetail.aspx?App=23&amp;ReportView=4&amp;Qid=1711279&amp;Row=13633&amp;Col=1","No Title Assigned - #15273818954")</f>
        <v/>
      </c>
      <c r="B13641" s="0" t="s">
        <v>18265</v>
      </c>
      <c r="E13641" s="0" t="inlineStr">
        <is>
          <t xml:space="preserve">Mazda</t>
        </is>
      </c>
      <c r="F13641" s="0" t="inlineStr">
        <is>
          <t xml:space="preserve">Mazda</t>
        </is>
      </c>
      <c r="G13641" s="0" t="s">
        <v>171</v>
      </c>
      <c r="H13641" s="5">
        <v>667.849600</v>
      </c>
    </row>
    <row r="13642" spans="1:9">
      <c r="A13642" s="22" t="str">
        <f>HYPERLINK("https://app.vivvix.com/360/KMI/IntelliDrive/ApplUI/Pages/CreativePages/CustomReportCreativeDetail.aspx?App=23&amp;ReportView=4&amp;Qid=1711279&amp;Row=13634&amp;Col=1","No Title Assigned - #15273818954")</f>
        <v/>
      </c>
      <c r="B13642" s="0" t="s">
        <v>18265</v>
      </c>
      <c r="E13642" s="0" t="inlineStr">
        <is>
          <t xml:space="preserve">Mazda</t>
        </is>
      </c>
      <c r="F13642" s="0" t="inlineStr">
        <is>
          <t xml:space="preserve">Mazda</t>
        </is>
      </c>
      <c r="G13642" s="0" t="s">
        <v>171</v>
      </c>
      <c r="H13642" s="5">
        <v>487.535600</v>
      </c>
    </row>
    <row r="13643" spans="1:9">
      <c r="A13643" s="22" t="str">
        <f>HYPERLINK("https://app.vivvix.com/360/KMI/IntelliDrive/ApplUI/Pages/CreativePages/CustomReportCreativeDetail.aspx?App=23&amp;ReportView=4&amp;Qid=1711279&amp;Row=13635&amp;Col=1","No Title Assigned - #15273818955")</f>
        <v/>
      </c>
      <c r="B13643" s="0" t="s">
        <v>18266</v>
      </c>
      <c r="E13643" s="0" t="inlineStr">
        <is>
          <t xml:space="preserve">Mazda</t>
        </is>
      </c>
      <c r="F13643" s="0" t="inlineStr">
        <is>
          <t xml:space="preserve">Mazda</t>
        </is>
      </c>
      <c r="G13643" s="0" t="s">
        <v>171</v>
      </c>
      <c r="H13643" s="5">
        <v>255.878100</v>
      </c>
    </row>
    <row r="13644" spans="1:9">
      <c r="A13644" s="22" t="str">
        <f>HYPERLINK("https://app.vivvix.com/360/KMI/IntelliDrive/ApplUI/Pages/CreativePages/CustomReportCreativeDetail.aspx?App=23&amp;ReportView=4&amp;Qid=1711279&amp;Row=13636&amp;Col=1","No Title Assigned - #15273819170")</f>
        <v/>
      </c>
      <c r="B13644" s="0" t="s">
        <v>18267</v>
      </c>
      <c r="E13644" s="0" t="inlineStr">
        <is>
          <t xml:space="preserve">Mazda</t>
        </is>
      </c>
      <c r="F13644" s="0" t="inlineStr">
        <is>
          <t xml:space="preserve">Mazda</t>
        </is>
      </c>
      <c r="G13644" s="0" t="s">
        <v>171</v>
      </c>
      <c r="H13644" s="5">
        <v>436.051500</v>
      </c>
    </row>
    <row r="13645" spans="1:9">
      <c r="A13645" s="22" t="str">
        <f>HYPERLINK("https://app.vivvix.com/360/KMI/IntelliDrive/ApplUI/Pages/CreativePages/CustomReportCreativeDetail.aspx?App=23&amp;ReportView=4&amp;Qid=1711279&amp;Row=13637&amp;Col=1","No Title Assigned - #15273819170")</f>
        <v/>
      </c>
      <c r="B13645" s="0" t="s">
        <v>18267</v>
      </c>
      <c r="E13645" s="0" t="inlineStr">
        <is>
          <t xml:space="preserve">Mazda</t>
        </is>
      </c>
      <c r="F13645" s="0" t="inlineStr">
        <is>
          <t xml:space="preserve">Mazda</t>
        </is>
      </c>
      <c r="G13645" s="0" t="s">
        <v>171</v>
      </c>
      <c r="H13645" s="5">
        <v>473.802200</v>
      </c>
    </row>
    <row r="13646" spans="1:9">
      <c r="A13646" s="22" t="str">
        <f>HYPERLINK("https://app.vivvix.com/360/KMI/IntelliDrive/ApplUI/Pages/CreativePages/CustomReportCreativeDetail.aspx?App=23&amp;ReportView=4&amp;Qid=1711279&amp;Row=13638&amp;Col=1","No Title Assigned - #15273819191")</f>
        <v/>
      </c>
      <c r="B13646" s="0" t="s">
        <v>18268</v>
      </c>
      <c r="E13646" s="0" t="inlineStr">
        <is>
          <t xml:space="preserve">Mazda</t>
        </is>
      </c>
      <c r="F13646" s="0" t="inlineStr">
        <is>
          <t xml:space="preserve">Mazda</t>
        </is>
      </c>
      <c r="G13646" s="0" t="s">
        <v>171</v>
      </c>
      <c r="H13646" s="5">
        <v>452.873600</v>
      </c>
    </row>
    <row r="13647" spans="1:9">
      <c r="A13647" s="22" t="str">
        <f>HYPERLINK("https://app.vivvix.com/360/KMI/IntelliDrive/ApplUI/Pages/CreativePages/CustomReportCreativeDetail.aspx?App=23&amp;ReportView=4&amp;Qid=1711279&amp;Row=13639&amp;Col=1","No Title Assigned - #15273819220")</f>
        <v/>
      </c>
      <c r="B13647" s="0" t="s">
        <v>18269</v>
      </c>
      <c r="E13647" s="0" t="inlineStr">
        <is>
          <t xml:space="preserve">Mazda</t>
        </is>
      </c>
      <c r="F13647" s="0" t="inlineStr">
        <is>
          <t xml:space="preserve">Mazda</t>
        </is>
      </c>
      <c r="G13647" s="0" t="s">
        <v>171</v>
      </c>
      <c r="H13647" s="5">
        <v>103.096300</v>
      </c>
    </row>
    <row r="13648" spans="1:9">
      <c r="A13648" s="22" t="str">
        <f>HYPERLINK("https://app.vivvix.com/360/KMI/IntelliDrive/ApplUI/Pages/CreativePages/CustomReportCreativeDetail.aspx?App=23&amp;ReportView=4&amp;Qid=1711279&amp;Row=13640&amp;Col=1","No Title Assigned - #15273819238")</f>
        <v/>
      </c>
      <c r="B13648" s="0" t="s">
        <v>18270</v>
      </c>
      <c r="E13648" s="0" t="inlineStr">
        <is>
          <t xml:space="preserve">Mazda</t>
        </is>
      </c>
      <c r="F13648" s="0" t="inlineStr">
        <is>
          <t xml:space="preserve">Mazda</t>
        </is>
      </c>
      <c r="G13648" s="0" t="s">
        <v>171</v>
      </c>
      <c r="H13648" s="5">
        <v>522.732300</v>
      </c>
    </row>
    <row r="13649" spans="1:9">
      <c r="A13649" s="22" t="str">
        <f>HYPERLINK("https://app.vivvix.com/360/KMI/IntelliDrive/ApplUI/Pages/CreativePages/CustomReportCreativeDetail.aspx?App=23&amp;ReportView=4&amp;Qid=1711279&amp;Row=13641&amp;Col=1","No Title Assigned - #15273819315")</f>
        <v/>
      </c>
      <c r="B13649" s="0" t="s">
        <v>18271</v>
      </c>
      <c r="E13649" s="0" t="inlineStr">
        <is>
          <t xml:space="preserve">Mazda</t>
        </is>
      </c>
      <c r="F13649" s="0" t="inlineStr">
        <is>
          <t xml:space="preserve">Mazda</t>
        </is>
      </c>
      <c r="G13649" s="0" t="s">
        <v>171</v>
      </c>
      <c r="H13649" s="5">
        <v>135.414300</v>
      </c>
    </row>
    <row r="13650" spans="1:9">
      <c r="A13650" s="22" t="str">
        <f>HYPERLINK("https://app.vivvix.com/360/KMI/IntelliDrive/ApplUI/Pages/CreativePages/CustomReportCreativeDetail.aspx?App=23&amp;ReportView=4&amp;Qid=1711279&amp;Row=13642&amp;Col=1","No Title Assigned - #15273819372")</f>
        <v/>
      </c>
      <c r="B13650" s="0" t="s">
        <v>18272</v>
      </c>
      <c r="E13650" s="0" t="inlineStr">
        <is>
          <t xml:space="preserve">Mazda</t>
        </is>
      </c>
      <c r="F13650" s="0" t="inlineStr">
        <is>
          <t xml:space="preserve">Mazda</t>
        </is>
      </c>
      <c r="G13650" s="0" t="s">
        <v>171</v>
      </c>
      <c r="H13650" s="5">
        <v>5188.185900</v>
      </c>
    </row>
    <row r="13651" spans="1:9">
      <c r="A13651" s="22" t="str">
        <f>HYPERLINK("https://app.vivvix.com/360/KMI/IntelliDrive/ApplUI/Pages/CreativePages/CustomReportCreativeDetail.aspx?App=23&amp;ReportView=4&amp;Qid=1711279&amp;Row=13643&amp;Col=1","No Title Assigned - #15273819372")</f>
        <v/>
      </c>
      <c r="B13651" s="0" t="s">
        <v>18272</v>
      </c>
      <c r="E13651" s="0" t="inlineStr">
        <is>
          <t xml:space="preserve">Mazda</t>
        </is>
      </c>
      <c r="F13651" s="0" t="inlineStr">
        <is>
          <t xml:space="preserve">Mazda</t>
        </is>
      </c>
      <c r="G13651" s="0" t="s">
        <v>171</v>
      </c>
      <c r="H13651" s="5">
        <v>5388.249500</v>
      </c>
    </row>
    <row r="13652" spans="1:9">
      <c r="A13652" s="22" t="str">
        <f>HYPERLINK("https://app.vivvix.com/360/KMI/IntelliDrive/ApplUI/Pages/CreativePages/CustomReportCreativeDetail.aspx?App=23&amp;ReportView=4&amp;Qid=1711279&amp;Row=13644&amp;Col=1","No Title Assigned - #15273819428")</f>
        <v/>
      </c>
      <c r="B13652" s="0" t="s">
        <v>18273</v>
      </c>
      <c r="E13652" s="0" t="inlineStr">
        <is>
          <t xml:space="preserve">Mazda</t>
        </is>
      </c>
      <c r="F13652" s="0" t="inlineStr">
        <is>
          <t xml:space="preserve">Mazda</t>
        </is>
      </c>
      <c r="G13652" s="0" t="s">
        <v>171</v>
      </c>
      <c r="H13652" s="5">
        <v>241.465700</v>
      </c>
    </row>
    <row r="13653" spans="1:9">
      <c r="A13653" s="22" t="str">
        <f>HYPERLINK("https://app.vivvix.com/360/KMI/IntelliDrive/ApplUI/Pages/CreativePages/CustomReportCreativeDetail.aspx?App=23&amp;ReportView=4&amp;Qid=1711279&amp;Row=13645&amp;Col=1","No Title Assigned - #15273819476")</f>
        <v/>
      </c>
      <c r="B13653" s="0" t="s">
        <v>18274</v>
      </c>
      <c r="E13653" s="0" t="inlineStr">
        <is>
          <t xml:space="preserve">Mazda</t>
        </is>
      </c>
      <c r="F13653" s="0" t="inlineStr">
        <is>
          <t xml:space="preserve">Mazda</t>
        </is>
      </c>
      <c r="G13653" s="0" t="s">
        <v>171</v>
      </c>
      <c r="H13653" s="5">
        <v>257.522000</v>
      </c>
    </row>
    <row r="13654" spans="1:9">
      <c r="A13654" s="22" t="str">
        <f>HYPERLINK("https://app.vivvix.com/360/KMI/IntelliDrive/ApplUI/Pages/CreativePages/CustomReportCreativeDetail.aspx?App=23&amp;ReportView=4&amp;Qid=1711279&amp;Row=13646&amp;Col=1","No Title Assigned - #15273819527")</f>
        <v/>
      </c>
      <c r="B13654" s="0" t="s">
        <v>18275</v>
      </c>
      <c r="E13654" s="0" t="inlineStr">
        <is>
          <t xml:space="preserve">Mazda</t>
        </is>
      </c>
      <c r="F13654" s="0" t="inlineStr">
        <is>
          <t xml:space="preserve">Mazda</t>
        </is>
      </c>
      <c r="G13654" s="0" t="s">
        <v>171</v>
      </c>
      <c r="H13654" s="5">
        <v>34.026400</v>
      </c>
    </row>
    <row r="13655" spans="1:9">
      <c r="A13655" s="22" t="str">
        <f>HYPERLINK("https://app.vivvix.com/360/KMI/IntelliDrive/ApplUI/Pages/CreativePages/CustomReportCreativeDetail.aspx?App=23&amp;ReportView=4&amp;Qid=1711279&amp;Row=13647&amp;Col=1","No Title Assigned - #15273819571")</f>
        <v/>
      </c>
      <c r="B13655" s="0" t="s">
        <v>18276</v>
      </c>
      <c r="E13655" s="0" t="inlineStr">
        <is>
          <t xml:space="preserve">Mazda</t>
        </is>
      </c>
      <c r="F13655" s="0" t="inlineStr">
        <is>
          <t xml:space="preserve">Mazda</t>
        </is>
      </c>
      <c r="G13655" s="0" t="s">
        <v>171</v>
      </c>
      <c r="H13655" s="5">
        <v>1.787400</v>
      </c>
    </row>
    <row r="13656" spans="1:9">
      <c r="A13656" s="22" t="str">
        <f>HYPERLINK("https://app.vivvix.com/360/KMI/IntelliDrive/ApplUI/Pages/CreativePages/CustomReportCreativeDetail.aspx?App=23&amp;ReportView=4&amp;Qid=1711279&amp;Row=13648&amp;Col=1","No Title Assigned - #15273819582")</f>
        <v/>
      </c>
      <c r="B13656" s="0" t="s">
        <v>18277</v>
      </c>
      <c r="E13656" s="0" t="inlineStr">
        <is>
          <t xml:space="preserve">Mazda</t>
        </is>
      </c>
      <c r="F13656" s="0" t="inlineStr">
        <is>
          <t xml:space="preserve">Mazda</t>
        </is>
      </c>
      <c r="G13656" s="0" t="s">
        <v>171</v>
      </c>
      <c r="H13656" s="5">
        <v>535.905600</v>
      </c>
    </row>
    <row r="13657" spans="1:9">
      <c r="A13657" s="22" t="str">
        <f>HYPERLINK("https://app.vivvix.com/360/KMI/IntelliDrive/ApplUI/Pages/CreativePages/CustomReportCreativeDetail.aspx?App=23&amp;ReportView=4&amp;Qid=1711279&amp;Row=13649&amp;Col=1","No Title Assigned - #15273819585")</f>
        <v/>
      </c>
      <c r="B13657" s="0" t="s">
        <v>18278</v>
      </c>
      <c r="E13657" s="0" t="inlineStr">
        <is>
          <t xml:space="preserve">Mazda</t>
        </is>
      </c>
      <c r="F13657" s="0" t="inlineStr">
        <is>
          <t xml:space="preserve">Mazda</t>
        </is>
      </c>
      <c r="G13657" s="0" t="s">
        <v>171</v>
      </c>
      <c r="H13657" s="5">
        <v>108.103200</v>
      </c>
    </row>
    <row r="13658" spans="1:9">
      <c r="A13658" s="22" t="str">
        <f>HYPERLINK("https://app.vivvix.com/360/KMI/IntelliDrive/ApplUI/Pages/CreativePages/CustomReportCreativeDetail.aspx?App=23&amp;ReportView=4&amp;Qid=1711279&amp;Row=13650&amp;Col=1","No Title Assigned - #15273819600")</f>
        <v/>
      </c>
      <c r="B13658" s="0" t="s">
        <v>18279</v>
      </c>
      <c r="E13658" s="0" t="inlineStr">
        <is>
          <t xml:space="preserve">Mazda</t>
        </is>
      </c>
      <c r="F13658" s="0" t="inlineStr">
        <is>
          <t xml:space="preserve">Mazda</t>
        </is>
      </c>
      <c r="G13658" s="0" t="s">
        <v>171</v>
      </c>
      <c r="H13658" s="5">
        <v>155.323500</v>
      </c>
    </row>
    <row r="13659" spans="1:9">
      <c r="A13659" s="22" t="str">
        <f>HYPERLINK("https://app.vivvix.com/360/KMI/IntelliDrive/ApplUI/Pages/CreativePages/CustomReportCreativeDetail.aspx?App=23&amp;ReportView=4&amp;Qid=1711279&amp;Row=13651&amp;Col=1","No Title Assigned - #15273819683")</f>
        <v/>
      </c>
      <c r="B13659" s="0" t="s">
        <v>18280</v>
      </c>
      <c r="E13659" s="0" t="inlineStr">
        <is>
          <t xml:space="preserve">Mazda</t>
        </is>
      </c>
      <c r="F13659" s="0" t="inlineStr">
        <is>
          <t xml:space="preserve">Mazda</t>
        </is>
      </c>
      <c r="G13659" s="0" t="s">
        <v>171</v>
      </c>
      <c r="H13659" s="5">
        <v>203.442000</v>
      </c>
    </row>
    <row r="13660" spans="1:9">
      <c r="A13660" s="22" t="str">
        <f>HYPERLINK("https://app.vivvix.com/360/KMI/IntelliDrive/ApplUI/Pages/CreativePages/CustomReportCreativeDetail.aspx?App=23&amp;ReportView=4&amp;Qid=1711279&amp;Row=13652&amp;Col=1","No Title Assigned - #15273819766")</f>
        <v/>
      </c>
      <c r="B13660" s="0" t="s">
        <v>18281</v>
      </c>
      <c r="E13660" s="0" t="inlineStr">
        <is>
          <t xml:space="preserve">Mazda</t>
        </is>
      </c>
      <c r="F13660" s="0" t="inlineStr">
        <is>
          <t xml:space="preserve">Mazda</t>
        </is>
      </c>
      <c r="G13660" s="0" t="s">
        <v>171</v>
      </c>
      <c r="H13660" s="5">
        <v>8.341600</v>
      </c>
    </row>
    <row r="13661" spans="1:9">
      <c r="A13661" s="22" t="str">
        <f>HYPERLINK("https://app.vivvix.com/360/KMI/IntelliDrive/ApplUI/Pages/CreativePages/CustomReportCreativeDetail.aspx?App=23&amp;ReportView=4&amp;Qid=1711279&amp;Row=13653&amp;Col=1","No Title Assigned - #15273819767")</f>
        <v/>
      </c>
      <c r="B13661" s="0" t="s">
        <v>18282</v>
      </c>
      <c r="E13661" s="0" t="inlineStr">
        <is>
          <t xml:space="preserve">Mazda</t>
        </is>
      </c>
      <c r="F13661" s="0" t="inlineStr">
        <is>
          <t xml:space="preserve">Mazda</t>
        </is>
      </c>
      <c r="G13661" s="0" t="s">
        <v>171</v>
      </c>
      <c r="H13661" s="5">
        <v>49.561400</v>
      </c>
    </row>
    <row r="13662" spans="1:9">
      <c r="A13662" s="22" t="str">
        <f>HYPERLINK("https://app.vivvix.com/360/KMI/IntelliDrive/ApplUI/Pages/CreativePages/CustomReportCreativeDetail.aspx?App=23&amp;ReportView=4&amp;Qid=1711279&amp;Row=13654&amp;Col=1","No Title Assigned - #15273819896")</f>
        <v/>
      </c>
      <c r="B13662" s="0" t="s">
        <v>18283</v>
      </c>
      <c r="E13662" s="0" t="inlineStr">
        <is>
          <t xml:space="preserve">Mazda</t>
        </is>
      </c>
      <c r="F13662" s="0" t="inlineStr">
        <is>
          <t xml:space="preserve">Mazda</t>
        </is>
      </c>
      <c r="G13662" s="0" t="s">
        <v>171</v>
      </c>
      <c r="H13662" s="5">
        <v>13.062600</v>
      </c>
    </row>
    <row r="13663" spans="1:9">
      <c r="A13663" s="22" t="str">
        <f>HYPERLINK("https://app.vivvix.com/360/KMI/IntelliDrive/ApplUI/Pages/CreativePages/CustomReportCreativeDetail.aspx?App=23&amp;ReportView=4&amp;Qid=1711279&amp;Row=13655&amp;Col=1","No Title Assigned - #15273820122")</f>
        <v/>
      </c>
      <c r="B13663" s="0" t="s">
        <v>18284</v>
      </c>
      <c r="C13663" s="0" t="s">
        <v>18285</v>
      </c>
      <c r="D13663" s="0" t="s">
        <v>18285</v>
      </c>
      <c r="E13663" s="0" t="inlineStr">
        <is>
          <t xml:space="preserve">Mazda</t>
        </is>
      </c>
      <c r="F13663" s="0" t="inlineStr">
        <is>
          <t xml:space="preserve">Mazda</t>
        </is>
      </c>
      <c r="G13663" s="0" t="s">
        <v>171</v>
      </c>
      <c r="H13663" s="5">
        <v>80.805100</v>
      </c>
    </row>
    <row r="13664" spans="1:9">
      <c r="A13664" s="22" t="str">
        <f>HYPERLINK("https://app.vivvix.com/360/KMI/IntelliDrive/ApplUI/Pages/CreativePages/CustomReportCreativeDetail.aspx?App=23&amp;ReportView=4&amp;Qid=1711279&amp;Row=13656&amp;Col=1","No Title Assigned - #15273820125")</f>
        <v/>
      </c>
      <c r="B13664" s="0" t="s">
        <v>18286</v>
      </c>
      <c r="E13664" s="0" t="inlineStr">
        <is>
          <t xml:space="preserve">Mazda</t>
        </is>
      </c>
      <c r="F13664" s="0" t="inlineStr">
        <is>
          <t xml:space="preserve">Mazda</t>
        </is>
      </c>
      <c r="G13664" s="0" t="s">
        <v>171</v>
      </c>
      <c r="H13664" s="5">
        <v>334.656500</v>
      </c>
    </row>
    <row r="13665" spans="1:9">
      <c r="A13665" s="22" t="str">
        <f>HYPERLINK("https://app.vivvix.com/360/KMI/IntelliDrive/ApplUI/Pages/CreativePages/CustomReportCreativeDetail.aspx?App=23&amp;ReportView=4&amp;Qid=1711279&amp;Row=13657&amp;Col=1","No Title Assigned - #15273820165")</f>
        <v/>
      </c>
      <c r="B13665" s="0" t="s">
        <v>18287</v>
      </c>
      <c r="E13665" s="0" t="inlineStr">
        <is>
          <t xml:space="preserve">Mazda</t>
        </is>
      </c>
      <c r="F13665" s="0" t="inlineStr">
        <is>
          <t xml:space="preserve">Mazda</t>
        </is>
      </c>
      <c r="G13665" s="0" t="s">
        <v>171</v>
      </c>
      <c r="H13665" s="5">
        <v>137.170900</v>
      </c>
    </row>
    <row r="13666" spans="1:9">
      <c r="A13666" s="22" t="str">
        <f>HYPERLINK("https://app.vivvix.com/360/KMI/IntelliDrive/ApplUI/Pages/CreativePages/CustomReportCreativeDetail.aspx?App=23&amp;ReportView=4&amp;Qid=1711279&amp;Row=13658&amp;Col=1","No Title Assigned - #15273820173")</f>
        <v/>
      </c>
      <c r="B13666" s="0" t="s">
        <v>18288</v>
      </c>
      <c r="C13666" s="0" t="s">
        <v>18289</v>
      </c>
      <c r="D13666" s="0" t="s">
        <v>18289</v>
      </c>
      <c r="E13666" s="0" t="inlineStr">
        <is>
          <t xml:space="preserve">Mazda</t>
        </is>
      </c>
      <c r="F13666" s="0" t="inlineStr">
        <is>
          <t xml:space="preserve">Mazda</t>
        </is>
      </c>
      <c r="G13666" s="0" t="s">
        <v>171</v>
      </c>
      <c r="H13666" s="5">
        <v>67.518400</v>
      </c>
    </row>
    <row r="13667" spans="1:9">
      <c r="A13667" s="22" t="str">
        <f>HYPERLINK("https://app.vivvix.com/360/KMI/IntelliDrive/ApplUI/Pages/CreativePages/CustomReportCreativeDetail.aspx?App=23&amp;ReportView=4&amp;Qid=1711279&amp;Row=13659&amp;Col=1","No Title Assigned - #15273820175")</f>
        <v/>
      </c>
      <c r="B13667" s="0" t="s">
        <v>18290</v>
      </c>
      <c r="E13667" s="0" t="inlineStr">
        <is>
          <t xml:space="preserve">Mazda</t>
        </is>
      </c>
      <c r="F13667" s="0" t="inlineStr">
        <is>
          <t xml:space="preserve">Mazda</t>
        </is>
      </c>
      <c r="G13667" s="0" t="s">
        <v>171</v>
      </c>
      <c r="H13667" s="5">
        <v>16.879600</v>
      </c>
    </row>
    <row r="13668" spans="1:9">
      <c r="A13668" s="22" t="str">
        <f>HYPERLINK("https://app.vivvix.com/360/KMI/IntelliDrive/ApplUI/Pages/CreativePages/CustomReportCreativeDetail.aspx?App=23&amp;ReportView=4&amp;Qid=1711279&amp;Row=13660&amp;Col=1","No Title Assigned - #15273820180")</f>
        <v/>
      </c>
      <c r="B13668" s="0" t="s">
        <v>18291</v>
      </c>
      <c r="E13668" s="0" t="inlineStr">
        <is>
          <t xml:space="preserve">Mazda</t>
        </is>
      </c>
      <c r="F13668" s="0" t="inlineStr">
        <is>
          <t xml:space="preserve">Mazda</t>
        </is>
      </c>
      <c r="G13668" s="0" t="s">
        <v>171</v>
      </c>
      <c r="H13668" s="5">
        <v>55.912500</v>
      </c>
    </row>
    <row r="13669" spans="1:9">
      <c r="A13669" s="22" t="str">
        <f>HYPERLINK("https://app.vivvix.com/360/KMI/IntelliDrive/ApplUI/Pages/CreativePages/CustomReportCreativeDetail.aspx?App=23&amp;ReportView=4&amp;Qid=1711279&amp;Row=13661&amp;Col=1","No Title Assigned - #15273820181")</f>
        <v/>
      </c>
      <c r="B13669" s="0" t="s">
        <v>18292</v>
      </c>
      <c r="E13669" s="0" t="inlineStr">
        <is>
          <t xml:space="preserve">Mazda</t>
        </is>
      </c>
      <c r="F13669" s="0" t="inlineStr">
        <is>
          <t xml:space="preserve">Mazda</t>
        </is>
      </c>
      <c r="G13669" s="0" t="s">
        <v>171</v>
      </c>
      <c r="H13669" s="5">
        <v>55.912500</v>
      </c>
    </row>
    <row r="13670" spans="1:9">
      <c r="A13670" s="22" t="str">
        <f>HYPERLINK("https://app.vivvix.com/360/KMI/IntelliDrive/ApplUI/Pages/CreativePages/CustomReportCreativeDetail.aspx?App=23&amp;ReportView=4&amp;Qid=1711279&amp;Row=13662&amp;Col=1","No Title Assigned - #15273820205")</f>
        <v/>
      </c>
      <c r="B13670" s="0" t="s">
        <v>18293</v>
      </c>
      <c r="E13670" s="0" t="inlineStr">
        <is>
          <t xml:space="preserve">Mazda</t>
        </is>
      </c>
      <c r="F13670" s="0" t="inlineStr">
        <is>
          <t xml:space="preserve">Mazda</t>
        </is>
      </c>
      <c r="G13670" s="0" t="s">
        <v>171</v>
      </c>
      <c r="H13670" s="5">
        <v>89.074400</v>
      </c>
    </row>
    <row r="13671" spans="1:9">
      <c r="A13671" s="22" t="str">
        <f>HYPERLINK("https://app.vivvix.com/360/KMI/IntelliDrive/ApplUI/Pages/CreativePages/CustomReportCreativeDetail.aspx?App=23&amp;ReportView=4&amp;Qid=1711279&amp;Row=13663&amp;Col=1","No Title Assigned - #15273820210")</f>
        <v/>
      </c>
      <c r="B13671" s="0" t="s">
        <v>18294</v>
      </c>
      <c r="E13671" s="0" t="inlineStr">
        <is>
          <t xml:space="preserve">Mazda</t>
        </is>
      </c>
      <c r="F13671" s="0" t="inlineStr">
        <is>
          <t xml:space="preserve">Mazda</t>
        </is>
      </c>
      <c r="G13671" s="0" t="s">
        <v>171</v>
      </c>
      <c r="H13671" s="5">
        <v>25.276500</v>
      </c>
    </row>
    <row r="13672" spans="1:9">
      <c r="A13672" s="22" t="str">
        <f>HYPERLINK("https://app.vivvix.com/360/KMI/IntelliDrive/ApplUI/Pages/CreativePages/CustomReportCreativeDetail.aspx?App=23&amp;ReportView=4&amp;Qid=1711279&amp;Row=13664&amp;Col=1","No Title Assigned - #15273820244")</f>
        <v/>
      </c>
      <c r="B13672" s="0" t="s">
        <v>18295</v>
      </c>
      <c r="E13672" s="0" t="inlineStr">
        <is>
          <t xml:space="preserve">Mazda</t>
        </is>
      </c>
      <c r="F13672" s="0" t="inlineStr">
        <is>
          <t xml:space="preserve">Mazda</t>
        </is>
      </c>
      <c r="G13672" s="0" t="s">
        <v>171</v>
      </c>
      <c r="H13672" s="5">
        <v>207.146600</v>
      </c>
    </row>
    <row r="13673" spans="1:9">
      <c r="A13673" s="22" t="str">
        <f>HYPERLINK("https://app.vivvix.com/360/KMI/IntelliDrive/ApplUI/Pages/CreativePages/CustomReportCreativeDetail.aspx?App=23&amp;ReportView=4&amp;Qid=1711279&amp;Row=13665&amp;Col=1","No Title Assigned - #15273820364")</f>
        <v/>
      </c>
      <c r="B13673" s="0" t="s">
        <v>18296</v>
      </c>
      <c r="E13673" s="0" t="inlineStr">
        <is>
          <t xml:space="preserve">Mazda</t>
        </is>
      </c>
      <c r="F13673" s="0" t="inlineStr">
        <is>
          <t xml:space="preserve">Mazda</t>
        </is>
      </c>
      <c r="G13673" s="0" t="s">
        <v>171</v>
      </c>
      <c r="H13673" s="5">
        <v>344.158600</v>
      </c>
    </row>
    <row r="13674" spans="1:9">
      <c r="A13674" s="22" t="str">
        <f>HYPERLINK("https://app.vivvix.com/360/KMI/IntelliDrive/ApplUI/Pages/CreativePages/CustomReportCreativeDetail.aspx?App=23&amp;ReportView=4&amp;Qid=1711279&amp;Row=13666&amp;Col=1","No Title Assigned - #15273820464")</f>
        <v/>
      </c>
      <c r="B13674" s="0" t="s">
        <v>18297</v>
      </c>
      <c r="E13674" s="0" t="inlineStr">
        <is>
          <t xml:space="preserve">Mazda</t>
        </is>
      </c>
      <c r="F13674" s="0" t="inlineStr">
        <is>
          <t xml:space="preserve">Mazda</t>
        </is>
      </c>
      <c r="G13674" s="0" t="s">
        <v>171</v>
      </c>
      <c r="H13674" s="5">
        <v>6.413800</v>
      </c>
    </row>
    <row r="13675" spans="1:9">
      <c r="A13675" s="22" t="str">
        <f>HYPERLINK("https://app.vivvix.com/360/KMI/IntelliDrive/ApplUI/Pages/CreativePages/CustomReportCreativeDetail.aspx?App=23&amp;ReportView=4&amp;Qid=1711279&amp;Row=13667&amp;Col=1","No Title Assigned - #15273820473")</f>
        <v/>
      </c>
      <c r="B13675" s="0" t="s">
        <v>18298</v>
      </c>
      <c r="E13675" s="0" t="inlineStr">
        <is>
          <t xml:space="preserve">Mazda</t>
        </is>
      </c>
      <c r="F13675" s="0" t="inlineStr">
        <is>
          <t xml:space="preserve">Mazda</t>
        </is>
      </c>
      <c r="G13675" s="0" t="s">
        <v>171</v>
      </c>
      <c r="H13675" s="5">
        <v>81.883100</v>
      </c>
    </row>
    <row r="13676" spans="1:9">
      <c r="A13676" s="22" t="str">
        <f>HYPERLINK("https://app.vivvix.com/360/KMI/IntelliDrive/ApplUI/Pages/CreativePages/CustomReportCreativeDetail.aspx?App=23&amp;ReportView=4&amp;Qid=1711279&amp;Row=13668&amp;Col=1","No Title Assigned - #15273820474")</f>
        <v/>
      </c>
      <c r="B13676" s="0" t="s">
        <v>18299</v>
      </c>
      <c r="E13676" s="0" t="inlineStr">
        <is>
          <t xml:space="preserve">Mazda</t>
        </is>
      </c>
      <c r="F13676" s="0" t="inlineStr">
        <is>
          <t xml:space="preserve">Mazda</t>
        </is>
      </c>
      <c r="G13676" s="0" t="s">
        <v>171</v>
      </c>
      <c r="H13676" s="5">
        <v>236.084200</v>
      </c>
    </row>
    <row r="13677" spans="1:9">
      <c r="A13677" s="22" t="str">
        <f>HYPERLINK("https://app.vivvix.com/360/KMI/IntelliDrive/ApplUI/Pages/CreativePages/CustomReportCreativeDetail.aspx?App=23&amp;ReportView=4&amp;Qid=1711279&amp;Row=13669&amp;Col=1","No Title Assigned - #15273821358")</f>
        <v/>
      </c>
      <c r="B13677" s="0" t="s">
        <v>18300</v>
      </c>
      <c r="E13677" s="0" t="inlineStr">
        <is>
          <t xml:space="preserve">Mazda</t>
        </is>
      </c>
      <c r="F13677" s="0" t="inlineStr">
        <is>
          <t xml:space="preserve">Mazda</t>
        </is>
      </c>
      <c r="G13677" s="0" t="s">
        <v>171</v>
      </c>
      <c r="H13677" s="5">
        <v>152.427600</v>
      </c>
    </row>
    <row r="13678" spans="1:9">
      <c r="A13678" s="22" t="str">
        <f>HYPERLINK("https://app.vivvix.com/360/KMI/IntelliDrive/ApplUI/Pages/CreativePages/CustomReportCreativeDetail.aspx?App=23&amp;ReportView=4&amp;Qid=1711279&amp;Row=13670&amp;Col=1","No Title Assigned - #15273822295")</f>
        <v/>
      </c>
      <c r="B13678" s="0" t="s">
        <v>18301</v>
      </c>
      <c r="E13678" s="0" t="inlineStr">
        <is>
          <t xml:space="preserve">Mazda</t>
        </is>
      </c>
      <c r="F13678" s="0" t="inlineStr">
        <is>
          <t xml:space="preserve">Mazda</t>
        </is>
      </c>
      <c r="G13678" s="0" t="s">
        <v>171</v>
      </c>
      <c r="H13678" s="5">
        <v>34.979000</v>
      </c>
    </row>
    <row r="13679" spans="1:9">
      <c r="A13679" s="22" t="str">
        <f>HYPERLINK("https://app.vivvix.com/360/KMI/IntelliDrive/ApplUI/Pages/CreativePages/CustomReportCreativeDetail.aspx?App=23&amp;ReportView=4&amp;Qid=1711279&amp;Row=13671&amp;Col=1","No Title Assigned - #15273822297")</f>
        <v/>
      </c>
      <c r="B13679" s="0" t="s">
        <v>18302</v>
      </c>
      <c r="E13679" s="0" t="inlineStr">
        <is>
          <t xml:space="preserve">Mazda</t>
        </is>
      </c>
      <c r="F13679" s="0" t="inlineStr">
        <is>
          <t xml:space="preserve">Mazda</t>
        </is>
      </c>
      <c r="G13679" s="0" t="s">
        <v>171</v>
      </c>
      <c r="H13679" s="5">
        <v>34.979000</v>
      </c>
    </row>
    <row r="13680" spans="1:9">
      <c r="A13680" s="22" t="str">
        <f>HYPERLINK("https://app.vivvix.com/360/KMI/IntelliDrive/ApplUI/Pages/CreativePages/CustomReportCreativeDetail.aspx?App=23&amp;ReportView=4&amp;Qid=1711279&amp;Row=13672&amp;Col=1","No Title Assigned - #15273822599")</f>
        <v/>
      </c>
      <c r="B13680" s="0" t="s">
        <v>18303</v>
      </c>
      <c r="E13680" s="0" t="inlineStr">
        <is>
          <t xml:space="preserve">Mazda</t>
        </is>
      </c>
      <c r="F13680" s="0" t="inlineStr">
        <is>
          <t xml:space="preserve">Mazda</t>
        </is>
      </c>
      <c r="G13680" s="0" t="s">
        <v>171</v>
      </c>
      <c r="H13680" s="5">
        <v>79.214100</v>
      </c>
    </row>
    <row r="13681" spans="1:9">
      <c r="A13681" s="22" t="str">
        <f>HYPERLINK("https://app.vivvix.com/360/KMI/IntelliDrive/ApplUI/Pages/CreativePages/CustomReportCreativeDetail.aspx?App=23&amp;ReportView=4&amp;Qid=1711279&amp;Row=13673&amp;Col=1","No Title Assigned - #15273822684")</f>
        <v/>
      </c>
      <c r="B13681" s="0" t="s">
        <v>18304</v>
      </c>
      <c r="E13681" s="0" t="inlineStr">
        <is>
          <t xml:space="preserve">Mazda</t>
        </is>
      </c>
      <c r="F13681" s="0" t="inlineStr">
        <is>
          <t xml:space="preserve">Mazda</t>
        </is>
      </c>
      <c r="G13681" s="0" t="s">
        <v>171</v>
      </c>
      <c r="H13681" s="5">
        <v>186.492500</v>
      </c>
    </row>
    <row r="13682" spans="1:9">
      <c r="A13682" s="22" t="str">
        <f>HYPERLINK("https://app.vivvix.com/360/KMI/IntelliDrive/ApplUI/Pages/CreativePages/CustomReportCreativeDetail.aspx?App=23&amp;ReportView=4&amp;Qid=1711279&amp;Row=13674&amp;Col=1","No Title Assigned - #15273822811")</f>
        <v/>
      </c>
      <c r="B13682" s="0" t="s">
        <v>18305</v>
      </c>
      <c r="E13682" s="0" t="inlineStr">
        <is>
          <t xml:space="preserve">Mazda</t>
        </is>
      </c>
      <c r="F13682" s="0" t="inlineStr">
        <is>
          <t xml:space="preserve">Mazda</t>
        </is>
      </c>
      <c r="G13682" s="0" t="s">
        <v>171</v>
      </c>
      <c r="H13682" s="5">
        <v>95.773600</v>
      </c>
    </row>
    <row r="13683" spans="1:9">
      <c r="A13683" s="22" t="str">
        <f>HYPERLINK("https://app.vivvix.com/360/KMI/IntelliDrive/ApplUI/Pages/CreativePages/CustomReportCreativeDetail.aspx?App=23&amp;ReportView=4&amp;Qid=1711279&amp;Row=13675&amp;Col=1","No Title Assigned - #15273822813")</f>
        <v/>
      </c>
      <c r="B13683" s="0" t="s">
        <v>18306</v>
      </c>
      <c r="E13683" s="0" t="inlineStr">
        <is>
          <t xml:space="preserve">Mazda</t>
        </is>
      </c>
      <c r="F13683" s="0" t="inlineStr">
        <is>
          <t xml:space="preserve">Mazda</t>
        </is>
      </c>
      <c r="G13683" s="0" t="s">
        <v>171</v>
      </c>
      <c r="H13683" s="5">
        <v>83.100400</v>
      </c>
    </row>
    <row r="13684" spans="1:9">
      <c r="A13684" s="22" t="str">
        <f>HYPERLINK("https://app.vivvix.com/360/KMI/IntelliDrive/ApplUI/Pages/CreativePages/CustomReportCreativeDetail.aspx?App=23&amp;ReportView=4&amp;Qid=1711279&amp;Row=13676&amp;Col=1","No Title Assigned - #15273822852")</f>
        <v/>
      </c>
      <c r="B13684" s="0" t="s">
        <v>18307</v>
      </c>
      <c r="E13684" s="0" t="inlineStr">
        <is>
          <t xml:space="preserve">Mazda</t>
        </is>
      </c>
      <c r="F13684" s="0" t="inlineStr">
        <is>
          <t xml:space="preserve">Mazda</t>
        </is>
      </c>
      <c r="G13684" s="0" t="s">
        <v>171</v>
      </c>
      <c r="H13684" s="5">
        <v>469.376700</v>
      </c>
    </row>
    <row r="13685" spans="1:9">
      <c r="A13685" s="22" t="str">
        <f>HYPERLINK("https://app.vivvix.com/360/KMI/IntelliDrive/ApplUI/Pages/CreativePages/CustomReportCreativeDetail.aspx?App=23&amp;ReportView=4&amp;Qid=1711279&amp;Row=13677&amp;Col=1","No Title Assigned - #15273823067")</f>
        <v/>
      </c>
      <c r="B13685" s="0" t="s">
        <v>18308</v>
      </c>
      <c r="E13685" s="0" t="inlineStr">
        <is>
          <t xml:space="preserve">Mazda</t>
        </is>
      </c>
      <c r="F13685" s="0" t="inlineStr">
        <is>
          <t xml:space="preserve">Mazda</t>
        </is>
      </c>
      <c r="G13685" s="0" t="s">
        <v>171</v>
      </c>
      <c r="H13685" s="5">
        <v>16.683200</v>
      </c>
    </row>
    <row r="13686" spans="1:9">
      <c r="A13686" s="22" t="str">
        <f>HYPERLINK("https://app.vivvix.com/360/KMI/IntelliDrive/ApplUI/Pages/CreativePages/CustomReportCreativeDetail.aspx?App=23&amp;ReportView=4&amp;Qid=1711279&amp;Row=13678&amp;Col=1","No Title Assigned - #15273823264")</f>
        <v/>
      </c>
      <c r="B13686" s="0" t="s">
        <v>18309</v>
      </c>
      <c r="C13686" s="0" t="s">
        <v>18310</v>
      </c>
      <c r="D13686" s="0" t="s">
        <v>18310</v>
      </c>
      <c r="E13686" s="0" t="inlineStr">
        <is>
          <t xml:space="preserve">Mazda</t>
        </is>
      </c>
      <c r="F13686" s="0" t="inlineStr">
        <is>
          <t xml:space="preserve">Mazda</t>
        </is>
      </c>
      <c r="G13686" s="0" t="s">
        <v>171</v>
      </c>
      <c r="H13686" s="5">
        <v>737.194500</v>
      </c>
    </row>
    <row r="13687" spans="1:9">
      <c r="A13687" s="22" t="str">
        <f>HYPERLINK("https://app.vivvix.com/360/KMI/IntelliDrive/ApplUI/Pages/CreativePages/CustomReportCreativeDetail.aspx?App=23&amp;ReportView=4&amp;Qid=1711279&amp;Row=13679&amp;Col=1","No Title Assigned - #15273823264")</f>
        <v/>
      </c>
      <c r="B13687" s="0" t="s">
        <v>18309</v>
      </c>
      <c r="E13687" s="0" t="inlineStr">
        <is>
          <t xml:space="preserve">Mazda</t>
        </is>
      </c>
      <c r="F13687" s="0" t="inlineStr">
        <is>
          <t xml:space="preserve">Mazda</t>
        </is>
      </c>
      <c r="G13687" s="0" t="s">
        <v>171</v>
      </c>
      <c r="H13687" s="5">
        <v>74.028000</v>
      </c>
    </row>
    <row r="13688" spans="1:9">
      <c r="A13688" s="22" t="str">
        <f>HYPERLINK("https://app.vivvix.com/360/KMI/IntelliDrive/ApplUI/Pages/CreativePages/CustomReportCreativeDetail.aspx?App=23&amp;ReportView=4&amp;Qid=1711279&amp;Row=13680&amp;Col=1","No Title Assigned - #15273823288")</f>
        <v/>
      </c>
      <c r="B13688" s="0" t="s">
        <v>18311</v>
      </c>
      <c r="E13688" s="0" t="inlineStr">
        <is>
          <t xml:space="preserve">Mazda</t>
        </is>
      </c>
      <c r="F13688" s="0" t="inlineStr">
        <is>
          <t xml:space="preserve">Mazda</t>
        </is>
      </c>
      <c r="G13688" s="0" t="s">
        <v>171</v>
      </c>
      <c r="H13688" s="5">
        <v>568.335600</v>
      </c>
    </row>
    <row r="13689" spans="1:9">
      <c r="A13689" s="22" t="str">
        <f>HYPERLINK("https://app.vivvix.com/360/KMI/IntelliDrive/ApplUI/Pages/CreativePages/CustomReportCreativeDetail.aspx?App=23&amp;ReportView=4&amp;Qid=1711279&amp;Row=13681&amp;Col=1","No Title Assigned - #15273823328")</f>
        <v/>
      </c>
      <c r="B13689" s="0" t="s">
        <v>18312</v>
      </c>
      <c r="E13689" s="0" t="inlineStr">
        <is>
          <t xml:space="preserve">Mazda</t>
        </is>
      </c>
      <c r="F13689" s="0" t="inlineStr">
        <is>
          <t xml:space="preserve">Mazda</t>
        </is>
      </c>
      <c r="G13689" s="0" t="s">
        <v>171</v>
      </c>
      <c r="H13689" s="5">
        <v>29.934900</v>
      </c>
    </row>
    <row r="13690" spans="1:9">
      <c r="A13690" s="22" t="str">
        <f>HYPERLINK("https://app.vivvix.com/360/KMI/IntelliDrive/ApplUI/Pages/CreativePages/CustomReportCreativeDetail.aspx?App=23&amp;ReportView=4&amp;Qid=1711279&amp;Row=13682&amp;Col=1","No Title Assigned - #15273823494")</f>
        <v/>
      </c>
      <c r="B13690" s="0" t="s">
        <v>18313</v>
      </c>
      <c r="E13690" s="0" t="inlineStr">
        <is>
          <t xml:space="preserve">Mazda</t>
        </is>
      </c>
      <c r="F13690" s="0" t="inlineStr">
        <is>
          <t xml:space="preserve">Mazda</t>
        </is>
      </c>
      <c r="G13690" s="0" t="s">
        <v>171</v>
      </c>
      <c r="H13690" s="5">
        <v>29.471400</v>
      </c>
    </row>
    <row r="13691" spans="1:9">
      <c r="A13691" s="22" t="str">
        <f>HYPERLINK("https://app.vivvix.com/360/KMI/IntelliDrive/ApplUI/Pages/CreativePages/CustomReportCreativeDetail.aspx?App=23&amp;ReportView=4&amp;Qid=1711279&amp;Row=13683&amp;Col=1","No Title Assigned - #15273823655")</f>
        <v/>
      </c>
      <c r="B13691" s="0" t="s">
        <v>18314</v>
      </c>
      <c r="E13691" s="0" t="inlineStr">
        <is>
          <t xml:space="preserve">Mazda</t>
        </is>
      </c>
      <c r="F13691" s="0" t="inlineStr">
        <is>
          <t xml:space="preserve">Mazda</t>
        </is>
      </c>
      <c r="G13691" s="0" t="s">
        <v>171</v>
      </c>
      <c r="H13691" s="5">
        <v>10.323700</v>
      </c>
    </row>
    <row r="13692" spans="1:9">
      <c r="A13692" s="22" t="str">
        <f>HYPERLINK("https://app.vivvix.com/360/KMI/IntelliDrive/ApplUI/Pages/CreativePages/CustomReportCreativeDetail.aspx?App=23&amp;ReportView=4&amp;Qid=1711279&amp;Row=13684&amp;Col=1","No Title Assigned - #15273823719")</f>
        <v/>
      </c>
      <c r="B13692" s="0" t="s">
        <v>18315</v>
      </c>
      <c r="E13692" s="0" t="inlineStr">
        <is>
          <t xml:space="preserve">Mazda</t>
        </is>
      </c>
      <c r="F13692" s="0" t="inlineStr">
        <is>
          <t xml:space="preserve">Mazda</t>
        </is>
      </c>
      <c r="G13692" s="0" t="s">
        <v>171</v>
      </c>
      <c r="H13692" s="5">
        <v>218.623200</v>
      </c>
    </row>
    <row r="13693" spans="1:9">
      <c r="A13693" s="22" t="str">
        <f>HYPERLINK("https://app.vivvix.com/360/KMI/IntelliDrive/ApplUI/Pages/CreativePages/CustomReportCreativeDetail.aspx?App=23&amp;ReportView=4&amp;Qid=1711279&amp;Row=13685&amp;Col=1","No Title Assigned - #15273823877")</f>
        <v/>
      </c>
      <c r="B13693" s="0" t="s">
        <v>18316</v>
      </c>
      <c r="C13693" s="0" t="s">
        <v>18317</v>
      </c>
      <c r="D13693" s="0" t="s">
        <v>18317</v>
      </c>
      <c r="E13693" s="0" t="inlineStr">
        <is>
          <t xml:space="preserve">Mazda</t>
        </is>
      </c>
      <c r="F13693" s="0" t="inlineStr">
        <is>
          <t xml:space="preserve">Mazda</t>
        </is>
      </c>
      <c r="G13693" s="0" t="s">
        <v>171</v>
      </c>
      <c r="H13693" s="5">
        <v>465.153500</v>
      </c>
    </row>
    <row r="13694" spans="1:9">
      <c r="A13694" s="22" t="str">
        <f>HYPERLINK("https://app.vivvix.com/360/KMI/IntelliDrive/ApplUI/Pages/CreativePages/CustomReportCreativeDetail.aspx?App=23&amp;ReportView=4&amp;Qid=1711279&amp;Row=13686&amp;Col=1","No Title Assigned - #15273824181")</f>
        <v/>
      </c>
      <c r="B13694" s="0" t="s">
        <v>18318</v>
      </c>
      <c r="E13694" s="0" t="inlineStr">
        <is>
          <t xml:space="preserve">Mazda</t>
        </is>
      </c>
      <c r="F13694" s="0" t="inlineStr">
        <is>
          <t xml:space="preserve">Mazda</t>
        </is>
      </c>
      <c r="G13694" s="0" t="s">
        <v>171</v>
      </c>
      <c r="H13694" s="5">
        <v>76.654300</v>
      </c>
    </row>
    <row r="13695" spans="1:9">
      <c r="A13695" s="22" t="str">
        <f>HYPERLINK("https://app.vivvix.com/360/KMI/IntelliDrive/ApplUI/Pages/CreativePages/CustomReportCreativeDetail.aspx?App=23&amp;ReportView=4&amp;Qid=1711279&amp;Row=13687&amp;Col=1","No Title Assigned - #15273824458")</f>
        <v/>
      </c>
      <c r="B13695" s="0" t="s">
        <v>18319</v>
      </c>
      <c r="E13695" s="0" t="inlineStr">
        <is>
          <t xml:space="preserve">Mazda</t>
        </is>
      </c>
      <c r="F13695" s="0" t="inlineStr">
        <is>
          <t xml:space="preserve">Mazda</t>
        </is>
      </c>
      <c r="G13695" s="0" t="s">
        <v>171</v>
      </c>
      <c r="H13695" s="5">
        <v>289.749600</v>
      </c>
    </row>
    <row r="13696" spans="1:9">
      <c r="A13696" s="22" t="str">
        <f>HYPERLINK("https://app.vivvix.com/360/KMI/IntelliDrive/ApplUI/Pages/CreativePages/CustomReportCreativeDetail.aspx?App=23&amp;ReportView=4&amp;Qid=1711279&amp;Row=13688&amp;Col=1","No Title Assigned - #15273824522")</f>
        <v/>
      </c>
      <c r="B13696" s="0" t="s">
        <v>18320</v>
      </c>
      <c r="E13696" s="0" t="inlineStr">
        <is>
          <t xml:space="preserve">Mazda</t>
        </is>
      </c>
      <c r="F13696" s="0" t="inlineStr">
        <is>
          <t xml:space="preserve">Mazda</t>
        </is>
      </c>
      <c r="G13696" s="0" t="s">
        <v>171</v>
      </c>
      <c r="H13696" s="5">
        <v>6.789700</v>
      </c>
    </row>
    <row r="13697" spans="1:9">
      <c r="A13697" s="22" t="str">
        <f>HYPERLINK("https://app.vivvix.com/360/KMI/IntelliDrive/ApplUI/Pages/CreativePages/CustomReportCreativeDetail.aspx?App=23&amp;ReportView=4&amp;Qid=1711279&amp;Row=13689&amp;Col=1","No Title Assigned - #15273824994")</f>
        <v/>
      </c>
      <c r="B13697" s="0" t="s">
        <v>18321</v>
      </c>
      <c r="E13697" s="0" t="inlineStr">
        <is>
          <t xml:space="preserve">Mazda</t>
        </is>
      </c>
      <c r="F13697" s="0" t="inlineStr">
        <is>
          <t xml:space="preserve">Mazda</t>
        </is>
      </c>
      <c r="G13697" s="0" t="s">
        <v>171</v>
      </c>
      <c r="H13697" s="5">
        <v>51.856500</v>
      </c>
    </row>
    <row r="13698" spans="1:9">
      <c r="A13698" s="22" t="str">
        <f>HYPERLINK("https://app.vivvix.com/360/KMI/IntelliDrive/ApplUI/Pages/CreativePages/CustomReportCreativeDetail.aspx?App=23&amp;ReportView=4&amp;Qid=1711279&amp;Row=13690&amp;Col=1","No Title Assigned - #15273825304")</f>
        <v/>
      </c>
      <c r="B13698" s="0" t="s">
        <v>18322</v>
      </c>
      <c r="E13698" s="0" t="inlineStr">
        <is>
          <t xml:space="preserve">Mazda</t>
        </is>
      </c>
      <c r="F13698" s="0" t="inlineStr">
        <is>
          <t xml:space="preserve">Mazda</t>
        </is>
      </c>
      <c r="G13698" s="0" t="s">
        <v>171</v>
      </c>
      <c r="H13698" s="5">
        <v>487.336500</v>
      </c>
    </row>
    <row r="13699" spans="1:9">
      <c r="A13699" s="22" t="str">
        <f>HYPERLINK("https://app.vivvix.com/360/KMI/IntelliDrive/ApplUI/Pages/CreativePages/CustomReportCreativeDetail.aspx?App=23&amp;ReportView=4&amp;Qid=1711279&amp;Row=13691&amp;Col=1","No Title Assigned - #15273826300")</f>
        <v/>
      </c>
      <c r="B13699" s="0" t="s">
        <v>18323</v>
      </c>
      <c r="E13699" s="0" t="inlineStr">
        <is>
          <t xml:space="preserve">Mazda</t>
        </is>
      </c>
      <c r="F13699" s="0" t="inlineStr">
        <is>
          <t xml:space="preserve">Mazda</t>
        </is>
      </c>
      <c r="G13699" s="0" t="s">
        <v>171</v>
      </c>
      <c r="H13699" s="5">
        <v>20.605600</v>
      </c>
    </row>
    <row r="13700" spans="1:9">
      <c r="A13700" s="22" t="str">
        <f>HYPERLINK("https://app.vivvix.com/360/KMI/IntelliDrive/ApplUI/Pages/CreativePages/CustomReportCreativeDetail.aspx?App=23&amp;ReportView=4&amp;Qid=1711279&amp;Row=13692&amp;Col=1","No Title Assigned - #15273826443")</f>
        <v/>
      </c>
      <c r="B13700" s="0" t="s">
        <v>18324</v>
      </c>
      <c r="C13700" s="0" t="s">
        <v>18325</v>
      </c>
      <c r="D13700" s="0" t="s">
        <v>18325</v>
      </c>
      <c r="E13700" s="0" t="inlineStr">
        <is>
          <t xml:space="preserve">Mazda</t>
        </is>
      </c>
      <c r="F13700" s="0" t="inlineStr">
        <is>
          <t xml:space="preserve">Mazda</t>
        </is>
      </c>
      <c r="G13700" s="0" t="s">
        <v>171</v>
      </c>
      <c r="H13700" s="5">
        <v>376.011200</v>
      </c>
    </row>
    <row r="13701" spans="1:9">
      <c r="A13701" s="22" t="str">
        <f>HYPERLINK("https://app.vivvix.com/360/KMI/IntelliDrive/ApplUI/Pages/CreativePages/CustomReportCreativeDetail.aspx?App=23&amp;ReportView=4&amp;Qid=1711279&amp;Row=13693&amp;Col=1","No Title Assigned - #15273826444")</f>
        <v/>
      </c>
      <c r="B13701" s="0" t="s">
        <v>18326</v>
      </c>
      <c r="E13701" s="0" t="inlineStr">
        <is>
          <t xml:space="preserve">Mazda</t>
        </is>
      </c>
      <c r="F13701" s="0" t="inlineStr">
        <is>
          <t xml:space="preserve">Mazda</t>
        </is>
      </c>
      <c r="G13701" s="0" t="s">
        <v>171</v>
      </c>
      <c r="H13701" s="5">
        <v>52.961400</v>
      </c>
    </row>
    <row r="13702" spans="1:9">
      <c r="A13702" s="22" t="str">
        <f>HYPERLINK("https://app.vivvix.com/360/KMI/IntelliDrive/ApplUI/Pages/CreativePages/CustomReportCreativeDetail.aspx?App=23&amp;ReportView=4&amp;Qid=1711279&amp;Row=13694&amp;Col=1","No Title Assigned - #15273826709")</f>
        <v/>
      </c>
      <c r="B13702" s="0" t="s">
        <v>18327</v>
      </c>
      <c r="E13702" s="0" t="inlineStr">
        <is>
          <t xml:space="preserve">Mazda</t>
        </is>
      </c>
      <c r="F13702" s="0" t="inlineStr">
        <is>
          <t xml:space="preserve">Mazda</t>
        </is>
      </c>
      <c r="G13702" s="0" t="s">
        <v>171</v>
      </c>
      <c r="H13702" s="5">
        <v>25.959100</v>
      </c>
    </row>
    <row r="13703" spans="1:9">
      <c r="A13703" s="22" t="str">
        <f>HYPERLINK("https://app.vivvix.com/360/KMI/IntelliDrive/ApplUI/Pages/CreativePages/CustomReportCreativeDetail.aspx?App=23&amp;ReportView=4&amp;Qid=1711279&amp;Row=13695&amp;Col=1","No Title Assigned - #15273827620")</f>
        <v/>
      </c>
      <c r="B13703" s="0" t="s">
        <v>18328</v>
      </c>
      <c r="E13703" s="0" t="inlineStr">
        <is>
          <t xml:space="preserve">Mazda</t>
        </is>
      </c>
      <c r="F13703" s="0" t="inlineStr">
        <is>
          <t xml:space="preserve">Mazda</t>
        </is>
      </c>
      <c r="G13703" s="0" t="s">
        <v>171</v>
      </c>
      <c r="H13703" s="5">
        <v>879.570300</v>
      </c>
    </row>
    <row r="13704" spans="1:9">
      <c r="A13704" s="22" t="str">
        <f>HYPERLINK("https://app.vivvix.com/360/KMI/IntelliDrive/ApplUI/Pages/CreativePages/CustomReportCreativeDetail.aspx?App=23&amp;ReportView=4&amp;Qid=1711279&amp;Row=13696&amp;Col=1","No Title Assigned - #15273827849")</f>
        <v/>
      </c>
      <c r="B13704" s="0" t="s">
        <v>18329</v>
      </c>
      <c r="E13704" s="0" t="inlineStr">
        <is>
          <t xml:space="preserve">Mazda</t>
        </is>
      </c>
      <c r="F13704" s="0" t="inlineStr">
        <is>
          <t xml:space="preserve">Mazda</t>
        </is>
      </c>
      <c r="G13704" s="0" t="s">
        <v>171</v>
      </c>
      <c r="H13704" s="5">
        <v>91.393700</v>
      </c>
    </row>
    <row r="13705" spans="1:9">
      <c r="A13705" s="22" t="str">
        <f>HYPERLINK("https://app.vivvix.com/360/KMI/IntelliDrive/ApplUI/Pages/CreativePages/CustomReportCreativeDetail.aspx?App=23&amp;ReportView=4&amp;Qid=1711279&amp;Row=13697&amp;Col=1","No Title Assigned - #15273827921")</f>
        <v/>
      </c>
      <c r="B13705" s="0" t="s">
        <v>18330</v>
      </c>
      <c r="C13705" s="0" t="s">
        <v>18331</v>
      </c>
      <c r="D13705" s="0" t="s">
        <v>18331</v>
      </c>
      <c r="E13705" s="0" t="inlineStr">
        <is>
          <t xml:space="preserve">Mazda</t>
        </is>
      </c>
      <c r="F13705" s="0" t="inlineStr">
        <is>
          <t xml:space="preserve">Mazda</t>
        </is>
      </c>
      <c r="G13705" s="0" t="s">
        <v>171</v>
      </c>
      <c r="H13705" s="5">
        <v>269.571600</v>
      </c>
    </row>
    <row r="13706" spans="1:9">
      <c r="A13706" s="22" t="str">
        <f>HYPERLINK("https://app.vivvix.com/360/KMI/IntelliDrive/ApplUI/Pages/CreativePages/CustomReportCreativeDetail.aspx?App=23&amp;ReportView=4&amp;Qid=1711279&amp;Row=13698&amp;Col=1","No Title Assigned - #15273829281")</f>
        <v/>
      </c>
      <c r="B13706" s="0" t="s">
        <v>18332</v>
      </c>
      <c r="E13706" s="0" t="inlineStr">
        <is>
          <t xml:space="preserve">Mazda</t>
        </is>
      </c>
      <c r="F13706" s="0" t="inlineStr">
        <is>
          <t xml:space="preserve">Mazda</t>
        </is>
      </c>
      <c r="G13706" s="0" t="s">
        <v>171</v>
      </c>
      <c r="H13706" s="5">
        <v>17.407200</v>
      </c>
    </row>
    <row r="13707" spans="1:9">
      <c r="A13707" s="22" t="str">
        <f>HYPERLINK("https://app.vivvix.com/360/KMI/IntelliDrive/ApplUI/Pages/CreativePages/CustomReportCreativeDetail.aspx?App=23&amp;ReportView=4&amp;Qid=1711279&amp;Row=13699&amp;Col=1","No Title Assigned - #15273829282")</f>
        <v/>
      </c>
      <c r="B13707" s="0" t="s">
        <v>18333</v>
      </c>
      <c r="E13707" s="0" t="inlineStr">
        <is>
          <t xml:space="preserve">Mazda</t>
        </is>
      </c>
      <c r="F13707" s="0" t="inlineStr">
        <is>
          <t xml:space="preserve">Mazda</t>
        </is>
      </c>
      <c r="G13707" s="0" t="s">
        <v>171</v>
      </c>
      <c r="H13707" s="5">
        <v>2.901200</v>
      </c>
    </row>
    <row r="13708" spans="1:9">
      <c r="A13708" s="22" t="str">
        <f>HYPERLINK("https://app.vivvix.com/360/KMI/IntelliDrive/ApplUI/Pages/CreativePages/CustomReportCreativeDetail.aspx?App=23&amp;ReportView=4&amp;Qid=1711279&amp;Row=13700&amp;Col=1","No Title Assigned - #15273829283")</f>
        <v/>
      </c>
      <c r="B13708" s="0" t="s">
        <v>18334</v>
      </c>
      <c r="E13708" s="0" t="inlineStr">
        <is>
          <t xml:space="preserve">Mazda</t>
        </is>
      </c>
      <c r="F13708" s="0" t="inlineStr">
        <is>
          <t xml:space="preserve">Mazda</t>
        </is>
      </c>
      <c r="G13708" s="0" t="s">
        <v>171</v>
      </c>
      <c r="H13708" s="5">
        <v>13.055400</v>
      </c>
    </row>
    <row r="13709" spans="1:9">
      <c r="A13709" s="22" t="str">
        <f>HYPERLINK("https://app.vivvix.com/360/KMI/IntelliDrive/ApplUI/Pages/CreativePages/CustomReportCreativeDetail.aspx?App=23&amp;ReportView=4&amp;Qid=1711279&amp;Row=13701&amp;Col=1","No Title Assigned - #15273830465")</f>
        <v/>
      </c>
      <c r="B13709" s="0" t="s">
        <v>18335</v>
      </c>
      <c r="E13709" s="0" t="inlineStr">
        <is>
          <t xml:space="preserve">Mazda</t>
        </is>
      </c>
      <c r="F13709" s="0" t="inlineStr">
        <is>
          <t xml:space="preserve">Mazda</t>
        </is>
      </c>
      <c r="G13709" s="0" t="s">
        <v>171</v>
      </c>
      <c r="H13709" s="5">
        <v>41.840700</v>
      </c>
    </row>
    <row r="13710" spans="1:9">
      <c r="A13710" s="22" t="str">
        <f>HYPERLINK("https://app.vivvix.com/360/KMI/IntelliDrive/ApplUI/Pages/CreativePages/CustomReportCreativeDetail.aspx?App=23&amp;ReportView=4&amp;Qid=1711279&amp;Row=13702&amp;Col=1","No Title Assigned - #15273834526")</f>
        <v/>
      </c>
      <c r="B13710" s="0" t="s">
        <v>18336</v>
      </c>
      <c r="E13710" s="0" t="inlineStr">
        <is>
          <t xml:space="preserve">Mazda</t>
        </is>
      </c>
      <c r="F13710" s="0" t="inlineStr">
        <is>
          <t xml:space="preserve">Mazda</t>
        </is>
      </c>
      <c r="G13710" s="0" t="s">
        <v>171</v>
      </c>
      <c r="H13710" s="5">
        <v>487.336500</v>
      </c>
    </row>
    <row r="13711" spans="1:9">
      <c r="A13711" s="22" t="str">
        <f>HYPERLINK("https://app.vivvix.com/360/KMI/IntelliDrive/ApplUI/Pages/CreativePages/CustomReportCreativeDetail.aspx?App=23&amp;ReportView=4&amp;Qid=1711279&amp;Row=13703&amp;Col=1","No Title Assigned - #15273834837")</f>
        <v/>
      </c>
      <c r="B13711" s="0" t="s">
        <v>18337</v>
      </c>
      <c r="E13711" s="0" t="inlineStr">
        <is>
          <t xml:space="preserve">Mazda</t>
        </is>
      </c>
      <c r="F13711" s="0" t="inlineStr">
        <is>
          <t xml:space="preserve">Mazda</t>
        </is>
      </c>
      <c r="G13711" s="0" t="s">
        <v>171</v>
      </c>
      <c r="H13711" s="5">
        <v>341.721000</v>
      </c>
    </row>
    <row r="13712" spans="1:9">
      <c r="A13712" s="22" t="str">
        <f>HYPERLINK("https://app.vivvix.com/360/KMI/IntelliDrive/ApplUI/Pages/CreativePages/CustomReportCreativeDetail.aspx?App=23&amp;ReportView=4&amp;Qid=1711279&amp;Row=13704&amp;Col=1","No Title Assigned - #15273836250")</f>
        <v/>
      </c>
      <c r="B13712" s="0" t="s">
        <v>18338</v>
      </c>
      <c r="E13712" s="0" t="inlineStr">
        <is>
          <t xml:space="preserve">Mazda</t>
        </is>
      </c>
      <c r="F13712" s="0" t="inlineStr">
        <is>
          <t xml:space="preserve">Mazda</t>
        </is>
      </c>
      <c r="G13712" s="0" t="s">
        <v>171</v>
      </c>
      <c r="H13712" s="5">
        <v>149.941900</v>
      </c>
    </row>
    <row r="13713" spans="1:9">
      <c r="A13713" s="22" t="str">
        <f>HYPERLINK("https://app.vivvix.com/360/KMI/IntelliDrive/ApplUI/Pages/CreativePages/CustomReportCreativeDetail.aspx?App=23&amp;ReportView=4&amp;Qid=1711279&amp;Row=13705&amp;Col=1","No Title Assigned - #15273836252")</f>
        <v/>
      </c>
      <c r="B13713" s="0" t="s">
        <v>18339</v>
      </c>
      <c r="E13713" s="0" t="inlineStr">
        <is>
          <t xml:space="preserve">Mazda</t>
        </is>
      </c>
      <c r="F13713" s="0" t="inlineStr">
        <is>
          <t xml:space="preserve">Mazda</t>
        </is>
      </c>
      <c r="G13713" s="0" t="s">
        <v>171</v>
      </c>
      <c r="H13713" s="5">
        <v>774.032500</v>
      </c>
    </row>
    <row r="13714" spans="1:9">
      <c r="A13714" s="22" t="str">
        <f>HYPERLINK("https://app.vivvix.com/360/KMI/IntelliDrive/ApplUI/Pages/CreativePages/CustomReportCreativeDetail.aspx?App=23&amp;ReportView=4&amp;Qid=1711279&amp;Row=13706&amp;Col=1","No Title Assigned - #15273836926")</f>
        <v/>
      </c>
      <c r="B13714" s="0" t="s">
        <v>18340</v>
      </c>
      <c r="E13714" s="0" t="inlineStr">
        <is>
          <t xml:space="preserve">Mazda</t>
        </is>
      </c>
      <c r="F13714" s="0" t="inlineStr">
        <is>
          <t xml:space="preserve">Mazda</t>
        </is>
      </c>
      <c r="G13714" s="0" t="s">
        <v>171</v>
      </c>
      <c r="H13714" s="5">
        <v>244.918600</v>
      </c>
    </row>
    <row r="13715" spans="1:9">
      <c r="A13715" s="22" t="str">
        <f>HYPERLINK("https://app.vivvix.com/360/KMI/IntelliDrive/ApplUI/Pages/CreativePages/CustomReportCreativeDetail.aspx?App=23&amp;ReportView=4&amp;Qid=1711279&amp;Row=13707&amp;Col=1","No Title Assigned - #15273838090")</f>
        <v/>
      </c>
      <c r="B13715" s="0" t="s">
        <v>18341</v>
      </c>
      <c r="C13715" s="0" t="s">
        <v>18342</v>
      </c>
      <c r="D13715" s="0" t="s">
        <v>18342</v>
      </c>
      <c r="E13715" s="0" t="inlineStr">
        <is>
          <t xml:space="preserve">Mazda</t>
        </is>
      </c>
      <c r="F13715" s="0" t="inlineStr">
        <is>
          <t xml:space="preserve">Mazda</t>
        </is>
      </c>
      <c r="G13715" s="0" t="s">
        <v>171</v>
      </c>
      <c r="H13715" s="5">
        <v>43.376400</v>
      </c>
    </row>
    <row r="13716" spans="1:9">
      <c r="A13716" s="22" t="str">
        <f>HYPERLINK("https://app.vivvix.com/360/KMI/IntelliDrive/ApplUI/Pages/CreativePages/CustomReportCreativeDetail.aspx?App=23&amp;ReportView=4&amp;Qid=1711279&amp;Row=13708&amp;Col=1","No Title Assigned - #15273838090")</f>
        <v/>
      </c>
      <c r="B13716" s="0" t="s">
        <v>18341</v>
      </c>
      <c r="E13716" s="0" t="inlineStr">
        <is>
          <t xml:space="preserve">Mazda</t>
        </is>
      </c>
      <c r="F13716" s="0" t="inlineStr">
        <is>
          <t xml:space="preserve">Mazda</t>
        </is>
      </c>
      <c r="G13716" s="0" t="s">
        <v>171</v>
      </c>
      <c r="H13716" s="5">
        <v>61.381000</v>
      </c>
    </row>
    <row r="13717" spans="1:9">
      <c r="A13717" s="22" t="str">
        <f>HYPERLINK("https://app.vivvix.com/360/KMI/IntelliDrive/ApplUI/Pages/CreativePages/CustomReportCreativeDetail.aspx?App=23&amp;ReportView=4&amp;Qid=1711279&amp;Row=13709&amp;Col=1","No Title Assigned - #15273838552")</f>
        <v/>
      </c>
      <c r="B13717" s="0" t="s">
        <v>18343</v>
      </c>
      <c r="E13717" s="0" t="inlineStr">
        <is>
          <t xml:space="preserve">Mazda</t>
        </is>
      </c>
      <c r="F13717" s="0" t="inlineStr">
        <is>
          <t xml:space="preserve">Mazda</t>
        </is>
      </c>
      <c r="G13717" s="0" t="s">
        <v>171</v>
      </c>
      <c r="H13717" s="5">
        <v>229.272200</v>
      </c>
    </row>
    <row r="13718" spans="1:9">
      <c r="A13718" s="22" t="str">
        <f>HYPERLINK("https://app.vivvix.com/360/KMI/IntelliDrive/ApplUI/Pages/CreativePages/CustomReportCreativeDetail.aspx?App=23&amp;ReportView=4&amp;Qid=1711279&amp;Row=13710&amp;Col=1","No Title Assigned - #15273846363")</f>
        <v/>
      </c>
      <c r="B13718" s="0" t="s">
        <v>18344</v>
      </c>
      <c r="E13718" s="0" t="inlineStr">
        <is>
          <t xml:space="preserve">Mazda</t>
        </is>
      </c>
      <c r="F13718" s="0" t="inlineStr">
        <is>
          <t xml:space="preserve">Mazda</t>
        </is>
      </c>
      <c r="G13718" s="0" t="s">
        <v>171</v>
      </c>
      <c r="H13718" s="5">
        <v>210.743300</v>
      </c>
    </row>
    <row r="13719" spans="1:9">
      <c r="A13719" s="22" t="str">
        <f>HYPERLINK("https://app.vivvix.com/360/KMI/IntelliDrive/ApplUI/Pages/CreativePages/CustomReportCreativeDetail.aspx?App=23&amp;ReportView=4&amp;Qid=1711279&amp;Row=13711&amp;Col=1","No Title Assigned - #15273846863")</f>
        <v/>
      </c>
      <c r="B13719" s="0" t="s">
        <v>18345</v>
      </c>
      <c r="C13719" s="0" t="s">
        <v>18346</v>
      </c>
      <c r="D13719" s="0" t="s">
        <v>18346</v>
      </c>
      <c r="E13719" s="0" t="inlineStr">
        <is>
          <t xml:space="preserve">Mazda</t>
        </is>
      </c>
      <c r="F13719" s="0" t="s">
        <v>13</v>
      </c>
      <c r="G13719" s="0" t="s">
        <v>49</v>
      </c>
      <c r="H13719" s="5">
        <v>1649.711400</v>
      </c>
    </row>
    <row r="13720" spans="1:9">
      <c r="A13720" s="22" t="str">
        <f>HYPERLINK("https://app.vivvix.com/360/KMI/IntelliDrive/ApplUI/Pages/CreativePages/CustomReportCreativeDetail.aspx?App=23&amp;ReportView=4&amp;Qid=1711279&amp;Row=13712&amp;Col=1","No Title Assigned - #15273846863")</f>
        <v/>
      </c>
      <c r="B13720" s="0" t="s">
        <v>18345</v>
      </c>
      <c r="E13720" s="0" t="inlineStr">
        <is>
          <t xml:space="preserve">Mazda</t>
        </is>
      </c>
      <c r="F13720" s="0" t="s">
        <v>13</v>
      </c>
      <c r="G13720" s="0" t="s">
        <v>49</v>
      </c>
      <c r="H13720" s="5">
        <v>93.187300</v>
      </c>
    </row>
    <row r="13721" spans="1:9">
      <c r="A13721" s="22" t="str">
        <f>HYPERLINK("https://app.vivvix.com/360/KMI/IntelliDrive/ApplUI/Pages/CreativePages/CustomReportCreativeDetail.aspx?App=23&amp;ReportView=4&amp;Qid=1711279&amp;Row=13713&amp;Col=1","No Title Assigned - #15273846867")</f>
        <v/>
      </c>
      <c r="B13721" s="0" t="s">
        <v>18347</v>
      </c>
      <c r="C13721" s="0" t="s">
        <v>18348</v>
      </c>
      <c r="D13721" s="0" t="s">
        <v>18348</v>
      </c>
      <c r="E13721" s="0" t="inlineStr">
        <is>
          <t xml:space="preserve">Mazda</t>
        </is>
      </c>
      <c r="F13721" s="0" t="s">
        <v>13</v>
      </c>
      <c r="G13721" s="0" t="s">
        <v>49</v>
      </c>
      <c r="H13721" s="5">
        <v>776.790500</v>
      </c>
    </row>
    <row r="13722" spans="1:9">
      <c r="A13722" s="22" t="str">
        <f>HYPERLINK("https://app.vivvix.com/360/KMI/IntelliDrive/ApplUI/Pages/CreativePages/CustomReportCreativeDetail.aspx?App=23&amp;ReportView=4&amp;Qid=1711279&amp;Row=13714&amp;Col=1","No Title Assigned - #15273847323")</f>
        <v/>
      </c>
      <c r="B13722" s="0" t="s">
        <v>18349</v>
      </c>
      <c r="C13722" s="0" t="s">
        <v>18350</v>
      </c>
      <c r="D13722" s="0" t="s">
        <v>18350</v>
      </c>
      <c r="E13722" s="0" t="inlineStr">
        <is>
          <t xml:space="preserve">Mazda</t>
        </is>
      </c>
      <c r="F13722" s="0" t="s">
        <v>13</v>
      </c>
      <c r="G13722" s="0" t="s">
        <v>49</v>
      </c>
      <c r="H13722" s="5">
        <v>956.894400</v>
      </c>
    </row>
    <row r="13723" spans="1:9">
      <c r="A13723" s="22" t="str">
        <f>HYPERLINK("https://app.vivvix.com/360/KMI/IntelliDrive/ApplUI/Pages/CreativePages/CustomReportCreativeDetail.aspx?App=23&amp;ReportView=4&amp;Qid=1711279&amp;Row=13715&amp;Col=1","No Title Assigned - #15273848019")</f>
        <v/>
      </c>
      <c r="B13723" s="0" t="s">
        <v>18351</v>
      </c>
      <c r="C13723" s="0" t="s">
        <v>18352</v>
      </c>
      <c r="D13723" s="0" t="s">
        <v>8992</v>
      </c>
      <c r="E13723" s="0" t="inlineStr">
        <is>
          <t xml:space="preserve">Mazda</t>
        </is>
      </c>
      <c r="F13723" s="0" t="s">
        <v>13</v>
      </c>
      <c r="G13723" s="0" t="s">
        <v>49</v>
      </c>
      <c r="H13723" s="5">
        <v>58.994600</v>
      </c>
    </row>
    <row r="13724" spans="1:9">
      <c r="A13724" s="22" t="str">
        <f>HYPERLINK("https://app.vivvix.com/360/KMI/IntelliDrive/ApplUI/Pages/CreativePages/CustomReportCreativeDetail.aspx?App=23&amp;ReportView=4&amp;Qid=1711279&amp;Row=13716&amp;Col=1","No Title Assigned - #15273848031")</f>
        <v/>
      </c>
      <c r="B13724" s="0" t="s">
        <v>18353</v>
      </c>
      <c r="C13724" s="0" t="s">
        <v>18354</v>
      </c>
      <c r="D13724" s="0" t="s">
        <v>11900</v>
      </c>
      <c r="E13724" s="0" t="inlineStr">
        <is>
          <t xml:space="preserve">Mazda</t>
        </is>
      </c>
      <c r="F13724" s="0" t="s">
        <v>13</v>
      </c>
      <c r="G13724" s="0" t="s">
        <v>49</v>
      </c>
      <c r="H13724" s="5">
        <v>371.409400</v>
      </c>
    </row>
    <row r="13725" spans="1:9">
      <c r="A13725" s="22" t="str">
        <f>HYPERLINK("https://app.vivvix.com/360/KMI/IntelliDrive/ApplUI/Pages/CreativePages/CustomReportCreativeDetail.aspx?App=23&amp;ReportView=4&amp;Qid=1711279&amp;Row=13717&amp;Col=1","No Title Assigned - #15273848509")</f>
        <v/>
      </c>
      <c r="B13725" s="0" t="s">
        <v>18355</v>
      </c>
      <c r="C13725" s="0" t="s">
        <v>18356</v>
      </c>
      <c r="D13725" s="0" t="s">
        <v>18357</v>
      </c>
      <c r="E13725" s="0" t="inlineStr">
        <is>
          <t xml:space="preserve">Mazda</t>
        </is>
      </c>
      <c r="F13725" s="0" t="s">
        <v>28</v>
      </c>
      <c r="G13725" s="0" t="s">
        <v>29</v>
      </c>
      <c r="H13725" s="5">
        <v>409.833900</v>
      </c>
    </row>
    <row r="13726" spans="1:9">
      <c r="A13726" s="22" t="str">
        <f>HYPERLINK("https://app.vivvix.com/360/KMI/IntelliDrive/ApplUI/Pages/CreativePages/CustomReportCreativeDetail.aspx?App=23&amp;ReportView=4&amp;Qid=1711279&amp;Row=13718&amp;Col=1","No Title Assigned - #15273848921")</f>
        <v/>
      </c>
      <c r="B13726" s="0" t="s">
        <v>18358</v>
      </c>
      <c r="C13726" s="0" t="s">
        <v>18359</v>
      </c>
      <c r="D13726" s="0" t="s">
        <v>18359</v>
      </c>
      <c r="E13726" s="0" t="inlineStr">
        <is>
          <t xml:space="preserve">Mazda</t>
        </is>
      </c>
      <c r="F13726" s="0" t="s">
        <v>13</v>
      </c>
      <c r="G13726" s="0" t="s">
        <v>49</v>
      </c>
      <c r="H13726" s="5">
        <v>66.634700</v>
      </c>
    </row>
    <row r="13727" spans="1:9">
      <c r="A13727" s="22" t="str">
        <f>HYPERLINK("https://app.vivvix.com/360/KMI/IntelliDrive/ApplUI/Pages/CreativePages/CustomReportCreativeDetail.aspx?App=23&amp;ReportView=4&amp;Qid=1711279&amp;Row=13719&amp;Col=1","No Title Assigned - #15273849376")</f>
        <v/>
      </c>
      <c r="B13727" s="0" t="s">
        <v>18360</v>
      </c>
      <c r="C13727" s="0" t="s">
        <v>18361</v>
      </c>
      <c r="D13727" s="0" t="s">
        <v>18361</v>
      </c>
      <c r="E13727" s="0" t="inlineStr">
        <is>
          <t xml:space="preserve">Mazda</t>
        </is>
      </c>
      <c r="F13727" s="0" t="s">
        <v>13</v>
      </c>
      <c r="G13727" s="0" t="s">
        <v>49</v>
      </c>
      <c r="H13727" s="5">
        <v>98.135200</v>
      </c>
    </row>
    <row r="13728" spans="1:9">
      <c r="A13728" s="22" t="str">
        <f>HYPERLINK("https://app.vivvix.com/360/KMI/IntelliDrive/ApplUI/Pages/CreativePages/CustomReportCreativeDetail.aspx?App=23&amp;ReportView=4&amp;Qid=1711279&amp;Row=13720&amp;Col=1","No Title Assigned - #15273849663")</f>
        <v/>
      </c>
      <c r="B13728" s="0" t="s">
        <v>18362</v>
      </c>
      <c r="C13728" s="0" t="s">
        <v>18363</v>
      </c>
      <c r="D13728" s="0" t="s">
        <v>18363</v>
      </c>
      <c r="E13728" s="0" t="inlineStr">
        <is>
          <t xml:space="preserve">Mazda</t>
        </is>
      </c>
      <c r="F13728" s="0" t="s">
        <v>13</v>
      </c>
      <c r="G13728" s="0" t="s">
        <v>49</v>
      </c>
      <c r="H13728" s="5">
        <v>1374.097700</v>
      </c>
    </row>
    <row r="13729" spans="1:9">
      <c r="A13729" s="22" t="str">
        <f>HYPERLINK("https://app.vivvix.com/360/KMI/IntelliDrive/ApplUI/Pages/CreativePages/CustomReportCreativeDetail.aspx?App=23&amp;ReportView=4&amp;Qid=1711279&amp;Row=13721&amp;Col=1","No Title Assigned - #15273850097")</f>
        <v/>
      </c>
      <c r="B13729" s="0" t="s">
        <v>18364</v>
      </c>
      <c r="E13729" s="0" t="inlineStr">
        <is>
          <t xml:space="preserve">Mazda</t>
        </is>
      </c>
      <c r="F13729" s="0" t="s">
        <v>13</v>
      </c>
      <c r="G13729" s="0" t="s">
        <v>49</v>
      </c>
      <c r="H13729" s="5">
        <v>129.869400</v>
      </c>
    </row>
    <row r="13730" spans="1:9">
      <c r="A13730" s="22" t="str">
        <f>HYPERLINK("https://app.vivvix.com/360/KMI/IntelliDrive/ApplUI/Pages/CreativePages/CustomReportCreativeDetail.aspx?App=23&amp;ReportView=4&amp;Qid=1711279&amp;Row=13722&amp;Col=1","No Title Assigned - #15273851023")</f>
        <v/>
      </c>
      <c r="B13730" s="0" t="s">
        <v>18365</v>
      </c>
      <c r="C13730" s="0" t="s">
        <v>18366</v>
      </c>
      <c r="D13730" s="0" t="s">
        <v>18366</v>
      </c>
      <c r="E13730" s="0" t="inlineStr">
        <is>
          <t xml:space="preserve">Mazda</t>
        </is>
      </c>
      <c r="F13730" s="0" t="s">
        <v>13</v>
      </c>
      <c r="G13730" s="0" t="s">
        <v>49</v>
      </c>
      <c r="H13730" s="5">
        <v>343.659100</v>
      </c>
    </row>
    <row r="13731" spans="1:9">
      <c r="A13731" s="22" t="str">
        <f>HYPERLINK("https://app.vivvix.com/360/KMI/IntelliDrive/ApplUI/Pages/CreativePages/CustomReportCreativeDetail.aspx?App=23&amp;ReportView=4&amp;Qid=1711279&amp;Row=13723&amp;Col=1","No Title Assigned - #15273851059")</f>
        <v/>
      </c>
      <c r="B13731" s="0" t="s">
        <v>18367</v>
      </c>
      <c r="E13731" s="0" t="inlineStr">
        <is>
          <t xml:space="preserve">Mazda</t>
        </is>
      </c>
      <c r="F13731" s="0" t="s">
        <v>13</v>
      </c>
      <c r="G13731" s="0" t="s">
        <v>49</v>
      </c>
      <c r="H13731" s="5">
        <v>392.353500</v>
      </c>
    </row>
    <row r="13732" spans="1:9">
      <c r="A13732" s="22" t="str">
        <f>HYPERLINK("https://app.vivvix.com/360/KMI/IntelliDrive/ApplUI/Pages/CreativePages/CustomReportCreativeDetail.aspx?App=23&amp;ReportView=4&amp;Qid=1711279&amp;Row=13724&amp;Col=1","No Title Assigned - #15273852021")</f>
        <v/>
      </c>
      <c r="B13732" s="0" t="s">
        <v>18368</v>
      </c>
      <c r="E13732" s="0" t="inlineStr">
        <is>
          <t xml:space="preserve">Mazda</t>
        </is>
      </c>
      <c r="F13732" s="0" t="s">
        <v>13</v>
      </c>
      <c r="G13732" s="0" t="s">
        <v>49</v>
      </c>
      <c r="H13732" s="5">
        <v>251.128100</v>
      </c>
    </row>
    <row r="13733" spans="1:9">
      <c r="A13733" s="22" t="str">
        <f>HYPERLINK("https://app.vivvix.com/360/KMI/IntelliDrive/ApplUI/Pages/CreativePages/CustomReportCreativeDetail.aspx?App=23&amp;ReportView=4&amp;Qid=1711279&amp;Row=13725&amp;Col=1","No Title Assigned - #15273852021")</f>
        <v/>
      </c>
      <c r="B13733" s="0" t="s">
        <v>18368</v>
      </c>
      <c r="E13733" s="0" t="inlineStr">
        <is>
          <t xml:space="preserve">Mazda</t>
        </is>
      </c>
      <c r="F13733" s="0" t="s">
        <v>13</v>
      </c>
      <c r="G13733" s="0" t="s">
        <v>49</v>
      </c>
      <c r="H13733" s="5">
        <v>487.649100</v>
      </c>
    </row>
    <row r="13734" spans="1:9">
      <c r="A13734" s="22" t="str">
        <f>HYPERLINK("https://app.vivvix.com/360/KMI/IntelliDrive/ApplUI/Pages/CreativePages/CustomReportCreativeDetail.aspx?App=23&amp;ReportView=4&amp;Qid=1711279&amp;Row=13726&amp;Col=1","No Title Assigned - #15273852912")</f>
        <v/>
      </c>
      <c r="B13734" s="0" t="s">
        <v>18369</v>
      </c>
      <c r="E13734" s="0" t="inlineStr">
        <is>
          <t xml:space="preserve">Mazda</t>
        </is>
      </c>
      <c r="F13734" s="0" t="inlineStr">
        <is>
          <t xml:space="preserve">Mazda</t>
        </is>
      </c>
      <c r="G13734" s="0" t="s">
        <v>171</v>
      </c>
      <c r="H13734" s="5">
        <v>54.601800</v>
      </c>
    </row>
    <row r="13735" spans="1:9">
      <c r="A13735" s="22" t="str">
        <f>HYPERLINK("https://app.vivvix.com/360/KMI/IntelliDrive/ApplUI/Pages/CreativePages/CustomReportCreativeDetail.aspx?App=23&amp;ReportView=4&amp;Qid=1711279&amp;Row=13727&amp;Col=1","No Title Assigned - #15273853326")</f>
        <v/>
      </c>
      <c r="B13735" s="0" t="s">
        <v>18370</v>
      </c>
      <c r="E13735" s="0" t="inlineStr">
        <is>
          <t xml:space="preserve">Mazda</t>
        </is>
      </c>
      <c r="F13735" s="0" t="inlineStr">
        <is>
          <t xml:space="preserve">Mazda</t>
        </is>
      </c>
      <c r="G13735" s="0" t="s">
        <v>171</v>
      </c>
      <c r="H13735" s="5">
        <v>841.427600</v>
      </c>
    </row>
    <row r="13736" spans="1:9">
      <c r="A13736" s="22" t="str">
        <f>HYPERLINK("https://app.vivvix.com/360/KMI/IntelliDrive/ApplUI/Pages/CreativePages/CustomReportCreativeDetail.aspx?App=23&amp;ReportView=4&amp;Qid=1711279&amp;Row=13728&amp;Col=1","No Title Assigned - #15273853363")</f>
        <v/>
      </c>
      <c r="B13736" s="0" t="s">
        <v>18371</v>
      </c>
      <c r="E13736" s="0" t="inlineStr">
        <is>
          <t xml:space="preserve">Mazda</t>
        </is>
      </c>
      <c r="F13736" s="0" t="inlineStr">
        <is>
          <t xml:space="preserve">Mazda</t>
        </is>
      </c>
      <c r="G13736" s="0" t="s">
        <v>171</v>
      </c>
      <c r="H13736" s="5">
        <v>67.222100</v>
      </c>
    </row>
    <row r="13737" spans="1:9">
      <c r="A13737" s="22" t="str">
        <f>HYPERLINK("https://app.vivvix.com/360/KMI/IntelliDrive/ApplUI/Pages/CreativePages/CustomReportCreativeDetail.aspx?App=23&amp;ReportView=4&amp;Qid=1711279&amp;Row=13729&amp;Col=1","No Title Assigned - #15273853937")</f>
        <v/>
      </c>
      <c r="B13737" s="0" t="s">
        <v>18372</v>
      </c>
      <c r="C13737" s="0" t="s">
        <v>18373</v>
      </c>
      <c r="D13737" s="0" t="s">
        <v>6183</v>
      </c>
      <c r="E13737" s="0" t="inlineStr">
        <is>
          <t xml:space="preserve">Mazda</t>
        </is>
      </c>
      <c r="F13737" s="0" t="s">
        <v>13</v>
      </c>
      <c r="G13737" s="0" t="s">
        <v>49</v>
      </c>
      <c r="H13737" s="5">
        <v>23.259600</v>
      </c>
    </row>
    <row r="13738" spans="1:9">
      <c r="A13738" s="22" t="str">
        <f>HYPERLINK("https://app.vivvix.com/360/KMI/IntelliDrive/ApplUI/Pages/CreativePages/CustomReportCreativeDetail.aspx?App=23&amp;ReportView=4&amp;Qid=1711279&amp;Row=13730&amp;Col=1","No Title Assigned - #15273855515")</f>
        <v/>
      </c>
      <c r="B13738" s="0" t="s">
        <v>18374</v>
      </c>
      <c r="E13738" s="0" t="inlineStr">
        <is>
          <t xml:space="preserve">Mazda</t>
        </is>
      </c>
      <c r="F13738" s="0" t="inlineStr">
        <is>
          <t xml:space="preserve">Mazda</t>
        </is>
      </c>
      <c r="G13738" s="0" t="s">
        <v>171</v>
      </c>
      <c r="H13738" s="5">
        <v>100393.878200</v>
      </c>
    </row>
    <row r="13739" spans="1:9">
      <c r="A13739" s="22" t="str">
        <f>HYPERLINK("https://app.vivvix.com/360/KMI/IntelliDrive/ApplUI/Pages/CreativePages/CustomReportCreativeDetail.aspx?App=23&amp;ReportView=4&amp;Qid=1711279&amp;Row=13731&amp;Col=1","No Title Assigned - #15273855784")</f>
        <v/>
      </c>
      <c r="B13739" s="0" t="s">
        <v>18375</v>
      </c>
      <c r="E13739" s="0" t="inlineStr">
        <is>
          <t xml:space="preserve">Mazda</t>
        </is>
      </c>
      <c r="F13739" s="0" t="inlineStr">
        <is>
          <t xml:space="preserve">Mazda</t>
        </is>
      </c>
      <c r="G13739" s="0" t="s">
        <v>171</v>
      </c>
      <c r="H13739" s="5">
        <v>438.703000</v>
      </c>
    </row>
    <row r="13740" spans="1:9">
      <c r="A13740" s="22" t="str">
        <f>HYPERLINK("https://app.vivvix.com/360/KMI/IntelliDrive/ApplUI/Pages/CreativePages/CustomReportCreativeDetail.aspx?App=23&amp;ReportView=4&amp;Qid=1711279&amp;Row=13732&amp;Col=1","No Title Assigned - #15273855908")</f>
        <v/>
      </c>
      <c r="B13740" s="0" t="s">
        <v>18376</v>
      </c>
      <c r="E13740" s="0" t="inlineStr">
        <is>
          <t xml:space="preserve">Mazda</t>
        </is>
      </c>
      <c r="F13740" s="0" t="inlineStr">
        <is>
          <t xml:space="preserve">Mazda</t>
        </is>
      </c>
      <c r="G13740" s="0" t="s">
        <v>171</v>
      </c>
      <c r="H13740" s="5">
        <v>245.361000</v>
      </c>
    </row>
    <row r="13741" spans="1:9">
      <c r="A13741" s="22" t="str">
        <f>HYPERLINK("https://app.vivvix.com/360/KMI/IntelliDrive/ApplUI/Pages/CreativePages/CustomReportCreativeDetail.aspx?App=23&amp;ReportView=4&amp;Qid=1711279&amp;Row=13733&amp;Col=1","No Title Assigned - #15273856248")</f>
        <v/>
      </c>
      <c r="B13741" s="0" t="s">
        <v>18377</v>
      </c>
      <c r="E13741" s="0" t="inlineStr">
        <is>
          <t xml:space="preserve">Mazda</t>
        </is>
      </c>
      <c r="F13741" s="0" t="inlineStr">
        <is>
          <t xml:space="preserve">Mazda</t>
        </is>
      </c>
      <c r="G13741" s="0" t="s">
        <v>171</v>
      </c>
      <c r="H13741" s="5">
        <v>12.310100</v>
      </c>
    </row>
    <row r="13742" spans="1:9">
      <c r="A13742" s="22" t="str">
        <f>HYPERLINK("https://app.vivvix.com/360/KMI/IntelliDrive/ApplUI/Pages/CreativePages/CustomReportCreativeDetail.aspx?App=23&amp;ReportView=4&amp;Qid=1711279&amp;Row=13734&amp;Col=1","No Title Assigned - #15273856312")</f>
        <v/>
      </c>
      <c r="B13742" s="0" t="s">
        <v>18378</v>
      </c>
      <c r="E13742" s="0" t="inlineStr">
        <is>
          <t xml:space="preserve">Mazda</t>
        </is>
      </c>
      <c r="F13742" s="0" t="inlineStr">
        <is>
          <t xml:space="preserve">Mazda</t>
        </is>
      </c>
      <c r="G13742" s="0" t="s">
        <v>171</v>
      </c>
      <c r="H13742" s="5">
        <v>4.170800</v>
      </c>
    </row>
    <row r="13743" spans="1:9">
      <c r="A13743" s="22" t="str">
        <f>HYPERLINK("https://app.vivvix.com/360/KMI/IntelliDrive/ApplUI/Pages/CreativePages/CustomReportCreativeDetail.aspx?App=23&amp;ReportView=4&amp;Qid=1711279&amp;Row=13735&amp;Col=1","No Title Assigned - #15273856331")</f>
        <v/>
      </c>
      <c r="B13743" s="0" t="s">
        <v>18379</v>
      </c>
      <c r="E13743" s="0" t="inlineStr">
        <is>
          <t xml:space="preserve">Mazda</t>
        </is>
      </c>
      <c r="F13743" s="0" t="inlineStr">
        <is>
          <t xml:space="preserve">Mazda</t>
        </is>
      </c>
      <c r="G13743" s="0" t="s">
        <v>171</v>
      </c>
      <c r="H13743" s="5">
        <v>2552.873300</v>
      </c>
    </row>
    <row r="13744" spans="1:9">
      <c r="A13744" s="22" t="str">
        <f>HYPERLINK("https://app.vivvix.com/360/KMI/IntelliDrive/ApplUI/Pages/CreativePages/CustomReportCreativeDetail.aspx?App=23&amp;ReportView=4&amp;Qid=1711279&amp;Row=13736&amp;Col=1","No Title Assigned - #15273857733")</f>
        <v/>
      </c>
      <c r="B13744" s="0" t="s">
        <v>18380</v>
      </c>
      <c r="E13744" s="0" t="inlineStr">
        <is>
          <t xml:space="preserve">Mazda</t>
        </is>
      </c>
      <c r="F13744" s="0" t="inlineStr">
        <is>
          <t xml:space="preserve">Mazda</t>
        </is>
      </c>
      <c r="G13744" s="0" t="s">
        <v>171</v>
      </c>
      <c r="H13744" s="5">
        <v>163.760600</v>
      </c>
    </row>
    <row r="13745" spans="1:9">
      <c r="A13745" s="22" t="str">
        <f>HYPERLINK("https://app.vivvix.com/360/KMI/IntelliDrive/ApplUI/Pages/CreativePages/CustomReportCreativeDetail.aspx?App=23&amp;ReportView=4&amp;Qid=1711279&amp;Row=13737&amp;Col=1","No Title Assigned - #15273858394")</f>
        <v/>
      </c>
      <c r="B13745" s="0" t="s">
        <v>18381</v>
      </c>
      <c r="E13745" s="0" t="inlineStr">
        <is>
          <t xml:space="preserve">Mazda</t>
        </is>
      </c>
      <c r="F13745" s="0" t="inlineStr">
        <is>
          <t xml:space="preserve">Mazda</t>
        </is>
      </c>
      <c r="G13745" s="0" t="s">
        <v>171</v>
      </c>
      <c r="H13745" s="5">
        <v>81.883100</v>
      </c>
    </row>
    <row r="13746" spans="1:9">
      <c r="A13746" s="22" t="str">
        <f>HYPERLINK("https://app.vivvix.com/360/KMI/IntelliDrive/ApplUI/Pages/CreativePages/CustomReportCreativeDetail.aspx?App=23&amp;ReportView=4&amp;Qid=1711279&amp;Row=13738&amp;Col=1","No Title Assigned - #15273859044")</f>
        <v/>
      </c>
      <c r="B13746" s="0" t="s">
        <v>18382</v>
      </c>
      <c r="E13746" s="0" t="inlineStr">
        <is>
          <t xml:space="preserve">Mazda</t>
        </is>
      </c>
      <c r="F13746" s="0" t="inlineStr">
        <is>
          <t xml:space="preserve">Mazda</t>
        </is>
      </c>
      <c r="G13746" s="0" t="s">
        <v>171</v>
      </c>
      <c r="H13746" s="5">
        <v>67.668600</v>
      </c>
    </row>
    <row r="13747" spans="1:9">
      <c r="A13747" s="22" t="str">
        <f>HYPERLINK("https://app.vivvix.com/360/KMI/IntelliDrive/ApplUI/Pages/CreativePages/CustomReportCreativeDetail.aspx?App=23&amp;ReportView=4&amp;Qid=1711279&amp;Row=13739&amp;Col=1","No Title Assigned - #15273859076")</f>
        <v/>
      </c>
      <c r="B13747" s="0" t="s">
        <v>18383</v>
      </c>
      <c r="C13747" s="0" t="s">
        <v>18384</v>
      </c>
      <c r="D13747" s="0" t="s">
        <v>18384</v>
      </c>
      <c r="E13747" s="0" t="inlineStr">
        <is>
          <t xml:space="preserve">Mazda</t>
        </is>
      </c>
      <c r="F13747" s="0" t="inlineStr">
        <is>
          <t xml:space="preserve">Mazda</t>
        </is>
      </c>
      <c r="G13747" s="0" t="s">
        <v>171</v>
      </c>
      <c r="H13747" s="5">
        <v>776.215700</v>
      </c>
    </row>
    <row r="13748" spans="1:9">
      <c r="A13748" s="22" t="str">
        <f>HYPERLINK("https://app.vivvix.com/360/KMI/IntelliDrive/ApplUI/Pages/CreativePages/CustomReportCreativeDetail.aspx?App=23&amp;ReportView=4&amp;Qid=1711279&amp;Row=13740&amp;Col=1","No Title Assigned - #15273859592")</f>
        <v/>
      </c>
      <c r="B13748" s="0" t="s">
        <v>18385</v>
      </c>
      <c r="E13748" s="0" t="inlineStr">
        <is>
          <t xml:space="preserve">Mazda</t>
        </is>
      </c>
      <c r="F13748" s="0" t="inlineStr">
        <is>
          <t xml:space="preserve">Mazda</t>
        </is>
      </c>
      <c r="G13748" s="0" t="s">
        <v>171</v>
      </c>
      <c r="H13748" s="5">
        <v>170.838000</v>
      </c>
    </row>
    <row r="13749" spans="1:9">
      <c r="A13749" s="22" t="str">
        <f>HYPERLINK("https://app.vivvix.com/360/KMI/IntelliDrive/ApplUI/Pages/CreativePages/CustomReportCreativeDetail.aspx?App=23&amp;ReportView=4&amp;Qid=1711279&amp;Row=13741&amp;Col=1","No Title Assigned - #15273860221")</f>
        <v/>
      </c>
      <c r="B13749" s="0" t="s">
        <v>18386</v>
      </c>
      <c r="E13749" s="0" t="inlineStr">
        <is>
          <t xml:space="preserve">Mazda</t>
        </is>
      </c>
      <c r="F13749" s="0" t="inlineStr">
        <is>
          <t xml:space="preserve">Mazda</t>
        </is>
      </c>
      <c r="G13749" s="0" t="s">
        <v>171</v>
      </c>
      <c r="H13749" s="5">
        <v>4.170800</v>
      </c>
    </row>
    <row r="13750" spans="1:9">
      <c r="A13750" s="22" t="str">
        <f>HYPERLINK("https://app.vivvix.com/360/KMI/IntelliDrive/ApplUI/Pages/CreativePages/CustomReportCreativeDetail.aspx?App=23&amp;ReportView=4&amp;Qid=1711279&amp;Row=13742&amp;Col=1","No Title Assigned - #15273860264")</f>
        <v/>
      </c>
      <c r="B13750" s="0" t="s">
        <v>18387</v>
      </c>
      <c r="E13750" s="0" t="inlineStr">
        <is>
          <t xml:space="preserve">Mazda</t>
        </is>
      </c>
      <c r="F13750" s="0" t="inlineStr">
        <is>
          <t xml:space="preserve">Mazda</t>
        </is>
      </c>
      <c r="G13750" s="0" t="s">
        <v>171</v>
      </c>
      <c r="H13750" s="5">
        <v>388.462400</v>
      </c>
    </row>
    <row r="13751" spans="1:9">
      <c r="A13751" s="22" t="str">
        <f>HYPERLINK("https://app.vivvix.com/360/KMI/IntelliDrive/ApplUI/Pages/CreativePages/CustomReportCreativeDetail.aspx?App=23&amp;ReportView=4&amp;Qid=1711279&amp;Row=13743&amp;Col=1","No Title Assigned - #15273860367")</f>
        <v/>
      </c>
      <c r="B13751" s="0" t="s">
        <v>18388</v>
      </c>
      <c r="E13751" s="0" t="inlineStr">
        <is>
          <t xml:space="preserve">Mazda</t>
        </is>
      </c>
      <c r="F13751" s="0" t="inlineStr">
        <is>
          <t xml:space="preserve">Mazda</t>
        </is>
      </c>
      <c r="G13751" s="0" t="s">
        <v>171</v>
      </c>
      <c r="H13751" s="5">
        <v>56.939700</v>
      </c>
    </row>
    <row r="13752" spans="1:9">
      <c r="A13752" s="22" t="str">
        <f>HYPERLINK("https://app.vivvix.com/360/KMI/IntelliDrive/ApplUI/Pages/CreativePages/CustomReportCreativeDetail.aspx?App=23&amp;ReportView=4&amp;Qid=1711279&amp;Row=13744&amp;Col=1","No Title Assigned - #15273860637")</f>
        <v/>
      </c>
      <c r="B13752" s="0" t="s">
        <v>18389</v>
      </c>
      <c r="C13752" s="0" t="s">
        <v>18390</v>
      </c>
      <c r="D13752" s="0" t="s">
        <v>18390</v>
      </c>
      <c r="E13752" s="0" t="inlineStr">
        <is>
          <t xml:space="preserve">Mazda</t>
        </is>
      </c>
      <c r="F13752" s="0" t="inlineStr">
        <is>
          <t xml:space="preserve">Mazda</t>
        </is>
      </c>
      <c r="G13752" s="0" t="s">
        <v>171</v>
      </c>
      <c r="H13752" s="5">
        <v>372.823900</v>
      </c>
    </row>
    <row r="13753" spans="1:9">
      <c r="A13753" s="22" t="str">
        <f>HYPERLINK("https://app.vivvix.com/360/KMI/IntelliDrive/ApplUI/Pages/CreativePages/CustomReportCreativeDetail.aspx?App=23&amp;ReportView=4&amp;Qid=1711279&amp;Row=13745&amp;Col=1","No Title Assigned - #15273861585")</f>
        <v/>
      </c>
      <c r="B13753" s="0" t="s">
        <v>18391</v>
      </c>
      <c r="E13753" s="0" t="inlineStr">
        <is>
          <t xml:space="preserve">Mazda</t>
        </is>
      </c>
      <c r="F13753" s="0" t="inlineStr">
        <is>
          <t xml:space="preserve">Mazda</t>
        </is>
      </c>
      <c r="G13753" s="0" t="s">
        <v>171</v>
      </c>
      <c r="H13753" s="5">
        <v>26.679100</v>
      </c>
    </row>
    <row r="13754" spans="1:9">
      <c r="A13754" s="22" t="str">
        <f>HYPERLINK("https://app.vivvix.com/360/KMI/IntelliDrive/ApplUI/Pages/CreativePages/CustomReportCreativeDetail.aspx?App=23&amp;ReportView=4&amp;Qid=1711279&amp;Row=13746&amp;Col=1","No Title Assigned - #15273861706")</f>
        <v/>
      </c>
      <c r="B13754" s="0" t="s">
        <v>18392</v>
      </c>
      <c r="E13754" s="0" t="inlineStr">
        <is>
          <t xml:space="preserve">Mazda</t>
        </is>
      </c>
      <c r="F13754" s="0" t="inlineStr">
        <is>
          <t xml:space="preserve">Mazda</t>
        </is>
      </c>
      <c r="G13754" s="0" t="s">
        <v>171</v>
      </c>
      <c r="H13754" s="5">
        <v>134.785800</v>
      </c>
    </row>
    <row r="13755" spans="1:9">
      <c r="A13755" s="22" t="str">
        <f>HYPERLINK("https://app.vivvix.com/360/KMI/IntelliDrive/ApplUI/Pages/CreativePages/CustomReportCreativeDetail.aspx?App=23&amp;ReportView=4&amp;Qid=1711279&amp;Row=13747&amp;Col=1","No Title Assigned - #15273862177")</f>
        <v/>
      </c>
      <c r="B13755" s="0" t="s">
        <v>18393</v>
      </c>
      <c r="C13755" s="0" t="s">
        <v>18394</v>
      </c>
      <c r="D13755" s="0" t="s">
        <v>18394</v>
      </c>
      <c r="E13755" s="0" t="inlineStr">
        <is>
          <t xml:space="preserve">Mazda</t>
        </is>
      </c>
      <c r="F13755" s="0" t="s">
        <v>13</v>
      </c>
      <c r="G13755" s="0" t="s">
        <v>49</v>
      </c>
      <c r="H13755" s="5">
        <v>2.918900</v>
      </c>
    </row>
    <row r="13756" spans="1:9">
      <c r="A13756" s="22" t="str">
        <f>HYPERLINK("https://app.vivvix.com/360/KMI/IntelliDrive/ApplUI/Pages/CreativePages/CustomReportCreativeDetail.aspx?App=23&amp;ReportView=4&amp;Qid=1711279&amp;Row=13748&amp;Col=1","No Title Assigned - #15273862259")</f>
        <v/>
      </c>
      <c r="B13756" s="0" t="s">
        <v>18395</v>
      </c>
      <c r="C13756" s="0" t="s">
        <v>18396</v>
      </c>
      <c r="D13756" s="0" t="s">
        <v>8553</v>
      </c>
      <c r="E13756" s="0" t="inlineStr">
        <is>
          <t xml:space="preserve">Mazda</t>
        </is>
      </c>
      <c r="F13756" s="0" t="s">
        <v>13</v>
      </c>
      <c r="G13756" s="0" t="s">
        <v>49</v>
      </c>
      <c r="H13756" s="5">
        <v>249.342500</v>
      </c>
    </row>
    <row r="13757" spans="1:9">
      <c r="A13757" s="22" t="str">
        <f>HYPERLINK("https://app.vivvix.com/360/KMI/IntelliDrive/ApplUI/Pages/CreativePages/CustomReportCreativeDetail.aspx?App=23&amp;ReportView=4&amp;Qid=1711279&amp;Row=13749&amp;Col=1","No Title Assigned - #15273862456")</f>
        <v/>
      </c>
      <c r="B13757" s="0" t="s">
        <v>18397</v>
      </c>
      <c r="C13757" s="0" t="s">
        <v>18398</v>
      </c>
      <c r="D13757" s="0" t="s">
        <v>18398</v>
      </c>
      <c r="E13757" s="0" t="inlineStr">
        <is>
          <t xml:space="preserve">Mazda</t>
        </is>
      </c>
      <c r="F13757" s="0" t="s">
        <v>13</v>
      </c>
      <c r="G13757" s="0" t="s">
        <v>49</v>
      </c>
      <c r="H13757" s="5">
        <v>1337.369000</v>
      </c>
    </row>
    <row r="13758" spans="1:9">
      <c r="A13758" s="22" t="str">
        <f>HYPERLINK("https://app.vivvix.com/360/KMI/IntelliDrive/ApplUI/Pages/CreativePages/CustomReportCreativeDetail.aspx?App=23&amp;ReportView=4&amp;Qid=1711279&amp;Row=13750&amp;Col=1","No Title Assigned - #15273862725")</f>
        <v/>
      </c>
      <c r="B13758" s="0" t="s">
        <v>18399</v>
      </c>
      <c r="C13758" s="0" t="s">
        <v>18400</v>
      </c>
      <c r="D13758" s="0" t="s">
        <v>18400</v>
      </c>
      <c r="E13758" s="0" t="inlineStr">
        <is>
          <t xml:space="preserve">Mazda</t>
        </is>
      </c>
      <c r="F13758" s="0" t="s">
        <v>13</v>
      </c>
      <c r="G13758" s="0" t="s">
        <v>49</v>
      </c>
      <c r="H13758" s="5">
        <v>237.789900</v>
      </c>
    </row>
    <row r="13759" spans="1:9">
      <c r="A13759" s="22" t="str">
        <f>HYPERLINK("https://app.vivvix.com/360/KMI/IntelliDrive/ApplUI/Pages/CreativePages/CustomReportCreativeDetail.aspx?App=23&amp;ReportView=4&amp;Qid=1711279&amp;Row=13751&amp;Col=1","No Title Assigned - #15273862878")</f>
        <v/>
      </c>
      <c r="B13759" s="0" t="s">
        <v>18401</v>
      </c>
      <c r="C13759" s="0" t="s">
        <v>18402</v>
      </c>
      <c r="D13759" s="0" t="s">
        <v>18402</v>
      </c>
      <c r="E13759" s="0" t="inlineStr">
        <is>
          <t xml:space="preserve">Mazda</t>
        </is>
      </c>
      <c r="F13759" s="0" t="s">
        <v>28</v>
      </c>
      <c r="G13759" s="0" t="s">
        <v>29</v>
      </c>
      <c r="H13759" s="5">
        <v>119.470700</v>
      </c>
    </row>
    <row r="13760" spans="1:9">
      <c r="A13760" s="22" t="str">
        <f>HYPERLINK("https://app.vivvix.com/360/KMI/IntelliDrive/ApplUI/Pages/CreativePages/CustomReportCreativeDetail.aspx?App=23&amp;ReportView=4&amp;Qid=1711279&amp;Row=13752&amp;Col=1","No Title Assigned - #15273862935")</f>
        <v/>
      </c>
      <c r="B13760" s="0" t="s">
        <v>18403</v>
      </c>
      <c r="C13760" s="0" t="s">
        <v>18404</v>
      </c>
      <c r="D13760" s="0" t="s">
        <v>6183</v>
      </c>
      <c r="E13760" s="0" t="inlineStr">
        <is>
          <t xml:space="preserve">Mazda</t>
        </is>
      </c>
      <c r="F13760" s="0" t="s">
        <v>13</v>
      </c>
      <c r="G13760" s="0" t="s">
        <v>49</v>
      </c>
      <c r="H13760" s="5">
        <v>23.259600</v>
      </c>
    </row>
    <row r="13761" spans="1:9">
      <c r="A13761" s="22" t="str">
        <f>HYPERLINK("https://app.vivvix.com/360/KMI/IntelliDrive/ApplUI/Pages/CreativePages/CustomReportCreativeDetail.aspx?App=23&amp;ReportView=4&amp;Qid=1711279&amp;Row=13753&amp;Col=1","No Title Assigned - #15273863046")</f>
        <v/>
      </c>
      <c r="B13761" s="0" t="s">
        <v>18405</v>
      </c>
      <c r="C13761" s="0" t="s">
        <v>18406</v>
      </c>
      <c r="D13761" s="0" t="s">
        <v>16585</v>
      </c>
      <c r="E13761" s="0" t="inlineStr">
        <is>
          <t xml:space="preserve">Mazda</t>
        </is>
      </c>
      <c r="F13761" s="0" t="inlineStr">
        <is>
          <t xml:space="preserve">Mazda</t>
        </is>
      </c>
      <c r="G13761" s="0" t="s">
        <v>210</v>
      </c>
      <c r="H13761" s="5">
        <v>368.053300</v>
      </c>
    </row>
    <row r="13762" spans="1:9">
      <c r="A13762" s="22" t="str">
        <f>HYPERLINK("https://app.vivvix.com/360/KMI/IntelliDrive/ApplUI/Pages/CreativePages/CustomReportCreativeDetail.aspx?App=23&amp;ReportView=4&amp;Qid=1711279&amp;Row=13754&amp;Col=1","No Title Assigned - #15273863085")</f>
        <v/>
      </c>
      <c r="B13762" s="0" t="s">
        <v>18407</v>
      </c>
      <c r="C13762" s="0" t="s">
        <v>18408</v>
      </c>
      <c r="D13762" s="0" t="s">
        <v>10770</v>
      </c>
      <c r="E13762" s="0" t="inlineStr">
        <is>
          <t xml:space="preserve">Mazda</t>
        </is>
      </c>
      <c r="F13762" s="0" t="s">
        <v>13</v>
      </c>
      <c r="G13762" s="0" t="s">
        <v>49</v>
      </c>
      <c r="H13762" s="5">
        <v>9.375900</v>
      </c>
    </row>
    <row r="13763" spans="1:9">
      <c r="A13763" s="22" t="str">
        <f>HYPERLINK("https://app.vivvix.com/360/KMI/IntelliDrive/ApplUI/Pages/CreativePages/CustomReportCreativeDetail.aspx?App=23&amp;ReportView=4&amp;Qid=1711279&amp;Row=13755&amp;Col=1","No Title Assigned - #15273863116")</f>
        <v/>
      </c>
      <c r="B13763" s="0" t="s">
        <v>18409</v>
      </c>
      <c r="C13763" s="0" t="s">
        <v>18410</v>
      </c>
      <c r="D13763" s="0" t="s">
        <v>18410</v>
      </c>
      <c r="E13763" s="0" t="inlineStr">
        <is>
          <t xml:space="preserve">Mazda</t>
        </is>
      </c>
      <c r="F13763" s="0" t="s">
        <v>13</v>
      </c>
      <c r="G13763" s="0" t="s">
        <v>49</v>
      </c>
      <c r="H13763" s="5">
        <v>884.914500</v>
      </c>
    </row>
    <row r="13764" spans="1:9">
      <c r="A13764" s="22" t="str">
        <f>HYPERLINK("https://app.vivvix.com/360/KMI/IntelliDrive/ApplUI/Pages/CreativePages/CustomReportCreativeDetail.aspx?App=23&amp;ReportView=4&amp;Qid=1711279&amp;Row=13756&amp;Col=1","No Title Assigned - #15273863217")</f>
        <v/>
      </c>
      <c r="B13764" s="0" t="s">
        <v>18411</v>
      </c>
      <c r="C13764" s="0" t="s">
        <v>18412</v>
      </c>
      <c r="D13764" s="0" t="s">
        <v>18412</v>
      </c>
      <c r="E13764" s="0" t="inlineStr">
        <is>
          <t xml:space="preserve">Mazda</t>
        </is>
      </c>
      <c r="F13764" s="0" t="s">
        <v>13</v>
      </c>
      <c r="G13764" s="0" t="s">
        <v>49</v>
      </c>
      <c r="H13764" s="5">
        <v>254.894300</v>
      </c>
    </row>
    <row r="13765" spans="1:9">
      <c r="A13765" s="22" t="str">
        <f>HYPERLINK("https://app.vivvix.com/360/KMI/IntelliDrive/ApplUI/Pages/CreativePages/CustomReportCreativeDetail.aspx?App=23&amp;ReportView=4&amp;Qid=1711279&amp;Row=13757&amp;Col=1","No Title Assigned - #15273863364")</f>
        <v/>
      </c>
      <c r="B13765" s="0" t="s">
        <v>18413</v>
      </c>
      <c r="C13765" s="0" t="s">
        <v>18414</v>
      </c>
      <c r="D13765" s="0" t="s">
        <v>10745</v>
      </c>
      <c r="E13765" s="0" t="inlineStr">
        <is>
          <t xml:space="preserve">Mazda</t>
        </is>
      </c>
      <c r="F13765" s="0" t="s">
        <v>13</v>
      </c>
      <c r="G13765" s="0" t="s">
        <v>49</v>
      </c>
      <c r="H13765" s="5">
        <v>198.423300</v>
      </c>
    </row>
    <row r="13766" spans="1:9">
      <c r="A13766" s="22" t="str">
        <f>HYPERLINK("https://app.vivvix.com/360/KMI/IntelliDrive/ApplUI/Pages/CreativePages/CustomReportCreativeDetail.aspx?App=23&amp;ReportView=4&amp;Qid=1711279&amp;Row=13758&amp;Col=1","No Title Assigned - #15273863427")</f>
        <v/>
      </c>
      <c r="B13766" s="0" t="s">
        <v>18415</v>
      </c>
      <c r="C13766" s="0" t="s">
        <v>18416</v>
      </c>
      <c r="D13766" s="0" t="s">
        <v>18416</v>
      </c>
      <c r="E13766" s="0" t="inlineStr">
        <is>
          <t xml:space="preserve">Mazda</t>
        </is>
      </c>
      <c r="F13766" s="0" t="s">
        <v>13</v>
      </c>
      <c r="G13766" s="0" t="s">
        <v>49</v>
      </c>
      <c r="H13766" s="5">
        <v>96.585400</v>
      </c>
    </row>
    <row r="13767" spans="1:9">
      <c r="A13767" s="22" t="str">
        <f>HYPERLINK("https://app.vivvix.com/360/KMI/IntelliDrive/ApplUI/Pages/CreativePages/CustomReportCreativeDetail.aspx?App=23&amp;ReportView=4&amp;Qid=1711279&amp;Row=13759&amp;Col=1","No Title Assigned - #15273863428")</f>
        <v/>
      </c>
      <c r="B13767" s="0" t="s">
        <v>18417</v>
      </c>
      <c r="C13767" s="0" t="s">
        <v>18418</v>
      </c>
      <c r="D13767" s="0" t="s">
        <v>8453</v>
      </c>
      <c r="E13767" s="0" t="inlineStr">
        <is>
          <t xml:space="preserve">Mazda</t>
        </is>
      </c>
      <c r="F13767" s="0" t="s">
        <v>13</v>
      </c>
      <c r="G13767" s="0" t="s">
        <v>49</v>
      </c>
      <c r="H13767" s="5">
        <v>650.785500</v>
      </c>
    </row>
    <row r="13768" spans="1:9">
      <c r="A13768" s="22" t="str">
        <f>HYPERLINK("https://app.vivvix.com/360/KMI/IntelliDrive/ApplUI/Pages/CreativePages/CustomReportCreativeDetail.aspx?App=23&amp;ReportView=4&amp;Qid=1711279&amp;Row=13760&amp;Col=1","No Title Assigned - #15273863497")</f>
        <v/>
      </c>
      <c r="B13768" s="0" t="s">
        <v>18419</v>
      </c>
      <c r="C13768" s="0" t="s">
        <v>18420</v>
      </c>
      <c r="D13768" s="0" t="s">
        <v>4200</v>
      </c>
      <c r="E13768" s="0" t="inlineStr">
        <is>
          <t xml:space="preserve">Mazda</t>
        </is>
      </c>
      <c r="F13768" s="0" t="s">
        <v>28</v>
      </c>
      <c r="G13768" s="0" t="s">
        <v>29</v>
      </c>
      <c r="H13768" s="5">
        <v>128.582200</v>
      </c>
    </row>
    <row r="13769" spans="1:9">
      <c r="A13769" s="22" t="str">
        <f>HYPERLINK("https://app.vivvix.com/360/KMI/IntelliDrive/ApplUI/Pages/CreativePages/CustomReportCreativeDetail.aspx?App=23&amp;ReportView=4&amp;Qid=1711279&amp;Row=13761&amp;Col=1","No Title Assigned - #15273863552")</f>
        <v/>
      </c>
      <c r="B13769" s="0" t="s">
        <v>18421</v>
      </c>
      <c r="E13769" s="0" t="inlineStr">
        <is>
          <t xml:space="preserve">Mazda</t>
        </is>
      </c>
      <c r="F13769" s="0" t="s">
        <v>13</v>
      </c>
      <c r="G13769" s="0" t="s">
        <v>49</v>
      </c>
      <c r="H13769" s="5">
        <v>408.800700</v>
      </c>
    </row>
    <row r="13770" spans="1:9">
      <c r="A13770" s="22" t="str">
        <f>HYPERLINK("https://app.vivvix.com/360/KMI/IntelliDrive/ApplUI/Pages/CreativePages/CustomReportCreativeDetail.aspx?App=23&amp;ReportView=4&amp;Qid=1711279&amp;Row=13762&amp;Col=1","No Title Assigned - #15273863729")</f>
        <v/>
      </c>
      <c r="B13770" s="0" t="s">
        <v>18422</v>
      </c>
      <c r="C13770" s="0" t="s">
        <v>18423</v>
      </c>
      <c r="D13770" s="0" t="s">
        <v>18423</v>
      </c>
      <c r="E13770" s="0" t="inlineStr">
        <is>
          <t xml:space="preserve">Mazda</t>
        </is>
      </c>
      <c r="F13770" s="0" t="s">
        <v>13</v>
      </c>
      <c r="G13770" s="0" t="s">
        <v>49</v>
      </c>
      <c r="H13770" s="5">
        <v>972.509400</v>
      </c>
    </row>
    <row r="13771" spans="1:9">
      <c r="A13771" s="22" t="str">
        <f>HYPERLINK("https://app.vivvix.com/360/KMI/IntelliDrive/ApplUI/Pages/CreativePages/CustomReportCreativeDetail.aspx?App=23&amp;ReportView=4&amp;Qid=1711279&amp;Row=13763&amp;Col=1","No Title Assigned - #15273863817")</f>
        <v/>
      </c>
      <c r="B13771" s="0" t="s">
        <v>18424</v>
      </c>
      <c r="E13771" s="0" t="inlineStr">
        <is>
          <t xml:space="preserve">Mazda</t>
        </is>
      </c>
      <c r="F13771" s="0" t="inlineStr">
        <is>
          <t xml:space="preserve">Mazda</t>
        </is>
      </c>
      <c r="G13771" s="0" t="s">
        <v>210</v>
      </c>
      <c r="H13771" s="5">
        <v>763.567400</v>
      </c>
    </row>
    <row r="13772" spans="1:9">
      <c r="A13772" s="22" t="str">
        <f>HYPERLINK("https://app.vivvix.com/360/KMI/IntelliDrive/ApplUI/Pages/CreativePages/CustomReportCreativeDetail.aspx?App=23&amp;ReportView=4&amp;Qid=1711279&amp;Row=13764&amp;Col=1","No Title Assigned - #15273864107")</f>
        <v/>
      </c>
      <c r="B13772" s="0" t="s">
        <v>18425</v>
      </c>
      <c r="C13772" s="0" t="s">
        <v>18426</v>
      </c>
      <c r="D13772" s="0" t="s">
        <v>18426</v>
      </c>
      <c r="E13772" s="0" t="inlineStr">
        <is>
          <t xml:space="preserve">Mazda</t>
        </is>
      </c>
      <c r="F13772" s="0" t="inlineStr">
        <is>
          <t xml:space="preserve">Mazda</t>
        </is>
      </c>
      <c r="G13772" s="0" t="s">
        <v>210</v>
      </c>
      <c r="H13772" s="5">
        <v>47486.476600</v>
      </c>
    </row>
    <row r="13773" spans="1:9">
      <c r="A13773" s="22" t="str">
        <f>HYPERLINK("https://app.vivvix.com/360/KMI/IntelliDrive/ApplUI/Pages/CreativePages/CustomReportCreativeDetail.aspx?App=23&amp;ReportView=4&amp;Qid=1711279&amp;Row=13765&amp;Col=1","No Title Assigned - #15273864158")</f>
        <v/>
      </c>
      <c r="B13773" s="0" t="s">
        <v>18427</v>
      </c>
      <c r="E13773" s="0" t="inlineStr">
        <is>
          <t xml:space="preserve">Mazda</t>
        </is>
      </c>
      <c r="F13773" s="0" t="s">
        <v>13</v>
      </c>
      <c r="G13773" s="0" t="s">
        <v>49</v>
      </c>
      <c r="H13773" s="5">
        <v>10.408200</v>
      </c>
    </row>
    <row r="13774" spans="1:9">
      <c r="A13774" s="22" t="str">
        <f>HYPERLINK("https://app.vivvix.com/360/KMI/IntelliDrive/ApplUI/Pages/CreativePages/CustomReportCreativeDetail.aspx?App=23&amp;ReportView=4&amp;Qid=1711279&amp;Row=13766&amp;Col=1","No Title Assigned - #15273864328")</f>
        <v/>
      </c>
      <c r="B13774" s="0" t="s">
        <v>18428</v>
      </c>
      <c r="C13774" s="0" t="s">
        <v>18429</v>
      </c>
      <c r="D13774" s="0" t="s">
        <v>18429</v>
      </c>
      <c r="E13774" s="0" t="inlineStr">
        <is>
          <t xml:space="preserve">Mazda</t>
        </is>
      </c>
      <c r="F13774" s="0" t="s">
        <v>13</v>
      </c>
      <c r="G13774" s="0" t="s">
        <v>49</v>
      </c>
      <c r="H13774" s="5">
        <v>18.823400</v>
      </c>
    </row>
    <row r="13775" spans="1:9">
      <c r="A13775" s="22" t="str">
        <f>HYPERLINK("https://app.vivvix.com/360/KMI/IntelliDrive/ApplUI/Pages/CreativePages/CustomReportCreativeDetail.aspx?App=23&amp;ReportView=4&amp;Qid=1711279&amp;Row=13767&amp;Col=1","No Title Assigned - #15273864728")</f>
        <v/>
      </c>
      <c r="B13775" s="0" t="s">
        <v>18430</v>
      </c>
      <c r="E13775" s="0" t="inlineStr">
        <is>
          <t xml:space="preserve">Mazda</t>
        </is>
      </c>
      <c r="F13775" s="0" t="inlineStr">
        <is>
          <t xml:space="preserve">Mazda</t>
        </is>
      </c>
      <c r="G13775" s="0" t="s">
        <v>171</v>
      </c>
      <c r="H13775" s="5">
        <v>160.272400</v>
      </c>
    </row>
    <row r="13776" spans="1:9">
      <c r="A13776" s="22" t="str">
        <f>HYPERLINK("https://app.vivvix.com/360/KMI/IntelliDrive/ApplUI/Pages/CreativePages/CustomReportCreativeDetail.aspx?App=23&amp;ReportView=4&amp;Qid=1711279&amp;Row=13768&amp;Col=1","No Title Assigned - #15273864729")</f>
        <v/>
      </c>
      <c r="B13776" s="0" t="s">
        <v>18431</v>
      </c>
      <c r="E13776" s="0" t="inlineStr">
        <is>
          <t xml:space="preserve">Mazda</t>
        </is>
      </c>
      <c r="F13776" s="0" t="inlineStr">
        <is>
          <t xml:space="preserve">Mazda</t>
        </is>
      </c>
      <c r="G13776" s="0" t="s">
        <v>171</v>
      </c>
      <c r="H13776" s="5">
        <v>81.883100</v>
      </c>
    </row>
    <row r="13777" spans="1:9">
      <c r="A13777" s="22" t="str">
        <f>HYPERLINK("https://app.vivvix.com/360/KMI/IntelliDrive/ApplUI/Pages/CreativePages/CustomReportCreativeDetail.aspx?App=23&amp;ReportView=4&amp;Qid=1711279&amp;Row=13769&amp;Col=1","No Title Assigned - #15273864746")</f>
        <v/>
      </c>
      <c r="B13777" s="0" t="s">
        <v>18432</v>
      </c>
      <c r="E13777" s="0" t="inlineStr">
        <is>
          <t xml:space="preserve">Mazda</t>
        </is>
      </c>
      <c r="F13777" s="0" t="inlineStr">
        <is>
          <t xml:space="preserve">Mazda</t>
        </is>
      </c>
      <c r="G13777" s="0" t="s">
        <v>171</v>
      </c>
      <c r="H13777" s="5">
        <v>82.409100</v>
      </c>
    </row>
    <row r="13778" spans="1:9">
      <c r="A13778" s="22" t="str">
        <f>HYPERLINK("https://app.vivvix.com/360/KMI/IntelliDrive/ApplUI/Pages/CreativePages/CustomReportCreativeDetail.aspx?App=23&amp;ReportView=4&amp;Qid=1711279&amp;Row=13770&amp;Col=1","No Title Assigned - #15273865028")</f>
        <v/>
      </c>
      <c r="B13778" s="0" t="s">
        <v>18433</v>
      </c>
      <c r="E13778" s="0" t="inlineStr">
        <is>
          <t xml:space="preserve">Mazda</t>
        </is>
      </c>
      <c r="F13778" s="0" t="s">
        <v>21</v>
      </c>
      <c r="G13778" s="0" t="s">
        <v>22</v>
      </c>
      <c r="H13778" s="5">
        <v>4276.938500</v>
      </c>
    </row>
    <row r="13779" spans="1:9">
      <c r="A13779" s="22" t="str">
        <f>HYPERLINK("https://app.vivvix.com/360/KMI/IntelliDrive/ApplUI/Pages/CreativePages/CustomReportCreativeDetail.aspx?App=23&amp;ReportView=4&amp;Qid=1711279&amp;Row=13771&amp;Col=1","No Title Assigned - #15273865706")</f>
        <v/>
      </c>
      <c r="B13779" s="0" t="s">
        <v>18434</v>
      </c>
      <c r="E13779" s="0" t="inlineStr">
        <is>
          <t xml:space="preserve">Mazda</t>
        </is>
      </c>
      <c r="F13779" s="0" t="inlineStr">
        <is>
          <t xml:space="preserve">Mazda</t>
        </is>
      </c>
      <c r="G13779" s="0" t="s">
        <v>171</v>
      </c>
      <c r="H13779" s="5">
        <v>309.996600</v>
      </c>
    </row>
    <row r="13780" spans="1:9">
      <c r="A13780" s="22" t="str">
        <f>HYPERLINK("https://app.vivvix.com/360/KMI/IntelliDrive/ApplUI/Pages/CreativePages/CustomReportCreativeDetail.aspx?App=23&amp;ReportView=4&amp;Qid=1711279&amp;Row=13772&amp;Col=1","No Title Assigned - #15273865731")</f>
        <v/>
      </c>
      <c r="B13780" s="0" t="s">
        <v>18435</v>
      </c>
      <c r="E13780" s="0" t="inlineStr">
        <is>
          <t xml:space="preserve">Mazda</t>
        </is>
      </c>
      <c r="F13780" s="0" t="inlineStr">
        <is>
          <t xml:space="preserve">Mazda</t>
        </is>
      </c>
      <c r="G13780" s="0" t="s">
        <v>171</v>
      </c>
      <c r="H13780" s="5">
        <v>458.457800</v>
      </c>
    </row>
    <row r="13781" spans="1:9">
      <c r="A13781" s="22" t="str">
        <f>HYPERLINK("https://app.vivvix.com/360/KMI/IntelliDrive/ApplUI/Pages/CreativePages/CustomReportCreativeDetail.aspx?App=23&amp;ReportView=4&amp;Qid=1711279&amp;Row=13773&amp;Col=1","No Title Assigned - #15273865741")</f>
        <v/>
      </c>
      <c r="B13781" s="0" t="s">
        <v>18436</v>
      </c>
      <c r="E13781" s="0" t="inlineStr">
        <is>
          <t xml:space="preserve">Mazda</t>
        </is>
      </c>
      <c r="F13781" s="0" t="inlineStr">
        <is>
          <t xml:space="preserve">Mazda</t>
        </is>
      </c>
      <c r="G13781" s="0" t="s">
        <v>171</v>
      </c>
      <c r="H13781" s="5">
        <v>2167.392700</v>
      </c>
    </row>
    <row r="13782" spans="1:9">
      <c r="A13782" s="22" t="str">
        <f>HYPERLINK("https://app.vivvix.com/360/KMI/IntelliDrive/ApplUI/Pages/CreativePages/CustomReportCreativeDetail.aspx?App=23&amp;ReportView=4&amp;Qid=1711279&amp;Row=13774&amp;Col=1","No Title Assigned - #15273865741")</f>
        <v/>
      </c>
      <c r="B13782" s="0" t="s">
        <v>18436</v>
      </c>
      <c r="E13782" s="0" t="inlineStr">
        <is>
          <t xml:space="preserve">Mazda</t>
        </is>
      </c>
      <c r="F13782" s="0" t="inlineStr">
        <is>
          <t xml:space="preserve">Mazda</t>
        </is>
      </c>
      <c r="G13782" s="0" t="s">
        <v>171</v>
      </c>
      <c r="H13782" s="5">
        <v>713.639200</v>
      </c>
    </row>
    <row r="13783" spans="1:9">
      <c r="A13783" s="22" t="str">
        <f>HYPERLINK("https://app.vivvix.com/360/KMI/IntelliDrive/ApplUI/Pages/CreativePages/CustomReportCreativeDetail.aspx?App=23&amp;ReportView=4&amp;Qid=1711279&amp;Row=13775&amp;Col=1","No Title Assigned - #15273865901")</f>
        <v/>
      </c>
      <c r="B13783" s="0" t="s">
        <v>18437</v>
      </c>
      <c r="C13783" s="0" t="s">
        <v>18438</v>
      </c>
      <c r="D13783" s="0" t="s">
        <v>18438</v>
      </c>
      <c r="E13783" s="0" t="inlineStr">
        <is>
          <t xml:space="preserve">Mazda</t>
        </is>
      </c>
      <c r="F13783" s="0" t="inlineStr">
        <is>
          <t xml:space="preserve">Mazda</t>
        </is>
      </c>
      <c r="G13783" s="0" t="s">
        <v>171</v>
      </c>
      <c r="H13783" s="5">
        <v>67.222100</v>
      </c>
    </row>
    <row r="13784" spans="1:9">
      <c r="A13784" s="22" t="str">
        <f>HYPERLINK("https://app.vivvix.com/360/KMI/IntelliDrive/ApplUI/Pages/CreativePages/CustomReportCreativeDetail.aspx?App=23&amp;ReportView=4&amp;Qid=1711279&amp;Row=13776&amp;Col=1","No Title Assigned - #15273865987")</f>
        <v/>
      </c>
      <c r="B13784" s="0" t="s">
        <v>18439</v>
      </c>
      <c r="E13784" s="0" t="inlineStr">
        <is>
          <t xml:space="preserve">Mazda</t>
        </is>
      </c>
      <c r="F13784" s="0" t="inlineStr">
        <is>
          <t xml:space="preserve">Mazda</t>
        </is>
      </c>
      <c r="G13784" s="0" t="s">
        <v>171</v>
      </c>
      <c r="H13784" s="5">
        <v>114.308800</v>
      </c>
    </row>
    <row r="13785" spans="1:9">
      <c r="A13785" s="22" t="str">
        <f>HYPERLINK("https://app.vivvix.com/360/KMI/IntelliDrive/ApplUI/Pages/CreativePages/CustomReportCreativeDetail.aspx?App=23&amp;ReportView=4&amp;Qid=1711279&amp;Row=13777&amp;Col=1","No Title Assigned - #15273866878")</f>
        <v/>
      </c>
      <c r="B13785" s="0" t="s">
        <v>18440</v>
      </c>
      <c r="E13785" s="0" t="inlineStr">
        <is>
          <t xml:space="preserve">Mazda</t>
        </is>
      </c>
      <c r="F13785" s="0" t="inlineStr">
        <is>
          <t xml:space="preserve">Mazda</t>
        </is>
      </c>
      <c r="G13785" s="0" t="s">
        <v>171</v>
      </c>
      <c r="H13785" s="5">
        <v>111.332100</v>
      </c>
    </row>
    <row r="13786" spans="1:9">
      <c r="A13786" s="22" t="str">
        <f>HYPERLINK("https://app.vivvix.com/360/KMI/IntelliDrive/ApplUI/Pages/CreativePages/CustomReportCreativeDetail.aspx?App=23&amp;ReportView=4&amp;Qid=1711279&amp;Row=13778&amp;Col=1","No Title Assigned - #15273868989")</f>
        <v/>
      </c>
      <c r="B13786" s="0" t="s">
        <v>18441</v>
      </c>
      <c r="C13786" s="0" t="s">
        <v>18442</v>
      </c>
      <c r="D13786" s="0" t="s">
        <v>18442</v>
      </c>
      <c r="E13786" s="0" t="inlineStr">
        <is>
          <t xml:space="preserve">Mazda</t>
        </is>
      </c>
      <c r="F13786" s="0" t="s">
        <v>13</v>
      </c>
      <c r="G13786" s="0" t="s">
        <v>49</v>
      </c>
      <c r="H13786" s="5">
        <v>340.413800</v>
      </c>
    </row>
    <row r="13787" spans="1:9">
      <c r="A13787" s="22" t="str">
        <f>HYPERLINK("https://app.vivvix.com/360/KMI/IntelliDrive/ApplUI/Pages/CreativePages/CustomReportCreativeDetail.aspx?App=23&amp;ReportView=4&amp;Qid=1711279&amp;Row=13779&amp;Col=1","No Title Assigned - #15273869043")</f>
        <v/>
      </c>
      <c r="B13787" s="0" t="s">
        <v>18443</v>
      </c>
      <c r="C13787" s="0" t="s">
        <v>18444</v>
      </c>
      <c r="D13787" s="0" t="s">
        <v>18444</v>
      </c>
      <c r="E13787" s="0" t="inlineStr">
        <is>
          <t xml:space="preserve">Mazda</t>
        </is>
      </c>
      <c r="F13787" s="0" t="s">
        <v>13</v>
      </c>
      <c r="G13787" s="0" t="s">
        <v>49</v>
      </c>
      <c r="H13787" s="5">
        <v>486.117600</v>
      </c>
    </row>
    <row r="13788" spans="1:9">
      <c r="A13788" s="22" t="str">
        <f>HYPERLINK("https://app.vivvix.com/360/KMI/IntelliDrive/ApplUI/Pages/CreativePages/CustomReportCreativeDetail.aspx?App=23&amp;ReportView=4&amp;Qid=1711279&amp;Row=13780&amp;Col=1","No Title Assigned - #15273869269")</f>
        <v/>
      </c>
      <c r="B13788" s="0" t="s">
        <v>18445</v>
      </c>
      <c r="C13788" s="0" t="s">
        <v>18446</v>
      </c>
      <c r="D13788" s="0" t="s">
        <v>18446</v>
      </c>
      <c r="E13788" s="0" t="inlineStr">
        <is>
          <t xml:space="preserve">Mazda</t>
        </is>
      </c>
      <c r="F13788" s="0" t="s">
        <v>13</v>
      </c>
      <c r="G13788" s="0" t="s">
        <v>49</v>
      </c>
      <c r="H13788" s="5">
        <v>101.760500</v>
      </c>
    </row>
    <row r="13789" spans="1:9">
      <c r="A13789" s="22" t="str">
        <f>HYPERLINK("https://app.vivvix.com/360/KMI/IntelliDrive/ApplUI/Pages/CreativePages/CustomReportCreativeDetail.aspx?App=23&amp;ReportView=4&amp;Qid=1711279&amp;Row=13781&amp;Col=1","No Title Assigned - #15273869314")</f>
        <v/>
      </c>
      <c r="B13789" s="0" t="s">
        <v>18447</v>
      </c>
      <c r="C13789" s="0" t="s">
        <v>18448</v>
      </c>
      <c r="D13789" s="0" t="s">
        <v>9080</v>
      </c>
      <c r="E13789" s="0" t="inlineStr">
        <is>
          <t xml:space="preserve">Mazda</t>
        </is>
      </c>
      <c r="F13789" s="0" t="inlineStr">
        <is>
          <t xml:space="preserve">Mazda</t>
        </is>
      </c>
      <c r="G13789" s="0" t="s">
        <v>210</v>
      </c>
      <c r="H13789" s="5">
        <v>725.656800</v>
      </c>
    </row>
    <row r="13790" spans="1:9">
      <c r="A13790" s="22" t="str">
        <f>HYPERLINK("https://app.vivvix.com/360/KMI/IntelliDrive/ApplUI/Pages/CreativePages/CustomReportCreativeDetail.aspx?App=23&amp;ReportView=4&amp;Qid=1711279&amp;Row=13782&amp;Col=1","No Title Assigned - #15273869327")</f>
        <v/>
      </c>
      <c r="B13790" s="0" t="s">
        <v>18449</v>
      </c>
      <c r="C13790" s="0" t="s">
        <v>18450</v>
      </c>
      <c r="D13790" s="0" t="s">
        <v>18450</v>
      </c>
      <c r="E13790" s="0" t="inlineStr">
        <is>
          <t xml:space="preserve">Mazda</t>
        </is>
      </c>
      <c r="F13790" s="0" t="s">
        <v>13</v>
      </c>
      <c r="G13790" s="0" t="s">
        <v>49</v>
      </c>
      <c r="H13790" s="5">
        <v>6785.397900</v>
      </c>
    </row>
    <row r="13791" spans="1:9">
      <c r="A13791" s="22" t="str">
        <f>HYPERLINK("https://app.vivvix.com/360/KMI/IntelliDrive/ApplUI/Pages/CreativePages/CustomReportCreativeDetail.aspx?App=23&amp;ReportView=4&amp;Qid=1711279&amp;Row=13783&amp;Col=1","No Title Assigned - #15273869453")</f>
        <v/>
      </c>
      <c r="B13791" s="0" t="s">
        <v>18451</v>
      </c>
      <c r="C13791" s="0" t="s">
        <v>18452</v>
      </c>
      <c r="D13791" s="0" t="s">
        <v>4335</v>
      </c>
      <c r="E13791" s="0" t="inlineStr">
        <is>
          <t xml:space="preserve">Mazda</t>
        </is>
      </c>
      <c r="F13791" s="0" t="s">
        <v>13</v>
      </c>
      <c r="G13791" s="0" t="s">
        <v>49</v>
      </c>
      <c r="H13791" s="5">
        <v>591.350900</v>
      </c>
    </row>
    <row r="13792" spans="1:9">
      <c r="A13792" s="22" t="str">
        <f>HYPERLINK("https://app.vivvix.com/360/KMI/IntelliDrive/ApplUI/Pages/CreativePages/CustomReportCreativeDetail.aspx?App=23&amp;ReportView=4&amp;Qid=1711279&amp;Row=13784&amp;Col=1","No Title Assigned - #15273869583")</f>
        <v/>
      </c>
      <c r="B13792" s="0" t="s">
        <v>18453</v>
      </c>
      <c r="C13792" s="0" t="s">
        <v>18454</v>
      </c>
      <c r="D13792" s="0" t="s">
        <v>18454</v>
      </c>
      <c r="E13792" s="0" t="inlineStr">
        <is>
          <t xml:space="preserve">Mazda</t>
        </is>
      </c>
      <c r="F13792" s="0" t="s">
        <v>13</v>
      </c>
      <c r="G13792" s="0" t="s">
        <v>49</v>
      </c>
      <c r="H13792" s="5">
        <v>845.252400</v>
      </c>
    </row>
    <row r="13793" spans="1:9">
      <c r="A13793" s="22" t="str">
        <f>HYPERLINK("https://app.vivvix.com/360/KMI/IntelliDrive/ApplUI/Pages/CreativePages/CustomReportCreativeDetail.aspx?App=23&amp;ReportView=4&amp;Qid=1711279&amp;Row=13785&amp;Col=1","No Title Assigned - #15273870659")</f>
        <v/>
      </c>
      <c r="B13793" s="0" t="s">
        <v>18455</v>
      </c>
      <c r="C13793" s="0" t="s">
        <v>18456</v>
      </c>
      <c r="D13793" s="0" t="s">
        <v>18456</v>
      </c>
      <c r="E13793" s="0" t="inlineStr">
        <is>
          <t xml:space="preserve">Mazda</t>
        </is>
      </c>
      <c r="F13793" s="0" t="s">
        <v>13</v>
      </c>
      <c r="G13793" s="0" t="s">
        <v>49</v>
      </c>
      <c r="H13793" s="5">
        <v>125.975400</v>
      </c>
    </row>
    <row r="13794" spans="1:9">
      <c r="A13794" s="22" t="str">
        <f>HYPERLINK("https://app.vivvix.com/360/KMI/IntelliDrive/ApplUI/Pages/CreativePages/CustomReportCreativeDetail.aspx?App=23&amp;ReportView=4&amp;Qid=1711279&amp;Row=13786&amp;Col=1","No Title Assigned - #15273871014")</f>
        <v/>
      </c>
      <c r="B13794" s="0" t="s">
        <v>18457</v>
      </c>
      <c r="E13794" s="0" t="inlineStr">
        <is>
          <t xml:space="preserve">Mazda</t>
        </is>
      </c>
      <c r="F13794" s="0" t="s">
        <v>13</v>
      </c>
      <c r="G13794" s="0" t="s">
        <v>49</v>
      </c>
      <c r="H13794" s="5">
        <v>562.727800</v>
      </c>
    </row>
    <row r="13795" spans="1:9">
      <c r="A13795" s="22" t="str">
        <f>HYPERLINK("https://app.vivvix.com/360/KMI/IntelliDrive/ApplUI/Pages/CreativePages/CustomReportCreativeDetail.aspx?App=23&amp;ReportView=4&amp;Qid=1711279&amp;Row=13787&amp;Col=1","No Title Assigned - #15273871220")</f>
        <v/>
      </c>
      <c r="B13795" s="0" t="s">
        <v>18458</v>
      </c>
      <c r="C13795" s="0" t="s">
        <v>18459</v>
      </c>
      <c r="D13795" s="0" t="s">
        <v>18459</v>
      </c>
      <c r="E13795" s="0" t="inlineStr">
        <is>
          <t xml:space="preserve">Mazda</t>
        </is>
      </c>
      <c r="F13795" s="0" t="s">
        <v>28</v>
      </c>
      <c r="G13795" s="0" t="s">
        <v>29</v>
      </c>
      <c r="H13795" s="5">
        <v>124.745800</v>
      </c>
    </row>
    <row r="13796" spans="1:9">
      <c r="A13796" s="22" t="str">
        <f>HYPERLINK("https://app.vivvix.com/360/KMI/IntelliDrive/ApplUI/Pages/CreativePages/CustomReportCreativeDetail.aspx?App=23&amp;ReportView=4&amp;Qid=1711279&amp;Row=13788&amp;Col=1","No Title Assigned - #15273871256")</f>
        <v/>
      </c>
      <c r="B13796" s="0" t="s">
        <v>18460</v>
      </c>
      <c r="C13796" s="0" t="s">
        <v>18461</v>
      </c>
      <c r="D13796" s="0" t="s">
        <v>18461</v>
      </c>
      <c r="E13796" s="0" t="inlineStr">
        <is>
          <t xml:space="preserve">Mazda</t>
        </is>
      </c>
      <c r="F13796" s="0" t="s">
        <v>13</v>
      </c>
      <c r="G13796" s="0" t="s">
        <v>49</v>
      </c>
      <c r="H13796" s="5">
        <v>646.917800</v>
      </c>
    </row>
    <row r="13797" spans="1:9">
      <c r="A13797" s="22" t="str">
        <f>HYPERLINK("https://app.vivvix.com/360/KMI/IntelliDrive/ApplUI/Pages/CreativePages/CustomReportCreativeDetail.aspx?App=23&amp;ReportView=4&amp;Qid=1711279&amp;Row=13789&amp;Col=1","No Title Assigned - #15273871321")</f>
        <v/>
      </c>
      <c r="B13797" s="0" t="s">
        <v>18462</v>
      </c>
      <c r="C13797" s="0" t="s">
        <v>18463</v>
      </c>
      <c r="D13797" s="0" t="s">
        <v>18463</v>
      </c>
      <c r="E13797" s="0" t="inlineStr">
        <is>
          <t xml:space="preserve">Mazda</t>
        </is>
      </c>
      <c r="F13797" s="0" t="s">
        <v>13</v>
      </c>
      <c r="G13797" s="0" t="s">
        <v>49</v>
      </c>
      <c r="H13797" s="5">
        <v>741.316400</v>
      </c>
    </row>
    <row r="13798" spans="1:9">
      <c r="A13798" s="22" t="str">
        <f>HYPERLINK("https://app.vivvix.com/360/KMI/IntelliDrive/ApplUI/Pages/CreativePages/CustomReportCreativeDetail.aspx?App=23&amp;ReportView=4&amp;Qid=1711279&amp;Row=13790&amp;Col=1","No Title Assigned - #15273872174")</f>
        <v/>
      </c>
      <c r="B13798" s="0" t="s">
        <v>18464</v>
      </c>
      <c r="E13798" s="0" t="inlineStr">
        <is>
          <t xml:space="preserve">Mazda</t>
        </is>
      </c>
      <c r="F13798" s="0" t="inlineStr">
        <is>
          <t xml:space="preserve">Mazda</t>
        </is>
      </c>
      <c r="G13798" s="0" t="s">
        <v>171</v>
      </c>
      <c r="H13798" s="5">
        <v>312.160100</v>
      </c>
    </row>
    <row r="13799" spans="1:9">
      <c r="A13799" s="22" t="str">
        <f>HYPERLINK("https://app.vivvix.com/360/KMI/IntelliDrive/ApplUI/Pages/CreativePages/CustomReportCreativeDetail.aspx?App=23&amp;ReportView=4&amp;Qid=1711279&amp;Row=13791&amp;Col=1","No Title Assigned - #15273872410")</f>
        <v/>
      </c>
      <c r="B13799" s="0" t="s">
        <v>18465</v>
      </c>
      <c r="E13799" s="0" t="inlineStr">
        <is>
          <t xml:space="preserve">Mazda</t>
        </is>
      </c>
      <c r="F13799" s="0" t="inlineStr">
        <is>
          <t xml:space="preserve">Mazda</t>
        </is>
      </c>
      <c r="G13799" s="0" t="s">
        <v>171</v>
      </c>
      <c r="H13799" s="5">
        <v>684.325700</v>
      </c>
    </row>
    <row r="13800" spans="1:9">
      <c r="A13800" s="22" t="str">
        <f>HYPERLINK("https://app.vivvix.com/360/KMI/IntelliDrive/ApplUI/Pages/CreativePages/CustomReportCreativeDetail.aspx?App=23&amp;ReportView=4&amp;Qid=1711279&amp;Row=13792&amp;Col=1","No Title Assigned - #15273872561")</f>
        <v/>
      </c>
      <c r="B13800" s="0" t="s">
        <v>18466</v>
      </c>
      <c r="E13800" s="0" t="inlineStr">
        <is>
          <t xml:space="preserve">Mazda</t>
        </is>
      </c>
      <c r="F13800" s="0" t="inlineStr">
        <is>
          <t xml:space="preserve">Mazda</t>
        </is>
      </c>
      <c r="G13800" s="0" t="s">
        <v>171</v>
      </c>
      <c r="H13800" s="5">
        <v>1560.547800</v>
      </c>
    </row>
    <row r="13801" spans="1:9">
      <c r="A13801" s="22" t="str">
        <f>HYPERLINK("https://app.vivvix.com/360/KMI/IntelliDrive/ApplUI/Pages/CreativePages/CustomReportCreativeDetail.aspx?App=23&amp;ReportView=4&amp;Qid=1711279&amp;Row=13793&amp;Col=1","No Title Assigned - #15273872575")</f>
        <v/>
      </c>
      <c r="B13801" s="0" t="s">
        <v>18467</v>
      </c>
      <c r="C13801" s="0" t="s">
        <v>18468</v>
      </c>
      <c r="D13801" s="0" t="s">
        <v>18468</v>
      </c>
      <c r="E13801" s="0" t="inlineStr">
        <is>
          <t xml:space="preserve">Mazda</t>
        </is>
      </c>
      <c r="F13801" s="0" t="inlineStr">
        <is>
          <t xml:space="preserve">Mazda</t>
        </is>
      </c>
      <c r="G13801" s="0" t="s">
        <v>171</v>
      </c>
      <c r="H13801" s="5">
        <v>263.770600</v>
      </c>
    </row>
    <row r="13802" spans="1:9">
      <c r="A13802" s="22" t="str">
        <f>HYPERLINK("https://app.vivvix.com/360/KMI/IntelliDrive/ApplUI/Pages/CreativePages/CustomReportCreativeDetail.aspx?App=23&amp;ReportView=4&amp;Qid=1711279&amp;Row=13794&amp;Col=1","No Title Assigned - #15273873320")</f>
        <v/>
      </c>
      <c r="B13802" s="0" t="s">
        <v>18469</v>
      </c>
      <c r="E13802" s="0" t="inlineStr">
        <is>
          <t xml:space="preserve">Mazda</t>
        </is>
      </c>
      <c r="F13802" s="0" t="inlineStr">
        <is>
          <t xml:space="preserve">Mazda</t>
        </is>
      </c>
      <c r="G13802" s="0" t="s">
        <v>171</v>
      </c>
      <c r="H13802" s="5">
        <v>6.789700</v>
      </c>
    </row>
    <row r="13803" spans="1:9">
      <c r="A13803" s="22" t="str">
        <f>HYPERLINK("https://app.vivvix.com/360/KMI/IntelliDrive/ApplUI/Pages/CreativePages/CustomReportCreativeDetail.aspx?App=23&amp;ReportView=4&amp;Qid=1711279&amp;Row=13795&amp;Col=1","No Title Assigned - #15273873521")</f>
        <v/>
      </c>
      <c r="B13803" s="0" t="s">
        <v>18470</v>
      </c>
      <c r="E13803" s="0" t="inlineStr">
        <is>
          <t xml:space="preserve">Mazda</t>
        </is>
      </c>
      <c r="F13803" s="0" t="inlineStr">
        <is>
          <t xml:space="preserve">Mazda</t>
        </is>
      </c>
      <c r="G13803" s="0" t="s">
        <v>171</v>
      </c>
      <c r="H13803" s="5">
        <v>1.787400</v>
      </c>
    </row>
    <row r="13804" spans="1:9">
      <c r="A13804" s="22" t="str">
        <f>HYPERLINK("https://app.vivvix.com/360/KMI/IntelliDrive/ApplUI/Pages/CreativePages/CustomReportCreativeDetail.aspx?App=23&amp;ReportView=4&amp;Qid=1711279&amp;Row=13796&amp;Col=1","No Title Assigned - #15273873528")</f>
        <v/>
      </c>
      <c r="B13804" s="0" t="s">
        <v>18471</v>
      </c>
      <c r="E13804" s="0" t="inlineStr">
        <is>
          <t xml:space="preserve">Mazda</t>
        </is>
      </c>
      <c r="F13804" s="0" t="inlineStr">
        <is>
          <t xml:space="preserve">Mazda</t>
        </is>
      </c>
      <c r="G13804" s="0" t="s">
        <v>171</v>
      </c>
      <c r="H13804" s="5">
        <v>229.682800</v>
      </c>
    </row>
    <row r="13805" spans="1:9">
      <c r="A13805" s="22" t="str">
        <f>HYPERLINK("https://app.vivvix.com/360/KMI/IntelliDrive/ApplUI/Pages/CreativePages/CustomReportCreativeDetail.aspx?App=23&amp;ReportView=4&amp;Qid=1711279&amp;Row=13797&amp;Col=1","No Title Assigned - #15273873820")</f>
        <v/>
      </c>
      <c r="B13805" s="0" t="s">
        <v>18472</v>
      </c>
      <c r="E13805" s="0" t="inlineStr">
        <is>
          <t xml:space="preserve">Mazda</t>
        </is>
      </c>
      <c r="F13805" s="0" t="inlineStr">
        <is>
          <t xml:space="preserve">Mazda</t>
        </is>
      </c>
      <c r="G13805" s="0" t="s">
        <v>171</v>
      </c>
      <c r="H13805" s="5">
        <v>702.382800</v>
      </c>
    </row>
    <row r="13806" spans="1:9">
      <c r="A13806" s="22" t="str">
        <f>HYPERLINK("https://app.vivvix.com/360/KMI/IntelliDrive/ApplUI/Pages/CreativePages/CustomReportCreativeDetail.aspx?App=23&amp;ReportView=4&amp;Qid=1711279&amp;Row=13798&amp;Col=1","No Title Assigned - #15273874484")</f>
        <v/>
      </c>
      <c r="B13806" s="0" t="s">
        <v>18473</v>
      </c>
      <c r="E13806" s="0" t="inlineStr">
        <is>
          <t xml:space="preserve">Mazda</t>
        </is>
      </c>
      <c r="F13806" s="0" t="inlineStr">
        <is>
          <t xml:space="preserve">Mazda</t>
        </is>
      </c>
      <c r="G13806" s="0" t="s">
        <v>171</v>
      </c>
      <c r="H13806" s="5">
        <v>62.133000</v>
      </c>
    </row>
    <row r="13807" spans="1:9">
      <c r="A13807" s="22" t="str">
        <f>HYPERLINK("https://app.vivvix.com/360/KMI/IntelliDrive/ApplUI/Pages/CreativePages/CustomReportCreativeDetail.aspx?App=23&amp;ReportView=4&amp;Qid=1711279&amp;Row=13799&amp;Col=1","No Title Assigned - #15273874521")</f>
        <v/>
      </c>
      <c r="B13807" s="0" t="s">
        <v>18474</v>
      </c>
      <c r="E13807" s="0" t="inlineStr">
        <is>
          <t xml:space="preserve">Mazda</t>
        </is>
      </c>
      <c r="F13807" s="0" t="inlineStr">
        <is>
          <t xml:space="preserve">Mazda</t>
        </is>
      </c>
      <c r="G13807" s="0" t="s">
        <v>171</v>
      </c>
      <c r="H13807" s="5">
        <v>105.768600</v>
      </c>
    </row>
    <row r="13808" spans="1:9">
      <c r="A13808" s="22" t="str">
        <f>HYPERLINK("https://app.vivvix.com/360/KMI/IntelliDrive/ApplUI/Pages/CreativePages/CustomReportCreativeDetail.aspx?App=23&amp;ReportView=4&amp;Qid=1711279&amp;Row=13800&amp;Col=1","No Title Assigned - #15273874557")</f>
        <v/>
      </c>
      <c r="B13808" s="0" t="s">
        <v>18475</v>
      </c>
      <c r="E13808" s="0" t="inlineStr">
        <is>
          <t xml:space="preserve">Mazda</t>
        </is>
      </c>
      <c r="F13808" s="0" t="inlineStr">
        <is>
          <t xml:space="preserve">Mazda</t>
        </is>
      </c>
      <c r="G13808" s="0" t="s">
        <v>171</v>
      </c>
      <c r="H13808" s="5">
        <v>112619.944500</v>
      </c>
    </row>
    <row r="13809" spans="1:9">
      <c r="A13809" s="22" t="str">
        <f>HYPERLINK("https://app.vivvix.com/360/KMI/IntelliDrive/ApplUI/Pages/CreativePages/CustomReportCreativeDetail.aspx?App=23&amp;ReportView=4&amp;Qid=1711279&amp;Row=13801&amp;Col=1","No Title Assigned - #15273874557")</f>
        <v/>
      </c>
      <c r="B13809" s="0" t="s">
        <v>18475</v>
      </c>
      <c r="E13809" s="0" t="inlineStr">
        <is>
          <t xml:space="preserve">Mazda</t>
        </is>
      </c>
      <c r="F13809" s="0" t="inlineStr">
        <is>
          <t xml:space="preserve">Mazda</t>
        </is>
      </c>
      <c r="G13809" s="0" t="s">
        <v>171</v>
      </c>
      <c r="H13809" s="5">
        <v>23108.532700</v>
      </c>
    </row>
    <row r="13810" spans="1:9">
      <c r="A13810" s="22" t="str">
        <f>HYPERLINK("https://app.vivvix.com/360/KMI/IntelliDrive/ApplUI/Pages/CreativePages/CustomReportCreativeDetail.aspx?App=23&amp;ReportView=4&amp;Qid=1711279&amp;Row=13802&amp;Col=1","No Title Assigned - #15273874851")</f>
        <v/>
      </c>
      <c r="B13810" s="0" t="s">
        <v>18476</v>
      </c>
      <c r="E13810" s="0" t="inlineStr">
        <is>
          <t xml:space="preserve">Mazda</t>
        </is>
      </c>
      <c r="F13810" s="0" t="inlineStr">
        <is>
          <t xml:space="preserve">Mazda</t>
        </is>
      </c>
      <c r="G13810" s="0" t="s">
        <v>171</v>
      </c>
      <c r="H13810" s="5">
        <v>904.947800</v>
      </c>
    </row>
    <row r="13811" spans="1:9">
      <c r="A13811" s="22" t="str">
        <f>HYPERLINK("https://app.vivvix.com/360/KMI/IntelliDrive/ApplUI/Pages/CreativePages/CustomReportCreativeDetail.aspx?App=23&amp;ReportView=4&amp;Qid=1711279&amp;Row=13803&amp;Col=1","No Title Assigned - #15273875176")</f>
        <v/>
      </c>
      <c r="B13811" s="0" t="s">
        <v>18477</v>
      </c>
      <c r="E13811" s="0" t="inlineStr">
        <is>
          <t xml:space="preserve">Mazda</t>
        </is>
      </c>
      <c r="F13811" s="0" t="inlineStr">
        <is>
          <t xml:space="preserve">Mazda</t>
        </is>
      </c>
      <c r="G13811" s="0" t="s">
        <v>171</v>
      </c>
      <c r="H13811" s="5">
        <v>157.581100</v>
      </c>
    </row>
    <row r="13812" spans="1:9">
      <c r="A13812" s="22" t="str">
        <f>HYPERLINK("https://app.vivvix.com/360/KMI/IntelliDrive/ApplUI/Pages/CreativePages/CustomReportCreativeDetail.aspx?App=23&amp;ReportView=4&amp;Qid=1711279&amp;Row=13804&amp;Col=1","No Title Assigned - #15273876251")</f>
        <v/>
      </c>
      <c r="B13812" s="0" t="s">
        <v>18478</v>
      </c>
      <c r="E13812" s="0" t="inlineStr">
        <is>
          <t xml:space="preserve">Mazda</t>
        </is>
      </c>
      <c r="F13812" s="0" t="inlineStr">
        <is>
          <t xml:space="preserve">Mazda</t>
        </is>
      </c>
      <c r="G13812" s="0" t="s">
        <v>171</v>
      </c>
      <c r="H13812" s="5">
        <v>678.981100</v>
      </c>
    </row>
    <row r="13813" spans="1:9">
      <c r="A13813" s="22" t="str">
        <f>HYPERLINK("https://app.vivvix.com/360/KMI/IntelliDrive/ApplUI/Pages/CreativePages/CustomReportCreativeDetail.aspx?App=23&amp;ReportView=4&amp;Qid=1711279&amp;Row=13805&amp;Col=1","No Title Assigned - #15273876282")</f>
        <v/>
      </c>
      <c r="B13813" s="0" t="s">
        <v>18479</v>
      </c>
      <c r="E13813" s="0" t="inlineStr">
        <is>
          <t xml:space="preserve">Mazda</t>
        </is>
      </c>
      <c r="F13813" s="0" t="inlineStr">
        <is>
          <t xml:space="preserve">Mazda</t>
        </is>
      </c>
      <c r="G13813" s="0" t="s">
        <v>171</v>
      </c>
      <c r="H13813" s="5">
        <v>891.718900</v>
      </c>
    </row>
    <row r="13814" spans="1:9">
      <c r="A13814" s="22" t="str">
        <f>HYPERLINK("https://app.vivvix.com/360/KMI/IntelliDrive/ApplUI/Pages/CreativePages/CustomReportCreativeDetail.aspx?App=23&amp;ReportView=4&amp;Qid=1711279&amp;Row=13806&amp;Col=1","No Title Assigned - #15273876367")</f>
        <v/>
      </c>
      <c r="B13814" s="0" t="s">
        <v>18480</v>
      </c>
      <c r="E13814" s="0" t="inlineStr">
        <is>
          <t xml:space="preserve">Mazda</t>
        </is>
      </c>
      <c r="F13814" s="0" t="inlineStr">
        <is>
          <t xml:space="preserve">Mazda</t>
        </is>
      </c>
      <c r="G13814" s="0" t="s">
        <v>171</v>
      </c>
      <c r="H13814" s="5">
        <v>469.376700</v>
      </c>
    </row>
    <row r="13815" spans="1:9">
      <c r="A13815" s="22" t="str">
        <f>HYPERLINK("https://app.vivvix.com/360/KMI/IntelliDrive/ApplUI/Pages/CreativePages/CustomReportCreativeDetail.aspx?App=23&amp;ReportView=4&amp;Qid=1711279&amp;Row=13807&amp;Col=1","No Title Assigned - #15273876380")</f>
        <v/>
      </c>
      <c r="B13815" s="0" t="s">
        <v>18481</v>
      </c>
      <c r="E13815" s="0" t="inlineStr">
        <is>
          <t xml:space="preserve">Mazda</t>
        </is>
      </c>
      <c r="F13815" s="0" t="inlineStr">
        <is>
          <t xml:space="preserve">Mazda</t>
        </is>
      </c>
      <c r="G13815" s="0" t="s">
        <v>171</v>
      </c>
      <c r="H13815" s="5">
        <v>36.291100</v>
      </c>
    </row>
    <row r="13816" spans="1:9">
      <c r="A13816" s="22" t="str">
        <f>HYPERLINK("https://app.vivvix.com/360/KMI/IntelliDrive/ApplUI/Pages/CreativePages/CustomReportCreativeDetail.aspx?App=23&amp;ReportView=4&amp;Qid=1711279&amp;Row=13808&amp;Col=1","No Title Assigned - #15273876613")</f>
        <v/>
      </c>
      <c r="B13816" s="0" t="s">
        <v>18482</v>
      </c>
      <c r="E13816" s="0" t="inlineStr">
        <is>
          <t xml:space="preserve">Mazda</t>
        </is>
      </c>
      <c r="F13816" s="0" t="inlineStr">
        <is>
          <t xml:space="preserve">Mazda</t>
        </is>
      </c>
      <c r="G13816" s="0" t="s">
        <v>171</v>
      </c>
      <c r="H13816" s="5">
        <v>31.584500</v>
      </c>
    </row>
    <row r="13817" spans="1:9">
      <c r="A13817" s="22" t="str">
        <f>HYPERLINK("https://app.vivvix.com/360/KMI/IntelliDrive/ApplUI/Pages/CreativePages/CustomReportCreativeDetail.aspx?App=23&amp;ReportView=4&amp;Qid=1711279&amp;Row=13809&amp;Col=1","No Title Assigned - #15273876634")</f>
        <v/>
      </c>
      <c r="B13817" s="0" t="s">
        <v>18483</v>
      </c>
      <c r="E13817" s="0" t="inlineStr">
        <is>
          <t xml:space="preserve">Mazda</t>
        </is>
      </c>
      <c r="F13817" s="0" t="inlineStr">
        <is>
          <t xml:space="preserve">Mazda</t>
        </is>
      </c>
      <c r="G13817" s="0" t="s">
        <v>171</v>
      </c>
      <c r="H13817" s="5">
        <v>87.245900</v>
      </c>
    </row>
    <row r="13818" spans="1:9">
      <c r="A13818" s="22" t="str">
        <f>HYPERLINK("https://app.vivvix.com/360/KMI/IntelliDrive/ApplUI/Pages/CreativePages/CustomReportCreativeDetail.aspx?App=23&amp;ReportView=4&amp;Qid=1711279&amp;Row=13810&amp;Col=1","No Title Assigned - #15273876635")</f>
        <v/>
      </c>
      <c r="B13818" s="0" t="s">
        <v>18484</v>
      </c>
      <c r="E13818" s="0" t="inlineStr">
        <is>
          <t xml:space="preserve">Mazda</t>
        </is>
      </c>
      <c r="F13818" s="0" t="inlineStr">
        <is>
          <t xml:space="preserve">Mazda</t>
        </is>
      </c>
      <c r="G13818" s="0" t="s">
        <v>171</v>
      </c>
      <c r="H13818" s="5">
        <v>87.245900</v>
      </c>
    </row>
    <row r="13819" spans="1:9">
      <c r="A13819" s="22" t="str">
        <f>HYPERLINK("https://app.vivvix.com/360/KMI/IntelliDrive/ApplUI/Pages/CreativePages/CustomReportCreativeDetail.aspx?App=23&amp;ReportView=4&amp;Qid=1711279&amp;Row=13811&amp;Col=1","No Title Assigned - #15273876654")</f>
        <v/>
      </c>
      <c r="B13819" s="0" t="s">
        <v>18485</v>
      </c>
      <c r="E13819" s="0" t="inlineStr">
        <is>
          <t xml:space="preserve">Mazda</t>
        </is>
      </c>
      <c r="F13819" s="0" t="inlineStr">
        <is>
          <t xml:space="preserve">Mazda</t>
        </is>
      </c>
      <c r="G13819" s="0" t="s">
        <v>171</v>
      </c>
      <c r="H13819" s="5">
        <v>26080.060600</v>
      </c>
    </row>
    <row r="13820" spans="1:9">
      <c r="A13820" s="22" t="str">
        <f>HYPERLINK("https://app.vivvix.com/360/KMI/IntelliDrive/ApplUI/Pages/CreativePages/CustomReportCreativeDetail.aspx?App=23&amp;ReportView=4&amp;Qid=1711279&amp;Row=13812&amp;Col=1","No Title Assigned - #15273876654")</f>
        <v/>
      </c>
      <c r="B13820" s="0" t="s">
        <v>18485</v>
      </c>
      <c r="C13820" s="0" t="s">
        <v>18486</v>
      </c>
      <c r="D13820" s="0" t="s">
        <v>18486</v>
      </c>
      <c r="E13820" s="0" t="inlineStr">
        <is>
          <t xml:space="preserve">Mazda</t>
        </is>
      </c>
      <c r="F13820" s="0" t="inlineStr">
        <is>
          <t xml:space="preserve">Mazda</t>
        </is>
      </c>
      <c r="G13820" s="0" t="s">
        <v>171</v>
      </c>
      <c r="H13820" s="5">
        <v>4075.927700</v>
      </c>
    </row>
    <row r="13821" spans="1:9">
      <c r="A13821" s="22" t="str">
        <f>HYPERLINK("https://app.vivvix.com/360/KMI/IntelliDrive/ApplUI/Pages/CreativePages/CustomReportCreativeDetail.aspx?App=23&amp;ReportView=4&amp;Qid=1711279&amp;Row=13813&amp;Col=1","No Title Assigned - #15273876860")</f>
        <v/>
      </c>
      <c r="B13821" s="0" t="s">
        <v>18487</v>
      </c>
      <c r="E13821" s="0" t="inlineStr">
        <is>
          <t xml:space="preserve">Mazda</t>
        </is>
      </c>
      <c r="F13821" s="0" t="inlineStr">
        <is>
          <t xml:space="preserve">Mazda</t>
        </is>
      </c>
      <c r="G13821" s="0" t="s">
        <v>171</v>
      </c>
      <c r="H13821" s="5">
        <v>65.364800</v>
      </c>
    </row>
    <row r="13822" spans="1:9">
      <c r="A13822" s="22" t="str">
        <f>HYPERLINK("https://app.vivvix.com/360/KMI/IntelliDrive/ApplUI/Pages/CreativePages/CustomReportCreativeDetail.aspx?App=23&amp;ReportView=4&amp;Qid=1711279&amp;Row=13814&amp;Col=1","No Title Assigned - #15273877030")</f>
        <v/>
      </c>
      <c r="B13822" s="0" t="s">
        <v>18488</v>
      </c>
      <c r="E13822" s="0" t="inlineStr">
        <is>
          <t xml:space="preserve">Mazda</t>
        </is>
      </c>
      <c r="F13822" s="0" t="inlineStr">
        <is>
          <t xml:space="preserve">Mazda</t>
        </is>
      </c>
      <c r="G13822" s="0" t="s">
        <v>171</v>
      </c>
      <c r="H13822" s="5">
        <v>928.552600</v>
      </c>
    </row>
    <row r="13823" spans="1:9">
      <c r="A13823" s="22" t="str">
        <f>HYPERLINK("https://app.vivvix.com/360/KMI/IntelliDrive/ApplUI/Pages/CreativePages/CustomReportCreativeDetail.aspx?App=23&amp;ReportView=4&amp;Qid=1711279&amp;Row=13815&amp;Col=1","No Title Assigned - #15273877563")</f>
        <v/>
      </c>
      <c r="B13823" s="0" t="s">
        <v>18489</v>
      </c>
      <c r="E13823" s="0" t="inlineStr">
        <is>
          <t xml:space="preserve">Mazda</t>
        </is>
      </c>
      <c r="F13823" s="0" t="inlineStr">
        <is>
          <t xml:space="preserve">Mazda</t>
        </is>
      </c>
      <c r="G13823" s="0" t="s">
        <v>171</v>
      </c>
      <c r="H13823" s="5">
        <v>727.100500</v>
      </c>
    </row>
    <row r="13824" spans="1:9">
      <c r="A13824" s="22" t="str">
        <f>HYPERLINK("https://app.vivvix.com/360/KMI/IntelliDrive/ApplUI/Pages/CreativePages/CustomReportCreativeDetail.aspx?App=23&amp;ReportView=4&amp;Qid=1711279&amp;Row=13816&amp;Col=1","No Title Assigned - #15273878449")</f>
        <v/>
      </c>
      <c r="B13824" s="0" t="s">
        <v>18490</v>
      </c>
      <c r="C13824" s="0" t="s">
        <v>18491</v>
      </c>
      <c r="D13824" s="0" t="s">
        <v>16691</v>
      </c>
      <c r="E13824" s="0" t="inlineStr">
        <is>
          <t xml:space="preserve">Mazda</t>
        </is>
      </c>
      <c r="F13824" s="0" t="s">
        <v>28</v>
      </c>
      <c r="G13824" s="0" t="s">
        <v>29</v>
      </c>
      <c r="H13824" s="5">
        <v>34.073200</v>
      </c>
    </row>
    <row r="13825" spans="1:9">
      <c r="A13825" s="22" t="str">
        <f>HYPERLINK("https://app.vivvix.com/360/KMI/IntelliDrive/ApplUI/Pages/CreativePages/CustomReportCreativeDetail.aspx?App=23&amp;ReportView=4&amp;Qid=1711279&amp;Row=13817&amp;Col=1","No Title Assigned - #15273878540")</f>
        <v/>
      </c>
      <c r="B13825" s="0" t="s">
        <v>18492</v>
      </c>
      <c r="E13825" s="0" t="inlineStr">
        <is>
          <t xml:space="preserve">Mazda</t>
        </is>
      </c>
      <c r="F13825" s="0" t="inlineStr">
        <is>
          <t xml:space="preserve">Mazda</t>
        </is>
      </c>
      <c r="G13825" s="0" t="s">
        <v>171</v>
      </c>
      <c r="H13825" s="5">
        <v>1.787400</v>
      </c>
    </row>
    <row r="13826" spans="1:9">
      <c r="A13826" s="22" t="str">
        <f>HYPERLINK("https://app.vivvix.com/360/KMI/IntelliDrive/ApplUI/Pages/CreativePages/CustomReportCreativeDetail.aspx?App=23&amp;ReportView=4&amp;Qid=1711279&amp;Row=13818&amp;Col=1","No Title Assigned - #15273878557")</f>
        <v/>
      </c>
      <c r="B13826" s="0" t="s">
        <v>18493</v>
      </c>
      <c r="E13826" s="0" t="inlineStr">
        <is>
          <t xml:space="preserve">Mazda</t>
        </is>
      </c>
      <c r="F13826" s="0" t="inlineStr">
        <is>
          <t xml:space="preserve">Mazda</t>
        </is>
      </c>
      <c r="G13826" s="0" t="s">
        <v>171</v>
      </c>
      <c r="H13826" s="5">
        <v>35.703900</v>
      </c>
    </row>
    <row r="13827" spans="1:9">
      <c r="A13827" s="22" t="str">
        <f>HYPERLINK("https://app.vivvix.com/360/KMI/IntelliDrive/ApplUI/Pages/CreativePages/CustomReportCreativeDetail.aspx?App=23&amp;ReportView=4&amp;Qid=1711279&amp;Row=13819&amp;Col=1","No Title Assigned - #15273878588")</f>
        <v/>
      </c>
      <c r="B13827" s="0" t="s">
        <v>18494</v>
      </c>
      <c r="E13827" s="0" t="inlineStr">
        <is>
          <t xml:space="preserve">Mazda</t>
        </is>
      </c>
      <c r="F13827" s="0" t="inlineStr">
        <is>
          <t xml:space="preserve">Mazda</t>
        </is>
      </c>
      <c r="G13827" s="0" t="s">
        <v>171</v>
      </c>
      <c r="H13827" s="5">
        <v>5047.093800</v>
      </c>
    </row>
    <row r="13828" spans="1:9">
      <c r="A13828" s="22" t="str">
        <f>HYPERLINK("https://app.vivvix.com/360/KMI/IntelliDrive/ApplUI/Pages/CreativePages/CustomReportCreativeDetail.aspx?App=23&amp;ReportView=4&amp;Qid=1711279&amp;Row=13820&amp;Col=1","No Title Assigned - #15273879076")</f>
        <v/>
      </c>
      <c r="B13828" s="0" t="s">
        <v>18495</v>
      </c>
      <c r="E13828" s="0" t="inlineStr">
        <is>
          <t xml:space="preserve">Mazda</t>
        </is>
      </c>
      <c r="F13828" s="0" t="inlineStr">
        <is>
          <t xml:space="preserve">Mazda</t>
        </is>
      </c>
      <c r="G13828" s="0" t="s">
        <v>171</v>
      </c>
      <c r="H13828" s="5">
        <v>229.228900</v>
      </c>
    </row>
    <row r="13829" spans="1:9">
      <c r="A13829" s="22" t="str">
        <f>HYPERLINK("https://app.vivvix.com/360/KMI/IntelliDrive/ApplUI/Pages/CreativePages/CustomReportCreativeDetail.aspx?App=23&amp;ReportView=4&amp;Qid=1711279&amp;Row=13821&amp;Col=1","No Title Assigned - #15273879503")</f>
        <v/>
      </c>
      <c r="B13829" s="0" t="s">
        <v>18496</v>
      </c>
      <c r="E13829" s="0" t="inlineStr">
        <is>
          <t xml:space="preserve">Mazda</t>
        </is>
      </c>
      <c r="F13829" s="0" t="inlineStr">
        <is>
          <t xml:space="preserve">Mazda</t>
        </is>
      </c>
      <c r="G13829" s="0" t="s">
        <v>171</v>
      </c>
      <c r="H13829" s="5">
        <v>86.601800</v>
      </c>
    </row>
    <row r="13830" spans="1:9">
      <c r="A13830" s="22" t="str">
        <f>HYPERLINK("https://app.vivvix.com/360/KMI/IntelliDrive/ApplUI/Pages/CreativePages/CustomReportCreativeDetail.aspx?App=23&amp;ReportView=4&amp;Qid=1711279&amp;Row=13822&amp;Col=1","No Title Assigned - #15273880386")</f>
        <v/>
      </c>
      <c r="B13830" s="0" t="s">
        <v>18497</v>
      </c>
      <c r="C13830" s="0" t="s">
        <v>18498</v>
      </c>
      <c r="D13830" s="0" t="s">
        <v>18498</v>
      </c>
      <c r="E13830" s="0" t="inlineStr">
        <is>
          <t xml:space="preserve">Mazda</t>
        </is>
      </c>
      <c r="F13830" s="0" t="s">
        <v>13</v>
      </c>
      <c r="G13830" s="0" t="s">
        <v>49</v>
      </c>
      <c r="H13830" s="5">
        <v>117.225200</v>
      </c>
    </row>
    <row r="13831" spans="1:9">
      <c r="A13831" s="22" t="str">
        <f>HYPERLINK("https://app.vivvix.com/360/KMI/IntelliDrive/ApplUI/Pages/CreativePages/CustomReportCreativeDetail.aspx?App=23&amp;ReportView=4&amp;Qid=1711279&amp;Row=13823&amp;Col=1","No Title Assigned - #15273882015")</f>
        <v/>
      </c>
      <c r="B13831" s="0" t="s">
        <v>18499</v>
      </c>
      <c r="C13831" s="0" t="s">
        <v>18500</v>
      </c>
      <c r="D13831" s="0" t="s">
        <v>4335</v>
      </c>
      <c r="E13831" s="0" t="inlineStr">
        <is>
          <t xml:space="preserve">Mazda</t>
        </is>
      </c>
      <c r="F13831" s="0" t="s">
        <v>13</v>
      </c>
      <c r="G13831" s="0" t="s">
        <v>49</v>
      </c>
      <c r="H13831" s="5">
        <v>41.265900</v>
      </c>
    </row>
    <row r="13832" spans="1:9">
      <c r="A13832" s="22" t="str">
        <f>HYPERLINK("https://app.vivvix.com/360/KMI/IntelliDrive/ApplUI/Pages/CreativePages/CustomReportCreativeDetail.aspx?App=23&amp;ReportView=4&amp;Qid=1711279&amp;Row=13824&amp;Col=1","No Title Assigned - #15273882106")</f>
        <v/>
      </c>
      <c r="B13832" s="0" t="s">
        <v>18501</v>
      </c>
      <c r="E13832" s="0" t="inlineStr">
        <is>
          <t xml:space="preserve">Mazda</t>
        </is>
      </c>
      <c r="F13832" s="0" t="s">
        <v>13</v>
      </c>
      <c r="G13832" s="0" t="s">
        <v>49</v>
      </c>
      <c r="H13832" s="5">
        <v>120.582100</v>
      </c>
    </row>
    <row r="13833" spans="1:9">
      <c r="A13833" s="22" t="str">
        <f>HYPERLINK("https://app.vivvix.com/360/KMI/IntelliDrive/ApplUI/Pages/CreativePages/CustomReportCreativeDetail.aspx?App=23&amp;ReportView=4&amp;Qid=1711279&amp;Row=13825&amp;Col=1","No Title Assigned - #15273882152")</f>
        <v/>
      </c>
      <c r="B13833" s="0" t="s">
        <v>18502</v>
      </c>
      <c r="E13833" s="0" t="inlineStr">
        <is>
          <t xml:space="preserve">Mazda</t>
        </is>
      </c>
      <c r="F13833" s="0" t="s">
        <v>13</v>
      </c>
      <c r="G13833" s="0" t="s">
        <v>49</v>
      </c>
      <c r="H13833" s="5">
        <v>755.383000</v>
      </c>
    </row>
    <row r="13834" spans="1:9">
      <c r="A13834" s="22" t="str">
        <f>HYPERLINK("https://app.vivvix.com/360/KMI/IntelliDrive/ApplUI/Pages/CreativePages/CustomReportCreativeDetail.aspx?App=23&amp;ReportView=4&amp;Qid=1711279&amp;Row=13826&amp;Col=1","No Title Assigned - #15273882196")</f>
        <v/>
      </c>
      <c r="B13834" s="0" t="s">
        <v>18503</v>
      </c>
      <c r="C13834" s="0" t="s">
        <v>18504</v>
      </c>
      <c r="D13834" s="0" t="s">
        <v>4335</v>
      </c>
      <c r="E13834" s="0" t="inlineStr">
        <is>
          <t xml:space="preserve">Mazda</t>
        </is>
      </c>
      <c r="F13834" s="0" t="s">
        <v>13</v>
      </c>
      <c r="G13834" s="0" t="s">
        <v>49</v>
      </c>
      <c r="H13834" s="5">
        <v>93.187300</v>
      </c>
    </row>
    <row r="13835" spans="1:9">
      <c r="A13835" s="22" t="str">
        <f>HYPERLINK("https://app.vivvix.com/360/KMI/IntelliDrive/ApplUI/Pages/CreativePages/CustomReportCreativeDetail.aspx?App=23&amp;ReportView=4&amp;Qid=1711279&amp;Row=13827&amp;Col=1","No Title Assigned - #15273882262")</f>
        <v/>
      </c>
      <c r="B13835" s="0" t="s">
        <v>18505</v>
      </c>
      <c r="C13835" s="0" t="s">
        <v>17856</v>
      </c>
      <c r="D13835" s="0" t="s">
        <v>17856</v>
      </c>
      <c r="E13835" s="0" t="inlineStr">
        <is>
          <t xml:space="preserve">Mazda</t>
        </is>
      </c>
      <c r="F13835" s="0" t="s">
        <v>13</v>
      </c>
      <c r="G13835" s="0" t="s">
        <v>49</v>
      </c>
      <c r="H13835" s="5">
        <v>11459.146500</v>
      </c>
    </row>
    <row r="13836" spans="1:9">
      <c r="A13836" s="22" t="str">
        <f>HYPERLINK("https://app.vivvix.com/360/KMI/IntelliDrive/ApplUI/Pages/CreativePages/CustomReportCreativeDetail.aspx?App=23&amp;ReportView=4&amp;Qid=1711279&amp;Row=13828&amp;Col=1","No Title Assigned - #15273882262")</f>
        <v/>
      </c>
      <c r="B13836" s="0" t="s">
        <v>18505</v>
      </c>
      <c r="E13836" s="0" t="inlineStr">
        <is>
          <t xml:space="preserve">Mazda</t>
        </is>
      </c>
      <c r="F13836" s="0" t="s">
        <v>13</v>
      </c>
      <c r="G13836" s="0" t="s">
        <v>49</v>
      </c>
      <c r="H13836" s="5">
        <v>72.817500</v>
      </c>
    </row>
    <row r="13837" spans="1:9">
      <c r="A13837" s="22" t="str">
        <f>HYPERLINK("https://app.vivvix.com/360/KMI/IntelliDrive/ApplUI/Pages/CreativePages/CustomReportCreativeDetail.aspx?App=23&amp;ReportView=4&amp;Qid=1711279&amp;Row=13829&amp;Col=1","No Title Assigned - #15273882339")</f>
        <v/>
      </c>
      <c r="B13837" s="0" t="s">
        <v>18506</v>
      </c>
      <c r="C13837" s="0" t="s">
        <v>18507</v>
      </c>
      <c r="D13837" s="0" t="s">
        <v>18507</v>
      </c>
      <c r="E13837" s="0" t="inlineStr">
        <is>
          <t xml:space="preserve">Mazda</t>
        </is>
      </c>
      <c r="F13837" s="0" t="s">
        <v>28</v>
      </c>
      <c r="G13837" s="0" t="s">
        <v>29</v>
      </c>
      <c r="H13837" s="5">
        <v>17.129600</v>
      </c>
    </row>
    <row r="13838" spans="1:9">
      <c r="A13838" s="22" t="str">
        <f>HYPERLINK("https://app.vivvix.com/360/KMI/IntelliDrive/ApplUI/Pages/CreativePages/CustomReportCreativeDetail.aspx?App=23&amp;ReportView=4&amp;Qid=1711279&amp;Row=13830&amp;Col=1","No Title Assigned - #15273882785")</f>
        <v/>
      </c>
      <c r="B13838" s="0" t="s">
        <v>18508</v>
      </c>
      <c r="E13838" s="0" t="inlineStr">
        <is>
          <t xml:space="preserve">Mazda</t>
        </is>
      </c>
      <c r="F13838" s="0" t="s">
        <v>13</v>
      </c>
      <c r="G13838" s="0" t="s">
        <v>49</v>
      </c>
      <c r="H13838" s="5">
        <v>152.752400</v>
      </c>
    </row>
    <row r="13839" spans="1:9">
      <c r="A13839" s="22" t="str">
        <f>HYPERLINK("https://app.vivvix.com/360/KMI/IntelliDrive/ApplUI/Pages/CreativePages/CustomReportCreativeDetail.aspx?App=23&amp;ReportView=4&amp;Qid=1711279&amp;Row=13831&amp;Col=1","No Title Assigned - #15273882964")</f>
        <v/>
      </c>
      <c r="B13839" s="0" t="s">
        <v>18509</v>
      </c>
      <c r="C13839" s="0" t="s">
        <v>18510</v>
      </c>
      <c r="D13839" s="0" t="s">
        <v>18510</v>
      </c>
      <c r="E13839" s="0" t="inlineStr">
        <is>
          <t xml:space="preserve">Mazda</t>
        </is>
      </c>
      <c r="F13839" s="0" t="s">
        <v>13</v>
      </c>
      <c r="G13839" s="0" t="s">
        <v>49</v>
      </c>
      <c r="H13839" s="5">
        <v>156.695800</v>
      </c>
    </row>
    <row r="13840" spans="1:9">
      <c r="A13840" s="22" t="str">
        <f>HYPERLINK("https://app.vivvix.com/360/KMI/IntelliDrive/ApplUI/Pages/CreativePages/CustomReportCreativeDetail.aspx?App=23&amp;ReportView=4&amp;Qid=1711279&amp;Row=13832&amp;Col=1","No Title Assigned - #15273882980")</f>
        <v/>
      </c>
      <c r="B13840" s="0" t="s">
        <v>18511</v>
      </c>
      <c r="C13840" s="0" t="s">
        <v>18512</v>
      </c>
      <c r="D13840" s="0" t="s">
        <v>18512</v>
      </c>
      <c r="E13840" s="0" t="inlineStr">
        <is>
          <t xml:space="preserve">Mazda</t>
        </is>
      </c>
      <c r="F13840" s="0" t="s">
        <v>13</v>
      </c>
      <c r="G13840" s="0" t="s">
        <v>49</v>
      </c>
      <c r="H13840" s="5">
        <v>75.692600</v>
      </c>
    </row>
    <row r="13841" spans="1:9">
      <c r="A13841" s="22" t="str">
        <f>HYPERLINK("https://app.vivvix.com/360/KMI/IntelliDrive/ApplUI/Pages/CreativePages/CustomReportCreativeDetail.aspx?App=23&amp;ReportView=4&amp;Qid=1711279&amp;Row=13833&amp;Col=1","No Title Assigned - #15273883027")</f>
        <v/>
      </c>
      <c r="B13841" s="0" t="s">
        <v>18513</v>
      </c>
      <c r="C13841" s="0" t="s">
        <v>18514</v>
      </c>
      <c r="D13841" s="0" t="s">
        <v>18514</v>
      </c>
      <c r="E13841" s="0" t="inlineStr">
        <is>
          <t xml:space="preserve">Mazda</t>
        </is>
      </c>
      <c r="F13841" s="0" t="inlineStr">
        <is>
          <t xml:space="preserve">Mazda</t>
        </is>
      </c>
      <c r="G13841" s="0" t="s">
        <v>210</v>
      </c>
      <c r="H13841" s="5">
        <v>3402.768800</v>
      </c>
    </row>
    <row r="13842" spans="1:9">
      <c r="A13842" s="22" t="str">
        <f>HYPERLINK("https://app.vivvix.com/360/KMI/IntelliDrive/ApplUI/Pages/CreativePages/CustomReportCreativeDetail.aspx?App=23&amp;ReportView=4&amp;Qid=1711279&amp;Row=13834&amp;Col=1","No Title Assigned - #15273883169")</f>
        <v/>
      </c>
      <c r="B13842" s="0" t="s">
        <v>18515</v>
      </c>
      <c r="E13842" s="0" t="inlineStr">
        <is>
          <t xml:space="preserve">Mazda</t>
        </is>
      </c>
      <c r="F13842" s="0" t="s">
        <v>13</v>
      </c>
      <c r="G13842" s="0" t="s">
        <v>49</v>
      </c>
      <c r="H13842" s="5">
        <v>682.249100</v>
      </c>
    </row>
    <row r="13843" spans="1:9">
      <c r="A13843" s="22" t="str">
        <f>HYPERLINK("https://app.vivvix.com/360/KMI/IntelliDrive/ApplUI/Pages/CreativePages/CustomReportCreativeDetail.aspx?App=23&amp;ReportView=4&amp;Qid=1711279&amp;Row=13835&amp;Col=1","No Title Assigned - #15273883281")</f>
        <v/>
      </c>
      <c r="B13843" s="0" t="s">
        <v>18516</v>
      </c>
      <c r="C13843" s="0" t="s">
        <v>18517</v>
      </c>
      <c r="D13843" s="0" t="s">
        <v>18517</v>
      </c>
      <c r="E13843" s="0" t="inlineStr">
        <is>
          <t xml:space="preserve">Mazda</t>
        </is>
      </c>
      <c r="F13843" s="0" t="s">
        <v>13</v>
      </c>
      <c r="G13843" s="0" t="s">
        <v>49</v>
      </c>
      <c r="H13843" s="5">
        <v>27.650100</v>
      </c>
    </row>
    <row r="13844" spans="1:9">
      <c r="A13844" s="22" t="str">
        <f>HYPERLINK("https://app.vivvix.com/360/KMI/IntelliDrive/ApplUI/Pages/CreativePages/CustomReportCreativeDetail.aspx?App=23&amp;ReportView=4&amp;Qid=1711279&amp;Row=13836&amp;Col=1","No Title Assigned - #15273883398")</f>
        <v/>
      </c>
      <c r="B13844" s="0" t="s">
        <v>18518</v>
      </c>
      <c r="C13844" s="0" t="s">
        <v>18519</v>
      </c>
      <c r="D13844" s="0" t="s">
        <v>18519</v>
      </c>
      <c r="E13844" s="0" t="inlineStr">
        <is>
          <t xml:space="preserve">Mazda</t>
        </is>
      </c>
      <c r="F13844" s="0" t="inlineStr">
        <is>
          <t xml:space="preserve">Mazda</t>
        </is>
      </c>
      <c r="G13844" s="0" t="s">
        <v>210</v>
      </c>
      <c r="H13844" s="5">
        <v>438.174500</v>
      </c>
    </row>
    <row r="13845" spans="1:9">
      <c r="A13845" s="22" t="str">
        <f>HYPERLINK("https://app.vivvix.com/360/KMI/IntelliDrive/ApplUI/Pages/CreativePages/CustomReportCreativeDetail.aspx?App=23&amp;ReportView=4&amp;Qid=1711279&amp;Row=13837&amp;Col=1","No Title Assigned - #15273883425")</f>
        <v/>
      </c>
      <c r="B13845" s="0" t="s">
        <v>18520</v>
      </c>
      <c r="C13845" s="0" t="s">
        <v>18521</v>
      </c>
      <c r="D13845" s="0" t="s">
        <v>18521</v>
      </c>
      <c r="E13845" s="0" t="inlineStr">
        <is>
          <t xml:space="preserve">Mazda</t>
        </is>
      </c>
      <c r="F13845" s="0" t="s">
        <v>13</v>
      </c>
      <c r="G13845" s="0" t="s">
        <v>49</v>
      </c>
      <c r="H13845" s="5">
        <v>68.577300</v>
      </c>
    </row>
    <row r="13846" spans="1:9">
      <c r="A13846" s="22" t="str">
        <f>HYPERLINK("https://app.vivvix.com/360/KMI/IntelliDrive/ApplUI/Pages/CreativePages/CustomReportCreativeDetail.aspx?App=23&amp;ReportView=4&amp;Qid=1711279&amp;Row=13838&amp;Col=1","No Title Assigned - #15273883487")</f>
        <v/>
      </c>
      <c r="B13846" s="0" t="s">
        <v>18522</v>
      </c>
      <c r="C13846" s="0" t="s">
        <v>18523</v>
      </c>
      <c r="D13846" s="0" t="s">
        <v>18523</v>
      </c>
      <c r="E13846" s="0" t="inlineStr">
        <is>
          <t xml:space="preserve">Mazda</t>
        </is>
      </c>
      <c r="F13846" s="0" t="inlineStr">
        <is>
          <t xml:space="preserve">Mazda</t>
        </is>
      </c>
      <c r="G13846" s="0" t="s">
        <v>210</v>
      </c>
      <c r="H13846" s="5">
        <v>924.707300</v>
      </c>
    </row>
    <row r="13847" spans="1:9">
      <c r="A13847" s="22" t="str">
        <f>HYPERLINK("https://app.vivvix.com/360/KMI/IntelliDrive/ApplUI/Pages/CreativePages/CustomReportCreativeDetail.aspx?App=23&amp;ReportView=4&amp;Qid=1711279&amp;Row=13839&amp;Col=1","No Title Assigned - #15273883488")</f>
        <v/>
      </c>
      <c r="B13847" s="0" t="s">
        <v>18524</v>
      </c>
      <c r="E13847" s="0" t="inlineStr">
        <is>
          <t xml:space="preserve">Mazda</t>
        </is>
      </c>
      <c r="F13847" s="0" t="s">
        <v>13</v>
      </c>
      <c r="G13847" s="0" t="s">
        <v>49</v>
      </c>
      <c r="H13847" s="5">
        <v>402.380000</v>
      </c>
    </row>
    <row r="13848" spans="1:9">
      <c r="A13848" s="22" t="str">
        <f>HYPERLINK("https://app.vivvix.com/360/KMI/IntelliDrive/ApplUI/Pages/CreativePages/CustomReportCreativeDetail.aspx?App=23&amp;ReportView=4&amp;Qid=1711279&amp;Row=13840&amp;Col=1","No Title Assigned - #15273883539")</f>
        <v/>
      </c>
      <c r="B13848" s="0" t="s">
        <v>18525</v>
      </c>
      <c r="C13848" s="0" t="s">
        <v>18526</v>
      </c>
      <c r="D13848" s="0" t="s">
        <v>18526</v>
      </c>
      <c r="E13848" s="0" t="inlineStr">
        <is>
          <t xml:space="preserve">Mazda</t>
        </is>
      </c>
      <c r="F13848" s="0" t="s">
        <v>13</v>
      </c>
      <c r="G13848" s="0" t="s">
        <v>49</v>
      </c>
      <c r="H13848" s="5">
        <v>155.350000</v>
      </c>
    </row>
    <row r="13849" spans="1:9">
      <c r="A13849" s="22" t="str">
        <f>HYPERLINK("https://app.vivvix.com/360/KMI/IntelliDrive/ApplUI/Pages/CreativePages/CustomReportCreativeDetail.aspx?App=23&amp;ReportView=4&amp;Qid=1711279&amp;Row=13841&amp;Col=1","No Title Assigned - #15273883698")</f>
        <v/>
      </c>
      <c r="B13849" s="0" t="s">
        <v>18527</v>
      </c>
      <c r="C13849" s="0" t="s">
        <v>18528</v>
      </c>
      <c r="D13849" s="0" t="s">
        <v>18528</v>
      </c>
      <c r="E13849" s="0" t="inlineStr">
        <is>
          <t xml:space="preserve">Mazda</t>
        </is>
      </c>
      <c r="F13849" s="0" t="s">
        <v>13</v>
      </c>
      <c r="G13849" s="0" t="s">
        <v>49</v>
      </c>
      <c r="H13849" s="5">
        <v>5699.262600</v>
      </c>
    </row>
    <row r="13850" spans="1:9">
      <c r="A13850" s="22" t="str">
        <f>HYPERLINK("https://app.vivvix.com/360/KMI/IntelliDrive/ApplUI/Pages/CreativePages/CustomReportCreativeDetail.aspx?App=23&amp;ReportView=4&amp;Qid=1711279&amp;Row=13842&amp;Col=1","No Title Assigned - #15273883794")</f>
        <v/>
      </c>
      <c r="B13850" s="0" t="s">
        <v>18529</v>
      </c>
      <c r="C13850" s="0" t="s">
        <v>18530</v>
      </c>
      <c r="D13850" s="0" t="s">
        <v>5013</v>
      </c>
      <c r="E13850" s="0" t="inlineStr">
        <is>
          <t xml:space="preserve">Mazda</t>
        </is>
      </c>
      <c r="F13850" s="0" t="s">
        <v>13</v>
      </c>
      <c r="G13850" s="0" t="s">
        <v>49</v>
      </c>
      <c r="H13850" s="5">
        <v>38.345800</v>
      </c>
    </row>
    <row r="13851" spans="1:9">
      <c r="A13851" s="22" t="str">
        <f>HYPERLINK("https://app.vivvix.com/360/KMI/IntelliDrive/ApplUI/Pages/CreativePages/CustomReportCreativeDetail.aspx?App=23&amp;ReportView=4&amp;Qid=1711279&amp;Row=13843&amp;Col=1","No Title Assigned - #15273883889")</f>
        <v/>
      </c>
      <c r="B13851" s="0" t="s">
        <v>18531</v>
      </c>
      <c r="C13851" s="0" t="s">
        <v>18532</v>
      </c>
      <c r="D13851" s="0" t="s">
        <v>11803</v>
      </c>
      <c r="E13851" s="0" t="inlineStr">
        <is>
          <t xml:space="preserve">Mazda</t>
        </is>
      </c>
      <c r="F13851" s="0" t="s">
        <v>13</v>
      </c>
      <c r="G13851" s="0" t="s">
        <v>49</v>
      </c>
      <c r="H13851" s="5">
        <v>255.737400</v>
      </c>
    </row>
    <row r="13852" spans="1:9">
      <c r="A13852" s="22" t="str">
        <f>HYPERLINK("https://app.vivvix.com/360/KMI/IntelliDrive/ApplUI/Pages/CreativePages/CustomReportCreativeDetail.aspx?App=23&amp;ReportView=4&amp;Qid=1711279&amp;Row=13844&amp;Col=1","No Title Assigned - #15273884003")</f>
        <v/>
      </c>
      <c r="B13852" s="0" t="s">
        <v>18533</v>
      </c>
      <c r="C13852" s="0" t="s">
        <v>18534</v>
      </c>
      <c r="D13852" s="0" t="s">
        <v>18534</v>
      </c>
      <c r="E13852" s="0" t="inlineStr">
        <is>
          <t xml:space="preserve">Mazda</t>
        </is>
      </c>
      <c r="F13852" s="0" t="s">
        <v>13</v>
      </c>
      <c r="G13852" s="0" t="s">
        <v>49</v>
      </c>
      <c r="H13852" s="5">
        <v>8.321800</v>
      </c>
    </row>
    <row r="13853" spans="1:9">
      <c r="A13853" s="22" t="str">
        <f>HYPERLINK("https://app.vivvix.com/360/KMI/IntelliDrive/ApplUI/Pages/CreativePages/CustomReportCreativeDetail.aspx?App=23&amp;ReportView=4&amp;Qid=1711279&amp;Row=13845&amp;Col=1","No Title Assigned - #15273884133")</f>
        <v/>
      </c>
      <c r="B13853" s="0" t="s">
        <v>18535</v>
      </c>
      <c r="C13853" s="0" t="s">
        <v>18536</v>
      </c>
      <c r="D13853" s="0" t="s">
        <v>18536</v>
      </c>
      <c r="E13853" s="0" t="inlineStr">
        <is>
          <t xml:space="preserve">Mazda</t>
        </is>
      </c>
      <c r="F13853" s="0" t="s">
        <v>28</v>
      </c>
      <c r="G13853" s="0" t="s">
        <v>29</v>
      </c>
      <c r="H13853" s="5">
        <v>281.617100</v>
      </c>
    </row>
    <row r="13854" spans="1:9">
      <c r="A13854" s="22" t="str">
        <f>HYPERLINK("https://app.vivvix.com/360/KMI/IntelliDrive/ApplUI/Pages/CreativePages/CustomReportCreativeDetail.aspx?App=23&amp;ReportView=4&amp;Qid=1711279&amp;Row=13846&amp;Col=1","No Title Assigned - #15273884189")</f>
        <v/>
      </c>
      <c r="B13854" s="0" t="s">
        <v>18537</v>
      </c>
      <c r="C13854" s="0" t="s">
        <v>18538</v>
      </c>
      <c r="D13854" s="0" t="s">
        <v>11803</v>
      </c>
      <c r="E13854" s="0" t="inlineStr">
        <is>
          <t xml:space="preserve">Mazda</t>
        </is>
      </c>
      <c r="F13854" s="0" t="s">
        <v>13</v>
      </c>
      <c r="G13854" s="0" t="s">
        <v>49</v>
      </c>
      <c r="H13854" s="5">
        <v>118.191700</v>
      </c>
    </row>
    <row r="13855" spans="1:9">
      <c r="A13855" s="22" t="str">
        <f>HYPERLINK("https://app.vivvix.com/360/KMI/IntelliDrive/ApplUI/Pages/CreativePages/CustomReportCreativeDetail.aspx?App=23&amp;ReportView=4&amp;Qid=1711279&amp;Row=13847&amp;Col=1","No Title Assigned - #15273884344")</f>
        <v/>
      </c>
      <c r="B13855" s="0" t="s">
        <v>18539</v>
      </c>
      <c r="C13855" s="0" t="s">
        <v>18540</v>
      </c>
      <c r="D13855" s="0" t="s">
        <v>4335</v>
      </c>
      <c r="E13855" s="0" t="inlineStr">
        <is>
          <t xml:space="preserve">Mazda</t>
        </is>
      </c>
      <c r="F13855" s="0" t="s">
        <v>13</v>
      </c>
      <c r="G13855" s="0" t="s">
        <v>49</v>
      </c>
      <c r="H13855" s="5">
        <v>50.911100</v>
      </c>
    </row>
    <row r="13856" spans="1:9">
      <c r="A13856" s="22" t="str">
        <f>HYPERLINK("https://app.vivvix.com/360/KMI/IntelliDrive/ApplUI/Pages/CreativePages/CustomReportCreativeDetail.aspx?App=23&amp;ReportView=4&amp;Qid=1711279&amp;Row=13848&amp;Col=1","No Title Assigned - #15273884468")</f>
        <v/>
      </c>
      <c r="B13856" s="0" t="s">
        <v>18541</v>
      </c>
      <c r="C13856" s="0" t="s">
        <v>18542</v>
      </c>
      <c r="D13856" s="0" t="s">
        <v>18542</v>
      </c>
      <c r="E13856" s="0" t="inlineStr">
        <is>
          <t xml:space="preserve">Mazda</t>
        </is>
      </c>
      <c r="F13856" s="0" t="s">
        <v>13</v>
      </c>
      <c r="G13856" s="0" t="s">
        <v>49</v>
      </c>
      <c r="H13856" s="5">
        <v>165.263600</v>
      </c>
    </row>
    <row r="13857" spans="1:9">
      <c r="A13857" s="22" t="str">
        <f>HYPERLINK("https://app.vivvix.com/360/KMI/IntelliDrive/ApplUI/Pages/CreativePages/CustomReportCreativeDetail.aspx?App=23&amp;ReportView=4&amp;Qid=1711279&amp;Row=13849&amp;Col=1","No Title Assigned - #15273884490")</f>
        <v/>
      </c>
      <c r="B13857" s="0" t="s">
        <v>18543</v>
      </c>
      <c r="E13857" s="0" t="inlineStr">
        <is>
          <t xml:space="preserve">Mazda</t>
        </is>
      </c>
      <c r="F13857" s="0" t="s">
        <v>13</v>
      </c>
      <c r="G13857" s="0" t="s">
        <v>49</v>
      </c>
      <c r="H13857" s="5">
        <v>303.809400</v>
      </c>
    </row>
    <row r="13858" spans="1:9">
      <c r="A13858" s="22" t="str">
        <f>HYPERLINK("https://app.vivvix.com/360/KMI/IntelliDrive/ApplUI/Pages/CreativePages/CustomReportCreativeDetail.aspx?App=23&amp;ReportView=4&amp;Qid=1711279&amp;Row=13850&amp;Col=1","No Title Assigned - #15273884572")</f>
        <v/>
      </c>
      <c r="B13858" s="0" t="s">
        <v>18544</v>
      </c>
      <c r="E13858" s="0" t="inlineStr">
        <is>
          <t xml:space="preserve">Mazda</t>
        </is>
      </c>
      <c r="F13858" s="0" t="s">
        <v>13</v>
      </c>
      <c r="G13858" s="0" t="s">
        <v>49</v>
      </c>
      <c r="H13858" s="5">
        <v>701.399100</v>
      </c>
    </row>
    <row r="13859" spans="1:9">
      <c r="A13859" s="22" t="str">
        <f>HYPERLINK("https://app.vivvix.com/360/KMI/IntelliDrive/ApplUI/Pages/CreativePages/CustomReportCreativeDetail.aspx?App=23&amp;ReportView=4&amp;Qid=1711279&amp;Row=13851&amp;Col=1","No Title Assigned - #15273884670")</f>
        <v/>
      </c>
      <c r="B13859" s="0" t="s">
        <v>18545</v>
      </c>
      <c r="E13859" s="0" t="inlineStr">
        <is>
          <t xml:space="preserve">Mazda</t>
        </is>
      </c>
      <c r="F13859" s="0" t="inlineStr">
        <is>
          <t xml:space="preserve">Mazda</t>
        </is>
      </c>
      <c r="G13859" s="0" t="s">
        <v>210</v>
      </c>
      <c r="H13859" s="5">
        <v>1479.818300</v>
      </c>
    </row>
    <row r="13860" spans="1:9">
      <c r="A13860" s="22" t="str">
        <f>HYPERLINK("https://app.vivvix.com/360/KMI/IntelliDrive/ApplUI/Pages/CreativePages/CustomReportCreativeDetail.aspx?App=23&amp;ReportView=4&amp;Qid=1711279&amp;Row=13852&amp;Col=1","No Title Assigned - #15273884675")</f>
        <v/>
      </c>
      <c r="B13860" s="0" t="s">
        <v>18546</v>
      </c>
      <c r="C13860" s="0" t="s">
        <v>18547</v>
      </c>
      <c r="D13860" s="0" t="s">
        <v>18547</v>
      </c>
      <c r="E13860" s="0" t="inlineStr">
        <is>
          <t xml:space="preserve">Mazda</t>
        </is>
      </c>
      <c r="F13860" s="0" t="s">
        <v>13</v>
      </c>
      <c r="G13860" s="0" t="s">
        <v>49</v>
      </c>
      <c r="H13860" s="5">
        <v>37.646800</v>
      </c>
    </row>
    <row r="13861" spans="1:9">
      <c r="A13861" s="22" t="str">
        <f>HYPERLINK("https://app.vivvix.com/360/KMI/IntelliDrive/ApplUI/Pages/CreativePages/CustomReportCreativeDetail.aspx?App=23&amp;ReportView=4&amp;Qid=1711279&amp;Row=13853&amp;Col=1","No Title Assigned - #15273885052")</f>
        <v/>
      </c>
      <c r="B13861" s="0" t="s">
        <v>18548</v>
      </c>
      <c r="C13861" s="0" t="s">
        <v>18549</v>
      </c>
      <c r="D13861" s="0" t="s">
        <v>18549</v>
      </c>
      <c r="E13861" s="0" t="inlineStr">
        <is>
          <t xml:space="preserve">Mazda</t>
        </is>
      </c>
      <c r="F13861" s="0" t="s">
        <v>13</v>
      </c>
      <c r="G13861" s="0" t="s">
        <v>49</v>
      </c>
      <c r="H13861" s="5">
        <v>6341.037100</v>
      </c>
    </row>
    <row r="13862" spans="1:9">
      <c r="A13862" s="22" t="str">
        <f>HYPERLINK("https://app.vivvix.com/360/KMI/IntelliDrive/ApplUI/Pages/CreativePages/CustomReportCreativeDetail.aspx?App=23&amp;ReportView=4&amp;Qid=1711279&amp;Row=13854&amp;Col=1","No Title Assigned - #15273885906")</f>
        <v/>
      </c>
      <c r="B13862" s="0" t="s">
        <v>18550</v>
      </c>
      <c r="E13862" s="0" t="inlineStr">
        <is>
          <t xml:space="preserve">Mazda</t>
        </is>
      </c>
      <c r="F13862" s="0" t="inlineStr">
        <is>
          <t xml:space="preserve">Mazda</t>
        </is>
      </c>
      <c r="G13862" s="0" t="s">
        <v>171</v>
      </c>
      <c r="H13862" s="5">
        <v>7451.880400</v>
      </c>
    </row>
    <row r="13863" spans="1:9">
      <c r="A13863" s="22" t="str">
        <f>HYPERLINK("https://app.vivvix.com/360/KMI/IntelliDrive/ApplUI/Pages/CreativePages/CustomReportCreativeDetail.aspx?App=23&amp;ReportView=4&amp;Qid=1711279&amp;Row=13855&amp;Col=1","No Title Assigned - #15273885906")</f>
        <v/>
      </c>
      <c r="B13863" s="0" t="s">
        <v>18550</v>
      </c>
      <c r="E13863" s="0" t="inlineStr">
        <is>
          <t xml:space="preserve">Mazda</t>
        </is>
      </c>
      <c r="F13863" s="0" t="inlineStr">
        <is>
          <t xml:space="preserve">Mazda</t>
        </is>
      </c>
      <c r="G13863" s="0" t="s">
        <v>171</v>
      </c>
      <c r="H13863" s="5">
        <v>2977.172100</v>
      </c>
    </row>
    <row r="13864" spans="1:9">
      <c r="A13864" s="22" t="str">
        <f>HYPERLINK("https://app.vivvix.com/360/KMI/IntelliDrive/ApplUI/Pages/CreativePages/CustomReportCreativeDetail.aspx?App=23&amp;ReportView=4&amp;Qid=1711279&amp;Row=13856&amp;Col=1","No Title Assigned - #15273886478")</f>
        <v/>
      </c>
      <c r="B13864" s="0" t="s">
        <v>18551</v>
      </c>
      <c r="C13864" s="0" t="s">
        <v>18552</v>
      </c>
      <c r="D13864" s="0" t="s">
        <v>4335</v>
      </c>
      <c r="E13864" s="0" t="inlineStr">
        <is>
          <t xml:space="preserve">Mazda</t>
        </is>
      </c>
      <c r="F13864" s="0" t="s">
        <v>13</v>
      </c>
      <c r="G13864" s="0" t="s">
        <v>49</v>
      </c>
      <c r="H13864" s="5">
        <v>533.951100</v>
      </c>
    </row>
    <row r="13865" spans="1:9">
      <c r="A13865" s="22" t="str">
        <f>HYPERLINK("https://app.vivvix.com/360/KMI/IntelliDrive/ApplUI/Pages/CreativePages/CustomReportCreativeDetail.aspx?App=23&amp;ReportView=4&amp;Qid=1711279&amp;Row=13857&amp;Col=1","No Title Assigned - #15273887026")</f>
        <v/>
      </c>
      <c r="B13865" s="0" t="s">
        <v>18553</v>
      </c>
      <c r="C13865" s="0" t="s">
        <v>18554</v>
      </c>
      <c r="D13865" s="0" t="s">
        <v>18554</v>
      </c>
      <c r="E13865" s="0" t="inlineStr">
        <is>
          <t xml:space="preserve">Mazda</t>
        </is>
      </c>
      <c r="F13865" s="0" t="s">
        <v>13</v>
      </c>
      <c r="G13865" s="0" t="s">
        <v>49</v>
      </c>
      <c r="H13865" s="5">
        <v>1666.009900</v>
      </c>
    </row>
    <row r="13866" spans="1:9">
      <c r="A13866" s="22" t="str">
        <f>HYPERLINK("https://app.vivvix.com/360/KMI/IntelliDrive/ApplUI/Pages/CreativePages/CustomReportCreativeDetail.aspx?App=23&amp;ReportView=4&amp;Qid=1711279&amp;Row=13858&amp;Col=1","No Title Assigned - #15273887094")</f>
        <v/>
      </c>
      <c r="B13866" s="0" t="s">
        <v>18555</v>
      </c>
      <c r="C13866" s="0" t="s">
        <v>18556</v>
      </c>
      <c r="D13866" s="0" t="s">
        <v>11258</v>
      </c>
      <c r="E13866" s="0" t="inlineStr">
        <is>
          <t xml:space="preserve">Mazda</t>
        </is>
      </c>
      <c r="F13866" s="0" t="s">
        <v>13</v>
      </c>
      <c r="G13866" s="0" t="s">
        <v>49</v>
      </c>
      <c r="H13866" s="5">
        <v>80.694700</v>
      </c>
    </row>
    <row r="13867" spans="1:9">
      <c r="A13867" s="22" t="str">
        <f>HYPERLINK("https://app.vivvix.com/360/KMI/IntelliDrive/ApplUI/Pages/CreativePages/CustomReportCreativeDetail.aspx?App=23&amp;ReportView=4&amp;Qid=1711279&amp;Row=13859&amp;Col=1","No Title Assigned - #15273887121")</f>
        <v/>
      </c>
      <c r="B13867" s="0" t="s">
        <v>18557</v>
      </c>
      <c r="C13867" s="0" t="s">
        <v>18558</v>
      </c>
      <c r="D13867" s="0" t="s">
        <v>10745</v>
      </c>
      <c r="E13867" s="0" t="inlineStr">
        <is>
          <t xml:space="preserve">Mazda</t>
        </is>
      </c>
      <c r="F13867" s="0" t="s">
        <v>13</v>
      </c>
      <c r="G13867" s="0" t="s">
        <v>49</v>
      </c>
      <c r="H13867" s="5">
        <v>247.062300</v>
      </c>
    </row>
    <row r="13868" spans="1:9">
      <c r="A13868" s="22" t="str">
        <f>HYPERLINK("https://app.vivvix.com/360/KMI/IntelliDrive/ApplUI/Pages/CreativePages/CustomReportCreativeDetail.aspx?App=23&amp;ReportView=4&amp;Qid=1711279&amp;Row=13860&amp;Col=1","No Title Assigned - #15273887148")</f>
        <v/>
      </c>
      <c r="B13868" s="0" t="s">
        <v>18559</v>
      </c>
      <c r="C13868" s="0" t="s">
        <v>18560</v>
      </c>
      <c r="D13868" s="0" t="s">
        <v>4774</v>
      </c>
      <c r="E13868" s="0" t="inlineStr">
        <is>
          <t xml:space="preserve">Mazda</t>
        </is>
      </c>
      <c r="F13868" s="0" t="s">
        <v>13</v>
      </c>
      <c r="G13868" s="0" t="s">
        <v>49</v>
      </c>
      <c r="H13868" s="5">
        <v>43.687000</v>
      </c>
    </row>
    <row r="13869" spans="1:9">
      <c r="A13869" s="22" t="str">
        <f>HYPERLINK("https://app.vivvix.com/360/KMI/IntelliDrive/ApplUI/Pages/CreativePages/CustomReportCreativeDetail.aspx?App=23&amp;ReportView=4&amp;Qid=1711279&amp;Row=13861&amp;Col=1","No Title Assigned - #15273887149")</f>
        <v/>
      </c>
      <c r="B13869" s="0" t="s">
        <v>18561</v>
      </c>
      <c r="E13869" s="0" t="inlineStr">
        <is>
          <t xml:space="preserve">Mazda</t>
        </is>
      </c>
      <c r="F13869" s="0" t="s">
        <v>13</v>
      </c>
      <c r="G13869" s="0" t="s">
        <v>49</v>
      </c>
      <c r="H13869" s="5">
        <v>582.968300</v>
      </c>
    </row>
    <row r="13870" spans="1:9">
      <c r="A13870" s="22" t="str">
        <f>HYPERLINK("https://app.vivvix.com/360/KMI/IntelliDrive/ApplUI/Pages/CreativePages/CustomReportCreativeDetail.aspx?App=23&amp;ReportView=4&amp;Qid=1711279&amp;Row=13862&amp;Col=1","No Title Assigned - #15273887669")</f>
        <v/>
      </c>
      <c r="B13870" s="0" t="s">
        <v>18562</v>
      </c>
      <c r="E13870" s="0" t="inlineStr">
        <is>
          <t xml:space="preserve">Mazda</t>
        </is>
      </c>
      <c r="F13870" s="0" t="s">
        <v>13</v>
      </c>
      <c r="G13870" s="0" t="s">
        <v>49</v>
      </c>
      <c r="H13870" s="5">
        <v>3389.768900</v>
      </c>
    </row>
    <row r="13871" spans="1:9">
      <c r="A13871" s="22" t="str">
        <f>HYPERLINK("https://app.vivvix.com/360/KMI/IntelliDrive/ApplUI/Pages/CreativePages/CustomReportCreativeDetail.aspx?App=23&amp;ReportView=4&amp;Qid=1711279&amp;Row=13863&amp;Col=1","No Title Assigned - #15273887963")</f>
        <v/>
      </c>
      <c r="B13871" s="0" t="s">
        <v>18563</v>
      </c>
      <c r="C13871" s="0" t="s">
        <v>18564</v>
      </c>
      <c r="D13871" s="0" t="s">
        <v>5013</v>
      </c>
      <c r="E13871" s="0" t="inlineStr">
        <is>
          <t xml:space="preserve">Mazda</t>
        </is>
      </c>
      <c r="F13871" s="0" t="s">
        <v>13</v>
      </c>
      <c r="G13871" s="0" t="s">
        <v>49</v>
      </c>
      <c r="H13871" s="5">
        <v>27.896400</v>
      </c>
    </row>
    <row r="13872" spans="1:9">
      <c r="A13872" s="22" t="str">
        <f>HYPERLINK("https://app.vivvix.com/360/KMI/IntelliDrive/ApplUI/Pages/CreativePages/CustomReportCreativeDetail.aspx?App=23&amp;ReportView=4&amp;Qid=1711279&amp;Row=13864&amp;Col=1","No Title Assigned - #15273888288")</f>
        <v/>
      </c>
      <c r="B13872" s="0" t="s">
        <v>18565</v>
      </c>
      <c r="C13872" s="0" t="s">
        <v>18566</v>
      </c>
      <c r="D13872" s="0" t="s">
        <v>18566</v>
      </c>
      <c r="E13872" s="0" t="inlineStr">
        <is>
          <t xml:space="preserve">Mazda</t>
        </is>
      </c>
      <c r="F13872" s="0" t="s">
        <v>13</v>
      </c>
      <c r="G13872" s="0" t="s">
        <v>49</v>
      </c>
      <c r="H13872" s="5">
        <v>14.055200</v>
      </c>
    </row>
    <row r="13873" spans="1:9">
      <c r="A13873" s="22" t="str">
        <f>HYPERLINK("https://app.vivvix.com/360/KMI/IntelliDrive/ApplUI/Pages/CreativePages/CustomReportCreativeDetail.aspx?App=23&amp;ReportView=4&amp;Qid=1711279&amp;Row=13865&amp;Col=1","No Title Assigned - #15273888434")</f>
        <v/>
      </c>
      <c r="B13873" s="0" t="s">
        <v>18567</v>
      </c>
      <c r="C13873" s="0" t="s">
        <v>18568</v>
      </c>
      <c r="D13873" s="0" t="s">
        <v>18568</v>
      </c>
      <c r="E13873" s="0" t="inlineStr">
        <is>
          <t xml:space="preserve">Mazda</t>
        </is>
      </c>
      <c r="F13873" s="0" t="s">
        <v>13</v>
      </c>
      <c r="G13873" s="0" t="s">
        <v>49</v>
      </c>
      <c r="H13873" s="5">
        <v>38.345800</v>
      </c>
    </row>
    <row r="13874" spans="1:9">
      <c r="A13874" s="22" t="str">
        <f>HYPERLINK("https://app.vivvix.com/360/KMI/IntelliDrive/ApplUI/Pages/CreativePages/CustomReportCreativeDetail.aspx?App=23&amp;ReportView=4&amp;Qid=1711279&amp;Row=13866&amp;Col=1","No Title Assigned - #15273888436")</f>
        <v/>
      </c>
      <c r="B13874" s="0" t="s">
        <v>18569</v>
      </c>
      <c r="E13874" s="0" t="inlineStr">
        <is>
          <t xml:space="preserve">Mazda</t>
        </is>
      </c>
      <c r="F13874" s="0" t="s">
        <v>13</v>
      </c>
      <c r="G13874" s="0" t="s">
        <v>49</v>
      </c>
      <c r="H13874" s="5">
        <v>38.345800</v>
      </c>
    </row>
    <row r="13875" spans="1:9">
      <c r="A13875" s="22" t="str">
        <f>HYPERLINK("https://app.vivvix.com/360/KMI/IntelliDrive/ApplUI/Pages/CreativePages/CustomReportCreativeDetail.aspx?App=23&amp;ReportView=4&amp;Qid=1711279&amp;Row=13867&amp;Col=1","No Title Assigned - #15273888728")</f>
        <v/>
      </c>
      <c r="B13875" s="0" t="s">
        <v>18570</v>
      </c>
      <c r="C13875" s="0" t="s">
        <v>18571</v>
      </c>
      <c r="D13875" s="0" t="s">
        <v>18571</v>
      </c>
      <c r="E13875" s="0" t="inlineStr">
        <is>
          <t xml:space="preserve">Mazda</t>
        </is>
      </c>
      <c r="F13875" s="0" t="inlineStr">
        <is>
          <t xml:space="preserve">Mazda</t>
        </is>
      </c>
      <c r="G13875" s="0" t="s">
        <v>171</v>
      </c>
      <c r="H13875" s="5">
        <v>1302.185200</v>
      </c>
    </row>
    <row r="13876" spans="1:9">
      <c r="A13876" s="22" t="str">
        <f>HYPERLINK("https://app.vivvix.com/360/KMI/IntelliDrive/ApplUI/Pages/CreativePages/CustomReportCreativeDetail.aspx?App=23&amp;ReportView=4&amp;Qid=1711279&amp;Row=13868&amp;Col=1","No Title Assigned - #15273888728")</f>
        <v/>
      </c>
      <c r="B13876" s="0" t="s">
        <v>18570</v>
      </c>
      <c r="E13876" s="0" t="inlineStr">
        <is>
          <t xml:space="preserve">Mazda</t>
        </is>
      </c>
      <c r="F13876" s="0" t="inlineStr">
        <is>
          <t xml:space="preserve">Mazda</t>
        </is>
      </c>
      <c r="G13876" s="0" t="s">
        <v>171</v>
      </c>
      <c r="H13876" s="5">
        <v>1033.365300</v>
      </c>
    </row>
    <row r="13877" spans="1:9">
      <c r="A13877" s="22" t="str">
        <f>HYPERLINK("https://app.vivvix.com/360/KMI/IntelliDrive/ApplUI/Pages/CreativePages/CustomReportCreativeDetail.aspx?App=23&amp;ReportView=4&amp;Qid=1711279&amp;Row=13869&amp;Col=1","No Title Assigned - #15273888814")</f>
        <v/>
      </c>
      <c r="B13877" s="0" t="s">
        <v>18572</v>
      </c>
      <c r="E13877" s="0" t="inlineStr">
        <is>
          <t xml:space="preserve">Mazda</t>
        </is>
      </c>
      <c r="F13877" s="0" t="inlineStr">
        <is>
          <t xml:space="preserve">Mazda</t>
        </is>
      </c>
      <c r="G13877" s="0" t="s">
        <v>171</v>
      </c>
      <c r="H13877" s="5">
        <v>57.920900</v>
      </c>
    </row>
    <row r="13878" spans="1:9">
      <c r="A13878" s="22" t="str">
        <f>HYPERLINK("https://app.vivvix.com/360/KMI/IntelliDrive/ApplUI/Pages/CreativePages/CustomReportCreativeDetail.aspx?App=23&amp;ReportView=4&amp;Qid=1711279&amp;Row=13870&amp;Col=1","No Title Assigned - #15273888843")</f>
        <v/>
      </c>
      <c r="B13878" s="0" t="s">
        <v>18573</v>
      </c>
      <c r="E13878" s="0" t="inlineStr">
        <is>
          <t xml:space="preserve">Mazda</t>
        </is>
      </c>
      <c r="F13878" s="0" t="inlineStr">
        <is>
          <t xml:space="preserve">Mazda</t>
        </is>
      </c>
      <c r="G13878" s="0" t="s">
        <v>171</v>
      </c>
      <c r="H13878" s="5">
        <v>81.883100</v>
      </c>
    </row>
    <row r="13879" spans="1:9">
      <c r="A13879" s="22" t="str">
        <f>HYPERLINK("https://app.vivvix.com/360/KMI/IntelliDrive/ApplUI/Pages/CreativePages/CustomReportCreativeDetail.aspx?App=23&amp;ReportView=4&amp;Qid=1711279&amp;Row=13871&amp;Col=1","No Title Assigned - #15273888959")</f>
        <v/>
      </c>
      <c r="B13879" s="0" t="s">
        <v>18574</v>
      </c>
      <c r="C13879" s="0" t="s">
        <v>18575</v>
      </c>
      <c r="D13879" s="0" t="s">
        <v>18575</v>
      </c>
      <c r="E13879" s="0" t="inlineStr">
        <is>
          <t xml:space="preserve">Mazda</t>
        </is>
      </c>
      <c r="F13879" s="0" t="inlineStr">
        <is>
          <t xml:space="preserve">Mazda</t>
        </is>
      </c>
      <c r="G13879" s="0" t="s">
        <v>171</v>
      </c>
      <c r="H13879" s="5">
        <v>41.262300</v>
      </c>
    </row>
    <row r="13880" spans="1:9">
      <c r="A13880" s="22" t="str">
        <f>HYPERLINK("https://app.vivvix.com/360/KMI/IntelliDrive/ApplUI/Pages/CreativePages/CustomReportCreativeDetail.aspx?App=23&amp;ReportView=4&amp;Qid=1711279&amp;Row=13872&amp;Col=1","No Title Assigned - #15273889038")</f>
        <v/>
      </c>
      <c r="B13880" s="0" t="s">
        <v>18576</v>
      </c>
      <c r="C13880" s="0" t="s">
        <v>18577</v>
      </c>
      <c r="D13880" s="0" t="s">
        <v>18577</v>
      </c>
      <c r="E13880" s="0" t="inlineStr">
        <is>
          <t xml:space="preserve">Mazda</t>
        </is>
      </c>
      <c r="F13880" s="0" t="inlineStr">
        <is>
          <t xml:space="preserve">Mazda</t>
        </is>
      </c>
      <c r="G13880" s="0" t="s">
        <v>171</v>
      </c>
      <c r="H13880" s="5">
        <v>51.948300</v>
      </c>
    </row>
    <row r="13881" spans="1:9">
      <c r="A13881" s="22" t="str">
        <f>HYPERLINK("https://app.vivvix.com/360/KMI/IntelliDrive/ApplUI/Pages/CreativePages/CustomReportCreativeDetail.aspx?App=23&amp;ReportView=4&amp;Qid=1711279&amp;Row=13873&amp;Col=1","No Title Assigned - #15273889142")</f>
        <v/>
      </c>
      <c r="B13881" s="0" t="s">
        <v>18578</v>
      </c>
      <c r="E13881" s="0" t="inlineStr">
        <is>
          <t xml:space="preserve">Mazda</t>
        </is>
      </c>
      <c r="F13881" s="0" t="inlineStr">
        <is>
          <t xml:space="preserve">Mazda</t>
        </is>
      </c>
      <c r="G13881" s="0" t="s">
        <v>171</v>
      </c>
      <c r="H13881" s="5">
        <v>39.616400</v>
      </c>
    </row>
    <row r="13882" spans="1:9">
      <c r="A13882" s="22" t="str">
        <f>HYPERLINK("https://app.vivvix.com/360/KMI/IntelliDrive/ApplUI/Pages/CreativePages/CustomReportCreativeDetail.aspx?App=23&amp;ReportView=4&amp;Qid=1711279&amp;Row=13874&amp;Col=1","No Title Assigned - #15273889460")</f>
        <v/>
      </c>
      <c r="B13882" s="0" t="s">
        <v>18579</v>
      </c>
      <c r="E13882" s="0" t="inlineStr">
        <is>
          <t xml:space="preserve">Mazda</t>
        </is>
      </c>
      <c r="F13882" s="0" t="inlineStr">
        <is>
          <t xml:space="preserve">Mazda</t>
        </is>
      </c>
      <c r="G13882" s="0" t="s">
        <v>171</v>
      </c>
      <c r="H13882" s="5">
        <v>26.709400</v>
      </c>
    </row>
    <row r="13883" spans="1:9">
      <c r="A13883" s="22" t="str">
        <f>HYPERLINK("https://app.vivvix.com/360/KMI/IntelliDrive/ApplUI/Pages/CreativePages/CustomReportCreativeDetail.aspx?App=23&amp;ReportView=4&amp;Qid=1711279&amp;Row=13875&amp;Col=1","No Title Assigned - #15273889475")</f>
        <v/>
      </c>
      <c r="B13883" s="0" t="s">
        <v>18580</v>
      </c>
      <c r="E13883" s="0" t="inlineStr">
        <is>
          <t xml:space="preserve">Mazda</t>
        </is>
      </c>
      <c r="F13883" s="0" t="inlineStr">
        <is>
          <t xml:space="preserve">Mazda</t>
        </is>
      </c>
      <c r="G13883" s="0" t="s">
        <v>171</v>
      </c>
      <c r="H13883" s="5">
        <v>590.282200</v>
      </c>
    </row>
    <row r="13884" spans="1:9">
      <c r="A13884" s="22" t="str">
        <f>HYPERLINK("https://app.vivvix.com/360/KMI/IntelliDrive/ApplUI/Pages/CreativePages/CustomReportCreativeDetail.aspx?App=23&amp;ReportView=4&amp;Qid=1711279&amp;Row=13876&amp;Col=1","No Title Assigned - #15273889476")</f>
        <v/>
      </c>
      <c r="B13884" s="0" t="s">
        <v>18581</v>
      </c>
      <c r="E13884" s="0" t="inlineStr">
        <is>
          <t xml:space="preserve">Mazda</t>
        </is>
      </c>
      <c r="F13884" s="0" t="inlineStr">
        <is>
          <t xml:space="preserve">Mazda</t>
        </is>
      </c>
      <c r="G13884" s="0" t="s">
        <v>171</v>
      </c>
      <c r="H13884" s="5">
        <v>449.783400</v>
      </c>
    </row>
    <row r="13885" spans="1:9">
      <c r="A13885" s="22" t="str">
        <f>HYPERLINK("https://app.vivvix.com/360/KMI/IntelliDrive/ApplUI/Pages/CreativePages/CustomReportCreativeDetail.aspx?App=23&amp;ReportView=4&amp;Qid=1711279&amp;Row=13877&amp;Col=1","No Title Assigned - #15273889560")</f>
        <v/>
      </c>
      <c r="B13885" s="0" t="s">
        <v>18582</v>
      </c>
      <c r="E13885" s="0" t="inlineStr">
        <is>
          <t xml:space="preserve">Mazda</t>
        </is>
      </c>
      <c r="F13885" s="0" t="inlineStr">
        <is>
          <t xml:space="preserve">Mazda</t>
        </is>
      </c>
      <c r="G13885" s="0" t="s">
        <v>171</v>
      </c>
      <c r="H13885" s="5">
        <v>38122.035200</v>
      </c>
    </row>
    <row r="13886" spans="1:9">
      <c r="A13886" s="22" t="str">
        <f>HYPERLINK("https://app.vivvix.com/360/KMI/IntelliDrive/ApplUI/Pages/CreativePages/CustomReportCreativeDetail.aspx?App=23&amp;ReportView=4&amp;Qid=1711279&amp;Row=13878&amp;Col=1","No Title Assigned - #15273889738")</f>
        <v/>
      </c>
      <c r="B13886" s="0" t="s">
        <v>18583</v>
      </c>
      <c r="E13886" s="0" t="inlineStr">
        <is>
          <t xml:space="preserve">Mazda</t>
        </is>
      </c>
      <c r="F13886" s="0" t="inlineStr">
        <is>
          <t xml:space="preserve">Mazda</t>
        </is>
      </c>
      <c r="G13886" s="0" t="s">
        <v>171</v>
      </c>
      <c r="H13886" s="5">
        <v>48.364900</v>
      </c>
    </row>
    <row r="13887" spans="1:9">
      <c r="A13887" s="22" t="str">
        <f>HYPERLINK("https://app.vivvix.com/360/KMI/IntelliDrive/ApplUI/Pages/CreativePages/CustomReportCreativeDetail.aspx?App=23&amp;ReportView=4&amp;Qid=1711279&amp;Row=13879&amp;Col=1","No Title Assigned - #15273890050")</f>
        <v/>
      </c>
      <c r="B13887" s="0" t="s">
        <v>18584</v>
      </c>
      <c r="E13887" s="0" t="inlineStr">
        <is>
          <t xml:space="preserve">Mazda</t>
        </is>
      </c>
      <c r="F13887" s="0" t="inlineStr">
        <is>
          <t xml:space="preserve">Mazda</t>
        </is>
      </c>
      <c r="G13887" s="0" t="s">
        <v>171</v>
      </c>
      <c r="H13887" s="5">
        <v>17.449900</v>
      </c>
    </row>
    <row r="13888" spans="1:9">
      <c r="A13888" s="22" t="str">
        <f>HYPERLINK("https://app.vivvix.com/360/KMI/IntelliDrive/ApplUI/Pages/CreativePages/CustomReportCreativeDetail.aspx?App=23&amp;ReportView=4&amp;Qid=1711279&amp;Row=13880&amp;Col=1","No Title Assigned - #15273890116")</f>
        <v/>
      </c>
      <c r="B13888" s="0" t="s">
        <v>18585</v>
      </c>
      <c r="C13888" s="0" t="s">
        <v>18586</v>
      </c>
      <c r="D13888" s="0" t="s">
        <v>18586</v>
      </c>
      <c r="E13888" s="0" t="inlineStr">
        <is>
          <t xml:space="preserve">Mazda</t>
        </is>
      </c>
      <c r="F13888" s="0" t="s">
        <v>13</v>
      </c>
      <c r="G13888" s="0" t="s">
        <v>49</v>
      </c>
      <c r="H13888" s="5">
        <v>1142.068700</v>
      </c>
    </row>
    <row r="13889" spans="1:9">
      <c r="A13889" s="22" t="str">
        <f>HYPERLINK("https://app.vivvix.com/360/KMI/IntelliDrive/ApplUI/Pages/CreativePages/CustomReportCreativeDetail.aspx?App=23&amp;ReportView=4&amp;Qid=1711279&amp;Row=13881&amp;Col=1","No Title Assigned - #15273890247")</f>
        <v/>
      </c>
      <c r="B13889" s="0" t="s">
        <v>18587</v>
      </c>
      <c r="C13889" s="0" t="s">
        <v>18588</v>
      </c>
      <c r="D13889" s="0" t="s">
        <v>10770</v>
      </c>
      <c r="E13889" s="0" t="inlineStr">
        <is>
          <t xml:space="preserve">Mazda</t>
        </is>
      </c>
      <c r="F13889" s="0" t="s">
        <v>13</v>
      </c>
      <c r="G13889" s="0" t="s">
        <v>49</v>
      </c>
      <c r="H13889" s="5">
        <v>191.300000</v>
      </c>
    </row>
    <row r="13890" spans="1:9">
      <c r="A13890" s="22" t="str">
        <f>HYPERLINK("https://app.vivvix.com/360/KMI/IntelliDrive/ApplUI/Pages/CreativePages/CustomReportCreativeDetail.aspx?App=23&amp;ReportView=4&amp;Qid=1711279&amp;Row=13882&amp;Col=1","No Title Assigned - #15273890424")</f>
        <v/>
      </c>
      <c r="B13890" s="0" t="s">
        <v>18589</v>
      </c>
      <c r="C13890" s="0" t="s">
        <v>18590</v>
      </c>
      <c r="D13890" s="0" t="s">
        <v>4200</v>
      </c>
      <c r="E13890" s="0" t="inlineStr">
        <is>
          <t xml:space="preserve">Mazda</t>
        </is>
      </c>
      <c r="F13890" s="0" t="s">
        <v>28</v>
      </c>
      <c r="G13890" s="0" t="s">
        <v>29</v>
      </c>
      <c r="H13890" s="5">
        <v>42.824000</v>
      </c>
    </row>
    <row r="13891" spans="1:9">
      <c r="A13891" s="22" t="str">
        <f>HYPERLINK("https://app.vivvix.com/360/KMI/IntelliDrive/ApplUI/Pages/CreativePages/CustomReportCreativeDetail.aspx?App=23&amp;ReportView=4&amp;Qid=1711279&amp;Row=13883&amp;Col=1","No Title Assigned - #15273890441")</f>
        <v/>
      </c>
      <c r="B13891" s="0" t="s">
        <v>18591</v>
      </c>
      <c r="C13891" s="0" t="s">
        <v>18357</v>
      </c>
      <c r="D13891" s="0" t="s">
        <v>18357</v>
      </c>
      <c r="E13891" s="0" t="inlineStr">
        <is>
          <t xml:space="preserve">Mazda</t>
        </is>
      </c>
      <c r="F13891" s="0" t="s">
        <v>28</v>
      </c>
      <c r="G13891" s="0" t="s">
        <v>29</v>
      </c>
      <c r="H13891" s="5">
        <v>494.078700</v>
      </c>
    </row>
    <row r="13892" spans="1:9">
      <c r="A13892" s="22" t="str">
        <f>HYPERLINK("https://app.vivvix.com/360/KMI/IntelliDrive/ApplUI/Pages/CreativePages/CustomReportCreativeDetail.aspx?App=23&amp;ReportView=4&amp;Qid=1711279&amp;Row=13884&amp;Col=1","No Title Assigned - #15273890597")</f>
        <v/>
      </c>
      <c r="B13892" s="0" t="s">
        <v>18592</v>
      </c>
      <c r="C13892" s="0" t="s">
        <v>18593</v>
      </c>
      <c r="D13892" s="0" t="s">
        <v>18593</v>
      </c>
      <c r="E13892" s="0" t="inlineStr">
        <is>
          <t xml:space="preserve">Mazda</t>
        </is>
      </c>
      <c r="F13892" s="0" t="inlineStr">
        <is>
          <t xml:space="preserve">Mazda</t>
        </is>
      </c>
      <c r="G13892" s="0" t="s">
        <v>171</v>
      </c>
      <c r="H13892" s="5">
        <v>3.574800</v>
      </c>
    </row>
    <row r="13893" spans="1:9">
      <c r="A13893" s="22" t="str">
        <f>HYPERLINK("https://app.vivvix.com/360/KMI/IntelliDrive/ApplUI/Pages/CreativePages/CustomReportCreativeDetail.aspx?App=23&amp;ReportView=4&amp;Qid=1711279&amp;Row=13885&amp;Col=1","No Title Assigned - #15273890598")</f>
        <v/>
      </c>
      <c r="B13893" s="0" t="s">
        <v>18594</v>
      </c>
      <c r="E13893" s="0" t="inlineStr">
        <is>
          <t xml:space="preserve">Mazda</t>
        </is>
      </c>
      <c r="F13893" s="0" t="inlineStr">
        <is>
          <t xml:space="preserve">Mazda</t>
        </is>
      </c>
      <c r="G13893" s="0" t="s">
        <v>171</v>
      </c>
      <c r="H13893" s="5">
        <v>1.787400</v>
      </c>
    </row>
    <row r="13894" spans="1:9">
      <c r="A13894" s="22" t="str">
        <f>HYPERLINK("https://app.vivvix.com/360/KMI/IntelliDrive/ApplUI/Pages/CreativePages/CustomReportCreativeDetail.aspx?App=23&amp;ReportView=4&amp;Qid=1711279&amp;Row=13886&amp;Col=1","No Title Assigned - #15273890627")</f>
        <v/>
      </c>
      <c r="B13894" s="0" t="s">
        <v>18595</v>
      </c>
      <c r="E13894" s="0" t="inlineStr">
        <is>
          <t xml:space="preserve">Mazda</t>
        </is>
      </c>
      <c r="F13894" s="0" t="inlineStr">
        <is>
          <t xml:space="preserve">Mazda</t>
        </is>
      </c>
      <c r="G13894" s="0" t="s">
        <v>171</v>
      </c>
      <c r="H13894" s="5">
        <v>34.979000</v>
      </c>
    </row>
    <row r="13895" spans="1:9">
      <c r="A13895" s="22" t="str">
        <f>HYPERLINK("https://app.vivvix.com/360/KMI/IntelliDrive/ApplUI/Pages/CreativePages/CustomReportCreativeDetail.aspx?App=23&amp;ReportView=4&amp;Qid=1711279&amp;Row=13887&amp;Col=1","No Title Assigned - #15273890862")</f>
        <v/>
      </c>
      <c r="B13895" s="0" t="s">
        <v>18596</v>
      </c>
      <c r="E13895" s="0" t="inlineStr">
        <is>
          <t xml:space="preserve">Mazda</t>
        </is>
      </c>
      <c r="F13895" s="0" t="inlineStr">
        <is>
          <t xml:space="preserve">Mazda</t>
        </is>
      </c>
      <c r="G13895" s="0" t="s">
        <v>171</v>
      </c>
      <c r="H13895" s="5">
        <v>421.486600</v>
      </c>
    </row>
    <row r="13896" spans="1:9">
      <c r="A13896" s="22" t="str">
        <f>HYPERLINK("https://app.vivvix.com/360/KMI/IntelliDrive/ApplUI/Pages/CreativePages/CustomReportCreativeDetail.aspx?App=23&amp;ReportView=4&amp;Qid=1711279&amp;Row=13888&amp;Col=1","No Title Assigned - #15273890940")</f>
        <v/>
      </c>
      <c r="B13896" s="0" t="s">
        <v>18597</v>
      </c>
      <c r="E13896" s="0" t="inlineStr">
        <is>
          <t xml:space="preserve">Mazda</t>
        </is>
      </c>
      <c r="F13896" s="0" t="inlineStr">
        <is>
          <t xml:space="preserve">Mazda</t>
        </is>
      </c>
      <c r="G13896" s="0" t="s">
        <v>171</v>
      </c>
      <c r="H13896" s="5">
        <v>16.879600</v>
      </c>
    </row>
    <row r="13897" spans="1:9">
      <c r="A13897" s="22" t="str">
        <f>HYPERLINK("https://app.vivvix.com/360/KMI/IntelliDrive/ApplUI/Pages/CreativePages/CustomReportCreativeDetail.aspx?App=23&amp;ReportView=4&amp;Qid=1711279&amp;Row=13889&amp;Col=1","No Title Assigned - #15273890963")</f>
        <v/>
      </c>
      <c r="B13897" s="0" t="s">
        <v>18598</v>
      </c>
      <c r="E13897" s="0" t="inlineStr">
        <is>
          <t xml:space="preserve">Mazda</t>
        </is>
      </c>
      <c r="F13897" s="0" t="inlineStr">
        <is>
          <t xml:space="preserve">Mazda</t>
        </is>
      </c>
      <c r="G13897" s="0" t="s">
        <v>171</v>
      </c>
      <c r="H13897" s="5">
        <v>56.939700</v>
      </c>
    </row>
    <row r="13898" spans="1:9">
      <c r="A13898" s="22" t="str">
        <f>HYPERLINK("https://app.vivvix.com/360/KMI/IntelliDrive/ApplUI/Pages/CreativePages/CustomReportCreativeDetail.aspx?App=23&amp;ReportView=4&amp;Qid=1711279&amp;Row=13890&amp;Col=1","No Title Assigned - #15273890976")</f>
        <v/>
      </c>
      <c r="B13898" s="0" t="s">
        <v>18599</v>
      </c>
      <c r="E13898" s="0" t="inlineStr">
        <is>
          <t xml:space="preserve">Mazda</t>
        </is>
      </c>
      <c r="F13898" s="0" t="inlineStr">
        <is>
          <t xml:space="preserve">Mazda</t>
        </is>
      </c>
      <c r="G13898" s="0" t="s">
        <v>171</v>
      </c>
      <c r="H13898" s="5">
        <v>323.564600</v>
      </c>
    </row>
    <row r="13899" spans="1:9">
      <c r="A13899" s="22" t="str">
        <f>HYPERLINK("https://app.vivvix.com/360/KMI/IntelliDrive/ApplUI/Pages/CreativePages/CustomReportCreativeDetail.aspx?App=23&amp;ReportView=4&amp;Qid=1711279&amp;Row=13891&amp;Col=1","No Title Assigned - #15273891014")</f>
        <v/>
      </c>
      <c r="B13899" s="0" t="s">
        <v>18600</v>
      </c>
      <c r="E13899" s="0" t="inlineStr">
        <is>
          <t xml:space="preserve">Mazda</t>
        </is>
      </c>
      <c r="F13899" s="0" t="inlineStr">
        <is>
          <t xml:space="preserve">Mazda</t>
        </is>
      </c>
      <c r="G13899" s="0" t="s">
        <v>171</v>
      </c>
      <c r="H13899" s="5">
        <v>18.681500</v>
      </c>
    </row>
    <row r="13900" spans="1:9">
      <c r="A13900" s="22" t="str">
        <f>HYPERLINK("https://app.vivvix.com/360/KMI/IntelliDrive/ApplUI/Pages/CreativePages/CustomReportCreativeDetail.aspx?App=23&amp;ReportView=4&amp;Qid=1711279&amp;Row=13892&amp;Col=1","No Title Assigned - #15273891224")</f>
        <v/>
      </c>
      <c r="B13900" s="0" t="s">
        <v>18601</v>
      </c>
      <c r="E13900" s="0" t="inlineStr">
        <is>
          <t xml:space="preserve">Mazda</t>
        </is>
      </c>
      <c r="F13900" s="0" t="inlineStr">
        <is>
          <t xml:space="preserve">Mazda</t>
        </is>
      </c>
      <c r="G13900" s="0" t="s">
        <v>171</v>
      </c>
      <c r="H13900" s="5">
        <v>7451.880400</v>
      </c>
    </row>
    <row r="13901" spans="1:9">
      <c r="A13901" s="22" t="str">
        <f>HYPERLINK("https://app.vivvix.com/360/KMI/IntelliDrive/ApplUI/Pages/CreativePages/CustomReportCreativeDetail.aspx?App=23&amp;ReportView=4&amp;Qid=1711279&amp;Row=13893&amp;Col=1","No Title Assigned - #15273891343")</f>
        <v/>
      </c>
      <c r="B13901" s="0" t="s">
        <v>18602</v>
      </c>
      <c r="E13901" s="0" t="inlineStr">
        <is>
          <t xml:space="preserve">Mazda</t>
        </is>
      </c>
      <c r="F13901" s="0" t="inlineStr">
        <is>
          <t xml:space="preserve">Mazda</t>
        </is>
      </c>
      <c r="G13901" s="0" t="s">
        <v>171</v>
      </c>
      <c r="H13901" s="5">
        <v>98.615400</v>
      </c>
    </row>
    <row r="13902" spans="1:9">
      <c r="A13902" s="22" t="str">
        <f>HYPERLINK("https://app.vivvix.com/360/KMI/IntelliDrive/ApplUI/Pages/CreativePages/CustomReportCreativeDetail.aspx?App=23&amp;ReportView=4&amp;Qid=1711279&amp;Row=13894&amp;Col=1","No Title Assigned - #15273891403")</f>
        <v/>
      </c>
      <c r="B13902" s="0" t="s">
        <v>18603</v>
      </c>
      <c r="E13902" s="0" t="inlineStr">
        <is>
          <t xml:space="preserve">Mazda</t>
        </is>
      </c>
      <c r="F13902" s="0" t="inlineStr">
        <is>
          <t xml:space="preserve">Mazda</t>
        </is>
      </c>
      <c r="G13902" s="0" t="s">
        <v>171</v>
      </c>
      <c r="H13902" s="5">
        <v>149.941900</v>
      </c>
    </row>
    <row r="13903" spans="1:9">
      <c r="A13903" s="22" t="str">
        <f>HYPERLINK("https://app.vivvix.com/360/KMI/IntelliDrive/ApplUI/Pages/CreativePages/CustomReportCreativeDetail.aspx?App=23&amp;ReportView=4&amp;Qid=1711279&amp;Row=13895&amp;Col=1","No Title Assigned - #15273891418")</f>
        <v/>
      </c>
      <c r="B13903" s="0" t="s">
        <v>18604</v>
      </c>
      <c r="E13903" s="0" t="inlineStr">
        <is>
          <t xml:space="preserve">Mazda</t>
        </is>
      </c>
      <c r="F13903" s="0" t="inlineStr">
        <is>
          <t xml:space="preserve">Mazda</t>
        </is>
      </c>
      <c r="G13903" s="0" t="s">
        <v>171</v>
      </c>
      <c r="H13903" s="5">
        <v>250.985700</v>
      </c>
    </row>
    <row r="13904" spans="1:9">
      <c r="A13904" s="22" t="str">
        <f>HYPERLINK("https://app.vivvix.com/360/KMI/IntelliDrive/ApplUI/Pages/CreativePages/CustomReportCreativeDetail.aspx?App=23&amp;ReportView=4&amp;Qid=1711279&amp;Row=13896&amp;Col=1","No Title Assigned - #15273891539")</f>
        <v/>
      </c>
      <c r="B13904" s="0" t="s">
        <v>18605</v>
      </c>
      <c r="E13904" s="0" t="inlineStr">
        <is>
          <t xml:space="preserve">Mazda</t>
        </is>
      </c>
      <c r="F13904" s="0" t="inlineStr">
        <is>
          <t xml:space="preserve">Mazda</t>
        </is>
      </c>
      <c r="G13904" s="0" t="s">
        <v>171</v>
      </c>
      <c r="H13904" s="5">
        <v>249.430200</v>
      </c>
    </row>
    <row r="13905" spans="1:9">
      <c r="A13905" s="22" t="str">
        <f>HYPERLINK("https://app.vivvix.com/360/KMI/IntelliDrive/ApplUI/Pages/CreativePages/CustomReportCreativeDetail.aspx?App=23&amp;ReportView=4&amp;Qid=1711279&amp;Row=13897&amp;Col=1","No Title Assigned - #15273891543")</f>
        <v/>
      </c>
      <c r="B13905" s="0" t="s">
        <v>18606</v>
      </c>
      <c r="E13905" s="0" t="inlineStr">
        <is>
          <t xml:space="preserve">Mazda</t>
        </is>
      </c>
      <c r="F13905" s="0" t="inlineStr">
        <is>
          <t xml:space="preserve">Mazda</t>
        </is>
      </c>
      <c r="G13905" s="0" t="s">
        <v>171</v>
      </c>
      <c r="H13905" s="5">
        <v>277.450700</v>
      </c>
    </row>
    <row r="13906" spans="1:9">
      <c r="A13906" s="22" t="str">
        <f>HYPERLINK("https://app.vivvix.com/360/KMI/IntelliDrive/ApplUI/Pages/CreativePages/CustomReportCreativeDetail.aspx?App=23&amp;ReportView=4&amp;Qid=1711279&amp;Row=13898&amp;Col=1","No Title Assigned - #15273891806")</f>
        <v/>
      </c>
      <c r="B13906" s="0" t="s">
        <v>18607</v>
      </c>
      <c r="E13906" s="0" t="inlineStr">
        <is>
          <t xml:space="preserve">Mazda</t>
        </is>
      </c>
      <c r="F13906" s="0" t="inlineStr">
        <is>
          <t xml:space="preserve">Mazda</t>
        </is>
      </c>
      <c r="G13906" s="0" t="s">
        <v>171</v>
      </c>
      <c r="H13906" s="5">
        <v>152.230400</v>
      </c>
    </row>
    <row r="13907" spans="1:9">
      <c r="A13907" s="22" t="str">
        <f>HYPERLINK("https://app.vivvix.com/360/KMI/IntelliDrive/ApplUI/Pages/CreativePages/CustomReportCreativeDetail.aspx?App=23&amp;ReportView=4&amp;Qid=1711279&amp;Row=13899&amp;Col=1","No Title Assigned - #15273891807")</f>
        <v/>
      </c>
      <c r="B13907" s="0" t="s">
        <v>18608</v>
      </c>
      <c r="E13907" s="0" t="inlineStr">
        <is>
          <t xml:space="preserve">Mazda</t>
        </is>
      </c>
      <c r="F13907" s="0" t="inlineStr">
        <is>
          <t xml:space="preserve">Mazda</t>
        </is>
      </c>
      <c r="G13907" s="0" t="s">
        <v>171</v>
      </c>
      <c r="H13907" s="5">
        <v>152.230400</v>
      </c>
    </row>
    <row r="13908" spans="1:9">
      <c r="A13908" s="22" t="str">
        <f>HYPERLINK("https://app.vivvix.com/360/KMI/IntelliDrive/ApplUI/Pages/CreativePages/CustomReportCreativeDetail.aspx?App=23&amp;ReportView=4&amp;Qid=1711279&amp;Row=13900&amp;Col=1","No Title Assigned - #15273891993")</f>
        <v/>
      </c>
      <c r="B13908" s="0" t="s">
        <v>18609</v>
      </c>
      <c r="E13908" s="0" t="inlineStr">
        <is>
          <t xml:space="preserve">Mazda</t>
        </is>
      </c>
      <c r="F13908" s="0" t="inlineStr">
        <is>
          <t xml:space="preserve">Mazda</t>
        </is>
      </c>
      <c r="G13908" s="0" t="s">
        <v>171</v>
      </c>
      <c r="H13908" s="5">
        <v>4.351800</v>
      </c>
    </row>
    <row r="13909" spans="1:9">
      <c r="A13909" s="22" t="str">
        <f>HYPERLINK("https://app.vivvix.com/360/KMI/IntelliDrive/ApplUI/Pages/CreativePages/CustomReportCreativeDetail.aspx?App=23&amp;ReportView=4&amp;Qid=1711279&amp;Row=13901&amp;Col=1","No Title Assigned - #15273892305")</f>
        <v/>
      </c>
      <c r="B13909" s="0" t="s">
        <v>18610</v>
      </c>
      <c r="C13909" s="0" t="s">
        <v>18611</v>
      </c>
      <c r="D13909" s="0" t="s">
        <v>18611</v>
      </c>
      <c r="E13909" s="0" t="inlineStr">
        <is>
          <t xml:space="preserve">Mazda</t>
        </is>
      </c>
      <c r="F13909" s="0" t="s">
        <v>28</v>
      </c>
      <c r="G13909" s="0" t="s">
        <v>29</v>
      </c>
      <c r="H13909" s="5">
        <v>50.642500</v>
      </c>
    </row>
    <row r="13910" spans="1:9">
      <c r="A13910" s="22" t="str">
        <f>HYPERLINK("https://app.vivvix.com/360/KMI/IntelliDrive/ApplUI/Pages/CreativePages/CustomReportCreativeDetail.aspx?App=23&amp;ReportView=4&amp;Qid=1711279&amp;Row=13902&amp;Col=1","No Title Assigned - #15273892457")</f>
        <v/>
      </c>
      <c r="B13910" s="0" t="s">
        <v>18612</v>
      </c>
      <c r="E13910" s="0" t="inlineStr">
        <is>
          <t xml:space="preserve">Mazda</t>
        </is>
      </c>
      <c r="F13910" s="0" t="inlineStr">
        <is>
          <t xml:space="preserve">Mazda</t>
        </is>
      </c>
      <c r="G13910" s="0" t="s">
        <v>171</v>
      </c>
      <c r="H13910" s="5">
        <v>485.489000</v>
      </c>
    </row>
    <row r="13911" spans="1:9">
      <c r="A13911" s="22" t="str">
        <f>HYPERLINK("https://app.vivvix.com/360/KMI/IntelliDrive/ApplUI/Pages/CreativePages/CustomReportCreativeDetail.aspx?App=23&amp;ReportView=4&amp;Qid=1711279&amp;Row=13903&amp;Col=1","No Title Assigned - #15273892544")</f>
        <v/>
      </c>
      <c r="B13911" s="0" t="s">
        <v>18613</v>
      </c>
      <c r="E13911" s="0" t="inlineStr">
        <is>
          <t xml:space="preserve">Mazda</t>
        </is>
      </c>
      <c r="F13911" s="0" t="inlineStr">
        <is>
          <t xml:space="preserve">Mazda</t>
        </is>
      </c>
      <c r="G13911" s="0" t="s">
        <v>171</v>
      </c>
      <c r="H13911" s="5">
        <v>56.939700</v>
      </c>
    </row>
    <row r="13912" spans="1:9">
      <c r="A13912" s="22" t="str">
        <f>HYPERLINK("https://app.vivvix.com/360/KMI/IntelliDrive/ApplUI/Pages/CreativePages/CustomReportCreativeDetail.aspx?App=23&amp;ReportView=4&amp;Qid=1711279&amp;Row=13904&amp;Col=1","No Title Assigned - #15273892694")</f>
        <v/>
      </c>
      <c r="B13912" s="0" t="s">
        <v>18614</v>
      </c>
      <c r="C13912" s="0" t="s">
        <v>18615</v>
      </c>
      <c r="D13912" s="0" t="s">
        <v>18615</v>
      </c>
      <c r="E13912" s="0" t="inlineStr">
        <is>
          <t xml:space="preserve">Mazda</t>
        </is>
      </c>
      <c r="F13912" s="0" t="inlineStr">
        <is>
          <t xml:space="preserve">Mazda</t>
        </is>
      </c>
      <c r="G13912" s="0" t="s">
        <v>171</v>
      </c>
      <c r="H13912" s="5">
        <v>298.384000</v>
      </c>
    </row>
    <row r="13913" spans="1:9">
      <c r="A13913" s="22" t="str">
        <f>HYPERLINK("https://app.vivvix.com/360/KMI/IntelliDrive/ApplUI/Pages/CreativePages/CustomReportCreativeDetail.aspx?App=23&amp;ReportView=4&amp;Qid=1711279&amp;Row=13905&amp;Col=1","No Title Assigned - #15273892772")</f>
        <v/>
      </c>
      <c r="B13913" s="0" t="s">
        <v>18616</v>
      </c>
      <c r="C13913" s="0" t="s">
        <v>18617</v>
      </c>
      <c r="D13913" s="0" t="s">
        <v>4200</v>
      </c>
      <c r="E13913" s="0" t="inlineStr">
        <is>
          <t xml:space="preserve">Mazda</t>
        </is>
      </c>
      <c r="F13913" s="0" t="s">
        <v>28</v>
      </c>
      <c r="G13913" s="0" t="s">
        <v>29</v>
      </c>
      <c r="H13913" s="5">
        <v>10.128500</v>
      </c>
    </row>
    <row r="13914" spans="1:9">
      <c r="A13914" s="22" t="str">
        <f>HYPERLINK("https://app.vivvix.com/360/KMI/IntelliDrive/ApplUI/Pages/CreativePages/CustomReportCreativeDetail.aspx?App=23&amp;ReportView=4&amp;Qid=1711279&amp;Row=13906&amp;Col=1","No Title Assigned - #15273892858")</f>
        <v/>
      </c>
      <c r="B13914" s="0" t="s">
        <v>18618</v>
      </c>
      <c r="E13914" s="0" t="inlineStr">
        <is>
          <t xml:space="preserve">Mazda</t>
        </is>
      </c>
      <c r="F13914" s="0" t="inlineStr">
        <is>
          <t xml:space="preserve">Mazda</t>
        </is>
      </c>
      <c r="G13914" s="0" t="s">
        <v>171</v>
      </c>
      <c r="H13914" s="5">
        <v>147.029200</v>
      </c>
    </row>
    <row r="13915" spans="1:9">
      <c r="A13915" s="22" t="str">
        <f>HYPERLINK("https://app.vivvix.com/360/KMI/IntelliDrive/ApplUI/Pages/CreativePages/CustomReportCreativeDetail.aspx?App=23&amp;ReportView=4&amp;Qid=1711279&amp;Row=13907&amp;Col=1","No Title Assigned - #15273892860")</f>
        <v/>
      </c>
      <c r="B13915" s="0" t="s">
        <v>18619</v>
      </c>
      <c r="E13915" s="0" t="inlineStr">
        <is>
          <t xml:space="preserve">Mazda</t>
        </is>
      </c>
      <c r="F13915" s="0" t="inlineStr">
        <is>
          <t xml:space="preserve">Mazda</t>
        </is>
      </c>
      <c r="G13915" s="0" t="s">
        <v>171</v>
      </c>
      <c r="H13915" s="5">
        <v>603.555100</v>
      </c>
    </row>
    <row r="13916" spans="1:9">
      <c r="A13916" s="22" t="str">
        <f>HYPERLINK("https://app.vivvix.com/360/KMI/IntelliDrive/ApplUI/Pages/CreativePages/CustomReportCreativeDetail.aspx?App=23&amp;ReportView=4&amp;Qid=1711279&amp;Row=13908&amp;Col=1","No Title Assigned - #15273892874")</f>
        <v/>
      </c>
      <c r="B13916" s="0" t="s">
        <v>18620</v>
      </c>
      <c r="E13916" s="0" t="inlineStr">
        <is>
          <t xml:space="preserve">Mazda</t>
        </is>
      </c>
      <c r="F13916" s="0" t="inlineStr">
        <is>
          <t xml:space="preserve">Mazda</t>
        </is>
      </c>
      <c r="G13916" s="0" t="s">
        <v>171</v>
      </c>
      <c r="H13916" s="5">
        <v>57.196800</v>
      </c>
    </row>
    <row r="13917" spans="1:9">
      <c r="A13917" s="22" t="str">
        <f>HYPERLINK("https://app.vivvix.com/360/KMI/IntelliDrive/ApplUI/Pages/CreativePages/CustomReportCreativeDetail.aspx?App=23&amp;ReportView=4&amp;Qid=1711279&amp;Row=13909&amp;Col=1","No Title Assigned - #15273892887")</f>
        <v/>
      </c>
      <c r="B13917" s="0" t="s">
        <v>18621</v>
      </c>
      <c r="E13917" s="0" t="inlineStr">
        <is>
          <t xml:space="preserve">Mazda</t>
        </is>
      </c>
      <c r="F13917" s="0" t="inlineStr">
        <is>
          <t xml:space="preserve">Mazda</t>
        </is>
      </c>
      <c r="G13917" s="0" t="s">
        <v>171</v>
      </c>
      <c r="H13917" s="5">
        <v>169.497800</v>
      </c>
    </row>
    <row r="13918" spans="1:9">
      <c r="A13918" s="22" t="str">
        <f>HYPERLINK("https://app.vivvix.com/360/KMI/IntelliDrive/ApplUI/Pages/CreativePages/CustomReportCreativeDetail.aspx?App=23&amp;ReportView=4&amp;Qid=1711279&amp;Row=13910&amp;Col=1","No Title Assigned - #15273892887")</f>
        <v/>
      </c>
      <c r="B13918" s="0" t="s">
        <v>18621</v>
      </c>
      <c r="E13918" s="0" t="inlineStr">
        <is>
          <t xml:space="preserve">Mazda</t>
        </is>
      </c>
      <c r="F13918" s="0" t="inlineStr">
        <is>
          <t xml:space="preserve">Mazda</t>
        </is>
      </c>
      <c r="G13918" s="0" t="s">
        <v>171</v>
      </c>
      <c r="H13918" s="5">
        <v>49.412200</v>
      </c>
    </row>
    <row r="13919" spans="1:9">
      <c r="A13919" s="22" t="str">
        <f>HYPERLINK("https://app.vivvix.com/360/KMI/IntelliDrive/ApplUI/Pages/CreativePages/CustomReportCreativeDetail.aspx?App=23&amp;ReportView=4&amp;Qid=1711279&amp;Row=13911&amp;Col=1","No Title Assigned - #15273892938")</f>
        <v/>
      </c>
      <c r="B13919" s="0" t="s">
        <v>18622</v>
      </c>
      <c r="E13919" s="0" t="inlineStr">
        <is>
          <t xml:space="preserve">Mazda</t>
        </is>
      </c>
      <c r="F13919" s="0" t="inlineStr">
        <is>
          <t xml:space="preserve">Mazda</t>
        </is>
      </c>
      <c r="G13919" s="0" t="s">
        <v>171</v>
      </c>
      <c r="H13919" s="5">
        <v>9.138600</v>
      </c>
    </row>
    <row r="13920" spans="1:9">
      <c r="A13920" s="22" t="str">
        <f>HYPERLINK("https://app.vivvix.com/360/KMI/IntelliDrive/ApplUI/Pages/CreativePages/CustomReportCreativeDetail.aspx?App=23&amp;ReportView=4&amp;Qid=1711279&amp;Row=13912&amp;Col=1","No Title Assigned - #15273893579")</f>
        <v/>
      </c>
      <c r="B13920" s="0" t="s">
        <v>18623</v>
      </c>
      <c r="E13920" s="0" t="inlineStr">
        <is>
          <t xml:space="preserve">Mazda</t>
        </is>
      </c>
      <c r="F13920" s="0" t="inlineStr">
        <is>
          <t xml:space="preserve">Mazda</t>
        </is>
      </c>
      <c r="G13920" s="0" t="s">
        <v>171</v>
      </c>
      <c r="H13920" s="5">
        <v>978.169100</v>
      </c>
    </row>
    <row r="13921" spans="1:9">
      <c r="A13921" s="22" t="str">
        <f>HYPERLINK("https://app.vivvix.com/360/KMI/IntelliDrive/ApplUI/Pages/CreativePages/CustomReportCreativeDetail.aspx?App=23&amp;ReportView=4&amp;Qid=1711279&amp;Row=13913&amp;Col=1","No Title Assigned - #15273893597")</f>
        <v/>
      </c>
      <c r="B13921" s="0" t="s">
        <v>18624</v>
      </c>
      <c r="E13921" s="0" t="inlineStr">
        <is>
          <t xml:space="preserve">Mazda</t>
        </is>
      </c>
      <c r="F13921" s="0" t="inlineStr">
        <is>
          <t xml:space="preserve">Mazda</t>
        </is>
      </c>
      <c r="G13921" s="0" t="s">
        <v>171</v>
      </c>
      <c r="H13921" s="5">
        <v>102.412800</v>
      </c>
    </row>
    <row r="13922" spans="1:9">
      <c r="A13922" s="22" t="str">
        <f>HYPERLINK("https://app.vivvix.com/360/KMI/IntelliDrive/ApplUI/Pages/CreativePages/CustomReportCreativeDetail.aspx?App=23&amp;ReportView=4&amp;Qid=1711279&amp;Row=13914&amp;Col=1","No Title Assigned - #15273893707")</f>
        <v/>
      </c>
      <c r="B13922" s="0" t="s">
        <v>18625</v>
      </c>
      <c r="C13922" s="0" t="s">
        <v>18626</v>
      </c>
      <c r="D13922" s="0" t="s">
        <v>18626</v>
      </c>
      <c r="E13922" s="0" t="inlineStr">
        <is>
          <t xml:space="preserve">Mazda</t>
        </is>
      </c>
      <c r="F13922" s="0" t="inlineStr">
        <is>
          <t xml:space="preserve">Mazda</t>
        </is>
      </c>
      <c r="G13922" s="0" t="s">
        <v>171</v>
      </c>
      <c r="H13922" s="5">
        <v>240.997400</v>
      </c>
    </row>
    <row r="13923" spans="1:9">
      <c r="A13923" s="22" t="str">
        <f>HYPERLINK("https://app.vivvix.com/360/KMI/IntelliDrive/ApplUI/Pages/CreativePages/CustomReportCreativeDetail.aspx?App=23&amp;ReportView=4&amp;Qid=1711279&amp;Row=13915&amp;Col=1","No Title Assigned - #15273893861")</f>
        <v/>
      </c>
      <c r="B13923" s="0" t="s">
        <v>18627</v>
      </c>
      <c r="E13923" s="0" t="inlineStr">
        <is>
          <t xml:space="preserve">Mazda</t>
        </is>
      </c>
      <c r="F13923" s="0" t="inlineStr">
        <is>
          <t xml:space="preserve">Mazda</t>
        </is>
      </c>
      <c r="G13923" s="0" t="s">
        <v>171</v>
      </c>
      <c r="H13923" s="5">
        <v>251.812500</v>
      </c>
    </row>
    <row r="13924" spans="1:9">
      <c r="A13924" s="22" t="str">
        <f>HYPERLINK("https://app.vivvix.com/360/KMI/IntelliDrive/ApplUI/Pages/CreativePages/CustomReportCreativeDetail.aspx?App=23&amp;ReportView=4&amp;Qid=1711279&amp;Row=13916&amp;Col=1","No Title Assigned - #15273893897")</f>
        <v/>
      </c>
      <c r="B13924" s="0" t="s">
        <v>18628</v>
      </c>
      <c r="E13924" s="0" t="inlineStr">
        <is>
          <t xml:space="preserve">Mazda</t>
        </is>
      </c>
      <c r="F13924" s="0" t="inlineStr">
        <is>
          <t xml:space="preserve">Mazda</t>
        </is>
      </c>
      <c r="G13924" s="0" t="s">
        <v>171</v>
      </c>
      <c r="H13924" s="5">
        <v>66.634700</v>
      </c>
    </row>
    <row r="13925" spans="1:9">
      <c r="A13925" s="22" t="str">
        <f>HYPERLINK("https://app.vivvix.com/360/KMI/IntelliDrive/ApplUI/Pages/CreativePages/CustomReportCreativeDetail.aspx?App=23&amp;ReportView=4&amp;Qid=1711279&amp;Row=13917&amp;Col=1","No Title Assigned - #15273894065")</f>
        <v/>
      </c>
      <c r="B13925" s="0" t="s">
        <v>18629</v>
      </c>
      <c r="E13925" s="0" t="inlineStr">
        <is>
          <t xml:space="preserve">Mazda</t>
        </is>
      </c>
      <c r="F13925" s="0" t="inlineStr">
        <is>
          <t xml:space="preserve">Mazda</t>
        </is>
      </c>
      <c r="G13925" s="0" t="s">
        <v>171</v>
      </c>
      <c r="H13925" s="5">
        <v>26.523800</v>
      </c>
    </row>
    <row r="13926" spans="1:9">
      <c r="A13926" s="22" t="str">
        <f>HYPERLINK("https://app.vivvix.com/360/KMI/IntelliDrive/ApplUI/Pages/CreativePages/CustomReportCreativeDetail.aspx?App=23&amp;ReportView=4&amp;Qid=1711279&amp;Row=13918&amp;Col=1","No Title Assigned - #15273894184")</f>
        <v/>
      </c>
      <c r="B13926" s="0" t="s">
        <v>18630</v>
      </c>
      <c r="E13926" s="0" t="inlineStr">
        <is>
          <t xml:space="preserve">Mazda</t>
        </is>
      </c>
      <c r="F13926" s="0" t="inlineStr">
        <is>
          <t xml:space="preserve">Mazda</t>
        </is>
      </c>
      <c r="G13926" s="0" t="s">
        <v>171</v>
      </c>
      <c r="H13926" s="5">
        <v>396.495900</v>
      </c>
    </row>
    <row r="13927" spans="1:9">
      <c r="A13927" s="22" t="str">
        <f>HYPERLINK("https://app.vivvix.com/360/KMI/IntelliDrive/ApplUI/Pages/CreativePages/CustomReportCreativeDetail.aspx?App=23&amp;ReportView=4&amp;Qid=1711279&amp;Row=13919&amp;Col=1","No Title Assigned - #15273894328")</f>
        <v/>
      </c>
      <c r="B13927" s="0" t="s">
        <v>18631</v>
      </c>
      <c r="E13927" s="0" t="inlineStr">
        <is>
          <t xml:space="preserve">Mazda</t>
        </is>
      </c>
      <c r="F13927" s="0" t="inlineStr">
        <is>
          <t xml:space="preserve">Mazda</t>
        </is>
      </c>
      <c r="G13927" s="0" t="s">
        <v>171</v>
      </c>
      <c r="H13927" s="5">
        <v>2849.631300</v>
      </c>
    </row>
    <row r="13928" spans="1:9">
      <c r="A13928" s="22" t="str">
        <f>HYPERLINK("https://app.vivvix.com/360/KMI/IntelliDrive/ApplUI/Pages/CreativePages/CustomReportCreativeDetail.aspx?App=23&amp;ReportView=4&amp;Qid=1711279&amp;Row=13920&amp;Col=1","No Title Assigned - #15273894351")</f>
        <v/>
      </c>
      <c r="B13928" s="0" t="s">
        <v>18632</v>
      </c>
      <c r="E13928" s="0" t="inlineStr">
        <is>
          <t xml:space="preserve">Mazda</t>
        </is>
      </c>
      <c r="F13928" s="0" t="inlineStr">
        <is>
          <t xml:space="preserve">Mazda</t>
        </is>
      </c>
      <c r="G13928" s="0" t="s">
        <v>171</v>
      </c>
      <c r="H13928" s="5">
        <v>114.308800</v>
      </c>
    </row>
    <row r="13929" spans="1:9">
      <c r="A13929" s="22" t="str">
        <f>HYPERLINK("https://app.vivvix.com/360/KMI/IntelliDrive/ApplUI/Pages/CreativePages/CustomReportCreativeDetail.aspx?App=23&amp;ReportView=4&amp;Qid=1711279&amp;Row=13921&amp;Col=1","No Title Assigned - #15273894359")</f>
        <v/>
      </c>
      <c r="B13929" s="0" t="s">
        <v>18633</v>
      </c>
      <c r="E13929" s="0" t="inlineStr">
        <is>
          <t xml:space="preserve">Mazda</t>
        </is>
      </c>
      <c r="F13929" s="0" t="inlineStr">
        <is>
          <t xml:space="preserve">Mazda</t>
        </is>
      </c>
      <c r="G13929" s="0" t="s">
        <v>171</v>
      </c>
      <c r="H13929" s="5">
        <v>13.775300</v>
      </c>
    </row>
    <row r="13930" spans="1:9">
      <c r="A13930" s="22" t="str">
        <f>HYPERLINK("https://app.vivvix.com/360/KMI/IntelliDrive/ApplUI/Pages/CreativePages/CustomReportCreativeDetail.aspx?App=23&amp;ReportView=4&amp;Qid=1711279&amp;Row=13922&amp;Col=1","No Title Assigned - #15273894421")</f>
        <v/>
      </c>
      <c r="B13930" s="0" t="s">
        <v>18634</v>
      </c>
      <c r="E13930" s="0" t="inlineStr">
        <is>
          <t xml:space="preserve">Mazda</t>
        </is>
      </c>
      <c r="F13930" s="0" t="inlineStr">
        <is>
          <t xml:space="preserve">Mazda</t>
        </is>
      </c>
      <c r="G13930" s="0" t="s">
        <v>171</v>
      </c>
      <c r="H13930" s="5">
        <v>965.425700</v>
      </c>
    </row>
    <row r="13931" spans="1:9">
      <c r="A13931" s="22" t="str">
        <f>HYPERLINK("https://app.vivvix.com/360/KMI/IntelliDrive/ApplUI/Pages/CreativePages/CustomReportCreativeDetail.aspx?App=23&amp;ReportView=4&amp;Qid=1711279&amp;Row=13923&amp;Col=1","No Title Assigned - #15273894592")</f>
        <v/>
      </c>
      <c r="B13931" s="0" t="s">
        <v>18635</v>
      </c>
      <c r="E13931" s="0" t="inlineStr">
        <is>
          <t xml:space="preserve">Mazda</t>
        </is>
      </c>
      <c r="F13931" s="0" t="inlineStr">
        <is>
          <t xml:space="preserve">Mazda</t>
        </is>
      </c>
      <c r="G13931" s="0" t="s">
        <v>171</v>
      </c>
      <c r="H13931" s="5">
        <v>28.484300</v>
      </c>
    </row>
    <row r="13932" spans="1:9">
      <c r="A13932" s="22" t="str">
        <f>HYPERLINK("https://app.vivvix.com/360/KMI/IntelliDrive/ApplUI/Pages/CreativePages/CustomReportCreativeDetail.aspx?App=23&amp;ReportView=4&amp;Qid=1711279&amp;Row=13924&amp;Col=1","No Title Assigned - #15273894632")</f>
        <v/>
      </c>
      <c r="B13932" s="0" t="s">
        <v>18636</v>
      </c>
      <c r="E13932" s="0" t="inlineStr">
        <is>
          <t xml:space="preserve">Mazda</t>
        </is>
      </c>
      <c r="F13932" s="0" t="inlineStr">
        <is>
          <t xml:space="preserve">Mazda</t>
        </is>
      </c>
      <c r="G13932" s="0" t="s">
        <v>171</v>
      </c>
      <c r="H13932" s="5">
        <v>10.323700</v>
      </c>
    </row>
    <row r="13933" spans="1:9">
      <c r="A13933" s="22" t="str">
        <f>HYPERLINK("https://app.vivvix.com/360/KMI/IntelliDrive/ApplUI/Pages/CreativePages/CustomReportCreativeDetail.aspx?App=23&amp;ReportView=4&amp;Qid=1711279&amp;Row=13925&amp;Col=1","No Title Assigned - #15273894775")</f>
        <v/>
      </c>
      <c r="B13933" s="0" t="s">
        <v>18637</v>
      </c>
      <c r="E13933" s="0" t="inlineStr">
        <is>
          <t xml:space="preserve">Mazda</t>
        </is>
      </c>
      <c r="F13933" s="0" t="inlineStr">
        <is>
          <t xml:space="preserve">Mazda</t>
        </is>
      </c>
      <c r="G13933" s="0" t="s">
        <v>171</v>
      </c>
      <c r="H13933" s="5">
        <v>238.340400</v>
      </c>
    </row>
    <row r="13934" spans="1:9">
      <c r="A13934" s="22" t="str">
        <f>HYPERLINK("https://app.vivvix.com/360/KMI/IntelliDrive/ApplUI/Pages/CreativePages/CustomReportCreativeDetail.aspx?App=23&amp;ReportView=4&amp;Qid=1711279&amp;Row=13926&amp;Col=1","No Title Assigned - #15273894808")</f>
        <v/>
      </c>
      <c r="B13934" s="0" t="s">
        <v>18638</v>
      </c>
      <c r="E13934" s="0" t="inlineStr">
        <is>
          <t xml:space="preserve">Mazda</t>
        </is>
      </c>
      <c r="F13934" s="0" t="inlineStr">
        <is>
          <t xml:space="preserve">Mazda</t>
        </is>
      </c>
      <c r="G13934" s="0" t="s">
        <v>171</v>
      </c>
      <c r="H13934" s="5">
        <v>3.574800</v>
      </c>
    </row>
    <row r="13935" spans="1:9">
      <c r="A13935" s="22" t="str">
        <f>HYPERLINK("https://app.vivvix.com/360/KMI/IntelliDrive/ApplUI/Pages/CreativePages/CustomReportCreativeDetail.aspx?App=23&amp;ReportView=4&amp;Qid=1711279&amp;Row=13927&amp;Col=1","No Title Assigned - #15273894817")</f>
        <v/>
      </c>
      <c r="B13935" s="0" t="s">
        <v>18639</v>
      </c>
      <c r="E13935" s="0" t="inlineStr">
        <is>
          <t xml:space="preserve">Mazda</t>
        </is>
      </c>
      <c r="F13935" s="0" t="inlineStr">
        <is>
          <t xml:space="preserve">Mazda</t>
        </is>
      </c>
      <c r="G13935" s="0" t="s">
        <v>171</v>
      </c>
      <c r="H13935" s="5">
        <v>102.412800</v>
      </c>
    </row>
    <row r="13936" spans="1:9">
      <c r="A13936" s="22" t="str">
        <f>HYPERLINK("https://app.vivvix.com/360/KMI/IntelliDrive/ApplUI/Pages/CreativePages/CustomReportCreativeDetail.aspx?App=23&amp;ReportView=4&amp;Qid=1711279&amp;Row=13928&amp;Col=1","No Title Assigned - #15273894832")</f>
        <v/>
      </c>
      <c r="B13936" s="0" t="s">
        <v>18640</v>
      </c>
      <c r="E13936" s="0" t="inlineStr">
        <is>
          <t xml:space="preserve">Mazda</t>
        </is>
      </c>
      <c r="F13936" s="0" t="inlineStr">
        <is>
          <t xml:space="preserve">Mazda</t>
        </is>
      </c>
      <c r="G13936" s="0" t="s">
        <v>171</v>
      </c>
      <c r="H13936" s="5">
        <v>241.599200</v>
      </c>
    </row>
    <row r="13937" spans="1:9">
      <c r="A13937" s="22" t="str">
        <f>HYPERLINK("https://app.vivvix.com/360/KMI/IntelliDrive/ApplUI/Pages/CreativePages/CustomReportCreativeDetail.aspx?App=23&amp;ReportView=4&amp;Qid=1711279&amp;Row=13929&amp;Col=1","No Title Assigned - #15273894835")</f>
        <v/>
      </c>
      <c r="B13937" s="0" t="s">
        <v>18641</v>
      </c>
      <c r="E13937" s="0" t="inlineStr">
        <is>
          <t xml:space="preserve">Mazda</t>
        </is>
      </c>
      <c r="F13937" s="0" t="inlineStr">
        <is>
          <t xml:space="preserve">Mazda</t>
        </is>
      </c>
      <c r="G13937" s="0" t="s">
        <v>171</v>
      </c>
      <c r="H13937" s="5">
        <v>104157.594600</v>
      </c>
    </row>
    <row r="13938" spans="1:9">
      <c r="A13938" s="22" t="str">
        <f>HYPERLINK("https://app.vivvix.com/360/KMI/IntelliDrive/ApplUI/Pages/CreativePages/CustomReportCreativeDetail.aspx?App=23&amp;ReportView=4&amp;Qid=1711279&amp;Row=13930&amp;Col=1","No Title Assigned - #15273894845")</f>
        <v/>
      </c>
      <c r="B13938" s="0" t="s">
        <v>18642</v>
      </c>
      <c r="E13938" s="0" t="inlineStr">
        <is>
          <t xml:space="preserve">Mazda</t>
        </is>
      </c>
      <c r="F13938" s="0" t="inlineStr">
        <is>
          <t xml:space="preserve">Mazda</t>
        </is>
      </c>
      <c r="G13938" s="0" t="s">
        <v>171</v>
      </c>
      <c r="H13938" s="5">
        <v>461.659800</v>
      </c>
    </row>
    <row r="13939" spans="1:9">
      <c r="A13939" s="22" t="str">
        <f>HYPERLINK("https://app.vivvix.com/360/KMI/IntelliDrive/ApplUI/Pages/CreativePages/CustomReportCreativeDetail.aspx?App=23&amp;ReportView=4&amp;Qid=1711279&amp;Row=13931&amp;Col=1","No Title Assigned - #15273894909")</f>
        <v/>
      </c>
      <c r="B13939" s="0" t="s">
        <v>18643</v>
      </c>
      <c r="E13939" s="0" t="inlineStr">
        <is>
          <t xml:space="preserve">Mazda</t>
        </is>
      </c>
      <c r="F13939" s="0" t="inlineStr">
        <is>
          <t xml:space="preserve">Mazda</t>
        </is>
      </c>
      <c r="G13939" s="0" t="s">
        <v>171</v>
      </c>
      <c r="H13939" s="5">
        <v>67.222100</v>
      </c>
    </row>
    <row r="13940" spans="1:9">
      <c r="A13940" s="22" t="str">
        <f>HYPERLINK("https://app.vivvix.com/360/KMI/IntelliDrive/ApplUI/Pages/CreativePages/CustomReportCreativeDetail.aspx?App=23&amp;ReportView=4&amp;Qid=1711279&amp;Row=13932&amp;Col=1","No Title Assigned - #15273894975")</f>
        <v/>
      </c>
      <c r="B13940" s="0" t="s">
        <v>18644</v>
      </c>
      <c r="E13940" s="0" t="inlineStr">
        <is>
          <t xml:space="preserve">Mazda</t>
        </is>
      </c>
      <c r="F13940" s="0" t="inlineStr">
        <is>
          <t xml:space="preserve">Mazda</t>
        </is>
      </c>
      <c r="G13940" s="0" t="s">
        <v>171</v>
      </c>
      <c r="H13940" s="5">
        <v>2711.611200</v>
      </c>
    </row>
    <row r="13941" spans="1:9">
      <c r="A13941" s="22" t="str">
        <f>HYPERLINK("https://app.vivvix.com/360/KMI/IntelliDrive/ApplUI/Pages/CreativePages/CustomReportCreativeDetail.aspx?App=23&amp;ReportView=4&amp;Qid=1711279&amp;Row=13933&amp;Col=1","No Title Assigned - #15273895009")</f>
        <v/>
      </c>
      <c r="B13941" s="0" t="s">
        <v>18645</v>
      </c>
      <c r="E13941" s="0" t="inlineStr">
        <is>
          <t xml:space="preserve">Mazda</t>
        </is>
      </c>
      <c r="F13941" s="0" t="inlineStr">
        <is>
          <t xml:space="preserve">Mazda</t>
        </is>
      </c>
      <c r="G13941" s="0" t="s">
        <v>171</v>
      </c>
      <c r="H13941" s="5">
        <v>442.338400</v>
      </c>
    </row>
    <row r="13942" spans="1:9">
      <c r="A13942" s="22" t="str">
        <f>HYPERLINK("https://app.vivvix.com/360/KMI/IntelliDrive/ApplUI/Pages/CreativePages/CustomReportCreativeDetail.aspx?App=23&amp;ReportView=4&amp;Qid=1711279&amp;Row=13934&amp;Col=1","No Title Assigned - #15273895130")</f>
        <v/>
      </c>
      <c r="B13942" s="0" t="s">
        <v>18646</v>
      </c>
      <c r="E13942" s="0" t="inlineStr">
        <is>
          <t xml:space="preserve">Mazda</t>
        </is>
      </c>
      <c r="F13942" s="0" t="inlineStr">
        <is>
          <t xml:space="preserve">Mazda</t>
        </is>
      </c>
      <c r="G13942" s="0" t="s">
        <v>171</v>
      </c>
      <c r="H13942" s="5">
        <v>327.532400</v>
      </c>
    </row>
    <row r="13943" spans="1:9">
      <c r="A13943" s="22" t="str">
        <f>HYPERLINK("https://app.vivvix.com/360/KMI/IntelliDrive/ApplUI/Pages/CreativePages/CustomReportCreativeDetail.aspx?App=23&amp;ReportView=4&amp;Qid=1711279&amp;Row=13935&amp;Col=1","No Title Assigned - #15273895159")</f>
        <v/>
      </c>
      <c r="B13943" s="0" t="s">
        <v>18647</v>
      </c>
      <c r="E13943" s="0" t="inlineStr">
        <is>
          <t xml:space="preserve">Mazda</t>
        </is>
      </c>
      <c r="F13943" s="0" t="inlineStr">
        <is>
          <t xml:space="preserve">Mazda</t>
        </is>
      </c>
      <c r="G13943" s="0" t="s">
        <v>171</v>
      </c>
      <c r="H13943" s="5">
        <v>13.278400</v>
      </c>
    </row>
    <row r="13944" spans="1:9">
      <c r="A13944" s="22" t="str">
        <f>HYPERLINK("https://app.vivvix.com/360/KMI/IntelliDrive/ApplUI/Pages/CreativePages/CustomReportCreativeDetail.aspx?App=23&amp;ReportView=4&amp;Qid=1711279&amp;Row=13936&amp;Col=1","No Title Assigned - #15273895375")</f>
        <v/>
      </c>
      <c r="B13944" s="0" t="s">
        <v>18648</v>
      </c>
      <c r="E13944" s="0" t="inlineStr">
        <is>
          <t xml:space="preserve">Mazda</t>
        </is>
      </c>
      <c r="F13944" s="0" t="inlineStr">
        <is>
          <t xml:space="preserve">Mazda</t>
        </is>
      </c>
      <c r="G13944" s="0" t="s">
        <v>171</v>
      </c>
      <c r="H13944" s="5">
        <v>47.033100</v>
      </c>
    </row>
    <row r="13945" spans="1:9">
      <c r="A13945" s="22" t="str">
        <f>HYPERLINK("https://app.vivvix.com/360/KMI/IntelliDrive/ApplUI/Pages/CreativePages/CustomReportCreativeDetail.aspx?App=23&amp;ReportView=4&amp;Qid=1711279&amp;Row=13937&amp;Col=1","No Title Assigned - #15273895602")</f>
        <v/>
      </c>
      <c r="B13945" s="0" t="s">
        <v>18649</v>
      </c>
      <c r="E13945" s="0" t="inlineStr">
        <is>
          <t xml:space="preserve">Mazda</t>
        </is>
      </c>
      <c r="F13945" s="0" t="inlineStr">
        <is>
          <t xml:space="preserve">Mazda</t>
        </is>
      </c>
      <c r="G13945" s="0" t="s">
        <v>171</v>
      </c>
      <c r="H13945" s="5">
        <v>132.320900</v>
      </c>
    </row>
    <row r="13946" spans="1:9">
      <c r="A13946" s="22" t="str">
        <f>HYPERLINK("https://app.vivvix.com/360/KMI/IntelliDrive/ApplUI/Pages/CreativePages/CustomReportCreativeDetail.aspx?App=23&amp;ReportView=4&amp;Qid=1711279&amp;Row=13938&amp;Col=1","No Title Assigned - #15273895791")</f>
        <v/>
      </c>
      <c r="B13946" s="0" t="s">
        <v>18650</v>
      </c>
      <c r="E13946" s="0" t="inlineStr">
        <is>
          <t xml:space="preserve">Mazda</t>
        </is>
      </c>
      <c r="F13946" s="0" t="inlineStr">
        <is>
          <t xml:space="preserve">Mazda</t>
        </is>
      </c>
      <c r="G13946" s="0" t="s">
        <v>171</v>
      </c>
      <c r="H13946" s="5">
        <v>23.759700</v>
      </c>
    </row>
    <row r="13947" spans="1:9">
      <c r="A13947" s="22" t="str">
        <f>HYPERLINK("https://app.vivvix.com/360/KMI/IntelliDrive/ApplUI/Pages/CreativePages/CustomReportCreativeDetail.aspx?App=23&amp;ReportView=4&amp;Qid=1711279&amp;Row=13939&amp;Col=1","No Title Assigned - #15273895791")</f>
        <v/>
      </c>
      <c r="B13947" s="0" t="s">
        <v>18650</v>
      </c>
      <c r="E13947" s="0" t="inlineStr">
        <is>
          <t xml:space="preserve">Mazda</t>
        </is>
      </c>
      <c r="F13947" s="0" t="inlineStr">
        <is>
          <t xml:space="preserve">Mazda</t>
        </is>
      </c>
      <c r="G13947" s="0" t="s">
        <v>171</v>
      </c>
      <c r="H13947" s="5">
        <v>35.703900</v>
      </c>
    </row>
    <row r="13948" spans="1:9">
      <c r="A13948" s="22" t="str">
        <f>HYPERLINK("https://app.vivvix.com/360/KMI/IntelliDrive/ApplUI/Pages/CreativePages/CustomReportCreativeDetail.aspx?App=23&amp;ReportView=4&amp;Qid=1711279&amp;Row=13940&amp;Col=1","No Title Assigned - #15273895798")</f>
        <v/>
      </c>
      <c r="B13948" s="0" t="s">
        <v>18651</v>
      </c>
      <c r="E13948" s="0" t="inlineStr">
        <is>
          <t xml:space="preserve">Mazda</t>
        </is>
      </c>
      <c r="F13948" s="0" t="inlineStr">
        <is>
          <t xml:space="preserve">Mazda</t>
        </is>
      </c>
      <c r="G13948" s="0" t="s">
        <v>171</v>
      </c>
      <c r="H13948" s="5">
        <v>45.698600</v>
      </c>
    </row>
    <row r="13949" spans="1:9">
      <c r="A13949" s="22" t="str">
        <f>HYPERLINK("https://app.vivvix.com/360/KMI/IntelliDrive/ApplUI/Pages/CreativePages/CustomReportCreativeDetail.aspx?App=23&amp;ReportView=4&amp;Qid=1711279&amp;Row=13941&amp;Col=1","No Title Assigned - #15273895868")</f>
        <v/>
      </c>
      <c r="B13949" s="0" t="s">
        <v>18652</v>
      </c>
      <c r="C13949" s="0" t="s">
        <v>18653</v>
      </c>
      <c r="D13949" s="0" t="s">
        <v>18653</v>
      </c>
      <c r="E13949" s="0" t="inlineStr">
        <is>
          <t xml:space="preserve">Mazda</t>
        </is>
      </c>
      <c r="F13949" s="0" t="inlineStr">
        <is>
          <t xml:space="preserve">Mazda</t>
        </is>
      </c>
      <c r="G13949" s="0" t="s">
        <v>171</v>
      </c>
      <c r="H13949" s="5">
        <v>279.353700</v>
      </c>
    </row>
    <row r="13950" spans="1:9">
      <c r="A13950" s="22" t="str">
        <f>HYPERLINK("https://app.vivvix.com/360/KMI/IntelliDrive/ApplUI/Pages/CreativePages/CustomReportCreativeDetail.aspx?App=23&amp;ReportView=4&amp;Qid=1711279&amp;Row=13942&amp;Col=1","No Title Assigned - #15273896056")</f>
        <v/>
      </c>
      <c r="B13950" s="0" t="s">
        <v>18654</v>
      </c>
      <c r="E13950" s="0" t="inlineStr">
        <is>
          <t xml:space="preserve">Mazda</t>
        </is>
      </c>
      <c r="F13950" s="0" t="inlineStr">
        <is>
          <t xml:space="preserve">Mazda</t>
        </is>
      </c>
      <c r="G13950" s="0" t="s">
        <v>171</v>
      </c>
      <c r="H13950" s="5">
        <v>28.710300</v>
      </c>
    </row>
    <row r="13951" spans="1:9">
      <c r="A13951" s="22" t="str">
        <f>HYPERLINK("https://app.vivvix.com/360/KMI/IntelliDrive/ApplUI/Pages/CreativePages/CustomReportCreativeDetail.aspx?App=23&amp;ReportView=4&amp;Qid=1711279&amp;Row=13943&amp;Col=1","No Title Assigned - #15273896362")</f>
        <v/>
      </c>
      <c r="B13951" s="0" t="s">
        <v>18655</v>
      </c>
      <c r="E13951" s="0" t="inlineStr">
        <is>
          <t xml:space="preserve">Mazda</t>
        </is>
      </c>
      <c r="F13951" s="0" t="inlineStr">
        <is>
          <t xml:space="preserve">Mazda</t>
        </is>
      </c>
      <c r="G13951" s="0" t="s">
        <v>171</v>
      </c>
      <c r="H13951" s="5">
        <v>1766.438600</v>
      </c>
    </row>
    <row r="13952" spans="1:9">
      <c r="A13952" s="22" t="str">
        <f>HYPERLINK("https://app.vivvix.com/360/KMI/IntelliDrive/ApplUI/Pages/CreativePages/CustomReportCreativeDetail.aspx?App=23&amp;ReportView=4&amp;Qid=1711279&amp;Row=13944&amp;Col=1","No Title Assigned - #15273896484")</f>
        <v/>
      </c>
      <c r="B13952" s="0" t="s">
        <v>18656</v>
      </c>
      <c r="E13952" s="0" t="inlineStr">
        <is>
          <t xml:space="preserve">Mazda</t>
        </is>
      </c>
      <c r="F13952" s="0" t="inlineStr">
        <is>
          <t xml:space="preserve">Mazda</t>
        </is>
      </c>
      <c r="G13952" s="0" t="s">
        <v>171</v>
      </c>
      <c r="H13952" s="5">
        <v>79.672200</v>
      </c>
    </row>
    <row r="13953" spans="1:9">
      <c r="A13953" s="22" t="str">
        <f>HYPERLINK("https://app.vivvix.com/360/KMI/IntelliDrive/ApplUI/Pages/CreativePages/CustomReportCreativeDetail.aspx?App=23&amp;ReportView=4&amp;Qid=1711279&amp;Row=13945&amp;Col=1","No Title Assigned - #15273896484")</f>
        <v/>
      </c>
      <c r="B13953" s="0" t="s">
        <v>18656</v>
      </c>
      <c r="E13953" s="0" t="inlineStr">
        <is>
          <t xml:space="preserve">Mazda</t>
        </is>
      </c>
      <c r="F13953" s="0" t="inlineStr">
        <is>
          <t xml:space="preserve">Mazda</t>
        </is>
      </c>
      <c r="G13953" s="0" t="s">
        <v>171</v>
      </c>
      <c r="H13953" s="5">
        <v>15.960200</v>
      </c>
    </row>
    <row r="13954" spans="1:9">
      <c r="A13954" s="22" t="str">
        <f>HYPERLINK("https://app.vivvix.com/360/KMI/IntelliDrive/ApplUI/Pages/CreativePages/CustomReportCreativeDetail.aspx?App=23&amp;ReportView=4&amp;Qid=1711279&amp;Row=13946&amp;Col=1","No Title Assigned - #15273896528")</f>
        <v/>
      </c>
      <c r="B13954" s="0" t="s">
        <v>18657</v>
      </c>
      <c r="E13954" s="0" t="inlineStr">
        <is>
          <t xml:space="preserve">Mazda</t>
        </is>
      </c>
      <c r="F13954" s="0" t="inlineStr">
        <is>
          <t xml:space="preserve">Mazda</t>
        </is>
      </c>
      <c r="G13954" s="0" t="s">
        <v>171</v>
      </c>
      <c r="H13954" s="5">
        <v>23.524800</v>
      </c>
    </row>
    <row r="13955" spans="1:9">
      <c r="A13955" s="22" t="str">
        <f>HYPERLINK("https://app.vivvix.com/360/KMI/IntelliDrive/ApplUI/Pages/CreativePages/CustomReportCreativeDetail.aspx?App=23&amp;ReportView=4&amp;Qid=1711279&amp;Row=13947&amp;Col=1","No Title Assigned - #15273896725")</f>
        <v/>
      </c>
      <c r="B13955" s="0" t="s">
        <v>18658</v>
      </c>
      <c r="E13955" s="0" t="inlineStr">
        <is>
          <t xml:space="preserve">Mazda</t>
        </is>
      </c>
      <c r="F13955" s="0" t="inlineStr">
        <is>
          <t xml:space="preserve">Mazda</t>
        </is>
      </c>
      <c r="G13955" s="0" t="s">
        <v>171</v>
      </c>
      <c r="H13955" s="5">
        <v>103.336200</v>
      </c>
    </row>
    <row r="13956" spans="1:9">
      <c r="A13956" s="22" t="str">
        <f>HYPERLINK("https://app.vivvix.com/360/KMI/IntelliDrive/ApplUI/Pages/CreativePages/CustomReportCreativeDetail.aspx?App=23&amp;ReportView=4&amp;Qid=1711279&amp;Row=13948&amp;Col=1","No Title Assigned - #15273896726")</f>
        <v/>
      </c>
      <c r="B13956" s="0" t="s">
        <v>18659</v>
      </c>
      <c r="E13956" s="0" t="inlineStr">
        <is>
          <t xml:space="preserve">Mazda</t>
        </is>
      </c>
      <c r="F13956" s="0" t="inlineStr">
        <is>
          <t xml:space="preserve">Mazda</t>
        </is>
      </c>
      <c r="G13956" s="0" t="s">
        <v>171</v>
      </c>
      <c r="H13956" s="5">
        <v>156.136500</v>
      </c>
    </row>
    <row r="13957" spans="1:9">
      <c r="A13957" s="22" t="str">
        <f>HYPERLINK("https://app.vivvix.com/360/KMI/IntelliDrive/ApplUI/Pages/CreativePages/CustomReportCreativeDetail.aspx?App=23&amp;ReportView=4&amp;Qid=1711279&amp;Row=13949&amp;Col=1","No Title Assigned - #15273896727")</f>
        <v/>
      </c>
      <c r="B13957" s="0" t="s">
        <v>18660</v>
      </c>
      <c r="E13957" s="0" t="inlineStr">
        <is>
          <t xml:space="preserve">Mazda</t>
        </is>
      </c>
      <c r="F13957" s="0" t="inlineStr">
        <is>
          <t xml:space="preserve">Mazda</t>
        </is>
      </c>
      <c r="G13957" s="0" t="s">
        <v>171</v>
      </c>
      <c r="H13957" s="5">
        <v>467.122200</v>
      </c>
    </row>
    <row r="13958" spans="1:9">
      <c r="A13958" s="22" t="str">
        <f>HYPERLINK("https://app.vivvix.com/360/KMI/IntelliDrive/ApplUI/Pages/CreativePages/CustomReportCreativeDetail.aspx?App=23&amp;ReportView=4&amp;Qid=1711279&amp;Row=13950&amp;Col=1","No Title Assigned - #15273896924")</f>
        <v/>
      </c>
      <c r="B13958" s="0" t="s">
        <v>18661</v>
      </c>
      <c r="E13958" s="0" t="inlineStr">
        <is>
          <t xml:space="preserve">Mazda</t>
        </is>
      </c>
      <c r="F13958" s="0" t="s">
        <v>13</v>
      </c>
      <c r="G13958" s="0" t="s">
        <v>49</v>
      </c>
      <c r="H13958" s="5">
        <v>87.374000</v>
      </c>
    </row>
    <row r="13959" spans="1:9">
      <c r="A13959" s="22" t="str">
        <f>HYPERLINK("https://app.vivvix.com/360/KMI/IntelliDrive/ApplUI/Pages/CreativePages/CustomReportCreativeDetail.aspx?App=23&amp;ReportView=4&amp;Qid=1711279&amp;Row=13951&amp;Col=1","No Title Assigned - #15273896954")</f>
        <v/>
      </c>
      <c r="B13959" s="0" t="s">
        <v>18662</v>
      </c>
      <c r="E13959" s="0" t="inlineStr">
        <is>
          <t xml:space="preserve">Mazda</t>
        </is>
      </c>
      <c r="F13959" s="0" t="inlineStr">
        <is>
          <t xml:space="preserve">Mazda</t>
        </is>
      </c>
      <c r="G13959" s="0" t="s">
        <v>171</v>
      </c>
      <c r="H13959" s="5">
        <v>89.330400</v>
      </c>
    </row>
    <row r="13960" spans="1:9">
      <c r="A13960" s="22" t="str">
        <f>HYPERLINK("https://app.vivvix.com/360/KMI/IntelliDrive/ApplUI/Pages/CreativePages/CustomReportCreativeDetail.aspx?App=23&amp;ReportView=4&amp;Qid=1711279&amp;Row=13952&amp;Col=1","No Title Assigned - #15273897153")</f>
        <v/>
      </c>
      <c r="B13960" s="0" t="s">
        <v>18663</v>
      </c>
      <c r="E13960" s="0" t="inlineStr">
        <is>
          <t xml:space="preserve">Mazda</t>
        </is>
      </c>
      <c r="F13960" s="0" t="inlineStr">
        <is>
          <t xml:space="preserve">Mazda</t>
        </is>
      </c>
      <c r="G13960" s="0" t="s">
        <v>171</v>
      </c>
      <c r="H13960" s="5">
        <v>78.649200</v>
      </c>
    </row>
    <row r="13961" spans="1:9">
      <c r="A13961" s="22" t="str">
        <f>HYPERLINK("https://app.vivvix.com/360/KMI/IntelliDrive/ApplUI/Pages/CreativePages/CustomReportCreativeDetail.aspx?App=23&amp;ReportView=4&amp;Qid=1711279&amp;Row=13953&amp;Col=1","No Title Assigned - #15273897199")</f>
        <v/>
      </c>
      <c r="B13961" s="0" t="s">
        <v>18664</v>
      </c>
      <c r="E13961" s="0" t="inlineStr">
        <is>
          <t xml:space="preserve">Mazda</t>
        </is>
      </c>
      <c r="F13961" s="0" t="inlineStr">
        <is>
          <t xml:space="preserve">Mazda</t>
        </is>
      </c>
      <c r="G13961" s="0" t="s">
        <v>171</v>
      </c>
      <c r="H13961" s="5">
        <v>237.367200</v>
      </c>
    </row>
    <row r="13962" spans="1:9">
      <c r="A13962" s="22" t="str">
        <f>HYPERLINK("https://app.vivvix.com/360/KMI/IntelliDrive/ApplUI/Pages/CreativePages/CustomReportCreativeDetail.aspx?App=23&amp;ReportView=4&amp;Qid=1711279&amp;Row=13954&amp;Col=1","No Title Assigned - #15273897295")</f>
        <v/>
      </c>
      <c r="B13962" s="0" t="s">
        <v>18665</v>
      </c>
      <c r="C13962" s="0" t="s">
        <v>18666</v>
      </c>
      <c r="D13962" s="0" t="s">
        <v>18666</v>
      </c>
      <c r="E13962" s="0" t="inlineStr">
        <is>
          <t xml:space="preserve">Mazda</t>
        </is>
      </c>
      <c r="F13962" s="0" t="inlineStr">
        <is>
          <t xml:space="preserve">Mazda</t>
        </is>
      </c>
      <c r="G13962" s="0" t="s">
        <v>171</v>
      </c>
      <c r="H13962" s="5">
        <v>95.931000</v>
      </c>
    </row>
    <row r="13963" spans="1:9">
      <c r="A13963" s="22" t="str">
        <f>HYPERLINK("https://app.vivvix.com/360/KMI/IntelliDrive/ApplUI/Pages/CreativePages/CustomReportCreativeDetail.aspx?App=23&amp;ReportView=4&amp;Qid=1711279&amp;Row=13955&amp;Col=1","No Title Assigned - #15273897295")</f>
        <v/>
      </c>
      <c r="B13963" s="0" t="s">
        <v>18665</v>
      </c>
      <c r="E13963" s="0" t="inlineStr">
        <is>
          <t xml:space="preserve">Mazda</t>
        </is>
      </c>
      <c r="F13963" s="0" t="inlineStr">
        <is>
          <t xml:space="preserve">Mazda</t>
        </is>
      </c>
      <c r="G13963" s="0" t="s">
        <v>171</v>
      </c>
      <c r="H13963" s="5">
        <v>3065.683300</v>
      </c>
    </row>
    <row r="13964" spans="1:9">
      <c r="A13964" s="22" t="str">
        <f>HYPERLINK("https://app.vivvix.com/360/KMI/IntelliDrive/ApplUI/Pages/CreativePages/CustomReportCreativeDetail.aspx?App=23&amp;ReportView=4&amp;Qid=1711279&amp;Row=13956&amp;Col=1","No Title Assigned - #15273897317")</f>
        <v/>
      </c>
      <c r="B13964" s="0" t="s">
        <v>18667</v>
      </c>
      <c r="E13964" s="0" t="inlineStr">
        <is>
          <t xml:space="preserve">Mazda</t>
        </is>
      </c>
      <c r="F13964" s="0" t="inlineStr">
        <is>
          <t xml:space="preserve">Mazda</t>
        </is>
      </c>
      <c r="G13964" s="0" t="s">
        <v>171</v>
      </c>
      <c r="H13964" s="5">
        <v>13.775300</v>
      </c>
    </row>
    <row r="13965" spans="1:9">
      <c r="A13965" s="22" t="str">
        <f>HYPERLINK("https://app.vivvix.com/360/KMI/IntelliDrive/ApplUI/Pages/CreativePages/CustomReportCreativeDetail.aspx?App=23&amp;ReportView=4&amp;Qid=1711279&amp;Row=13957&amp;Col=1","No Title Assigned - #15273897348")</f>
        <v/>
      </c>
      <c r="B13965" s="0" t="s">
        <v>18668</v>
      </c>
      <c r="E13965" s="0" t="inlineStr">
        <is>
          <t xml:space="preserve">Mazda</t>
        </is>
      </c>
      <c r="F13965" s="0" t="inlineStr">
        <is>
          <t xml:space="preserve">Mazda</t>
        </is>
      </c>
      <c r="G13965" s="0" t="s">
        <v>171</v>
      </c>
      <c r="H13965" s="5">
        <v>393.867700</v>
      </c>
    </row>
    <row r="13966" spans="1:9">
      <c r="A13966" s="22" t="str">
        <f>HYPERLINK("https://app.vivvix.com/360/KMI/IntelliDrive/ApplUI/Pages/CreativePages/CustomReportCreativeDetail.aspx?App=23&amp;ReportView=4&amp;Qid=1711279&amp;Row=13958&amp;Col=1","No Title Assigned - #15273897743")</f>
        <v/>
      </c>
      <c r="B13966" s="0" t="s">
        <v>18669</v>
      </c>
      <c r="E13966" s="0" t="inlineStr">
        <is>
          <t xml:space="preserve">Mazda</t>
        </is>
      </c>
      <c r="F13966" s="0" t="inlineStr">
        <is>
          <t xml:space="preserve">Mazda</t>
        </is>
      </c>
      <c r="G13966" s="0" t="s">
        <v>171</v>
      </c>
      <c r="H13966" s="5">
        <v>5047.093800</v>
      </c>
    </row>
    <row r="13967" spans="1:9">
      <c r="A13967" s="22" t="str">
        <f>HYPERLINK("https://app.vivvix.com/360/KMI/IntelliDrive/ApplUI/Pages/CreativePages/CustomReportCreativeDetail.aspx?App=23&amp;ReportView=4&amp;Qid=1711279&amp;Row=13959&amp;Col=1","No Title Assigned - #15273897819")</f>
        <v/>
      </c>
      <c r="B13967" s="0" t="s">
        <v>18670</v>
      </c>
      <c r="E13967" s="0" t="inlineStr">
        <is>
          <t xml:space="preserve">Mazda</t>
        </is>
      </c>
      <c r="F13967" s="0" t="inlineStr">
        <is>
          <t xml:space="preserve">Mazda</t>
        </is>
      </c>
      <c r="G13967" s="0" t="s">
        <v>171</v>
      </c>
      <c r="H13967" s="5">
        <v>3080.375200</v>
      </c>
    </row>
    <row r="13968" spans="1:9">
      <c r="A13968" s="22" t="str">
        <f>HYPERLINK("https://app.vivvix.com/360/KMI/IntelliDrive/ApplUI/Pages/CreativePages/CustomReportCreativeDetail.aspx?App=23&amp;ReportView=4&amp;Qid=1711279&amp;Row=13960&amp;Col=1","No Title Assigned - #15273897872")</f>
        <v/>
      </c>
      <c r="B13968" s="0" t="s">
        <v>18671</v>
      </c>
      <c r="E13968" s="0" t="inlineStr">
        <is>
          <t xml:space="preserve">Mazda</t>
        </is>
      </c>
      <c r="F13968" s="0" t="inlineStr">
        <is>
          <t xml:space="preserve">Mazda</t>
        </is>
      </c>
      <c r="G13968" s="0" t="s">
        <v>171</v>
      </c>
      <c r="H13968" s="5">
        <v>81.883100</v>
      </c>
    </row>
    <row r="13969" spans="1:9">
      <c r="A13969" s="22" t="str">
        <f>HYPERLINK("https://app.vivvix.com/360/KMI/IntelliDrive/ApplUI/Pages/CreativePages/CustomReportCreativeDetail.aspx?App=23&amp;ReportView=4&amp;Qid=1711279&amp;Row=13961&amp;Col=1","No Title Assigned - #15273897879")</f>
        <v/>
      </c>
      <c r="B13969" s="0" t="s">
        <v>18672</v>
      </c>
      <c r="E13969" s="0" t="inlineStr">
        <is>
          <t xml:space="preserve">Mazda</t>
        </is>
      </c>
      <c r="F13969" s="0" t="inlineStr">
        <is>
          <t xml:space="preserve">Mazda</t>
        </is>
      </c>
      <c r="G13969" s="0" t="s">
        <v>171</v>
      </c>
      <c r="H13969" s="5">
        <v>100.738000</v>
      </c>
    </row>
    <row r="13970" spans="1:9">
      <c r="A13970" s="22" t="str">
        <f>HYPERLINK("https://app.vivvix.com/360/KMI/IntelliDrive/ApplUI/Pages/CreativePages/CustomReportCreativeDetail.aspx?App=23&amp;ReportView=4&amp;Qid=1711279&amp;Row=13962&amp;Col=1","No Title Assigned - #15273897885")</f>
        <v/>
      </c>
      <c r="B13970" s="0" t="s">
        <v>18673</v>
      </c>
      <c r="E13970" s="0" t="inlineStr">
        <is>
          <t xml:space="preserve">Mazda</t>
        </is>
      </c>
      <c r="F13970" s="0" t="inlineStr">
        <is>
          <t xml:space="preserve">Mazda</t>
        </is>
      </c>
      <c r="G13970" s="0" t="s">
        <v>171</v>
      </c>
      <c r="H13970" s="5">
        <v>84.929000</v>
      </c>
    </row>
    <row r="13971" spans="1:9">
      <c r="A13971" s="22" t="str">
        <f>HYPERLINK("https://app.vivvix.com/360/KMI/IntelliDrive/ApplUI/Pages/CreativePages/CustomReportCreativeDetail.aspx?App=23&amp;ReportView=4&amp;Qid=1711279&amp;Row=13963&amp;Col=1","No Title Assigned - #15273898113")</f>
        <v/>
      </c>
      <c r="B13971" s="0" t="s">
        <v>18674</v>
      </c>
      <c r="E13971" s="0" t="inlineStr">
        <is>
          <t xml:space="preserve">Mazda</t>
        </is>
      </c>
      <c r="F13971" s="0" t="inlineStr">
        <is>
          <t xml:space="preserve">Mazda</t>
        </is>
      </c>
      <c r="G13971" s="0" t="s">
        <v>171</v>
      </c>
      <c r="H13971" s="5">
        <v>27.679900</v>
      </c>
    </row>
    <row r="13972" spans="1:9">
      <c r="A13972" s="22" t="str">
        <f>HYPERLINK("https://app.vivvix.com/360/KMI/IntelliDrive/ApplUI/Pages/CreativePages/CustomReportCreativeDetail.aspx?App=23&amp;ReportView=4&amp;Qid=1711279&amp;Row=13964&amp;Col=1","No Title Assigned - #15273898133")</f>
        <v/>
      </c>
      <c r="B13972" s="0" t="s">
        <v>18675</v>
      </c>
      <c r="E13972" s="0" t="inlineStr">
        <is>
          <t xml:space="preserve">Mazda</t>
        </is>
      </c>
      <c r="F13972" s="0" t="inlineStr">
        <is>
          <t xml:space="preserve">Mazda</t>
        </is>
      </c>
      <c r="G13972" s="0" t="s">
        <v>171</v>
      </c>
      <c r="H13972" s="5">
        <v>52.160500</v>
      </c>
    </row>
    <row r="13973" spans="1:9">
      <c r="A13973" s="22" t="str">
        <f>HYPERLINK("https://app.vivvix.com/360/KMI/IntelliDrive/ApplUI/Pages/CreativePages/CustomReportCreativeDetail.aspx?App=23&amp;ReportView=4&amp;Qid=1711279&amp;Row=13965&amp;Col=1","No Title Assigned - #15273899040")</f>
        <v/>
      </c>
      <c r="B13973" s="0" t="s">
        <v>18676</v>
      </c>
      <c r="E13973" s="0" t="inlineStr">
        <is>
          <t xml:space="preserve">Mazda</t>
        </is>
      </c>
      <c r="F13973" s="0" t="inlineStr">
        <is>
          <t xml:space="preserve">Mazda</t>
        </is>
      </c>
      <c r="G13973" s="0" t="s">
        <v>171</v>
      </c>
      <c r="H13973" s="5">
        <v>53.328300</v>
      </c>
    </row>
    <row r="13974" spans="1:9">
      <c r="A13974" s="22" t="str">
        <f>HYPERLINK("https://app.vivvix.com/360/KMI/IntelliDrive/ApplUI/Pages/CreativePages/CustomReportCreativeDetail.aspx?App=23&amp;ReportView=4&amp;Qid=1711279&amp;Row=13966&amp;Col=1","No Title Assigned - #15273899218")</f>
        <v/>
      </c>
      <c r="B13974" s="0" t="s">
        <v>18677</v>
      </c>
      <c r="E13974" s="0" t="inlineStr">
        <is>
          <t xml:space="preserve">Mazda</t>
        </is>
      </c>
      <c r="F13974" s="0" t="inlineStr">
        <is>
          <t xml:space="preserve">Mazda</t>
        </is>
      </c>
      <c r="G13974" s="0" t="s">
        <v>171</v>
      </c>
      <c r="H13974" s="5">
        <v>17.609600</v>
      </c>
    </row>
    <row r="13975" spans="1:9">
      <c r="A13975" s="22" t="str">
        <f>HYPERLINK("https://app.vivvix.com/360/KMI/IntelliDrive/ApplUI/Pages/CreativePages/CustomReportCreativeDetail.aspx?App=23&amp;ReportView=4&amp;Qid=1711279&amp;Row=13967&amp;Col=1","No Title Assigned - #15273899219")</f>
        <v/>
      </c>
      <c r="B13975" s="0" t="s">
        <v>18678</v>
      </c>
      <c r="E13975" s="0" t="inlineStr">
        <is>
          <t xml:space="preserve">Mazda</t>
        </is>
      </c>
      <c r="F13975" s="0" t="inlineStr">
        <is>
          <t xml:space="preserve">Mazda</t>
        </is>
      </c>
      <c r="G13975" s="0" t="s">
        <v>171</v>
      </c>
      <c r="H13975" s="5">
        <v>160.710800</v>
      </c>
    </row>
    <row r="13976" spans="1:9">
      <c r="A13976" s="22" t="str">
        <f>HYPERLINK("https://app.vivvix.com/360/KMI/IntelliDrive/ApplUI/Pages/CreativePages/CustomReportCreativeDetail.aspx?App=23&amp;ReportView=4&amp;Qid=1711279&amp;Row=13968&amp;Col=1","No Title Assigned - #15273899438")</f>
        <v/>
      </c>
      <c r="B13976" s="0" t="s">
        <v>18679</v>
      </c>
      <c r="E13976" s="0" t="inlineStr">
        <is>
          <t xml:space="preserve">Mazda</t>
        </is>
      </c>
      <c r="F13976" s="0" t="inlineStr">
        <is>
          <t xml:space="preserve">Mazda</t>
        </is>
      </c>
      <c r="G13976" s="0" t="s">
        <v>171</v>
      </c>
      <c r="H13976" s="5">
        <v>20.934600</v>
      </c>
    </row>
    <row r="13977" spans="1:9">
      <c r="A13977" s="22" t="str">
        <f>HYPERLINK("https://app.vivvix.com/360/KMI/IntelliDrive/ApplUI/Pages/CreativePages/CustomReportCreativeDetail.aspx?App=23&amp;ReportView=4&amp;Qid=1711279&amp;Row=13969&amp;Col=1","No Title Assigned - #15273900612")</f>
        <v/>
      </c>
      <c r="B13977" s="0" t="s">
        <v>18680</v>
      </c>
      <c r="E13977" s="0" t="inlineStr">
        <is>
          <t xml:space="preserve">Mazda</t>
        </is>
      </c>
      <c r="F13977" s="0" t="inlineStr">
        <is>
          <t xml:space="preserve">Mazda</t>
        </is>
      </c>
      <c r="G13977" s="0" t="s">
        <v>171</v>
      </c>
      <c r="H13977" s="5">
        <v>532.978500</v>
      </c>
    </row>
    <row r="13978" spans="1:9">
      <c r="A13978" s="22" t="str">
        <f>HYPERLINK("https://app.vivvix.com/360/KMI/IntelliDrive/ApplUI/Pages/CreativePages/CustomReportCreativeDetail.aspx?App=23&amp;ReportView=4&amp;Qid=1711279&amp;Row=13970&amp;Col=1","No Title Assigned - #15273900709")</f>
        <v/>
      </c>
      <c r="B13978" s="0" t="s">
        <v>18681</v>
      </c>
      <c r="E13978" s="0" t="inlineStr">
        <is>
          <t xml:space="preserve">Mazda</t>
        </is>
      </c>
      <c r="F13978" s="0" t="inlineStr">
        <is>
          <t xml:space="preserve">Mazda</t>
        </is>
      </c>
      <c r="G13978" s="0" t="s">
        <v>171</v>
      </c>
      <c r="H13978" s="5">
        <v>1.787400</v>
      </c>
    </row>
    <row r="13979" spans="1:9">
      <c r="A13979" s="22" t="str">
        <f>HYPERLINK("https://app.vivvix.com/360/KMI/IntelliDrive/ApplUI/Pages/CreativePages/CustomReportCreativeDetail.aspx?App=23&amp;ReportView=4&amp;Qid=1711279&amp;Row=13971&amp;Col=1","No Title Assigned - #15273900710")</f>
        <v/>
      </c>
      <c r="B13979" s="0" t="s">
        <v>18682</v>
      </c>
      <c r="C13979" s="0" t="s">
        <v>18683</v>
      </c>
      <c r="D13979" s="0" t="s">
        <v>18683</v>
      </c>
      <c r="E13979" s="0" t="inlineStr">
        <is>
          <t xml:space="preserve">Mazda</t>
        </is>
      </c>
      <c r="F13979" s="0" t="inlineStr">
        <is>
          <t xml:space="preserve">Mazda</t>
        </is>
      </c>
      <c r="G13979" s="0" t="s">
        <v>171</v>
      </c>
      <c r="H13979" s="5">
        <v>12.511800</v>
      </c>
    </row>
    <row r="13980" spans="1:9">
      <c r="A13980" s="22" t="str">
        <f>HYPERLINK("https://app.vivvix.com/360/KMI/IntelliDrive/ApplUI/Pages/CreativePages/CustomReportCreativeDetail.aspx?App=23&amp;ReportView=4&amp;Qid=1711279&amp;Row=13972&amp;Col=1","No Title Assigned - #15273900749")</f>
        <v/>
      </c>
      <c r="B13980" s="0" t="s">
        <v>18684</v>
      </c>
      <c r="E13980" s="0" t="inlineStr">
        <is>
          <t xml:space="preserve">Mazda</t>
        </is>
      </c>
      <c r="F13980" s="0" t="inlineStr">
        <is>
          <t xml:space="preserve">Mazda</t>
        </is>
      </c>
      <c r="G13980" s="0" t="s">
        <v>171</v>
      </c>
      <c r="H13980" s="5">
        <v>184.581200</v>
      </c>
    </row>
    <row r="13981" spans="1:9">
      <c r="A13981" s="22" t="str">
        <f>HYPERLINK("https://app.vivvix.com/360/KMI/IntelliDrive/ApplUI/Pages/CreativePages/CustomReportCreativeDetail.aspx?App=23&amp;ReportView=4&amp;Qid=1711279&amp;Row=13973&amp;Col=1","No Title Assigned - #15273900821")</f>
        <v/>
      </c>
      <c r="B13981" s="0" t="s">
        <v>18685</v>
      </c>
      <c r="E13981" s="0" t="inlineStr">
        <is>
          <t xml:space="preserve">Mazda</t>
        </is>
      </c>
      <c r="F13981" s="0" t="inlineStr">
        <is>
          <t xml:space="preserve">Mazda</t>
        </is>
      </c>
      <c r="G13981" s="0" t="s">
        <v>171</v>
      </c>
      <c r="H13981" s="5">
        <v>74.028000</v>
      </c>
    </row>
    <row r="13982" spans="1:9">
      <c r="A13982" s="22" t="str">
        <f>HYPERLINK("https://app.vivvix.com/360/KMI/IntelliDrive/ApplUI/Pages/CreativePages/CustomReportCreativeDetail.aspx?App=23&amp;ReportView=4&amp;Qid=1711279&amp;Row=13974&amp;Col=1","No Title Assigned - #15273900828")</f>
        <v/>
      </c>
      <c r="B13982" s="0" t="s">
        <v>18686</v>
      </c>
      <c r="E13982" s="0" t="inlineStr">
        <is>
          <t xml:space="preserve">Mazda</t>
        </is>
      </c>
      <c r="F13982" s="0" t="inlineStr">
        <is>
          <t xml:space="preserve">Mazda</t>
        </is>
      </c>
      <c r="G13982" s="0" t="s">
        <v>171</v>
      </c>
      <c r="H13982" s="5">
        <v>8.375000</v>
      </c>
    </row>
    <row r="13983" spans="1:9">
      <c r="A13983" s="22" t="str">
        <f>HYPERLINK("https://app.vivvix.com/360/KMI/IntelliDrive/ApplUI/Pages/CreativePages/CustomReportCreativeDetail.aspx?App=23&amp;ReportView=4&amp;Qid=1711279&amp;Row=13975&amp;Col=1","No Title Assigned - #15273900900")</f>
        <v/>
      </c>
      <c r="B13983" s="0" t="s">
        <v>18687</v>
      </c>
      <c r="E13983" s="0" t="inlineStr">
        <is>
          <t xml:space="preserve">Mazda</t>
        </is>
      </c>
      <c r="F13983" s="0" t="inlineStr">
        <is>
          <t xml:space="preserve">Mazda</t>
        </is>
      </c>
      <c r="G13983" s="0" t="s">
        <v>171</v>
      </c>
      <c r="H13983" s="5">
        <v>13188.556300</v>
      </c>
    </row>
    <row r="13984" spans="1:9">
      <c r="A13984" s="22" t="str">
        <f>HYPERLINK("https://app.vivvix.com/360/KMI/IntelliDrive/ApplUI/Pages/CreativePages/CustomReportCreativeDetail.aspx?App=23&amp;ReportView=4&amp;Qid=1711279&amp;Row=13976&amp;Col=1","No Title Assigned - #15273900900")</f>
        <v/>
      </c>
      <c r="B13984" s="0" t="s">
        <v>18687</v>
      </c>
      <c r="E13984" s="0" t="inlineStr">
        <is>
          <t xml:space="preserve">Mazda</t>
        </is>
      </c>
      <c r="F13984" s="0" t="inlineStr">
        <is>
          <t xml:space="preserve">Mazda</t>
        </is>
      </c>
      <c r="G13984" s="0" t="s">
        <v>171</v>
      </c>
      <c r="H13984" s="5">
        <v>837.430900</v>
      </c>
    </row>
    <row r="13985" spans="1:9">
      <c r="A13985" s="22" t="str">
        <f>HYPERLINK("https://app.vivvix.com/360/KMI/IntelliDrive/ApplUI/Pages/CreativePages/CustomReportCreativeDetail.aspx?App=23&amp;ReportView=4&amp;Qid=1711279&amp;Row=13977&amp;Col=1","No Title Assigned - #15273900984")</f>
        <v/>
      </c>
      <c r="B13985" s="0" t="s">
        <v>18688</v>
      </c>
      <c r="E13985" s="0" t="inlineStr">
        <is>
          <t xml:space="preserve">Mazda</t>
        </is>
      </c>
      <c r="F13985" s="0" t="inlineStr">
        <is>
          <t xml:space="preserve">Mazda</t>
        </is>
      </c>
      <c r="G13985" s="0" t="s">
        <v>171</v>
      </c>
      <c r="H13985" s="5">
        <v>94.815000</v>
      </c>
    </row>
    <row r="13986" spans="1:9">
      <c r="A13986" s="22" t="str">
        <f>HYPERLINK("https://app.vivvix.com/360/KMI/IntelliDrive/ApplUI/Pages/CreativePages/CustomReportCreativeDetail.aspx?App=23&amp;ReportView=4&amp;Qid=1711279&amp;Row=13978&amp;Col=1","No Title Assigned - #15273901008")</f>
        <v/>
      </c>
      <c r="B13986" s="0" t="s">
        <v>18689</v>
      </c>
      <c r="E13986" s="0" t="inlineStr">
        <is>
          <t xml:space="preserve">Mazda</t>
        </is>
      </c>
      <c r="F13986" s="0" t="inlineStr">
        <is>
          <t xml:space="preserve">Mazda</t>
        </is>
      </c>
      <c r="G13986" s="0" t="s">
        <v>171</v>
      </c>
      <c r="H13986" s="5">
        <v>56.386300</v>
      </c>
    </row>
    <row r="13987" spans="1:9">
      <c r="A13987" s="22" t="str">
        <f>HYPERLINK("https://app.vivvix.com/360/KMI/IntelliDrive/ApplUI/Pages/CreativePages/CustomReportCreativeDetail.aspx?App=23&amp;ReportView=4&amp;Qid=1711279&amp;Row=13979&amp;Col=1","No Title Assigned - #15273901056")</f>
        <v/>
      </c>
      <c r="B13987" s="0" t="s">
        <v>18690</v>
      </c>
      <c r="E13987" s="0" t="inlineStr">
        <is>
          <t xml:space="preserve">Mazda</t>
        </is>
      </c>
      <c r="F13987" s="0" t="inlineStr">
        <is>
          <t xml:space="preserve">Mazda</t>
        </is>
      </c>
      <c r="G13987" s="0" t="s">
        <v>171</v>
      </c>
      <c r="H13987" s="5">
        <v>42.530900</v>
      </c>
    </row>
    <row r="13988" spans="1:9">
      <c r="A13988" s="22" t="str">
        <f>HYPERLINK("https://app.vivvix.com/360/KMI/IntelliDrive/ApplUI/Pages/CreativePages/CustomReportCreativeDetail.aspx?App=23&amp;ReportView=4&amp;Qid=1711279&amp;Row=13980&amp;Col=1","No Title Assigned - #15273901929")</f>
        <v/>
      </c>
      <c r="B13988" s="0" t="s">
        <v>18691</v>
      </c>
      <c r="E13988" s="0" t="inlineStr">
        <is>
          <t xml:space="preserve">Mazda</t>
        </is>
      </c>
      <c r="F13988" s="0" t="inlineStr">
        <is>
          <t xml:space="preserve">Mazda</t>
        </is>
      </c>
      <c r="G13988" s="0" t="s">
        <v>171</v>
      </c>
      <c r="H13988" s="5">
        <v>3544.625100</v>
      </c>
    </row>
    <row r="13989" spans="1:9">
      <c r="A13989" s="22" t="str">
        <f>HYPERLINK("https://app.vivvix.com/360/KMI/IntelliDrive/ApplUI/Pages/CreativePages/CustomReportCreativeDetail.aspx?App=23&amp;ReportView=4&amp;Qid=1711279&amp;Row=13981&amp;Col=1","No Title Assigned - #15273901929")</f>
        <v/>
      </c>
      <c r="B13989" s="0" t="s">
        <v>18691</v>
      </c>
      <c r="E13989" s="0" t="inlineStr">
        <is>
          <t xml:space="preserve">Mazda</t>
        </is>
      </c>
      <c r="F13989" s="0" t="inlineStr">
        <is>
          <t xml:space="preserve">Mazda</t>
        </is>
      </c>
      <c r="G13989" s="0" t="s">
        <v>171</v>
      </c>
      <c r="H13989" s="5">
        <v>285.116400</v>
      </c>
    </row>
    <row r="13990" spans="1:9">
      <c r="A13990" s="22" t="str">
        <f>HYPERLINK("https://app.vivvix.com/360/KMI/IntelliDrive/ApplUI/Pages/CreativePages/CustomReportCreativeDetail.aspx?App=23&amp;ReportView=4&amp;Qid=1711279&amp;Row=13982&amp;Col=1","No Title Assigned - #15273902163")</f>
        <v/>
      </c>
      <c r="B13990" s="0" t="s">
        <v>18692</v>
      </c>
      <c r="E13990" s="0" t="inlineStr">
        <is>
          <t xml:space="preserve">Mazda</t>
        </is>
      </c>
      <c r="F13990" s="0" t="inlineStr">
        <is>
          <t xml:space="preserve">Mazda</t>
        </is>
      </c>
      <c r="G13990" s="0" t="s">
        <v>171</v>
      </c>
      <c r="H13990" s="5">
        <v>27.679900</v>
      </c>
    </row>
    <row r="13991" spans="1:9">
      <c r="A13991" s="22" t="str">
        <f>HYPERLINK("https://app.vivvix.com/360/KMI/IntelliDrive/ApplUI/Pages/CreativePages/CustomReportCreativeDetail.aspx?App=23&amp;ReportView=4&amp;Qid=1711279&amp;Row=13983&amp;Col=1","No Title Assigned - #15273902208")</f>
        <v/>
      </c>
      <c r="B13991" s="0" t="s">
        <v>18693</v>
      </c>
      <c r="E13991" s="0" t="inlineStr">
        <is>
          <t xml:space="preserve">Mazda</t>
        </is>
      </c>
      <c r="F13991" s="0" t="inlineStr">
        <is>
          <t xml:space="preserve">Mazda</t>
        </is>
      </c>
      <c r="G13991" s="0" t="s">
        <v>171</v>
      </c>
      <c r="H13991" s="5">
        <v>2.901200</v>
      </c>
    </row>
    <row r="13992" spans="1:9">
      <c r="A13992" s="22" t="str">
        <f>HYPERLINK("https://app.vivvix.com/360/KMI/IntelliDrive/ApplUI/Pages/CreativePages/CustomReportCreativeDetail.aspx?App=23&amp;ReportView=4&amp;Qid=1711279&amp;Row=13984&amp;Col=1","No Title Assigned - #15273902440")</f>
        <v/>
      </c>
      <c r="B13992" s="0" t="s">
        <v>18694</v>
      </c>
      <c r="E13992" s="0" t="inlineStr">
        <is>
          <t xml:space="preserve">Mazda</t>
        </is>
      </c>
      <c r="F13992" s="0" t="inlineStr">
        <is>
          <t xml:space="preserve">Mazda</t>
        </is>
      </c>
      <c r="G13992" s="0" t="s">
        <v>171</v>
      </c>
      <c r="H13992" s="5">
        <v>2308.212400</v>
      </c>
    </row>
    <row r="13993" spans="1:9">
      <c r="A13993" s="22" t="str">
        <f>HYPERLINK("https://app.vivvix.com/360/KMI/IntelliDrive/ApplUI/Pages/CreativePages/CustomReportCreativeDetail.aspx?App=23&amp;ReportView=4&amp;Qid=1711279&amp;Row=13985&amp;Col=1","No Title Assigned - #15273902451")</f>
        <v/>
      </c>
      <c r="B13993" s="0" t="s">
        <v>18695</v>
      </c>
      <c r="E13993" s="0" t="inlineStr">
        <is>
          <t xml:space="preserve">Mazda</t>
        </is>
      </c>
      <c r="F13993" s="0" t="inlineStr">
        <is>
          <t xml:space="preserve">Mazda</t>
        </is>
      </c>
      <c r="G13993" s="0" t="s">
        <v>171</v>
      </c>
      <c r="H13993" s="5">
        <v>121.758300</v>
      </c>
    </row>
    <row r="13994" spans="1:9">
      <c r="A13994" s="22" t="str">
        <f>HYPERLINK("https://app.vivvix.com/360/KMI/IntelliDrive/ApplUI/Pages/CreativePages/CustomReportCreativeDetail.aspx?App=23&amp;ReportView=4&amp;Qid=1711279&amp;Row=13986&amp;Col=1","No Title Assigned - #15273902566")</f>
        <v/>
      </c>
      <c r="B13994" s="0" t="s">
        <v>18696</v>
      </c>
      <c r="E13994" s="0" t="inlineStr">
        <is>
          <t xml:space="preserve">Mazda</t>
        </is>
      </c>
      <c r="F13994" s="0" t="inlineStr">
        <is>
          <t xml:space="preserve">Mazda</t>
        </is>
      </c>
      <c r="G13994" s="0" t="s">
        <v>171</v>
      </c>
      <c r="H13994" s="5">
        <v>41.481900</v>
      </c>
    </row>
    <row r="13995" spans="1:9">
      <c r="A13995" s="22" t="str">
        <f>HYPERLINK("https://app.vivvix.com/360/KMI/IntelliDrive/ApplUI/Pages/CreativePages/CustomReportCreativeDetail.aspx?App=23&amp;ReportView=4&amp;Qid=1711279&amp;Row=13987&amp;Col=1","No Title Assigned - #15273902567")</f>
        <v/>
      </c>
      <c r="B13995" s="0" t="s">
        <v>18697</v>
      </c>
      <c r="E13995" s="0" t="inlineStr">
        <is>
          <t xml:space="preserve">Mazda</t>
        </is>
      </c>
      <c r="F13995" s="0" t="inlineStr">
        <is>
          <t xml:space="preserve">Mazda</t>
        </is>
      </c>
      <c r="G13995" s="0" t="s">
        <v>171</v>
      </c>
      <c r="H13995" s="5">
        <v>41.481900</v>
      </c>
    </row>
    <row r="13996" spans="1:9">
      <c r="A13996" s="22" t="str">
        <f>HYPERLINK("https://app.vivvix.com/360/KMI/IntelliDrive/ApplUI/Pages/CreativePages/CustomReportCreativeDetail.aspx?App=23&amp;ReportView=4&amp;Qid=1711279&amp;Row=13988&amp;Col=1","No Title Assigned - #15273902785")</f>
        <v/>
      </c>
      <c r="B13996" s="0" t="s">
        <v>18698</v>
      </c>
      <c r="E13996" s="0" t="inlineStr">
        <is>
          <t xml:space="preserve">Mazda</t>
        </is>
      </c>
      <c r="F13996" s="0" t="inlineStr">
        <is>
          <t xml:space="preserve">Mazda</t>
        </is>
      </c>
      <c r="G13996" s="0" t="s">
        <v>171</v>
      </c>
      <c r="H13996" s="5">
        <v>86.359400</v>
      </c>
    </row>
    <row r="13997" spans="1:9">
      <c r="A13997" s="22" t="str">
        <f>HYPERLINK("https://app.vivvix.com/360/KMI/IntelliDrive/ApplUI/Pages/CreativePages/CustomReportCreativeDetail.aspx?App=23&amp;ReportView=4&amp;Qid=1711279&amp;Row=13989&amp;Col=1","No Title Assigned - #15273903213")</f>
        <v/>
      </c>
      <c r="B13997" s="0" t="s">
        <v>18699</v>
      </c>
      <c r="E13997" s="0" t="inlineStr">
        <is>
          <t xml:space="preserve">Mazda</t>
        </is>
      </c>
      <c r="F13997" s="0" t="inlineStr">
        <is>
          <t xml:space="preserve">Mazda</t>
        </is>
      </c>
      <c r="G13997" s="0" t="s">
        <v>171</v>
      </c>
      <c r="H13997" s="5">
        <v>105.892000</v>
      </c>
    </row>
    <row r="13998" spans="1:9">
      <c r="A13998" s="22" t="str">
        <f>HYPERLINK("https://app.vivvix.com/360/KMI/IntelliDrive/ApplUI/Pages/CreativePages/CustomReportCreativeDetail.aspx?App=23&amp;ReportView=4&amp;Qid=1711279&amp;Row=13990&amp;Col=1","No Title Assigned - #15273903214")</f>
        <v/>
      </c>
      <c r="B13998" s="0" t="s">
        <v>18700</v>
      </c>
      <c r="E13998" s="0" t="inlineStr">
        <is>
          <t xml:space="preserve">Mazda</t>
        </is>
      </c>
      <c r="F13998" s="0" t="inlineStr">
        <is>
          <t xml:space="preserve">Mazda</t>
        </is>
      </c>
      <c r="G13998" s="0" t="s">
        <v>171</v>
      </c>
      <c r="H13998" s="5">
        <v>105.892000</v>
      </c>
    </row>
    <row r="13999" spans="1:9">
      <c r="A13999" s="22" t="str">
        <f>HYPERLINK("https://app.vivvix.com/360/KMI/IntelliDrive/ApplUI/Pages/CreativePages/CustomReportCreativeDetail.aspx?App=23&amp;ReportView=4&amp;Qid=1711279&amp;Row=13991&amp;Col=1","No Title Assigned - #15273903252")</f>
        <v/>
      </c>
      <c r="B13999" s="0" t="s">
        <v>18701</v>
      </c>
      <c r="E13999" s="0" t="inlineStr">
        <is>
          <t xml:space="preserve">Mazda</t>
        </is>
      </c>
      <c r="F13999" s="0" t="inlineStr">
        <is>
          <t xml:space="preserve">Mazda</t>
        </is>
      </c>
      <c r="G13999" s="0" t="s">
        <v>171</v>
      </c>
      <c r="H13999" s="5">
        <v>42.029300</v>
      </c>
    </row>
    <row r="14000" spans="1:9">
      <c r="A14000" s="22" t="str">
        <f>HYPERLINK("https://app.vivvix.com/360/KMI/IntelliDrive/ApplUI/Pages/CreativePages/CustomReportCreativeDetail.aspx?App=23&amp;ReportView=4&amp;Qid=1711279&amp;Row=13992&amp;Col=1","No Title Assigned - #15273903252")</f>
        <v/>
      </c>
      <c r="B14000" s="0" t="s">
        <v>18701</v>
      </c>
      <c r="E14000" s="0" t="inlineStr">
        <is>
          <t xml:space="preserve">Mazda</t>
        </is>
      </c>
      <c r="F14000" s="0" t="inlineStr">
        <is>
          <t xml:space="preserve">Mazda</t>
        </is>
      </c>
      <c r="G14000" s="0" t="s">
        <v>171</v>
      </c>
      <c r="H14000" s="5">
        <v>14.511400</v>
      </c>
    </row>
    <row r="14001" spans="1:9">
      <c r="A14001" s="22" t="str">
        <f>HYPERLINK("https://app.vivvix.com/360/KMI/IntelliDrive/ApplUI/Pages/CreativePages/CustomReportCreativeDetail.aspx?App=23&amp;ReportView=4&amp;Qid=1711279&amp;Row=13993&amp;Col=1","No Title Assigned - #15273903378")</f>
        <v/>
      </c>
      <c r="B14001" s="0" t="s">
        <v>18702</v>
      </c>
      <c r="E14001" s="0" t="inlineStr">
        <is>
          <t xml:space="preserve">Mazda</t>
        </is>
      </c>
      <c r="F14001" s="0" t="inlineStr">
        <is>
          <t xml:space="preserve">Mazda</t>
        </is>
      </c>
      <c r="G14001" s="0" t="s">
        <v>171</v>
      </c>
      <c r="H14001" s="5">
        <v>55.613600</v>
      </c>
    </row>
    <row r="14002" spans="1:9">
      <c r="A14002" s="22" t="str">
        <f>HYPERLINK("https://app.vivvix.com/360/KMI/IntelliDrive/ApplUI/Pages/CreativePages/CustomReportCreativeDetail.aspx?App=23&amp;ReportView=4&amp;Qid=1711279&amp;Row=13994&amp;Col=1","No Title Assigned - #15273904320")</f>
        <v/>
      </c>
      <c r="B14002" s="0" t="s">
        <v>18703</v>
      </c>
      <c r="E14002" s="0" t="inlineStr">
        <is>
          <t xml:space="preserve">Mazda</t>
        </is>
      </c>
      <c r="F14002" s="0" t="inlineStr">
        <is>
          <t xml:space="preserve">Mazda</t>
        </is>
      </c>
      <c r="G14002" s="0" t="s">
        <v>171</v>
      </c>
      <c r="H14002" s="5">
        <v>290.025000</v>
      </c>
    </row>
    <row r="14003" spans="1:9">
      <c r="A14003" s="22" t="str">
        <f>HYPERLINK("https://app.vivvix.com/360/KMI/IntelliDrive/ApplUI/Pages/CreativePages/CustomReportCreativeDetail.aspx?App=23&amp;ReportView=4&amp;Qid=1711279&amp;Row=13995&amp;Col=1","No Title Assigned - #15273905256")</f>
        <v/>
      </c>
      <c r="B14003" s="0" t="s">
        <v>18704</v>
      </c>
      <c r="E14003" s="0" t="inlineStr">
        <is>
          <t xml:space="preserve">Mazda</t>
        </is>
      </c>
      <c r="F14003" s="0" t="inlineStr">
        <is>
          <t xml:space="preserve">Mazda</t>
        </is>
      </c>
      <c r="G14003" s="0" t="s">
        <v>171</v>
      </c>
      <c r="H14003" s="5">
        <v>586.565800</v>
      </c>
    </row>
    <row r="14004" spans="1:9">
      <c r="A14004" s="22" t="str">
        <f>HYPERLINK("https://app.vivvix.com/360/KMI/IntelliDrive/ApplUI/Pages/CreativePages/CustomReportCreativeDetail.aspx?App=23&amp;ReportView=4&amp;Qid=1711279&amp;Row=13996&amp;Col=1","No Title Assigned - #15273905496")</f>
        <v/>
      </c>
      <c r="B14004" s="0" t="s">
        <v>18705</v>
      </c>
      <c r="E14004" s="0" t="inlineStr">
        <is>
          <t xml:space="preserve">Mazda</t>
        </is>
      </c>
      <c r="F14004" s="0" t="inlineStr">
        <is>
          <t xml:space="preserve">Mazda</t>
        </is>
      </c>
      <c r="G14004" s="0" t="s">
        <v>171</v>
      </c>
      <c r="H14004" s="5">
        <v>459.365600</v>
      </c>
    </row>
    <row r="14005" spans="1:9">
      <c r="A14005" s="22" t="str">
        <f>HYPERLINK("https://app.vivvix.com/360/KMI/IntelliDrive/ApplUI/Pages/CreativePages/CustomReportCreativeDetail.aspx?App=23&amp;ReportView=4&amp;Qid=1711279&amp;Row=13997&amp;Col=1","No Title Assigned - #15273905544")</f>
        <v/>
      </c>
      <c r="B14005" s="0" t="s">
        <v>18706</v>
      </c>
      <c r="E14005" s="0" t="inlineStr">
        <is>
          <t xml:space="preserve">Mazda</t>
        </is>
      </c>
      <c r="F14005" s="0" t="inlineStr">
        <is>
          <t xml:space="preserve">Mazda</t>
        </is>
      </c>
      <c r="G14005" s="0" t="s">
        <v>171</v>
      </c>
      <c r="H14005" s="5">
        <v>158.206400</v>
      </c>
    </row>
    <row r="14006" spans="1:9">
      <c r="A14006" s="22" t="str">
        <f>HYPERLINK("https://app.vivvix.com/360/KMI/IntelliDrive/ApplUI/Pages/CreativePages/CustomReportCreativeDetail.aspx?App=23&amp;ReportView=4&amp;Qid=1711279&amp;Row=13998&amp;Col=1","No Title Assigned - #15273906552")</f>
        <v/>
      </c>
      <c r="B14006" s="0" t="s">
        <v>18707</v>
      </c>
      <c r="E14006" s="0" t="inlineStr">
        <is>
          <t xml:space="preserve">Mazda</t>
        </is>
      </c>
      <c r="F14006" s="0" t="inlineStr">
        <is>
          <t xml:space="preserve">Mazda</t>
        </is>
      </c>
      <c r="G14006" s="0" t="s">
        <v>171</v>
      </c>
      <c r="H14006" s="5">
        <v>123.568500</v>
      </c>
    </row>
    <row r="14007" spans="1:9">
      <c r="A14007" s="22" t="str">
        <f>HYPERLINK("https://app.vivvix.com/360/KMI/IntelliDrive/ApplUI/Pages/CreativePages/CustomReportCreativeDetail.aspx?App=23&amp;ReportView=4&amp;Qid=1711279&amp;Row=13999&amp;Col=1","No Title Assigned - #15273910863")</f>
        <v/>
      </c>
      <c r="B14007" s="0" t="s">
        <v>18708</v>
      </c>
      <c r="E14007" s="0" t="inlineStr">
        <is>
          <t xml:space="preserve">Mazda</t>
        </is>
      </c>
      <c r="F14007" s="0" t="inlineStr">
        <is>
          <t xml:space="preserve">Mazda</t>
        </is>
      </c>
      <c r="G14007" s="0" t="s">
        <v>171</v>
      </c>
      <c r="H14007" s="5">
        <v>94.815000</v>
      </c>
    </row>
    <row r="14008" spans="1:9">
      <c r="A14008" s="22" t="str">
        <f>HYPERLINK("https://app.vivvix.com/360/KMI/IntelliDrive/ApplUI/Pages/CreativePages/CustomReportCreativeDetail.aspx?App=23&amp;ReportView=4&amp;Qid=1711279&amp;Row=14000&amp;Col=1","No Title Assigned - #15273911717")</f>
        <v/>
      </c>
      <c r="B14008" s="0" t="s">
        <v>18709</v>
      </c>
      <c r="E14008" s="0" t="inlineStr">
        <is>
          <t xml:space="preserve">Mazda</t>
        </is>
      </c>
      <c r="F14008" s="0" t="inlineStr">
        <is>
          <t xml:space="preserve">Mazda</t>
        </is>
      </c>
      <c r="G14008" s="0" t="s">
        <v>171</v>
      </c>
      <c r="H14008" s="5">
        <v>710.326200</v>
      </c>
    </row>
    <row r="14009" spans="1:9">
      <c r="A14009" s="22" t="str">
        <f>HYPERLINK("https://app.vivvix.com/360/KMI/IntelliDrive/ApplUI/Pages/CreativePages/CustomReportCreativeDetail.aspx?App=23&amp;ReportView=4&amp;Qid=1711279&amp;Row=14001&amp;Col=1","No Title Assigned - #15273916136")</f>
        <v/>
      </c>
      <c r="B14009" s="0" t="s">
        <v>18710</v>
      </c>
      <c r="C14009" s="0" t="s">
        <v>18711</v>
      </c>
      <c r="D14009" s="0" t="s">
        <v>18711</v>
      </c>
      <c r="E14009" s="0" t="inlineStr">
        <is>
          <t xml:space="preserve">Mazda</t>
        </is>
      </c>
      <c r="F14009" s="0" t="s">
        <v>28</v>
      </c>
      <c r="G14009" s="0" t="s">
        <v>29</v>
      </c>
      <c r="H14009" s="5">
        <v>444.128900</v>
      </c>
    </row>
    <row r="14010" spans="1:9">
      <c r="A14010" s="22" t="str">
        <f>HYPERLINK("https://app.vivvix.com/360/KMI/IntelliDrive/ApplUI/Pages/CreativePages/CustomReportCreativeDetail.aspx?App=23&amp;ReportView=4&amp;Qid=1711279&amp;Row=14002&amp;Col=1","No Title Assigned - #15273925888")</f>
        <v/>
      </c>
      <c r="B14010" s="0" t="s">
        <v>18712</v>
      </c>
      <c r="C14010" s="0" t="s">
        <v>18713</v>
      </c>
      <c r="D14010" s="0" t="s">
        <v>4335</v>
      </c>
      <c r="E14010" s="0" t="inlineStr">
        <is>
          <t xml:space="preserve">Mazda</t>
        </is>
      </c>
      <c r="F14010" s="0" t="s">
        <v>13</v>
      </c>
      <c r="G14010" s="0" t="s">
        <v>49</v>
      </c>
      <c r="H14010" s="5">
        <v>6412.770000</v>
      </c>
    </row>
    <row r="14011" spans="1:9">
      <c r="A14011" s="22" t="str">
        <f>HYPERLINK("https://app.vivvix.com/360/KMI/IntelliDrive/ApplUI/Pages/CreativePages/CustomReportCreativeDetail.aspx?App=23&amp;ReportView=4&amp;Qid=1711279&amp;Row=14003&amp;Col=1","No Title Assigned - #15273926643")</f>
        <v/>
      </c>
      <c r="B14011" s="0" t="s">
        <v>18714</v>
      </c>
      <c r="C14011" s="0" t="s">
        <v>18715</v>
      </c>
      <c r="D14011" s="0" t="s">
        <v>4335</v>
      </c>
      <c r="E14011" s="0" t="inlineStr">
        <is>
          <t xml:space="preserve">Mazda</t>
        </is>
      </c>
      <c r="F14011" s="0" t="s">
        <v>13</v>
      </c>
      <c r="G14011" s="0" t="s">
        <v>49</v>
      </c>
      <c r="H14011" s="5">
        <v>573.264500</v>
      </c>
    </row>
    <row r="14012" spans="1:9">
      <c r="A14012" s="22" t="str">
        <f>HYPERLINK("https://app.vivvix.com/360/KMI/IntelliDrive/ApplUI/Pages/CreativePages/CustomReportCreativeDetail.aspx?App=23&amp;ReportView=4&amp;Qid=1711279&amp;Row=14004&amp;Col=1","No Title Assigned - #15273941164")</f>
        <v/>
      </c>
      <c r="B14012" s="0" t="s">
        <v>18716</v>
      </c>
      <c r="C14012" s="0" t="s">
        <v>18717</v>
      </c>
      <c r="D14012" s="0" t="s">
        <v>18717</v>
      </c>
      <c r="E14012" s="0" t="inlineStr">
        <is>
          <t xml:space="preserve">Mazda</t>
        </is>
      </c>
      <c r="F14012" s="0" t="s">
        <v>13</v>
      </c>
      <c r="G14012" s="0" t="s">
        <v>49</v>
      </c>
      <c r="H14012" s="5">
        <v>32.961300</v>
      </c>
    </row>
    <row r="14013" spans="1:9">
      <c r="A14013" s="22" t="str">
        <f>HYPERLINK("https://app.vivvix.com/360/KMI/IntelliDrive/ApplUI/Pages/CreativePages/CustomReportCreativeDetail.aspx?App=23&amp;ReportView=4&amp;Qid=1711279&amp;Row=14005&amp;Col=1","No Title Assigned - #15273942148")</f>
        <v/>
      </c>
      <c r="B14013" s="0" t="s">
        <v>18718</v>
      </c>
      <c r="C14013" s="0" t="s">
        <v>18719</v>
      </c>
      <c r="D14013" s="0" t="s">
        <v>18719</v>
      </c>
      <c r="E14013" s="0" t="inlineStr">
        <is>
          <t xml:space="preserve">Mazda</t>
        </is>
      </c>
      <c r="F14013" s="0" t="inlineStr">
        <is>
          <t xml:space="preserve">Mazda</t>
        </is>
      </c>
      <c r="G14013" s="0" t="s">
        <v>210</v>
      </c>
      <c r="H14013" s="5">
        <v>14982.415000</v>
      </c>
    </row>
    <row r="14014" spans="1:9">
      <c r="A14014" s="22" t="str">
        <f>HYPERLINK("https://app.vivvix.com/360/KMI/IntelliDrive/ApplUI/Pages/CreativePages/CustomReportCreativeDetail.aspx?App=23&amp;ReportView=4&amp;Qid=1711279&amp;Row=14006&amp;Col=1","No Title Assigned - #15273942366")</f>
        <v/>
      </c>
      <c r="B14014" s="0" t="s">
        <v>18720</v>
      </c>
      <c r="C14014" s="0" t="s">
        <v>18721</v>
      </c>
      <c r="D14014" s="0" t="s">
        <v>4204</v>
      </c>
      <c r="E14014" s="0" t="inlineStr">
        <is>
          <t xml:space="preserve">Mazda</t>
        </is>
      </c>
      <c r="F14014" s="0" t="s">
        <v>28</v>
      </c>
      <c r="G14014" s="0" t="s">
        <v>29</v>
      </c>
      <c r="H14014" s="5">
        <v>136.611300</v>
      </c>
    </row>
    <row r="14015" spans="1:9">
      <c r="A14015" s="22" t="str">
        <f>HYPERLINK("https://app.vivvix.com/360/KMI/IntelliDrive/ApplUI/Pages/CreativePages/CustomReportCreativeDetail.aspx?App=23&amp;ReportView=4&amp;Qid=1711279&amp;Row=14007&amp;Col=1","No Title Assigned - #15273942395")</f>
        <v/>
      </c>
      <c r="B14015" s="0" t="s">
        <v>18722</v>
      </c>
      <c r="C14015" s="0" t="s">
        <v>18723</v>
      </c>
      <c r="D14015" s="0" t="s">
        <v>4202</v>
      </c>
      <c r="E14015" s="0" t="inlineStr">
        <is>
          <t xml:space="preserve">Mazda</t>
        </is>
      </c>
      <c r="F14015" s="0" t="s">
        <v>28</v>
      </c>
      <c r="G14015" s="0" t="s">
        <v>29</v>
      </c>
      <c r="H14015" s="5">
        <v>162.347600</v>
      </c>
    </row>
    <row r="14016" spans="1:9">
      <c r="A14016" s="22" t="str">
        <f>HYPERLINK("https://app.vivvix.com/360/KMI/IntelliDrive/ApplUI/Pages/CreativePages/CustomReportCreativeDetail.aspx?App=23&amp;ReportView=4&amp;Qid=1711279&amp;Row=14008&amp;Col=1","No Title Assigned - #15273946779")</f>
        <v/>
      </c>
      <c r="B14016" s="0" t="s">
        <v>18724</v>
      </c>
      <c r="E14016" s="0" t="inlineStr">
        <is>
          <t xml:space="preserve">Mazda</t>
        </is>
      </c>
      <c r="F14016" s="0" t="s">
        <v>28</v>
      </c>
      <c r="G14016" s="0" t="s">
        <v>29</v>
      </c>
      <c r="H14016" s="5">
        <v>10818.111300</v>
      </c>
    </row>
    <row r="14017" spans="1:9">
      <c r="A14017" s="22" t="str">
        <f>HYPERLINK("https://app.vivvix.com/360/KMI/IntelliDrive/ApplUI/Pages/CreativePages/CustomReportCreativeDetail.aspx?App=23&amp;ReportView=4&amp;Qid=1711279&amp;Row=14009&amp;Col=1","No Title Assigned - #15273949738")</f>
        <v/>
      </c>
      <c r="B14017" s="0" t="s">
        <v>18725</v>
      </c>
      <c r="E14017" s="0" t="inlineStr">
        <is>
          <t xml:space="preserve">Mazda</t>
        </is>
      </c>
      <c r="F14017" s="0" t="inlineStr">
        <is>
          <t xml:space="preserve">Mazda</t>
        </is>
      </c>
      <c r="G14017" s="0" t="s">
        <v>171</v>
      </c>
      <c r="H14017" s="5">
        <v>22.916600</v>
      </c>
    </row>
    <row r="14018" spans="1:9">
      <c r="A14018" s="22" t="str">
        <f>HYPERLINK("https://app.vivvix.com/360/KMI/IntelliDrive/ApplUI/Pages/CreativePages/CustomReportCreativeDetail.aspx?App=23&amp;ReportView=4&amp;Qid=1711279&amp;Row=14010&amp;Col=1","No Title Assigned - #15273950079")</f>
        <v/>
      </c>
      <c r="B14018" s="0" t="s">
        <v>18726</v>
      </c>
      <c r="C14018" s="0" t="s">
        <v>18727</v>
      </c>
      <c r="D14018" s="0" t="s">
        <v>4204</v>
      </c>
      <c r="E14018" s="0" t="inlineStr">
        <is>
          <t xml:space="preserve">Mazda</t>
        </is>
      </c>
      <c r="F14018" s="0" t="s">
        <v>28</v>
      </c>
      <c r="G14018" s="0" t="s">
        <v>29</v>
      </c>
      <c r="H14018" s="5">
        <v>10.128500</v>
      </c>
    </row>
    <row r="14019" spans="1:9">
      <c r="A14019" s="22" t="str">
        <f>HYPERLINK("https://app.vivvix.com/360/KMI/IntelliDrive/ApplUI/Pages/CreativePages/CustomReportCreativeDetail.aspx?App=23&amp;ReportView=4&amp;Qid=1711279&amp;Row=14011&amp;Col=1","No Title Assigned - #15273951949")</f>
        <v/>
      </c>
      <c r="B14019" s="0" t="s">
        <v>18728</v>
      </c>
      <c r="E14019" s="0" t="inlineStr">
        <is>
          <t xml:space="preserve">Mazda</t>
        </is>
      </c>
      <c r="F14019" s="0" t="inlineStr">
        <is>
          <t xml:space="preserve">Mazda</t>
        </is>
      </c>
      <c r="G14019" s="0" t="s">
        <v>171</v>
      </c>
      <c r="H14019" s="5">
        <v>202.564200</v>
      </c>
    </row>
    <row r="14020" spans="1:9">
      <c r="A14020" s="22" t="str">
        <f>HYPERLINK("https://app.vivvix.com/360/KMI/IntelliDrive/ApplUI/Pages/CreativePages/CustomReportCreativeDetail.aspx?App=23&amp;ReportView=4&amp;Qid=1711279&amp;Row=14012&amp;Col=1","No Title Assigned - #15273952015")</f>
        <v/>
      </c>
      <c r="B14020" s="0" t="s">
        <v>18729</v>
      </c>
      <c r="E14020" s="0" t="inlineStr">
        <is>
          <t xml:space="preserve">Mazda</t>
        </is>
      </c>
      <c r="F14020" s="0" t="inlineStr">
        <is>
          <t xml:space="preserve">Mazda</t>
        </is>
      </c>
      <c r="G14020" s="0" t="s">
        <v>171</v>
      </c>
      <c r="H14020" s="5">
        <v>11.658800</v>
      </c>
    </row>
    <row r="14021" spans="1:9">
      <c r="A14021" s="22" t="str">
        <f>HYPERLINK("https://app.vivvix.com/360/KMI/IntelliDrive/ApplUI/Pages/CreativePages/CustomReportCreativeDetail.aspx?App=23&amp;ReportView=4&amp;Qid=1711279&amp;Row=14013&amp;Col=1","No Title Assigned - #15273953719")</f>
        <v/>
      </c>
      <c r="B14021" s="0" t="s">
        <v>18730</v>
      </c>
      <c r="E14021" s="0" t="inlineStr">
        <is>
          <t xml:space="preserve">Mazda</t>
        </is>
      </c>
      <c r="F14021" s="0" t="inlineStr">
        <is>
          <t xml:space="preserve">Mazda</t>
        </is>
      </c>
      <c r="G14021" s="0" t="s">
        <v>171</v>
      </c>
      <c r="H14021" s="5">
        <v>143.877300</v>
      </c>
    </row>
    <row r="14022" spans="1:9">
      <c r="A14022" s="22" t="str">
        <f>HYPERLINK("https://app.vivvix.com/360/KMI/IntelliDrive/ApplUI/Pages/CreativePages/CustomReportCreativeDetail.aspx?App=23&amp;ReportView=4&amp;Qid=1711279&amp;Row=14014&amp;Col=1","No Title Assigned - #15273955226")</f>
        <v/>
      </c>
      <c r="B14022" s="0" t="s">
        <v>18731</v>
      </c>
      <c r="E14022" s="0" t="inlineStr">
        <is>
          <t xml:space="preserve">Mazda</t>
        </is>
      </c>
      <c r="F14022" s="0" t="inlineStr">
        <is>
          <t xml:space="preserve">Mazda</t>
        </is>
      </c>
      <c r="G14022" s="0" t="s">
        <v>171</v>
      </c>
      <c r="H14022" s="5">
        <v>142857.703100</v>
      </c>
    </row>
    <row r="14023" spans="1:9">
      <c r="A14023" s="22" t="str">
        <f>HYPERLINK("https://app.vivvix.com/360/KMI/IntelliDrive/ApplUI/Pages/CreativePages/CustomReportCreativeDetail.aspx?App=23&amp;ReportView=4&amp;Qid=1711279&amp;Row=14015&amp;Col=1","No Title Assigned - #15273958132")</f>
        <v/>
      </c>
      <c r="B14023" s="0" t="s">
        <v>18732</v>
      </c>
      <c r="E14023" s="0" t="inlineStr">
        <is>
          <t xml:space="preserve">Mazda</t>
        </is>
      </c>
      <c r="F14023" s="0" t="inlineStr">
        <is>
          <t xml:space="preserve">Mazda</t>
        </is>
      </c>
      <c r="G14023" s="0" t="s">
        <v>171</v>
      </c>
      <c r="H14023" s="5">
        <v>14.299200</v>
      </c>
    </row>
    <row r="14024" spans="1:9">
      <c r="A14024" s="22" t="str">
        <f>HYPERLINK("https://app.vivvix.com/360/KMI/IntelliDrive/ApplUI/Pages/CreativePages/CustomReportCreativeDetail.aspx?App=23&amp;ReportView=4&amp;Qid=1711279&amp;Row=14016&amp;Col=1","No Title Assigned - #15273960583")</f>
        <v/>
      </c>
      <c r="B14024" s="0" t="s">
        <v>18733</v>
      </c>
      <c r="E14024" s="0" t="inlineStr">
        <is>
          <t xml:space="preserve">Mazda</t>
        </is>
      </c>
      <c r="F14024" s="0" t="inlineStr">
        <is>
          <t xml:space="preserve">Mazda</t>
        </is>
      </c>
      <c r="G14024" s="0" t="s">
        <v>171</v>
      </c>
      <c r="H14024" s="5">
        <v>105.066700</v>
      </c>
    </row>
    <row r="14025" spans="1:9">
      <c r="A14025" s="22" t="str">
        <f>HYPERLINK("https://app.vivvix.com/360/KMI/IntelliDrive/ApplUI/Pages/CreativePages/CustomReportCreativeDetail.aspx?App=23&amp;ReportView=4&amp;Qid=1711279&amp;Row=14017&amp;Col=1","No Title Assigned - #15273963039")</f>
        <v/>
      </c>
      <c r="B14025" s="0" t="s">
        <v>18734</v>
      </c>
      <c r="E14025" s="0" t="inlineStr">
        <is>
          <t xml:space="preserve">Mazda</t>
        </is>
      </c>
      <c r="F14025" s="0" t="inlineStr">
        <is>
          <t xml:space="preserve">Mazda</t>
        </is>
      </c>
      <c r="G14025" s="0" t="s">
        <v>171</v>
      </c>
      <c r="H14025" s="5">
        <v>575.588100</v>
      </c>
    </row>
    <row r="14026" spans="1:9">
      <c r="A14026" s="22" t="str">
        <f>HYPERLINK("https://app.vivvix.com/360/KMI/IntelliDrive/ApplUI/Pages/CreativePages/CustomReportCreativeDetail.aspx?App=23&amp;ReportView=4&amp;Qid=1711279&amp;Row=14018&amp;Col=1","No Title Assigned - #15273963481")</f>
        <v/>
      </c>
      <c r="B14026" s="0" t="s">
        <v>18735</v>
      </c>
      <c r="C14026" s="0" t="s">
        <v>18736</v>
      </c>
      <c r="D14026" s="0" t="s">
        <v>18736</v>
      </c>
      <c r="E14026" s="0" t="inlineStr">
        <is>
          <t xml:space="preserve">Mazda</t>
        </is>
      </c>
      <c r="F14026" s="0" t="inlineStr">
        <is>
          <t xml:space="preserve">Mazda</t>
        </is>
      </c>
      <c r="G14026" s="0" t="s">
        <v>171</v>
      </c>
      <c r="H14026" s="5">
        <v>1654.258100</v>
      </c>
    </row>
    <row r="14027" spans="1:9">
      <c r="A14027" s="22" t="str">
        <f>HYPERLINK("https://app.vivvix.com/360/KMI/IntelliDrive/ApplUI/Pages/CreativePages/CustomReportCreativeDetail.aspx?App=23&amp;ReportView=4&amp;Qid=1711279&amp;Row=14019&amp;Col=1","No Title Assigned - #15273963481")</f>
        <v/>
      </c>
      <c r="B14027" s="0" t="s">
        <v>18735</v>
      </c>
      <c r="E14027" s="0" t="inlineStr">
        <is>
          <t xml:space="preserve">Mazda</t>
        </is>
      </c>
      <c r="F14027" s="0" t="inlineStr">
        <is>
          <t xml:space="preserve">Mazda</t>
        </is>
      </c>
      <c r="G14027" s="0" t="s">
        <v>171</v>
      </c>
      <c r="H14027" s="5">
        <v>9352.642100</v>
      </c>
    </row>
    <row r="14028" spans="1:9">
      <c r="A14028" s="22" t="str">
        <f>HYPERLINK("https://app.vivvix.com/360/KMI/IntelliDrive/ApplUI/Pages/CreativePages/CustomReportCreativeDetail.aspx?App=23&amp;ReportView=4&amp;Qid=1711279&amp;Row=14020&amp;Col=1","No Title Assigned - #15273963920")</f>
        <v/>
      </c>
      <c r="B14028" s="0" t="s">
        <v>18737</v>
      </c>
      <c r="E14028" s="0" t="inlineStr">
        <is>
          <t xml:space="preserve">Mazda</t>
        </is>
      </c>
      <c r="F14028" s="0" t="inlineStr">
        <is>
          <t xml:space="preserve">Mazda</t>
        </is>
      </c>
      <c r="G14028" s="0" t="s">
        <v>171</v>
      </c>
      <c r="H14028" s="5">
        <v>16.334700</v>
      </c>
    </row>
    <row r="14029" spans="1:9">
      <c r="A14029" s="22" t="str">
        <f>HYPERLINK("https://app.vivvix.com/360/KMI/IntelliDrive/ApplUI/Pages/CreativePages/CustomReportCreativeDetail.aspx?App=23&amp;ReportView=4&amp;Qid=1711279&amp;Row=14021&amp;Col=1","No Title Assigned - #15273964121")</f>
        <v/>
      </c>
      <c r="B14029" s="0" t="s">
        <v>18738</v>
      </c>
      <c r="E14029" s="0" t="inlineStr">
        <is>
          <t xml:space="preserve">Mazda</t>
        </is>
      </c>
      <c r="F14029" s="0" t="inlineStr">
        <is>
          <t xml:space="preserve">Mazda</t>
        </is>
      </c>
      <c r="G14029" s="0" t="s">
        <v>171</v>
      </c>
      <c r="H14029" s="5">
        <v>41.603400</v>
      </c>
    </row>
    <row r="14030" spans="1:9">
      <c r="A14030" s="22" t="str">
        <f>HYPERLINK("https://app.vivvix.com/360/KMI/IntelliDrive/ApplUI/Pages/CreativePages/CustomReportCreativeDetail.aspx?App=23&amp;ReportView=4&amp;Qid=1711279&amp;Row=14022&amp;Col=1","No Title Assigned - #15273964916")</f>
        <v/>
      </c>
      <c r="B14030" s="0" t="s">
        <v>18739</v>
      </c>
      <c r="E14030" s="0" t="inlineStr">
        <is>
          <t xml:space="preserve">Mazda</t>
        </is>
      </c>
      <c r="F14030" s="0" t="inlineStr">
        <is>
          <t xml:space="preserve">Mazda</t>
        </is>
      </c>
      <c r="G14030" s="0" t="s">
        <v>171</v>
      </c>
      <c r="H14030" s="5">
        <v>146.294800</v>
      </c>
    </row>
    <row r="14031" spans="1:9">
      <c r="A14031" s="22" t="str">
        <f>HYPERLINK("https://app.vivvix.com/360/KMI/IntelliDrive/ApplUI/Pages/CreativePages/CustomReportCreativeDetail.aspx?App=23&amp;ReportView=4&amp;Qid=1711279&amp;Row=14023&amp;Col=1","No Title Assigned - #15273964916")</f>
        <v/>
      </c>
      <c r="B14031" s="0" t="s">
        <v>18739</v>
      </c>
      <c r="E14031" s="0" t="inlineStr">
        <is>
          <t xml:space="preserve">Mazda</t>
        </is>
      </c>
      <c r="F14031" s="0" t="inlineStr">
        <is>
          <t xml:space="preserve">Mazda</t>
        </is>
      </c>
      <c r="G14031" s="0" t="s">
        <v>171</v>
      </c>
      <c r="H14031" s="5">
        <v>1163.124600</v>
      </c>
    </row>
    <row r="14032" spans="1:9">
      <c r="A14032" s="22" t="str">
        <f>HYPERLINK("https://app.vivvix.com/360/KMI/IntelliDrive/ApplUI/Pages/CreativePages/CustomReportCreativeDetail.aspx?App=23&amp;ReportView=4&amp;Qid=1711279&amp;Row=14024&amp;Col=1","No Title Assigned - #15273965643")</f>
        <v/>
      </c>
      <c r="B14032" s="0" t="s">
        <v>18740</v>
      </c>
      <c r="E14032" s="0" t="inlineStr">
        <is>
          <t xml:space="preserve">Mazda</t>
        </is>
      </c>
      <c r="F14032" s="0" t="inlineStr">
        <is>
          <t xml:space="preserve">Mazda</t>
        </is>
      </c>
      <c r="G14032" s="0" t="s">
        <v>171</v>
      </c>
      <c r="H14032" s="5">
        <v>324.976200</v>
      </c>
    </row>
    <row r="14033" spans="1:9">
      <c r="A14033" s="22" t="str">
        <f>HYPERLINK("https://app.vivvix.com/360/KMI/IntelliDrive/ApplUI/Pages/CreativePages/CustomReportCreativeDetail.aspx?App=23&amp;ReportView=4&amp;Qid=1711279&amp;Row=14025&amp;Col=1","No Title Assigned - #15273965921")</f>
        <v/>
      </c>
      <c r="B14033" s="0" t="s">
        <v>18741</v>
      </c>
      <c r="E14033" s="0" t="inlineStr">
        <is>
          <t xml:space="preserve">Mazda</t>
        </is>
      </c>
      <c r="F14033" s="0" t="inlineStr">
        <is>
          <t xml:space="preserve">Mazda</t>
        </is>
      </c>
      <c r="G14033" s="0" t="s">
        <v>171</v>
      </c>
      <c r="H14033" s="5">
        <v>13511.880900</v>
      </c>
    </row>
    <row r="14034" spans="1:9">
      <c r="A14034" s="22" t="str">
        <f>HYPERLINK("https://app.vivvix.com/360/KMI/IntelliDrive/ApplUI/Pages/CreativePages/CustomReportCreativeDetail.aspx?App=23&amp;ReportView=4&amp;Qid=1711279&amp;Row=14026&amp;Col=1","No Title Assigned - #15273966220")</f>
        <v/>
      </c>
      <c r="B14034" s="0" t="s">
        <v>18742</v>
      </c>
      <c r="E14034" s="0" t="inlineStr">
        <is>
          <t xml:space="preserve">Mazda</t>
        </is>
      </c>
      <c r="F14034" s="0" t="inlineStr">
        <is>
          <t xml:space="preserve">Mazda</t>
        </is>
      </c>
      <c r="G14034" s="0" t="s">
        <v>171</v>
      </c>
      <c r="H14034" s="5">
        <v>1542.813200</v>
      </c>
    </row>
    <row r="14035" spans="1:9">
      <c r="A14035" s="22" t="str">
        <f>HYPERLINK("https://app.vivvix.com/360/KMI/IntelliDrive/ApplUI/Pages/CreativePages/CustomReportCreativeDetail.aspx?App=23&amp;ReportView=4&amp;Qid=1711279&amp;Row=14027&amp;Col=1","No Title Assigned - #15273967315")</f>
        <v/>
      </c>
      <c r="B14035" s="0" t="s">
        <v>18743</v>
      </c>
      <c r="C14035" s="0" t="s">
        <v>18744</v>
      </c>
      <c r="D14035" s="0" t="s">
        <v>18744</v>
      </c>
      <c r="E14035" s="0" t="inlineStr">
        <is>
          <t xml:space="preserve">Mazda</t>
        </is>
      </c>
      <c r="F14035" s="0" t="inlineStr">
        <is>
          <t xml:space="preserve">Mazda</t>
        </is>
      </c>
      <c r="G14035" s="0" t="s">
        <v>171</v>
      </c>
      <c r="H14035" s="5">
        <v>330.599500</v>
      </c>
    </row>
    <row r="14036" spans="1:9">
      <c r="A14036" s="22" t="str">
        <f>HYPERLINK("https://app.vivvix.com/360/KMI/IntelliDrive/ApplUI/Pages/CreativePages/CustomReportCreativeDetail.aspx?App=23&amp;ReportView=4&amp;Qid=1711279&amp;Row=14028&amp;Col=1","No Title Assigned - #15273967315")</f>
        <v/>
      </c>
      <c r="B14036" s="0" t="s">
        <v>18743</v>
      </c>
      <c r="E14036" s="0" t="inlineStr">
        <is>
          <t xml:space="preserve">Mazda</t>
        </is>
      </c>
      <c r="F14036" s="0" t="inlineStr">
        <is>
          <t xml:space="preserve">Mazda</t>
        </is>
      </c>
      <c r="G14036" s="0" t="s">
        <v>171</v>
      </c>
      <c r="H14036" s="5">
        <v>143.877300</v>
      </c>
    </row>
    <row r="14037" spans="1:9">
      <c r="A14037" s="22" t="str">
        <f>HYPERLINK("https://app.vivvix.com/360/KMI/IntelliDrive/ApplUI/Pages/CreativePages/CustomReportCreativeDetail.aspx?App=23&amp;ReportView=4&amp;Qid=1711279&amp;Row=14029&amp;Col=1","No Title Assigned - #15273967971")</f>
        <v/>
      </c>
      <c r="B14037" s="0" t="s">
        <v>18745</v>
      </c>
      <c r="E14037" s="0" t="inlineStr">
        <is>
          <t xml:space="preserve">Mazda</t>
        </is>
      </c>
      <c r="F14037" s="0" t="inlineStr">
        <is>
          <t xml:space="preserve">Mazda</t>
        </is>
      </c>
      <c r="G14037" s="0" t="s">
        <v>171</v>
      </c>
      <c r="H14037" s="5">
        <v>10.323700</v>
      </c>
    </row>
    <row r="14038" spans="1:9">
      <c r="A14038" s="22" t="str">
        <f>HYPERLINK("https://app.vivvix.com/360/KMI/IntelliDrive/ApplUI/Pages/CreativePages/CustomReportCreativeDetail.aspx?App=23&amp;ReportView=4&amp;Qid=1711279&amp;Row=14030&amp;Col=1","No Title Assigned - #15273967973")</f>
        <v/>
      </c>
      <c r="B14038" s="0" t="s">
        <v>18746</v>
      </c>
      <c r="E14038" s="0" t="inlineStr">
        <is>
          <t xml:space="preserve">Mazda</t>
        </is>
      </c>
      <c r="F14038" s="0" t="inlineStr">
        <is>
          <t xml:space="preserve">Mazda</t>
        </is>
      </c>
      <c r="G14038" s="0" t="s">
        <v>171</v>
      </c>
      <c r="H14038" s="5">
        <v>134.857600</v>
      </c>
    </row>
    <row r="14039" spans="1:9">
      <c r="A14039" s="22" t="str">
        <f>HYPERLINK("https://app.vivvix.com/360/KMI/IntelliDrive/ApplUI/Pages/CreativePages/CustomReportCreativeDetail.aspx?App=23&amp;ReportView=4&amp;Qid=1711279&amp;Row=14031&amp;Col=1","No Title Assigned - #15273967989")</f>
        <v/>
      </c>
      <c r="B14039" s="0" t="s">
        <v>18747</v>
      </c>
      <c r="E14039" s="0" t="inlineStr">
        <is>
          <t xml:space="preserve">Mazda</t>
        </is>
      </c>
      <c r="F14039" s="0" t="inlineStr">
        <is>
          <t xml:space="preserve">Mazda</t>
        </is>
      </c>
      <c r="G14039" s="0" t="s">
        <v>171</v>
      </c>
      <c r="H14039" s="5">
        <v>510.359800</v>
      </c>
    </row>
    <row r="14040" spans="1:9">
      <c r="A14040" s="22" t="str">
        <f>HYPERLINK("https://app.vivvix.com/360/KMI/IntelliDrive/ApplUI/Pages/CreativePages/CustomReportCreativeDetail.aspx?App=23&amp;ReportView=4&amp;Qid=1711279&amp;Row=14032&amp;Col=1","No Title Assigned - #15273967989")</f>
        <v/>
      </c>
      <c r="B14040" s="0" t="s">
        <v>18747</v>
      </c>
      <c r="E14040" s="0" t="inlineStr">
        <is>
          <t xml:space="preserve">Mazda</t>
        </is>
      </c>
      <c r="F14040" s="0" t="inlineStr">
        <is>
          <t xml:space="preserve">Mazda</t>
        </is>
      </c>
      <c r="G14040" s="0" t="s">
        <v>171</v>
      </c>
      <c r="H14040" s="5">
        <v>57158.814500</v>
      </c>
    </row>
    <row r="14041" spans="1:9">
      <c r="A14041" s="22" t="str">
        <f>HYPERLINK("https://app.vivvix.com/360/KMI/IntelliDrive/ApplUI/Pages/CreativePages/CustomReportCreativeDetail.aspx?App=23&amp;ReportView=4&amp;Qid=1711279&amp;Row=14033&amp;Col=1","No Title Assigned - #15273968237")</f>
        <v/>
      </c>
      <c r="B14041" s="0" t="s">
        <v>18748</v>
      </c>
      <c r="E14041" s="0" t="inlineStr">
        <is>
          <t xml:space="preserve">Mazda</t>
        </is>
      </c>
      <c r="F14041" s="0" t="inlineStr">
        <is>
          <t xml:space="preserve">Mazda</t>
        </is>
      </c>
      <c r="G14041" s="0" t="s">
        <v>171</v>
      </c>
      <c r="H14041" s="5">
        <v>216.415600</v>
      </c>
    </row>
    <row r="14042" spans="1:9">
      <c r="A14042" s="22" t="str">
        <f>HYPERLINK("https://app.vivvix.com/360/KMI/IntelliDrive/ApplUI/Pages/CreativePages/CustomReportCreativeDetail.aspx?App=23&amp;ReportView=4&amp;Qid=1711279&amp;Row=14034&amp;Col=1","No Title Assigned - #15273968511")</f>
        <v/>
      </c>
      <c r="B14042" s="0" t="s">
        <v>18749</v>
      </c>
      <c r="E14042" s="0" t="inlineStr">
        <is>
          <t xml:space="preserve">Mazda</t>
        </is>
      </c>
      <c r="F14042" s="0" t="inlineStr">
        <is>
          <t xml:space="preserve">Mazda</t>
        </is>
      </c>
      <c r="G14042" s="0" t="s">
        <v>171</v>
      </c>
      <c r="H14042" s="5">
        <v>1215.483500</v>
      </c>
    </row>
    <row r="14043" spans="1:9">
      <c r="A14043" s="22" t="str">
        <f>HYPERLINK("https://app.vivvix.com/360/KMI/IntelliDrive/ApplUI/Pages/CreativePages/CustomReportCreativeDetail.aspx?App=23&amp;ReportView=4&amp;Qid=1711279&amp;Row=14035&amp;Col=1","No Title Assigned - #15273968611")</f>
        <v/>
      </c>
      <c r="B14043" s="0" t="s">
        <v>18750</v>
      </c>
      <c r="E14043" s="0" t="inlineStr">
        <is>
          <t xml:space="preserve">Mazda</t>
        </is>
      </c>
      <c r="F14043" s="0" t="inlineStr">
        <is>
          <t xml:space="preserve">Mazda</t>
        </is>
      </c>
      <c r="G14043" s="0" t="s">
        <v>171</v>
      </c>
      <c r="H14043" s="5">
        <v>556.246200</v>
      </c>
    </row>
    <row r="14044" spans="1:9">
      <c r="A14044" s="22" t="str">
        <f>HYPERLINK("https://app.vivvix.com/360/KMI/IntelliDrive/ApplUI/Pages/CreativePages/CustomReportCreativeDetail.aspx?App=23&amp;ReportView=4&amp;Qid=1711279&amp;Row=14036&amp;Col=1","No Title Assigned - #15273968637")</f>
        <v/>
      </c>
      <c r="B14044" s="0" t="s">
        <v>18751</v>
      </c>
      <c r="C14044" s="0" t="s">
        <v>18752</v>
      </c>
      <c r="D14044" s="0" t="s">
        <v>18752</v>
      </c>
      <c r="E14044" s="0" t="inlineStr">
        <is>
          <t xml:space="preserve">Mazda</t>
        </is>
      </c>
      <c r="F14044" s="0" t="inlineStr">
        <is>
          <t xml:space="preserve">Mazda</t>
        </is>
      </c>
      <c r="G14044" s="0" t="s">
        <v>171</v>
      </c>
      <c r="H14044" s="5">
        <v>138.678000</v>
      </c>
    </row>
    <row r="14045" spans="1:9">
      <c r="A14045" s="22" t="str">
        <f>HYPERLINK("https://app.vivvix.com/360/KMI/IntelliDrive/ApplUI/Pages/CreativePages/CustomReportCreativeDetail.aspx?App=23&amp;ReportView=4&amp;Qid=1711279&amp;Row=14037&amp;Col=1","No Title Assigned - #15273968638")</f>
        <v/>
      </c>
      <c r="B14045" s="0" t="s">
        <v>18753</v>
      </c>
      <c r="E14045" s="0" t="inlineStr">
        <is>
          <t xml:space="preserve">Mazda</t>
        </is>
      </c>
      <c r="F14045" s="0" t="inlineStr">
        <is>
          <t xml:space="preserve">Mazda</t>
        </is>
      </c>
      <c r="G14045" s="0" t="s">
        <v>171</v>
      </c>
      <c r="H14045" s="5">
        <v>51.206400</v>
      </c>
    </row>
    <row r="14046" spans="1:9">
      <c r="A14046" s="22" t="str">
        <f>HYPERLINK("https://app.vivvix.com/360/KMI/IntelliDrive/ApplUI/Pages/CreativePages/CustomReportCreativeDetail.aspx?App=23&amp;ReportView=4&amp;Qid=1711279&amp;Row=14038&amp;Col=1","No Title Assigned - #15273969715")</f>
        <v/>
      </c>
      <c r="B14046" s="0" t="s">
        <v>18754</v>
      </c>
      <c r="C14046" s="0" t="s">
        <v>18755</v>
      </c>
      <c r="D14046" s="0" t="s">
        <v>18755</v>
      </c>
      <c r="E14046" s="0" t="inlineStr">
        <is>
          <t xml:space="preserve">Mazda</t>
        </is>
      </c>
      <c r="F14046" s="0" t="inlineStr">
        <is>
          <t xml:space="preserve">Mazda</t>
        </is>
      </c>
      <c r="G14046" s="0" t="s">
        <v>171</v>
      </c>
      <c r="H14046" s="5">
        <v>88.414200</v>
      </c>
    </row>
    <row r="14047" spans="1:9">
      <c r="A14047" s="22" t="str">
        <f>HYPERLINK("https://app.vivvix.com/360/KMI/IntelliDrive/ApplUI/Pages/CreativePages/CustomReportCreativeDetail.aspx?App=23&amp;ReportView=4&amp;Qid=1711279&amp;Row=14039&amp;Col=1","No Title Assigned - #15273970794")</f>
        <v/>
      </c>
      <c r="B14047" s="0" t="s">
        <v>18756</v>
      </c>
      <c r="E14047" s="0" t="inlineStr">
        <is>
          <t xml:space="preserve">Mazda</t>
        </is>
      </c>
      <c r="F14047" s="0" t="inlineStr">
        <is>
          <t xml:space="preserve">Mazda</t>
        </is>
      </c>
      <c r="G14047" s="0" t="s">
        <v>171</v>
      </c>
      <c r="H14047" s="5">
        <v>34.907600</v>
      </c>
    </row>
    <row r="14048" spans="1:9">
      <c r="A14048" s="22" t="str">
        <f>HYPERLINK("https://app.vivvix.com/360/KMI/IntelliDrive/ApplUI/Pages/CreativePages/CustomReportCreativeDetail.aspx?App=23&amp;ReportView=4&amp;Qid=1711279&amp;Row=14040&amp;Col=1","No Title Assigned - #15273970939")</f>
        <v/>
      </c>
      <c r="B14048" s="0" t="s">
        <v>18757</v>
      </c>
      <c r="E14048" s="0" t="inlineStr">
        <is>
          <t xml:space="preserve">Mazda</t>
        </is>
      </c>
      <c r="F14048" s="0" t="inlineStr">
        <is>
          <t xml:space="preserve">Mazda</t>
        </is>
      </c>
      <c r="G14048" s="0" t="s">
        <v>171</v>
      </c>
      <c r="H14048" s="5">
        <v>1324.577800</v>
      </c>
    </row>
    <row r="14049" spans="1:9">
      <c r="A14049" s="22" t="str">
        <f>HYPERLINK("https://app.vivvix.com/360/KMI/IntelliDrive/ApplUI/Pages/CreativePages/CustomReportCreativeDetail.aspx?App=23&amp;ReportView=4&amp;Qid=1711279&amp;Row=14041&amp;Col=1","No Title Assigned - #15273971048")</f>
        <v/>
      </c>
      <c r="B14049" s="0" t="s">
        <v>18758</v>
      </c>
      <c r="E14049" s="0" t="inlineStr">
        <is>
          <t xml:space="preserve">Mazda</t>
        </is>
      </c>
      <c r="F14049" s="0" t="inlineStr">
        <is>
          <t xml:space="preserve">Mazda</t>
        </is>
      </c>
      <c r="G14049" s="0" t="s">
        <v>171</v>
      </c>
      <c r="H14049" s="5">
        <v>201.299500</v>
      </c>
    </row>
    <row r="14050" spans="1:9">
      <c r="A14050" s="22" t="str">
        <f>HYPERLINK("https://app.vivvix.com/360/KMI/IntelliDrive/ApplUI/Pages/CreativePages/CustomReportCreativeDetail.aspx?App=23&amp;ReportView=4&amp;Qid=1711279&amp;Row=14042&amp;Col=1","No Title Assigned - #15273971057")</f>
        <v/>
      </c>
      <c r="B14050" s="0" t="s">
        <v>18759</v>
      </c>
      <c r="E14050" s="0" t="inlineStr">
        <is>
          <t xml:space="preserve">Mazda</t>
        </is>
      </c>
      <c r="F14050" s="0" t="inlineStr">
        <is>
          <t xml:space="preserve">Mazda</t>
        </is>
      </c>
      <c r="G14050" s="0" t="s">
        <v>171</v>
      </c>
      <c r="H14050" s="5">
        <v>56.241400</v>
      </c>
    </row>
    <row r="14051" spans="1:9">
      <c r="A14051" s="22" t="str">
        <f>HYPERLINK("https://app.vivvix.com/360/KMI/IntelliDrive/ApplUI/Pages/CreativePages/CustomReportCreativeDetail.aspx?App=23&amp;ReportView=4&amp;Qid=1711279&amp;Row=14043&amp;Col=1","No Title Assigned - #15273971193")</f>
        <v/>
      </c>
      <c r="B14051" s="0" t="s">
        <v>18760</v>
      </c>
      <c r="E14051" s="0" t="inlineStr">
        <is>
          <t xml:space="preserve">Mazda</t>
        </is>
      </c>
      <c r="F14051" s="0" t="inlineStr">
        <is>
          <t xml:space="preserve">Mazda</t>
        </is>
      </c>
      <c r="G14051" s="0" t="s">
        <v>171</v>
      </c>
      <c r="H14051" s="5">
        <v>179.393700</v>
      </c>
    </row>
    <row r="14052" spans="1:9">
      <c r="A14052" s="22" t="str">
        <f>HYPERLINK("https://app.vivvix.com/360/KMI/IntelliDrive/ApplUI/Pages/CreativePages/CustomReportCreativeDetail.aspx?App=23&amp;ReportView=4&amp;Qid=1711279&amp;Row=14044&amp;Col=1","No Title Assigned - #15273971270")</f>
        <v/>
      </c>
      <c r="B14052" s="0" t="s">
        <v>18761</v>
      </c>
      <c r="E14052" s="0" t="inlineStr">
        <is>
          <t xml:space="preserve">Mazda</t>
        </is>
      </c>
      <c r="F14052" s="0" t="inlineStr">
        <is>
          <t xml:space="preserve">Mazda</t>
        </is>
      </c>
      <c r="G14052" s="0" t="s">
        <v>171</v>
      </c>
      <c r="H14052" s="5">
        <v>380.269100</v>
      </c>
    </row>
    <row r="14053" spans="1:9">
      <c r="A14053" s="22" t="str">
        <f>HYPERLINK("https://app.vivvix.com/360/KMI/IntelliDrive/ApplUI/Pages/CreativePages/CustomReportCreativeDetail.aspx?App=23&amp;ReportView=4&amp;Qid=1711279&amp;Row=14045&amp;Col=1","No Title Assigned - #15273971424")</f>
        <v/>
      </c>
      <c r="B14053" s="0" t="s">
        <v>18762</v>
      </c>
      <c r="E14053" s="0" t="inlineStr">
        <is>
          <t xml:space="preserve">Mazda</t>
        </is>
      </c>
      <c r="F14053" s="0" t="inlineStr">
        <is>
          <t xml:space="preserve">Mazda</t>
        </is>
      </c>
      <c r="G14053" s="0" t="s">
        <v>171</v>
      </c>
      <c r="H14053" s="5">
        <v>49.307700</v>
      </c>
    </row>
    <row r="14054" spans="1:9">
      <c r="A14054" s="22" t="str">
        <f>HYPERLINK("https://app.vivvix.com/360/KMI/IntelliDrive/ApplUI/Pages/CreativePages/CustomReportCreativeDetail.aspx?App=23&amp;ReportView=4&amp;Qid=1711279&amp;Row=14046&amp;Col=1","No Title Assigned - #15273971725")</f>
        <v/>
      </c>
      <c r="B14054" s="0" t="s">
        <v>18763</v>
      </c>
      <c r="C14054" s="0" t="s">
        <v>18764</v>
      </c>
      <c r="D14054" s="0" t="s">
        <v>18764</v>
      </c>
      <c r="E14054" s="0" t="inlineStr">
        <is>
          <t xml:space="preserve">Mazda</t>
        </is>
      </c>
      <c r="F14054" s="0" t="inlineStr">
        <is>
          <t xml:space="preserve">Mazda</t>
        </is>
      </c>
      <c r="G14054" s="0" t="s">
        <v>171</v>
      </c>
      <c r="H14054" s="5">
        <v>645.608000</v>
      </c>
    </row>
    <row r="14055" spans="1:9">
      <c r="A14055" s="22" t="str">
        <f>HYPERLINK("https://app.vivvix.com/360/KMI/IntelliDrive/ApplUI/Pages/CreativePages/CustomReportCreativeDetail.aspx?App=23&amp;ReportView=4&amp;Qid=1711279&amp;Row=14047&amp;Col=1","No Title Assigned - #15273971836")</f>
        <v/>
      </c>
      <c r="B14055" s="0" t="s">
        <v>18765</v>
      </c>
      <c r="C14055" s="0" t="s">
        <v>18766</v>
      </c>
      <c r="D14055" s="0" t="s">
        <v>18766</v>
      </c>
      <c r="E14055" s="0" t="inlineStr">
        <is>
          <t xml:space="preserve">Mazda</t>
        </is>
      </c>
      <c r="F14055" s="0" t="inlineStr">
        <is>
          <t xml:space="preserve">Mazda</t>
        </is>
      </c>
      <c r="G14055" s="0" t="s">
        <v>171</v>
      </c>
      <c r="H14055" s="5">
        <v>83.420400</v>
      </c>
    </row>
    <row r="14056" spans="1:9">
      <c r="A14056" s="22" t="str">
        <f>HYPERLINK("https://app.vivvix.com/360/KMI/IntelliDrive/ApplUI/Pages/CreativePages/CustomReportCreativeDetail.aspx?App=23&amp;ReportView=4&amp;Qid=1711279&amp;Row=14048&amp;Col=1","No Title Assigned - #15273971940")</f>
        <v/>
      </c>
      <c r="B14056" s="0" t="s">
        <v>18767</v>
      </c>
      <c r="E14056" s="0" t="inlineStr">
        <is>
          <t xml:space="preserve">Mazda</t>
        </is>
      </c>
      <c r="F14056" s="0" t="inlineStr">
        <is>
          <t xml:space="preserve">Mazda</t>
        </is>
      </c>
      <c r="G14056" s="0" t="s">
        <v>171</v>
      </c>
      <c r="H14056" s="5">
        <v>635.556500</v>
      </c>
    </row>
    <row r="14057" spans="1:9">
      <c r="A14057" s="22" t="str">
        <f>HYPERLINK("https://app.vivvix.com/360/KMI/IntelliDrive/ApplUI/Pages/CreativePages/CustomReportCreativeDetail.aspx?App=23&amp;ReportView=4&amp;Qid=1711279&amp;Row=14049&amp;Col=1","No Title Assigned - #15273971940")</f>
        <v/>
      </c>
      <c r="B14057" s="0" t="s">
        <v>18767</v>
      </c>
      <c r="E14057" s="0" t="inlineStr">
        <is>
          <t xml:space="preserve">Mazda</t>
        </is>
      </c>
      <c r="F14057" s="0" t="inlineStr">
        <is>
          <t xml:space="preserve">Mazda</t>
        </is>
      </c>
      <c r="G14057" s="0" t="s">
        <v>171</v>
      </c>
      <c r="H14057" s="5">
        <v>34659.065500</v>
      </c>
    </row>
    <row r="14058" spans="1:9">
      <c r="A14058" s="22" t="str">
        <f>HYPERLINK("https://app.vivvix.com/360/KMI/IntelliDrive/ApplUI/Pages/CreativePages/CustomReportCreativeDetail.aspx?App=23&amp;ReportView=4&amp;Qid=1711279&amp;Row=14050&amp;Col=1","No Title Assigned - #15273972021")</f>
        <v/>
      </c>
      <c r="B14058" s="0" t="s">
        <v>18768</v>
      </c>
      <c r="E14058" s="0" t="inlineStr">
        <is>
          <t xml:space="preserve">Mazda</t>
        </is>
      </c>
      <c r="F14058" s="0" t="inlineStr">
        <is>
          <t xml:space="preserve">Mazda</t>
        </is>
      </c>
      <c r="G14058" s="0" t="s">
        <v>171</v>
      </c>
      <c r="H14058" s="5">
        <v>556.246200</v>
      </c>
    </row>
    <row r="14059" spans="1:9">
      <c r="A14059" s="22" t="str">
        <f>HYPERLINK("https://app.vivvix.com/360/KMI/IntelliDrive/ApplUI/Pages/CreativePages/CustomReportCreativeDetail.aspx?App=23&amp;ReportView=4&amp;Qid=1711279&amp;Row=14051&amp;Col=1","No Title Assigned - #15273972299")</f>
        <v/>
      </c>
      <c r="B14059" s="0" t="s">
        <v>18769</v>
      </c>
      <c r="E14059" s="0" t="inlineStr">
        <is>
          <t xml:space="preserve">Mazda</t>
        </is>
      </c>
      <c r="F14059" s="0" t="inlineStr">
        <is>
          <t xml:space="preserve">Mazda</t>
        </is>
      </c>
      <c r="G14059" s="0" t="s">
        <v>171</v>
      </c>
      <c r="H14059" s="5">
        <v>229.027600</v>
      </c>
    </row>
    <row r="14060" spans="1:9">
      <c r="A14060" s="22" t="str">
        <f>HYPERLINK("https://app.vivvix.com/360/KMI/IntelliDrive/ApplUI/Pages/CreativePages/CustomReportCreativeDetail.aspx?App=23&amp;ReportView=4&amp;Qid=1711279&amp;Row=14052&amp;Col=1","No Title Assigned - #15273972345")</f>
        <v/>
      </c>
      <c r="B14060" s="0" t="s">
        <v>18770</v>
      </c>
      <c r="E14060" s="0" t="inlineStr">
        <is>
          <t xml:space="preserve">Mazda</t>
        </is>
      </c>
      <c r="F14060" s="0" t="inlineStr">
        <is>
          <t xml:space="preserve">Mazda</t>
        </is>
      </c>
      <c r="G14060" s="0" t="s">
        <v>171</v>
      </c>
      <c r="H14060" s="5">
        <v>104.699400</v>
      </c>
    </row>
    <row r="14061" spans="1:9">
      <c r="A14061" s="22" t="str">
        <f>HYPERLINK("https://app.vivvix.com/360/KMI/IntelliDrive/ApplUI/Pages/CreativePages/CustomReportCreativeDetail.aspx?App=23&amp;ReportView=4&amp;Qid=1711279&amp;Row=14053&amp;Col=1","No Title Assigned - #15273972402")</f>
        <v/>
      </c>
      <c r="B14061" s="0" t="s">
        <v>18771</v>
      </c>
      <c r="C14061" s="0" t="s">
        <v>18772</v>
      </c>
      <c r="D14061" s="0" t="s">
        <v>18772</v>
      </c>
      <c r="E14061" s="0" t="inlineStr">
        <is>
          <t xml:space="preserve">Mazda</t>
        </is>
      </c>
      <c r="F14061" s="0" t="inlineStr">
        <is>
          <t xml:space="preserve">Mazda</t>
        </is>
      </c>
      <c r="G14061" s="0" t="s">
        <v>171</v>
      </c>
      <c r="H14061" s="5">
        <v>2413.158200</v>
      </c>
    </row>
    <row r="14062" spans="1:9">
      <c r="A14062" s="22" t="str">
        <f>HYPERLINK("https://app.vivvix.com/360/KMI/IntelliDrive/ApplUI/Pages/CreativePages/CustomReportCreativeDetail.aspx?App=23&amp;ReportView=4&amp;Qid=1711279&amp;Row=14054&amp;Col=1","No Title Assigned - #15273972402")</f>
        <v/>
      </c>
      <c r="B14062" s="0" t="s">
        <v>18771</v>
      </c>
      <c r="E14062" s="0" t="inlineStr">
        <is>
          <t xml:space="preserve">Mazda</t>
        </is>
      </c>
      <c r="F14062" s="0" t="inlineStr">
        <is>
          <t xml:space="preserve">Mazda</t>
        </is>
      </c>
      <c r="G14062" s="0" t="s">
        <v>171</v>
      </c>
      <c r="H14062" s="5">
        <v>15613.849100</v>
      </c>
    </row>
    <row r="14063" spans="1:9">
      <c r="A14063" s="22" t="str">
        <f>HYPERLINK("https://app.vivvix.com/360/KMI/IntelliDrive/ApplUI/Pages/CreativePages/CustomReportCreativeDetail.aspx?App=23&amp;ReportView=4&amp;Qid=1711279&amp;Row=14055&amp;Col=1","No Title Assigned - #15273972642")</f>
        <v/>
      </c>
      <c r="B14063" s="0" t="s">
        <v>18773</v>
      </c>
      <c r="E14063" s="0" t="inlineStr">
        <is>
          <t xml:space="preserve">Mazda</t>
        </is>
      </c>
      <c r="F14063" s="0" t="inlineStr">
        <is>
          <t xml:space="preserve">Mazda</t>
        </is>
      </c>
      <c r="G14063" s="0" t="s">
        <v>171</v>
      </c>
      <c r="H14063" s="5">
        <v>353.011400</v>
      </c>
    </row>
    <row r="14064" spans="1:9">
      <c r="A14064" s="22" t="str">
        <f>HYPERLINK("https://app.vivvix.com/360/KMI/IntelliDrive/ApplUI/Pages/CreativePages/CustomReportCreativeDetail.aspx?App=23&amp;ReportView=4&amp;Qid=1711279&amp;Row=14056&amp;Col=1","No Title Assigned - #15273972665")</f>
        <v/>
      </c>
      <c r="B14064" s="0" t="s">
        <v>18774</v>
      </c>
      <c r="E14064" s="0" t="inlineStr">
        <is>
          <t xml:space="preserve">Mazda</t>
        </is>
      </c>
      <c r="F14064" s="0" t="inlineStr">
        <is>
          <t xml:space="preserve">Mazda</t>
        </is>
      </c>
      <c r="G14064" s="0" t="s">
        <v>171</v>
      </c>
      <c r="H14064" s="5">
        <v>126.748700</v>
      </c>
    </row>
    <row r="14065" spans="1:9">
      <c r="A14065" s="22" t="str">
        <f>HYPERLINK("https://app.vivvix.com/360/KMI/IntelliDrive/ApplUI/Pages/CreativePages/CustomReportCreativeDetail.aspx?App=23&amp;ReportView=4&amp;Qid=1711279&amp;Row=14057&amp;Col=1","No Title Assigned - #15273973510")</f>
        <v/>
      </c>
      <c r="B14065" s="0" t="s">
        <v>18775</v>
      </c>
      <c r="E14065" s="0" t="inlineStr">
        <is>
          <t xml:space="preserve">Mazda</t>
        </is>
      </c>
      <c r="F14065" s="0" t="inlineStr">
        <is>
          <t xml:space="preserve">Mazda</t>
        </is>
      </c>
      <c r="G14065" s="0" t="s">
        <v>171</v>
      </c>
      <c r="H14065" s="5">
        <v>443.976900</v>
      </c>
    </row>
    <row r="14066" spans="1:9">
      <c r="A14066" s="22" t="str">
        <f>HYPERLINK("https://app.vivvix.com/360/KMI/IntelliDrive/ApplUI/Pages/CreativePages/CustomReportCreativeDetail.aspx?App=23&amp;ReportView=4&amp;Qid=1711279&amp;Row=14058&amp;Col=1","No Title Assigned - #15273973561")</f>
        <v/>
      </c>
      <c r="B14066" s="0" t="s">
        <v>18776</v>
      </c>
      <c r="E14066" s="0" t="inlineStr">
        <is>
          <t xml:space="preserve">Mazda</t>
        </is>
      </c>
      <c r="F14066" s="0" t="inlineStr">
        <is>
          <t xml:space="preserve">Mazda</t>
        </is>
      </c>
      <c r="G14066" s="0" t="s">
        <v>171</v>
      </c>
      <c r="H14066" s="5">
        <v>630.941200</v>
      </c>
    </row>
    <row r="14067" spans="1:9">
      <c r="A14067" s="22" t="str">
        <f>HYPERLINK("https://app.vivvix.com/360/KMI/IntelliDrive/ApplUI/Pages/CreativePages/CustomReportCreativeDetail.aspx?App=23&amp;ReportView=4&amp;Qid=1711279&amp;Row=14059&amp;Col=1","No Title Assigned - #15273973561")</f>
        <v/>
      </c>
      <c r="B14067" s="0" t="s">
        <v>18776</v>
      </c>
      <c r="E14067" s="0" t="inlineStr">
        <is>
          <t xml:space="preserve">Mazda</t>
        </is>
      </c>
      <c r="F14067" s="0" t="inlineStr">
        <is>
          <t xml:space="preserve">Mazda</t>
        </is>
      </c>
      <c r="G14067" s="0" t="s">
        <v>171</v>
      </c>
      <c r="H14067" s="5">
        <v>50.357100</v>
      </c>
    </row>
    <row r="14068" spans="1:9">
      <c r="A14068" s="22" t="str">
        <f>HYPERLINK("https://app.vivvix.com/360/KMI/IntelliDrive/ApplUI/Pages/CreativePages/CustomReportCreativeDetail.aspx?App=23&amp;ReportView=4&amp;Qid=1711279&amp;Row=14060&amp;Col=1","No Title Assigned - #15273973616")</f>
        <v/>
      </c>
      <c r="B14068" s="0" t="s">
        <v>18777</v>
      </c>
      <c r="E14068" s="0" t="inlineStr">
        <is>
          <t xml:space="preserve">Mazda</t>
        </is>
      </c>
      <c r="F14068" s="0" t="inlineStr">
        <is>
          <t xml:space="preserve">Mazda</t>
        </is>
      </c>
      <c r="G14068" s="0" t="s">
        <v>171</v>
      </c>
      <c r="H14068" s="5">
        <v>67.886100</v>
      </c>
    </row>
    <row r="14069" spans="1:9">
      <c r="A14069" s="22" t="str">
        <f>HYPERLINK("https://app.vivvix.com/360/KMI/IntelliDrive/ApplUI/Pages/CreativePages/CustomReportCreativeDetail.aspx?App=23&amp;ReportView=4&amp;Qid=1711279&amp;Row=14061&amp;Col=1","No Title Assigned - #15273973714")</f>
        <v/>
      </c>
      <c r="B14069" s="0" t="s">
        <v>18778</v>
      </c>
      <c r="E14069" s="0" t="inlineStr">
        <is>
          <t xml:space="preserve">Mazda</t>
        </is>
      </c>
      <c r="F14069" s="0" t="inlineStr">
        <is>
          <t xml:space="preserve">Mazda</t>
        </is>
      </c>
      <c r="G14069" s="0" t="s">
        <v>171</v>
      </c>
      <c r="H14069" s="5">
        <v>1317.992600</v>
      </c>
    </row>
    <row r="14070" spans="1:9">
      <c r="A14070" s="22" t="str">
        <f>HYPERLINK("https://app.vivvix.com/360/KMI/IntelliDrive/ApplUI/Pages/CreativePages/CustomReportCreativeDetail.aspx?App=23&amp;ReportView=4&amp;Qid=1711279&amp;Row=14062&amp;Col=1","No Title Assigned - #15273973736")</f>
        <v/>
      </c>
      <c r="B14070" s="0" t="s">
        <v>18779</v>
      </c>
      <c r="E14070" s="0" t="inlineStr">
        <is>
          <t xml:space="preserve">Mazda</t>
        </is>
      </c>
      <c r="F14070" s="0" t="inlineStr">
        <is>
          <t xml:space="preserve">Mazda</t>
        </is>
      </c>
      <c r="G14070" s="0" t="s">
        <v>171</v>
      </c>
      <c r="H14070" s="5">
        <v>127.165300</v>
      </c>
    </row>
    <row r="14071" spans="1:9">
      <c r="A14071" s="22" t="str">
        <f>HYPERLINK("https://app.vivvix.com/360/KMI/IntelliDrive/ApplUI/Pages/CreativePages/CustomReportCreativeDetail.aspx?App=23&amp;ReportView=4&amp;Qid=1711279&amp;Row=14063&amp;Col=1","No Title Assigned - #15273974014")</f>
        <v/>
      </c>
      <c r="B14071" s="0" t="s">
        <v>18780</v>
      </c>
      <c r="E14071" s="0" t="inlineStr">
        <is>
          <t xml:space="preserve">Mazda</t>
        </is>
      </c>
      <c r="F14071" s="0" t="inlineStr">
        <is>
          <t xml:space="preserve">Mazda</t>
        </is>
      </c>
      <c r="G14071" s="0" t="s">
        <v>171</v>
      </c>
      <c r="H14071" s="5">
        <v>6.827000</v>
      </c>
    </row>
    <row r="14072" spans="1:9">
      <c r="A14072" s="22" t="str">
        <f>HYPERLINK("https://app.vivvix.com/360/KMI/IntelliDrive/ApplUI/Pages/CreativePages/CustomReportCreativeDetail.aspx?App=23&amp;ReportView=4&amp;Qid=1711279&amp;Row=14064&amp;Col=1","No Title Assigned - #15273974149")</f>
        <v/>
      </c>
      <c r="B14072" s="0" t="s">
        <v>18781</v>
      </c>
      <c r="E14072" s="0" t="inlineStr">
        <is>
          <t xml:space="preserve">Mazda</t>
        </is>
      </c>
      <c r="F14072" s="0" t="inlineStr">
        <is>
          <t xml:space="preserve">Mazda</t>
        </is>
      </c>
      <c r="G14072" s="0" t="s">
        <v>171</v>
      </c>
      <c r="H14072" s="5">
        <v>12.089800</v>
      </c>
    </row>
    <row r="14073" spans="1:9">
      <c r="A14073" s="22" t="str">
        <f>HYPERLINK("https://app.vivvix.com/360/KMI/IntelliDrive/ApplUI/Pages/CreativePages/CustomReportCreativeDetail.aspx?App=23&amp;ReportView=4&amp;Qid=1711279&amp;Row=14065&amp;Col=1","No Title Assigned - #15273977086")</f>
        <v/>
      </c>
      <c r="B14073" s="0" t="s">
        <v>18782</v>
      </c>
      <c r="E14073" s="0" t="inlineStr">
        <is>
          <t xml:space="preserve">Mazda</t>
        </is>
      </c>
      <c r="F14073" s="0" t="inlineStr">
        <is>
          <t xml:space="preserve">Mazda</t>
        </is>
      </c>
      <c r="G14073" s="0" t="s">
        <v>171</v>
      </c>
      <c r="H14073" s="5">
        <v>71.591800</v>
      </c>
    </row>
    <row r="14074" spans="1:9">
      <c r="A14074" s="22" t="str">
        <f>HYPERLINK("https://app.vivvix.com/360/KMI/IntelliDrive/ApplUI/Pages/CreativePages/CustomReportCreativeDetail.aspx?App=23&amp;ReportView=4&amp;Qid=1711279&amp;Row=14066&amp;Col=1","No Title Assigned - #15273977093")</f>
        <v/>
      </c>
      <c r="B14074" s="0" t="s">
        <v>18783</v>
      </c>
      <c r="E14074" s="0" t="inlineStr">
        <is>
          <t xml:space="preserve">Mazda</t>
        </is>
      </c>
      <c r="F14074" s="0" t="inlineStr">
        <is>
          <t xml:space="preserve">Mazda</t>
        </is>
      </c>
      <c r="G14074" s="0" t="s">
        <v>171</v>
      </c>
      <c r="H14074" s="5">
        <v>461.339300</v>
      </c>
    </row>
    <row r="14075" spans="1:9">
      <c r="A14075" s="22" t="str">
        <f>HYPERLINK("https://app.vivvix.com/360/KMI/IntelliDrive/ApplUI/Pages/CreativePages/CustomReportCreativeDetail.aspx?App=23&amp;ReportView=4&amp;Qid=1711279&amp;Row=14067&amp;Col=1","No Title Assigned - #15273977093")</f>
        <v/>
      </c>
      <c r="B14075" s="0" t="s">
        <v>18783</v>
      </c>
      <c r="E14075" s="0" t="inlineStr">
        <is>
          <t xml:space="preserve">Mazda</t>
        </is>
      </c>
      <c r="F14075" s="0" t="inlineStr">
        <is>
          <t xml:space="preserve">Mazda</t>
        </is>
      </c>
      <c r="G14075" s="0" t="s">
        <v>171</v>
      </c>
      <c r="H14075" s="5">
        <v>740.367000</v>
      </c>
    </row>
    <row r="14076" spans="1:9">
      <c r="A14076" s="22" t="str">
        <f>HYPERLINK("https://app.vivvix.com/360/KMI/IntelliDrive/ApplUI/Pages/CreativePages/CustomReportCreativeDetail.aspx?App=23&amp;ReportView=4&amp;Qid=1711279&amp;Row=14068&amp;Col=1","No Title Assigned - #15273977307")</f>
        <v/>
      </c>
      <c r="B14076" s="0" t="s">
        <v>18784</v>
      </c>
      <c r="E14076" s="0" t="inlineStr">
        <is>
          <t xml:space="preserve">Mazda</t>
        </is>
      </c>
      <c r="F14076" s="0" t="inlineStr">
        <is>
          <t xml:space="preserve">Mazda</t>
        </is>
      </c>
      <c r="G14076" s="0" t="s">
        <v>171</v>
      </c>
      <c r="H14076" s="5">
        <v>637.490200</v>
      </c>
    </row>
    <row r="14077" spans="1:9">
      <c r="A14077" s="22" t="str">
        <f>HYPERLINK("https://app.vivvix.com/360/KMI/IntelliDrive/ApplUI/Pages/CreativePages/CustomReportCreativeDetail.aspx?App=23&amp;ReportView=4&amp;Qid=1711279&amp;Row=14069&amp;Col=1","No Title Assigned - #15273977360")</f>
        <v/>
      </c>
      <c r="B14077" s="0" t="s">
        <v>18785</v>
      </c>
      <c r="C14077" s="0" t="s">
        <v>18786</v>
      </c>
      <c r="D14077" s="0" t="s">
        <v>18786</v>
      </c>
      <c r="E14077" s="0" t="inlineStr">
        <is>
          <t xml:space="preserve">Mazda</t>
        </is>
      </c>
      <c r="F14077" s="0" t="inlineStr">
        <is>
          <t xml:space="preserve">Mazda</t>
        </is>
      </c>
      <c r="G14077" s="0" t="s">
        <v>171</v>
      </c>
      <c r="H14077" s="5">
        <v>8.937000</v>
      </c>
    </row>
    <row r="14078" spans="1:9">
      <c r="A14078" s="22" t="str">
        <f>HYPERLINK("https://app.vivvix.com/360/KMI/IntelliDrive/ApplUI/Pages/CreativePages/CustomReportCreativeDetail.aspx?App=23&amp;ReportView=4&amp;Qid=1711279&amp;Row=14070&amp;Col=1","No Title Assigned - #15273977381")</f>
        <v/>
      </c>
      <c r="B14078" s="0" t="s">
        <v>18787</v>
      </c>
      <c r="E14078" s="0" t="inlineStr">
        <is>
          <t xml:space="preserve">Mazda</t>
        </is>
      </c>
      <c r="F14078" s="0" t="inlineStr">
        <is>
          <t xml:space="preserve">Mazda</t>
        </is>
      </c>
      <c r="G14078" s="0" t="s">
        <v>171</v>
      </c>
      <c r="H14078" s="5">
        <v>34.643900</v>
      </c>
    </row>
    <row r="14079" spans="1:9">
      <c r="A14079" s="22" t="str">
        <f>HYPERLINK("https://app.vivvix.com/360/KMI/IntelliDrive/ApplUI/Pages/CreativePages/CustomReportCreativeDetail.aspx?App=23&amp;ReportView=4&amp;Qid=1711279&amp;Row=14071&amp;Col=1","No Title Assigned - #15273977845")</f>
        <v/>
      </c>
      <c r="B14079" s="0" t="s">
        <v>18788</v>
      </c>
      <c r="E14079" s="0" t="inlineStr">
        <is>
          <t xml:space="preserve">Mazda</t>
        </is>
      </c>
      <c r="F14079" s="0" t="inlineStr">
        <is>
          <t xml:space="preserve">Mazda</t>
        </is>
      </c>
      <c r="G14079" s="0" t="s">
        <v>171</v>
      </c>
      <c r="H14079" s="5">
        <v>692.003200</v>
      </c>
    </row>
    <row r="14080" spans="1:9">
      <c r="A14080" s="22" t="str">
        <f>HYPERLINK("https://app.vivvix.com/360/KMI/IntelliDrive/ApplUI/Pages/CreativePages/CustomReportCreativeDetail.aspx?App=23&amp;ReportView=4&amp;Qid=1711279&amp;Row=14072&amp;Col=1","No Title Assigned - #15273977870")</f>
        <v/>
      </c>
      <c r="B14080" s="0" t="s">
        <v>18789</v>
      </c>
      <c r="C14080" s="0" t="s">
        <v>18790</v>
      </c>
      <c r="D14080" s="0" t="s">
        <v>18790</v>
      </c>
      <c r="E14080" s="0" t="inlineStr">
        <is>
          <t xml:space="preserve">Mazda</t>
        </is>
      </c>
      <c r="F14080" s="0" t="inlineStr">
        <is>
          <t xml:space="preserve">Mazda</t>
        </is>
      </c>
      <c r="G14080" s="0" t="s">
        <v>171</v>
      </c>
      <c r="H14080" s="5">
        <v>290.642000</v>
      </c>
    </row>
    <row r="14081" spans="1:9">
      <c r="A14081" s="22" t="str">
        <f>HYPERLINK("https://app.vivvix.com/360/KMI/IntelliDrive/ApplUI/Pages/CreativePages/CustomReportCreativeDetail.aspx?App=23&amp;ReportView=4&amp;Qid=1711279&amp;Row=14073&amp;Col=1","No Title Assigned - #15273977909")</f>
        <v/>
      </c>
      <c r="B14081" s="0" t="s">
        <v>18791</v>
      </c>
      <c r="E14081" s="0" t="inlineStr">
        <is>
          <t xml:space="preserve">Mazda</t>
        </is>
      </c>
      <c r="F14081" s="0" t="inlineStr">
        <is>
          <t xml:space="preserve">Mazda</t>
        </is>
      </c>
      <c r="G14081" s="0" t="s">
        <v>171</v>
      </c>
      <c r="H14081" s="5">
        <v>1199.168100</v>
      </c>
    </row>
    <row r="14082" spans="1:9">
      <c r="A14082" s="22" t="str">
        <f>HYPERLINK("https://app.vivvix.com/360/KMI/IntelliDrive/ApplUI/Pages/CreativePages/CustomReportCreativeDetail.aspx?App=23&amp;ReportView=4&amp;Qid=1711279&amp;Row=14074&amp;Col=1","No Title Assigned - #15273977909")</f>
        <v/>
      </c>
      <c r="B14082" s="0" t="s">
        <v>18791</v>
      </c>
      <c r="E14082" s="0" t="inlineStr">
        <is>
          <t xml:space="preserve">Mazda</t>
        </is>
      </c>
      <c r="F14082" s="0" t="inlineStr">
        <is>
          <t xml:space="preserve">Mazda</t>
        </is>
      </c>
      <c r="G14082" s="0" t="s">
        <v>171</v>
      </c>
      <c r="H14082" s="5">
        <v>178.071900</v>
      </c>
    </row>
    <row r="14083" spans="1:9">
      <c r="A14083" s="22" t="str">
        <f>HYPERLINK("https://app.vivvix.com/360/KMI/IntelliDrive/ApplUI/Pages/CreativePages/CustomReportCreativeDetail.aspx?App=23&amp;ReportView=4&amp;Qid=1711279&amp;Row=14075&amp;Col=1","No Title Assigned - #15273977952")</f>
        <v/>
      </c>
      <c r="B14083" s="0" t="s">
        <v>18792</v>
      </c>
      <c r="E14083" s="0" t="inlineStr">
        <is>
          <t xml:space="preserve">Mazda</t>
        </is>
      </c>
      <c r="F14083" s="0" t="inlineStr">
        <is>
          <t xml:space="preserve">Mazda</t>
        </is>
      </c>
      <c r="G14083" s="0" t="s">
        <v>171</v>
      </c>
      <c r="H14083" s="5">
        <v>1106.388000</v>
      </c>
    </row>
    <row r="14084" spans="1:9">
      <c r="A14084" s="22" t="str">
        <f>HYPERLINK("https://app.vivvix.com/360/KMI/IntelliDrive/ApplUI/Pages/CreativePages/CustomReportCreativeDetail.aspx?App=23&amp;ReportView=4&amp;Qid=1711279&amp;Row=14076&amp;Col=1","No Title Assigned - #15273977971")</f>
        <v/>
      </c>
      <c r="B14084" s="0" t="s">
        <v>18793</v>
      </c>
      <c r="E14084" s="0" t="inlineStr">
        <is>
          <t xml:space="preserve">Mazda</t>
        </is>
      </c>
      <c r="F14084" s="0" t="inlineStr">
        <is>
          <t xml:space="preserve">Mazda</t>
        </is>
      </c>
      <c r="G14084" s="0" t="s">
        <v>171</v>
      </c>
      <c r="H14084" s="5">
        <v>553.194000</v>
      </c>
    </row>
    <row r="14085" spans="1:9">
      <c r="A14085" s="22" t="str">
        <f>HYPERLINK("https://app.vivvix.com/360/KMI/IntelliDrive/ApplUI/Pages/CreativePages/CustomReportCreativeDetail.aspx?App=23&amp;ReportView=4&amp;Qid=1711279&amp;Row=14077&amp;Col=1","No Title Assigned - #15273978209")</f>
        <v/>
      </c>
      <c r="B14085" s="0" t="s">
        <v>18794</v>
      </c>
      <c r="E14085" s="0" t="inlineStr">
        <is>
          <t xml:space="preserve">Mazda</t>
        </is>
      </c>
      <c r="F14085" s="0" t="inlineStr">
        <is>
          <t xml:space="preserve">Mazda</t>
        </is>
      </c>
      <c r="G14085" s="0" t="s">
        <v>171</v>
      </c>
      <c r="H14085" s="5">
        <v>96.363100</v>
      </c>
    </row>
    <row r="14086" spans="1:9">
      <c r="A14086" s="22" t="str">
        <f>HYPERLINK("https://app.vivvix.com/360/KMI/IntelliDrive/ApplUI/Pages/CreativePages/CustomReportCreativeDetail.aspx?App=23&amp;ReportView=4&amp;Qid=1711279&amp;Row=14078&amp;Col=1","No Title Assigned - #15273978247")</f>
        <v/>
      </c>
      <c r="B14086" s="0" t="s">
        <v>18795</v>
      </c>
      <c r="E14086" s="0" t="inlineStr">
        <is>
          <t xml:space="preserve">Mazda</t>
        </is>
      </c>
      <c r="F14086" s="0" t="inlineStr">
        <is>
          <t xml:space="preserve">Mazda</t>
        </is>
      </c>
      <c r="G14086" s="0" t="s">
        <v>171</v>
      </c>
      <c r="H14086" s="5">
        <v>104.584300</v>
      </c>
    </row>
    <row r="14087" spans="1:9">
      <c r="A14087" s="22" t="str">
        <f>HYPERLINK("https://app.vivvix.com/360/KMI/IntelliDrive/ApplUI/Pages/CreativePages/CustomReportCreativeDetail.aspx?App=23&amp;ReportView=4&amp;Qid=1711279&amp;Row=14079&amp;Col=1","No Title Assigned - #15273978298")</f>
        <v/>
      </c>
      <c r="B14087" s="0" t="s">
        <v>18796</v>
      </c>
      <c r="E14087" s="0" t="inlineStr">
        <is>
          <t xml:space="preserve">Mazda</t>
        </is>
      </c>
      <c r="F14087" s="0" t="inlineStr">
        <is>
          <t xml:space="preserve">Mazda</t>
        </is>
      </c>
      <c r="G14087" s="0" t="s">
        <v>171</v>
      </c>
      <c r="H14087" s="5">
        <v>6.789700</v>
      </c>
    </row>
    <row r="14088" spans="1:9">
      <c r="A14088" s="22" t="str">
        <f>HYPERLINK("https://app.vivvix.com/360/KMI/IntelliDrive/ApplUI/Pages/CreativePages/CustomReportCreativeDetail.aspx?App=23&amp;ReportView=4&amp;Qid=1711279&amp;Row=14080&amp;Col=1","No Title Assigned - #15273978381")</f>
        <v/>
      </c>
      <c r="B14088" s="0" t="s">
        <v>18797</v>
      </c>
      <c r="C14088" s="0" t="s">
        <v>18798</v>
      </c>
      <c r="D14088" s="0" t="s">
        <v>18798</v>
      </c>
      <c r="E14088" s="0" t="inlineStr">
        <is>
          <t xml:space="preserve">Mazda</t>
        </is>
      </c>
      <c r="F14088" s="0" t="inlineStr">
        <is>
          <t xml:space="preserve">Mazda</t>
        </is>
      </c>
      <c r="G14088" s="0" t="s">
        <v>171</v>
      </c>
      <c r="H14088" s="5">
        <v>522.442800</v>
      </c>
    </row>
    <row r="14089" spans="1:9">
      <c r="A14089" s="22" t="str">
        <f>HYPERLINK("https://app.vivvix.com/360/KMI/IntelliDrive/ApplUI/Pages/CreativePages/CustomReportCreativeDetail.aspx?App=23&amp;ReportView=4&amp;Qid=1711279&amp;Row=14081&amp;Col=1","No Title Assigned - #15273978381")</f>
        <v/>
      </c>
      <c r="B14089" s="0" t="s">
        <v>18797</v>
      </c>
      <c r="E14089" s="0" t="inlineStr">
        <is>
          <t xml:space="preserve">Mazda</t>
        </is>
      </c>
      <c r="F14089" s="0" t="inlineStr">
        <is>
          <t xml:space="preserve">Mazda</t>
        </is>
      </c>
      <c r="G14089" s="0" t="s">
        <v>171</v>
      </c>
      <c r="H14089" s="5">
        <v>1023.996500</v>
      </c>
    </row>
    <row r="14090" spans="1:9">
      <c r="A14090" s="22" t="str">
        <f>HYPERLINK("https://app.vivvix.com/360/KMI/IntelliDrive/ApplUI/Pages/CreativePages/CustomReportCreativeDetail.aspx?App=23&amp;ReportView=4&amp;Qid=1711279&amp;Row=14082&amp;Col=1","No Title Assigned - #15273978384")</f>
        <v/>
      </c>
      <c r="B14090" s="0" t="s">
        <v>18799</v>
      </c>
      <c r="E14090" s="0" t="inlineStr">
        <is>
          <t xml:space="preserve">Mazda</t>
        </is>
      </c>
      <c r="F14090" s="0" t="inlineStr">
        <is>
          <t xml:space="preserve">Mazda</t>
        </is>
      </c>
      <c r="G14090" s="0" t="s">
        <v>171</v>
      </c>
      <c r="H14090" s="5">
        <v>1335.046000</v>
      </c>
    </row>
    <row r="14091" spans="1:9">
      <c r="A14091" s="22" t="str">
        <f>HYPERLINK("https://app.vivvix.com/360/KMI/IntelliDrive/ApplUI/Pages/CreativePages/CustomReportCreativeDetail.aspx?App=23&amp;ReportView=4&amp;Qid=1711279&amp;Row=14083&amp;Col=1","No Title Assigned - #15273978426")</f>
        <v/>
      </c>
      <c r="B14091" s="0" t="s">
        <v>18800</v>
      </c>
      <c r="C14091" s="0" t="s">
        <v>18801</v>
      </c>
      <c r="D14091" s="0" t="s">
        <v>18801</v>
      </c>
      <c r="E14091" s="0" t="inlineStr">
        <is>
          <t xml:space="preserve">Mazda</t>
        </is>
      </c>
      <c r="F14091" s="0" t="inlineStr">
        <is>
          <t xml:space="preserve">Mazda</t>
        </is>
      </c>
      <c r="G14091" s="0" t="s">
        <v>171</v>
      </c>
      <c r="H14091" s="5">
        <v>145.119000</v>
      </c>
    </row>
    <row r="14092" spans="1:9">
      <c r="A14092" s="22" t="str">
        <f>HYPERLINK("https://app.vivvix.com/360/KMI/IntelliDrive/ApplUI/Pages/CreativePages/CustomReportCreativeDetail.aspx?App=23&amp;ReportView=4&amp;Qid=1711279&amp;Row=14084&amp;Col=1","No Title Assigned - #15273978495")</f>
        <v/>
      </c>
      <c r="B14092" s="0" t="s">
        <v>18802</v>
      </c>
      <c r="E14092" s="0" t="inlineStr">
        <is>
          <t xml:space="preserve">Mazda</t>
        </is>
      </c>
      <c r="F14092" s="0" t="inlineStr">
        <is>
          <t xml:space="preserve">Mazda</t>
        </is>
      </c>
      <c r="G14092" s="0" t="s">
        <v>171</v>
      </c>
      <c r="H14092" s="5">
        <v>121.833800</v>
      </c>
    </row>
    <row r="14093" spans="1:9">
      <c r="A14093" s="22" t="str">
        <f>HYPERLINK("https://app.vivvix.com/360/KMI/IntelliDrive/ApplUI/Pages/CreativePages/CustomReportCreativeDetail.aspx?App=23&amp;ReportView=4&amp;Qid=1711279&amp;Row=14085&amp;Col=1","No Title Assigned - #15273978496")</f>
        <v/>
      </c>
      <c r="B14093" s="0" t="s">
        <v>18803</v>
      </c>
      <c r="E14093" s="0" t="inlineStr">
        <is>
          <t xml:space="preserve">Mazda</t>
        </is>
      </c>
      <c r="F14093" s="0" t="inlineStr">
        <is>
          <t xml:space="preserve">Mazda</t>
        </is>
      </c>
      <c r="G14093" s="0" t="s">
        <v>171</v>
      </c>
      <c r="H14093" s="5">
        <v>60.916900</v>
      </c>
    </row>
    <row r="14094" spans="1:9">
      <c r="A14094" s="22" t="str">
        <f>HYPERLINK("https://app.vivvix.com/360/KMI/IntelliDrive/ApplUI/Pages/CreativePages/CustomReportCreativeDetail.aspx?App=23&amp;ReportView=4&amp;Qid=1711279&amp;Row=14086&amp;Col=1","No Title Assigned - #15273978625")</f>
        <v/>
      </c>
      <c r="B14094" s="0" t="s">
        <v>18804</v>
      </c>
      <c r="E14094" s="0" t="inlineStr">
        <is>
          <t xml:space="preserve">Mazda</t>
        </is>
      </c>
      <c r="F14094" s="0" t="inlineStr">
        <is>
          <t xml:space="preserve">Mazda</t>
        </is>
      </c>
      <c r="G14094" s="0" t="s">
        <v>171</v>
      </c>
      <c r="H14094" s="5">
        <v>55.359800</v>
      </c>
    </row>
    <row r="14095" spans="1:9">
      <c r="A14095" s="22" t="str">
        <f>HYPERLINK("https://app.vivvix.com/360/KMI/IntelliDrive/ApplUI/Pages/CreativePages/CustomReportCreativeDetail.aspx?App=23&amp;ReportView=4&amp;Qid=1711279&amp;Row=14087&amp;Col=1","No Title Assigned - #15273978646")</f>
        <v/>
      </c>
      <c r="B14095" s="0" t="s">
        <v>18805</v>
      </c>
      <c r="E14095" s="0" t="inlineStr">
        <is>
          <t xml:space="preserve">Mazda</t>
        </is>
      </c>
      <c r="F14095" s="0" t="inlineStr">
        <is>
          <t xml:space="preserve">Mazda</t>
        </is>
      </c>
      <c r="G14095" s="0" t="s">
        <v>171</v>
      </c>
      <c r="H14095" s="5">
        <v>618.688300</v>
      </c>
    </row>
    <row r="14096" spans="1:9">
      <c r="A14096" s="22" t="str">
        <f>HYPERLINK("https://app.vivvix.com/360/KMI/IntelliDrive/ApplUI/Pages/CreativePages/CustomReportCreativeDetail.aspx?App=23&amp;ReportView=4&amp;Qid=1711279&amp;Row=14088&amp;Col=1","No Title Assigned - #15273978646")</f>
        <v/>
      </c>
      <c r="B14096" s="0" t="s">
        <v>18805</v>
      </c>
      <c r="E14096" s="0" t="inlineStr">
        <is>
          <t xml:space="preserve">Mazda</t>
        </is>
      </c>
      <c r="F14096" s="0" t="inlineStr">
        <is>
          <t xml:space="preserve">Mazda</t>
        </is>
      </c>
      <c r="G14096" s="0" t="s">
        <v>171</v>
      </c>
      <c r="H14096" s="5">
        <v>139.747600</v>
      </c>
    </row>
    <row r="14097" spans="1:9">
      <c r="A14097" s="22" t="str">
        <f>HYPERLINK("https://app.vivvix.com/360/KMI/IntelliDrive/ApplUI/Pages/CreativePages/CustomReportCreativeDetail.aspx?App=23&amp;ReportView=4&amp;Qid=1711279&amp;Row=14089&amp;Col=1","No Title Assigned - #15273978701")</f>
        <v/>
      </c>
      <c r="B14097" s="0" t="s">
        <v>18806</v>
      </c>
      <c r="E14097" s="0" t="inlineStr">
        <is>
          <t xml:space="preserve">Mazda</t>
        </is>
      </c>
      <c r="F14097" s="0" t="s">
        <v>21</v>
      </c>
      <c r="G14097" s="0" t="s">
        <v>22</v>
      </c>
      <c r="H14097" s="5">
        <v>1945.328400</v>
      </c>
    </row>
    <row r="14098" spans="1:9">
      <c r="A14098" s="22" t="str">
        <f>HYPERLINK("https://app.vivvix.com/360/KMI/IntelliDrive/ApplUI/Pages/CreativePages/CustomReportCreativeDetail.aspx?App=23&amp;ReportView=4&amp;Qid=1711279&amp;Row=14090&amp;Col=1","No Title Assigned - #15273978900")</f>
        <v/>
      </c>
      <c r="B14098" s="0" t="s">
        <v>18807</v>
      </c>
      <c r="E14098" s="0" t="inlineStr">
        <is>
          <t xml:space="preserve">Mazda</t>
        </is>
      </c>
      <c r="F14098" s="0" t="inlineStr">
        <is>
          <t xml:space="preserve">Mazda</t>
        </is>
      </c>
      <c r="G14098" s="0" t="s">
        <v>171</v>
      </c>
      <c r="H14098" s="5">
        <v>493.077000</v>
      </c>
    </row>
    <row r="14099" spans="1:9">
      <c r="A14099" s="22" t="str">
        <f>HYPERLINK("https://app.vivvix.com/360/KMI/IntelliDrive/ApplUI/Pages/CreativePages/CustomReportCreativeDetail.aspx?App=23&amp;ReportView=4&amp;Qid=1711279&amp;Row=14091&amp;Col=1","No Title Assigned - #15273979318")</f>
        <v/>
      </c>
      <c r="B14099" s="0" t="s">
        <v>18808</v>
      </c>
      <c r="C14099" s="0" t="s">
        <v>18809</v>
      </c>
      <c r="D14099" s="0" t="s">
        <v>18809</v>
      </c>
      <c r="E14099" s="0" t="inlineStr">
        <is>
          <t xml:space="preserve">Mazda</t>
        </is>
      </c>
      <c r="F14099" s="0" t="inlineStr">
        <is>
          <t xml:space="preserve">Mazda</t>
        </is>
      </c>
      <c r="G14099" s="0" t="s">
        <v>171</v>
      </c>
      <c r="H14099" s="5">
        <v>698.852800</v>
      </c>
    </row>
    <row r="14100" spans="1:9">
      <c r="A14100" s="22" t="str">
        <f>HYPERLINK("https://app.vivvix.com/360/KMI/IntelliDrive/ApplUI/Pages/CreativePages/CustomReportCreativeDetail.aspx?App=23&amp;ReportView=4&amp;Qid=1711279&amp;Row=14092&amp;Col=1","No Title Assigned - #15273979542")</f>
        <v/>
      </c>
      <c r="B14100" s="0" t="s">
        <v>18810</v>
      </c>
      <c r="E14100" s="0" t="inlineStr">
        <is>
          <t xml:space="preserve">Mazda</t>
        </is>
      </c>
      <c r="F14100" s="0" t="inlineStr">
        <is>
          <t xml:space="preserve">Mazda</t>
        </is>
      </c>
      <c r="G14100" s="0" t="s">
        <v>171</v>
      </c>
      <c r="H14100" s="5">
        <v>17.449900</v>
      </c>
    </row>
    <row r="14101" spans="1:9">
      <c r="A14101" s="22" t="str">
        <f>HYPERLINK("https://app.vivvix.com/360/KMI/IntelliDrive/ApplUI/Pages/CreativePages/CustomReportCreativeDetail.aspx?App=23&amp;ReportView=4&amp;Qid=1711279&amp;Row=14093&amp;Col=1","No Title Assigned - #15273979561")</f>
        <v/>
      </c>
      <c r="B14101" s="0" t="s">
        <v>18811</v>
      </c>
      <c r="E14101" s="0" t="inlineStr">
        <is>
          <t xml:space="preserve">Mazda</t>
        </is>
      </c>
      <c r="F14101" s="0" t="inlineStr">
        <is>
          <t xml:space="preserve">Mazda</t>
        </is>
      </c>
      <c r="G14101" s="0" t="s">
        <v>171</v>
      </c>
      <c r="H14101" s="5">
        <v>54.566400</v>
      </c>
    </row>
    <row r="14102" spans="1:9">
      <c r="A14102" s="22" t="str">
        <f>HYPERLINK("https://app.vivvix.com/360/KMI/IntelliDrive/ApplUI/Pages/CreativePages/CustomReportCreativeDetail.aspx?App=23&amp;ReportView=4&amp;Qid=1711279&amp;Row=14094&amp;Col=1","No Title Assigned - #15273979651")</f>
        <v/>
      </c>
      <c r="B14102" s="0" t="s">
        <v>18812</v>
      </c>
      <c r="E14102" s="0" t="inlineStr">
        <is>
          <t xml:space="preserve">Mazda</t>
        </is>
      </c>
      <c r="F14102" s="0" t="inlineStr">
        <is>
          <t xml:space="preserve">Mazda</t>
        </is>
      </c>
      <c r="G14102" s="0" t="s">
        <v>171</v>
      </c>
      <c r="H14102" s="5">
        <v>20.883800</v>
      </c>
    </row>
    <row r="14103" spans="1:9">
      <c r="A14103" s="22" t="str">
        <f>HYPERLINK("https://app.vivvix.com/360/KMI/IntelliDrive/ApplUI/Pages/CreativePages/CustomReportCreativeDetail.aspx?App=23&amp;ReportView=4&amp;Qid=1711279&amp;Row=14095&amp;Col=1","No Title Assigned - #15273979728")</f>
        <v/>
      </c>
      <c r="B14103" s="0" t="s">
        <v>18813</v>
      </c>
      <c r="E14103" s="0" t="inlineStr">
        <is>
          <t xml:space="preserve">Mazda</t>
        </is>
      </c>
      <c r="F14103" s="0" t="inlineStr">
        <is>
          <t xml:space="preserve">Mazda</t>
        </is>
      </c>
      <c r="G14103" s="0" t="s">
        <v>171</v>
      </c>
      <c r="H14103" s="5">
        <v>2778.967000</v>
      </c>
    </row>
    <row r="14104" spans="1:9">
      <c r="A14104" s="22" t="str">
        <f>HYPERLINK("https://app.vivvix.com/360/KMI/IntelliDrive/ApplUI/Pages/CreativePages/CustomReportCreativeDetail.aspx?App=23&amp;ReportView=4&amp;Qid=1711279&amp;Row=14096&amp;Col=1","No Title Assigned - #15273979728")</f>
        <v/>
      </c>
      <c r="B14104" s="0" t="s">
        <v>18813</v>
      </c>
      <c r="E14104" s="0" t="inlineStr">
        <is>
          <t xml:space="preserve">Mazda</t>
        </is>
      </c>
      <c r="F14104" s="0" t="inlineStr">
        <is>
          <t xml:space="preserve">Mazda</t>
        </is>
      </c>
      <c r="G14104" s="0" t="s">
        <v>171</v>
      </c>
      <c r="H14104" s="5">
        <v>740.367000</v>
      </c>
    </row>
    <row r="14105" spans="1:9">
      <c r="A14105" s="22" t="str">
        <f>HYPERLINK("https://app.vivvix.com/360/KMI/IntelliDrive/ApplUI/Pages/CreativePages/CustomReportCreativeDetail.aspx?App=23&amp;ReportView=4&amp;Qid=1711279&amp;Row=14097&amp;Col=1","No Title Assigned - #15273979882")</f>
        <v/>
      </c>
      <c r="B14105" s="0" t="s">
        <v>18814</v>
      </c>
      <c r="E14105" s="0" t="inlineStr">
        <is>
          <t xml:space="preserve">Mazda</t>
        </is>
      </c>
      <c r="F14105" s="0" t="inlineStr">
        <is>
          <t xml:space="preserve">Mazda</t>
        </is>
      </c>
      <c r="G14105" s="0" t="s">
        <v>171</v>
      </c>
      <c r="H14105" s="5">
        <v>154.157700</v>
      </c>
    </row>
    <row r="14106" spans="1:9">
      <c r="A14106" s="22" t="str">
        <f>HYPERLINK("https://app.vivvix.com/360/KMI/IntelliDrive/ApplUI/Pages/CreativePages/CustomReportCreativeDetail.aspx?App=23&amp;ReportView=4&amp;Qid=1711279&amp;Row=14098&amp;Col=1","No Title Assigned - #15273980007")</f>
        <v/>
      </c>
      <c r="B14106" s="0" t="s">
        <v>18815</v>
      </c>
      <c r="E14106" s="0" t="inlineStr">
        <is>
          <t xml:space="preserve">Mazda</t>
        </is>
      </c>
      <c r="F14106" s="0" t="inlineStr">
        <is>
          <t xml:space="preserve">Mazda</t>
        </is>
      </c>
      <c r="G14106" s="0" t="s">
        <v>171</v>
      </c>
      <c r="H14106" s="5">
        <v>46.425700</v>
      </c>
    </row>
    <row r="14107" spans="1:9">
      <c r="A14107" s="22" t="str">
        <f>HYPERLINK("https://app.vivvix.com/360/KMI/IntelliDrive/ApplUI/Pages/CreativePages/CustomReportCreativeDetail.aspx?App=23&amp;ReportView=4&amp;Qid=1711279&amp;Row=14099&amp;Col=1","No Title Assigned - #15273980111")</f>
        <v/>
      </c>
      <c r="B14107" s="0" t="s">
        <v>18816</v>
      </c>
      <c r="E14107" s="0" t="inlineStr">
        <is>
          <t xml:space="preserve">Mazda</t>
        </is>
      </c>
      <c r="F14107" s="0" t="inlineStr">
        <is>
          <t xml:space="preserve">Mazda</t>
        </is>
      </c>
      <c r="G14107" s="0" t="s">
        <v>171</v>
      </c>
      <c r="H14107" s="5">
        <v>6831.366800</v>
      </c>
    </row>
    <row r="14108" spans="1:9">
      <c r="A14108" s="22" t="str">
        <f>HYPERLINK("https://app.vivvix.com/360/KMI/IntelliDrive/ApplUI/Pages/CreativePages/CustomReportCreativeDetail.aspx?App=23&amp;ReportView=4&amp;Qid=1711279&amp;Row=14100&amp;Col=1","No Title Assigned - #15273980384")</f>
        <v/>
      </c>
      <c r="B14108" s="0" t="s">
        <v>18817</v>
      </c>
      <c r="E14108" s="0" t="inlineStr">
        <is>
          <t xml:space="preserve">Mazda</t>
        </is>
      </c>
      <c r="F14108" s="0" t="inlineStr">
        <is>
          <t xml:space="preserve">Mazda</t>
        </is>
      </c>
      <c r="G14108" s="0" t="s">
        <v>171</v>
      </c>
      <c r="H14108" s="5">
        <v>708.723000</v>
      </c>
    </row>
    <row r="14109" spans="1:9">
      <c r="A14109" s="22" t="str">
        <f>HYPERLINK("https://app.vivvix.com/360/KMI/IntelliDrive/ApplUI/Pages/CreativePages/CustomReportCreativeDetail.aspx?App=23&amp;ReportView=4&amp;Qid=1711279&amp;Row=14101&amp;Col=1","No Title Assigned - #15273980721")</f>
        <v/>
      </c>
      <c r="B14109" s="0" t="s">
        <v>18818</v>
      </c>
      <c r="E14109" s="0" t="inlineStr">
        <is>
          <t xml:space="preserve">Mazda</t>
        </is>
      </c>
      <c r="F14109" s="0" t="inlineStr">
        <is>
          <t xml:space="preserve">Mazda</t>
        </is>
      </c>
      <c r="G14109" s="0" t="s">
        <v>171</v>
      </c>
      <c r="H14109" s="5">
        <v>778.876900</v>
      </c>
    </row>
    <row r="14110" spans="1:9">
      <c r="A14110" s="22" t="str">
        <f>HYPERLINK("https://app.vivvix.com/360/KMI/IntelliDrive/ApplUI/Pages/CreativePages/CustomReportCreativeDetail.aspx?App=23&amp;ReportView=4&amp;Qid=1711279&amp;Row=14102&amp;Col=1","No Title Assigned - #15273980761")</f>
        <v/>
      </c>
      <c r="B14110" s="0" t="s">
        <v>18819</v>
      </c>
      <c r="E14110" s="0" t="inlineStr">
        <is>
          <t xml:space="preserve">Mazda</t>
        </is>
      </c>
      <c r="F14110" s="0" t="inlineStr">
        <is>
          <t xml:space="preserve">Mazda</t>
        </is>
      </c>
      <c r="G14110" s="0" t="s">
        <v>171</v>
      </c>
      <c r="H14110" s="5">
        <v>28.599200</v>
      </c>
    </row>
    <row r="14111" spans="1:9">
      <c r="A14111" s="22" t="str">
        <f>HYPERLINK("https://app.vivvix.com/360/KMI/IntelliDrive/ApplUI/Pages/CreativePages/CustomReportCreativeDetail.aspx?App=23&amp;ReportView=4&amp;Qid=1711279&amp;Row=14103&amp;Col=1","No Title Assigned - #15273980829")</f>
        <v/>
      </c>
      <c r="B14111" s="0" t="s">
        <v>18820</v>
      </c>
      <c r="E14111" s="0" t="inlineStr">
        <is>
          <t xml:space="preserve">Mazda</t>
        </is>
      </c>
      <c r="F14111" s="0" t="inlineStr">
        <is>
          <t xml:space="preserve">Mazda</t>
        </is>
      </c>
      <c r="G14111" s="0" t="s">
        <v>171</v>
      </c>
      <c r="H14111" s="5">
        <v>580.710100</v>
      </c>
    </row>
    <row r="14112" spans="1:9">
      <c r="A14112" s="22" t="str">
        <f>HYPERLINK("https://app.vivvix.com/360/KMI/IntelliDrive/ApplUI/Pages/CreativePages/CustomReportCreativeDetail.aspx?App=23&amp;ReportView=4&amp;Qid=1711279&amp;Row=14104&amp;Col=1","No Title Assigned - #15273981257")</f>
        <v/>
      </c>
      <c r="B14112" s="0" t="s">
        <v>18821</v>
      </c>
      <c r="C14112" s="0" t="s">
        <v>18822</v>
      </c>
      <c r="D14112" s="0" t="s">
        <v>18822</v>
      </c>
      <c r="E14112" s="0" t="inlineStr">
        <is>
          <t xml:space="preserve">Mazda</t>
        </is>
      </c>
      <c r="F14112" s="0" t="inlineStr">
        <is>
          <t xml:space="preserve">Mazda</t>
        </is>
      </c>
      <c r="G14112" s="0" t="s">
        <v>171</v>
      </c>
      <c r="H14112" s="5">
        <v>302.664100</v>
      </c>
    </row>
    <row r="14113" spans="1:9">
      <c r="A14113" s="22" t="str">
        <f>HYPERLINK("https://app.vivvix.com/360/KMI/IntelliDrive/ApplUI/Pages/CreativePages/CustomReportCreativeDetail.aspx?App=23&amp;ReportView=4&amp;Qid=1711279&amp;Row=14105&amp;Col=1","No Title Assigned - #15273981261")</f>
        <v/>
      </c>
      <c r="B14113" s="0" t="s">
        <v>18823</v>
      </c>
      <c r="E14113" s="0" t="inlineStr">
        <is>
          <t xml:space="preserve">Mazda</t>
        </is>
      </c>
      <c r="F14113" s="0" t="inlineStr">
        <is>
          <t xml:space="preserve">Mazda</t>
        </is>
      </c>
      <c r="G14113" s="0" t="s">
        <v>171</v>
      </c>
      <c r="H14113" s="5">
        <v>5515.953600</v>
      </c>
    </row>
    <row r="14114" spans="1:9">
      <c r="A14114" s="22" t="str">
        <f>HYPERLINK("https://app.vivvix.com/360/KMI/IntelliDrive/ApplUI/Pages/CreativePages/CustomReportCreativeDetail.aspx?App=23&amp;ReportView=4&amp;Qid=1711279&amp;Row=14106&amp;Col=1","No Title Assigned - #15273981400")</f>
        <v/>
      </c>
      <c r="B14114" s="0" t="s">
        <v>18824</v>
      </c>
      <c r="E14114" s="0" t="inlineStr">
        <is>
          <t xml:space="preserve">Mazda</t>
        </is>
      </c>
      <c r="F14114" s="0" t="inlineStr">
        <is>
          <t xml:space="preserve">Mazda</t>
        </is>
      </c>
      <c r="G14114" s="0" t="s">
        <v>171</v>
      </c>
      <c r="H14114" s="5">
        <v>154.678800</v>
      </c>
    </row>
    <row r="14115" spans="1:9">
      <c r="A14115" s="22" t="str">
        <f>HYPERLINK("https://app.vivvix.com/360/KMI/IntelliDrive/ApplUI/Pages/CreativePages/CustomReportCreativeDetail.aspx?App=23&amp;ReportView=4&amp;Qid=1711279&amp;Row=14107&amp;Col=1","No Title Assigned - #15273981528")</f>
        <v/>
      </c>
      <c r="B14115" s="0" t="s">
        <v>18825</v>
      </c>
      <c r="E14115" s="0" t="inlineStr">
        <is>
          <t xml:space="preserve">Mazda</t>
        </is>
      </c>
      <c r="F14115" s="0" t="inlineStr">
        <is>
          <t xml:space="preserve">Mazda</t>
        </is>
      </c>
      <c r="G14115" s="0" t="s">
        <v>171</v>
      </c>
      <c r="H14115" s="5">
        <v>91.346900</v>
      </c>
    </row>
    <row r="14116" spans="1:9">
      <c r="A14116" s="22" t="str">
        <f>HYPERLINK("https://app.vivvix.com/360/KMI/IntelliDrive/ApplUI/Pages/CreativePages/CustomReportCreativeDetail.aspx?App=23&amp;ReportView=4&amp;Qid=1711279&amp;Row=14108&amp;Col=1","No Title Assigned - #15273981567")</f>
        <v/>
      </c>
      <c r="B14116" s="0" t="s">
        <v>18826</v>
      </c>
      <c r="E14116" s="0" t="inlineStr">
        <is>
          <t xml:space="preserve">Mazda</t>
        </is>
      </c>
      <c r="F14116" s="0" t="inlineStr">
        <is>
          <t xml:space="preserve">Mazda</t>
        </is>
      </c>
      <c r="G14116" s="0" t="s">
        <v>171</v>
      </c>
      <c r="H14116" s="5">
        <v>427.740100</v>
      </c>
    </row>
    <row r="14117" spans="1:9">
      <c r="A14117" s="22" t="str">
        <f>HYPERLINK("https://app.vivvix.com/360/KMI/IntelliDrive/ApplUI/Pages/CreativePages/CustomReportCreativeDetail.aspx?App=23&amp;ReportView=4&amp;Qid=1711279&amp;Row=14109&amp;Col=1","No Title Assigned - #15273981604")</f>
        <v/>
      </c>
      <c r="B14117" s="0" t="s">
        <v>18827</v>
      </c>
      <c r="C14117" s="0" t="s">
        <v>18828</v>
      </c>
      <c r="D14117" s="0" t="s">
        <v>18828</v>
      </c>
      <c r="E14117" s="0" t="inlineStr">
        <is>
          <t xml:space="preserve">Mazda</t>
        </is>
      </c>
      <c r="F14117" s="0" t="inlineStr">
        <is>
          <t xml:space="preserve">Mazda</t>
        </is>
      </c>
      <c r="G14117" s="0" t="s">
        <v>171</v>
      </c>
      <c r="H14117" s="5">
        <v>1586.795600</v>
      </c>
    </row>
    <row r="14118" spans="1:9">
      <c r="A14118" s="22" t="str">
        <f>HYPERLINK("https://app.vivvix.com/360/KMI/IntelliDrive/ApplUI/Pages/CreativePages/CustomReportCreativeDetail.aspx?App=23&amp;ReportView=4&amp;Qid=1711279&amp;Row=14110&amp;Col=1","No Title Assigned - #15273982252")</f>
        <v/>
      </c>
      <c r="B14118" s="0" t="s">
        <v>18829</v>
      </c>
      <c r="E14118" s="0" t="inlineStr">
        <is>
          <t xml:space="preserve">Mazda</t>
        </is>
      </c>
      <c r="F14118" s="0" t="inlineStr">
        <is>
          <t xml:space="preserve">Mazda</t>
        </is>
      </c>
      <c r="G14118" s="0" t="s">
        <v>171</v>
      </c>
      <c r="H14118" s="5">
        <v>5.055300</v>
      </c>
    </row>
    <row r="14119" spans="1:9">
      <c r="A14119" s="22" t="str">
        <f>HYPERLINK("https://app.vivvix.com/360/KMI/IntelliDrive/ApplUI/Pages/CreativePages/CustomReportCreativeDetail.aspx?App=23&amp;ReportView=4&amp;Qid=1711279&amp;Row=14111&amp;Col=1","No Title Assigned - #15273982296")</f>
        <v/>
      </c>
      <c r="B14119" s="0" t="s">
        <v>18830</v>
      </c>
      <c r="C14119" s="0" t="s">
        <v>18831</v>
      </c>
      <c r="D14119" s="0" t="s">
        <v>18831</v>
      </c>
      <c r="E14119" s="0" t="inlineStr">
        <is>
          <t xml:space="preserve">Mazda</t>
        </is>
      </c>
      <c r="F14119" s="0" t="inlineStr">
        <is>
          <t xml:space="preserve">Mazda</t>
        </is>
      </c>
      <c r="G14119" s="0" t="s">
        <v>171</v>
      </c>
      <c r="H14119" s="5">
        <v>327.195100</v>
      </c>
    </row>
    <row r="14120" spans="1:9">
      <c r="A14120" s="22" t="str">
        <f>HYPERLINK("https://app.vivvix.com/360/KMI/IntelliDrive/ApplUI/Pages/CreativePages/CustomReportCreativeDetail.aspx?App=23&amp;ReportView=4&amp;Qid=1711279&amp;Row=14112&amp;Col=1","No Title Assigned - #15273982324")</f>
        <v/>
      </c>
      <c r="B14120" s="0" t="s">
        <v>18832</v>
      </c>
      <c r="E14120" s="0" t="inlineStr">
        <is>
          <t xml:space="preserve">Mazda</t>
        </is>
      </c>
      <c r="F14120" s="0" t="inlineStr">
        <is>
          <t xml:space="preserve">Mazda</t>
        </is>
      </c>
      <c r="G14120" s="0" t="s">
        <v>171</v>
      </c>
      <c r="H14120" s="5">
        <v>1091.916300</v>
      </c>
    </row>
    <row r="14121" spans="1:9">
      <c r="A14121" s="22" t="str">
        <f>HYPERLINK("https://app.vivvix.com/360/KMI/IntelliDrive/ApplUI/Pages/CreativePages/CustomReportCreativeDetail.aspx?App=23&amp;ReportView=4&amp;Qid=1711279&amp;Row=14113&amp;Col=1","No Title Assigned - #15273982455")</f>
        <v/>
      </c>
      <c r="B14121" s="0" t="s">
        <v>18833</v>
      </c>
      <c r="E14121" s="0" t="inlineStr">
        <is>
          <t xml:space="preserve">Mazda</t>
        </is>
      </c>
      <c r="F14121" s="0" t="inlineStr">
        <is>
          <t xml:space="preserve">Mazda</t>
        </is>
      </c>
      <c r="G14121" s="0" t="s">
        <v>171</v>
      </c>
      <c r="H14121" s="5">
        <v>115.443200</v>
      </c>
    </row>
    <row r="14122" spans="1:9">
      <c r="A14122" s="22" t="str">
        <f>HYPERLINK("https://app.vivvix.com/360/KMI/IntelliDrive/ApplUI/Pages/CreativePages/CustomReportCreativeDetail.aspx?App=23&amp;ReportView=4&amp;Qid=1711279&amp;Row=14114&amp;Col=1","No Title Assigned - #15273982459")</f>
        <v/>
      </c>
      <c r="B14122" s="0" t="s">
        <v>18834</v>
      </c>
      <c r="E14122" s="0" t="inlineStr">
        <is>
          <t xml:space="preserve">Mazda</t>
        </is>
      </c>
      <c r="F14122" s="0" t="inlineStr">
        <is>
          <t xml:space="preserve">Mazda</t>
        </is>
      </c>
      <c r="G14122" s="0" t="s">
        <v>171</v>
      </c>
      <c r="H14122" s="5">
        <v>265.238200</v>
      </c>
    </row>
    <row r="14123" spans="1:9">
      <c r="A14123" s="22" t="str">
        <f>HYPERLINK("https://app.vivvix.com/360/KMI/IntelliDrive/ApplUI/Pages/CreativePages/CustomReportCreativeDetail.aspx?App=23&amp;ReportView=4&amp;Qid=1711279&amp;Row=14115&amp;Col=1","No Title Assigned - #15273982600")</f>
        <v/>
      </c>
      <c r="B14123" s="0" t="s">
        <v>18835</v>
      </c>
      <c r="C14123" s="0" t="s">
        <v>18836</v>
      </c>
      <c r="D14123" s="0" t="s">
        <v>18836</v>
      </c>
      <c r="E14123" s="0" t="inlineStr">
        <is>
          <t xml:space="preserve">Mazda</t>
        </is>
      </c>
      <c r="F14123" s="0" t="s">
        <v>13</v>
      </c>
      <c r="G14123" s="0" t="s">
        <v>49</v>
      </c>
      <c r="H14123" s="5">
        <v>43.687000</v>
      </c>
    </row>
    <row r="14124" spans="1:9">
      <c r="A14124" s="22" t="str">
        <f>HYPERLINK("https://app.vivvix.com/360/KMI/IntelliDrive/ApplUI/Pages/CreativePages/CustomReportCreativeDetail.aspx?App=23&amp;ReportView=4&amp;Qid=1711279&amp;Row=14116&amp;Col=1","No Title Assigned - #15273982667")</f>
        <v/>
      </c>
      <c r="B14124" s="0" t="s">
        <v>18837</v>
      </c>
      <c r="E14124" s="0" t="inlineStr">
        <is>
          <t xml:space="preserve">Mazda</t>
        </is>
      </c>
      <c r="F14124" s="0" t="inlineStr">
        <is>
          <t xml:space="preserve">Mazda</t>
        </is>
      </c>
      <c r="G14124" s="0" t="s">
        <v>171</v>
      </c>
      <c r="H14124" s="5">
        <v>764.917300</v>
      </c>
    </row>
    <row r="14125" spans="1:9">
      <c r="A14125" s="22" t="str">
        <f>HYPERLINK("https://app.vivvix.com/360/KMI/IntelliDrive/ApplUI/Pages/CreativePages/CustomReportCreativeDetail.aspx?App=23&amp;ReportView=4&amp;Qid=1711279&amp;Row=14117&amp;Col=1","No Title Assigned - #15273982852")</f>
        <v/>
      </c>
      <c r="B14125" s="0" t="s">
        <v>18838</v>
      </c>
      <c r="E14125" s="0" t="inlineStr">
        <is>
          <t xml:space="preserve">Mazda</t>
        </is>
      </c>
      <c r="F14125" s="0" t="inlineStr">
        <is>
          <t xml:space="preserve">Mazda</t>
        </is>
      </c>
      <c r="G14125" s="0" t="s">
        <v>171</v>
      </c>
      <c r="H14125" s="5">
        <v>1604.588800</v>
      </c>
    </row>
    <row r="14126" spans="1:9">
      <c r="A14126" s="22" t="str">
        <f>HYPERLINK("https://app.vivvix.com/360/KMI/IntelliDrive/ApplUI/Pages/CreativePages/CustomReportCreativeDetail.aspx?App=23&amp;ReportView=4&amp;Qid=1711279&amp;Row=14118&amp;Col=1","No Title Assigned - #15273983009")</f>
        <v/>
      </c>
      <c r="B14126" s="0" t="s">
        <v>18839</v>
      </c>
      <c r="E14126" s="0" t="inlineStr">
        <is>
          <t xml:space="preserve">Mazda</t>
        </is>
      </c>
      <c r="F14126" s="0" t="inlineStr">
        <is>
          <t xml:space="preserve">Mazda</t>
        </is>
      </c>
      <c r="G14126" s="0" t="s">
        <v>171</v>
      </c>
      <c r="H14126" s="5">
        <v>11940.460000</v>
      </c>
    </row>
    <row r="14127" spans="1:9">
      <c r="A14127" s="22" t="str">
        <f>HYPERLINK("https://app.vivvix.com/360/KMI/IntelliDrive/ApplUI/Pages/CreativePages/CustomReportCreativeDetail.aspx?App=23&amp;ReportView=4&amp;Qid=1711279&amp;Row=14119&amp;Col=1","No Title Assigned - #15273983009")</f>
        <v/>
      </c>
      <c r="B14127" s="0" t="s">
        <v>18839</v>
      </c>
      <c r="E14127" s="0" t="inlineStr">
        <is>
          <t xml:space="preserve">Mazda</t>
        </is>
      </c>
      <c r="F14127" s="0" t="inlineStr">
        <is>
          <t xml:space="preserve">Mazda</t>
        </is>
      </c>
      <c r="G14127" s="0" t="s">
        <v>171</v>
      </c>
      <c r="H14127" s="5">
        <v>2743.953900</v>
      </c>
    </row>
    <row r="14128" spans="1:9">
      <c r="A14128" s="22" t="str">
        <f>HYPERLINK("https://app.vivvix.com/360/KMI/IntelliDrive/ApplUI/Pages/CreativePages/CustomReportCreativeDetail.aspx?App=23&amp;ReportView=4&amp;Qid=1711279&amp;Row=14120&amp;Col=1","No Title Assigned - #15273983113")</f>
        <v/>
      </c>
      <c r="B14128" s="0" t="s">
        <v>18840</v>
      </c>
      <c r="E14128" s="0" t="inlineStr">
        <is>
          <t xml:space="preserve">Mazda</t>
        </is>
      </c>
      <c r="F14128" s="0" t="inlineStr">
        <is>
          <t xml:space="preserve">Mazda</t>
        </is>
      </c>
      <c r="G14128" s="0" t="s">
        <v>171</v>
      </c>
      <c r="H14128" s="5">
        <v>146.294800</v>
      </c>
    </row>
    <row r="14129" spans="1:9">
      <c r="A14129" s="22" t="str">
        <f>HYPERLINK("https://app.vivvix.com/360/KMI/IntelliDrive/ApplUI/Pages/CreativePages/CustomReportCreativeDetail.aspx?App=23&amp;ReportView=4&amp;Qid=1711279&amp;Row=14121&amp;Col=1","No Title Assigned - #15273983157")</f>
        <v/>
      </c>
      <c r="B14129" s="0" t="s">
        <v>18841</v>
      </c>
      <c r="E14129" s="0" t="inlineStr">
        <is>
          <t xml:space="preserve">Mazda</t>
        </is>
      </c>
      <c r="F14129" s="0" t="inlineStr">
        <is>
          <t xml:space="preserve">Mazda</t>
        </is>
      </c>
      <c r="G14129" s="0" t="s">
        <v>171</v>
      </c>
      <c r="H14129" s="5">
        <v>157.298400</v>
      </c>
    </row>
    <row r="14130" spans="1:9">
      <c r="A14130" s="22" t="str">
        <f>HYPERLINK("https://app.vivvix.com/360/KMI/IntelliDrive/ApplUI/Pages/CreativePages/CustomReportCreativeDetail.aspx?App=23&amp;ReportView=4&amp;Qid=1711279&amp;Row=14122&amp;Col=1","No Title Assigned - #15273983327")</f>
        <v/>
      </c>
      <c r="B14130" s="0" t="s">
        <v>18842</v>
      </c>
      <c r="E14130" s="0" t="inlineStr">
        <is>
          <t xml:space="preserve">Mazda</t>
        </is>
      </c>
      <c r="F14130" s="0" t="inlineStr">
        <is>
          <t xml:space="preserve">Mazda</t>
        </is>
      </c>
      <c r="G14130" s="0" t="s">
        <v>171</v>
      </c>
      <c r="H14130" s="5">
        <v>3046.505600</v>
      </c>
    </row>
    <row r="14131" spans="1:9">
      <c r="A14131" s="22" t="str">
        <f>HYPERLINK("https://app.vivvix.com/360/KMI/IntelliDrive/ApplUI/Pages/CreativePages/CustomReportCreativeDetail.aspx?App=23&amp;ReportView=4&amp;Qid=1711279&amp;Row=14123&amp;Col=1","No Title Assigned - #15273983452")</f>
        <v/>
      </c>
      <c r="B14131" s="0" t="s">
        <v>18843</v>
      </c>
      <c r="E14131" s="0" t="inlineStr">
        <is>
          <t xml:space="preserve">Mazda</t>
        </is>
      </c>
      <c r="F14131" s="0" t="inlineStr">
        <is>
          <t xml:space="preserve">Mazda</t>
        </is>
      </c>
      <c r="G14131" s="0" t="s">
        <v>171</v>
      </c>
      <c r="H14131" s="5">
        <v>16.824300</v>
      </c>
    </row>
    <row r="14132" spans="1:9">
      <c r="A14132" s="22" t="str">
        <f>HYPERLINK("https://app.vivvix.com/360/KMI/IntelliDrive/ApplUI/Pages/CreativePages/CustomReportCreativeDetail.aspx?App=23&amp;ReportView=4&amp;Qid=1711279&amp;Row=14124&amp;Col=1","No Title Assigned - #15273983483")</f>
        <v/>
      </c>
      <c r="B14132" s="0" t="s">
        <v>18844</v>
      </c>
      <c r="E14132" s="0" t="inlineStr">
        <is>
          <t xml:space="preserve">Mazda</t>
        </is>
      </c>
      <c r="F14132" s="0" t="inlineStr">
        <is>
          <t xml:space="preserve">Mazda</t>
        </is>
      </c>
      <c r="G14132" s="0" t="s">
        <v>171</v>
      </c>
      <c r="H14132" s="5">
        <v>5794.003400</v>
      </c>
    </row>
    <row r="14133" spans="1:9">
      <c r="A14133" s="22" t="str">
        <f>HYPERLINK("https://app.vivvix.com/360/KMI/IntelliDrive/ApplUI/Pages/CreativePages/CustomReportCreativeDetail.aspx?App=23&amp;ReportView=4&amp;Qid=1711279&amp;Row=14125&amp;Col=1","No Title Assigned - #15273983615")</f>
        <v/>
      </c>
      <c r="B14133" s="0" t="s">
        <v>18845</v>
      </c>
      <c r="E14133" s="0" t="inlineStr">
        <is>
          <t xml:space="preserve">Mazda</t>
        </is>
      </c>
      <c r="F14133" s="0" t="inlineStr">
        <is>
          <t xml:space="preserve">Mazda</t>
        </is>
      </c>
      <c r="G14133" s="0" t="s">
        <v>171</v>
      </c>
      <c r="H14133" s="5">
        <v>488.266200</v>
      </c>
    </row>
    <row r="14134" spans="1:9">
      <c r="A14134" s="22" t="str">
        <f>HYPERLINK("https://app.vivvix.com/360/KMI/IntelliDrive/ApplUI/Pages/CreativePages/CustomReportCreativeDetail.aspx?App=23&amp;ReportView=4&amp;Qid=1711279&amp;Row=14126&amp;Col=1","No Title Assigned - #15273983912")</f>
        <v/>
      </c>
      <c r="B14134" s="0" t="s">
        <v>18846</v>
      </c>
      <c r="E14134" s="0" t="inlineStr">
        <is>
          <t xml:space="preserve">Mazda</t>
        </is>
      </c>
      <c r="F14134" s="0" t="inlineStr">
        <is>
          <t xml:space="preserve">Mazda</t>
        </is>
      </c>
      <c r="G14134" s="0" t="s">
        <v>171</v>
      </c>
      <c r="H14134" s="5">
        <v>672.209200</v>
      </c>
    </row>
    <row r="14135" spans="1:9">
      <c r="A14135" s="22" t="str">
        <f>HYPERLINK("https://app.vivvix.com/360/KMI/IntelliDrive/ApplUI/Pages/CreativePages/CustomReportCreativeDetail.aspx?App=23&amp;ReportView=4&amp;Qid=1711279&amp;Row=14127&amp;Col=1","No Title Assigned - #15273984072")</f>
        <v/>
      </c>
      <c r="B14135" s="0" t="s">
        <v>18847</v>
      </c>
      <c r="E14135" s="0" t="inlineStr">
        <is>
          <t xml:space="preserve">Mazda</t>
        </is>
      </c>
      <c r="F14135" s="0" t="inlineStr">
        <is>
          <t xml:space="preserve">Mazda</t>
        </is>
      </c>
      <c r="G14135" s="0" t="s">
        <v>171</v>
      </c>
      <c r="H14135" s="5">
        <v>478.877800</v>
      </c>
    </row>
    <row r="14136" spans="1:9">
      <c r="A14136" s="22" t="str">
        <f>HYPERLINK("https://app.vivvix.com/360/KMI/IntelliDrive/ApplUI/Pages/CreativePages/CustomReportCreativeDetail.aspx?App=23&amp;ReportView=4&amp;Qid=1711279&amp;Row=14128&amp;Col=1","No Title Assigned - #15273984096")</f>
        <v/>
      </c>
      <c r="B14136" s="0" t="s">
        <v>18848</v>
      </c>
      <c r="E14136" s="0" t="inlineStr">
        <is>
          <t xml:space="preserve">Mazda</t>
        </is>
      </c>
      <c r="F14136" s="0" t="inlineStr">
        <is>
          <t xml:space="preserve">Mazda</t>
        </is>
      </c>
      <c r="G14136" s="0" t="s">
        <v>171</v>
      </c>
      <c r="H14136" s="5">
        <v>56.939700</v>
      </c>
    </row>
    <row r="14137" spans="1:9">
      <c r="A14137" s="22" t="str">
        <f>HYPERLINK("https://app.vivvix.com/360/KMI/IntelliDrive/ApplUI/Pages/CreativePages/CustomReportCreativeDetail.aspx?App=23&amp;ReportView=4&amp;Qid=1711279&amp;Row=14129&amp;Col=1","No Title Assigned - #15273984097")</f>
        <v/>
      </c>
      <c r="B14137" s="0" t="s">
        <v>18849</v>
      </c>
      <c r="C14137" s="0" t="s">
        <v>18850</v>
      </c>
      <c r="D14137" s="0" t="s">
        <v>18850</v>
      </c>
      <c r="E14137" s="0" t="inlineStr">
        <is>
          <t xml:space="preserve">Mazda</t>
        </is>
      </c>
      <c r="F14137" s="0" t="inlineStr">
        <is>
          <t xml:space="preserve">Mazda</t>
        </is>
      </c>
      <c r="G14137" s="0" t="s">
        <v>171</v>
      </c>
      <c r="H14137" s="5">
        <v>56.939700</v>
      </c>
    </row>
    <row r="14138" spans="1:9">
      <c r="A14138" s="22" t="str">
        <f>HYPERLINK("https://app.vivvix.com/360/KMI/IntelliDrive/ApplUI/Pages/CreativePages/CustomReportCreativeDetail.aspx?App=23&amp;ReportView=4&amp;Qid=1711279&amp;Row=14130&amp;Col=1","No Title Assigned - #15273984139")</f>
        <v/>
      </c>
      <c r="B14138" s="0" t="s">
        <v>18851</v>
      </c>
      <c r="E14138" s="0" t="inlineStr">
        <is>
          <t xml:space="preserve">Mazda</t>
        </is>
      </c>
      <c r="F14138" s="0" t="inlineStr">
        <is>
          <t xml:space="preserve">Mazda</t>
        </is>
      </c>
      <c r="G14138" s="0" t="s">
        <v>171</v>
      </c>
      <c r="H14138" s="5">
        <v>1232.814900</v>
      </c>
    </row>
    <row r="14139" spans="1:9">
      <c r="A14139" s="22" t="str">
        <f>HYPERLINK("https://app.vivvix.com/360/KMI/IntelliDrive/ApplUI/Pages/CreativePages/CustomReportCreativeDetail.aspx?App=23&amp;ReportView=4&amp;Qid=1711279&amp;Row=14131&amp;Col=1","No Title Assigned - #15273984139")</f>
        <v/>
      </c>
      <c r="B14139" s="0" t="s">
        <v>18851</v>
      </c>
      <c r="E14139" s="0" t="inlineStr">
        <is>
          <t xml:space="preserve">Mazda</t>
        </is>
      </c>
      <c r="F14139" s="0" t="inlineStr">
        <is>
          <t xml:space="preserve">Mazda</t>
        </is>
      </c>
      <c r="G14139" s="0" t="s">
        <v>171</v>
      </c>
      <c r="H14139" s="5">
        <v>14.511400</v>
      </c>
    </row>
    <row r="14140" spans="1:9">
      <c r="A14140" s="22" t="str">
        <f>HYPERLINK("https://app.vivvix.com/360/KMI/IntelliDrive/ApplUI/Pages/CreativePages/CustomReportCreativeDetail.aspx?App=23&amp;ReportView=4&amp;Qid=1711279&amp;Row=14132&amp;Col=1","No Title Assigned - #15273984149")</f>
        <v/>
      </c>
      <c r="B14140" s="0" t="s">
        <v>18852</v>
      </c>
      <c r="E14140" s="0" t="inlineStr">
        <is>
          <t xml:space="preserve">Mazda</t>
        </is>
      </c>
      <c r="F14140" s="0" t="inlineStr">
        <is>
          <t xml:space="preserve">Mazda</t>
        </is>
      </c>
      <c r="G14140" s="0" t="s">
        <v>171</v>
      </c>
      <c r="H14140" s="5">
        <v>17.453800</v>
      </c>
    </row>
    <row r="14141" spans="1:9">
      <c r="A14141" s="22" t="str">
        <f>HYPERLINK("https://app.vivvix.com/360/KMI/IntelliDrive/ApplUI/Pages/CreativePages/CustomReportCreativeDetail.aspx?App=23&amp;ReportView=4&amp;Qid=1711279&amp;Row=14133&amp;Col=1","No Title Assigned - #15273984197")</f>
        <v/>
      </c>
      <c r="B14141" s="0" t="s">
        <v>18853</v>
      </c>
      <c r="E14141" s="0" t="inlineStr">
        <is>
          <t xml:space="preserve">Mazda</t>
        </is>
      </c>
      <c r="F14141" s="0" t="inlineStr">
        <is>
          <t xml:space="preserve">Mazda</t>
        </is>
      </c>
      <c r="G14141" s="0" t="s">
        <v>171</v>
      </c>
      <c r="H14141" s="5">
        <v>24.156100</v>
      </c>
    </row>
    <row r="14142" spans="1:9">
      <c r="A14142" s="22" t="str">
        <f>HYPERLINK("https://app.vivvix.com/360/KMI/IntelliDrive/ApplUI/Pages/CreativePages/CustomReportCreativeDetail.aspx?App=23&amp;ReportView=4&amp;Qid=1711279&amp;Row=14134&amp;Col=1","No Title Assigned - #15273984262")</f>
        <v/>
      </c>
      <c r="B14142" s="0" t="s">
        <v>18854</v>
      </c>
      <c r="E14142" s="0" t="inlineStr">
        <is>
          <t xml:space="preserve">Mazda</t>
        </is>
      </c>
      <c r="F14142" s="0" t="inlineStr">
        <is>
          <t xml:space="preserve">Mazda</t>
        </is>
      </c>
      <c r="G14142" s="0" t="s">
        <v>171</v>
      </c>
      <c r="H14142" s="5">
        <v>796.165800</v>
      </c>
    </row>
    <row r="14143" spans="1:9">
      <c r="A14143" s="22" t="str">
        <f>HYPERLINK("https://app.vivvix.com/360/KMI/IntelliDrive/ApplUI/Pages/CreativePages/CustomReportCreativeDetail.aspx?App=23&amp;ReportView=4&amp;Qid=1711279&amp;Row=14135&amp;Col=1","No Title Assigned - #15273984304")</f>
        <v/>
      </c>
      <c r="B14143" s="0" t="s">
        <v>18855</v>
      </c>
      <c r="E14143" s="0" t="inlineStr">
        <is>
          <t xml:space="preserve">Mazda</t>
        </is>
      </c>
      <c r="F14143" s="0" t="inlineStr">
        <is>
          <t xml:space="preserve">Mazda</t>
        </is>
      </c>
      <c r="G14143" s="0" t="s">
        <v>171</v>
      </c>
      <c r="H14143" s="5">
        <v>51.206400</v>
      </c>
    </row>
    <row r="14144" spans="1:9">
      <c r="A14144" s="22" t="str">
        <f>HYPERLINK("https://app.vivvix.com/360/KMI/IntelliDrive/ApplUI/Pages/CreativePages/CustomReportCreativeDetail.aspx?App=23&amp;ReportView=4&amp;Qid=1711279&amp;Row=14136&amp;Col=1","No Title Assigned - #15273984444")</f>
        <v/>
      </c>
      <c r="B14144" s="0" t="s">
        <v>18856</v>
      </c>
      <c r="E14144" s="0" t="inlineStr">
        <is>
          <t xml:space="preserve">Mazda</t>
        </is>
      </c>
      <c r="F14144" s="0" t="inlineStr">
        <is>
          <t xml:space="preserve">Mazda</t>
        </is>
      </c>
      <c r="G14144" s="0" t="s">
        <v>171</v>
      </c>
      <c r="H14144" s="5">
        <v>49.307700</v>
      </c>
    </row>
    <row r="14145" spans="1:9">
      <c r="A14145" s="22" t="str">
        <f>HYPERLINK("https://app.vivvix.com/360/KMI/IntelliDrive/ApplUI/Pages/CreativePages/CustomReportCreativeDetail.aspx?App=23&amp;ReportView=4&amp;Qid=1711279&amp;Row=14137&amp;Col=1","No Title Assigned - #15273984502")</f>
        <v/>
      </c>
      <c r="B14145" s="0" t="s">
        <v>18857</v>
      </c>
      <c r="E14145" s="0" t="inlineStr">
        <is>
          <t xml:space="preserve">Mazda</t>
        </is>
      </c>
      <c r="F14145" s="0" t="inlineStr">
        <is>
          <t xml:space="preserve">Mazda</t>
        </is>
      </c>
      <c r="G14145" s="0" t="s">
        <v>171</v>
      </c>
      <c r="H14145" s="5">
        <v>780.273900</v>
      </c>
    </row>
    <row r="14146" spans="1:9">
      <c r="A14146" s="22" t="str">
        <f>HYPERLINK("https://app.vivvix.com/360/KMI/IntelliDrive/ApplUI/Pages/CreativePages/CustomReportCreativeDetail.aspx?App=23&amp;ReportView=4&amp;Qid=1711279&amp;Row=14138&amp;Col=1","No Title Assigned - #15273984806")</f>
        <v/>
      </c>
      <c r="B14146" s="0" t="s">
        <v>18858</v>
      </c>
      <c r="C14146" s="0" t="s">
        <v>18859</v>
      </c>
      <c r="D14146" s="0" t="s">
        <v>18859</v>
      </c>
      <c r="E14146" s="0" t="inlineStr">
        <is>
          <t xml:space="preserve">Mazda</t>
        </is>
      </c>
      <c r="F14146" s="0" t="inlineStr">
        <is>
          <t xml:space="preserve">Mazda</t>
        </is>
      </c>
      <c r="G14146" s="0" t="s">
        <v>171</v>
      </c>
      <c r="H14146" s="5">
        <v>2188.750000</v>
      </c>
    </row>
    <row r="14147" spans="1:9">
      <c r="A14147" s="22" t="str">
        <f>HYPERLINK("https://app.vivvix.com/360/KMI/IntelliDrive/ApplUI/Pages/CreativePages/CustomReportCreativeDetail.aspx?App=23&amp;ReportView=4&amp;Qid=1711279&amp;Row=14139&amp;Col=1","No Title Assigned - #15273985983")</f>
        <v/>
      </c>
      <c r="B14147" s="0" t="s">
        <v>18860</v>
      </c>
      <c r="E14147" s="0" t="inlineStr">
        <is>
          <t xml:space="preserve">Mazda</t>
        </is>
      </c>
      <c r="F14147" s="0" t="inlineStr">
        <is>
          <t xml:space="preserve">Mazda</t>
        </is>
      </c>
      <c r="G14147" s="0" t="s">
        <v>171</v>
      </c>
      <c r="H14147" s="5">
        <v>153.550800</v>
      </c>
    </row>
    <row r="14148" spans="1:9">
      <c r="A14148" s="22" t="str">
        <f>HYPERLINK("https://app.vivvix.com/360/KMI/IntelliDrive/ApplUI/Pages/CreativePages/CustomReportCreativeDetail.aspx?App=23&amp;ReportView=4&amp;Qid=1711279&amp;Row=14140&amp;Col=1","No Title Assigned - #15273986431")</f>
        <v/>
      </c>
      <c r="B14148" s="0" t="s">
        <v>18861</v>
      </c>
      <c r="E14148" s="0" t="inlineStr">
        <is>
          <t xml:space="preserve">Mazda</t>
        </is>
      </c>
      <c r="F14148" s="0" t="inlineStr">
        <is>
          <t xml:space="preserve">Mazda</t>
        </is>
      </c>
      <c r="G14148" s="0" t="s">
        <v>171</v>
      </c>
      <c r="H14148" s="5">
        <v>1352.057400</v>
      </c>
    </row>
    <row r="14149" spans="1:9">
      <c r="A14149" s="22" t="str">
        <f>HYPERLINK("https://app.vivvix.com/360/KMI/IntelliDrive/ApplUI/Pages/CreativePages/CustomReportCreativeDetail.aspx?App=23&amp;ReportView=4&amp;Qid=1711279&amp;Row=14141&amp;Col=1","No Title Assigned - #15273986634")</f>
        <v/>
      </c>
      <c r="B14149" s="0" t="s">
        <v>18862</v>
      </c>
      <c r="E14149" s="0" t="inlineStr">
        <is>
          <t xml:space="preserve">Mazda</t>
        </is>
      </c>
      <c r="F14149" s="0" t="inlineStr">
        <is>
          <t xml:space="preserve">Mazda</t>
        </is>
      </c>
      <c r="G14149" s="0" t="s">
        <v>171</v>
      </c>
      <c r="H14149" s="5">
        <v>672.421900</v>
      </c>
    </row>
    <row r="14150" spans="1:9">
      <c r="A14150" s="22" t="str">
        <f>HYPERLINK("https://app.vivvix.com/360/KMI/IntelliDrive/ApplUI/Pages/CreativePages/CustomReportCreativeDetail.aspx?App=23&amp;ReportView=4&amp;Qid=1711279&amp;Row=14142&amp;Col=1","No Title Assigned - #15273986760")</f>
        <v/>
      </c>
      <c r="B14150" s="0" t="s">
        <v>18863</v>
      </c>
      <c r="C14150" s="0" t="s">
        <v>18864</v>
      </c>
      <c r="D14150" s="0" t="s">
        <v>18864</v>
      </c>
      <c r="E14150" s="0" t="inlineStr">
        <is>
          <t xml:space="preserve">Mazda</t>
        </is>
      </c>
      <c r="F14150" s="0" t="inlineStr">
        <is>
          <t xml:space="preserve">Mazda</t>
        </is>
      </c>
      <c r="G14150" s="0" t="s">
        <v>171</v>
      </c>
      <c r="H14150" s="5">
        <v>7782.708400</v>
      </c>
    </row>
    <row r="14151" spans="1:9">
      <c r="A14151" s="22" t="str">
        <f>HYPERLINK("https://app.vivvix.com/360/KMI/IntelliDrive/ApplUI/Pages/CreativePages/CustomReportCreativeDetail.aspx?App=23&amp;ReportView=4&amp;Qid=1711279&amp;Row=14143&amp;Col=1","No Title Assigned - #15273987243")</f>
        <v/>
      </c>
      <c r="B14151" s="0" t="s">
        <v>18865</v>
      </c>
      <c r="E14151" s="0" t="inlineStr">
        <is>
          <t xml:space="preserve">Mazda</t>
        </is>
      </c>
      <c r="F14151" s="0" t="inlineStr">
        <is>
          <t xml:space="preserve">Mazda</t>
        </is>
      </c>
      <c r="G14151" s="0" t="s">
        <v>171</v>
      </c>
      <c r="H14151" s="5">
        <v>57.835200</v>
      </c>
    </row>
    <row r="14152" spans="1:9">
      <c r="A14152" s="22" t="str">
        <f>HYPERLINK("https://app.vivvix.com/360/KMI/IntelliDrive/ApplUI/Pages/CreativePages/CustomReportCreativeDetail.aspx?App=23&amp;ReportView=4&amp;Qid=1711279&amp;Row=14144&amp;Col=1","No Title Assigned - #15273987244")</f>
        <v/>
      </c>
      <c r="B14152" s="0" t="s">
        <v>18866</v>
      </c>
      <c r="E14152" s="0" t="inlineStr">
        <is>
          <t xml:space="preserve">Mazda</t>
        </is>
      </c>
      <c r="F14152" s="0" t="inlineStr">
        <is>
          <t xml:space="preserve">Mazda</t>
        </is>
      </c>
      <c r="G14152" s="0" t="s">
        <v>171</v>
      </c>
      <c r="H14152" s="5">
        <v>4.170800</v>
      </c>
    </row>
    <row r="14153" spans="1:9">
      <c r="A14153" s="22" t="str">
        <f>HYPERLINK("https://app.vivvix.com/360/KMI/IntelliDrive/ApplUI/Pages/CreativePages/CustomReportCreativeDetail.aspx?App=23&amp;ReportView=4&amp;Qid=1711279&amp;Row=14145&amp;Col=1","No Title Assigned - #15273987339")</f>
        <v/>
      </c>
      <c r="B14153" s="0" t="s">
        <v>18867</v>
      </c>
      <c r="E14153" s="0" t="inlineStr">
        <is>
          <t xml:space="preserve">Mazda</t>
        </is>
      </c>
      <c r="F14153" s="0" t="inlineStr">
        <is>
          <t xml:space="preserve">Mazda</t>
        </is>
      </c>
      <c r="G14153" s="0" t="s">
        <v>171</v>
      </c>
      <c r="H14153" s="5">
        <v>498.374800</v>
      </c>
    </row>
    <row r="14154" spans="1:9">
      <c r="A14154" s="22" t="str">
        <f>HYPERLINK("https://app.vivvix.com/360/KMI/IntelliDrive/ApplUI/Pages/CreativePages/CustomReportCreativeDetail.aspx?App=23&amp;ReportView=4&amp;Qid=1711279&amp;Row=14146&amp;Col=1","No Title Assigned - #15273987564")</f>
        <v/>
      </c>
      <c r="B14154" s="0" t="s">
        <v>18868</v>
      </c>
      <c r="E14154" s="0" t="inlineStr">
        <is>
          <t xml:space="preserve">Mazda</t>
        </is>
      </c>
      <c r="F14154" s="0" t="inlineStr">
        <is>
          <t xml:space="preserve">Mazda</t>
        </is>
      </c>
      <c r="G14154" s="0" t="s">
        <v>171</v>
      </c>
      <c r="H14154" s="5">
        <v>10.883200</v>
      </c>
    </row>
    <row r="14155" spans="1:9">
      <c r="A14155" s="22" t="str">
        <f>HYPERLINK("https://app.vivvix.com/360/KMI/IntelliDrive/ApplUI/Pages/CreativePages/CustomReportCreativeDetail.aspx?App=23&amp;ReportView=4&amp;Qid=1711279&amp;Row=14147&amp;Col=1","No Title Assigned - #15273987613")</f>
        <v/>
      </c>
      <c r="B14155" s="0" t="s">
        <v>18869</v>
      </c>
      <c r="E14155" s="0" t="inlineStr">
        <is>
          <t xml:space="preserve">Mazda</t>
        </is>
      </c>
      <c r="F14155" s="0" t="inlineStr">
        <is>
          <t xml:space="preserve">Mazda</t>
        </is>
      </c>
      <c r="G14155" s="0" t="s">
        <v>171</v>
      </c>
      <c r="H14155" s="5">
        <v>146.294800</v>
      </c>
    </row>
    <row r="14156" spans="1:9">
      <c r="A14156" s="22" t="str">
        <f>HYPERLINK("https://app.vivvix.com/360/KMI/IntelliDrive/ApplUI/Pages/CreativePages/CustomReportCreativeDetail.aspx?App=23&amp;ReportView=4&amp;Qid=1711279&amp;Row=14148&amp;Col=1","No Title Assigned - #15273987777")</f>
        <v/>
      </c>
      <c r="B14156" s="0" t="s">
        <v>18870</v>
      </c>
      <c r="E14156" s="0" t="inlineStr">
        <is>
          <t xml:space="preserve">Mazda</t>
        </is>
      </c>
      <c r="F14156" s="0" t="inlineStr">
        <is>
          <t xml:space="preserve">Mazda</t>
        </is>
      </c>
      <c r="G14156" s="0" t="s">
        <v>171</v>
      </c>
      <c r="H14156" s="5">
        <v>283.461100</v>
      </c>
    </row>
    <row r="14157" spans="1:9">
      <c r="A14157" s="22" t="str">
        <f>HYPERLINK("https://app.vivvix.com/360/KMI/IntelliDrive/ApplUI/Pages/CreativePages/CustomReportCreativeDetail.aspx?App=23&amp;ReportView=4&amp;Qid=1711279&amp;Row=14149&amp;Col=1","No Title Assigned - #15273988203")</f>
        <v/>
      </c>
      <c r="B14157" s="0" t="s">
        <v>18871</v>
      </c>
      <c r="E14157" s="0" t="inlineStr">
        <is>
          <t xml:space="preserve">Mazda</t>
        </is>
      </c>
      <c r="F14157" s="0" t="inlineStr">
        <is>
          <t xml:space="preserve">Mazda</t>
        </is>
      </c>
      <c r="G14157" s="0" t="s">
        <v>171</v>
      </c>
      <c r="H14157" s="5">
        <v>477.090400</v>
      </c>
    </row>
    <row r="14158" spans="1:9">
      <c r="A14158" s="22" t="str">
        <f>HYPERLINK("https://app.vivvix.com/360/KMI/IntelliDrive/ApplUI/Pages/CreativePages/CustomReportCreativeDetail.aspx?App=23&amp;ReportView=4&amp;Qid=1711279&amp;Row=14150&amp;Col=1","No Title Assigned - #15273988398")</f>
        <v/>
      </c>
      <c r="B14158" s="0" t="s">
        <v>18872</v>
      </c>
      <c r="C14158" s="0" t="s">
        <v>18873</v>
      </c>
      <c r="D14158" s="0" t="s">
        <v>18873</v>
      </c>
      <c r="E14158" s="0" t="inlineStr">
        <is>
          <t xml:space="preserve">Mazda</t>
        </is>
      </c>
      <c r="F14158" s="0" t="inlineStr">
        <is>
          <t xml:space="preserve">Mazda</t>
        </is>
      </c>
      <c r="G14158" s="0" t="s">
        <v>171</v>
      </c>
      <c r="H14158" s="5">
        <v>245.953300</v>
      </c>
    </row>
    <row r="14159" spans="1:9">
      <c r="A14159" s="22" t="str">
        <f>HYPERLINK("https://app.vivvix.com/360/KMI/IntelliDrive/ApplUI/Pages/CreativePages/CustomReportCreativeDetail.aspx?App=23&amp;ReportView=4&amp;Qid=1711279&amp;Row=14151&amp;Col=1","No Title Assigned - #15273988711")</f>
        <v/>
      </c>
      <c r="B14159" s="0" t="s">
        <v>18874</v>
      </c>
      <c r="E14159" s="0" t="inlineStr">
        <is>
          <t xml:space="preserve">Mazda</t>
        </is>
      </c>
      <c r="F14159" s="0" t="inlineStr">
        <is>
          <t xml:space="preserve">Mazda</t>
        </is>
      </c>
      <c r="G14159" s="0" t="s">
        <v>171</v>
      </c>
      <c r="H14159" s="5">
        <v>9.138600</v>
      </c>
    </row>
    <row r="14160" spans="1:9">
      <c r="A14160" s="22" t="str">
        <f>HYPERLINK("https://app.vivvix.com/360/KMI/IntelliDrive/ApplUI/Pages/CreativePages/CustomReportCreativeDetail.aspx?App=23&amp;ReportView=4&amp;Qid=1711279&amp;Row=14152&amp;Col=1","No Title Assigned - #15273988813")</f>
        <v/>
      </c>
      <c r="B14160" s="0" t="s">
        <v>18875</v>
      </c>
      <c r="E14160" s="0" t="inlineStr">
        <is>
          <t xml:space="preserve">Mazda</t>
        </is>
      </c>
      <c r="F14160" s="0" t="inlineStr">
        <is>
          <t xml:space="preserve">Mazda</t>
        </is>
      </c>
      <c r="G14160" s="0" t="s">
        <v>171</v>
      </c>
      <c r="H14160" s="5">
        <v>4.832500</v>
      </c>
    </row>
    <row r="14161" spans="1:9">
      <c r="A14161" s="22" t="str">
        <f>HYPERLINK("https://app.vivvix.com/360/KMI/IntelliDrive/ApplUI/Pages/CreativePages/CustomReportCreativeDetail.aspx?App=23&amp;ReportView=4&amp;Qid=1711279&amp;Row=14153&amp;Col=1","No Title Assigned - #15273989016")</f>
        <v/>
      </c>
      <c r="B14161" s="0" t="s">
        <v>18876</v>
      </c>
      <c r="E14161" s="0" t="inlineStr">
        <is>
          <t xml:space="preserve">Mazda</t>
        </is>
      </c>
      <c r="F14161" s="0" t="inlineStr">
        <is>
          <t xml:space="preserve">Mazda</t>
        </is>
      </c>
      <c r="G14161" s="0" t="s">
        <v>171</v>
      </c>
      <c r="H14161" s="5">
        <v>78.848400</v>
      </c>
    </row>
    <row r="14162" spans="1:9">
      <c r="A14162" s="22" t="str">
        <f>HYPERLINK("https://app.vivvix.com/360/KMI/IntelliDrive/ApplUI/Pages/CreativePages/CustomReportCreativeDetail.aspx?App=23&amp;ReportView=4&amp;Qid=1711279&amp;Row=14154&amp;Col=1","No Title Assigned - #15273989576")</f>
        <v/>
      </c>
      <c r="B14162" s="0" t="s">
        <v>18877</v>
      </c>
      <c r="C14162" s="0" t="s">
        <v>18878</v>
      </c>
      <c r="D14162" s="0" t="s">
        <v>18878</v>
      </c>
      <c r="E14162" s="0" t="inlineStr">
        <is>
          <t xml:space="preserve">Mazda</t>
        </is>
      </c>
      <c r="F14162" s="0" t="inlineStr">
        <is>
          <t xml:space="preserve">Mazda</t>
        </is>
      </c>
      <c r="G14162" s="0" t="s">
        <v>171</v>
      </c>
      <c r="H14162" s="5">
        <v>25.583100</v>
      </c>
    </row>
    <row r="14163" spans="1:9">
      <c r="A14163" s="22" t="str">
        <f>HYPERLINK("https://app.vivvix.com/360/KMI/IntelliDrive/ApplUI/Pages/CreativePages/CustomReportCreativeDetail.aspx?App=23&amp;ReportView=4&amp;Qid=1711279&amp;Row=14155&amp;Col=1","No Title Assigned - #15273989988")</f>
        <v/>
      </c>
      <c r="B14163" s="0" t="s">
        <v>18879</v>
      </c>
      <c r="E14163" s="0" t="inlineStr">
        <is>
          <t xml:space="preserve">Mazda</t>
        </is>
      </c>
      <c r="F14163" s="0" t="inlineStr">
        <is>
          <t xml:space="preserve">Mazda</t>
        </is>
      </c>
      <c r="G14163" s="0" t="s">
        <v>171</v>
      </c>
      <c r="H14163" s="5">
        <v>24.300600</v>
      </c>
    </row>
    <row r="14164" spans="1:9">
      <c r="A14164" s="22" t="str">
        <f>HYPERLINK("https://app.vivvix.com/360/KMI/IntelliDrive/ApplUI/Pages/CreativePages/CustomReportCreativeDetail.aspx?App=23&amp;ReportView=4&amp;Qid=1711279&amp;Row=14156&amp;Col=1","No Title Assigned - #15273990201")</f>
        <v/>
      </c>
      <c r="B14164" s="0" t="s">
        <v>18880</v>
      </c>
      <c r="E14164" s="0" t="inlineStr">
        <is>
          <t xml:space="preserve">Mazda</t>
        </is>
      </c>
      <c r="F14164" s="0" t="inlineStr">
        <is>
          <t xml:space="preserve">Mazda</t>
        </is>
      </c>
      <c r="G14164" s="0" t="s">
        <v>171</v>
      </c>
      <c r="H14164" s="5">
        <v>4274.088800</v>
      </c>
    </row>
    <row r="14165" spans="1:9">
      <c r="A14165" s="22" t="str">
        <f>HYPERLINK("https://app.vivvix.com/360/KMI/IntelliDrive/ApplUI/Pages/CreativePages/CustomReportCreativeDetail.aspx?App=23&amp;ReportView=4&amp;Qid=1711279&amp;Row=14157&amp;Col=1","No Title Assigned - #15273990201")</f>
        <v/>
      </c>
      <c r="B14165" s="0" t="s">
        <v>18880</v>
      </c>
      <c r="E14165" s="0" t="inlineStr">
        <is>
          <t xml:space="preserve">Mazda</t>
        </is>
      </c>
      <c r="F14165" s="0" t="inlineStr">
        <is>
          <t xml:space="preserve">Mazda</t>
        </is>
      </c>
      <c r="G14165" s="0" t="s">
        <v>171</v>
      </c>
      <c r="H14165" s="5">
        <v>304.513900</v>
      </c>
    </row>
    <row r="14166" spans="1:9">
      <c r="A14166" s="22" t="str">
        <f>HYPERLINK("https://app.vivvix.com/360/KMI/IntelliDrive/ApplUI/Pages/CreativePages/CustomReportCreativeDetail.aspx?App=23&amp;ReportView=4&amp;Qid=1711279&amp;Row=14158&amp;Col=1","No Title Assigned - #15273990962")</f>
        <v/>
      </c>
      <c r="B14166" s="0" t="s">
        <v>18881</v>
      </c>
      <c r="E14166" s="0" t="inlineStr">
        <is>
          <t xml:space="preserve">Mazda</t>
        </is>
      </c>
      <c r="F14166" s="0" t="inlineStr">
        <is>
          <t xml:space="preserve">Mazda</t>
        </is>
      </c>
      <c r="G14166" s="0" t="s">
        <v>171</v>
      </c>
      <c r="H14166" s="5">
        <v>919.327700</v>
      </c>
    </row>
    <row r="14167" spans="1:9">
      <c r="A14167" s="22" t="str">
        <f>HYPERLINK("https://app.vivvix.com/360/KMI/IntelliDrive/ApplUI/Pages/CreativePages/CustomReportCreativeDetail.aspx?App=23&amp;ReportView=4&amp;Qid=1711279&amp;Row=14159&amp;Col=1","No Title Assigned - #15273991284")</f>
        <v/>
      </c>
      <c r="B14167" s="0" t="s">
        <v>18882</v>
      </c>
      <c r="E14167" s="0" t="inlineStr">
        <is>
          <t xml:space="preserve">Mazda</t>
        </is>
      </c>
      <c r="F14167" s="0" t="inlineStr">
        <is>
          <t xml:space="preserve">Mazda</t>
        </is>
      </c>
      <c r="G14167" s="0" t="s">
        <v>171</v>
      </c>
      <c r="H14167" s="5">
        <v>94.815000</v>
      </c>
    </row>
    <row r="14168" spans="1:9">
      <c r="A14168" s="22" t="str">
        <f>HYPERLINK("https://app.vivvix.com/360/KMI/IntelliDrive/ApplUI/Pages/CreativePages/CustomReportCreativeDetail.aspx?App=23&amp;ReportView=4&amp;Qid=1711279&amp;Row=14160&amp;Col=1","No Title Assigned - #15273991348")</f>
        <v/>
      </c>
      <c r="B14168" s="0" t="s">
        <v>18883</v>
      </c>
      <c r="E14168" s="0" t="inlineStr">
        <is>
          <t xml:space="preserve">Mazda</t>
        </is>
      </c>
      <c r="F14168" s="0" t="inlineStr">
        <is>
          <t xml:space="preserve">Mazda</t>
        </is>
      </c>
      <c r="G14168" s="0" t="s">
        <v>171</v>
      </c>
      <c r="H14168" s="5">
        <v>413.319900</v>
      </c>
    </row>
    <row r="14169" spans="1:9">
      <c r="A14169" s="22" t="str">
        <f>HYPERLINK("https://app.vivvix.com/360/KMI/IntelliDrive/ApplUI/Pages/CreativePages/CustomReportCreativeDetail.aspx?App=23&amp;ReportView=4&amp;Qid=1711279&amp;Row=14161&amp;Col=1","No Title Assigned - #15273991392")</f>
        <v/>
      </c>
      <c r="B14169" s="0" t="s">
        <v>18884</v>
      </c>
      <c r="E14169" s="0" t="inlineStr">
        <is>
          <t xml:space="preserve">Mazda</t>
        </is>
      </c>
      <c r="F14169" s="0" t="inlineStr">
        <is>
          <t xml:space="preserve">Mazda</t>
        </is>
      </c>
      <c r="G14169" s="0" t="s">
        <v>171</v>
      </c>
      <c r="H14169" s="5">
        <v>100.623500</v>
      </c>
    </row>
    <row r="14170" spans="1:9">
      <c r="A14170" s="22" t="str">
        <f>HYPERLINK("https://app.vivvix.com/360/KMI/IntelliDrive/ApplUI/Pages/CreativePages/CustomReportCreativeDetail.aspx?App=23&amp;ReportView=4&amp;Qid=1711279&amp;Row=14162&amp;Col=1","No Title Assigned - #15273991811")</f>
        <v/>
      </c>
      <c r="B14170" s="0" t="s">
        <v>18885</v>
      </c>
      <c r="E14170" s="0" t="inlineStr">
        <is>
          <t xml:space="preserve">Mazda</t>
        </is>
      </c>
      <c r="F14170" s="0" t="inlineStr">
        <is>
          <t xml:space="preserve">Mazda</t>
        </is>
      </c>
      <c r="G14170" s="0" t="s">
        <v>171</v>
      </c>
      <c r="H14170" s="5">
        <v>26.679100</v>
      </c>
    </row>
    <row r="14171" spans="1:9">
      <c r="A14171" s="22" t="str">
        <f>HYPERLINK("https://app.vivvix.com/360/KMI/IntelliDrive/ApplUI/Pages/CreativePages/CustomReportCreativeDetail.aspx?App=23&amp;ReportView=4&amp;Qid=1711279&amp;Row=14163&amp;Col=1","No Title Assigned - #15273991820")</f>
        <v/>
      </c>
      <c r="B14171" s="0" t="s">
        <v>18886</v>
      </c>
      <c r="C14171" s="0" t="s">
        <v>18887</v>
      </c>
      <c r="D14171" s="0" t="s">
        <v>18887</v>
      </c>
      <c r="E14171" s="0" t="inlineStr">
        <is>
          <t xml:space="preserve">Mazda</t>
        </is>
      </c>
      <c r="F14171" s="0" t="inlineStr">
        <is>
          <t xml:space="preserve">Mazda</t>
        </is>
      </c>
      <c r="G14171" s="0" t="s">
        <v>171</v>
      </c>
      <c r="H14171" s="5">
        <v>514.508600</v>
      </c>
    </row>
    <row r="14172" spans="1:9">
      <c r="A14172" s="22" t="str">
        <f>HYPERLINK("https://app.vivvix.com/360/KMI/IntelliDrive/ApplUI/Pages/CreativePages/CustomReportCreativeDetail.aspx?App=23&amp;ReportView=4&amp;Qid=1711279&amp;Row=14164&amp;Col=1","No Title Assigned - #15273992102")</f>
        <v/>
      </c>
      <c r="B14172" s="0" t="s">
        <v>18888</v>
      </c>
      <c r="E14172" s="0" t="inlineStr">
        <is>
          <t xml:space="preserve">Mazda</t>
        </is>
      </c>
      <c r="F14172" s="0" t="inlineStr">
        <is>
          <t xml:space="preserve">Mazda</t>
        </is>
      </c>
      <c r="G14172" s="0" t="s">
        <v>171</v>
      </c>
      <c r="H14172" s="5">
        <v>33.955100</v>
      </c>
    </row>
    <row r="14173" spans="1:9">
      <c r="A14173" s="22" t="str">
        <f>HYPERLINK("https://app.vivvix.com/360/KMI/IntelliDrive/ApplUI/Pages/CreativePages/CustomReportCreativeDetail.aspx?App=23&amp;ReportView=4&amp;Qid=1711279&amp;Row=14165&amp;Col=1","No Title Assigned - #15273992234")</f>
        <v/>
      </c>
      <c r="B14173" s="0" t="s">
        <v>18889</v>
      </c>
      <c r="E14173" s="0" t="inlineStr">
        <is>
          <t xml:space="preserve">Mazda</t>
        </is>
      </c>
      <c r="F14173" s="0" t="inlineStr">
        <is>
          <t xml:space="preserve">Mazda</t>
        </is>
      </c>
      <c r="G14173" s="0" t="s">
        <v>171</v>
      </c>
      <c r="H14173" s="5">
        <v>5544.916900</v>
      </c>
    </row>
    <row r="14174" spans="1:9">
      <c r="A14174" s="22" t="str">
        <f>HYPERLINK("https://app.vivvix.com/360/KMI/IntelliDrive/ApplUI/Pages/CreativePages/CustomReportCreativeDetail.aspx?App=23&amp;ReportView=4&amp;Qid=1711279&amp;Row=14166&amp;Col=1","No Title Assigned - #15273992452")</f>
        <v/>
      </c>
      <c r="B14174" s="0" t="s">
        <v>18890</v>
      </c>
      <c r="E14174" s="0" t="inlineStr">
        <is>
          <t xml:space="preserve">Mazda</t>
        </is>
      </c>
      <c r="F14174" s="0" t="inlineStr">
        <is>
          <t xml:space="preserve">Mazda</t>
        </is>
      </c>
      <c r="G14174" s="0" t="s">
        <v>171</v>
      </c>
      <c r="H14174" s="5">
        <v>23.317600</v>
      </c>
    </row>
    <row r="14175" spans="1:9">
      <c r="A14175" s="22" t="str">
        <f>HYPERLINK("https://app.vivvix.com/360/KMI/IntelliDrive/ApplUI/Pages/CreativePages/CustomReportCreativeDetail.aspx?App=23&amp;ReportView=4&amp;Qid=1711279&amp;Row=14167&amp;Col=1","No Title Assigned - #15273993431")</f>
        <v/>
      </c>
      <c r="B14175" s="0" t="s">
        <v>18891</v>
      </c>
      <c r="C14175" s="0" t="s">
        <v>18892</v>
      </c>
      <c r="D14175" s="0" t="s">
        <v>18892</v>
      </c>
      <c r="E14175" s="0" t="inlineStr">
        <is>
          <t xml:space="preserve">Mazda</t>
        </is>
      </c>
      <c r="F14175" s="0" t="inlineStr">
        <is>
          <t xml:space="preserve">Mazda</t>
        </is>
      </c>
      <c r="G14175" s="0" t="s">
        <v>171</v>
      </c>
      <c r="H14175" s="5">
        <v>173.793700</v>
      </c>
    </row>
    <row r="14176" spans="1:9">
      <c r="A14176" s="22" t="str">
        <f>HYPERLINK("https://app.vivvix.com/360/KMI/IntelliDrive/ApplUI/Pages/CreativePages/CustomReportCreativeDetail.aspx?App=23&amp;ReportView=4&amp;Qid=1711279&amp;Row=14168&amp;Col=1","No Title Assigned - #15273993570")</f>
        <v/>
      </c>
      <c r="B14176" s="0" t="s">
        <v>18893</v>
      </c>
      <c r="E14176" s="0" t="inlineStr">
        <is>
          <t xml:space="preserve">Mazda</t>
        </is>
      </c>
      <c r="F14176" s="0" t="inlineStr">
        <is>
          <t xml:space="preserve">Mazda</t>
        </is>
      </c>
      <c r="G14176" s="0" t="s">
        <v>171</v>
      </c>
      <c r="H14176" s="5">
        <v>5128.537400</v>
      </c>
    </row>
    <row r="14177" spans="1:9">
      <c r="A14177" s="22" t="str">
        <f>HYPERLINK("https://app.vivvix.com/360/KMI/IntelliDrive/ApplUI/Pages/CreativePages/CustomReportCreativeDetail.aspx?App=23&amp;ReportView=4&amp;Qid=1711279&amp;Row=14169&amp;Col=1","No Title Assigned - #15273993651")</f>
        <v/>
      </c>
      <c r="B14177" s="0" t="s">
        <v>18894</v>
      </c>
      <c r="E14177" s="0" t="inlineStr">
        <is>
          <t xml:space="preserve">Mazda</t>
        </is>
      </c>
      <c r="F14177" s="0" t="s">
        <v>21</v>
      </c>
      <c r="G14177" s="0" t="s">
        <v>22</v>
      </c>
      <c r="H14177" s="5">
        <v>262.821600</v>
      </c>
    </row>
    <row r="14178" spans="1:9">
      <c r="A14178" s="22" t="str">
        <f>HYPERLINK("https://app.vivvix.com/360/KMI/IntelliDrive/ApplUI/Pages/CreativePages/CustomReportCreativeDetail.aspx?App=23&amp;ReportView=4&amp;Qid=1711279&amp;Row=14170&amp;Col=1","No Title Assigned - #15273993733")</f>
        <v/>
      </c>
      <c r="B14178" s="0" t="s">
        <v>18895</v>
      </c>
      <c r="E14178" s="0" t="inlineStr">
        <is>
          <t xml:space="preserve">Mazda</t>
        </is>
      </c>
      <c r="F14178" s="0" t="inlineStr">
        <is>
          <t xml:space="preserve">Mazda</t>
        </is>
      </c>
      <c r="G14178" s="0" t="s">
        <v>171</v>
      </c>
      <c r="H14178" s="5">
        <v>1026.986000</v>
      </c>
    </row>
    <row r="14179" spans="1:9">
      <c r="A14179" s="22" t="str">
        <f>HYPERLINK("https://app.vivvix.com/360/KMI/IntelliDrive/ApplUI/Pages/CreativePages/CustomReportCreativeDetail.aspx?App=23&amp;ReportView=4&amp;Qid=1711279&amp;Row=14171&amp;Col=1","No Title Assigned - #15273994188")</f>
        <v/>
      </c>
      <c r="B14179" s="0" t="s">
        <v>18896</v>
      </c>
      <c r="C14179" s="0" t="s">
        <v>18897</v>
      </c>
      <c r="D14179" s="0" t="s">
        <v>18897</v>
      </c>
      <c r="E14179" s="0" t="inlineStr">
        <is>
          <t xml:space="preserve">Mazda</t>
        </is>
      </c>
      <c r="F14179" s="0" t="inlineStr">
        <is>
          <t xml:space="preserve">Mazda</t>
        </is>
      </c>
      <c r="G14179" s="0" t="s">
        <v>171</v>
      </c>
      <c r="H14179" s="5">
        <v>194.368400</v>
      </c>
    </row>
    <row r="14180" spans="1:9">
      <c r="A14180" s="22" t="str">
        <f>HYPERLINK("https://app.vivvix.com/360/KMI/IntelliDrive/ApplUI/Pages/CreativePages/CustomReportCreativeDetail.aspx?App=23&amp;ReportView=4&amp;Qid=1711279&amp;Row=14172&amp;Col=1","No Title Assigned - #15273994189")</f>
        <v/>
      </c>
      <c r="B14180" s="0" t="s">
        <v>18898</v>
      </c>
      <c r="C14180" s="0" t="s">
        <v>18899</v>
      </c>
      <c r="D14180" s="0" t="s">
        <v>18899</v>
      </c>
      <c r="E14180" s="0" t="inlineStr">
        <is>
          <t xml:space="preserve">Mazda</t>
        </is>
      </c>
      <c r="F14180" s="0" t="inlineStr">
        <is>
          <t xml:space="preserve">Mazda</t>
        </is>
      </c>
      <c r="G14180" s="0" t="s">
        <v>171</v>
      </c>
      <c r="H14180" s="5">
        <v>66.907400</v>
      </c>
    </row>
    <row r="14181" spans="1:9">
      <c r="A14181" s="22" t="str">
        <f>HYPERLINK("https://app.vivvix.com/360/KMI/IntelliDrive/ApplUI/Pages/CreativePages/CustomReportCreativeDetail.aspx?App=23&amp;ReportView=4&amp;Qid=1711279&amp;Row=14173&amp;Col=1","No Title Assigned - #15273994291")</f>
        <v/>
      </c>
      <c r="B14181" s="0" t="s">
        <v>18900</v>
      </c>
      <c r="E14181" s="0" t="inlineStr">
        <is>
          <t xml:space="preserve">Mazda</t>
        </is>
      </c>
      <c r="F14181" s="0" t="inlineStr">
        <is>
          <t xml:space="preserve">Mazda</t>
        </is>
      </c>
      <c r="G14181" s="0" t="s">
        <v>171</v>
      </c>
      <c r="H14181" s="5">
        <v>262.600300</v>
      </c>
    </row>
    <row r="14182" spans="1:9">
      <c r="A14182" s="22" t="str">
        <f>HYPERLINK("https://app.vivvix.com/360/KMI/IntelliDrive/ApplUI/Pages/CreativePages/CustomReportCreativeDetail.aspx?App=23&amp;ReportView=4&amp;Qid=1711279&amp;Row=14174&amp;Col=1","No Title Assigned - #15273994333")</f>
        <v/>
      </c>
      <c r="B14182" s="0" t="s">
        <v>18901</v>
      </c>
      <c r="E14182" s="0" t="inlineStr">
        <is>
          <t xml:space="preserve">Mazda</t>
        </is>
      </c>
      <c r="F14182" s="0" t="inlineStr">
        <is>
          <t xml:space="preserve">Mazda</t>
        </is>
      </c>
      <c r="G14182" s="0" t="s">
        <v>171</v>
      </c>
      <c r="H14182" s="5">
        <v>16644.606400</v>
      </c>
    </row>
    <row r="14183" spans="1:9">
      <c r="A14183" s="22" t="str">
        <f>HYPERLINK("https://app.vivvix.com/360/KMI/IntelliDrive/ApplUI/Pages/CreativePages/CustomReportCreativeDetail.aspx?App=23&amp;ReportView=4&amp;Qid=1711279&amp;Row=14175&amp;Col=1","No Title Assigned - #15273994595")</f>
        <v/>
      </c>
      <c r="B14183" s="0" t="s">
        <v>18902</v>
      </c>
      <c r="E14183" s="0" t="inlineStr">
        <is>
          <t xml:space="preserve">Mazda</t>
        </is>
      </c>
      <c r="F14183" s="0" t="inlineStr">
        <is>
          <t xml:space="preserve">Mazda</t>
        </is>
      </c>
      <c r="G14183" s="0" t="s">
        <v>171</v>
      </c>
      <c r="H14183" s="5">
        <v>492.436500</v>
      </c>
    </row>
    <row r="14184" spans="1:9">
      <c r="A14184" s="22" t="str">
        <f>HYPERLINK("https://app.vivvix.com/360/KMI/IntelliDrive/ApplUI/Pages/CreativePages/CustomReportCreativeDetail.aspx?App=23&amp;ReportView=4&amp;Qid=1711279&amp;Row=14176&amp;Col=1","No Title Assigned - #15273994725")</f>
        <v/>
      </c>
      <c r="B14184" s="0" t="s">
        <v>18903</v>
      </c>
      <c r="E14184" s="0" t="inlineStr">
        <is>
          <t xml:space="preserve">Mazda</t>
        </is>
      </c>
      <c r="F14184" s="0" t="inlineStr">
        <is>
          <t xml:space="preserve">Mazda</t>
        </is>
      </c>
      <c r="G14184" s="0" t="s">
        <v>171</v>
      </c>
      <c r="H14184" s="5">
        <v>201.497200</v>
      </c>
    </row>
    <row r="14185" spans="1:9">
      <c r="A14185" s="22" t="str">
        <f>HYPERLINK("https://app.vivvix.com/360/KMI/IntelliDrive/ApplUI/Pages/CreativePages/CustomReportCreativeDetail.aspx?App=23&amp;ReportView=4&amp;Qid=1711279&amp;Row=14177&amp;Col=1","No Title Assigned - #15273995107")</f>
        <v/>
      </c>
      <c r="B14185" s="0" t="s">
        <v>18904</v>
      </c>
      <c r="E14185" s="0" t="inlineStr">
        <is>
          <t xml:space="preserve">Mazda</t>
        </is>
      </c>
      <c r="F14185" s="0" t="inlineStr">
        <is>
          <t xml:space="preserve">Mazda</t>
        </is>
      </c>
      <c r="G14185" s="0" t="s">
        <v>171</v>
      </c>
      <c r="H14185" s="5">
        <v>702.382800</v>
      </c>
    </row>
    <row r="14186" spans="1:9">
      <c r="A14186" s="22" t="str">
        <f>HYPERLINK("https://app.vivvix.com/360/KMI/IntelliDrive/ApplUI/Pages/CreativePages/CustomReportCreativeDetail.aspx?App=23&amp;ReportView=4&amp;Qid=1711279&amp;Row=14178&amp;Col=1","No Title Assigned - #15273995107")</f>
        <v/>
      </c>
      <c r="B14186" s="0" t="s">
        <v>18904</v>
      </c>
      <c r="E14186" s="0" t="inlineStr">
        <is>
          <t xml:space="preserve">Mazda</t>
        </is>
      </c>
      <c r="F14186" s="0" t="inlineStr">
        <is>
          <t xml:space="preserve">Mazda</t>
        </is>
      </c>
      <c r="G14186" s="0" t="s">
        <v>171</v>
      </c>
      <c r="H14186" s="5">
        <v>42.930800</v>
      </c>
    </row>
    <row r="14187" spans="1:9">
      <c r="A14187" s="22" t="str">
        <f>HYPERLINK("https://app.vivvix.com/360/KMI/IntelliDrive/ApplUI/Pages/CreativePages/CustomReportCreativeDetail.aspx?App=23&amp;ReportView=4&amp;Qid=1711279&amp;Row=14179&amp;Col=1","No Title Assigned - #15273995476")</f>
        <v/>
      </c>
      <c r="B14187" s="0" t="s">
        <v>18905</v>
      </c>
      <c r="E14187" s="0" t="inlineStr">
        <is>
          <t xml:space="preserve">Mazda</t>
        </is>
      </c>
      <c r="F14187" s="0" t="inlineStr">
        <is>
          <t xml:space="preserve">Mazda</t>
        </is>
      </c>
      <c r="G14187" s="0" t="s">
        <v>171</v>
      </c>
      <c r="H14187" s="5">
        <v>150.954400</v>
      </c>
    </row>
    <row r="14188" spans="1:9">
      <c r="A14188" s="22" t="str">
        <f>HYPERLINK("https://app.vivvix.com/360/KMI/IntelliDrive/ApplUI/Pages/CreativePages/CustomReportCreativeDetail.aspx?App=23&amp;ReportView=4&amp;Qid=1711279&amp;Row=14180&amp;Col=1","No Title Assigned - #15273996049")</f>
        <v/>
      </c>
      <c r="B14188" s="0" t="s">
        <v>18906</v>
      </c>
      <c r="C14188" s="0" t="s">
        <v>18907</v>
      </c>
      <c r="D14188" s="0" t="s">
        <v>18907</v>
      </c>
      <c r="E14188" s="0" t="inlineStr">
        <is>
          <t xml:space="preserve">Mazda</t>
        </is>
      </c>
      <c r="F14188" s="0" t="s">
        <v>28</v>
      </c>
      <c r="G14188" s="0" t="s">
        <v>29</v>
      </c>
      <c r="H14188" s="5">
        <v>194.942400</v>
      </c>
    </row>
    <row r="14189" spans="1:9">
      <c r="A14189" s="22" t="str">
        <f>HYPERLINK("https://app.vivvix.com/360/KMI/IntelliDrive/ApplUI/Pages/CreativePages/CustomReportCreativeDetail.aspx?App=23&amp;ReportView=4&amp;Qid=1711279&amp;Row=14181&amp;Col=1","No Title Assigned - #15273997285")</f>
        <v/>
      </c>
      <c r="B14189" s="0" t="s">
        <v>18908</v>
      </c>
      <c r="C14189" s="0" t="s">
        <v>18909</v>
      </c>
      <c r="D14189" s="0" t="s">
        <v>18909</v>
      </c>
      <c r="E14189" s="0" t="inlineStr">
        <is>
          <t xml:space="preserve">Mazda</t>
        </is>
      </c>
      <c r="F14189" s="0" t="inlineStr">
        <is>
          <t xml:space="preserve">Mazda</t>
        </is>
      </c>
      <c r="G14189" s="0" t="s">
        <v>171</v>
      </c>
      <c r="H14189" s="5">
        <v>116.391100</v>
      </c>
    </row>
    <row r="14190" spans="1:9">
      <c r="A14190" s="22" t="str">
        <f>HYPERLINK("https://app.vivvix.com/360/KMI/IntelliDrive/ApplUI/Pages/CreativePages/CustomReportCreativeDetail.aspx?App=23&amp;ReportView=4&amp;Qid=1711279&amp;Row=14182&amp;Col=1","No Title Assigned - #15273998137")</f>
        <v/>
      </c>
      <c r="B14190" s="0" t="s">
        <v>18910</v>
      </c>
      <c r="E14190" s="0" t="inlineStr">
        <is>
          <t xml:space="preserve">Mazda</t>
        </is>
      </c>
      <c r="F14190" s="0" t="inlineStr">
        <is>
          <t xml:space="preserve">Mazda</t>
        </is>
      </c>
      <c r="G14190" s="0" t="s">
        <v>171</v>
      </c>
      <c r="H14190" s="5">
        <v>8.278800</v>
      </c>
    </row>
    <row r="14191" spans="1:9">
      <c r="A14191" s="22" t="str">
        <f>HYPERLINK("https://app.vivvix.com/360/KMI/IntelliDrive/ApplUI/Pages/CreativePages/CustomReportCreativeDetail.aspx?App=23&amp;ReportView=4&amp;Qid=1711279&amp;Row=14183&amp;Col=1","No Title Assigned - #15273998216")</f>
        <v/>
      </c>
      <c r="B14191" s="0" t="s">
        <v>18911</v>
      </c>
      <c r="E14191" s="0" t="inlineStr">
        <is>
          <t xml:space="preserve">Mazda</t>
        </is>
      </c>
      <c r="F14191" s="0" t="inlineStr">
        <is>
          <t xml:space="preserve">Mazda</t>
        </is>
      </c>
      <c r="G14191" s="0" t="s">
        <v>171</v>
      </c>
      <c r="H14191" s="5">
        <v>296.572100</v>
      </c>
    </row>
    <row r="14192" spans="1:9">
      <c r="A14192" s="22" t="str">
        <f>HYPERLINK("https://app.vivvix.com/360/KMI/IntelliDrive/ApplUI/Pages/CreativePages/CustomReportCreativeDetail.aspx?App=23&amp;ReportView=4&amp;Qid=1711279&amp;Row=14184&amp;Col=1","No Title Assigned - #15273998427")</f>
        <v/>
      </c>
      <c r="B14192" s="0" t="s">
        <v>18912</v>
      </c>
      <c r="E14192" s="0" t="inlineStr">
        <is>
          <t xml:space="preserve">Mazda</t>
        </is>
      </c>
      <c r="F14192" s="0" t="inlineStr">
        <is>
          <t xml:space="preserve">Mazda</t>
        </is>
      </c>
      <c r="G14192" s="0" t="s">
        <v>171</v>
      </c>
      <c r="H14192" s="5">
        <v>55.296800</v>
      </c>
    </row>
    <row r="14193" spans="1:9">
      <c r="A14193" s="22" t="str">
        <f>HYPERLINK("https://app.vivvix.com/360/KMI/IntelliDrive/ApplUI/Pages/CreativePages/CustomReportCreativeDetail.aspx?App=23&amp;ReportView=4&amp;Qid=1711279&amp;Row=14185&amp;Col=1","No Title Assigned - #15273999903")</f>
        <v/>
      </c>
      <c r="B14193" s="0" t="s">
        <v>18913</v>
      </c>
      <c r="E14193" s="0" t="inlineStr">
        <is>
          <t xml:space="preserve">Mazda</t>
        </is>
      </c>
      <c r="F14193" s="0" t="inlineStr">
        <is>
          <t xml:space="preserve">Mazda</t>
        </is>
      </c>
      <c r="G14193" s="0" t="s">
        <v>171</v>
      </c>
      <c r="H14193" s="5">
        <v>13.867800</v>
      </c>
    </row>
    <row r="14194" spans="1:9">
      <c r="A14194" s="22" t="str">
        <f>HYPERLINK("https://app.vivvix.com/360/KMI/IntelliDrive/ApplUI/Pages/CreativePages/CustomReportCreativeDetail.aspx?App=23&amp;ReportView=4&amp;Qid=1711279&amp;Row=14186&amp;Col=1","No Title Assigned - #15274000050")</f>
        <v/>
      </c>
      <c r="B14194" s="0" t="s">
        <v>18914</v>
      </c>
      <c r="C14194" s="0" t="s">
        <v>18915</v>
      </c>
      <c r="D14194" s="0" t="s">
        <v>18915</v>
      </c>
      <c r="E14194" s="0" t="inlineStr">
        <is>
          <t xml:space="preserve">Mazda</t>
        </is>
      </c>
      <c r="F14194" s="0" t="inlineStr">
        <is>
          <t xml:space="preserve">Mazda</t>
        </is>
      </c>
      <c r="G14194" s="0" t="s">
        <v>210</v>
      </c>
      <c r="H14194" s="5">
        <v>495.765100</v>
      </c>
    </row>
    <row r="14195" spans="1:9">
      <c r="A14195" s="22" t="str">
        <f>HYPERLINK("https://app.vivvix.com/360/KMI/IntelliDrive/ApplUI/Pages/CreativePages/CustomReportCreativeDetail.aspx?App=23&amp;ReportView=4&amp;Qid=1711279&amp;Row=14187&amp;Col=1","No Title Assigned - #15274000144")</f>
        <v/>
      </c>
      <c r="B14195" s="0" t="s">
        <v>18916</v>
      </c>
      <c r="E14195" s="0" t="inlineStr">
        <is>
          <t xml:space="preserve">Mazda</t>
        </is>
      </c>
      <c r="F14195" s="0" t="inlineStr">
        <is>
          <t xml:space="preserve">Mazda</t>
        </is>
      </c>
      <c r="G14195" s="0" t="s">
        <v>171</v>
      </c>
      <c r="H14195" s="5">
        <v>240.997400</v>
      </c>
    </row>
    <row r="14196" spans="1:9">
      <c r="A14196" s="22" t="str">
        <f>HYPERLINK("https://app.vivvix.com/360/KMI/IntelliDrive/ApplUI/Pages/CreativePages/CustomReportCreativeDetail.aspx?App=23&amp;ReportView=4&amp;Qid=1711279&amp;Row=14188&amp;Col=1","No Title Assigned - #15274000485")</f>
        <v/>
      </c>
      <c r="B14196" s="0" t="s">
        <v>18917</v>
      </c>
      <c r="E14196" s="0" t="inlineStr">
        <is>
          <t xml:space="preserve">Mazda</t>
        </is>
      </c>
      <c r="F14196" s="0" t="inlineStr">
        <is>
          <t xml:space="preserve">Mazda</t>
        </is>
      </c>
      <c r="G14196" s="0" t="s">
        <v>171</v>
      </c>
      <c r="H14196" s="5">
        <v>471.031300</v>
      </c>
    </row>
    <row r="14197" spans="1:9">
      <c r="A14197" s="22" t="str">
        <f>HYPERLINK("https://app.vivvix.com/360/KMI/IntelliDrive/ApplUI/Pages/CreativePages/CustomReportCreativeDetail.aspx?App=23&amp;ReportView=4&amp;Qid=1711279&amp;Row=14189&amp;Col=1","No Title Assigned - #15274000824")</f>
        <v/>
      </c>
      <c r="B14197" s="0" t="s">
        <v>18918</v>
      </c>
      <c r="E14197" s="0" t="inlineStr">
        <is>
          <t xml:space="preserve">Mazda</t>
        </is>
      </c>
      <c r="F14197" s="0" t="inlineStr">
        <is>
          <t xml:space="preserve">Mazda</t>
        </is>
      </c>
      <c r="G14197" s="0" t="s">
        <v>171</v>
      </c>
      <c r="H14197" s="5">
        <v>15.684000</v>
      </c>
    </row>
    <row r="14198" spans="1:9">
      <c r="A14198" s="22" t="str">
        <f>HYPERLINK("https://app.vivvix.com/360/KMI/IntelliDrive/ApplUI/Pages/CreativePages/CustomReportCreativeDetail.aspx?App=23&amp;ReportView=4&amp;Qid=1711279&amp;Row=14190&amp;Col=1","No Title Assigned - #15274001189")</f>
        <v/>
      </c>
      <c r="B14198" s="0" t="s">
        <v>18919</v>
      </c>
      <c r="E14198" s="0" t="inlineStr">
        <is>
          <t xml:space="preserve">Mazda</t>
        </is>
      </c>
      <c r="F14198" s="0" t="inlineStr">
        <is>
          <t xml:space="preserve">Mazda</t>
        </is>
      </c>
      <c r="G14198" s="0" t="s">
        <v>171</v>
      </c>
      <c r="H14198" s="5">
        <v>6.413800</v>
      </c>
    </row>
    <row r="14199" spans="1:9">
      <c r="A14199" s="22" t="str">
        <f>HYPERLINK("https://app.vivvix.com/360/KMI/IntelliDrive/ApplUI/Pages/CreativePages/CustomReportCreativeDetail.aspx?App=23&amp;ReportView=4&amp;Qid=1711279&amp;Row=14191&amp;Col=1","No Title Assigned - #15274002239")</f>
        <v/>
      </c>
      <c r="B14199" s="0" t="s">
        <v>18920</v>
      </c>
      <c r="E14199" s="0" t="inlineStr">
        <is>
          <t xml:space="preserve">Mazda</t>
        </is>
      </c>
      <c r="F14199" s="0" t="inlineStr">
        <is>
          <t xml:space="preserve">Mazda</t>
        </is>
      </c>
      <c r="G14199" s="0" t="s">
        <v>171</v>
      </c>
      <c r="H14199" s="5">
        <v>527.219900</v>
      </c>
    </row>
    <row r="14200" spans="1:9">
      <c r="A14200" s="22" t="str">
        <f>HYPERLINK("https://app.vivvix.com/360/KMI/IntelliDrive/ApplUI/Pages/CreativePages/CustomReportCreativeDetail.aspx?App=23&amp;ReportView=4&amp;Qid=1711279&amp;Row=14192&amp;Col=1","No Title Assigned - #15274004439")</f>
        <v/>
      </c>
      <c r="B14200" s="0" t="s">
        <v>18921</v>
      </c>
      <c r="E14200" s="0" t="inlineStr">
        <is>
          <t xml:space="preserve">Mazda</t>
        </is>
      </c>
      <c r="F14200" s="0" t="inlineStr">
        <is>
          <t xml:space="preserve">Mazda</t>
        </is>
      </c>
      <c r="G14200" s="0" t="s">
        <v>171</v>
      </c>
      <c r="H14200" s="5">
        <v>1087.606000</v>
      </c>
    </row>
    <row r="14201" spans="1:9">
      <c r="A14201" s="22" t="str">
        <f>HYPERLINK("https://app.vivvix.com/360/KMI/IntelliDrive/ApplUI/Pages/CreativePages/CustomReportCreativeDetail.aspx?App=23&amp;ReportView=4&amp;Qid=1711279&amp;Row=14193&amp;Col=1","No Title Assigned - #15274005087")</f>
        <v/>
      </c>
      <c r="B14201" s="0" t="s">
        <v>18922</v>
      </c>
      <c r="E14201" s="0" t="inlineStr">
        <is>
          <t xml:space="preserve">Mazda</t>
        </is>
      </c>
      <c r="F14201" s="0" t="inlineStr">
        <is>
          <t xml:space="preserve">Mazda</t>
        </is>
      </c>
      <c r="G14201" s="0" t="s">
        <v>171</v>
      </c>
      <c r="H14201" s="5">
        <v>7.149600</v>
      </c>
    </row>
    <row r="14202" spans="1:9">
      <c r="A14202" s="22" t="str">
        <f>HYPERLINK("https://app.vivvix.com/360/KMI/IntelliDrive/ApplUI/Pages/CreativePages/CustomReportCreativeDetail.aspx?App=23&amp;ReportView=4&amp;Qid=1711279&amp;Row=14194&amp;Col=1","No Title Assigned - #15274006290")</f>
        <v/>
      </c>
      <c r="B14202" s="0" t="s">
        <v>18923</v>
      </c>
      <c r="C14202" s="0" t="s">
        <v>18924</v>
      </c>
      <c r="D14202" s="0" t="s">
        <v>18924</v>
      </c>
      <c r="E14202" s="0" t="inlineStr">
        <is>
          <t xml:space="preserve">Mazda</t>
        </is>
      </c>
      <c r="F14202" s="0" t="s">
        <v>13</v>
      </c>
      <c r="G14202" s="0" t="s">
        <v>49</v>
      </c>
      <c r="H14202" s="5">
        <v>281.151300</v>
      </c>
    </row>
    <row r="14203" spans="1:9">
      <c r="A14203" s="22" t="str">
        <f>HYPERLINK("https://app.vivvix.com/360/KMI/IntelliDrive/ApplUI/Pages/CreativePages/CustomReportCreativeDetail.aspx?App=23&amp;ReportView=4&amp;Qid=1711279&amp;Row=14195&amp;Col=1","No Title Assigned - #15274007416")</f>
        <v/>
      </c>
      <c r="B14203" s="0" t="s">
        <v>18925</v>
      </c>
      <c r="C14203" s="0" t="s">
        <v>18926</v>
      </c>
      <c r="D14203" s="0" t="s">
        <v>18926</v>
      </c>
      <c r="E14203" s="0" t="inlineStr">
        <is>
          <t xml:space="preserve">Mazda</t>
        </is>
      </c>
      <c r="F14203" s="0" t="s">
        <v>13</v>
      </c>
      <c r="G14203" s="0" t="s">
        <v>49</v>
      </c>
      <c r="H14203" s="5">
        <v>334.373500</v>
      </c>
    </row>
    <row r="14204" spans="1:9">
      <c r="A14204" s="22" t="str">
        <f>HYPERLINK("https://app.vivvix.com/360/KMI/IntelliDrive/ApplUI/Pages/CreativePages/CustomReportCreativeDetail.aspx?App=23&amp;ReportView=4&amp;Qid=1711279&amp;Row=14196&amp;Col=1","No Title Assigned - #15274007927")</f>
        <v/>
      </c>
      <c r="B14204" s="0" t="s">
        <v>18927</v>
      </c>
      <c r="C14204" s="0" t="s">
        <v>18928</v>
      </c>
      <c r="D14204" s="0" t="s">
        <v>18928</v>
      </c>
      <c r="E14204" s="0" t="inlineStr">
        <is>
          <t xml:space="preserve">Mazda</t>
        </is>
      </c>
      <c r="F14204" s="0" t="s">
        <v>13</v>
      </c>
      <c r="G14204" s="0" t="s">
        <v>49</v>
      </c>
      <c r="H14204" s="5">
        <v>520.577900</v>
      </c>
    </row>
    <row r="14205" spans="1:9">
      <c r="A14205" s="22" t="str">
        <f>HYPERLINK("https://app.vivvix.com/360/KMI/IntelliDrive/ApplUI/Pages/CreativePages/CustomReportCreativeDetail.aspx?App=23&amp;ReportView=4&amp;Qid=1711279&amp;Row=14197&amp;Col=1","No Title Assigned - #15274008462")</f>
        <v/>
      </c>
      <c r="B14205" s="0" t="s">
        <v>18929</v>
      </c>
      <c r="C14205" s="0" t="s">
        <v>18930</v>
      </c>
      <c r="D14205" s="0" t="s">
        <v>18930</v>
      </c>
      <c r="E14205" s="0" t="inlineStr">
        <is>
          <t xml:space="preserve">Mazda</t>
        </is>
      </c>
      <c r="F14205" s="0" t="s">
        <v>13</v>
      </c>
      <c r="G14205" s="0" t="s">
        <v>49</v>
      </c>
      <c r="H14205" s="5">
        <v>26.875800</v>
      </c>
    </row>
    <row r="14206" spans="1:9">
      <c r="A14206" s="22" t="str">
        <f>HYPERLINK("https://app.vivvix.com/360/KMI/IntelliDrive/ApplUI/Pages/CreativePages/CustomReportCreativeDetail.aspx?App=23&amp;ReportView=4&amp;Qid=1711279&amp;Row=14198&amp;Col=1","No Title Assigned - #15274009518")</f>
        <v/>
      </c>
      <c r="B14206" s="0" t="s">
        <v>18931</v>
      </c>
      <c r="E14206" s="0" t="inlineStr">
        <is>
          <t xml:space="preserve">Mazda</t>
        </is>
      </c>
      <c r="F14206" s="0" t="inlineStr">
        <is>
          <t xml:space="preserve">Mazda</t>
        </is>
      </c>
      <c r="G14206" s="0" t="s">
        <v>171</v>
      </c>
      <c r="H14206" s="5">
        <v>111.825000</v>
      </c>
    </row>
    <row r="14207" spans="1:9">
      <c r="A14207" s="22" t="str">
        <f>HYPERLINK("https://app.vivvix.com/360/KMI/IntelliDrive/ApplUI/Pages/CreativePages/CustomReportCreativeDetail.aspx?App=23&amp;ReportView=4&amp;Qid=1711279&amp;Row=14199&amp;Col=1","No Title Assigned - #15274009911")</f>
        <v/>
      </c>
      <c r="B14207" s="0" t="s">
        <v>18932</v>
      </c>
      <c r="C14207" s="0" t="s">
        <v>18933</v>
      </c>
      <c r="D14207" s="0" t="s">
        <v>4335</v>
      </c>
      <c r="E14207" s="0" t="inlineStr">
        <is>
          <t xml:space="preserve">Mazda</t>
        </is>
      </c>
      <c r="F14207" s="0" t="s">
        <v>13</v>
      </c>
      <c r="G14207" s="0" t="s">
        <v>49</v>
      </c>
      <c r="H14207" s="5">
        <v>59.897900</v>
      </c>
    </row>
    <row r="14208" spans="1:9">
      <c r="A14208" s="22" t="str">
        <f>HYPERLINK("https://app.vivvix.com/360/KMI/IntelliDrive/ApplUI/Pages/CreativePages/CustomReportCreativeDetail.aspx?App=23&amp;ReportView=4&amp;Qid=1711279&amp;Row=14200&amp;Col=1","No Title Assigned - #15274011364")</f>
        <v/>
      </c>
      <c r="B14208" s="0" t="s">
        <v>18934</v>
      </c>
      <c r="C14208" s="0" t="s">
        <v>18935</v>
      </c>
      <c r="D14208" s="0" t="s">
        <v>18935</v>
      </c>
      <c r="E14208" s="0" t="inlineStr">
        <is>
          <t xml:space="preserve">Mazda</t>
        </is>
      </c>
      <c r="F14208" s="0" t="s">
        <v>28</v>
      </c>
      <c r="G14208" s="0" t="s">
        <v>29</v>
      </c>
      <c r="H14208" s="5">
        <v>339.668800</v>
      </c>
    </row>
    <row r="14209" spans="1:9">
      <c r="A14209" s="22" t="str">
        <f>HYPERLINK("https://app.vivvix.com/360/KMI/IntelliDrive/ApplUI/Pages/CreativePages/CustomReportCreativeDetail.aspx?App=23&amp;ReportView=4&amp;Qid=1711279&amp;Row=14201&amp;Col=1","No Title Assigned - #15274012215")</f>
        <v/>
      </c>
      <c r="B14209" s="0" t="s">
        <v>18936</v>
      </c>
      <c r="C14209" s="0" t="s">
        <v>18937</v>
      </c>
      <c r="D14209" s="0" t="s">
        <v>4335</v>
      </c>
      <c r="E14209" s="0" t="inlineStr">
        <is>
          <t xml:space="preserve">Mazda</t>
        </is>
      </c>
      <c r="F14209" s="0" t="s">
        <v>13</v>
      </c>
      <c r="G14209" s="0" t="s">
        <v>49</v>
      </c>
      <c r="H14209" s="5">
        <v>364.503700</v>
      </c>
    </row>
    <row r="14210" spans="1:9">
      <c r="A14210" s="22" t="str">
        <f>HYPERLINK("https://app.vivvix.com/360/KMI/IntelliDrive/ApplUI/Pages/CreativePages/CustomReportCreativeDetail.aspx?App=23&amp;ReportView=4&amp;Qid=1711279&amp;Row=14202&amp;Col=1","No Title Assigned - #15274012282")</f>
        <v/>
      </c>
      <c r="B14210" s="0" t="s">
        <v>18938</v>
      </c>
      <c r="C14210" s="0" t="s">
        <v>18939</v>
      </c>
      <c r="D14210" s="0" t="s">
        <v>14840</v>
      </c>
      <c r="E14210" s="0" t="inlineStr">
        <is>
          <t xml:space="preserve">Mazda</t>
        </is>
      </c>
      <c r="F14210" s="0" t="inlineStr">
        <is>
          <t xml:space="preserve">Mazda</t>
        </is>
      </c>
      <c r="G14210" s="0" t="s">
        <v>210</v>
      </c>
      <c r="H14210" s="5">
        <v>469.699500</v>
      </c>
    </row>
    <row r="14211" spans="1:9">
      <c r="A14211" s="22" t="str">
        <f>HYPERLINK("https://app.vivvix.com/360/KMI/IntelliDrive/ApplUI/Pages/CreativePages/CustomReportCreativeDetail.aspx?App=23&amp;ReportView=4&amp;Qid=1711279&amp;Row=14203&amp;Col=1","No Title Assigned - #15274013923")</f>
        <v/>
      </c>
      <c r="B14211" s="0" t="s">
        <v>18940</v>
      </c>
      <c r="C14211" s="0" t="s">
        <v>18941</v>
      </c>
      <c r="D14211" s="0" t="s">
        <v>17715</v>
      </c>
      <c r="E14211" s="0" t="inlineStr">
        <is>
          <t xml:space="preserve">Mazda</t>
        </is>
      </c>
      <c r="F14211" s="0" t="s">
        <v>13</v>
      </c>
      <c r="G14211" s="0" t="s">
        <v>49</v>
      </c>
      <c r="H14211" s="5">
        <v>108.907700</v>
      </c>
    </row>
    <row r="14212" spans="1:9">
      <c r="A14212" s="22" t="str">
        <f>HYPERLINK("https://app.vivvix.com/360/KMI/IntelliDrive/ApplUI/Pages/CreativePages/CustomReportCreativeDetail.aspx?App=23&amp;ReportView=4&amp;Qid=1711279&amp;Row=14204&amp;Col=1","No Title Assigned - #15274014324")</f>
        <v/>
      </c>
      <c r="B14212" s="0" t="s">
        <v>18942</v>
      </c>
      <c r="C14212" s="0" t="s">
        <v>18943</v>
      </c>
      <c r="D14212" s="0" t="s">
        <v>18943</v>
      </c>
      <c r="E14212" s="0" t="inlineStr">
        <is>
          <t xml:space="preserve">Mazda</t>
        </is>
      </c>
      <c r="F14212" s="0" t="s">
        <v>13</v>
      </c>
      <c r="G14212" s="0" t="s">
        <v>49</v>
      </c>
      <c r="H14212" s="5">
        <v>1397.702500</v>
      </c>
    </row>
    <row r="14213" spans="1:9">
      <c r="A14213" s="22" t="str">
        <f>HYPERLINK("https://app.vivvix.com/360/KMI/IntelliDrive/ApplUI/Pages/CreativePages/CustomReportCreativeDetail.aspx?App=23&amp;ReportView=4&amp;Qid=1711279&amp;Row=14205&amp;Col=1","No Title Assigned - #15274015957")</f>
        <v/>
      </c>
      <c r="B14213" s="0" t="s">
        <v>18944</v>
      </c>
      <c r="C14213" s="0" t="s">
        <v>18945</v>
      </c>
      <c r="D14213" s="0" t="s">
        <v>15823</v>
      </c>
      <c r="E14213" s="0" t="inlineStr">
        <is>
          <t xml:space="preserve">Mazda</t>
        </is>
      </c>
      <c r="F14213" s="0" t="s">
        <v>28</v>
      </c>
      <c r="G14213" s="0" t="s">
        <v>29</v>
      </c>
      <c r="H14213" s="5">
        <v>127.099800</v>
      </c>
    </row>
    <row r="14214" spans="1:9">
      <c r="A14214" s="22" t="str">
        <f>HYPERLINK("https://app.vivvix.com/360/KMI/IntelliDrive/ApplUI/Pages/CreativePages/CustomReportCreativeDetail.aspx?App=23&amp;ReportView=4&amp;Qid=1711279&amp;Row=14206&amp;Col=1","No Title Assigned - #15274016335")</f>
        <v/>
      </c>
      <c r="B14214" s="0" t="s">
        <v>18946</v>
      </c>
      <c r="C14214" s="0" t="s">
        <v>18947</v>
      </c>
      <c r="D14214" s="0" t="s">
        <v>4200</v>
      </c>
      <c r="E14214" s="0" t="inlineStr">
        <is>
          <t xml:space="preserve">Mazda</t>
        </is>
      </c>
      <c r="F14214" s="0" t="s">
        <v>28</v>
      </c>
      <c r="G14214" s="0" t="s">
        <v>29</v>
      </c>
      <c r="H14214" s="5">
        <v>718.307800</v>
      </c>
    </row>
    <row r="14215" spans="1:9">
      <c r="A14215" s="22" t="str">
        <f>HYPERLINK("https://app.vivvix.com/360/KMI/IntelliDrive/ApplUI/Pages/CreativePages/CustomReportCreativeDetail.aspx?App=23&amp;ReportView=4&amp;Qid=1711279&amp;Row=14207&amp;Col=1","No Title Assigned - #15274016675")</f>
        <v/>
      </c>
      <c r="B14215" s="0" t="s">
        <v>18948</v>
      </c>
      <c r="C14215" s="0" t="s">
        <v>18949</v>
      </c>
      <c r="D14215" s="0" t="s">
        <v>17715</v>
      </c>
      <c r="E14215" s="0" t="inlineStr">
        <is>
          <t xml:space="preserve">Mazda</t>
        </is>
      </c>
      <c r="F14215" s="0" t="s">
        <v>13</v>
      </c>
      <c r="G14215" s="0" t="s">
        <v>49</v>
      </c>
      <c r="H14215" s="5">
        <v>108.159100</v>
      </c>
    </row>
    <row r="14216" spans="1:9">
      <c r="A14216" s="22" t="str">
        <f>HYPERLINK("https://app.vivvix.com/360/KMI/IntelliDrive/ApplUI/Pages/CreativePages/CustomReportCreativeDetail.aspx?App=23&amp;ReportView=4&amp;Qid=1711279&amp;Row=14208&amp;Col=1","No Title Assigned - #15274018312")</f>
        <v/>
      </c>
      <c r="B14216" s="0" t="s">
        <v>18950</v>
      </c>
      <c r="C14216" s="0" t="s">
        <v>18951</v>
      </c>
      <c r="D14216" s="0" t="s">
        <v>6404</v>
      </c>
      <c r="E14216" s="0" t="inlineStr">
        <is>
          <t xml:space="preserve">Mazda</t>
        </is>
      </c>
      <c r="F14216" s="0" t="s">
        <v>13</v>
      </c>
      <c r="G14216" s="0" t="s">
        <v>49</v>
      </c>
      <c r="H14216" s="5">
        <v>1947.380500</v>
      </c>
    </row>
    <row r="14217" spans="1:9">
      <c r="A14217" s="22" t="str">
        <f>HYPERLINK("https://app.vivvix.com/360/KMI/IntelliDrive/ApplUI/Pages/CreativePages/CustomReportCreativeDetail.aspx?App=23&amp;ReportView=4&amp;Qid=1711279&amp;Row=14209&amp;Col=1","No Title Assigned - #15274018778")</f>
        <v/>
      </c>
      <c r="B14217" s="0" t="s">
        <v>18952</v>
      </c>
      <c r="C14217" s="0" t="s">
        <v>18953</v>
      </c>
      <c r="D14217" s="0" t="s">
        <v>8439</v>
      </c>
      <c r="E14217" s="0" t="inlineStr">
        <is>
          <t xml:space="preserve">Mazda</t>
        </is>
      </c>
      <c r="F14217" s="0" t="s">
        <v>13</v>
      </c>
      <c r="G14217" s="0" t="s">
        <v>49</v>
      </c>
      <c r="H14217" s="5">
        <v>282.498900</v>
      </c>
    </row>
    <row r="14218" spans="1:9">
      <c r="A14218" s="22" t="str">
        <f>HYPERLINK("https://app.vivvix.com/360/KMI/IntelliDrive/ApplUI/Pages/CreativePages/CustomReportCreativeDetail.aspx?App=23&amp;ReportView=4&amp;Qid=1711279&amp;Row=14210&amp;Col=1","No Title Assigned - #15274019031")</f>
        <v/>
      </c>
      <c r="B14218" s="0" t="s">
        <v>18954</v>
      </c>
      <c r="C14218" s="0" t="s">
        <v>18955</v>
      </c>
      <c r="D14218" s="0" t="s">
        <v>18512</v>
      </c>
      <c r="E14218" s="0" t="inlineStr">
        <is>
          <t xml:space="preserve">Mazda</t>
        </is>
      </c>
      <c r="F14218" s="0" t="s">
        <v>13</v>
      </c>
      <c r="G14218" s="0" t="s">
        <v>49</v>
      </c>
      <c r="H14218" s="5">
        <v>65.047800</v>
      </c>
    </row>
    <row r="14219" spans="1:9">
      <c r="A14219" s="22" t="str">
        <f>HYPERLINK("https://app.vivvix.com/360/KMI/IntelliDrive/ApplUI/Pages/CreativePages/CustomReportCreativeDetail.aspx?App=23&amp;ReportView=4&amp;Qid=1711279&amp;Row=14211&amp;Col=1","No Title Assigned - #15274019037")</f>
        <v/>
      </c>
      <c r="B14219" s="0" t="s">
        <v>18956</v>
      </c>
      <c r="C14219" s="0" t="s">
        <v>18957</v>
      </c>
      <c r="D14219" s="0" t="s">
        <v>10012</v>
      </c>
      <c r="E14219" s="0" t="inlineStr">
        <is>
          <t xml:space="preserve">Mazda</t>
        </is>
      </c>
      <c r="F14219" s="0" t="s">
        <v>28</v>
      </c>
      <c r="G14219" s="0" t="s">
        <v>29</v>
      </c>
      <c r="H14219" s="5">
        <v>659.105200</v>
      </c>
    </row>
    <row r="14220" spans="1:9">
      <c r="A14220" s="22" t="str">
        <f>HYPERLINK("https://app.vivvix.com/360/KMI/IntelliDrive/ApplUI/Pages/CreativePages/CustomReportCreativeDetail.aspx?App=23&amp;ReportView=4&amp;Qid=1711279&amp;Row=14212&amp;Col=1","No Title Assigned - #15274020849")</f>
        <v/>
      </c>
      <c r="B14220" s="0" t="s">
        <v>18958</v>
      </c>
      <c r="C14220" s="0" t="s">
        <v>18959</v>
      </c>
      <c r="D14220" s="0" t="s">
        <v>18959</v>
      </c>
      <c r="E14220" s="0" t="inlineStr">
        <is>
          <t xml:space="preserve">Mazda</t>
        </is>
      </c>
      <c r="F14220" s="0" t="s">
        <v>13</v>
      </c>
      <c r="G14220" s="0" t="s">
        <v>49</v>
      </c>
      <c r="H14220" s="5">
        <v>27.631100</v>
      </c>
    </row>
    <row r="14221" spans="1:9">
      <c r="A14221" s="22" t="str">
        <f>HYPERLINK("https://app.vivvix.com/360/KMI/IntelliDrive/ApplUI/Pages/CreativePages/CustomReportCreativeDetail.aspx?App=23&amp;ReportView=4&amp;Qid=1711279&amp;Row=14213&amp;Col=1","No Title Assigned - #15274021933")</f>
        <v/>
      </c>
      <c r="B14221" s="0" t="s">
        <v>18960</v>
      </c>
      <c r="C14221" s="0" t="s">
        <v>18961</v>
      </c>
      <c r="D14221" s="0" t="s">
        <v>4335</v>
      </c>
      <c r="E14221" s="0" t="inlineStr">
        <is>
          <t xml:space="preserve">Mazda</t>
        </is>
      </c>
      <c r="F14221" s="0" t="s">
        <v>13</v>
      </c>
      <c r="G14221" s="0" t="s">
        <v>49</v>
      </c>
      <c r="H14221" s="5">
        <v>286.944500</v>
      </c>
    </row>
    <row r="14222" spans="1:9">
      <c r="A14222" s="22" t="str">
        <f>HYPERLINK("https://app.vivvix.com/360/KMI/IntelliDrive/ApplUI/Pages/CreativePages/CustomReportCreativeDetail.aspx?App=23&amp;ReportView=4&amp;Qid=1711279&amp;Row=14214&amp;Col=1","No Title Assigned - #15274022030")</f>
        <v/>
      </c>
      <c r="B14222" s="0" t="s">
        <v>18962</v>
      </c>
      <c r="C14222" s="0" t="s">
        <v>18963</v>
      </c>
      <c r="D14222" s="0" t="s">
        <v>6416</v>
      </c>
      <c r="E14222" s="0" t="inlineStr">
        <is>
          <t xml:space="preserve">Mazda</t>
        </is>
      </c>
      <c r="F14222" s="0" t="s">
        <v>13</v>
      </c>
      <c r="G14222" s="0" t="s">
        <v>49</v>
      </c>
      <c r="H14222" s="5">
        <v>38.260000</v>
      </c>
    </row>
    <row r="14223" spans="1:9">
      <c r="A14223" s="22" t="str">
        <f>HYPERLINK("https://app.vivvix.com/360/KMI/IntelliDrive/ApplUI/Pages/CreativePages/CustomReportCreativeDetail.aspx?App=23&amp;ReportView=4&amp;Qid=1711279&amp;Row=14215&amp;Col=1","No Title Assigned - #15274022345")</f>
        <v/>
      </c>
      <c r="B14223" s="0" t="s">
        <v>18964</v>
      </c>
      <c r="C14223" s="0" t="s">
        <v>18965</v>
      </c>
      <c r="D14223" s="0" t="s">
        <v>18965</v>
      </c>
      <c r="E14223" s="0" t="inlineStr">
        <is>
          <t xml:space="preserve">Mazda</t>
        </is>
      </c>
      <c r="F14223" s="0" t="s">
        <v>13</v>
      </c>
      <c r="G14223" s="0" t="s">
        <v>49</v>
      </c>
      <c r="H14223" s="5">
        <v>4004.420200</v>
      </c>
    </row>
    <row r="14224" spans="1:9">
      <c r="A14224" s="22" t="str">
        <f>HYPERLINK("https://app.vivvix.com/360/KMI/IntelliDrive/ApplUI/Pages/CreativePages/CustomReportCreativeDetail.aspx?App=23&amp;ReportView=4&amp;Qid=1711279&amp;Row=14216&amp;Col=1","No Title Assigned - #15274022934")</f>
        <v/>
      </c>
      <c r="B14224" s="0" t="s">
        <v>18966</v>
      </c>
      <c r="C14224" s="0" t="s">
        <v>18967</v>
      </c>
      <c r="D14224" s="0" t="s">
        <v>18967</v>
      </c>
      <c r="E14224" s="0" t="inlineStr">
        <is>
          <t xml:space="preserve">Mazda</t>
        </is>
      </c>
      <c r="F14224" s="0" t="inlineStr">
        <is>
          <t xml:space="preserve">Mazda</t>
        </is>
      </c>
      <c r="G14224" s="0" t="s">
        <v>210</v>
      </c>
      <c r="H14224" s="5">
        <v>458.471200</v>
      </c>
    </row>
    <row r="14225" spans="1:9">
      <c r="A14225" s="22" t="str">
        <f>HYPERLINK("https://app.vivvix.com/360/KMI/IntelliDrive/ApplUI/Pages/CreativePages/CustomReportCreativeDetail.aspx?App=23&amp;ReportView=4&amp;Qid=1711279&amp;Row=14217&amp;Col=1","No Title Assigned - #15274023471")</f>
        <v/>
      </c>
      <c r="B14225" s="0" t="s">
        <v>18968</v>
      </c>
      <c r="C14225" s="0" t="s">
        <v>18969</v>
      </c>
      <c r="D14225" s="0" t="s">
        <v>18969</v>
      </c>
      <c r="E14225" s="0" t="inlineStr">
        <is>
          <t xml:space="preserve">Mazda</t>
        </is>
      </c>
      <c r="F14225" s="0" t="s">
        <v>13</v>
      </c>
      <c r="G14225" s="0" t="s">
        <v>49</v>
      </c>
      <c r="H14225" s="5">
        <v>138.589500</v>
      </c>
    </row>
    <row r="14226" spans="1:9">
      <c r="A14226" s="22" t="str">
        <f>HYPERLINK("https://app.vivvix.com/360/KMI/IntelliDrive/ApplUI/Pages/CreativePages/CustomReportCreativeDetail.aspx?App=23&amp;ReportView=4&amp;Qid=1711279&amp;Row=14218&amp;Col=1","No Title Assigned - #15274023524")</f>
        <v/>
      </c>
      <c r="B14226" s="0" t="s">
        <v>18970</v>
      </c>
      <c r="C14226" s="0" t="s">
        <v>18971</v>
      </c>
      <c r="D14226" s="0" t="s">
        <v>18971</v>
      </c>
      <c r="E14226" s="0" t="inlineStr">
        <is>
          <t xml:space="preserve">Mazda</t>
        </is>
      </c>
      <c r="F14226" s="0" t="s">
        <v>13</v>
      </c>
      <c r="G14226" s="0" t="s">
        <v>49</v>
      </c>
      <c r="H14226" s="5">
        <v>20.695200</v>
      </c>
    </row>
    <row r="14227" spans="1:9">
      <c r="A14227" s="22" t="str">
        <f>HYPERLINK("https://app.vivvix.com/360/KMI/IntelliDrive/ApplUI/Pages/CreativePages/CustomReportCreativeDetail.aspx?App=23&amp;ReportView=4&amp;Qid=1711279&amp;Row=14219&amp;Col=1","No Title Assigned - #15274024076")</f>
        <v/>
      </c>
      <c r="B14227" s="0" t="s">
        <v>18972</v>
      </c>
      <c r="C14227" s="0" t="s">
        <v>18973</v>
      </c>
      <c r="D14227" s="0" t="s">
        <v>18973</v>
      </c>
      <c r="E14227" s="0" t="inlineStr">
        <is>
          <t xml:space="preserve">Mazda</t>
        </is>
      </c>
      <c r="F14227" s="0" t="s">
        <v>13</v>
      </c>
      <c r="G14227" s="0" t="s">
        <v>49</v>
      </c>
      <c r="H14227" s="5">
        <v>206.518400</v>
      </c>
    </row>
    <row r="14228" spans="1:9">
      <c r="A14228" s="22" t="str">
        <f>HYPERLINK("https://app.vivvix.com/360/KMI/IntelliDrive/ApplUI/Pages/CreativePages/CustomReportCreativeDetail.aspx?App=23&amp;ReportView=4&amp;Qid=1711279&amp;Row=14220&amp;Col=1","No Title Assigned - #15274024076")</f>
        <v/>
      </c>
      <c r="B14228" s="0" t="s">
        <v>18972</v>
      </c>
      <c r="E14228" s="0" t="inlineStr">
        <is>
          <t xml:space="preserve">Mazda</t>
        </is>
      </c>
      <c r="F14228" s="0" t="s">
        <v>13</v>
      </c>
      <c r="G14228" s="0" t="s">
        <v>49</v>
      </c>
      <c r="H14228" s="5">
        <v>65.636400</v>
      </c>
    </row>
    <row r="14229" spans="1:9">
      <c r="A14229" s="22" t="str">
        <f>HYPERLINK("https://app.vivvix.com/360/KMI/IntelliDrive/ApplUI/Pages/CreativePages/CustomReportCreativeDetail.aspx?App=23&amp;ReportView=4&amp;Qid=1711279&amp;Row=14221&amp;Col=1","No Title Assigned - #15274024340")</f>
        <v/>
      </c>
      <c r="B14229" s="0" t="s">
        <v>18974</v>
      </c>
      <c r="C14229" s="0" t="s">
        <v>18975</v>
      </c>
      <c r="D14229" s="0" t="s">
        <v>18975</v>
      </c>
      <c r="E14229" s="0" t="inlineStr">
        <is>
          <t xml:space="preserve">Mazda</t>
        </is>
      </c>
      <c r="F14229" s="0" t="inlineStr">
        <is>
          <t xml:space="preserve">Mazda</t>
        </is>
      </c>
      <c r="G14229" s="0" t="s">
        <v>210</v>
      </c>
      <c r="H14229" s="5">
        <v>125412.296900</v>
      </c>
    </row>
    <row r="14230" spans="1:9">
      <c r="A14230" s="22" t="str">
        <f>HYPERLINK("https://app.vivvix.com/360/KMI/IntelliDrive/ApplUI/Pages/CreativePages/CustomReportCreativeDetail.aspx?App=23&amp;ReportView=4&amp;Qid=1711279&amp;Row=14222&amp;Col=1","No Title Assigned - #15274025561")</f>
        <v/>
      </c>
      <c r="B14230" s="0" t="s">
        <v>18976</v>
      </c>
      <c r="C14230" s="0" t="s">
        <v>18977</v>
      </c>
      <c r="D14230" s="0" t="s">
        <v>18977</v>
      </c>
      <c r="E14230" s="0" t="inlineStr">
        <is>
          <t xml:space="preserve">Mazda</t>
        </is>
      </c>
      <c r="F14230" s="0" t="s">
        <v>13</v>
      </c>
      <c r="G14230" s="0" t="s">
        <v>49</v>
      </c>
      <c r="H14230" s="5">
        <v>75.023200</v>
      </c>
    </row>
    <row r="14231" spans="1:9">
      <c r="A14231" s="22" t="str">
        <f>HYPERLINK("https://app.vivvix.com/360/KMI/IntelliDrive/ApplUI/Pages/CreativePages/CustomReportCreativeDetail.aspx?App=23&amp;ReportView=4&amp;Qid=1711279&amp;Row=14223&amp;Col=1","No Title Assigned - #15274025561")</f>
        <v/>
      </c>
      <c r="B14231" s="0" t="s">
        <v>18976</v>
      </c>
      <c r="E14231" s="0" t="inlineStr">
        <is>
          <t xml:space="preserve">Mazda</t>
        </is>
      </c>
      <c r="F14231" s="0" t="s">
        <v>13</v>
      </c>
      <c r="G14231" s="0" t="s">
        <v>49</v>
      </c>
      <c r="H14231" s="5">
        <v>7079.657300</v>
      </c>
    </row>
    <row r="14232" spans="1:9">
      <c r="A14232" s="22" t="str">
        <f>HYPERLINK("https://app.vivvix.com/360/KMI/IntelliDrive/ApplUI/Pages/CreativePages/CustomReportCreativeDetail.aspx?App=23&amp;ReportView=4&amp;Qid=1711279&amp;Row=14224&amp;Col=1","No Title Assigned - #15274025845")</f>
        <v/>
      </c>
      <c r="B14232" s="0" t="s">
        <v>18978</v>
      </c>
      <c r="C14232" s="0" t="s">
        <v>18979</v>
      </c>
      <c r="D14232" s="0" t="s">
        <v>17715</v>
      </c>
      <c r="E14232" s="0" t="inlineStr">
        <is>
          <t xml:space="preserve">Mazda</t>
        </is>
      </c>
      <c r="F14232" s="0" t="s">
        <v>13</v>
      </c>
      <c r="G14232" s="0" t="s">
        <v>49</v>
      </c>
      <c r="H14232" s="5">
        <v>1146.182400</v>
      </c>
    </row>
    <row r="14233" spans="1:9">
      <c r="A14233" s="22" t="str">
        <f>HYPERLINK("https://app.vivvix.com/360/KMI/IntelliDrive/ApplUI/Pages/CreativePages/CustomReportCreativeDetail.aspx?App=23&amp;ReportView=4&amp;Qid=1711279&amp;Row=14225&amp;Col=1","No Title Assigned - #15274026394")</f>
        <v/>
      </c>
      <c r="B14233" s="0" t="s">
        <v>18980</v>
      </c>
      <c r="C14233" s="0" t="s">
        <v>18981</v>
      </c>
      <c r="D14233" s="0" t="s">
        <v>15726</v>
      </c>
      <c r="E14233" s="0" t="inlineStr">
        <is>
          <t xml:space="preserve">Mazda</t>
        </is>
      </c>
      <c r="F14233" s="0" t="inlineStr">
        <is>
          <t xml:space="preserve">Mazda</t>
        </is>
      </c>
      <c r="G14233" s="0" t="s">
        <v>210</v>
      </c>
      <c r="H14233" s="5">
        <v>1391.520600</v>
      </c>
    </row>
    <row r="14234" spans="1:9">
      <c r="A14234" s="22" t="str">
        <f>HYPERLINK("https://app.vivvix.com/360/KMI/IntelliDrive/ApplUI/Pages/CreativePages/CustomReportCreativeDetail.aspx?App=23&amp;ReportView=4&amp;Qid=1711279&amp;Row=14226&amp;Col=1","No Title Assigned - #15274027404")</f>
        <v/>
      </c>
      <c r="B14234" s="0" t="s">
        <v>18982</v>
      </c>
      <c r="C14234" s="0" t="s">
        <v>18983</v>
      </c>
      <c r="D14234" s="0" t="s">
        <v>18983</v>
      </c>
      <c r="E14234" s="0" t="inlineStr">
        <is>
          <t xml:space="preserve">Mazda</t>
        </is>
      </c>
      <c r="F14234" s="0" t="s">
        <v>13</v>
      </c>
      <c r="G14234" s="0" t="s">
        <v>49</v>
      </c>
      <c r="H14234" s="5">
        <v>59444.435100</v>
      </c>
    </row>
    <row r="14235" spans="1:9">
      <c r="A14235" s="22" t="str">
        <f>HYPERLINK("https://app.vivvix.com/360/KMI/IntelliDrive/ApplUI/Pages/CreativePages/CustomReportCreativeDetail.aspx?App=23&amp;ReportView=4&amp;Qid=1711279&amp;Row=14227&amp;Col=1","No Title Assigned - #15274027817")</f>
        <v/>
      </c>
      <c r="B14235" s="0" t="s">
        <v>18984</v>
      </c>
      <c r="E14235" s="0" t="inlineStr">
        <is>
          <t xml:space="preserve">Mazda</t>
        </is>
      </c>
      <c r="F14235" s="0" t="inlineStr">
        <is>
          <t xml:space="preserve">Mazda</t>
        </is>
      </c>
      <c r="G14235" s="0" t="s">
        <v>171</v>
      </c>
      <c r="H14235" s="5">
        <v>45.698600</v>
      </c>
    </row>
    <row r="14236" spans="1:9">
      <c r="A14236" s="22" t="str">
        <f>HYPERLINK("https://app.vivvix.com/360/KMI/IntelliDrive/ApplUI/Pages/CreativePages/CustomReportCreativeDetail.aspx?App=23&amp;ReportView=4&amp;Qid=1711279&amp;Row=14228&amp;Col=1","No Title Assigned - #15274028105")</f>
        <v/>
      </c>
      <c r="B14236" s="0" t="s">
        <v>18985</v>
      </c>
      <c r="E14236" s="0" t="inlineStr">
        <is>
          <t xml:space="preserve">Mazda</t>
        </is>
      </c>
      <c r="F14236" s="0" t="s">
        <v>28</v>
      </c>
      <c r="G14236" s="0" t="s">
        <v>29</v>
      </c>
      <c r="H14236" s="5">
        <v>1172.763400</v>
      </c>
    </row>
    <row r="14237" spans="1:9">
      <c r="A14237" s="22" t="str">
        <f>HYPERLINK("https://app.vivvix.com/360/KMI/IntelliDrive/ApplUI/Pages/CreativePages/CustomReportCreativeDetail.aspx?App=23&amp;ReportView=4&amp;Qid=1711279&amp;Row=14229&amp;Col=1","No Title Assigned - #15274028105")</f>
        <v/>
      </c>
      <c r="B14237" s="0" t="s">
        <v>18985</v>
      </c>
      <c r="C14237" s="0" t="s">
        <v>18986</v>
      </c>
      <c r="D14237" s="0" t="s">
        <v>4200</v>
      </c>
      <c r="E14237" s="0" t="inlineStr">
        <is>
          <t xml:space="preserve">Mazda</t>
        </is>
      </c>
      <c r="F14237" s="0" t="s">
        <v>28</v>
      </c>
      <c r="G14237" s="0" t="s">
        <v>29</v>
      </c>
      <c r="H14237" s="5">
        <v>12212.515100</v>
      </c>
    </row>
    <row r="14238" spans="1:9">
      <c r="A14238" s="22" t="str">
        <f>HYPERLINK("https://app.vivvix.com/360/KMI/IntelliDrive/ApplUI/Pages/CreativePages/CustomReportCreativeDetail.aspx?App=23&amp;ReportView=4&amp;Qid=1711279&amp;Row=14230&amp;Col=1","No Title Assigned - #15274028673")</f>
        <v/>
      </c>
      <c r="B14238" s="0" t="s">
        <v>18987</v>
      </c>
      <c r="E14238" s="0" t="inlineStr">
        <is>
          <t xml:space="preserve">Mazda</t>
        </is>
      </c>
      <c r="F14238" s="0" t="inlineStr">
        <is>
          <t xml:space="preserve">Mazda</t>
        </is>
      </c>
      <c r="G14238" s="0" t="s">
        <v>171</v>
      </c>
      <c r="H14238" s="5">
        <v>13.775300</v>
      </c>
    </row>
    <row r="14239" spans="1:9">
      <c r="A14239" s="22" t="str">
        <f>HYPERLINK("https://app.vivvix.com/360/KMI/IntelliDrive/ApplUI/Pages/CreativePages/CustomReportCreativeDetail.aspx?App=23&amp;ReportView=4&amp;Qid=1711279&amp;Row=14231&amp;Col=1","No Title Assigned - #15274029198")</f>
        <v/>
      </c>
      <c r="B14239" s="0" t="s">
        <v>18988</v>
      </c>
      <c r="E14239" s="0" t="inlineStr">
        <is>
          <t xml:space="preserve">Mazda</t>
        </is>
      </c>
      <c r="F14239" s="0" t="inlineStr">
        <is>
          <t xml:space="preserve">Mazda</t>
        </is>
      </c>
      <c r="G14239" s="0" t="s">
        <v>171</v>
      </c>
      <c r="H14239" s="5">
        <v>17.575200</v>
      </c>
    </row>
    <row r="14240" spans="1:9">
      <c r="A14240" s="22" t="str">
        <f>HYPERLINK("https://app.vivvix.com/360/KMI/IntelliDrive/ApplUI/Pages/CreativePages/CustomReportCreativeDetail.aspx?App=23&amp;ReportView=4&amp;Qid=1711279&amp;Row=14232&amp;Col=1","No Title Assigned - #15274029531")</f>
        <v/>
      </c>
      <c r="B14240" s="0" t="s">
        <v>18989</v>
      </c>
      <c r="E14240" s="0" t="inlineStr">
        <is>
          <t xml:space="preserve">Mazda</t>
        </is>
      </c>
      <c r="F14240" s="0" t="inlineStr">
        <is>
          <t xml:space="preserve">Mazda</t>
        </is>
      </c>
      <c r="G14240" s="0" t="s">
        <v>171</v>
      </c>
      <c r="H14240" s="5">
        <v>323.987100</v>
      </c>
    </row>
    <row r="14241" spans="1:9">
      <c r="A14241" s="22" t="str">
        <f>HYPERLINK("https://app.vivvix.com/360/KMI/IntelliDrive/ApplUI/Pages/CreativePages/CustomReportCreativeDetail.aspx?App=23&amp;ReportView=4&amp;Qid=1711279&amp;Row=14233&amp;Col=1","No Title Assigned - #15274029848")</f>
        <v/>
      </c>
      <c r="B14241" s="0" t="s">
        <v>18990</v>
      </c>
      <c r="E14241" s="0" t="inlineStr">
        <is>
          <t xml:space="preserve">Mazda</t>
        </is>
      </c>
      <c r="F14241" s="0" t="inlineStr">
        <is>
          <t xml:space="preserve">Mazda</t>
        </is>
      </c>
      <c r="G14241" s="0" t="s">
        <v>171</v>
      </c>
      <c r="H14241" s="5">
        <v>42.562000</v>
      </c>
    </row>
    <row r="14242" spans="1:9">
      <c r="A14242" s="22" t="str">
        <f>HYPERLINK("https://app.vivvix.com/360/KMI/IntelliDrive/ApplUI/Pages/CreativePages/CustomReportCreativeDetail.aspx?App=23&amp;ReportView=4&amp;Qid=1711279&amp;Row=14234&amp;Col=1","No Title Assigned - #15274030107")</f>
        <v/>
      </c>
      <c r="B14242" s="0" t="s">
        <v>18991</v>
      </c>
      <c r="C14242" s="0" t="s">
        <v>18992</v>
      </c>
      <c r="D14242" s="0" t="s">
        <v>18992</v>
      </c>
      <c r="E14242" s="0" t="inlineStr">
        <is>
          <t xml:space="preserve">Mazda</t>
        </is>
      </c>
      <c r="F14242" s="0" t="inlineStr">
        <is>
          <t xml:space="preserve">Mazda</t>
        </is>
      </c>
      <c r="G14242" s="0" t="s">
        <v>171</v>
      </c>
      <c r="H14242" s="5">
        <v>127.209400</v>
      </c>
    </row>
    <row r="14243" spans="1:9">
      <c r="A14243" s="22" t="str">
        <f>HYPERLINK("https://app.vivvix.com/360/KMI/IntelliDrive/ApplUI/Pages/CreativePages/CustomReportCreativeDetail.aspx?App=23&amp;ReportView=4&amp;Qid=1711279&amp;Row=14235&amp;Col=1","No Title Assigned - #15274030735")</f>
        <v/>
      </c>
      <c r="B14243" s="0" t="s">
        <v>18993</v>
      </c>
      <c r="E14243" s="0" t="inlineStr">
        <is>
          <t xml:space="preserve">Mazda</t>
        </is>
      </c>
      <c r="F14243" s="0" t="inlineStr">
        <is>
          <t xml:space="preserve">Mazda</t>
        </is>
      </c>
      <c r="G14243" s="0" t="s">
        <v>171</v>
      </c>
      <c r="H14243" s="5">
        <v>95.920600</v>
      </c>
    </row>
    <row r="14244" spans="1:9">
      <c r="A14244" s="22" t="str">
        <f>HYPERLINK("https://app.vivvix.com/360/KMI/IntelliDrive/ApplUI/Pages/CreativePages/CustomReportCreativeDetail.aspx?App=23&amp;ReportView=4&amp;Qid=1711279&amp;Row=14236&amp;Col=1","No Title Assigned - #15274030955")</f>
        <v/>
      </c>
      <c r="B14244" s="0" t="s">
        <v>18994</v>
      </c>
      <c r="E14244" s="0" t="inlineStr">
        <is>
          <t xml:space="preserve">Mazda</t>
        </is>
      </c>
      <c r="F14244" s="0" t="inlineStr">
        <is>
          <t xml:space="preserve">Mazda</t>
        </is>
      </c>
      <c r="G14244" s="0" t="s">
        <v>171</v>
      </c>
      <c r="H14244" s="5">
        <v>10.323700</v>
      </c>
    </row>
    <row r="14245" spans="1:9">
      <c r="A14245" s="22" t="str">
        <f>HYPERLINK("https://app.vivvix.com/360/KMI/IntelliDrive/ApplUI/Pages/CreativePages/CustomReportCreativeDetail.aspx?App=23&amp;ReportView=4&amp;Qid=1711279&amp;Row=14237&amp;Col=1","No Title Assigned - #15274031479")</f>
        <v/>
      </c>
      <c r="B14245" s="0" t="s">
        <v>18995</v>
      </c>
      <c r="E14245" s="0" t="inlineStr">
        <is>
          <t xml:space="preserve">Mazda</t>
        </is>
      </c>
      <c r="F14245" s="0" t="inlineStr">
        <is>
          <t xml:space="preserve">Mazda</t>
        </is>
      </c>
      <c r="G14245" s="0" t="s">
        <v>171</v>
      </c>
      <c r="H14245" s="5">
        <v>48.601200</v>
      </c>
    </row>
    <row r="14246" spans="1:9">
      <c r="A14246" s="22" t="str">
        <f>HYPERLINK("https://app.vivvix.com/360/KMI/IntelliDrive/ApplUI/Pages/CreativePages/CustomReportCreativeDetail.aspx?App=23&amp;ReportView=4&amp;Qid=1711279&amp;Row=14238&amp;Col=1","No Title Assigned - #15274031764")</f>
        <v/>
      </c>
      <c r="B14246" s="0" t="s">
        <v>18996</v>
      </c>
      <c r="E14246" s="0" t="inlineStr">
        <is>
          <t xml:space="preserve">Mazda</t>
        </is>
      </c>
      <c r="F14246" s="0" t="inlineStr">
        <is>
          <t xml:space="preserve">Mazda</t>
        </is>
      </c>
      <c r="G14246" s="0" t="s">
        <v>171</v>
      </c>
      <c r="H14246" s="5">
        <v>13.062600</v>
      </c>
    </row>
    <row r="14247" spans="1:9">
      <c r="A14247" s="22" t="str">
        <f>HYPERLINK("https://app.vivvix.com/360/KMI/IntelliDrive/ApplUI/Pages/CreativePages/CustomReportCreativeDetail.aspx?App=23&amp;ReportView=4&amp;Qid=1711279&amp;Row=14239&amp;Col=1","No Title Assigned - #15274032452")</f>
        <v/>
      </c>
      <c r="B14247" s="0" t="s">
        <v>18997</v>
      </c>
      <c r="C14247" s="0" t="s">
        <v>18998</v>
      </c>
      <c r="D14247" s="0" t="s">
        <v>18998</v>
      </c>
      <c r="E14247" s="0" t="inlineStr">
        <is>
          <t xml:space="preserve">Mazda</t>
        </is>
      </c>
      <c r="F14247" s="0" t="inlineStr">
        <is>
          <t xml:space="preserve">Mazda</t>
        </is>
      </c>
      <c r="G14247" s="0" t="s">
        <v>171</v>
      </c>
      <c r="H14247" s="5">
        <v>5392.668100</v>
      </c>
    </row>
    <row r="14248" spans="1:9">
      <c r="A14248" s="22" t="str">
        <f>HYPERLINK("https://app.vivvix.com/360/KMI/IntelliDrive/ApplUI/Pages/CreativePages/CustomReportCreativeDetail.aspx?App=23&amp;ReportView=4&amp;Qid=1711279&amp;Row=14240&amp;Col=1","No Title Assigned - #15274033270")</f>
        <v/>
      </c>
      <c r="B14248" s="0" t="s">
        <v>18999</v>
      </c>
      <c r="C14248" s="0" t="s">
        <v>19000</v>
      </c>
      <c r="D14248" s="0" t="s">
        <v>19000</v>
      </c>
      <c r="E14248" s="0" t="inlineStr">
        <is>
          <t xml:space="preserve">Mazda</t>
        </is>
      </c>
      <c r="F14248" s="0" t="s">
        <v>13</v>
      </c>
      <c r="G14248" s="0" t="s">
        <v>49</v>
      </c>
      <c r="H14248" s="5">
        <v>308.476400</v>
      </c>
    </row>
    <row r="14249" spans="1:9">
      <c r="A14249" s="22" t="str">
        <f>HYPERLINK("https://app.vivvix.com/360/KMI/IntelliDrive/ApplUI/Pages/CreativePages/CustomReportCreativeDetail.aspx?App=23&amp;ReportView=4&amp;Qid=1711279&amp;Row=14241&amp;Col=1","No Title Assigned - #15274033459")</f>
        <v/>
      </c>
      <c r="B14249" s="0" t="s">
        <v>19001</v>
      </c>
      <c r="C14249" s="0" t="s">
        <v>19002</v>
      </c>
      <c r="D14249" s="0" t="s">
        <v>11469</v>
      </c>
      <c r="E14249" s="0" t="inlineStr">
        <is>
          <t xml:space="preserve">Mazda</t>
        </is>
      </c>
      <c r="F14249" s="0" t="s">
        <v>13</v>
      </c>
      <c r="G14249" s="0" t="s">
        <v>49</v>
      </c>
      <c r="H14249" s="5">
        <v>20.931200</v>
      </c>
    </row>
    <row r="14250" spans="1:9">
      <c r="A14250" s="22" t="str">
        <f>HYPERLINK("https://app.vivvix.com/360/KMI/IntelliDrive/ApplUI/Pages/CreativePages/CustomReportCreativeDetail.aspx?App=23&amp;ReportView=4&amp;Qid=1711279&amp;Row=14242&amp;Col=1","No Title Assigned - #15274035206")</f>
        <v/>
      </c>
      <c r="B14250" s="0" t="s">
        <v>19003</v>
      </c>
      <c r="C14250" s="0" t="s">
        <v>19004</v>
      </c>
      <c r="D14250" s="0" t="s">
        <v>4200</v>
      </c>
      <c r="E14250" s="0" t="inlineStr">
        <is>
          <t xml:space="preserve">Mazda</t>
        </is>
      </c>
      <c r="F14250" s="0" t="s">
        <v>28</v>
      </c>
      <c r="G14250" s="0" t="s">
        <v>29</v>
      </c>
      <c r="H14250" s="5">
        <v>289.285300</v>
      </c>
    </row>
    <row r="14251" spans="1:9">
      <c r="A14251" s="22" t="str">
        <f>HYPERLINK("https://app.vivvix.com/360/KMI/IntelliDrive/ApplUI/Pages/CreativePages/CustomReportCreativeDetail.aspx?App=23&amp;ReportView=4&amp;Qid=1711279&amp;Row=14243&amp;Col=1","No Title Assigned - #15274035463")</f>
        <v/>
      </c>
      <c r="B14251" s="0" t="s">
        <v>19005</v>
      </c>
      <c r="C14251" s="0" t="s">
        <v>19006</v>
      </c>
      <c r="D14251" s="0" t="s">
        <v>19006</v>
      </c>
      <c r="E14251" s="0" t="inlineStr">
        <is>
          <t xml:space="preserve">Mazda</t>
        </is>
      </c>
      <c r="F14251" s="0" t="s">
        <v>13</v>
      </c>
      <c r="G14251" s="0" t="s">
        <v>49</v>
      </c>
      <c r="H14251" s="5">
        <v>10473.396100</v>
      </c>
    </row>
    <row r="14252" spans="1:9">
      <c r="A14252" s="22" t="str">
        <f>HYPERLINK("https://app.vivvix.com/360/KMI/IntelliDrive/ApplUI/Pages/CreativePages/CustomReportCreativeDetail.aspx?App=23&amp;ReportView=4&amp;Qid=1711279&amp;Row=14244&amp;Col=1","No Title Assigned - #15274035463")</f>
        <v/>
      </c>
      <c r="B14252" s="0" t="s">
        <v>19005</v>
      </c>
      <c r="E14252" s="0" t="inlineStr">
        <is>
          <t xml:space="preserve">Mazda</t>
        </is>
      </c>
      <c r="F14252" s="0" t="s">
        <v>13</v>
      </c>
      <c r="G14252" s="0" t="s">
        <v>49</v>
      </c>
      <c r="H14252" s="5">
        <v>640.558500</v>
      </c>
    </row>
    <row r="14253" spans="1:9">
      <c r="A14253" s="22" t="str">
        <f>HYPERLINK("https://app.vivvix.com/360/KMI/IntelliDrive/ApplUI/Pages/CreativePages/CustomReportCreativeDetail.aspx?App=23&amp;ReportView=4&amp;Qid=1711279&amp;Row=14245&amp;Col=1","No Title Assigned - #15274035767")</f>
        <v/>
      </c>
      <c r="B14253" s="0" t="s">
        <v>19007</v>
      </c>
      <c r="C14253" s="0" t="s">
        <v>19008</v>
      </c>
      <c r="D14253" s="0" t="s">
        <v>19008</v>
      </c>
      <c r="E14253" s="0" t="inlineStr">
        <is>
          <t xml:space="preserve">Mazda</t>
        </is>
      </c>
      <c r="F14253" s="0" t="s">
        <v>13</v>
      </c>
      <c r="G14253" s="0" t="s">
        <v>49</v>
      </c>
      <c r="H14253" s="5">
        <v>121.175300</v>
      </c>
    </row>
    <row r="14254" spans="1:9">
      <c r="A14254" s="22" t="str">
        <f>HYPERLINK("https://app.vivvix.com/360/KMI/IntelliDrive/ApplUI/Pages/CreativePages/CustomReportCreativeDetail.aspx?App=23&amp;ReportView=4&amp;Qid=1711279&amp;Row=14246&amp;Col=1","No Title Assigned - #15274036627")</f>
        <v/>
      </c>
      <c r="B14254" s="0" t="s">
        <v>19009</v>
      </c>
      <c r="C14254" s="0" t="s">
        <v>19010</v>
      </c>
      <c r="D14254" s="0" t="s">
        <v>19010</v>
      </c>
      <c r="E14254" s="0" t="inlineStr">
        <is>
          <t xml:space="preserve">Mazda</t>
        </is>
      </c>
      <c r="F14254" s="0" t="s">
        <v>13</v>
      </c>
      <c r="G14254" s="0" t="s">
        <v>49</v>
      </c>
      <c r="H14254" s="5">
        <v>931.416400</v>
      </c>
    </row>
    <row r="14255" spans="1:9">
      <c r="A14255" s="22" t="str">
        <f>HYPERLINK("https://app.vivvix.com/360/KMI/IntelliDrive/ApplUI/Pages/CreativePages/CustomReportCreativeDetail.aspx?App=23&amp;ReportView=4&amp;Qid=1711279&amp;Row=14247&amp;Col=1","No Title Assigned - #15274038295")</f>
        <v/>
      </c>
      <c r="B14255" s="0" t="s">
        <v>19011</v>
      </c>
      <c r="C14255" s="0" t="s">
        <v>19012</v>
      </c>
      <c r="D14255" s="0" t="s">
        <v>4335</v>
      </c>
      <c r="E14255" s="0" t="inlineStr">
        <is>
          <t xml:space="preserve">Mazda</t>
        </is>
      </c>
      <c r="F14255" s="0" t="s">
        <v>13</v>
      </c>
      <c r="G14255" s="0" t="s">
        <v>49</v>
      </c>
      <c r="H14255" s="5">
        <v>5.173800</v>
      </c>
    </row>
    <row r="14256" spans="1:9">
      <c r="A14256" s="22" t="str">
        <f>HYPERLINK("https://app.vivvix.com/360/KMI/IntelliDrive/ApplUI/Pages/CreativePages/CustomReportCreativeDetail.aspx?App=23&amp;ReportView=4&amp;Qid=1711279&amp;Row=14248&amp;Col=1","No Title Assigned - #15274038571")</f>
        <v/>
      </c>
      <c r="B14256" s="0" t="s">
        <v>19013</v>
      </c>
      <c r="C14256" s="0" t="s">
        <v>19014</v>
      </c>
      <c r="D14256" s="0" t="s">
        <v>11328</v>
      </c>
      <c r="E14256" s="0" t="inlineStr">
        <is>
          <t xml:space="preserve">Mazda</t>
        </is>
      </c>
      <c r="F14256" s="0" t="s">
        <v>13</v>
      </c>
      <c r="G14256" s="0" t="s">
        <v>49</v>
      </c>
      <c r="H14256" s="5">
        <v>81.176300</v>
      </c>
    </row>
    <row r="14257" spans="1:9">
      <c r="A14257" s="22" t="str">
        <f>HYPERLINK("https://app.vivvix.com/360/KMI/IntelliDrive/ApplUI/Pages/CreativePages/CustomReportCreativeDetail.aspx?App=23&amp;ReportView=4&amp;Qid=1711279&amp;Row=14249&amp;Col=1","No Title Assigned - #15274038665")</f>
        <v/>
      </c>
      <c r="B14257" s="0" t="s">
        <v>19015</v>
      </c>
      <c r="C14257" s="0" t="s">
        <v>19016</v>
      </c>
      <c r="D14257" s="0" t="s">
        <v>19016</v>
      </c>
      <c r="E14257" s="0" t="inlineStr">
        <is>
          <t xml:space="preserve">Mazda</t>
        </is>
      </c>
      <c r="F14257" s="0" t="s">
        <v>13</v>
      </c>
      <c r="G14257" s="0" t="s">
        <v>49</v>
      </c>
      <c r="H14257" s="5">
        <v>612.981800</v>
      </c>
    </row>
    <row r="14258" spans="1:9">
      <c r="A14258" s="22" t="str">
        <f>HYPERLINK("https://app.vivvix.com/360/KMI/IntelliDrive/ApplUI/Pages/CreativePages/CustomReportCreativeDetail.aspx?App=23&amp;ReportView=4&amp;Qid=1711279&amp;Row=14250&amp;Col=1","No Title Assigned - #15274038965")</f>
        <v/>
      </c>
      <c r="B14258" s="0" t="s">
        <v>19017</v>
      </c>
      <c r="C14258" s="0" t="s">
        <v>19018</v>
      </c>
      <c r="D14258" s="0" t="s">
        <v>19018</v>
      </c>
      <c r="E14258" s="0" t="inlineStr">
        <is>
          <t xml:space="preserve">Mazda</t>
        </is>
      </c>
      <c r="F14258" s="0" t="s">
        <v>13</v>
      </c>
      <c r="G14258" s="0" t="s">
        <v>49</v>
      </c>
      <c r="H14258" s="5">
        <v>2551.818500</v>
      </c>
    </row>
    <row r="14259" spans="1:9">
      <c r="A14259" s="22" t="str">
        <f>HYPERLINK("https://app.vivvix.com/360/KMI/IntelliDrive/ApplUI/Pages/CreativePages/CustomReportCreativeDetail.aspx?App=23&amp;ReportView=4&amp;Qid=1711279&amp;Row=14251&amp;Col=1","No Title Assigned - #15274038965")</f>
        <v/>
      </c>
      <c r="B14259" s="0" t="s">
        <v>19017</v>
      </c>
      <c r="C14259" s="0" t="s">
        <v>19019</v>
      </c>
      <c r="D14259" s="0" t="s">
        <v>19019</v>
      </c>
      <c r="E14259" s="0" t="inlineStr">
        <is>
          <t xml:space="preserve">Mazda</t>
        </is>
      </c>
      <c r="F14259" s="0" t="s">
        <v>13</v>
      </c>
      <c r="G14259" s="0" t="s">
        <v>49</v>
      </c>
      <c r="H14259" s="5">
        <v>101.998100</v>
      </c>
    </row>
    <row r="14260" spans="1:9">
      <c r="A14260" s="22" t="str">
        <f>HYPERLINK("https://app.vivvix.com/360/KMI/IntelliDrive/ApplUI/Pages/CreativePages/CustomReportCreativeDetail.aspx?App=23&amp;ReportView=4&amp;Qid=1711279&amp;Row=14252&amp;Col=1","No Title Assigned - #15274040333")</f>
        <v/>
      </c>
      <c r="B14260" s="0" t="s">
        <v>19020</v>
      </c>
      <c r="E14260" s="0" t="inlineStr">
        <is>
          <t xml:space="preserve">Mazda</t>
        </is>
      </c>
      <c r="F14260" s="0" t="s">
        <v>204</v>
      </c>
      <c r="G14260" s="0" t="s">
        <v>205</v>
      </c>
      <c r="H14260" s="5">
        <v>1262.064000</v>
      </c>
    </row>
    <row r="14261" spans="1:9">
      <c r="A14261" s="22" t="str">
        <f>HYPERLINK("https://app.vivvix.com/360/KMI/IntelliDrive/ApplUI/Pages/CreativePages/CustomReportCreativeDetail.aspx?App=23&amp;ReportView=4&amp;Qid=1711279&amp;Row=14253&amp;Col=1","No Title Assigned - #15274042583")</f>
        <v/>
      </c>
      <c r="B14261" s="0" t="s">
        <v>19021</v>
      </c>
      <c r="C14261" s="0" t="s">
        <v>19022</v>
      </c>
      <c r="D14261" s="0" t="s">
        <v>10311</v>
      </c>
      <c r="E14261" s="0" t="inlineStr">
        <is>
          <t xml:space="preserve">Mazda</t>
        </is>
      </c>
      <c r="F14261" s="0" t="s">
        <v>13</v>
      </c>
      <c r="G14261" s="0" t="s">
        <v>49</v>
      </c>
      <c r="H14261" s="5">
        <v>115.911000</v>
      </c>
    </row>
    <row r="14262" spans="1:9">
      <c r="A14262" s="22" t="str">
        <f>HYPERLINK("https://app.vivvix.com/360/KMI/IntelliDrive/ApplUI/Pages/CreativePages/CustomReportCreativeDetail.aspx?App=23&amp;ReportView=4&amp;Qid=1711279&amp;Row=14254&amp;Col=1","No Title Assigned - #15274042897")</f>
        <v/>
      </c>
      <c r="B14262" s="0" t="s">
        <v>19023</v>
      </c>
      <c r="C14262" s="0" t="s">
        <v>19024</v>
      </c>
      <c r="D14262" s="0" t="s">
        <v>11258</v>
      </c>
      <c r="E14262" s="0" t="inlineStr">
        <is>
          <t xml:space="preserve">Mazda</t>
        </is>
      </c>
      <c r="F14262" s="0" t="s">
        <v>13</v>
      </c>
      <c r="G14262" s="0" t="s">
        <v>49</v>
      </c>
      <c r="H14262" s="5">
        <v>76.691600</v>
      </c>
    </row>
    <row r="14263" spans="1:9">
      <c r="A14263" s="22" t="str">
        <f>HYPERLINK("https://app.vivvix.com/360/KMI/IntelliDrive/ApplUI/Pages/CreativePages/CustomReportCreativeDetail.aspx?App=23&amp;ReportView=4&amp;Qid=1711279&amp;Row=14255&amp;Col=1","No Title Assigned - #15274043420")</f>
        <v/>
      </c>
      <c r="B14263" s="0" t="s">
        <v>19025</v>
      </c>
      <c r="E14263" s="0" t="inlineStr">
        <is>
          <t xml:space="preserve">Mazda</t>
        </is>
      </c>
      <c r="F14263" s="0" t="inlineStr">
        <is>
          <t xml:space="preserve">Mazda</t>
        </is>
      </c>
      <c r="G14263" s="0" t="s">
        <v>171</v>
      </c>
      <c r="H14263" s="5">
        <v>78.149900</v>
      </c>
    </row>
    <row r="14264" spans="1:9">
      <c r="A14264" s="22" t="str">
        <f>HYPERLINK("https://app.vivvix.com/360/KMI/IntelliDrive/ApplUI/Pages/CreativePages/CustomReportCreativeDetail.aspx?App=23&amp;ReportView=4&amp;Qid=1711279&amp;Row=14256&amp;Col=1","No Title Assigned - #15274044044")</f>
        <v/>
      </c>
      <c r="B14264" s="0" t="s">
        <v>19026</v>
      </c>
      <c r="C14264" s="0" t="s">
        <v>19027</v>
      </c>
      <c r="D14264" s="0" t="s">
        <v>19027</v>
      </c>
      <c r="E14264" s="0" t="inlineStr">
        <is>
          <t xml:space="preserve">Mazda</t>
        </is>
      </c>
      <c r="F14264" s="0" t="s">
        <v>13</v>
      </c>
      <c r="G14264" s="0" t="s">
        <v>49</v>
      </c>
      <c r="H14264" s="5">
        <v>434.974400</v>
      </c>
    </row>
    <row r="14265" spans="1:9">
      <c r="A14265" s="22" t="str">
        <f>HYPERLINK("https://app.vivvix.com/360/KMI/IntelliDrive/ApplUI/Pages/CreativePages/CustomReportCreativeDetail.aspx?App=23&amp;ReportView=4&amp;Qid=1711279&amp;Row=14257&amp;Col=1","No Title Assigned - #15274044832")</f>
        <v/>
      </c>
      <c r="B14265" s="0" t="s">
        <v>19028</v>
      </c>
      <c r="E14265" s="0" t="inlineStr">
        <is>
          <t xml:space="preserve">Mazda</t>
        </is>
      </c>
      <c r="F14265" s="0" t="inlineStr">
        <is>
          <t xml:space="preserve">Mazda</t>
        </is>
      </c>
      <c r="G14265" s="0" t="s">
        <v>171</v>
      </c>
      <c r="H14265" s="5">
        <v>1070.260100</v>
      </c>
    </row>
    <row r="14266" spans="1:9">
      <c r="A14266" s="22" t="str">
        <f>HYPERLINK("https://app.vivvix.com/360/KMI/IntelliDrive/ApplUI/Pages/CreativePages/CustomReportCreativeDetail.aspx?App=23&amp;ReportView=4&amp;Qid=1711279&amp;Row=14258&amp;Col=1","No Title Assigned - #15274045345")</f>
        <v/>
      </c>
      <c r="B14266" s="0" t="s">
        <v>19029</v>
      </c>
      <c r="E14266" s="0" t="inlineStr">
        <is>
          <t xml:space="preserve">Mazda</t>
        </is>
      </c>
      <c r="F14266" s="0" t="inlineStr">
        <is>
          <t xml:space="preserve">Mazda</t>
        </is>
      </c>
      <c r="G14266" s="0" t="s">
        <v>171</v>
      </c>
      <c r="H14266" s="5">
        <v>162.495200</v>
      </c>
    </row>
    <row r="14267" spans="1:9">
      <c r="A14267" s="22" t="str">
        <f>HYPERLINK("https://app.vivvix.com/360/KMI/IntelliDrive/ApplUI/Pages/CreativePages/CustomReportCreativeDetail.aspx?App=23&amp;ReportView=4&amp;Qid=1711279&amp;Row=14259&amp;Col=1","No Title Assigned - #15274045594")</f>
        <v/>
      </c>
      <c r="B14267" s="0" t="s">
        <v>19030</v>
      </c>
      <c r="E14267" s="0" t="inlineStr">
        <is>
          <t xml:space="preserve">Mazda</t>
        </is>
      </c>
      <c r="F14267" s="0" t="inlineStr">
        <is>
          <t xml:space="preserve">Mazda</t>
        </is>
      </c>
      <c r="G14267" s="0" t="s">
        <v>171</v>
      </c>
      <c r="H14267" s="5">
        <v>120.764200</v>
      </c>
    </row>
    <row r="14268" spans="1:9">
      <c r="A14268" s="22" t="str">
        <f>HYPERLINK("https://app.vivvix.com/360/KMI/IntelliDrive/ApplUI/Pages/CreativePages/CustomReportCreativeDetail.aspx?App=23&amp;ReportView=4&amp;Qid=1711279&amp;Row=14260&amp;Col=1","No Title Assigned - #15274045790")</f>
        <v/>
      </c>
      <c r="B14268" s="0" t="s">
        <v>19031</v>
      </c>
      <c r="E14268" s="0" t="inlineStr">
        <is>
          <t xml:space="preserve">Mazda</t>
        </is>
      </c>
      <c r="F14268" s="0" t="inlineStr">
        <is>
          <t xml:space="preserve">Mazda</t>
        </is>
      </c>
      <c r="G14268" s="0" t="s">
        <v>171</v>
      </c>
      <c r="H14268" s="5">
        <v>16.763900</v>
      </c>
    </row>
    <row r="14269" spans="1:9">
      <c r="A14269" s="22" t="str">
        <f>HYPERLINK("https://app.vivvix.com/360/KMI/IntelliDrive/ApplUI/Pages/CreativePages/CustomReportCreativeDetail.aspx?App=23&amp;ReportView=4&amp;Qid=1711279&amp;Row=14261&amp;Col=1","No Title Assigned - #15274047032")</f>
        <v/>
      </c>
      <c r="B14269" s="0" t="s">
        <v>19032</v>
      </c>
      <c r="E14269" s="0" t="inlineStr">
        <is>
          <t xml:space="preserve">Mazda</t>
        </is>
      </c>
      <c r="F14269" s="0" t="s">
        <v>13</v>
      </c>
      <c r="G14269" s="0" t="s">
        <v>49</v>
      </c>
      <c r="H14269" s="5">
        <v>68.150200</v>
      </c>
    </row>
    <row r="14270" spans="1:9">
      <c r="A14270" s="22" t="str">
        <f>HYPERLINK("https://app.vivvix.com/360/KMI/IntelliDrive/ApplUI/Pages/CreativePages/CustomReportCreativeDetail.aspx?App=23&amp;ReportView=4&amp;Qid=1711279&amp;Row=14262&amp;Col=1","No Title Assigned - #15274047032")</f>
        <v/>
      </c>
      <c r="B14270" s="0" t="s">
        <v>19032</v>
      </c>
      <c r="C14270" s="0" t="s">
        <v>19033</v>
      </c>
      <c r="D14270" s="0" t="s">
        <v>19033</v>
      </c>
      <c r="E14270" s="0" t="inlineStr">
        <is>
          <t xml:space="preserve">Mazda</t>
        </is>
      </c>
      <c r="F14270" s="0" t="s">
        <v>13</v>
      </c>
      <c r="G14270" s="0" t="s">
        <v>49</v>
      </c>
      <c r="H14270" s="5">
        <v>2055.187500</v>
      </c>
    </row>
    <row r="14271" spans="1:9">
      <c r="A14271" s="22" t="str">
        <f>HYPERLINK("https://app.vivvix.com/360/KMI/IntelliDrive/ApplUI/Pages/CreativePages/CustomReportCreativeDetail.aspx?App=23&amp;ReportView=4&amp;Qid=1711279&amp;Row=14263&amp;Col=1","No Title Assigned - #15274047127")</f>
        <v/>
      </c>
      <c r="B14271" s="0" t="s">
        <v>19034</v>
      </c>
      <c r="C14271" s="0" t="s">
        <v>19035</v>
      </c>
      <c r="D14271" s="0" t="s">
        <v>6404</v>
      </c>
      <c r="E14271" s="0" t="inlineStr">
        <is>
          <t xml:space="preserve">Mazda</t>
        </is>
      </c>
      <c r="F14271" s="0" t="s">
        <v>13</v>
      </c>
      <c r="G14271" s="0" t="s">
        <v>49</v>
      </c>
      <c r="H14271" s="5">
        <v>79.844500</v>
      </c>
    </row>
    <row r="14272" spans="1:9">
      <c r="A14272" s="22" t="str">
        <f>HYPERLINK("https://app.vivvix.com/360/KMI/IntelliDrive/ApplUI/Pages/CreativePages/CustomReportCreativeDetail.aspx?App=23&amp;ReportView=4&amp;Qid=1711279&amp;Row=14264&amp;Col=1","No Title Assigned - #15274047161")</f>
        <v/>
      </c>
      <c r="B14272" s="0" t="s">
        <v>19036</v>
      </c>
      <c r="C14272" s="0" t="s">
        <v>19037</v>
      </c>
      <c r="D14272" s="0" t="s">
        <v>4335</v>
      </c>
      <c r="E14272" s="0" t="inlineStr">
        <is>
          <t xml:space="preserve">Mazda</t>
        </is>
      </c>
      <c r="F14272" s="0" t="s">
        <v>13</v>
      </c>
      <c r="G14272" s="0" t="s">
        <v>49</v>
      </c>
      <c r="H14272" s="5">
        <v>5.173800</v>
      </c>
    </row>
    <row r="14273" spans="1:9">
      <c r="A14273" s="22" t="str">
        <f>HYPERLINK("https://app.vivvix.com/360/KMI/IntelliDrive/ApplUI/Pages/CreativePages/CustomReportCreativeDetail.aspx?App=23&amp;ReportView=4&amp;Qid=1711279&amp;Row=14265&amp;Col=1","No Title Assigned - #15274047801")</f>
        <v/>
      </c>
      <c r="B14273" s="0" t="s">
        <v>19038</v>
      </c>
      <c r="C14273" s="0" t="s">
        <v>19039</v>
      </c>
      <c r="D14273" s="0" t="s">
        <v>19039</v>
      </c>
      <c r="E14273" s="0" t="inlineStr">
        <is>
          <t xml:space="preserve">Mazda</t>
        </is>
      </c>
      <c r="F14273" s="0" t="s">
        <v>13</v>
      </c>
      <c r="G14273" s="0" t="s">
        <v>49</v>
      </c>
      <c r="H14273" s="5">
        <v>1946.808000</v>
      </c>
    </row>
    <row r="14274" spans="1:9">
      <c r="A14274" s="22" t="str">
        <f>HYPERLINK("https://app.vivvix.com/360/KMI/IntelliDrive/ApplUI/Pages/CreativePages/CustomReportCreativeDetail.aspx?App=23&amp;ReportView=4&amp;Qid=1711279&amp;Row=14266&amp;Col=1","No Title Assigned - #15274048199")</f>
        <v/>
      </c>
      <c r="B14274" s="0" t="s">
        <v>19040</v>
      </c>
      <c r="C14274" s="0" t="s">
        <v>19041</v>
      </c>
      <c r="D14274" s="0" t="s">
        <v>19041</v>
      </c>
      <c r="E14274" s="0" t="inlineStr">
        <is>
          <t xml:space="preserve">Mazda</t>
        </is>
      </c>
      <c r="F14274" s="0" t="s">
        <v>13</v>
      </c>
      <c r="G14274" s="0" t="s">
        <v>49</v>
      </c>
      <c r="H14274" s="5">
        <v>503.134800</v>
      </c>
    </row>
    <row r="14275" spans="1:9">
      <c r="A14275" s="22" t="str">
        <f>HYPERLINK("https://app.vivvix.com/360/KMI/IntelliDrive/ApplUI/Pages/CreativePages/CustomReportCreativeDetail.aspx?App=23&amp;ReportView=4&amp;Qid=1711279&amp;Row=14267&amp;Col=1","No Title Assigned - #15274048246")</f>
        <v/>
      </c>
      <c r="B14275" s="0" t="s">
        <v>19042</v>
      </c>
      <c r="E14275" s="0" t="inlineStr">
        <is>
          <t xml:space="preserve">Mazda</t>
        </is>
      </c>
      <c r="F14275" s="0" t="s">
        <v>28</v>
      </c>
      <c r="G14275" s="0" t="s">
        <v>29</v>
      </c>
      <c r="H14275" s="5">
        <v>550.680500</v>
      </c>
    </row>
    <row r="14276" spans="1:9">
      <c r="A14276" s="22" t="str">
        <f>HYPERLINK("https://app.vivvix.com/360/KMI/IntelliDrive/ApplUI/Pages/CreativePages/CustomReportCreativeDetail.aspx?App=23&amp;ReportView=4&amp;Qid=1711279&amp;Row=14268&amp;Col=1","No Title Assigned - #15274048247")</f>
        <v/>
      </c>
      <c r="B14276" s="0" t="s">
        <v>19043</v>
      </c>
      <c r="E14276" s="0" t="inlineStr">
        <is>
          <t xml:space="preserve">Mazda</t>
        </is>
      </c>
      <c r="F14276" s="0" t="s">
        <v>13</v>
      </c>
      <c r="G14276" s="0" t="s">
        <v>49</v>
      </c>
      <c r="H14276" s="5">
        <v>653.281100</v>
      </c>
    </row>
    <row r="14277" spans="1:9">
      <c r="A14277" s="22" t="str">
        <f>HYPERLINK("https://app.vivvix.com/360/KMI/IntelliDrive/ApplUI/Pages/CreativePages/CustomReportCreativeDetail.aspx?App=23&amp;ReportView=4&amp;Qid=1711279&amp;Row=14269&amp;Col=1","No Title Assigned - #15274048248")</f>
        <v/>
      </c>
      <c r="B14277" s="0" t="s">
        <v>19044</v>
      </c>
      <c r="E14277" s="0" t="inlineStr">
        <is>
          <t xml:space="preserve">Mazda</t>
        </is>
      </c>
      <c r="F14277" s="0" t="s">
        <v>13</v>
      </c>
      <c r="G14277" s="0" t="s">
        <v>49</v>
      </c>
      <c r="H14277" s="5">
        <v>992.852100</v>
      </c>
    </row>
    <row r="14278" spans="1:9">
      <c r="A14278" s="22" t="str">
        <f>HYPERLINK("https://app.vivvix.com/360/KMI/IntelliDrive/ApplUI/Pages/CreativePages/CustomReportCreativeDetail.aspx?App=23&amp;ReportView=4&amp;Qid=1711279&amp;Row=14270&amp;Col=1","No Title Assigned - #15274049276")</f>
        <v/>
      </c>
      <c r="B14278" s="0" t="s">
        <v>19045</v>
      </c>
      <c r="C14278" s="0" t="s">
        <v>19046</v>
      </c>
      <c r="D14278" s="0" t="s">
        <v>4407</v>
      </c>
      <c r="E14278" s="0" t="inlineStr">
        <is>
          <t xml:space="preserve">Mazda</t>
        </is>
      </c>
      <c r="F14278" s="0" t="s">
        <v>28</v>
      </c>
      <c r="G14278" s="0" t="s">
        <v>29</v>
      </c>
      <c r="H14278" s="5">
        <v>470.669300</v>
      </c>
    </row>
    <row r="14279" spans="1:9">
      <c r="A14279" s="22" t="str">
        <f>HYPERLINK("https://app.vivvix.com/360/KMI/IntelliDrive/ApplUI/Pages/CreativePages/CustomReportCreativeDetail.aspx?App=23&amp;ReportView=4&amp;Qid=1711279&amp;Row=14271&amp;Col=1","No Title Assigned - #15274049425")</f>
        <v/>
      </c>
      <c r="B14279" s="0" t="s">
        <v>19047</v>
      </c>
      <c r="C14279" s="0" t="s">
        <v>19048</v>
      </c>
      <c r="D14279" s="0" t="s">
        <v>19048</v>
      </c>
      <c r="E14279" s="0" t="inlineStr">
        <is>
          <t xml:space="preserve">Mazda</t>
        </is>
      </c>
      <c r="F14279" s="0" t="s">
        <v>13</v>
      </c>
      <c r="G14279" s="0" t="s">
        <v>49</v>
      </c>
      <c r="H14279" s="5">
        <v>116.430900</v>
      </c>
    </row>
    <row r="14280" spans="1:9">
      <c r="A14280" s="22" t="str">
        <f>HYPERLINK("https://app.vivvix.com/360/KMI/IntelliDrive/ApplUI/Pages/CreativePages/CustomReportCreativeDetail.aspx?App=23&amp;ReportView=4&amp;Qid=1711279&amp;Row=14272&amp;Col=1","No Title Assigned - #15274049473")</f>
        <v/>
      </c>
      <c r="B14280" s="0" t="s">
        <v>19049</v>
      </c>
      <c r="C14280" s="0" t="s">
        <v>19050</v>
      </c>
      <c r="D14280" s="0" t="s">
        <v>19050</v>
      </c>
      <c r="E14280" s="0" t="inlineStr">
        <is>
          <t xml:space="preserve">Mazda</t>
        </is>
      </c>
      <c r="F14280" s="0" t="s">
        <v>13</v>
      </c>
      <c r="G14280" s="0" t="s">
        <v>49</v>
      </c>
      <c r="H14280" s="5">
        <v>80.896700</v>
      </c>
    </row>
    <row r="14281" spans="1:9">
      <c r="A14281" s="22" t="str">
        <f>HYPERLINK("https://app.vivvix.com/360/KMI/IntelliDrive/ApplUI/Pages/CreativePages/CustomReportCreativeDetail.aspx?App=23&amp;ReportView=4&amp;Qid=1711279&amp;Row=14273&amp;Col=1","No Title Assigned - #15274049534")</f>
        <v/>
      </c>
      <c r="B14281" s="0" t="s">
        <v>19051</v>
      </c>
      <c r="C14281" s="0" t="s">
        <v>19052</v>
      </c>
      <c r="D14281" s="0" t="s">
        <v>19052</v>
      </c>
      <c r="E14281" s="0" t="inlineStr">
        <is>
          <t xml:space="preserve">Mazda</t>
        </is>
      </c>
      <c r="F14281" s="0" t="s">
        <v>28</v>
      </c>
      <c r="G14281" s="0" t="s">
        <v>29</v>
      </c>
      <c r="H14281" s="5">
        <v>952.428800</v>
      </c>
    </row>
    <row r="14282" spans="1:9">
      <c r="A14282" s="22" t="str">
        <f>HYPERLINK("https://app.vivvix.com/360/KMI/IntelliDrive/ApplUI/Pages/CreativePages/CustomReportCreativeDetail.aspx?App=23&amp;ReportView=4&amp;Qid=1711279&amp;Row=14274&amp;Col=1","No Title Assigned - #15274049823")</f>
        <v/>
      </c>
      <c r="B14282" s="0" t="s">
        <v>19053</v>
      </c>
      <c r="C14282" s="0" t="s">
        <v>19054</v>
      </c>
      <c r="D14282" s="0" t="s">
        <v>10889</v>
      </c>
      <c r="E14282" s="0" t="inlineStr">
        <is>
          <t xml:space="preserve">Mazda</t>
        </is>
      </c>
      <c r="F14282" s="0" t="s">
        <v>13</v>
      </c>
      <c r="G14282" s="0" t="s">
        <v>49</v>
      </c>
      <c r="H14282" s="5">
        <v>11.629800</v>
      </c>
    </row>
    <row r="14283" spans="1:9">
      <c r="A14283" s="22" t="str">
        <f>HYPERLINK("https://app.vivvix.com/360/KMI/IntelliDrive/ApplUI/Pages/CreativePages/CustomReportCreativeDetail.aspx?App=23&amp;ReportView=4&amp;Qid=1711279&amp;Row=14275&amp;Col=1","No Title Assigned - #15274050097")</f>
        <v/>
      </c>
      <c r="B14283" s="0" t="s">
        <v>19055</v>
      </c>
      <c r="C14283" s="0" t="s">
        <v>19056</v>
      </c>
      <c r="D14283" s="0" t="s">
        <v>19056</v>
      </c>
      <c r="E14283" s="0" t="inlineStr">
        <is>
          <t xml:space="preserve">Mazda</t>
        </is>
      </c>
      <c r="F14283" s="0" t="inlineStr">
        <is>
          <t xml:space="preserve">Mazda</t>
        </is>
      </c>
      <c r="G14283" s="0" t="s">
        <v>171</v>
      </c>
      <c r="H14283" s="5">
        <v>50.638800</v>
      </c>
    </row>
    <row r="14284" spans="1:9">
      <c r="A14284" s="22" t="str">
        <f>HYPERLINK("https://app.vivvix.com/360/KMI/IntelliDrive/ApplUI/Pages/CreativePages/CustomReportCreativeDetail.aspx?App=23&amp;ReportView=4&amp;Qid=1711279&amp;Row=14276&amp;Col=1","No Title Assigned - #15274050207")</f>
        <v/>
      </c>
      <c r="B14284" s="0" t="s">
        <v>19057</v>
      </c>
      <c r="E14284" s="0" t="inlineStr">
        <is>
          <t xml:space="preserve">Mazda</t>
        </is>
      </c>
      <c r="F14284" s="0" t="inlineStr">
        <is>
          <t xml:space="preserve">Mazda</t>
        </is>
      </c>
      <c r="G14284" s="0" t="s">
        <v>171</v>
      </c>
      <c r="H14284" s="5">
        <v>94.815000</v>
      </c>
    </row>
    <row r="14285" spans="1:9">
      <c r="A14285" s="22" t="str">
        <f>HYPERLINK("https://app.vivvix.com/360/KMI/IntelliDrive/ApplUI/Pages/CreativePages/CustomReportCreativeDetail.aspx?App=23&amp;ReportView=4&amp;Qid=1711279&amp;Row=14277&amp;Col=1","No Title Assigned - #15274051097")</f>
        <v/>
      </c>
      <c r="B14285" s="0" t="s">
        <v>19058</v>
      </c>
      <c r="E14285" s="0" t="inlineStr">
        <is>
          <t xml:space="preserve">Mazda</t>
        </is>
      </c>
      <c r="F14285" s="0" t="inlineStr">
        <is>
          <t xml:space="preserve">Mazda</t>
        </is>
      </c>
      <c r="G14285" s="0" t="s">
        <v>171</v>
      </c>
      <c r="H14285" s="5">
        <v>3595.813900</v>
      </c>
    </row>
    <row r="14286" spans="1:9">
      <c r="A14286" s="22" t="str">
        <f>HYPERLINK("https://app.vivvix.com/360/KMI/IntelliDrive/ApplUI/Pages/CreativePages/CustomReportCreativeDetail.aspx?App=23&amp;ReportView=4&amp;Qid=1711279&amp;Row=14278&amp;Col=1","No Title Assigned - #15274051525")</f>
        <v/>
      </c>
      <c r="B14286" s="0" t="s">
        <v>19059</v>
      </c>
      <c r="E14286" s="0" t="inlineStr">
        <is>
          <t xml:space="preserve">Mazda</t>
        </is>
      </c>
      <c r="F14286" s="0" t="inlineStr">
        <is>
          <t xml:space="preserve">Mazda</t>
        </is>
      </c>
      <c r="G14286" s="0" t="s">
        <v>171</v>
      </c>
      <c r="H14286" s="5">
        <v>467.027100</v>
      </c>
    </row>
    <row r="14287" spans="1:9">
      <c r="A14287" s="22" t="str">
        <f>HYPERLINK("https://app.vivvix.com/360/KMI/IntelliDrive/ApplUI/Pages/CreativePages/CustomReportCreativeDetail.aspx?App=23&amp;ReportView=4&amp;Qid=1711279&amp;Row=14279&amp;Col=1","No Title Assigned - #15274051532")</f>
        <v/>
      </c>
      <c r="B14287" s="0" t="s">
        <v>19060</v>
      </c>
      <c r="E14287" s="0" t="inlineStr">
        <is>
          <t xml:space="preserve">Mazda</t>
        </is>
      </c>
      <c r="F14287" s="0" t="inlineStr">
        <is>
          <t xml:space="preserve">Mazda</t>
        </is>
      </c>
      <c r="G14287" s="0" t="s">
        <v>171</v>
      </c>
      <c r="H14287" s="5">
        <v>522.482000</v>
      </c>
    </row>
    <row r="14288" spans="1:9">
      <c r="A14288" s="22" t="str">
        <f>HYPERLINK("https://app.vivvix.com/360/KMI/IntelliDrive/ApplUI/Pages/CreativePages/CustomReportCreativeDetail.aspx?App=23&amp;ReportView=4&amp;Qid=1711279&amp;Row=14280&amp;Col=1","No Title Assigned - #15274051533")</f>
        <v/>
      </c>
      <c r="B14288" s="0" t="s">
        <v>19061</v>
      </c>
      <c r="E14288" s="0" t="inlineStr">
        <is>
          <t xml:space="preserve">Mazda</t>
        </is>
      </c>
      <c r="F14288" s="0" t="inlineStr">
        <is>
          <t xml:space="preserve">Mazda</t>
        </is>
      </c>
      <c r="G14288" s="0" t="s">
        <v>171</v>
      </c>
      <c r="H14288" s="5">
        <v>522.482000</v>
      </c>
    </row>
    <row r="14289" spans="1:9">
      <c r="A14289" s="22" t="str">
        <f>HYPERLINK("https://app.vivvix.com/360/KMI/IntelliDrive/ApplUI/Pages/CreativePages/CustomReportCreativeDetail.aspx?App=23&amp;ReportView=4&amp;Qid=1711279&amp;Row=14281&amp;Col=1","No Title Assigned - #15274051624")</f>
        <v/>
      </c>
      <c r="B14289" s="0" t="s">
        <v>19062</v>
      </c>
      <c r="E14289" s="0" t="inlineStr">
        <is>
          <t xml:space="preserve">Mazda</t>
        </is>
      </c>
      <c r="F14289" s="0" t="inlineStr">
        <is>
          <t xml:space="preserve">Mazda</t>
        </is>
      </c>
      <c r="G14289" s="0" t="s">
        <v>171</v>
      </c>
      <c r="H14289" s="5">
        <v>169.497800</v>
      </c>
    </row>
    <row r="14290" spans="1:9">
      <c r="A14290" s="22" t="str">
        <f>HYPERLINK("https://app.vivvix.com/360/KMI/IntelliDrive/ApplUI/Pages/CreativePages/CustomReportCreativeDetail.aspx?App=23&amp;ReportView=4&amp;Qid=1711279&amp;Row=14282&amp;Col=1","No Title Assigned - #15274051676")</f>
        <v/>
      </c>
      <c r="B14290" s="0" t="s">
        <v>19063</v>
      </c>
      <c r="E14290" s="0" t="inlineStr">
        <is>
          <t xml:space="preserve">Mazda</t>
        </is>
      </c>
      <c r="F14290" s="0" t="inlineStr">
        <is>
          <t xml:space="preserve">Mazda</t>
        </is>
      </c>
      <c r="G14290" s="0" t="s">
        <v>171</v>
      </c>
      <c r="H14290" s="5">
        <v>240.997400</v>
      </c>
    </row>
    <row r="14291" spans="1:9">
      <c r="A14291" s="22" t="str">
        <f>HYPERLINK("https://app.vivvix.com/360/KMI/IntelliDrive/ApplUI/Pages/CreativePages/CustomReportCreativeDetail.aspx?App=23&amp;ReportView=4&amp;Qid=1711279&amp;Row=14283&amp;Col=1","No Title Assigned - #15274051844")</f>
        <v/>
      </c>
      <c r="B14291" s="0" t="s">
        <v>19064</v>
      </c>
      <c r="E14291" s="0" t="inlineStr">
        <is>
          <t xml:space="preserve">Mazda</t>
        </is>
      </c>
      <c r="F14291" s="0" t="inlineStr">
        <is>
          <t xml:space="preserve">Mazda</t>
        </is>
      </c>
      <c r="G14291" s="0" t="s">
        <v>171</v>
      </c>
      <c r="H14291" s="5">
        <v>784.700500</v>
      </c>
    </row>
    <row r="14292" spans="1:9">
      <c r="A14292" s="22" t="str">
        <f>HYPERLINK("https://app.vivvix.com/360/KMI/IntelliDrive/ApplUI/Pages/CreativePages/CustomReportCreativeDetail.aspx?App=23&amp;ReportView=4&amp;Qid=1711279&amp;Row=14284&amp;Col=1","No Title Assigned - #15274051947")</f>
        <v/>
      </c>
      <c r="B14292" s="0" t="s">
        <v>19065</v>
      </c>
      <c r="E14292" s="0" t="inlineStr">
        <is>
          <t xml:space="preserve">Mazda</t>
        </is>
      </c>
      <c r="F14292" s="0" t="inlineStr">
        <is>
          <t xml:space="preserve">Mazda</t>
        </is>
      </c>
      <c r="G14292" s="0" t="s">
        <v>171</v>
      </c>
      <c r="H14292" s="5">
        <v>14.511400</v>
      </c>
    </row>
    <row r="14293" spans="1:9">
      <c r="A14293" s="22" t="str">
        <f>HYPERLINK("https://app.vivvix.com/360/KMI/IntelliDrive/ApplUI/Pages/CreativePages/CustomReportCreativeDetail.aspx?App=23&amp;ReportView=4&amp;Qid=1711279&amp;Row=14285&amp;Col=1","No Title Assigned - #15274052134")</f>
        <v/>
      </c>
      <c r="B14293" s="0" t="s">
        <v>19066</v>
      </c>
      <c r="E14293" s="0" t="inlineStr">
        <is>
          <t xml:space="preserve">Mazda</t>
        </is>
      </c>
      <c r="F14293" s="0" t="inlineStr">
        <is>
          <t xml:space="preserve">Mazda</t>
        </is>
      </c>
      <c r="G14293" s="0" t="s">
        <v>171</v>
      </c>
      <c r="H14293" s="5">
        <v>316.412800</v>
      </c>
    </row>
    <row r="14294" spans="1:9">
      <c r="A14294" s="22" t="str">
        <f>HYPERLINK("https://app.vivvix.com/360/KMI/IntelliDrive/ApplUI/Pages/CreativePages/CustomReportCreativeDetail.aspx?App=23&amp;ReportView=4&amp;Qid=1711279&amp;Row=14286&amp;Col=1","No Title Assigned - #15274052238")</f>
        <v/>
      </c>
      <c r="B14294" s="0" t="s">
        <v>19067</v>
      </c>
      <c r="E14294" s="0" t="inlineStr">
        <is>
          <t xml:space="preserve">Mazda</t>
        </is>
      </c>
      <c r="F14294" s="0" t="inlineStr">
        <is>
          <t xml:space="preserve">Mazda</t>
        </is>
      </c>
      <c r="G14294" s="0" t="s">
        <v>171</v>
      </c>
      <c r="H14294" s="5">
        <v>241.781800</v>
      </c>
    </row>
    <row r="14295" spans="1:9">
      <c r="A14295" s="22" t="str">
        <f>HYPERLINK("https://app.vivvix.com/360/KMI/IntelliDrive/ApplUI/Pages/CreativePages/CustomReportCreativeDetail.aspx?App=23&amp;ReportView=4&amp;Qid=1711279&amp;Row=14287&amp;Col=1","No Title Assigned - #15274052273")</f>
        <v/>
      </c>
      <c r="B14295" s="0" t="s">
        <v>19068</v>
      </c>
      <c r="E14295" s="0" t="inlineStr">
        <is>
          <t xml:space="preserve">Mazda</t>
        </is>
      </c>
      <c r="F14295" s="0" t="inlineStr">
        <is>
          <t xml:space="preserve">Mazda</t>
        </is>
      </c>
      <c r="G14295" s="0" t="s">
        <v>171</v>
      </c>
      <c r="H14295" s="5">
        <v>189.934700</v>
      </c>
    </row>
    <row r="14296" spans="1:9">
      <c r="A14296" s="22" t="str">
        <f>HYPERLINK("https://app.vivvix.com/360/KMI/IntelliDrive/ApplUI/Pages/CreativePages/CustomReportCreativeDetail.aspx?App=23&amp;ReportView=4&amp;Qid=1711279&amp;Row=14288&amp;Col=1","No Title Assigned - #15274052480")</f>
        <v/>
      </c>
      <c r="B14296" s="0" t="s">
        <v>19069</v>
      </c>
      <c r="E14296" s="0" t="inlineStr">
        <is>
          <t xml:space="preserve">Mazda</t>
        </is>
      </c>
      <c r="F14296" s="0" t="inlineStr">
        <is>
          <t xml:space="preserve">Mazda</t>
        </is>
      </c>
      <c r="G14296" s="0" t="s">
        <v>171</v>
      </c>
      <c r="H14296" s="5">
        <v>2908.185400</v>
      </c>
    </row>
    <row r="14297" spans="1:9">
      <c r="A14297" s="22" t="str">
        <f>HYPERLINK("https://app.vivvix.com/360/KMI/IntelliDrive/ApplUI/Pages/CreativePages/CustomReportCreativeDetail.aspx?App=23&amp;ReportView=4&amp;Qid=1711279&amp;Row=14289&amp;Col=1","No Title Assigned - #15274052637")</f>
        <v/>
      </c>
      <c r="B14297" s="0" t="s">
        <v>19070</v>
      </c>
      <c r="E14297" s="0" t="inlineStr">
        <is>
          <t xml:space="preserve">Mazda</t>
        </is>
      </c>
      <c r="F14297" s="0" t="inlineStr">
        <is>
          <t xml:space="preserve">Mazda</t>
        </is>
      </c>
      <c r="G14297" s="0" t="s">
        <v>171</v>
      </c>
      <c r="H14297" s="5">
        <v>2082.757400</v>
      </c>
    </row>
    <row r="14298" spans="1:9">
      <c r="A14298" s="22" t="str">
        <f>HYPERLINK("https://app.vivvix.com/360/KMI/IntelliDrive/ApplUI/Pages/CreativePages/CustomReportCreativeDetail.aspx?App=23&amp;ReportView=4&amp;Qid=1711279&amp;Row=14290&amp;Col=1","No Title Assigned - #15274052637")</f>
        <v/>
      </c>
      <c r="B14298" s="0" t="s">
        <v>19070</v>
      </c>
      <c r="E14298" s="0" t="inlineStr">
        <is>
          <t xml:space="preserve">Mazda</t>
        </is>
      </c>
      <c r="F14298" s="0" t="inlineStr">
        <is>
          <t xml:space="preserve">Mazda</t>
        </is>
      </c>
      <c r="G14298" s="0" t="s">
        <v>171</v>
      </c>
      <c r="H14298" s="5">
        <v>8379.342900</v>
      </c>
    </row>
    <row r="14299" spans="1:9">
      <c r="A14299" s="22" t="str">
        <f>HYPERLINK("https://app.vivvix.com/360/KMI/IntelliDrive/ApplUI/Pages/CreativePages/CustomReportCreativeDetail.aspx?App=23&amp;ReportView=4&amp;Qid=1711279&amp;Row=14291&amp;Col=1","No Title Assigned - #15274052824")</f>
        <v/>
      </c>
      <c r="B14299" s="0" t="s">
        <v>19071</v>
      </c>
      <c r="C14299" s="0" t="s">
        <v>19072</v>
      </c>
      <c r="D14299" s="0" t="s">
        <v>19072</v>
      </c>
      <c r="E14299" s="0" t="inlineStr">
        <is>
          <t xml:space="preserve">Mazda</t>
        </is>
      </c>
      <c r="F14299" s="0" t="inlineStr">
        <is>
          <t xml:space="preserve">Mazda</t>
        </is>
      </c>
      <c r="G14299" s="0" t="s">
        <v>171</v>
      </c>
      <c r="H14299" s="5">
        <v>3.574800</v>
      </c>
    </row>
    <row r="14300" spans="1:9">
      <c r="A14300" s="22" t="str">
        <f>HYPERLINK("https://app.vivvix.com/360/KMI/IntelliDrive/ApplUI/Pages/CreativePages/CustomReportCreativeDetail.aspx?App=23&amp;ReportView=4&amp;Qid=1711279&amp;Row=14292&amp;Col=1","No Title Assigned - #15274052862")</f>
        <v/>
      </c>
      <c r="B14300" s="0" t="s">
        <v>19073</v>
      </c>
      <c r="C14300" s="0" t="s">
        <v>19074</v>
      </c>
      <c r="D14300" s="0" t="s">
        <v>19074</v>
      </c>
      <c r="E14300" s="0" t="inlineStr">
        <is>
          <t xml:space="preserve">Mazda</t>
        </is>
      </c>
      <c r="F14300" s="0" t="inlineStr">
        <is>
          <t xml:space="preserve">Mazda</t>
        </is>
      </c>
      <c r="G14300" s="0" t="s">
        <v>171</v>
      </c>
      <c r="H14300" s="5">
        <v>1510.360500</v>
      </c>
    </row>
    <row r="14301" spans="1:9">
      <c r="A14301" s="22" t="str">
        <f>HYPERLINK("https://app.vivvix.com/360/KMI/IntelliDrive/ApplUI/Pages/CreativePages/CustomReportCreativeDetail.aspx?App=23&amp;ReportView=4&amp;Qid=1711279&amp;Row=14293&amp;Col=1","No Title Assigned - #15274053032")</f>
        <v/>
      </c>
      <c r="B14301" s="0" t="s">
        <v>19075</v>
      </c>
      <c r="E14301" s="0" t="inlineStr">
        <is>
          <t xml:space="preserve">Mazda</t>
        </is>
      </c>
      <c r="F14301" s="0" t="inlineStr">
        <is>
          <t xml:space="preserve">Mazda</t>
        </is>
      </c>
      <c r="G14301" s="0" t="s">
        <v>171</v>
      </c>
      <c r="H14301" s="5">
        <v>54.684400</v>
      </c>
    </row>
    <row r="14302" spans="1:9">
      <c r="A14302" s="22" t="str">
        <f>HYPERLINK("https://app.vivvix.com/360/KMI/IntelliDrive/ApplUI/Pages/CreativePages/CustomReportCreativeDetail.aspx?App=23&amp;ReportView=4&amp;Qid=1711279&amp;Row=14294&amp;Col=1","No Title Assigned - #15274053120")</f>
        <v/>
      </c>
      <c r="B14302" s="0" t="s">
        <v>19076</v>
      </c>
      <c r="E14302" s="0" t="inlineStr">
        <is>
          <t xml:space="preserve">Mazda</t>
        </is>
      </c>
      <c r="F14302" s="0" t="inlineStr">
        <is>
          <t xml:space="preserve">Mazda</t>
        </is>
      </c>
      <c r="G14302" s="0" t="s">
        <v>171</v>
      </c>
      <c r="H14302" s="5">
        <v>77.463800</v>
      </c>
    </row>
    <row r="14303" spans="1:9">
      <c r="A14303" s="22" t="str">
        <f>HYPERLINK("https://app.vivvix.com/360/KMI/IntelliDrive/ApplUI/Pages/CreativePages/CustomReportCreativeDetail.aspx?App=23&amp;ReportView=4&amp;Qid=1711279&amp;Row=14295&amp;Col=1","No Title Assigned - #15274053120")</f>
        <v/>
      </c>
      <c r="B14303" s="0" t="s">
        <v>19076</v>
      </c>
      <c r="E14303" s="0" t="inlineStr">
        <is>
          <t xml:space="preserve">Mazda</t>
        </is>
      </c>
      <c r="F14303" s="0" t="inlineStr">
        <is>
          <t xml:space="preserve">Mazda</t>
        </is>
      </c>
      <c r="G14303" s="0" t="s">
        <v>171</v>
      </c>
      <c r="H14303" s="5">
        <v>702.382800</v>
      </c>
    </row>
    <row r="14304" spans="1:9">
      <c r="A14304" s="22" t="str">
        <f>HYPERLINK("https://app.vivvix.com/360/KMI/IntelliDrive/ApplUI/Pages/CreativePages/CustomReportCreativeDetail.aspx?App=23&amp;ReportView=4&amp;Qid=1711279&amp;Row=14296&amp;Col=1","No Title Assigned - #15274053922")</f>
        <v/>
      </c>
      <c r="B14304" s="0" t="s">
        <v>19077</v>
      </c>
      <c r="E14304" s="0" t="inlineStr">
        <is>
          <t xml:space="preserve">Mazda</t>
        </is>
      </c>
      <c r="F14304" s="0" t="inlineStr">
        <is>
          <t xml:space="preserve">Mazda</t>
        </is>
      </c>
      <c r="G14304" s="0" t="s">
        <v>171</v>
      </c>
      <c r="H14304" s="5">
        <v>95.231800</v>
      </c>
    </row>
    <row r="14305" spans="1:9">
      <c r="A14305" s="22" t="str">
        <f>HYPERLINK("https://app.vivvix.com/360/KMI/IntelliDrive/ApplUI/Pages/CreativePages/CustomReportCreativeDetail.aspx?App=23&amp;ReportView=4&amp;Qid=1711279&amp;Row=14297&amp;Col=1","No Title Assigned - #15274053962")</f>
        <v/>
      </c>
      <c r="B14305" s="0" t="s">
        <v>19078</v>
      </c>
      <c r="E14305" s="0" t="inlineStr">
        <is>
          <t xml:space="preserve">Mazda</t>
        </is>
      </c>
      <c r="F14305" s="0" t="inlineStr">
        <is>
          <t xml:space="preserve">Mazda</t>
        </is>
      </c>
      <c r="G14305" s="0" t="s">
        <v>171</v>
      </c>
      <c r="H14305" s="5">
        <v>290.642000</v>
      </c>
    </row>
    <row r="14306" spans="1:9">
      <c r="A14306" s="22" t="str">
        <f>HYPERLINK("https://app.vivvix.com/360/KMI/IntelliDrive/ApplUI/Pages/CreativePages/CustomReportCreativeDetail.aspx?App=23&amp;ReportView=4&amp;Qid=1711279&amp;Row=14298&amp;Col=1","No Title Assigned - #15274054247")</f>
        <v/>
      </c>
      <c r="B14306" s="0" t="s">
        <v>19079</v>
      </c>
      <c r="E14306" s="0" t="inlineStr">
        <is>
          <t xml:space="preserve">Mazda</t>
        </is>
      </c>
      <c r="F14306" s="0" t="inlineStr">
        <is>
          <t xml:space="preserve">Mazda</t>
        </is>
      </c>
      <c r="G14306" s="0" t="s">
        <v>171</v>
      </c>
      <c r="H14306" s="5">
        <v>245.953300</v>
      </c>
    </row>
    <row r="14307" spans="1:9">
      <c r="A14307" s="22" t="str">
        <f>HYPERLINK("https://app.vivvix.com/360/KMI/IntelliDrive/ApplUI/Pages/CreativePages/CustomReportCreativeDetail.aspx?App=23&amp;ReportView=4&amp;Qid=1711279&amp;Row=14299&amp;Col=1","No Title Assigned - #15274056218")</f>
        <v/>
      </c>
      <c r="B14307" s="0" t="s">
        <v>19080</v>
      </c>
      <c r="E14307" s="0" t="inlineStr">
        <is>
          <t xml:space="preserve">Mazda</t>
        </is>
      </c>
      <c r="F14307" s="0" t="inlineStr">
        <is>
          <t xml:space="preserve">Mazda</t>
        </is>
      </c>
      <c r="G14307" s="0" t="s">
        <v>171</v>
      </c>
      <c r="H14307" s="5">
        <v>399.528900</v>
      </c>
    </row>
    <row r="14308" spans="1:9">
      <c r="A14308" s="22" t="str">
        <f>HYPERLINK("https://app.vivvix.com/360/KMI/IntelliDrive/ApplUI/Pages/CreativePages/CustomReportCreativeDetail.aspx?App=23&amp;ReportView=4&amp;Qid=1711279&amp;Row=14300&amp;Col=1","No Title Assigned - #15274056312")</f>
        <v/>
      </c>
      <c r="B14308" s="0" t="s">
        <v>19081</v>
      </c>
      <c r="E14308" s="0" t="inlineStr">
        <is>
          <t xml:space="preserve">Mazda</t>
        </is>
      </c>
      <c r="F14308" s="0" t="inlineStr">
        <is>
          <t xml:space="preserve">Mazda</t>
        </is>
      </c>
      <c r="G14308" s="0" t="s">
        <v>171</v>
      </c>
      <c r="H14308" s="5">
        <v>230.381100</v>
      </c>
    </row>
    <row r="14309" spans="1:9">
      <c r="A14309" s="22" t="str">
        <f>HYPERLINK("https://app.vivvix.com/360/KMI/IntelliDrive/ApplUI/Pages/CreativePages/CustomReportCreativeDetail.aspx?App=23&amp;ReportView=4&amp;Qid=1711279&amp;Row=14301&amp;Col=1","No Title Assigned - #15274056312")</f>
        <v/>
      </c>
      <c r="B14309" s="0" t="s">
        <v>19081</v>
      </c>
      <c r="E14309" s="0" t="inlineStr">
        <is>
          <t xml:space="preserve">Mazda</t>
        </is>
      </c>
      <c r="F14309" s="0" t="inlineStr">
        <is>
          <t xml:space="preserve">Mazda</t>
        </is>
      </c>
      <c r="G14309" s="0" t="s">
        <v>171</v>
      </c>
      <c r="H14309" s="5">
        <v>16.780700</v>
      </c>
    </row>
    <row r="14310" spans="1:9">
      <c r="A14310" s="22" t="str">
        <f>HYPERLINK("https://app.vivvix.com/360/KMI/IntelliDrive/ApplUI/Pages/CreativePages/CustomReportCreativeDetail.aspx?App=23&amp;ReportView=4&amp;Qid=1711279&amp;Row=14302&amp;Col=1","No Title Assigned - #15274056322")</f>
        <v/>
      </c>
      <c r="B14310" s="0" t="s">
        <v>19082</v>
      </c>
      <c r="E14310" s="0" t="inlineStr">
        <is>
          <t xml:space="preserve">Mazda</t>
        </is>
      </c>
      <c r="F14310" s="0" t="inlineStr">
        <is>
          <t xml:space="preserve">Mazda</t>
        </is>
      </c>
      <c r="G14310" s="0" t="s">
        <v>171</v>
      </c>
      <c r="H14310" s="5">
        <v>359.799900</v>
      </c>
    </row>
    <row r="14311" spans="1:9">
      <c r="A14311" s="22" t="str">
        <f>HYPERLINK("https://app.vivvix.com/360/KMI/IntelliDrive/ApplUI/Pages/CreativePages/CustomReportCreativeDetail.aspx?App=23&amp;ReportView=4&amp;Qid=1711279&amp;Row=14303&amp;Col=1","No Title Assigned - #15274056437")</f>
        <v/>
      </c>
      <c r="B14311" s="0" t="s">
        <v>19083</v>
      </c>
      <c r="E14311" s="0" t="inlineStr">
        <is>
          <t xml:space="preserve">Mazda</t>
        </is>
      </c>
      <c r="F14311" s="0" t="inlineStr">
        <is>
          <t xml:space="preserve">Mazda</t>
        </is>
      </c>
      <c r="G14311" s="0" t="s">
        <v>171</v>
      </c>
      <c r="H14311" s="5">
        <v>407.621200</v>
      </c>
    </row>
    <row r="14312" spans="1:9">
      <c r="A14312" s="22" t="str">
        <f>HYPERLINK("https://app.vivvix.com/360/KMI/IntelliDrive/ApplUI/Pages/CreativePages/CustomReportCreativeDetail.aspx?App=23&amp;ReportView=4&amp;Qid=1711279&amp;Row=14304&amp;Col=1","No Title Assigned - #15274056530")</f>
        <v/>
      </c>
      <c r="B14312" s="0" t="s">
        <v>19084</v>
      </c>
      <c r="E14312" s="0" t="inlineStr">
        <is>
          <t xml:space="preserve">Mazda</t>
        </is>
      </c>
      <c r="F14312" s="0" t="inlineStr">
        <is>
          <t xml:space="preserve">Mazda</t>
        </is>
      </c>
      <c r="G14312" s="0" t="s">
        <v>171</v>
      </c>
      <c r="H14312" s="5">
        <v>467.027100</v>
      </c>
    </row>
    <row r="14313" spans="1:9">
      <c r="A14313" s="22" t="str">
        <f>HYPERLINK("https://app.vivvix.com/360/KMI/IntelliDrive/ApplUI/Pages/CreativePages/CustomReportCreativeDetail.aspx?App=23&amp;ReportView=4&amp;Qid=1711279&amp;Row=14305&amp;Col=1","No Title Assigned - #15274056744")</f>
        <v/>
      </c>
      <c r="B14313" s="0" t="s">
        <v>19085</v>
      </c>
      <c r="E14313" s="0" t="inlineStr">
        <is>
          <t xml:space="preserve">Mazda</t>
        </is>
      </c>
      <c r="F14313" s="0" t="inlineStr">
        <is>
          <t xml:space="preserve">Mazda</t>
        </is>
      </c>
      <c r="G14313" s="0" t="s">
        <v>171</v>
      </c>
      <c r="H14313" s="5">
        <v>1056.503300</v>
      </c>
    </row>
    <row r="14314" spans="1:9">
      <c r="A14314" s="22" t="str">
        <f>HYPERLINK("https://app.vivvix.com/360/KMI/IntelliDrive/ApplUI/Pages/CreativePages/CustomReportCreativeDetail.aspx?App=23&amp;ReportView=4&amp;Qid=1711279&amp;Row=14306&amp;Col=1","No Title Assigned - #15274056802")</f>
        <v/>
      </c>
      <c r="B14314" s="0" t="s">
        <v>19086</v>
      </c>
      <c r="E14314" s="0" t="inlineStr">
        <is>
          <t xml:space="preserve">Mazda</t>
        </is>
      </c>
      <c r="F14314" s="0" t="inlineStr">
        <is>
          <t xml:space="preserve">Mazda</t>
        </is>
      </c>
      <c r="G14314" s="0" t="s">
        <v>171</v>
      </c>
      <c r="H14314" s="5">
        <v>204.718400</v>
      </c>
    </row>
    <row r="14315" spans="1:9">
      <c r="A14315" s="22" t="str">
        <f>HYPERLINK("https://app.vivvix.com/360/KMI/IntelliDrive/ApplUI/Pages/CreativePages/CustomReportCreativeDetail.aspx?App=23&amp;ReportView=4&amp;Qid=1711279&amp;Row=14307&amp;Col=1","No Title Assigned - #15274056854")</f>
        <v/>
      </c>
      <c r="B14315" s="0" t="s">
        <v>19087</v>
      </c>
      <c r="E14315" s="0" t="inlineStr">
        <is>
          <t xml:space="preserve">Mazda</t>
        </is>
      </c>
      <c r="F14315" s="0" t="inlineStr">
        <is>
          <t xml:space="preserve">Mazda</t>
        </is>
      </c>
      <c r="G14315" s="0" t="s">
        <v>171</v>
      </c>
      <c r="H14315" s="5">
        <v>101.905800</v>
      </c>
    </row>
    <row r="14316" spans="1:9">
      <c r="A14316" s="22" t="str">
        <f>HYPERLINK("https://app.vivvix.com/360/KMI/IntelliDrive/ApplUI/Pages/CreativePages/CustomReportCreativeDetail.aspx?App=23&amp;ReportView=4&amp;Qid=1711279&amp;Row=14308&amp;Col=1","No Title Assigned - #15274056912")</f>
        <v/>
      </c>
      <c r="B14316" s="0" t="s">
        <v>19088</v>
      </c>
      <c r="E14316" s="0" t="inlineStr">
        <is>
          <t xml:space="preserve">Mazda</t>
        </is>
      </c>
      <c r="F14316" s="0" t="inlineStr">
        <is>
          <t xml:space="preserve">Mazda</t>
        </is>
      </c>
      <c r="G14316" s="0" t="s">
        <v>171</v>
      </c>
      <c r="H14316" s="5">
        <v>137.295900</v>
      </c>
    </row>
    <row r="14317" spans="1:9">
      <c r="A14317" s="22" t="str">
        <f>HYPERLINK("https://app.vivvix.com/360/KMI/IntelliDrive/ApplUI/Pages/CreativePages/CustomReportCreativeDetail.aspx?App=23&amp;ReportView=4&amp;Qid=1711279&amp;Row=14309&amp;Col=1","No Title Assigned - #15274056985")</f>
        <v/>
      </c>
      <c r="B14317" s="0" t="s">
        <v>19089</v>
      </c>
      <c r="E14317" s="0" t="inlineStr">
        <is>
          <t xml:space="preserve">Mazda</t>
        </is>
      </c>
      <c r="F14317" s="0" t="inlineStr">
        <is>
          <t xml:space="preserve">Mazda</t>
        </is>
      </c>
      <c r="G14317" s="0" t="s">
        <v>171</v>
      </c>
      <c r="H14317" s="5">
        <v>102.951000</v>
      </c>
    </row>
    <row r="14318" spans="1:9">
      <c r="A14318" s="22" t="str">
        <f>HYPERLINK("https://app.vivvix.com/360/KMI/IntelliDrive/ApplUI/Pages/CreativePages/CustomReportCreativeDetail.aspx?App=23&amp;ReportView=4&amp;Qid=1711279&amp;Row=14310&amp;Col=1","No Title Assigned - #15274057517")</f>
        <v/>
      </c>
      <c r="B14318" s="0" t="s">
        <v>19090</v>
      </c>
      <c r="E14318" s="0" t="inlineStr">
        <is>
          <t xml:space="preserve">Mazda</t>
        </is>
      </c>
      <c r="F14318" s="0" t="inlineStr">
        <is>
          <t xml:space="preserve">Mazda</t>
        </is>
      </c>
      <c r="G14318" s="0" t="s">
        <v>171</v>
      </c>
      <c r="H14318" s="5">
        <v>161.446300</v>
      </c>
    </row>
    <row r="14319" spans="1:9">
      <c r="A14319" s="22" t="str">
        <f>HYPERLINK("https://app.vivvix.com/360/KMI/IntelliDrive/ApplUI/Pages/CreativePages/CustomReportCreativeDetail.aspx?App=23&amp;ReportView=4&amp;Qid=1711279&amp;Row=14311&amp;Col=1","No Title Assigned - #15274057558")</f>
        <v/>
      </c>
      <c r="B14319" s="0" t="s">
        <v>19091</v>
      </c>
      <c r="E14319" s="0" t="inlineStr">
        <is>
          <t xml:space="preserve">Mazda</t>
        </is>
      </c>
      <c r="F14319" s="0" t="inlineStr">
        <is>
          <t xml:space="preserve">Mazda</t>
        </is>
      </c>
      <c r="G14319" s="0" t="s">
        <v>171</v>
      </c>
      <c r="H14319" s="5">
        <v>85.855700</v>
      </c>
    </row>
    <row r="14320" spans="1:9">
      <c r="A14320" s="22" t="str">
        <f>HYPERLINK("https://app.vivvix.com/360/KMI/IntelliDrive/ApplUI/Pages/CreativePages/CustomReportCreativeDetail.aspx?App=23&amp;ReportView=4&amp;Qid=1711279&amp;Row=14312&amp;Col=1","No Title Assigned - #15274057623")</f>
        <v/>
      </c>
      <c r="B14320" s="0" t="s">
        <v>19092</v>
      </c>
      <c r="E14320" s="0" t="inlineStr">
        <is>
          <t xml:space="preserve">Mazda</t>
        </is>
      </c>
      <c r="F14320" s="0" t="inlineStr">
        <is>
          <t xml:space="preserve">Mazda</t>
        </is>
      </c>
      <c r="G14320" s="0" t="s">
        <v>171</v>
      </c>
      <c r="H14320" s="5">
        <v>65.249200</v>
      </c>
    </row>
    <row r="14321" spans="1:9">
      <c r="A14321" s="22" t="str">
        <f>HYPERLINK("https://app.vivvix.com/360/KMI/IntelliDrive/ApplUI/Pages/CreativePages/CustomReportCreativeDetail.aspx?App=23&amp;ReportView=4&amp;Qid=1711279&amp;Row=14313&amp;Col=1","No Title Assigned - #15274057765")</f>
        <v/>
      </c>
      <c r="B14321" s="0" t="s">
        <v>19093</v>
      </c>
      <c r="E14321" s="0" t="inlineStr">
        <is>
          <t xml:space="preserve">Mazda</t>
        </is>
      </c>
      <c r="F14321" s="0" t="inlineStr">
        <is>
          <t xml:space="preserve">Mazda</t>
        </is>
      </c>
      <c r="G14321" s="0" t="s">
        <v>171</v>
      </c>
      <c r="H14321" s="5">
        <v>2308.212400</v>
      </c>
    </row>
    <row r="14322" spans="1:9">
      <c r="A14322" s="22" t="str">
        <f>HYPERLINK("https://app.vivvix.com/360/KMI/IntelliDrive/ApplUI/Pages/CreativePages/CustomReportCreativeDetail.aspx?App=23&amp;ReportView=4&amp;Qid=1711279&amp;Row=14314&amp;Col=1","No Title Assigned - #15274057889")</f>
        <v/>
      </c>
      <c r="B14322" s="0" t="s">
        <v>19094</v>
      </c>
      <c r="E14322" s="0" t="inlineStr">
        <is>
          <t xml:space="preserve">Mazda</t>
        </is>
      </c>
      <c r="F14322" s="0" t="inlineStr">
        <is>
          <t xml:space="preserve">Mazda</t>
        </is>
      </c>
      <c r="G14322" s="0" t="s">
        <v>171</v>
      </c>
      <c r="H14322" s="5">
        <v>163.837800</v>
      </c>
    </row>
    <row r="14323" spans="1:9">
      <c r="A14323" s="22" t="str">
        <f>HYPERLINK("https://app.vivvix.com/360/KMI/IntelliDrive/ApplUI/Pages/CreativePages/CustomReportCreativeDetail.aspx?App=23&amp;ReportView=4&amp;Qid=1711279&amp;Row=14315&amp;Col=1","No Title Assigned - #15274057995")</f>
        <v/>
      </c>
      <c r="B14323" s="0" t="s">
        <v>19095</v>
      </c>
      <c r="E14323" s="0" t="inlineStr">
        <is>
          <t xml:space="preserve">Mazda</t>
        </is>
      </c>
      <c r="F14323" s="0" t="inlineStr">
        <is>
          <t xml:space="preserve">Mazda</t>
        </is>
      </c>
      <c r="G14323" s="0" t="s">
        <v>171</v>
      </c>
      <c r="H14323" s="5">
        <v>49.307700</v>
      </c>
    </row>
    <row r="14324" spans="1:9">
      <c r="A14324" s="22" t="str">
        <f>HYPERLINK("https://app.vivvix.com/360/KMI/IntelliDrive/ApplUI/Pages/CreativePages/CustomReportCreativeDetail.aspx?App=23&amp;ReportView=4&amp;Qid=1711279&amp;Row=14316&amp;Col=1","No Title Assigned - #15274058222")</f>
        <v/>
      </c>
      <c r="B14324" s="0" t="s">
        <v>19096</v>
      </c>
      <c r="E14324" s="0" t="inlineStr">
        <is>
          <t xml:space="preserve">Mazda</t>
        </is>
      </c>
      <c r="F14324" s="0" t="inlineStr">
        <is>
          <t xml:space="preserve">Mazda</t>
        </is>
      </c>
      <c r="G14324" s="0" t="s">
        <v>171</v>
      </c>
      <c r="H14324" s="5">
        <v>121.416500</v>
      </c>
    </row>
    <row r="14325" spans="1:9">
      <c r="A14325" s="22" t="str">
        <f>HYPERLINK("https://app.vivvix.com/360/KMI/IntelliDrive/ApplUI/Pages/CreativePages/CustomReportCreativeDetail.aspx?App=23&amp;ReportView=4&amp;Qid=1711279&amp;Row=14317&amp;Col=1","No Title Assigned - #15274058499")</f>
        <v/>
      </c>
      <c r="B14325" s="0" t="s">
        <v>19097</v>
      </c>
      <c r="E14325" s="0" t="inlineStr">
        <is>
          <t xml:space="preserve">Mazda</t>
        </is>
      </c>
      <c r="F14325" s="0" t="inlineStr">
        <is>
          <t xml:space="preserve">Mazda</t>
        </is>
      </c>
      <c r="G14325" s="0" t="s">
        <v>171</v>
      </c>
      <c r="H14325" s="5">
        <v>56.150900</v>
      </c>
    </row>
    <row r="14326" spans="1:9">
      <c r="A14326" s="22" t="str">
        <f>HYPERLINK("https://app.vivvix.com/360/KMI/IntelliDrive/ApplUI/Pages/CreativePages/CustomReportCreativeDetail.aspx?App=23&amp;ReportView=4&amp;Qid=1711279&amp;Row=14318&amp;Col=1","No Title Assigned - #15274058675")</f>
        <v/>
      </c>
      <c r="B14326" s="0" t="s">
        <v>19098</v>
      </c>
      <c r="E14326" s="0" t="inlineStr">
        <is>
          <t xml:space="preserve">Mazda</t>
        </is>
      </c>
      <c r="F14326" s="0" t="inlineStr">
        <is>
          <t xml:space="preserve">Mazda</t>
        </is>
      </c>
      <c r="G14326" s="0" t="s">
        <v>171</v>
      </c>
      <c r="H14326" s="5">
        <v>112.523800</v>
      </c>
    </row>
    <row r="14327" spans="1:9">
      <c r="A14327" s="22" t="str">
        <f>HYPERLINK("https://app.vivvix.com/360/KMI/IntelliDrive/ApplUI/Pages/CreativePages/CustomReportCreativeDetail.aspx?App=23&amp;ReportView=4&amp;Qid=1711279&amp;Row=14319&amp;Col=1","No Title Assigned - #15274058721")</f>
        <v/>
      </c>
      <c r="B14327" s="0" t="s">
        <v>19099</v>
      </c>
      <c r="E14327" s="0" t="inlineStr">
        <is>
          <t xml:space="preserve">Mazda</t>
        </is>
      </c>
      <c r="F14327" s="0" t="inlineStr">
        <is>
          <t xml:space="preserve">Mazda</t>
        </is>
      </c>
      <c r="G14327" s="0" t="s">
        <v>171</v>
      </c>
      <c r="H14327" s="5">
        <v>20.369100</v>
      </c>
    </row>
    <row r="14328" spans="1:9">
      <c r="A14328" s="22" t="str">
        <f>HYPERLINK("https://app.vivvix.com/360/KMI/IntelliDrive/ApplUI/Pages/CreativePages/CustomReportCreativeDetail.aspx?App=23&amp;ReportView=4&amp;Qid=1711279&amp;Row=14320&amp;Col=1","No Title Assigned - #15274058798")</f>
        <v/>
      </c>
      <c r="B14328" s="0" t="s">
        <v>19100</v>
      </c>
      <c r="E14328" s="0" t="inlineStr">
        <is>
          <t xml:space="preserve">Mazda</t>
        </is>
      </c>
      <c r="F14328" s="0" t="inlineStr">
        <is>
          <t xml:space="preserve">Mazda</t>
        </is>
      </c>
      <c r="G14328" s="0" t="s">
        <v>171</v>
      </c>
      <c r="H14328" s="5">
        <v>14.262500</v>
      </c>
    </row>
    <row r="14329" spans="1:9">
      <c r="A14329" s="22" t="str">
        <f>HYPERLINK("https://app.vivvix.com/360/KMI/IntelliDrive/ApplUI/Pages/CreativePages/CustomReportCreativeDetail.aspx?App=23&amp;ReportView=4&amp;Qid=1711279&amp;Row=14321&amp;Col=1","No Title Assigned - #15274059014")</f>
        <v/>
      </c>
      <c r="B14329" s="0" t="s">
        <v>19101</v>
      </c>
      <c r="E14329" s="0" t="inlineStr">
        <is>
          <t xml:space="preserve">Mazda</t>
        </is>
      </c>
      <c r="F14329" s="0" t="inlineStr">
        <is>
          <t xml:space="preserve">Mazda</t>
        </is>
      </c>
      <c r="G14329" s="0" t="s">
        <v>171</v>
      </c>
      <c r="H14329" s="5">
        <v>66.546500</v>
      </c>
    </row>
    <row r="14330" spans="1:9">
      <c r="A14330" s="22" t="str">
        <f>HYPERLINK("https://app.vivvix.com/360/KMI/IntelliDrive/ApplUI/Pages/CreativePages/CustomReportCreativeDetail.aspx?App=23&amp;ReportView=4&amp;Qid=1711279&amp;Row=14322&amp;Col=1","No Title Assigned - #15274059236")</f>
        <v/>
      </c>
      <c r="B14330" s="0" t="s">
        <v>19102</v>
      </c>
      <c r="E14330" s="0" t="inlineStr">
        <is>
          <t xml:space="preserve">Mazda</t>
        </is>
      </c>
      <c r="F14330" s="0" t="inlineStr">
        <is>
          <t xml:space="preserve">Mazda</t>
        </is>
      </c>
      <c r="G14330" s="0" t="s">
        <v>171</v>
      </c>
      <c r="H14330" s="5">
        <v>4.170800</v>
      </c>
    </row>
    <row r="14331" spans="1:9">
      <c r="A14331" s="22" t="str">
        <f>HYPERLINK("https://app.vivvix.com/360/KMI/IntelliDrive/ApplUI/Pages/CreativePages/CustomReportCreativeDetail.aspx?App=23&amp;ReportView=4&amp;Qid=1711279&amp;Row=14323&amp;Col=1","No Title Assigned - #15274059846")</f>
        <v/>
      </c>
      <c r="B14331" s="0" t="s">
        <v>19103</v>
      </c>
      <c r="E14331" s="0" t="inlineStr">
        <is>
          <t xml:space="preserve">Mazda</t>
        </is>
      </c>
      <c r="F14331" s="0" t="inlineStr">
        <is>
          <t xml:space="preserve">Mazda</t>
        </is>
      </c>
      <c r="G14331" s="0" t="s">
        <v>171</v>
      </c>
      <c r="H14331" s="5">
        <v>30.971100</v>
      </c>
    </row>
    <row r="14332" spans="1:9">
      <c r="A14332" s="22" t="str">
        <f>HYPERLINK("https://app.vivvix.com/360/KMI/IntelliDrive/ApplUI/Pages/CreativePages/CustomReportCreativeDetail.aspx?App=23&amp;ReportView=4&amp;Qid=1711279&amp;Row=14324&amp;Col=1","No Title Assigned - #15274060064")</f>
        <v/>
      </c>
      <c r="B14332" s="0" t="s">
        <v>19104</v>
      </c>
      <c r="E14332" s="0" t="inlineStr">
        <is>
          <t xml:space="preserve">Mazda</t>
        </is>
      </c>
      <c r="F14332" s="0" t="inlineStr">
        <is>
          <t xml:space="preserve">Mazda</t>
        </is>
      </c>
      <c r="G14332" s="0" t="s">
        <v>171</v>
      </c>
      <c r="H14332" s="5">
        <v>132.132500</v>
      </c>
    </row>
    <row r="14333" spans="1:9">
      <c r="A14333" s="22" t="str">
        <f>HYPERLINK("https://app.vivvix.com/360/KMI/IntelliDrive/ApplUI/Pages/CreativePages/CustomReportCreativeDetail.aspx?App=23&amp;ReportView=4&amp;Qid=1711279&amp;Row=14325&amp;Col=1","No Title Assigned - #15274060844")</f>
        <v/>
      </c>
      <c r="B14333" s="0" t="s">
        <v>19105</v>
      </c>
      <c r="E14333" s="0" t="inlineStr">
        <is>
          <t xml:space="preserve">Mazda</t>
        </is>
      </c>
      <c r="F14333" s="0" t="inlineStr">
        <is>
          <t xml:space="preserve">Mazda</t>
        </is>
      </c>
      <c r="G14333" s="0" t="s">
        <v>171</v>
      </c>
      <c r="H14333" s="5">
        <v>6062.376500</v>
      </c>
    </row>
    <row r="14334" spans="1:9">
      <c r="A14334" s="22" t="str">
        <f>HYPERLINK("https://app.vivvix.com/360/KMI/IntelliDrive/ApplUI/Pages/CreativePages/CustomReportCreativeDetail.aspx?App=23&amp;ReportView=4&amp;Qid=1711279&amp;Row=14326&amp;Col=1","No Title Assigned - #15274061619")</f>
        <v/>
      </c>
      <c r="B14334" s="0" t="s">
        <v>19106</v>
      </c>
      <c r="E14334" s="0" t="inlineStr">
        <is>
          <t xml:space="preserve">Mazda</t>
        </is>
      </c>
      <c r="F14334" s="0" t="inlineStr">
        <is>
          <t xml:space="preserve">Mazda</t>
        </is>
      </c>
      <c r="G14334" s="0" t="s">
        <v>171</v>
      </c>
      <c r="H14334" s="5">
        <v>57.920900</v>
      </c>
    </row>
    <row r="14335" spans="1:9">
      <c r="A14335" s="22" t="str">
        <f>HYPERLINK("https://app.vivvix.com/360/KMI/IntelliDrive/ApplUI/Pages/CreativePages/CustomReportCreativeDetail.aspx?App=23&amp;ReportView=4&amp;Qid=1711279&amp;Row=14327&amp;Col=1","No Title Assigned - #15274062138")</f>
        <v/>
      </c>
      <c r="B14335" s="0" t="s">
        <v>19107</v>
      </c>
      <c r="E14335" s="0" t="inlineStr">
        <is>
          <t xml:space="preserve">Mazda</t>
        </is>
      </c>
      <c r="F14335" s="0" t="inlineStr">
        <is>
          <t xml:space="preserve">Mazda</t>
        </is>
      </c>
      <c r="G14335" s="0" t="s">
        <v>171</v>
      </c>
      <c r="H14335" s="5">
        <v>37.643300</v>
      </c>
    </row>
    <row r="14336" spans="1:9">
      <c r="A14336" s="22" t="str">
        <f>HYPERLINK("https://app.vivvix.com/360/KMI/IntelliDrive/ApplUI/Pages/CreativePages/CustomReportCreativeDetail.aspx?App=23&amp;ReportView=4&amp;Qid=1711279&amp;Row=14328&amp;Col=1","No Title Assigned - #15274062442")</f>
        <v/>
      </c>
      <c r="B14336" s="0" t="s">
        <v>19108</v>
      </c>
      <c r="E14336" s="0" t="inlineStr">
        <is>
          <t xml:space="preserve">Mazda</t>
        </is>
      </c>
      <c r="F14336" s="0" t="inlineStr">
        <is>
          <t xml:space="preserve">Mazda</t>
        </is>
      </c>
      <c r="G14336" s="0" t="s">
        <v>171</v>
      </c>
      <c r="H14336" s="5">
        <v>245.953300</v>
      </c>
    </row>
    <row r="14337" spans="1:9">
      <c r="A14337" s="22" t="str">
        <f>HYPERLINK("https://app.vivvix.com/360/KMI/IntelliDrive/ApplUI/Pages/CreativePages/CustomReportCreativeDetail.aspx?App=23&amp;ReportView=4&amp;Qid=1711279&amp;Row=14329&amp;Col=1","No Title Assigned - #15274062638")</f>
        <v/>
      </c>
      <c r="B14337" s="0" t="s">
        <v>19109</v>
      </c>
      <c r="E14337" s="0" t="inlineStr">
        <is>
          <t xml:space="preserve">Mazda</t>
        </is>
      </c>
      <c r="F14337" s="0" t="inlineStr">
        <is>
          <t xml:space="preserve">Mazda</t>
        </is>
      </c>
      <c r="G14337" s="0" t="s">
        <v>171</v>
      </c>
      <c r="H14337" s="5">
        <v>2059.007700</v>
      </c>
    </row>
    <row r="14338" spans="1:9">
      <c r="A14338" s="22" t="str">
        <f>HYPERLINK("https://app.vivvix.com/360/KMI/IntelliDrive/ApplUI/Pages/CreativePages/CustomReportCreativeDetail.aspx?App=23&amp;ReportView=4&amp;Qid=1711279&amp;Row=14330&amp;Col=1","No Title Assigned - #15274062768")</f>
        <v/>
      </c>
      <c r="B14338" s="0" t="s">
        <v>19110</v>
      </c>
      <c r="E14338" s="0" t="inlineStr">
        <is>
          <t xml:space="preserve">Mazda</t>
        </is>
      </c>
      <c r="F14338" s="0" t="s">
        <v>21</v>
      </c>
      <c r="G14338" s="0" t="s">
        <v>22</v>
      </c>
      <c r="H14338" s="5">
        <v>1626.937000</v>
      </c>
    </row>
    <row r="14339" spans="1:9">
      <c r="A14339" s="22" t="str">
        <f>HYPERLINK("https://app.vivvix.com/360/KMI/IntelliDrive/ApplUI/Pages/CreativePages/CustomReportCreativeDetail.aspx?App=23&amp;ReportView=4&amp;Qid=1711279&amp;Row=14331&amp;Col=1","No Title Assigned - #15274062845")</f>
        <v/>
      </c>
      <c r="B14339" s="0" t="s">
        <v>19111</v>
      </c>
      <c r="E14339" s="0" t="inlineStr">
        <is>
          <t xml:space="preserve">Mazda</t>
        </is>
      </c>
      <c r="F14339" s="0" t="inlineStr">
        <is>
          <t xml:space="preserve">Mazda</t>
        </is>
      </c>
      <c r="G14339" s="0" t="s">
        <v>171</v>
      </c>
      <c r="H14339" s="5">
        <v>273.455100</v>
      </c>
    </row>
    <row r="14340" spans="1:9">
      <c r="A14340" s="22" t="str">
        <f>HYPERLINK("https://app.vivvix.com/360/KMI/IntelliDrive/ApplUI/Pages/CreativePages/CustomReportCreativeDetail.aspx?App=23&amp;ReportView=4&amp;Qid=1711279&amp;Row=14332&amp;Col=1","No Title Assigned - #15274062908")</f>
        <v/>
      </c>
      <c r="B14340" s="0" t="s">
        <v>19112</v>
      </c>
      <c r="E14340" s="0" t="inlineStr">
        <is>
          <t xml:space="preserve">Mazda</t>
        </is>
      </c>
      <c r="F14340" s="0" t="inlineStr">
        <is>
          <t xml:space="preserve">Mazda</t>
        </is>
      </c>
      <c r="G14340" s="0" t="s">
        <v>171</v>
      </c>
      <c r="H14340" s="5">
        <v>2434.834900</v>
      </c>
    </row>
    <row r="14341" spans="1:9">
      <c r="A14341" s="22" t="str">
        <f>HYPERLINK("https://app.vivvix.com/360/KMI/IntelliDrive/ApplUI/Pages/CreativePages/CustomReportCreativeDetail.aspx?App=23&amp;ReportView=4&amp;Qid=1711279&amp;Row=14333&amp;Col=1","No Title Assigned - #15274063003")</f>
        <v/>
      </c>
      <c r="B14341" s="0" t="s">
        <v>19113</v>
      </c>
      <c r="E14341" s="0" t="inlineStr">
        <is>
          <t xml:space="preserve">Mazda</t>
        </is>
      </c>
      <c r="F14341" s="0" t="inlineStr">
        <is>
          <t xml:space="preserve">Mazda</t>
        </is>
      </c>
      <c r="G14341" s="0" t="s">
        <v>171</v>
      </c>
      <c r="H14341" s="5">
        <v>162.609400</v>
      </c>
    </row>
    <row r="14342" spans="1:9">
      <c r="A14342" s="22" t="str">
        <f>HYPERLINK("https://app.vivvix.com/360/KMI/IntelliDrive/ApplUI/Pages/CreativePages/CustomReportCreativeDetail.aspx?App=23&amp;ReportView=4&amp;Qid=1711279&amp;Row=14334&amp;Col=1","No Title Assigned - #15274063138")</f>
        <v/>
      </c>
      <c r="B14342" s="0" t="s">
        <v>19114</v>
      </c>
      <c r="E14342" s="0" t="inlineStr">
        <is>
          <t xml:space="preserve">Mazda</t>
        </is>
      </c>
      <c r="F14342" s="0" t="inlineStr">
        <is>
          <t xml:space="preserve">Mazda</t>
        </is>
      </c>
      <c r="G14342" s="0" t="s">
        <v>171</v>
      </c>
      <c r="H14342" s="5">
        <v>308.231500</v>
      </c>
    </row>
    <row r="14343" spans="1:9">
      <c r="A14343" s="22" t="str">
        <f>HYPERLINK("https://app.vivvix.com/360/KMI/IntelliDrive/ApplUI/Pages/CreativePages/CustomReportCreativeDetail.aspx?App=23&amp;ReportView=4&amp;Qid=1711279&amp;Row=14335&amp;Col=1","No Title Assigned - #15274063354")</f>
        <v/>
      </c>
      <c r="B14343" s="0" t="s">
        <v>19115</v>
      </c>
      <c r="E14343" s="0" t="inlineStr">
        <is>
          <t xml:space="preserve">Mazda</t>
        </is>
      </c>
      <c r="F14343" s="0" t="inlineStr">
        <is>
          <t xml:space="preserve">Mazda</t>
        </is>
      </c>
      <c r="G14343" s="0" t="s">
        <v>171</v>
      </c>
      <c r="H14343" s="5">
        <v>222.103600</v>
      </c>
    </row>
    <row r="14344" spans="1:9">
      <c r="A14344" s="22" t="str">
        <f>HYPERLINK("https://app.vivvix.com/360/KMI/IntelliDrive/ApplUI/Pages/CreativePages/CustomReportCreativeDetail.aspx?App=23&amp;ReportView=4&amp;Qid=1711279&amp;Row=14336&amp;Col=1","No Title Assigned - #15274064242")</f>
        <v/>
      </c>
      <c r="B14344" s="0" t="s">
        <v>19116</v>
      </c>
      <c r="E14344" s="0" t="inlineStr">
        <is>
          <t xml:space="preserve">Mazda</t>
        </is>
      </c>
      <c r="F14344" s="0" t="inlineStr">
        <is>
          <t xml:space="preserve">Mazda</t>
        </is>
      </c>
      <c r="G14344" s="0" t="s">
        <v>171</v>
      </c>
      <c r="H14344" s="5">
        <v>555.259000</v>
      </c>
    </row>
    <row r="14345" spans="1:9">
      <c r="A14345" s="22" t="str">
        <f>HYPERLINK("https://app.vivvix.com/360/KMI/IntelliDrive/ApplUI/Pages/CreativePages/CustomReportCreativeDetail.aspx?App=23&amp;ReportView=4&amp;Qid=1711279&amp;Row=14337&amp;Col=1","No Title Assigned - #15274064275")</f>
        <v/>
      </c>
      <c r="B14345" s="0" t="s">
        <v>19117</v>
      </c>
      <c r="E14345" s="0" t="inlineStr">
        <is>
          <t xml:space="preserve">Mazda</t>
        </is>
      </c>
      <c r="F14345" s="0" t="inlineStr">
        <is>
          <t xml:space="preserve">Mazda</t>
        </is>
      </c>
      <c r="G14345" s="0" t="s">
        <v>171</v>
      </c>
      <c r="H14345" s="5">
        <v>609.027800</v>
      </c>
    </row>
    <row r="14346" spans="1:9">
      <c r="A14346" s="22" t="str">
        <f>HYPERLINK("https://app.vivvix.com/360/KMI/IntelliDrive/ApplUI/Pages/CreativePages/CustomReportCreativeDetail.aspx?App=23&amp;ReportView=4&amp;Qid=1711279&amp;Row=14338&amp;Col=1","No Title Assigned - #15274064275")</f>
        <v/>
      </c>
      <c r="B14346" s="0" t="s">
        <v>19117</v>
      </c>
      <c r="C14346" s="0" t="s">
        <v>19118</v>
      </c>
      <c r="D14346" s="0" t="s">
        <v>19118</v>
      </c>
      <c r="E14346" s="0" t="inlineStr">
        <is>
          <t xml:space="preserve">Mazda</t>
        </is>
      </c>
      <c r="F14346" s="0" t="inlineStr">
        <is>
          <t xml:space="preserve">Mazda</t>
        </is>
      </c>
      <c r="G14346" s="0" t="s">
        <v>171</v>
      </c>
      <c r="H14346" s="5">
        <v>232.432400</v>
      </c>
    </row>
    <row r="14347" spans="1:9">
      <c r="A14347" s="22" t="str">
        <f>HYPERLINK("https://app.vivvix.com/360/KMI/IntelliDrive/ApplUI/Pages/CreativePages/CustomReportCreativeDetail.aspx?App=23&amp;ReportView=4&amp;Qid=1711279&amp;Row=14339&amp;Col=1","No Title Assigned - #15274064285")</f>
        <v/>
      </c>
      <c r="B14347" s="0" t="s">
        <v>19119</v>
      </c>
      <c r="E14347" s="0" t="inlineStr">
        <is>
          <t xml:space="preserve">Mazda</t>
        </is>
      </c>
      <c r="F14347" s="0" t="inlineStr">
        <is>
          <t xml:space="preserve">Mazda</t>
        </is>
      </c>
      <c r="G14347" s="0" t="s">
        <v>171</v>
      </c>
      <c r="H14347" s="5">
        <v>530.762700</v>
      </c>
    </row>
    <row r="14348" spans="1:9">
      <c r="A14348" s="22" t="str">
        <f>HYPERLINK("https://app.vivvix.com/360/KMI/IntelliDrive/ApplUI/Pages/CreativePages/CustomReportCreativeDetail.aspx?App=23&amp;ReportView=4&amp;Qid=1711279&amp;Row=14340&amp;Col=1","No Title Assigned - #15274064335")</f>
        <v/>
      </c>
      <c r="B14348" s="0" t="s">
        <v>19120</v>
      </c>
      <c r="E14348" s="0" t="inlineStr">
        <is>
          <t xml:space="preserve">Mazda</t>
        </is>
      </c>
      <c r="F14348" s="0" t="inlineStr">
        <is>
          <t xml:space="preserve">Mazda</t>
        </is>
      </c>
      <c r="G14348" s="0" t="s">
        <v>171</v>
      </c>
      <c r="H14348" s="5">
        <v>152.230400</v>
      </c>
    </row>
    <row r="14349" spans="1:9">
      <c r="A14349" s="22" t="str">
        <f>HYPERLINK("https://app.vivvix.com/360/KMI/IntelliDrive/ApplUI/Pages/CreativePages/CustomReportCreativeDetail.aspx?App=23&amp;ReportView=4&amp;Qid=1711279&amp;Row=14341&amp;Col=1","No Title Assigned - #15274064343")</f>
        <v/>
      </c>
      <c r="B14349" s="0" t="s">
        <v>19121</v>
      </c>
      <c r="E14349" s="0" t="inlineStr">
        <is>
          <t xml:space="preserve">Mazda</t>
        </is>
      </c>
      <c r="F14349" s="0" t="inlineStr">
        <is>
          <t xml:space="preserve">Mazda</t>
        </is>
      </c>
      <c r="G14349" s="0" t="s">
        <v>171</v>
      </c>
      <c r="H14349" s="5">
        <v>764.819800</v>
      </c>
    </row>
    <row r="14350" spans="1:9">
      <c r="A14350" s="22" t="str">
        <f>HYPERLINK("https://app.vivvix.com/360/KMI/IntelliDrive/ApplUI/Pages/CreativePages/CustomReportCreativeDetail.aspx?App=23&amp;ReportView=4&amp;Qid=1711279&amp;Row=14342&amp;Col=1","No Title Assigned - #15274064639")</f>
        <v/>
      </c>
      <c r="B14350" s="0" t="s">
        <v>19122</v>
      </c>
      <c r="E14350" s="0" t="inlineStr">
        <is>
          <t xml:space="preserve">Mazda</t>
        </is>
      </c>
      <c r="F14350" s="0" t="inlineStr">
        <is>
          <t xml:space="preserve">Mazda</t>
        </is>
      </c>
      <c r="G14350" s="0" t="s">
        <v>171</v>
      </c>
      <c r="H14350" s="5">
        <v>18.862800</v>
      </c>
    </row>
    <row r="14351" spans="1:9">
      <c r="A14351" s="22" t="str">
        <f>HYPERLINK("https://app.vivvix.com/360/KMI/IntelliDrive/ApplUI/Pages/CreativePages/CustomReportCreativeDetail.aspx?App=23&amp;ReportView=4&amp;Qid=1711279&amp;Row=14343&amp;Col=1","No Title Assigned - #15274074671")</f>
        <v/>
      </c>
      <c r="B14351" s="0" t="s">
        <v>19123</v>
      </c>
      <c r="E14351" s="0" t="inlineStr">
        <is>
          <t xml:space="preserve">Mazda</t>
        </is>
      </c>
      <c r="F14351" s="0" t="inlineStr">
        <is>
          <t xml:space="preserve">Mazda</t>
        </is>
      </c>
      <c r="G14351" s="0" t="s">
        <v>171</v>
      </c>
      <c r="H14351" s="5">
        <v>40.784400</v>
      </c>
    </row>
    <row r="14352" spans="1:9">
      <c r="A14352" s="22" t="str">
        <f>HYPERLINK("https://app.vivvix.com/360/KMI/IntelliDrive/ApplUI/Pages/CreativePages/CustomReportCreativeDetail.aspx?App=23&amp;ReportView=4&amp;Qid=1711279&amp;Row=14344&amp;Col=1","No Title Assigned - #15274074934")</f>
        <v/>
      </c>
      <c r="B14352" s="0" t="s">
        <v>19124</v>
      </c>
      <c r="E14352" s="0" t="inlineStr">
        <is>
          <t xml:space="preserve">Mazda</t>
        </is>
      </c>
      <c r="F14352" s="0" t="inlineStr">
        <is>
          <t xml:space="preserve">Mazda</t>
        </is>
      </c>
      <c r="G14352" s="0" t="s">
        <v>171</v>
      </c>
      <c r="H14352" s="5">
        <v>58.214100</v>
      </c>
    </row>
    <row r="14353" spans="1:9">
      <c r="A14353" s="22" t="str">
        <f>HYPERLINK("https://app.vivvix.com/360/KMI/IntelliDrive/ApplUI/Pages/CreativePages/CustomReportCreativeDetail.aspx?App=23&amp;ReportView=4&amp;Qid=1711279&amp;Row=14345&amp;Col=1","No Title Assigned - #15274075400")</f>
        <v/>
      </c>
      <c r="B14353" s="0" t="s">
        <v>19125</v>
      </c>
      <c r="E14353" s="0" t="inlineStr">
        <is>
          <t xml:space="preserve">Mazda</t>
        </is>
      </c>
      <c r="F14353" s="0" t="inlineStr">
        <is>
          <t xml:space="preserve">Mazda</t>
        </is>
      </c>
      <c r="G14353" s="0" t="s">
        <v>171</v>
      </c>
      <c r="H14353" s="5">
        <v>29.602300</v>
      </c>
    </row>
    <row r="14354" spans="1:9">
      <c r="A14354" s="22" t="str">
        <f>HYPERLINK("https://app.vivvix.com/360/KMI/IntelliDrive/ApplUI/Pages/CreativePages/CustomReportCreativeDetail.aspx?App=23&amp;ReportView=4&amp;Qid=1711279&amp;Row=14346&amp;Col=1","No Title Assigned - #15274075411")</f>
        <v/>
      </c>
      <c r="B14354" s="0" t="s">
        <v>19126</v>
      </c>
      <c r="C14354" s="0" t="s">
        <v>19127</v>
      </c>
      <c r="D14354" s="0" t="s">
        <v>19127</v>
      </c>
      <c r="E14354" s="0" t="inlineStr">
        <is>
          <t xml:space="preserve">Mazda</t>
        </is>
      </c>
      <c r="F14354" s="0" t="inlineStr">
        <is>
          <t xml:space="preserve">Mazda</t>
        </is>
      </c>
      <c r="G14354" s="0" t="s">
        <v>171</v>
      </c>
      <c r="H14354" s="5">
        <v>30.312400</v>
      </c>
    </row>
    <row r="14355" spans="1:9">
      <c r="A14355" s="22" t="str">
        <f>HYPERLINK("https://app.vivvix.com/360/KMI/IntelliDrive/ApplUI/Pages/CreativePages/CustomReportCreativeDetail.aspx?App=23&amp;ReportView=4&amp;Qid=1711279&amp;Row=14347&amp;Col=1","No Title Assigned - #15274075700")</f>
        <v/>
      </c>
      <c r="B14355" s="0" t="s">
        <v>19128</v>
      </c>
      <c r="E14355" s="0" t="inlineStr">
        <is>
          <t xml:space="preserve">Mazda</t>
        </is>
      </c>
      <c r="F14355" s="0" t="inlineStr">
        <is>
          <t xml:space="preserve">Mazda</t>
        </is>
      </c>
      <c r="G14355" s="0" t="s">
        <v>171</v>
      </c>
      <c r="H14355" s="5">
        <v>1132.229400</v>
      </c>
    </row>
    <row r="14356" spans="1:9">
      <c r="A14356" s="22" t="str">
        <f>HYPERLINK("https://app.vivvix.com/360/KMI/IntelliDrive/ApplUI/Pages/CreativePages/CustomReportCreativeDetail.aspx?App=23&amp;ReportView=4&amp;Qid=1711279&amp;Row=14348&amp;Col=1","No Title Assigned - #15274075731")</f>
        <v/>
      </c>
      <c r="B14356" s="0" t="s">
        <v>19129</v>
      </c>
      <c r="E14356" s="0" t="inlineStr">
        <is>
          <t xml:space="preserve">Mazda</t>
        </is>
      </c>
      <c r="F14356" s="0" t="s">
        <v>21</v>
      </c>
      <c r="G14356" s="0" t="s">
        <v>22</v>
      </c>
      <c r="H14356" s="5">
        <v>593.626900</v>
      </c>
    </row>
    <row r="14357" spans="1:9">
      <c r="A14357" s="22" t="str">
        <f>HYPERLINK("https://app.vivvix.com/360/KMI/IntelliDrive/ApplUI/Pages/CreativePages/CustomReportCreativeDetail.aspx?App=23&amp;ReportView=4&amp;Qid=1711279&amp;Row=14349&amp;Col=1","No Title Assigned - #15274075748")</f>
        <v/>
      </c>
      <c r="B14357" s="0" t="s">
        <v>19130</v>
      </c>
      <c r="E14357" s="0" t="inlineStr">
        <is>
          <t xml:space="preserve">Mazda</t>
        </is>
      </c>
      <c r="F14357" s="0" t="inlineStr">
        <is>
          <t xml:space="preserve">Mazda</t>
        </is>
      </c>
      <c r="G14357" s="0" t="s">
        <v>171</v>
      </c>
      <c r="H14357" s="5">
        <v>377.409800</v>
      </c>
    </row>
    <row r="14358" spans="1:9">
      <c r="A14358" s="22" t="str">
        <f>HYPERLINK("https://app.vivvix.com/360/KMI/IntelliDrive/ApplUI/Pages/CreativePages/CustomReportCreativeDetail.aspx?App=23&amp;ReportView=4&amp;Qid=1711279&amp;Row=14350&amp;Col=1","No Title Assigned - #15274076745")</f>
        <v/>
      </c>
      <c r="B14358" s="0" t="s">
        <v>19131</v>
      </c>
      <c r="E14358" s="0" t="inlineStr">
        <is>
          <t xml:space="preserve">Mazda</t>
        </is>
      </c>
      <c r="F14358" s="0" t="inlineStr">
        <is>
          <t xml:space="preserve">Mazda</t>
        </is>
      </c>
      <c r="G14358" s="0" t="s">
        <v>171</v>
      </c>
      <c r="H14358" s="5">
        <v>121.833800</v>
      </c>
    </row>
    <row r="14359" spans="1:9">
      <c r="A14359" s="22" t="str">
        <f>HYPERLINK("https://app.vivvix.com/360/KMI/IntelliDrive/ApplUI/Pages/CreativePages/CustomReportCreativeDetail.aspx?App=23&amp;ReportView=4&amp;Qid=1711279&amp;Row=14351&amp;Col=1","No Title Assigned - #15274077190")</f>
        <v/>
      </c>
      <c r="B14359" s="0" t="s">
        <v>19132</v>
      </c>
      <c r="E14359" s="0" t="inlineStr">
        <is>
          <t xml:space="preserve">Mazda</t>
        </is>
      </c>
      <c r="F14359" s="0" t="inlineStr">
        <is>
          <t xml:space="preserve">Mazda</t>
        </is>
      </c>
      <c r="G14359" s="0" t="s">
        <v>171</v>
      </c>
      <c r="H14359" s="5">
        <v>78.347900</v>
      </c>
    </row>
    <row r="14360" spans="1:9">
      <c r="A14360" s="22" t="str">
        <f>HYPERLINK("https://app.vivvix.com/360/KMI/IntelliDrive/ApplUI/Pages/CreativePages/CustomReportCreativeDetail.aspx?App=23&amp;ReportView=4&amp;Qid=1711279&amp;Row=14352&amp;Col=1","No Title Assigned - #15274077191")</f>
        <v/>
      </c>
      <c r="B14360" s="0" t="s">
        <v>19133</v>
      </c>
      <c r="E14360" s="0" t="inlineStr">
        <is>
          <t xml:space="preserve">Mazda</t>
        </is>
      </c>
      <c r="F14360" s="0" t="inlineStr">
        <is>
          <t xml:space="preserve">Mazda</t>
        </is>
      </c>
      <c r="G14360" s="0" t="s">
        <v>171</v>
      </c>
      <c r="H14360" s="5">
        <v>78.347900</v>
      </c>
    </row>
    <row r="14361" spans="1:9">
      <c r="A14361" s="22" t="str">
        <f>HYPERLINK("https://app.vivvix.com/360/KMI/IntelliDrive/ApplUI/Pages/CreativePages/CustomReportCreativeDetail.aspx?App=23&amp;ReportView=4&amp;Qid=1711279&amp;Row=14353&amp;Col=1","No Title Assigned - #15274077508")</f>
        <v/>
      </c>
      <c r="B14361" s="0" t="s">
        <v>19134</v>
      </c>
      <c r="C14361" s="0" t="s">
        <v>19135</v>
      </c>
      <c r="D14361" s="0" t="s">
        <v>19135</v>
      </c>
      <c r="E14361" s="0" t="inlineStr">
        <is>
          <t xml:space="preserve">Mazda</t>
        </is>
      </c>
      <c r="F14361" s="0" t="inlineStr">
        <is>
          <t xml:space="preserve">Mazda</t>
        </is>
      </c>
      <c r="G14361" s="0" t="s">
        <v>171</v>
      </c>
      <c r="H14361" s="5">
        <v>111.770600</v>
      </c>
    </row>
    <row r="14362" spans="1:9">
      <c r="A14362" s="22" t="str">
        <f>HYPERLINK("https://app.vivvix.com/360/KMI/IntelliDrive/ApplUI/Pages/CreativePages/CustomReportCreativeDetail.aspx?App=23&amp;ReportView=4&amp;Qid=1711279&amp;Row=14354&amp;Col=1","No Title Assigned - #15274077602")</f>
        <v/>
      </c>
      <c r="B14362" s="0" t="s">
        <v>19136</v>
      </c>
      <c r="E14362" s="0" t="inlineStr">
        <is>
          <t xml:space="preserve">Mazda</t>
        </is>
      </c>
      <c r="F14362" s="0" t="inlineStr">
        <is>
          <t xml:space="preserve">Mazda</t>
        </is>
      </c>
      <c r="G14362" s="0" t="s">
        <v>171</v>
      </c>
      <c r="H14362" s="5">
        <v>932.001400</v>
      </c>
    </row>
    <row r="14363" spans="1:9">
      <c r="A14363" s="22" t="str">
        <f>HYPERLINK("https://app.vivvix.com/360/KMI/IntelliDrive/ApplUI/Pages/CreativePages/CustomReportCreativeDetail.aspx?App=23&amp;ReportView=4&amp;Qid=1711279&amp;Row=14355&amp;Col=1","No Title Assigned - #15274077809")</f>
        <v/>
      </c>
      <c r="B14363" s="0" t="s">
        <v>19137</v>
      </c>
      <c r="E14363" s="0" t="inlineStr">
        <is>
          <t xml:space="preserve">Mazda</t>
        </is>
      </c>
      <c r="F14363" s="0" t="inlineStr">
        <is>
          <t xml:space="preserve">Mazda</t>
        </is>
      </c>
      <c r="G14363" s="0" t="s">
        <v>171</v>
      </c>
      <c r="H14363" s="5">
        <v>334.656500</v>
      </c>
    </row>
    <row r="14364" spans="1:9">
      <c r="A14364" s="22" t="str">
        <f>HYPERLINK("https://app.vivvix.com/360/KMI/IntelliDrive/ApplUI/Pages/CreativePages/CustomReportCreativeDetail.aspx?App=23&amp;ReportView=4&amp;Qid=1711279&amp;Row=14356&amp;Col=1","No Title Assigned - #15274078824")</f>
        <v/>
      </c>
      <c r="B14364" s="0" t="s">
        <v>19138</v>
      </c>
      <c r="E14364" s="0" t="inlineStr">
        <is>
          <t xml:space="preserve">Mazda</t>
        </is>
      </c>
      <c r="F14364" s="0" t="s">
        <v>28</v>
      </c>
      <c r="G14364" s="0" t="s">
        <v>29</v>
      </c>
      <c r="H14364" s="5">
        <v>10.128500</v>
      </c>
    </row>
    <row r="14365" spans="1:9">
      <c r="A14365" s="22" t="str">
        <f>HYPERLINK("https://app.vivvix.com/360/KMI/IntelliDrive/ApplUI/Pages/CreativePages/CustomReportCreativeDetail.aspx?App=23&amp;ReportView=4&amp;Qid=1711279&amp;Row=14357&amp;Col=1","No Title Assigned - #15274081239")</f>
        <v/>
      </c>
      <c r="B14365" s="0" t="s">
        <v>19139</v>
      </c>
      <c r="E14365" s="0" t="inlineStr">
        <is>
          <t xml:space="preserve">Mazda</t>
        </is>
      </c>
      <c r="F14365" s="0" t="inlineStr">
        <is>
          <t xml:space="preserve">Mazda</t>
        </is>
      </c>
      <c r="G14365" s="0" t="s">
        <v>171</v>
      </c>
      <c r="H14365" s="5">
        <v>47.615900</v>
      </c>
    </row>
    <row r="14366" spans="1:9">
      <c r="A14366" s="22" t="str">
        <f>HYPERLINK("https://app.vivvix.com/360/KMI/IntelliDrive/ApplUI/Pages/CreativePages/CustomReportCreativeDetail.aspx?App=23&amp;ReportView=4&amp;Qid=1711279&amp;Row=14358&amp;Col=1","No Title Assigned - #15274081720")</f>
        <v/>
      </c>
      <c r="B14366" s="0" t="s">
        <v>19140</v>
      </c>
      <c r="C14366" s="0" t="s">
        <v>19141</v>
      </c>
      <c r="D14366" s="0" t="s">
        <v>19141</v>
      </c>
      <c r="E14366" s="0" t="inlineStr">
        <is>
          <t xml:space="preserve">Mazda</t>
        </is>
      </c>
      <c r="F14366" s="0" t="inlineStr">
        <is>
          <t xml:space="preserve">Mazda</t>
        </is>
      </c>
      <c r="G14366" s="0" t="s">
        <v>171</v>
      </c>
      <c r="H14366" s="5">
        <v>125.656700</v>
      </c>
    </row>
    <row r="14367" spans="1:9">
      <c r="A14367" s="22" t="str">
        <f>HYPERLINK("https://app.vivvix.com/360/KMI/IntelliDrive/ApplUI/Pages/CreativePages/CustomReportCreativeDetail.aspx?App=23&amp;ReportView=4&amp;Qid=1711279&amp;Row=14359&amp;Col=1","No Title Assigned - #15274084717")</f>
        <v/>
      </c>
      <c r="B14367" s="0" t="s">
        <v>19142</v>
      </c>
      <c r="E14367" s="0" t="inlineStr">
        <is>
          <t xml:space="preserve">Mazda</t>
        </is>
      </c>
      <c r="F14367" s="0" t="inlineStr">
        <is>
          <t xml:space="preserve">Mazda</t>
        </is>
      </c>
      <c r="G14367" s="0" t="s">
        <v>171</v>
      </c>
      <c r="H14367" s="5">
        <v>1106.003100</v>
      </c>
    </row>
    <row r="14368" spans="1:9">
      <c r="A14368" s="22" t="str">
        <f>HYPERLINK("https://app.vivvix.com/360/KMI/IntelliDrive/ApplUI/Pages/CreativePages/CustomReportCreativeDetail.aspx?App=23&amp;ReportView=4&amp;Qid=1711279&amp;Row=14360&amp;Col=1","No Title Assigned - #15274085812")</f>
        <v/>
      </c>
      <c r="B14368" s="0" t="s">
        <v>19143</v>
      </c>
      <c r="E14368" s="0" t="inlineStr">
        <is>
          <t xml:space="preserve">Mazda</t>
        </is>
      </c>
      <c r="F14368" s="0" t="inlineStr">
        <is>
          <t xml:space="preserve">Mazda</t>
        </is>
      </c>
      <c r="G14368" s="0" t="s">
        <v>171</v>
      </c>
      <c r="H14368" s="5">
        <v>45.698600</v>
      </c>
    </row>
    <row r="14369" spans="1:9">
      <c r="A14369" s="22" t="str">
        <f>HYPERLINK("https://app.vivvix.com/360/KMI/IntelliDrive/ApplUI/Pages/CreativePages/CustomReportCreativeDetail.aspx?App=23&amp;ReportView=4&amp;Qid=1711279&amp;Row=14361&amp;Col=1","No Title Assigned - #15274091793")</f>
        <v/>
      </c>
      <c r="B14369" s="0" t="s">
        <v>19144</v>
      </c>
      <c r="E14369" s="0" t="inlineStr">
        <is>
          <t xml:space="preserve">Mazda</t>
        </is>
      </c>
      <c r="F14369" s="0" t="inlineStr">
        <is>
          <t xml:space="preserve">Mazda</t>
        </is>
      </c>
      <c r="G14369" s="0" t="s">
        <v>171</v>
      </c>
      <c r="H14369" s="5">
        <v>182.738000</v>
      </c>
    </row>
    <row r="14370" spans="1:9">
      <c r="A14370" s="22" t="str">
        <f>HYPERLINK("https://app.vivvix.com/360/KMI/IntelliDrive/ApplUI/Pages/CreativePages/CustomReportCreativeDetail.aspx?App=23&amp;ReportView=4&amp;Qid=1711279&amp;Row=14362&amp;Col=1","No Title Assigned - #15274092449")</f>
        <v/>
      </c>
      <c r="B14370" s="0" t="s">
        <v>19145</v>
      </c>
      <c r="E14370" s="0" t="inlineStr">
        <is>
          <t xml:space="preserve">Mazda</t>
        </is>
      </c>
      <c r="F14370" s="0" t="inlineStr">
        <is>
          <t xml:space="preserve">Mazda</t>
        </is>
      </c>
      <c r="G14370" s="0" t="s">
        <v>171</v>
      </c>
      <c r="H14370" s="5">
        <v>102.988600</v>
      </c>
    </row>
    <row r="14371" spans="1:9">
      <c r="A14371" s="22" t="str">
        <f>HYPERLINK("https://app.vivvix.com/360/KMI/IntelliDrive/ApplUI/Pages/CreativePages/CustomReportCreativeDetail.aspx?App=23&amp;ReportView=4&amp;Qid=1711279&amp;Row=14363&amp;Col=1","No Title Assigned - #15274098671")</f>
        <v/>
      </c>
      <c r="B14371" s="0" t="s">
        <v>19146</v>
      </c>
      <c r="E14371" s="0" t="inlineStr">
        <is>
          <t xml:space="preserve">Mazda</t>
        </is>
      </c>
      <c r="F14371" s="0" t="inlineStr">
        <is>
          <t xml:space="preserve">Mazda</t>
        </is>
      </c>
      <c r="G14371" s="0" t="s">
        <v>171</v>
      </c>
      <c r="H14371" s="5">
        <v>34.643900</v>
      </c>
    </row>
    <row r="14372" spans="1:9">
      <c r="A14372" s="22" t="str">
        <f>HYPERLINK("https://app.vivvix.com/360/KMI/IntelliDrive/ApplUI/Pages/CreativePages/CustomReportCreativeDetail.aspx?App=23&amp;ReportView=4&amp;Qid=1711279&amp;Row=14364&amp;Col=1","No Title Assigned - #15274100063")</f>
        <v/>
      </c>
      <c r="B14372" s="0" t="s">
        <v>19147</v>
      </c>
      <c r="E14372" s="0" t="inlineStr">
        <is>
          <t xml:space="preserve">Mazda</t>
        </is>
      </c>
      <c r="F14372" s="0" t="inlineStr">
        <is>
          <t xml:space="preserve">Mazda</t>
        </is>
      </c>
      <c r="G14372" s="0" t="s">
        <v>171</v>
      </c>
      <c r="H14372" s="5">
        <v>2977.172100</v>
      </c>
    </row>
    <row r="14373" spans="1:9">
      <c r="A14373" s="22" t="str">
        <f>HYPERLINK("https://app.vivvix.com/360/KMI/IntelliDrive/ApplUI/Pages/CreativePages/CustomReportCreativeDetail.aspx?App=23&amp;ReportView=4&amp;Qid=1711279&amp;Row=14365&amp;Col=1","No Title Assigned - #15274109085")</f>
        <v/>
      </c>
      <c r="B14373" s="0" t="s">
        <v>19148</v>
      </c>
      <c r="E14373" s="0" t="inlineStr">
        <is>
          <t xml:space="preserve">Mazda</t>
        </is>
      </c>
      <c r="F14373" s="0" t="inlineStr">
        <is>
          <t xml:space="preserve">Mazda</t>
        </is>
      </c>
      <c r="G14373" s="0" t="s">
        <v>171</v>
      </c>
      <c r="H14373" s="5">
        <v>2867.366400</v>
      </c>
    </row>
    <row r="14374" spans="1:9">
      <c r="A14374" s="22" t="str">
        <f>HYPERLINK("https://app.vivvix.com/360/KMI/IntelliDrive/ApplUI/Pages/CreativePages/CustomReportCreativeDetail.aspx?App=23&amp;ReportView=4&amp;Qid=1711279&amp;Row=14366&amp;Col=1","No Title Assigned - #15274109824")</f>
        <v/>
      </c>
      <c r="B14374" s="0" t="s">
        <v>19149</v>
      </c>
      <c r="E14374" s="0" t="inlineStr">
        <is>
          <t xml:space="preserve">Mazda</t>
        </is>
      </c>
      <c r="F14374" s="0" t="s">
        <v>28</v>
      </c>
      <c r="G14374" s="0" t="s">
        <v>29</v>
      </c>
      <c r="H14374" s="5">
        <v>10.128500</v>
      </c>
    </row>
    <row r="14375" spans="1:9">
      <c r="A14375" s="22" t="str">
        <f>HYPERLINK("https://app.vivvix.com/360/KMI/IntelliDrive/ApplUI/Pages/CreativePages/CustomReportCreativeDetail.aspx?App=23&amp;ReportView=4&amp;Qid=1711279&amp;Row=14367&amp;Col=1","No Title Assigned - #15274110803")</f>
        <v/>
      </c>
      <c r="B14375" s="0" t="s">
        <v>19150</v>
      </c>
      <c r="E14375" s="0" t="inlineStr">
        <is>
          <t xml:space="preserve">Mazda</t>
        </is>
      </c>
      <c r="F14375" s="0" t="s">
        <v>28</v>
      </c>
      <c r="G14375" s="0" t="s">
        <v>29</v>
      </c>
      <c r="H14375" s="5">
        <v>444.128900</v>
      </c>
    </row>
    <row r="14376" spans="1:9">
      <c r="A14376" s="22" t="str">
        <f>HYPERLINK("https://app.vivvix.com/360/KMI/IntelliDrive/ApplUI/Pages/CreativePages/CustomReportCreativeDetail.aspx?App=23&amp;ReportView=4&amp;Qid=1711279&amp;Row=14368&amp;Col=1","No Title Assigned - #15274117585")</f>
        <v/>
      </c>
      <c r="B14376" s="0" t="s">
        <v>19151</v>
      </c>
      <c r="E14376" s="0" t="inlineStr">
        <is>
          <t xml:space="preserve">Mazda</t>
        </is>
      </c>
      <c r="F14376" s="0" t="inlineStr">
        <is>
          <t xml:space="preserve">Mazda</t>
        </is>
      </c>
      <c r="G14376" s="0" t="s">
        <v>171</v>
      </c>
      <c r="H14376" s="5">
        <v>1482.669300</v>
      </c>
    </row>
    <row r="14377" spans="1:9">
      <c r="A14377" s="22" t="str">
        <f>HYPERLINK("https://app.vivvix.com/360/KMI/IntelliDrive/ApplUI/Pages/CreativePages/CustomReportCreativeDetail.aspx?App=23&amp;ReportView=4&amp;Qid=1711279&amp;Row=14369&amp;Col=1","No Title Assigned - #15274118291")</f>
        <v/>
      </c>
      <c r="B14377" s="0" t="s">
        <v>19152</v>
      </c>
      <c r="E14377" s="0" t="inlineStr">
        <is>
          <t xml:space="preserve">Mazda</t>
        </is>
      </c>
      <c r="F14377" s="0" t="inlineStr">
        <is>
          <t xml:space="preserve">Mazda</t>
        </is>
      </c>
      <c r="G14377" s="0" t="s">
        <v>171</v>
      </c>
      <c r="H14377" s="5">
        <v>13.062600</v>
      </c>
    </row>
    <row r="14378" spans="1:9">
      <c r="A14378" s="22" t="str">
        <f>HYPERLINK("https://app.vivvix.com/360/KMI/IntelliDrive/ApplUI/Pages/CreativePages/CustomReportCreativeDetail.aspx?App=23&amp;ReportView=4&amp;Qid=1711279&amp;Row=14370&amp;Col=1","No Title Assigned - #15274119593")</f>
        <v/>
      </c>
      <c r="B14378" s="0" t="s">
        <v>19153</v>
      </c>
      <c r="E14378" s="0" t="inlineStr">
        <is>
          <t xml:space="preserve">Mazda</t>
        </is>
      </c>
      <c r="F14378" s="0" t="s">
        <v>21</v>
      </c>
      <c r="G14378" s="0" t="s">
        <v>22</v>
      </c>
      <c r="H14378" s="5">
        <v>1738.115200</v>
      </c>
    </row>
    <row r="14379" spans="1:9">
      <c r="A14379" s="22" t="str">
        <f>HYPERLINK("https://app.vivvix.com/360/KMI/IntelliDrive/ApplUI/Pages/CreativePages/CustomReportCreativeDetail.aspx?App=23&amp;ReportView=4&amp;Qid=1711279&amp;Row=14371&amp;Col=1","No Title Assigned - #15274121349")</f>
        <v/>
      </c>
      <c r="B14379" s="0" t="s">
        <v>19154</v>
      </c>
      <c r="E14379" s="0" t="inlineStr">
        <is>
          <t xml:space="preserve">Mazda</t>
        </is>
      </c>
      <c r="F14379" s="0" t="inlineStr">
        <is>
          <t xml:space="preserve">Mazda</t>
        </is>
      </c>
      <c r="G14379" s="0" t="s">
        <v>171</v>
      </c>
      <c r="H14379" s="5">
        <v>87.245900</v>
      </c>
    </row>
    <row r="14380" spans="1:9">
      <c r="A14380" s="22" t="str">
        <f>HYPERLINK("https://app.vivvix.com/360/KMI/IntelliDrive/ApplUI/Pages/CreativePages/CustomReportCreativeDetail.aspx?App=23&amp;ReportView=4&amp;Qid=1711279&amp;Row=14372&amp;Col=1","No Title Assigned - #15274123387")</f>
        <v/>
      </c>
      <c r="B14380" s="0" t="s">
        <v>19155</v>
      </c>
      <c r="E14380" s="0" t="inlineStr">
        <is>
          <t xml:space="preserve">Mazda</t>
        </is>
      </c>
      <c r="F14380" s="0" t="inlineStr">
        <is>
          <t xml:space="preserve">Mazda</t>
        </is>
      </c>
      <c r="G14380" s="0" t="s">
        <v>171</v>
      </c>
      <c r="H14380" s="5">
        <v>182.012000</v>
      </c>
    </row>
    <row r="14381" spans="1:9">
      <c r="A14381" s="22" t="str">
        <f>HYPERLINK("https://app.vivvix.com/360/KMI/IntelliDrive/ApplUI/Pages/CreativePages/CustomReportCreativeDetail.aspx?App=23&amp;ReportView=4&amp;Qid=1711279&amp;Row=14373&amp;Col=1","No Title Assigned - #15274124706")</f>
        <v/>
      </c>
      <c r="B14381" s="0" t="s">
        <v>19156</v>
      </c>
      <c r="E14381" s="0" t="inlineStr">
        <is>
          <t xml:space="preserve">Mazda</t>
        </is>
      </c>
      <c r="F14381" s="0" t="inlineStr">
        <is>
          <t xml:space="preserve">Mazda</t>
        </is>
      </c>
      <c r="G14381" s="0" t="s">
        <v>210</v>
      </c>
      <c r="H14381" s="5">
        <v>499.779800</v>
      </c>
    </row>
    <row r="14382" spans="1:9">
      <c r="A14382" s="22" t="str">
        <f>HYPERLINK("https://app.vivvix.com/360/KMI/IntelliDrive/ApplUI/Pages/CreativePages/CustomReportCreativeDetail.aspx?App=23&amp;ReportView=4&amp;Qid=1711279&amp;Row=14374&amp;Col=1","No Title Assigned - #15274124945")</f>
        <v/>
      </c>
      <c r="B14382" s="0" t="s">
        <v>19157</v>
      </c>
      <c r="E14382" s="0" t="inlineStr">
        <is>
          <t xml:space="preserve">Mazda</t>
        </is>
      </c>
      <c r="F14382" s="0" t="s">
        <v>13</v>
      </c>
      <c r="G14382" s="0" t="s">
        <v>49</v>
      </c>
      <c r="H14382" s="5">
        <v>28.146200</v>
      </c>
    </row>
    <row r="14383" spans="1:9">
      <c r="A14383" s="22" t="str">
        <f>HYPERLINK("https://app.vivvix.com/360/KMI/IntelliDrive/ApplUI/Pages/CreativePages/CustomReportCreativeDetail.aspx?App=23&amp;ReportView=4&amp;Qid=1711279&amp;Row=14375&amp;Col=1","No Title Assigned - #15274126155")</f>
        <v/>
      </c>
      <c r="B14383" s="0" t="s">
        <v>19158</v>
      </c>
      <c r="E14383" s="0" t="inlineStr">
        <is>
          <t xml:space="preserve">Mazda</t>
        </is>
      </c>
      <c r="F14383" s="0" t="s">
        <v>13</v>
      </c>
      <c r="G14383" s="0" t="s">
        <v>49</v>
      </c>
      <c r="H14383" s="5">
        <v>75.814200</v>
      </c>
    </row>
    <row r="14384" spans="1:9">
      <c r="A14384" s="22" t="str">
        <f>HYPERLINK("https://app.vivvix.com/360/KMI/IntelliDrive/ApplUI/Pages/CreativePages/CustomReportCreativeDetail.aspx?App=23&amp;ReportView=4&amp;Qid=1711279&amp;Row=14376&amp;Col=1","No Title Assigned - #15274126494")</f>
        <v/>
      </c>
      <c r="B14384" s="0" t="s">
        <v>19159</v>
      </c>
      <c r="E14384" s="0" t="inlineStr">
        <is>
          <t xml:space="preserve">Mazda</t>
        </is>
      </c>
      <c r="F14384" s="0" t="s">
        <v>28</v>
      </c>
      <c r="G14384" s="0" t="s">
        <v>29</v>
      </c>
      <c r="H14384" s="5">
        <v>70.484800</v>
      </c>
    </row>
    <row r="14385" spans="1:9">
      <c r="A14385" s="22" t="str">
        <f>HYPERLINK("https://app.vivvix.com/360/KMI/IntelliDrive/ApplUI/Pages/CreativePages/CustomReportCreativeDetail.aspx?App=23&amp;ReportView=4&amp;Qid=1711279&amp;Row=14377&amp;Col=1","No Title Assigned - #15274129045")</f>
        <v/>
      </c>
      <c r="B14385" s="0" t="s">
        <v>19160</v>
      </c>
      <c r="C14385" s="0" t="s">
        <v>19161</v>
      </c>
      <c r="D14385" s="0" t="s">
        <v>19161</v>
      </c>
      <c r="E14385" s="0" t="inlineStr">
        <is>
          <t xml:space="preserve">Mazda</t>
        </is>
      </c>
      <c r="F14385" s="0" t="s">
        <v>28</v>
      </c>
      <c r="G14385" s="0" t="s">
        <v>29</v>
      </c>
      <c r="H14385" s="5">
        <v>5202.718300</v>
      </c>
    </row>
    <row r="14386" spans="1:9">
      <c r="A14386" s="22" t="str">
        <f>HYPERLINK("https://app.vivvix.com/360/KMI/IntelliDrive/ApplUI/Pages/CreativePages/CustomReportCreativeDetail.aspx?App=23&amp;ReportView=4&amp;Qid=1711279&amp;Row=14378&amp;Col=1","No Title Assigned - #15274131660")</f>
        <v/>
      </c>
      <c r="B14386" s="0" t="s">
        <v>19162</v>
      </c>
      <c r="E14386" s="0" t="inlineStr">
        <is>
          <t xml:space="preserve">Mazda</t>
        </is>
      </c>
      <c r="F14386" s="0" t="s">
        <v>28</v>
      </c>
      <c r="G14386" s="0" t="s">
        <v>29</v>
      </c>
      <c r="H14386" s="5">
        <v>50.191500</v>
      </c>
    </row>
    <row r="14387" spans="1:9">
      <c r="A14387" s="22" t="str">
        <f>HYPERLINK("https://app.vivvix.com/360/KMI/IntelliDrive/ApplUI/Pages/CreativePages/CustomReportCreativeDetail.aspx?App=23&amp;ReportView=4&amp;Qid=1711279&amp;Row=14379&amp;Col=1","No Title Assigned - #15274133105")</f>
        <v/>
      </c>
      <c r="B14387" s="0" t="s">
        <v>19163</v>
      </c>
      <c r="E14387" s="0" t="inlineStr">
        <is>
          <t xml:space="preserve">Mazda</t>
        </is>
      </c>
      <c r="F14387" s="0" t="s">
        <v>13</v>
      </c>
      <c r="G14387" s="0" t="s">
        <v>49</v>
      </c>
      <c r="H14387" s="5">
        <v>357.251000</v>
      </c>
    </row>
    <row r="14388" spans="1:9">
      <c r="A14388" s="22" t="str">
        <f>HYPERLINK("https://app.vivvix.com/360/KMI/IntelliDrive/ApplUI/Pages/CreativePages/CustomReportCreativeDetail.aspx?App=23&amp;ReportView=4&amp;Qid=1711279&amp;Row=14380&amp;Col=1","No Title Assigned - #15274133312")</f>
        <v/>
      </c>
      <c r="B14388" s="0" t="s">
        <v>19164</v>
      </c>
      <c r="E14388" s="0" t="inlineStr">
        <is>
          <t xml:space="preserve">Mazda</t>
        </is>
      </c>
      <c r="F14388" s="0" t="s">
        <v>13</v>
      </c>
      <c r="G14388" s="0" t="s">
        <v>49</v>
      </c>
      <c r="H14388" s="5">
        <v>2458.520400</v>
      </c>
    </row>
    <row r="14389" spans="1:9">
      <c r="A14389" s="22" t="str">
        <f>HYPERLINK("https://app.vivvix.com/360/KMI/IntelliDrive/ApplUI/Pages/CreativePages/CustomReportCreativeDetail.aspx?App=23&amp;ReportView=4&amp;Qid=1711279&amp;Row=14381&amp;Col=1","No Title Assigned - #15274133312")</f>
        <v/>
      </c>
      <c r="B14389" s="0" t="s">
        <v>19164</v>
      </c>
      <c r="E14389" s="0" t="inlineStr">
        <is>
          <t xml:space="preserve">Mazda</t>
        </is>
      </c>
      <c r="F14389" s="0" t="s">
        <v>13</v>
      </c>
      <c r="G14389" s="0" t="s">
        <v>49</v>
      </c>
      <c r="H14389" s="5">
        <v>1664.686000</v>
      </c>
    </row>
    <row r="14390" spans="1:9">
      <c r="A14390" s="22" t="str">
        <f>HYPERLINK("https://app.vivvix.com/360/KMI/IntelliDrive/ApplUI/Pages/CreativePages/CustomReportCreativeDetail.aspx?App=23&amp;ReportView=4&amp;Qid=1711279&amp;Row=14382&amp;Col=1","No Title Assigned - #15274135032")</f>
        <v/>
      </c>
      <c r="B14390" s="0" t="s">
        <v>19165</v>
      </c>
      <c r="C14390" s="0" t="s">
        <v>19166</v>
      </c>
      <c r="D14390" s="0" t="s">
        <v>14676</v>
      </c>
      <c r="E14390" s="0" t="inlineStr">
        <is>
          <t xml:space="preserve">Mazda</t>
        </is>
      </c>
      <c r="F14390" s="0" t="s">
        <v>21</v>
      </c>
      <c r="G14390" s="0" t="s">
        <v>22</v>
      </c>
      <c r="H14390" s="5">
        <v>3297.944800</v>
      </c>
    </row>
    <row r="14391" spans="1:9">
      <c r="A14391" s="22" t="str">
        <f>HYPERLINK("https://app.vivvix.com/360/KMI/IntelliDrive/ApplUI/Pages/CreativePages/CustomReportCreativeDetail.aspx?App=23&amp;ReportView=4&amp;Qid=1711279&amp;Row=14383&amp;Col=1","No Title Assigned - #15274137272")</f>
        <v/>
      </c>
      <c r="B14391" s="0" t="s">
        <v>19167</v>
      </c>
      <c r="C14391" s="0" t="s">
        <v>19168</v>
      </c>
      <c r="D14391" s="0" t="s">
        <v>19168</v>
      </c>
      <c r="E14391" s="0" t="inlineStr">
        <is>
          <t xml:space="preserve">Mazda</t>
        </is>
      </c>
      <c r="F14391" s="0" t="s">
        <v>17</v>
      </c>
      <c r="G14391" s="0" t="s">
        <v>33</v>
      </c>
      <c r="H14391" s="5">
        <v>1545.570700</v>
      </c>
    </row>
    <row r="14392" spans="1:9">
      <c r="A14392" s="22" t="str">
        <f>HYPERLINK("https://app.vivvix.com/360/KMI/IntelliDrive/ApplUI/Pages/CreativePages/CustomReportCreativeDetail.aspx?App=23&amp;ReportView=4&amp;Qid=1711279&amp;Row=14384&amp;Col=1","No Title Assigned - #15274140432")</f>
        <v/>
      </c>
      <c r="B14392" s="0" t="s">
        <v>19169</v>
      </c>
      <c r="C14392" s="0" t="s">
        <v>19170</v>
      </c>
      <c r="D14392" s="0" t="s">
        <v>4768</v>
      </c>
      <c r="E14392" s="0" t="inlineStr">
        <is>
          <t xml:space="preserve">Mazda</t>
        </is>
      </c>
      <c r="F14392" s="0" t="s">
        <v>13</v>
      </c>
      <c r="G14392" s="0" t="s">
        <v>49</v>
      </c>
      <c r="H14392" s="5">
        <v>95.999300</v>
      </c>
    </row>
    <row r="14393" spans="1:9">
      <c r="A14393" s="22" t="str">
        <f>HYPERLINK("https://app.vivvix.com/360/KMI/IntelliDrive/ApplUI/Pages/CreativePages/CustomReportCreativeDetail.aspx?App=23&amp;ReportView=4&amp;Qid=1711279&amp;Row=14385&amp;Col=1","No Title Assigned - #15274142657")</f>
        <v/>
      </c>
      <c r="B14393" s="0" t="s">
        <v>19171</v>
      </c>
      <c r="C14393" s="0" t="s">
        <v>19172</v>
      </c>
      <c r="D14393" s="0" t="s">
        <v>4335</v>
      </c>
      <c r="E14393" s="0" t="inlineStr">
        <is>
          <t xml:space="preserve">Mazda</t>
        </is>
      </c>
      <c r="F14393" s="0" t="s">
        <v>13</v>
      </c>
      <c r="G14393" s="0" t="s">
        <v>49</v>
      </c>
      <c r="H14393" s="5">
        <v>194.665800</v>
      </c>
    </row>
    <row r="14394" spans="1:9">
      <c r="A14394" s="22" t="str">
        <f>HYPERLINK("https://app.vivvix.com/360/KMI/IntelliDrive/ApplUI/Pages/CreativePages/CustomReportCreativeDetail.aspx?App=23&amp;ReportView=4&amp;Qid=1711279&amp;Row=14386&amp;Col=1","No Title Assigned - #15274143472")</f>
        <v/>
      </c>
      <c r="B14394" s="0" t="s">
        <v>19173</v>
      </c>
      <c r="E14394" s="0" t="inlineStr">
        <is>
          <t xml:space="preserve">Mazda</t>
        </is>
      </c>
      <c r="F14394" s="0" t="s">
        <v>13</v>
      </c>
      <c r="G14394" s="0" t="s">
        <v>49</v>
      </c>
      <c r="H14394" s="5">
        <v>85.243500</v>
      </c>
    </row>
    <row r="14395" spans="1:9">
      <c r="A14395" s="22" t="str">
        <f>HYPERLINK("https://app.vivvix.com/360/KMI/IntelliDrive/ApplUI/Pages/CreativePages/CustomReportCreativeDetail.aspx?App=23&amp;ReportView=4&amp;Qid=1711279&amp;Row=14387&amp;Col=1","No Title Assigned - #15274143521")</f>
        <v/>
      </c>
      <c r="B14395" s="0" t="s">
        <v>19174</v>
      </c>
      <c r="E14395" s="0" t="inlineStr">
        <is>
          <t xml:space="preserve">Mazda</t>
        </is>
      </c>
      <c r="F14395" s="0" t="s">
        <v>13</v>
      </c>
      <c r="G14395" s="0" t="s">
        <v>49</v>
      </c>
      <c r="H14395" s="5">
        <v>8276.806600</v>
      </c>
    </row>
    <row r="14396" spans="1:9">
      <c r="A14396" s="22" t="str">
        <f>HYPERLINK("https://app.vivvix.com/360/KMI/IntelliDrive/ApplUI/Pages/CreativePages/CustomReportCreativeDetail.aspx?App=23&amp;ReportView=4&amp;Qid=1711279&amp;Row=14388&amp;Col=1","No Title Assigned - #15274143521")</f>
        <v/>
      </c>
      <c r="B14396" s="0" t="s">
        <v>19174</v>
      </c>
      <c r="E14396" s="0" t="inlineStr">
        <is>
          <t xml:space="preserve">Mazda</t>
        </is>
      </c>
      <c r="F14396" s="0" t="s">
        <v>13</v>
      </c>
      <c r="G14396" s="0" t="s">
        <v>49</v>
      </c>
      <c r="H14396" s="5">
        <v>7464.226800</v>
      </c>
    </row>
    <row r="14397" spans="1:9">
      <c r="A14397" s="22" t="str">
        <f>HYPERLINK("https://app.vivvix.com/360/KMI/IntelliDrive/ApplUI/Pages/CreativePages/CustomReportCreativeDetail.aspx?App=23&amp;ReportView=4&amp;Qid=1711279&amp;Row=14389&amp;Col=1","No Title Assigned - #15274143933")</f>
        <v/>
      </c>
      <c r="B14397" s="0" t="s">
        <v>19175</v>
      </c>
      <c r="E14397" s="0" t="inlineStr">
        <is>
          <t xml:space="preserve">Mazda</t>
        </is>
      </c>
      <c r="F14397" s="0" t="s">
        <v>13</v>
      </c>
      <c r="G14397" s="0" t="s">
        <v>49</v>
      </c>
      <c r="H14397" s="5">
        <v>469.883200</v>
      </c>
    </row>
    <row r="14398" spans="1:9">
      <c r="A14398" s="22" t="str">
        <f>HYPERLINK("https://app.vivvix.com/360/KMI/IntelliDrive/ApplUI/Pages/CreativePages/CustomReportCreativeDetail.aspx?App=23&amp;ReportView=4&amp;Qid=1711279&amp;Row=14390&amp;Col=1","No Title Assigned - #15274144598")</f>
        <v/>
      </c>
      <c r="B14398" s="0" t="s">
        <v>19176</v>
      </c>
      <c r="E14398" s="0" t="inlineStr">
        <is>
          <t xml:space="preserve">Mazda</t>
        </is>
      </c>
      <c r="F14398" s="0" t="inlineStr">
        <is>
          <t xml:space="preserve">Mazda</t>
        </is>
      </c>
      <c r="G14398" s="0" t="s">
        <v>171</v>
      </c>
      <c r="H14398" s="5">
        <v>553.194000</v>
      </c>
    </row>
    <row r="14399" spans="1:9">
      <c r="A14399" s="22" t="str">
        <f>HYPERLINK("https://app.vivvix.com/360/KMI/IntelliDrive/ApplUI/Pages/CreativePages/CustomReportCreativeDetail.aspx?App=23&amp;ReportView=4&amp;Qid=1711279&amp;Row=14391&amp;Col=1","No Title Assigned - #15274144610")</f>
        <v/>
      </c>
      <c r="B14399" s="0" t="s">
        <v>19177</v>
      </c>
      <c r="E14399" s="0" t="inlineStr">
        <is>
          <t xml:space="preserve">Mazda</t>
        </is>
      </c>
      <c r="F14399" s="0" t="inlineStr">
        <is>
          <t xml:space="preserve">Mazda</t>
        </is>
      </c>
      <c r="G14399" s="0" t="s">
        <v>171</v>
      </c>
      <c r="H14399" s="5">
        <v>486.678900</v>
      </c>
    </row>
    <row r="14400" spans="1:9">
      <c r="A14400" s="22" t="str">
        <f>HYPERLINK("https://app.vivvix.com/360/KMI/IntelliDrive/ApplUI/Pages/CreativePages/CustomReportCreativeDetail.aspx?App=23&amp;ReportView=4&amp;Qid=1711279&amp;Row=14392&amp;Col=1","No Title Assigned - #15274144734")</f>
        <v/>
      </c>
      <c r="B14400" s="0" t="s">
        <v>19178</v>
      </c>
      <c r="E14400" s="0" t="inlineStr">
        <is>
          <t xml:space="preserve">Mazda</t>
        </is>
      </c>
      <c r="F14400" s="0" t="inlineStr">
        <is>
          <t xml:space="preserve">Mazda</t>
        </is>
      </c>
      <c r="G14400" s="0" t="s">
        <v>171</v>
      </c>
      <c r="H14400" s="5">
        <v>34.643900</v>
      </c>
    </row>
    <row r="14401" spans="1:9">
      <c r="A14401" s="22" t="str">
        <f>HYPERLINK("https://app.vivvix.com/360/KMI/IntelliDrive/ApplUI/Pages/CreativePages/CustomReportCreativeDetail.aspx?App=23&amp;ReportView=4&amp;Qid=1711279&amp;Row=14393&amp;Col=1","No Title Assigned - #15274146807")</f>
        <v/>
      </c>
      <c r="B14401" s="0" t="s">
        <v>19179</v>
      </c>
      <c r="E14401" s="0" t="inlineStr">
        <is>
          <t xml:space="preserve">Mazda</t>
        </is>
      </c>
      <c r="F14401" s="0" t="s">
        <v>13</v>
      </c>
      <c r="G14401" s="0" t="s">
        <v>49</v>
      </c>
      <c r="H14401" s="5">
        <v>81.040600</v>
      </c>
    </row>
    <row r="14402" spans="1:9">
      <c r="A14402" s="22" t="str">
        <f>HYPERLINK("https://app.vivvix.com/360/KMI/IntelliDrive/ApplUI/Pages/CreativePages/CustomReportCreativeDetail.aspx?App=23&amp;ReportView=4&amp;Qid=1711279&amp;Row=14394&amp;Col=1","No Title Assigned - #15274147442")</f>
        <v/>
      </c>
      <c r="B14402" s="0" t="s">
        <v>19180</v>
      </c>
      <c r="C14402" s="0" t="s">
        <v>19181</v>
      </c>
      <c r="D14402" s="0" t="s">
        <v>19181</v>
      </c>
      <c r="E14402" s="0" t="inlineStr">
        <is>
          <t xml:space="preserve">Mazda</t>
        </is>
      </c>
      <c r="F14402" s="0" t="s">
        <v>28</v>
      </c>
      <c r="G14402" s="0" t="s">
        <v>29</v>
      </c>
      <c r="H14402" s="5">
        <v>8.564800</v>
      </c>
    </row>
    <row r="14403" spans="1:9">
      <c r="A14403" s="22" t="str">
        <f>HYPERLINK("https://app.vivvix.com/360/KMI/IntelliDrive/ApplUI/Pages/CreativePages/CustomReportCreativeDetail.aspx?App=23&amp;ReportView=4&amp;Qid=1711279&amp;Row=14395&amp;Col=1","No Title Assigned - #15274147890")</f>
        <v/>
      </c>
      <c r="B14403" s="0" t="s">
        <v>19182</v>
      </c>
      <c r="C14403" s="0" t="s">
        <v>19183</v>
      </c>
      <c r="D14403" s="0" t="s">
        <v>8439</v>
      </c>
      <c r="E14403" s="0" t="inlineStr">
        <is>
          <t xml:space="preserve">Mazda</t>
        </is>
      </c>
      <c r="F14403" s="0" t="s">
        <v>13</v>
      </c>
      <c r="G14403" s="0" t="s">
        <v>49</v>
      </c>
      <c r="H14403" s="5">
        <v>399.160500</v>
      </c>
    </row>
    <row r="14404" spans="1:9">
      <c r="A14404" s="22" t="str">
        <f>HYPERLINK("https://app.vivvix.com/360/KMI/IntelliDrive/ApplUI/Pages/CreativePages/CustomReportCreativeDetail.aspx?App=23&amp;ReportView=4&amp;Qid=1711279&amp;Row=14396&amp;Col=1","No Title Assigned - #15274148294")</f>
        <v/>
      </c>
      <c r="B14404" s="0" t="s">
        <v>19184</v>
      </c>
      <c r="C14404" s="0" t="s">
        <v>19185</v>
      </c>
      <c r="D14404" s="0" t="s">
        <v>4335</v>
      </c>
      <c r="E14404" s="0" t="inlineStr">
        <is>
          <t xml:space="preserve">Mazda</t>
        </is>
      </c>
      <c r="F14404" s="0" t="s">
        <v>13</v>
      </c>
      <c r="G14404" s="0" t="s">
        <v>49</v>
      </c>
      <c r="H14404" s="5">
        <v>596.209800</v>
      </c>
    </row>
    <row r="14405" spans="1:9">
      <c r="A14405" s="22" t="str">
        <f>HYPERLINK("https://app.vivvix.com/360/KMI/IntelliDrive/ApplUI/Pages/CreativePages/CustomReportCreativeDetail.aspx?App=23&amp;ReportView=4&amp;Qid=1711279&amp;Row=14397&amp;Col=1","No Title Assigned - #15274148368")</f>
        <v/>
      </c>
      <c r="B14405" s="0" t="s">
        <v>19186</v>
      </c>
      <c r="E14405" s="0" t="inlineStr">
        <is>
          <t xml:space="preserve">Mazda</t>
        </is>
      </c>
      <c r="F14405" s="0" t="s">
        <v>21</v>
      </c>
      <c r="G14405" s="0" t="s">
        <v>22</v>
      </c>
      <c r="H14405" s="5">
        <v>471.175400</v>
      </c>
    </row>
    <row r="14406" spans="1:9">
      <c r="A14406" s="22" t="str">
        <f>HYPERLINK("https://app.vivvix.com/360/KMI/IntelliDrive/ApplUI/Pages/CreativePages/CustomReportCreativeDetail.aspx?App=23&amp;ReportView=4&amp;Qid=1711279&amp;Row=14398&amp;Col=1","No Title Assigned - #15274149140")</f>
        <v/>
      </c>
      <c r="B14406" s="0" t="s">
        <v>19187</v>
      </c>
      <c r="C14406" s="0" t="s">
        <v>19188</v>
      </c>
      <c r="D14406" s="0" t="s">
        <v>4200</v>
      </c>
      <c r="E14406" s="0" t="inlineStr">
        <is>
          <t xml:space="preserve">Mazda</t>
        </is>
      </c>
      <c r="F14406" s="0" t="s">
        <v>28</v>
      </c>
      <c r="G14406" s="0" t="s">
        <v>29</v>
      </c>
      <c r="H14406" s="5">
        <v>164.375500</v>
      </c>
    </row>
    <row r="14407" spans="1:9">
      <c r="A14407" s="22" t="str">
        <f>HYPERLINK("https://app.vivvix.com/360/KMI/IntelliDrive/ApplUI/Pages/CreativePages/CustomReportCreativeDetail.aspx?App=23&amp;ReportView=4&amp;Qid=1711279&amp;Row=14399&amp;Col=1","No Title Assigned - #15274149721")</f>
        <v/>
      </c>
      <c r="B14407" s="0" t="s">
        <v>19189</v>
      </c>
      <c r="C14407" s="0" t="s">
        <v>19190</v>
      </c>
      <c r="D14407" s="0" t="s">
        <v>19190</v>
      </c>
      <c r="E14407" s="0" t="inlineStr">
        <is>
          <t xml:space="preserve">Mazda</t>
        </is>
      </c>
      <c r="F14407" s="0" t="s">
        <v>17</v>
      </c>
      <c r="G14407" s="0" t="s">
        <v>33</v>
      </c>
      <c r="H14407" s="5">
        <v>36.433500</v>
      </c>
    </row>
    <row r="14408" spans="1:9">
      <c r="A14408" s="22" t="str">
        <f>HYPERLINK("https://app.vivvix.com/360/KMI/IntelliDrive/ApplUI/Pages/CreativePages/CustomReportCreativeDetail.aspx?App=23&amp;ReportView=4&amp;Qid=1711279&amp;Row=14400&amp;Col=1","No Title Assigned - #15274149721")</f>
        <v/>
      </c>
      <c r="B14408" s="0" t="s">
        <v>19189</v>
      </c>
      <c r="E14408" s="0" t="inlineStr">
        <is>
          <t xml:space="preserve">Mazda</t>
        </is>
      </c>
      <c r="F14408" s="0" t="s">
        <v>17</v>
      </c>
      <c r="G14408" s="0" t="s">
        <v>33</v>
      </c>
      <c r="H14408" s="5">
        <v>447.996600</v>
      </c>
    </row>
    <row r="14409" spans="1:9">
      <c r="A14409" s="22" t="str">
        <f>HYPERLINK("https://app.vivvix.com/360/KMI/IntelliDrive/ApplUI/Pages/CreativePages/CustomReportCreativeDetail.aspx?App=23&amp;ReportView=4&amp;Qid=1711279&amp;Row=14401&amp;Col=1","No Title Assigned - #15274149996")</f>
        <v/>
      </c>
      <c r="B14409" s="0" t="s">
        <v>19191</v>
      </c>
      <c r="E14409" s="0" t="inlineStr">
        <is>
          <t xml:space="preserve">Mazda</t>
        </is>
      </c>
      <c r="F14409" s="0" t="s">
        <v>13</v>
      </c>
      <c r="G14409" s="0" t="s">
        <v>49</v>
      </c>
      <c r="H14409" s="5">
        <v>296.116400</v>
      </c>
    </row>
    <row r="14410" spans="1:9">
      <c r="A14410" s="22" t="str">
        <f>HYPERLINK("https://app.vivvix.com/360/KMI/IntelliDrive/ApplUI/Pages/CreativePages/CustomReportCreativeDetail.aspx?App=23&amp;ReportView=4&amp;Qid=1711279&amp;Row=14402&amp;Col=1","No Title Assigned - #15274150521")</f>
        <v/>
      </c>
      <c r="B14410" s="0" t="s">
        <v>19192</v>
      </c>
      <c r="E14410" s="0" t="inlineStr">
        <is>
          <t xml:space="preserve">Mazda</t>
        </is>
      </c>
      <c r="F14410" s="0" t="inlineStr">
        <is>
          <t xml:space="preserve">Mazda</t>
        </is>
      </c>
      <c r="G14410" s="0" t="s">
        <v>171</v>
      </c>
      <c r="H14410" s="5">
        <v>52.160500</v>
      </c>
    </row>
    <row r="14411" spans="1:9">
      <c r="A14411" s="22" t="str">
        <f>HYPERLINK("https://app.vivvix.com/360/KMI/IntelliDrive/ApplUI/Pages/CreativePages/CustomReportCreativeDetail.aspx?App=23&amp;ReportView=4&amp;Qid=1711279&amp;Row=14403&amp;Col=1","No Title Assigned - #15274150680")</f>
        <v/>
      </c>
      <c r="B14411" s="0" t="s">
        <v>19193</v>
      </c>
      <c r="E14411" s="0" t="inlineStr">
        <is>
          <t xml:space="preserve">Mazda</t>
        </is>
      </c>
      <c r="F14411" s="0" t="inlineStr">
        <is>
          <t xml:space="preserve">Mazda</t>
        </is>
      </c>
      <c r="G14411" s="0" t="s">
        <v>171</v>
      </c>
      <c r="H14411" s="5">
        <v>342.090200</v>
      </c>
    </row>
    <row r="14412" spans="1:9">
      <c r="A14412" s="22" t="str">
        <f>HYPERLINK("https://app.vivvix.com/360/KMI/IntelliDrive/ApplUI/Pages/CreativePages/CustomReportCreativeDetail.aspx?App=23&amp;ReportView=4&amp;Qid=1711279&amp;Row=14404&amp;Col=1","No Title Assigned - #15274150850")</f>
        <v/>
      </c>
      <c r="B14412" s="0" t="s">
        <v>19194</v>
      </c>
      <c r="E14412" s="0" t="inlineStr">
        <is>
          <t xml:space="preserve">Mazda</t>
        </is>
      </c>
      <c r="F14412" s="0" t="inlineStr">
        <is>
          <t xml:space="preserve">Mazda</t>
        </is>
      </c>
      <c r="G14412" s="0" t="s">
        <v>171</v>
      </c>
      <c r="H14412" s="5">
        <v>368.573300</v>
      </c>
    </row>
    <row r="14413" spans="1:9">
      <c r="A14413" s="22" t="str">
        <f>HYPERLINK("https://app.vivvix.com/360/KMI/IntelliDrive/ApplUI/Pages/CreativePages/CustomReportCreativeDetail.aspx?App=23&amp;ReportView=4&amp;Qid=1711279&amp;Row=14405&amp;Col=1","No Title Assigned - #15274150908")</f>
        <v/>
      </c>
      <c r="B14413" s="0" t="s">
        <v>19195</v>
      </c>
      <c r="E14413" s="0" t="inlineStr">
        <is>
          <t xml:space="preserve">Mazda</t>
        </is>
      </c>
      <c r="F14413" s="0" t="inlineStr">
        <is>
          <t xml:space="preserve">Mazda</t>
        </is>
      </c>
      <c r="G14413" s="0" t="s">
        <v>171</v>
      </c>
      <c r="H14413" s="5">
        <v>176.204500</v>
      </c>
    </row>
    <row r="14414" spans="1:9">
      <c r="A14414" s="22" t="str">
        <f>HYPERLINK("https://app.vivvix.com/360/KMI/IntelliDrive/ApplUI/Pages/CreativePages/CustomReportCreativeDetail.aspx?App=23&amp;ReportView=4&amp;Qid=1711279&amp;Row=14406&amp;Col=1","No Title Assigned - #15274151037")</f>
        <v/>
      </c>
      <c r="B14414" s="0" t="s">
        <v>19196</v>
      </c>
      <c r="C14414" s="0" t="s">
        <v>19197</v>
      </c>
      <c r="D14414" s="0" t="s">
        <v>19197</v>
      </c>
      <c r="E14414" s="0" t="inlineStr">
        <is>
          <t xml:space="preserve">Mazda</t>
        </is>
      </c>
      <c r="F14414" s="0" t="s">
        <v>28</v>
      </c>
      <c r="G14414" s="0" t="s">
        <v>29</v>
      </c>
      <c r="H14414" s="5">
        <v>221.756200</v>
      </c>
    </row>
    <row r="14415" spans="1:9">
      <c r="A14415" s="22" t="str">
        <f>HYPERLINK("https://app.vivvix.com/360/KMI/IntelliDrive/ApplUI/Pages/CreativePages/CustomReportCreativeDetail.aspx?App=23&amp;ReportView=4&amp;Qid=1711279&amp;Row=14407&amp;Col=1","No Title Assigned - #15274151153")</f>
        <v/>
      </c>
      <c r="B14415" s="0" t="s">
        <v>19198</v>
      </c>
      <c r="E14415" s="0" t="inlineStr">
        <is>
          <t xml:space="preserve">Mazda</t>
        </is>
      </c>
      <c r="F14415" s="0" t="inlineStr">
        <is>
          <t xml:space="preserve">Mazda</t>
        </is>
      </c>
      <c r="G14415" s="0" t="s">
        <v>171</v>
      </c>
      <c r="H14415" s="5">
        <v>202.432500</v>
      </c>
    </row>
    <row r="14416" spans="1:9">
      <c r="A14416" s="22" t="str">
        <f>HYPERLINK("https://app.vivvix.com/360/KMI/IntelliDrive/ApplUI/Pages/CreativePages/CustomReportCreativeDetail.aspx?App=23&amp;ReportView=4&amp;Qid=1711279&amp;Row=14408&amp;Col=1","No Title Assigned - #15274152450")</f>
        <v/>
      </c>
      <c r="B14416" s="0" t="s">
        <v>19199</v>
      </c>
      <c r="C14416" s="0" t="s">
        <v>19200</v>
      </c>
      <c r="D14416" s="0" t="s">
        <v>4335</v>
      </c>
      <c r="E14416" s="0" t="inlineStr">
        <is>
          <t xml:space="preserve">Mazda</t>
        </is>
      </c>
      <c r="F14416" s="0" t="s">
        <v>13</v>
      </c>
      <c r="G14416" s="0" t="s">
        <v>49</v>
      </c>
      <c r="H14416" s="5">
        <v>2406.039800</v>
      </c>
    </row>
    <row r="14417" spans="1:9">
      <c r="A14417" s="22" t="str">
        <f>HYPERLINK("https://app.vivvix.com/360/KMI/IntelliDrive/ApplUI/Pages/CreativePages/CustomReportCreativeDetail.aspx?App=23&amp;ReportView=4&amp;Qid=1711279&amp;Row=14409&amp;Col=1","No Title Assigned - #15274152643")</f>
        <v/>
      </c>
      <c r="B14417" s="0" t="s">
        <v>19201</v>
      </c>
      <c r="C14417" s="0" t="s">
        <v>19202</v>
      </c>
      <c r="D14417" s="0" t="s">
        <v>19202</v>
      </c>
      <c r="E14417" s="0" t="inlineStr">
        <is>
          <t xml:space="preserve">Mazda</t>
        </is>
      </c>
      <c r="F14417" s="0" t="s">
        <v>13</v>
      </c>
      <c r="G14417" s="0" t="s">
        <v>49</v>
      </c>
      <c r="H14417" s="5">
        <v>246.516100</v>
      </c>
    </row>
    <row r="14418" spans="1:9">
      <c r="A14418" s="22" t="str">
        <f>HYPERLINK("https://app.vivvix.com/360/KMI/IntelliDrive/ApplUI/Pages/CreativePages/CustomReportCreativeDetail.aspx?App=23&amp;ReportView=4&amp;Qid=1711279&amp;Row=14410&amp;Col=1","No Title Assigned - #15274153219")</f>
        <v/>
      </c>
      <c r="B14418" s="0" t="s">
        <v>19203</v>
      </c>
      <c r="E14418" s="0" t="inlineStr">
        <is>
          <t xml:space="preserve">Mazda</t>
        </is>
      </c>
      <c r="F14418" s="0" t="s">
        <v>13</v>
      </c>
      <c r="G14418" s="0" t="s">
        <v>49</v>
      </c>
      <c r="H14418" s="5">
        <v>322.923300</v>
      </c>
    </row>
    <row r="14419" spans="1:9">
      <c r="A14419" s="22" t="str">
        <f>HYPERLINK("https://app.vivvix.com/360/KMI/IntelliDrive/ApplUI/Pages/CreativePages/CustomReportCreativeDetail.aspx?App=23&amp;ReportView=4&amp;Qid=1711279&amp;Row=14411&amp;Col=1","No Title Assigned - #15274155846")</f>
        <v/>
      </c>
      <c r="B14419" s="0" t="s">
        <v>19204</v>
      </c>
      <c r="E14419" s="0" t="inlineStr">
        <is>
          <t xml:space="preserve">Mazda</t>
        </is>
      </c>
      <c r="F14419" s="0" t="inlineStr">
        <is>
          <t xml:space="preserve">Mazda</t>
        </is>
      </c>
      <c r="G14419" s="0" t="s">
        <v>171</v>
      </c>
      <c r="H14419" s="5">
        <v>98.615400</v>
      </c>
    </row>
    <row r="14420" spans="1:9">
      <c r="A14420" s="22" t="str">
        <f>HYPERLINK("https://app.vivvix.com/360/KMI/IntelliDrive/ApplUI/Pages/CreativePages/CustomReportCreativeDetail.aspx?App=23&amp;ReportView=4&amp;Qid=1711279&amp;Row=14412&amp;Col=1","No Title Assigned - #15274155943")</f>
        <v/>
      </c>
      <c r="B14420" s="0" t="s">
        <v>19205</v>
      </c>
      <c r="E14420" s="0" t="inlineStr">
        <is>
          <t xml:space="preserve">Mazda</t>
        </is>
      </c>
      <c r="F14420" s="0" t="inlineStr">
        <is>
          <t xml:space="preserve">Mazda</t>
        </is>
      </c>
      <c r="G14420" s="0" t="s">
        <v>171</v>
      </c>
      <c r="H14420" s="5">
        <v>228.614700</v>
      </c>
    </row>
    <row r="14421" spans="1:9">
      <c r="A14421" s="22" t="str">
        <f>HYPERLINK("https://app.vivvix.com/360/KMI/IntelliDrive/ApplUI/Pages/CreativePages/CustomReportCreativeDetail.aspx?App=23&amp;ReportView=4&amp;Qid=1711279&amp;Row=14413&amp;Col=1","No Title Assigned - #15274156204")</f>
        <v/>
      </c>
      <c r="B14421" s="0" t="s">
        <v>19206</v>
      </c>
      <c r="E14421" s="0" t="inlineStr">
        <is>
          <t xml:space="preserve">Mazda</t>
        </is>
      </c>
      <c r="F14421" s="0" t="inlineStr">
        <is>
          <t xml:space="preserve">Mazda</t>
        </is>
      </c>
      <c r="G14421" s="0" t="s">
        <v>171</v>
      </c>
      <c r="H14421" s="5">
        <v>87.245900</v>
      </c>
    </row>
    <row r="14422" spans="1:9">
      <c r="A14422" s="22" t="str">
        <f>HYPERLINK("https://app.vivvix.com/360/KMI/IntelliDrive/ApplUI/Pages/CreativePages/CustomReportCreativeDetail.aspx?App=23&amp;ReportView=4&amp;Qid=1711279&amp;Row=14414&amp;Col=1","No Title Assigned - #15274156315")</f>
        <v/>
      </c>
      <c r="B14422" s="0" t="s">
        <v>19207</v>
      </c>
      <c r="E14422" s="0" t="inlineStr">
        <is>
          <t xml:space="preserve">Mazda</t>
        </is>
      </c>
      <c r="F14422" s="0" t="inlineStr">
        <is>
          <t xml:space="preserve">Mazda</t>
        </is>
      </c>
      <c r="G14422" s="0" t="s">
        <v>171</v>
      </c>
      <c r="H14422" s="5">
        <v>16.448700</v>
      </c>
    </row>
    <row r="14423" spans="1:9">
      <c r="A14423" s="22" t="str">
        <f>HYPERLINK("https://app.vivvix.com/360/KMI/IntelliDrive/ApplUI/Pages/CreativePages/CustomReportCreativeDetail.aspx?App=23&amp;ReportView=4&amp;Qid=1711279&amp;Row=14415&amp;Col=1","No Title Assigned - #15274156352")</f>
        <v/>
      </c>
      <c r="B14423" s="0" t="s">
        <v>19208</v>
      </c>
      <c r="C14423" s="0" t="s">
        <v>19209</v>
      </c>
      <c r="D14423" s="0" t="s">
        <v>19209</v>
      </c>
      <c r="E14423" s="0" t="inlineStr">
        <is>
          <t xml:space="preserve">Mazda</t>
        </is>
      </c>
      <c r="F14423" s="0" t="s">
        <v>13</v>
      </c>
      <c r="G14423" s="0" t="s">
        <v>49</v>
      </c>
      <c r="H14423" s="5">
        <v>43.687000</v>
      </c>
    </row>
    <row r="14424" spans="1:9">
      <c r="A14424" s="22" t="str">
        <f>HYPERLINK("https://app.vivvix.com/360/KMI/IntelliDrive/ApplUI/Pages/CreativePages/CustomReportCreativeDetail.aspx?App=23&amp;ReportView=4&amp;Qid=1711279&amp;Row=14416&amp;Col=1","No Title Assigned - #15274156352")</f>
        <v/>
      </c>
      <c r="B14424" s="0" t="s">
        <v>19208</v>
      </c>
      <c r="E14424" s="0" t="inlineStr">
        <is>
          <t xml:space="preserve">Mazda</t>
        </is>
      </c>
      <c r="F14424" s="0" t="s">
        <v>13</v>
      </c>
      <c r="G14424" s="0" t="s">
        <v>49</v>
      </c>
      <c r="H14424" s="5">
        <v>219.066700</v>
      </c>
    </row>
    <row r="14425" spans="1:9">
      <c r="A14425" s="22" t="str">
        <f>HYPERLINK("https://app.vivvix.com/360/KMI/IntelliDrive/ApplUI/Pages/CreativePages/CustomReportCreativeDetail.aspx?App=23&amp;ReportView=4&amp;Qid=1711279&amp;Row=14417&amp;Col=1","No Title Assigned - #15274156432")</f>
        <v/>
      </c>
      <c r="B14425" s="0" t="s">
        <v>19210</v>
      </c>
      <c r="E14425" s="0" t="inlineStr">
        <is>
          <t xml:space="preserve">Mazda</t>
        </is>
      </c>
      <c r="F14425" s="0" t="inlineStr">
        <is>
          <t xml:space="preserve">Mazda</t>
        </is>
      </c>
      <c r="G14425" s="0" t="s">
        <v>171</v>
      </c>
      <c r="H14425" s="5">
        <v>93.987900</v>
      </c>
    </row>
    <row r="14426" spans="1:9">
      <c r="A14426" s="22" t="str">
        <f>HYPERLINK("https://app.vivvix.com/360/KMI/IntelliDrive/ApplUI/Pages/CreativePages/CustomReportCreativeDetail.aspx?App=23&amp;ReportView=4&amp;Qid=1711279&amp;Row=14418&amp;Col=1","No Title Assigned - #15274156452")</f>
        <v/>
      </c>
      <c r="B14426" s="0" t="s">
        <v>19211</v>
      </c>
      <c r="E14426" s="0" t="inlineStr">
        <is>
          <t xml:space="preserve">Mazda</t>
        </is>
      </c>
      <c r="F14426" s="0" t="inlineStr">
        <is>
          <t xml:space="preserve">Mazda</t>
        </is>
      </c>
      <c r="G14426" s="0" t="s">
        <v>171</v>
      </c>
      <c r="H14426" s="5">
        <v>57.007900</v>
      </c>
    </row>
    <row r="14427" spans="1:9">
      <c r="A14427" s="22" t="str">
        <f>HYPERLINK("https://app.vivvix.com/360/KMI/IntelliDrive/ApplUI/Pages/CreativePages/CustomReportCreativeDetail.aspx?App=23&amp;ReportView=4&amp;Qid=1711279&amp;Row=14419&amp;Col=1","No Title Assigned - #15274156692")</f>
        <v/>
      </c>
      <c r="B14427" s="0" t="s">
        <v>19212</v>
      </c>
      <c r="E14427" s="0" t="inlineStr">
        <is>
          <t xml:space="preserve">Mazda</t>
        </is>
      </c>
      <c r="F14427" s="0" t="inlineStr">
        <is>
          <t xml:space="preserve">Mazda</t>
        </is>
      </c>
      <c r="G14427" s="0" t="s">
        <v>171</v>
      </c>
      <c r="H14427" s="5">
        <v>5.965700</v>
      </c>
    </row>
    <row r="14428" spans="1:9">
      <c r="A14428" s="22" t="str">
        <f>HYPERLINK("https://app.vivvix.com/360/KMI/IntelliDrive/ApplUI/Pages/CreativePages/CustomReportCreativeDetail.aspx?App=23&amp;ReportView=4&amp;Qid=1711279&amp;Row=14420&amp;Col=1","No Title Assigned - #15274156845")</f>
        <v/>
      </c>
      <c r="B14428" s="0" t="s">
        <v>19213</v>
      </c>
      <c r="E14428" s="0" t="inlineStr">
        <is>
          <t xml:space="preserve">Mazda</t>
        </is>
      </c>
      <c r="F14428" s="0" t="inlineStr">
        <is>
          <t xml:space="preserve">Mazda</t>
        </is>
      </c>
      <c r="G14428" s="0" t="s">
        <v>171</v>
      </c>
      <c r="H14428" s="5">
        <v>62.325300</v>
      </c>
    </row>
    <row r="14429" spans="1:9">
      <c r="A14429" s="22" t="str">
        <f>HYPERLINK("https://app.vivvix.com/360/KMI/IntelliDrive/ApplUI/Pages/CreativePages/CustomReportCreativeDetail.aspx?App=23&amp;ReportView=4&amp;Qid=1711279&amp;Row=14421&amp;Col=1","No Title Assigned - #15274157121")</f>
        <v/>
      </c>
      <c r="B14429" s="0" t="s">
        <v>19214</v>
      </c>
      <c r="E14429" s="0" t="inlineStr">
        <is>
          <t xml:space="preserve">Mazda</t>
        </is>
      </c>
      <c r="F14429" s="0" t="inlineStr">
        <is>
          <t xml:space="preserve">Mazda</t>
        </is>
      </c>
      <c r="G14429" s="0" t="s">
        <v>171</v>
      </c>
      <c r="H14429" s="5">
        <v>1126.457600</v>
      </c>
    </row>
    <row r="14430" spans="1:9">
      <c r="A14430" s="22" t="str">
        <f>HYPERLINK("https://app.vivvix.com/360/KMI/IntelliDrive/ApplUI/Pages/CreativePages/CustomReportCreativeDetail.aspx?App=23&amp;ReportView=4&amp;Qid=1711279&amp;Row=14422&amp;Col=1","No Title Assigned - #15274157422")</f>
        <v/>
      </c>
      <c r="B14430" s="0" t="s">
        <v>19215</v>
      </c>
      <c r="E14430" s="0" t="inlineStr">
        <is>
          <t xml:space="preserve">Mazda</t>
        </is>
      </c>
      <c r="F14430" s="0" t="inlineStr">
        <is>
          <t xml:space="preserve">Mazda</t>
        </is>
      </c>
      <c r="G14430" s="0" t="s">
        <v>171</v>
      </c>
      <c r="H14430" s="5">
        <v>46.165200</v>
      </c>
    </row>
    <row r="14431" spans="1:9">
      <c r="A14431" s="22" t="str">
        <f>HYPERLINK("https://app.vivvix.com/360/KMI/IntelliDrive/ApplUI/Pages/CreativePages/CustomReportCreativeDetail.aspx?App=23&amp;ReportView=4&amp;Qid=1711279&amp;Row=14423&amp;Col=1","No Title Assigned - #15274157737")</f>
        <v/>
      </c>
      <c r="B14431" s="0" t="s">
        <v>19216</v>
      </c>
      <c r="E14431" s="0" t="inlineStr">
        <is>
          <t xml:space="preserve">Mazda</t>
        </is>
      </c>
      <c r="F14431" s="0" t="inlineStr">
        <is>
          <t xml:space="preserve">Mazda</t>
        </is>
      </c>
      <c r="G14431" s="0" t="s">
        <v>171</v>
      </c>
      <c r="H14431" s="5">
        <v>264.931400</v>
      </c>
    </row>
    <row r="14432" spans="1:9">
      <c r="A14432" s="22" t="str">
        <f>HYPERLINK("https://app.vivvix.com/360/KMI/IntelliDrive/ApplUI/Pages/CreativePages/CustomReportCreativeDetail.aspx?App=23&amp;ReportView=4&amp;Qid=1711279&amp;Row=14424&amp;Col=1","No Title Assigned - #15274157779")</f>
        <v/>
      </c>
      <c r="B14432" s="0" t="s">
        <v>19217</v>
      </c>
      <c r="E14432" s="0" t="inlineStr">
        <is>
          <t xml:space="preserve">Mazda</t>
        </is>
      </c>
      <c r="F14432" s="0" t="inlineStr">
        <is>
          <t xml:space="preserve">Mazda</t>
        </is>
      </c>
      <c r="G14432" s="0" t="s">
        <v>171</v>
      </c>
      <c r="H14432" s="5">
        <v>2566.815900</v>
      </c>
    </row>
    <row r="14433" spans="1:9">
      <c r="A14433" s="22" t="str">
        <f>HYPERLINK("https://app.vivvix.com/360/KMI/IntelliDrive/ApplUI/Pages/CreativePages/CustomReportCreativeDetail.aspx?App=23&amp;ReportView=4&amp;Qid=1711279&amp;Row=14425&amp;Col=1","No Title Assigned - #15274157896")</f>
        <v/>
      </c>
      <c r="B14433" s="0" t="s">
        <v>19218</v>
      </c>
      <c r="E14433" s="0" t="inlineStr">
        <is>
          <t xml:space="preserve">Mazda</t>
        </is>
      </c>
      <c r="F14433" s="0" t="inlineStr">
        <is>
          <t xml:space="preserve">Mazda</t>
        </is>
      </c>
      <c r="G14433" s="0" t="s">
        <v>171</v>
      </c>
      <c r="H14433" s="5">
        <v>152.230400</v>
      </c>
    </row>
    <row r="14434" spans="1:9">
      <c r="A14434" s="22" t="str">
        <f>HYPERLINK("https://app.vivvix.com/360/KMI/IntelliDrive/ApplUI/Pages/CreativePages/CustomReportCreativeDetail.aspx?App=23&amp;ReportView=4&amp;Qid=1711279&amp;Row=14426&amp;Col=1","No Title Assigned - #15274158257")</f>
        <v/>
      </c>
      <c r="B14434" s="0" t="s">
        <v>19219</v>
      </c>
      <c r="E14434" s="0" t="inlineStr">
        <is>
          <t xml:space="preserve">Mazda</t>
        </is>
      </c>
      <c r="F14434" s="0" t="inlineStr">
        <is>
          <t xml:space="preserve">Mazda</t>
        </is>
      </c>
      <c r="G14434" s="0" t="s">
        <v>171</v>
      </c>
      <c r="H14434" s="5">
        <v>1715.276600</v>
      </c>
    </row>
    <row r="14435" spans="1:9">
      <c r="A14435" s="22" t="str">
        <f>HYPERLINK("https://app.vivvix.com/360/KMI/IntelliDrive/ApplUI/Pages/CreativePages/CustomReportCreativeDetail.aspx?App=23&amp;ReportView=4&amp;Qid=1711279&amp;Row=14427&amp;Col=1","No Title Assigned - #15274158366")</f>
        <v/>
      </c>
      <c r="B14435" s="0" t="s">
        <v>19220</v>
      </c>
      <c r="E14435" s="0" t="inlineStr">
        <is>
          <t xml:space="preserve">Mazda</t>
        </is>
      </c>
      <c r="F14435" s="0" t="inlineStr">
        <is>
          <t xml:space="preserve">Mazda</t>
        </is>
      </c>
      <c r="G14435" s="0" t="s">
        <v>171</v>
      </c>
      <c r="H14435" s="5">
        <v>250.218300</v>
      </c>
    </row>
    <row r="14436" spans="1:9">
      <c r="A14436" s="22" t="str">
        <f>HYPERLINK("https://app.vivvix.com/360/KMI/IntelliDrive/ApplUI/Pages/CreativePages/CustomReportCreativeDetail.aspx?App=23&amp;ReportView=4&amp;Qid=1711279&amp;Row=14428&amp;Col=1","No Title Assigned - #15274158366")</f>
        <v/>
      </c>
      <c r="B14436" s="0" t="s">
        <v>19220</v>
      </c>
      <c r="E14436" s="0" t="inlineStr">
        <is>
          <t xml:space="preserve">Mazda</t>
        </is>
      </c>
      <c r="F14436" s="0" t="inlineStr">
        <is>
          <t xml:space="preserve">Mazda</t>
        </is>
      </c>
      <c r="G14436" s="0" t="s">
        <v>171</v>
      </c>
      <c r="H14436" s="5">
        <v>10.894600</v>
      </c>
    </row>
    <row r="14437" spans="1:9">
      <c r="A14437" s="22" t="str">
        <f>HYPERLINK("https://app.vivvix.com/360/KMI/IntelliDrive/ApplUI/Pages/CreativePages/CustomReportCreativeDetail.aspx?App=23&amp;ReportView=4&amp;Qid=1711279&amp;Row=14429&amp;Col=1","No Title Assigned - #15274158418")</f>
        <v/>
      </c>
      <c r="B14437" s="0" t="s">
        <v>19221</v>
      </c>
      <c r="E14437" s="0" t="inlineStr">
        <is>
          <t xml:space="preserve">Mazda</t>
        </is>
      </c>
      <c r="F14437" s="0" t="inlineStr">
        <is>
          <t xml:space="preserve">Mazda</t>
        </is>
      </c>
      <c r="G14437" s="0" t="s">
        <v>171</v>
      </c>
      <c r="H14437" s="5">
        <v>16.925800</v>
      </c>
    </row>
    <row r="14438" spans="1:9">
      <c r="A14438" s="22" t="str">
        <f>HYPERLINK("https://app.vivvix.com/360/KMI/IntelliDrive/ApplUI/Pages/CreativePages/CustomReportCreativeDetail.aspx?App=23&amp;ReportView=4&amp;Qid=1711279&amp;Row=14430&amp;Col=1","No Title Assigned - #15274158756")</f>
        <v/>
      </c>
      <c r="B14438" s="0" t="s">
        <v>19222</v>
      </c>
      <c r="E14438" s="0" t="inlineStr">
        <is>
          <t xml:space="preserve">Mazda</t>
        </is>
      </c>
      <c r="F14438" s="0" t="inlineStr">
        <is>
          <t xml:space="preserve">Mazda</t>
        </is>
      </c>
      <c r="G14438" s="0" t="s">
        <v>171</v>
      </c>
      <c r="H14438" s="5">
        <v>134.245700</v>
      </c>
    </row>
    <row r="14439" spans="1:9">
      <c r="A14439" s="22" t="str">
        <f>HYPERLINK("https://app.vivvix.com/360/KMI/IntelliDrive/ApplUI/Pages/CreativePages/CustomReportCreativeDetail.aspx?App=23&amp;ReportView=4&amp;Qid=1711279&amp;Row=14431&amp;Col=1","No Title Assigned - #15274158781")</f>
        <v/>
      </c>
      <c r="B14439" s="0" t="s">
        <v>19223</v>
      </c>
      <c r="E14439" s="0" t="inlineStr">
        <is>
          <t xml:space="preserve">Mazda</t>
        </is>
      </c>
      <c r="F14439" s="0" t="inlineStr">
        <is>
          <t xml:space="preserve">Mazda</t>
        </is>
      </c>
      <c r="G14439" s="0" t="s">
        <v>171</v>
      </c>
      <c r="H14439" s="5">
        <v>390.123600</v>
      </c>
    </row>
    <row r="14440" spans="1:9">
      <c r="A14440" s="22" t="str">
        <f>HYPERLINK("https://app.vivvix.com/360/KMI/IntelliDrive/ApplUI/Pages/CreativePages/CustomReportCreativeDetail.aspx?App=23&amp;ReportView=4&amp;Qid=1711279&amp;Row=14432&amp;Col=1","No Title Assigned - #15274158817")</f>
        <v/>
      </c>
      <c r="B14440" s="0" t="s">
        <v>19224</v>
      </c>
      <c r="E14440" s="0" t="inlineStr">
        <is>
          <t xml:space="preserve">Mazda</t>
        </is>
      </c>
      <c r="F14440" s="0" t="inlineStr">
        <is>
          <t xml:space="preserve">Mazda</t>
        </is>
      </c>
      <c r="G14440" s="0" t="s">
        <v>171</v>
      </c>
      <c r="H14440" s="5">
        <v>368.890800</v>
      </c>
    </row>
    <row r="14441" spans="1:9">
      <c r="A14441" s="22" t="str">
        <f>HYPERLINK("https://app.vivvix.com/360/KMI/IntelliDrive/ApplUI/Pages/CreativePages/CustomReportCreativeDetail.aspx?App=23&amp;ReportView=4&amp;Qid=1711279&amp;Row=14433&amp;Col=1","No Title Assigned - #15274159160")</f>
        <v/>
      </c>
      <c r="B14441" s="0" t="s">
        <v>19225</v>
      </c>
      <c r="E14441" s="0" t="inlineStr">
        <is>
          <t xml:space="preserve">Mazda</t>
        </is>
      </c>
      <c r="F14441" s="0" t="inlineStr">
        <is>
          <t xml:space="preserve">Mazda</t>
        </is>
      </c>
      <c r="G14441" s="0" t="s">
        <v>171</v>
      </c>
      <c r="H14441" s="5">
        <v>18.789000</v>
      </c>
    </row>
    <row r="14442" spans="1:9">
      <c r="A14442" s="22" t="str">
        <f>HYPERLINK("https://app.vivvix.com/360/KMI/IntelliDrive/ApplUI/Pages/CreativePages/CustomReportCreativeDetail.aspx?App=23&amp;ReportView=4&amp;Qid=1711279&amp;Row=14434&amp;Col=1","No Title Assigned - #15274159213")</f>
        <v/>
      </c>
      <c r="B14442" s="0" t="s">
        <v>19226</v>
      </c>
      <c r="E14442" s="0" t="inlineStr">
        <is>
          <t xml:space="preserve">Mazda</t>
        </is>
      </c>
      <c r="F14442" s="0" t="inlineStr">
        <is>
          <t xml:space="preserve">Mazda</t>
        </is>
      </c>
      <c r="G14442" s="0" t="s">
        <v>171</v>
      </c>
      <c r="H14442" s="5">
        <v>70.500000</v>
      </c>
    </row>
    <row r="14443" spans="1:9">
      <c r="A14443" s="22" t="str">
        <f>HYPERLINK("https://app.vivvix.com/360/KMI/IntelliDrive/ApplUI/Pages/CreativePages/CustomReportCreativeDetail.aspx?App=23&amp;ReportView=4&amp;Qid=1711279&amp;Row=14435&amp;Col=1","No Title Assigned - #15274159224")</f>
        <v/>
      </c>
      <c r="B14443" s="0" t="s">
        <v>19227</v>
      </c>
      <c r="E14443" s="0" t="inlineStr">
        <is>
          <t xml:space="preserve">Mazda</t>
        </is>
      </c>
      <c r="F14443" s="0" t="inlineStr">
        <is>
          <t xml:space="preserve">Mazda</t>
        </is>
      </c>
      <c r="G14443" s="0" t="s">
        <v>171</v>
      </c>
      <c r="H14443" s="5">
        <v>41.840700</v>
      </c>
    </row>
    <row r="14444" spans="1:9">
      <c r="A14444" s="22" t="str">
        <f>HYPERLINK("https://app.vivvix.com/360/KMI/IntelliDrive/ApplUI/Pages/CreativePages/CustomReportCreativeDetail.aspx?App=23&amp;ReportView=4&amp;Qid=1711279&amp;Row=14436&amp;Col=1","No Title Assigned - #15274159242")</f>
        <v/>
      </c>
      <c r="B14444" s="0" t="s">
        <v>19228</v>
      </c>
      <c r="E14444" s="0" t="inlineStr">
        <is>
          <t xml:space="preserve">Mazda</t>
        </is>
      </c>
      <c r="F14444" s="0" t="inlineStr">
        <is>
          <t xml:space="preserve">Mazda</t>
        </is>
      </c>
      <c r="G14444" s="0" t="s">
        <v>171</v>
      </c>
      <c r="H14444" s="5">
        <v>522.080200</v>
      </c>
    </row>
    <row r="14445" spans="1:9">
      <c r="A14445" s="22" t="str">
        <f>HYPERLINK("https://app.vivvix.com/360/KMI/IntelliDrive/ApplUI/Pages/CreativePages/CustomReportCreativeDetail.aspx?App=23&amp;ReportView=4&amp;Qid=1711279&amp;Row=14437&amp;Col=1","No Title Assigned - #15274159378")</f>
        <v/>
      </c>
      <c r="B14445" s="0" t="s">
        <v>19229</v>
      </c>
      <c r="E14445" s="0" t="inlineStr">
        <is>
          <t xml:space="preserve">Mazda</t>
        </is>
      </c>
      <c r="F14445" s="0" t="inlineStr">
        <is>
          <t xml:space="preserve">Mazda</t>
        </is>
      </c>
      <c r="G14445" s="0" t="s">
        <v>171</v>
      </c>
      <c r="H14445" s="5">
        <v>49.347600</v>
      </c>
    </row>
    <row r="14446" spans="1:9">
      <c r="A14446" s="22" t="str">
        <f>HYPERLINK("https://app.vivvix.com/360/KMI/IntelliDrive/ApplUI/Pages/CreativePages/CustomReportCreativeDetail.aspx?App=23&amp;ReportView=4&amp;Qid=1711279&amp;Row=14438&amp;Col=1","No Title Assigned - #15274159418")</f>
        <v/>
      </c>
      <c r="B14446" s="0" t="s">
        <v>19230</v>
      </c>
      <c r="E14446" s="0" t="inlineStr">
        <is>
          <t xml:space="preserve">Mazda</t>
        </is>
      </c>
      <c r="F14446" s="0" t="inlineStr">
        <is>
          <t xml:space="preserve">Mazda</t>
        </is>
      </c>
      <c r="G14446" s="0" t="s">
        <v>171</v>
      </c>
      <c r="H14446" s="5">
        <v>41.325900</v>
      </c>
    </row>
    <row r="14447" spans="1:9">
      <c r="A14447" s="22" t="str">
        <f>HYPERLINK("https://app.vivvix.com/360/KMI/IntelliDrive/ApplUI/Pages/CreativePages/CustomReportCreativeDetail.aspx?App=23&amp;ReportView=4&amp;Qid=1711279&amp;Row=14439&amp;Col=1","No Title Assigned - #15274159450")</f>
        <v/>
      </c>
      <c r="B14447" s="0" t="s">
        <v>19231</v>
      </c>
      <c r="E14447" s="0" t="inlineStr">
        <is>
          <t xml:space="preserve">Mazda</t>
        </is>
      </c>
      <c r="F14447" s="0" t="inlineStr">
        <is>
          <t xml:space="preserve">Mazda</t>
        </is>
      </c>
      <c r="G14447" s="0" t="s">
        <v>171</v>
      </c>
      <c r="H14447" s="5">
        <v>618.535600</v>
      </c>
    </row>
    <row r="14448" spans="1:9">
      <c r="A14448" s="22" t="str">
        <f>HYPERLINK("https://app.vivvix.com/360/KMI/IntelliDrive/ApplUI/Pages/CreativePages/CustomReportCreativeDetail.aspx?App=23&amp;ReportView=4&amp;Qid=1711279&amp;Row=14440&amp;Col=1","No Title Assigned - #15274159582")</f>
        <v/>
      </c>
      <c r="B14448" s="0" t="s">
        <v>19232</v>
      </c>
      <c r="E14448" s="0" t="inlineStr">
        <is>
          <t xml:space="preserve">Mazda</t>
        </is>
      </c>
      <c r="F14448" s="0" t="inlineStr">
        <is>
          <t xml:space="preserve">Mazda</t>
        </is>
      </c>
      <c r="G14448" s="0" t="s">
        <v>171</v>
      </c>
      <c r="H14448" s="5">
        <v>16.780700</v>
      </c>
    </row>
    <row r="14449" spans="1:9">
      <c r="A14449" s="22" t="str">
        <f>HYPERLINK("https://app.vivvix.com/360/KMI/IntelliDrive/ApplUI/Pages/CreativePages/CustomReportCreativeDetail.aspx?App=23&amp;ReportView=4&amp;Qid=1711279&amp;Row=14441&amp;Col=1","No Title Assigned - #15274159582")</f>
        <v/>
      </c>
      <c r="B14449" s="0" t="s">
        <v>19232</v>
      </c>
      <c r="E14449" s="0" t="inlineStr">
        <is>
          <t xml:space="preserve">Mazda</t>
        </is>
      </c>
      <c r="F14449" s="0" t="inlineStr">
        <is>
          <t xml:space="preserve">Mazda</t>
        </is>
      </c>
      <c r="G14449" s="0" t="s">
        <v>171</v>
      </c>
      <c r="H14449" s="5">
        <v>949.072500</v>
      </c>
    </row>
    <row r="14450" spans="1:9">
      <c r="A14450" s="22" t="str">
        <f>HYPERLINK("https://app.vivvix.com/360/KMI/IntelliDrive/ApplUI/Pages/CreativePages/CustomReportCreativeDetail.aspx?App=23&amp;ReportView=4&amp;Qid=1711279&amp;Row=14442&amp;Col=1","No Title Assigned - #15274159686")</f>
        <v/>
      </c>
      <c r="B14450" s="0" t="s">
        <v>19233</v>
      </c>
      <c r="E14450" s="0" t="inlineStr">
        <is>
          <t xml:space="preserve">Mazda</t>
        </is>
      </c>
      <c r="F14450" s="0" t="inlineStr">
        <is>
          <t xml:space="preserve">Mazda</t>
        </is>
      </c>
      <c r="G14450" s="0" t="s">
        <v>171</v>
      </c>
      <c r="H14450" s="5">
        <v>1930.264400</v>
      </c>
    </row>
    <row r="14451" spans="1:9">
      <c r="A14451" s="22" t="str">
        <f>HYPERLINK("https://app.vivvix.com/360/KMI/IntelliDrive/ApplUI/Pages/CreativePages/CustomReportCreativeDetail.aspx?App=23&amp;ReportView=4&amp;Qid=1711279&amp;Row=14443&amp;Col=1","No Title Assigned - #15274159692")</f>
        <v/>
      </c>
      <c r="B14451" s="0" t="s">
        <v>19234</v>
      </c>
      <c r="E14451" s="0" t="inlineStr">
        <is>
          <t xml:space="preserve">Mazda</t>
        </is>
      </c>
      <c r="F14451" s="0" t="inlineStr">
        <is>
          <t xml:space="preserve">Mazda</t>
        </is>
      </c>
      <c r="G14451" s="0" t="s">
        <v>171</v>
      </c>
      <c r="H14451" s="5">
        <v>480.086400</v>
      </c>
    </row>
    <row r="14452" spans="1:9">
      <c r="A14452" s="22" t="str">
        <f>HYPERLINK("https://app.vivvix.com/360/KMI/IntelliDrive/ApplUI/Pages/CreativePages/CustomReportCreativeDetail.aspx?App=23&amp;ReportView=4&amp;Qid=1711279&amp;Row=14444&amp;Col=1","No Title Assigned - #15274159727")</f>
        <v/>
      </c>
      <c r="B14452" s="0" t="s">
        <v>19235</v>
      </c>
      <c r="E14452" s="0" t="inlineStr">
        <is>
          <t xml:space="preserve">Mazda</t>
        </is>
      </c>
      <c r="F14452" s="0" t="inlineStr">
        <is>
          <t xml:space="preserve">Mazda</t>
        </is>
      </c>
      <c r="G14452" s="0" t="s">
        <v>171</v>
      </c>
      <c r="H14452" s="5">
        <v>341.395200</v>
      </c>
    </row>
    <row r="14453" spans="1:9">
      <c r="A14453" s="22" t="str">
        <f>HYPERLINK("https://app.vivvix.com/360/KMI/IntelliDrive/ApplUI/Pages/CreativePages/CustomReportCreativeDetail.aspx?App=23&amp;ReportView=4&amp;Qid=1711279&amp;Row=14445&amp;Col=1","No Title Assigned - #15274159738")</f>
        <v/>
      </c>
      <c r="B14453" s="0" t="s">
        <v>19236</v>
      </c>
      <c r="E14453" s="0" t="inlineStr">
        <is>
          <t xml:space="preserve">Mazda</t>
        </is>
      </c>
      <c r="F14453" s="0" t="inlineStr">
        <is>
          <t xml:space="preserve">Mazda</t>
        </is>
      </c>
      <c r="G14453" s="0" t="s">
        <v>171</v>
      </c>
      <c r="H14453" s="5">
        <v>165.443800</v>
      </c>
    </row>
    <row r="14454" spans="1:9">
      <c r="A14454" s="22" t="str">
        <f>HYPERLINK("https://app.vivvix.com/360/KMI/IntelliDrive/ApplUI/Pages/CreativePages/CustomReportCreativeDetail.aspx?App=23&amp;ReportView=4&amp;Qid=1711279&amp;Row=14446&amp;Col=1","No Title Assigned - #15274159738")</f>
        <v/>
      </c>
      <c r="B14454" s="0" t="s">
        <v>19236</v>
      </c>
      <c r="E14454" s="0" t="inlineStr">
        <is>
          <t xml:space="preserve">Mazda</t>
        </is>
      </c>
      <c r="F14454" s="0" t="inlineStr">
        <is>
          <t xml:space="preserve">Mazda</t>
        </is>
      </c>
      <c r="G14454" s="0" t="s">
        <v>171</v>
      </c>
      <c r="H14454" s="5">
        <v>922.618800</v>
      </c>
    </row>
    <row r="14455" spans="1:9">
      <c r="A14455" s="22" t="str">
        <f>HYPERLINK("https://app.vivvix.com/360/KMI/IntelliDrive/ApplUI/Pages/CreativePages/CustomReportCreativeDetail.aspx?App=23&amp;ReportView=4&amp;Qid=1711279&amp;Row=14447&amp;Col=1","No Title Assigned - #15274159739")</f>
        <v/>
      </c>
      <c r="B14455" s="0" t="s">
        <v>19237</v>
      </c>
      <c r="E14455" s="0" t="inlineStr">
        <is>
          <t xml:space="preserve">Mazda</t>
        </is>
      </c>
      <c r="F14455" s="0" t="inlineStr">
        <is>
          <t xml:space="preserve">Mazda</t>
        </is>
      </c>
      <c r="G14455" s="0" t="s">
        <v>171</v>
      </c>
      <c r="H14455" s="5">
        <v>1019.410400</v>
      </c>
    </row>
    <row r="14456" spans="1:9">
      <c r="A14456" s="22" t="str">
        <f>HYPERLINK("https://app.vivvix.com/360/KMI/IntelliDrive/ApplUI/Pages/CreativePages/CustomReportCreativeDetail.aspx?App=23&amp;ReportView=4&amp;Qid=1711279&amp;Row=14448&amp;Col=1","No Title Assigned - #15274159870")</f>
        <v/>
      </c>
      <c r="B14456" s="0" t="s">
        <v>19238</v>
      </c>
      <c r="C14456" s="0" t="s">
        <v>19239</v>
      </c>
      <c r="D14456" s="0" t="s">
        <v>19239</v>
      </c>
      <c r="E14456" s="0" t="inlineStr">
        <is>
          <t xml:space="preserve">Mazda</t>
        </is>
      </c>
      <c r="F14456" s="0" t="inlineStr">
        <is>
          <t xml:space="preserve">Mazda</t>
        </is>
      </c>
      <c r="G14456" s="0" t="s">
        <v>171</v>
      </c>
      <c r="H14456" s="5">
        <v>171.463200</v>
      </c>
    </row>
    <row r="14457" spans="1:9">
      <c r="A14457" s="22" t="str">
        <f>HYPERLINK("https://app.vivvix.com/360/KMI/IntelliDrive/ApplUI/Pages/CreativePages/CustomReportCreativeDetail.aspx?App=23&amp;ReportView=4&amp;Qid=1711279&amp;Row=14449&amp;Col=1","No Title Assigned - #15274160012")</f>
        <v/>
      </c>
      <c r="B14457" s="0" t="s">
        <v>19240</v>
      </c>
      <c r="E14457" s="0" t="inlineStr">
        <is>
          <t xml:space="preserve">Mazda</t>
        </is>
      </c>
      <c r="F14457" s="0" t="inlineStr">
        <is>
          <t xml:space="preserve">Mazda</t>
        </is>
      </c>
      <c r="G14457" s="0" t="s">
        <v>171</v>
      </c>
      <c r="H14457" s="5">
        <v>24.371800</v>
      </c>
    </row>
    <row r="14458" spans="1:9">
      <c r="A14458" s="22" t="str">
        <f>HYPERLINK("https://app.vivvix.com/360/KMI/IntelliDrive/ApplUI/Pages/CreativePages/CustomReportCreativeDetail.aspx?App=23&amp;ReportView=4&amp;Qid=1711279&amp;Row=14450&amp;Col=1","No Title Assigned - #15274160110")</f>
        <v/>
      </c>
      <c r="B14458" s="0" t="s">
        <v>19241</v>
      </c>
      <c r="E14458" s="0" t="inlineStr">
        <is>
          <t xml:space="preserve">Mazda</t>
        </is>
      </c>
      <c r="F14458" s="0" t="inlineStr">
        <is>
          <t xml:space="preserve">Mazda</t>
        </is>
      </c>
      <c r="G14458" s="0" t="s">
        <v>171</v>
      </c>
      <c r="H14458" s="5">
        <v>1372.180600</v>
      </c>
    </row>
    <row r="14459" spans="1:9">
      <c r="A14459" s="22" t="str">
        <f>HYPERLINK("https://app.vivvix.com/360/KMI/IntelliDrive/ApplUI/Pages/CreativePages/CustomReportCreativeDetail.aspx?App=23&amp;ReportView=4&amp;Qid=1711279&amp;Row=14451&amp;Col=1","No Title Assigned - #15274160145")</f>
        <v/>
      </c>
      <c r="B14459" s="0" t="s">
        <v>19242</v>
      </c>
      <c r="E14459" s="0" t="inlineStr">
        <is>
          <t xml:space="preserve">Mazda</t>
        </is>
      </c>
      <c r="F14459" s="0" t="inlineStr">
        <is>
          <t xml:space="preserve">Mazda</t>
        </is>
      </c>
      <c r="G14459" s="0" t="s">
        <v>171</v>
      </c>
      <c r="H14459" s="5">
        <v>231.620400</v>
      </c>
    </row>
    <row r="14460" spans="1:9">
      <c r="A14460" s="22" t="str">
        <f>HYPERLINK("https://app.vivvix.com/360/KMI/IntelliDrive/ApplUI/Pages/CreativePages/CustomReportCreativeDetail.aspx?App=23&amp;ReportView=4&amp;Qid=1711279&amp;Row=14452&amp;Col=1","No Title Assigned - #15274160256")</f>
        <v/>
      </c>
      <c r="B14460" s="0" t="s">
        <v>19243</v>
      </c>
      <c r="E14460" s="0" t="inlineStr">
        <is>
          <t xml:space="preserve">Mazda</t>
        </is>
      </c>
      <c r="F14460" s="0" t="inlineStr">
        <is>
          <t xml:space="preserve">Mazda</t>
        </is>
      </c>
      <c r="G14460" s="0" t="s">
        <v>171</v>
      </c>
      <c r="H14460" s="5">
        <v>26.233100</v>
      </c>
    </row>
    <row r="14461" spans="1:9">
      <c r="A14461" s="22" t="str">
        <f>HYPERLINK("https://app.vivvix.com/360/KMI/IntelliDrive/ApplUI/Pages/CreativePages/CustomReportCreativeDetail.aspx?App=23&amp;ReportView=4&amp;Qid=1711279&amp;Row=14453&amp;Col=1","No Title Assigned - #15274161186")</f>
        <v/>
      </c>
      <c r="B14461" s="0" t="s">
        <v>19244</v>
      </c>
      <c r="E14461" s="0" t="inlineStr">
        <is>
          <t xml:space="preserve">Mazda</t>
        </is>
      </c>
      <c r="F14461" s="0" t="inlineStr">
        <is>
          <t xml:space="preserve">Mazda</t>
        </is>
      </c>
      <c r="G14461" s="0" t="s">
        <v>171</v>
      </c>
      <c r="H14461" s="5">
        <v>20.934600</v>
      </c>
    </row>
    <row r="14462" spans="1:9">
      <c r="A14462" s="22" t="str">
        <f>HYPERLINK("https://app.vivvix.com/360/KMI/IntelliDrive/ApplUI/Pages/CreativePages/CustomReportCreativeDetail.aspx?App=23&amp;ReportView=4&amp;Qid=1711279&amp;Row=14454&amp;Col=1","No Title Assigned - #15274161362")</f>
        <v/>
      </c>
      <c r="B14462" s="0" t="s">
        <v>19245</v>
      </c>
      <c r="E14462" s="0" t="inlineStr">
        <is>
          <t xml:space="preserve">Mazda</t>
        </is>
      </c>
      <c r="F14462" s="0" t="inlineStr">
        <is>
          <t xml:space="preserve">Mazda</t>
        </is>
      </c>
      <c r="G14462" s="0" t="s">
        <v>171</v>
      </c>
      <c r="H14462" s="5">
        <v>249.119500</v>
      </c>
    </row>
    <row r="14463" spans="1:9">
      <c r="A14463" s="22" t="str">
        <f>HYPERLINK("https://app.vivvix.com/360/KMI/IntelliDrive/ApplUI/Pages/CreativePages/CustomReportCreativeDetail.aspx?App=23&amp;ReportView=4&amp;Qid=1711279&amp;Row=14455&amp;Col=1","No Title Assigned - #15274161551")</f>
        <v/>
      </c>
      <c r="B14463" s="0" t="s">
        <v>19246</v>
      </c>
      <c r="C14463" s="0" t="s">
        <v>19247</v>
      </c>
      <c r="D14463" s="0" t="s">
        <v>19247</v>
      </c>
      <c r="E14463" s="0" t="inlineStr">
        <is>
          <t xml:space="preserve">Mazda</t>
        </is>
      </c>
      <c r="F14463" s="0" t="inlineStr">
        <is>
          <t xml:space="preserve">Mazda</t>
        </is>
      </c>
      <c r="G14463" s="0" t="s">
        <v>171</v>
      </c>
      <c r="H14463" s="5">
        <v>20.775100</v>
      </c>
    </row>
    <row r="14464" spans="1:9">
      <c r="A14464" s="22" t="str">
        <f>HYPERLINK("https://app.vivvix.com/360/KMI/IntelliDrive/ApplUI/Pages/CreativePages/CustomReportCreativeDetail.aspx?App=23&amp;ReportView=4&amp;Qid=1711279&amp;Row=14456&amp;Col=1","No Title Assigned - #15274161880")</f>
        <v/>
      </c>
      <c r="B14464" s="0" t="s">
        <v>19248</v>
      </c>
      <c r="C14464" s="0" t="s">
        <v>19249</v>
      </c>
      <c r="D14464" s="0" t="s">
        <v>19249</v>
      </c>
      <c r="E14464" s="0" t="inlineStr">
        <is>
          <t xml:space="preserve">Mazda</t>
        </is>
      </c>
      <c r="F14464" s="0" t="inlineStr">
        <is>
          <t xml:space="preserve">Mazda</t>
        </is>
      </c>
      <c r="G14464" s="0" t="s">
        <v>171</v>
      </c>
      <c r="H14464" s="5">
        <v>20773.911600</v>
      </c>
    </row>
    <row r="14465" spans="1:9">
      <c r="A14465" s="22" t="str">
        <f>HYPERLINK("https://app.vivvix.com/360/KMI/IntelliDrive/ApplUI/Pages/CreativePages/CustomReportCreativeDetail.aspx?App=23&amp;ReportView=4&amp;Qid=1711279&amp;Row=14457&amp;Col=1","No Title Assigned - #15274162134")</f>
        <v/>
      </c>
      <c r="B14465" s="0" t="s">
        <v>19250</v>
      </c>
      <c r="E14465" s="0" t="inlineStr">
        <is>
          <t xml:space="preserve">Mazda</t>
        </is>
      </c>
      <c r="F14465" s="0" t="inlineStr">
        <is>
          <t xml:space="preserve">Mazda</t>
        </is>
      </c>
      <c r="G14465" s="0" t="s">
        <v>171</v>
      </c>
      <c r="H14465" s="5">
        <v>7275.444600</v>
      </c>
    </row>
    <row r="14466" spans="1:9">
      <c r="A14466" s="22" t="str">
        <f>HYPERLINK("https://app.vivvix.com/360/KMI/IntelliDrive/ApplUI/Pages/CreativePages/CustomReportCreativeDetail.aspx?App=23&amp;ReportView=4&amp;Qid=1711279&amp;Row=14458&amp;Col=1","No Title Assigned - #15274162134")</f>
        <v/>
      </c>
      <c r="B14466" s="0" t="s">
        <v>19250</v>
      </c>
      <c r="E14466" s="0" t="inlineStr">
        <is>
          <t xml:space="preserve">Mazda</t>
        </is>
      </c>
      <c r="F14466" s="0" t="inlineStr">
        <is>
          <t xml:space="preserve">Mazda</t>
        </is>
      </c>
      <c r="G14466" s="0" t="s">
        <v>171</v>
      </c>
      <c r="H14466" s="5">
        <v>1777.132100</v>
      </c>
    </row>
    <row r="14467" spans="1:9">
      <c r="A14467" s="22" t="str">
        <f>HYPERLINK("https://app.vivvix.com/360/KMI/IntelliDrive/ApplUI/Pages/CreativePages/CustomReportCreativeDetail.aspx?App=23&amp;ReportView=4&amp;Qid=1711279&amp;Row=14459&amp;Col=1","No Title Assigned - #15274162479")</f>
        <v/>
      </c>
      <c r="B14467" s="0" t="s">
        <v>19251</v>
      </c>
      <c r="E14467" s="0" t="inlineStr">
        <is>
          <t xml:space="preserve">Mazda</t>
        </is>
      </c>
      <c r="F14467" s="0" t="inlineStr">
        <is>
          <t xml:space="preserve">Mazda</t>
        </is>
      </c>
      <c r="G14467" s="0" t="s">
        <v>171</v>
      </c>
      <c r="H14467" s="5">
        <v>377.409800</v>
      </c>
    </row>
    <row r="14468" spans="1:9">
      <c r="A14468" s="22" t="str">
        <f>HYPERLINK("https://app.vivvix.com/360/KMI/IntelliDrive/ApplUI/Pages/CreativePages/CustomReportCreativeDetail.aspx?App=23&amp;ReportView=4&amp;Qid=1711279&amp;Row=14460&amp;Col=1","No Title Assigned - #15274162675")</f>
        <v/>
      </c>
      <c r="B14468" s="0" t="s">
        <v>19252</v>
      </c>
      <c r="C14468" s="0" t="s">
        <v>19253</v>
      </c>
      <c r="D14468" s="0" t="s">
        <v>19253</v>
      </c>
      <c r="E14468" s="0" t="inlineStr">
        <is>
          <t xml:space="preserve">Mazda</t>
        </is>
      </c>
      <c r="F14468" s="0" t="inlineStr">
        <is>
          <t xml:space="preserve">Mazda</t>
        </is>
      </c>
      <c r="G14468" s="0" t="s">
        <v>171</v>
      </c>
      <c r="H14468" s="5">
        <v>564.771000</v>
      </c>
    </row>
    <row r="14469" spans="1:9">
      <c r="A14469" s="22" t="str">
        <f>HYPERLINK("https://app.vivvix.com/360/KMI/IntelliDrive/ApplUI/Pages/CreativePages/CustomReportCreativeDetail.aspx?App=23&amp;ReportView=4&amp;Qid=1711279&amp;Row=14461&amp;Col=1","No Title Assigned - #15274162710")</f>
        <v/>
      </c>
      <c r="B14469" s="0" t="s">
        <v>19254</v>
      </c>
      <c r="E14469" s="0" t="inlineStr">
        <is>
          <t xml:space="preserve">Mazda</t>
        </is>
      </c>
      <c r="F14469" s="0" t="inlineStr">
        <is>
          <t xml:space="preserve">Mazda</t>
        </is>
      </c>
      <c r="G14469" s="0" t="s">
        <v>171</v>
      </c>
      <c r="H14469" s="5">
        <v>1.788300</v>
      </c>
    </row>
    <row r="14470" spans="1:9">
      <c r="A14470" s="22" t="str">
        <f>HYPERLINK("https://app.vivvix.com/360/KMI/IntelliDrive/ApplUI/Pages/CreativePages/CustomReportCreativeDetail.aspx?App=23&amp;ReportView=4&amp;Qid=1711279&amp;Row=14462&amp;Col=1","No Title Assigned - #15274163569")</f>
        <v/>
      </c>
      <c r="B14470" s="0" t="s">
        <v>19255</v>
      </c>
      <c r="E14470" s="0" t="inlineStr">
        <is>
          <t xml:space="preserve">Mazda</t>
        </is>
      </c>
      <c r="F14470" s="0" t="inlineStr">
        <is>
          <t xml:space="preserve">Mazda</t>
        </is>
      </c>
      <c r="G14470" s="0" t="s">
        <v>171</v>
      </c>
      <c r="H14470" s="5">
        <v>34.899800</v>
      </c>
    </row>
    <row r="14471" spans="1:9">
      <c r="A14471" s="22" t="str">
        <f>HYPERLINK("https://app.vivvix.com/360/KMI/IntelliDrive/ApplUI/Pages/CreativePages/CustomReportCreativeDetail.aspx?App=23&amp;ReportView=4&amp;Qid=1711279&amp;Row=14463&amp;Col=1","No Title Assigned - #15274163707")</f>
        <v/>
      </c>
      <c r="B14471" s="0" t="s">
        <v>19256</v>
      </c>
      <c r="E14471" s="0" t="inlineStr">
        <is>
          <t xml:space="preserve">Mazda</t>
        </is>
      </c>
      <c r="F14471" s="0" t="inlineStr">
        <is>
          <t xml:space="preserve">Mazda</t>
        </is>
      </c>
      <c r="G14471" s="0" t="s">
        <v>171</v>
      </c>
      <c r="H14471" s="5">
        <v>46.737400</v>
      </c>
    </row>
    <row r="14472" spans="1:9">
      <c r="A14472" s="22" t="str">
        <f>HYPERLINK("https://app.vivvix.com/360/KMI/IntelliDrive/ApplUI/Pages/CreativePages/CustomReportCreativeDetail.aspx?App=23&amp;ReportView=4&amp;Qid=1711279&amp;Row=14464&amp;Col=1","No Title Assigned - #15274163886")</f>
        <v/>
      </c>
      <c r="B14472" s="0" t="s">
        <v>19257</v>
      </c>
      <c r="E14472" s="0" t="inlineStr">
        <is>
          <t xml:space="preserve">Mazda</t>
        </is>
      </c>
      <c r="F14472" s="0" t="inlineStr">
        <is>
          <t xml:space="preserve">Mazda</t>
        </is>
      </c>
      <c r="G14472" s="0" t="s">
        <v>171</v>
      </c>
      <c r="H14472" s="5">
        <v>717.195400</v>
      </c>
    </row>
    <row r="14473" spans="1:9">
      <c r="A14473" s="22" t="str">
        <f>HYPERLINK("https://app.vivvix.com/360/KMI/IntelliDrive/ApplUI/Pages/CreativePages/CustomReportCreativeDetail.aspx?App=23&amp;ReportView=4&amp;Qid=1711279&amp;Row=14465&amp;Col=1","No Title Assigned - #15274163897")</f>
        <v/>
      </c>
      <c r="B14473" s="0" t="s">
        <v>19258</v>
      </c>
      <c r="C14473" s="0" t="s">
        <v>19259</v>
      </c>
      <c r="D14473" s="0" t="s">
        <v>19259</v>
      </c>
      <c r="E14473" s="0" t="inlineStr">
        <is>
          <t xml:space="preserve">Mazda</t>
        </is>
      </c>
      <c r="F14473" s="0" t="s">
        <v>13</v>
      </c>
      <c r="G14473" s="0" t="s">
        <v>49</v>
      </c>
      <c r="H14473" s="5">
        <v>37.468900</v>
      </c>
    </row>
    <row r="14474" spans="1:9">
      <c r="A14474" s="22" t="str">
        <f>HYPERLINK("https://app.vivvix.com/360/KMI/IntelliDrive/ApplUI/Pages/CreativePages/CustomReportCreativeDetail.aspx?App=23&amp;ReportView=4&amp;Qid=1711279&amp;Row=14466&amp;Col=1","No Title Assigned - #15274165887")</f>
        <v/>
      </c>
      <c r="B14474" s="0" t="s">
        <v>19260</v>
      </c>
      <c r="E14474" s="0" t="inlineStr">
        <is>
          <t xml:space="preserve">Mazda</t>
        </is>
      </c>
      <c r="F14474" s="0" t="inlineStr">
        <is>
          <t xml:space="preserve">Mazda</t>
        </is>
      </c>
      <c r="G14474" s="0" t="s">
        <v>171</v>
      </c>
      <c r="H14474" s="5">
        <v>214.471500</v>
      </c>
    </row>
    <row r="14475" spans="1:9">
      <c r="A14475" s="22" t="str">
        <f>HYPERLINK("https://app.vivvix.com/360/KMI/IntelliDrive/ApplUI/Pages/CreativePages/CustomReportCreativeDetail.aspx?App=23&amp;ReportView=4&amp;Qid=1711279&amp;Row=14467&amp;Col=1","No Title Assigned - #15274168255")</f>
        <v/>
      </c>
      <c r="B14475" s="0" t="s">
        <v>19261</v>
      </c>
      <c r="E14475" s="0" t="inlineStr">
        <is>
          <t xml:space="preserve">Mazda</t>
        </is>
      </c>
      <c r="F14475" s="0" t="inlineStr">
        <is>
          <t xml:space="preserve">Mazda</t>
        </is>
      </c>
      <c r="G14475" s="0" t="s">
        <v>171</v>
      </c>
      <c r="H14475" s="5">
        <v>278.297800</v>
      </c>
    </row>
    <row r="14476" spans="1:9">
      <c r="A14476" s="22" t="str">
        <f>HYPERLINK("https://app.vivvix.com/360/KMI/IntelliDrive/ApplUI/Pages/CreativePages/CustomReportCreativeDetail.aspx?App=23&amp;ReportView=4&amp;Qid=1711279&amp;Row=14468&amp;Col=1","No Title Assigned - #15274169279")</f>
        <v/>
      </c>
      <c r="B14476" s="0" t="s">
        <v>19262</v>
      </c>
      <c r="E14476" s="0" t="inlineStr">
        <is>
          <t xml:space="preserve">Mazda</t>
        </is>
      </c>
      <c r="F14476" s="0" t="s">
        <v>21</v>
      </c>
      <c r="G14476" s="0" t="s">
        <v>22</v>
      </c>
      <c r="H14476" s="5">
        <v>681.737700</v>
      </c>
    </row>
    <row r="14477" spans="1:9">
      <c r="A14477" s="22" t="str">
        <f>HYPERLINK("https://app.vivvix.com/360/KMI/IntelliDrive/ApplUI/Pages/CreativePages/CustomReportCreativeDetail.aspx?App=23&amp;ReportView=4&amp;Qid=1711279&amp;Row=14469&amp;Col=1","No Title Assigned - #15274170214")</f>
        <v/>
      </c>
      <c r="B14477" s="0" t="s">
        <v>19263</v>
      </c>
      <c r="E14477" s="0" t="inlineStr">
        <is>
          <t xml:space="preserve">Mazda</t>
        </is>
      </c>
      <c r="F14477" s="0" t="inlineStr">
        <is>
          <t xml:space="preserve">Mazda</t>
        </is>
      </c>
      <c r="G14477" s="0" t="s">
        <v>171</v>
      </c>
      <c r="H14477" s="5">
        <v>932.001400</v>
      </c>
    </row>
    <row r="14478" spans="1:9">
      <c r="A14478" s="22" t="str">
        <f>HYPERLINK("https://app.vivvix.com/360/KMI/IntelliDrive/ApplUI/Pages/CreativePages/CustomReportCreativeDetail.aspx?App=23&amp;ReportView=4&amp;Qid=1711279&amp;Row=14470&amp;Col=1","No Title Assigned - #15274174284")</f>
        <v/>
      </c>
      <c r="B14478" s="0" t="s">
        <v>19264</v>
      </c>
      <c r="E14478" s="0" t="inlineStr">
        <is>
          <t xml:space="preserve">Mazda</t>
        </is>
      </c>
      <c r="F14478" s="0" t="inlineStr">
        <is>
          <t xml:space="preserve">Mazda</t>
        </is>
      </c>
      <c r="G14478" s="0" t="s">
        <v>171</v>
      </c>
      <c r="H14478" s="5">
        <v>102.548600</v>
      </c>
    </row>
    <row r="14479" spans="1:9">
      <c r="A14479" s="22" t="str">
        <f>HYPERLINK("https://app.vivvix.com/360/KMI/IntelliDrive/ApplUI/Pages/CreativePages/CustomReportCreativeDetail.aspx?App=23&amp;ReportView=4&amp;Qid=1711279&amp;Row=14471&amp;Col=1","No Title Assigned - #15274175509")</f>
        <v/>
      </c>
      <c r="B14479" s="0" t="s">
        <v>19265</v>
      </c>
      <c r="E14479" s="0" t="inlineStr">
        <is>
          <t xml:space="preserve">Mazda</t>
        </is>
      </c>
      <c r="F14479" s="0" t="inlineStr">
        <is>
          <t xml:space="preserve">Mazda</t>
        </is>
      </c>
      <c r="G14479" s="0" t="s">
        <v>171</v>
      </c>
      <c r="H14479" s="5">
        <v>330.702600</v>
      </c>
    </row>
    <row r="14480" spans="1:9">
      <c r="A14480" s="22" t="str">
        <f>HYPERLINK("https://app.vivvix.com/360/KMI/IntelliDrive/ApplUI/Pages/CreativePages/CustomReportCreativeDetail.aspx?App=23&amp;ReportView=4&amp;Qid=1711279&amp;Row=14472&amp;Col=1","No Title Assigned - #15274175509")</f>
        <v/>
      </c>
      <c r="B14480" s="0" t="s">
        <v>19265</v>
      </c>
      <c r="E14480" s="0" t="inlineStr">
        <is>
          <t xml:space="preserve">Mazda</t>
        </is>
      </c>
      <c r="F14480" s="0" t="inlineStr">
        <is>
          <t xml:space="preserve">Mazda</t>
        </is>
      </c>
      <c r="G14480" s="0" t="s">
        <v>171</v>
      </c>
      <c r="H14480" s="5">
        <v>2174.410400</v>
      </c>
    </row>
    <row r="14481" spans="1:9">
      <c r="A14481" s="22" t="str">
        <f>HYPERLINK("https://app.vivvix.com/360/KMI/IntelliDrive/ApplUI/Pages/CreativePages/CustomReportCreativeDetail.aspx?App=23&amp;ReportView=4&amp;Qid=1711279&amp;Row=14473&amp;Col=1","No Title Assigned - #15274176330")</f>
        <v/>
      </c>
      <c r="B14481" s="0" t="s">
        <v>19266</v>
      </c>
      <c r="E14481" s="0" t="inlineStr">
        <is>
          <t xml:space="preserve">Mazda</t>
        </is>
      </c>
      <c r="F14481" s="0" t="inlineStr">
        <is>
          <t xml:space="preserve">Mazda</t>
        </is>
      </c>
      <c r="G14481" s="0" t="s">
        <v>171</v>
      </c>
      <c r="H14481" s="5">
        <v>18.477600</v>
      </c>
    </row>
    <row r="14482" spans="1:9">
      <c r="A14482" s="22" t="str">
        <f>HYPERLINK("https://app.vivvix.com/360/KMI/IntelliDrive/ApplUI/Pages/CreativePages/CustomReportCreativeDetail.aspx?App=23&amp;ReportView=4&amp;Qid=1711279&amp;Row=14474&amp;Col=1","No Title Assigned - #15274176459")</f>
        <v/>
      </c>
      <c r="B14482" s="0" t="s">
        <v>19267</v>
      </c>
      <c r="C14482" s="0" t="s">
        <v>19268</v>
      </c>
      <c r="D14482" s="0" t="s">
        <v>19268</v>
      </c>
      <c r="E14482" s="0" t="inlineStr">
        <is>
          <t xml:space="preserve">Mazda</t>
        </is>
      </c>
      <c r="F14482" s="0" t="inlineStr">
        <is>
          <t xml:space="preserve">Mazda</t>
        </is>
      </c>
      <c r="G14482" s="0" t="s">
        <v>171</v>
      </c>
      <c r="H14482" s="5">
        <v>33.955100</v>
      </c>
    </row>
    <row r="14483" spans="1:9">
      <c r="A14483" s="22" t="str">
        <f>HYPERLINK("https://app.vivvix.com/360/KMI/IntelliDrive/ApplUI/Pages/CreativePages/CustomReportCreativeDetail.aspx?App=23&amp;ReportView=4&amp;Qid=1711279&amp;Row=14475&amp;Col=1","No Title Assigned - #15274176784")</f>
        <v/>
      </c>
      <c r="B14483" s="0" t="s">
        <v>19269</v>
      </c>
      <c r="E14483" s="0" t="inlineStr">
        <is>
          <t xml:space="preserve">Mazda</t>
        </is>
      </c>
      <c r="F14483" s="0" t="inlineStr">
        <is>
          <t xml:space="preserve">Mazda</t>
        </is>
      </c>
      <c r="G14483" s="0" t="s">
        <v>171</v>
      </c>
      <c r="H14483" s="5">
        <v>20.369100</v>
      </c>
    </row>
    <row r="14484" spans="1:9">
      <c r="A14484" s="22" t="str">
        <f>HYPERLINK("https://app.vivvix.com/360/KMI/IntelliDrive/ApplUI/Pages/CreativePages/CustomReportCreativeDetail.aspx?App=23&amp;ReportView=4&amp;Qid=1711279&amp;Row=14476&amp;Col=1","No Title Assigned - #15274176871")</f>
        <v/>
      </c>
      <c r="B14484" s="0" t="s">
        <v>19270</v>
      </c>
      <c r="E14484" s="0" t="inlineStr">
        <is>
          <t xml:space="preserve">Mazda</t>
        </is>
      </c>
      <c r="F14484" s="0" t="inlineStr">
        <is>
          <t xml:space="preserve">Mazda</t>
        </is>
      </c>
      <c r="G14484" s="0" t="s">
        <v>171</v>
      </c>
      <c r="H14484" s="5">
        <v>13.062600</v>
      </c>
    </row>
    <row r="14485" spans="1:9">
      <c r="A14485" s="22" t="str">
        <f>HYPERLINK("https://app.vivvix.com/360/KMI/IntelliDrive/ApplUI/Pages/CreativePages/CustomReportCreativeDetail.aspx?App=23&amp;ReportView=4&amp;Qid=1711279&amp;Row=14477&amp;Col=1","No Title Assigned - #15274176961")</f>
        <v/>
      </c>
      <c r="B14485" s="0" t="s">
        <v>19271</v>
      </c>
      <c r="E14485" s="0" t="inlineStr">
        <is>
          <t xml:space="preserve">Mazda</t>
        </is>
      </c>
      <c r="F14485" s="0" t="inlineStr">
        <is>
          <t xml:space="preserve">Mazda</t>
        </is>
      </c>
      <c r="G14485" s="0" t="s">
        <v>171</v>
      </c>
      <c r="H14485" s="5">
        <v>431.223100</v>
      </c>
    </row>
    <row r="14486" spans="1:9">
      <c r="A14486" s="22" t="str">
        <f>HYPERLINK("https://app.vivvix.com/360/KMI/IntelliDrive/ApplUI/Pages/CreativePages/CustomReportCreativeDetail.aspx?App=23&amp;ReportView=4&amp;Qid=1711279&amp;Row=14478&amp;Col=1","No Title Assigned - #15274177046")</f>
        <v/>
      </c>
      <c r="B14486" s="0" t="s">
        <v>19272</v>
      </c>
      <c r="E14486" s="0" t="inlineStr">
        <is>
          <t xml:space="preserve">Mazda</t>
        </is>
      </c>
      <c r="F14486" s="0" t="inlineStr">
        <is>
          <t xml:space="preserve">Mazda</t>
        </is>
      </c>
      <c r="G14486" s="0" t="s">
        <v>171</v>
      </c>
      <c r="H14486" s="5">
        <v>1.787400</v>
      </c>
    </row>
    <row r="14487" spans="1:9">
      <c r="A14487" s="22" t="str">
        <f>HYPERLINK("https://app.vivvix.com/360/KMI/IntelliDrive/ApplUI/Pages/CreativePages/CustomReportCreativeDetail.aspx?App=23&amp;ReportView=4&amp;Qid=1711279&amp;Row=14479&amp;Col=1","No Title Assigned - #15274177273")</f>
        <v/>
      </c>
      <c r="B14487" s="0" t="s">
        <v>19273</v>
      </c>
      <c r="E14487" s="0" t="inlineStr">
        <is>
          <t xml:space="preserve">Mazda</t>
        </is>
      </c>
      <c r="F14487" s="0" t="inlineStr">
        <is>
          <t xml:space="preserve">Mazda</t>
        </is>
      </c>
      <c r="G14487" s="0" t="s">
        <v>171</v>
      </c>
      <c r="H14487" s="5">
        <v>120.876600</v>
      </c>
    </row>
    <row r="14488" spans="1:9">
      <c r="A14488" s="22" t="str">
        <f>HYPERLINK("https://app.vivvix.com/360/KMI/IntelliDrive/ApplUI/Pages/CreativePages/CustomReportCreativeDetail.aspx?App=23&amp;ReportView=4&amp;Qid=1711279&amp;Row=14480&amp;Col=1","No Title Assigned - #15274177719")</f>
        <v/>
      </c>
      <c r="B14488" s="0" t="s">
        <v>19274</v>
      </c>
      <c r="E14488" s="0" t="inlineStr">
        <is>
          <t xml:space="preserve">Mazda</t>
        </is>
      </c>
      <c r="F14488" s="0" t="inlineStr">
        <is>
          <t xml:space="preserve">Mazda</t>
        </is>
      </c>
      <c r="G14488" s="0" t="s">
        <v>171</v>
      </c>
      <c r="H14488" s="5">
        <v>815.991100</v>
      </c>
    </row>
    <row r="14489" spans="1:9">
      <c r="A14489" s="22" t="str">
        <f>HYPERLINK("https://app.vivvix.com/360/KMI/IntelliDrive/ApplUI/Pages/CreativePages/CustomReportCreativeDetail.aspx?App=23&amp;ReportView=4&amp;Qid=1711279&amp;Row=14481&amp;Col=1","No Title Assigned - #15274177788")</f>
        <v/>
      </c>
      <c r="B14489" s="0" t="s">
        <v>19275</v>
      </c>
      <c r="E14489" s="0" t="inlineStr">
        <is>
          <t xml:space="preserve">Mazda</t>
        </is>
      </c>
      <c r="F14489" s="0" t="inlineStr">
        <is>
          <t xml:space="preserve">Mazda</t>
        </is>
      </c>
      <c r="G14489" s="0" t="s">
        <v>171</v>
      </c>
      <c r="H14489" s="5">
        <v>379.963400</v>
      </c>
    </row>
    <row r="14490" spans="1:9">
      <c r="A14490" s="22" t="str">
        <f>HYPERLINK("https://app.vivvix.com/360/KMI/IntelliDrive/ApplUI/Pages/CreativePages/CustomReportCreativeDetail.aspx?App=23&amp;ReportView=4&amp;Qid=1711279&amp;Row=14482&amp;Col=1","No Title Assigned - #15274186711")</f>
        <v/>
      </c>
      <c r="B14490" s="0" t="s">
        <v>19276</v>
      </c>
      <c r="E14490" s="0" t="inlineStr">
        <is>
          <t xml:space="preserve">Mazda</t>
        </is>
      </c>
      <c r="F14490" s="0" t="inlineStr">
        <is>
          <t xml:space="preserve">Mazda</t>
        </is>
      </c>
      <c r="G14490" s="0" t="s">
        <v>171</v>
      </c>
      <c r="H14490" s="5">
        <v>20.934600</v>
      </c>
    </row>
    <row r="14491" spans="1:9">
      <c r="A14491" s="22" t="str">
        <f>HYPERLINK("https://app.vivvix.com/360/KMI/IntelliDrive/ApplUI/Pages/CreativePages/CustomReportCreativeDetail.aspx?App=23&amp;ReportView=4&amp;Qid=1711279&amp;Row=14483&amp;Col=1","No Title Assigned - #15274188305")</f>
        <v/>
      </c>
      <c r="B14491" s="0" t="s">
        <v>19277</v>
      </c>
      <c r="E14491" s="0" t="inlineStr">
        <is>
          <t xml:space="preserve">Mazda</t>
        </is>
      </c>
      <c r="F14491" s="0" t="inlineStr">
        <is>
          <t xml:space="preserve">Mazda</t>
        </is>
      </c>
      <c r="G14491" s="0" t="s">
        <v>171</v>
      </c>
      <c r="H14491" s="5">
        <v>54.566400</v>
      </c>
    </row>
    <row r="14492" spans="1:9">
      <c r="A14492" s="22" t="str">
        <f>HYPERLINK("https://app.vivvix.com/360/KMI/IntelliDrive/ApplUI/Pages/CreativePages/CustomReportCreativeDetail.aspx?App=23&amp;ReportView=4&amp;Qid=1711279&amp;Row=14484&amp;Col=1","No Title Assigned - #15274188980")</f>
        <v/>
      </c>
      <c r="B14492" s="0" t="s">
        <v>19278</v>
      </c>
      <c r="E14492" s="0" t="inlineStr">
        <is>
          <t xml:space="preserve">Mazda</t>
        </is>
      </c>
      <c r="F14492" s="0" t="s">
        <v>204</v>
      </c>
      <c r="G14492" s="0" t="s">
        <v>205</v>
      </c>
      <c r="H14492" s="5">
        <v>315.516000</v>
      </c>
    </row>
    <row r="14493" spans="1:9">
      <c r="A14493" s="22" t="str">
        <f>HYPERLINK("https://app.vivvix.com/360/KMI/IntelliDrive/ApplUI/Pages/CreativePages/CustomReportCreativeDetail.aspx?App=23&amp;ReportView=4&amp;Qid=1711279&amp;Row=14485&amp;Col=1","No Title Assigned - #15274189140")</f>
        <v/>
      </c>
      <c r="B14493" s="0" t="s">
        <v>19279</v>
      </c>
      <c r="C14493" s="0" t="s">
        <v>19280</v>
      </c>
      <c r="D14493" s="0" t="s">
        <v>19280</v>
      </c>
      <c r="E14493" s="0" t="inlineStr">
        <is>
          <t xml:space="preserve">Mazda</t>
        </is>
      </c>
      <c r="F14493" s="0" t="inlineStr">
        <is>
          <t xml:space="preserve">Mazda</t>
        </is>
      </c>
      <c r="G14493" s="0" t="s">
        <v>171</v>
      </c>
      <c r="H14493" s="5">
        <v>124.562600</v>
      </c>
    </row>
    <row r="14494" spans="1:9">
      <c r="A14494" s="22" t="str">
        <f>HYPERLINK("https://app.vivvix.com/360/KMI/IntelliDrive/ApplUI/Pages/CreativePages/CustomReportCreativeDetail.aspx?App=23&amp;ReportView=4&amp;Qid=1711279&amp;Row=14486&amp;Col=1","No Title Assigned - #15274189251")</f>
        <v/>
      </c>
      <c r="B14494" s="0" t="s">
        <v>19281</v>
      </c>
      <c r="E14494" s="0" t="inlineStr">
        <is>
          <t xml:space="preserve">Mazda</t>
        </is>
      </c>
      <c r="F14494" s="0" t="inlineStr">
        <is>
          <t xml:space="preserve">Mazda</t>
        </is>
      </c>
      <c r="G14494" s="0" t="s">
        <v>171</v>
      </c>
      <c r="H14494" s="5">
        <v>6.789700</v>
      </c>
    </row>
    <row r="14495" spans="1:9">
      <c r="A14495" s="22" t="str">
        <f>HYPERLINK("https://app.vivvix.com/360/KMI/IntelliDrive/ApplUI/Pages/CreativePages/CustomReportCreativeDetail.aspx?App=23&amp;ReportView=4&amp;Qid=1711279&amp;Row=14487&amp;Col=1","No Title Assigned - #15274189446")</f>
        <v/>
      </c>
      <c r="B14495" s="0" t="s">
        <v>19282</v>
      </c>
      <c r="E14495" s="0" t="inlineStr">
        <is>
          <t xml:space="preserve">Mazda</t>
        </is>
      </c>
      <c r="F14495" s="0" t="inlineStr">
        <is>
          <t xml:space="preserve">Mazda</t>
        </is>
      </c>
      <c r="G14495" s="0" t="s">
        <v>171</v>
      </c>
      <c r="H14495" s="5">
        <v>134.482100</v>
      </c>
    </row>
    <row r="14496" spans="1:9">
      <c r="A14496" s="22" t="str">
        <f>HYPERLINK("https://app.vivvix.com/360/KMI/IntelliDrive/ApplUI/Pages/CreativePages/CustomReportCreativeDetail.aspx?App=23&amp;ReportView=4&amp;Qid=1711279&amp;Row=14488&amp;Col=1","No Title Assigned - #15274189486")</f>
        <v/>
      </c>
      <c r="B14496" s="0" t="s">
        <v>19283</v>
      </c>
      <c r="E14496" s="0" t="inlineStr">
        <is>
          <t xml:space="preserve">Mazda</t>
        </is>
      </c>
      <c r="F14496" s="0" t="inlineStr">
        <is>
          <t xml:space="preserve">Mazda</t>
        </is>
      </c>
      <c r="G14496" s="0" t="s">
        <v>171</v>
      </c>
      <c r="H14496" s="5">
        <v>28.419000</v>
      </c>
    </row>
    <row r="14497" spans="1:9">
      <c r="A14497" s="22" t="str">
        <f>HYPERLINK("https://app.vivvix.com/360/KMI/IntelliDrive/ApplUI/Pages/CreativePages/CustomReportCreativeDetail.aspx?App=23&amp;ReportView=4&amp;Qid=1711279&amp;Row=14489&amp;Col=1","No Title Assigned - #15274189584")</f>
        <v/>
      </c>
      <c r="B14497" s="0" t="s">
        <v>19284</v>
      </c>
      <c r="E14497" s="0" t="inlineStr">
        <is>
          <t xml:space="preserve">Mazda</t>
        </is>
      </c>
      <c r="F14497" s="0" t="inlineStr">
        <is>
          <t xml:space="preserve">Mazda</t>
        </is>
      </c>
      <c r="G14497" s="0" t="s">
        <v>171</v>
      </c>
      <c r="H14497" s="5">
        <v>48.262100</v>
      </c>
    </row>
    <row r="14498" spans="1:9">
      <c r="A14498" s="22" t="str">
        <f>HYPERLINK("https://app.vivvix.com/360/KMI/IntelliDrive/ApplUI/Pages/CreativePages/CustomReportCreativeDetail.aspx?App=23&amp;ReportView=4&amp;Qid=1711279&amp;Row=14490&amp;Col=1","No Title Assigned - #15274189930")</f>
        <v/>
      </c>
      <c r="B14498" s="0" t="s">
        <v>19285</v>
      </c>
      <c r="C14498" s="0" t="s">
        <v>19286</v>
      </c>
      <c r="D14498" s="0" t="s">
        <v>19286</v>
      </c>
      <c r="E14498" s="0" t="inlineStr">
        <is>
          <t xml:space="preserve">Mazda</t>
        </is>
      </c>
      <c r="F14498" s="0" t="inlineStr">
        <is>
          <t xml:space="preserve">Mazda</t>
        </is>
      </c>
      <c r="G14498" s="0" t="s">
        <v>171</v>
      </c>
      <c r="H14498" s="5">
        <v>41.325900</v>
      </c>
    </row>
    <row r="14499" spans="1:9">
      <c r="A14499" s="22" t="str">
        <f>HYPERLINK("https://app.vivvix.com/360/KMI/IntelliDrive/ApplUI/Pages/CreativePages/CustomReportCreativeDetail.aspx?App=23&amp;ReportView=4&amp;Qid=1711279&amp;Row=14491&amp;Col=1","No Title Assigned - #15274189957")</f>
        <v/>
      </c>
      <c r="B14499" s="0" t="s">
        <v>19287</v>
      </c>
      <c r="E14499" s="0" t="inlineStr">
        <is>
          <t xml:space="preserve">Mazda</t>
        </is>
      </c>
      <c r="F14499" s="0" t="inlineStr">
        <is>
          <t xml:space="preserve">Mazda</t>
        </is>
      </c>
      <c r="G14499" s="0" t="s">
        <v>171</v>
      </c>
      <c r="H14499" s="5">
        <v>13.775300</v>
      </c>
    </row>
    <row r="14500" spans="1:9">
      <c r="A14500" s="22" t="str">
        <f>HYPERLINK("https://app.vivvix.com/360/KMI/IntelliDrive/ApplUI/Pages/CreativePages/CustomReportCreativeDetail.aspx?App=23&amp;ReportView=4&amp;Qid=1711279&amp;Row=14492&amp;Col=1","No Title Assigned - #15274190311")</f>
        <v/>
      </c>
      <c r="B14500" s="0" t="s">
        <v>19288</v>
      </c>
      <c r="C14500" s="0" t="s">
        <v>19289</v>
      </c>
      <c r="D14500" s="0" t="s">
        <v>19289</v>
      </c>
      <c r="E14500" s="0" t="inlineStr">
        <is>
          <t xml:space="preserve">Mazda</t>
        </is>
      </c>
      <c r="F14500" s="0" t="inlineStr">
        <is>
          <t xml:space="preserve">Mazda</t>
        </is>
      </c>
      <c r="G14500" s="0" t="s">
        <v>171</v>
      </c>
      <c r="H14500" s="5">
        <v>65.973900</v>
      </c>
    </row>
    <row r="14501" spans="1:9">
      <c r="A14501" s="22" t="str">
        <f>HYPERLINK("https://app.vivvix.com/360/KMI/IntelliDrive/ApplUI/Pages/CreativePages/CustomReportCreativeDetail.aspx?App=23&amp;ReportView=4&amp;Qid=1711279&amp;Row=14493&amp;Col=1","No Title Assigned - #15274190362")</f>
        <v/>
      </c>
      <c r="B14501" s="0" t="s">
        <v>19290</v>
      </c>
      <c r="C14501" s="0" t="s">
        <v>19291</v>
      </c>
      <c r="D14501" s="0" t="s">
        <v>19291</v>
      </c>
      <c r="E14501" s="0" t="inlineStr">
        <is>
          <t xml:space="preserve">Mazda</t>
        </is>
      </c>
      <c r="F14501" s="0" t="inlineStr">
        <is>
          <t xml:space="preserve">Mazda</t>
        </is>
      </c>
      <c r="G14501" s="0" t="s">
        <v>171</v>
      </c>
      <c r="H14501" s="5">
        <v>1062.370500</v>
      </c>
    </row>
    <row r="14502" spans="1:9">
      <c r="A14502" s="22" t="str">
        <f>HYPERLINK("https://app.vivvix.com/360/KMI/IntelliDrive/ApplUI/Pages/CreativePages/CustomReportCreativeDetail.aspx?App=23&amp;ReportView=4&amp;Qid=1711279&amp;Row=14494&amp;Col=1","No Title Assigned - #15274192286")</f>
        <v/>
      </c>
      <c r="B14502" s="0" t="s">
        <v>19292</v>
      </c>
      <c r="C14502" s="0" t="s">
        <v>19293</v>
      </c>
      <c r="D14502" s="0" t="s">
        <v>4335</v>
      </c>
      <c r="E14502" s="0" t="inlineStr">
        <is>
          <t xml:space="preserve">Mazda</t>
        </is>
      </c>
      <c r="F14502" s="0" t="s">
        <v>13</v>
      </c>
      <c r="G14502" s="0" t="s">
        <v>49</v>
      </c>
      <c r="H14502" s="5">
        <v>15.521400</v>
      </c>
    </row>
    <row r="14503" spans="1:9">
      <c r="A14503" s="22" t="str">
        <f>HYPERLINK("https://app.vivvix.com/360/KMI/IntelliDrive/ApplUI/Pages/CreativePages/CustomReportCreativeDetail.aspx?App=23&amp;ReportView=4&amp;Qid=1711279&amp;Row=14495&amp;Col=1","No Title Assigned - #15274193421")</f>
        <v/>
      </c>
      <c r="B14503" s="0" t="s">
        <v>19294</v>
      </c>
      <c r="C14503" s="0" t="s">
        <v>19295</v>
      </c>
      <c r="D14503" s="0" t="s">
        <v>11499</v>
      </c>
      <c r="E14503" s="0" t="inlineStr">
        <is>
          <t xml:space="preserve">Mazda</t>
        </is>
      </c>
      <c r="F14503" s="0" t="s">
        <v>13</v>
      </c>
      <c r="G14503" s="0" t="s">
        <v>49</v>
      </c>
      <c r="H14503" s="5">
        <v>82.786800</v>
      </c>
    </row>
    <row r="14504" spans="1:9">
      <c r="A14504" s="22" t="str">
        <f>HYPERLINK("https://app.vivvix.com/360/KMI/IntelliDrive/ApplUI/Pages/CreativePages/CustomReportCreativeDetail.aspx?App=23&amp;ReportView=4&amp;Qid=1711279&amp;Row=14496&amp;Col=1","No Title Assigned - #15274195435")</f>
        <v/>
      </c>
      <c r="B14504" s="0" t="s">
        <v>19296</v>
      </c>
      <c r="E14504" s="0" t="inlineStr">
        <is>
          <t xml:space="preserve">Mazda</t>
        </is>
      </c>
      <c r="F14504" s="0" t="inlineStr">
        <is>
          <t xml:space="preserve">Mazda</t>
        </is>
      </c>
      <c r="G14504" s="0" t="s">
        <v>171</v>
      </c>
      <c r="H14504" s="5">
        <v>100.738000</v>
      </c>
    </row>
    <row r="14505" spans="1:9">
      <c r="A14505" s="22" t="str">
        <f>HYPERLINK("https://app.vivvix.com/360/KMI/IntelliDrive/ApplUI/Pages/CreativePages/CustomReportCreativeDetail.aspx?App=23&amp;ReportView=4&amp;Qid=1711279&amp;Row=14497&amp;Col=1","No Title Assigned - #15274195495")</f>
        <v/>
      </c>
      <c r="B14505" s="0" t="s">
        <v>19297</v>
      </c>
      <c r="E14505" s="0" t="inlineStr">
        <is>
          <t xml:space="preserve">Mazda</t>
        </is>
      </c>
      <c r="F14505" s="0" t="inlineStr">
        <is>
          <t xml:space="preserve">Mazda</t>
        </is>
      </c>
      <c r="G14505" s="0" t="s">
        <v>171</v>
      </c>
      <c r="H14505" s="5">
        <v>1.787400</v>
      </c>
    </row>
    <row r="14506" spans="1:9">
      <c r="A14506" s="22" t="str">
        <f>HYPERLINK("https://app.vivvix.com/360/KMI/IntelliDrive/ApplUI/Pages/CreativePages/CustomReportCreativeDetail.aspx?App=23&amp;ReportView=4&amp;Qid=1711279&amp;Row=14498&amp;Col=1","No Title Assigned - #15274195795")</f>
        <v/>
      </c>
      <c r="B14506" s="0" t="s">
        <v>19298</v>
      </c>
      <c r="E14506" s="0" t="inlineStr">
        <is>
          <t xml:space="preserve">Mazda</t>
        </is>
      </c>
      <c r="F14506" s="0" t="inlineStr">
        <is>
          <t xml:space="preserve">Mazda</t>
        </is>
      </c>
      <c r="G14506" s="0" t="s">
        <v>171</v>
      </c>
      <c r="H14506" s="5">
        <v>89.074400</v>
      </c>
    </row>
    <row r="14507" spans="1:9">
      <c r="A14507" s="22" t="str">
        <f>HYPERLINK("https://app.vivvix.com/360/KMI/IntelliDrive/ApplUI/Pages/CreativePages/CustomReportCreativeDetail.aspx?App=23&amp;ReportView=4&amp;Qid=1711279&amp;Row=14499&amp;Col=1","No Title Assigned - #15274195883")</f>
        <v/>
      </c>
      <c r="B14507" s="0" t="s">
        <v>19299</v>
      </c>
      <c r="E14507" s="0" t="inlineStr">
        <is>
          <t xml:space="preserve">Mazda</t>
        </is>
      </c>
      <c r="F14507" s="0" t="inlineStr">
        <is>
          <t xml:space="preserve">Mazda</t>
        </is>
      </c>
      <c r="G14507" s="0" t="s">
        <v>171</v>
      </c>
      <c r="H14507" s="5">
        <v>298.329900</v>
      </c>
    </row>
    <row r="14508" spans="1:9">
      <c r="A14508" s="22" t="str">
        <f>HYPERLINK("https://app.vivvix.com/360/KMI/IntelliDrive/ApplUI/Pages/CreativePages/CustomReportCreativeDetail.aspx?App=23&amp;ReportView=4&amp;Qid=1711279&amp;Row=14500&amp;Col=1","No Title Assigned - #15274198745")</f>
        <v/>
      </c>
      <c r="B14508" s="0" t="s">
        <v>19300</v>
      </c>
      <c r="E14508" s="0" t="inlineStr">
        <is>
          <t xml:space="preserve">Mazda</t>
        </is>
      </c>
      <c r="F14508" s="0" t="s">
        <v>21</v>
      </c>
      <c r="G14508" s="0" t="s">
        <v>22</v>
      </c>
      <c r="H14508" s="5">
        <v>344.123100</v>
      </c>
    </row>
    <row r="14509" spans="1:9">
      <c r="A14509" s="22" t="str">
        <f>HYPERLINK("https://app.vivvix.com/360/KMI/IntelliDrive/ApplUI/Pages/CreativePages/CustomReportCreativeDetail.aspx?App=23&amp;ReportView=4&amp;Qid=1711279&amp;Row=14501&amp;Col=1","No Title Assigned - #15274198879")</f>
        <v/>
      </c>
      <c r="B14509" s="0" t="s">
        <v>19301</v>
      </c>
      <c r="E14509" s="0" t="inlineStr">
        <is>
          <t xml:space="preserve">Mazda</t>
        </is>
      </c>
      <c r="F14509" s="0" t="inlineStr">
        <is>
          <t xml:space="preserve">Mazda</t>
        </is>
      </c>
      <c r="G14509" s="0" t="s">
        <v>171</v>
      </c>
      <c r="H14509" s="5">
        <v>22472.772200</v>
      </c>
    </row>
    <row r="14510" spans="1:9">
      <c r="A14510" s="22" t="str">
        <f>HYPERLINK("https://app.vivvix.com/360/KMI/IntelliDrive/ApplUI/Pages/CreativePages/CustomReportCreativeDetail.aspx?App=23&amp;ReportView=4&amp;Qid=1711279&amp;Row=14502&amp;Col=1","No Title Assigned - #15274199084")</f>
        <v/>
      </c>
      <c r="B14510" s="0" t="s">
        <v>19302</v>
      </c>
      <c r="E14510" s="0" t="inlineStr">
        <is>
          <t xml:space="preserve">Mazda</t>
        </is>
      </c>
      <c r="F14510" s="0" t="inlineStr">
        <is>
          <t xml:space="preserve">Mazda</t>
        </is>
      </c>
      <c r="G14510" s="0" t="s">
        <v>171</v>
      </c>
      <c r="H14510" s="5">
        <v>5.362200</v>
      </c>
    </row>
    <row r="14511" spans="1:9">
      <c r="A14511" s="22" t="str">
        <f>HYPERLINK("https://app.vivvix.com/360/KMI/IntelliDrive/ApplUI/Pages/CreativePages/CustomReportCreativeDetail.aspx?App=23&amp;ReportView=4&amp;Qid=1711279&amp;Row=14503&amp;Col=1","No Title Assigned - #15274202491")</f>
        <v/>
      </c>
      <c r="B14511" s="0" t="s">
        <v>19303</v>
      </c>
      <c r="E14511" s="0" t="inlineStr">
        <is>
          <t xml:space="preserve">Mazda</t>
        </is>
      </c>
      <c r="F14511" s="0" t="inlineStr">
        <is>
          <t xml:space="preserve">Mazda</t>
        </is>
      </c>
      <c r="G14511" s="0" t="s">
        <v>171</v>
      </c>
      <c r="H14511" s="5">
        <v>80.136200</v>
      </c>
    </row>
    <row r="14512" spans="1:9">
      <c r="A14512" s="22" t="str">
        <f>HYPERLINK("https://app.vivvix.com/360/KMI/IntelliDrive/ApplUI/Pages/CreativePages/CustomReportCreativeDetail.aspx?App=23&amp;ReportView=4&amp;Qid=1711279&amp;Row=14504&amp;Col=1","No Title Assigned - #15274203697")</f>
        <v/>
      </c>
      <c r="B14512" s="0" t="s">
        <v>19304</v>
      </c>
      <c r="E14512" s="0" t="inlineStr">
        <is>
          <t xml:space="preserve">Mazda</t>
        </is>
      </c>
      <c r="F14512" s="0" t="inlineStr">
        <is>
          <t xml:space="preserve">Mazda</t>
        </is>
      </c>
      <c r="G14512" s="0" t="s">
        <v>171</v>
      </c>
      <c r="H14512" s="5">
        <v>346.720600</v>
      </c>
    </row>
    <row r="14513" spans="1:9">
      <c r="A14513" s="22" t="str">
        <f>HYPERLINK("https://app.vivvix.com/360/KMI/IntelliDrive/ApplUI/Pages/CreativePages/CustomReportCreativeDetail.aspx?App=23&amp;ReportView=4&amp;Qid=1711279&amp;Row=14505&amp;Col=1","No Title Assigned - #15274203736")</f>
        <v/>
      </c>
      <c r="B14513" s="0" t="s">
        <v>19305</v>
      </c>
      <c r="E14513" s="0" t="inlineStr">
        <is>
          <t xml:space="preserve">Mazda</t>
        </is>
      </c>
      <c r="F14513" s="0" t="inlineStr">
        <is>
          <t xml:space="preserve">Mazda</t>
        </is>
      </c>
      <c r="G14513" s="0" t="s">
        <v>171</v>
      </c>
      <c r="H14513" s="5">
        <v>809.261500</v>
      </c>
    </row>
    <row r="14514" spans="1:9">
      <c r="A14514" s="22" t="str">
        <f>HYPERLINK("https://app.vivvix.com/360/KMI/IntelliDrive/ApplUI/Pages/CreativePages/CustomReportCreativeDetail.aspx?App=23&amp;ReportView=4&amp;Qid=1711279&amp;Row=14506&amp;Col=1","No Title Assigned - #15274204023")</f>
        <v/>
      </c>
      <c r="B14514" s="0" t="s">
        <v>19306</v>
      </c>
      <c r="E14514" s="0" t="inlineStr">
        <is>
          <t xml:space="preserve">Mazda</t>
        </is>
      </c>
      <c r="F14514" s="0" t="inlineStr">
        <is>
          <t xml:space="preserve">Mazda</t>
        </is>
      </c>
      <c r="G14514" s="0" t="s">
        <v>171</v>
      </c>
      <c r="H14514" s="5">
        <v>392.266300</v>
      </c>
    </row>
    <row r="14515" spans="1:9">
      <c r="A14515" s="22" t="str">
        <f>HYPERLINK("https://app.vivvix.com/360/KMI/IntelliDrive/ApplUI/Pages/CreativePages/CustomReportCreativeDetail.aspx?App=23&amp;ReportView=4&amp;Qid=1711279&amp;Row=14507&amp;Col=1","No Title Assigned - #15274204023")</f>
        <v/>
      </c>
      <c r="B14515" s="0" t="s">
        <v>19306</v>
      </c>
      <c r="E14515" s="0" t="inlineStr">
        <is>
          <t xml:space="preserve">Mazda</t>
        </is>
      </c>
      <c r="F14515" s="0" t="inlineStr">
        <is>
          <t xml:space="preserve">Mazda</t>
        </is>
      </c>
      <c r="G14515" s="0" t="s">
        <v>171</v>
      </c>
      <c r="H14515" s="5">
        <v>1504.656400</v>
      </c>
    </row>
    <row r="14516" spans="1:9">
      <c r="A14516" s="22" t="str">
        <f>HYPERLINK("https://app.vivvix.com/360/KMI/IntelliDrive/ApplUI/Pages/CreativePages/CustomReportCreativeDetail.aspx?App=23&amp;ReportView=4&amp;Qid=1711279&amp;Row=14508&amp;Col=1","No Title Assigned - #15274205085")</f>
        <v/>
      </c>
      <c r="B14516" s="0" t="s">
        <v>19307</v>
      </c>
      <c r="E14516" s="0" t="inlineStr">
        <is>
          <t xml:space="preserve">Mazda</t>
        </is>
      </c>
      <c r="F14516" s="0" t="inlineStr">
        <is>
          <t xml:space="preserve">Mazda</t>
        </is>
      </c>
      <c r="G14516" s="0" t="s">
        <v>171</v>
      </c>
      <c r="H14516" s="5">
        <v>67.342700</v>
      </c>
    </row>
    <row r="14517" spans="1:9">
      <c r="A14517" s="22" t="str">
        <f>HYPERLINK("https://app.vivvix.com/360/KMI/IntelliDrive/ApplUI/Pages/CreativePages/CustomReportCreativeDetail.aspx?App=23&amp;ReportView=4&amp;Qid=1711279&amp;Row=14509&amp;Col=1","No Title Assigned - #15274205120")</f>
        <v/>
      </c>
      <c r="B14517" s="0" t="s">
        <v>19308</v>
      </c>
      <c r="E14517" s="0" t="inlineStr">
        <is>
          <t xml:space="preserve">Mazda</t>
        </is>
      </c>
      <c r="F14517" s="0" t="inlineStr">
        <is>
          <t xml:space="preserve">Mazda</t>
        </is>
      </c>
      <c r="G14517" s="0" t="s">
        <v>171</v>
      </c>
      <c r="H14517" s="5">
        <v>73.837500</v>
      </c>
    </row>
    <row r="14518" spans="1:9">
      <c r="A14518" s="22" t="str">
        <f>HYPERLINK("https://app.vivvix.com/360/KMI/IntelliDrive/ApplUI/Pages/CreativePages/CustomReportCreativeDetail.aspx?App=23&amp;ReportView=4&amp;Qid=1711279&amp;Row=14510&amp;Col=1","No Title Assigned - #15274205655")</f>
        <v/>
      </c>
      <c r="B14518" s="0" t="s">
        <v>19309</v>
      </c>
      <c r="E14518" s="0" t="inlineStr">
        <is>
          <t xml:space="preserve">Mazda</t>
        </is>
      </c>
      <c r="F14518" s="0" t="inlineStr">
        <is>
          <t xml:space="preserve">Mazda</t>
        </is>
      </c>
      <c r="G14518" s="0" t="s">
        <v>171</v>
      </c>
      <c r="H14518" s="5">
        <v>3705.742800</v>
      </c>
    </row>
    <row r="14519" spans="1:9">
      <c r="A14519" s="22" t="str">
        <f>HYPERLINK("https://app.vivvix.com/360/KMI/IntelliDrive/ApplUI/Pages/CreativePages/CustomReportCreativeDetail.aspx?App=23&amp;ReportView=4&amp;Qid=1711279&amp;Row=14511&amp;Col=1","No Title Assigned - #15274205677")</f>
        <v/>
      </c>
      <c r="B14519" s="0" t="s">
        <v>19310</v>
      </c>
      <c r="E14519" s="0" t="inlineStr">
        <is>
          <t xml:space="preserve">Mazda</t>
        </is>
      </c>
      <c r="F14519" s="0" t="inlineStr">
        <is>
          <t xml:space="preserve">Mazda</t>
        </is>
      </c>
      <c r="G14519" s="0" t="s">
        <v>171</v>
      </c>
      <c r="H14519" s="5">
        <v>245.332300</v>
      </c>
    </row>
    <row r="14520" spans="1:9">
      <c r="A14520" s="22" t="str">
        <f>HYPERLINK("https://app.vivvix.com/360/KMI/IntelliDrive/ApplUI/Pages/CreativePages/CustomReportCreativeDetail.aspx?App=23&amp;ReportView=4&amp;Qid=1711279&amp;Row=14512&amp;Col=1","No Title Assigned - #15274205784")</f>
        <v/>
      </c>
      <c r="B14520" s="0" t="s">
        <v>19311</v>
      </c>
      <c r="E14520" s="0" t="inlineStr">
        <is>
          <t xml:space="preserve">Mazda</t>
        </is>
      </c>
      <c r="F14520" s="0" t="inlineStr">
        <is>
          <t xml:space="preserve">Mazda</t>
        </is>
      </c>
      <c r="G14520" s="0" t="s">
        <v>171</v>
      </c>
      <c r="H14520" s="5">
        <v>90.421500</v>
      </c>
    </row>
    <row r="14521" spans="1:9">
      <c r="A14521" s="22" t="str">
        <f>HYPERLINK("https://app.vivvix.com/360/KMI/IntelliDrive/ApplUI/Pages/CreativePages/CustomReportCreativeDetail.aspx?App=23&amp;ReportView=4&amp;Qid=1711279&amp;Row=14513&amp;Col=1","No Title Assigned - #15274207929")</f>
        <v/>
      </c>
      <c r="B14521" s="0" t="s">
        <v>19312</v>
      </c>
      <c r="E14521" s="0" t="inlineStr">
        <is>
          <t xml:space="preserve">Mazda</t>
        </is>
      </c>
      <c r="F14521" s="0" t="inlineStr">
        <is>
          <t xml:space="preserve">Mazda</t>
        </is>
      </c>
      <c r="G14521" s="0" t="s">
        <v>171</v>
      </c>
      <c r="H14521" s="5">
        <v>184.581200</v>
      </c>
    </row>
    <row r="14522" spans="1:9">
      <c r="A14522" s="22" t="str">
        <f>HYPERLINK("https://app.vivvix.com/360/KMI/IntelliDrive/ApplUI/Pages/CreativePages/CustomReportCreativeDetail.aspx?App=23&amp;ReportView=4&amp;Qid=1711279&amp;Row=14514&amp;Col=1","No Title Assigned - #15274208099")</f>
        <v/>
      </c>
      <c r="B14522" s="0" t="s">
        <v>19313</v>
      </c>
      <c r="E14522" s="0" t="inlineStr">
        <is>
          <t xml:space="preserve">Mazda</t>
        </is>
      </c>
      <c r="F14522" s="0" t="inlineStr">
        <is>
          <t xml:space="preserve">Mazda</t>
        </is>
      </c>
      <c r="G14522" s="0" t="s">
        <v>171</v>
      </c>
      <c r="H14522" s="5">
        <v>3652.665800</v>
      </c>
    </row>
    <row r="14523" spans="1:9">
      <c r="A14523" s="22" t="str">
        <f>HYPERLINK("https://app.vivvix.com/360/KMI/IntelliDrive/ApplUI/Pages/CreativePages/CustomReportCreativeDetail.aspx?App=23&amp;ReportView=4&amp;Qid=1711279&amp;Row=14515&amp;Col=1","No Title Assigned - #15274208301")</f>
        <v/>
      </c>
      <c r="B14523" s="0" t="s">
        <v>19314</v>
      </c>
      <c r="E14523" s="0" t="inlineStr">
        <is>
          <t xml:space="preserve">Mazda</t>
        </is>
      </c>
      <c r="F14523" s="0" t="inlineStr">
        <is>
          <t xml:space="preserve">Mazda</t>
        </is>
      </c>
      <c r="G14523" s="0" t="s">
        <v>171</v>
      </c>
      <c r="H14523" s="5">
        <v>3891.354200</v>
      </c>
    </row>
    <row r="14524" spans="1:9">
      <c r="A14524" s="22" t="str">
        <f>HYPERLINK("https://app.vivvix.com/360/KMI/IntelliDrive/ApplUI/Pages/CreativePages/CustomReportCreativeDetail.aspx?App=23&amp;ReportView=4&amp;Qid=1711279&amp;Row=14516&amp;Col=1","No Title Assigned - #15274208595")</f>
        <v/>
      </c>
      <c r="B14524" s="0" t="s">
        <v>19315</v>
      </c>
      <c r="C14524" s="0" t="s">
        <v>19316</v>
      </c>
      <c r="D14524" s="0" t="s">
        <v>19316</v>
      </c>
      <c r="E14524" s="0" t="inlineStr">
        <is>
          <t xml:space="preserve">Mazda</t>
        </is>
      </c>
      <c r="F14524" s="0" t="inlineStr">
        <is>
          <t xml:space="preserve">Mazda</t>
        </is>
      </c>
      <c r="G14524" s="0" t="s">
        <v>171</v>
      </c>
      <c r="H14524" s="5">
        <v>3784.303800</v>
      </c>
    </row>
    <row r="14525" spans="1:9">
      <c r="A14525" s="22" t="str">
        <f>HYPERLINK("https://app.vivvix.com/360/KMI/IntelliDrive/ApplUI/Pages/CreativePages/CustomReportCreativeDetail.aspx?App=23&amp;ReportView=4&amp;Qid=1711279&amp;Row=14517&amp;Col=1","No Title Assigned - #15274209969")</f>
        <v/>
      </c>
      <c r="B14525" s="0" t="s">
        <v>19317</v>
      </c>
      <c r="C14525" s="0" t="s">
        <v>19318</v>
      </c>
      <c r="D14525" s="0" t="s">
        <v>19318</v>
      </c>
      <c r="E14525" s="0" t="inlineStr">
        <is>
          <t xml:space="preserve">Mazda</t>
        </is>
      </c>
      <c r="F14525" s="0" t="inlineStr">
        <is>
          <t xml:space="preserve">Mazda</t>
        </is>
      </c>
      <c r="G14525" s="0" t="s">
        <v>171</v>
      </c>
      <c r="H14525" s="5">
        <v>715.083700</v>
      </c>
    </row>
    <row r="14526" spans="1:9">
      <c r="A14526" s="22" t="str">
        <f>HYPERLINK("https://app.vivvix.com/360/KMI/IntelliDrive/ApplUI/Pages/CreativePages/CustomReportCreativeDetail.aspx?App=23&amp;ReportView=4&amp;Qid=1711279&amp;Row=14518&amp;Col=1","No Title Assigned - #15274210882")</f>
        <v/>
      </c>
      <c r="B14526" s="0" t="s">
        <v>19319</v>
      </c>
      <c r="E14526" s="0" t="inlineStr">
        <is>
          <t xml:space="preserve">Mazda</t>
        </is>
      </c>
      <c r="F14526" s="0" t="inlineStr">
        <is>
          <t xml:space="preserve">Mazda</t>
        </is>
      </c>
      <c r="G14526" s="0" t="s">
        <v>171</v>
      </c>
      <c r="H14526" s="5">
        <v>92.197500</v>
      </c>
    </row>
    <row r="14527" spans="1:9">
      <c r="A14527" s="22" t="str">
        <f>HYPERLINK("https://app.vivvix.com/360/KMI/IntelliDrive/ApplUI/Pages/CreativePages/CustomReportCreativeDetail.aspx?App=23&amp;ReportView=4&amp;Qid=1711279&amp;Row=14519&amp;Col=1","No Title Assigned - #15274212892")</f>
        <v/>
      </c>
      <c r="B14527" s="0" t="s">
        <v>19320</v>
      </c>
      <c r="C14527" s="0" t="s">
        <v>19321</v>
      </c>
      <c r="D14527" s="0" t="s">
        <v>19321</v>
      </c>
      <c r="E14527" s="0" t="inlineStr">
        <is>
          <t xml:space="preserve">Mazda</t>
        </is>
      </c>
      <c r="F14527" s="0" t="inlineStr">
        <is>
          <t xml:space="preserve">Mazda</t>
        </is>
      </c>
      <c r="G14527" s="0" t="s">
        <v>171</v>
      </c>
      <c r="H14527" s="5">
        <v>602.600000</v>
      </c>
    </row>
    <row r="14528" spans="1:9">
      <c r="A14528" s="22" t="str">
        <f>HYPERLINK("https://app.vivvix.com/360/KMI/IntelliDrive/ApplUI/Pages/CreativePages/CustomReportCreativeDetail.aspx?App=23&amp;ReportView=4&amp;Qid=1711279&amp;Row=14520&amp;Col=1","No Title Assigned - #15274213252")</f>
        <v/>
      </c>
      <c r="B14528" s="0" t="s">
        <v>19322</v>
      </c>
      <c r="E14528" s="0" t="inlineStr">
        <is>
          <t xml:space="preserve">Mazda</t>
        </is>
      </c>
      <c r="F14528" s="0" t="inlineStr">
        <is>
          <t xml:space="preserve">Mazda</t>
        </is>
      </c>
      <c r="G14528" s="0" t="s">
        <v>171</v>
      </c>
      <c r="H14528" s="5">
        <v>33.864900</v>
      </c>
    </row>
    <row r="14529" spans="1:9">
      <c r="A14529" s="22" t="str">
        <f>HYPERLINK("https://app.vivvix.com/360/KMI/IntelliDrive/ApplUI/Pages/CreativePages/CustomReportCreativeDetail.aspx?App=23&amp;ReportView=4&amp;Qid=1711279&amp;Row=14521&amp;Col=1","No Title Assigned - #15274213408")</f>
        <v/>
      </c>
      <c r="B14529" s="0" t="s">
        <v>19323</v>
      </c>
      <c r="E14529" s="0" t="inlineStr">
        <is>
          <t xml:space="preserve">Mazda</t>
        </is>
      </c>
      <c r="F14529" s="0" t="inlineStr">
        <is>
          <t xml:space="preserve">Mazda</t>
        </is>
      </c>
      <c r="G14529" s="0" t="s">
        <v>171</v>
      </c>
      <c r="H14529" s="5">
        <v>158.206400</v>
      </c>
    </row>
    <row r="14530" spans="1:9">
      <c r="A14530" s="22" t="str">
        <f>HYPERLINK("https://app.vivvix.com/360/KMI/IntelliDrive/ApplUI/Pages/CreativePages/CustomReportCreativeDetail.aspx?App=23&amp;ReportView=4&amp;Qid=1711279&amp;Row=14522&amp;Col=1","No Title Assigned - #15274214079")</f>
        <v/>
      </c>
      <c r="B14530" s="0" t="s">
        <v>19324</v>
      </c>
      <c r="C14530" s="0" t="s">
        <v>19325</v>
      </c>
      <c r="D14530" s="0" t="s">
        <v>4335</v>
      </c>
      <c r="E14530" s="0" t="inlineStr">
        <is>
          <t xml:space="preserve">Mazda</t>
        </is>
      </c>
      <c r="F14530" s="0" t="s">
        <v>13</v>
      </c>
      <c r="G14530" s="0" t="s">
        <v>49</v>
      </c>
      <c r="H14530" s="5">
        <v>44.017800</v>
      </c>
    </row>
    <row r="14531" spans="1:9">
      <c r="A14531" s="22" t="str">
        <f>HYPERLINK("https://app.vivvix.com/360/KMI/IntelliDrive/ApplUI/Pages/CreativePages/CustomReportCreativeDetail.aspx?App=23&amp;ReportView=4&amp;Qid=1711279&amp;Row=14523&amp;Col=1","No Title Assigned - #15274214516")</f>
        <v/>
      </c>
      <c r="B14531" s="0" t="s">
        <v>19326</v>
      </c>
      <c r="C14531" s="0" t="s">
        <v>19327</v>
      </c>
      <c r="D14531" s="0" t="s">
        <v>19327</v>
      </c>
      <c r="E14531" s="0" t="inlineStr">
        <is>
          <t xml:space="preserve">Mazda</t>
        </is>
      </c>
      <c r="F14531" s="0" t="s">
        <v>13</v>
      </c>
      <c r="G14531" s="0" t="s">
        <v>49</v>
      </c>
      <c r="H14531" s="5">
        <v>3888.248300</v>
      </c>
    </row>
    <row r="14532" spans="1:9">
      <c r="A14532" s="22" t="str">
        <f>HYPERLINK("https://app.vivvix.com/360/KMI/IntelliDrive/ApplUI/Pages/CreativePages/CustomReportCreativeDetail.aspx?App=23&amp;ReportView=4&amp;Qid=1711279&amp;Row=14524&amp;Col=1","No Title Assigned - #15274214516")</f>
        <v/>
      </c>
      <c r="B14532" s="0" t="s">
        <v>19326</v>
      </c>
      <c r="E14532" s="0" t="inlineStr">
        <is>
          <t xml:space="preserve">Mazda</t>
        </is>
      </c>
      <c r="F14532" s="0" t="s">
        <v>13</v>
      </c>
      <c r="G14532" s="0" t="s">
        <v>49</v>
      </c>
      <c r="H14532" s="5">
        <v>126444.584700</v>
      </c>
    </row>
    <row r="14533" spans="1:9">
      <c r="A14533" s="22" t="str">
        <f>HYPERLINK("https://app.vivvix.com/360/KMI/IntelliDrive/ApplUI/Pages/CreativePages/CustomReportCreativeDetail.aspx?App=23&amp;ReportView=4&amp;Qid=1711279&amp;Row=14525&amp;Col=1","No Title Assigned - #15274214546")</f>
        <v/>
      </c>
      <c r="B14533" s="0" t="s">
        <v>19328</v>
      </c>
      <c r="C14533" s="0" t="s">
        <v>19329</v>
      </c>
      <c r="D14533" s="0" t="s">
        <v>19329</v>
      </c>
      <c r="E14533" s="0" t="inlineStr">
        <is>
          <t xml:space="preserve">Mazda</t>
        </is>
      </c>
      <c r="F14533" s="0" t="inlineStr">
        <is>
          <t xml:space="preserve">Mazda</t>
        </is>
      </c>
      <c r="G14533" s="0" t="s">
        <v>210</v>
      </c>
      <c r="H14533" s="5">
        <v>3801.330000</v>
      </c>
    </row>
    <row r="14534" spans="1:9">
      <c r="A14534" s="22" t="str">
        <f>HYPERLINK("https://app.vivvix.com/360/KMI/IntelliDrive/ApplUI/Pages/CreativePages/CustomReportCreativeDetail.aspx?App=23&amp;ReportView=4&amp;Qid=1711279&amp;Row=14526&amp;Col=1","No Title Assigned - #15274215442")</f>
        <v/>
      </c>
      <c r="B14534" s="0" t="s">
        <v>19330</v>
      </c>
      <c r="C14534" s="0" t="s">
        <v>19331</v>
      </c>
      <c r="D14534" s="0" t="s">
        <v>19331</v>
      </c>
      <c r="E14534" s="0" t="inlineStr">
        <is>
          <t xml:space="preserve">Mazda</t>
        </is>
      </c>
      <c r="F14534" s="0" t="s">
        <v>13</v>
      </c>
      <c r="G14534" s="0" t="s">
        <v>49</v>
      </c>
      <c r="H14534" s="5">
        <v>15144.323200</v>
      </c>
    </row>
    <row r="14535" spans="1:9">
      <c r="A14535" s="22" t="str">
        <f>HYPERLINK("https://app.vivvix.com/360/KMI/IntelliDrive/ApplUI/Pages/CreativePages/CustomReportCreativeDetail.aspx?App=23&amp;ReportView=4&amp;Qid=1711279&amp;Row=14527&amp;Col=1","No Title Assigned - #15274216430")</f>
        <v/>
      </c>
      <c r="B14535" s="0" t="s">
        <v>19332</v>
      </c>
      <c r="E14535" s="0" t="inlineStr">
        <is>
          <t xml:space="preserve">Mazda</t>
        </is>
      </c>
      <c r="F14535" s="0" t="s">
        <v>13</v>
      </c>
      <c r="G14535" s="0" t="s">
        <v>49</v>
      </c>
      <c r="H14535" s="5">
        <v>9.375900</v>
      </c>
    </row>
    <row r="14536" spans="1:9">
      <c r="A14536" s="22" t="str">
        <f>HYPERLINK("https://app.vivvix.com/360/KMI/IntelliDrive/ApplUI/Pages/CreativePages/CustomReportCreativeDetail.aspx?App=23&amp;ReportView=4&amp;Qid=1711279&amp;Row=14528&amp;Col=1","No Title Assigned - #15274217712")</f>
        <v/>
      </c>
      <c r="B14536" s="0" t="s">
        <v>19333</v>
      </c>
      <c r="C14536" s="0" t="s">
        <v>19334</v>
      </c>
      <c r="D14536" s="0" t="s">
        <v>10371</v>
      </c>
      <c r="E14536" s="0" t="inlineStr">
        <is>
          <t xml:space="preserve">Mazda</t>
        </is>
      </c>
      <c r="F14536" s="0" t="s">
        <v>13</v>
      </c>
      <c r="G14536" s="0" t="s">
        <v>49</v>
      </c>
      <c r="H14536" s="5">
        <v>34.677700</v>
      </c>
    </row>
    <row r="14537" spans="1:9">
      <c r="A14537" s="22" t="str">
        <f>HYPERLINK("https://app.vivvix.com/360/KMI/IntelliDrive/ApplUI/Pages/CreativePages/CustomReportCreativeDetail.aspx?App=23&amp;ReportView=4&amp;Qid=1711279&amp;Row=14529&amp;Col=1","No Title Assigned - #15274218497")</f>
        <v/>
      </c>
      <c r="B14537" s="0" t="s">
        <v>19335</v>
      </c>
      <c r="C14537" s="0" t="s">
        <v>19336</v>
      </c>
      <c r="D14537" s="0" t="s">
        <v>4390</v>
      </c>
      <c r="E14537" s="0" t="inlineStr">
        <is>
          <t xml:space="preserve">Mazda</t>
        </is>
      </c>
      <c r="F14537" s="0" t="s">
        <v>28</v>
      </c>
      <c r="G14537" s="0" t="s">
        <v>29</v>
      </c>
      <c r="H14537" s="5">
        <v>271.747300</v>
      </c>
    </row>
    <row r="14538" spans="1:9">
      <c r="A14538" s="22" t="str">
        <f>HYPERLINK("https://app.vivvix.com/360/KMI/IntelliDrive/ApplUI/Pages/CreativePages/CustomReportCreativeDetail.aspx?App=23&amp;ReportView=4&amp;Qid=1711279&amp;Row=14530&amp;Col=1","No Title Assigned - #15274218770")</f>
        <v/>
      </c>
      <c r="B14538" s="0" t="s">
        <v>19337</v>
      </c>
      <c r="C14538" s="0" t="s">
        <v>19338</v>
      </c>
      <c r="D14538" s="0" t="s">
        <v>6183</v>
      </c>
      <c r="E14538" s="0" t="inlineStr">
        <is>
          <t xml:space="preserve">Mazda</t>
        </is>
      </c>
      <c r="F14538" s="0" t="s">
        <v>13</v>
      </c>
      <c r="G14538" s="0" t="s">
        <v>49</v>
      </c>
      <c r="H14538" s="5">
        <v>5.173800</v>
      </c>
    </row>
    <row r="14539" spans="1:9">
      <c r="A14539" s="22" t="str">
        <f>HYPERLINK("https://app.vivvix.com/360/KMI/IntelliDrive/ApplUI/Pages/CreativePages/CustomReportCreativeDetail.aspx?App=23&amp;ReportView=4&amp;Qid=1711279&amp;Row=14531&amp;Col=1","No Title Assigned - #15274220738")</f>
        <v/>
      </c>
      <c r="B14539" s="0" t="s">
        <v>19339</v>
      </c>
      <c r="C14539" s="0" t="s">
        <v>19340</v>
      </c>
      <c r="D14539" s="0" t="s">
        <v>19340</v>
      </c>
      <c r="E14539" s="0" t="inlineStr">
        <is>
          <t xml:space="preserve">Mazda</t>
        </is>
      </c>
      <c r="F14539" s="0" t="s">
        <v>13</v>
      </c>
      <c r="G14539" s="0" t="s">
        <v>49</v>
      </c>
      <c r="H14539" s="5">
        <v>595.543100</v>
      </c>
    </row>
    <row r="14540" spans="1:9">
      <c r="A14540" s="22" t="str">
        <f>HYPERLINK("https://app.vivvix.com/360/KMI/IntelliDrive/ApplUI/Pages/CreativePages/CustomReportCreativeDetail.aspx?App=23&amp;ReportView=4&amp;Qid=1711279&amp;Row=14532&amp;Col=1","No Title Assigned - #15274221783")</f>
        <v/>
      </c>
      <c r="B14540" s="0" t="s">
        <v>19341</v>
      </c>
      <c r="C14540" s="0" t="s">
        <v>19342</v>
      </c>
      <c r="D14540" s="0" t="s">
        <v>15730</v>
      </c>
      <c r="E14540" s="0" t="inlineStr">
        <is>
          <t xml:space="preserve">Mazda</t>
        </is>
      </c>
      <c r="F14540" s="0" t="inlineStr">
        <is>
          <t xml:space="preserve">Mazda</t>
        </is>
      </c>
      <c r="G14540" s="0" t="s">
        <v>210</v>
      </c>
      <c r="H14540" s="5">
        <v>952.114300</v>
      </c>
    </row>
    <row r="14541" spans="1:9">
      <c r="A14541" s="22" t="str">
        <f>HYPERLINK("https://app.vivvix.com/360/KMI/IntelliDrive/ApplUI/Pages/CreativePages/CustomReportCreativeDetail.aspx?App=23&amp;ReportView=4&amp;Qid=1711279&amp;Row=14533&amp;Col=1","No Title Assigned - #15274222657")</f>
        <v/>
      </c>
      <c r="B14541" s="0" t="s">
        <v>19343</v>
      </c>
      <c r="C14541" s="0" t="s">
        <v>19344</v>
      </c>
      <c r="D14541" s="0" t="s">
        <v>19344</v>
      </c>
      <c r="E14541" s="0" t="inlineStr">
        <is>
          <t xml:space="preserve">Mazda</t>
        </is>
      </c>
      <c r="F14541" s="0" t="s">
        <v>13</v>
      </c>
      <c r="G14541" s="0" t="s">
        <v>49</v>
      </c>
      <c r="H14541" s="5">
        <v>312.862600</v>
      </c>
    </row>
    <row r="14542" spans="1:9">
      <c r="A14542" s="22" t="str">
        <f>HYPERLINK("https://app.vivvix.com/360/KMI/IntelliDrive/ApplUI/Pages/CreativePages/CustomReportCreativeDetail.aspx?App=23&amp;ReportView=4&amp;Qid=1711279&amp;Row=14534&amp;Col=1","No Title Assigned - #15274222658")</f>
        <v/>
      </c>
      <c r="B14542" s="0" t="s">
        <v>19345</v>
      </c>
      <c r="C14542" s="0" t="s">
        <v>19346</v>
      </c>
      <c r="D14542" s="0" t="s">
        <v>19346</v>
      </c>
      <c r="E14542" s="0" t="inlineStr">
        <is>
          <t xml:space="preserve">Mazda</t>
        </is>
      </c>
      <c r="F14542" s="0" t="s">
        <v>13</v>
      </c>
      <c r="G14542" s="0" t="s">
        <v>49</v>
      </c>
      <c r="H14542" s="5">
        <v>115.911000</v>
      </c>
    </row>
    <row r="14543" spans="1:9">
      <c r="A14543" s="22" t="str">
        <f>HYPERLINK("https://app.vivvix.com/360/KMI/IntelliDrive/ApplUI/Pages/CreativePages/CustomReportCreativeDetail.aspx?App=23&amp;ReportView=4&amp;Qid=1711279&amp;Row=14535&amp;Col=1","No Title Assigned - #15274222663")</f>
        <v/>
      </c>
      <c r="B14543" s="0" t="s">
        <v>19347</v>
      </c>
      <c r="C14543" s="0" t="s">
        <v>19348</v>
      </c>
      <c r="D14543" s="0" t="s">
        <v>19348</v>
      </c>
      <c r="E14543" s="0" t="inlineStr">
        <is>
          <t xml:space="preserve">Mazda</t>
        </is>
      </c>
      <c r="F14543" s="0" t="s">
        <v>28</v>
      </c>
      <c r="G14543" s="0" t="s">
        <v>29</v>
      </c>
      <c r="H14543" s="5">
        <v>1302.452600</v>
      </c>
    </row>
    <row r="14544" spans="1:9">
      <c r="A14544" s="22" t="str">
        <f>HYPERLINK("https://app.vivvix.com/360/KMI/IntelliDrive/ApplUI/Pages/CreativePages/CustomReportCreativeDetail.aspx?App=23&amp;ReportView=4&amp;Qid=1711279&amp;Row=14536&amp;Col=1","No Title Assigned - #15274222836")</f>
        <v/>
      </c>
      <c r="B14544" s="0" t="s">
        <v>19349</v>
      </c>
      <c r="C14544" s="0" t="s">
        <v>19350</v>
      </c>
      <c r="D14544" s="0" t="s">
        <v>9676</v>
      </c>
      <c r="E14544" s="0" t="inlineStr">
        <is>
          <t xml:space="preserve">Mazda</t>
        </is>
      </c>
      <c r="F14544" s="0" t="s">
        <v>13</v>
      </c>
      <c r="G14544" s="0" t="s">
        <v>49</v>
      </c>
      <c r="H14544" s="5">
        <v>37.134500</v>
      </c>
    </row>
    <row r="14545" spans="1:9">
      <c r="A14545" s="22" t="str">
        <f>HYPERLINK("https://app.vivvix.com/360/KMI/IntelliDrive/ApplUI/Pages/CreativePages/CustomReportCreativeDetail.aspx?App=23&amp;ReportView=4&amp;Qid=1711279&amp;Row=14537&amp;Col=1","No Title Assigned - #15274222938")</f>
        <v/>
      </c>
      <c r="B14545" s="0" t="s">
        <v>19351</v>
      </c>
      <c r="C14545" s="0" t="s">
        <v>19352</v>
      </c>
      <c r="D14545" s="0" t="s">
        <v>19352</v>
      </c>
      <c r="E14545" s="0" t="inlineStr">
        <is>
          <t xml:space="preserve">Mazda</t>
        </is>
      </c>
      <c r="F14545" s="0" t="s">
        <v>13</v>
      </c>
      <c r="G14545" s="0" t="s">
        <v>49</v>
      </c>
      <c r="H14545" s="5">
        <v>670.165800</v>
      </c>
    </row>
    <row r="14546" spans="1:9">
      <c r="A14546" s="22" t="str">
        <f>HYPERLINK("https://app.vivvix.com/360/KMI/IntelliDrive/ApplUI/Pages/CreativePages/CustomReportCreativeDetail.aspx?App=23&amp;ReportView=4&amp;Qid=1711279&amp;Row=14538&amp;Col=1","No Title Assigned - #15274223422")</f>
        <v/>
      </c>
      <c r="B14546" s="0" t="s">
        <v>19353</v>
      </c>
      <c r="C14546" s="0" t="s">
        <v>19354</v>
      </c>
      <c r="D14546" s="0" t="s">
        <v>4204</v>
      </c>
      <c r="E14546" s="0" t="inlineStr">
        <is>
          <t xml:space="preserve">Mazda</t>
        </is>
      </c>
      <c r="F14546" s="0" t="s">
        <v>28</v>
      </c>
      <c r="G14546" s="0" t="s">
        <v>29</v>
      </c>
      <c r="H14546" s="5">
        <v>491.217000</v>
      </c>
    </row>
    <row r="14547" spans="1:9">
      <c r="A14547" s="22" t="str">
        <f>HYPERLINK("https://app.vivvix.com/360/KMI/IntelliDrive/ApplUI/Pages/CreativePages/CustomReportCreativeDetail.aspx?App=23&amp;ReportView=4&amp;Qid=1711279&amp;Row=14539&amp;Col=1","No Title Assigned - #15274223435")</f>
        <v/>
      </c>
      <c r="B14547" s="0" t="s">
        <v>19355</v>
      </c>
      <c r="C14547" s="0" t="s">
        <v>19356</v>
      </c>
      <c r="D14547" s="0" t="s">
        <v>4407</v>
      </c>
      <c r="E14547" s="0" t="inlineStr">
        <is>
          <t xml:space="preserve">Mazda</t>
        </is>
      </c>
      <c r="F14547" s="0" t="s">
        <v>28</v>
      </c>
      <c r="G14547" s="0" t="s">
        <v>29</v>
      </c>
      <c r="H14547" s="5">
        <v>8.564800</v>
      </c>
    </row>
    <row r="14548" spans="1:9">
      <c r="A14548" s="22" t="str">
        <f>HYPERLINK("https://app.vivvix.com/360/KMI/IntelliDrive/ApplUI/Pages/CreativePages/CustomReportCreativeDetail.aspx?App=23&amp;ReportView=4&amp;Qid=1711279&amp;Row=14540&amp;Col=1","No Title Assigned - #15274223601")</f>
        <v/>
      </c>
      <c r="B14548" s="0" t="s">
        <v>19357</v>
      </c>
      <c r="C14548" s="0" t="s">
        <v>19358</v>
      </c>
      <c r="D14548" s="0" t="s">
        <v>5013</v>
      </c>
      <c r="E14548" s="0" t="inlineStr">
        <is>
          <t xml:space="preserve">Mazda</t>
        </is>
      </c>
      <c r="F14548" s="0" t="s">
        <v>13</v>
      </c>
      <c r="G14548" s="0" t="s">
        <v>49</v>
      </c>
      <c r="H14548" s="5">
        <v>36.770100</v>
      </c>
    </row>
    <row r="14549" spans="1:9">
      <c r="A14549" s="22" t="str">
        <f>HYPERLINK("https://app.vivvix.com/360/KMI/IntelliDrive/ApplUI/Pages/CreativePages/CustomReportCreativeDetail.aspx?App=23&amp;ReportView=4&amp;Qid=1711279&amp;Row=14541&amp;Col=1","No Title Assigned - #15274223602")</f>
        <v/>
      </c>
      <c r="B14549" s="0" t="s">
        <v>19359</v>
      </c>
      <c r="C14549" s="0" t="s">
        <v>19360</v>
      </c>
      <c r="D14549" s="0" t="s">
        <v>4774</v>
      </c>
      <c r="E14549" s="0" t="inlineStr">
        <is>
          <t xml:space="preserve">Mazda</t>
        </is>
      </c>
      <c r="F14549" s="0" t="s">
        <v>13</v>
      </c>
      <c r="G14549" s="0" t="s">
        <v>49</v>
      </c>
      <c r="H14549" s="5">
        <v>131.005500</v>
      </c>
    </row>
    <row r="14550" spans="1:9">
      <c r="A14550" s="22" t="str">
        <f>HYPERLINK("https://app.vivvix.com/360/KMI/IntelliDrive/ApplUI/Pages/CreativePages/CustomReportCreativeDetail.aspx?App=23&amp;ReportView=4&amp;Qid=1711279&amp;Row=14542&amp;Col=1","No Title Assigned - #15274224009")</f>
        <v/>
      </c>
      <c r="B14550" s="0" t="s">
        <v>19361</v>
      </c>
      <c r="C14550" s="0" t="s">
        <v>19362</v>
      </c>
      <c r="D14550" s="0" t="s">
        <v>11328</v>
      </c>
      <c r="E14550" s="0" t="inlineStr">
        <is>
          <t xml:space="preserve">Mazda</t>
        </is>
      </c>
      <c r="F14550" s="0" t="s">
        <v>13</v>
      </c>
      <c r="G14550" s="0" t="s">
        <v>49</v>
      </c>
      <c r="H14550" s="5">
        <v>1220.772900</v>
      </c>
    </row>
    <row r="14551" spans="1:9">
      <c r="A14551" s="22" t="str">
        <f>HYPERLINK("https://app.vivvix.com/360/KMI/IntelliDrive/ApplUI/Pages/CreativePages/CustomReportCreativeDetail.aspx?App=23&amp;ReportView=4&amp;Qid=1711279&amp;Row=14543&amp;Col=1","No Title Assigned - #15274224053")</f>
        <v/>
      </c>
      <c r="B14551" s="0" t="s">
        <v>19363</v>
      </c>
      <c r="C14551" s="0" t="s">
        <v>19364</v>
      </c>
      <c r="D14551" s="0" t="s">
        <v>19364</v>
      </c>
      <c r="E14551" s="0" t="inlineStr">
        <is>
          <t xml:space="preserve">Mazda</t>
        </is>
      </c>
      <c r="F14551" s="0" t="s">
        <v>17</v>
      </c>
      <c r="G14551" s="0" t="s">
        <v>33</v>
      </c>
      <c r="H14551" s="5">
        <v>1126.580700</v>
      </c>
    </row>
    <row r="14552" spans="1:9">
      <c r="A14552" s="22" t="str">
        <f>HYPERLINK("https://app.vivvix.com/360/KMI/IntelliDrive/ApplUI/Pages/CreativePages/CustomReportCreativeDetail.aspx?App=23&amp;ReportView=4&amp;Qid=1711279&amp;Row=14544&amp;Col=1","No Title Assigned - #15274224596")</f>
        <v/>
      </c>
      <c r="B14552" s="0" t="s">
        <v>19365</v>
      </c>
      <c r="C14552" s="0" t="s">
        <v>19366</v>
      </c>
      <c r="D14552" s="0" t="s">
        <v>19366</v>
      </c>
      <c r="E14552" s="0" t="inlineStr">
        <is>
          <t xml:space="preserve">Mazda</t>
        </is>
      </c>
      <c r="F14552" s="0" t="inlineStr">
        <is>
          <t xml:space="preserve">Mazda</t>
        </is>
      </c>
      <c r="G14552" s="0" t="s">
        <v>210</v>
      </c>
      <c r="H14552" s="5">
        <v>891.557700</v>
      </c>
    </row>
    <row r="14553" spans="1:9">
      <c r="A14553" s="22" t="str">
        <f>HYPERLINK("https://app.vivvix.com/360/KMI/IntelliDrive/ApplUI/Pages/CreativePages/CustomReportCreativeDetail.aspx?App=23&amp;ReportView=4&amp;Qid=1711279&amp;Row=14545&amp;Col=1","No Title Assigned - #15274225252")</f>
        <v/>
      </c>
      <c r="B14553" s="0" t="s">
        <v>19367</v>
      </c>
      <c r="E14553" s="0" t="inlineStr">
        <is>
          <t xml:space="preserve">Mazda</t>
        </is>
      </c>
      <c r="F14553" s="0" t="s">
        <v>13</v>
      </c>
      <c r="G14553" s="0" t="s">
        <v>49</v>
      </c>
      <c r="H14553" s="5">
        <v>5.173800</v>
      </c>
    </row>
    <row r="14554" spans="1:9">
      <c r="A14554" s="22" t="str">
        <f>HYPERLINK("https://app.vivvix.com/360/KMI/IntelliDrive/ApplUI/Pages/CreativePages/CustomReportCreativeDetail.aspx?App=23&amp;ReportView=4&amp;Qid=1711279&amp;Row=14546&amp;Col=1","No Title Assigned - #15274225320")</f>
        <v/>
      </c>
      <c r="B14554" s="0" t="s">
        <v>19368</v>
      </c>
      <c r="C14554" s="0" t="s">
        <v>19369</v>
      </c>
      <c r="D14554" s="0" t="s">
        <v>5013</v>
      </c>
      <c r="E14554" s="0" t="inlineStr">
        <is>
          <t xml:space="preserve">Mazda</t>
        </is>
      </c>
      <c r="F14554" s="0" t="s">
        <v>13</v>
      </c>
      <c r="G14554" s="0" t="s">
        <v>49</v>
      </c>
      <c r="H14554" s="5">
        <v>262.171100</v>
      </c>
    </row>
    <row r="14555" spans="1:9">
      <c r="A14555" s="22" t="str">
        <f>HYPERLINK("https://app.vivvix.com/360/KMI/IntelliDrive/ApplUI/Pages/CreativePages/CustomReportCreativeDetail.aspx?App=23&amp;ReportView=4&amp;Qid=1711279&amp;Row=14547&amp;Col=1","No Title Assigned - #15274225660")</f>
        <v/>
      </c>
      <c r="B14555" s="0" t="s">
        <v>19370</v>
      </c>
      <c r="C14555" s="0" t="s">
        <v>19371</v>
      </c>
      <c r="D14555" s="0" t="s">
        <v>6420</v>
      </c>
      <c r="E14555" s="0" t="inlineStr">
        <is>
          <t xml:space="preserve">Mazda</t>
        </is>
      </c>
      <c r="F14555" s="0" t="s">
        <v>13</v>
      </c>
      <c r="G14555" s="0" t="s">
        <v>49</v>
      </c>
      <c r="H14555" s="5">
        <v>119.199500</v>
      </c>
    </row>
    <row r="14556" spans="1:9">
      <c r="A14556" s="22" t="str">
        <f>HYPERLINK("https://app.vivvix.com/360/KMI/IntelliDrive/ApplUI/Pages/CreativePages/CustomReportCreativeDetail.aspx?App=23&amp;ReportView=4&amp;Qid=1711279&amp;Row=14548&amp;Col=1","No Title Assigned - #15274225822")</f>
        <v/>
      </c>
      <c r="B14556" s="0" t="s">
        <v>19372</v>
      </c>
      <c r="C14556" s="0" t="s">
        <v>19373</v>
      </c>
      <c r="D14556" s="0" t="s">
        <v>19373</v>
      </c>
      <c r="E14556" s="0" t="inlineStr">
        <is>
          <t xml:space="preserve">Mazda</t>
        </is>
      </c>
      <c r="F14556" s="0" t="s">
        <v>28</v>
      </c>
      <c r="G14556" s="0" t="s">
        <v>29</v>
      </c>
      <c r="H14556" s="5">
        <v>1988.945300</v>
      </c>
    </row>
    <row r="14557" spans="1:9">
      <c r="A14557" s="22" t="str">
        <f>HYPERLINK("https://app.vivvix.com/360/KMI/IntelliDrive/ApplUI/Pages/CreativePages/CustomReportCreativeDetail.aspx?App=23&amp;ReportView=4&amp;Qid=1711279&amp;Row=14549&amp;Col=1","No Title Assigned - #15274226047")</f>
        <v/>
      </c>
      <c r="B14557" s="0" t="s">
        <v>19374</v>
      </c>
      <c r="C14557" s="0" t="s">
        <v>19375</v>
      </c>
      <c r="D14557" s="0" t="s">
        <v>19375</v>
      </c>
      <c r="E14557" s="0" t="inlineStr">
        <is>
          <t xml:space="preserve">Mazda</t>
        </is>
      </c>
      <c r="F14557" s="0" t="s">
        <v>13</v>
      </c>
      <c r="G14557" s="0" t="s">
        <v>49</v>
      </c>
      <c r="H14557" s="5">
        <v>1160.213100</v>
      </c>
    </row>
    <row r="14558" spans="1:9">
      <c r="A14558" s="22" t="str">
        <f>HYPERLINK("https://app.vivvix.com/360/KMI/IntelliDrive/ApplUI/Pages/CreativePages/CustomReportCreativeDetail.aspx?App=23&amp;ReportView=4&amp;Qid=1711279&amp;Row=14550&amp;Col=1","No Title Assigned - #15274226900")</f>
        <v/>
      </c>
      <c r="B14558" s="0" t="s">
        <v>19376</v>
      </c>
      <c r="E14558" s="0" t="inlineStr">
        <is>
          <t xml:space="preserve">Mazda</t>
        </is>
      </c>
      <c r="F14558" s="0" t="inlineStr">
        <is>
          <t xml:space="preserve">Mazda</t>
        </is>
      </c>
      <c r="G14558" s="0" t="s">
        <v>171</v>
      </c>
      <c r="H14558" s="5">
        <v>158.206400</v>
      </c>
    </row>
    <row r="14559" spans="1:9">
      <c r="A14559" s="22" t="str">
        <f>HYPERLINK("https://app.vivvix.com/360/KMI/IntelliDrive/ApplUI/Pages/CreativePages/CustomReportCreativeDetail.aspx?App=23&amp;ReportView=4&amp;Qid=1711279&amp;Row=14551&amp;Col=1","No Title Assigned - #15274227134")</f>
        <v/>
      </c>
      <c r="B14559" s="0" t="s">
        <v>19377</v>
      </c>
      <c r="E14559" s="0" t="inlineStr">
        <is>
          <t xml:space="preserve">Mazda</t>
        </is>
      </c>
      <c r="F14559" s="0" t="inlineStr">
        <is>
          <t xml:space="preserve">Mazda</t>
        </is>
      </c>
      <c r="G14559" s="0" t="s">
        <v>171</v>
      </c>
      <c r="H14559" s="5">
        <v>100.623500</v>
      </c>
    </row>
    <row r="14560" spans="1:9">
      <c r="A14560" s="22" t="str">
        <f>HYPERLINK("https://app.vivvix.com/360/KMI/IntelliDrive/ApplUI/Pages/CreativePages/CustomReportCreativeDetail.aspx?App=23&amp;ReportView=4&amp;Qid=1711279&amp;Row=14552&amp;Col=1","No Title Assigned - #15274227869")</f>
        <v/>
      </c>
      <c r="B14560" s="0" t="s">
        <v>19378</v>
      </c>
      <c r="C14560" s="0" t="s">
        <v>19379</v>
      </c>
      <c r="D14560" s="0" t="s">
        <v>19379</v>
      </c>
      <c r="E14560" s="0" t="inlineStr">
        <is>
          <t xml:space="preserve">Mazda</t>
        </is>
      </c>
      <c r="F14560" s="0" t="s">
        <v>13</v>
      </c>
      <c r="G14560" s="0" t="s">
        <v>49</v>
      </c>
      <c r="H14560" s="5">
        <v>1169.607200</v>
      </c>
    </row>
    <row r="14561" spans="1:9">
      <c r="A14561" s="22" t="str">
        <f>HYPERLINK("https://app.vivvix.com/360/KMI/IntelliDrive/ApplUI/Pages/CreativePages/CustomReportCreativeDetail.aspx?App=23&amp;ReportView=4&amp;Qid=1711279&amp;Row=14553&amp;Col=1","No Title Assigned - #15274228147")</f>
        <v/>
      </c>
      <c r="B14561" s="0" t="s">
        <v>19380</v>
      </c>
      <c r="E14561" s="0" t="inlineStr">
        <is>
          <t xml:space="preserve">Mazda</t>
        </is>
      </c>
      <c r="F14561" s="0" t="inlineStr">
        <is>
          <t xml:space="preserve">Mazda</t>
        </is>
      </c>
      <c r="G14561" s="0" t="s">
        <v>171</v>
      </c>
      <c r="H14561" s="5">
        <v>34.979000</v>
      </c>
    </row>
    <row r="14562" spans="1:9">
      <c r="A14562" s="22" t="str">
        <f>HYPERLINK("https://app.vivvix.com/360/KMI/IntelliDrive/ApplUI/Pages/CreativePages/CustomReportCreativeDetail.aspx?App=23&amp;ReportView=4&amp;Qid=1711279&amp;Row=14554&amp;Col=1","No Title Assigned - #15274228148")</f>
        <v/>
      </c>
      <c r="B14562" s="0" t="s">
        <v>19381</v>
      </c>
      <c r="E14562" s="0" t="inlineStr">
        <is>
          <t xml:space="preserve">Mazda</t>
        </is>
      </c>
      <c r="F14562" s="0" t="inlineStr">
        <is>
          <t xml:space="preserve">Mazda</t>
        </is>
      </c>
      <c r="G14562" s="0" t="s">
        <v>171</v>
      </c>
      <c r="H14562" s="5">
        <v>34.979000</v>
      </c>
    </row>
    <row r="14563" spans="1:9">
      <c r="A14563" s="22" t="str">
        <f>HYPERLINK("https://app.vivvix.com/360/KMI/IntelliDrive/ApplUI/Pages/CreativePages/CustomReportCreativeDetail.aspx?App=23&amp;ReportView=4&amp;Qid=1711279&amp;Row=14555&amp;Col=1","No Title Assigned - #15274228232")</f>
        <v/>
      </c>
      <c r="B14563" s="0" t="s">
        <v>19382</v>
      </c>
      <c r="E14563" s="0" t="inlineStr">
        <is>
          <t xml:space="preserve">Mazda</t>
        </is>
      </c>
      <c r="F14563" s="0" t="inlineStr">
        <is>
          <t xml:space="preserve">Mazda</t>
        </is>
      </c>
      <c r="G14563" s="0" t="s">
        <v>171</v>
      </c>
      <c r="H14563" s="5">
        <v>51.921200</v>
      </c>
    </row>
    <row r="14564" spans="1:9">
      <c r="A14564" s="22" t="str">
        <f>HYPERLINK("https://app.vivvix.com/360/KMI/IntelliDrive/ApplUI/Pages/CreativePages/CustomReportCreativeDetail.aspx?App=23&amp;ReportView=4&amp;Qid=1711279&amp;Row=14556&amp;Col=1","No Title Assigned - #15274228404")</f>
        <v/>
      </c>
      <c r="B14564" s="0" t="s">
        <v>19383</v>
      </c>
      <c r="C14564" s="0" t="s">
        <v>19384</v>
      </c>
      <c r="D14564" s="0" t="s">
        <v>19384</v>
      </c>
      <c r="E14564" s="0" t="inlineStr">
        <is>
          <t xml:space="preserve">Mazda</t>
        </is>
      </c>
      <c r="F14564" s="0" t="inlineStr">
        <is>
          <t xml:space="preserve">Mazda</t>
        </is>
      </c>
      <c r="G14564" s="0" t="s">
        <v>171</v>
      </c>
      <c r="H14564" s="5">
        <v>17.597900</v>
      </c>
    </row>
    <row r="14565" spans="1:9">
      <c r="A14565" s="22" t="str">
        <f>HYPERLINK("https://app.vivvix.com/360/KMI/IntelliDrive/ApplUI/Pages/CreativePages/CustomReportCreativeDetail.aspx?App=23&amp;ReportView=4&amp;Qid=1711279&amp;Row=14557&amp;Col=1","No Title Assigned - #15274228939")</f>
        <v/>
      </c>
      <c r="B14565" s="0" t="s">
        <v>19385</v>
      </c>
      <c r="E14565" s="0" t="inlineStr">
        <is>
          <t xml:space="preserve">Mazda</t>
        </is>
      </c>
      <c r="F14565" s="0" t="inlineStr">
        <is>
          <t xml:space="preserve">Mazda</t>
        </is>
      </c>
      <c r="G14565" s="0" t="s">
        <v>171</v>
      </c>
      <c r="H14565" s="5">
        <v>69.799600</v>
      </c>
    </row>
    <row r="14566" spans="1:9">
      <c r="A14566" s="22" t="str">
        <f>HYPERLINK("https://app.vivvix.com/360/KMI/IntelliDrive/ApplUI/Pages/CreativePages/CustomReportCreativeDetail.aspx?App=23&amp;ReportView=4&amp;Qid=1711279&amp;Row=14558&amp;Col=1","No Title Assigned - #15274229181")</f>
        <v/>
      </c>
      <c r="B14566" s="0" t="s">
        <v>19386</v>
      </c>
      <c r="C14566" s="0" t="s">
        <v>19387</v>
      </c>
      <c r="D14566" s="0" t="s">
        <v>6183</v>
      </c>
      <c r="E14566" s="0" t="inlineStr">
        <is>
          <t xml:space="preserve">Mazda</t>
        </is>
      </c>
      <c r="F14566" s="0" t="s">
        <v>13</v>
      </c>
      <c r="G14566" s="0" t="s">
        <v>49</v>
      </c>
      <c r="H14566" s="5">
        <v>5.173800</v>
      </c>
    </row>
    <row r="14567" spans="1:9">
      <c r="A14567" s="22" t="str">
        <f>HYPERLINK("https://app.vivvix.com/360/KMI/IntelliDrive/ApplUI/Pages/CreativePages/CustomReportCreativeDetail.aspx?App=23&amp;ReportView=4&amp;Qid=1711279&amp;Row=14559&amp;Col=1","No Title Assigned - #15274229548")</f>
        <v/>
      </c>
      <c r="B14567" s="0" t="s">
        <v>19388</v>
      </c>
      <c r="E14567" s="0" t="inlineStr">
        <is>
          <t xml:space="preserve">Mazda</t>
        </is>
      </c>
      <c r="F14567" s="0" t="s">
        <v>13</v>
      </c>
      <c r="G14567" s="0" t="s">
        <v>49</v>
      </c>
      <c r="H14567" s="5">
        <v>202.250200</v>
      </c>
    </row>
    <row r="14568" spans="1:9">
      <c r="A14568" s="22" t="str">
        <f>HYPERLINK("https://app.vivvix.com/360/KMI/IntelliDrive/ApplUI/Pages/CreativePages/CustomReportCreativeDetail.aspx?App=23&amp;ReportView=4&amp;Qid=1711279&amp;Row=14560&amp;Col=1","No Title Assigned - #15274229806")</f>
        <v/>
      </c>
      <c r="B14568" s="0" t="s">
        <v>19389</v>
      </c>
      <c r="C14568" s="0" t="s">
        <v>19390</v>
      </c>
      <c r="D14568" s="0" t="s">
        <v>19390</v>
      </c>
      <c r="E14568" s="0" t="inlineStr">
        <is>
          <t xml:space="preserve">Mazda</t>
        </is>
      </c>
      <c r="F14568" s="0" t="s">
        <v>28</v>
      </c>
      <c r="G14568" s="0" t="s">
        <v>29</v>
      </c>
      <c r="H14568" s="5">
        <v>165.639000</v>
      </c>
    </row>
    <row r="14569" spans="1:9">
      <c r="A14569" s="22" t="str">
        <f>HYPERLINK("https://app.vivvix.com/360/KMI/IntelliDrive/ApplUI/Pages/CreativePages/CustomReportCreativeDetail.aspx?App=23&amp;ReportView=4&amp;Qid=1711279&amp;Row=14561&amp;Col=1","No Title Assigned - #15274230219")</f>
        <v/>
      </c>
      <c r="B14569" s="0" t="s">
        <v>19391</v>
      </c>
      <c r="E14569" s="0" t="inlineStr">
        <is>
          <t xml:space="preserve">Mazda</t>
        </is>
      </c>
      <c r="F14569" s="0" t="s">
        <v>28</v>
      </c>
      <c r="G14569" s="0" t="s">
        <v>29</v>
      </c>
      <c r="H14569" s="5">
        <v>2111.683500</v>
      </c>
    </row>
    <row r="14570" spans="1:9">
      <c r="A14570" s="22" t="str">
        <f>HYPERLINK("https://app.vivvix.com/360/KMI/IntelliDrive/ApplUI/Pages/CreativePages/CustomReportCreativeDetail.aspx?App=23&amp;ReportView=4&amp;Qid=1711279&amp;Row=14562&amp;Col=1","No Title Assigned - #15274230219")</f>
        <v/>
      </c>
      <c r="B14570" s="0" t="s">
        <v>19391</v>
      </c>
      <c r="C14570" s="0" t="s">
        <v>19392</v>
      </c>
      <c r="D14570" s="0" t="s">
        <v>4200</v>
      </c>
      <c r="E14570" s="0" t="inlineStr">
        <is>
          <t xml:space="preserve">Mazda</t>
        </is>
      </c>
      <c r="F14570" s="0" t="s">
        <v>28</v>
      </c>
      <c r="G14570" s="0" t="s">
        <v>29</v>
      </c>
      <c r="H14570" s="5">
        <v>189.676600</v>
      </c>
    </row>
    <row r="14571" spans="1:9">
      <c r="A14571" s="22" t="str">
        <f>HYPERLINK("https://app.vivvix.com/360/KMI/IntelliDrive/ApplUI/Pages/CreativePages/CustomReportCreativeDetail.aspx?App=23&amp;ReportView=4&amp;Qid=1711279&amp;Row=14563&amp;Col=1","No Title Assigned - #15274230336")</f>
        <v/>
      </c>
      <c r="B14571" s="0" t="s">
        <v>19393</v>
      </c>
      <c r="C14571" s="0" t="s">
        <v>19394</v>
      </c>
      <c r="D14571" s="0" t="s">
        <v>19394</v>
      </c>
      <c r="E14571" s="0" t="inlineStr">
        <is>
          <t xml:space="preserve">Mazda</t>
        </is>
      </c>
      <c r="F14571" s="0" t="s">
        <v>13</v>
      </c>
      <c r="G14571" s="0" t="s">
        <v>49</v>
      </c>
      <c r="H14571" s="5">
        <v>110.061600</v>
      </c>
    </row>
    <row r="14572" spans="1:9">
      <c r="A14572" s="22" t="str">
        <f>HYPERLINK("https://app.vivvix.com/360/KMI/IntelliDrive/ApplUI/Pages/CreativePages/CustomReportCreativeDetail.aspx?App=23&amp;ReportView=4&amp;Qid=1711279&amp;Row=14564&amp;Col=1","No Title Assigned - #15274232269")</f>
        <v/>
      </c>
      <c r="B14572" s="0" t="s">
        <v>19395</v>
      </c>
      <c r="C14572" s="0" t="s">
        <v>19396</v>
      </c>
      <c r="D14572" s="0" t="s">
        <v>19396</v>
      </c>
      <c r="E14572" s="0" t="inlineStr">
        <is>
          <t xml:space="preserve">Mazda</t>
        </is>
      </c>
      <c r="F14572" s="0" t="s">
        <v>13</v>
      </c>
      <c r="G14572" s="0" t="s">
        <v>49</v>
      </c>
      <c r="H14572" s="5">
        <v>949.798600</v>
      </c>
    </row>
    <row r="14573" spans="1:9">
      <c r="A14573" s="22" t="str">
        <f>HYPERLINK("https://app.vivvix.com/360/KMI/IntelliDrive/ApplUI/Pages/CreativePages/CustomReportCreativeDetail.aspx?App=23&amp;ReportView=4&amp;Qid=1711279&amp;Row=14565&amp;Col=1","No Title Assigned - #15274232796")</f>
        <v/>
      </c>
      <c r="B14573" s="0" t="s">
        <v>19397</v>
      </c>
      <c r="C14573" s="0" t="s">
        <v>19398</v>
      </c>
      <c r="D14573" s="0" t="s">
        <v>4225</v>
      </c>
      <c r="E14573" s="0" t="inlineStr">
        <is>
          <t xml:space="preserve">Mazda</t>
        </is>
      </c>
      <c r="F14573" s="0" t="s">
        <v>28</v>
      </c>
      <c r="G14573" s="0" t="s">
        <v>29</v>
      </c>
      <c r="H14573" s="5">
        <v>660.722300</v>
      </c>
    </row>
    <row r="14574" spans="1:9">
      <c r="A14574" s="22" t="str">
        <f>HYPERLINK("https://app.vivvix.com/360/KMI/IntelliDrive/ApplUI/Pages/CreativePages/CustomReportCreativeDetail.aspx?App=23&amp;ReportView=4&amp;Qid=1711279&amp;Row=14566&amp;Col=1","No Title Assigned - #15274234894")</f>
        <v/>
      </c>
      <c r="B14574" s="0" t="s">
        <v>19399</v>
      </c>
      <c r="C14574" s="0" t="s">
        <v>19400</v>
      </c>
      <c r="D14574" s="0" t="s">
        <v>4200</v>
      </c>
      <c r="E14574" s="0" t="inlineStr">
        <is>
          <t xml:space="preserve">Mazda</t>
        </is>
      </c>
      <c r="F14574" s="0" t="s">
        <v>28</v>
      </c>
      <c r="G14574" s="0" t="s">
        <v>29</v>
      </c>
      <c r="H14574" s="5">
        <v>1361.463300</v>
      </c>
    </row>
    <row r="14575" spans="1:9">
      <c r="A14575" s="22" t="str">
        <f>HYPERLINK("https://app.vivvix.com/360/KMI/IntelliDrive/ApplUI/Pages/CreativePages/CustomReportCreativeDetail.aspx?App=23&amp;ReportView=4&amp;Qid=1711279&amp;Row=14567&amp;Col=1","No Title Assigned - #15274235596")</f>
        <v/>
      </c>
      <c r="B14575" s="0" t="s">
        <v>19401</v>
      </c>
      <c r="C14575" s="0" t="s">
        <v>19402</v>
      </c>
      <c r="D14575" s="0" t="s">
        <v>8560</v>
      </c>
      <c r="E14575" s="0" t="inlineStr">
        <is>
          <t xml:space="preserve">Mazda</t>
        </is>
      </c>
      <c r="F14575" s="0" t="s">
        <v>13</v>
      </c>
      <c r="G14575" s="0" t="s">
        <v>49</v>
      </c>
      <c r="H14575" s="5">
        <v>522.470100</v>
      </c>
    </row>
    <row r="14576" spans="1:9">
      <c r="A14576" s="22" t="str">
        <f>HYPERLINK("https://app.vivvix.com/360/KMI/IntelliDrive/ApplUI/Pages/CreativePages/CustomReportCreativeDetail.aspx?App=23&amp;ReportView=4&amp;Qid=1711279&amp;Row=14568&amp;Col=1","No Title Assigned - #15274235809")</f>
        <v/>
      </c>
      <c r="B14576" s="0" t="s">
        <v>19403</v>
      </c>
      <c r="C14576" s="0" t="s">
        <v>19404</v>
      </c>
      <c r="D14576" s="0" t="s">
        <v>19404</v>
      </c>
      <c r="E14576" s="0" t="inlineStr">
        <is>
          <t xml:space="preserve">Mazda</t>
        </is>
      </c>
      <c r="F14576" s="0" t="s">
        <v>28</v>
      </c>
      <c r="G14576" s="0" t="s">
        <v>29</v>
      </c>
      <c r="H14576" s="5">
        <v>1009.741300</v>
      </c>
    </row>
    <row r="14577" spans="1:9">
      <c r="A14577" s="22" t="str">
        <f>HYPERLINK("https://app.vivvix.com/360/KMI/IntelliDrive/ApplUI/Pages/CreativePages/CustomReportCreativeDetail.aspx?App=23&amp;ReportView=4&amp;Qid=1711279&amp;Row=14569&amp;Col=1","No Title Assigned - #15274236700")</f>
        <v/>
      </c>
      <c r="B14577" s="0" t="s">
        <v>19405</v>
      </c>
      <c r="E14577" s="0" t="inlineStr">
        <is>
          <t xml:space="preserve">Mazda</t>
        </is>
      </c>
      <c r="F14577" s="0" t="s">
        <v>13</v>
      </c>
      <c r="G14577" s="0" t="s">
        <v>49</v>
      </c>
      <c r="H14577" s="5">
        <v>2322.028700</v>
      </c>
    </row>
    <row r="14578" spans="1:9">
      <c r="A14578" s="22" t="str">
        <f>HYPERLINK("https://app.vivvix.com/360/KMI/IntelliDrive/ApplUI/Pages/CreativePages/CustomReportCreativeDetail.aspx?App=23&amp;ReportView=4&amp;Qid=1711279&amp;Row=14570&amp;Col=1","No Title Assigned - #15274236700")</f>
        <v/>
      </c>
      <c r="B14578" s="0" t="s">
        <v>19405</v>
      </c>
      <c r="E14578" s="0" t="inlineStr">
        <is>
          <t xml:space="preserve">Mazda</t>
        </is>
      </c>
      <c r="F14578" s="0" t="s">
        <v>13</v>
      </c>
      <c r="G14578" s="0" t="s">
        <v>49</v>
      </c>
      <c r="H14578" s="5">
        <v>47.540900</v>
      </c>
    </row>
    <row r="14579" spans="1:9">
      <c r="A14579" s="22" t="str">
        <f>HYPERLINK("https://app.vivvix.com/360/KMI/IntelliDrive/ApplUI/Pages/CreativePages/CustomReportCreativeDetail.aspx?App=23&amp;ReportView=4&amp;Qid=1711279&amp;Row=14571&amp;Col=1","No Title Assigned - #15274237548")</f>
        <v/>
      </c>
      <c r="B14579" s="0" t="s">
        <v>19406</v>
      </c>
      <c r="E14579" s="0" t="inlineStr">
        <is>
          <t xml:space="preserve">Mazda</t>
        </is>
      </c>
      <c r="F14579" s="0" t="inlineStr">
        <is>
          <t xml:space="preserve">Mazda</t>
        </is>
      </c>
      <c r="G14579" s="0" t="s">
        <v>171</v>
      </c>
      <c r="H14579" s="5">
        <v>161.524900</v>
      </c>
    </row>
    <row r="14580" spans="1:9">
      <c r="A14580" s="22" t="str">
        <f>HYPERLINK("https://app.vivvix.com/360/KMI/IntelliDrive/ApplUI/Pages/CreativePages/CustomReportCreativeDetail.aspx?App=23&amp;ReportView=4&amp;Qid=1711279&amp;Row=14572&amp;Col=1","No Title Assigned - #15274238501")</f>
        <v/>
      </c>
      <c r="B14580" s="0" t="s">
        <v>19407</v>
      </c>
      <c r="C14580" s="0" t="s">
        <v>19408</v>
      </c>
      <c r="D14580" s="0" t="s">
        <v>19408</v>
      </c>
      <c r="E14580" s="0" t="inlineStr">
        <is>
          <t xml:space="preserve">Mazda</t>
        </is>
      </c>
      <c r="F14580" s="0" t="s">
        <v>13</v>
      </c>
      <c r="G14580" s="0" t="s">
        <v>49</v>
      </c>
      <c r="H14580" s="5">
        <v>1423.788000</v>
      </c>
    </row>
    <row r="14581" spans="1:9">
      <c r="A14581" s="22" t="str">
        <f>HYPERLINK("https://app.vivvix.com/360/KMI/IntelliDrive/ApplUI/Pages/CreativePages/CustomReportCreativeDetail.aspx?App=23&amp;ReportView=4&amp;Qid=1711279&amp;Row=14573&amp;Col=1","No Title Assigned - #15274238750")</f>
        <v/>
      </c>
      <c r="B14581" s="0" t="s">
        <v>19409</v>
      </c>
      <c r="C14581" s="0" t="s">
        <v>19410</v>
      </c>
      <c r="D14581" s="0" t="s">
        <v>19410</v>
      </c>
      <c r="E14581" s="0" t="inlineStr">
        <is>
          <t xml:space="preserve">Mazda</t>
        </is>
      </c>
      <c r="F14581" s="0" t="s">
        <v>13</v>
      </c>
      <c r="G14581" s="0" t="s">
        <v>49</v>
      </c>
      <c r="H14581" s="5">
        <v>260.461000</v>
      </c>
    </row>
    <row r="14582" spans="1:9">
      <c r="A14582" s="22" t="str">
        <f>HYPERLINK("https://app.vivvix.com/360/KMI/IntelliDrive/ApplUI/Pages/CreativePages/CustomReportCreativeDetail.aspx?App=23&amp;ReportView=4&amp;Qid=1711279&amp;Row=14574&amp;Col=1","No Title Assigned - #15274238993")</f>
        <v/>
      </c>
      <c r="B14582" s="0" t="s">
        <v>19411</v>
      </c>
      <c r="C14582" s="0" t="s">
        <v>19412</v>
      </c>
      <c r="D14582" s="0" t="s">
        <v>4333</v>
      </c>
      <c r="E14582" s="0" t="inlineStr">
        <is>
          <t xml:space="preserve">Mazda</t>
        </is>
      </c>
      <c r="F14582" s="0" t="s">
        <v>28</v>
      </c>
      <c r="G14582" s="0" t="s">
        <v>29</v>
      </c>
      <c r="H14582" s="5">
        <v>79.321400</v>
      </c>
    </row>
    <row r="14583" spans="1:9">
      <c r="A14583" s="22" t="str">
        <f>HYPERLINK("https://app.vivvix.com/360/KMI/IntelliDrive/ApplUI/Pages/CreativePages/CustomReportCreativeDetail.aspx?App=23&amp;ReportView=4&amp;Qid=1711279&amp;Row=14575&amp;Col=1","No Title Assigned - #15274239826")</f>
        <v/>
      </c>
      <c r="B14583" s="0" t="s">
        <v>19413</v>
      </c>
      <c r="C14583" s="0" t="s">
        <v>19414</v>
      </c>
      <c r="D14583" s="0" t="s">
        <v>19414</v>
      </c>
      <c r="E14583" s="0" t="inlineStr">
        <is>
          <t xml:space="preserve">Mazda</t>
        </is>
      </c>
      <c r="F14583" s="0" t="s">
        <v>13</v>
      </c>
      <c r="G14583" s="0" t="s">
        <v>49</v>
      </c>
      <c r="H14583" s="5">
        <v>34504.498200</v>
      </c>
    </row>
    <row r="14584" spans="1:9">
      <c r="A14584" s="22" t="str">
        <f>HYPERLINK("https://app.vivvix.com/360/KMI/IntelliDrive/ApplUI/Pages/CreativePages/CustomReportCreativeDetail.aspx?App=23&amp;ReportView=4&amp;Qid=1711279&amp;Row=14576&amp;Col=1","No Title Assigned - #15274239827")</f>
        <v/>
      </c>
      <c r="B14584" s="0" t="s">
        <v>19415</v>
      </c>
      <c r="C14584" s="0" t="s">
        <v>19416</v>
      </c>
      <c r="D14584" s="0" t="s">
        <v>19416</v>
      </c>
      <c r="E14584" s="0" t="inlineStr">
        <is>
          <t xml:space="preserve">Mazda</t>
        </is>
      </c>
      <c r="F14584" s="0" t="s">
        <v>13</v>
      </c>
      <c r="G14584" s="0" t="s">
        <v>49</v>
      </c>
      <c r="H14584" s="5">
        <v>705.291200</v>
      </c>
    </row>
    <row r="14585" spans="1:9">
      <c r="A14585" s="22" t="str">
        <f>HYPERLINK("https://app.vivvix.com/360/KMI/IntelliDrive/ApplUI/Pages/CreativePages/CustomReportCreativeDetail.aspx?App=23&amp;ReportView=4&amp;Qid=1711279&amp;Row=14577&amp;Col=1","No Title Assigned - #15274241966")</f>
        <v/>
      </c>
      <c r="B14585" s="0" t="s">
        <v>19417</v>
      </c>
      <c r="E14585" s="0" t="inlineStr">
        <is>
          <t xml:space="preserve">Mazda</t>
        </is>
      </c>
      <c r="F14585" s="0" t="inlineStr">
        <is>
          <t xml:space="preserve">Mazda</t>
        </is>
      </c>
      <c r="G14585" s="0" t="s">
        <v>171</v>
      </c>
      <c r="H14585" s="5">
        <v>39.961400</v>
      </c>
    </row>
    <row r="14586" spans="1:9">
      <c r="A14586" s="22" t="str">
        <f>HYPERLINK("https://app.vivvix.com/360/KMI/IntelliDrive/ApplUI/Pages/CreativePages/CustomReportCreativeDetail.aspx?App=23&amp;ReportView=4&amp;Qid=1711279&amp;Row=14578&amp;Col=1","No Title Assigned - #15274242507")</f>
        <v/>
      </c>
      <c r="B14586" s="0" t="s">
        <v>19418</v>
      </c>
      <c r="E14586" s="0" t="inlineStr">
        <is>
          <t xml:space="preserve">Mazda</t>
        </is>
      </c>
      <c r="F14586" s="0" t="inlineStr">
        <is>
          <t xml:space="preserve">Mazda</t>
        </is>
      </c>
      <c r="G14586" s="0" t="s">
        <v>171</v>
      </c>
      <c r="H14586" s="5">
        <v>48.511400</v>
      </c>
    </row>
    <row r="14587" spans="1:9">
      <c r="A14587" s="22" t="str">
        <f>HYPERLINK("https://app.vivvix.com/360/KMI/IntelliDrive/ApplUI/Pages/CreativePages/CustomReportCreativeDetail.aspx?App=23&amp;ReportView=4&amp;Qid=1711279&amp;Row=14579&amp;Col=1","No Title Assigned - #15274242610")</f>
        <v/>
      </c>
      <c r="B14587" s="0" t="s">
        <v>19419</v>
      </c>
      <c r="C14587" s="0" t="s">
        <v>19420</v>
      </c>
      <c r="D14587" s="0" t="s">
        <v>4390</v>
      </c>
      <c r="E14587" s="0" t="inlineStr">
        <is>
          <t xml:space="preserve">Mazda</t>
        </is>
      </c>
      <c r="F14587" s="0" t="s">
        <v>28</v>
      </c>
      <c r="G14587" s="0" t="s">
        <v>29</v>
      </c>
      <c r="H14587" s="5">
        <v>471.953300</v>
      </c>
    </row>
    <row r="14588" spans="1:9">
      <c r="A14588" s="22" t="str">
        <f>HYPERLINK("https://app.vivvix.com/360/KMI/IntelliDrive/ApplUI/Pages/CreativePages/CustomReportCreativeDetail.aspx?App=23&amp;ReportView=4&amp;Qid=1711279&amp;Row=14580&amp;Col=1","No Title Assigned - #15274243018")</f>
        <v/>
      </c>
      <c r="B14588" s="0" t="s">
        <v>19421</v>
      </c>
      <c r="E14588" s="0" t="inlineStr">
        <is>
          <t xml:space="preserve">Mazda</t>
        </is>
      </c>
      <c r="F14588" s="0" t="inlineStr">
        <is>
          <t xml:space="preserve">Mazda</t>
        </is>
      </c>
      <c r="G14588" s="0" t="s">
        <v>171</v>
      </c>
      <c r="H14588" s="5">
        <v>87.245900</v>
      </c>
    </row>
    <row r="14589" spans="1:9">
      <c r="A14589" s="22" t="str">
        <f>HYPERLINK("https://app.vivvix.com/360/KMI/IntelliDrive/ApplUI/Pages/CreativePages/CustomReportCreativeDetail.aspx?App=23&amp;ReportView=4&amp;Qid=1711279&amp;Row=14581&amp;Col=1","No Title Assigned - #15274243308")</f>
        <v/>
      </c>
      <c r="B14589" s="0" t="s">
        <v>19422</v>
      </c>
      <c r="E14589" s="0" t="inlineStr">
        <is>
          <t xml:space="preserve">Mazda</t>
        </is>
      </c>
      <c r="F14589" s="0" t="inlineStr">
        <is>
          <t xml:space="preserve">Mazda</t>
        </is>
      </c>
      <c r="G14589" s="0" t="s">
        <v>171</v>
      </c>
      <c r="H14589" s="5">
        <v>298.245900</v>
      </c>
    </row>
    <row r="14590" spans="1:9">
      <c r="A14590" s="22" t="str">
        <f>HYPERLINK("https://app.vivvix.com/360/KMI/IntelliDrive/ApplUI/Pages/CreativePages/CustomReportCreativeDetail.aspx?App=23&amp;ReportView=4&amp;Qid=1711279&amp;Row=14582&amp;Col=1","No Title Assigned - #15274243633")</f>
        <v/>
      </c>
      <c r="B14590" s="0" t="s">
        <v>19423</v>
      </c>
      <c r="C14590" s="0" t="s">
        <v>19424</v>
      </c>
      <c r="D14590" s="0" t="s">
        <v>19424</v>
      </c>
      <c r="E14590" s="0" t="inlineStr">
        <is>
          <t xml:space="preserve">Mazda</t>
        </is>
      </c>
      <c r="F14590" s="0" t="inlineStr">
        <is>
          <t xml:space="preserve">Mazda</t>
        </is>
      </c>
      <c r="G14590" s="0" t="s">
        <v>171</v>
      </c>
      <c r="H14590" s="5">
        <v>805.942000</v>
      </c>
    </row>
    <row r="14591" spans="1:9">
      <c r="A14591" s="22" t="str">
        <f>HYPERLINK("https://app.vivvix.com/360/KMI/IntelliDrive/ApplUI/Pages/CreativePages/CustomReportCreativeDetail.aspx?App=23&amp;ReportView=4&amp;Qid=1711279&amp;Row=14583&amp;Col=1","No Title Assigned - #15274243752")</f>
        <v/>
      </c>
      <c r="B14591" s="0" t="s">
        <v>19425</v>
      </c>
      <c r="E14591" s="0" t="inlineStr">
        <is>
          <t xml:space="preserve">Mazda</t>
        </is>
      </c>
      <c r="F14591" s="0" t="inlineStr">
        <is>
          <t xml:space="preserve">Mazda</t>
        </is>
      </c>
      <c r="G14591" s="0" t="s">
        <v>171</v>
      </c>
      <c r="H14591" s="5">
        <v>1571.196500</v>
      </c>
    </row>
    <row r="14592" spans="1:9">
      <c r="A14592" s="22" t="str">
        <f>HYPERLINK("https://app.vivvix.com/360/KMI/IntelliDrive/ApplUI/Pages/CreativePages/CustomReportCreativeDetail.aspx?App=23&amp;ReportView=4&amp;Qid=1711279&amp;Row=14584&amp;Col=1","No Title Assigned - #15274244272")</f>
        <v/>
      </c>
      <c r="B14592" s="0" t="s">
        <v>19426</v>
      </c>
      <c r="E14592" s="0" t="inlineStr">
        <is>
          <t xml:space="preserve">Mazda</t>
        </is>
      </c>
      <c r="F14592" s="0" t="inlineStr">
        <is>
          <t xml:space="preserve">Mazda</t>
        </is>
      </c>
      <c r="G14592" s="0" t="s">
        <v>171</v>
      </c>
      <c r="H14592" s="5">
        <v>429.805400</v>
      </c>
    </row>
    <row r="14593" spans="1:9">
      <c r="A14593" s="22" t="str">
        <f>HYPERLINK("https://app.vivvix.com/360/KMI/IntelliDrive/ApplUI/Pages/CreativePages/CustomReportCreativeDetail.aspx?App=23&amp;ReportView=4&amp;Qid=1711279&amp;Row=14585&amp;Col=1","No Title Assigned - #15274244314")</f>
        <v/>
      </c>
      <c r="B14593" s="0" t="s">
        <v>19427</v>
      </c>
      <c r="E14593" s="0" t="inlineStr">
        <is>
          <t xml:space="preserve">Mazda</t>
        </is>
      </c>
      <c r="F14593" s="0" t="inlineStr">
        <is>
          <t xml:space="preserve">Mazda</t>
        </is>
      </c>
      <c r="G14593" s="0" t="s">
        <v>171</v>
      </c>
      <c r="H14593" s="5">
        <v>2533.515300</v>
      </c>
    </row>
    <row r="14594" spans="1:9">
      <c r="A14594" s="22" t="str">
        <f>HYPERLINK("https://app.vivvix.com/360/KMI/IntelliDrive/ApplUI/Pages/CreativePages/CustomReportCreativeDetail.aspx?App=23&amp;ReportView=4&amp;Qid=1711279&amp;Row=14586&amp;Col=1","No Title Assigned - #15274244922")</f>
        <v/>
      </c>
      <c r="B14594" s="0" t="s">
        <v>19428</v>
      </c>
      <c r="E14594" s="0" t="inlineStr">
        <is>
          <t xml:space="preserve">Mazda</t>
        </is>
      </c>
      <c r="F14594" s="0" t="inlineStr">
        <is>
          <t xml:space="preserve">Mazda</t>
        </is>
      </c>
      <c r="G14594" s="0" t="s">
        <v>171</v>
      </c>
      <c r="H14594" s="5">
        <v>10.323700</v>
      </c>
    </row>
    <row r="14595" spans="1:9">
      <c r="A14595" s="22" t="str">
        <f>HYPERLINK("https://app.vivvix.com/360/KMI/IntelliDrive/ApplUI/Pages/CreativePages/CustomReportCreativeDetail.aspx?App=23&amp;ReportView=4&amp;Qid=1711279&amp;Row=14587&amp;Col=1","No Title Assigned - #15274245127")</f>
        <v/>
      </c>
      <c r="B14595" s="0" t="s">
        <v>19429</v>
      </c>
      <c r="E14595" s="0" t="inlineStr">
        <is>
          <t xml:space="preserve">Mazda</t>
        </is>
      </c>
      <c r="F14595" s="0" t="inlineStr">
        <is>
          <t xml:space="preserve">Mazda</t>
        </is>
      </c>
      <c r="G14595" s="0" t="s">
        <v>171</v>
      </c>
      <c r="H14595" s="5">
        <v>3.574800</v>
      </c>
    </row>
    <row r="14596" spans="1:9">
      <c r="A14596" s="22" t="str">
        <f>HYPERLINK("https://app.vivvix.com/360/KMI/IntelliDrive/ApplUI/Pages/CreativePages/CustomReportCreativeDetail.aspx?App=23&amp;ReportView=4&amp;Qid=1711279&amp;Row=14588&amp;Col=1","No Title Assigned - #15274246062")</f>
        <v/>
      </c>
      <c r="B14596" s="0" t="s">
        <v>19430</v>
      </c>
      <c r="E14596" s="0" t="inlineStr">
        <is>
          <t xml:space="preserve">Mazda</t>
        </is>
      </c>
      <c r="F14596" s="0" t="inlineStr">
        <is>
          <t xml:space="preserve">Mazda</t>
        </is>
      </c>
      <c r="G14596" s="0" t="s">
        <v>171</v>
      </c>
      <c r="H14596" s="5">
        <v>53.735300</v>
      </c>
    </row>
    <row r="14597" spans="1:9">
      <c r="A14597" s="22" t="str">
        <f>HYPERLINK("https://app.vivvix.com/360/KMI/IntelliDrive/ApplUI/Pages/CreativePages/CustomReportCreativeDetail.aspx?App=23&amp;ReportView=4&amp;Qid=1711279&amp;Row=14589&amp;Col=1","No Title Assigned - #15274246063")</f>
        <v/>
      </c>
      <c r="B14597" s="0" t="s">
        <v>19431</v>
      </c>
      <c r="E14597" s="0" t="inlineStr">
        <is>
          <t xml:space="preserve">Mazda</t>
        </is>
      </c>
      <c r="F14597" s="0" t="inlineStr">
        <is>
          <t xml:space="preserve">Mazda</t>
        </is>
      </c>
      <c r="G14597" s="0" t="s">
        <v>171</v>
      </c>
      <c r="H14597" s="5">
        <v>53.735300</v>
      </c>
    </row>
    <row r="14598" spans="1:9">
      <c r="A14598" s="22" t="str">
        <f>HYPERLINK("https://app.vivvix.com/360/KMI/IntelliDrive/ApplUI/Pages/CreativePages/CustomReportCreativeDetail.aspx?App=23&amp;ReportView=4&amp;Qid=1711279&amp;Row=14590&amp;Col=1","No Title Assigned - #15274246216")</f>
        <v/>
      </c>
      <c r="B14598" s="0" t="s">
        <v>19432</v>
      </c>
      <c r="E14598" s="0" t="inlineStr">
        <is>
          <t xml:space="preserve">Mazda</t>
        </is>
      </c>
      <c r="F14598" s="0" t="inlineStr">
        <is>
          <t xml:space="preserve">Mazda</t>
        </is>
      </c>
      <c r="G14598" s="0" t="s">
        <v>171</v>
      </c>
      <c r="H14598" s="5">
        <v>161.535100</v>
      </c>
    </row>
    <row r="14599" spans="1:9">
      <c r="A14599" s="22" t="str">
        <f>HYPERLINK("https://app.vivvix.com/360/KMI/IntelliDrive/ApplUI/Pages/CreativePages/CustomReportCreativeDetail.aspx?App=23&amp;ReportView=4&amp;Qid=1711279&amp;Row=14591&amp;Col=1","No Title Assigned - #15274246435")</f>
        <v/>
      </c>
      <c r="B14599" s="0" t="s">
        <v>19433</v>
      </c>
      <c r="E14599" s="0" t="inlineStr">
        <is>
          <t xml:space="preserve">Mazda</t>
        </is>
      </c>
      <c r="F14599" s="0" t="inlineStr">
        <is>
          <t xml:space="preserve">Mazda</t>
        </is>
      </c>
      <c r="G14599" s="0" t="s">
        <v>171</v>
      </c>
      <c r="H14599" s="5">
        <v>3162.093300</v>
      </c>
    </row>
    <row r="14600" spans="1:9">
      <c r="A14600" s="22" t="str">
        <f>HYPERLINK("https://app.vivvix.com/360/KMI/IntelliDrive/ApplUI/Pages/CreativePages/CustomReportCreativeDetail.aspx?App=23&amp;ReportView=4&amp;Qid=1711279&amp;Row=14592&amp;Col=1","No Title Assigned - #15274246436")</f>
        <v/>
      </c>
      <c r="B14600" s="0" t="s">
        <v>19434</v>
      </c>
      <c r="E14600" s="0" t="inlineStr">
        <is>
          <t xml:space="preserve">Mazda</t>
        </is>
      </c>
      <c r="F14600" s="0" t="inlineStr">
        <is>
          <t xml:space="preserve">Mazda</t>
        </is>
      </c>
      <c r="G14600" s="0" t="s">
        <v>171</v>
      </c>
      <c r="H14600" s="5">
        <v>4216.124400</v>
      </c>
    </row>
    <row r="14601" spans="1:9">
      <c r="A14601" s="22" t="str">
        <f>HYPERLINK("https://app.vivvix.com/360/KMI/IntelliDrive/ApplUI/Pages/CreativePages/CustomReportCreativeDetail.aspx?App=23&amp;ReportView=4&amp;Qid=1711279&amp;Row=14593&amp;Col=1","No Title Assigned - #15274246643")</f>
        <v/>
      </c>
      <c r="B14601" s="0" t="s">
        <v>19435</v>
      </c>
      <c r="C14601" s="0" t="s">
        <v>19436</v>
      </c>
      <c r="D14601" s="0" t="s">
        <v>19436</v>
      </c>
      <c r="E14601" s="0" t="inlineStr">
        <is>
          <t xml:space="preserve">Mazda</t>
        </is>
      </c>
      <c r="F14601" s="0" t="inlineStr">
        <is>
          <t xml:space="preserve">Mazda</t>
        </is>
      </c>
      <c r="G14601" s="0" t="s">
        <v>171</v>
      </c>
      <c r="H14601" s="5">
        <v>17.895100</v>
      </c>
    </row>
    <row r="14602" spans="1:9">
      <c r="A14602" s="22" t="str">
        <f>HYPERLINK("https://app.vivvix.com/360/KMI/IntelliDrive/ApplUI/Pages/CreativePages/CustomReportCreativeDetail.aspx?App=23&amp;ReportView=4&amp;Qid=1711279&amp;Row=14594&amp;Col=1","No Title Assigned - #15274246732")</f>
        <v/>
      </c>
      <c r="B14602" s="0" t="s">
        <v>19437</v>
      </c>
      <c r="E14602" s="0" t="inlineStr">
        <is>
          <t xml:space="preserve">Mazda</t>
        </is>
      </c>
      <c r="F14602" s="0" t="inlineStr">
        <is>
          <t xml:space="preserve">Mazda</t>
        </is>
      </c>
      <c r="G14602" s="0" t="s">
        <v>171</v>
      </c>
      <c r="H14602" s="5">
        <v>235.727900</v>
      </c>
    </row>
    <row r="14603" spans="1:9">
      <c r="A14603" s="22" t="str">
        <f>HYPERLINK("https://app.vivvix.com/360/KMI/IntelliDrive/ApplUI/Pages/CreativePages/CustomReportCreativeDetail.aspx?App=23&amp;ReportView=4&amp;Qid=1711279&amp;Row=14595&amp;Col=1","No Title Assigned - #15274246847")</f>
        <v/>
      </c>
      <c r="B14603" s="0" t="s">
        <v>19438</v>
      </c>
      <c r="E14603" s="0" t="inlineStr">
        <is>
          <t xml:space="preserve">Mazda</t>
        </is>
      </c>
      <c r="F14603" s="0" t="inlineStr">
        <is>
          <t xml:space="preserve">Mazda</t>
        </is>
      </c>
      <c r="G14603" s="0" t="s">
        <v>171</v>
      </c>
      <c r="H14603" s="5">
        <v>871.475600</v>
      </c>
    </row>
    <row r="14604" spans="1:9">
      <c r="A14604" s="22" t="str">
        <f>HYPERLINK("https://app.vivvix.com/360/KMI/IntelliDrive/ApplUI/Pages/CreativePages/CustomReportCreativeDetail.aspx?App=23&amp;ReportView=4&amp;Qid=1711279&amp;Row=14596&amp;Col=1","No Title Assigned - #15274247119")</f>
        <v/>
      </c>
      <c r="B14604" s="0" t="s">
        <v>19439</v>
      </c>
      <c r="E14604" s="0" t="inlineStr">
        <is>
          <t xml:space="preserve">Mazda</t>
        </is>
      </c>
      <c r="F14604" s="0" t="inlineStr">
        <is>
          <t xml:space="preserve">Mazda</t>
        </is>
      </c>
      <c r="G14604" s="0" t="s">
        <v>171</v>
      </c>
      <c r="H14604" s="5">
        <v>66.887000</v>
      </c>
    </row>
    <row r="14605" spans="1:9">
      <c r="A14605" s="22" t="str">
        <f>HYPERLINK("https://app.vivvix.com/360/KMI/IntelliDrive/ApplUI/Pages/CreativePages/CustomReportCreativeDetail.aspx?App=23&amp;ReportView=4&amp;Qid=1711279&amp;Row=14597&amp;Col=1","No Title Assigned - #15274247548")</f>
        <v/>
      </c>
      <c r="B14605" s="0" t="s">
        <v>19440</v>
      </c>
      <c r="E14605" s="0" t="inlineStr">
        <is>
          <t xml:space="preserve">Mazda</t>
        </is>
      </c>
      <c r="F14605" s="0" t="inlineStr">
        <is>
          <t xml:space="preserve">Mazda</t>
        </is>
      </c>
      <c r="G14605" s="0" t="s">
        <v>171</v>
      </c>
      <c r="H14605" s="5">
        <v>1068.976000</v>
      </c>
    </row>
    <row r="14606" spans="1:9">
      <c r="A14606" s="22" t="str">
        <f>HYPERLINK("https://app.vivvix.com/360/KMI/IntelliDrive/ApplUI/Pages/CreativePages/CustomReportCreativeDetail.aspx?App=23&amp;ReportView=4&amp;Qid=1711279&amp;Row=14598&amp;Col=1","No Title Assigned - #15274248197")</f>
        <v/>
      </c>
      <c r="B14606" s="0" t="s">
        <v>19441</v>
      </c>
      <c r="E14606" s="0" t="inlineStr">
        <is>
          <t xml:space="preserve">Mazda</t>
        </is>
      </c>
      <c r="F14606" s="0" t="inlineStr">
        <is>
          <t xml:space="preserve">Mazda</t>
        </is>
      </c>
      <c r="G14606" s="0" t="s">
        <v>171</v>
      </c>
      <c r="H14606" s="5">
        <v>53.547800</v>
      </c>
    </row>
    <row r="14607" spans="1:9">
      <c r="A14607" s="22" t="str">
        <f>HYPERLINK("https://app.vivvix.com/360/KMI/IntelliDrive/ApplUI/Pages/CreativePages/CustomReportCreativeDetail.aspx?App=23&amp;ReportView=4&amp;Qid=1711279&amp;Row=14599&amp;Col=1","No Title Assigned - #15274248197")</f>
        <v/>
      </c>
      <c r="B14607" s="0" t="s">
        <v>19441</v>
      </c>
      <c r="E14607" s="0" t="inlineStr">
        <is>
          <t xml:space="preserve">Mazda</t>
        </is>
      </c>
      <c r="F14607" s="0" t="inlineStr">
        <is>
          <t xml:space="preserve">Mazda</t>
        </is>
      </c>
      <c r="G14607" s="0" t="s">
        <v>171</v>
      </c>
      <c r="H14607" s="5">
        <v>655.752200</v>
      </c>
    </row>
    <row r="14608" spans="1:9">
      <c r="A14608" s="22" t="str">
        <f>HYPERLINK("https://app.vivvix.com/360/KMI/IntelliDrive/ApplUI/Pages/CreativePages/CustomReportCreativeDetail.aspx?App=23&amp;ReportView=4&amp;Qid=1711279&amp;Row=14600&amp;Col=1","No Title Assigned - #15274248793")</f>
        <v/>
      </c>
      <c r="B14608" s="0" t="s">
        <v>19442</v>
      </c>
      <c r="C14608" s="0" t="s">
        <v>19443</v>
      </c>
      <c r="D14608" s="0" t="s">
        <v>19443</v>
      </c>
      <c r="E14608" s="0" t="inlineStr">
        <is>
          <t xml:space="preserve">Mazda</t>
        </is>
      </c>
      <c r="F14608" s="0" t="inlineStr">
        <is>
          <t xml:space="preserve">Mazda</t>
        </is>
      </c>
      <c r="G14608" s="0" t="s">
        <v>210</v>
      </c>
      <c r="H14608" s="5">
        <v>1287.215000</v>
      </c>
    </row>
    <row r="14609" spans="1:9">
      <c r="A14609" s="22" t="str">
        <f>HYPERLINK("https://app.vivvix.com/360/KMI/IntelliDrive/ApplUI/Pages/CreativePages/CustomReportCreativeDetail.aspx?App=23&amp;ReportView=4&amp;Qid=1711279&amp;Row=14601&amp;Col=1","No Title Assigned - #15274248872")</f>
        <v/>
      </c>
      <c r="B14609" s="0" t="s">
        <v>19444</v>
      </c>
      <c r="E14609" s="0" t="inlineStr">
        <is>
          <t xml:space="preserve">Mazda</t>
        </is>
      </c>
      <c r="F14609" s="0" t="inlineStr">
        <is>
          <t xml:space="preserve">Mazda</t>
        </is>
      </c>
      <c r="G14609" s="0" t="s">
        <v>171</v>
      </c>
      <c r="H14609" s="5">
        <v>120.498700</v>
      </c>
    </row>
    <row r="14610" spans="1:9">
      <c r="A14610" s="22" t="str">
        <f>HYPERLINK("https://app.vivvix.com/360/KMI/IntelliDrive/ApplUI/Pages/CreativePages/CustomReportCreativeDetail.aspx?App=23&amp;ReportView=4&amp;Qid=1711279&amp;Row=14602&amp;Col=1","No Title Assigned - #15274249417")</f>
        <v/>
      </c>
      <c r="B14610" s="0" t="s">
        <v>19445</v>
      </c>
      <c r="C14610" s="0" t="s">
        <v>19446</v>
      </c>
      <c r="D14610" s="0" t="s">
        <v>19446</v>
      </c>
      <c r="E14610" s="0" t="inlineStr">
        <is>
          <t xml:space="preserve">Mazda</t>
        </is>
      </c>
      <c r="F14610" s="0" t="inlineStr">
        <is>
          <t xml:space="preserve">Mazda</t>
        </is>
      </c>
      <c r="G14610" s="0" t="s">
        <v>171</v>
      </c>
      <c r="H14610" s="5">
        <v>134.630000</v>
      </c>
    </row>
    <row r="14611" spans="1:9">
      <c r="A14611" s="22" t="str">
        <f>HYPERLINK("https://app.vivvix.com/360/KMI/IntelliDrive/ApplUI/Pages/CreativePages/CustomReportCreativeDetail.aspx?App=23&amp;ReportView=4&amp;Qid=1711279&amp;Row=14603&amp;Col=1","No Title Assigned - #15274249427")</f>
        <v/>
      </c>
      <c r="B14611" s="0" t="s">
        <v>19447</v>
      </c>
      <c r="E14611" s="0" t="inlineStr">
        <is>
          <t xml:space="preserve">Mazda</t>
        </is>
      </c>
      <c r="F14611" s="0" t="inlineStr">
        <is>
          <t xml:space="preserve">Mazda</t>
        </is>
      </c>
      <c r="G14611" s="0" t="s">
        <v>171</v>
      </c>
      <c r="H14611" s="5">
        <v>52.884300</v>
      </c>
    </row>
    <row r="14612" spans="1:9">
      <c r="A14612" s="22" t="str">
        <f>HYPERLINK("https://app.vivvix.com/360/KMI/IntelliDrive/ApplUI/Pages/CreativePages/CustomReportCreativeDetail.aspx?App=23&amp;ReportView=4&amp;Qid=1711279&amp;Row=14604&amp;Col=1","No Title Assigned - #15274249828")</f>
        <v/>
      </c>
      <c r="B14612" s="0" t="s">
        <v>19448</v>
      </c>
      <c r="E14612" s="0" t="inlineStr">
        <is>
          <t xml:space="preserve">Mazda</t>
        </is>
      </c>
      <c r="F14612" s="0" t="inlineStr">
        <is>
          <t xml:space="preserve">Mazda</t>
        </is>
      </c>
      <c r="G14612" s="0" t="s">
        <v>171</v>
      </c>
      <c r="H14612" s="5">
        <v>6.617000</v>
      </c>
    </row>
    <row r="14613" spans="1:9">
      <c r="A14613" s="22" t="str">
        <f>HYPERLINK("https://app.vivvix.com/360/KMI/IntelliDrive/ApplUI/Pages/CreativePages/CustomReportCreativeDetail.aspx?App=23&amp;ReportView=4&amp;Qid=1711279&amp;Row=14605&amp;Col=1","No Title Assigned - #15274249974")</f>
        <v/>
      </c>
      <c r="B14613" s="0" t="s">
        <v>19449</v>
      </c>
      <c r="E14613" s="0" t="inlineStr">
        <is>
          <t xml:space="preserve">Mazda</t>
        </is>
      </c>
      <c r="F14613" s="0" t="inlineStr">
        <is>
          <t xml:space="preserve">Mazda</t>
        </is>
      </c>
      <c r="G14613" s="0" t="s">
        <v>171</v>
      </c>
      <c r="H14613" s="5">
        <v>1.787400</v>
      </c>
    </row>
    <row r="14614" spans="1:9">
      <c r="A14614" s="22" t="str">
        <f>HYPERLINK("https://app.vivvix.com/360/KMI/IntelliDrive/ApplUI/Pages/CreativePages/CustomReportCreativeDetail.aspx?App=23&amp;ReportView=4&amp;Qid=1711279&amp;Row=14606&amp;Col=1","No Title Assigned - #15274250187")</f>
        <v/>
      </c>
      <c r="B14614" s="0" t="s">
        <v>19450</v>
      </c>
      <c r="E14614" s="0" t="inlineStr">
        <is>
          <t xml:space="preserve">Mazda</t>
        </is>
      </c>
      <c r="F14614" s="0" t="inlineStr">
        <is>
          <t xml:space="preserve">Mazda</t>
        </is>
      </c>
      <c r="G14614" s="0" t="s">
        <v>171</v>
      </c>
      <c r="H14614" s="5">
        <v>179.393700</v>
      </c>
    </row>
    <row r="14615" spans="1:9">
      <c r="A14615" s="22" t="str">
        <f>HYPERLINK("https://app.vivvix.com/360/KMI/IntelliDrive/ApplUI/Pages/CreativePages/CustomReportCreativeDetail.aspx?App=23&amp;ReportView=4&amp;Qid=1711279&amp;Row=14607&amp;Col=1","No Title Assigned - #15274250282")</f>
        <v/>
      </c>
      <c r="B14615" s="0" t="s">
        <v>19451</v>
      </c>
      <c r="E14615" s="0" t="inlineStr">
        <is>
          <t xml:space="preserve">Mazda</t>
        </is>
      </c>
      <c r="F14615" s="0" t="inlineStr">
        <is>
          <t xml:space="preserve">Mazda</t>
        </is>
      </c>
      <c r="G14615" s="0" t="s">
        <v>171</v>
      </c>
      <c r="H14615" s="5">
        <v>43.033500</v>
      </c>
    </row>
    <row r="14616" spans="1:9">
      <c r="A14616" s="22" t="str">
        <f>HYPERLINK("https://app.vivvix.com/360/KMI/IntelliDrive/ApplUI/Pages/CreativePages/CustomReportCreativeDetail.aspx?App=23&amp;ReportView=4&amp;Qid=1711279&amp;Row=14608&amp;Col=1","No Title Assigned - #15274250302")</f>
        <v/>
      </c>
      <c r="B14616" s="0" t="s">
        <v>19452</v>
      </c>
      <c r="E14616" s="0" t="inlineStr">
        <is>
          <t xml:space="preserve">Mazda</t>
        </is>
      </c>
      <c r="F14616" s="0" t="inlineStr">
        <is>
          <t xml:space="preserve">Mazda</t>
        </is>
      </c>
      <c r="G14616" s="0" t="s">
        <v>171</v>
      </c>
      <c r="H14616" s="5">
        <v>27.679900</v>
      </c>
    </row>
    <row r="14617" spans="1:9">
      <c r="A14617" s="22" t="str">
        <f>HYPERLINK("https://app.vivvix.com/360/KMI/IntelliDrive/ApplUI/Pages/CreativePages/CustomReportCreativeDetail.aspx?App=23&amp;ReportView=4&amp;Qid=1711279&amp;Row=14609&amp;Col=1","No Title Assigned - #15274250481")</f>
        <v/>
      </c>
      <c r="B14617" s="0" t="s">
        <v>19453</v>
      </c>
      <c r="E14617" s="0" t="inlineStr">
        <is>
          <t xml:space="preserve">Mazda</t>
        </is>
      </c>
      <c r="F14617" s="0" t="inlineStr">
        <is>
          <t xml:space="preserve">Mazda</t>
        </is>
      </c>
      <c r="G14617" s="0" t="s">
        <v>171</v>
      </c>
      <c r="H14617" s="5">
        <v>17.575200</v>
      </c>
    </row>
    <row r="14618" spans="1:9">
      <c r="A14618" s="22" t="str">
        <f>HYPERLINK("https://app.vivvix.com/360/KMI/IntelliDrive/ApplUI/Pages/CreativePages/CustomReportCreativeDetail.aspx?App=23&amp;ReportView=4&amp;Qid=1711279&amp;Row=14610&amp;Col=1","No Title Assigned - #15274250488")</f>
        <v/>
      </c>
      <c r="B14618" s="0" t="s">
        <v>19454</v>
      </c>
      <c r="E14618" s="0" t="inlineStr">
        <is>
          <t xml:space="preserve">Mazda</t>
        </is>
      </c>
      <c r="F14618" s="0" t="inlineStr">
        <is>
          <t xml:space="preserve">Mazda</t>
        </is>
      </c>
      <c r="G14618" s="0" t="s">
        <v>171</v>
      </c>
      <c r="H14618" s="5">
        <v>132.108900</v>
      </c>
    </row>
    <row r="14619" spans="1:9">
      <c r="A14619" s="22" t="str">
        <f>HYPERLINK("https://app.vivvix.com/360/KMI/IntelliDrive/ApplUI/Pages/CreativePages/CustomReportCreativeDetail.aspx?App=23&amp;ReportView=4&amp;Qid=1711279&amp;Row=14611&amp;Col=1","No Title Assigned - #15274250890")</f>
        <v/>
      </c>
      <c r="B14619" s="0" t="s">
        <v>19455</v>
      </c>
      <c r="E14619" s="0" t="inlineStr">
        <is>
          <t xml:space="preserve">Mazda</t>
        </is>
      </c>
      <c r="F14619" s="0" t="inlineStr">
        <is>
          <t xml:space="preserve">Mazda</t>
        </is>
      </c>
      <c r="G14619" s="0" t="s">
        <v>171</v>
      </c>
      <c r="H14619" s="5">
        <v>73.018100</v>
      </c>
    </row>
    <row r="14620" spans="1:9">
      <c r="A14620" s="22" t="str">
        <f>HYPERLINK("https://app.vivvix.com/360/KMI/IntelliDrive/ApplUI/Pages/CreativePages/CustomReportCreativeDetail.aspx?App=23&amp;ReportView=4&amp;Qid=1711279&amp;Row=14612&amp;Col=1","No Title Assigned - #15274251238")</f>
        <v/>
      </c>
      <c r="B14620" s="0" t="s">
        <v>19456</v>
      </c>
      <c r="E14620" s="0" t="inlineStr">
        <is>
          <t xml:space="preserve">Mazda</t>
        </is>
      </c>
      <c r="F14620" s="0" t="inlineStr">
        <is>
          <t xml:space="preserve">Mazda</t>
        </is>
      </c>
      <c r="G14620" s="0" t="s">
        <v>171</v>
      </c>
      <c r="H14620" s="5">
        <v>186.263900</v>
      </c>
    </row>
    <row r="14621" spans="1:9">
      <c r="A14621" s="22" t="str">
        <f>HYPERLINK("https://app.vivvix.com/360/KMI/IntelliDrive/ApplUI/Pages/CreativePages/CustomReportCreativeDetail.aspx?App=23&amp;ReportView=4&amp;Qid=1711279&amp;Row=14613&amp;Col=1","No Title Assigned - #15274253128")</f>
        <v/>
      </c>
      <c r="B14621" s="0" t="s">
        <v>19457</v>
      </c>
      <c r="C14621" s="0" t="s">
        <v>19458</v>
      </c>
      <c r="D14621" s="0" t="s">
        <v>19458</v>
      </c>
      <c r="E14621" s="0" t="inlineStr">
        <is>
          <t xml:space="preserve">Mazda</t>
        </is>
      </c>
      <c r="F14621" s="0" t="inlineStr">
        <is>
          <t xml:space="preserve">Mazda</t>
        </is>
      </c>
      <c r="G14621" s="0" t="s">
        <v>171</v>
      </c>
      <c r="H14621" s="5">
        <v>45.913800</v>
      </c>
    </row>
    <row r="14622" spans="1:9">
      <c r="A14622" s="22" t="str">
        <f>HYPERLINK("https://app.vivvix.com/360/KMI/IntelliDrive/ApplUI/Pages/CreativePages/CustomReportCreativeDetail.aspx?App=23&amp;ReportView=4&amp;Qid=1711279&amp;Row=14614&amp;Col=1","No Title Assigned - #15274253373")</f>
        <v/>
      </c>
      <c r="B14622" s="0" t="s">
        <v>19459</v>
      </c>
      <c r="E14622" s="0" t="inlineStr">
        <is>
          <t xml:space="preserve">Mazda</t>
        </is>
      </c>
      <c r="F14622" s="0" t="s">
        <v>21</v>
      </c>
      <c r="G14622" s="0" t="s">
        <v>22</v>
      </c>
      <c r="H14622" s="5">
        <v>681.737700</v>
      </c>
    </row>
    <row r="14623" spans="1:9">
      <c r="A14623" s="22" t="str">
        <f>HYPERLINK("https://app.vivvix.com/360/KMI/IntelliDrive/ApplUI/Pages/CreativePages/CustomReportCreativeDetail.aspx?App=23&amp;ReportView=4&amp;Qid=1711279&amp;Row=14615&amp;Col=1","No Title Assigned - #15274253714")</f>
        <v/>
      </c>
      <c r="B14623" s="0" t="s">
        <v>19460</v>
      </c>
      <c r="E14623" s="0" t="inlineStr">
        <is>
          <t xml:space="preserve">Mazda</t>
        </is>
      </c>
      <c r="F14623" s="0" t="inlineStr">
        <is>
          <t xml:space="preserve">Mazda</t>
        </is>
      </c>
      <c r="G14623" s="0" t="s">
        <v>171</v>
      </c>
      <c r="H14623" s="5">
        <v>28.004300</v>
      </c>
    </row>
    <row r="14624" spans="1:9">
      <c r="A14624" s="22" t="str">
        <f>HYPERLINK("https://app.vivvix.com/360/KMI/IntelliDrive/ApplUI/Pages/CreativePages/CustomReportCreativeDetail.aspx?App=23&amp;ReportView=4&amp;Qid=1711279&amp;Row=14616&amp;Col=1","No Title Assigned - #15274255077")</f>
        <v/>
      </c>
      <c r="B14624" s="0" t="s">
        <v>19461</v>
      </c>
      <c r="E14624" s="0" t="inlineStr">
        <is>
          <t xml:space="preserve">Mazda</t>
        </is>
      </c>
      <c r="F14624" s="0" t="inlineStr">
        <is>
          <t xml:space="preserve">Mazda</t>
        </is>
      </c>
      <c r="G14624" s="0" t="s">
        <v>171</v>
      </c>
      <c r="H14624" s="5">
        <v>233.412500</v>
      </c>
    </row>
    <row r="14625" spans="1:9">
      <c r="A14625" s="22" t="str">
        <f>HYPERLINK("https://app.vivvix.com/360/KMI/IntelliDrive/ApplUI/Pages/CreativePages/CustomReportCreativeDetail.aspx?App=23&amp;ReportView=4&amp;Qid=1711279&amp;Row=14617&amp;Col=1","No Title Assigned - #15274255431")</f>
        <v/>
      </c>
      <c r="B14625" s="0" t="s">
        <v>19462</v>
      </c>
      <c r="E14625" s="0" t="inlineStr">
        <is>
          <t xml:space="preserve">Mazda</t>
        </is>
      </c>
      <c r="F14625" s="0" t="inlineStr">
        <is>
          <t xml:space="preserve">Mazda</t>
        </is>
      </c>
      <c r="G14625" s="0" t="s">
        <v>171</v>
      </c>
      <c r="H14625" s="5">
        <v>10.323700</v>
      </c>
    </row>
    <row r="14626" spans="1:9">
      <c r="A14626" s="22" t="str">
        <f>HYPERLINK("https://app.vivvix.com/360/KMI/IntelliDrive/ApplUI/Pages/CreativePages/CustomReportCreativeDetail.aspx?App=23&amp;ReportView=4&amp;Qid=1711279&amp;Row=14618&amp;Col=1","No Title Assigned - #15274257521")</f>
        <v/>
      </c>
      <c r="B14626" s="0" t="s">
        <v>19463</v>
      </c>
      <c r="E14626" s="0" t="inlineStr">
        <is>
          <t xml:space="preserve">Mazda</t>
        </is>
      </c>
      <c r="F14626" s="0" t="s">
        <v>21</v>
      </c>
      <c r="G14626" s="0" t="s">
        <v>22</v>
      </c>
      <c r="H14626" s="5">
        <v>2330.259700</v>
      </c>
    </row>
    <row r="14627" spans="1:9">
      <c r="A14627" s="22" t="str">
        <f>HYPERLINK("https://app.vivvix.com/360/KMI/IntelliDrive/ApplUI/Pages/CreativePages/CustomReportCreativeDetail.aspx?App=23&amp;ReportView=4&amp;Qid=1711279&amp;Row=14619&amp;Col=1","No Title Assigned - #15274261076")</f>
        <v/>
      </c>
      <c r="B14627" s="0" t="s">
        <v>19464</v>
      </c>
      <c r="E14627" s="0" t="inlineStr">
        <is>
          <t xml:space="preserve">Mazda</t>
        </is>
      </c>
      <c r="F14627" s="0" t="inlineStr">
        <is>
          <t xml:space="preserve">Mazda</t>
        </is>
      </c>
      <c r="G14627" s="0" t="s">
        <v>171</v>
      </c>
      <c r="H14627" s="5">
        <v>5.055300</v>
      </c>
    </row>
    <row r="14628" spans="1:9">
      <c r="A14628" s="22" t="str">
        <f>HYPERLINK("https://app.vivvix.com/360/KMI/IntelliDrive/ApplUI/Pages/CreativePages/CustomReportCreativeDetail.aspx?App=23&amp;ReportView=4&amp;Qid=1711279&amp;Row=14620&amp;Col=1","No Title Assigned - #15274261475")</f>
        <v/>
      </c>
      <c r="B14628" s="0" t="s">
        <v>19465</v>
      </c>
      <c r="E14628" s="0" t="inlineStr">
        <is>
          <t xml:space="preserve">Mazda</t>
        </is>
      </c>
      <c r="F14628" s="0" t="inlineStr">
        <is>
          <t xml:space="preserve">Mazda</t>
        </is>
      </c>
      <c r="G14628" s="0" t="s">
        <v>171</v>
      </c>
      <c r="H14628" s="5">
        <v>727.850400</v>
      </c>
    </row>
    <row r="14629" spans="1:9">
      <c r="A14629" s="22" t="str">
        <f>HYPERLINK("https://app.vivvix.com/360/KMI/IntelliDrive/ApplUI/Pages/CreativePages/CustomReportCreativeDetail.aspx?App=23&amp;ReportView=4&amp;Qid=1711279&amp;Row=14621&amp;Col=1","No Title Assigned - #15274261475")</f>
        <v/>
      </c>
      <c r="B14629" s="0" t="s">
        <v>19465</v>
      </c>
      <c r="E14629" s="0" t="inlineStr">
        <is>
          <t xml:space="preserve">Mazda</t>
        </is>
      </c>
      <c r="F14629" s="0" t="inlineStr">
        <is>
          <t xml:space="preserve">Mazda</t>
        </is>
      </c>
      <c r="G14629" s="0" t="s">
        <v>171</v>
      </c>
      <c r="H14629" s="5">
        <v>266.277200</v>
      </c>
    </row>
    <row r="14630" spans="1:9">
      <c r="A14630" s="22" t="str">
        <f>HYPERLINK("https://app.vivvix.com/360/KMI/IntelliDrive/ApplUI/Pages/CreativePages/CustomReportCreativeDetail.aspx?App=23&amp;ReportView=4&amp;Qid=1711279&amp;Row=14622&amp;Col=1","No Title Assigned - #15274277228")</f>
        <v/>
      </c>
      <c r="B14630" s="0" t="s">
        <v>19466</v>
      </c>
      <c r="E14630" s="0" t="inlineStr">
        <is>
          <t xml:space="preserve">Mazda</t>
        </is>
      </c>
      <c r="F14630" s="0" t="inlineStr">
        <is>
          <t xml:space="preserve">Mazda</t>
        </is>
      </c>
      <c r="G14630" s="0" t="s">
        <v>171</v>
      </c>
      <c r="H14630" s="5">
        <v>13.062600</v>
      </c>
    </row>
    <row r="14631" spans="1:9">
      <c r="A14631" s="22" t="str">
        <f>HYPERLINK("https://app.vivvix.com/360/KMI/IntelliDrive/ApplUI/Pages/CreativePages/CustomReportCreativeDetail.aspx?App=23&amp;ReportView=4&amp;Qid=1711279&amp;Row=14623&amp;Col=1","No Title Assigned - #15274277896")</f>
        <v/>
      </c>
      <c r="B14631" s="0" t="s">
        <v>19467</v>
      </c>
      <c r="C14631" s="0" t="s">
        <v>19468</v>
      </c>
      <c r="D14631" s="0" t="s">
        <v>19468</v>
      </c>
      <c r="E14631" s="0" t="inlineStr">
        <is>
          <t xml:space="preserve">Mazda</t>
        </is>
      </c>
      <c r="F14631" s="0" t="s">
        <v>13</v>
      </c>
      <c r="G14631" s="0" t="s">
        <v>49</v>
      </c>
      <c r="H14631" s="5">
        <v>953.694300</v>
      </c>
    </row>
    <row r="14632" spans="1:9">
      <c r="A14632" s="22" t="str">
        <f>HYPERLINK("https://app.vivvix.com/360/KMI/IntelliDrive/ApplUI/Pages/CreativePages/CustomReportCreativeDetail.aspx?App=23&amp;ReportView=4&amp;Qid=1711279&amp;Row=14624&amp;Col=1","No Title Assigned - #15274278166")</f>
        <v/>
      </c>
      <c r="B14632" s="0" t="s">
        <v>19469</v>
      </c>
      <c r="C14632" s="0" t="s">
        <v>19470</v>
      </c>
      <c r="D14632" s="0" t="s">
        <v>19470</v>
      </c>
      <c r="E14632" s="0" t="inlineStr">
        <is>
          <t xml:space="preserve">Mazda</t>
        </is>
      </c>
      <c r="F14632" s="0" t="s">
        <v>13</v>
      </c>
      <c r="G14632" s="0" t="s">
        <v>49</v>
      </c>
      <c r="H14632" s="5">
        <v>162.978300</v>
      </c>
    </row>
    <row r="14633" spans="1:9">
      <c r="A14633" s="22" t="str">
        <f>HYPERLINK("https://app.vivvix.com/360/KMI/IntelliDrive/ApplUI/Pages/CreativePages/CustomReportCreativeDetail.aspx?App=23&amp;ReportView=4&amp;Qid=1711279&amp;Row=14625&amp;Col=1","No Title Assigned - #15274284439")</f>
        <v/>
      </c>
      <c r="B14633" s="0" t="s">
        <v>19471</v>
      </c>
      <c r="E14633" s="0" t="inlineStr">
        <is>
          <t xml:space="preserve">Mazda</t>
        </is>
      </c>
      <c r="F14633" s="0" t="inlineStr">
        <is>
          <t xml:space="preserve">Mazda</t>
        </is>
      </c>
      <c r="G14633" s="0" t="s">
        <v>171</v>
      </c>
      <c r="H14633" s="5">
        <v>43.179700</v>
      </c>
    </row>
    <row r="14634" spans="1:9">
      <c r="A14634" s="22" t="str">
        <f>HYPERLINK("https://app.vivvix.com/360/KMI/IntelliDrive/ApplUI/Pages/CreativePages/CustomReportCreativeDetail.aspx?App=23&amp;ReportView=4&amp;Qid=1711279&amp;Row=14626&amp;Col=1","No Title Assigned - #15274288475")</f>
        <v/>
      </c>
      <c r="B14634" s="0" t="s">
        <v>19472</v>
      </c>
      <c r="C14634" s="0" t="s">
        <v>19473</v>
      </c>
      <c r="D14634" s="0" t="s">
        <v>19473</v>
      </c>
      <c r="E14634" s="0" t="inlineStr">
        <is>
          <t xml:space="preserve">Mazda</t>
        </is>
      </c>
      <c r="F14634" s="0" t="s">
        <v>13</v>
      </c>
      <c r="G14634" s="0" t="s">
        <v>49</v>
      </c>
      <c r="H14634" s="5">
        <v>47.795000</v>
      </c>
    </row>
    <row r="14635" spans="1:9">
      <c r="A14635" s="22" t="str">
        <f>HYPERLINK("https://app.vivvix.com/360/KMI/IntelliDrive/ApplUI/Pages/CreativePages/CustomReportCreativeDetail.aspx?App=23&amp;ReportView=4&amp;Qid=1711279&amp;Row=14627&amp;Col=1","No Title Assigned - #15274292329")</f>
        <v/>
      </c>
      <c r="B14635" s="0" t="s">
        <v>19474</v>
      </c>
      <c r="C14635" s="0" t="s">
        <v>19475</v>
      </c>
      <c r="D14635" s="0" t="s">
        <v>4781</v>
      </c>
      <c r="E14635" s="0" t="inlineStr">
        <is>
          <t xml:space="preserve">Mazda</t>
        </is>
      </c>
      <c r="F14635" s="0" t="s">
        <v>28</v>
      </c>
      <c r="G14635" s="0" t="s">
        <v>29</v>
      </c>
      <c r="H14635" s="5">
        <v>17.129600</v>
      </c>
    </row>
    <row r="14636" spans="1:9">
      <c r="A14636" s="22" t="str">
        <f>HYPERLINK("https://app.vivvix.com/360/KMI/IntelliDrive/ApplUI/Pages/CreativePages/CustomReportCreativeDetail.aspx?App=23&amp;ReportView=4&amp;Qid=1711279&amp;Row=14628&amp;Col=1","No Title Assigned - #15274292463")</f>
        <v/>
      </c>
      <c r="B14636" s="0" t="s">
        <v>19476</v>
      </c>
      <c r="C14636" s="0" t="s">
        <v>19477</v>
      </c>
      <c r="D14636" s="0" t="s">
        <v>19477</v>
      </c>
      <c r="E14636" s="0" t="inlineStr">
        <is>
          <t xml:space="preserve">Mazda</t>
        </is>
      </c>
      <c r="F14636" s="0" t="s">
        <v>28</v>
      </c>
      <c r="G14636" s="0" t="s">
        <v>29</v>
      </c>
      <c r="H14636" s="5">
        <v>8.564800</v>
      </c>
    </row>
    <row r="14637" spans="1:9">
      <c r="A14637" s="22" t="str">
        <f>HYPERLINK("https://app.vivvix.com/360/KMI/IntelliDrive/ApplUI/Pages/CreativePages/CustomReportCreativeDetail.aspx?App=23&amp;ReportView=4&amp;Qid=1711279&amp;Row=14629&amp;Col=1","No Title Assigned - #15274295957")</f>
        <v/>
      </c>
      <c r="B14637" s="0" t="s">
        <v>19478</v>
      </c>
      <c r="C14637" s="0" t="s">
        <v>19479</v>
      </c>
      <c r="D14637" s="0" t="s">
        <v>19479</v>
      </c>
      <c r="E14637" s="0" t="inlineStr">
        <is>
          <t xml:space="preserve">Mazda</t>
        </is>
      </c>
      <c r="F14637" s="0" t="inlineStr">
        <is>
          <t xml:space="preserve">Mazda</t>
        </is>
      </c>
      <c r="G14637" s="0" t="s">
        <v>171</v>
      </c>
      <c r="H14637" s="5">
        <v>20.934600</v>
      </c>
    </row>
    <row r="14638" spans="1:9">
      <c r="A14638" s="22" t="str">
        <f>HYPERLINK("https://app.vivvix.com/360/KMI/IntelliDrive/ApplUI/Pages/CreativePages/CustomReportCreativeDetail.aspx?App=23&amp;ReportView=4&amp;Qid=1711279&amp;Row=14630&amp;Col=1","No Title Assigned - #15274296125")</f>
        <v/>
      </c>
      <c r="B14638" s="0" t="s">
        <v>19480</v>
      </c>
      <c r="E14638" s="0" t="inlineStr">
        <is>
          <t xml:space="preserve">Mazda</t>
        </is>
      </c>
      <c r="F14638" s="0" t="inlineStr">
        <is>
          <t xml:space="preserve">Mazda</t>
        </is>
      </c>
      <c r="G14638" s="0" t="s">
        <v>171</v>
      </c>
      <c r="H14638" s="5">
        <v>121.416500</v>
      </c>
    </row>
    <row r="14639" spans="1:9">
      <c r="A14639" s="22" t="str">
        <f>HYPERLINK("https://app.vivvix.com/360/KMI/IntelliDrive/ApplUI/Pages/CreativePages/CustomReportCreativeDetail.aspx?App=23&amp;ReportView=4&amp;Qid=1711279&amp;Row=14631&amp;Col=1","No Title Assigned - #15274301365")</f>
        <v/>
      </c>
      <c r="B14639" s="0" t="s">
        <v>19481</v>
      </c>
      <c r="C14639" s="0" t="s">
        <v>19482</v>
      </c>
      <c r="D14639" s="0" t="s">
        <v>9795</v>
      </c>
      <c r="E14639" s="0" t="inlineStr">
        <is>
          <t xml:space="preserve">Mazda</t>
        </is>
      </c>
      <c r="F14639" s="0" t="s">
        <v>13</v>
      </c>
      <c r="G14639" s="0" t="s">
        <v>49</v>
      </c>
      <c r="H14639" s="5">
        <v>80.896700</v>
      </c>
    </row>
    <row r="14640" spans="1:9">
      <c r="A14640" s="22" t="str">
        <f>HYPERLINK("https://app.vivvix.com/360/KMI/IntelliDrive/ApplUI/Pages/CreativePages/CustomReportCreativeDetail.aspx?App=23&amp;ReportView=4&amp;Qid=1711279&amp;Row=14632&amp;Col=1","No Title Assigned - #15274302440")</f>
        <v/>
      </c>
      <c r="B14640" s="0" t="s">
        <v>19483</v>
      </c>
      <c r="C14640" s="0" t="s">
        <v>19484</v>
      </c>
      <c r="D14640" s="0" t="s">
        <v>19484</v>
      </c>
      <c r="E14640" s="0" t="inlineStr">
        <is>
          <t xml:space="preserve">Mazda</t>
        </is>
      </c>
      <c r="F14640" s="0" t="s">
        <v>17</v>
      </c>
      <c r="G14640" s="0" t="s">
        <v>33</v>
      </c>
      <c r="H14640" s="5">
        <v>476.423500</v>
      </c>
    </row>
    <row r="14641" spans="1:9">
      <c r="A14641" s="22" t="str">
        <f>HYPERLINK("https://app.vivvix.com/360/KMI/IntelliDrive/ApplUI/Pages/CreativePages/CustomReportCreativeDetail.aspx?App=23&amp;ReportView=4&amp;Qid=1711279&amp;Row=14633&amp;Col=1","No Title Assigned - #15274305041")</f>
        <v/>
      </c>
      <c r="B14641" s="0" t="s">
        <v>19485</v>
      </c>
      <c r="C14641" s="0" t="s">
        <v>19486</v>
      </c>
      <c r="D14641" s="0" t="s">
        <v>4232</v>
      </c>
      <c r="E14641" s="0" t="inlineStr">
        <is>
          <t xml:space="preserve">Mazda</t>
        </is>
      </c>
      <c r="F14641" s="0" t="s">
        <v>28</v>
      </c>
      <c r="G14641" s="0" t="s">
        <v>29</v>
      </c>
      <c r="H14641" s="5">
        <v>62.372900</v>
      </c>
    </row>
    <row r="14642" spans="1:9">
      <c r="A14642" s="22" t="str">
        <f>HYPERLINK("https://app.vivvix.com/360/KMI/IntelliDrive/ApplUI/Pages/CreativePages/CustomReportCreativeDetail.aspx?App=23&amp;ReportView=4&amp;Qid=1711279&amp;Row=14634&amp;Col=1","No Title Assigned - #15274309327")</f>
        <v/>
      </c>
      <c r="B14642" s="0" t="s">
        <v>19487</v>
      </c>
      <c r="E14642" s="0" t="inlineStr">
        <is>
          <t xml:space="preserve">Mazda</t>
        </is>
      </c>
      <c r="F14642" s="0" t="inlineStr">
        <is>
          <t xml:space="preserve">Mazda</t>
        </is>
      </c>
      <c r="G14642" s="0" t="s">
        <v>171</v>
      </c>
      <c r="H14642" s="5">
        <v>1618.871600</v>
      </c>
    </row>
    <row r="14643" spans="1:9">
      <c r="A14643" s="22" t="str">
        <f>HYPERLINK("https://app.vivvix.com/360/KMI/IntelliDrive/ApplUI/Pages/CreativePages/CustomReportCreativeDetail.aspx?App=23&amp;ReportView=4&amp;Qid=1711279&amp;Row=14635&amp;Col=1","No Title Assigned - #15274310323")</f>
        <v/>
      </c>
      <c r="B14643" s="0" t="s">
        <v>19488</v>
      </c>
      <c r="C14643" s="0" t="s">
        <v>19489</v>
      </c>
      <c r="D14643" s="0" t="s">
        <v>4200</v>
      </c>
      <c r="E14643" s="0" t="inlineStr">
        <is>
          <t xml:space="preserve">Mazda</t>
        </is>
      </c>
      <c r="F14643" s="0" t="s">
        <v>28</v>
      </c>
      <c r="G14643" s="0" t="s">
        <v>29</v>
      </c>
      <c r="H14643" s="5">
        <v>335.368200</v>
      </c>
    </row>
    <row r="14644" spans="1:9">
      <c r="A14644" s="22" t="str">
        <f>HYPERLINK("https://app.vivvix.com/360/KMI/IntelliDrive/ApplUI/Pages/CreativePages/CustomReportCreativeDetail.aspx?App=23&amp;ReportView=4&amp;Qid=1711279&amp;Row=14636&amp;Col=1","No Title Assigned - #15274310430")</f>
        <v/>
      </c>
      <c r="B14644" s="0" t="s">
        <v>19490</v>
      </c>
      <c r="E14644" s="0" t="inlineStr">
        <is>
          <t xml:space="preserve">Mazda</t>
        </is>
      </c>
      <c r="F14644" s="0" t="inlineStr">
        <is>
          <t xml:space="preserve">Mazda</t>
        </is>
      </c>
      <c r="G14644" s="0" t="s">
        <v>171</v>
      </c>
      <c r="H14644" s="5">
        <v>13.062600</v>
      </c>
    </row>
    <row r="14645" spans="1:9">
      <c r="A14645" s="22" t="str">
        <f>HYPERLINK("https://app.vivvix.com/360/KMI/IntelliDrive/ApplUI/Pages/CreativePages/CustomReportCreativeDetail.aspx?App=23&amp;ReportView=4&amp;Qid=1711279&amp;Row=14637&amp;Col=1","No Title Assigned - #15274311123")</f>
        <v/>
      </c>
      <c r="B14645" s="0" t="s">
        <v>19491</v>
      </c>
      <c r="C14645" s="0" t="s">
        <v>19492</v>
      </c>
      <c r="D14645" s="0" t="s">
        <v>19492</v>
      </c>
      <c r="E14645" s="0" t="inlineStr">
        <is>
          <t xml:space="preserve">Mazda</t>
        </is>
      </c>
      <c r="F14645" s="0" t="s">
        <v>13</v>
      </c>
      <c r="G14645" s="0" t="s">
        <v>49</v>
      </c>
      <c r="H14645" s="5">
        <v>5.173800</v>
      </c>
    </row>
    <row r="14646" spans="1:9">
      <c r="A14646" s="22" t="str">
        <f>HYPERLINK("https://app.vivvix.com/360/KMI/IntelliDrive/ApplUI/Pages/CreativePages/CustomReportCreativeDetail.aspx?App=23&amp;ReportView=4&amp;Qid=1711279&amp;Row=14638&amp;Col=1","No Title Assigned - #15274311584")</f>
        <v/>
      </c>
      <c r="B14646" s="0" t="s">
        <v>19493</v>
      </c>
      <c r="C14646" s="0" t="s">
        <v>19494</v>
      </c>
      <c r="D14646" s="0" t="s">
        <v>19494</v>
      </c>
      <c r="E14646" s="0" t="inlineStr">
        <is>
          <t xml:space="preserve">Mazda</t>
        </is>
      </c>
      <c r="F14646" s="0" t="s">
        <v>13</v>
      </c>
      <c r="G14646" s="0" t="s">
        <v>49</v>
      </c>
      <c r="H14646" s="5">
        <v>119.034200</v>
      </c>
    </row>
    <row r="14647" spans="1:9">
      <c r="A14647" s="22" t="str">
        <f>HYPERLINK("https://app.vivvix.com/360/KMI/IntelliDrive/ApplUI/Pages/CreativePages/CustomReportCreativeDetail.aspx?App=23&amp;ReportView=4&amp;Qid=1711279&amp;Row=14639&amp;Col=1","No Title Assigned - #15274311660")</f>
        <v/>
      </c>
      <c r="B14647" s="0" t="s">
        <v>19495</v>
      </c>
      <c r="C14647" s="0" t="s">
        <v>19496</v>
      </c>
      <c r="D14647" s="0" t="s">
        <v>19496</v>
      </c>
      <c r="E14647" s="0" t="inlineStr">
        <is>
          <t xml:space="preserve">Mazda</t>
        </is>
      </c>
      <c r="F14647" s="0" t="s">
        <v>13</v>
      </c>
      <c r="G14647" s="0" t="s">
        <v>49</v>
      </c>
      <c r="H14647" s="5">
        <v>64.698400</v>
      </c>
    </row>
    <row r="14648" spans="1:9">
      <c r="A14648" s="22" t="str">
        <f>HYPERLINK("https://app.vivvix.com/360/KMI/IntelliDrive/ApplUI/Pages/CreativePages/CustomReportCreativeDetail.aspx?App=23&amp;ReportView=4&amp;Qid=1711279&amp;Row=14640&amp;Col=1","No Title Assigned - #15274312885")</f>
        <v/>
      </c>
      <c r="B14648" s="0" t="s">
        <v>19497</v>
      </c>
      <c r="C14648" s="0" t="s">
        <v>19498</v>
      </c>
      <c r="D14648" s="0" t="s">
        <v>4204</v>
      </c>
      <c r="E14648" s="0" t="inlineStr">
        <is>
          <t xml:space="preserve">Mazda</t>
        </is>
      </c>
      <c r="F14648" s="0" t="s">
        <v>28</v>
      </c>
      <c r="G14648" s="0" t="s">
        <v>29</v>
      </c>
      <c r="H14648" s="5">
        <v>692.062400</v>
      </c>
    </row>
    <row r="14649" spans="1:9">
      <c r="A14649" s="22" t="str">
        <f>HYPERLINK("https://app.vivvix.com/360/KMI/IntelliDrive/ApplUI/Pages/CreativePages/CustomReportCreativeDetail.aspx?App=23&amp;ReportView=4&amp;Qid=1711279&amp;Row=14641&amp;Col=1","No Title Assigned - #15274312923")</f>
        <v/>
      </c>
      <c r="B14649" s="0" t="s">
        <v>19499</v>
      </c>
      <c r="C14649" s="0" t="s">
        <v>19500</v>
      </c>
      <c r="D14649" s="0" t="s">
        <v>19500</v>
      </c>
      <c r="E14649" s="0" t="inlineStr">
        <is>
          <t xml:space="preserve">Mazda</t>
        </is>
      </c>
      <c r="F14649" s="0" t="s">
        <v>28</v>
      </c>
      <c r="G14649" s="0" t="s">
        <v>29</v>
      </c>
      <c r="H14649" s="5">
        <v>1660.276200</v>
      </c>
    </row>
    <row r="14650" spans="1:9">
      <c r="A14650" s="22" t="str">
        <f>HYPERLINK("https://app.vivvix.com/360/KMI/IntelliDrive/ApplUI/Pages/CreativePages/CustomReportCreativeDetail.aspx?App=23&amp;ReportView=4&amp;Qid=1711279&amp;Row=14642&amp;Col=1","No Title Assigned - #15274313384")</f>
        <v/>
      </c>
      <c r="B14650" s="0" t="s">
        <v>19501</v>
      </c>
      <c r="C14650" s="0" t="s">
        <v>19502</v>
      </c>
      <c r="D14650" s="0" t="s">
        <v>10745</v>
      </c>
      <c r="E14650" s="0" t="inlineStr">
        <is>
          <t xml:space="preserve">Mazda</t>
        </is>
      </c>
      <c r="F14650" s="0" t="s">
        <v>13</v>
      </c>
      <c r="G14650" s="0" t="s">
        <v>49</v>
      </c>
      <c r="H14650" s="5">
        <v>229.682800</v>
      </c>
    </row>
    <row r="14651" spans="1:9">
      <c r="A14651" s="22" t="str">
        <f>HYPERLINK("https://app.vivvix.com/360/KMI/IntelliDrive/ApplUI/Pages/CreativePages/CustomReportCreativeDetail.aspx?App=23&amp;ReportView=4&amp;Qid=1711279&amp;Row=14643&amp;Col=1","No Title Assigned - #15274313535")</f>
        <v/>
      </c>
      <c r="B14651" s="0" t="s">
        <v>19503</v>
      </c>
      <c r="C14651" s="0" t="s">
        <v>19504</v>
      </c>
      <c r="D14651" s="0" t="s">
        <v>19504</v>
      </c>
      <c r="E14651" s="0" t="inlineStr">
        <is>
          <t xml:space="preserve">Mazda</t>
        </is>
      </c>
      <c r="F14651" s="0" t="s">
        <v>17</v>
      </c>
      <c r="G14651" s="0" t="s">
        <v>33</v>
      </c>
      <c r="H14651" s="5">
        <v>146.562300</v>
      </c>
    </row>
    <row r="14652" spans="1:9">
      <c r="A14652" s="22" t="str">
        <f>HYPERLINK("https://app.vivvix.com/360/KMI/IntelliDrive/ApplUI/Pages/CreativePages/CustomReportCreativeDetail.aspx?App=23&amp;ReportView=4&amp;Qid=1711279&amp;Row=14644&amp;Col=1","No Title Assigned - #15274313961")</f>
        <v/>
      </c>
      <c r="B14652" s="0" t="s">
        <v>19505</v>
      </c>
      <c r="C14652" s="0" t="s">
        <v>19506</v>
      </c>
      <c r="D14652" s="0" t="s">
        <v>19506</v>
      </c>
      <c r="E14652" s="0" t="inlineStr">
        <is>
          <t xml:space="preserve">Mazda</t>
        </is>
      </c>
      <c r="F14652" s="0" t="inlineStr">
        <is>
          <t xml:space="preserve">Mazda</t>
        </is>
      </c>
      <c r="G14652" s="0" t="s">
        <v>210</v>
      </c>
      <c r="H14652" s="5">
        <v>269.319300</v>
      </c>
    </row>
    <row r="14653" spans="1:9">
      <c r="A14653" s="22" t="str">
        <f>HYPERLINK("https://app.vivvix.com/360/KMI/IntelliDrive/ApplUI/Pages/CreativePages/CustomReportCreativeDetail.aspx?App=23&amp;ReportView=4&amp;Qid=1711279&amp;Row=14645&amp;Col=1","No Title Assigned - #15274314151")</f>
        <v/>
      </c>
      <c r="B14653" s="0" t="s">
        <v>19507</v>
      </c>
      <c r="C14653" s="0" t="s">
        <v>19508</v>
      </c>
      <c r="D14653" s="0" t="s">
        <v>19508</v>
      </c>
      <c r="E14653" s="0" t="inlineStr">
        <is>
          <t xml:space="preserve">Mazda</t>
        </is>
      </c>
      <c r="F14653" s="0" t="s">
        <v>28</v>
      </c>
      <c r="G14653" s="0" t="s">
        <v>29</v>
      </c>
      <c r="H14653" s="5">
        <v>39.660700</v>
      </c>
    </row>
    <row r="14654" spans="1:9">
      <c r="A14654" s="22" t="str">
        <f>HYPERLINK("https://app.vivvix.com/360/KMI/IntelliDrive/ApplUI/Pages/CreativePages/CustomReportCreativeDetail.aspx?App=23&amp;ReportView=4&amp;Qid=1711279&amp;Row=14646&amp;Col=1","No Title Assigned - #15274314630")</f>
        <v/>
      </c>
      <c r="B14654" s="0" t="s">
        <v>19509</v>
      </c>
      <c r="C14654" s="0" t="s">
        <v>19510</v>
      </c>
      <c r="D14654" s="0" t="s">
        <v>6404</v>
      </c>
      <c r="E14654" s="0" t="inlineStr">
        <is>
          <t xml:space="preserve">Mazda</t>
        </is>
      </c>
      <c r="F14654" s="0" t="s">
        <v>13</v>
      </c>
      <c r="G14654" s="0" t="s">
        <v>49</v>
      </c>
      <c r="H14654" s="5">
        <v>480.581400</v>
      </c>
    </row>
    <row r="14655" spans="1:9">
      <c r="A14655" s="22" t="str">
        <f>HYPERLINK("https://app.vivvix.com/360/KMI/IntelliDrive/ApplUI/Pages/CreativePages/CustomReportCreativeDetail.aspx?App=23&amp;ReportView=4&amp;Qid=1711279&amp;Row=14647&amp;Col=1","No Title Assigned - #15274315120")</f>
        <v/>
      </c>
      <c r="B14655" s="0" t="s">
        <v>19511</v>
      </c>
      <c r="C14655" s="0" t="s">
        <v>19512</v>
      </c>
      <c r="D14655" s="0" t="s">
        <v>19512</v>
      </c>
      <c r="E14655" s="0" t="inlineStr">
        <is>
          <t xml:space="preserve">Mazda</t>
        </is>
      </c>
      <c r="F14655" s="0" t="inlineStr">
        <is>
          <t xml:space="preserve">Mazda</t>
        </is>
      </c>
      <c r="G14655" s="0" t="s">
        <v>210</v>
      </c>
      <c r="H14655" s="5">
        <v>4492.317300</v>
      </c>
    </row>
    <row r="14656" spans="1:9">
      <c r="A14656" s="22" t="str">
        <f>HYPERLINK("https://app.vivvix.com/360/KMI/IntelliDrive/ApplUI/Pages/CreativePages/CustomReportCreativeDetail.aspx?App=23&amp;ReportView=4&amp;Qid=1711279&amp;Row=14648&amp;Col=1","No Title Assigned - #15274315883")</f>
        <v/>
      </c>
      <c r="B14656" s="0" t="s">
        <v>19513</v>
      </c>
      <c r="E14656" s="0" t="inlineStr">
        <is>
          <t xml:space="preserve">Mazda</t>
        </is>
      </c>
      <c r="F14656" s="0" t="inlineStr">
        <is>
          <t xml:space="preserve">Mazda</t>
        </is>
      </c>
      <c r="G14656" s="0" t="s">
        <v>171</v>
      </c>
      <c r="H14656" s="5">
        <v>954.180800</v>
      </c>
    </row>
    <row r="14657" spans="1:9">
      <c r="A14657" s="22" t="str">
        <f>HYPERLINK("https://app.vivvix.com/360/KMI/IntelliDrive/ApplUI/Pages/CreativePages/CustomReportCreativeDetail.aspx?App=23&amp;ReportView=4&amp;Qid=1711279&amp;Row=14649&amp;Col=1","No Title Assigned - #15274316141")</f>
        <v/>
      </c>
      <c r="B14657" s="0" t="s">
        <v>19514</v>
      </c>
      <c r="E14657" s="0" t="inlineStr">
        <is>
          <t xml:space="preserve">Mazda</t>
        </is>
      </c>
      <c r="F14657" s="0" t="inlineStr">
        <is>
          <t xml:space="preserve">Mazda</t>
        </is>
      </c>
      <c r="G14657" s="0" t="s">
        <v>171</v>
      </c>
      <c r="H14657" s="5">
        <v>943.951500</v>
      </c>
    </row>
    <row r="14658" spans="1:9">
      <c r="A14658" s="22" t="str">
        <f>HYPERLINK("https://app.vivvix.com/360/KMI/IntelliDrive/ApplUI/Pages/CreativePages/CustomReportCreativeDetail.aspx?App=23&amp;ReportView=4&amp;Qid=1711279&amp;Row=14650&amp;Col=1","No Title Assigned - #15274316482")</f>
        <v/>
      </c>
      <c r="B14658" s="0" t="s">
        <v>19515</v>
      </c>
      <c r="E14658" s="0" t="inlineStr">
        <is>
          <t xml:space="preserve">Mazda</t>
        </is>
      </c>
      <c r="F14658" s="0" t="inlineStr">
        <is>
          <t xml:space="preserve">Mazda</t>
        </is>
      </c>
      <c r="G14658" s="0" t="s">
        <v>171</v>
      </c>
      <c r="H14658" s="5">
        <v>129.541100</v>
      </c>
    </row>
    <row r="14659" spans="1:9">
      <c r="A14659" s="22" t="str">
        <f>HYPERLINK("https://app.vivvix.com/360/KMI/IntelliDrive/ApplUI/Pages/CreativePages/CustomReportCreativeDetail.aspx?App=23&amp;ReportView=4&amp;Qid=1711279&amp;Row=14651&amp;Col=1","No Title Assigned - #15274316514")</f>
        <v/>
      </c>
      <c r="B14659" s="0" t="s">
        <v>19516</v>
      </c>
      <c r="E14659" s="0" t="inlineStr">
        <is>
          <t xml:space="preserve">Mazda</t>
        </is>
      </c>
      <c r="F14659" s="0" t="inlineStr">
        <is>
          <t xml:space="preserve">Mazda</t>
        </is>
      </c>
      <c r="G14659" s="0" t="s">
        <v>171</v>
      </c>
      <c r="H14659" s="5">
        <v>1054.031100</v>
      </c>
    </row>
    <row r="14660" spans="1:9">
      <c r="A14660" s="22" t="str">
        <f>HYPERLINK("https://app.vivvix.com/360/KMI/IntelliDrive/ApplUI/Pages/CreativePages/CustomReportCreativeDetail.aspx?App=23&amp;ReportView=4&amp;Qid=1711279&amp;Row=14652&amp;Col=1","No Title Assigned - #15274316700")</f>
        <v/>
      </c>
      <c r="B14660" s="0" t="s">
        <v>19517</v>
      </c>
      <c r="E14660" s="0" t="inlineStr">
        <is>
          <t xml:space="preserve">Mazda</t>
        </is>
      </c>
      <c r="F14660" s="0" t="inlineStr">
        <is>
          <t xml:space="preserve">Mazda</t>
        </is>
      </c>
      <c r="G14660" s="0" t="s">
        <v>171</v>
      </c>
      <c r="H14660" s="5">
        <v>42.930800</v>
      </c>
    </row>
    <row r="14661" spans="1:9">
      <c r="A14661" s="22" t="str">
        <f>HYPERLINK("https://app.vivvix.com/360/KMI/IntelliDrive/ApplUI/Pages/CreativePages/CustomReportCreativeDetail.aspx?App=23&amp;ReportView=4&amp;Qid=1711279&amp;Row=14653&amp;Col=1","No Title Assigned - #15274316711")</f>
        <v/>
      </c>
      <c r="B14661" s="0" t="s">
        <v>19518</v>
      </c>
      <c r="E14661" s="0" t="inlineStr">
        <is>
          <t xml:space="preserve">Mazda</t>
        </is>
      </c>
      <c r="F14661" s="0" t="inlineStr">
        <is>
          <t xml:space="preserve">Mazda</t>
        </is>
      </c>
      <c r="G14661" s="0" t="s">
        <v>171</v>
      </c>
      <c r="H14661" s="5">
        <v>399.222600</v>
      </c>
    </row>
    <row r="14662" spans="1:9">
      <c r="A14662" s="22" t="str">
        <f>HYPERLINK("https://app.vivvix.com/360/KMI/IntelliDrive/ApplUI/Pages/CreativePages/CustomReportCreativeDetail.aspx?App=23&amp;ReportView=4&amp;Qid=1711279&amp;Row=14654&amp;Col=1","No Title Assigned - #15274316879")</f>
        <v/>
      </c>
      <c r="B14662" s="0" t="s">
        <v>19519</v>
      </c>
      <c r="E14662" s="0" t="inlineStr">
        <is>
          <t xml:space="preserve">Mazda</t>
        </is>
      </c>
      <c r="F14662" s="0" t="inlineStr">
        <is>
          <t xml:space="preserve">Mazda</t>
        </is>
      </c>
      <c r="G14662" s="0" t="s">
        <v>171</v>
      </c>
      <c r="H14662" s="5">
        <v>710.152100</v>
      </c>
    </row>
    <row r="14663" spans="1:9">
      <c r="A14663" s="22" t="str">
        <f>HYPERLINK("https://app.vivvix.com/360/KMI/IntelliDrive/ApplUI/Pages/CreativePages/CustomReportCreativeDetail.aspx?App=23&amp;ReportView=4&amp;Qid=1711279&amp;Row=14655&amp;Col=1","No Title Assigned - #15274316891")</f>
        <v/>
      </c>
      <c r="B14663" s="0" t="s">
        <v>19520</v>
      </c>
      <c r="E14663" s="0" t="inlineStr">
        <is>
          <t xml:space="preserve">Mazda</t>
        </is>
      </c>
      <c r="F14663" s="0" t="inlineStr">
        <is>
          <t xml:space="preserve">Mazda</t>
        </is>
      </c>
      <c r="G14663" s="0" t="s">
        <v>171</v>
      </c>
      <c r="H14663" s="5">
        <v>164.009900</v>
      </c>
    </row>
    <row r="14664" spans="1:9">
      <c r="A14664" s="22" t="str">
        <f>HYPERLINK("https://app.vivvix.com/360/KMI/IntelliDrive/ApplUI/Pages/CreativePages/CustomReportCreativeDetail.aspx?App=23&amp;ReportView=4&amp;Qid=1711279&amp;Row=14656&amp;Col=1","No Title Assigned - #15274316960")</f>
        <v/>
      </c>
      <c r="B14664" s="0" t="s">
        <v>19521</v>
      </c>
      <c r="E14664" s="0" t="inlineStr">
        <is>
          <t xml:space="preserve">Mazda</t>
        </is>
      </c>
      <c r="F14664" s="0" t="inlineStr">
        <is>
          <t xml:space="preserve">Mazda</t>
        </is>
      </c>
      <c r="G14664" s="0" t="s">
        <v>171</v>
      </c>
      <c r="H14664" s="5">
        <v>3.574800</v>
      </c>
    </row>
    <row r="14665" spans="1:9">
      <c r="A14665" s="22" t="str">
        <f>HYPERLINK("https://app.vivvix.com/360/KMI/IntelliDrive/ApplUI/Pages/CreativePages/CustomReportCreativeDetail.aspx?App=23&amp;ReportView=4&amp;Qid=1711279&amp;Row=14657&amp;Col=1","No Title Assigned - #15274317609")</f>
        <v/>
      </c>
      <c r="B14665" s="0" t="s">
        <v>19522</v>
      </c>
      <c r="C14665" s="0" t="s">
        <v>19523</v>
      </c>
      <c r="D14665" s="0" t="s">
        <v>19523</v>
      </c>
      <c r="E14665" s="0" t="inlineStr">
        <is>
          <t xml:space="preserve">Mazda</t>
        </is>
      </c>
      <c r="F14665" s="0" t="s">
        <v>13</v>
      </c>
      <c r="G14665" s="0" t="s">
        <v>49</v>
      </c>
      <c r="H14665" s="5">
        <v>248.849000</v>
      </c>
    </row>
    <row r="14666" spans="1:9">
      <c r="A14666" s="22" t="str">
        <f>HYPERLINK("https://app.vivvix.com/360/KMI/IntelliDrive/ApplUI/Pages/CreativePages/CustomReportCreativeDetail.aspx?App=23&amp;ReportView=4&amp;Qid=1711279&amp;Row=14658&amp;Col=1","No Title Assigned - #15274317906")</f>
        <v/>
      </c>
      <c r="B14666" s="0" t="s">
        <v>19524</v>
      </c>
      <c r="C14666" s="0" t="s">
        <v>19525</v>
      </c>
      <c r="D14666" s="0" t="s">
        <v>4333</v>
      </c>
      <c r="E14666" s="0" t="inlineStr">
        <is>
          <t xml:space="preserve">Mazda</t>
        </is>
      </c>
      <c r="F14666" s="0" t="s">
        <v>28</v>
      </c>
      <c r="G14666" s="0" t="s">
        <v>29</v>
      </c>
      <c r="H14666" s="5">
        <v>562.941800</v>
      </c>
    </row>
    <row r="14667" spans="1:9">
      <c r="A14667" s="22" t="str">
        <f>HYPERLINK("https://app.vivvix.com/360/KMI/IntelliDrive/ApplUI/Pages/CreativePages/CustomReportCreativeDetail.aspx?App=23&amp;ReportView=4&amp;Qid=1711279&amp;Row=14659&amp;Col=1","No Title Assigned - #15274318374")</f>
        <v/>
      </c>
      <c r="B14667" s="0" t="s">
        <v>19526</v>
      </c>
      <c r="C14667" s="0" t="s">
        <v>19527</v>
      </c>
      <c r="D14667" s="0" t="s">
        <v>19527</v>
      </c>
      <c r="E14667" s="0" t="inlineStr">
        <is>
          <t xml:space="preserve">Mazda</t>
        </is>
      </c>
      <c r="F14667" s="0" t="s">
        <v>13</v>
      </c>
      <c r="G14667" s="0" t="s">
        <v>49</v>
      </c>
      <c r="H14667" s="5">
        <v>12.069500</v>
      </c>
    </row>
    <row r="14668" spans="1:9">
      <c r="A14668" s="22" t="str">
        <f>HYPERLINK("https://app.vivvix.com/360/KMI/IntelliDrive/ApplUI/Pages/CreativePages/CustomReportCreativeDetail.aspx?App=23&amp;ReportView=4&amp;Qid=1711279&amp;Row=14660&amp;Col=1","No Title Assigned - #15274319106")</f>
        <v/>
      </c>
      <c r="B14668" s="0" t="s">
        <v>19528</v>
      </c>
      <c r="C14668" s="0" t="s">
        <v>19529</v>
      </c>
      <c r="D14668" s="0" t="s">
        <v>4200</v>
      </c>
      <c r="E14668" s="0" t="inlineStr">
        <is>
          <t xml:space="preserve">Mazda</t>
        </is>
      </c>
      <c r="F14668" s="0" t="s">
        <v>28</v>
      </c>
      <c r="G14668" s="0" t="s">
        <v>29</v>
      </c>
      <c r="H14668" s="5">
        <v>164.375500</v>
      </c>
    </row>
    <row r="14669" spans="1:9">
      <c r="A14669" s="22" t="str">
        <f>HYPERLINK("https://app.vivvix.com/360/KMI/IntelliDrive/ApplUI/Pages/CreativePages/CustomReportCreativeDetail.aspx?App=23&amp;ReportView=4&amp;Qid=1711279&amp;Row=14661&amp;Col=1","No Title Assigned - #15274320473")</f>
        <v/>
      </c>
      <c r="B14669" s="0" t="s">
        <v>19530</v>
      </c>
      <c r="E14669" s="0" t="inlineStr">
        <is>
          <t xml:space="preserve">Mazda</t>
        </is>
      </c>
      <c r="F14669" s="0" t="inlineStr">
        <is>
          <t xml:space="preserve">Mazda</t>
        </is>
      </c>
      <c r="G14669" s="0" t="s">
        <v>171</v>
      </c>
      <c r="H14669" s="5">
        <v>75.253500</v>
      </c>
    </row>
    <row r="14670" spans="1:9">
      <c r="A14670" s="22" t="str">
        <f>HYPERLINK("https://app.vivvix.com/360/KMI/IntelliDrive/ApplUI/Pages/CreativePages/CustomReportCreativeDetail.aspx?App=23&amp;ReportView=4&amp;Qid=1711279&amp;Row=14662&amp;Col=1","No Title Assigned - #15274320617")</f>
        <v/>
      </c>
      <c r="B14670" s="0" t="s">
        <v>19531</v>
      </c>
      <c r="E14670" s="0" t="inlineStr">
        <is>
          <t xml:space="preserve">Mazda</t>
        </is>
      </c>
      <c r="F14670" s="0" t="inlineStr">
        <is>
          <t xml:space="preserve">Mazda</t>
        </is>
      </c>
      <c r="G14670" s="0" t="s">
        <v>171</v>
      </c>
      <c r="H14670" s="5">
        <v>13.867800</v>
      </c>
    </row>
    <row r="14671" spans="1:9">
      <c r="A14671" s="22" t="str">
        <f>HYPERLINK("https://app.vivvix.com/360/KMI/IntelliDrive/ApplUI/Pages/CreativePages/CustomReportCreativeDetail.aspx?App=23&amp;ReportView=4&amp;Qid=1711279&amp;Row=14663&amp;Col=1","No Title Assigned - #15274321350")</f>
        <v/>
      </c>
      <c r="B14671" s="0" t="s">
        <v>19532</v>
      </c>
      <c r="E14671" s="0" t="inlineStr">
        <is>
          <t xml:space="preserve">Mazda</t>
        </is>
      </c>
      <c r="F14671" s="0" t="inlineStr">
        <is>
          <t xml:space="preserve">Mazda</t>
        </is>
      </c>
      <c r="G14671" s="0" t="s">
        <v>171</v>
      </c>
      <c r="H14671" s="5">
        <v>56.939700</v>
      </c>
    </row>
    <row r="14672" spans="1:9">
      <c r="A14672" s="22" t="str">
        <f>HYPERLINK("https://app.vivvix.com/360/KMI/IntelliDrive/ApplUI/Pages/CreativePages/CustomReportCreativeDetail.aspx?App=23&amp;ReportView=4&amp;Qid=1711279&amp;Row=14664&amp;Col=1","No Title Assigned - #15274321508")</f>
        <v/>
      </c>
      <c r="B14672" s="0" t="s">
        <v>19533</v>
      </c>
      <c r="E14672" s="0" t="inlineStr">
        <is>
          <t xml:space="preserve">Mazda</t>
        </is>
      </c>
      <c r="F14672" s="0" t="inlineStr">
        <is>
          <t xml:space="preserve">Mazda</t>
        </is>
      </c>
      <c r="G14672" s="0" t="s">
        <v>171</v>
      </c>
      <c r="H14672" s="5">
        <v>737.859900</v>
      </c>
    </row>
    <row r="14673" spans="1:9">
      <c r="A14673" s="22" t="str">
        <f>HYPERLINK("https://app.vivvix.com/360/KMI/IntelliDrive/ApplUI/Pages/CreativePages/CustomReportCreativeDetail.aspx?App=23&amp;ReportView=4&amp;Qid=1711279&amp;Row=14665&amp;Col=1","No Title Assigned - #15274321525")</f>
        <v/>
      </c>
      <c r="B14673" s="0" t="s">
        <v>19534</v>
      </c>
      <c r="E14673" s="0" t="inlineStr">
        <is>
          <t xml:space="preserve">Mazda</t>
        </is>
      </c>
      <c r="F14673" s="0" t="inlineStr">
        <is>
          <t xml:space="preserve">Mazda</t>
        </is>
      </c>
      <c r="G14673" s="0" t="s">
        <v>171</v>
      </c>
      <c r="H14673" s="5">
        <v>100.696600</v>
      </c>
    </row>
    <row r="14674" spans="1:9">
      <c r="A14674" s="22" t="str">
        <f>HYPERLINK("https://app.vivvix.com/360/KMI/IntelliDrive/ApplUI/Pages/CreativePages/CustomReportCreativeDetail.aspx?App=23&amp;ReportView=4&amp;Qid=1711279&amp;Row=14666&amp;Col=1","No Title Assigned - #15274321645")</f>
        <v/>
      </c>
      <c r="B14674" s="0" t="s">
        <v>19535</v>
      </c>
      <c r="E14674" s="0" t="inlineStr">
        <is>
          <t xml:space="preserve">Mazda</t>
        </is>
      </c>
      <c r="F14674" s="0" t="inlineStr">
        <is>
          <t xml:space="preserve">Mazda</t>
        </is>
      </c>
      <c r="G14674" s="0" t="s">
        <v>171</v>
      </c>
      <c r="H14674" s="5">
        <v>1534.377400</v>
      </c>
    </row>
    <row r="14675" spans="1:9">
      <c r="A14675" s="22" t="str">
        <f>HYPERLINK("https://app.vivvix.com/360/KMI/IntelliDrive/ApplUI/Pages/CreativePages/CustomReportCreativeDetail.aspx?App=23&amp;ReportView=4&amp;Qid=1711279&amp;Row=14667&amp;Col=1","No Title Assigned - #15274321667")</f>
        <v/>
      </c>
      <c r="B14675" s="0" t="s">
        <v>19536</v>
      </c>
      <c r="E14675" s="0" t="inlineStr">
        <is>
          <t xml:space="preserve">Mazda</t>
        </is>
      </c>
      <c r="F14675" s="0" t="inlineStr">
        <is>
          <t xml:space="preserve">Mazda</t>
        </is>
      </c>
      <c r="G14675" s="0" t="s">
        <v>171</v>
      </c>
      <c r="H14675" s="5">
        <v>57.945600</v>
      </c>
    </row>
    <row r="14676" spans="1:9">
      <c r="A14676" s="22" t="str">
        <f>HYPERLINK("https://app.vivvix.com/360/KMI/IntelliDrive/ApplUI/Pages/CreativePages/CustomReportCreativeDetail.aspx?App=23&amp;ReportView=4&amp;Qid=1711279&amp;Row=14668&amp;Col=1","No Title Assigned - #15274321726")</f>
        <v/>
      </c>
      <c r="B14676" s="0" t="s">
        <v>19537</v>
      </c>
      <c r="E14676" s="0" t="inlineStr">
        <is>
          <t xml:space="preserve">Mazda</t>
        </is>
      </c>
      <c r="F14676" s="0" t="inlineStr">
        <is>
          <t xml:space="preserve">Mazda</t>
        </is>
      </c>
      <c r="G14676" s="0" t="s">
        <v>171</v>
      </c>
      <c r="H14676" s="5">
        <v>562.080300</v>
      </c>
    </row>
    <row r="14677" spans="1:9">
      <c r="A14677" s="22" t="str">
        <f>HYPERLINK("https://app.vivvix.com/360/KMI/IntelliDrive/ApplUI/Pages/CreativePages/CustomReportCreativeDetail.aspx?App=23&amp;ReportView=4&amp;Qid=1711279&amp;Row=14669&amp;Col=1","No Title Assigned - #15274321802")</f>
        <v/>
      </c>
      <c r="B14677" s="0" t="s">
        <v>19538</v>
      </c>
      <c r="E14677" s="0" t="inlineStr">
        <is>
          <t xml:space="preserve">Mazda</t>
        </is>
      </c>
      <c r="F14677" s="0" t="inlineStr">
        <is>
          <t xml:space="preserve">Mazda</t>
        </is>
      </c>
      <c r="G14677" s="0" t="s">
        <v>171</v>
      </c>
      <c r="H14677" s="5">
        <v>1453.527300</v>
      </c>
    </row>
    <row r="14678" spans="1:9">
      <c r="A14678" s="22" t="str">
        <f>HYPERLINK("https://app.vivvix.com/360/KMI/IntelliDrive/ApplUI/Pages/CreativePages/CustomReportCreativeDetail.aspx?App=23&amp;ReportView=4&amp;Qid=1711279&amp;Row=14670&amp;Col=1","No Title Assigned - #15274321863")</f>
        <v/>
      </c>
      <c r="B14678" s="0" t="s">
        <v>19539</v>
      </c>
      <c r="E14678" s="0" t="inlineStr">
        <is>
          <t xml:space="preserve">Mazda</t>
        </is>
      </c>
      <c r="F14678" s="0" t="inlineStr">
        <is>
          <t xml:space="preserve">Mazda</t>
        </is>
      </c>
      <c r="G14678" s="0" t="s">
        <v>171</v>
      </c>
      <c r="H14678" s="5">
        <v>67.070400</v>
      </c>
    </row>
    <row r="14679" spans="1:9">
      <c r="A14679" s="22" t="str">
        <f>HYPERLINK("https://app.vivvix.com/360/KMI/IntelliDrive/ApplUI/Pages/CreativePages/CustomReportCreativeDetail.aspx?App=23&amp;ReportView=4&amp;Qid=1711279&amp;Row=14671&amp;Col=1","No Title Assigned - #15274321864")</f>
        <v/>
      </c>
      <c r="B14679" s="0" t="s">
        <v>19540</v>
      </c>
      <c r="E14679" s="0" t="inlineStr">
        <is>
          <t xml:space="preserve">Mazda</t>
        </is>
      </c>
      <c r="F14679" s="0" t="inlineStr">
        <is>
          <t xml:space="preserve">Mazda</t>
        </is>
      </c>
      <c r="G14679" s="0" t="s">
        <v>171</v>
      </c>
      <c r="H14679" s="5">
        <v>67.070400</v>
      </c>
    </row>
    <row r="14680" spans="1:9">
      <c r="A14680" s="22" t="str">
        <f>HYPERLINK("https://app.vivvix.com/360/KMI/IntelliDrive/ApplUI/Pages/CreativePages/CustomReportCreativeDetail.aspx?App=23&amp;ReportView=4&amp;Qid=1711279&amp;Row=14672&amp;Col=1","No Title Assigned - #15274321963")</f>
        <v/>
      </c>
      <c r="B14680" s="0" t="s">
        <v>19541</v>
      </c>
      <c r="E14680" s="0" t="inlineStr">
        <is>
          <t xml:space="preserve">Mazda</t>
        </is>
      </c>
      <c r="F14680" s="0" t="inlineStr">
        <is>
          <t xml:space="preserve">Mazda</t>
        </is>
      </c>
      <c r="G14680" s="0" t="s">
        <v>171</v>
      </c>
      <c r="H14680" s="5">
        <v>85.426300</v>
      </c>
    </row>
    <row r="14681" spans="1:9">
      <c r="A14681" s="22" t="str">
        <f>HYPERLINK("https://app.vivvix.com/360/KMI/IntelliDrive/ApplUI/Pages/CreativePages/CustomReportCreativeDetail.aspx?App=23&amp;ReportView=4&amp;Qid=1711279&amp;Row=14673&amp;Col=1","No Title Assigned - #15274322029")</f>
        <v/>
      </c>
      <c r="B14681" s="0" t="s">
        <v>19542</v>
      </c>
      <c r="E14681" s="0" t="inlineStr">
        <is>
          <t xml:space="preserve">Mazda</t>
        </is>
      </c>
      <c r="F14681" s="0" t="inlineStr">
        <is>
          <t xml:space="preserve">Mazda</t>
        </is>
      </c>
      <c r="G14681" s="0" t="s">
        <v>171</v>
      </c>
      <c r="H14681" s="5">
        <v>262.722000</v>
      </c>
    </row>
    <row r="14682" spans="1:9">
      <c r="A14682" s="22" t="str">
        <f>HYPERLINK("https://app.vivvix.com/360/KMI/IntelliDrive/ApplUI/Pages/CreativePages/CustomReportCreativeDetail.aspx?App=23&amp;ReportView=4&amp;Qid=1711279&amp;Row=14674&amp;Col=1","No Title Assigned - #15274322465")</f>
        <v/>
      </c>
      <c r="B14682" s="0" t="s">
        <v>19543</v>
      </c>
      <c r="E14682" s="0" t="inlineStr">
        <is>
          <t xml:space="preserve">Mazda</t>
        </is>
      </c>
      <c r="F14682" s="0" t="inlineStr">
        <is>
          <t xml:space="preserve">Mazda</t>
        </is>
      </c>
      <c r="G14682" s="0" t="s">
        <v>171</v>
      </c>
      <c r="H14682" s="5">
        <v>52.466200</v>
      </c>
    </row>
    <row r="14683" spans="1:9">
      <c r="A14683" s="22" t="str">
        <f>HYPERLINK("https://app.vivvix.com/360/KMI/IntelliDrive/ApplUI/Pages/CreativePages/CustomReportCreativeDetail.aspx?App=23&amp;ReportView=4&amp;Qid=1711279&amp;Row=14675&amp;Col=1","No Title Assigned - #15274322483")</f>
        <v/>
      </c>
      <c r="B14683" s="0" t="s">
        <v>19544</v>
      </c>
      <c r="E14683" s="0" t="inlineStr">
        <is>
          <t xml:space="preserve">Mazda</t>
        </is>
      </c>
      <c r="F14683" s="0" t="inlineStr">
        <is>
          <t xml:space="preserve">Mazda</t>
        </is>
      </c>
      <c r="G14683" s="0" t="s">
        <v>171</v>
      </c>
      <c r="H14683" s="5">
        <v>9891.426800</v>
      </c>
    </row>
    <row r="14684" spans="1:9">
      <c r="A14684" s="22" t="str">
        <f>HYPERLINK("https://app.vivvix.com/360/KMI/IntelliDrive/ApplUI/Pages/CreativePages/CustomReportCreativeDetail.aspx?App=23&amp;ReportView=4&amp;Qid=1711279&amp;Row=14676&amp;Col=1","No Title Assigned - #15274322624")</f>
        <v/>
      </c>
      <c r="B14684" s="0" t="s">
        <v>19545</v>
      </c>
      <c r="E14684" s="0" t="inlineStr">
        <is>
          <t xml:space="preserve">Mazda</t>
        </is>
      </c>
      <c r="F14684" s="0" t="inlineStr">
        <is>
          <t xml:space="preserve">Mazda</t>
        </is>
      </c>
      <c r="G14684" s="0" t="s">
        <v>171</v>
      </c>
      <c r="H14684" s="5">
        <v>361.591600</v>
      </c>
    </row>
    <row r="14685" spans="1:9">
      <c r="A14685" s="22" t="str">
        <f>HYPERLINK("https://app.vivvix.com/360/KMI/IntelliDrive/ApplUI/Pages/CreativePages/CustomReportCreativeDetail.aspx?App=23&amp;ReportView=4&amp;Qid=1711279&amp;Row=14677&amp;Col=1","No Title Assigned - #15274322726")</f>
        <v/>
      </c>
      <c r="B14685" s="0" t="s">
        <v>19546</v>
      </c>
      <c r="E14685" s="0" t="inlineStr">
        <is>
          <t xml:space="preserve">Mazda</t>
        </is>
      </c>
      <c r="F14685" s="0" t="inlineStr">
        <is>
          <t xml:space="preserve">Mazda</t>
        </is>
      </c>
      <c r="G14685" s="0" t="s">
        <v>171</v>
      </c>
      <c r="H14685" s="5">
        <v>230.184200</v>
      </c>
    </row>
    <row r="14686" spans="1:9">
      <c r="A14686" s="22" t="str">
        <f>HYPERLINK("https://app.vivvix.com/360/KMI/IntelliDrive/ApplUI/Pages/CreativePages/CustomReportCreativeDetail.aspx?App=23&amp;ReportView=4&amp;Qid=1711279&amp;Row=14678&amp;Col=1","No Title Assigned - #15274322734")</f>
        <v/>
      </c>
      <c r="B14686" s="0" t="s">
        <v>19547</v>
      </c>
      <c r="E14686" s="0" t="inlineStr">
        <is>
          <t xml:space="preserve">Mazda</t>
        </is>
      </c>
      <c r="F14686" s="0" t="s">
        <v>13</v>
      </c>
      <c r="G14686" s="0" t="s">
        <v>49</v>
      </c>
      <c r="H14686" s="5">
        <v>69.151000</v>
      </c>
    </row>
    <row r="14687" spans="1:9">
      <c r="A14687" s="22" t="str">
        <f>HYPERLINK("https://app.vivvix.com/360/KMI/IntelliDrive/ApplUI/Pages/CreativePages/CustomReportCreativeDetail.aspx?App=23&amp;ReportView=4&amp;Qid=1711279&amp;Row=14679&amp;Col=1","No Title Assigned - #15274322788")</f>
        <v/>
      </c>
      <c r="B14687" s="0" t="s">
        <v>19548</v>
      </c>
      <c r="E14687" s="0" t="inlineStr">
        <is>
          <t xml:space="preserve">Mazda</t>
        </is>
      </c>
      <c r="F14687" s="0" t="inlineStr">
        <is>
          <t xml:space="preserve">Mazda</t>
        </is>
      </c>
      <c r="G14687" s="0" t="s">
        <v>171</v>
      </c>
      <c r="H14687" s="5">
        <v>4.351800</v>
      </c>
    </row>
    <row r="14688" spans="1:9">
      <c r="A14688" s="22" t="str">
        <f>HYPERLINK("https://app.vivvix.com/360/KMI/IntelliDrive/ApplUI/Pages/CreativePages/CustomReportCreativeDetail.aspx?App=23&amp;ReportView=4&amp;Qid=1711279&amp;Row=14680&amp;Col=1","No Title Assigned - #15274322899")</f>
        <v/>
      </c>
      <c r="B14688" s="0" t="s">
        <v>19549</v>
      </c>
      <c r="E14688" s="0" t="inlineStr">
        <is>
          <t xml:space="preserve">Mazda</t>
        </is>
      </c>
      <c r="F14688" s="0" t="inlineStr">
        <is>
          <t xml:space="preserve">Mazda</t>
        </is>
      </c>
      <c r="G14688" s="0" t="s">
        <v>171</v>
      </c>
      <c r="H14688" s="5">
        <v>912.432200</v>
      </c>
    </row>
    <row r="14689" spans="1:9">
      <c r="A14689" s="22" t="str">
        <f>HYPERLINK("https://app.vivvix.com/360/KMI/IntelliDrive/ApplUI/Pages/CreativePages/CustomReportCreativeDetail.aspx?App=23&amp;ReportView=4&amp;Qid=1711279&amp;Row=14681&amp;Col=1","No Title Assigned - #15274322900")</f>
        <v/>
      </c>
      <c r="B14689" s="0" t="s">
        <v>19550</v>
      </c>
      <c r="E14689" s="0" t="inlineStr">
        <is>
          <t xml:space="preserve">Mazda</t>
        </is>
      </c>
      <c r="F14689" s="0" t="inlineStr">
        <is>
          <t xml:space="preserve">Mazda</t>
        </is>
      </c>
      <c r="G14689" s="0" t="s">
        <v>171</v>
      </c>
      <c r="H14689" s="5">
        <v>1756.089500</v>
      </c>
    </row>
    <row r="14690" spans="1:9">
      <c r="A14690" s="22" t="str">
        <f>HYPERLINK("https://app.vivvix.com/360/KMI/IntelliDrive/ApplUI/Pages/CreativePages/CustomReportCreativeDetail.aspx?App=23&amp;ReportView=4&amp;Qid=1711279&amp;Row=14682&amp;Col=1","No Title Assigned - #15274323055")</f>
        <v/>
      </c>
      <c r="B14690" s="0" t="s">
        <v>19551</v>
      </c>
      <c r="E14690" s="0" t="inlineStr">
        <is>
          <t xml:space="preserve">Mazda</t>
        </is>
      </c>
      <c r="F14690" s="0" t="inlineStr">
        <is>
          <t xml:space="preserve">Mazda</t>
        </is>
      </c>
      <c r="G14690" s="0" t="s">
        <v>171</v>
      </c>
      <c r="H14690" s="5">
        <v>6744.844200</v>
      </c>
    </row>
    <row r="14691" spans="1:9">
      <c r="A14691" s="22" t="str">
        <f>HYPERLINK("https://app.vivvix.com/360/KMI/IntelliDrive/ApplUI/Pages/CreativePages/CustomReportCreativeDetail.aspx?App=23&amp;ReportView=4&amp;Qid=1711279&amp;Row=14683&amp;Col=1","No Title Assigned - #15274323055")</f>
        <v/>
      </c>
      <c r="B14691" s="0" t="s">
        <v>19551</v>
      </c>
      <c r="C14691" s="0" t="s">
        <v>19552</v>
      </c>
      <c r="D14691" s="0" t="s">
        <v>19552</v>
      </c>
      <c r="E14691" s="0" t="inlineStr">
        <is>
          <t xml:space="preserve">Mazda</t>
        </is>
      </c>
      <c r="F14691" s="0" t="inlineStr">
        <is>
          <t xml:space="preserve">Mazda</t>
        </is>
      </c>
      <c r="G14691" s="0" t="s">
        <v>171</v>
      </c>
      <c r="H14691" s="5">
        <v>87.622900</v>
      </c>
    </row>
    <row r="14692" spans="1:9">
      <c r="A14692" s="22" t="str">
        <f>HYPERLINK("https://app.vivvix.com/360/KMI/IntelliDrive/ApplUI/Pages/CreativePages/CustomReportCreativeDetail.aspx?App=23&amp;ReportView=4&amp;Qid=1711279&amp;Row=14684&amp;Col=1","No Title Assigned - #15274323094")</f>
        <v/>
      </c>
      <c r="B14692" s="0" t="s">
        <v>19553</v>
      </c>
      <c r="E14692" s="0" t="inlineStr">
        <is>
          <t xml:space="preserve">Mazda</t>
        </is>
      </c>
      <c r="F14692" s="0" t="inlineStr">
        <is>
          <t xml:space="preserve">Mazda</t>
        </is>
      </c>
      <c r="G14692" s="0" t="s">
        <v>171</v>
      </c>
      <c r="H14692" s="5">
        <v>120.498700</v>
      </c>
    </row>
    <row r="14693" spans="1:9">
      <c r="A14693" s="22" t="str">
        <f>HYPERLINK("https://app.vivvix.com/360/KMI/IntelliDrive/ApplUI/Pages/CreativePages/CustomReportCreativeDetail.aspx?App=23&amp;ReportView=4&amp;Qid=1711279&amp;Row=14685&amp;Col=1","No Title Assigned - #15274323216")</f>
        <v/>
      </c>
      <c r="B14693" s="0" t="s">
        <v>19554</v>
      </c>
      <c r="E14693" s="0" t="inlineStr">
        <is>
          <t xml:space="preserve">Mazda</t>
        </is>
      </c>
      <c r="F14693" s="0" t="inlineStr">
        <is>
          <t xml:space="preserve">Mazda</t>
        </is>
      </c>
      <c r="G14693" s="0" t="s">
        <v>171</v>
      </c>
      <c r="H14693" s="5">
        <v>4.170800</v>
      </c>
    </row>
    <row r="14694" spans="1:9">
      <c r="A14694" s="22" t="str">
        <f>HYPERLINK("https://app.vivvix.com/360/KMI/IntelliDrive/ApplUI/Pages/CreativePages/CustomReportCreativeDetail.aspx?App=23&amp;ReportView=4&amp;Qid=1711279&amp;Row=14686&amp;Col=1","No Title Assigned - #15274323312")</f>
        <v/>
      </c>
      <c r="B14694" s="0" t="s">
        <v>19555</v>
      </c>
      <c r="E14694" s="0" t="inlineStr">
        <is>
          <t xml:space="preserve">Mazda</t>
        </is>
      </c>
      <c r="F14694" s="0" t="inlineStr">
        <is>
          <t xml:space="preserve">Mazda</t>
        </is>
      </c>
      <c r="G14694" s="0" t="s">
        <v>171</v>
      </c>
      <c r="H14694" s="5">
        <v>28.689000</v>
      </c>
    </row>
    <row r="14695" spans="1:9">
      <c r="A14695" s="22" t="str">
        <f>HYPERLINK("https://app.vivvix.com/360/KMI/IntelliDrive/ApplUI/Pages/CreativePages/CustomReportCreativeDetail.aspx?App=23&amp;ReportView=4&amp;Qid=1711279&amp;Row=14687&amp;Col=1","No Title Assigned - #15274323330")</f>
        <v/>
      </c>
      <c r="B14695" s="0" t="s">
        <v>19556</v>
      </c>
      <c r="E14695" s="0" t="inlineStr">
        <is>
          <t xml:space="preserve">Mazda</t>
        </is>
      </c>
      <c r="F14695" s="0" t="inlineStr">
        <is>
          <t xml:space="preserve">Mazda</t>
        </is>
      </c>
      <c r="G14695" s="0" t="s">
        <v>171</v>
      </c>
      <c r="H14695" s="5">
        <v>40.265300</v>
      </c>
    </row>
    <row r="14696" spans="1:9">
      <c r="A14696" s="22" t="str">
        <f>HYPERLINK("https://app.vivvix.com/360/KMI/IntelliDrive/ApplUI/Pages/CreativePages/CustomReportCreativeDetail.aspx?App=23&amp;ReportView=4&amp;Qid=1711279&amp;Row=14688&amp;Col=1","No Title Assigned - #15274323345")</f>
        <v/>
      </c>
      <c r="B14696" s="0" t="s">
        <v>19557</v>
      </c>
      <c r="E14696" s="0" t="inlineStr">
        <is>
          <t xml:space="preserve">Mazda</t>
        </is>
      </c>
      <c r="F14696" s="0" t="inlineStr">
        <is>
          <t xml:space="preserve">Mazda</t>
        </is>
      </c>
      <c r="G14696" s="0" t="s">
        <v>171</v>
      </c>
      <c r="H14696" s="5">
        <v>368.890800</v>
      </c>
    </row>
    <row r="14697" spans="1:9">
      <c r="A14697" s="22" t="str">
        <f>HYPERLINK("https://app.vivvix.com/360/KMI/IntelliDrive/ApplUI/Pages/CreativePages/CustomReportCreativeDetail.aspx?App=23&amp;ReportView=4&amp;Qid=1711279&amp;Row=14689&amp;Col=1","No Title Assigned - #15274323439")</f>
        <v/>
      </c>
      <c r="B14697" s="0" t="s">
        <v>19558</v>
      </c>
      <c r="E14697" s="0" t="inlineStr">
        <is>
          <t xml:space="preserve">Mazda</t>
        </is>
      </c>
      <c r="F14697" s="0" t="inlineStr">
        <is>
          <t xml:space="preserve">Mazda</t>
        </is>
      </c>
      <c r="G14697" s="0" t="s">
        <v>171</v>
      </c>
      <c r="H14697" s="5">
        <v>35.313800</v>
      </c>
    </row>
    <row r="14698" spans="1:9">
      <c r="A14698" s="22" t="str">
        <f>HYPERLINK("https://app.vivvix.com/360/KMI/IntelliDrive/ApplUI/Pages/CreativePages/CustomReportCreativeDetail.aspx?App=23&amp;ReportView=4&amp;Qid=1711279&amp;Row=14690&amp;Col=1","No Title Assigned - #15274323444")</f>
        <v/>
      </c>
      <c r="B14698" s="0" t="s">
        <v>19559</v>
      </c>
      <c r="E14698" s="0" t="inlineStr">
        <is>
          <t xml:space="preserve">Mazda</t>
        </is>
      </c>
      <c r="F14698" s="0" t="inlineStr">
        <is>
          <t xml:space="preserve">Mazda</t>
        </is>
      </c>
      <c r="G14698" s="0" t="s">
        <v>171</v>
      </c>
      <c r="H14698" s="5">
        <v>114.186300</v>
      </c>
    </row>
    <row r="14699" spans="1:9">
      <c r="A14699" s="22" t="str">
        <f>HYPERLINK("https://app.vivvix.com/360/KMI/IntelliDrive/ApplUI/Pages/CreativePages/CustomReportCreativeDetail.aspx?App=23&amp;ReportView=4&amp;Qid=1711279&amp;Row=14691&amp;Col=1","No Title Assigned - #15274323484")</f>
        <v/>
      </c>
      <c r="B14699" s="0" t="s">
        <v>19560</v>
      </c>
      <c r="E14699" s="0" t="inlineStr">
        <is>
          <t xml:space="preserve">Mazda</t>
        </is>
      </c>
      <c r="F14699" s="0" t="inlineStr">
        <is>
          <t xml:space="preserve">Mazda</t>
        </is>
      </c>
      <c r="G14699" s="0" t="s">
        <v>171</v>
      </c>
      <c r="H14699" s="5">
        <v>595.404400</v>
      </c>
    </row>
    <row r="14700" spans="1:9">
      <c r="A14700" s="22" t="str">
        <f>HYPERLINK("https://app.vivvix.com/360/KMI/IntelliDrive/ApplUI/Pages/CreativePages/CustomReportCreativeDetail.aspx?App=23&amp;ReportView=4&amp;Qid=1711279&amp;Row=14692&amp;Col=1","No Title Assigned - #15274323484")</f>
        <v/>
      </c>
      <c r="B14700" s="0" t="s">
        <v>19560</v>
      </c>
      <c r="C14700" s="0" t="s">
        <v>19561</v>
      </c>
      <c r="D14700" s="0" t="s">
        <v>19561</v>
      </c>
      <c r="E14700" s="0" t="inlineStr">
        <is>
          <t xml:space="preserve">Mazda</t>
        </is>
      </c>
      <c r="F14700" s="0" t="inlineStr">
        <is>
          <t xml:space="preserve">Mazda</t>
        </is>
      </c>
      <c r="G14700" s="0" t="s">
        <v>171</v>
      </c>
      <c r="H14700" s="5">
        <v>48.038700</v>
      </c>
    </row>
    <row r="14701" spans="1:9">
      <c r="A14701" s="22" t="str">
        <f>HYPERLINK("https://app.vivvix.com/360/KMI/IntelliDrive/ApplUI/Pages/CreativePages/CustomReportCreativeDetail.aspx?App=23&amp;ReportView=4&amp;Qid=1711279&amp;Row=14693&amp;Col=1","No Title Assigned - #15274323496")</f>
        <v/>
      </c>
      <c r="B14701" s="0" t="s">
        <v>19562</v>
      </c>
      <c r="E14701" s="0" t="inlineStr">
        <is>
          <t xml:space="preserve">Mazda</t>
        </is>
      </c>
      <c r="F14701" s="0" t="inlineStr">
        <is>
          <t xml:space="preserve">Mazda</t>
        </is>
      </c>
      <c r="G14701" s="0" t="s">
        <v>171</v>
      </c>
      <c r="H14701" s="5">
        <v>78.347900</v>
      </c>
    </row>
    <row r="14702" spans="1:9">
      <c r="A14702" s="22" t="str">
        <f>HYPERLINK("https://app.vivvix.com/360/KMI/IntelliDrive/ApplUI/Pages/CreativePages/CustomReportCreativeDetail.aspx?App=23&amp;ReportView=4&amp;Qid=1711279&amp;Row=14694&amp;Col=1","No Title Assigned - #15274323525")</f>
        <v/>
      </c>
      <c r="B14702" s="0" t="s">
        <v>19563</v>
      </c>
      <c r="E14702" s="0" t="inlineStr">
        <is>
          <t xml:space="preserve">Mazda</t>
        </is>
      </c>
      <c r="F14702" s="0" t="inlineStr">
        <is>
          <t xml:space="preserve">Mazda</t>
        </is>
      </c>
      <c r="G14702" s="0" t="s">
        <v>171</v>
      </c>
      <c r="H14702" s="5">
        <v>61.939300</v>
      </c>
    </row>
    <row r="14703" spans="1:9">
      <c r="A14703" s="22" t="str">
        <f>HYPERLINK("https://app.vivvix.com/360/KMI/IntelliDrive/ApplUI/Pages/CreativePages/CustomReportCreativeDetail.aspx?App=23&amp;ReportView=4&amp;Qid=1711279&amp;Row=14695&amp;Col=1","No Title Assigned - #15274323550")</f>
        <v/>
      </c>
      <c r="B14703" s="0" t="s">
        <v>19564</v>
      </c>
      <c r="E14703" s="0" t="inlineStr">
        <is>
          <t xml:space="preserve">Mazda</t>
        </is>
      </c>
      <c r="F14703" s="0" t="inlineStr">
        <is>
          <t xml:space="preserve">Mazda</t>
        </is>
      </c>
      <c r="G14703" s="0" t="s">
        <v>171</v>
      </c>
      <c r="H14703" s="5">
        <v>620.831400</v>
      </c>
    </row>
    <row r="14704" spans="1:9">
      <c r="A14704" s="22" t="str">
        <f>HYPERLINK("https://app.vivvix.com/360/KMI/IntelliDrive/ApplUI/Pages/CreativePages/CustomReportCreativeDetail.aspx?App=23&amp;ReportView=4&amp;Qid=1711279&amp;Row=14696&amp;Col=1","No Title Assigned - #15274323856")</f>
        <v/>
      </c>
      <c r="B14704" s="0" t="s">
        <v>19565</v>
      </c>
      <c r="E14704" s="0" t="inlineStr">
        <is>
          <t xml:space="preserve">Mazda</t>
        </is>
      </c>
      <c r="F14704" s="0" t="inlineStr">
        <is>
          <t xml:space="preserve">Mazda</t>
        </is>
      </c>
      <c r="G14704" s="0" t="s">
        <v>171</v>
      </c>
      <c r="H14704" s="5">
        <v>49.796500</v>
      </c>
    </row>
    <row r="14705" spans="1:9">
      <c r="A14705" s="22" t="str">
        <f>HYPERLINK("https://app.vivvix.com/360/KMI/IntelliDrive/ApplUI/Pages/CreativePages/CustomReportCreativeDetail.aspx?App=23&amp;ReportView=4&amp;Qid=1711279&amp;Row=14697&amp;Col=1","No Title Assigned - #15274323938")</f>
        <v/>
      </c>
      <c r="B14705" s="0" t="s">
        <v>19566</v>
      </c>
      <c r="E14705" s="0" t="inlineStr">
        <is>
          <t xml:space="preserve">Mazda</t>
        </is>
      </c>
      <c r="F14705" s="0" t="inlineStr">
        <is>
          <t xml:space="preserve">Mazda</t>
        </is>
      </c>
      <c r="G14705" s="0" t="s">
        <v>171</v>
      </c>
      <c r="H14705" s="5">
        <v>121.833800</v>
      </c>
    </row>
    <row r="14706" spans="1:9">
      <c r="A14706" s="22" t="str">
        <f>HYPERLINK("https://app.vivvix.com/360/KMI/IntelliDrive/ApplUI/Pages/CreativePages/CustomReportCreativeDetail.aspx?App=23&amp;ReportView=4&amp;Qid=1711279&amp;Row=14698&amp;Col=1","No Title Assigned - #15274324545")</f>
        <v/>
      </c>
      <c r="B14706" s="0" t="s">
        <v>19567</v>
      </c>
      <c r="E14706" s="0" t="inlineStr">
        <is>
          <t xml:space="preserve">Mazda</t>
        </is>
      </c>
      <c r="F14706" s="0" t="inlineStr">
        <is>
          <t xml:space="preserve">Mazda</t>
        </is>
      </c>
      <c r="G14706" s="0" t="s">
        <v>171</v>
      </c>
      <c r="H14706" s="5">
        <v>2836.156200</v>
      </c>
    </row>
    <row r="14707" spans="1:9">
      <c r="A14707" s="22" t="str">
        <f>HYPERLINK("https://app.vivvix.com/360/KMI/IntelliDrive/ApplUI/Pages/CreativePages/CustomReportCreativeDetail.aspx?App=23&amp;ReportView=4&amp;Qid=1711279&amp;Row=14699&amp;Col=1","No Title Assigned - #15274324554")</f>
        <v/>
      </c>
      <c r="B14707" s="0" t="s">
        <v>19568</v>
      </c>
      <c r="E14707" s="0" t="inlineStr">
        <is>
          <t xml:space="preserve">Mazda</t>
        </is>
      </c>
      <c r="F14707" s="0" t="inlineStr">
        <is>
          <t xml:space="preserve">Mazda</t>
        </is>
      </c>
      <c r="G14707" s="0" t="s">
        <v>171</v>
      </c>
      <c r="H14707" s="5">
        <v>32.682400</v>
      </c>
    </row>
    <row r="14708" spans="1:9">
      <c r="A14708" s="22" t="str">
        <f>HYPERLINK("https://app.vivvix.com/360/KMI/IntelliDrive/ApplUI/Pages/CreativePages/CustomReportCreativeDetail.aspx?App=23&amp;ReportView=4&amp;Qid=1711279&amp;Row=14700&amp;Col=1","No Title Assigned - #15274324921")</f>
        <v/>
      </c>
      <c r="B14708" s="0" t="s">
        <v>19569</v>
      </c>
      <c r="E14708" s="0" t="inlineStr">
        <is>
          <t xml:space="preserve">Mazda</t>
        </is>
      </c>
      <c r="F14708" s="0" t="inlineStr">
        <is>
          <t xml:space="preserve">Mazda</t>
        </is>
      </c>
      <c r="G14708" s="0" t="s">
        <v>171</v>
      </c>
      <c r="H14708" s="5">
        <v>1323.515700</v>
      </c>
    </row>
    <row r="14709" spans="1:9">
      <c r="A14709" s="22" t="str">
        <f>HYPERLINK("https://app.vivvix.com/360/KMI/IntelliDrive/ApplUI/Pages/CreativePages/CustomReportCreativeDetail.aspx?App=23&amp;ReportView=4&amp;Qid=1711279&amp;Row=14701&amp;Col=1","No Title Assigned - #15274324927")</f>
        <v/>
      </c>
      <c r="B14709" s="0" t="s">
        <v>19570</v>
      </c>
      <c r="E14709" s="0" t="inlineStr">
        <is>
          <t xml:space="preserve">Mazda</t>
        </is>
      </c>
      <c r="F14709" s="0" t="inlineStr">
        <is>
          <t xml:space="preserve">Mazda</t>
        </is>
      </c>
      <c r="G14709" s="0" t="s">
        <v>171</v>
      </c>
      <c r="H14709" s="5">
        <v>1431.194600</v>
      </c>
    </row>
    <row r="14710" spans="1:9">
      <c r="A14710" s="22" t="str">
        <f>HYPERLINK("https://app.vivvix.com/360/KMI/IntelliDrive/ApplUI/Pages/CreativePages/CustomReportCreativeDetail.aspx?App=23&amp;ReportView=4&amp;Qid=1711279&amp;Row=14702&amp;Col=1","No Title Assigned - #15274325300")</f>
        <v/>
      </c>
      <c r="B14710" s="0" t="s">
        <v>19571</v>
      </c>
      <c r="E14710" s="0" t="inlineStr">
        <is>
          <t xml:space="preserve">Mazda</t>
        </is>
      </c>
      <c r="F14710" s="0" t="s">
        <v>21</v>
      </c>
      <c r="G14710" s="0" t="s">
        <v>22</v>
      </c>
      <c r="H14710" s="5">
        <v>119.157300</v>
      </c>
    </row>
    <row r="14711" spans="1:9">
      <c r="A14711" s="22" t="str">
        <f>HYPERLINK("https://app.vivvix.com/360/KMI/IntelliDrive/ApplUI/Pages/CreativePages/CustomReportCreativeDetail.aspx?App=23&amp;ReportView=4&amp;Qid=1711279&amp;Row=14703&amp;Col=1","No Title Assigned - #15274325323")</f>
        <v/>
      </c>
      <c r="B14711" s="0" t="s">
        <v>19572</v>
      </c>
      <c r="E14711" s="0" t="inlineStr">
        <is>
          <t xml:space="preserve">Mazda</t>
        </is>
      </c>
      <c r="F14711" s="0" t="inlineStr">
        <is>
          <t xml:space="preserve">Mazda</t>
        </is>
      </c>
      <c r="G14711" s="0" t="s">
        <v>171</v>
      </c>
      <c r="H14711" s="5">
        <v>14.511400</v>
      </c>
    </row>
    <row r="14712" spans="1:9">
      <c r="A14712" s="22" t="str">
        <f>HYPERLINK("https://app.vivvix.com/360/KMI/IntelliDrive/ApplUI/Pages/CreativePages/CustomReportCreativeDetail.aspx?App=23&amp;ReportView=4&amp;Qid=1711279&amp;Row=14704&amp;Col=1","No Title Assigned - #15274325403")</f>
        <v/>
      </c>
      <c r="B14712" s="0" t="s">
        <v>19573</v>
      </c>
      <c r="E14712" s="0" t="inlineStr">
        <is>
          <t xml:space="preserve">Mazda</t>
        </is>
      </c>
      <c r="F14712" s="0" t="inlineStr">
        <is>
          <t xml:space="preserve">Mazda</t>
        </is>
      </c>
      <c r="G14712" s="0" t="s">
        <v>171</v>
      </c>
      <c r="H14712" s="5">
        <v>1.787400</v>
      </c>
    </row>
    <row r="14713" spans="1:9">
      <c r="A14713" s="22" t="str">
        <f>HYPERLINK("https://app.vivvix.com/360/KMI/IntelliDrive/ApplUI/Pages/CreativePages/CustomReportCreativeDetail.aspx?App=23&amp;ReportView=4&amp;Qid=1711279&amp;Row=14705&amp;Col=1","No Title Assigned - #15274325498")</f>
        <v/>
      </c>
      <c r="B14713" s="0" t="s">
        <v>19574</v>
      </c>
      <c r="E14713" s="0" t="inlineStr">
        <is>
          <t xml:space="preserve">Mazda</t>
        </is>
      </c>
      <c r="F14713" s="0" t="inlineStr">
        <is>
          <t xml:space="preserve">Mazda</t>
        </is>
      </c>
      <c r="G14713" s="0" t="s">
        <v>171</v>
      </c>
      <c r="H14713" s="5">
        <v>132.844000</v>
      </c>
    </row>
    <row r="14714" spans="1:9">
      <c r="A14714" s="22" t="str">
        <f>HYPERLINK("https://app.vivvix.com/360/KMI/IntelliDrive/ApplUI/Pages/CreativePages/CustomReportCreativeDetail.aspx?App=23&amp;ReportView=4&amp;Qid=1711279&amp;Row=14706&amp;Col=1","No Title Assigned - #15274325904")</f>
        <v/>
      </c>
      <c r="B14714" s="0" t="s">
        <v>19575</v>
      </c>
      <c r="E14714" s="0" t="inlineStr">
        <is>
          <t xml:space="preserve">Mazda</t>
        </is>
      </c>
      <c r="F14714" s="0" t="inlineStr">
        <is>
          <t xml:space="preserve">Mazda</t>
        </is>
      </c>
      <c r="G14714" s="0" t="s">
        <v>171</v>
      </c>
      <c r="H14714" s="5">
        <v>408.195600</v>
      </c>
    </row>
    <row r="14715" spans="1:9">
      <c r="A14715" s="22" t="str">
        <f>HYPERLINK("https://app.vivvix.com/360/KMI/IntelliDrive/ApplUI/Pages/CreativePages/CustomReportCreativeDetail.aspx?App=23&amp;ReportView=4&amp;Qid=1711279&amp;Row=14707&amp;Col=1","No Title Assigned - #15274326240")</f>
        <v/>
      </c>
      <c r="B14715" s="0" t="s">
        <v>19576</v>
      </c>
      <c r="E14715" s="0" t="inlineStr">
        <is>
          <t xml:space="preserve">Mazda</t>
        </is>
      </c>
      <c r="F14715" s="0" t="inlineStr">
        <is>
          <t xml:space="preserve">Mazda</t>
        </is>
      </c>
      <c r="G14715" s="0" t="s">
        <v>171</v>
      </c>
      <c r="H14715" s="5">
        <v>122.515800</v>
      </c>
    </row>
    <row r="14716" spans="1:9">
      <c r="A14716" s="22" t="str">
        <f>HYPERLINK("https://app.vivvix.com/360/KMI/IntelliDrive/ApplUI/Pages/CreativePages/CustomReportCreativeDetail.aspx?App=23&amp;ReportView=4&amp;Qid=1711279&amp;Row=14708&amp;Col=1","No Title Assigned - #15274326486")</f>
        <v/>
      </c>
      <c r="B14716" s="0" t="s">
        <v>19577</v>
      </c>
      <c r="E14716" s="0" t="inlineStr">
        <is>
          <t xml:space="preserve">Mazda</t>
        </is>
      </c>
      <c r="F14716" s="0" t="inlineStr">
        <is>
          <t xml:space="preserve">Mazda</t>
        </is>
      </c>
      <c r="G14716" s="0" t="s">
        <v>171</v>
      </c>
      <c r="H14716" s="5">
        <v>134.785800</v>
      </c>
    </row>
    <row r="14717" spans="1:9">
      <c r="A14717" s="22" t="str">
        <f>HYPERLINK("https://app.vivvix.com/360/KMI/IntelliDrive/ApplUI/Pages/CreativePages/CustomReportCreativeDetail.aspx?App=23&amp;ReportView=4&amp;Qid=1711279&amp;Row=14709&amp;Col=1","No Title Assigned - #15274326549")</f>
        <v/>
      </c>
      <c r="B14717" s="0" t="s">
        <v>19578</v>
      </c>
      <c r="E14717" s="0" t="inlineStr">
        <is>
          <t xml:space="preserve">Mazda</t>
        </is>
      </c>
      <c r="F14717" s="0" t="inlineStr">
        <is>
          <t xml:space="preserve">Mazda</t>
        </is>
      </c>
      <c r="G14717" s="0" t="s">
        <v>171</v>
      </c>
      <c r="H14717" s="5">
        <v>56.507500</v>
      </c>
    </row>
    <row r="14718" spans="1:9">
      <c r="A14718" s="22" t="str">
        <f>HYPERLINK("https://app.vivvix.com/360/KMI/IntelliDrive/ApplUI/Pages/CreativePages/CustomReportCreativeDetail.aspx?App=23&amp;ReportView=4&amp;Qid=1711279&amp;Row=14710&amp;Col=1","No Title Assigned - #15274326648")</f>
        <v/>
      </c>
      <c r="B14718" s="0" t="s">
        <v>19579</v>
      </c>
      <c r="E14718" s="0" t="inlineStr">
        <is>
          <t xml:space="preserve">Mazda</t>
        </is>
      </c>
      <c r="F14718" s="0" t="inlineStr">
        <is>
          <t xml:space="preserve">Mazda</t>
        </is>
      </c>
      <c r="G14718" s="0" t="s">
        <v>171</v>
      </c>
      <c r="H14718" s="5">
        <v>861.981000</v>
      </c>
    </row>
    <row r="14719" spans="1:9">
      <c r="A14719" s="22" t="str">
        <f>HYPERLINK("https://app.vivvix.com/360/KMI/IntelliDrive/ApplUI/Pages/CreativePages/CustomReportCreativeDetail.aspx?App=23&amp;ReportView=4&amp;Qid=1711279&amp;Row=14711&amp;Col=1","No Title Assigned - #15274326843")</f>
        <v/>
      </c>
      <c r="B14719" s="0" t="s">
        <v>19580</v>
      </c>
      <c r="E14719" s="0" t="inlineStr">
        <is>
          <t xml:space="preserve">Mazda</t>
        </is>
      </c>
      <c r="F14719" s="0" t="inlineStr">
        <is>
          <t xml:space="preserve">Mazda</t>
        </is>
      </c>
      <c r="G14719" s="0" t="s">
        <v>171</v>
      </c>
      <c r="H14719" s="5">
        <v>27.679900</v>
      </c>
    </row>
    <row r="14720" spans="1:9">
      <c r="A14720" s="22" t="str">
        <f>HYPERLINK("https://app.vivvix.com/360/KMI/IntelliDrive/ApplUI/Pages/CreativePages/CustomReportCreativeDetail.aspx?App=23&amp;ReportView=4&amp;Qid=1711279&amp;Row=14712&amp;Col=1","No Title Assigned - #15274326907")</f>
        <v/>
      </c>
      <c r="B14720" s="0" t="s">
        <v>19581</v>
      </c>
      <c r="E14720" s="0" t="inlineStr">
        <is>
          <t xml:space="preserve">Mazda</t>
        </is>
      </c>
      <c r="F14720" s="0" t="inlineStr">
        <is>
          <t xml:space="preserve">Mazda</t>
        </is>
      </c>
      <c r="G14720" s="0" t="s">
        <v>171</v>
      </c>
      <c r="H14720" s="5">
        <v>1.788300</v>
      </c>
    </row>
    <row r="14721" spans="1:9">
      <c r="A14721" s="22" t="str">
        <f>HYPERLINK("https://app.vivvix.com/360/KMI/IntelliDrive/ApplUI/Pages/CreativePages/CustomReportCreativeDetail.aspx?App=23&amp;ReportView=4&amp;Qid=1711279&amp;Row=14713&amp;Col=1","No Title Assigned - #15274326985")</f>
        <v/>
      </c>
      <c r="B14721" s="0" t="s">
        <v>19582</v>
      </c>
      <c r="E14721" s="0" t="inlineStr">
        <is>
          <t xml:space="preserve">Mazda</t>
        </is>
      </c>
      <c r="F14721" s="0" t="inlineStr">
        <is>
          <t xml:space="preserve">Mazda</t>
        </is>
      </c>
      <c r="G14721" s="0" t="s">
        <v>171</v>
      </c>
      <c r="H14721" s="5">
        <v>14.262500</v>
      </c>
    </row>
    <row r="14722" spans="1:9">
      <c r="A14722" s="22" t="str">
        <f>HYPERLINK("https://app.vivvix.com/360/KMI/IntelliDrive/ApplUI/Pages/CreativePages/CustomReportCreativeDetail.aspx?App=23&amp;ReportView=4&amp;Qid=1711279&amp;Row=14714&amp;Col=1","No Title Assigned - #15274327027")</f>
        <v/>
      </c>
      <c r="B14722" s="0" t="s">
        <v>19583</v>
      </c>
      <c r="E14722" s="0" t="inlineStr">
        <is>
          <t xml:space="preserve">Mazda</t>
        </is>
      </c>
      <c r="F14722" s="0" t="inlineStr">
        <is>
          <t xml:space="preserve">Mazda</t>
        </is>
      </c>
      <c r="G14722" s="0" t="s">
        <v>171</v>
      </c>
      <c r="H14722" s="5">
        <v>309.996600</v>
      </c>
    </row>
    <row r="14723" spans="1:9">
      <c r="A14723" s="22" t="str">
        <f>HYPERLINK("https://app.vivvix.com/360/KMI/IntelliDrive/ApplUI/Pages/CreativePages/CustomReportCreativeDetail.aspx?App=23&amp;ReportView=4&amp;Qid=1711279&amp;Row=14715&amp;Col=1","No Title Assigned - #15274327150")</f>
        <v/>
      </c>
      <c r="B14723" s="0" t="s">
        <v>19584</v>
      </c>
      <c r="E14723" s="0" t="inlineStr">
        <is>
          <t xml:space="preserve">Mazda</t>
        </is>
      </c>
      <c r="F14723" s="0" t="inlineStr">
        <is>
          <t xml:space="preserve">Mazda</t>
        </is>
      </c>
      <c r="G14723" s="0" t="s">
        <v>171</v>
      </c>
      <c r="H14723" s="5">
        <v>216.336900</v>
      </c>
    </row>
    <row r="14724" spans="1:9">
      <c r="A14724" s="22" t="str">
        <f>HYPERLINK("https://app.vivvix.com/360/KMI/IntelliDrive/ApplUI/Pages/CreativePages/CustomReportCreativeDetail.aspx?App=23&amp;ReportView=4&amp;Qid=1711279&amp;Row=14716&amp;Col=1","No Title Assigned - #15274327157")</f>
        <v/>
      </c>
      <c r="B14724" s="0" t="s">
        <v>19585</v>
      </c>
      <c r="E14724" s="0" t="inlineStr">
        <is>
          <t xml:space="preserve">Mazda</t>
        </is>
      </c>
      <c r="F14724" s="0" t="inlineStr">
        <is>
          <t xml:space="preserve">Mazda</t>
        </is>
      </c>
      <c r="G14724" s="0" t="s">
        <v>171</v>
      </c>
      <c r="H14724" s="5">
        <v>158.206400</v>
      </c>
    </row>
    <row r="14725" spans="1:9">
      <c r="A14725" s="22" t="str">
        <f>HYPERLINK("https://app.vivvix.com/360/KMI/IntelliDrive/ApplUI/Pages/CreativePages/CustomReportCreativeDetail.aspx?App=23&amp;ReportView=4&amp;Qid=1711279&amp;Row=14717&amp;Col=1","No Title Assigned - #15274327516")</f>
        <v/>
      </c>
      <c r="B14725" s="0" t="s">
        <v>19586</v>
      </c>
      <c r="E14725" s="0" t="inlineStr">
        <is>
          <t xml:space="preserve">Mazda</t>
        </is>
      </c>
      <c r="F14725" s="0" t="inlineStr">
        <is>
          <t xml:space="preserve">Mazda</t>
        </is>
      </c>
      <c r="G14725" s="0" t="s">
        <v>171</v>
      </c>
      <c r="H14725" s="5">
        <v>7481.814900</v>
      </c>
    </row>
    <row r="14726" spans="1:9">
      <c r="A14726" s="22" t="str">
        <f>HYPERLINK("https://app.vivvix.com/360/KMI/IntelliDrive/ApplUI/Pages/CreativePages/CustomReportCreativeDetail.aspx?App=23&amp;ReportView=4&amp;Qid=1711279&amp;Row=14718&amp;Col=1","No Title Assigned - #15274327885")</f>
        <v/>
      </c>
      <c r="B14726" s="0" t="s">
        <v>19587</v>
      </c>
      <c r="E14726" s="0" t="inlineStr">
        <is>
          <t xml:space="preserve">Mazda</t>
        </is>
      </c>
      <c r="F14726" s="0" t="inlineStr">
        <is>
          <t xml:space="preserve">Mazda</t>
        </is>
      </c>
      <c r="G14726" s="0" t="s">
        <v>171</v>
      </c>
      <c r="H14726" s="5">
        <v>40.192300</v>
      </c>
    </row>
    <row r="14727" spans="1:9">
      <c r="A14727" s="22" t="str">
        <f>HYPERLINK("https://app.vivvix.com/360/KMI/IntelliDrive/ApplUI/Pages/CreativePages/CustomReportCreativeDetail.aspx?App=23&amp;ReportView=4&amp;Qid=1711279&amp;Row=14719&amp;Col=1","No Title Assigned - #15274327970")</f>
        <v/>
      </c>
      <c r="B14727" s="0" t="s">
        <v>19588</v>
      </c>
      <c r="E14727" s="0" t="inlineStr">
        <is>
          <t xml:space="preserve">Mazda</t>
        </is>
      </c>
      <c r="F14727" s="0" t="inlineStr">
        <is>
          <t xml:space="preserve">Mazda</t>
        </is>
      </c>
      <c r="G14727" s="0" t="s">
        <v>171</v>
      </c>
      <c r="H14727" s="5">
        <v>53913.105200</v>
      </c>
    </row>
    <row r="14728" spans="1:9">
      <c r="A14728" s="22" t="str">
        <f>HYPERLINK("https://app.vivvix.com/360/KMI/IntelliDrive/ApplUI/Pages/CreativePages/CustomReportCreativeDetail.aspx?App=23&amp;ReportView=4&amp;Qid=1711279&amp;Row=14720&amp;Col=1","No Title Assigned - #15274327970")</f>
        <v/>
      </c>
      <c r="B14728" s="0" t="s">
        <v>19588</v>
      </c>
      <c r="E14728" s="0" t="inlineStr">
        <is>
          <t xml:space="preserve">Mazda</t>
        </is>
      </c>
      <c r="F14728" s="0" t="inlineStr">
        <is>
          <t xml:space="preserve">Mazda</t>
        </is>
      </c>
      <c r="G14728" s="0" t="s">
        <v>171</v>
      </c>
      <c r="H14728" s="5">
        <v>1452.058800</v>
      </c>
    </row>
    <row r="14729" spans="1:9">
      <c r="A14729" s="22" t="str">
        <f>HYPERLINK("https://app.vivvix.com/360/KMI/IntelliDrive/ApplUI/Pages/CreativePages/CustomReportCreativeDetail.aspx?App=23&amp;ReportView=4&amp;Qid=1711279&amp;Row=14721&amp;Col=1","No Title Assigned - #15274328109")</f>
        <v/>
      </c>
      <c r="B14729" s="0" t="s">
        <v>19589</v>
      </c>
      <c r="E14729" s="0" t="inlineStr">
        <is>
          <t xml:space="preserve">Mazda</t>
        </is>
      </c>
      <c r="F14729" s="0" t="inlineStr">
        <is>
          <t xml:space="preserve">Mazda</t>
        </is>
      </c>
      <c r="G14729" s="0" t="s">
        <v>171</v>
      </c>
      <c r="H14729" s="5">
        <v>98.704600</v>
      </c>
    </row>
    <row r="14730" spans="1:9">
      <c r="A14730" s="22" t="str">
        <f>HYPERLINK("https://app.vivvix.com/360/KMI/IntelliDrive/ApplUI/Pages/CreativePages/CustomReportCreativeDetail.aspx?App=23&amp;ReportView=4&amp;Qid=1711279&amp;Row=14722&amp;Col=1","No Title Assigned - #15274328177")</f>
        <v/>
      </c>
      <c r="B14730" s="0" t="s">
        <v>19590</v>
      </c>
      <c r="E14730" s="0" t="inlineStr">
        <is>
          <t xml:space="preserve">Mazda</t>
        </is>
      </c>
      <c r="F14730" s="0" t="inlineStr">
        <is>
          <t xml:space="preserve">Mazda</t>
        </is>
      </c>
      <c r="G14730" s="0" t="s">
        <v>171</v>
      </c>
      <c r="H14730" s="5">
        <v>39.494700</v>
      </c>
    </row>
    <row r="14731" spans="1:9">
      <c r="A14731" s="22" t="str">
        <f>HYPERLINK("https://app.vivvix.com/360/KMI/IntelliDrive/ApplUI/Pages/CreativePages/CustomReportCreativeDetail.aspx?App=23&amp;ReportView=4&amp;Qid=1711279&amp;Row=14723&amp;Col=1","No Title Assigned - #15274328198")</f>
        <v/>
      </c>
      <c r="B14731" s="0" t="s">
        <v>19591</v>
      </c>
      <c r="E14731" s="0" t="inlineStr">
        <is>
          <t xml:space="preserve">Mazda</t>
        </is>
      </c>
      <c r="F14731" s="0" t="inlineStr">
        <is>
          <t xml:space="preserve">Mazda</t>
        </is>
      </c>
      <c r="G14731" s="0" t="s">
        <v>171</v>
      </c>
      <c r="H14731" s="5">
        <v>10.809400</v>
      </c>
    </row>
    <row r="14732" spans="1:9">
      <c r="A14732" s="22" t="str">
        <f>HYPERLINK("https://app.vivvix.com/360/KMI/IntelliDrive/ApplUI/Pages/CreativePages/CustomReportCreativeDetail.aspx?App=23&amp;ReportView=4&amp;Qid=1711279&amp;Row=14724&amp;Col=1","No Title Assigned - #15274328274")</f>
        <v/>
      </c>
      <c r="B14732" s="0" t="s">
        <v>19592</v>
      </c>
      <c r="E14732" s="0" t="inlineStr">
        <is>
          <t xml:space="preserve">Mazda</t>
        </is>
      </c>
      <c r="F14732" s="0" t="inlineStr">
        <is>
          <t xml:space="preserve">Mazda</t>
        </is>
      </c>
      <c r="G14732" s="0" t="s">
        <v>171</v>
      </c>
      <c r="H14732" s="5">
        <v>537.138400</v>
      </c>
    </row>
    <row r="14733" spans="1:9">
      <c r="A14733" s="22" t="str">
        <f>HYPERLINK("https://app.vivvix.com/360/KMI/IntelliDrive/ApplUI/Pages/CreativePages/CustomReportCreativeDetail.aspx?App=23&amp;ReportView=4&amp;Qid=1711279&amp;Row=14725&amp;Col=1","No Title Assigned - #15274328279")</f>
        <v/>
      </c>
      <c r="B14733" s="0" t="s">
        <v>19593</v>
      </c>
      <c r="E14733" s="0" t="inlineStr">
        <is>
          <t xml:space="preserve">Mazda</t>
        </is>
      </c>
      <c r="F14733" s="0" t="inlineStr">
        <is>
          <t xml:space="preserve">Mazda</t>
        </is>
      </c>
      <c r="G14733" s="0" t="s">
        <v>171</v>
      </c>
      <c r="H14733" s="5">
        <v>168.392800</v>
      </c>
    </row>
    <row r="14734" spans="1:9">
      <c r="A14734" s="22" t="str">
        <f>HYPERLINK("https://app.vivvix.com/360/KMI/IntelliDrive/ApplUI/Pages/CreativePages/CustomReportCreativeDetail.aspx?App=23&amp;ReportView=4&amp;Qid=1711279&amp;Row=14726&amp;Col=1","No Title Assigned - #15274328360")</f>
        <v/>
      </c>
      <c r="B14734" s="0" t="s">
        <v>19594</v>
      </c>
      <c r="E14734" s="0" t="inlineStr">
        <is>
          <t xml:space="preserve">Mazda</t>
        </is>
      </c>
      <c r="F14734" s="0" t="inlineStr">
        <is>
          <t xml:space="preserve">Mazda</t>
        </is>
      </c>
      <c r="G14734" s="0" t="s">
        <v>171</v>
      </c>
      <c r="H14734" s="5">
        <v>50.638800</v>
      </c>
    </row>
    <row r="14735" spans="1:9">
      <c r="A14735" s="22" t="str">
        <f>HYPERLINK("https://app.vivvix.com/360/KMI/IntelliDrive/ApplUI/Pages/CreativePages/CustomReportCreativeDetail.aspx?App=23&amp;ReportView=4&amp;Qid=1711279&amp;Row=14727&amp;Col=1","No Title Assigned - #15274328417")</f>
        <v/>
      </c>
      <c r="B14735" s="0" t="s">
        <v>19595</v>
      </c>
      <c r="E14735" s="0" t="inlineStr">
        <is>
          <t xml:space="preserve">Mazda</t>
        </is>
      </c>
      <c r="F14735" s="0" t="inlineStr">
        <is>
          <t xml:space="preserve">Mazda</t>
        </is>
      </c>
      <c r="G14735" s="0" t="s">
        <v>171</v>
      </c>
      <c r="H14735" s="5">
        <v>434.775800</v>
      </c>
    </row>
    <row r="14736" spans="1:9">
      <c r="A14736" s="22" t="str">
        <f>HYPERLINK("https://app.vivvix.com/360/KMI/IntelliDrive/ApplUI/Pages/CreativePages/CustomReportCreativeDetail.aspx?App=23&amp;ReportView=4&amp;Qid=1711279&amp;Row=14728&amp;Col=1","No Title Assigned - #15274328458")</f>
        <v/>
      </c>
      <c r="B14736" s="0" t="s">
        <v>19596</v>
      </c>
      <c r="E14736" s="0" t="inlineStr">
        <is>
          <t xml:space="preserve">Mazda</t>
        </is>
      </c>
      <c r="F14736" s="0" t="inlineStr">
        <is>
          <t xml:space="preserve">Mazda</t>
        </is>
      </c>
      <c r="G14736" s="0" t="s">
        <v>171</v>
      </c>
      <c r="H14736" s="5">
        <v>75.901700</v>
      </c>
    </row>
    <row r="14737" spans="1:9">
      <c r="A14737" s="22" t="str">
        <f>HYPERLINK("https://app.vivvix.com/360/KMI/IntelliDrive/ApplUI/Pages/CreativePages/CustomReportCreativeDetail.aspx?App=23&amp;ReportView=4&amp;Qid=1711279&amp;Row=14729&amp;Col=1","No Title Assigned - #15274328687")</f>
        <v/>
      </c>
      <c r="B14737" s="0" t="s">
        <v>19597</v>
      </c>
      <c r="E14737" s="0" t="inlineStr">
        <is>
          <t xml:space="preserve">Mazda</t>
        </is>
      </c>
      <c r="F14737" s="0" t="inlineStr">
        <is>
          <t xml:space="preserve">Mazda</t>
        </is>
      </c>
      <c r="G14737" s="0" t="s">
        <v>171</v>
      </c>
      <c r="H14737" s="5">
        <v>628.460200</v>
      </c>
    </row>
    <row r="14738" spans="1:9">
      <c r="A14738" s="22" t="str">
        <f>HYPERLINK("https://app.vivvix.com/360/KMI/IntelliDrive/ApplUI/Pages/CreativePages/CustomReportCreativeDetail.aspx?App=23&amp;ReportView=4&amp;Qid=1711279&amp;Row=14730&amp;Col=1","No Title Assigned - #15274328730")</f>
        <v/>
      </c>
      <c r="B14738" s="0" t="s">
        <v>19598</v>
      </c>
      <c r="E14738" s="0" t="inlineStr">
        <is>
          <t xml:space="preserve">Mazda</t>
        </is>
      </c>
      <c r="F14738" s="0" t="inlineStr">
        <is>
          <t xml:space="preserve">Mazda</t>
        </is>
      </c>
      <c r="G14738" s="0" t="s">
        <v>171</v>
      </c>
      <c r="H14738" s="5">
        <v>68.347800</v>
      </c>
    </row>
    <row r="14739" spans="1:9">
      <c r="A14739" s="22" t="str">
        <f>HYPERLINK("https://app.vivvix.com/360/KMI/IntelliDrive/ApplUI/Pages/CreativePages/CustomReportCreativeDetail.aspx?App=23&amp;ReportView=4&amp;Qid=1711279&amp;Row=14731&amp;Col=1","No Title Assigned - #15274328849")</f>
        <v/>
      </c>
      <c r="B14739" s="0" t="s">
        <v>19599</v>
      </c>
      <c r="E14739" s="0" t="inlineStr">
        <is>
          <t xml:space="preserve">Mazda</t>
        </is>
      </c>
      <c r="F14739" s="0" t="inlineStr">
        <is>
          <t xml:space="preserve">Mazda</t>
        </is>
      </c>
      <c r="G14739" s="0" t="s">
        <v>171</v>
      </c>
      <c r="H14739" s="5">
        <v>55.359800</v>
      </c>
    </row>
    <row r="14740" spans="1:9">
      <c r="A14740" s="22" t="str">
        <f>HYPERLINK("https://app.vivvix.com/360/KMI/IntelliDrive/ApplUI/Pages/CreativePages/CustomReportCreativeDetail.aspx?App=23&amp;ReportView=4&amp;Qid=1711279&amp;Row=14732&amp;Col=1","No Title Assigned - #15274328852")</f>
        <v/>
      </c>
      <c r="B14740" s="0" t="s">
        <v>19600</v>
      </c>
      <c r="E14740" s="0" t="inlineStr">
        <is>
          <t xml:space="preserve">Mazda</t>
        </is>
      </c>
      <c r="F14740" s="0" t="inlineStr">
        <is>
          <t xml:space="preserve">Mazda</t>
        </is>
      </c>
      <c r="G14740" s="0" t="s">
        <v>171</v>
      </c>
      <c r="H14740" s="5">
        <v>43.179700</v>
      </c>
    </row>
    <row r="14741" spans="1:9">
      <c r="A14741" s="22" t="str">
        <f>HYPERLINK("https://app.vivvix.com/360/KMI/IntelliDrive/ApplUI/Pages/CreativePages/CustomReportCreativeDetail.aspx?App=23&amp;ReportView=4&amp;Qid=1711279&amp;Row=14733&amp;Col=1","No Title Assigned - #15274328853")</f>
        <v/>
      </c>
      <c r="B14741" s="0" t="s">
        <v>19601</v>
      </c>
      <c r="E14741" s="0" t="inlineStr">
        <is>
          <t xml:space="preserve">Mazda</t>
        </is>
      </c>
      <c r="F14741" s="0" t="inlineStr">
        <is>
          <t xml:space="preserve">Mazda</t>
        </is>
      </c>
      <c r="G14741" s="0" t="s">
        <v>171</v>
      </c>
      <c r="H14741" s="5">
        <v>43.179700</v>
      </c>
    </row>
    <row r="14742" spans="1:9">
      <c r="A14742" s="22" t="str">
        <f>HYPERLINK("https://app.vivvix.com/360/KMI/IntelliDrive/ApplUI/Pages/CreativePages/CustomReportCreativeDetail.aspx?App=23&amp;ReportView=4&amp;Qid=1711279&amp;Row=14734&amp;Col=1","No Title Assigned - #15274328986")</f>
        <v/>
      </c>
      <c r="B14742" s="0" t="s">
        <v>19602</v>
      </c>
      <c r="E14742" s="0" t="inlineStr">
        <is>
          <t xml:space="preserve">Mazda</t>
        </is>
      </c>
      <c r="F14742" s="0" t="inlineStr">
        <is>
          <t xml:space="preserve">Mazda</t>
        </is>
      </c>
      <c r="G14742" s="0" t="s">
        <v>171</v>
      </c>
      <c r="H14742" s="5">
        <v>21.766400</v>
      </c>
    </row>
    <row r="14743" spans="1:9">
      <c r="A14743" s="22" t="str">
        <f>HYPERLINK("https://app.vivvix.com/360/KMI/IntelliDrive/ApplUI/Pages/CreativePages/CustomReportCreativeDetail.aspx?App=23&amp;ReportView=4&amp;Qid=1711279&amp;Row=14735&amp;Col=1","No Title Assigned - #15274328987")</f>
        <v/>
      </c>
      <c r="B14743" s="0" t="s">
        <v>19603</v>
      </c>
      <c r="E14743" s="0" t="inlineStr">
        <is>
          <t xml:space="preserve">Mazda</t>
        </is>
      </c>
      <c r="F14743" s="0" t="inlineStr">
        <is>
          <t xml:space="preserve">Mazda</t>
        </is>
      </c>
      <c r="G14743" s="0" t="s">
        <v>171</v>
      </c>
      <c r="H14743" s="5">
        <v>10.883200</v>
      </c>
    </row>
    <row r="14744" spans="1:9">
      <c r="A14744" s="22" t="str">
        <f>HYPERLINK("https://app.vivvix.com/360/KMI/IntelliDrive/ApplUI/Pages/CreativePages/CustomReportCreativeDetail.aspx?App=23&amp;ReportView=4&amp;Qid=1711279&amp;Row=14736&amp;Col=1","No Title Assigned - #15274328988")</f>
        <v/>
      </c>
      <c r="B14744" s="0" t="s">
        <v>19604</v>
      </c>
      <c r="E14744" s="0" t="inlineStr">
        <is>
          <t xml:space="preserve">Mazda</t>
        </is>
      </c>
      <c r="F14744" s="0" t="inlineStr">
        <is>
          <t xml:space="preserve">Mazda</t>
        </is>
      </c>
      <c r="G14744" s="0" t="s">
        <v>171</v>
      </c>
      <c r="H14744" s="5">
        <v>10.883200</v>
      </c>
    </row>
    <row r="14745" spans="1:9">
      <c r="A14745" s="22" t="str">
        <f>HYPERLINK("https://app.vivvix.com/360/KMI/IntelliDrive/ApplUI/Pages/CreativePages/CustomReportCreativeDetail.aspx?App=23&amp;ReportView=4&amp;Qid=1711279&amp;Row=14737&amp;Col=1","No Title Assigned - #15274329054")</f>
        <v/>
      </c>
      <c r="B14745" s="0" t="s">
        <v>19605</v>
      </c>
      <c r="E14745" s="0" t="inlineStr">
        <is>
          <t xml:space="preserve">Mazda</t>
        </is>
      </c>
      <c r="F14745" s="0" t="inlineStr">
        <is>
          <t xml:space="preserve">Mazda</t>
        </is>
      </c>
      <c r="G14745" s="0" t="s">
        <v>171</v>
      </c>
      <c r="H14745" s="5">
        <v>120.498700</v>
      </c>
    </row>
    <row r="14746" spans="1:9">
      <c r="A14746" s="22" t="str">
        <f>HYPERLINK("https://app.vivvix.com/360/KMI/IntelliDrive/ApplUI/Pages/CreativePages/CustomReportCreativeDetail.aspx?App=23&amp;ReportView=4&amp;Qid=1711279&amp;Row=14738&amp;Col=1","No Title Assigned - #15274329101")</f>
        <v/>
      </c>
      <c r="B14746" s="0" t="s">
        <v>19606</v>
      </c>
      <c r="E14746" s="0" t="inlineStr">
        <is>
          <t xml:space="preserve">Mazda</t>
        </is>
      </c>
      <c r="F14746" s="0" t="inlineStr">
        <is>
          <t xml:space="preserve">Mazda</t>
        </is>
      </c>
      <c r="G14746" s="0" t="s">
        <v>171</v>
      </c>
      <c r="H14746" s="5">
        <v>324.559600</v>
      </c>
    </row>
    <row r="14747" spans="1:9">
      <c r="A14747" s="22" t="str">
        <f>HYPERLINK("https://app.vivvix.com/360/KMI/IntelliDrive/ApplUI/Pages/CreativePages/CustomReportCreativeDetail.aspx?App=23&amp;ReportView=4&amp;Qid=1711279&amp;Row=14739&amp;Col=1","No Title Assigned - #15274329168")</f>
        <v/>
      </c>
      <c r="B14747" s="0" t="s">
        <v>19607</v>
      </c>
      <c r="E14747" s="0" t="inlineStr">
        <is>
          <t xml:space="preserve">Mazda</t>
        </is>
      </c>
      <c r="F14747" s="0" t="inlineStr">
        <is>
          <t xml:space="preserve">Mazda</t>
        </is>
      </c>
      <c r="G14747" s="0" t="s">
        <v>171</v>
      </c>
      <c r="H14747" s="5">
        <v>126.815000</v>
      </c>
    </row>
    <row r="14748" spans="1:9">
      <c r="A14748" s="22" t="str">
        <f>HYPERLINK("https://app.vivvix.com/360/KMI/IntelliDrive/ApplUI/Pages/CreativePages/CustomReportCreativeDetail.aspx?App=23&amp;ReportView=4&amp;Qid=1711279&amp;Row=14740&amp;Col=1","No Title Assigned - #15274329224")</f>
        <v/>
      </c>
      <c r="B14748" s="0" t="s">
        <v>19608</v>
      </c>
      <c r="C14748" s="0" t="s">
        <v>19609</v>
      </c>
      <c r="D14748" s="0" t="s">
        <v>19609</v>
      </c>
      <c r="E14748" s="0" t="inlineStr">
        <is>
          <t xml:space="preserve">Mazda</t>
        </is>
      </c>
      <c r="F14748" s="0" t="inlineStr">
        <is>
          <t xml:space="preserve">Mazda</t>
        </is>
      </c>
      <c r="G14748" s="0" t="s">
        <v>171</v>
      </c>
      <c r="H14748" s="5">
        <v>73.229600</v>
      </c>
    </row>
    <row r="14749" spans="1:9">
      <c r="A14749" s="22" t="str">
        <f>HYPERLINK("https://app.vivvix.com/360/KMI/IntelliDrive/ApplUI/Pages/CreativePages/CustomReportCreativeDetail.aspx?App=23&amp;ReportView=4&amp;Qid=1711279&amp;Row=14741&amp;Col=1","No Title Assigned - #15274329234")</f>
        <v/>
      </c>
      <c r="B14749" s="0" t="s">
        <v>19610</v>
      </c>
      <c r="E14749" s="0" t="inlineStr">
        <is>
          <t xml:space="preserve">Mazda</t>
        </is>
      </c>
      <c r="F14749" s="0" t="inlineStr">
        <is>
          <t xml:space="preserve">Mazda</t>
        </is>
      </c>
      <c r="G14749" s="0" t="s">
        <v>171</v>
      </c>
      <c r="H14749" s="5">
        <v>90.421500</v>
      </c>
    </row>
    <row r="14750" spans="1:9">
      <c r="A14750" s="22" t="str">
        <f>HYPERLINK("https://app.vivvix.com/360/KMI/IntelliDrive/ApplUI/Pages/CreativePages/CustomReportCreativeDetail.aspx?App=23&amp;ReportView=4&amp;Qid=1711279&amp;Row=14742&amp;Col=1","No Title Assigned - #15274329246")</f>
        <v/>
      </c>
      <c r="B14750" s="0" t="s">
        <v>19611</v>
      </c>
      <c r="E14750" s="0" t="inlineStr">
        <is>
          <t xml:space="preserve">Mazda</t>
        </is>
      </c>
      <c r="F14750" s="0" t="inlineStr">
        <is>
          <t xml:space="preserve">Mazda</t>
        </is>
      </c>
      <c r="G14750" s="0" t="s">
        <v>171</v>
      </c>
      <c r="H14750" s="5">
        <v>105.768600</v>
      </c>
    </row>
    <row r="14751" spans="1:9">
      <c r="A14751" s="22" t="str">
        <f>HYPERLINK("https://app.vivvix.com/360/KMI/IntelliDrive/ApplUI/Pages/CreativePages/CustomReportCreativeDetail.aspx?App=23&amp;ReportView=4&amp;Qid=1711279&amp;Row=14743&amp;Col=1","No Title Assigned - #15274329261")</f>
        <v/>
      </c>
      <c r="B14751" s="0" t="s">
        <v>19612</v>
      </c>
      <c r="E14751" s="0" t="inlineStr">
        <is>
          <t xml:space="preserve">Mazda</t>
        </is>
      </c>
      <c r="F14751" s="0" t="inlineStr">
        <is>
          <t xml:space="preserve">Mazda</t>
        </is>
      </c>
      <c r="G14751" s="0" t="s">
        <v>171</v>
      </c>
      <c r="H14751" s="5">
        <v>9.089100</v>
      </c>
    </row>
    <row r="14752" spans="1:9">
      <c r="A14752" s="22" t="str">
        <f>HYPERLINK("https://app.vivvix.com/360/KMI/IntelliDrive/ApplUI/Pages/CreativePages/CustomReportCreativeDetail.aspx?App=23&amp;ReportView=4&amp;Qid=1711279&amp;Row=14744&amp;Col=1","No Title Assigned - #15274329480")</f>
        <v/>
      </c>
      <c r="B14752" s="0" t="s">
        <v>19613</v>
      </c>
      <c r="E14752" s="0" t="inlineStr">
        <is>
          <t xml:space="preserve">Mazda</t>
        </is>
      </c>
      <c r="F14752" s="0" t="inlineStr">
        <is>
          <t xml:space="preserve">Mazda</t>
        </is>
      </c>
      <c r="G14752" s="0" t="s">
        <v>171</v>
      </c>
      <c r="H14752" s="5">
        <v>476.729000</v>
      </c>
    </row>
    <row r="14753" spans="1:9">
      <c r="A14753" s="22" t="str">
        <f>HYPERLINK("https://app.vivvix.com/360/KMI/IntelliDrive/ApplUI/Pages/CreativePages/CustomReportCreativeDetail.aspx?App=23&amp;ReportView=4&amp;Qid=1711279&amp;Row=14745&amp;Col=1","No Title Assigned - #15274329573")</f>
        <v/>
      </c>
      <c r="B14753" s="0" t="s">
        <v>19614</v>
      </c>
      <c r="E14753" s="0" t="inlineStr">
        <is>
          <t xml:space="preserve">Mazda</t>
        </is>
      </c>
      <c r="F14753" s="0" t="inlineStr">
        <is>
          <t xml:space="preserve">Mazda</t>
        </is>
      </c>
      <c r="G14753" s="0" t="s">
        <v>171</v>
      </c>
      <c r="H14753" s="5">
        <v>18.789000</v>
      </c>
    </row>
    <row r="14754" spans="1:9">
      <c r="A14754" s="22" t="str">
        <f>HYPERLINK("https://app.vivvix.com/360/KMI/IntelliDrive/ApplUI/Pages/CreativePages/CustomReportCreativeDetail.aspx?App=23&amp;ReportView=4&amp;Qid=1711279&amp;Row=14746&amp;Col=1","No Title Assigned - #15274329622")</f>
        <v/>
      </c>
      <c r="B14754" s="0" t="s">
        <v>19615</v>
      </c>
      <c r="E14754" s="0" t="inlineStr">
        <is>
          <t xml:space="preserve">Mazda</t>
        </is>
      </c>
      <c r="F14754" s="0" t="inlineStr">
        <is>
          <t xml:space="preserve">Mazda</t>
        </is>
      </c>
      <c r="G14754" s="0" t="s">
        <v>171</v>
      </c>
      <c r="H14754" s="5">
        <v>13.775300</v>
      </c>
    </row>
    <row r="14755" spans="1:9">
      <c r="A14755" s="22" t="str">
        <f>HYPERLINK("https://app.vivvix.com/360/KMI/IntelliDrive/ApplUI/Pages/CreativePages/CustomReportCreativeDetail.aspx?App=23&amp;ReportView=4&amp;Qid=1711279&amp;Row=14747&amp;Col=1","No Title Assigned - #15274329783")</f>
        <v/>
      </c>
      <c r="B14755" s="0" t="s">
        <v>19616</v>
      </c>
      <c r="C14755" s="0" t="s">
        <v>19617</v>
      </c>
      <c r="D14755" s="0" t="s">
        <v>19617</v>
      </c>
      <c r="E14755" s="0" t="inlineStr">
        <is>
          <t xml:space="preserve">Mazda</t>
        </is>
      </c>
      <c r="F14755" s="0" t="s">
        <v>13</v>
      </c>
      <c r="G14755" s="0" t="s">
        <v>49</v>
      </c>
      <c r="H14755" s="5">
        <v>294.071600</v>
      </c>
    </row>
    <row r="14756" spans="1:9">
      <c r="A14756" s="22" t="str">
        <f>HYPERLINK("https://app.vivvix.com/360/KMI/IntelliDrive/ApplUI/Pages/CreativePages/CustomReportCreativeDetail.aspx?App=23&amp;ReportView=4&amp;Qid=1711279&amp;Row=14748&amp;Col=1","No Title Assigned - #15274329870")</f>
        <v/>
      </c>
      <c r="B14756" s="0" t="s">
        <v>19618</v>
      </c>
      <c r="E14756" s="0" t="inlineStr">
        <is>
          <t xml:space="preserve">Mazda</t>
        </is>
      </c>
      <c r="F14756" s="0" t="inlineStr">
        <is>
          <t xml:space="preserve">Mazda</t>
        </is>
      </c>
      <c r="G14756" s="0" t="s">
        <v>171</v>
      </c>
      <c r="H14756" s="5">
        <v>13.775300</v>
      </c>
    </row>
    <row r="14757" spans="1:9">
      <c r="A14757" s="22" t="str">
        <f>HYPERLINK("https://app.vivvix.com/360/KMI/IntelliDrive/ApplUI/Pages/CreativePages/CustomReportCreativeDetail.aspx?App=23&amp;ReportView=4&amp;Qid=1711279&amp;Row=14749&amp;Col=1","No Title Assigned - #15274329933")</f>
        <v/>
      </c>
      <c r="B14757" s="0" t="s">
        <v>19619</v>
      </c>
      <c r="E14757" s="0" t="inlineStr">
        <is>
          <t xml:space="preserve">Mazda</t>
        </is>
      </c>
      <c r="F14757" s="0" t="inlineStr">
        <is>
          <t xml:space="preserve">Mazda</t>
        </is>
      </c>
      <c r="G14757" s="0" t="s">
        <v>171</v>
      </c>
      <c r="H14757" s="5">
        <v>26.233100</v>
      </c>
    </row>
    <row r="14758" spans="1:9">
      <c r="A14758" s="22" t="str">
        <f>HYPERLINK("https://app.vivvix.com/360/KMI/IntelliDrive/ApplUI/Pages/CreativePages/CustomReportCreativeDetail.aspx?App=23&amp;ReportView=4&amp;Qid=1711279&amp;Row=14750&amp;Col=1","No Title Assigned - #15274329942")</f>
        <v/>
      </c>
      <c r="B14758" s="0" t="s">
        <v>19620</v>
      </c>
      <c r="C14758" s="0" t="s">
        <v>19621</v>
      </c>
      <c r="D14758" s="0" t="s">
        <v>19621</v>
      </c>
      <c r="E14758" s="0" t="inlineStr">
        <is>
          <t xml:space="preserve">Mazda</t>
        </is>
      </c>
      <c r="F14758" s="0" t="inlineStr">
        <is>
          <t xml:space="preserve">Mazda</t>
        </is>
      </c>
      <c r="G14758" s="0" t="s">
        <v>171</v>
      </c>
      <c r="H14758" s="5">
        <v>115.294400</v>
      </c>
    </row>
    <row r="14759" spans="1:9">
      <c r="A14759" s="22" t="str">
        <f>HYPERLINK("https://app.vivvix.com/360/KMI/IntelliDrive/ApplUI/Pages/CreativePages/CustomReportCreativeDetail.aspx?App=23&amp;ReportView=4&amp;Qid=1711279&amp;Row=14751&amp;Col=1","No Title Assigned - #15274330257")</f>
        <v/>
      </c>
      <c r="B14759" s="0" t="s">
        <v>19622</v>
      </c>
      <c r="E14759" s="0" t="inlineStr">
        <is>
          <t xml:space="preserve">Mazda</t>
        </is>
      </c>
      <c r="F14759" s="0" t="inlineStr">
        <is>
          <t xml:space="preserve">Mazda</t>
        </is>
      </c>
      <c r="G14759" s="0" t="s">
        <v>171</v>
      </c>
      <c r="H14759" s="5">
        <v>24.686800</v>
      </c>
    </row>
    <row r="14760" spans="1:9">
      <c r="A14760" s="22" t="str">
        <f>HYPERLINK("https://app.vivvix.com/360/KMI/IntelliDrive/ApplUI/Pages/CreativePages/CustomReportCreativeDetail.aspx?App=23&amp;ReportView=4&amp;Qid=1711279&amp;Row=14752&amp;Col=1","No Title Assigned - #15274330814")</f>
        <v/>
      </c>
      <c r="B14760" s="0" t="s">
        <v>19623</v>
      </c>
      <c r="E14760" s="0" t="inlineStr">
        <is>
          <t xml:space="preserve">Mazda</t>
        </is>
      </c>
      <c r="F14760" s="0" t="inlineStr">
        <is>
          <t xml:space="preserve">Mazda</t>
        </is>
      </c>
      <c r="G14760" s="0" t="s">
        <v>171</v>
      </c>
      <c r="H14760" s="5">
        <v>8.937000</v>
      </c>
    </row>
    <row r="14761" spans="1:9">
      <c r="A14761" s="22" t="str">
        <f>HYPERLINK("https://app.vivvix.com/360/KMI/IntelliDrive/ApplUI/Pages/CreativePages/CustomReportCreativeDetail.aspx?App=23&amp;ReportView=4&amp;Qid=1711279&amp;Row=14753&amp;Col=1","No Title Assigned - #15274331527")</f>
        <v/>
      </c>
      <c r="B14761" s="0" t="s">
        <v>19624</v>
      </c>
      <c r="E14761" s="0" t="inlineStr">
        <is>
          <t xml:space="preserve">Mazda</t>
        </is>
      </c>
      <c r="F14761" s="0" t="inlineStr">
        <is>
          <t xml:space="preserve">Mazda</t>
        </is>
      </c>
      <c r="G14761" s="0" t="s">
        <v>171</v>
      </c>
      <c r="H14761" s="5">
        <v>1311.504400</v>
      </c>
    </row>
    <row r="14762" spans="1:9">
      <c r="A14762" s="22" t="str">
        <f>HYPERLINK("https://app.vivvix.com/360/KMI/IntelliDrive/ApplUI/Pages/CreativePages/CustomReportCreativeDetail.aspx?App=23&amp;ReportView=4&amp;Qid=1711279&amp;Row=14754&amp;Col=1","No Title Assigned - #15274332399")</f>
        <v/>
      </c>
      <c r="B14762" s="0" t="s">
        <v>19625</v>
      </c>
      <c r="E14762" s="0" t="inlineStr">
        <is>
          <t xml:space="preserve">Mazda</t>
        </is>
      </c>
      <c r="F14762" s="0" t="inlineStr">
        <is>
          <t xml:space="preserve">Mazda</t>
        </is>
      </c>
      <c r="G14762" s="0" t="s">
        <v>171</v>
      </c>
      <c r="H14762" s="5">
        <v>8909.798300</v>
      </c>
    </row>
    <row r="14763" spans="1:9">
      <c r="A14763" s="22" t="str">
        <f>HYPERLINK("https://app.vivvix.com/360/KMI/IntelliDrive/ApplUI/Pages/CreativePages/CustomReportCreativeDetail.aspx?App=23&amp;ReportView=4&amp;Qid=1711279&amp;Row=14755&amp;Col=1","No Title Assigned - #15274332399")</f>
        <v/>
      </c>
      <c r="B14763" s="0" t="s">
        <v>19625</v>
      </c>
      <c r="E14763" s="0" t="inlineStr">
        <is>
          <t xml:space="preserve">Mazda</t>
        </is>
      </c>
      <c r="F14763" s="0" t="inlineStr">
        <is>
          <t xml:space="preserve">Mazda</t>
        </is>
      </c>
      <c r="G14763" s="0" t="s">
        <v>171</v>
      </c>
      <c r="H14763" s="5">
        <v>15360.147800</v>
      </c>
    </row>
    <row r="14764" spans="1:9">
      <c r="A14764" s="22" t="str">
        <f>HYPERLINK("https://app.vivvix.com/360/KMI/IntelliDrive/ApplUI/Pages/CreativePages/CustomReportCreativeDetail.aspx?App=23&amp;ReportView=4&amp;Qid=1711279&amp;Row=14756&amp;Col=1","No Title Assigned - #15274332441")</f>
        <v/>
      </c>
      <c r="B14764" s="0" t="s">
        <v>19626</v>
      </c>
      <c r="E14764" s="0" t="inlineStr">
        <is>
          <t xml:space="preserve">Mazda</t>
        </is>
      </c>
      <c r="F14764" s="0" t="inlineStr">
        <is>
          <t xml:space="preserve">Mazda</t>
        </is>
      </c>
      <c r="G14764" s="0" t="s">
        <v>171</v>
      </c>
      <c r="H14764" s="5">
        <v>13.183800</v>
      </c>
    </row>
    <row r="14765" spans="1:9">
      <c r="A14765" s="22" t="str">
        <f>HYPERLINK("https://app.vivvix.com/360/KMI/IntelliDrive/ApplUI/Pages/CreativePages/CustomReportCreativeDetail.aspx?App=23&amp;ReportView=4&amp;Qid=1711279&amp;Row=14757&amp;Col=1","No Title Assigned - #15274333707")</f>
        <v/>
      </c>
      <c r="B14765" s="0" t="s">
        <v>19627</v>
      </c>
      <c r="C14765" s="0" t="s">
        <v>19628</v>
      </c>
      <c r="D14765" s="0" t="s">
        <v>19628</v>
      </c>
      <c r="E14765" s="0" t="inlineStr">
        <is>
          <t xml:space="preserve">Mazda</t>
        </is>
      </c>
      <c r="F14765" s="0" t="inlineStr">
        <is>
          <t xml:space="preserve">Mazda</t>
        </is>
      </c>
      <c r="G14765" s="0" t="s">
        <v>171</v>
      </c>
      <c r="H14765" s="5">
        <v>669.208800</v>
      </c>
    </row>
    <row r="14766" spans="1:9">
      <c r="A14766" s="22" t="str">
        <f>HYPERLINK("https://app.vivvix.com/360/KMI/IntelliDrive/ApplUI/Pages/CreativePages/CustomReportCreativeDetail.aspx?App=23&amp;ReportView=4&amp;Qid=1711279&amp;Row=14758&amp;Col=1","No Title Assigned - #15274333707")</f>
        <v/>
      </c>
      <c r="B14766" s="0" t="s">
        <v>19627</v>
      </c>
      <c r="E14766" s="0" t="inlineStr">
        <is>
          <t xml:space="preserve">Mazda</t>
        </is>
      </c>
      <c r="F14766" s="0" t="inlineStr">
        <is>
          <t xml:space="preserve">Mazda</t>
        </is>
      </c>
      <c r="G14766" s="0" t="s">
        <v>171</v>
      </c>
      <c r="H14766" s="5">
        <v>487.535600</v>
      </c>
    </row>
    <row r="14767" spans="1:9">
      <c r="A14767" s="22" t="str">
        <f>HYPERLINK("https://app.vivvix.com/360/KMI/IntelliDrive/ApplUI/Pages/CreativePages/CustomReportCreativeDetail.aspx?App=23&amp;ReportView=4&amp;Qid=1711279&amp;Row=14759&amp;Col=1","No Title Assigned - #15274334722")</f>
        <v/>
      </c>
      <c r="B14767" s="0" t="s">
        <v>19629</v>
      </c>
      <c r="E14767" s="0" t="inlineStr">
        <is>
          <t xml:space="preserve">Mazda</t>
        </is>
      </c>
      <c r="F14767" s="0" t="inlineStr">
        <is>
          <t xml:space="preserve">Mazda</t>
        </is>
      </c>
      <c r="G14767" s="0" t="s">
        <v>171</v>
      </c>
      <c r="H14767" s="5">
        <v>254.300100</v>
      </c>
    </row>
    <row r="14768" spans="1:9">
      <c r="A14768" s="22" t="str">
        <f>HYPERLINK("https://app.vivvix.com/360/KMI/IntelliDrive/ApplUI/Pages/CreativePages/CustomReportCreativeDetail.aspx?App=23&amp;ReportView=4&amp;Qid=1711279&amp;Row=14760&amp;Col=1","No Title Assigned - #15274334724")</f>
        <v/>
      </c>
      <c r="B14768" s="0" t="s">
        <v>19630</v>
      </c>
      <c r="C14768" s="0" t="s">
        <v>19631</v>
      </c>
      <c r="D14768" s="0" t="s">
        <v>19631</v>
      </c>
      <c r="E14768" s="0" t="inlineStr">
        <is>
          <t xml:space="preserve">Mazda</t>
        </is>
      </c>
      <c r="F14768" s="0" t="inlineStr">
        <is>
          <t xml:space="preserve">Mazda</t>
        </is>
      </c>
      <c r="G14768" s="0" t="s">
        <v>171</v>
      </c>
      <c r="H14768" s="5">
        <v>622.407100</v>
      </c>
    </row>
    <row r="14769" spans="1:9">
      <c r="A14769" s="22" t="str">
        <f>HYPERLINK("https://app.vivvix.com/360/KMI/IntelliDrive/ApplUI/Pages/CreativePages/CustomReportCreativeDetail.aspx?App=23&amp;ReportView=4&amp;Qid=1711279&amp;Row=14761&amp;Col=1","No Title Assigned - #15274335611")</f>
        <v/>
      </c>
      <c r="B14769" s="0" t="s">
        <v>19632</v>
      </c>
      <c r="E14769" s="0" t="inlineStr">
        <is>
          <t xml:space="preserve">Mazda</t>
        </is>
      </c>
      <c r="F14769" s="0" t="inlineStr">
        <is>
          <t xml:space="preserve">Mazda</t>
        </is>
      </c>
      <c r="G14769" s="0" t="s">
        <v>171</v>
      </c>
      <c r="H14769" s="5">
        <v>5341.775100</v>
      </c>
    </row>
    <row r="14770" spans="1:9">
      <c r="A14770" s="22" t="str">
        <f>HYPERLINK("https://app.vivvix.com/360/KMI/IntelliDrive/ApplUI/Pages/CreativePages/CustomReportCreativeDetail.aspx?App=23&amp;ReportView=4&amp;Qid=1711279&amp;Row=14762&amp;Col=1","No Title Assigned - #15274335611")</f>
        <v/>
      </c>
      <c r="B14770" s="0" t="s">
        <v>19632</v>
      </c>
      <c r="E14770" s="0" t="inlineStr">
        <is>
          <t xml:space="preserve">Mazda</t>
        </is>
      </c>
      <c r="F14770" s="0" t="inlineStr">
        <is>
          <t xml:space="preserve">Mazda</t>
        </is>
      </c>
      <c r="G14770" s="0" t="s">
        <v>171</v>
      </c>
      <c r="H14770" s="5">
        <v>2314.945100</v>
      </c>
    </row>
    <row r="14771" spans="1:9">
      <c r="A14771" s="22" t="str">
        <f>HYPERLINK("https://app.vivvix.com/360/KMI/IntelliDrive/ApplUI/Pages/CreativePages/CustomReportCreativeDetail.aspx?App=23&amp;ReportView=4&amp;Qid=1711279&amp;Row=14763&amp;Col=1","No Title Assigned - #15274335677")</f>
        <v/>
      </c>
      <c r="B14771" s="0" t="s">
        <v>19633</v>
      </c>
      <c r="E14771" s="0" t="inlineStr">
        <is>
          <t xml:space="preserve">Mazda</t>
        </is>
      </c>
      <c r="F14771" s="0" t="inlineStr">
        <is>
          <t xml:space="preserve">Mazda</t>
        </is>
      </c>
      <c r="G14771" s="0" t="s">
        <v>171</v>
      </c>
      <c r="H14771" s="5">
        <v>2308.212400</v>
      </c>
    </row>
    <row r="14772" spans="1:9">
      <c r="A14772" s="22" t="str">
        <f>HYPERLINK("https://app.vivvix.com/360/KMI/IntelliDrive/ApplUI/Pages/CreativePages/CustomReportCreativeDetail.aspx?App=23&amp;ReportView=4&amp;Qid=1711279&amp;Row=14764&amp;Col=1","No Title Assigned - #15274336070")</f>
        <v/>
      </c>
      <c r="B14772" s="0" t="s">
        <v>19634</v>
      </c>
      <c r="C14772" s="0" t="s">
        <v>19635</v>
      </c>
      <c r="D14772" s="0" t="s">
        <v>19635</v>
      </c>
      <c r="E14772" s="0" t="inlineStr">
        <is>
          <t xml:space="preserve">Mazda</t>
        </is>
      </c>
      <c r="F14772" s="0" t="s">
        <v>13</v>
      </c>
      <c r="G14772" s="0" t="s">
        <v>49</v>
      </c>
      <c r="H14772" s="5">
        <v>85.299000</v>
      </c>
    </row>
    <row r="14773" spans="1:9">
      <c r="A14773" s="22" t="str">
        <f>HYPERLINK("https://app.vivvix.com/360/KMI/IntelliDrive/ApplUI/Pages/CreativePages/CustomReportCreativeDetail.aspx?App=23&amp;ReportView=4&amp;Qid=1711279&amp;Row=14765&amp;Col=1","No Title Assigned - #15274336517")</f>
        <v/>
      </c>
      <c r="B14773" s="0" t="s">
        <v>19636</v>
      </c>
      <c r="E14773" s="0" t="inlineStr">
        <is>
          <t xml:space="preserve">Mazda</t>
        </is>
      </c>
      <c r="F14773" s="0" t="inlineStr">
        <is>
          <t xml:space="preserve">Mazda</t>
        </is>
      </c>
      <c r="G14773" s="0" t="s">
        <v>171</v>
      </c>
      <c r="H14773" s="5">
        <v>158.499500</v>
      </c>
    </row>
    <row r="14774" spans="1:9">
      <c r="A14774" s="22" t="str">
        <f>HYPERLINK("https://app.vivvix.com/360/KMI/IntelliDrive/ApplUI/Pages/CreativePages/CustomReportCreativeDetail.aspx?App=23&amp;ReportView=4&amp;Qid=1711279&amp;Row=14766&amp;Col=1","No Title Assigned - #15274338971")</f>
        <v/>
      </c>
      <c r="B14774" s="0" t="s">
        <v>19637</v>
      </c>
      <c r="E14774" s="0" t="inlineStr">
        <is>
          <t xml:space="preserve">Mazda</t>
        </is>
      </c>
      <c r="F14774" s="0" t="inlineStr">
        <is>
          <t xml:space="preserve">Mazda</t>
        </is>
      </c>
      <c r="G14774" s="0" t="s">
        <v>171</v>
      </c>
      <c r="H14774" s="5">
        <v>17.453800</v>
      </c>
    </row>
    <row r="14775" spans="1:9">
      <c r="A14775" s="22" t="str">
        <f>HYPERLINK("https://app.vivvix.com/360/KMI/IntelliDrive/ApplUI/Pages/CreativePages/CustomReportCreativeDetail.aspx?App=23&amp;ReportView=4&amp;Qid=1711279&amp;Row=14767&amp;Col=1","No Title Assigned - #15274341838")</f>
        <v/>
      </c>
      <c r="B14775" s="0" t="s">
        <v>19638</v>
      </c>
      <c r="C14775" s="0" t="s">
        <v>19639</v>
      </c>
      <c r="D14775" s="0" t="s">
        <v>19639</v>
      </c>
      <c r="E14775" s="0" t="inlineStr">
        <is>
          <t xml:space="preserve">Mazda</t>
        </is>
      </c>
      <c r="F14775" s="0" t="inlineStr">
        <is>
          <t xml:space="preserve">Mazda</t>
        </is>
      </c>
      <c r="G14775" s="0" t="s">
        <v>171</v>
      </c>
      <c r="H14775" s="5">
        <v>494.598600</v>
      </c>
    </row>
    <row r="14776" spans="1:9">
      <c r="A14776" s="22" t="str">
        <f>HYPERLINK("https://app.vivvix.com/360/KMI/IntelliDrive/ApplUI/Pages/CreativePages/CustomReportCreativeDetail.aspx?App=23&amp;ReportView=4&amp;Qid=1711279&amp;Row=14768&amp;Col=1","No Title Assigned - #15274343035")</f>
        <v/>
      </c>
      <c r="B14776" s="0" t="s">
        <v>19640</v>
      </c>
      <c r="E14776" s="0" t="inlineStr">
        <is>
          <t xml:space="preserve">Mazda</t>
        </is>
      </c>
      <c r="F14776" s="0" t="inlineStr">
        <is>
          <t xml:space="preserve">Mazda</t>
        </is>
      </c>
      <c r="G14776" s="0" t="s">
        <v>171</v>
      </c>
      <c r="H14776" s="5">
        <v>587.504300</v>
      </c>
    </row>
    <row r="14777" spans="1:9">
      <c r="A14777" s="22" t="str">
        <f>HYPERLINK("https://app.vivvix.com/360/KMI/IntelliDrive/ApplUI/Pages/CreativePages/CustomReportCreativeDetail.aspx?App=23&amp;ReportView=4&amp;Qid=1711279&amp;Row=14769&amp;Col=1","No Title Assigned - #15274343116")</f>
        <v/>
      </c>
      <c r="B14777" s="0" t="s">
        <v>19641</v>
      </c>
      <c r="E14777" s="0" t="inlineStr">
        <is>
          <t xml:space="preserve">Mazda</t>
        </is>
      </c>
      <c r="F14777" s="0" t="inlineStr">
        <is>
          <t xml:space="preserve">Mazda</t>
        </is>
      </c>
      <c r="G14777" s="0" t="s">
        <v>171</v>
      </c>
      <c r="H14777" s="5">
        <v>27.806800</v>
      </c>
    </row>
    <row r="14778" spans="1:9">
      <c r="A14778" s="22" t="str">
        <f>HYPERLINK("https://app.vivvix.com/360/KMI/IntelliDrive/ApplUI/Pages/CreativePages/CustomReportCreativeDetail.aspx?App=23&amp;ReportView=4&amp;Qid=1711279&amp;Row=14770&amp;Col=1","No Title Assigned - #15274343148")</f>
        <v/>
      </c>
      <c r="B14778" s="0" t="s">
        <v>19642</v>
      </c>
      <c r="E14778" s="0" t="inlineStr">
        <is>
          <t xml:space="preserve">Mazda</t>
        </is>
      </c>
      <c r="F14778" s="0" t="inlineStr">
        <is>
          <t xml:space="preserve">Mazda</t>
        </is>
      </c>
      <c r="G14778" s="0" t="s">
        <v>171</v>
      </c>
      <c r="H14778" s="5">
        <v>22.008900</v>
      </c>
    </row>
    <row r="14779" spans="1:9">
      <c r="A14779" s="22" t="str">
        <f>HYPERLINK("https://app.vivvix.com/360/KMI/IntelliDrive/ApplUI/Pages/CreativePages/CustomReportCreativeDetail.aspx?App=23&amp;ReportView=4&amp;Qid=1711279&amp;Row=14771&amp;Col=1","No Title Assigned - #15274343806")</f>
        <v/>
      </c>
      <c r="B14779" s="0" t="s">
        <v>19643</v>
      </c>
      <c r="E14779" s="0" t="inlineStr">
        <is>
          <t xml:space="preserve">Mazda</t>
        </is>
      </c>
      <c r="F14779" s="0" t="inlineStr">
        <is>
          <t xml:space="preserve">Mazda</t>
        </is>
      </c>
      <c r="G14779" s="0" t="s">
        <v>171</v>
      </c>
      <c r="H14779" s="5">
        <v>618.154800</v>
      </c>
    </row>
    <row r="14780" spans="1:9">
      <c r="A14780" s="22" t="str">
        <f>HYPERLINK("https://app.vivvix.com/360/KMI/IntelliDrive/ApplUI/Pages/CreativePages/CustomReportCreativeDetail.aspx?App=23&amp;ReportView=4&amp;Qid=1711279&amp;Row=14772&amp;Col=1","No Title Assigned - #15274344098")</f>
        <v/>
      </c>
      <c r="B14780" s="0" t="s">
        <v>19644</v>
      </c>
      <c r="E14780" s="0" t="inlineStr">
        <is>
          <t xml:space="preserve">Mazda</t>
        </is>
      </c>
      <c r="F14780" s="0" t="inlineStr">
        <is>
          <t xml:space="preserve">Mazda</t>
        </is>
      </c>
      <c r="G14780" s="0" t="s">
        <v>171</v>
      </c>
      <c r="H14780" s="5">
        <v>365.178700</v>
      </c>
    </row>
    <row r="14781" spans="1:9">
      <c r="A14781" s="22" t="str">
        <f>HYPERLINK("https://app.vivvix.com/360/KMI/IntelliDrive/ApplUI/Pages/CreativePages/CustomReportCreativeDetail.aspx?App=23&amp;ReportView=4&amp;Qid=1711279&amp;Row=14773&amp;Col=1","No Title Assigned - #15274344884")</f>
        <v/>
      </c>
      <c r="B14781" s="0" t="s">
        <v>19645</v>
      </c>
      <c r="E14781" s="0" t="inlineStr">
        <is>
          <t xml:space="preserve">Mazda</t>
        </is>
      </c>
      <c r="F14781" s="0" t="inlineStr">
        <is>
          <t xml:space="preserve">Mazda</t>
        </is>
      </c>
      <c r="G14781" s="0" t="s">
        <v>171</v>
      </c>
      <c r="H14781" s="5">
        <v>13.867800</v>
      </c>
    </row>
    <row r="14782" spans="1:9">
      <c r="A14782" s="22" t="str">
        <f>HYPERLINK("https://app.vivvix.com/360/KMI/IntelliDrive/ApplUI/Pages/CreativePages/CustomReportCreativeDetail.aspx?App=23&amp;ReportView=4&amp;Qid=1711279&amp;Row=14774&amp;Col=1","No Title Assigned - #15274350111")</f>
        <v/>
      </c>
      <c r="B14782" s="0" t="s">
        <v>19646</v>
      </c>
      <c r="E14782" s="0" t="inlineStr">
        <is>
          <t xml:space="preserve">Mazda</t>
        </is>
      </c>
      <c r="F14782" s="0" t="inlineStr">
        <is>
          <t xml:space="preserve">Mazda</t>
        </is>
      </c>
      <c r="G14782" s="0" t="s">
        <v>171</v>
      </c>
      <c r="H14782" s="5">
        <v>1604.588800</v>
      </c>
    </row>
    <row r="14783" spans="1:9">
      <c r="A14783" s="22" t="str">
        <f>HYPERLINK("https://app.vivvix.com/360/KMI/IntelliDrive/ApplUI/Pages/CreativePages/CustomReportCreativeDetail.aspx?App=23&amp;ReportView=4&amp;Qid=1711279&amp;Row=14775&amp;Col=1","No Title Assigned - #15274352383")</f>
        <v/>
      </c>
      <c r="B14783" s="0" t="s">
        <v>19647</v>
      </c>
      <c r="E14783" s="0" t="inlineStr">
        <is>
          <t xml:space="preserve">Mazda</t>
        </is>
      </c>
      <c r="F14783" s="0" t="inlineStr">
        <is>
          <t xml:space="preserve">Mazda</t>
        </is>
      </c>
      <c r="G14783" s="0" t="s">
        <v>171</v>
      </c>
      <c r="H14783" s="5">
        <v>5042.313500</v>
      </c>
    </row>
    <row r="14784" spans="1:9">
      <c r="A14784" s="22" t="str">
        <f>HYPERLINK("https://app.vivvix.com/360/KMI/IntelliDrive/ApplUI/Pages/CreativePages/CustomReportCreativeDetail.aspx?App=23&amp;ReportView=4&amp;Qid=1711279&amp;Row=14776&amp;Col=1","No Title Assigned - #15274353806")</f>
        <v/>
      </c>
      <c r="B14784" s="0" t="s">
        <v>19648</v>
      </c>
      <c r="C14784" s="0" t="s">
        <v>19649</v>
      </c>
      <c r="D14784" s="0" t="s">
        <v>19649</v>
      </c>
      <c r="E14784" s="0" t="inlineStr">
        <is>
          <t xml:space="preserve">Mazda</t>
        </is>
      </c>
      <c r="F14784" s="0" t="s">
        <v>13</v>
      </c>
      <c r="G14784" s="0" t="s">
        <v>49</v>
      </c>
      <c r="H14784" s="5">
        <v>1494.961100</v>
      </c>
    </row>
    <row r="14785" spans="1:9">
      <c r="A14785" s="22" t="str">
        <f>HYPERLINK("https://app.vivvix.com/360/KMI/IntelliDrive/ApplUI/Pages/CreativePages/CustomReportCreativeDetail.aspx?App=23&amp;ReportView=4&amp;Qid=1711279&amp;Row=14777&amp;Col=1","No Title Assigned - #15274353918")</f>
        <v/>
      </c>
      <c r="B14785" s="0" t="s">
        <v>19650</v>
      </c>
      <c r="C14785" s="0" t="s">
        <v>19651</v>
      </c>
      <c r="D14785" s="0" t="s">
        <v>19651</v>
      </c>
      <c r="E14785" s="0" t="inlineStr">
        <is>
          <t xml:space="preserve">Mazda</t>
        </is>
      </c>
      <c r="F14785" s="0" t="s">
        <v>13</v>
      </c>
      <c r="G14785" s="0" t="s">
        <v>49</v>
      </c>
      <c r="H14785" s="5">
        <v>490.307000</v>
      </c>
    </row>
    <row r="14786" spans="1:9">
      <c r="A14786" s="22" t="str">
        <f>HYPERLINK("https://app.vivvix.com/360/KMI/IntelliDrive/ApplUI/Pages/CreativePages/CustomReportCreativeDetail.aspx?App=23&amp;ReportView=4&amp;Qid=1711279&amp;Row=14778&amp;Col=1","No Title Assigned - #15274355031")</f>
        <v/>
      </c>
      <c r="B14786" s="0" t="s">
        <v>19652</v>
      </c>
      <c r="C14786" s="0" t="s">
        <v>19653</v>
      </c>
      <c r="D14786" s="0" t="s">
        <v>19653</v>
      </c>
      <c r="E14786" s="0" t="inlineStr">
        <is>
          <t xml:space="preserve">Mazda</t>
        </is>
      </c>
      <c r="F14786" s="0" t="s">
        <v>13</v>
      </c>
      <c r="G14786" s="0" t="s">
        <v>49</v>
      </c>
      <c r="H14786" s="5">
        <v>4.858000</v>
      </c>
    </row>
    <row r="14787" spans="1:9">
      <c r="A14787" s="22" t="str">
        <f>HYPERLINK("https://app.vivvix.com/360/KMI/IntelliDrive/ApplUI/Pages/CreativePages/CustomReportCreativeDetail.aspx?App=23&amp;ReportView=4&amp;Qid=1711279&amp;Row=14779&amp;Col=1","No Title Assigned - #15274357667")</f>
        <v/>
      </c>
      <c r="B14787" s="0" t="s">
        <v>19654</v>
      </c>
      <c r="C14787" s="0" t="s">
        <v>19655</v>
      </c>
      <c r="D14787" s="0" t="s">
        <v>6238</v>
      </c>
      <c r="E14787" s="0" t="inlineStr">
        <is>
          <t xml:space="preserve">Mazda</t>
        </is>
      </c>
      <c r="F14787" s="0" t="s">
        <v>13</v>
      </c>
      <c r="G14787" s="0" t="s">
        <v>49</v>
      </c>
      <c r="H14787" s="5">
        <v>201.190000</v>
      </c>
    </row>
    <row r="14788" spans="1:9">
      <c r="A14788" s="22" t="str">
        <f>HYPERLINK("https://app.vivvix.com/360/KMI/IntelliDrive/ApplUI/Pages/CreativePages/CustomReportCreativeDetail.aspx?App=23&amp;ReportView=4&amp;Qid=1711279&amp;Row=14780&amp;Col=1","No Title Assigned - #15274359275")</f>
        <v/>
      </c>
      <c r="B14788" s="0" t="s">
        <v>19656</v>
      </c>
      <c r="C14788" s="0" t="s">
        <v>19657</v>
      </c>
      <c r="D14788" s="0" t="s">
        <v>16579</v>
      </c>
      <c r="E14788" s="0" t="inlineStr">
        <is>
          <t xml:space="preserve">Mazda</t>
        </is>
      </c>
      <c r="F14788" s="0" t="s">
        <v>28</v>
      </c>
      <c r="G14788" s="0" t="s">
        <v>29</v>
      </c>
      <c r="H14788" s="5">
        <v>730.373300</v>
      </c>
    </row>
    <row r="14789" spans="1:9">
      <c r="A14789" s="22" t="str">
        <f>HYPERLINK("https://app.vivvix.com/360/KMI/IntelliDrive/ApplUI/Pages/CreativePages/CustomReportCreativeDetail.aspx?App=23&amp;ReportView=4&amp;Qid=1711279&amp;Row=14781&amp;Col=1","No Title Assigned - #15274360249")</f>
        <v/>
      </c>
      <c r="B14789" s="0" t="s">
        <v>19658</v>
      </c>
      <c r="E14789" s="0" t="inlineStr">
        <is>
          <t xml:space="preserve">Mazda</t>
        </is>
      </c>
      <c r="F14789" s="0" t="inlineStr">
        <is>
          <t xml:space="preserve">Mazda</t>
        </is>
      </c>
      <c r="G14789" s="0" t="s">
        <v>171</v>
      </c>
      <c r="H14789" s="5">
        <v>1.787400</v>
      </c>
    </row>
    <row r="14790" spans="1:9">
      <c r="A14790" s="22" t="str">
        <f>HYPERLINK("https://app.vivvix.com/360/KMI/IntelliDrive/ApplUI/Pages/CreativePages/CustomReportCreativeDetail.aspx?App=23&amp;ReportView=4&amp;Qid=1711279&amp;Row=14782&amp;Col=1","No Title Assigned - #15274360253")</f>
        <v/>
      </c>
      <c r="B14790" s="0" t="s">
        <v>19659</v>
      </c>
      <c r="E14790" s="0" t="inlineStr">
        <is>
          <t xml:space="preserve">Mazda</t>
        </is>
      </c>
      <c r="F14790" s="0" t="inlineStr">
        <is>
          <t xml:space="preserve">Mazda</t>
        </is>
      </c>
      <c r="G14790" s="0" t="s">
        <v>171</v>
      </c>
      <c r="H14790" s="5">
        <v>269.571600</v>
      </c>
    </row>
    <row r="14791" spans="1:9">
      <c r="A14791" s="22" t="str">
        <f>HYPERLINK("https://app.vivvix.com/360/KMI/IntelliDrive/ApplUI/Pages/CreativePages/CustomReportCreativeDetail.aspx?App=23&amp;ReportView=4&amp;Qid=1711279&amp;Row=14783&amp;Col=1","No Title Assigned - #15274360711")</f>
        <v/>
      </c>
      <c r="B14791" s="0" t="s">
        <v>19660</v>
      </c>
      <c r="E14791" s="0" t="inlineStr">
        <is>
          <t xml:space="preserve">Mazda</t>
        </is>
      </c>
      <c r="F14791" s="0" t="inlineStr">
        <is>
          <t xml:space="preserve">Mazda</t>
        </is>
      </c>
      <c r="G14791" s="0" t="s">
        <v>171</v>
      </c>
      <c r="H14791" s="5">
        <v>2.901200</v>
      </c>
    </row>
    <row r="14792" spans="1:9">
      <c r="A14792" s="22" t="str">
        <f>HYPERLINK("https://app.vivvix.com/360/KMI/IntelliDrive/ApplUI/Pages/CreativePages/CustomReportCreativeDetail.aspx?App=23&amp;ReportView=4&amp;Qid=1711279&amp;Row=14784&amp;Col=1","No Title Assigned - #15274363454")</f>
        <v/>
      </c>
      <c r="B14792" s="0" t="s">
        <v>19661</v>
      </c>
      <c r="E14792" s="0" t="inlineStr">
        <is>
          <t xml:space="preserve">Mazda</t>
        </is>
      </c>
      <c r="F14792" s="0" t="inlineStr">
        <is>
          <t xml:space="preserve">Mazda</t>
        </is>
      </c>
      <c r="G14792" s="0" t="s">
        <v>171</v>
      </c>
      <c r="H14792" s="5">
        <v>28.767500</v>
      </c>
    </row>
    <row r="14793" spans="1:9">
      <c r="A14793" s="22" t="str">
        <f>HYPERLINK("https://app.vivvix.com/360/KMI/IntelliDrive/ApplUI/Pages/CreativePages/CustomReportCreativeDetail.aspx?App=23&amp;ReportView=4&amp;Qid=1711279&amp;Row=14785&amp;Col=1","No Title Assigned - #15274364439")</f>
        <v/>
      </c>
      <c r="B14793" s="0" t="s">
        <v>19662</v>
      </c>
      <c r="E14793" s="0" t="inlineStr">
        <is>
          <t xml:space="preserve">Mazda</t>
        </is>
      </c>
      <c r="F14793" s="0" t="inlineStr">
        <is>
          <t xml:space="preserve">Mazda</t>
        </is>
      </c>
      <c r="G14793" s="0" t="s">
        <v>171</v>
      </c>
      <c r="H14793" s="5">
        <v>158.206400</v>
      </c>
    </row>
    <row r="14794" spans="1:9">
      <c r="A14794" s="22" t="str">
        <f>HYPERLINK("https://app.vivvix.com/360/KMI/IntelliDrive/ApplUI/Pages/CreativePages/CustomReportCreativeDetail.aspx?App=23&amp;ReportView=4&amp;Qid=1711279&amp;Row=14786&amp;Col=1","No Title Assigned - #15274365377")</f>
        <v/>
      </c>
      <c r="B14794" s="0" t="s">
        <v>19663</v>
      </c>
      <c r="E14794" s="0" t="inlineStr">
        <is>
          <t xml:space="preserve">Mazda</t>
        </is>
      </c>
      <c r="F14794" s="0" t="inlineStr">
        <is>
          <t xml:space="preserve">Mazda</t>
        </is>
      </c>
      <c r="G14794" s="0" t="s">
        <v>171</v>
      </c>
      <c r="H14794" s="5">
        <v>88.880900</v>
      </c>
    </row>
    <row r="14795" spans="1:9">
      <c r="A14795" s="22" t="str">
        <f>HYPERLINK("https://app.vivvix.com/360/KMI/IntelliDrive/ApplUI/Pages/CreativePages/CustomReportCreativeDetail.aspx?App=23&amp;ReportView=4&amp;Qid=1711279&amp;Row=14787&amp;Col=1","No Title Assigned - #15274366461")</f>
        <v/>
      </c>
      <c r="B14795" s="0" t="s">
        <v>19664</v>
      </c>
      <c r="E14795" s="0" t="inlineStr">
        <is>
          <t xml:space="preserve">Mazda</t>
        </is>
      </c>
      <c r="F14795" s="0" t="inlineStr">
        <is>
          <t xml:space="preserve">Mazda</t>
        </is>
      </c>
      <c r="G14795" s="0" t="s">
        <v>171</v>
      </c>
      <c r="H14795" s="5">
        <v>32877.171900</v>
      </c>
    </row>
    <row r="14796" spans="1:9">
      <c r="A14796" s="22" t="str">
        <f>HYPERLINK("https://app.vivvix.com/360/KMI/IntelliDrive/ApplUI/Pages/CreativePages/CustomReportCreativeDetail.aspx?App=23&amp;ReportView=4&amp;Qid=1711279&amp;Row=14788&amp;Col=1","No Title Assigned - #15274367095")</f>
        <v/>
      </c>
      <c r="B14796" s="0" t="s">
        <v>19665</v>
      </c>
      <c r="C14796" s="0" t="s">
        <v>19666</v>
      </c>
      <c r="D14796" s="0" t="s">
        <v>19666</v>
      </c>
      <c r="E14796" s="0" t="inlineStr">
        <is>
          <t xml:space="preserve">Mazda</t>
        </is>
      </c>
      <c r="F14796" s="0" t="inlineStr">
        <is>
          <t xml:space="preserve">Mazda</t>
        </is>
      </c>
      <c r="G14796" s="0" t="s">
        <v>171</v>
      </c>
      <c r="H14796" s="5">
        <v>17.198400</v>
      </c>
    </row>
    <row r="14797" spans="1:9">
      <c r="A14797" s="22" t="str">
        <f>HYPERLINK("https://app.vivvix.com/360/KMI/IntelliDrive/ApplUI/Pages/CreativePages/CustomReportCreativeDetail.aspx?App=23&amp;ReportView=4&amp;Qid=1711279&amp;Row=14789&amp;Col=1","No Title Assigned - #15274368290")</f>
        <v/>
      </c>
      <c r="B14797" s="0" t="s">
        <v>19667</v>
      </c>
      <c r="C14797" s="0" t="s">
        <v>19668</v>
      </c>
      <c r="D14797" s="0" t="s">
        <v>10770</v>
      </c>
      <c r="E14797" s="0" t="inlineStr">
        <is>
          <t xml:space="preserve">Mazda</t>
        </is>
      </c>
      <c r="F14797" s="0" t="s">
        <v>13</v>
      </c>
      <c r="G14797" s="0" t="s">
        <v>49</v>
      </c>
      <c r="H14797" s="5">
        <v>165.263600</v>
      </c>
    </row>
    <row r="14798" spans="1:9">
      <c r="A14798" s="22" t="str">
        <f>HYPERLINK("https://app.vivvix.com/360/KMI/IntelliDrive/ApplUI/Pages/CreativePages/CustomReportCreativeDetail.aspx?App=23&amp;ReportView=4&amp;Qid=1711279&amp;Row=14790&amp;Col=1","No Title Assigned - #15274369004")</f>
        <v/>
      </c>
      <c r="B14798" s="0" t="s">
        <v>19669</v>
      </c>
      <c r="C14798" s="0" t="s">
        <v>19670</v>
      </c>
      <c r="D14798" s="0" t="s">
        <v>18151</v>
      </c>
      <c r="E14798" s="0" t="inlineStr">
        <is>
          <t xml:space="preserve">Mazda</t>
        </is>
      </c>
      <c r="F14798" s="0" t="s">
        <v>13</v>
      </c>
      <c r="G14798" s="0" t="s">
        <v>49</v>
      </c>
      <c r="H14798" s="5">
        <v>10.347600</v>
      </c>
    </row>
    <row r="14799" spans="1:9">
      <c r="A14799" s="22" t="str">
        <f>HYPERLINK("https://app.vivvix.com/360/KMI/IntelliDrive/ApplUI/Pages/CreativePages/CustomReportCreativeDetail.aspx?App=23&amp;ReportView=4&amp;Qid=1711279&amp;Row=14791&amp;Col=1","No Title Assigned - #15274369159")</f>
        <v/>
      </c>
      <c r="B14799" s="0" t="s">
        <v>19671</v>
      </c>
      <c r="C14799" s="0" t="s">
        <v>19672</v>
      </c>
      <c r="D14799" s="0" t="s">
        <v>18357</v>
      </c>
      <c r="E14799" s="0" t="inlineStr">
        <is>
          <t xml:space="preserve">Mazda</t>
        </is>
      </c>
      <c r="F14799" s="0" t="s">
        <v>28</v>
      </c>
      <c r="G14799" s="0" t="s">
        <v>29</v>
      </c>
      <c r="H14799" s="5">
        <v>73.126600</v>
      </c>
    </row>
    <row r="14800" spans="1:9">
      <c r="A14800" s="22" t="str">
        <f>HYPERLINK("https://app.vivvix.com/360/KMI/IntelliDrive/ApplUI/Pages/CreativePages/CustomReportCreativeDetail.aspx?App=23&amp;ReportView=4&amp;Qid=1711279&amp;Row=14792&amp;Col=1","No Title Assigned - #15274369795")</f>
        <v/>
      </c>
      <c r="B14800" s="0" t="s">
        <v>19673</v>
      </c>
      <c r="C14800" s="0" t="s">
        <v>19674</v>
      </c>
      <c r="D14800" s="0" t="s">
        <v>19674</v>
      </c>
      <c r="E14800" s="0" t="inlineStr">
        <is>
          <t xml:space="preserve">Mazda</t>
        </is>
      </c>
      <c r="F14800" s="0" t="s">
        <v>13</v>
      </c>
      <c r="G14800" s="0" t="s">
        <v>49</v>
      </c>
      <c r="H14800" s="5">
        <v>316.636300</v>
      </c>
    </row>
    <row r="14801" spans="1:9">
      <c r="A14801" s="22" t="str">
        <f>HYPERLINK("https://app.vivvix.com/360/KMI/IntelliDrive/ApplUI/Pages/CreativePages/CustomReportCreativeDetail.aspx?App=23&amp;ReportView=4&amp;Qid=1711279&amp;Row=14793&amp;Col=1","No Title Assigned - #15274369931")</f>
        <v/>
      </c>
      <c r="B14801" s="0" t="s">
        <v>19675</v>
      </c>
      <c r="C14801" s="0" t="s">
        <v>19676</v>
      </c>
      <c r="D14801" s="0" t="s">
        <v>19676</v>
      </c>
      <c r="E14801" s="0" t="inlineStr">
        <is>
          <t xml:space="preserve">Mazda</t>
        </is>
      </c>
      <c r="F14801" s="0" t="s">
        <v>28</v>
      </c>
      <c r="G14801" s="0" t="s">
        <v>29</v>
      </c>
      <c r="H14801" s="5">
        <v>140.969600</v>
      </c>
    </row>
    <row r="14802" spans="1:9">
      <c r="A14802" s="22" t="str">
        <f>HYPERLINK("https://app.vivvix.com/360/KMI/IntelliDrive/ApplUI/Pages/CreativePages/CustomReportCreativeDetail.aspx?App=23&amp;ReportView=4&amp;Qid=1711279&amp;Row=14794&amp;Col=1","No Title Assigned - #15274369974")</f>
        <v/>
      </c>
      <c r="B14802" s="0" t="s">
        <v>19677</v>
      </c>
      <c r="C14802" s="0" t="s">
        <v>19678</v>
      </c>
      <c r="D14802" s="0" t="s">
        <v>19678</v>
      </c>
      <c r="E14802" s="0" t="inlineStr">
        <is>
          <t xml:space="preserve">Mazda</t>
        </is>
      </c>
      <c r="F14802" s="0" t="s">
        <v>13</v>
      </c>
      <c r="G14802" s="0" t="s">
        <v>49</v>
      </c>
      <c r="H14802" s="5">
        <v>59.984200</v>
      </c>
    </row>
    <row r="14803" spans="1:9">
      <c r="A14803" s="22" t="str">
        <f>HYPERLINK("https://app.vivvix.com/360/KMI/IntelliDrive/ApplUI/Pages/CreativePages/CustomReportCreativeDetail.aspx?App=23&amp;ReportView=4&amp;Qid=1711279&amp;Row=14795&amp;Col=1","No Title Assigned - #15274370350")</f>
        <v/>
      </c>
      <c r="B14803" s="0" t="s">
        <v>19679</v>
      </c>
      <c r="C14803" s="0" t="s">
        <v>19680</v>
      </c>
      <c r="D14803" s="0" t="s">
        <v>9919</v>
      </c>
      <c r="E14803" s="0" t="inlineStr">
        <is>
          <t xml:space="preserve">Mazda</t>
        </is>
      </c>
      <c r="F14803" s="0" t="s">
        <v>13</v>
      </c>
      <c r="G14803" s="0" t="s">
        <v>49</v>
      </c>
      <c r="H14803" s="5">
        <v>31.042800</v>
      </c>
    </row>
    <row r="14804" spans="1:9">
      <c r="A14804" s="22" t="str">
        <f>HYPERLINK("https://app.vivvix.com/360/KMI/IntelliDrive/ApplUI/Pages/CreativePages/CustomReportCreativeDetail.aspx?App=23&amp;ReportView=4&amp;Qid=1711279&amp;Row=14796&amp;Col=1","No Title Assigned - #15274370500")</f>
        <v/>
      </c>
      <c r="B14804" s="0" t="s">
        <v>19681</v>
      </c>
      <c r="E14804" s="0" t="inlineStr">
        <is>
          <t xml:space="preserve">Mazda</t>
        </is>
      </c>
      <c r="F14804" s="0" t="inlineStr">
        <is>
          <t xml:space="preserve">Mazda</t>
        </is>
      </c>
      <c r="G14804" s="0" t="s">
        <v>171</v>
      </c>
      <c r="H14804" s="5">
        <v>778.259700</v>
      </c>
    </row>
    <row r="14805" spans="1:9">
      <c r="A14805" s="22" t="str">
        <f>HYPERLINK("https://app.vivvix.com/360/KMI/IntelliDrive/ApplUI/Pages/CreativePages/CustomReportCreativeDetail.aspx?App=23&amp;ReportView=4&amp;Qid=1711279&amp;Row=14797&amp;Col=1","No Title Assigned - #15274370936")</f>
        <v/>
      </c>
      <c r="B14805" s="0" t="s">
        <v>19682</v>
      </c>
      <c r="E14805" s="0" t="inlineStr">
        <is>
          <t xml:space="preserve">Mazda</t>
        </is>
      </c>
      <c r="F14805" s="0" t="inlineStr">
        <is>
          <t xml:space="preserve">Mazda</t>
        </is>
      </c>
      <c r="G14805" s="0" t="s">
        <v>171</v>
      </c>
      <c r="H14805" s="5">
        <v>52.884300</v>
      </c>
    </row>
    <row r="14806" spans="1:9">
      <c r="A14806" s="22" t="str">
        <f>HYPERLINK("https://app.vivvix.com/360/KMI/IntelliDrive/ApplUI/Pages/CreativePages/CustomReportCreativeDetail.aspx?App=23&amp;ReportView=4&amp;Qid=1711279&amp;Row=14798&amp;Col=1","No Title Assigned - #15274371507")</f>
        <v/>
      </c>
      <c r="B14806" s="0" t="s">
        <v>19683</v>
      </c>
      <c r="E14806" s="0" t="inlineStr">
        <is>
          <t xml:space="preserve">Mazda</t>
        </is>
      </c>
      <c r="F14806" s="0" t="inlineStr">
        <is>
          <t xml:space="preserve">Mazda</t>
        </is>
      </c>
      <c r="G14806" s="0" t="s">
        <v>171</v>
      </c>
      <c r="H14806" s="5">
        <v>22.982700</v>
      </c>
    </row>
    <row r="14807" spans="1:9">
      <c r="A14807" s="22" t="str">
        <f>HYPERLINK("https://app.vivvix.com/360/KMI/IntelliDrive/ApplUI/Pages/CreativePages/CustomReportCreativeDetail.aspx?App=23&amp;ReportView=4&amp;Qid=1711279&amp;Row=14799&amp;Col=1","No Title Assigned - #15274371531")</f>
        <v/>
      </c>
      <c r="B14807" s="0" t="s">
        <v>19684</v>
      </c>
      <c r="E14807" s="0" t="inlineStr">
        <is>
          <t xml:space="preserve">Mazda</t>
        </is>
      </c>
      <c r="F14807" s="0" t="inlineStr">
        <is>
          <t xml:space="preserve">Mazda</t>
        </is>
      </c>
      <c r="G14807" s="0" t="s">
        <v>171</v>
      </c>
      <c r="H14807" s="5">
        <v>435.789100</v>
      </c>
    </row>
    <row r="14808" spans="1:9">
      <c r="A14808" s="22" t="str">
        <f>HYPERLINK("https://app.vivvix.com/360/KMI/IntelliDrive/ApplUI/Pages/CreativePages/CustomReportCreativeDetail.aspx?App=23&amp;ReportView=4&amp;Qid=1711279&amp;Row=14800&amp;Col=1","No Title Assigned - #15274372118")</f>
        <v/>
      </c>
      <c r="B14808" s="0" t="s">
        <v>19685</v>
      </c>
      <c r="E14808" s="0" t="inlineStr">
        <is>
          <t xml:space="preserve">Mazda</t>
        </is>
      </c>
      <c r="F14808" s="0" t="inlineStr">
        <is>
          <t xml:space="preserve">Mazda</t>
        </is>
      </c>
      <c r="G14808" s="0" t="s">
        <v>171</v>
      </c>
      <c r="H14808" s="5">
        <v>51.206400</v>
      </c>
    </row>
    <row r="14809" spans="1:9">
      <c r="A14809" s="22" t="str">
        <f>HYPERLINK("https://app.vivvix.com/360/KMI/IntelliDrive/ApplUI/Pages/CreativePages/CustomReportCreativeDetail.aspx?App=23&amp;ReportView=4&amp;Qid=1711279&amp;Row=14801&amp;Col=1","No Title Assigned - #15274372955")</f>
        <v/>
      </c>
      <c r="B14809" s="0" t="s">
        <v>19686</v>
      </c>
      <c r="E14809" s="0" t="inlineStr">
        <is>
          <t xml:space="preserve">Mazda</t>
        </is>
      </c>
      <c r="F14809" s="0" t="inlineStr">
        <is>
          <t xml:space="preserve">Mazda</t>
        </is>
      </c>
      <c r="G14809" s="0" t="s">
        <v>171</v>
      </c>
      <c r="H14809" s="5">
        <v>6.789700</v>
      </c>
    </row>
    <row r="14810" spans="1:9">
      <c r="A14810" s="22" t="str">
        <f>HYPERLINK("https://app.vivvix.com/360/KMI/IntelliDrive/ApplUI/Pages/CreativePages/CustomReportCreativeDetail.aspx?App=23&amp;ReportView=4&amp;Qid=1711279&amp;Row=14802&amp;Col=1","No Title Assigned - #15274373129")</f>
        <v/>
      </c>
      <c r="B14810" s="0" t="s">
        <v>19687</v>
      </c>
      <c r="C14810" s="0" t="s">
        <v>19688</v>
      </c>
      <c r="D14810" s="0" t="s">
        <v>19688</v>
      </c>
      <c r="E14810" s="0" t="inlineStr">
        <is>
          <t xml:space="preserve">Mazda</t>
        </is>
      </c>
      <c r="F14810" s="0" t="s">
        <v>28</v>
      </c>
      <c r="G14810" s="0" t="s">
        <v>29</v>
      </c>
      <c r="H14810" s="5">
        <v>326.303600</v>
      </c>
    </row>
    <row r="14811" spans="1:9">
      <c r="A14811" s="22" t="str">
        <f>HYPERLINK("https://app.vivvix.com/360/KMI/IntelliDrive/ApplUI/Pages/CreativePages/CustomReportCreativeDetail.aspx?App=23&amp;ReportView=4&amp;Qid=1711279&amp;Row=14803&amp;Col=1","No Title Assigned - #15274373404")</f>
        <v/>
      </c>
      <c r="B14811" s="0" t="s">
        <v>19689</v>
      </c>
      <c r="E14811" s="0" t="inlineStr">
        <is>
          <t xml:space="preserve">Mazda</t>
        </is>
      </c>
      <c r="F14811" s="0" t="inlineStr">
        <is>
          <t xml:space="preserve">Mazda</t>
        </is>
      </c>
      <c r="G14811" s="0" t="s">
        <v>171</v>
      </c>
      <c r="H14811" s="5">
        <v>251.081400</v>
      </c>
    </row>
    <row r="14812" spans="1:9">
      <c r="A14812" s="22" t="str">
        <f>HYPERLINK("https://app.vivvix.com/360/KMI/IntelliDrive/ApplUI/Pages/CreativePages/CustomReportCreativeDetail.aspx?App=23&amp;ReportView=4&amp;Qid=1711279&amp;Row=14804&amp;Col=1","No Title Assigned - #15274374618")</f>
        <v/>
      </c>
      <c r="B14812" s="0" t="s">
        <v>19690</v>
      </c>
      <c r="C14812" s="0" t="s">
        <v>19691</v>
      </c>
      <c r="D14812" s="0" t="s">
        <v>4768</v>
      </c>
      <c r="E14812" s="0" t="inlineStr">
        <is>
          <t xml:space="preserve">Mazda</t>
        </is>
      </c>
      <c r="F14812" s="0" t="s">
        <v>13</v>
      </c>
      <c r="G14812" s="0" t="s">
        <v>49</v>
      </c>
      <c r="H14812" s="5">
        <v>124.549200</v>
      </c>
    </row>
    <row r="14813" spans="1:9">
      <c r="A14813" s="22" t="str">
        <f>HYPERLINK("https://app.vivvix.com/360/KMI/IntelliDrive/ApplUI/Pages/CreativePages/CustomReportCreativeDetail.aspx?App=23&amp;ReportView=4&amp;Qid=1711279&amp;Row=14805&amp;Col=1","No Title Assigned - #15274374786")</f>
        <v/>
      </c>
      <c r="B14813" s="0" t="s">
        <v>19692</v>
      </c>
      <c r="C14813" s="0" t="s">
        <v>19693</v>
      </c>
      <c r="D14813" s="0" t="s">
        <v>6183</v>
      </c>
      <c r="E14813" s="0" t="inlineStr">
        <is>
          <t xml:space="preserve">Mazda</t>
        </is>
      </c>
      <c r="F14813" s="0" t="s">
        <v>13</v>
      </c>
      <c r="G14813" s="0" t="s">
        <v>49</v>
      </c>
      <c r="H14813" s="5">
        <v>5.173800</v>
      </c>
    </row>
    <row r="14814" spans="1:9">
      <c r="A14814" s="22" t="str">
        <f>HYPERLINK("https://app.vivvix.com/360/KMI/IntelliDrive/ApplUI/Pages/CreativePages/CustomReportCreativeDetail.aspx?App=23&amp;ReportView=4&amp;Qid=1711279&amp;Row=14806&amp;Col=1","No Title Assigned - #15274375773")</f>
        <v/>
      </c>
      <c r="B14814" s="0" t="s">
        <v>19694</v>
      </c>
      <c r="C14814" s="0" t="s">
        <v>19695</v>
      </c>
      <c r="D14814" s="0" t="s">
        <v>4225</v>
      </c>
      <c r="E14814" s="0" t="inlineStr">
        <is>
          <t xml:space="preserve">Mazda</t>
        </is>
      </c>
      <c r="F14814" s="0" t="s">
        <v>28</v>
      </c>
      <c r="G14814" s="0" t="s">
        <v>29</v>
      </c>
      <c r="H14814" s="5">
        <v>1269.031300</v>
      </c>
    </row>
    <row r="14815" spans="1:9">
      <c r="A14815" s="22" t="str">
        <f>HYPERLINK("https://app.vivvix.com/360/KMI/IntelliDrive/ApplUI/Pages/CreativePages/CustomReportCreativeDetail.aspx?App=23&amp;ReportView=4&amp;Qid=1711279&amp;Row=14807&amp;Col=1","No Title Assigned - #15274375774")</f>
        <v/>
      </c>
      <c r="B14815" s="0" t="s">
        <v>19696</v>
      </c>
      <c r="E14815" s="0" t="inlineStr">
        <is>
          <t xml:space="preserve">Mazda</t>
        </is>
      </c>
      <c r="F14815" s="0" t="s">
        <v>13</v>
      </c>
      <c r="G14815" s="0" t="s">
        <v>49</v>
      </c>
      <c r="H14815" s="5">
        <v>1106.003100</v>
      </c>
    </row>
    <row r="14816" spans="1:9">
      <c r="A14816" s="22" t="str">
        <f>HYPERLINK("https://app.vivvix.com/360/KMI/IntelliDrive/ApplUI/Pages/CreativePages/CustomReportCreativeDetail.aspx?App=23&amp;ReportView=4&amp;Qid=1711279&amp;Row=14808&amp;Col=1","No Title Assigned - #15274376719")</f>
        <v/>
      </c>
      <c r="B14816" s="0" t="s">
        <v>19697</v>
      </c>
      <c r="C14816" s="0" t="s">
        <v>19698</v>
      </c>
      <c r="D14816" s="0" t="s">
        <v>4204</v>
      </c>
      <c r="E14816" s="0" t="inlineStr">
        <is>
          <t xml:space="preserve">Mazda</t>
        </is>
      </c>
      <c r="F14816" s="0" t="s">
        <v>28</v>
      </c>
      <c r="G14816" s="0" t="s">
        <v>29</v>
      </c>
      <c r="H14816" s="5">
        <v>77.572800</v>
      </c>
    </row>
    <row r="14817" spans="1:9">
      <c r="A14817" s="22" t="str">
        <f>HYPERLINK("https://app.vivvix.com/360/KMI/IntelliDrive/ApplUI/Pages/CreativePages/CustomReportCreativeDetail.aspx?App=23&amp;ReportView=4&amp;Qid=1711279&amp;Row=14809&amp;Col=1","No Title Assigned - #15274376881")</f>
        <v/>
      </c>
      <c r="B14817" s="0" t="s">
        <v>19699</v>
      </c>
      <c r="C14817" s="0" t="s">
        <v>19700</v>
      </c>
      <c r="D14817" s="0" t="s">
        <v>10073</v>
      </c>
      <c r="E14817" s="0" t="inlineStr">
        <is>
          <t xml:space="preserve">Mazda</t>
        </is>
      </c>
      <c r="F14817" s="0" t="s">
        <v>13</v>
      </c>
      <c r="G14817" s="0" t="s">
        <v>49</v>
      </c>
      <c r="H14817" s="5">
        <v>979.427100</v>
      </c>
    </row>
    <row r="14818" spans="1:9">
      <c r="A14818" s="22" t="str">
        <f>HYPERLINK("https://app.vivvix.com/360/KMI/IntelliDrive/ApplUI/Pages/CreativePages/CustomReportCreativeDetail.aspx?App=23&amp;ReportView=4&amp;Qid=1711279&amp;Row=14810&amp;Col=1","No Title Assigned - #15274377940")</f>
        <v/>
      </c>
      <c r="B14818" s="0" t="s">
        <v>19701</v>
      </c>
      <c r="C14818" s="0" t="s">
        <v>19702</v>
      </c>
      <c r="D14818" s="0" t="s">
        <v>4202</v>
      </c>
      <c r="E14818" s="0" t="inlineStr">
        <is>
          <t xml:space="preserve">Mazda</t>
        </is>
      </c>
      <c r="F14818" s="0" t="s">
        <v>28</v>
      </c>
      <c r="G14818" s="0" t="s">
        <v>29</v>
      </c>
      <c r="H14818" s="5">
        <v>624.323000</v>
      </c>
    </row>
    <row r="14819" spans="1:9">
      <c r="A14819" s="22" t="str">
        <f>HYPERLINK("https://app.vivvix.com/360/KMI/IntelliDrive/ApplUI/Pages/CreativePages/CustomReportCreativeDetail.aspx?App=23&amp;ReportView=4&amp;Qid=1711279&amp;Row=14811&amp;Col=1","No Title Assigned - #15274378380")</f>
        <v/>
      </c>
      <c r="B14819" s="0" t="s">
        <v>19703</v>
      </c>
      <c r="C14819" s="0" t="s">
        <v>19704</v>
      </c>
      <c r="D14819" s="0" t="s">
        <v>19704</v>
      </c>
      <c r="E14819" s="0" t="inlineStr">
        <is>
          <t xml:space="preserve">Mazda</t>
        </is>
      </c>
      <c r="F14819" s="0" t="s">
        <v>28</v>
      </c>
      <c r="G14819" s="0" t="s">
        <v>29</v>
      </c>
      <c r="H14819" s="5">
        <v>165459.510700</v>
      </c>
    </row>
    <row r="14820" spans="1:9">
      <c r="A14820" s="22" t="str">
        <f>HYPERLINK("https://app.vivvix.com/360/KMI/IntelliDrive/ApplUI/Pages/CreativePages/CustomReportCreativeDetail.aspx?App=23&amp;ReportView=4&amp;Qid=1711279&amp;Row=14812&amp;Col=1","No Title Assigned - #15274378380")</f>
        <v/>
      </c>
      <c r="B14820" s="0" t="s">
        <v>19703</v>
      </c>
      <c r="E14820" s="0" t="inlineStr">
        <is>
          <t xml:space="preserve">Mazda</t>
        </is>
      </c>
      <c r="F14820" s="0" t="s">
        <v>28</v>
      </c>
      <c r="G14820" s="0" t="s">
        <v>29</v>
      </c>
      <c r="H14820" s="5">
        <v>1532.861700</v>
      </c>
    </row>
    <row r="14821" spans="1:9">
      <c r="A14821" s="22" t="str">
        <f>HYPERLINK("https://app.vivvix.com/360/KMI/IntelliDrive/ApplUI/Pages/CreativePages/CustomReportCreativeDetail.aspx?App=23&amp;ReportView=4&amp;Qid=1711279&amp;Row=14813&amp;Col=1","No Title Assigned - #15274379048")</f>
        <v/>
      </c>
      <c r="B14821" s="0" t="s">
        <v>19705</v>
      </c>
      <c r="C14821" s="0" t="s">
        <v>19706</v>
      </c>
      <c r="D14821" s="0" t="s">
        <v>6420</v>
      </c>
      <c r="E14821" s="0" t="inlineStr">
        <is>
          <t xml:space="preserve">Mazda</t>
        </is>
      </c>
      <c r="F14821" s="0" t="s">
        <v>13</v>
      </c>
      <c r="G14821" s="0" t="s">
        <v>49</v>
      </c>
      <c r="H14821" s="5">
        <v>50.030300</v>
      </c>
    </row>
    <row r="14822" spans="1:9">
      <c r="A14822" s="22" t="str">
        <f>HYPERLINK("https://app.vivvix.com/360/KMI/IntelliDrive/ApplUI/Pages/CreativePages/CustomReportCreativeDetail.aspx?App=23&amp;ReportView=4&amp;Qid=1711279&amp;Row=14814&amp;Col=1","No Title Assigned - #15274380494")</f>
        <v/>
      </c>
      <c r="B14822" s="0" t="s">
        <v>19707</v>
      </c>
      <c r="C14822" s="0" t="s">
        <v>19708</v>
      </c>
      <c r="D14822" s="0" t="s">
        <v>18149</v>
      </c>
      <c r="E14822" s="0" t="inlineStr">
        <is>
          <t xml:space="preserve">Mazda</t>
        </is>
      </c>
      <c r="F14822" s="0" t="s">
        <v>13</v>
      </c>
      <c r="G14822" s="0" t="s">
        <v>49</v>
      </c>
      <c r="H14822" s="5">
        <v>502.597400</v>
      </c>
    </row>
    <row r="14823" spans="1:9">
      <c r="A14823" s="22" t="str">
        <f>HYPERLINK("https://app.vivvix.com/360/KMI/IntelliDrive/ApplUI/Pages/CreativePages/CustomReportCreativeDetail.aspx?App=23&amp;ReportView=4&amp;Qid=1711279&amp;Row=14815&amp;Col=1","No Title Assigned - #15274382085")</f>
        <v/>
      </c>
      <c r="B14823" s="0" t="s">
        <v>19709</v>
      </c>
      <c r="E14823" s="0" t="inlineStr">
        <is>
          <t xml:space="preserve">Mazda</t>
        </is>
      </c>
      <c r="F14823" s="0" t="inlineStr">
        <is>
          <t xml:space="preserve">Mazda</t>
        </is>
      </c>
      <c r="G14823" s="0" t="s">
        <v>171</v>
      </c>
      <c r="H14823" s="5">
        <v>10.323700</v>
      </c>
    </row>
    <row r="14824" spans="1:9">
      <c r="A14824" s="22" t="str">
        <f>HYPERLINK("https://app.vivvix.com/360/KMI/IntelliDrive/ApplUI/Pages/CreativePages/CustomReportCreativeDetail.aspx?App=23&amp;ReportView=4&amp;Qid=1711279&amp;Row=14816&amp;Col=1","No Title Assigned - #15274382213")</f>
        <v/>
      </c>
      <c r="B14824" s="0" t="s">
        <v>19710</v>
      </c>
      <c r="E14824" s="0" t="inlineStr">
        <is>
          <t xml:space="preserve">Mazda</t>
        </is>
      </c>
      <c r="F14824" s="0" t="inlineStr">
        <is>
          <t xml:space="preserve">Mazda</t>
        </is>
      </c>
      <c r="G14824" s="0" t="s">
        <v>171</v>
      </c>
      <c r="H14824" s="5">
        <v>2285.939700</v>
      </c>
    </row>
    <row r="14825" spans="1:9">
      <c r="A14825" s="22" t="str">
        <f>HYPERLINK("https://app.vivvix.com/360/KMI/IntelliDrive/ApplUI/Pages/CreativePages/CustomReportCreativeDetail.aspx?App=23&amp;ReportView=4&amp;Qid=1711279&amp;Row=14817&amp;Col=1","No Title Assigned - #15274382424")</f>
        <v/>
      </c>
      <c r="B14825" s="0" t="s">
        <v>19711</v>
      </c>
      <c r="E14825" s="0" t="inlineStr">
        <is>
          <t xml:space="preserve">Mazda</t>
        </is>
      </c>
      <c r="F14825" s="0" t="inlineStr">
        <is>
          <t xml:space="preserve">Mazda</t>
        </is>
      </c>
      <c r="G14825" s="0" t="s">
        <v>171</v>
      </c>
      <c r="H14825" s="5">
        <v>1.787400</v>
      </c>
    </row>
    <row r="14826" spans="1:9">
      <c r="A14826" s="22" t="str">
        <f>HYPERLINK("https://app.vivvix.com/360/KMI/IntelliDrive/ApplUI/Pages/CreativePages/CustomReportCreativeDetail.aspx?App=23&amp;ReportView=4&amp;Qid=1711279&amp;Row=14818&amp;Col=1","No Title Assigned - #15274382596")</f>
        <v/>
      </c>
      <c r="B14826" s="0" t="s">
        <v>19712</v>
      </c>
      <c r="E14826" s="0" t="inlineStr">
        <is>
          <t xml:space="preserve">Mazda</t>
        </is>
      </c>
      <c r="F14826" s="0" t="inlineStr">
        <is>
          <t xml:space="preserve">Mazda</t>
        </is>
      </c>
      <c r="G14826" s="0" t="s">
        <v>171</v>
      </c>
      <c r="H14826" s="5">
        <v>187.058500</v>
      </c>
    </row>
    <row r="14827" spans="1:9">
      <c r="A14827" s="22" t="str">
        <f>HYPERLINK("https://app.vivvix.com/360/KMI/IntelliDrive/ApplUI/Pages/CreativePages/CustomReportCreativeDetail.aspx?App=23&amp;ReportView=4&amp;Qid=1711279&amp;Row=14819&amp;Col=1","No Title Assigned - #15274383822")</f>
        <v/>
      </c>
      <c r="B14827" s="0" t="s">
        <v>19713</v>
      </c>
      <c r="E14827" s="0" t="inlineStr">
        <is>
          <t xml:space="preserve">Mazda</t>
        </is>
      </c>
      <c r="F14827" s="0" t="inlineStr">
        <is>
          <t xml:space="preserve">Mazda</t>
        </is>
      </c>
      <c r="G14827" s="0" t="s">
        <v>171</v>
      </c>
      <c r="H14827" s="5">
        <v>242.269500</v>
      </c>
    </row>
    <row r="14828" spans="1:9">
      <c r="A14828" s="22" t="str">
        <f>HYPERLINK("https://app.vivvix.com/360/KMI/IntelliDrive/ApplUI/Pages/CreativePages/CustomReportCreativeDetail.aspx?App=23&amp;ReportView=4&amp;Qid=1711279&amp;Row=14820&amp;Col=1","No Title Assigned - #15274384451")</f>
        <v/>
      </c>
      <c r="B14828" s="0" t="s">
        <v>19714</v>
      </c>
      <c r="E14828" s="0" t="inlineStr">
        <is>
          <t xml:space="preserve">Mazda</t>
        </is>
      </c>
      <c r="F14828" s="0" t="inlineStr">
        <is>
          <t xml:space="preserve">Mazda</t>
        </is>
      </c>
      <c r="G14828" s="0" t="s">
        <v>171</v>
      </c>
      <c r="H14828" s="5">
        <v>219.054300</v>
      </c>
    </row>
    <row r="14829" spans="1:9">
      <c r="A14829" s="22" t="str">
        <f>HYPERLINK("https://app.vivvix.com/360/KMI/IntelliDrive/ApplUI/Pages/CreativePages/CustomReportCreativeDetail.aspx?App=23&amp;ReportView=4&amp;Qid=1711279&amp;Row=14821&amp;Col=1","No Title Assigned - #15274384452")</f>
        <v/>
      </c>
      <c r="B14829" s="0" t="s">
        <v>19715</v>
      </c>
      <c r="E14829" s="0" t="inlineStr">
        <is>
          <t xml:space="preserve">Mazda</t>
        </is>
      </c>
      <c r="F14829" s="0" t="inlineStr">
        <is>
          <t xml:space="preserve">Mazda</t>
        </is>
      </c>
      <c r="G14829" s="0" t="s">
        <v>171</v>
      </c>
      <c r="H14829" s="5">
        <v>129.247700</v>
      </c>
    </row>
    <row r="14830" spans="1:9">
      <c r="A14830" s="22" t="str">
        <f>HYPERLINK("https://app.vivvix.com/360/KMI/IntelliDrive/ApplUI/Pages/CreativePages/CustomReportCreativeDetail.aspx?App=23&amp;ReportView=4&amp;Qid=1711279&amp;Row=14822&amp;Col=1","No Title Assigned - #15274384453")</f>
        <v/>
      </c>
      <c r="B14830" s="0" t="s">
        <v>19716</v>
      </c>
      <c r="E14830" s="0" t="inlineStr">
        <is>
          <t xml:space="preserve">Mazda</t>
        </is>
      </c>
      <c r="F14830" s="0" t="inlineStr">
        <is>
          <t xml:space="preserve">Mazda</t>
        </is>
      </c>
      <c r="G14830" s="0" t="s">
        <v>171</v>
      </c>
      <c r="H14830" s="5">
        <v>73.018100</v>
      </c>
    </row>
    <row r="14831" spans="1:9">
      <c r="A14831" s="22" t="str">
        <f>HYPERLINK("https://app.vivvix.com/360/KMI/IntelliDrive/ApplUI/Pages/CreativePages/CustomReportCreativeDetail.aspx?App=23&amp;ReportView=4&amp;Qid=1711279&amp;Row=14823&amp;Col=1","No Title Assigned - #15274384766")</f>
        <v/>
      </c>
      <c r="B14831" s="0" t="s">
        <v>19717</v>
      </c>
      <c r="E14831" s="0" t="inlineStr">
        <is>
          <t xml:space="preserve">Mazda</t>
        </is>
      </c>
      <c r="F14831" s="0" t="inlineStr">
        <is>
          <t xml:space="preserve">Mazda</t>
        </is>
      </c>
      <c r="G14831" s="0" t="s">
        <v>171</v>
      </c>
      <c r="H14831" s="5">
        <v>35.703900</v>
      </c>
    </row>
    <row r="14832" spans="1:9">
      <c r="A14832" s="22" t="str">
        <f>HYPERLINK("https://app.vivvix.com/360/KMI/IntelliDrive/ApplUI/Pages/CreativePages/CustomReportCreativeDetail.aspx?App=23&amp;ReportView=4&amp;Qid=1711279&amp;Row=14824&amp;Col=1","No Title Assigned - #15274385043")</f>
        <v/>
      </c>
      <c r="B14832" s="0" t="s">
        <v>19718</v>
      </c>
      <c r="C14832" s="0" t="s">
        <v>19719</v>
      </c>
      <c r="D14832" s="0" t="s">
        <v>19719</v>
      </c>
      <c r="E14832" s="0" t="inlineStr">
        <is>
          <t xml:space="preserve">Mazda</t>
        </is>
      </c>
      <c r="F14832" s="0" t="inlineStr">
        <is>
          <t xml:space="preserve">Mazda</t>
        </is>
      </c>
      <c r="G14832" s="0" t="s">
        <v>171</v>
      </c>
      <c r="H14832" s="5">
        <v>95.461400</v>
      </c>
    </row>
    <row r="14833" spans="1:9">
      <c r="A14833" s="22" t="str">
        <f>HYPERLINK("https://app.vivvix.com/360/KMI/IntelliDrive/ApplUI/Pages/CreativePages/CustomReportCreativeDetail.aspx?App=23&amp;ReportView=4&amp;Qid=1711279&amp;Row=14825&amp;Col=1","No Title Assigned - #15274385168")</f>
        <v/>
      </c>
      <c r="B14833" s="0" t="s">
        <v>19720</v>
      </c>
      <c r="E14833" s="0" t="inlineStr">
        <is>
          <t xml:space="preserve">Mazda</t>
        </is>
      </c>
      <c r="F14833" s="0" t="inlineStr">
        <is>
          <t xml:space="preserve">Mazda</t>
        </is>
      </c>
      <c r="G14833" s="0" t="s">
        <v>171</v>
      </c>
      <c r="H14833" s="5">
        <v>7.956400</v>
      </c>
    </row>
    <row r="14834" spans="1:9">
      <c r="A14834" s="22" t="str">
        <f>HYPERLINK("https://app.vivvix.com/360/KMI/IntelliDrive/ApplUI/Pages/CreativePages/CustomReportCreativeDetail.aspx?App=23&amp;ReportView=4&amp;Qid=1711279&amp;Row=14826&amp;Col=1","No Title Assigned - #15274385235")</f>
        <v/>
      </c>
      <c r="B14834" s="0" t="s">
        <v>19721</v>
      </c>
      <c r="E14834" s="0" t="inlineStr">
        <is>
          <t xml:space="preserve">Mazda</t>
        </is>
      </c>
      <c r="F14834" s="0" t="inlineStr">
        <is>
          <t xml:space="preserve">Mazda</t>
        </is>
      </c>
      <c r="G14834" s="0" t="s">
        <v>171</v>
      </c>
      <c r="H14834" s="5">
        <v>24.179600</v>
      </c>
    </row>
    <row r="14835" spans="1:9">
      <c r="A14835" s="22" t="str">
        <f>HYPERLINK("https://app.vivvix.com/360/KMI/IntelliDrive/ApplUI/Pages/CreativePages/CustomReportCreativeDetail.aspx?App=23&amp;ReportView=4&amp;Qid=1711279&amp;Row=14827&amp;Col=1","No Title Assigned - #15274385910")</f>
        <v/>
      </c>
      <c r="B14835" s="0" t="s">
        <v>19722</v>
      </c>
      <c r="E14835" s="0" t="inlineStr">
        <is>
          <t xml:space="preserve">Mazda</t>
        </is>
      </c>
      <c r="F14835" s="0" t="inlineStr">
        <is>
          <t xml:space="preserve">Mazda</t>
        </is>
      </c>
      <c r="G14835" s="0" t="s">
        <v>171</v>
      </c>
      <c r="H14835" s="5">
        <v>84.058600</v>
      </c>
    </row>
    <row r="14836" spans="1:9">
      <c r="A14836" s="22" t="str">
        <f>HYPERLINK("https://app.vivvix.com/360/KMI/IntelliDrive/ApplUI/Pages/CreativePages/CustomReportCreativeDetail.aspx?App=23&amp;ReportView=4&amp;Qid=1711279&amp;Row=14828&amp;Col=1","No Title Assigned - #15274386772")</f>
        <v/>
      </c>
      <c r="B14836" s="0" t="s">
        <v>19723</v>
      </c>
      <c r="C14836" s="0" t="s">
        <v>19724</v>
      </c>
      <c r="D14836" s="0" t="s">
        <v>11258</v>
      </c>
      <c r="E14836" s="0" t="inlineStr">
        <is>
          <t xml:space="preserve">Mazda</t>
        </is>
      </c>
      <c r="F14836" s="0" t="s">
        <v>13</v>
      </c>
      <c r="G14836" s="0" t="s">
        <v>49</v>
      </c>
      <c r="H14836" s="5">
        <v>1052.706100</v>
      </c>
    </row>
    <row r="14837" spans="1:9">
      <c r="A14837" s="22" t="str">
        <f>HYPERLINK("https://app.vivvix.com/360/KMI/IntelliDrive/ApplUI/Pages/CreativePages/CustomReportCreativeDetail.aspx?App=23&amp;ReportView=4&amp;Qid=1711279&amp;Row=14829&amp;Col=1","No Title Assigned - #15274386902")</f>
        <v/>
      </c>
      <c r="B14837" s="0" t="s">
        <v>19725</v>
      </c>
      <c r="C14837" s="0" t="s">
        <v>19726</v>
      </c>
      <c r="D14837" s="0" t="s">
        <v>19726</v>
      </c>
      <c r="E14837" s="0" t="inlineStr">
        <is>
          <t xml:space="preserve">Mazda</t>
        </is>
      </c>
      <c r="F14837" s="0" t="s">
        <v>13</v>
      </c>
      <c r="G14837" s="0" t="s">
        <v>49</v>
      </c>
      <c r="H14837" s="5">
        <v>14.012000</v>
      </c>
    </row>
    <row r="14838" spans="1:9">
      <c r="A14838" s="22" t="str">
        <f>HYPERLINK("https://app.vivvix.com/360/KMI/IntelliDrive/ApplUI/Pages/CreativePages/CustomReportCreativeDetail.aspx?App=23&amp;ReportView=4&amp;Qid=1711279&amp;Row=14830&amp;Col=1","No Title Assigned - #15274387316")</f>
        <v/>
      </c>
      <c r="B14838" s="0" t="s">
        <v>19727</v>
      </c>
      <c r="C14838" s="0" t="s">
        <v>19728</v>
      </c>
      <c r="D14838" s="0" t="s">
        <v>10988</v>
      </c>
      <c r="E14838" s="0" t="inlineStr">
        <is>
          <t xml:space="preserve">Mazda</t>
        </is>
      </c>
      <c r="F14838" s="0" t="s">
        <v>13</v>
      </c>
      <c r="G14838" s="0" t="s">
        <v>49</v>
      </c>
      <c r="H14838" s="5">
        <v>1317.622100</v>
      </c>
    </row>
    <row r="14839" spans="1:9">
      <c r="A14839" s="22" t="str">
        <f>HYPERLINK("https://app.vivvix.com/360/KMI/IntelliDrive/ApplUI/Pages/CreativePages/CustomReportCreativeDetail.aspx?App=23&amp;ReportView=4&amp;Qid=1711279&amp;Row=14831&amp;Col=1","No Title Assigned - #15274387554")</f>
        <v/>
      </c>
      <c r="B14839" s="0" t="s">
        <v>19729</v>
      </c>
      <c r="C14839" s="0" t="s">
        <v>19730</v>
      </c>
      <c r="D14839" s="0" t="s">
        <v>19730</v>
      </c>
      <c r="E14839" s="0" t="inlineStr">
        <is>
          <t xml:space="preserve">Mazda</t>
        </is>
      </c>
      <c r="F14839" s="0" t="s">
        <v>13</v>
      </c>
      <c r="G14839" s="0" t="s">
        <v>49</v>
      </c>
      <c r="H14839" s="5">
        <v>2020.783100</v>
      </c>
    </row>
    <row r="14840" spans="1:9">
      <c r="A14840" s="22" t="str">
        <f>HYPERLINK("https://app.vivvix.com/360/KMI/IntelliDrive/ApplUI/Pages/CreativePages/CustomReportCreativeDetail.aspx?App=23&amp;ReportView=4&amp;Qid=1711279&amp;Row=14832&amp;Col=1","No Title Assigned - #15274387619")</f>
        <v/>
      </c>
      <c r="B14840" s="0" t="s">
        <v>19731</v>
      </c>
      <c r="C14840" s="0" t="s">
        <v>19732</v>
      </c>
      <c r="D14840" s="0" t="s">
        <v>6420</v>
      </c>
      <c r="E14840" s="0" t="inlineStr">
        <is>
          <t xml:space="preserve">Mazda</t>
        </is>
      </c>
      <c r="F14840" s="0" t="s">
        <v>13</v>
      </c>
      <c r="G14840" s="0" t="s">
        <v>49</v>
      </c>
      <c r="H14840" s="5">
        <v>159.732300</v>
      </c>
    </row>
    <row r="14841" spans="1:9">
      <c r="A14841" s="22" t="str">
        <f>HYPERLINK("https://app.vivvix.com/360/KMI/IntelliDrive/ApplUI/Pages/CreativePages/CustomReportCreativeDetail.aspx?App=23&amp;ReportView=4&amp;Qid=1711279&amp;Row=14833&amp;Col=1","No Title Assigned - #15274388413")</f>
        <v/>
      </c>
      <c r="B14841" s="0" t="s">
        <v>19733</v>
      </c>
      <c r="C14841" s="0" t="s">
        <v>19734</v>
      </c>
      <c r="D14841" s="0" t="s">
        <v>19734</v>
      </c>
      <c r="E14841" s="0" t="inlineStr">
        <is>
          <t xml:space="preserve">Mazda</t>
        </is>
      </c>
      <c r="F14841" s="0" t="inlineStr">
        <is>
          <t xml:space="preserve">Mazda</t>
        </is>
      </c>
      <c r="G14841" s="0" t="s">
        <v>210</v>
      </c>
      <c r="H14841" s="5">
        <v>162.246600</v>
      </c>
    </row>
    <row r="14842" spans="1:9">
      <c r="A14842" s="22" t="str">
        <f>HYPERLINK("https://app.vivvix.com/360/KMI/IntelliDrive/ApplUI/Pages/CreativePages/CustomReportCreativeDetail.aspx?App=23&amp;ReportView=4&amp;Qid=1711279&amp;Row=14834&amp;Col=1","No Title Assigned - #15274388606")</f>
        <v/>
      </c>
      <c r="B14842" s="0" t="s">
        <v>19735</v>
      </c>
      <c r="E14842" s="0" t="inlineStr">
        <is>
          <t xml:space="preserve">Mazda</t>
        </is>
      </c>
      <c r="F14842" s="0" t="s">
        <v>28</v>
      </c>
      <c r="G14842" s="0" t="s">
        <v>29</v>
      </c>
      <c r="H14842" s="5">
        <v>1078.891100</v>
      </c>
    </row>
    <row r="14843" spans="1:9">
      <c r="A14843" s="22" t="str">
        <f>HYPERLINK("https://app.vivvix.com/360/KMI/IntelliDrive/ApplUI/Pages/CreativePages/CustomReportCreativeDetail.aspx?App=23&amp;ReportView=4&amp;Qid=1711279&amp;Row=14835&amp;Col=1","No Title Assigned - #15274388606")</f>
        <v/>
      </c>
      <c r="B14843" s="0" t="s">
        <v>19735</v>
      </c>
      <c r="C14843" s="0" t="s">
        <v>19736</v>
      </c>
      <c r="D14843" s="0" t="s">
        <v>19736</v>
      </c>
      <c r="E14843" s="0" t="inlineStr">
        <is>
          <t xml:space="preserve">Mazda</t>
        </is>
      </c>
      <c r="F14843" s="0" t="s">
        <v>28</v>
      </c>
      <c r="G14843" s="0" t="s">
        <v>29</v>
      </c>
      <c r="H14843" s="5">
        <v>872.435500</v>
      </c>
    </row>
    <row r="14844" spans="1:9">
      <c r="A14844" s="22" t="str">
        <f>HYPERLINK("https://app.vivvix.com/360/KMI/IntelliDrive/ApplUI/Pages/CreativePages/CustomReportCreativeDetail.aspx?App=23&amp;ReportView=4&amp;Qid=1711279&amp;Row=14836&amp;Col=1","No Title Assigned - #15274389664")</f>
        <v/>
      </c>
      <c r="B14844" s="0" t="s">
        <v>19737</v>
      </c>
      <c r="C14844" s="0" t="s">
        <v>19738</v>
      </c>
      <c r="D14844" s="0" t="s">
        <v>19738</v>
      </c>
      <c r="E14844" s="0" t="inlineStr">
        <is>
          <t xml:space="preserve">Mazda</t>
        </is>
      </c>
      <c r="F14844" s="0" t="s">
        <v>28</v>
      </c>
      <c r="G14844" s="0" t="s">
        <v>29</v>
      </c>
      <c r="H14844" s="5">
        <v>162.710200</v>
      </c>
    </row>
    <row r="14845" spans="1:9">
      <c r="A14845" s="22" t="str">
        <f>HYPERLINK("https://app.vivvix.com/360/KMI/IntelliDrive/ApplUI/Pages/CreativePages/CustomReportCreativeDetail.aspx?App=23&amp;ReportView=4&amp;Qid=1711279&amp;Row=14837&amp;Col=1","No Title Assigned - #15274390271")</f>
        <v/>
      </c>
      <c r="B14845" s="0" t="s">
        <v>19739</v>
      </c>
      <c r="C14845" s="0" t="s">
        <v>19740</v>
      </c>
      <c r="D14845" s="0" t="s">
        <v>6183</v>
      </c>
      <c r="E14845" s="0" t="inlineStr">
        <is>
          <t xml:space="preserve">Mazda</t>
        </is>
      </c>
      <c r="F14845" s="0" t="s">
        <v>13</v>
      </c>
      <c r="G14845" s="0" t="s">
        <v>49</v>
      </c>
      <c r="H14845" s="5">
        <v>117.225200</v>
      </c>
    </row>
    <row r="14846" spans="1:9">
      <c r="A14846" s="22" t="str">
        <f>HYPERLINK("https://app.vivvix.com/360/KMI/IntelliDrive/ApplUI/Pages/CreativePages/CustomReportCreativeDetail.aspx?App=23&amp;ReportView=4&amp;Qid=1711279&amp;Row=14838&amp;Col=1","No Title Assigned - #15274390397")</f>
        <v/>
      </c>
      <c r="B14846" s="0" t="s">
        <v>19741</v>
      </c>
      <c r="E14846" s="0" t="inlineStr">
        <is>
          <t xml:space="preserve">Mazda</t>
        </is>
      </c>
      <c r="F14846" s="0" t="inlineStr">
        <is>
          <t xml:space="preserve">Mazda</t>
        </is>
      </c>
      <c r="G14846" s="0" t="s">
        <v>171</v>
      </c>
      <c r="H14846" s="5">
        <v>9.138600</v>
      </c>
    </row>
    <row r="14847" spans="1:9">
      <c r="A14847" s="22" t="str">
        <f>HYPERLINK("https://app.vivvix.com/360/KMI/IntelliDrive/ApplUI/Pages/CreativePages/CustomReportCreativeDetail.aspx?App=23&amp;ReportView=4&amp;Qid=1711279&amp;Row=14839&amp;Col=1","No Title Assigned - #15274390859")</f>
        <v/>
      </c>
      <c r="B14847" s="0" t="s">
        <v>19742</v>
      </c>
      <c r="C14847" s="0" t="s">
        <v>19743</v>
      </c>
      <c r="D14847" s="0" t="s">
        <v>19743</v>
      </c>
      <c r="E14847" s="0" t="inlineStr">
        <is>
          <t xml:space="preserve">Mazda</t>
        </is>
      </c>
      <c r="F14847" s="0" t="s">
        <v>13</v>
      </c>
      <c r="G14847" s="0" t="s">
        <v>49</v>
      </c>
      <c r="H14847" s="5">
        <v>162.863300</v>
      </c>
    </row>
    <row r="14848" spans="1:9">
      <c r="A14848" s="22" t="str">
        <f>HYPERLINK("https://app.vivvix.com/360/KMI/IntelliDrive/ApplUI/Pages/CreativePages/CustomReportCreativeDetail.aspx?App=23&amp;ReportView=4&amp;Qid=1711279&amp;Row=14840&amp;Col=1","No Title Assigned - #15274391677")</f>
        <v/>
      </c>
      <c r="B14848" s="0" t="s">
        <v>19744</v>
      </c>
      <c r="C14848" s="0" t="s">
        <v>19745</v>
      </c>
      <c r="D14848" s="0" t="s">
        <v>19745</v>
      </c>
      <c r="E14848" s="0" t="inlineStr">
        <is>
          <t xml:space="preserve">Mazda</t>
        </is>
      </c>
      <c r="F14848" s="0" t="s">
        <v>13</v>
      </c>
      <c r="G14848" s="0" t="s">
        <v>49</v>
      </c>
      <c r="H14848" s="5">
        <v>97.692900</v>
      </c>
    </row>
    <row r="14849" spans="1:9">
      <c r="A14849" s="22" t="str">
        <f>HYPERLINK("https://app.vivvix.com/360/KMI/IntelliDrive/ApplUI/Pages/CreativePages/CustomReportCreativeDetail.aspx?App=23&amp;ReportView=4&amp;Qid=1711279&amp;Row=14841&amp;Col=1","No Title Assigned - #15274391812")</f>
        <v/>
      </c>
      <c r="B14849" s="0" t="s">
        <v>19746</v>
      </c>
      <c r="E14849" s="0" t="inlineStr">
        <is>
          <t xml:space="preserve">Mazda</t>
        </is>
      </c>
      <c r="F14849" s="0" t="s">
        <v>13</v>
      </c>
      <c r="G14849" s="0" t="s">
        <v>49</v>
      </c>
      <c r="H14849" s="5">
        <v>2978.642800</v>
      </c>
    </row>
    <row r="14850" spans="1:9">
      <c r="A14850" s="22" t="str">
        <f>HYPERLINK("https://app.vivvix.com/360/KMI/IntelliDrive/ApplUI/Pages/CreativePages/CustomReportCreativeDetail.aspx?App=23&amp;ReportView=4&amp;Qid=1711279&amp;Row=14842&amp;Col=1","No Title Assigned - #15274392256")</f>
        <v/>
      </c>
      <c r="B14850" s="0" t="s">
        <v>19747</v>
      </c>
      <c r="C14850" s="0" t="s">
        <v>19748</v>
      </c>
      <c r="D14850" s="0" t="s">
        <v>19748</v>
      </c>
      <c r="E14850" s="0" t="inlineStr">
        <is>
          <t xml:space="preserve">Mazda</t>
        </is>
      </c>
      <c r="F14850" s="0" t="s">
        <v>13</v>
      </c>
      <c r="G14850" s="0" t="s">
        <v>49</v>
      </c>
      <c r="H14850" s="5">
        <v>86921.164100</v>
      </c>
    </row>
    <row r="14851" spans="1:9">
      <c r="A14851" s="22" t="str">
        <f>HYPERLINK("https://app.vivvix.com/360/KMI/IntelliDrive/ApplUI/Pages/CreativePages/CustomReportCreativeDetail.aspx?App=23&amp;ReportView=4&amp;Qid=1711279&amp;Row=14843&amp;Col=1","No Title Assigned - #15274392350")</f>
        <v/>
      </c>
      <c r="B14851" s="0" t="s">
        <v>19749</v>
      </c>
      <c r="E14851" s="0" t="inlineStr">
        <is>
          <t xml:space="preserve">Mazda</t>
        </is>
      </c>
      <c r="F14851" s="0" t="inlineStr">
        <is>
          <t xml:space="preserve">Mazda</t>
        </is>
      </c>
      <c r="G14851" s="0" t="s">
        <v>171</v>
      </c>
      <c r="H14851" s="5">
        <v>7.956400</v>
      </c>
    </row>
    <row r="14852" spans="1:9">
      <c r="A14852" s="22" t="str">
        <f>HYPERLINK("https://app.vivvix.com/360/KMI/IntelliDrive/ApplUI/Pages/CreativePages/CustomReportCreativeDetail.aspx?App=23&amp;ReportView=4&amp;Qid=1711279&amp;Row=14844&amp;Col=1","No Title Assigned - #15274392828")</f>
        <v/>
      </c>
      <c r="B14852" s="0" t="s">
        <v>19750</v>
      </c>
      <c r="C14852" s="0" t="s">
        <v>19751</v>
      </c>
      <c r="D14852" s="0" t="s">
        <v>19751</v>
      </c>
      <c r="E14852" s="0" t="inlineStr">
        <is>
          <t xml:space="preserve">Mazda</t>
        </is>
      </c>
      <c r="F14852" s="0" t="s">
        <v>28</v>
      </c>
      <c r="G14852" s="0" t="s">
        <v>29</v>
      </c>
      <c r="H14852" s="5">
        <v>5680.578600</v>
      </c>
    </row>
    <row r="14853" spans="1:9">
      <c r="A14853" s="22" t="str">
        <f>HYPERLINK("https://app.vivvix.com/360/KMI/IntelliDrive/ApplUI/Pages/CreativePages/CustomReportCreativeDetail.aspx?App=23&amp;ReportView=4&amp;Qid=1711279&amp;Row=14845&amp;Col=1","No Title Assigned - #15274392842")</f>
        <v/>
      </c>
      <c r="B14853" s="0" t="s">
        <v>19752</v>
      </c>
      <c r="C14853" s="0" t="s">
        <v>19753</v>
      </c>
      <c r="D14853" s="0" t="s">
        <v>14061</v>
      </c>
      <c r="E14853" s="0" t="inlineStr">
        <is>
          <t xml:space="preserve">Mazda</t>
        </is>
      </c>
      <c r="F14853" s="0" t="s">
        <v>28</v>
      </c>
      <c r="G14853" s="0" t="s">
        <v>29</v>
      </c>
      <c r="H14853" s="5">
        <v>476.727600</v>
      </c>
    </row>
    <row r="14854" spans="1:9">
      <c r="A14854" s="22" t="str">
        <f>HYPERLINK("https://app.vivvix.com/360/KMI/IntelliDrive/ApplUI/Pages/CreativePages/CustomReportCreativeDetail.aspx?App=23&amp;ReportView=4&amp;Qid=1711279&amp;Row=14846&amp;Col=1","No Title Assigned - #15274393189")</f>
        <v/>
      </c>
      <c r="B14854" s="0" t="s">
        <v>19754</v>
      </c>
      <c r="C14854" s="0" t="s">
        <v>19755</v>
      </c>
      <c r="D14854" s="0" t="s">
        <v>8553</v>
      </c>
      <c r="E14854" s="0" t="inlineStr">
        <is>
          <t xml:space="preserve">Mazda</t>
        </is>
      </c>
      <c r="F14854" s="0" t="s">
        <v>13</v>
      </c>
      <c r="G14854" s="0" t="s">
        <v>49</v>
      </c>
      <c r="H14854" s="5">
        <v>953.694300</v>
      </c>
    </row>
    <row r="14855" spans="1:9">
      <c r="A14855" s="22" t="str">
        <f>HYPERLINK("https://app.vivvix.com/360/KMI/IntelliDrive/ApplUI/Pages/CreativePages/CustomReportCreativeDetail.aspx?App=23&amp;ReportView=4&amp;Qid=1711279&amp;Row=14847&amp;Col=1","No Title Assigned - #15274393471")</f>
        <v/>
      </c>
      <c r="B14855" s="0" t="s">
        <v>19756</v>
      </c>
      <c r="E14855" s="0" t="inlineStr">
        <is>
          <t xml:space="preserve">Mazda</t>
        </is>
      </c>
      <c r="F14855" s="0" t="s">
        <v>13</v>
      </c>
      <c r="G14855" s="0" t="s">
        <v>49</v>
      </c>
      <c r="H14855" s="5">
        <v>10.347600</v>
      </c>
    </row>
    <row r="14856" spans="1:9">
      <c r="A14856" s="22" t="str">
        <f>HYPERLINK("https://app.vivvix.com/360/KMI/IntelliDrive/ApplUI/Pages/CreativePages/CustomReportCreativeDetail.aspx?App=23&amp;ReportView=4&amp;Qid=1711279&amp;Row=14848&amp;Col=1","No Title Assigned - #15274394332")</f>
        <v/>
      </c>
      <c r="B14856" s="0" t="s">
        <v>19757</v>
      </c>
      <c r="C14856" s="0" t="s">
        <v>19758</v>
      </c>
      <c r="D14856" s="0" t="s">
        <v>19758</v>
      </c>
      <c r="E14856" s="0" t="inlineStr">
        <is>
          <t xml:space="preserve">Mazda</t>
        </is>
      </c>
      <c r="F14856" s="0" t="s">
        <v>13</v>
      </c>
      <c r="G14856" s="0" t="s">
        <v>49</v>
      </c>
      <c r="H14856" s="5">
        <v>6439.889000</v>
      </c>
    </row>
    <row r="14857" spans="1:9">
      <c r="A14857" s="22" t="str">
        <f>HYPERLINK("https://app.vivvix.com/360/KMI/IntelliDrive/ApplUI/Pages/CreativePages/CustomReportCreativeDetail.aspx?App=23&amp;ReportView=4&amp;Qid=1711279&amp;Row=14849&amp;Col=1","No Title Assigned - #15274394710")</f>
        <v/>
      </c>
      <c r="B14857" s="0" t="s">
        <v>19759</v>
      </c>
      <c r="C14857" s="0" t="s">
        <v>19760</v>
      </c>
      <c r="D14857" s="0" t="s">
        <v>19760</v>
      </c>
      <c r="E14857" s="0" t="inlineStr">
        <is>
          <t xml:space="preserve">Mazda</t>
        </is>
      </c>
      <c r="F14857" s="0" t="s">
        <v>13</v>
      </c>
      <c r="G14857" s="0" t="s">
        <v>49</v>
      </c>
      <c r="H14857" s="5">
        <v>708.247000</v>
      </c>
    </row>
    <row r="14858" spans="1:9">
      <c r="A14858" s="22" t="str">
        <f>HYPERLINK("https://app.vivvix.com/360/KMI/IntelliDrive/ApplUI/Pages/CreativePages/CustomReportCreativeDetail.aspx?App=23&amp;ReportView=4&amp;Qid=1711279&amp;Row=14850&amp;Col=1","No Title Assigned - #15274394866")</f>
        <v/>
      </c>
      <c r="B14858" s="0" t="s">
        <v>19761</v>
      </c>
      <c r="E14858" s="0" t="inlineStr">
        <is>
          <t xml:space="preserve">Mazda</t>
        </is>
      </c>
      <c r="F14858" s="0" t="inlineStr">
        <is>
          <t xml:space="preserve">Mazda</t>
        </is>
      </c>
      <c r="G14858" s="0" t="s">
        <v>171</v>
      </c>
      <c r="H14858" s="5">
        <v>802.294400</v>
      </c>
    </row>
    <row r="14859" spans="1:9">
      <c r="A14859" s="22" t="str">
        <f>HYPERLINK("https://app.vivvix.com/360/KMI/IntelliDrive/ApplUI/Pages/CreativePages/CustomReportCreativeDetail.aspx?App=23&amp;ReportView=4&amp;Qid=1711279&amp;Row=14851&amp;Col=1","No Title Assigned - #15274394939")</f>
        <v/>
      </c>
      <c r="B14859" s="0" t="s">
        <v>19762</v>
      </c>
      <c r="E14859" s="0" t="inlineStr">
        <is>
          <t xml:space="preserve">Mazda</t>
        </is>
      </c>
      <c r="F14859" s="0" t="inlineStr">
        <is>
          <t xml:space="preserve">Mazda</t>
        </is>
      </c>
      <c r="G14859" s="0" t="s">
        <v>171</v>
      </c>
      <c r="H14859" s="5">
        <v>245.953300</v>
      </c>
    </row>
    <row r="14860" spans="1:9">
      <c r="A14860" s="22" t="str">
        <f>HYPERLINK("https://app.vivvix.com/360/KMI/IntelliDrive/ApplUI/Pages/CreativePages/CustomReportCreativeDetail.aspx?App=23&amp;ReportView=4&amp;Qid=1711279&amp;Row=14852&amp;Col=1","No Title Assigned - #15274396029")</f>
        <v/>
      </c>
      <c r="B14860" s="0" t="s">
        <v>19763</v>
      </c>
      <c r="E14860" s="0" t="inlineStr">
        <is>
          <t xml:space="preserve">Mazda</t>
        </is>
      </c>
      <c r="F14860" s="0" t="inlineStr">
        <is>
          <t xml:space="preserve">Mazda</t>
        </is>
      </c>
      <c r="G14860" s="0" t="s">
        <v>171</v>
      </c>
      <c r="H14860" s="5">
        <v>20.171500</v>
      </c>
    </row>
    <row r="14861" spans="1:9">
      <c r="A14861" s="22" t="str">
        <f>HYPERLINK("https://app.vivvix.com/360/KMI/IntelliDrive/ApplUI/Pages/CreativePages/CustomReportCreativeDetail.aspx?App=23&amp;ReportView=4&amp;Qid=1711279&amp;Row=14853&amp;Col=1","No Title Assigned - #15274397075")</f>
        <v/>
      </c>
      <c r="B14861" s="0" t="s">
        <v>19764</v>
      </c>
      <c r="E14861" s="0" t="inlineStr">
        <is>
          <t xml:space="preserve">Mazda</t>
        </is>
      </c>
      <c r="F14861" s="0" t="inlineStr">
        <is>
          <t xml:space="preserve">Mazda</t>
        </is>
      </c>
      <c r="G14861" s="0" t="s">
        <v>171</v>
      </c>
      <c r="H14861" s="5">
        <v>112.523800</v>
      </c>
    </row>
    <row r="14862" spans="1:9">
      <c r="A14862" s="22" t="str">
        <f>HYPERLINK("https://app.vivvix.com/360/KMI/IntelliDrive/ApplUI/Pages/CreativePages/CustomReportCreativeDetail.aspx?App=23&amp;ReportView=4&amp;Qid=1711279&amp;Row=14854&amp;Col=1","No Title Assigned - #15274397595")</f>
        <v/>
      </c>
      <c r="B14862" s="0" t="s">
        <v>19765</v>
      </c>
      <c r="C14862" s="0" t="s">
        <v>19766</v>
      </c>
      <c r="D14862" s="0" t="s">
        <v>19766</v>
      </c>
      <c r="E14862" s="0" t="inlineStr">
        <is>
          <t xml:space="preserve">Mazda</t>
        </is>
      </c>
      <c r="F14862" s="0" t="inlineStr">
        <is>
          <t xml:space="preserve">Mazda</t>
        </is>
      </c>
      <c r="G14862" s="0" t="s">
        <v>171</v>
      </c>
      <c r="H14862" s="5">
        <v>1357.026500</v>
      </c>
    </row>
    <row r="14863" spans="1:9">
      <c r="A14863" s="22" t="str">
        <f>HYPERLINK("https://app.vivvix.com/360/KMI/IntelliDrive/ApplUI/Pages/CreativePages/CustomReportCreativeDetail.aspx?App=23&amp;ReportView=4&amp;Qid=1711279&amp;Row=14855&amp;Col=1","No Title Assigned - #15274398035")</f>
        <v/>
      </c>
      <c r="B14863" s="0" t="s">
        <v>19767</v>
      </c>
      <c r="E14863" s="0" t="inlineStr">
        <is>
          <t xml:space="preserve">Mazda</t>
        </is>
      </c>
      <c r="F14863" s="0" t="inlineStr">
        <is>
          <t xml:space="preserve">Mazda</t>
        </is>
      </c>
      <c r="G14863" s="0" t="s">
        <v>171</v>
      </c>
      <c r="H14863" s="5">
        <v>190.532500</v>
      </c>
    </row>
    <row r="14864" spans="1:9">
      <c r="A14864" s="22" t="str">
        <f>HYPERLINK("https://app.vivvix.com/360/KMI/IntelliDrive/ApplUI/Pages/CreativePages/CustomReportCreativeDetail.aspx?App=23&amp;ReportView=4&amp;Qid=1711279&amp;Row=14856&amp;Col=1","No Title Assigned - #15274398271")</f>
        <v/>
      </c>
      <c r="B14864" s="0" t="s">
        <v>19768</v>
      </c>
      <c r="C14864" s="0" t="s">
        <v>19769</v>
      </c>
      <c r="D14864" s="0" t="s">
        <v>19769</v>
      </c>
      <c r="E14864" s="0" t="inlineStr">
        <is>
          <t xml:space="preserve">Mazda</t>
        </is>
      </c>
      <c r="F14864" s="0" t="inlineStr">
        <is>
          <t xml:space="preserve">Mazda</t>
        </is>
      </c>
      <c r="G14864" s="0" t="s">
        <v>171</v>
      </c>
      <c r="H14864" s="5">
        <v>1465.540000</v>
      </c>
    </row>
    <row r="14865" spans="1:9">
      <c r="A14865" s="22" t="str">
        <f>HYPERLINK("https://app.vivvix.com/360/KMI/IntelliDrive/ApplUI/Pages/CreativePages/CustomReportCreativeDetail.aspx?App=23&amp;ReportView=4&amp;Qid=1711279&amp;Row=14857&amp;Col=1","No Title Assigned - #15274399627")</f>
        <v/>
      </c>
      <c r="B14865" s="0" t="s">
        <v>19770</v>
      </c>
      <c r="E14865" s="0" t="inlineStr">
        <is>
          <t xml:space="preserve">Mazda</t>
        </is>
      </c>
      <c r="F14865" s="0" t="inlineStr">
        <is>
          <t xml:space="preserve">Mazda</t>
        </is>
      </c>
      <c r="G14865" s="0" t="s">
        <v>171</v>
      </c>
      <c r="H14865" s="5">
        <v>56.150900</v>
      </c>
    </row>
    <row r="14866" spans="1:9">
      <c r="A14866" s="22" t="str">
        <f>HYPERLINK("https://app.vivvix.com/360/KMI/IntelliDrive/ApplUI/Pages/CreativePages/CustomReportCreativeDetail.aspx?App=23&amp;ReportView=4&amp;Qid=1711279&amp;Row=14858&amp;Col=1","No Title Assigned - #15274400336")</f>
        <v/>
      </c>
      <c r="B14866" s="0" t="s">
        <v>19771</v>
      </c>
      <c r="E14866" s="0" t="inlineStr">
        <is>
          <t xml:space="preserve">Mazda</t>
        </is>
      </c>
      <c r="F14866" s="0" t="inlineStr">
        <is>
          <t xml:space="preserve">Mazda</t>
        </is>
      </c>
      <c r="G14866" s="0" t="s">
        <v>171</v>
      </c>
      <c r="H14866" s="5">
        <v>185.853500</v>
      </c>
    </row>
    <row r="14867" spans="1:9">
      <c r="A14867" s="22" t="str">
        <f>HYPERLINK("https://app.vivvix.com/360/KMI/IntelliDrive/ApplUI/Pages/CreativePages/CustomReportCreativeDetail.aspx?App=23&amp;ReportView=4&amp;Qid=1711279&amp;Row=14859&amp;Col=1","No Title Assigned - #15274400768")</f>
        <v/>
      </c>
      <c r="B14867" s="0" t="s">
        <v>19772</v>
      </c>
      <c r="E14867" s="0" t="inlineStr">
        <is>
          <t xml:space="preserve">Mazda</t>
        </is>
      </c>
      <c r="F14867" s="0" t="inlineStr">
        <is>
          <t xml:space="preserve">Mazda</t>
        </is>
      </c>
      <c r="G14867" s="0" t="s">
        <v>171</v>
      </c>
      <c r="H14867" s="5">
        <v>701.227700</v>
      </c>
    </row>
    <row r="14868" spans="1:9">
      <c r="A14868" s="22" t="str">
        <f>HYPERLINK("https://app.vivvix.com/360/KMI/IntelliDrive/ApplUI/Pages/CreativePages/CustomReportCreativeDetail.aspx?App=23&amp;ReportView=4&amp;Qid=1711279&amp;Row=14860&amp;Col=1","No Title Assigned - #15274401842")</f>
        <v/>
      </c>
      <c r="B14868" s="0" t="s">
        <v>19773</v>
      </c>
      <c r="E14868" s="0" t="inlineStr">
        <is>
          <t xml:space="preserve">Mazda</t>
        </is>
      </c>
      <c r="F14868" s="0" t="inlineStr">
        <is>
          <t xml:space="preserve">Mazda</t>
        </is>
      </c>
      <c r="G14868" s="0" t="s">
        <v>171</v>
      </c>
      <c r="H14868" s="5">
        <v>20.171500</v>
      </c>
    </row>
    <row r="14869" spans="1:9">
      <c r="A14869" s="22" t="str">
        <f>HYPERLINK("https://app.vivvix.com/360/KMI/IntelliDrive/ApplUI/Pages/CreativePages/CustomReportCreativeDetail.aspx?App=23&amp;ReportView=4&amp;Qid=1711279&amp;Row=14861&amp;Col=1","No Title Assigned - #15274402130")</f>
        <v/>
      </c>
      <c r="B14869" s="0" t="s">
        <v>19774</v>
      </c>
      <c r="E14869" s="0" t="inlineStr">
        <is>
          <t xml:space="preserve">Mazda</t>
        </is>
      </c>
      <c r="F14869" s="0" t="inlineStr">
        <is>
          <t xml:space="preserve">Mazda</t>
        </is>
      </c>
      <c r="G14869" s="0" t="s">
        <v>171</v>
      </c>
      <c r="H14869" s="5">
        <v>22.916600</v>
      </c>
    </row>
    <row r="14870" spans="1:9">
      <c r="A14870" s="22" t="str">
        <f>HYPERLINK("https://app.vivvix.com/360/KMI/IntelliDrive/ApplUI/Pages/CreativePages/CustomReportCreativeDetail.aspx?App=23&amp;ReportView=4&amp;Qid=1711279&amp;Row=14862&amp;Col=1","No Title Assigned - #15274402134")</f>
        <v/>
      </c>
      <c r="B14870" s="0" t="s">
        <v>19775</v>
      </c>
      <c r="E14870" s="0" t="inlineStr">
        <is>
          <t xml:space="preserve">Mazda</t>
        </is>
      </c>
      <c r="F14870" s="0" t="inlineStr">
        <is>
          <t xml:space="preserve">Mazda</t>
        </is>
      </c>
      <c r="G14870" s="0" t="s">
        <v>171</v>
      </c>
      <c r="H14870" s="5">
        <v>90.187100</v>
      </c>
    </row>
    <row r="14871" spans="1:9">
      <c r="A14871" s="22" t="str">
        <f>HYPERLINK("https://app.vivvix.com/360/KMI/IntelliDrive/ApplUI/Pages/CreativePages/CustomReportCreativeDetail.aspx?App=23&amp;ReportView=4&amp;Qid=1711279&amp;Row=14863&amp;Col=1","No Title Assigned - #15274402658")</f>
        <v/>
      </c>
      <c r="B14871" s="0" t="s">
        <v>19776</v>
      </c>
      <c r="E14871" s="0" t="inlineStr">
        <is>
          <t xml:space="preserve">Mazda</t>
        </is>
      </c>
      <c r="F14871" s="0" t="inlineStr">
        <is>
          <t xml:space="preserve">Mazda</t>
        </is>
      </c>
      <c r="G14871" s="0" t="s">
        <v>171</v>
      </c>
      <c r="H14871" s="5">
        <v>17.453800</v>
      </c>
    </row>
    <row r="14872" spans="1:9">
      <c r="A14872" s="22" t="str">
        <f>HYPERLINK("https://app.vivvix.com/360/KMI/IntelliDrive/ApplUI/Pages/CreativePages/CustomReportCreativeDetail.aspx?App=23&amp;ReportView=4&amp;Qid=1711279&amp;Row=14864&amp;Col=1","No Title Assigned - #15274402831")</f>
        <v/>
      </c>
      <c r="B14872" s="0" t="s">
        <v>19777</v>
      </c>
      <c r="E14872" s="0" t="inlineStr">
        <is>
          <t xml:space="preserve">Mazda</t>
        </is>
      </c>
      <c r="F14872" s="0" t="inlineStr">
        <is>
          <t xml:space="preserve">Mazda</t>
        </is>
      </c>
      <c r="G14872" s="0" t="s">
        <v>171</v>
      </c>
      <c r="H14872" s="5">
        <v>34.979000</v>
      </c>
    </row>
    <row r="14873" spans="1:9">
      <c r="A14873" s="22" t="str">
        <f>HYPERLINK("https://app.vivvix.com/360/KMI/IntelliDrive/ApplUI/Pages/CreativePages/CustomReportCreativeDetail.aspx?App=23&amp;ReportView=4&amp;Qid=1711279&amp;Row=14865&amp;Col=1","No Title Assigned - #15274403290")</f>
        <v/>
      </c>
      <c r="B14873" s="0" t="s">
        <v>19778</v>
      </c>
      <c r="C14873" s="0" t="s">
        <v>19779</v>
      </c>
      <c r="D14873" s="0" t="s">
        <v>19779</v>
      </c>
      <c r="E14873" s="0" t="inlineStr">
        <is>
          <t xml:space="preserve">Mazda</t>
        </is>
      </c>
      <c r="F14873" s="0" t="inlineStr">
        <is>
          <t xml:space="preserve">Mazda</t>
        </is>
      </c>
      <c r="G14873" s="0" t="s">
        <v>171</v>
      </c>
      <c r="H14873" s="5">
        <v>1106.003100</v>
      </c>
    </row>
    <row r="14874" spans="1:9">
      <c r="A14874" s="22" t="str">
        <f>HYPERLINK("https://app.vivvix.com/360/KMI/IntelliDrive/ApplUI/Pages/CreativePages/CustomReportCreativeDetail.aspx?App=23&amp;ReportView=4&amp;Qid=1711279&amp;Row=14866&amp;Col=1","No Title Assigned - #15274404923")</f>
        <v/>
      </c>
      <c r="B14874" s="0" t="s">
        <v>19780</v>
      </c>
      <c r="E14874" s="0" t="inlineStr">
        <is>
          <t xml:space="preserve">Mazda</t>
        </is>
      </c>
      <c r="F14874" s="0" t="inlineStr">
        <is>
          <t xml:space="preserve">Mazda</t>
        </is>
      </c>
      <c r="G14874" s="0" t="s">
        <v>171</v>
      </c>
      <c r="H14874" s="5">
        <v>1.787400</v>
      </c>
    </row>
    <row r="14875" spans="1:9">
      <c r="A14875" s="22" t="str">
        <f>HYPERLINK("https://app.vivvix.com/360/KMI/IntelliDrive/ApplUI/Pages/CreativePages/CustomReportCreativeDetail.aspx?App=23&amp;ReportView=4&amp;Qid=1711279&amp;Row=14867&amp;Col=1","No Title Assigned - #15274405239")</f>
        <v/>
      </c>
      <c r="B14875" s="0" t="s">
        <v>19781</v>
      </c>
      <c r="E14875" s="0" t="inlineStr">
        <is>
          <t xml:space="preserve">Mazda</t>
        </is>
      </c>
      <c r="F14875" s="0" t="inlineStr">
        <is>
          <t xml:space="preserve">Mazda</t>
        </is>
      </c>
      <c r="G14875" s="0" t="s">
        <v>171</v>
      </c>
      <c r="H14875" s="5">
        <v>61.381000</v>
      </c>
    </row>
    <row r="14876" spans="1:9">
      <c r="A14876" s="22" t="str">
        <f>HYPERLINK("https://app.vivvix.com/360/KMI/IntelliDrive/ApplUI/Pages/CreativePages/CustomReportCreativeDetail.aspx?App=23&amp;ReportView=4&amp;Qid=1711279&amp;Row=14868&amp;Col=1","No Title Assigned - #15274405280")</f>
        <v/>
      </c>
      <c r="B14876" s="0" t="s">
        <v>19782</v>
      </c>
      <c r="C14876" s="0" t="s">
        <v>19783</v>
      </c>
      <c r="D14876" s="0" t="s">
        <v>19783</v>
      </c>
      <c r="E14876" s="0" t="inlineStr">
        <is>
          <t xml:space="preserve">Mazda</t>
        </is>
      </c>
      <c r="F14876" s="0" t="s">
        <v>13</v>
      </c>
      <c r="G14876" s="0" t="s">
        <v>49</v>
      </c>
      <c r="H14876" s="5">
        <v>25.589700</v>
      </c>
    </row>
    <row r="14877" spans="1:9">
      <c r="A14877" s="22" t="str">
        <f>HYPERLINK("https://app.vivvix.com/360/KMI/IntelliDrive/ApplUI/Pages/CreativePages/CustomReportCreativeDetail.aspx?App=23&amp;ReportView=4&amp;Qid=1711279&amp;Row=14869&amp;Col=1","No Title Assigned - #15274405288")</f>
        <v/>
      </c>
      <c r="B14877" s="0" t="s">
        <v>19784</v>
      </c>
      <c r="E14877" s="0" t="inlineStr">
        <is>
          <t xml:space="preserve">Mazda</t>
        </is>
      </c>
      <c r="F14877" s="0" t="inlineStr">
        <is>
          <t xml:space="preserve">Mazda</t>
        </is>
      </c>
      <c r="G14877" s="0" t="s">
        <v>171</v>
      </c>
      <c r="H14877" s="5">
        <v>236.098600</v>
      </c>
    </row>
    <row r="14878" spans="1:9">
      <c r="A14878" s="22" t="str">
        <f>HYPERLINK("https://app.vivvix.com/360/KMI/IntelliDrive/ApplUI/Pages/CreativePages/CustomReportCreativeDetail.aspx?App=23&amp;ReportView=4&amp;Qid=1711279&amp;Row=14870&amp;Col=1","No Title Assigned - #15274405868")</f>
        <v/>
      </c>
      <c r="B14878" s="0" t="s">
        <v>19785</v>
      </c>
      <c r="E14878" s="0" t="inlineStr">
        <is>
          <t xml:space="preserve">Mazda</t>
        </is>
      </c>
      <c r="F14878" s="0" t="inlineStr">
        <is>
          <t xml:space="preserve">Mazda</t>
        </is>
      </c>
      <c r="G14878" s="0" t="s">
        <v>171</v>
      </c>
      <c r="H14878" s="5">
        <v>158.206400</v>
      </c>
    </row>
    <row r="14879" spans="1:9">
      <c r="A14879" s="22" t="str">
        <f>HYPERLINK("https://app.vivvix.com/360/KMI/IntelliDrive/ApplUI/Pages/CreativePages/CustomReportCreativeDetail.aspx?App=23&amp;ReportView=4&amp;Qid=1711279&amp;Row=14871&amp;Col=1","No Title Assigned - #15274405943")</f>
        <v/>
      </c>
      <c r="B14879" s="0" t="s">
        <v>19786</v>
      </c>
      <c r="E14879" s="0" t="inlineStr">
        <is>
          <t xml:space="preserve">Mazda</t>
        </is>
      </c>
      <c r="F14879" s="0" t="inlineStr">
        <is>
          <t xml:space="preserve">Mazda</t>
        </is>
      </c>
      <c r="G14879" s="0" t="s">
        <v>171</v>
      </c>
      <c r="H14879" s="5">
        <v>134.785800</v>
      </c>
    </row>
    <row r="14880" spans="1:9">
      <c r="A14880" s="22" t="str">
        <f>HYPERLINK("https://app.vivvix.com/360/KMI/IntelliDrive/ApplUI/Pages/CreativePages/CustomReportCreativeDetail.aspx?App=23&amp;ReportView=4&amp;Qid=1711279&amp;Row=14872&amp;Col=1","No Title Assigned - #15274405982")</f>
        <v/>
      </c>
      <c r="B14880" s="0" t="s">
        <v>19787</v>
      </c>
      <c r="E14880" s="0" t="inlineStr">
        <is>
          <t xml:space="preserve">Mazda</t>
        </is>
      </c>
      <c r="F14880" s="0" t="inlineStr">
        <is>
          <t xml:space="preserve">Mazda</t>
        </is>
      </c>
      <c r="G14880" s="0" t="s">
        <v>171</v>
      </c>
      <c r="H14880" s="5">
        <v>1.787400</v>
      </c>
    </row>
    <row r="14881" spans="1:9">
      <c r="A14881" s="22" t="str">
        <f>HYPERLINK("https://app.vivvix.com/360/KMI/IntelliDrive/ApplUI/Pages/CreativePages/CustomReportCreativeDetail.aspx?App=23&amp;ReportView=4&amp;Qid=1711279&amp;Row=14873&amp;Col=1","No Title Assigned - #15274408549")</f>
        <v/>
      </c>
      <c r="B14881" s="0" t="s">
        <v>19788</v>
      </c>
      <c r="E14881" s="0" t="inlineStr">
        <is>
          <t xml:space="preserve">Mazda</t>
        </is>
      </c>
      <c r="F14881" s="0" t="inlineStr">
        <is>
          <t xml:space="preserve">Mazda</t>
        </is>
      </c>
      <c r="G14881" s="0" t="s">
        <v>171</v>
      </c>
      <c r="H14881" s="5">
        <v>192.871600</v>
      </c>
    </row>
    <row r="14882" spans="1:9">
      <c r="A14882" s="22" t="str">
        <f>HYPERLINK("https://app.vivvix.com/360/KMI/IntelliDrive/ApplUI/Pages/CreativePages/CustomReportCreativeDetail.aspx?App=23&amp;ReportView=4&amp;Qid=1711279&amp;Row=14874&amp;Col=1","No Title Assigned - #15274410214")</f>
        <v/>
      </c>
      <c r="B14882" s="0" t="s">
        <v>19789</v>
      </c>
      <c r="E14882" s="0" t="inlineStr">
        <is>
          <t xml:space="preserve">Mazda</t>
        </is>
      </c>
      <c r="F14882" s="0" t="inlineStr">
        <is>
          <t xml:space="preserve">Mazda</t>
        </is>
      </c>
      <c r="G14882" s="0" t="s">
        <v>171</v>
      </c>
      <c r="H14882" s="5">
        <v>293.717400</v>
      </c>
    </row>
    <row r="14883" spans="1:9">
      <c r="A14883" s="22" t="str">
        <f>HYPERLINK("https://app.vivvix.com/360/KMI/IntelliDrive/ApplUI/Pages/CreativePages/CustomReportCreativeDetail.aspx?App=23&amp;ReportView=4&amp;Qid=1711279&amp;Row=14875&amp;Col=1","No Title Assigned - #15274411319")</f>
        <v/>
      </c>
      <c r="B14883" s="0" t="s">
        <v>19790</v>
      </c>
      <c r="E14883" s="0" t="inlineStr">
        <is>
          <t xml:space="preserve">Mazda</t>
        </is>
      </c>
      <c r="F14883" s="0" t="inlineStr">
        <is>
          <t xml:space="preserve">Mazda</t>
        </is>
      </c>
      <c r="G14883" s="0" t="s">
        <v>171</v>
      </c>
      <c r="H14883" s="5">
        <v>59.530600</v>
      </c>
    </row>
    <row r="14884" spans="1:9">
      <c r="A14884" s="22" t="str">
        <f>HYPERLINK("https://app.vivvix.com/360/KMI/IntelliDrive/ApplUI/Pages/CreativePages/CustomReportCreativeDetail.aspx?App=23&amp;ReportView=4&amp;Qid=1711279&amp;Row=14876&amp;Col=1","No Title Assigned - #15274411722")</f>
        <v/>
      </c>
      <c r="B14884" s="0" t="s">
        <v>19791</v>
      </c>
      <c r="E14884" s="0" t="inlineStr">
        <is>
          <t xml:space="preserve">Mazda</t>
        </is>
      </c>
      <c r="F14884" s="0" t="inlineStr">
        <is>
          <t xml:space="preserve">Mazda</t>
        </is>
      </c>
      <c r="G14884" s="0" t="s">
        <v>171</v>
      </c>
      <c r="H14884" s="5">
        <v>1898.832000</v>
      </c>
    </row>
    <row r="14885" spans="1:9">
      <c r="A14885" s="22" t="str">
        <f>HYPERLINK("https://app.vivvix.com/360/KMI/IntelliDrive/ApplUI/Pages/CreativePages/CustomReportCreativeDetail.aspx?App=23&amp;ReportView=4&amp;Qid=1711279&amp;Row=14877&amp;Col=1","No Title Assigned - #15274417193")</f>
        <v/>
      </c>
      <c r="B14885" s="0" t="s">
        <v>19792</v>
      </c>
      <c r="E14885" s="0" t="inlineStr">
        <is>
          <t xml:space="preserve">Mazda</t>
        </is>
      </c>
      <c r="F14885" s="0" t="inlineStr">
        <is>
          <t xml:space="preserve">Mazda</t>
        </is>
      </c>
      <c r="G14885" s="0" t="s">
        <v>171</v>
      </c>
      <c r="H14885" s="5">
        <v>8.341600</v>
      </c>
    </row>
    <row r="14886" spans="1:9">
      <c r="A14886" s="22" t="str">
        <f>HYPERLINK("https://app.vivvix.com/360/KMI/IntelliDrive/ApplUI/Pages/CreativePages/CustomReportCreativeDetail.aspx?App=23&amp;ReportView=4&amp;Qid=1711279&amp;Row=14878&amp;Col=1","No Title Assigned - #15274419483")</f>
        <v/>
      </c>
      <c r="B14886" s="0" t="s">
        <v>19793</v>
      </c>
      <c r="E14886" s="0" t="inlineStr">
        <is>
          <t xml:space="preserve">Mazda</t>
        </is>
      </c>
      <c r="F14886" s="0" t="inlineStr">
        <is>
          <t xml:space="preserve">Mazda</t>
        </is>
      </c>
      <c r="G14886" s="0" t="s">
        <v>171</v>
      </c>
      <c r="H14886" s="5">
        <v>3180.045100</v>
      </c>
    </row>
    <row r="14887" spans="1:9">
      <c r="A14887" s="22" t="str">
        <f>HYPERLINK("https://app.vivvix.com/360/KMI/IntelliDrive/ApplUI/Pages/CreativePages/CustomReportCreativeDetail.aspx?App=23&amp;ReportView=4&amp;Qid=1711279&amp;Row=14879&amp;Col=1","No Title Assigned - #15274419483")</f>
        <v/>
      </c>
      <c r="B14887" s="0" t="s">
        <v>19793</v>
      </c>
      <c r="E14887" s="0" t="inlineStr">
        <is>
          <t xml:space="preserve">Mazda</t>
        </is>
      </c>
      <c r="F14887" s="0" t="inlineStr">
        <is>
          <t xml:space="preserve">Mazda</t>
        </is>
      </c>
      <c r="G14887" s="0" t="s">
        <v>171</v>
      </c>
      <c r="H14887" s="5">
        <v>1394.653600</v>
      </c>
    </row>
    <row r="14888" spans="1:9">
      <c r="A14888" s="22" t="str">
        <f>HYPERLINK("https://app.vivvix.com/360/KMI/IntelliDrive/ApplUI/Pages/CreativePages/CustomReportCreativeDetail.aspx?App=23&amp;ReportView=4&amp;Qid=1711279&amp;Row=14880&amp;Col=1","No Title Assigned - #15274425933")</f>
        <v/>
      </c>
      <c r="B14888" s="0" t="s">
        <v>19794</v>
      </c>
      <c r="E14888" s="0" t="inlineStr">
        <is>
          <t xml:space="preserve">Mazda</t>
        </is>
      </c>
      <c r="F14888" s="0" t="inlineStr">
        <is>
          <t xml:space="preserve">Mazda</t>
        </is>
      </c>
      <c r="G14888" s="0" t="s">
        <v>171</v>
      </c>
      <c r="H14888" s="5">
        <v>39.424200</v>
      </c>
    </row>
    <row r="14889" spans="1:9">
      <c r="A14889" s="22" t="str">
        <f>HYPERLINK("https://app.vivvix.com/360/KMI/IntelliDrive/ApplUI/Pages/CreativePages/CustomReportCreativeDetail.aspx?App=23&amp;ReportView=4&amp;Qid=1711279&amp;Row=14881&amp;Col=1","No Title Assigned - #15274426131")</f>
        <v/>
      </c>
      <c r="B14889" s="0" t="s">
        <v>19795</v>
      </c>
      <c r="E14889" s="0" t="inlineStr">
        <is>
          <t xml:space="preserve">Mazda</t>
        </is>
      </c>
      <c r="F14889" s="0" t="inlineStr">
        <is>
          <t xml:space="preserve">Mazda</t>
        </is>
      </c>
      <c r="G14889" s="0" t="s">
        <v>171</v>
      </c>
      <c r="H14889" s="5">
        <v>101.776600</v>
      </c>
    </row>
    <row r="14890" spans="1:9">
      <c r="A14890" s="22" t="str">
        <f>HYPERLINK("https://app.vivvix.com/360/KMI/IntelliDrive/ApplUI/Pages/CreativePages/CustomReportCreativeDetail.aspx?App=23&amp;ReportView=4&amp;Qid=1711279&amp;Row=14882&amp;Col=1","No Title Assigned - #15274453806")</f>
        <v/>
      </c>
      <c r="B14890" s="0" t="s">
        <v>19796</v>
      </c>
      <c r="C14890" s="0" t="s">
        <v>19797</v>
      </c>
      <c r="D14890" s="0" t="s">
        <v>9167</v>
      </c>
      <c r="E14890" s="0" t="inlineStr">
        <is>
          <t xml:space="preserve">Mazda</t>
        </is>
      </c>
      <c r="F14890" s="0" t="s">
        <v>13</v>
      </c>
      <c r="G14890" s="0" t="s">
        <v>49</v>
      </c>
      <c r="H14890" s="5">
        <v>44.123400</v>
      </c>
    </row>
    <row r="14891" spans="1:9">
      <c r="A14891" s="22" t="str">
        <f>HYPERLINK("https://app.vivvix.com/360/KMI/IntelliDrive/ApplUI/Pages/CreativePages/CustomReportCreativeDetail.aspx?App=23&amp;ReportView=4&amp;Qid=1711279&amp;Row=14883&amp;Col=1","No Title Assigned - #15274453808")</f>
        <v/>
      </c>
      <c r="B14891" s="0" t="s">
        <v>19798</v>
      </c>
      <c r="C14891" s="0" t="s">
        <v>19799</v>
      </c>
      <c r="D14891" s="0" t="s">
        <v>13101</v>
      </c>
      <c r="E14891" s="0" t="inlineStr">
        <is>
          <t xml:space="preserve">Mazda</t>
        </is>
      </c>
      <c r="F14891" s="0" t="s">
        <v>13</v>
      </c>
      <c r="G14891" s="0" t="s">
        <v>49</v>
      </c>
      <c r="H14891" s="5">
        <v>132.370200</v>
      </c>
    </row>
    <row r="14892" spans="1:9">
      <c r="A14892" s="22" t="str">
        <f>HYPERLINK("https://app.vivvix.com/360/KMI/IntelliDrive/ApplUI/Pages/CreativePages/CustomReportCreativeDetail.aspx?App=23&amp;ReportView=4&amp;Qid=1711279&amp;Row=14884&amp;Col=1","No Title Assigned - #15274469117")</f>
        <v/>
      </c>
      <c r="B14892" s="0" t="s">
        <v>19800</v>
      </c>
      <c r="C14892" s="0" t="s">
        <v>19801</v>
      </c>
      <c r="D14892" s="0" t="s">
        <v>19801</v>
      </c>
      <c r="E14892" s="0" t="inlineStr">
        <is>
          <t xml:space="preserve">Mazda</t>
        </is>
      </c>
      <c r="F14892" s="0" t="s">
        <v>13</v>
      </c>
      <c r="G14892" s="0" t="s">
        <v>49</v>
      </c>
      <c r="H14892" s="5">
        <v>969.867200</v>
      </c>
    </row>
    <row r="14893" spans="1:9">
      <c r="A14893" s="22" t="str">
        <f>HYPERLINK("https://app.vivvix.com/360/KMI/IntelliDrive/ApplUI/Pages/CreativePages/CustomReportCreativeDetail.aspx?App=23&amp;ReportView=4&amp;Qid=1711279&amp;Row=14885&amp;Col=1","No Title Assigned - #15274472557")</f>
        <v/>
      </c>
      <c r="B14893" s="0" t="s">
        <v>19802</v>
      </c>
      <c r="C14893" s="0" t="s">
        <v>19803</v>
      </c>
      <c r="D14893" s="0" t="s">
        <v>19803</v>
      </c>
      <c r="E14893" s="0" t="inlineStr">
        <is>
          <t xml:space="preserve">Mazda</t>
        </is>
      </c>
      <c r="F14893" s="0" t="s">
        <v>13</v>
      </c>
      <c r="G14893" s="0" t="s">
        <v>49</v>
      </c>
      <c r="H14893" s="5">
        <v>236.630500</v>
      </c>
    </row>
    <row r="14894" spans="1:9">
      <c r="A14894" s="22" t="str">
        <f>HYPERLINK("https://app.vivvix.com/360/KMI/IntelliDrive/ApplUI/Pages/CreativePages/CustomReportCreativeDetail.aspx?App=23&amp;ReportView=4&amp;Qid=1711279&amp;Row=14886&amp;Col=1","No Title Assigned - #15274472736")</f>
        <v/>
      </c>
      <c r="B14894" s="0" t="s">
        <v>19804</v>
      </c>
      <c r="C14894" s="0" t="s">
        <v>19805</v>
      </c>
      <c r="D14894" s="0" t="s">
        <v>19805</v>
      </c>
      <c r="E14894" s="0" t="inlineStr">
        <is>
          <t xml:space="preserve">Mazda</t>
        </is>
      </c>
      <c r="F14894" s="0" t="s">
        <v>666</v>
      </c>
      <c r="G14894" s="0" t="s">
        <v>667</v>
      </c>
      <c r="H14894" s="5">
        <v>2146.734600</v>
      </c>
    </row>
    <row r="14895" spans="1:9">
      <c r="A14895" s="22" t="str">
        <f>HYPERLINK("https://app.vivvix.com/360/KMI/IntelliDrive/ApplUI/Pages/CreativePages/CustomReportCreativeDetail.aspx?App=23&amp;ReportView=4&amp;Qid=1711279&amp;Row=14887&amp;Col=1","No Title Assigned - #15274472743")</f>
        <v/>
      </c>
      <c r="B14895" s="0" t="s">
        <v>19806</v>
      </c>
      <c r="C14895" s="0" t="s">
        <v>19807</v>
      </c>
      <c r="D14895" s="0" t="s">
        <v>19807</v>
      </c>
      <c r="E14895" s="0" t="inlineStr">
        <is>
          <t xml:space="preserve">Mazda</t>
        </is>
      </c>
      <c r="F14895" s="0" t="s">
        <v>666</v>
      </c>
      <c r="G14895" s="0" t="s">
        <v>667</v>
      </c>
      <c r="H14895" s="5">
        <v>550.935800</v>
      </c>
    </row>
    <row r="14896" spans="1:9">
      <c r="A14896" s="22" t="str">
        <f>HYPERLINK("https://app.vivvix.com/360/KMI/IntelliDrive/ApplUI/Pages/CreativePages/CustomReportCreativeDetail.aspx?App=23&amp;ReportView=4&amp;Qid=1711279&amp;Row=14888&amp;Col=1","No Title Assigned - #15274474086")</f>
        <v/>
      </c>
      <c r="B14896" s="0" t="s">
        <v>19808</v>
      </c>
      <c r="E14896" s="0" t="inlineStr">
        <is>
          <t xml:space="preserve">Mazda</t>
        </is>
      </c>
      <c r="F14896" s="0" t="inlineStr">
        <is>
          <t xml:space="preserve">Mazda</t>
        </is>
      </c>
      <c r="G14896" s="0" t="s">
        <v>171</v>
      </c>
      <c r="H14896" s="5">
        <v>228.530700</v>
      </c>
    </row>
    <row r="14897" spans="1:9">
      <c r="A14897" s="22" t="str">
        <f>HYPERLINK("https://app.vivvix.com/360/KMI/IntelliDrive/ApplUI/Pages/CreativePages/CustomReportCreativeDetail.aspx?App=23&amp;ReportView=4&amp;Qid=1711279&amp;Row=14889&amp;Col=1","No Title Assigned - #15274474691")</f>
        <v/>
      </c>
      <c r="B14897" s="0" t="s">
        <v>19809</v>
      </c>
      <c r="E14897" s="0" t="inlineStr">
        <is>
          <t xml:space="preserve">Mazda</t>
        </is>
      </c>
      <c r="F14897" s="0" t="inlineStr">
        <is>
          <t xml:space="preserve">Mazda</t>
        </is>
      </c>
      <c r="G14897" s="0" t="s">
        <v>171</v>
      </c>
      <c r="H14897" s="5">
        <v>1488.361200</v>
      </c>
    </row>
    <row r="14898" spans="1:9">
      <c r="A14898" s="22" t="str">
        <f>HYPERLINK("https://app.vivvix.com/360/KMI/IntelliDrive/ApplUI/Pages/CreativePages/CustomReportCreativeDetail.aspx?App=23&amp;ReportView=4&amp;Qid=1711279&amp;Row=14890&amp;Col=1","No Title Assigned - #15274475487")</f>
        <v/>
      </c>
      <c r="B14898" s="0" t="s">
        <v>19810</v>
      </c>
      <c r="E14898" s="0" t="inlineStr">
        <is>
          <t xml:space="preserve">Mazda</t>
        </is>
      </c>
      <c r="F14898" s="0" t="inlineStr">
        <is>
          <t xml:space="preserve">Mazda</t>
        </is>
      </c>
      <c r="G14898" s="0" t="s">
        <v>171</v>
      </c>
      <c r="H14898" s="5">
        <v>1267.039900</v>
      </c>
    </row>
    <row r="14899" spans="1:9">
      <c r="A14899" s="22" t="str">
        <f>HYPERLINK("https://app.vivvix.com/360/KMI/IntelliDrive/ApplUI/Pages/CreativePages/CustomReportCreativeDetail.aspx?App=23&amp;ReportView=4&amp;Qid=1711279&amp;Row=14891&amp;Col=1","No Title Assigned - #15274476953")</f>
        <v/>
      </c>
      <c r="B14899" s="0" t="s">
        <v>19811</v>
      </c>
      <c r="C14899" s="0" t="s">
        <v>19812</v>
      </c>
      <c r="D14899" s="0" t="s">
        <v>16585</v>
      </c>
      <c r="E14899" s="0" t="inlineStr">
        <is>
          <t xml:space="preserve">Mazda</t>
        </is>
      </c>
      <c r="F14899" s="0" t="inlineStr">
        <is>
          <t xml:space="preserve">Mazda</t>
        </is>
      </c>
      <c r="G14899" s="0" t="s">
        <v>210</v>
      </c>
      <c r="H14899" s="5">
        <v>914.010600</v>
      </c>
    </row>
    <row r="14900" spans="1:9">
      <c r="A14900" s="22" t="str">
        <f>HYPERLINK("https://app.vivvix.com/360/KMI/IntelliDrive/ApplUI/Pages/CreativePages/CustomReportCreativeDetail.aspx?App=23&amp;ReportView=4&amp;Qid=1711279&amp;Row=14892&amp;Col=1","No Title Assigned - #15274477208")</f>
        <v/>
      </c>
      <c r="B14900" s="0" t="s">
        <v>19813</v>
      </c>
      <c r="C14900" s="0" t="s">
        <v>19814</v>
      </c>
      <c r="D14900" s="0" t="s">
        <v>6238</v>
      </c>
      <c r="E14900" s="0" t="inlineStr">
        <is>
          <t xml:space="preserve">Mazda</t>
        </is>
      </c>
      <c r="F14900" s="0" t="s">
        <v>13</v>
      </c>
      <c r="G14900" s="0" t="s">
        <v>49</v>
      </c>
      <c r="H14900" s="5">
        <v>2.429000</v>
      </c>
    </row>
    <row r="14901" spans="1:9">
      <c r="A14901" s="22" t="str">
        <f>HYPERLINK("https://app.vivvix.com/360/KMI/IntelliDrive/ApplUI/Pages/CreativePages/CustomReportCreativeDetail.aspx?App=23&amp;ReportView=4&amp;Qid=1711279&amp;Row=14893&amp;Col=1","No Title Assigned - #15274477290")</f>
        <v/>
      </c>
      <c r="B14901" s="0" t="s">
        <v>19815</v>
      </c>
      <c r="C14901" s="0" t="s">
        <v>19816</v>
      </c>
      <c r="D14901" s="0" t="s">
        <v>19816</v>
      </c>
      <c r="E14901" s="0" t="inlineStr">
        <is>
          <t xml:space="preserve">Mazda</t>
        </is>
      </c>
      <c r="F14901" s="0" t="s">
        <v>13</v>
      </c>
      <c r="G14901" s="0" t="s">
        <v>49</v>
      </c>
      <c r="H14901" s="5">
        <v>1184.852500</v>
      </c>
    </row>
    <row r="14902" spans="1:9">
      <c r="A14902" s="22" t="str">
        <f>HYPERLINK("https://app.vivvix.com/360/KMI/IntelliDrive/ApplUI/Pages/CreativePages/CustomReportCreativeDetail.aspx?App=23&amp;ReportView=4&amp;Qid=1711279&amp;Row=14894&amp;Col=1","No Title Assigned - #15274477903")</f>
        <v/>
      </c>
      <c r="B14902" s="0" t="s">
        <v>19817</v>
      </c>
      <c r="C14902" s="0" t="s">
        <v>19818</v>
      </c>
      <c r="D14902" s="0" t="s">
        <v>11499</v>
      </c>
      <c r="E14902" s="0" t="inlineStr">
        <is>
          <t xml:space="preserve">Mazda</t>
        </is>
      </c>
      <c r="F14902" s="0" t="s">
        <v>13</v>
      </c>
      <c r="G14902" s="0" t="s">
        <v>49</v>
      </c>
      <c r="H14902" s="5">
        <v>53.666200</v>
      </c>
    </row>
    <row r="14903" spans="1:9">
      <c r="A14903" s="22" t="str">
        <f>HYPERLINK("https://app.vivvix.com/360/KMI/IntelliDrive/ApplUI/Pages/CreativePages/CustomReportCreativeDetail.aspx?App=23&amp;ReportView=4&amp;Qid=1711279&amp;Row=14895&amp;Col=1","No Title Assigned - #15274478135")</f>
        <v/>
      </c>
      <c r="B14903" s="0" t="s">
        <v>19819</v>
      </c>
      <c r="C14903" s="0" t="s">
        <v>19820</v>
      </c>
      <c r="D14903" s="0" t="s">
        <v>19820</v>
      </c>
      <c r="E14903" s="0" t="inlineStr">
        <is>
          <t xml:space="preserve">Mazda</t>
        </is>
      </c>
      <c r="F14903" s="0" t="s">
        <v>21</v>
      </c>
      <c r="G14903" s="0" t="s">
        <v>22</v>
      </c>
      <c r="H14903" s="5">
        <v>220.810200</v>
      </c>
    </row>
    <row r="14904" spans="1:9">
      <c r="A14904" s="22" t="str">
        <f>HYPERLINK("https://app.vivvix.com/360/KMI/IntelliDrive/ApplUI/Pages/CreativePages/CustomReportCreativeDetail.aspx?App=23&amp;ReportView=4&amp;Qid=1711279&amp;Row=14896&amp;Col=1","No Title Assigned - #15274478556")</f>
        <v/>
      </c>
      <c r="B14904" s="0" t="s">
        <v>19821</v>
      </c>
      <c r="C14904" s="0" t="s">
        <v>19822</v>
      </c>
      <c r="D14904" s="0" t="s">
        <v>19822</v>
      </c>
      <c r="E14904" s="0" t="inlineStr">
        <is>
          <t xml:space="preserve">Mazda</t>
        </is>
      </c>
      <c r="F14904" s="0" t="s">
        <v>28</v>
      </c>
      <c r="G14904" s="0" t="s">
        <v>29</v>
      </c>
      <c r="H14904" s="5">
        <v>1151.316400</v>
      </c>
    </row>
    <row r="14905" spans="1:9">
      <c r="A14905" s="22" t="str">
        <f>HYPERLINK("https://app.vivvix.com/360/KMI/IntelliDrive/ApplUI/Pages/CreativePages/CustomReportCreativeDetail.aspx?App=23&amp;ReportView=4&amp;Qid=1711279&amp;Row=14897&amp;Col=1","No Title Assigned - #15274478789")</f>
        <v/>
      </c>
      <c r="B14905" s="0" t="s">
        <v>19823</v>
      </c>
      <c r="C14905" s="0" t="s">
        <v>19824</v>
      </c>
      <c r="D14905" s="0" t="s">
        <v>19824</v>
      </c>
      <c r="E14905" s="0" t="inlineStr">
        <is>
          <t xml:space="preserve">Mazda</t>
        </is>
      </c>
      <c r="F14905" s="0" t="s">
        <v>13</v>
      </c>
      <c r="G14905" s="0" t="s">
        <v>49</v>
      </c>
      <c r="H14905" s="5">
        <v>34.067000</v>
      </c>
    </row>
    <row r="14906" spans="1:9">
      <c r="A14906" s="22" t="str">
        <f>HYPERLINK("https://app.vivvix.com/360/KMI/IntelliDrive/ApplUI/Pages/CreativePages/CustomReportCreativeDetail.aspx?App=23&amp;ReportView=4&amp;Qid=1711279&amp;Row=14898&amp;Col=1","No Title Assigned - #15274478817")</f>
        <v/>
      </c>
      <c r="B14906" s="0" t="s">
        <v>19825</v>
      </c>
      <c r="C14906" s="0" t="s">
        <v>19826</v>
      </c>
      <c r="D14906" s="0" t="s">
        <v>19826</v>
      </c>
      <c r="E14906" s="0" t="inlineStr">
        <is>
          <t xml:space="preserve">Mazda</t>
        </is>
      </c>
      <c r="F14906" s="0" t="s">
        <v>13</v>
      </c>
      <c r="G14906" s="0" t="s">
        <v>49</v>
      </c>
      <c r="H14906" s="5">
        <v>2067.459800</v>
      </c>
    </row>
    <row r="14907" spans="1:9">
      <c r="A14907" s="22" t="str">
        <f>HYPERLINK("https://app.vivvix.com/360/KMI/IntelliDrive/ApplUI/Pages/CreativePages/CustomReportCreativeDetail.aspx?App=23&amp;ReportView=4&amp;Qid=1711279&amp;Row=14899&amp;Col=1","No Title Assigned - #15274478817")</f>
        <v/>
      </c>
      <c r="B14907" s="0" t="s">
        <v>19825</v>
      </c>
      <c r="E14907" s="0" t="inlineStr">
        <is>
          <t xml:space="preserve">Mazda</t>
        </is>
      </c>
      <c r="F14907" s="0" t="s">
        <v>13</v>
      </c>
      <c r="G14907" s="0" t="s">
        <v>49</v>
      </c>
      <c r="H14907" s="5">
        <v>137518.726600</v>
      </c>
    </row>
    <row r="14908" spans="1:9">
      <c r="A14908" s="22" t="str">
        <f>HYPERLINK("https://app.vivvix.com/360/KMI/IntelliDrive/ApplUI/Pages/CreativePages/CustomReportCreativeDetail.aspx?App=23&amp;ReportView=4&amp;Qid=1711279&amp;Row=14900&amp;Col=1","No Title Assigned - #15274479760")</f>
        <v/>
      </c>
      <c r="B14908" s="0" t="s">
        <v>19827</v>
      </c>
      <c r="E14908" s="0" t="inlineStr">
        <is>
          <t xml:space="preserve">Mazda</t>
        </is>
      </c>
      <c r="F14908" s="0" t="inlineStr">
        <is>
          <t xml:space="preserve">Mazda</t>
        </is>
      </c>
      <c r="G14908" s="0" t="s">
        <v>171</v>
      </c>
      <c r="H14908" s="5">
        <v>129.607900</v>
      </c>
    </row>
    <row r="14909" spans="1:9">
      <c r="A14909" s="22" t="str">
        <f>HYPERLINK("https://app.vivvix.com/360/KMI/IntelliDrive/ApplUI/Pages/CreativePages/CustomReportCreativeDetail.aspx?App=23&amp;ReportView=4&amp;Qid=1711279&amp;Row=14901&amp;Col=1","No Title Assigned - #15274479780")</f>
        <v/>
      </c>
      <c r="B14909" s="0" t="s">
        <v>19828</v>
      </c>
      <c r="E14909" s="0" t="inlineStr">
        <is>
          <t xml:space="preserve">Mazda</t>
        </is>
      </c>
      <c r="F14909" s="0" t="inlineStr">
        <is>
          <t xml:space="preserve">Mazda</t>
        </is>
      </c>
      <c r="G14909" s="0" t="s">
        <v>171</v>
      </c>
      <c r="H14909" s="5">
        <v>3.574800</v>
      </c>
    </row>
    <row r="14910" spans="1:9">
      <c r="A14910" s="22" t="str">
        <f>HYPERLINK("https://app.vivvix.com/360/KMI/IntelliDrive/ApplUI/Pages/CreativePages/CustomReportCreativeDetail.aspx?App=23&amp;ReportView=4&amp;Qid=1711279&amp;Row=14902&amp;Col=1","No Title Assigned - #15274479912")</f>
        <v/>
      </c>
      <c r="B14910" s="0" t="s">
        <v>19829</v>
      </c>
      <c r="E14910" s="0" t="inlineStr">
        <is>
          <t xml:space="preserve">Mazda</t>
        </is>
      </c>
      <c r="F14910" s="0" t="s">
        <v>13</v>
      </c>
      <c r="G14910" s="0" t="s">
        <v>49</v>
      </c>
      <c r="H14910" s="5">
        <v>359.104800</v>
      </c>
    </row>
    <row r="14911" spans="1:9">
      <c r="A14911" s="22" t="str">
        <f>HYPERLINK("https://app.vivvix.com/360/KMI/IntelliDrive/ApplUI/Pages/CreativePages/CustomReportCreativeDetail.aspx?App=23&amp;ReportView=4&amp;Qid=1711279&amp;Row=14903&amp;Col=1","No Title Assigned - #15274479948")</f>
        <v/>
      </c>
      <c r="B14911" s="0" t="s">
        <v>19830</v>
      </c>
      <c r="E14911" s="0" t="inlineStr">
        <is>
          <t xml:space="preserve">Mazda</t>
        </is>
      </c>
      <c r="F14911" s="0" t="inlineStr">
        <is>
          <t xml:space="preserve">Mazda</t>
        </is>
      </c>
      <c r="G14911" s="0" t="s">
        <v>171</v>
      </c>
      <c r="H14911" s="5">
        <v>43.179700</v>
      </c>
    </row>
    <row r="14912" spans="1:9">
      <c r="A14912" s="22" t="str">
        <f>HYPERLINK("https://app.vivvix.com/360/KMI/IntelliDrive/ApplUI/Pages/CreativePages/CustomReportCreativeDetail.aspx?App=23&amp;ReportView=4&amp;Qid=1711279&amp;Row=14904&amp;Col=1","No Title Assigned - #15274480093")</f>
        <v/>
      </c>
      <c r="B14912" s="0" t="s">
        <v>19831</v>
      </c>
      <c r="E14912" s="0" t="inlineStr">
        <is>
          <t xml:space="preserve">Mazda</t>
        </is>
      </c>
      <c r="F14912" s="0" t="inlineStr">
        <is>
          <t xml:space="preserve">Mazda</t>
        </is>
      </c>
      <c r="G14912" s="0" t="s">
        <v>171</v>
      </c>
      <c r="H14912" s="5">
        <v>35.414400</v>
      </c>
    </row>
    <row r="14913" spans="1:9">
      <c r="A14913" s="22" t="str">
        <f>HYPERLINK("https://app.vivvix.com/360/KMI/IntelliDrive/ApplUI/Pages/CreativePages/CustomReportCreativeDetail.aspx?App=23&amp;ReportView=4&amp;Qid=1711279&amp;Row=14905&amp;Col=1","No Title Assigned - #15274480427")</f>
        <v/>
      </c>
      <c r="B14913" s="0" t="s">
        <v>19832</v>
      </c>
      <c r="C14913" s="0" t="s">
        <v>19833</v>
      </c>
      <c r="D14913" s="0" t="s">
        <v>19833</v>
      </c>
      <c r="E14913" s="0" t="inlineStr">
        <is>
          <t xml:space="preserve">Mazda</t>
        </is>
      </c>
      <c r="F14913" s="0" t="inlineStr">
        <is>
          <t xml:space="preserve">Mazda</t>
        </is>
      </c>
      <c r="G14913" s="0" t="s">
        <v>171</v>
      </c>
      <c r="H14913" s="5">
        <v>249.130400</v>
      </c>
    </row>
    <row r="14914" spans="1:9">
      <c r="A14914" s="22" t="str">
        <f>HYPERLINK("https://app.vivvix.com/360/KMI/IntelliDrive/ApplUI/Pages/CreativePages/CustomReportCreativeDetail.aspx?App=23&amp;ReportView=4&amp;Qid=1711279&amp;Row=14906&amp;Col=1","No Title Assigned - #15274480702")</f>
        <v/>
      </c>
      <c r="B14914" s="0" t="s">
        <v>19834</v>
      </c>
      <c r="E14914" s="0" t="inlineStr">
        <is>
          <t xml:space="preserve">Mazda</t>
        </is>
      </c>
      <c r="F14914" s="0" t="inlineStr">
        <is>
          <t xml:space="preserve">Mazda</t>
        </is>
      </c>
      <c r="G14914" s="0" t="s">
        <v>171</v>
      </c>
      <c r="H14914" s="5">
        <v>86.342400</v>
      </c>
    </row>
    <row r="14915" spans="1:9">
      <c r="A14915" s="22" t="str">
        <f>HYPERLINK("https://app.vivvix.com/360/KMI/IntelliDrive/ApplUI/Pages/CreativePages/CustomReportCreativeDetail.aspx?App=23&amp;ReportView=4&amp;Qid=1711279&amp;Row=14907&amp;Col=1","No Title Assigned - #15274480859")</f>
        <v/>
      </c>
      <c r="B14915" s="0" t="s">
        <v>19835</v>
      </c>
      <c r="E14915" s="0" t="inlineStr">
        <is>
          <t xml:space="preserve">Mazda</t>
        </is>
      </c>
      <c r="F14915" s="0" t="inlineStr">
        <is>
          <t xml:space="preserve">Mazda</t>
        </is>
      </c>
      <c r="G14915" s="0" t="s">
        <v>171</v>
      </c>
      <c r="H14915" s="5">
        <v>102.412800</v>
      </c>
    </row>
    <row r="14916" spans="1:9">
      <c r="A14916" s="22" t="str">
        <f>HYPERLINK("https://app.vivvix.com/360/KMI/IntelliDrive/ApplUI/Pages/CreativePages/CustomReportCreativeDetail.aspx?App=23&amp;ReportView=4&amp;Qid=1711279&amp;Row=14908&amp;Col=1","No Title Assigned - #15274480894")</f>
        <v/>
      </c>
      <c r="B14916" s="0" t="s">
        <v>19836</v>
      </c>
      <c r="E14916" s="0" t="inlineStr">
        <is>
          <t xml:space="preserve">Mazda</t>
        </is>
      </c>
      <c r="F14916" s="0" t="inlineStr">
        <is>
          <t xml:space="preserve">Mazda</t>
        </is>
      </c>
      <c r="G14916" s="0" t="s">
        <v>171</v>
      </c>
      <c r="H14916" s="5">
        <v>25.446100</v>
      </c>
    </row>
    <row r="14917" spans="1:9">
      <c r="A14917" s="22" t="str">
        <f>HYPERLINK("https://app.vivvix.com/360/KMI/IntelliDrive/ApplUI/Pages/CreativePages/CustomReportCreativeDetail.aspx?App=23&amp;ReportView=4&amp;Qid=1711279&amp;Row=14909&amp;Col=1","No Title Assigned - #15274480903")</f>
        <v/>
      </c>
      <c r="B14917" s="0" t="s">
        <v>19837</v>
      </c>
      <c r="E14917" s="0" t="inlineStr">
        <is>
          <t xml:space="preserve">Mazda</t>
        </is>
      </c>
      <c r="F14917" s="0" t="inlineStr">
        <is>
          <t xml:space="preserve">Mazda</t>
        </is>
      </c>
      <c r="G14917" s="0" t="s">
        <v>171</v>
      </c>
      <c r="H14917" s="5">
        <v>24.138400</v>
      </c>
    </row>
    <row r="14918" spans="1:9">
      <c r="A14918" s="22" t="str">
        <f>HYPERLINK("https://app.vivvix.com/360/KMI/IntelliDrive/ApplUI/Pages/CreativePages/CustomReportCreativeDetail.aspx?App=23&amp;ReportView=4&amp;Qid=1711279&amp;Row=14910&amp;Col=1","No Title Assigned - #15274480925")</f>
        <v/>
      </c>
      <c r="B14918" s="0" t="s">
        <v>19838</v>
      </c>
      <c r="E14918" s="0" t="inlineStr">
        <is>
          <t xml:space="preserve">Mazda</t>
        </is>
      </c>
      <c r="F14918" s="0" t="inlineStr">
        <is>
          <t xml:space="preserve">Mazda</t>
        </is>
      </c>
      <c r="G14918" s="0" t="s">
        <v>171</v>
      </c>
      <c r="H14918" s="5">
        <v>12.069200</v>
      </c>
    </row>
    <row r="14919" spans="1:9">
      <c r="A14919" s="22" t="str">
        <f>HYPERLINK("https://app.vivvix.com/360/KMI/IntelliDrive/ApplUI/Pages/CreativePages/CustomReportCreativeDetail.aspx?App=23&amp;ReportView=4&amp;Qid=1711279&amp;Row=14911&amp;Col=1","No Title Assigned - #15274481193")</f>
        <v/>
      </c>
      <c r="B14919" s="0" t="s">
        <v>19839</v>
      </c>
      <c r="E14919" s="0" t="inlineStr">
        <is>
          <t xml:space="preserve">Mazda</t>
        </is>
      </c>
      <c r="F14919" s="0" t="inlineStr">
        <is>
          <t xml:space="preserve">Mazda</t>
        </is>
      </c>
      <c r="G14919" s="0" t="s">
        <v>171</v>
      </c>
      <c r="H14919" s="5">
        <v>81.883100</v>
      </c>
    </row>
    <row r="14920" spans="1:9">
      <c r="A14920" s="22" t="str">
        <f>HYPERLINK("https://app.vivvix.com/360/KMI/IntelliDrive/ApplUI/Pages/CreativePages/CustomReportCreativeDetail.aspx?App=23&amp;ReportView=4&amp;Qid=1711279&amp;Row=14912&amp;Col=1","No Title Assigned - #15274481340")</f>
        <v/>
      </c>
      <c r="B14920" s="0" t="s">
        <v>19840</v>
      </c>
      <c r="E14920" s="0" t="inlineStr">
        <is>
          <t xml:space="preserve">Mazda</t>
        </is>
      </c>
      <c r="F14920" s="0" t="inlineStr">
        <is>
          <t xml:space="preserve">Mazda</t>
        </is>
      </c>
      <c r="G14920" s="0" t="s">
        <v>171</v>
      </c>
      <c r="H14920" s="5">
        <v>79.672200</v>
      </c>
    </row>
    <row r="14921" spans="1:9">
      <c r="A14921" s="22" t="str">
        <f>HYPERLINK("https://app.vivvix.com/360/KMI/IntelliDrive/ApplUI/Pages/CreativePages/CustomReportCreativeDetail.aspx?App=23&amp;ReportView=4&amp;Qid=1711279&amp;Row=14913&amp;Col=1","No Title Assigned - #15274481527")</f>
        <v/>
      </c>
      <c r="B14921" s="0" t="s">
        <v>19841</v>
      </c>
      <c r="E14921" s="0" t="inlineStr">
        <is>
          <t xml:space="preserve">Mazda</t>
        </is>
      </c>
      <c r="F14921" s="0" t="inlineStr">
        <is>
          <t xml:space="preserve">Mazda</t>
        </is>
      </c>
      <c r="G14921" s="0" t="s">
        <v>171</v>
      </c>
      <c r="H14921" s="5">
        <v>349.657100</v>
      </c>
    </row>
    <row r="14922" spans="1:9">
      <c r="A14922" s="22" t="str">
        <f>HYPERLINK("https://app.vivvix.com/360/KMI/IntelliDrive/ApplUI/Pages/CreativePages/CustomReportCreativeDetail.aspx?App=23&amp;ReportView=4&amp;Qid=1711279&amp;Row=14914&amp;Col=1","No Title Assigned - #15274482016")</f>
        <v/>
      </c>
      <c r="B14922" s="0" t="s">
        <v>19842</v>
      </c>
      <c r="E14922" s="0" t="inlineStr">
        <is>
          <t xml:space="preserve">Mazda</t>
        </is>
      </c>
      <c r="F14922" s="0" t="inlineStr">
        <is>
          <t xml:space="preserve">Mazda</t>
        </is>
      </c>
      <c r="G14922" s="0" t="s">
        <v>171</v>
      </c>
      <c r="H14922" s="5">
        <v>98.415300</v>
      </c>
    </row>
    <row r="14923" spans="1:9">
      <c r="A14923" s="22" t="str">
        <f>HYPERLINK("https://app.vivvix.com/360/KMI/IntelliDrive/ApplUI/Pages/CreativePages/CustomReportCreativeDetail.aspx?App=23&amp;ReportView=4&amp;Qid=1711279&amp;Row=14915&amp;Col=1","No Title Assigned - #15274482106")</f>
        <v/>
      </c>
      <c r="B14923" s="0" t="s">
        <v>19843</v>
      </c>
      <c r="C14923" s="0" t="s">
        <v>19844</v>
      </c>
      <c r="D14923" s="0" t="s">
        <v>19844</v>
      </c>
      <c r="E14923" s="0" t="inlineStr">
        <is>
          <t xml:space="preserve">Mazda</t>
        </is>
      </c>
      <c r="F14923" s="0" t="inlineStr">
        <is>
          <t xml:space="preserve">Mazda</t>
        </is>
      </c>
      <c r="G14923" s="0" t="s">
        <v>171</v>
      </c>
      <c r="H14923" s="5">
        <v>193.890500</v>
      </c>
    </row>
    <row r="14924" spans="1:9">
      <c r="A14924" s="22" t="str">
        <f>HYPERLINK("https://app.vivvix.com/360/KMI/IntelliDrive/ApplUI/Pages/CreativePages/CustomReportCreativeDetail.aspx?App=23&amp;ReportView=4&amp;Qid=1711279&amp;Row=14916&amp;Col=1","No Title Assigned - #15274482139")</f>
        <v/>
      </c>
      <c r="B14924" s="0" t="s">
        <v>19845</v>
      </c>
      <c r="E14924" s="0" t="inlineStr">
        <is>
          <t xml:space="preserve">Mazda</t>
        </is>
      </c>
      <c r="F14924" s="0" t="inlineStr">
        <is>
          <t xml:space="preserve">Mazda</t>
        </is>
      </c>
      <c r="G14924" s="0" t="s">
        <v>171</v>
      </c>
      <c r="H14924" s="5">
        <v>323.834300</v>
      </c>
    </row>
    <row r="14925" spans="1:9">
      <c r="A14925" s="22" t="str">
        <f>HYPERLINK("https://app.vivvix.com/360/KMI/IntelliDrive/ApplUI/Pages/CreativePages/CustomReportCreativeDetail.aspx?App=23&amp;ReportView=4&amp;Qid=1711279&amp;Row=14917&amp;Col=1","No Title Assigned - #15274482264")</f>
        <v/>
      </c>
      <c r="B14925" s="0" t="s">
        <v>19846</v>
      </c>
      <c r="E14925" s="0" t="inlineStr">
        <is>
          <t xml:space="preserve">Mazda</t>
        </is>
      </c>
      <c r="F14925" s="0" t="inlineStr">
        <is>
          <t xml:space="preserve">Mazda</t>
        </is>
      </c>
      <c r="G14925" s="0" t="s">
        <v>171</v>
      </c>
      <c r="H14925" s="5">
        <v>63.701400</v>
      </c>
    </row>
    <row r="14926" spans="1:9">
      <c r="A14926" s="22" t="str">
        <f>HYPERLINK("https://app.vivvix.com/360/KMI/IntelliDrive/ApplUI/Pages/CreativePages/CustomReportCreativeDetail.aspx?App=23&amp;ReportView=4&amp;Qid=1711279&amp;Row=14918&amp;Col=1","No Title Assigned - #15274482817")</f>
        <v/>
      </c>
      <c r="B14926" s="0" t="s">
        <v>19847</v>
      </c>
      <c r="E14926" s="0" t="inlineStr">
        <is>
          <t xml:space="preserve">Mazda</t>
        </is>
      </c>
      <c r="F14926" s="0" t="inlineStr">
        <is>
          <t xml:space="preserve">Mazda</t>
        </is>
      </c>
      <c r="G14926" s="0" t="s">
        <v>171</v>
      </c>
      <c r="H14926" s="5">
        <v>103.065900</v>
      </c>
    </row>
    <row r="14927" spans="1:9">
      <c r="A14927" s="22" t="str">
        <f>HYPERLINK("https://app.vivvix.com/360/KMI/IntelliDrive/ApplUI/Pages/CreativePages/CustomReportCreativeDetail.aspx?App=23&amp;ReportView=4&amp;Qid=1711279&amp;Row=14919&amp;Col=1","No Title Assigned - #15274483048")</f>
        <v/>
      </c>
      <c r="B14927" s="0" t="s">
        <v>19848</v>
      </c>
      <c r="E14927" s="0" t="inlineStr">
        <is>
          <t xml:space="preserve">Mazda</t>
        </is>
      </c>
      <c r="F14927" s="0" t="inlineStr">
        <is>
          <t xml:space="preserve">Mazda</t>
        </is>
      </c>
      <c r="G14927" s="0" t="s">
        <v>171</v>
      </c>
      <c r="H14927" s="5">
        <v>206.287300</v>
      </c>
    </row>
    <row r="14928" spans="1:9">
      <c r="A14928" s="22" t="str">
        <f>HYPERLINK("https://app.vivvix.com/360/KMI/IntelliDrive/ApplUI/Pages/CreativePages/CustomReportCreativeDetail.aspx?App=23&amp;ReportView=4&amp;Qid=1711279&amp;Row=14920&amp;Col=1","No Title Assigned - #15274483243")</f>
        <v/>
      </c>
      <c r="B14928" s="0" t="s">
        <v>19849</v>
      </c>
      <c r="E14928" s="0" t="inlineStr">
        <is>
          <t xml:space="preserve">Mazda</t>
        </is>
      </c>
      <c r="F14928" s="0" t="inlineStr">
        <is>
          <t xml:space="preserve">Mazda</t>
        </is>
      </c>
      <c r="G14928" s="0" t="s">
        <v>171</v>
      </c>
      <c r="H14928" s="5">
        <v>80.737200</v>
      </c>
    </row>
    <row r="14929" spans="1:9">
      <c r="A14929" s="22" t="str">
        <f>HYPERLINK("https://app.vivvix.com/360/KMI/IntelliDrive/ApplUI/Pages/CreativePages/CustomReportCreativeDetail.aspx?App=23&amp;ReportView=4&amp;Qid=1711279&amp;Row=14921&amp;Col=1","No Title Assigned - #15274483302")</f>
        <v/>
      </c>
      <c r="B14929" s="0" t="s">
        <v>19850</v>
      </c>
      <c r="E14929" s="0" t="inlineStr">
        <is>
          <t xml:space="preserve">Mazda</t>
        </is>
      </c>
      <c r="F14929" s="0" t="inlineStr">
        <is>
          <t xml:space="preserve">Mazda</t>
        </is>
      </c>
      <c r="G14929" s="0" t="s">
        <v>171</v>
      </c>
      <c r="H14929" s="5">
        <v>47.348900</v>
      </c>
    </row>
    <row r="14930" spans="1:9">
      <c r="A14930" s="22" t="str">
        <f>HYPERLINK("https://app.vivvix.com/360/KMI/IntelliDrive/ApplUI/Pages/CreativePages/CustomReportCreativeDetail.aspx?App=23&amp;ReportView=4&amp;Qid=1711279&amp;Row=14922&amp;Col=1","No Title Assigned - #15274483396")</f>
        <v/>
      </c>
      <c r="B14930" s="0" t="s">
        <v>19851</v>
      </c>
      <c r="E14930" s="0" t="inlineStr">
        <is>
          <t xml:space="preserve">Mazda</t>
        </is>
      </c>
      <c r="F14930" s="0" t="inlineStr">
        <is>
          <t xml:space="preserve">Mazda</t>
        </is>
      </c>
      <c r="G14930" s="0" t="s">
        <v>171</v>
      </c>
      <c r="H14930" s="5">
        <v>1.450600</v>
      </c>
    </row>
    <row r="14931" spans="1:9">
      <c r="A14931" s="22" t="str">
        <f>HYPERLINK("https://app.vivvix.com/360/KMI/IntelliDrive/ApplUI/Pages/CreativePages/CustomReportCreativeDetail.aspx?App=23&amp;ReportView=4&amp;Qid=1711279&amp;Row=14923&amp;Col=1","No Title Assigned - #15274483625")</f>
        <v/>
      </c>
      <c r="B14931" s="0" t="s">
        <v>19852</v>
      </c>
      <c r="E14931" s="0" t="inlineStr">
        <is>
          <t xml:space="preserve">Mazda</t>
        </is>
      </c>
      <c r="F14931" s="0" t="inlineStr">
        <is>
          <t xml:space="preserve">Mazda</t>
        </is>
      </c>
      <c r="G14931" s="0" t="s">
        <v>171</v>
      </c>
      <c r="H14931" s="5">
        <v>17.609600</v>
      </c>
    </row>
    <row r="14932" spans="1:9">
      <c r="A14932" s="22" t="str">
        <f>HYPERLINK("https://app.vivvix.com/360/KMI/IntelliDrive/ApplUI/Pages/CreativePages/CustomReportCreativeDetail.aspx?App=23&amp;ReportView=4&amp;Qid=1711279&amp;Row=14924&amp;Col=1","No Title Assigned - #15274485924")</f>
        <v/>
      </c>
      <c r="B14932" s="0" t="s">
        <v>19853</v>
      </c>
      <c r="E14932" s="0" t="inlineStr">
        <is>
          <t xml:space="preserve">Mazda</t>
        </is>
      </c>
      <c r="F14932" s="0" t="inlineStr">
        <is>
          <t xml:space="preserve">Mazda</t>
        </is>
      </c>
      <c r="G14932" s="0" t="s">
        <v>171</v>
      </c>
      <c r="H14932" s="5">
        <v>944.078800</v>
      </c>
    </row>
    <row r="14933" spans="1:9">
      <c r="A14933" s="22" t="str">
        <f>HYPERLINK("https://app.vivvix.com/360/KMI/IntelliDrive/ApplUI/Pages/CreativePages/CustomReportCreativeDetail.aspx?App=23&amp;ReportView=4&amp;Qid=1711279&amp;Row=14925&amp;Col=1","No Title Assigned - #15274486639")</f>
        <v/>
      </c>
      <c r="B14933" s="0" t="s">
        <v>19854</v>
      </c>
      <c r="E14933" s="0" t="inlineStr">
        <is>
          <t xml:space="preserve">Mazda</t>
        </is>
      </c>
      <c r="F14933" s="0" t="inlineStr">
        <is>
          <t xml:space="preserve">Mazda</t>
        </is>
      </c>
      <c r="G14933" s="0" t="s">
        <v>171</v>
      </c>
      <c r="H14933" s="5">
        <v>114.186300</v>
      </c>
    </row>
    <row r="14934" spans="1:9">
      <c r="A14934" s="22" t="str">
        <f>HYPERLINK("https://app.vivvix.com/360/KMI/IntelliDrive/ApplUI/Pages/CreativePages/CustomReportCreativeDetail.aspx?App=23&amp;ReportView=4&amp;Qid=1711279&amp;Row=14926&amp;Col=1","No Title Assigned - #15274486800")</f>
        <v/>
      </c>
      <c r="B14934" s="0" t="s">
        <v>19855</v>
      </c>
      <c r="E14934" s="0" t="inlineStr">
        <is>
          <t xml:space="preserve">Mazda</t>
        </is>
      </c>
      <c r="F14934" s="0" t="inlineStr">
        <is>
          <t xml:space="preserve">Mazda</t>
        </is>
      </c>
      <c r="G14934" s="0" t="s">
        <v>171</v>
      </c>
      <c r="H14934" s="5">
        <v>17.652600</v>
      </c>
    </row>
    <row r="14935" spans="1:9">
      <c r="A14935" s="22" t="str">
        <f>HYPERLINK("https://app.vivvix.com/360/KMI/IntelliDrive/ApplUI/Pages/CreativePages/CustomReportCreativeDetail.aspx?App=23&amp;ReportView=4&amp;Qid=1711279&amp;Row=14927&amp;Col=1","No Title Assigned - #15274487230")</f>
        <v/>
      </c>
      <c r="B14935" s="0" t="s">
        <v>19856</v>
      </c>
      <c r="E14935" s="0" t="inlineStr">
        <is>
          <t xml:space="preserve">Mazda</t>
        </is>
      </c>
      <c r="F14935" s="0" t="inlineStr">
        <is>
          <t xml:space="preserve">Mazda</t>
        </is>
      </c>
      <c r="G14935" s="0" t="s">
        <v>171</v>
      </c>
      <c r="H14935" s="5">
        <v>802.294400</v>
      </c>
    </row>
    <row r="14936" spans="1:9">
      <c r="A14936" s="22" t="str">
        <f>HYPERLINK("https://app.vivvix.com/360/KMI/IntelliDrive/ApplUI/Pages/CreativePages/CustomReportCreativeDetail.aspx?App=23&amp;ReportView=4&amp;Qid=1711279&amp;Row=14928&amp;Col=1","No Title Assigned - #15274487387")</f>
        <v/>
      </c>
      <c r="B14936" s="0" t="s">
        <v>19857</v>
      </c>
      <c r="E14936" s="0" t="inlineStr">
        <is>
          <t xml:space="preserve">Mazda</t>
        </is>
      </c>
      <c r="F14936" s="0" t="inlineStr">
        <is>
          <t xml:space="preserve">Mazda</t>
        </is>
      </c>
      <c r="G14936" s="0" t="s">
        <v>171</v>
      </c>
      <c r="H14936" s="5">
        <v>14.344500</v>
      </c>
    </row>
    <row r="14937" spans="1:9">
      <c r="A14937" s="22" t="str">
        <f>HYPERLINK("https://app.vivvix.com/360/KMI/IntelliDrive/ApplUI/Pages/CreativePages/CustomReportCreativeDetail.aspx?App=23&amp;ReportView=4&amp;Qid=1711279&amp;Row=14929&amp;Col=1","No Title Assigned - #15274487435")</f>
        <v/>
      </c>
      <c r="B14937" s="0" t="s">
        <v>19858</v>
      </c>
      <c r="E14937" s="0" t="inlineStr">
        <is>
          <t xml:space="preserve">Mazda</t>
        </is>
      </c>
      <c r="F14937" s="0" t="inlineStr">
        <is>
          <t xml:space="preserve">Mazda</t>
        </is>
      </c>
      <c r="G14937" s="0" t="s">
        <v>171</v>
      </c>
      <c r="H14937" s="5">
        <v>245.953300</v>
      </c>
    </row>
    <row r="14938" spans="1:9">
      <c r="A14938" s="22" t="str">
        <f>HYPERLINK("https://app.vivvix.com/360/KMI/IntelliDrive/ApplUI/Pages/CreativePages/CustomReportCreativeDetail.aspx?App=23&amp;ReportView=4&amp;Qid=1711279&amp;Row=14930&amp;Col=1","No Title Assigned - #15274487538")</f>
        <v/>
      </c>
      <c r="B14938" s="0" t="s">
        <v>19859</v>
      </c>
      <c r="E14938" s="0" t="inlineStr">
        <is>
          <t xml:space="preserve">Mazda</t>
        </is>
      </c>
      <c r="F14938" s="0" t="inlineStr">
        <is>
          <t xml:space="preserve">Mazda</t>
        </is>
      </c>
      <c r="G14938" s="0" t="s">
        <v>171</v>
      </c>
      <c r="H14938" s="5">
        <v>69.287800</v>
      </c>
    </row>
    <row r="14939" spans="1:9">
      <c r="A14939" s="22" t="str">
        <f>HYPERLINK("https://app.vivvix.com/360/KMI/IntelliDrive/ApplUI/Pages/CreativePages/CustomReportCreativeDetail.aspx?App=23&amp;ReportView=4&amp;Qid=1711279&amp;Row=14931&amp;Col=1","No Title Assigned - #15274487538")</f>
        <v/>
      </c>
      <c r="B14939" s="0" t="s">
        <v>19859</v>
      </c>
      <c r="E14939" s="0" t="inlineStr">
        <is>
          <t xml:space="preserve">Mazda</t>
        </is>
      </c>
      <c r="F14939" s="0" t="inlineStr">
        <is>
          <t xml:space="preserve">Mazda</t>
        </is>
      </c>
      <c r="G14939" s="0" t="s">
        <v>171</v>
      </c>
      <c r="H14939" s="5">
        <v>30.364000</v>
      </c>
    </row>
    <row r="14940" spans="1:9">
      <c r="A14940" s="22" t="str">
        <f>HYPERLINK("https://app.vivvix.com/360/KMI/IntelliDrive/ApplUI/Pages/CreativePages/CustomReportCreativeDetail.aspx?App=23&amp;ReportView=4&amp;Qid=1711279&amp;Row=14932&amp;Col=1","No Title Assigned - #15274487761")</f>
        <v/>
      </c>
      <c r="B14940" s="0" t="s">
        <v>19860</v>
      </c>
      <c r="E14940" s="0" t="inlineStr">
        <is>
          <t xml:space="preserve">Mazda</t>
        </is>
      </c>
      <c r="F14940" s="0" t="inlineStr">
        <is>
          <t xml:space="preserve">Mazda</t>
        </is>
      </c>
      <c r="G14940" s="0" t="s">
        <v>171</v>
      </c>
      <c r="H14940" s="5">
        <v>6.413800</v>
      </c>
    </row>
    <row r="14941" spans="1:9">
      <c r="A14941" s="22" t="str">
        <f>HYPERLINK("https://app.vivvix.com/360/KMI/IntelliDrive/ApplUI/Pages/CreativePages/CustomReportCreativeDetail.aspx?App=23&amp;ReportView=4&amp;Qid=1711279&amp;Row=14933&amp;Col=1","No Title Assigned - #15274487817")</f>
        <v/>
      </c>
      <c r="B14941" s="0" t="s">
        <v>19861</v>
      </c>
      <c r="E14941" s="0" t="inlineStr">
        <is>
          <t xml:space="preserve">Mazda</t>
        </is>
      </c>
      <c r="F14941" s="0" t="s">
        <v>21</v>
      </c>
      <c r="G14941" s="0" t="s">
        <v>22</v>
      </c>
      <c r="H14941" s="5">
        <v>387.665200</v>
      </c>
    </row>
    <row r="14942" spans="1:9">
      <c r="A14942" s="22" t="str">
        <f>HYPERLINK("https://app.vivvix.com/360/KMI/IntelliDrive/ApplUI/Pages/CreativePages/CustomReportCreativeDetail.aspx?App=23&amp;ReportView=4&amp;Qid=1711279&amp;Row=14934&amp;Col=1","No Title Assigned - #15274489862")</f>
        <v/>
      </c>
      <c r="B14942" s="0" t="s">
        <v>19862</v>
      </c>
      <c r="E14942" s="0" t="inlineStr">
        <is>
          <t xml:space="preserve">Mazda</t>
        </is>
      </c>
      <c r="F14942" s="0" t="inlineStr">
        <is>
          <t xml:space="preserve">Mazda</t>
        </is>
      </c>
      <c r="G14942" s="0" t="s">
        <v>171</v>
      </c>
      <c r="H14942" s="5">
        <v>1.787400</v>
      </c>
    </row>
    <row r="14943" spans="1:9">
      <c r="A14943" s="22" t="str">
        <f>HYPERLINK("https://app.vivvix.com/360/KMI/IntelliDrive/ApplUI/Pages/CreativePages/CustomReportCreativeDetail.aspx?App=23&amp;ReportView=4&amp;Qid=1711279&amp;Row=14935&amp;Col=1","No Title Assigned - #15274490251")</f>
        <v/>
      </c>
      <c r="B14943" s="0" t="s">
        <v>19863</v>
      </c>
      <c r="E14943" s="0" t="inlineStr">
        <is>
          <t xml:space="preserve">Mazda</t>
        </is>
      </c>
      <c r="F14943" s="0" t="inlineStr">
        <is>
          <t xml:space="preserve">Mazda</t>
        </is>
      </c>
      <c r="G14943" s="0" t="s">
        <v>171</v>
      </c>
      <c r="H14943" s="5">
        <v>17.453800</v>
      </c>
    </row>
    <row r="14944" spans="1:9">
      <c r="A14944" s="22" t="str">
        <f>HYPERLINK("https://app.vivvix.com/360/KMI/IntelliDrive/ApplUI/Pages/CreativePages/CustomReportCreativeDetail.aspx?App=23&amp;ReportView=4&amp;Qid=1711279&amp;Row=14936&amp;Col=1","No Title Assigned - #15274490308")</f>
        <v/>
      </c>
      <c r="B14944" s="0" t="s">
        <v>19864</v>
      </c>
      <c r="E14944" s="0" t="inlineStr">
        <is>
          <t xml:space="preserve">Mazda</t>
        </is>
      </c>
      <c r="F14944" s="0" t="inlineStr">
        <is>
          <t xml:space="preserve">Mazda</t>
        </is>
      </c>
      <c r="G14944" s="0" t="s">
        <v>171</v>
      </c>
      <c r="H14944" s="5">
        <v>537.138400</v>
      </c>
    </row>
    <row r="14945" spans="1:9">
      <c r="A14945" s="22" t="str">
        <f>HYPERLINK("https://app.vivvix.com/360/KMI/IntelliDrive/ApplUI/Pages/CreativePages/CustomReportCreativeDetail.aspx?App=23&amp;ReportView=4&amp;Qid=1711279&amp;Row=14937&amp;Col=1","No Title Assigned - #15274490328")</f>
        <v/>
      </c>
      <c r="B14945" s="0" t="s">
        <v>19865</v>
      </c>
      <c r="E14945" s="0" t="inlineStr">
        <is>
          <t xml:space="preserve">Mazda</t>
        </is>
      </c>
      <c r="F14945" s="0" t="inlineStr">
        <is>
          <t xml:space="preserve">Mazda</t>
        </is>
      </c>
      <c r="G14945" s="0" t="s">
        <v>171</v>
      </c>
      <c r="H14945" s="5">
        <v>21.440000</v>
      </c>
    </row>
    <row r="14946" spans="1:9">
      <c r="A14946" s="22" t="str">
        <f>HYPERLINK("https://app.vivvix.com/360/KMI/IntelliDrive/ApplUI/Pages/CreativePages/CustomReportCreativeDetail.aspx?App=23&amp;ReportView=4&amp;Qid=1711279&amp;Row=14938&amp;Col=1","No Title Assigned - #15274490369")</f>
        <v/>
      </c>
      <c r="B14946" s="0" t="s">
        <v>19866</v>
      </c>
      <c r="E14946" s="0" t="inlineStr">
        <is>
          <t xml:space="preserve">Mazda</t>
        </is>
      </c>
      <c r="F14946" s="0" t="inlineStr">
        <is>
          <t xml:space="preserve">Mazda</t>
        </is>
      </c>
      <c r="G14946" s="0" t="s">
        <v>171</v>
      </c>
      <c r="H14946" s="5">
        <v>6744.844200</v>
      </c>
    </row>
    <row r="14947" spans="1:9">
      <c r="A14947" s="22" t="str">
        <f>HYPERLINK("https://app.vivvix.com/360/KMI/IntelliDrive/ApplUI/Pages/CreativePages/CustomReportCreativeDetail.aspx?App=23&amp;ReportView=4&amp;Qid=1711279&amp;Row=14939&amp;Col=1","No Title Assigned - #15274490428")</f>
        <v/>
      </c>
      <c r="B14947" s="0" t="s">
        <v>19867</v>
      </c>
      <c r="E14947" s="0" t="inlineStr">
        <is>
          <t xml:space="preserve">Mazda</t>
        </is>
      </c>
      <c r="F14947" s="0" t="inlineStr">
        <is>
          <t xml:space="preserve">Mazda</t>
        </is>
      </c>
      <c r="G14947" s="0" t="s">
        <v>171</v>
      </c>
      <c r="H14947" s="5">
        <v>118.781700</v>
      </c>
    </row>
    <row r="14948" spans="1:9">
      <c r="A14948" s="22" t="str">
        <f>HYPERLINK("https://app.vivvix.com/360/KMI/IntelliDrive/ApplUI/Pages/CreativePages/CustomReportCreativeDetail.aspx?App=23&amp;ReportView=4&amp;Qid=1711279&amp;Row=14940&amp;Col=1","No Title Assigned - #15274490559")</f>
        <v/>
      </c>
      <c r="B14948" s="0" t="s">
        <v>19868</v>
      </c>
      <c r="E14948" s="0" t="inlineStr">
        <is>
          <t xml:space="preserve">Mazda</t>
        </is>
      </c>
      <c r="F14948" s="0" t="inlineStr">
        <is>
          <t xml:space="preserve">Mazda</t>
        </is>
      </c>
      <c r="G14948" s="0" t="s">
        <v>171</v>
      </c>
      <c r="H14948" s="5">
        <v>92.102400</v>
      </c>
    </row>
    <row r="14949" spans="1:9">
      <c r="A14949" s="22" t="str">
        <f>HYPERLINK("https://app.vivvix.com/360/KMI/IntelliDrive/ApplUI/Pages/CreativePages/CustomReportCreativeDetail.aspx?App=23&amp;ReportView=4&amp;Qid=1711279&amp;Row=14941&amp;Col=1","No Title Assigned - #15274490800")</f>
        <v/>
      </c>
      <c r="B14949" s="0" t="s">
        <v>19869</v>
      </c>
      <c r="E14949" s="0" t="inlineStr">
        <is>
          <t xml:space="preserve">Mazda</t>
        </is>
      </c>
      <c r="F14949" s="0" t="inlineStr">
        <is>
          <t xml:space="preserve">Mazda</t>
        </is>
      </c>
      <c r="G14949" s="0" t="s">
        <v>171</v>
      </c>
      <c r="H14949" s="5">
        <v>76.654300</v>
      </c>
    </row>
    <row r="14950" spans="1:9">
      <c r="A14950" s="22" t="str">
        <f>HYPERLINK("https://app.vivvix.com/360/KMI/IntelliDrive/ApplUI/Pages/CreativePages/CustomReportCreativeDetail.aspx?App=23&amp;ReportView=4&amp;Qid=1711279&amp;Row=14942&amp;Col=1","No Title Assigned - #15274492572")</f>
        <v/>
      </c>
      <c r="B14950" s="0" t="s">
        <v>19870</v>
      </c>
      <c r="E14950" s="0" t="inlineStr">
        <is>
          <t xml:space="preserve">Mazda</t>
        </is>
      </c>
      <c r="F14950" s="0" t="inlineStr">
        <is>
          <t xml:space="preserve">Mazda</t>
        </is>
      </c>
      <c r="G14950" s="0" t="s">
        <v>171</v>
      </c>
      <c r="H14950" s="5">
        <v>965.901100</v>
      </c>
    </row>
    <row r="14951" spans="1:9">
      <c r="A14951" s="22" t="str">
        <f>HYPERLINK("https://app.vivvix.com/360/KMI/IntelliDrive/ApplUI/Pages/CreativePages/CustomReportCreativeDetail.aspx?App=23&amp;ReportView=4&amp;Qid=1711279&amp;Row=14943&amp;Col=1","No Title Assigned - #15274492596")</f>
        <v/>
      </c>
      <c r="B14951" s="0" t="s">
        <v>19871</v>
      </c>
      <c r="C14951" s="0" t="s">
        <v>19872</v>
      </c>
      <c r="D14951" s="0" t="s">
        <v>19872</v>
      </c>
      <c r="E14951" s="0" t="inlineStr">
        <is>
          <t xml:space="preserve">Mazda</t>
        </is>
      </c>
      <c r="F14951" s="0" t="inlineStr">
        <is>
          <t xml:space="preserve">Mazda</t>
        </is>
      </c>
      <c r="G14951" s="0" t="s">
        <v>210</v>
      </c>
      <c r="H14951" s="5">
        <v>871.912500</v>
      </c>
    </row>
    <row r="14952" spans="1:9">
      <c r="A14952" s="22" t="str">
        <f>HYPERLINK("https://app.vivvix.com/360/KMI/IntelliDrive/ApplUI/Pages/CreativePages/CustomReportCreativeDetail.aspx?App=23&amp;ReportView=4&amp;Qid=1711279&amp;Row=14944&amp;Col=1","No Title Assigned - #15274492966")</f>
        <v/>
      </c>
      <c r="B14952" s="0" t="s">
        <v>19873</v>
      </c>
      <c r="E14952" s="0" t="inlineStr">
        <is>
          <t xml:space="preserve">Mazda</t>
        </is>
      </c>
      <c r="F14952" s="0" t="inlineStr">
        <is>
          <t xml:space="preserve">Mazda</t>
        </is>
      </c>
      <c r="G14952" s="0" t="s">
        <v>171</v>
      </c>
      <c r="H14952" s="5">
        <v>162.164600</v>
      </c>
    </row>
    <row r="14953" spans="1:9">
      <c r="A14953" s="22" t="str">
        <f>HYPERLINK("https://app.vivvix.com/360/KMI/IntelliDrive/ApplUI/Pages/CreativePages/CustomReportCreativeDetail.aspx?App=23&amp;ReportView=4&amp;Qid=1711279&amp;Row=14945&amp;Col=1","No Title Assigned - #15274493177")</f>
        <v/>
      </c>
      <c r="B14953" s="0" t="s">
        <v>19874</v>
      </c>
      <c r="E14953" s="0" t="inlineStr">
        <is>
          <t xml:space="preserve">Mazda</t>
        </is>
      </c>
      <c r="F14953" s="0" t="inlineStr">
        <is>
          <t xml:space="preserve">Mazda</t>
        </is>
      </c>
      <c r="G14953" s="0" t="s">
        <v>171</v>
      </c>
      <c r="H14953" s="5">
        <v>66.887000</v>
      </c>
    </row>
    <row r="14954" spans="1:9">
      <c r="A14954" s="22" t="str">
        <f>HYPERLINK("https://app.vivvix.com/360/KMI/IntelliDrive/ApplUI/Pages/CreativePages/CustomReportCreativeDetail.aspx?App=23&amp;ReportView=4&amp;Qid=1711279&amp;Row=14946&amp;Col=1","No Title Assigned - #15274493530")</f>
        <v/>
      </c>
      <c r="B14954" s="0" t="s">
        <v>19875</v>
      </c>
      <c r="E14954" s="0" t="inlineStr">
        <is>
          <t xml:space="preserve">Mazda</t>
        </is>
      </c>
      <c r="F14954" s="0" t="inlineStr">
        <is>
          <t xml:space="preserve">Mazda</t>
        </is>
      </c>
      <c r="G14954" s="0" t="s">
        <v>171</v>
      </c>
      <c r="H14954" s="5">
        <v>3264.998200</v>
      </c>
    </row>
    <row r="14955" spans="1:9">
      <c r="A14955" s="22" t="str">
        <f>HYPERLINK("https://app.vivvix.com/360/KMI/IntelliDrive/ApplUI/Pages/CreativePages/CustomReportCreativeDetail.aspx?App=23&amp;ReportView=4&amp;Qid=1711279&amp;Row=14947&amp;Col=1","No Title Assigned - #15274493531")</f>
        <v/>
      </c>
      <c r="B14955" s="0" t="s">
        <v>19876</v>
      </c>
      <c r="E14955" s="0" t="inlineStr">
        <is>
          <t xml:space="preserve">Mazda</t>
        </is>
      </c>
      <c r="F14955" s="0" t="inlineStr">
        <is>
          <t xml:space="preserve">Mazda</t>
        </is>
      </c>
      <c r="G14955" s="0" t="s">
        <v>171</v>
      </c>
      <c r="H14955" s="5">
        <v>1632.499100</v>
      </c>
    </row>
    <row r="14956" spans="1:9">
      <c r="A14956" s="22" t="str">
        <f>HYPERLINK("https://app.vivvix.com/360/KMI/IntelliDrive/ApplUI/Pages/CreativePages/CustomReportCreativeDetail.aspx?App=23&amp;ReportView=4&amp;Qid=1711279&amp;Row=14948&amp;Col=1","No Title Assigned - #15274493531")</f>
        <v/>
      </c>
      <c r="B14956" s="0" t="s">
        <v>19876</v>
      </c>
      <c r="E14956" s="0" t="inlineStr">
        <is>
          <t xml:space="preserve">Mazda</t>
        </is>
      </c>
      <c r="F14956" s="0" t="inlineStr">
        <is>
          <t xml:space="preserve">Mazda</t>
        </is>
      </c>
      <c r="G14956" s="0" t="s">
        <v>171</v>
      </c>
      <c r="H14956" s="5">
        <v>125.502500</v>
      </c>
    </row>
    <row r="14957" spans="1:9">
      <c r="A14957" s="22" t="str">
        <f>HYPERLINK("https://app.vivvix.com/360/KMI/IntelliDrive/ApplUI/Pages/CreativePages/CustomReportCreativeDetail.aspx?App=23&amp;ReportView=4&amp;Qid=1711279&amp;Row=14949&amp;Col=1","No Title Assigned - #15274493837")</f>
        <v/>
      </c>
      <c r="B14957" s="0" t="s">
        <v>19877</v>
      </c>
      <c r="E14957" s="0" t="inlineStr">
        <is>
          <t xml:space="preserve">Mazda</t>
        </is>
      </c>
      <c r="F14957" s="0" t="inlineStr">
        <is>
          <t xml:space="preserve">Mazda</t>
        </is>
      </c>
      <c r="G14957" s="0" t="s">
        <v>171</v>
      </c>
      <c r="H14957" s="5">
        <v>23.048000</v>
      </c>
    </row>
    <row r="14958" spans="1:9">
      <c r="A14958" s="22" t="str">
        <f>HYPERLINK("https://app.vivvix.com/360/KMI/IntelliDrive/ApplUI/Pages/CreativePages/CustomReportCreativeDetail.aspx?App=23&amp;ReportView=4&amp;Qid=1711279&amp;Row=14950&amp;Col=1","No Title Assigned - #15274494385")</f>
        <v/>
      </c>
      <c r="B14958" s="0" t="s">
        <v>19878</v>
      </c>
      <c r="E14958" s="0" t="inlineStr">
        <is>
          <t xml:space="preserve">Mazda</t>
        </is>
      </c>
      <c r="F14958" s="0" t="inlineStr">
        <is>
          <t xml:space="preserve">Mazda</t>
        </is>
      </c>
      <c r="G14958" s="0" t="s">
        <v>171</v>
      </c>
      <c r="H14958" s="5">
        <v>10.323700</v>
      </c>
    </row>
    <row r="14959" spans="1:9">
      <c r="A14959" s="22" t="str">
        <f>HYPERLINK("https://app.vivvix.com/360/KMI/IntelliDrive/ApplUI/Pages/CreativePages/CustomReportCreativeDetail.aspx?App=23&amp;ReportView=4&amp;Qid=1711279&amp;Row=14951&amp;Col=1","No Title Assigned - #15274494942")</f>
        <v/>
      </c>
      <c r="B14959" s="0" t="s">
        <v>19879</v>
      </c>
      <c r="E14959" s="0" t="inlineStr">
        <is>
          <t xml:space="preserve">Mazda</t>
        </is>
      </c>
      <c r="F14959" s="0" t="s">
        <v>21</v>
      </c>
      <c r="G14959" s="0" t="s">
        <v>22</v>
      </c>
      <c r="H14959" s="5">
        <v>2624.526300</v>
      </c>
    </row>
    <row r="14960" spans="1:9">
      <c r="A14960" s="22" t="str">
        <f>HYPERLINK("https://app.vivvix.com/360/KMI/IntelliDrive/ApplUI/Pages/CreativePages/CustomReportCreativeDetail.aspx?App=23&amp;ReportView=4&amp;Qid=1711279&amp;Row=14952&amp;Col=1","No Title Assigned - #15274494948")</f>
        <v/>
      </c>
      <c r="B14960" s="0" t="s">
        <v>19880</v>
      </c>
      <c r="E14960" s="0" t="inlineStr">
        <is>
          <t xml:space="preserve">Mazda</t>
        </is>
      </c>
      <c r="F14960" s="0" t="inlineStr">
        <is>
          <t xml:space="preserve">Mazda</t>
        </is>
      </c>
      <c r="G14960" s="0" t="s">
        <v>171</v>
      </c>
      <c r="H14960" s="5">
        <v>17.609600</v>
      </c>
    </row>
    <row r="14961" spans="1:9">
      <c r="A14961" s="22" t="str">
        <f>HYPERLINK("https://app.vivvix.com/360/KMI/IntelliDrive/ApplUI/Pages/CreativePages/CustomReportCreativeDetail.aspx?App=23&amp;ReportView=4&amp;Qid=1711279&amp;Row=14953&amp;Col=1","No Title Assigned - #15274495060")</f>
        <v/>
      </c>
      <c r="B14961" s="0" t="s">
        <v>19881</v>
      </c>
      <c r="E14961" s="0" t="inlineStr">
        <is>
          <t xml:space="preserve">Mazda</t>
        </is>
      </c>
      <c r="F14961" s="0" t="inlineStr">
        <is>
          <t xml:space="preserve">Mazda</t>
        </is>
      </c>
      <c r="G14961" s="0" t="s">
        <v>171</v>
      </c>
      <c r="H14961" s="5">
        <v>2347.705500</v>
      </c>
    </row>
    <row r="14962" spans="1:9">
      <c r="A14962" s="22" t="str">
        <f>HYPERLINK("https://app.vivvix.com/360/KMI/IntelliDrive/ApplUI/Pages/CreativePages/CustomReportCreativeDetail.aspx?App=23&amp;ReportView=4&amp;Qid=1711279&amp;Row=14954&amp;Col=1","No Title Assigned - #15274495116")</f>
        <v/>
      </c>
      <c r="B14962" s="0" t="s">
        <v>19882</v>
      </c>
      <c r="C14962" s="0" t="s">
        <v>19883</v>
      </c>
      <c r="D14962" s="0" t="s">
        <v>19883</v>
      </c>
      <c r="E14962" s="0" t="inlineStr">
        <is>
          <t xml:space="preserve">Mazda</t>
        </is>
      </c>
      <c r="F14962" s="0" t="inlineStr">
        <is>
          <t xml:space="preserve">Mazda</t>
        </is>
      </c>
      <c r="G14962" s="0" t="s">
        <v>171</v>
      </c>
      <c r="H14962" s="5">
        <v>855.328500</v>
      </c>
    </row>
    <row r="14963" spans="1:9">
      <c r="A14963" s="22" t="str">
        <f>HYPERLINK("https://app.vivvix.com/360/KMI/IntelliDrive/ApplUI/Pages/CreativePages/CustomReportCreativeDetail.aspx?App=23&amp;ReportView=4&amp;Qid=1711279&amp;Row=14955&amp;Col=1","No Title Assigned - #15274495200")</f>
        <v/>
      </c>
      <c r="B14963" s="0" t="s">
        <v>19884</v>
      </c>
      <c r="E14963" s="0" t="inlineStr">
        <is>
          <t xml:space="preserve">Mazda</t>
        </is>
      </c>
      <c r="F14963" s="0" t="inlineStr">
        <is>
          <t xml:space="preserve">Mazda</t>
        </is>
      </c>
      <c r="G14963" s="0" t="s">
        <v>171</v>
      </c>
      <c r="H14963" s="5">
        <v>228.372600</v>
      </c>
    </row>
    <row r="14964" spans="1:9">
      <c r="A14964" s="22" t="str">
        <f>HYPERLINK("https://app.vivvix.com/360/KMI/IntelliDrive/ApplUI/Pages/CreativePages/CustomReportCreativeDetail.aspx?App=23&amp;ReportView=4&amp;Qid=1711279&amp;Row=14956&amp;Col=1","No Title Assigned - #15274495205")</f>
        <v/>
      </c>
      <c r="B14964" s="0" t="s">
        <v>19885</v>
      </c>
      <c r="E14964" s="0" t="inlineStr">
        <is>
          <t xml:space="preserve">Mazda</t>
        </is>
      </c>
      <c r="F14964" s="0" t="inlineStr">
        <is>
          <t xml:space="preserve">Mazda</t>
        </is>
      </c>
      <c r="G14964" s="0" t="s">
        <v>171</v>
      </c>
      <c r="H14964" s="5">
        <v>537.138400</v>
      </c>
    </row>
    <row r="14965" spans="1:9">
      <c r="A14965" s="22" t="str">
        <f>HYPERLINK("https://app.vivvix.com/360/KMI/IntelliDrive/ApplUI/Pages/CreativePages/CustomReportCreativeDetail.aspx?App=23&amp;ReportView=4&amp;Qid=1711279&amp;Row=14957&amp;Col=1","No Title Assigned - #15274495243")</f>
        <v/>
      </c>
      <c r="B14965" s="0" t="s">
        <v>19886</v>
      </c>
      <c r="E14965" s="0" t="inlineStr">
        <is>
          <t xml:space="preserve">Mazda</t>
        </is>
      </c>
      <c r="F14965" s="0" t="inlineStr">
        <is>
          <t xml:space="preserve">Mazda</t>
        </is>
      </c>
      <c r="G14965" s="0" t="s">
        <v>171</v>
      </c>
      <c r="H14965" s="5">
        <v>100.897400</v>
      </c>
    </row>
    <row r="14966" spans="1:9">
      <c r="A14966" s="22" t="str">
        <f>HYPERLINK("https://app.vivvix.com/360/KMI/IntelliDrive/ApplUI/Pages/CreativePages/CustomReportCreativeDetail.aspx?App=23&amp;ReportView=4&amp;Qid=1711279&amp;Row=14958&amp;Col=1","No Title Assigned - #15274495244")</f>
        <v/>
      </c>
      <c r="B14966" s="0" t="s">
        <v>19887</v>
      </c>
      <c r="E14966" s="0" t="inlineStr">
        <is>
          <t xml:space="preserve">Mazda</t>
        </is>
      </c>
      <c r="F14966" s="0" t="inlineStr">
        <is>
          <t xml:space="preserve">Mazda</t>
        </is>
      </c>
      <c r="G14966" s="0" t="s">
        <v>171</v>
      </c>
      <c r="H14966" s="5">
        <v>199.221000</v>
      </c>
    </row>
    <row r="14967" spans="1:9">
      <c r="A14967" s="22" t="str">
        <f>HYPERLINK("https://app.vivvix.com/360/KMI/IntelliDrive/ApplUI/Pages/CreativePages/CustomReportCreativeDetail.aspx?App=23&amp;ReportView=4&amp;Qid=1711279&amp;Row=14959&amp;Col=1","No Title Assigned - #15274495245")</f>
        <v/>
      </c>
      <c r="B14967" s="0" t="s">
        <v>19888</v>
      </c>
      <c r="E14967" s="0" t="inlineStr">
        <is>
          <t xml:space="preserve">Mazda</t>
        </is>
      </c>
      <c r="F14967" s="0" t="inlineStr">
        <is>
          <t xml:space="preserve">Mazda</t>
        </is>
      </c>
      <c r="G14967" s="0" t="s">
        <v>171</v>
      </c>
      <c r="H14967" s="5">
        <v>78.357200</v>
      </c>
    </row>
    <row r="14968" spans="1:9">
      <c r="A14968" s="22" t="str">
        <f>HYPERLINK("https://app.vivvix.com/360/KMI/IntelliDrive/ApplUI/Pages/CreativePages/CustomReportCreativeDetail.aspx?App=23&amp;ReportView=4&amp;Qid=1711279&amp;Row=14960&amp;Col=1","No Title Assigned - #15274495268")</f>
        <v/>
      </c>
      <c r="B14968" s="0" t="s">
        <v>19889</v>
      </c>
      <c r="E14968" s="0" t="inlineStr">
        <is>
          <t xml:space="preserve">Mazda</t>
        </is>
      </c>
      <c r="F14968" s="0" t="inlineStr">
        <is>
          <t xml:space="preserve">Mazda</t>
        </is>
      </c>
      <c r="G14968" s="0" t="s">
        <v>171</v>
      </c>
      <c r="H14968" s="5">
        <v>566.015400</v>
      </c>
    </row>
    <row r="14969" spans="1:9">
      <c r="A14969" s="22" t="str">
        <f>HYPERLINK("https://app.vivvix.com/360/KMI/IntelliDrive/ApplUI/Pages/CreativePages/CustomReportCreativeDetail.aspx?App=23&amp;ReportView=4&amp;Qid=1711279&amp;Row=14961&amp;Col=1","No Title Assigned - #15274495285")</f>
        <v/>
      </c>
      <c r="B14969" s="0" t="s">
        <v>19890</v>
      </c>
      <c r="E14969" s="0" t="inlineStr">
        <is>
          <t xml:space="preserve">Mazda</t>
        </is>
      </c>
      <c r="F14969" s="0" t="inlineStr">
        <is>
          <t xml:space="preserve">Mazda</t>
        </is>
      </c>
      <c r="G14969" s="0" t="s">
        <v>171</v>
      </c>
      <c r="H14969" s="5">
        <v>245.953300</v>
      </c>
    </row>
    <row r="14970" spans="1:9">
      <c r="A14970" s="22" t="str">
        <f>HYPERLINK("https://app.vivvix.com/360/KMI/IntelliDrive/ApplUI/Pages/CreativePages/CustomReportCreativeDetail.aspx?App=23&amp;ReportView=4&amp;Qid=1711279&amp;Row=14962&amp;Col=1","No Title Assigned - #15274495293")</f>
        <v/>
      </c>
      <c r="B14970" s="0" t="s">
        <v>19891</v>
      </c>
      <c r="E14970" s="0" t="inlineStr">
        <is>
          <t xml:space="preserve">Mazda</t>
        </is>
      </c>
      <c r="F14970" s="0" t="inlineStr">
        <is>
          <t xml:space="preserve">Mazda</t>
        </is>
      </c>
      <c r="G14970" s="0" t="s">
        <v>171</v>
      </c>
      <c r="H14970" s="5">
        <v>13.867800</v>
      </c>
    </row>
    <row r="14971" spans="1:9">
      <c r="A14971" s="22" t="str">
        <f>HYPERLINK("https://app.vivvix.com/360/KMI/IntelliDrive/ApplUI/Pages/CreativePages/CustomReportCreativeDetail.aspx?App=23&amp;ReportView=4&amp;Qid=1711279&amp;Row=14963&amp;Col=1","No Title Assigned - #15274495357")</f>
        <v/>
      </c>
      <c r="B14971" s="0" t="s">
        <v>19892</v>
      </c>
      <c r="E14971" s="0" t="inlineStr">
        <is>
          <t xml:space="preserve">Mazda</t>
        </is>
      </c>
      <c r="F14971" s="0" t="inlineStr">
        <is>
          <t xml:space="preserve">Mazda</t>
        </is>
      </c>
      <c r="G14971" s="0" t="s">
        <v>171</v>
      </c>
      <c r="H14971" s="5">
        <v>1232.597400</v>
      </c>
    </row>
    <row r="14972" spans="1:9">
      <c r="A14972" s="22" t="str">
        <f>HYPERLINK("https://app.vivvix.com/360/KMI/IntelliDrive/ApplUI/Pages/CreativePages/CustomReportCreativeDetail.aspx?App=23&amp;ReportView=4&amp;Qid=1711279&amp;Row=14964&amp;Col=1","No Title Assigned - #15274497637")</f>
        <v/>
      </c>
      <c r="B14972" s="0" t="s">
        <v>19893</v>
      </c>
      <c r="E14972" s="0" t="inlineStr">
        <is>
          <t xml:space="preserve">Mazda</t>
        </is>
      </c>
      <c r="F14972" s="0" t="inlineStr">
        <is>
          <t xml:space="preserve">Mazda</t>
        </is>
      </c>
      <c r="G14972" s="0" t="s">
        <v>171</v>
      </c>
      <c r="H14972" s="5">
        <v>1462.741800</v>
      </c>
    </row>
    <row r="14973" spans="1:9">
      <c r="A14973" s="22" t="str">
        <f>HYPERLINK("https://app.vivvix.com/360/KMI/IntelliDrive/ApplUI/Pages/CreativePages/CustomReportCreativeDetail.aspx?App=23&amp;ReportView=4&amp;Qid=1711279&amp;Row=14965&amp;Col=1","No Title Assigned - #15274500030")</f>
        <v/>
      </c>
      <c r="B14973" s="0" t="s">
        <v>19894</v>
      </c>
      <c r="E14973" s="0" t="inlineStr">
        <is>
          <t xml:space="preserve">Mazda</t>
        </is>
      </c>
      <c r="F14973" s="0" t="inlineStr">
        <is>
          <t xml:space="preserve">Mazda</t>
        </is>
      </c>
      <c r="G14973" s="0" t="s">
        <v>171</v>
      </c>
      <c r="H14973" s="5">
        <v>25477.204100</v>
      </c>
    </row>
    <row r="14974" spans="1:9">
      <c r="A14974" s="22" t="str">
        <f>HYPERLINK("https://app.vivvix.com/360/KMI/IntelliDrive/ApplUI/Pages/CreativePages/CustomReportCreativeDetail.aspx?App=23&amp;ReportView=4&amp;Qid=1711279&amp;Row=14966&amp;Col=1","No Title Assigned - #15274500030")</f>
        <v/>
      </c>
      <c r="B14974" s="0" t="s">
        <v>19894</v>
      </c>
      <c r="E14974" s="0" t="inlineStr">
        <is>
          <t xml:space="preserve">Mazda</t>
        </is>
      </c>
      <c r="F14974" s="0" t="inlineStr">
        <is>
          <t xml:space="preserve">Mazda</t>
        </is>
      </c>
      <c r="G14974" s="0" t="s">
        <v>171</v>
      </c>
      <c r="H14974" s="5">
        <v>25575.489200</v>
      </c>
    </row>
    <row r="14975" spans="1:9">
      <c r="A14975" s="22" t="str">
        <f>HYPERLINK("https://app.vivvix.com/360/KMI/IntelliDrive/ApplUI/Pages/CreativePages/CustomReportCreativeDetail.aspx?App=23&amp;ReportView=4&amp;Qid=1711279&amp;Row=14967&amp;Col=1","No Title Assigned - #15274500096")</f>
        <v/>
      </c>
      <c r="B14975" s="0" t="s">
        <v>19895</v>
      </c>
      <c r="E14975" s="0" t="inlineStr">
        <is>
          <t xml:space="preserve">Mazda</t>
        </is>
      </c>
      <c r="F14975" s="0" t="inlineStr">
        <is>
          <t xml:space="preserve">Mazda</t>
        </is>
      </c>
      <c r="G14975" s="0" t="s">
        <v>171</v>
      </c>
      <c r="H14975" s="5">
        <v>1.787400</v>
      </c>
    </row>
    <row r="14976" spans="1:9">
      <c r="A14976" s="22" t="str">
        <f>HYPERLINK("https://app.vivvix.com/360/KMI/IntelliDrive/ApplUI/Pages/CreativePages/CustomReportCreativeDetail.aspx?App=23&amp;ReportView=4&amp;Qid=1711279&amp;Row=14968&amp;Col=1","No Title Assigned - #15274500382")</f>
        <v/>
      </c>
      <c r="B14976" s="0" t="s">
        <v>19896</v>
      </c>
      <c r="E14976" s="0" t="inlineStr">
        <is>
          <t xml:space="preserve">Mazda</t>
        </is>
      </c>
      <c r="F14976" s="0" t="inlineStr">
        <is>
          <t xml:space="preserve">Mazda</t>
        </is>
      </c>
      <c r="G14976" s="0" t="s">
        <v>171</v>
      </c>
      <c r="H14976" s="5">
        <v>259.738800</v>
      </c>
    </row>
    <row r="14977" spans="1:9">
      <c r="A14977" s="22" t="str">
        <f>HYPERLINK("https://app.vivvix.com/360/KMI/IntelliDrive/ApplUI/Pages/CreativePages/CustomReportCreativeDetail.aspx?App=23&amp;ReportView=4&amp;Qid=1711279&amp;Row=14969&amp;Col=1","No Title Assigned - #15274500580")</f>
        <v/>
      </c>
      <c r="B14977" s="0" t="s">
        <v>19897</v>
      </c>
      <c r="E14977" s="0" t="inlineStr">
        <is>
          <t xml:space="preserve">Mazda</t>
        </is>
      </c>
      <c r="F14977" s="0" t="inlineStr">
        <is>
          <t xml:space="preserve">Mazda</t>
        </is>
      </c>
      <c r="G14977" s="0" t="s">
        <v>171</v>
      </c>
      <c r="H14977" s="5">
        <v>154.340000</v>
      </c>
    </row>
    <row r="14978" spans="1:9">
      <c r="A14978" s="22" t="str">
        <f>HYPERLINK("https://app.vivvix.com/360/KMI/IntelliDrive/ApplUI/Pages/CreativePages/CustomReportCreativeDetail.aspx?App=23&amp;ReportView=4&amp;Qid=1711279&amp;Row=14970&amp;Col=1","No Title Assigned - #15274500580")</f>
        <v/>
      </c>
      <c r="B14978" s="0" t="s">
        <v>19897</v>
      </c>
      <c r="E14978" s="0" t="inlineStr">
        <is>
          <t xml:space="preserve">Mazda</t>
        </is>
      </c>
      <c r="F14978" s="0" t="inlineStr">
        <is>
          <t xml:space="preserve">Mazda</t>
        </is>
      </c>
      <c r="G14978" s="0" t="s">
        <v>171</v>
      </c>
      <c r="H14978" s="5">
        <v>802.294400</v>
      </c>
    </row>
    <row r="14979" spans="1:9">
      <c r="A14979" s="22" t="str">
        <f>HYPERLINK("https://app.vivvix.com/360/KMI/IntelliDrive/ApplUI/Pages/CreativePages/CustomReportCreativeDetail.aspx?App=23&amp;ReportView=4&amp;Qid=1711279&amp;Row=14971&amp;Col=1","No Title Assigned - #15274501984")</f>
        <v/>
      </c>
      <c r="B14979" s="0" t="s">
        <v>19898</v>
      </c>
      <c r="E14979" s="0" t="inlineStr">
        <is>
          <t xml:space="preserve">Mazda</t>
        </is>
      </c>
      <c r="F14979" s="0" t="inlineStr">
        <is>
          <t xml:space="preserve">Mazda</t>
        </is>
      </c>
      <c r="G14979" s="0" t="s">
        <v>171</v>
      </c>
      <c r="H14979" s="5">
        <v>5042.313500</v>
      </c>
    </row>
    <row r="14980" spans="1:9">
      <c r="A14980" s="22" t="str">
        <f>HYPERLINK("https://app.vivvix.com/360/KMI/IntelliDrive/ApplUI/Pages/CreativePages/CustomReportCreativeDetail.aspx?App=23&amp;ReportView=4&amp;Qid=1711279&amp;Row=14972&amp;Col=1","No Title Assigned - #15274502370")</f>
        <v/>
      </c>
      <c r="B14980" s="0" t="s">
        <v>19899</v>
      </c>
      <c r="E14980" s="0" t="inlineStr">
        <is>
          <t xml:space="preserve">Mazda</t>
        </is>
      </c>
      <c r="F14980" s="0" t="inlineStr">
        <is>
          <t xml:space="preserve">Mazda</t>
        </is>
      </c>
      <c r="G14980" s="0" t="s">
        <v>171</v>
      </c>
      <c r="H14980" s="5">
        <v>638.151500</v>
      </c>
    </row>
    <row r="14981" spans="1:9">
      <c r="A14981" s="22" t="str">
        <f>HYPERLINK("https://app.vivvix.com/360/KMI/IntelliDrive/ApplUI/Pages/CreativePages/CustomReportCreativeDetail.aspx?App=23&amp;ReportView=4&amp;Qid=1711279&amp;Row=14973&amp;Col=1","No Title Assigned - #15274502420")</f>
        <v/>
      </c>
      <c r="B14981" s="0" t="s">
        <v>19900</v>
      </c>
      <c r="E14981" s="0" t="inlineStr">
        <is>
          <t xml:space="preserve">Mazda</t>
        </is>
      </c>
      <c r="F14981" s="0" t="inlineStr">
        <is>
          <t xml:space="preserve">Mazda</t>
        </is>
      </c>
      <c r="G14981" s="0" t="s">
        <v>171</v>
      </c>
      <c r="H14981" s="5">
        <v>638.151500</v>
      </c>
    </row>
    <row r="14982" spans="1:9">
      <c r="A14982" s="22" t="str">
        <f>HYPERLINK("https://app.vivvix.com/360/KMI/IntelliDrive/ApplUI/Pages/CreativePages/CustomReportCreativeDetail.aspx?App=23&amp;ReportView=4&amp;Qid=1711279&amp;Row=14974&amp;Col=1","No Title Assigned - #15274503600")</f>
        <v/>
      </c>
      <c r="B14982" s="0" t="s">
        <v>19901</v>
      </c>
      <c r="E14982" s="0" t="inlineStr">
        <is>
          <t xml:space="preserve">Mazda</t>
        </is>
      </c>
      <c r="F14982" s="0" t="inlineStr">
        <is>
          <t xml:space="preserve">Mazda</t>
        </is>
      </c>
      <c r="G14982" s="0" t="s">
        <v>171</v>
      </c>
      <c r="H14982" s="5">
        <v>68.715300</v>
      </c>
    </row>
    <row r="14983" spans="1:9">
      <c r="A14983" s="22" t="str">
        <f>HYPERLINK("https://app.vivvix.com/360/KMI/IntelliDrive/ApplUI/Pages/CreativePages/CustomReportCreativeDetail.aspx?App=23&amp;ReportView=4&amp;Qid=1711279&amp;Row=14975&amp;Col=1","No Title Assigned - #15274503833")</f>
        <v/>
      </c>
      <c r="B14983" s="0" t="s">
        <v>19902</v>
      </c>
      <c r="E14983" s="0" t="inlineStr">
        <is>
          <t xml:space="preserve">Mazda</t>
        </is>
      </c>
      <c r="F14983" s="0" t="inlineStr">
        <is>
          <t xml:space="preserve">Mazda</t>
        </is>
      </c>
      <c r="G14983" s="0" t="s">
        <v>171</v>
      </c>
      <c r="H14983" s="5">
        <v>2308.212400</v>
      </c>
    </row>
    <row r="14984" spans="1:9">
      <c r="A14984" s="22" t="str">
        <f>HYPERLINK("https://app.vivvix.com/360/KMI/IntelliDrive/ApplUI/Pages/CreativePages/CustomReportCreativeDetail.aspx?App=23&amp;ReportView=4&amp;Qid=1711279&amp;Row=14976&amp;Col=1","No Title Assigned - #15274503923")</f>
        <v/>
      </c>
      <c r="B14984" s="0" t="s">
        <v>19903</v>
      </c>
      <c r="E14984" s="0" t="inlineStr">
        <is>
          <t xml:space="preserve">Mazda</t>
        </is>
      </c>
      <c r="F14984" s="0" t="inlineStr">
        <is>
          <t xml:space="preserve">Mazda</t>
        </is>
      </c>
      <c r="G14984" s="0" t="s">
        <v>171</v>
      </c>
      <c r="H14984" s="5">
        <v>4.351800</v>
      </c>
    </row>
    <row r="14985" spans="1:9">
      <c r="A14985" s="22" t="str">
        <f>HYPERLINK("https://app.vivvix.com/360/KMI/IntelliDrive/ApplUI/Pages/CreativePages/CustomReportCreativeDetail.aspx?App=23&amp;ReportView=4&amp;Qid=1711279&amp;Row=14977&amp;Col=1","No Title Assigned - #15274505820")</f>
        <v/>
      </c>
      <c r="B14985" s="0" t="s">
        <v>19904</v>
      </c>
      <c r="E14985" s="0" t="inlineStr">
        <is>
          <t xml:space="preserve">Mazda</t>
        </is>
      </c>
      <c r="F14985" s="0" t="inlineStr">
        <is>
          <t xml:space="preserve">Mazda</t>
        </is>
      </c>
      <c r="G14985" s="0" t="s">
        <v>171</v>
      </c>
      <c r="H14985" s="5">
        <v>6.789700</v>
      </c>
    </row>
    <row r="14986" spans="1:9">
      <c r="A14986" s="22" t="str">
        <f>HYPERLINK("https://app.vivvix.com/360/KMI/IntelliDrive/ApplUI/Pages/CreativePages/CustomReportCreativeDetail.aspx?App=23&amp;ReportView=4&amp;Qid=1711279&amp;Row=14978&amp;Col=1","No Title Assigned - #15274506057")</f>
        <v/>
      </c>
      <c r="B14986" s="0" t="s">
        <v>19905</v>
      </c>
      <c r="E14986" s="0" t="inlineStr">
        <is>
          <t xml:space="preserve">Mazda</t>
        </is>
      </c>
      <c r="F14986" s="0" t="inlineStr">
        <is>
          <t xml:space="preserve">Mazda</t>
        </is>
      </c>
      <c r="G14986" s="0" t="s">
        <v>171</v>
      </c>
      <c r="H14986" s="5">
        <v>4.170800</v>
      </c>
    </row>
    <row r="14987" spans="1:9">
      <c r="A14987" s="22" t="str">
        <f>HYPERLINK("https://app.vivvix.com/360/KMI/IntelliDrive/ApplUI/Pages/CreativePages/CustomReportCreativeDetail.aspx?App=23&amp;ReportView=4&amp;Qid=1711279&amp;Row=14979&amp;Col=1","No Title Assigned - #15274507943")</f>
        <v/>
      </c>
      <c r="B14987" s="0" t="s">
        <v>19906</v>
      </c>
      <c r="E14987" s="0" t="inlineStr">
        <is>
          <t xml:space="preserve">Mazda</t>
        </is>
      </c>
      <c r="F14987" s="0" t="inlineStr">
        <is>
          <t xml:space="preserve">Mazda</t>
        </is>
      </c>
      <c r="G14987" s="0" t="s">
        <v>171</v>
      </c>
      <c r="H14987" s="5">
        <v>66.254700</v>
      </c>
    </row>
    <row r="14988" spans="1:9">
      <c r="A14988" s="22" t="str">
        <f>HYPERLINK("https://app.vivvix.com/360/KMI/IntelliDrive/ApplUI/Pages/CreativePages/CustomReportCreativeDetail.aspx?App=23&amp;ReportView=4&amp;Qid=1711279&amp;Row=14980&amp;Col=1","No Title Assigned - #15274509279")</f>
        <v/>
      </c>
      <c r="B14988" s="0" t="s">
        <v>19907</v>
      </c>
      <c r="E14988" s="0" t="inlineStr">
        <is>
          <t xml:space="preserve">Mazda</t>
        </is>
      </c>
      <c r="F14988" s="0" t="inlineStr">
        <is>
          <t xml:space="preserve">Mazda</t>
        </is>
      </c>
      <c r="G14988" s="0" t="s">
        <v>171</v>
      </c>
      <c r="H14988" s="5">
        <v>258.185400</v>
      </c>
    </row>
    <row r="14989" spans="1:9">
      <c r="A14989" s="22" t="str">
        <f>HYPERLINK("https://app.vivvix.com/360/KMI/IntelliDrive/ApplUI/Pages/CreativePages/CustomReportCreativeDetail.aspx?App=23&amp;ReportView=4&amp;Qid=1711279&amp;Row=14981&amp;Col=1","No Title Assigned - #15274510278")</f>
        <v/>
      </c>
      <c r="B14989" s="0" t="s">
        <v>19908</v>
      </c>
      <c r="E14989" s="0" t="inlineStr">
        <is>
          <t xml:space="preserve">Mazda</t>
        </is>
      </c>
      <c r="F14989" s="0" t="inlineStr">
        <is>
          <t xml:space="preserve">Mazda</t>
        </is>
      </c>
      <c r="G14989" s="0" t="s">
        <v>171</v>
      </c>
      <c r="H14989" s="5">
        <v>1880.367700</v>
      </c>
    </row>
    <row r="14990" spans="1:9">
      <c r="A14990" s="22" t="str">
        <f>HYPERLINK("https://app.vivvix.com/360/KMI/IntelliDrive/ApplUI/Pages/CreativePages/CustomReportCreativeDetail.aspx?App=23&amp;ReportView=4&amp;Qid=1711279&amp;Row=14982&amp;Col=1","No Title Assigned - #15274510517")</f>
        <v/>
      </c>
      <c r="B14990" s="0" t="s">
        <v>19909</v>
      </c>
      <c r="E14990" s="0" t="inlineStr">
        <is>
          <t xml:space="preserve">Mazda</t>
        </is>
      </c>
      <c r="F14990" s="0" t="inlineStr">
        <is>
          <t xml:space="preserve">Mazda</t>
        </is>
      </c>
      <c r="G14990" s="0" t="s">
        <v>171</v>
      </c>
      <c r="H14990" s="5">
        <v>26.831900</v>
      </c>
    </row>
    <row r="14991" spans="1:9">
      <c r="A14991" s="22" t="str">
        <f>HYPERLINK("https://app.vivvix.com/360/KMI/IntelliDrive/ApplUI/Pages/CreativePages/CustomReportCreativeDetail.aspx?App=23&amp;ReportView=4&amp;Qid=1711279&amp;Row=14983&amp;Col=1","No Title Assigned - #15274510537")</f>
        <v/>
      </c>
      <c r="B14991" s="0" t="s">
        <v>19910</v>
      </c>
      <c r="E14991" s="0" t="inlineStr">
        <is>
          <t xml:space="preserve">Mazda</t>
        </is>
      </c>
      <c r="F14991" s="0" t="inlineStr">
        <is>
          <t xml:space="preserve">Mazda</t>
        </is>
      </c>
      <c r="G14991" s="0" t="s">
        <v>171</v>
      </c>
      <c r="H14991" s="5">
        <v>969.867200</v>
      </c>
    </row>
    <row r="14992" spans="1:9">
      <c r="A14992" s="22" t="str">
        <f>HYPERLINK("https://app.vivvix.com/360/KMI/IntelliDrive/ApplUI/Pages/CreativePages/CustomReportCreativeDetail.aspx?App=23&amp;ReportView=4&amp;Qid=1711279&amp;Row=14984&amp;Col=1","No Title Assigned - #15274511221")</f>
        <v/>
      </c>
      <c r="B14992" s="0" t="s">
        <v>19911</v>
      </c>
      <c r="E14992" s="0" t="inlineStr">
        <is>
          <t xml:space="preserve">Mazda</t>
        </is>
      </c>
      <c r="F14992" s="0" t="inlineStr">
        <is>
          <t xml:space="preserve">Mazda</t>
        </is>
      </c>
      <c r="G14992" s="0" t="s">
        <v>171</v>
      </c>
      <c r="H14992" s="5">
        <v>13.062600</v>
      </c>
    </row>
    <row r="14993" spans="1:9">
      <c r="A14993" s="22" t="str">
        <f>HYPERLINK("https://app.vivvix.com/360/KMI/IntelliDrive/ApplUI/Pages/CreativePages/CustomReportCreativeDetail.aspx?App=23&amp;ReportView=4&amp;Qid=1711279&amp;Row=14985&amp;Col=1","No Title Assigned - #15274529585")</f>
        <v/>
      </c>
      <c r="B14993" s="0" t="s">
        <v>19912</v>
      </c>
      <c r="C14993" s="0" t="s">
        <v>19913</v>
      </c>
      <c r="D14993" s="0" t="s">
        <v>8549</v>
      </c>
      <c r="E14993" s="0" t="inlineStr">
        <is>
          <t xml:space="preserve">Mazda</t>
        </is>
      </c>
      <c r="F14993" s="0" t="s">
        <v>13</v>
      </c>
      <c r="G14993" s="0" t="s">
        <v>49</v>
      </c>
      <c r="H14993" s="5">
        <v>25.658800</v>
      </c>
    </row>
    <row r="14994" spans="1:9">
      <c r="A14994" s="22" t="str">
        <f>HYPERLINK("https://app.vivvix.com/360/KMI/IntelliDrive/ApplUI/Pages/CreativePages/CustomReportCreativeDetail.aspx?App=23&amp;ReportView=4&amp;Qid=1711279&amp;Row=14986&amp;Col=1","No Title Assigned - #15274535397")</f>
        <v/>
      </c>
      <c r="B14994" s="0" t="s">
        <v>19914</v>
      </c>
      <c r="E14994" s="0" t="inlineStr">
        <is>
          <t xml:space="preserve">Mazda</t>
        </is>
      </c>
      <c r="F14994" s="0" t="s">
        <v>13</v>
      </c>
      <c r="G14994" s="0" t="s">
        <v>49</v>
      </c>
      <c r="H14994" s="5">
        <v>1217.557300</v>
      </c>
    </row>
    <row r="14995" spans="1:9">
      <c r="A14995" s="22" t="str">
        <f>HYPERLINK("https://app.vivvix.com/360/KMI/IntelliDrive/ApplUI/Pages/CreativePages/CustomReportCreativeDetail.aspx?App=23&amp;ReportView=4&amp;Qid=1711279&amp;Row=14987&amp;Col=1","No Title Assigned - #15274537068")</f>
        <v/>
      </c>
      <c r="B14995" s="0" t="s">
        <v>19915</v>
      </c>
      <c r="C14995" s="0" t="s">
        <v>19916</v>
      </c>
      <c r="D14995" s="0" t="s">
        <v>6420</v>
      </c>
      <c r="E14995" s="0" t="inlineStr">
        <is>
          <t xml:space="preserve">Mazda</t>
        </is>
      </c>
      <c r="F14995" s="0" t="s">
        <v>13</v>
      </c>
      <c r="G14995" s="0" t="s">
        <v>49</v>
      </c>
      <c r="H14995" s="5">
        <v>243.154100</v>
      </c>
    </row>
    <row r="14996" spans="1:9">
      <c r="A14996" s="22" t="str">
        <f>HYPERLINK("https://app.vivvix.com/360/KMI/IntelliDrive/ApplUI/Pages/CreativePages/CustomReportCreativeDetail.aspx?App=23&amp;ReportView=4&amp;Qid=1711279&amp;Row=14988&amp;Col=1","No Title Assigned - #15274541697")</f>
        <v/>
      </c>
      <c r="B14996" s="0" t="s">
        <v>19917</v>
      </c>
      <c r="C14996" s="0" t="s">
        <v>19918</v>
      </c>
      <c r="D14996" s="0" t="s">
        <v>19918</v>
      </c>
      <c r="E14996" s="0" t="inlineStr">
        <is>
          <t xml:space="preserve">Mazda</t>
        </is>
      </c>
      <c r="F14996" s="0" t="inlineStr">
        <is>
          <t xml:space="preserve">Mazda</t>
        </is>
      </c>
      <c r="G14996" s="0" t="s">
        <v>210</v>
      </c>
      <c r="H14996" s="5">
        <v>4006.145000</v>
      </c>
    </row>
    <row r="14997" spans="1:9">
      <c r="A14997" s="22" t="str">
        <f>HYPERLINK("https://app.vivvix.com/360/KMI/IntelliDrive/ApplUI/Pages/CreativePages/CustomReportCreativeDetail.aspx?App=23&amp;ReportView=4&amp;Qid=1711279&amp;Row=14989&amp;Col=1","No Title Assigned - #15274541857")</f>
        <v/>
      </c>
      <c r="B14997" s="0" t="s">
        <v>19919</v>
      </c>
      <c r="C14997" s="0" t="s">
        <v>19920</v>
      </c>
      <c r="D14997" s="0" t="s">
        <v>19920</v>
      </c>
      <c r="E14997" s="0" t="inlineStr">
        <is>
          <t xml:space="preserve">Mazda</t>
        </is>
      </c>
      <c r="F14997" s="0" t="s">
        <v>13</v>
      </c>
      <c r="G14997" s="0" t="s">
        <v>49</v>
      </c>
      <c r="H14997" s="5">
        <v>28.024000</v>
      </c>
    </row>
    <row r="14998" spans="1:9">
      <c r="A14998" s="22" t="str">
        <f>HYPERLINK("https://app.vivvix.com/360/KMI/IntelliDrive/ApplUI/Pages/CreativePages/CustomReportCreativeDetail.aspx?App=23&amp;ReportView=4&amp;Qid=1711279&amp;Row=14990&amp;Col=1","No Title Assigned - #15274542211")</f>
        <v/>
      </c>
      <c r="B14998" s="0" t="s">
        <v>19921</v>
      </c>
      <c r="C14998" s="0" t="s">
        <v>19922</v>
      </c>
      <c r="D14998" s="0" t="s">
        <v>19922</v>
      </c>
      <c r="E14998" s="0" t="inlineStr">
        <is>
          <t xml:space="preserve">Mazda</t>
        </is>
      </c>
      <c r="F14998" s="0" t="inlineStr">
        <is>
          <t xml:space="preserve">Mazda</t>
        </is>
      </c>
      <c r="G14998" s="0" t="s">
        <v>210</v>
      </c>
      <c r="H14998" s="5">
        <v>11650.293800</v>
      </c>
    </row>
    <row r="14999" spans="1:9">
      <c r="A14999" s="22" t="str">
        <f>HYPERLINK("https://app.vivvix.com/360/KMI/IntelliDrive/ApplUI/Pages/CreativePages/CustomReportCreativeDetail.aspx?App=23&amp;ReportView=4&amp;Qid=1711279&amp;Row=14991&amp;Col=1","No Title Assigned - #15274545327")</f>
        <v/>
      </c>
      <c r="B14999" s="0" t="s">
        <v>19923</v>
      </c>
      <c r="E14999" s="0" t="inlineStr">
        <is>
          <t xml:space="preserve">Mazda</t>
        </is>
      </c>
      <c r="F14999" s="0" t="inlineStr">
        <is>
          <t xml:space="preserve">Mazda</t>
        </is>
      </c>
      <c r="G14999" s="0" t="s">
        <v>171</v>
      </c>
      <c r="H14999" s="5">
        <v>585.642200</v>
      </c>
    </row>
    <row r="15000" spans="1:9">
      <c r="A15000" s="22" t="str">
        <f>HYPERLINK("https://app.vivvix.com/360/KMI/IntelliDrive/ApplUI/Pages/CreativePages/CustomReportCreativeDetail.aspx?App=23&amp;ReportView=4&amp;Qid=1711279&amp;Row=14992&amp;Col=1","No Title Assigned - #15274547258")</f>
        <v/>
      </c>
      <c r="B15000" s="0" t="s">
        <v>19924</v>
      </c>
      <c r="E15000" s="0" t="inlineStr">
        <is>
          <t xml:space="preserve">Mazda</t>
        </is>
      </c>
      <c r="F15000" s="0" t="inlineStr">
        <is>
          <t xml:space="preserve">Mazda</t>
        </is>
      </c>
      <c r="G15000" s="0" t="s">
        <v>171</v>
      </c>
      <c r="H15000" s="5">
        <v>120.498700</v>
      </c>
    </row>
    <row r="15001" spans="1:9">
      <c r="A15001" s="22" t="str">
        <f>HYPERLINK("https://app.vivvix.com/360/KMI/IntelliDrive/ApplUI/Pages/CreativePages/CustomReportCreativeDetail.aspx?App=23&amp;ReportView=4&amp;Qid=1711279&amp;Row=14993&amp;Col=1","No Title Assigned - #15274548897")</f>
        <v/>
      </c>
      <c r="B15001" s="0" t="s">
        <v>19925</v>
      </c>
      <c r="E15001" s="0" t="inlineStr">
        <is>
          <t xml:space="preserve">Mazda</t>
        </is>
      </c>
      <c r="F15001" s="0" t="inlineStr">
        <is>
          <t xml:space="preserve">Mazda</t>
        </is>
      </c>
      <c r="G15001" s="0" t="s">
        <v>171</v>
      </c>
      <c r="H15001" s="5">
        <v>13.867800</v>
      </c>
    </row>
    <row r="15002" spans="1:9">
      <c r="A15002" s="22" t="str">
        <f>HYPERLINK("https://app.vivvix.com/360/KMI/IntelliDrive/ApplUI/Pages/CreativePages/CustomReportCreativeDetail.aspx?App=23&amp;ReportView=4&amp;Qid=1711279&amp;Row=14994&amp;Col=1","No Title Assigned - #15274549647")</f>
        <v/>
      </c>
      <c r="B15002" s="0" t="s">
        <v>19926</v>
      </c>
      <c r="E15002" s="0" t="inlineStr">
        <is>
          <t xml:space="preserve">Mazda</t>
        </is>
      </c>
      <c r="F15002" s="0" t="inlineStr">
        <is>
          <t xml:space="preserve">Mazda</t>
        </is>
      </c>
      <c r="G15002" s="0" t="s">
        <v>171</v>
      </c>
      <c r="H15002" s="5">
        <v>42.930800</v>
      </c>
    </row>
    <row r="15003" spans="1:9">
      <c r="A15003" s="22" t="str">
        <f>HYPERLINK("https://app.vivvix.com/360/KMI/IntelliDrive/ApplUI/Pages/CreativePages/CustomReportCreativeDetail.aspx?App=23&amp;ReportView=4&amp;Qid=1711279&amp;Row=14995&amp;Col=1","No Title Assigned - #15274550488")</f>
        <v/>
      </c>
      <c r="B15003" s="0" t="s">
        <v>19927</v>
      </c>
      <c r="E15003" s="0" t="inlineStr">
        <is>
          <t xml:space="preserve">Mazda</t>
        </is>
      </c>
      <c r="F15003" s="0" t="inlineStr">
        <is>
          <t xml:space="preserve">Mazda</t>
        </is>
      </c>
      <c r="G15003" s="0" t="s">
        <v>171</v>
      </c>
      <c r="H15003" s="5">
        <v>49.307700</v>
      </c>
    </row>
    <row r="15004" spans="1:9">
      <c r="A15004" s="22" t="str">
        <f>HYPERLINK("https://app.vivvix.com/360/KMI/IntelliDrive/ApplUI/Pages/CreativePages/CustomReportCreativeDetail.aspx?App=23&amp;ReportView=4&amp;Qid=1711279&amp;Row=14996&amp;Col=1","No Title Assigned - #15274551805")</f>
        <v/>
      </c>
      <c r="B15004" s="0" t="s">
        <v>19928</v>
      </c>
      <c r="C15004" s="0" t="s">
        <v>19929</v>
      </c>
      <c r="D15004" s="0" t="s">
        <v>19929</v>
      </c>
      <c r="E15004" s="0" t="inlineStr">
        <is>
          <t xml:space="preserve">Mazda</t>
        </is>
      </c>
      <c r="F15004" s="0" t="s">
        <v>28</v>
      </c>
      <c r="G15004" s="0" t="s">
        <v>29</v>
      </c>
      <c r="H15004" s="5">
        <v>387.605200</v>
      </c>
    </row>
    <row r="15005" spans="1:9">
      <c r="A15005" s="22" t="str">
        <f>HYPERLINK("https://app.vivvix.com/360/KMI/IntelliDrive/ApplUI/Pages/CreativePages/CustomReportCreativeDetail.aspx?App=23&amp;ReportView=4&amp;Qid=1711279&amp;Row=14997&amp;Col=1","No Title Assigned - #15274553559")</f>
        <v/>
      </c>
      <c r="B15005" s="0" t="s">
        <v>19930</v>
      </c>
      <c r="C15005" s="0" t="s">
        <v>19931</v>
      </c>
      <c r="D15005" s="0" t="s">
        <v>10704</v>
      </c>
      <c r="E15005" s="0" t="inlineStr">
        <is>
          <t xml:space="preserve">Mazda</t>
        </is>
      </c>
      <c r="F15005" s="0" t="s">
        <v>13</v>
      </c>
      <c r="G15005" s="0" t="s">
        <v>49</v>
      </c>
      <c r="H15005" s="5">
        <v>142.529300</v>
      </c>
    </row>
    <row r="15006" spans="1:9">
      <c r="A15006" s="22" t="str">
        <f>HYPERLINK("https://app.vivvix.com/360/KMI/IntelliDrive/ApplUI/Pages/CreativePages/CustomReportCreativeDetail.aspx?App=23&amp;ReportView=4&amp;Qid=1711279&amp;Row=14998&amp;Col=1","No Title Assigned - #15274558179")</f>
        <v/>
      </c>
      <c r="B15006" s="0" t="s">
        <v>19932</v>
      </c>
      <c r="E15006" s="0" t="inlineStr">
        <is>
          <t xml:space="preserve">Mazda</t>
        </is>
      </c>
      <c r="F15006" s="0" t="inlineStr">
        <is>
          <t xml:space="preserve">Mazda</t>
        </is>
      </c>
      <c r="G15006" s="0" t="s">
        <v>171</v>
      </c>
      <c r="H15006" s="5">
        <v>14246.750000</v>
      </c>
    </row>
    <row r="15007" spans="1:9">
      <c r="A15007" s="22" t="str">
        <f>HYPERLINK("https://app.vivvix.com/360/KMI/IntelliDrive/ApplUI/Pages/CreativePages/CustomReportCreativeDetail.aspx?App=23&amp;ReportView=4&amp;Qid=1711279&amp;Row=14999&amp;Col=1","No Title Assigned - #15274558804")</f>
        <v/>
      </c>
      <c r="B15007" s="0" t="s">
        <v>19933</v>
      </c>
      <c r="E15007" s="0" t="inlineStr">
        <is>
          <t xml:space="preserve">Mazda</t>
        </is>
      </c>
      <c r="F15007" s="0" t="inlineStr">
        <is>
          <t xml:space="preserve">Mazda</t>
        </is>
      </c>
      <c r="G15007" s="0" t="s">
        <v>171</v>
      </c>
      <c r="H15007" s="5">
        <v>46.871400</v>
      </c>
    </row>
    <row r="15008" spans="1:9">
      <c r="A15008" s="22" t="str">
        <f>HYPERLINK("https://app.vivvix.com/360/KMI/IntelliDrive/ApplUI/Pages/CreativePages/CustomReportCreativeDetail.aspx?App=23&amp;ReportView=4&amp;Qid=1711279&amp;Row=15000&amp;Col=1","No Title Assigned - #15274559551")</f>
        <v/>
      </c>
      <c r="B15008" s="0" t="s">
        <v>19934</v>
      </c>
      <c r="C15008" s="0" t="s">
        <v>19935</v>
      </c>
      <c r="D15008" s="0" t="s">
        <v>19935</v>
      </c>
      <c r="E15008" s="0" t="inlineStr">
        <is>
          <t xml:space="preserve">Mazda</t>
        </is>
      </c>
      <c r="F15008" s="0" t="inlineStr">
        <is>
          <t xml:space="preserve">Mazda</t>
        </is>
      </c>
      <c r="G15008" s="0" t="s">
        <v>210</v>
      </c>
      <c r="H15008" s="5">
        <v>858.243900</v>
      </c>
    </row>
    <row r="15009" spans="1:9">
      <c r="A15009" s="22" t="str">
        <f>HYPERLINK("https://app.vivvix.com/360/KMI/IntelliDrive/ApplUI/Pages/CreativePages/CustomReportCreativeDetail.aspx?App=23&amp;ReportView=4&amp;Qid=1711279&amp;Row=15001&amp;Col=1","No Title Assigned - #15274563565")</f>
        <v/>
      </c>
      <c r="B15009" s="0" t="s">
        <v>19936</v>
      </c>
      <c r="E15009" s="0" t="inlineStr">
        <is>
          <t xml:space="preserve">Mazda</t>
        </is>
      </c>
      <c r="F15009" s="0" t="inlineStr">
        <is>
          <t xml:space="preserve">Mazda</t>
        </is>
      </c>
      <c r="G15009" s="0" t="s">
        <v>171</v>
      </c>
      <c r="H15009" s="5">
        <v>2001.388900</v>
      </c>
    </row>
    <row r="15010" spans="1:9">
      <c r="A15010" s="22" t="str">
        <f>HYPERLINK("https://app.vivvix.com/360/KMI/IntelliDrive/ApplUI/Pages/CreativePages/CustomReportCreativeDetail.aspx?App=23&amp;ReportView=4&amp;Qid=1711279&amp;Row=15002&amp;Col=1","No Title Assigned - #15274563565")</f>
        <v/>
      </c>
      <c r="B15010" s="0" t="s">
        <v>19936</v>
      </c>
      <c r="E15010" s="0" t="inlineStr">
        <is>
          <t xml:space="preserve">Mazda</t>
        </is>
      </c>
      <c r="F15010" s="0" t="inlineStr">
        <is>
          <t xml:space="preserve">Mazda</t>
        </is>
      </c>
      <c r="G15010" s="0" t="s">
        <v>171</v>
      </c>
      <c r="H15010" s="5">
        <v>17.449900</v>
      </c>
    </row>
    <row r="15011" spans="1:9">
      <c r="A15011" s="22" t="str">
        <f>HYPERLINK("https://app.vivvix.com/360/KMI/IntelliDrive/ApplUI/Pages/CreativePages/CustomReportCreativeDetail.aspx?App=23&amp;ReportView=4&amp;Qid=1711279&amp;Row=15003&amp;Col=1","No Title Assigned - #15274563635")</f>
        <v/>
      </c>
      <c r="B15011" s="0" t="s">
        <v>19937</v>
      </c>
      <c r="E15011" s="0" t="inlineStr">
        <is>
          <t xml:space="preserve">Mazda</t>
        </is>
      </c>
      <c r="F15011" s="0" t="inlineStr">
        <is>
          <t xml:space="preserve">Mazda</t>
        </is>
      </c>
      <c r="G15011" s="0" t="s">
        <v>171</v>
      </c>
      <c r="H15011" s="5">
        <v>228.530700</v>
      </c>
    </row>
    <row r="15012" spans="1:9">
      <c r="A15012" s="22" t="str">
        <f>HYPERLINK("https://app.vivvix.com/360/KMI/IntelliDrive/ApplUI/Pages/CreativePages/CustomReportCreativeDetail.aspx?App=23&amp;ReportView=4&amp;Qid=1711279&amp;Row=15004&amp;Col=1","No Title Assigned - #15274564046")</f>
        <v/>
      </c>
      <c r="B15012" s="0" t="s">
        <v>19938</v>
      </c>
      <c r="E15012" s="0" t="inlineStr">
        <is>
          <t xml:space="preserve">Mazda</t>
        </is>
      </c>
      <c r="F15012" s="0" t="inlineStr">
        <is>
          <t xml:space="preserve">Mazda</t>
        </is>
      </c>
      <c r="G15012" s="0" t="s">
        <v>171</v>
      </c>
      <c r="H15012" s="5">
        <v>816.206300</v>
      </c>
    </row>
    <row r="15013" spans="1:9">
      <c r="A15013" s="22" t="str">
        <f>HYPERLINK("https://app.vivvix.com/360/KMI/IntelliDrive/ApplUI/Pages/CreativePages/CustomReportCreativeDetail.aspx?App=23&amp;ReportView=4&amp;Qid=1711279&amp;Row=15005&amp;Col=1","No Title Assigned - #15274567289")</f>
        <v/>
      </c>
      <c r="B15013" s="0" t="s">
        <v>19939</v>
      </c>
      <c r="C15013" s="0" t="s">
        <v>19940</v>
      </c>
      <c r="D15013" s="0" t="s">
        <v>19940</v>
      </c>
      <c r="E15013" s="0" t="inlineStr">
        <is>
          <t xml:space="preserve">Mazda</t>
        </is>
      </c>
      <c r="F15013" s="0" t="s">
        <v>21</v>
      </c>
      <c r="G15013" s="0" t="s">
        <v>22</v>
      </c>
      <c r="H15013" s="5">
        <v>516.111500</v>
      </c>
    </row>
    <row r="15014" spans="1:9">
      <c r="A15014" s="22" t="str">
        <f>HYPERLINK("https://app.vivvix.com/360/KMI/IntelliDrive/ApplUI/Pages/CreativePages/CustomReportCreativeDetail.aspx?App=23&amp;ReportView=4&amp;Qid=1711279&amp;Row=15006&amp;Col=1","No Title Assigned - #15274569524")</f>
        <v/>
      </c>
      <c r="B15014" s="0" t="s">
        <v>19941</v>
      </c>
      <c r="E15014" s="0" t="inlineStr">
        <is>
          <t xml:space="preserve">Mazda</t>
        </is>
      </c>
      <c r="F15014" s="0" t="inlineStr">
        <is>
          <t xml:space="preserve">Mazda</t>
        </is>
      </c>
      <c r="G15014" s="0" t="s">
        <v>171</v>
      </c>
      <c r="H15014" s="5">
        <v>17.449900</v>
      </c>
    </row>
    <row r="15015" spans="1:9">
      <c r="A15015" s="22" t="str">
        <f>HYPERLINK("https://app.vivvix.com/360/KMI/IntelliDrive/ApplUI/Pages/CreativePages/CustomReportCreativeDetail.aspx?App=23&amp;ReportView=4&amp;Qid=1711279&amp;Row=15007&amp;Col=1","No Title Assigned - #15274569774")</f>
        <v/>
      </c>
      <c r="B15015" s="0" t="s">
        <v>19942</v>
      </c>
      <c r="E15015" s="0" t="inlineStr">
        <is>
          <t xml:space="preserve">Mazda</t>
        </is>
      </c>
      <c r="F15015" s="0" t="inlineStr">
        <is>
          <t xml:space="preserve">Mazda</t>
        </is>
      </c>
      <c r="G15015" s="0" t="s">
        <v>171</v>
      </c>
      <c r="H15015" s="5">
        <v>774.032500</v>
      </c>
    </row>
    <row r="15016" spans="1:9">
      <c r="A15016" s="22" t="str">
        <f>HYPERLINK("https://app.vivvix.com/360/KMI/IntelliDrive/ApplUI/Pages/CreativePages/CustomReportCreativeDetail.aspx?App=23&amp;ReportView=4&amp;Qid=1711279&amp;Row=15008&amp;Col=1","No Title Assigned - #15274571512")</f>
        <v/>
      </c>
      <c r="B15016" s="0" t="s">
        <v>19943</v>
      </c>
      <c r="E15016" s="0" t="inlineStr">
        <is>
          <t xml:space="preserve">Mazda</t>
        </is>
      </c>
      <c r="F15016" s="0" t="inlineStr">
        <is>
          <t xml:space="preserve">Mazda</t>
        </is>
      </c>
      <c r="G15016" s="0" t="s">
        <v>171</v>
      </c>
      <c r="H15016" s="5">
        <v>1106.003100</v>
      </c>
    </row>
    <row r="15017" spans="1:9">
      <c r="A15017" s="22" t="str">
        <f>HYPERLINK("https://app.vivvix.com/360/KMI/IntelliDrive/ApplUI/Pages/CreativePages/CustomReportCreativeDetail.aspx?App=23&amp;ReportView=4&amp;Qid=1711279&amp;Row=15009&amp;Col=1","No Title Assigned - #15274573121")</f>
        <v/>
      </c>
      <c r="B15017" s="0" t="s">
        <v>19944</v>
      </c>
      <c r="E15017" s="0" t="inlineStr">
        <is>
          <t xml:space="preserve">Mazda</t>
        </is>
      </c>
      <c r="F15017" s="0" t="inlineStr">
        <is>
          <t xml:space="preserve">Mazda</t>
        </is>
      </c>
      <c r="G15017" s="0" t="s">
        <v>171</v>
      </c>
      <c r="H15017" s="5">
        <v>114.186300</v>
      </c>
    </row>
    <row r="15018" spans="1:9">
      <c r="A15018" s="22" t="str">
        <f>HYPERLINK("https://app.vivvix.com/360/KMI/IntelliDrive/ApplUI/Pages/CreativePages/CustomReportCreativeDetail.aspx?App=23&amp;ReportView=4&amp;Qid=1711279&amp;Row=15010&amp;Col=1","No Title Assigned - #15274573378")</f>
        <v/>
      </c>
      <c r="B15018" s="0" t="s">
        <v>19945</v>
      </c>
      <c r="E15018" s="0" t="inlineStr">
        <is>
          <t xml:space="preserve">Mazda</t>
        </is>
      </c>
      <c r="F15018" s="0" t="inlineStr">
        <is>
          <t xml:space="preserve">Mazda</t>
        </is>
      </c>
      <c r="G15018" s="0" t="s">
        <v>171</v>
      </c>
      <c r="H15018" s="5">
        <v>161.267900</v>
      </c>
    </row>
    <row r="15019" spans="1:9">
      <c r="A15019" s="22" t="str">
        <f>HYPERLINK("https://app.vivvix.com/360/KMI/IntelliDrive/ApplUI/Pages/CreativePages/CustomReportCreativeDetail.aspx?App=23&amp;ReportView=4&amp;Qid=1711279&amp;Row=15011&amp;Col=1","No Title Assigned - #15274576309")</f>
        <v/>
      </c>
      <c r="B15019" s="0" t="s">
        <v>19946</v>
      </c>
      <c r="E15019" s="0" t="inlineStr">
        <is>
          <t xml:space="preserve">Mazda</t>
        </is>
      </c>
      <c r="F15019" s="0" t="inlineStr">
        <is>
          <t xml:space="preserve">Mazda</t>
        </is>
      </c>
      <c r="G15019" s="0" t="s">
        <v>171</v>
      </c>
      <c r="H15019" s="5">
        <v>923.071200</v>
      </c>
    </row>
    <row r="15020" spans="1:9">
      <c r="A15020" s="22" t="str">
        <f>HYPERLINK("https://app.vivvix.com/360/KMI/IntelliDrive/ApplUI/Pages/CreativePages/CustomReportCreativeDetail.aspx?App=23&amp;ReportView=4&amp;Qid=1711279&amp;Row=15012&amp;Col=1","No Title Assigned - #15274578838")</f>
        <v/>
      </c>
      <c r="B15020" s="0" t="s">
        <v>19947</v>
      </c>
      <c r="E15020" s="0" t="inlineStr">
        <is>
          <t xml:space="preserve">Mazda</t>
        </is>
      </c>
      <c r="F15020" s="0" t="inlineStr">
        <is>
          <t xml:space="preserve">Mazda</t>
        </is>
      </c>
      <c r="G15020" s="0" t="s">
        <v>171</v>
      </c>
      <c r="H15020" s="5">
        <v>78.249400</v>
      </c>
    </row>
    <row r="15021" spans="1:9">
      <c r="A15021" s="22" t="str">
        <f>HYPERLINK("https://app.vivvix.com/360/KMI/IntelliDrive/ApplUI/Pages/CreativePages/CustomReportCreativeDetail.aspx?App=23&amp;ReportView=4&amp;Qid=1711279&amp;Row=15013&amp;Col=1","No Title Assigned - #15274579524")</f>
        <v/>
      </c>
      <c r="B15021" s="0" t="s">
        <v>19948</v>
      </c>
      <c r="E15021" s="0" t="inlineStr">
        <is>
          <t xml:space="preserve">Mazda</t>
        </is>
      </c>
      <c r="F15021" s="0" t="inlineStr">
        <is>
          <t xml:space="preserve">Mazda</t>
        </is>
      </c>
      <c r="G15021" s="0" t="s">
        <v>171</v>
      </c>
      <c r="H15021" s="5">
        <v>100.623500</v>
      </c>
    </row>
    <row r="15022" spans="1:9">
      <c r="A15022" s="22" t="str">
        <f>HYPERLINK("https://app.vivvix.com/360/KMI/IntelliDrive/ApplUI/Pages/CreativePages/CustomReportCreativeDetail.aspx?App=23&amp;ReportView=4&amp;Qid=1711279&amp;Row=15014&amp;Col=1","No Title Assigned - #15274581890")</f>
        <v/>
      </c>
      <c r="B15022" s="0" t="s">
        <v>19949</v>
      </c>
      <c r="E15022" s="0" t="inlineStr">
        <is>
          <t xml:space="preserve">Mazda</t>
        </is>
      </c>
      <c r="F15022" s="0" t="inlineStr">
        <is>
          <t xml:space="preserve">Mazda</t>
        </is>
      </c>
      <c r="G15022" s="0" t="s">
        <v>171</v>
      </c>
      <c r="H15022" s="5">
        <v>282.890000</v>
      </c>
    </row>
    <row r="15023" spans="1:9">
      <c r="A15023" s="22" t="str">
        <f>HYPERLINK("https://app.vivvix.com/360/KMI/IntelliDrive/ApplUI/Pages/CreativePages/CustomReportCreativeDetail.aspx?App=23&amp;ReportView=4&amp;Qid=1711279&amp;Row=15015&amp;Col=1","No Title Assigned - #15274583125")</f>
        <v/>
      </c>
      <c r="B15023" s="0" t="s">
        <v>19950</v>
      </c>
      <c r="E15023" s="0" t="inlineStr">
        <is>
          <t xml:space="preserve">Mazda</t>
        </is>
      </c>
      <c r="F15023" s="0" t="inlineStr">
        <is>
          <t xml:space="preserve">Mazda</t>
        </is>
      </c>
      <c r="G15023" s="0" t="s">
        <v>171</v>
      </c>
      <c r="H15023" s="5">
        <v>263.163700</v>
      </c>
    </row>
    <row r="15024" spans="1:9">
      <c r="A15024" s="22" t="str">
        <f>HYPERLINK("https://app.vivvix.com/360/KMI/IntelliDrive/ApplUI/Pages/CreativePages/CustomReportCreativeDetail.aspx?App=23&amp;ReportView=4&amp;Qid=1711279&amp;Row=15016&amp;Col=1","No Title Assigned - #15274583763")</f>
        <v/>
      </c>
      <c r="B15024" s="0" t="s">
        <v>19951</v>
      </c>
      <c r="E15024" s="0" t="inlineStr">
        <is>
          <t xml:space="preserve">Mazda</t>
        </is>
      </c>
      <c r="F15024" s="0" t="inlineStr">
        <is>
          <t xml:space="preserve">Mazda</t>
        </is>
      </c>
      <c r="G15024" s="0" t="s">
        <v>171</v>
      </c>
      <c r="H15024" s="5">
        <v>63.730400</v>
      </c>
    </row>
    <row r="15025" spans="1:9">
      <c r="A15025" s="22" t="str">
        <f>HYPERLINK("https://app.vivvix.com/360/KMI/IntelliDrive/ApplUI/Pages/CreativePages/CustomReportCreativeDetail.aspx?App=23&amp;ReportView=4&amp;Qid=1711279&amp;Row=15017&amp;Col=1","No Title Assigned - #15274583957")</f>
        <v/>
      </c>
      <c r="B15025" s="0" t="s">
        <v>19952</v>
      </c>
      <c r="E15025" s="0" t="inlineStr">
        <is>
          <t xml:space="preserve">Mazda</t>
        </is>
      </c>
      <c r="F15025" s="0" t="inlineStr">
        <is>
          <t xml:space="preserve">Mazda</t>
        </is>
      </c>
      <c r="G15025" s="0" t="s">
        <v>171</v>
      </c>
      <c r="H15025" s="5">
        <v>490.114900</v>
      </c>
    </row>
    <row r="15026" spans="1:9">
      <c r="A15026" s="22" t="str">
        <f>HYPERLINK("https://app.vivvix.com/360/KMI/IntelliDrive/ApplUI/Pages/CreativePages/CustomReportCreativeDetail.aspx?App=23&amp;ReportView=4&amp;Qid=1711279&amp;Row=15018&amp;Col=1","No Title Assigned - #15274584312")</f>
        <v/>
      </c>
      <c r="B15026" s="0" t="s">
        <v>19953</v>
      </c>
      <c r="C15026" s="0" t="s">
        <v>19954</v>
      </c>
      <c r="D15026" s="0" t="s">
        <v>19954</v>
      </c>
      <c r="E15026" s="0" t="inlineStr">
        <is>
          <t xml:space="preserve">Mazda</t>
        </is>
      </c>
      <c r="F15026" s="0" t="s">
        <v>21</v>
      </c>
      <c r="G15026" s="0" t="s">
        <v>22</v>
      </c>
      <c r="H15026" s="5">
        <v>279.950000</v>
      </c>
    </row>
    <row r="15027" spans="1:9">
      <c r="A15027" s="22" t="str">
        <f>HYPERLINK("https://app.vivvix.com/360/KMI/IntelliDrive/ApplUI/Pages/CreativePages/CustomReportCreativeDetail.aspx?App=23&amp;ReportView=4&amp;Qid=1711279&amp;Row=15019&amp;Col=1","No Title Assigned - #15274584403")</f>
        <v/>
      </c>
      <c r="B15027" s="0" t="s">
        <v>19955</v>
      </c>
      <c r="E15027" s="0" t="inlineStr">
        <is>
          <t xml:space="preserve">Mazda</t>
        </is>
      </c>
      <c r="F15027" s="0" t="inlineStr">
        <is>
          <t xml:space="preserve">Mazda</t>
        </is>
      </c>
      <c r="G15027" s="0" t="s">
        <v>171</v>
      </c>
      <c r="H15027" s="5">
        <v>1662.238100</v>
      </c>
    </row>
    <row r="15028" spans="1:9">
      <c r="A15028" s="22" t="str">
        <f>HYPERLINK("https://app.vivvix.com/360/KMI/IntelliDrive/ApplUI/Pages/CreativePages/CustomReportCreativeDetail.aspx?App=23&amp;ReportView=4&amp;Qid=1711279&amp;Row=15020&amp;Col=1","No Title Assigned - #15274584424")</f>
        <v/>
      </c>
      <c r="B15028" s="0" t="s">
        <v>19956</v>
      </c>
      <c r="E15028" s="0" t="inlineStr">
        <is>
          <t xml:space="preserve">Mazda</t>
        </is>
      </c>
      <c r="F15028" s="0" t="inlineStr">
        <is>
          <t xml:space="preserve">Mazda</t>
        </is>
      </c>
      <c r="G15028" s="0" t="s">
        <v>171</v>
      </c>
      <c r="H15028" s="5">
        <v>240.213400</v>
      </c>
    </row>
    <row r="15029" spans="1:9">
      <c r="A15029" s="22" t="str">
        <f>HYPERLINK("https://app.vivvix.com/360/KMI/IntelliDrive/ApplUI/Pages/CreativePages/CustomReportCreativeDetail.aspx?App=23&amp;ReportView=4&amp;Qid=1711279&amp;Row=15021&amp;Col=1","No Title Assigned - #15274584618")</f>
        <v/>
      </c>
      <c r="B15029" s="0" t="s">
        <v>19957</v>
      </c>
      <c r="C15029" s="0" t="s">
        <v>17671</v>
      </c>
      <c r="D15029" s="0" t="s">
        <v>17671</v>
      </c>
      <c r="E15029" s="0" t="inlineStr">
        <is>
          <t xml:space="preserve">Mazda</t>
        </is>
      </c>
      <c r="F15029" s="0" t="s">
        <v>13</v>
      </c>
      <c r="G15029" s="0" t="s">
        <v>49</v>
      </c>
      <c r="H15029" s="5">
        <v>34831.119600</v>
      </c>
    </row>
    <row r="15030" spans="1:9">
      <c r="A15030" s="22" t="str">
        <f>HYPERLINK("https://app.vivvix.com/360/KMI/IntelliDrive/ApplUI/Pages/CreativePages/CustomReportCreativeDetail.aspx?App=23&amp;ReportView=4&amp;Qid=1711279&amp;Row=15022&amp;Col=1","No Title Assigned - #15274584886")</f>
        <v/>
      </c>
      <c r="B15030" s="0" t="s">
        <v>19958</v>
      </c>
      <c r="E15030" s="0" t="inlineStr">
        <is>
          <t xml:space="preserve">Mazda</t>
        </is>
      </c>
      <c r="F15030" s="0" t="inlineStr">
        <is>
          <t xml:space="preserve">Mazda</t>
        </is>
      </c>
      <c r="G15030" s="0" t="s">
        <v>171</v>
      </c>
      <c r="H15030" s="5">
        <v>408.485900</v>
      </c>
    </row>
    <row r="15031" spans="1:9">
      <c r="A15031" s="22" t="str">
        <f>HYPERLINK("https://app.vivvix.com/360/KMI/IntelliDrive/ApplUI/Pages/CreativePages/CustomReportCreativeDetail.aspx?App=23&amp;ReportView=4&amp;Qid=1711279&amp;Row=15023&amp;Col=1","No Title Assigned - #15274585217")</f>
        <v/>
      </c>
      <c r="B15031" s="0" t="s">
        <v>19959</v>
      </c>
      <c r="E15031" s="0" t="inlineStr">
        <is>
          <t xml:space="preserve">Mazda</t>
        </is>
      </c>
      <c r="F15031" s="0" t="inlineStr">
        <is>
          <t xml:space="preserve">Mazda</t>
        </is>
      </c>
      <c r="G15031" s="0" t="s">
        <v>171</v>
      </c>
      <c r="H15031" s="5">
        <v>75.205900</v>
      </c>
    </row>
    <row r="15032" spans="1:9">
      <c r="A15032" s="22" t="str">
        <f>HYPERLINK("https://app.vivvix.com/360/KMI/IntelliDrive/ApplUI/Pages/CreativePages/CustomReportCreativeDetail.aspx?App=23&amp;ReportView=4&amp;Qid=1711279&amp;Row=15024&amp;Col=1","No Title Assigned - #15274585344")</f>
        <v/>
      </c>
      <c r="B15032" s="0" t="s">
        <v>19960</v>
      </c>
      <c r="E15032" s="0" t="inlineStr">
        <is>
          <t xml:space="preserve">Mazda</t>
        </is>
      </c>
      <c r="F15032" s="0" t="inlineStr">
        <is>
          <t xml:space="preserve">Mazda</t>
        </is>
      </c>
      <c r="G15032" s="0" t="s">
        <v>171</v>
      </c>
      <c r="H15032" s="5">
        <v>332.745700</v>
      </c>
    </row>
    <row r="15033" spans="1:9">
      <c r="A15033" s="22" t="str">
        <f>HYPERLINK("https://app.vivvix.com/360/KMI/IntelliDrive/ApplUI/Pages/CreativePages/CustomReportCreativeDetail.aspx?App=23&amp;ReportView=4&amp;Qid=1711279&amp;Row=15025&amp;Col=1","No Title Assigned - #15274585767")</f>
        <v/>
      </c>
      <c r="B15033" s="0" t="s">
        <v>19961</v>
      </c>
      <c r="E15033" s="0" t="inlineStr">
        <is>
          <t xml:space="preserve">Mazda</t>
        </is>
      </c>
      <c r="F15033" s="0" t="inlineStr">
        <is>
          <t xml:space="preserve">Mazda</t>
        </is>
      </c>
      <c r="G15033" s="0" t="s">
        <v>171</v>
      </c>
      <c r="H15033" s="5">
        <v>14.344500</v>
      </c>
    </row>
    <row r="15034" spans="1:9">
      <c r="A15034" s="22" t="str">
        <f>HYPERLINK("https://app.vivvix.com/360/KMI/IntelliDrive/ApplUI/Pages/CreativePages/CustomReportCreativeDetail.aspx?App=23&amp;ReportView=4&amp;Qid=1711279&amp;Row=15026&amp;Col=1","No Title Assigned - #15274585859")</f>
        <v/>
      </c>
      <c r="B15034" s="0" t="s">
        <v>19962</v>
      </c>
      <c r="E15034" s="0" t="inlineStr">
        <is>
          <t xml:space="preserve">Mazda</t>
        </is>
      </c>
      <c r="F15034" s="0" t="inlineStr">
        <is>
          <t xml:space="preserve">Mazda</t>
        </is>
      </c>
      <c r="G15034" s="0" t="s">
        <v>171</v>
      </c>
      <c r="H15034" s="5">
        <v>240.426500</v>
      </c>
    </row>
    <row r="15035" spans="1:9">
      <c r="A15035" s="22" t="str">
        <f>HYPERLINK("https://app.vivvix.com/360/KMI/IntelliDrive/ApplUI/Pages/CreativePages/CustomReportCreativeDetail.aspx?App=23&amp;ReportView=4&amp;Qid=1711279&amp;Row=15027&amp;Col=1","No Title Assigned - #15274586685")</f>
        <v/>
      </c>
      <c r="B15035" s="0" t="s">
        <v>19963</v>
      </c>
      <c r="E15035" s="0" t="inlineStr">
        <is>
          <t xml:space="preserve">Mazda</t>
        </is>
      </c>
      <c r="F15035" s="0" t="inlineStr">
        <is>
          <t xml:space="preserve">Mazda</t>
        </is>
      </c>
      <c r="G15035" s="0" t="s">
        <v>171</v>
      </c>
      <c r="H15035" s="5">
        <v>119.059800</v>
      </c>
    </row>
    <row r="15036" spans="1:9">
      <c r="A15036" s="22" t="str">
        <f>HYPERLINK("https://app.vivvix.com/360/KMI/IntelliDrive/ApplUI/Pages/CreativePages/CustomReportCreativeDetail.aspx?App=23&amp;ReportView=4&amp;Qid=1711279&amp;Row=15028&amp;Col=1","No Title Assigned - #15274586686")</f>
        <v/>
      </c>
      <c r="B15036" s="0" t="s">
        <v>19964</v>
      </c>
      <c r="E15036" s="0" t="inlineStr">
        <is>
          <t xml:space="preserve">Mazda</t>
        </is>
      </c>
      <c r="F15036" s="0" t="inlineStr">
        <is>
          <t xml:space="preserve">Mazda</t>
        </is>
      </c>
      <c r="G15036" s="0" t="s">
        <v>171</v>
      </c>
      <c r="H15036" s="5">
        <v>39.109600</v>
      </c>
    </row>
    <row r="15037" spans="1:9">
      <c r="A15037" s="22" t="str">
        <f>HYPERLINK("https://app.vivvix.com/360/KMI/IntelliDrive/ApplUI/Pages/CreativePages/CustomReportCreativeDetail.aspx?App=23&amp;ReportView=4&amp;Qid=1711279&amp;Row=15029&amp;Col=1","No Title Assigned - #15274586723")</f>
        <v/>
      </c>
      <c r="B15037" s="0" t="s">
        <v>19965</v>
      </c>
      <c r="E15037" s="0" t="inlineStr">
        <is>
          <t xml:space="preserve">Mazda</t>
        </is>
      </c>
      <c r="F15037" s="0" t="inlineStr">
        <is>
          <t xml:space="preserve">Mazda</t>
        </is>
      </c>
      <c r="G15037" s="0" t="s">
        <v>171</v>
      </c>
      <c r="H15037" s="5">
        <v>248.255800</v>
      </c>
    </row>
    <row r="15038" spans="1:9">
      <c r="A15038" s="22" t="str">
        <f>HYPERLINK("https://app.vivvix.com/360/KMI/IntelliDrive/ApplUI/Pages/CreativePages/CustomReportCreativeDetail.aspx?App=23&amp;ReportView=4&amp;Qid=1711279&amp;Row=15030&amp;Col=1","No Title Assigned - #15274588300")</f>
        <v/>
      </c>
      <c r="B15038" s="0" t="s">
        <v>19966</v>
      </c>
      <c r="E15038" s="0" t="inlineStr">
        <is>
          <t xml:space="preserve">Mazda</t>
        </is>
      </c>
      <c r="F15038" s="0" t="inlineStr">
        <is>
          <t xml:space="preserve">Mazda</t>
        </is>
      </c>
      <c r="G15038" s="0" t="s">
        <v>171</v>
      </c>
      <c r="H15038" s="5">
        <v>2.901200</v>
      </c>
    </row>
    <row r="15039" spans="1:9">
      <c r="A15039" s="22" t="str">
        <f>HYPERLINK("https://app.vivvix.com/360/KMI/IntelliDrive/ApplUI/Pages/CreativePages/CustomReportCreativeDetail.aspx?App=23&amp;ReportView=4&amp;Qid=1711279&amp;Row=15031&amp;Col=1","No Title Assigned - #15274594306")</f>
        <v/>
      </c>
      <c r="B15039" s="0" t="s">
        <v>19967</v>
      </c>
      <c r="E15039" s="0" t="inlineStr">
        <is>
          <t xml:space="preserve">Mazda</t>
        </is>
      </c>
      <c r="F15039" s="0" t="inlineStr">
        <is>
          <t xml:space="preserve">Mazda</t>
        </is>
      </c>
      <c r="G15039" s="0" t="s">
        <v>171</v>
      </c>
      <c r="H15039" s="5">
        <v>56.939700</v>
      </c>
    </row>
    <row r="15040" spans="1:9">
      <c r="A15040" s="22" t="str">
        <f>HYPERLINK("https://app.vivvix.com/360/KMI/IntelliDrive/ApplUI/Pages/CreativePages/CustomReportCreativeDetail.aspx?App=23&amp;ReportView=4&amp;Qid=1711279&amp;Row=15032&amp;Col=1","No Title Assigned - #15274594307")</f>
        <v/>
      </c>
      <c r="B15040" s="0" t="s">
        <v>19968</v>
      </c>
      <c r="E15040" s="0" t="inlineStr">
        <is>
          <t xml:space="preserve">Mazda</t>
        </is>
      </c>
      <c r="F15040" s="0" t="inlineStr">
        <is>
          <t xml:space="preserve">Mazda</t>
        </is>
      </c>
      <c r="G15040" s="0" t="s">
        <v>171</v>
      </c>
      <c r="H15040" s="5">
        <v>56.939700</v>
      </c>
    </row>
    <row r="15041" spans="1:9">
      <c r="A15041" s="22" t="str">
        <f>HYPERLINK("https://app.vivvix.com/360/KMI/IntelliDrive/ApplUI/Pages/CreativePages/CustomReportCreativeDetail.aspx?App=23&amp;ReportView=4&amp;Qid=1711279&amp;Row=15033&amp;Col=1","No Title Assigned - #15274594627")</f>
        <v/>
      </c>
      <c r="B15041" s="0" t="s">
        <v>19969</v>
      </c>
      <c r="E15041" s="0" t="inlineStr">
        <is>
          <t xml:space="preserve">Mazda</t>
        </is>
      </c>
      <c r="F15041" s="0" t="inlineStr">
        <is>
          <t xml:space="preserve">Mazda</t>
        </is>
      </c>
      <c r="G15041" s="0" t="s">
        <v>171</v>
      </c>
      <c r="H15041" s="5">
        <v>401.730900</v>
      </c>
    </row>
    <row r="15042" spans="1:9">
      <c r="A15042" s="22" t="str">
        <f>HYPERLINK("https://app.vivvix.com/360/KMI/IntelliDrive/ApplUI/Pages/CreativePages/CustomReportCreativeDetail.aspx?App=23&amp;ReportView=4&amp;Qid=1711279&amp;Row=15034&amp;Col=1","No Title Assigned - #15274594895")</f>
        <v/>
      </c>
      <c r="B15042" s="0" t="s">
        <v>19970</v>
      </c>
      <c r="E15042" s="0" t="inlineStr">
        <is>
          <t xml:space="preserve">Mazda</t>
        </is>
      </c>
      <c r="F15042" s="0" t="s">
        <v>21</v>
      </c>
      <c r="G15042" s="0" t="s">
        <v>22</v>
      </c>
      <c r="H15042" s="5">
        <v>351.940600</v>
      </c>
    </row>
    <row r="15043" spans="1:9">
      <c r="A15043" s="22" t="str">
        <f>HYPERLINK("https://app.vivvix.com/360/KMI/IntelliDrive/ApplUI/Pages/CreativePages/CustomReportCreativeDetail.aspx?App=23&amp;ReportView=4&amp;Qid=1711279&amp;Row=15035&amp;Col=1","No Title Assigned - #15274595933")</f>
        <v/>
      </c>
      <c r="B15043" s="0" t="s">
        <v>19971</v>
      </c>
      <c r="E15043" s="0" t="inlineStr">
        <is>
          <t xml:space="preserve">Mazda</t>
        </is>
      </c>
      <c r="F15043" s="0" t="inlineStr">
        <is>
          <t xml:space="preserve">Mazda</t>
        </is>
      </c>
      <c r="G15043" s="0" t="s">
        <v>171</v>
      </c>
      <c r="H15043" s="5">
        <v>158.206400</v>
      </c>
    </row>
    <row r="15044" spans="1:9">
      <c r="A15044" s="22" t="str">
        <f>HYPERLINK("https://app.vivvix.com/360/KMI/IntelliDrive/ApplUI/Pages/CreativePages/CustomReportCreativeDetail.aspx?App=23&amp;ReportView=4&amp;Qid=1711279&amp;Row=15036&amp;Col=1","No Title Assigned - #15274595934")</f>
        <v/>
      </c>
      <c r="B15044" s="0" t="s">
        <v>19972</v>
      </c>
      <c r="E15044" s="0" t="inlineStr">
        <is>
          <t xml:space="preserve">Mazda</t>
        </is>
      </c>
      <c r="F15044" s="0" t="inlineStr">
        <is>
          <t xml:space="preserve">Mazda</t>
        </is>
      </c>
      <c r="G15044" s="0" t="s">
        <v>171</v>
      </c>
      <c r="H15044" s="5">
        <v>158.206400</v>
      </c>
    </row>
    <row r="15045" spans="1:9">
      <c r="A15045" s="22" t="str">
        <f>HYPERLINK("https://app.vivvix.com/360/KMI/IntelliDrive/ApplUI/Pages/CreativePages/CustomReportCreativeDetail.aspx?App=23&amp;ReportView=4&amp;Qid=1711279&amp;Row=15037&amp;Col=1","No Title Assigned - #15274601698")</f>
        <v/>
      </c>
      <c r="B15045" s="0" t="s">
        <v>19973</v>
      </c>
      <c r="E15045" s="0" t="inlineStr">
        <is>
          <t xml:space="preserve">Mazda</t>
        </is>
      </c>
      <c r="F15045" s="0" t="inlineStr">
        <is>
          <t xml:space="preserve">Mazda</t>
        </is>
      </c>
      <c r="G15045" s="0" t="s">
        <v>171</v>
      </c>
      <c r="H15045" s="5">
        <v>69.470000</v>
      </c>
    </row>
    <row r="15046" spans="1:9">
      <c r="A15046" s="22" t="str">
        <f>HYPERLINK("https://app.vivvix.com/360/KMI/IntelliDrive/ApplUI/Pages/CreativePages/CustomReportCreativeDetail.aspx?App=23&amp;ReportView=4&amp;Qid=1711279&amp;Row=15038&amp;Col=1","No Title Assigned - #15274617707")</f>
        <v/>
      </c>
      <c r="B15046" s="0" t="s">
        <v>19974</v>
      </c>
      <c r="C15046" s="0" t="s">
        <v>19975</v>
      </c>
      <c r="D15046" s="0" t="s">
        <v>19975</v>
      </c>
      <c r="E15046" s="0" t="inlineStr">
        <is>
          <t xml:space="preserve">Mazda</t>
        </is>
      </c>
      <c r="F15046" s="0" t="s">
        <v>13</v>
      </c>
      <c r="G15046" s="0" t="s">
        <v>49</v>
      </c>
      <c r="H15046" s="5">
        <v>50.221100</v>
      </c>
    </row>
    <row r="15047" spans="1:9">
      <c r="A15047" s="22" t="str">
        <f>HYPERLINK("https://app.vivvix.com/360/KMI/IntelliDrive/ApplUI/Pages/CreativePages/CustomReportCreativeDetail.aspx?App=23&amp;ReportView=4&amp;Qid=1711279&amp;Row=15039&amp;Col=1","No Title Assigned - #15274621584")</f>
        <v/>
      </c>
      <c r="B15047" s="0" t="s">
        <v>19976</v>
      </c>
      <c r="C15047" s="0" t="s">
        <v>19977</v>
      </c>
      <c r="D15047" s="0" t="s">
        <v>19977</v>
      </c>
      <c r="E15047" s="0" t="inlineStr">
        <is>
          <t xml:space="preserve">Mazda</t>
        </is>
      </c>
      <c r="F15047" s="0" t="s">
        <v>13</v>
      </c>
      <c r="G15047" s="0" t="s">
        <v>49</v>
      </c>
      <c r="H15047" s="5">
        <v>1184.852500</v>
      </c>
    </row>
    <row r="15048" spans="1:9">
      <c r="A15048" s="22" t="str">
        <f>HYPERLINK("https://app.vivvix.com/360/KMI/IntelliDrive/ApplUI/Pages/CreativePages/CustomReportCreativeDetail.aspx?App=23&amp;ReportView=4&amp;Qid=1711279&amp;Row=15040&amp;Col=1","No Title Assigned - #15274623124")</f>
        <v/>
      </c>
      <c r="B15048" s="0" t="s">
        <v>19978</v>
      </c>
      <c r="E15048" s="0" t="inlineStr">
        <is>
          <t xml:space="preserve">Mazda</t>
        </is>
      </c>
      <c r="F15048" s="0" t="s">
        <v>13</v>
      </c>
      <c r="G15048" s="0" t="s">
        <v>49</v>
      </c>
      <c r="H15048" s="5">
        <v>17.336900</v>
      </c>
    </row>
    <row r="15049" spans="1:9">
      <c r="A15049" s="22" t="str">
        <f>HYPERLINK("https://app.vivvix.com/360/KMI/IntelliDrive/ApplUI/Pages/CreativePages/CustomReportCreativeDetail.aspx?App=23&amp;ReportView=4&amp;Qid=1711279&amp;Row=15041&amp;Col=1","No Title Assigned - #15274623379")</f>
        <v/>
      </c>
      <c r="B15049" s="0" t="s">
        <v>19979</v>
      </c>
      <c r="C15049" s="0" t="s">
        <v>19980</v>
      </c>
      <c r="D15049" s="0" t="s">
        <v>19730</v>
      </c>
      <c r="E15049" s="0" t="inlineStr">
        <is>
          <t xml:space="preserve">Mazda</t>
        </is>
      </c>
      <c r="F15049" s="0" t="s">
        <v>13</v>
      </c>
      <c r="G15049" s="0" t="s">
        <v>49</v>
      </c>
      <c r="H15049" s="5">
        <v>56.292400</v>
      </c>
    </row>
    <row r="15050" spans="1:9">
      <c r="A15050" s="22" t="str">
        <f>HYPERLINK("https://app.vivvix.com/360/KMI/IntelliDrive/ApplUI/Pages/CreativePages/CustomReportCreativeDetail.aspx?App=23&amp;ReportView=4&amp;Qid=1711279&amp;Row=15042&amp;Col=1","No Title Assigned - #15274625012")</f>
        <v/>
      </c>
      <c r="B15050" s="0" t="s">
        <v>19981</v>
      </c>
      <c r="C15050" s="0" t="s">
        <v>19982</v>
      </c>
      <c r="D15050" s="0" t="s">
        <v>19982</v>
      </c>
      <c r="E15050" s="0" t="inlineStr">
        <is>
          <t xml:space="preserve">Mazda</t>
        </is>
      </c>
      <c r="F15050" s="0" t="s">
        <v>13</v>
      </c>
      <c r="G15050" s="0" t="s">
        <v>49</v>
      </c>
      <c r="H15050" s="5">
        <v>121.819100</v>
      </c>
    </row>
    <row r="15051" spans="1:9">
      <c r="A15051" s="22" t="str">
        <f>HYPERLINK("https://app.vivvix.com/360/KMI/IntelliDrive/ApplUI/Pages/CreativePages/CustomReportCreativeDetail.aspx?App=23&amp;ReportView=4&amp;Qid=1711279&amp;Row=15043&amp;Col=1","No Title Assigned - #15274625989")</f>
        <v/>
      </c>
      <c r="B15051" s="0" t="s">
        <v>19983</v>
      </c>
      <c r="C15051" s="0" t="s">
        <v>19984</v>
      </c>
      <c r="D15051" s="0" t="s">
        <v>19984</v>
      </c>
      <c r="E15051" s="0" t="inlineStr">
        <is>
          <t xml:space="preserve">Mazda</t>
        </is>
      </c>
      <c r="F15051" s="0" t="s">
        <v>13</v>
      </c>
      <c r="G15051" s="0" t="s">
        <v>49</v>
      </c>
      <c r="H15051" s="5">
        <v>477.667700</v>
      </c>
    </row>
    <row r="15052" spans="1:9">
      <c r="A15052" s="22" t="str">
        <f>HYPERLINK("https://app.vivvix.com/360/KMI/IntelliDrive/ApplUI/Pages/CreativePages/CustomReportCreativeDetail.aspx?App=23&amp;ReportView=4&amp;Qid=1711279&amp;Row=15044&amp;Col=1","No Title Assigned - #15274630849")</f>
        <v/>
      </c>
      <c r="B15052" s="0" t="s">
        <v>19985</v>
      </c>
      <c r="E15052" s="0" t="inlineStr">
        <is>
          <t xml:space="preserve">Mazda</t>
        </is>
      </c>
      <c r="F15052" s="0" t="s">
        <v>13</v>
      </c>
      <c r="G15052" s="0" t="s">
        <v>49</v>
      </c>
      <c r="H15052" s="5">
        <v>7.287000</v>
      </c>
    </row>
    <row r="15053" spans="1:9">
      <c r="A15053" s="22" t="str">
        <f>HYPERLINK("https://app.vivvix.com/360/KMI/IntelliDrive/ApplUI/Pages/CreativePages/CustomReportCreativeDetail.aspx?App=23&amp;ReportView=4&amp;Qid=1711279&amp;Row=15045&amp;Col=1","No Title Assigned - #15274633717")</f>
        <v/>
      </c>
      <c r="B15053" s="0" t="s">
        <v>19986</v>
      </c>
      <c r="E15053" s="0" t="inlineStr">
        <is>
          <t xml:space="preserve">Mazda</t>
        </is>
      </c>
      <c r="F15053" s="0" t="s">
        <v>13</v>
      </c>
      <c r="G15053" s="0" t="s">
        <v>49</v>
      </c>
      <c r="H15053" s="5">
        <v>442.794100</v>
      </c>
    </row>
    <row r="15054" spans="1:9">
      <c r="A15054" s="22" t="str">
        <f>HYPERLINK("https://app.vivvix.com/360/KMI/IntelliDrive/ApplUI/Pages/CreativePages/CustomReportCreativeDetail.aspx?App=23&amp;ReportView=4&amp;Qid=1711279&amp;Row=15046&amp;Col=1","No Title Assigned - #15274633717")</f>
        <v/>
      </c>
      <c r="B15054" s="0" t="s">
        <v>19986</v>
      </c>
      <c r="C15054" s="0" t="s">
        <v>19987</v>
      </c>
      <c r="D15054" s="0" t="s">
        <v>19987</v>
      </c>
      <c r="E15054" s="0" t="inlineStr">
        <is>
          <t xml:space="preserve">Mazda</t>
        </is>
      </c>
      <c r="F15054" s="0" t="s">
        <v>13</v>
      </c>
      <c r="G15054" s="0" t="s">
        <v>49</v>
      </c>
      <c r="H15054" s="5">
        <v>1798.379200</v>
      </c>
    </row>
    <row r="15055" spans="1:9">
      <c r="A15055" s="22" t="str">
        <f>HYPERLINK("https://app.vivvix.com/360/KMI/IntelliDrive/ApplUI/Pages/CreativePages/CustomReportCreativeDetail.aspx?App=23&amp;ReportView=4&amp;Qid=1711279&amp;Row=15047&amp;Col=1","No Title Assigned - #15274634801")</f>
        <v/>
      </c>
      <c r="B15055" s="0" t="s">
        <v>19988</v>
      </c>
      <c r="C15055" s="0" t="s">
        <v>19989</v>
      </c>
      <c r="D15055" s="0" t="s">
        <v>19989</v>
      </c>
      <c r="E15055" s="0" t="inlineStr">
        <is>
          <t xml:space="preserve">Mazda</t>
        </is>
      </c>
      <c r="F15055" s="0" t="s">
        <v>13</v>
      </c>
      <c r="G15055" s="0" t="s">
        <v>49</v>
      </c>
      <c r="H15055" s="5">
        <v>314.508700</v>
      </c>
    </row>
    <row r="15056" spans="1:9">
      <c r="A15056" s="22" t="str">
        <f>HYPERLINK("https://app.vivvix.com/360/KMI/IntelliDrive/ApplUI/Pages/CreativePages/CustomReportCreativeDetail.aspx?App=23&amp;ReportView=4&amp;Qid=1711279&amp;Row=15048&amp;Col=1","No Title Assigned - #15274637763")</f>
        <v/>
      </c>
      <c r="B15056" s="0" t="s">
        <v>19990</v>
      </c>
      <c r="E15056" s="0" t="inlineStr">
        <is>
          <t xml:space="preserve">Mazda</t>
        </is>
      </c>
      <c r="F15056" s="0" t="inlineStr">
        <is>
          <t xml:space="preserve">Mazda</t>
        </is>
      </c>
      <c r="G15056" s="0" t="s">
        <v>171</v>
      </c>
      <c r="H15056" s="5">
        <v>620.831400</v>
      </c>
    </row>
    <row r="15057" spans="1:9">
      <c r="A15057" s="22" t="str">
        <f>HYPERLINK("https://app.vivvix.com/360/KMI/IntelliDrive/ApplUI/Pages/CreativePages/CustomReportCreativeDetail.aspx?App=23&amp;ReportView=4&amp;Qid=1711279&amp;Row=15049&amp;Col=1","No Title Assigned - #15274638054")</f>
        <v/>
      </c>
      <c r="B15057" s="0" t="s">
        <v>19991</v>
      </c>
      <c r="E15057" s="0" t="inlineStr">
        <is>
          <t xml:space="preserve">Mazda</t>
        </is>
      </c>
      <c r="F15057" s="0" t="inlineStr">
        <is>
          <t xml:space="preserve">Mazda</t>
        </is>
      </c>
      <c r="G15057" s="0" t="s">
        <v>171</v>
      </c>
      <c r="H15057" s="5">
        <v>33.834300</v>
      </c>
    </row>
    <row r="15058" spans="1:9">
      <c r="A15058" s="22" t="str">
        <f>HYPERLINK("https://app.vivvix.com/360/KMI/IntelliDrive/ApplUI/Pages/CreativePages/CustomReportCreativeDetail.aspx?App=23&amp;ReportView=4&amp;Qid=1711279&amp;Row=15050&amp;Col=1","No Title Assigned - #15274638749")</f>
        <v/>
      </c>
      <c r="B15058" s="0" t="s">
        <v>19992</v>
      </c>
      <c r="E15058" s="0" t="inlineStr">
        <is>
          <t xml:space="preserve">Mazda</t>
        </is>
      </c>
      <c r="F15058" s="0" t="inlineStr">
        <is>
          <t xml:space="preserve">Mazda</t>
        </is>
      </c>
      <c r="G15058" s="0" t="s">
        <v>171</v>
      </c>
      <c r="H15058" s="5">
        <v>158.934400</v>
      </c>
    </row>
    <row r="15059" spans="1:9">
      <c r="A15059" s="22" t="str">
        <f>HYPERLINK("https://app.vivvix.com/360/KMI/IntelliDrive/ApplUI/Pages/CreativePages/CustomReportCreativeDetail.aspx?App=23&amp;ReportView=4&amp;Qid=1711279&amp;Row=15051&amp;Col=1","No Title Assigned - #15274642547")</f>
        <v/>
      </c>
      <c r="B15059" s="0" t="s">
        <v>19993</v>
      </c>
      <c r="E15059" s="0" t="inlineStr">
        <is>
          <t xml:space="preserve">Mazda</t>
        </is>
      </c>
      <c r="F15059" s="0" t="inlineStr">
        <is>
          <t xml:space="preserve">Mazda</t>
        </is>
      </c>
      <c r="G15059" s="0" t="s">
        <v>171</v>
      </c>
      <c r="H15059" s="5">
        <v>459.030800</v>
      </c>
    </row>
    <row r="15060" spans="1:9">
      <c r="A15060" s="22" t="str">
        <f>HYPERLINK("https://app.vivvix.com/360/KMI/IntelliDrive/ApplUI/Pages/CreativePages/CustomReportCreativeDetail.aspx?App=23&amp;ReportView=4&amp;Qid=1711279&amp;Row=15052&amp;Col=1","No Title Assigned - #15274643025")</f>
        <v/>
      </c>
      <c r="B15060" s="0" t="s">
        <v>19994</v>
      </c>
      <c r="E15060" s="0" t="inlineStr">
        <is>
          <t xml:space="preserve">Mazda</t>
        </is>
      </c>
      <c r="F15060" s="0" t="inlineStr">
        <is>
          <t xml:space="preserve">Mazda</t>
        </is>
      </c>
      <c r="G15060" s="0" t="s">
        <v>171</v>
      </c>
      <c r="H15060" s="5">
        <v>25.446100</v>
      </c>
    </row>
    <row r="15061" spans="1:9">
      <c r="A15061" s="22" t="str">
        <f>HYPERLINK("https://app.vivvix.com/360/KMI/IntelliDrive/ApplUI/Pages/CreativePages/CustomReportCreativeDetail.aspx?App=23&amp;ReportView=4&amp;Qid=1711279&amp;Row=15053&amp;Col=1","No Title Assigned - #15274644358")</f>
        <v/>
      </c>
      <c r="B15061" s="0" t="s">
        <v>19995</v>
      </c>
      <c r="E15061" s="0" t="inlineStr">
        <is>
          <t xml:space="preserve">Mazda</t>
        </is>
      </c>
      <c r="F15061" s="0" t="s">
        <v>13</v>
      </c>
      <c r="G15061" s="0" t="s">
        <v>49</v>
      </c>
      <c r="H15061" s="5">
        <v>20.019000</v>
      </c>
    </row>
    <row r="15062" spans="1:9">
      <c r="A15062" s="22" t="str">
        <f>HYPERLINK("https://app.vivvix.com/360/KMI/IntelliDrive/ApplUI/Pages/CreativePages/CustomReportCreativeDetail.aspx?App=23&amp;ReportView=4&amp;Qid=1711279&amp;Row=15054&amp;Col=1","No Title Assigned - #15274645279")</f>
        <v/>
      </c>
      <c r="B15062" s="0" t="s">
        <v>19996</v>
      </c>
      <c r="C15062" s="0" t="s">
        <v>19997</v>
      </c>
      <c r="D15062" s="0" t="s">
        <v>6044</v>
      </c>
      <c r="E15062" s="0" t="inlineStr">
        <is>
          <t xml:space="preserve">Mazda</t>
        </is>
      </c>
      <c r="F15062" s="0" t="s">
        <v>13</v>
      </c>
      <c r="G15062" s="0" t="s">
        <v>49</v>
      </c>
      <c r="H15062" s="5">
        <v>512.833500</v>
      </c>
    </row>
    <row r="15063" spans="1:9">
      <c r="A15063" s="22" t="str">
        <f>HYPERLINK("https://app.vivvix.com/360/KMI/IntelliDrive/ApplUI/Pages/CreativePages/CustomReportCreativeDetail.aspx?App=23&amp;ReportView=4&amp;Qid=1711279&amp;Row=15055&amp;Col=1","No Title Assigned - #15274646391")</f>
        <v/>
      </c>
      <c r="B15063" s="0" t="s">
        <v>19998</v>
      </c>
      <c r="C15063" s="0" t="s">
        <v>19999</v>
      </c>
      <c r="D15063" s="0" t="s">
        <v>19999</v>
      </c>
      <c r="E15063" s="0" t="inlineStr">
        <is>
          <t xml:space="preserve">Mazda</t>
        </is>
      </c>
      <c r="F15063" s="0" t="s">
        <v>13</v>
      </c>
      <c r="G15063" s="0" t="s">
        <v>49</v>
      </c>
      <c r="H15063" s="5">
        <v>2.429000</v>
      </c>
    </row>
    <row r="15064" spans="1:9">
      <c r="A15064" s="22" t="str">
        <f>HYPERLINK("https://app.vivvix.com/360/KMI/IntelliDrive/ApplUI/Pages/CreativePages/CustomReportCreativeDetail.aspx?App=23&amp;ReportView=4&amp;Qid=1711279&amp;Row=15056&amp;Col=1","No Title Assigned - #15274646465")</f>
        <v/>
      </c>
      <c r="B15064" s="0" t="s">
        <v>20000</v>
      </c>
      <c r="C15064" s="0" t="s">
        <v>20001</v>
      </c>
      <c r="D15064" s="0" t="s">
        <v>8476</v>
      </c>
      <c r="E15064" s="0" t="inlineStr">
        <is>
          <t xml:space="preserve">Mazda</t>
        </is>
      </c>
      <c r="F15064" s="0" t="s">
        <v>13</v>
      </c>
      <c r="G15064" s="0" t="s">
        <v>49</v>
      </c>
      <c r="H15064" s="5">
        <v>44.657400</v>
      </c>
    </row>
    <row r="15065" spans="1:9">
      <c r="A15065" s="22" t="str">
        <f>HYPERLINK("https://app.vivvix.com/360/KMI/IntelliDrive/ApplUI/Pages/CreativePages/CustomReportCreativeDetail.aspx?App=23&amp;ReportView=4&amp;Qid=1711279&amp;Row=15057&amp;Col=1","No Title Assigned - #15274646558")</f>
        <v/>
      </c>
      <c r="B15065" s="0" t="s">
        <v>20002</v>
      </c>
      <c r="E15065" s="0" t="inlineStr">
        <is>
          <t xml:space="preserve">Mazda</t>
        </is>
      </c>
      <c r="F15065" s="0" t="inlineStr">
        <is>
          <t xml:space="preserve">Mazda</t>
        </is>
      </c>
      <c r="G15065" s="0" t="s">
        <v>171</v>
      </c>
      <c r="H15065" s="5">
        <v>523.303800</v>
      </c>
    </row>
    <row r="15066" spans="1:9">
      <c r="A15066" s="22" t="str">
        <f>HYPERLINK("https://app.vivvix.com/360/KMI/IntelliDrive/ApplUI/Pages/CreativePages/CustomReportCreativeDetail.aspx?App=23&amp;ReportView=4&amp;Qid=1711279&amp;Row=15058&amp;Col=1","No Title Assigned - #15274647188")</f>
        <v/>
      </c>
      <c r="B15066" s="0" t="s">
        <v>20003</v>
      </c>
      <c r="C15066" s="0" t="s">
        <v>20004</v>
      </c>
      <c r="D15066" s="0" t="s">
        <v>15837</v>
      </c>
      <c r="E15066" s="0" t="inlineStr">
        <is>
          <t xml:space="preserve">Mazda</t>
        </is>
      </c>
      <c r="F15066" s="0" t="s">
        <v>13</v>
      </c>
      <c r="G15066" s="0" t="s">
        <v>49</v>
      </c>
      <c r="H15066" s="5">
        <v>245.980200</v>
      </c>
    </row>
    <row r="15067" spans="1:9">
      <c r="A15067" s="22" t="str">
        <f>HYPERLINK("https://app.vivvix.com/360/KMI/IntelliDrive/ApplUI/Pages/CreativePages/CustomReportCreativeDetail.aspx?App=23&amp;ReportView=4&amp;Qid=1711279&amp;Row=15059&amp;Col=1","No Title Assigned - #15274647441")</f>
        <v/>
      </c>
      <c r="B15067" s="0" t="s">
        <v>20005</v>
      </c>
      <c r="C15067" s="0" t="s">
        <v>20006</v>
      </c>
      <c r="D15067" s="0" t="s">
        <v>20006</v>
      </c>
      <c r="E15067" s="0" t="inlineStr">
        <is>
          <t xml:space="preserve">Mazda</t>
        </is>
      </c>
      <c r="F15067" s="0" t="inlineStr">
        <is>
          <t xml:space="preserve">Mazda</t>
        </is>
      </c>
      <c r="G15067" s="0" t="s">
        <v>210</v>
      </c>
      <c r="H15067" s="5">
        <v>162.246600</v>
      </c>
    </row>
    <row r="15068" spans="1:9">
      <c r="A15068" s="22" t="str">
        <f>HYPERLINK("https://app.vivvix.com/360/KMI/IntelliDrive/ApplUI/Pages/CreativePages/CustomReportCreativeDetail.aspx?App=23&amp;ReportView=4&amp;Qid=1711279&amp;Row=15060&amp;Col=1","No Title Assigned - #15274648376")</f>
        <v/>
      </c>
      <c r="B15068" s="0" t="s">
        <v>20007</v>
      </c>
      <c r="E15068" s="0" t="inlineStr">
        <is>
          <t xml:space="preserve">Mazda</t>
        </is>
      </c>
      <c r="F15068" s="0" t="inlineStr">
        <is>
          <t xml:space="preserve">Mazda</t>
        </is>
      </c>
      <c r="G15068" s="0" t="s">
        <v>171</v>
      </c>
      <c r="H15068" s="5">
        <v>19.808200</v>
      </c>
    </row>
    <row r="15069" spans="1:9">
      <c r="A15069" s="22" t="str">
        <f>HYPERLINK("https://app.vivvix.com/360/KMI/IntelliDrive/ApplUI/Pages/CreativePages/CustomReportCreativeDetail.aspx?App=23&amp;ReportView=4&amp;Qid=1711279&amp;Row=15061&amp;Col=1","No Title Assigned - #15274648377")</f>
        <v/>
      </c>
      <c r="B15069" s="0" t="s">
        <v>20008</v>
      </c>
      <c r="E15069" s="0" t="inlineStr">
        <is>
          <t xml:space="preserve">Mazda</t>
        </is>
      </c>
      <c r="F15069" s="0" t="inlineStr">
        <is>
          <t xml:space="preserve">Mazda</t>
        </is>
      </c>
      <c r="G15069" s="0" t="s">
        <v>171</v>
      </c>
      <c r="H15069" s="5">
        <v>19.808200</v>
      </c>
    </row>
    <row r="15070" spans="1:9">
      <c r="A15070" s="22" t="str">
        <f>HYPERLINK("https://app.vivvix.com/360/KMI/IntelliDrive/ApplUI/Pages/CreativePages/CustomReportCreativeDetail.aspx?App=23&amp;ReportView=4&amp;Qid=1711279&amp;Row=15062&amp;Col=1","No Title Assigned - #15274649060")</f>
        <v/>
      </c>
      <c r="B15070" s="0" t="s">
        <v>20009</v>
      </c>
      <c r="C15070" s="0" t="s">
        <v>20010</v>
      </c>
      <c r="D15070" s="0" t="s">
        <v>20010</v>
      </c>
      <c r="E15070" s="0" t="inlineStr">
        <is>
          <t xml:space="preserve">Mazda</t>
        </is>
      </c>
      <c r="F15070" s="0" t="inlineStr">
        <is>
          <t xml:space="preserve">Mazda</t>
        </is>
      </c>
      <c r="G15070" s="0" t="s">
        <v>171</v>
      </c>
      <c r="H15070" s="5">
        <v>20.934600</v>
      </c>
    </row>
    <row r="15071" spans="1:9">
      <c r="A15071" s="22" t="str">
        <f>HYPERLINK("https://app.vivvix.com/360/KMI/IntelliDrive/ApplUI/Pages/CreativePages/CustomReportCreativeDetail.aspx?App=23&amp;ReportView=4&amp;Qid=1711279&amp;Row=15063&amp;Col=1","No Title Assigned - #15274649443")</f>
        <v/>
      </c>
      <c r="B15071" s="0" t="s">
        <v>20011</v>
      </c>
      <c r="E15071" s="0" t="inlineStr">
        <is>
          <t xml:space="preserve">Mazda</t>
        </is>
      </c>
      <c r="F15071" s="0" t="inlineStr">
        <is>
          <t xml:space="preserve">Mazda</t>
        </is>
      </c>
      <c r="G15071" s="0" t="s">
        <v>171</v>
      </c>
      <c r="H15071" s="5">
        <v>34.907600</v>
      </c>
    </row>
    <row r="15072" spans="1:9">
      <c r="A15072" s="22" t="str">
        <f>HYPERLINK("https://app.vivvix.com/360/KMI/IntelliDrive/ApplUI/Pages/CreativePages/CustomReportCreativeDetail.aspx?App=23&amp;ReportView=4&amp;Qid=1711279&amp;Row=15064&amp;Col=1","No Title Assigned - #15274651979")</f>
        <v/>
      </c>
      <c r="B15072" s="0" t="s">
        <v>20012</v>
      </c>
      <c r="C15072" s="0" t="s">
        <v>20013</v>
      </c>
      <c r="D15072" s="0" t="s">
        <v>20013</v>
      </c>
      <c r="E15072" s="0" t="inlineStr">
        <is>
          <t xml:space="preserve">Mazda</t>
        </is>
      </c>
      <c r="F15072" s="0" t="inlineStr">
        <is>
          <t xml:space="preserve">Mazda</t>
        </is>
      </c>
      <c r="G15072" s="0" t="s">
        <v>171</v>
      </c>
      <c r="H15072" s="5">
        <v>761.733900</v>
      </c>
    </row>
    <row r="15073" spans="1:9">
      <c r="A15073" s="22" t="str">
        <f>HYPERLINK("https://app.vivvix.com/360/KMI/IntelliDrive/ApplUI/Pages/CreativePages/CustomReportCreativeDetail.aspx?App=23&amp;ReportView=4&amp;Qid=1711279&amp;Row=15065&amp;Col=1","No Title Assigned - #15274652743")</f>
        <v/>
      </c>
      <c r="B15073" s="0" t="s">
        <v>20014</v>
      </c>
      <c r="E15073" s="0" t="inlineStr">
        <is>
          <t xml:space="preserve">Mazda</t>
        </is>
      </c>
      <c r="F15073" s="0" t="inlineStr">
        <is>
          <t xml:space="preserve">Mazda</t>
        </is>
      </c>
      <c r="G15073" s="0" t="s">
        <v>171</v>
      </c>
      <c r="H15073" s="5">
        <v>26.831900</v>
      </c>
    </row>
    <row r="15074" spans="1:9">
      <c r="A15074" s="22" t="str">
        <f>HYPERLINK("https://app.vivvix.com/360/KMI/IntelliDrive/ApplUI/Pages/CreativePages/CustomReportCreativeDetail.aspx?App=23&amp;ReportView=4&amp;Qid=1711279&amp;Row=15066&amp;Col=1","No Title Assigned - #15274652998")</f>
        <v/>
      </c>
      <c r="B15074" s="0" t="s">
        <v>20015</v>
      </c>
      <c r="E15074" s="0" t="inlineStr">
        <is>
          <t xml:space="preserve">Mazda</t>
        </is>
      </c>
      <c r="F15074" s="0" t="inlineStr">
        <is>
          <t xml:space="preserve">Mazda</t>
        </is>
      </c>
      <c r="G15074" s="0" t="s">
        <v>171</v>
      </c>
      <c r="H15074" s="5">
        <v>91.665300</v>
      </c>
    </row>
    <row r="15075" spans="1:9">
      <c r="A15075" s="22" t="str">
        <f>HYPERLINK("https://app.vivvix.com/360/KMI/IntelliDrive/ApplUI/Pages/CreativePages/CustomReportCreativeDetail.aspx?App=23&amp;ReportView=4&amp;Qid=1711279&amp;Row=15067&amp;Col=1","No Title Assigned - #15274652999")</f>
        <v/>
      </c>
      <c r="B15075" s="0" t="s">
        <v>20016</v>
      </c>
      <c r="E15075" s="0" t="inlineStr">
        <is>
          <t xml:space="preserve">Mazda</t>
        </is>
      </c>
      <c r="F15075" s="0" t="inlineStr">
        <is>
          <t xml:space="preserve">Mazda</t>
        </is>
      </c>
      <c r="G15075" s="0" t="s">
        <v>171</v>
      </c>
      <c r="H15075" s="5">
        <v>91.665300</v>
      </c>
    </row>
    <row r="15076" spans="1:9">
      <c r="A15076" s="22" t="str">
        <f>HYPERLINK("https://app.vivvix.com/360/KMI/IntelliDrive/ApplUI/Pages/CreativePages/CustomReportCreativeDetail.aspx?App=23&amp;ReportView=4&amp;Qid=1711279&amp;Row=15068&amp;Col=1","No Title Assigned - #15274654514")</f>
        <v/>
      </c>
      <c r="B15076" s="0" t="s">
        <v>20017</v>
      </c>
      <c r="C15076" s="0" t="s">
        <v>20018</v>
      </c>
      <c r="D15076" s="0" t="s">
        <v>8476</v>
      </c>
      <c r="E15076" s="0" t="inlineStr">
        <is>
          <t xml:space="preserve">Mazda</t>
        </is>
      </c>
      <c r="F15076" s="0" t="s">
        <v>13</v>
      </c>
      <c r="G15076" s="0" t="s">
        <v>49</v>
      </c>
      <c r="H15076" s="5">
        <v>370.313400</v>
      </c>
    </row>
    <row r="15077" spans="1:9">
      <c r="A15077" s="22" t="str">
        <f>HYPERLINK("https://app.vivvix.com/360/KMI/IntelliDrive/ApplUI/Pages/CreativePages/CustomReportCreativeDetail.aspx?App=23&amp;ReportView=4&amp;Qid=1711279&amp;Row=15069&amp;Col=1","No Title Assigned - #15274654635")</f>
        <v/>
      </c>
      <c r="B15077" s="0" t="s">
        <v>20019</v>
      </c>
      <c r="C15077" s="0" t="s">
        <v>20020</v>
      </c>
      <c r="D15077" s="0" t="s">
        <v>20020</v>
      </c>
      <c r="E15077" s="0" t="inlineStr">
        <is>
          <t xml:space="preserve">Mazda</t>
        </is>
      </c>
      <c r="F15077" s="0" t="s">
        <v>13</v>
      </c>
      <c r="G15077" s="0" t="s">
        <v>49</v>
      </c>
      <c r="H15077" s="5">
        <v>77.139200</v>
      </c>
    </row>
    <row r="15078" spans="1:9">
      <c r="A15078" s="22" t="str">
        <f>HYPERLINK("https://app.vivvix.com/360/KMI/IntelliDrive/ApplUI/Pages/CreativePages/CustomReportCreativeDetail.aspx?App=23&amp;ReportView=4&amp;Qid=1711279&amp;Row=15070&amp;Col=1","No Title Assigned - #15274654735")</f>
        <v/>
      </c>
      <c r="B15078" s="0" t="s">
        <v>20021</v>
      </c>
      <c r="C15078" s="0" t="s">
        <v>20022</v>
      </c>
      <c r="D15078" s="0" t="s">
        <v>20022</v>
      </c>
      <c r="E15078" s="0" t="inlineStr">
        <is>
          <t xml:space="preserve">Mazda</t>
        </is>
      </c>
      <c r="F15078" s="0" t="s">
        <v>13</v>
      </c>
      <c r="G15078" s="0" t="s">
        <v>49</v>
      </c>
      <c r="H15078" s="5">
        <v>77.630400</v>
      </c>
    </row>
    <row r="15079" spans="1:9">
      <c r="A15079" s="22" t="str">
        <f>HYPERLINK("https://app.vivvix.com/360/KMI/IntelliDrive/ApplUI/Pages/CreativePages/CustomReportCreativeDetail.aspx?App=23&amp;ReportView=4&amp;Qid=1711279&amp;Row=15071&amp;Col=1","No Title Assigned - #15274655481")</f>
        <v/>
      </c>
      <c r="B15079" s="0" t="s">
        <v>20023</v>
      </c>
      <c r="C15079" s="0" t="s">
        <v>20024</v>
      </c>
      <c r="D15079" s="0" t="s">
        <v>4774</v>
      </c>
      <c r="E15079" s="0" t="inlineStr">
        <is>
          <t xml:space="preserve">Mazda</t>
        </is>
      </c>
      <c r="F15079" s="0" t="s">
        <v>13</v>
      </c>
      <c r="G15079" s="0" t="s">
        <v>49</v>
      </c>
      <c r="H15079" s="5">
        <v>145.006500</v>
      </c>
    </row>
    <row r="15080" spans="1:9">
      <c r="A15080" s="22" t="str">
        <f>HYPERLINK("https://app.vivvix.com/360/KMI/IntelliDrive/ApplUI/Pages/CreativePages/CustomReportCreativeDetail.aspx?App=23&amp;ReportView=4&amp;Qid=1711279&amp;Row=15072&amp;Col=1","No Title Assigned - #15274655610")</f>
        <v/>
      </c>
      <c r="B15080" s="0" t="s">
        <v>20025</v>
      </c>
      <c r="C15080" s="0" t="s">
        <v>20026</v>
      </c>
      <c r="D15080" s="0" t="s">
        <v>4774</v>
      </c>
      <c r="E15080" s="0" t="inlineStr">
        <is>
          <t xml:space="preserve">Mazda</t>
        </is>
      </c>
      <c r="F15080" s="0" t="s">
        <v>13</v>
      </c>
      <c r="G15080" s="0" t="s">
        <v>49</v>
      </c>
      <c r="H15080" s="5">
        <v>2879.724500</v>
      </c>
    </row>
    <row r="15081" spans="1:9">
      <c r="A15081" s="22" t="str">
        <f>HYPERLINK("https://app.vivvix.com/360/KMI/IntelliDrive/ApplUI/Pages/CreativePages/CustomReportCreativeDetail.aspx?App=23&amp;ReportView=4&amp;Qid=1711279&amp;Row=15073&amp;Col=1","No Title Assigned - #15274655610")</f>
        <v/>
      </c>
      <c r="B15081" s="0" t="s">
        <v>20025</v>
      </c>
      <c r="E15081" s="0" t="inlineStr">
        <is>
          <t xml:space="preserve">Mazda</t>
        </is>
      </c>
      <c r="F15081" s="0" t="s">
        <v>13</v>
      </c>
      <c r="G15081" s="0" t="s">
        <v>49</v>
      </c>
      <c r="H15081" s="5">
        <v>670.373400</v>
      </c>
    </row>
    <row r="15082" spans="1:9">
      <c r="A15082" s="22" t="str">
        <f>HYPERLINK("https://app.vivvix.com/360/KMI/IntelliDrive/ApplUI/Pages/CreativePages/CustomReportCreativeDetail.aspx?App=23&amp;ReportView=4&amp;Qid=1711279&amp;Row=15074&amp;Col=1","No Title Assigned - #15274655926")</f>
        <v/>
      </c>
      <c r="B15082" s="0" t="s">
        <v>20027</v>
      </c>
      <c r="C15082" s="0" t="s">
        <v>20028</v>
      </c>
      <c r="D15082" s="0" t="s">
        <v>20028</v>
      </c>
      <c r="E15082" s="0" t="inlineStr">
        <is>
          <t xml:space="preserve">Mazda</t>
        </is>
      </c>
      <c r="F15082" s="0" t="inlineStr">
        <is>
          <t xml:space="preserve">Mazda</t>
        </is>
      </c>
      <c r="G15082" s="0" t="s">
        <v>210</v>
      </c>
      <c r="H15082" s="5">
        <v>477.418000</v>
      </c>
    </row>
    <row r="15083" spans="1:9">
      <c r="A15083" s="22" t="str">
        <f>HYPERLINK("https://app.vivvix.com/360/KMI/IntelliDrive/ApplUI/Pages/CreativePages/CustomReportCreativeDetail.aspx?App=23&amp;ReportView=4&amp;Qid=1711279&amp;Row=15075&amp;Col=1","No Title Assigned - #15274656434")</f>
        <v/>
      </c>
      <c r="B15083" s="0" t="s">
        <v>20029</v>
      </c>
      <c r="C15083" s="0" t="s">
        <v>20030</v>
      </c>
      <c r="D15083" s="0" t="s">
        <v>20030</v>
      </c>
      <c r="E15083" s="0" t="inlineStr">
        <is>
          <t xml:space="preserve">Mazda</t>
        </is>
      </c>
      <c r="F15083" s="0" t="s">
        <v>13</v>
      </c>
      <c r="G15083" s="0" t="s">
        <v>49</v>
      </c>
      <c r="H15083" s="5">
        <v>381.061000</v>
      </c>
    </row>
    <row r="15084" spans="1:9">
      <c r="A15084" s="22" t="str">
        <f>HYPERLINK("https://app.vivvix.com/360/KMI/IntelliDrive/ApplUI/Pages/CreativePages/CustomReportCreativeDetail.aspx?App=23&amp;ReportView=4&amp;Qid=1711279&amp;Row=15076&amp;Col=1","No Title Assigned - #15274656503")</f>
        <v/>
      </c>
      <c r="B15084" s="0" t="s">
        <v>20031</v>
      </c>
      <c r="C15084" s="0" t="s">
        <v>20032</v>
      </c>
      <c r="D15084" s="0" t="s">
        <v>17671</v>
      </c>
      <c r="E15084" s="0" t="inlineStr">
        <is>
          <t xml:space="preserve">Mazda</t>
        </is>
      </c>
      <c r="F15084" s="0" t="s">
        <v>13</v>
      </c>
      <c r="G15084" s="0" t="s">
        <v>49</v>
      </c>
      <c r="H15084" s="5">
        <v>20.019000</v>
      </c>
    </row>
    <row r="15085" spans="1:9">
      <c r="A15085" s="22" t="str">
        <f>HYPERLINK("https://app.vivvix.com/360/KMI/IntelliDrive/ApplUI/Pages/CreativePages/CustomReportCreativeDetail.aspx?App=23&amp;ReportView=4&amp;Qid=1711279&amp;Row=15077&amp;Col=1","No Title Assigned - #15274656875")</f>
        <v/>
      </c>
      <c r="B15085" s="0" t="s">
        <v>20033</v>
      </c>
      <c r="C15085" s="0" t="s">
        <v>20034</v>
      </c>
      <c r="D15085" s="0" t="s">
        <v>20034</v>
      </c>
      <c r="E15085" s="0" t="inlineStr">
        <is>
          <t xml:space="preserve">Mazda</t>
        </is>
      </c>
      <c r="F15085" s="0" t="inlineStr">
        <is>
          <t xml:space="preserve">Mazda</t>
        </is>
      </c>
      <c r="G15085" s="0" t="s">
        <v>210</v>
      </c>
      <c r="H15085" s="5">
        <v>59.582200</v>
      </c>
    </row>
    <row r="15086" spans="1:9">
      <c r="A15086" s="22" t="str">
        <f>HYPERLINK("https://app.vivvix.com/360/KMI/IntelliDrive/ApplUI/Pages/CreativePages/CustomReportCreativeDetail.aspx?App=23&amp;ReportView=4&amp;Qid=1711279&amp;Row=15078&amp;Col=1","No Title Assigned - #15274656876")</f>
        <v/>
      </c>
      <c r="B15086" s="0" t="s">
        <v>20035</v>
      </c>
      <c r="C15086" s="0" t="s">
        <v>20036</v>
      </c>
      <c r="D15086" s="0" t="s">
        <v>10455</v>
      </c>
      <c r="E15086" s="0" t="inlineStr">
        <is>
          <t xml:space="preserve">Mazda</t>
        </is>
      </c>
      <c r="F15086" s="0" t="s">
        <v>13</v>
      </c>
      <c r="G15086" s="0" t="s">
        <v>49</v>
      </c>
      <c r="H15086" s="5">
        <v>5.173800</v>
      </c>
    </row>
    <row r="15087" spans="1:9">
      <c r="A15087" s="22" t="str">
        <f>HYPERLINK("https://app.vivvix.com/360/KMI/IntelliDrive/ApplUI/Pages/CreativePages/CustomReportCreativeDetail.aspx?App=23&amp;ReportView=4&amp;Qid=1711279&amp;Row=15079&amp;Col=1","No Title Assigned - #15274657012")</f>
        <v/>
      </c>
      <c r="B15087" s="0" t="s">
        <v>20037</v>
      </c>
      <c r="C15087" s="0" t="s">
        <v>20038</v>
      </c>
      <c r="D15087" s="0" t="s">
        <v>20038</v>
      </c>
      <c r="E15087" s="0" t="inlineStr">
        <is>
          <t xml:space="preserve">Mazda</t>
        </is>
      </c>
      <c r="F15087" s="0" t="s">
        <v>13</v>
      </c>
      <c r="G15087" s="0" t="s">
        <v>49</v>
      </c>
      <c r="H15087" s="5">
        <v>540.820600</v>
      </c>
    </row>
    <row r="15088" spans="1:9">
      <c r="A15088" s="22" t="str">
        <f>HYPERLINK("https://app.vivvix.com/360/KMI/IntelliDrive/ApplUI/Pages/CreativePages/CustomReportCreativeDetail.aspx?App=23&amp;ReportView=4&amp;Qid=1711279&amp;Row=15080&amp;Col=1","No Title Assigned - #15274657260")</f>
        <v/>
      </c>
      <c r="B15088" s="0" t="s">
        <v>20039</v>
      </c>
      <c r="C15088" s="0" t="s">
        <v>20040</v>
      </c>
      <c r="D15088" s="0" t="s">
        <v>20040</v>
      </c>
      <c r="E15088" s="0" t="inlineStr">
        <is>
          <t xml:space="preserve">Mazda</t>
        </is>
      </c>
      <c r="F15088" s="0" t="s">
        <v>13</v>
      </c>
      <c r="G15088" s="0" t="s">
        <v>49</v>
      </c>
      <c r="H15088" s="5">
        <v>42.882100</v>
      </c>
    </row>
    <row r="15089" spans="1:9">
      <c r="A15089" s="22" t="str">
        <f>HYPERLINK("https://app.vivvix.com/360/KMI/IntelliDrive/ApplUI/Pages/CreativePages/CustomReportCreativeDetail.aspx?App=23&amp;ReportView=4&amp;Qid=1711279&amp;Row=15081&amp;Col=1","No Title Assigned - #15274657824")</f>
        <v/>
      </c>
      <c r="B15089" s="0" t="s">
        <v>20041</v>
      </c>
      <c r="C15089" s="0" t="s">
        <v>20042</v>
      </c>
      <c r="D15089" s="0" t="s">
        <v>20042</v>
      </c>
      <c r="E15089" s="0" t="inlineStr">
        <is>
          <t xml:space="preserve">Mazda</t>
        </is>
      </c>
      <c r="F15089" s="0" t="s">
        <v>13</v>
      </c>
      <c r="G15089" s="0" t="s">
        <v>49</v>
      </c>
      <c r="H15089" s="5">
        <v>43862.808600</v>
      </c>
    </row>
    <row r="15090" spans="1:9">
      <c r="A15090" s="22" t="str">
        <f>HYPERLINK("https://app.vivvix.com/360/KMI/IntelliDrive/ApplUI/Pages/CreativePages/CustomReportCreativeDetail.aspx?App=23&amp;ReportView=4&amp;Qid=1711279&amp;Row=15082&amp;Col=1","No Title Assigned - #15274657848")</f>
        <v/>
      </c>
      <c r="B15090" s="0" t="s">
        <v>20043</v>
      </c>
      <c r="E15090" s="0" t="inlineStr">
        <is>
          <t xml:space="preserve">Mazda</t>
        </is>
      </c>
      <c r="F15090" s="0" t="s">
        <v>13</v>
      </c>
      <c r="G15090" s="0" t="s">
        <v>49</v>
      </c>
      <c r="H15090" s="5">
        <v>3200.561300</v>
      </c>
    </row>
    <row r="15091" spans="1:9">
      <c r="A15091" s="22" t="str">
        <f>HYPERLINK("https://app.vivvix.com/360/KMI/IntelliDrive/ApplUI/Pages/CreativePages/CustomReportCreativeDetail.aspx?App=23&amp;ReportView=4&amp;Qid=1711279&amp;Row=15083&amp;Col=1","No Title Assigned - #15274657848")</f>
        <v/>
      </c>
      <c r="B15091" s="0" t="s">
        <v>20043</v>
      </c>
      <c r="E15091" s="0" t="inlineStr">
        <is>
          <t xml:space="preserve">Mazda</t>
        </is>
      </c>
      <c r="F15091" s="0" t="s">
        <v>13</v>
      </c>
      <c r="G15091" s="0" t="s">
        <v>49</v>
      </c>
      <c r="H15091" s="5">
        <v>19011.005900</v>
      </c>
    </row>
    <row r="15092" spans="1:9">
      <c r="A15092" s="22" t="str">
        <f>HYPERLINK("https://app.vivvix.com/360/KMI/IntelliDrive/ApplUI/Pages/CreativePages/CustomReportCreativeDetail.aspx?App=23&amp;ReportView=4&amp;Qid=1711279&amp;Row=15084&amp;Col=1","No Title Assigned - #15274658582")</f>
        <v/>
      </c>
      <c r="B15092" s="0" t="s">
        <v>20044</v>
      </c>
      <c r="C15092" s="0" t="s">
        <v>20045</v>
      </c>
      <c r="D15092" s="0" t="s">
        <v>11328</v>
      </c>
      <c r="E15092" s="0" t="inlineStr">
        <is>
          <t xml:space="preserve">Mazda</t>
        </is>
      </c>
      <c r="F15092" s="0" t="s">
        <v>13</v>
      </c>
      <c r="G15092" s="0" t="s">
        <v>49</v>
      </c>
      <c r="H15092" s="5">
        <v>86.460600</v>
      </c>
    </row>
    <row r="15093" spans="1:9">
      <c r="A15093" s="22" t="str">
        <f>HYPERLINK("https://app.vivvix.com/360/KMI/IntelliDrive/ApplUI/Pages/CreativePages/CustomReportCreativeDetail.aspx?App=23&amp;ReportView=4&amp;Qid=1711279&amp;Row=15085&amp;Col=1","No Title Assigned - #15274661315")</f>
        <v/>
      </c>
      <c r="B15093" s="0" t="s">
        <v>20046</v>
      </c>
      <c r="C15093" s="0" t="s">
        <v>20047</v>
      </c>
      <c r="D15093" s="0" t="s">
        <v>7396</v>
      </c>
      <c r="E15093" s="0" t="inlineStr">
        <is>
          <t xml:space="preserve">Mazda</t>
        </is>
      </c>
      <c r="F15093" s="0" t="s">
        <v>13</v>
      </c>
      <c r="G15093" s="0" t="s">
        <v>49</v>
      </c>
      <c r="H15093" s="5">
        <v>258.232200</v>
      </c>
    </row>
    <row r="15094" spans="1:9">
      <c r="A15094" s="22" t="str">
        <f>HYPERLINK("https://app.vivvix.com/360/KMI/IntelliDrive/ApplUI/Pages/CreativePages/CustomReportCreativeDetail.aspx?App=23&amp;ReportView=4&amp;Qid=1711279&amp;Row=15086&amp;Col=1","No Title Assigned - #15274662484")</f>
        <v/>
      </c>
      <c r="B15094" s="0" t="s">
        <v>20048</v>
      </c>
      <c r="C15094" s="0" t="s">
        <v>20049</v>
      </c>
      <c r="D15094" s="0" t="s">
        <v>20049</v>
      </c>
      <c r="E15094" s="0" t="inlineStr">
        <is>
          <t xml:space="preserve">Mazda</t>
        </is>
      </c>
      <c r="F15094" s="0" t="inlineStr">
        <is>
          <t xml:space="preserve">Mazda</t>
        </is>
      </c>
      <c r="G15094" s="0" t="s">
        <v>171</v>
      </c>
      <c r="H15094" s="5">
        <v>107.700800</v>
      </c>
    </row>
    <row r="15095" spans="1:9">
      <c r="A15095" s="22" t="str">
        <f>HYPERLINK("https://app.vivvix.com/360/KMI/IntelliDrive/ApplUI/Pages/CreativePages/CustomReportCreativeDetail.aspx?App=23&amp;ReportView=4&amp;Qid=1711279&amp;Row=15087&amp;Col=1","No Title Assigned - #15274662633")</f>
        <v/>
      </c>
      <c r="B15095" s="0" t="s">
        <v>20050</v>
      </c>
      <c r="E15095" s="0" t="inlineStr">
        <is>
          <t xml:space="preserve">Mazda</t>
        </is>
      </c>
      <c r="F15095" s="0" t="inlineStr">
        <is>
          <t xml:space="preserve">Mazda</t>
        </is>
      </c>
      <c r="G15095" s="0" t="s">
        <v>171</v>
      </c>
      <c r="H15095" s="5">
        <v>2634.813000</v>
      </c>
    </row>
    <row r="15096" spans="1:9">
      <c r="A15096" s="22" t="str">
        <f>HYPERLINK("https://app.vivvix.com/360/KMI/IntelliDrive/ApplUI/Pages/CreativePages/CustomReportCreativeDetail.aspx?App=23&amp;ReportView=4&amp;Qid=1711279&amp;Row=15088&amp;Col=1","No Title Assigned - #15274662758")</f>
        <v/>
      </c>
      <c r="B15096" s="0" t="s">
        <v>20051</v>
      </c>
      <c r="C15096" s="0" t="s">
        <v>20052</v>
      </c>
      <c r="D15096" s="0" t="s">
        <v>20052</v>
      </c>
      <c r="E15096" s="0" t="inlineStr">
        <is>
          <t xml:space="preserve">Mazda</t>
        </is>
      </c>
      <c r="F15096" s="0" t="s">
        <v>13</v>
      </c>
      <c r="G15096" s="0" t="s">
        <v>49</v>
      </c>
      <c r="H15096" s="5">
        <v>951.414500</v>
      </c>
    </row>
    <row r="15097" spans="1:9">
      <c r="A15097" s="22" t="str">
        <f>HYPERLINK("https://app.vivvix.com/360/KMI/IntelliDrive/ApplUI/Pages/CreativePages/CustomReportCreativeDetail.aspx?App=23&amp;ReportView=4&amp;Qid=1711279&amp;Row=15089&amp;Col=1","No Title Assigned - #15274662796")</f>
        <v/>
      </c>
      <c r="B15097" s="0" t="s">
        <v>20053</v>
      </c>
      <c r="E15097" s="0" t="inlineStr">
        <is>
          <t xml:space="preserve">Mazda</t>
        </is>
      </c>
      <c r="F15097" s="0" t="inlineStr">
        <is>
          <t xml:space="preserve">Mazda</t>
        </is>
      </c>
      <c r="G15097" s="0" t="s">
        <v>171</v>
      </c>
      <c r="H15097" s="5">
        <v>114.778600</v>
      </c>
    </row>
    <row r="15098" spans="1:9">
      <c r="A15098" s="22" t="str">
        <f>HYPERLINK("https://app.vivvix.com/360/KMI/IntelliDrive/ApplUI/Pages/CreativePages/CustomReportCreativeDetail.aspx?App=23&amp;ReportView=4&amp;Qid=1711279&amp;Row=15090&amp;Col=1","No Title Assigned - #15274662898")</f>
        <v/>
      </c>
      <c r="B15098" s="0" t="s">
        <v>20054</v>
      </c>
      <c r="E15098" s="0" t="inlineStr">
        <is>
          <t xml:space="preserve">Mazda</t>
        </is>
      </c>
      <c r="F15098" s="0" t="inlineStr">
        <is>
          <t xml:space="preserve">Mazda</t>
        </is>
      </c>
      <c r="G15098" s="0" t="s">
        <v>171</v>
      </c>
      <c r="H15098" s="5">
        <v>906.536300</v>
      </c>
    </row>
    <row r="15099" spans="1:9">
      <c r="A15099" s="22" t="str">
        <f>HYPERLINK("https://app.vivvix.com/360/KMI/IntelliDrive/ApplUI/Pages/CreativePages/CustomReportCreativeDetail.aspx?App=23&amp;ReportView=4&amp;Qid=1711279&amp;Row=15091&amp;Col=1","No Title Assigned - #15274663081")</f>
        <v/>
      </c>
      <c r="B15099" s="0" t="s">
        <v>20055</v>
      </c>
      <c r="E15099" s="0" t="inlineStr">
        <is>
          <t xml:space="preserve">Mazda</t>
        </is>
      </c>
      <c r="F15099" s="0" t="inlineStr">
        <is>
          <t xml:space="preserve">Mazda</t>
        </is>
      </c>
      <c r="G15099" s="0" t="s">
        <v>171</v>
      </c>
      <c r="H15099" s="5">
        <v>1802.454500</v>
      </c>
    </row>
    <row r="15100" spans="1:9">
      <c r="A15100" s="22" t="str">
        <f>HYPERLINK("https://app.vivvix.com/360/KMI/IntelliDrive/ApplUI/Pages/CreativePages/CustomReportCreativeDetail.aspx?App=23&amp;ReportView=4&amp;Qid=1711279&amp;Row=15092&amp;Col=1","No Title Assigned - #15274663268")</f>
        <v/>
      </c>
      <c r="B15100" s="0" t="s">
        <v>20056</v>
      </c>
      <c r="E15100" s="0" t="inlineStr">
        <is>
          <t xml:space="preserve">Mazda</t>
        </is>
      </c>
      <c r="F15100" s="0" t="inlineStr">
        <is>
          <t xml:space="preserve">Mazda</t>
        </is>
      </c>
      <c r="G15100" s="0" t="s">
        <v>171</v>
      </c>
      <c r="H15100" s="5">
        <v>165.111800</v>
      </c>
    </row>
    <row r="15101" spans="1:9">
      <c r="A15101" s="22" t="str">
        <f>HYPERLINK("https://app.vivvix.com/360/KMI/IntelliDrive/ApplUI/Pages/CreativePages/CustomReportCreativeDetail.aspx?App=23&amp;ReportView=4&amp;Qid=1711279&amp;Row=15093&amp;Col=1","No Title Assigned - #15274663355")</f>
        <v/>
      </c>
      <c r="B15101" s="0" t="s">
        <v>20057</v>
      </c>
      <c r="E15101" s="0" t="inlineStr">
        <is>
          <t xml:space="preserve">Mazda</t>
        </is>
      </c>
      <c r="F15101" s="0" t="inlineStr">
        <is>
          <t xml:space="preserve">Mazda</t>
        </is>
      </c>
      <c r="G15101" s="0" t="s">
        <v>171</v>
      </c>
      <c r="H15101" s="5">
        <v>25.150300</v>
      </c>
    </row>
    <row r="15102" spans="1:9">
      <c r="A15102" s="22" t="str">
        <f>HYPERLINK("https://app.vivvix.com/360/KMI/IntelliDrive/ApplUI/Pages/CreativePages/CustomReportCreativeDetail.aspx?App=23&amp;ReportView=4&amp;Qid=1711279&amp;Row=15094&amp;Col=1","No Title Assigned - #15274663514")</f>
        <v/>
      </c>
      <c r="B15102" s="0" t="s">
        <v>20058</v>
      </c>
      <c r="E15102" s="0" t="inlineStr">
        <is>
          <t xml:space="preserve">Mazda</t>
        </is>
      </c>
      <c r="F15102" s="0" t="inlineStr">
        <is>
          <t xml:space="preserve">Mazda</t>
        </is>
      </c>
      <c r="G15102" s="0" t="s">
        <v>171</v>
      </c>
      <c r="H15102" s="5">
        <v>164.947700</v>
      </c>
    </row>
    <row r="15103" spans="1:9">
      <c r="A15103" s="22" t="str">
        <f>HYPERLINK("https://app.vivvix.com/360/KMI/IntelliDrive/ApplUI/Pages/CreativePages/CustomReportCreativeDetail.aspx?App=23&amp;ReportView=4&amp;Qid=1711279&amp;Row=15095&amp;Col=1","No Title Assigned - #15274663548")</f>
        <v/>
      </c>
      <c r="B15103" s="0" t="s">
        <v>20059</v>
      </c>
      <c r="E15103" s="0" t="inlineStr">
        <is>
          <t xml:space="preserve">Mazda</t>
        </is>
      </c>
      <c r="F15103" s="0" t="inlineStr">
        <is>
          <t xml:space="preserve">Mazda</t>
        </is>
      </c>
      <c r="G15103" s="0" t="s">
        <v>171</v>
      </c>
      <c r="H15103" s="5">
        <v>1504.656400</v>
      </c>
    </row>
    <row r="15104" spans="1:9">
      <c r="A15104" s="22" t="str">
        <f>HYPERLINK("https://app.vivvix.com/360/KMI/IntelliDrive/ApplUI/Pages/CreativePages/CustomReportCreativeDetail.aspx?App=23&amp;ReportView=4&amp;Qid=1711279&amp;Row=15096&amp;Col=1","No Title Assigned - #15274663548")</f>
        <v/>
      </c>
      <c r="B15104" s="0" t="s">
        <v>20059</v>
      </c>
      <c r="E15104" s="0" t="inlineStr">
        <is>
          <t xml:space="preserve">Mazda</t>
        </is>
      </c>
      <c r="F15104" s="0" t="inlineStr">
        <is>
          <t xml:space="preserve">Mazda</t>
        </is>
      </c>
      <c r="G15104" s="0" t="s">
        <v>171</v>
      </c>
      <c r="H15104" s="5">
        <v>616.298700</v>
      </c>
    </row>
    <row r="15105" spans="1:9">
      <c r="A15105" s="22" t="str">
        <f>HYPERLINK("https://app.vivvix.com/360/KMI/IntelliDrive/ApplUI/Pages/CreativePages/CustomReportCreativeDetail.aspx?App=23&amp;ReportView=4&amp;Qid=1711279&amp;Row=15097&amp;Col=1","No Title Assigned - #15274664039")</f>
        <v/>
      </c>
      <c r="B15105" s="0" t="s">
        <v>20060</v>
      </c>
      <c r="E15105" s="0" t="inlineStr">
        <is>
          <t xml:space="preserve">Mazda</t>
        </is>
      </c>
      <c r="F15105" s="0" t="inlineStr">
        <is>
          <t xml:space="preserve">Mazda</t>
        </is>
      </c>
      <c r="G15105" s="0" t="s">
        <v>171</v>
      </c>
      <c r="H15105" s="5">
        <v>609.020400</v>
      </c>
    </row>
    <row r="15106" spans="1:9">
      <c r="A15106" s="22" t="str">
        <f>HYPERLINK("https://app.vivvix.com/360/KMI/IntelliDrive/ApplUI/Pages/CreativePages/CustomReportCreativeDetail.aspx?App=23&amp;ReportView=4&amp;Qid=1711279&amp;Row=15098&amp;Col=1","No Title Assigned - #15274664110")</f>
        <v/>
      </c>
      <c r="B15106" s="0" t="s">
        <v>20061</v>
      </c>
      <c r="E15106" s="0" t="inlineStr">
        <is>
          <t xml:space="preserve">Mazda</t>
        </is>
      </c>
      <c r="F15106" s="0" t="inlineStr">
        <is>
          <t xml:space="preserve">Mazda</t>
        </is>
      </c>
      <c r="G15106" s="0" t="s">
        <v>171</v>
      </c>
      <c r="H15106" s="5">
        <v>103.177800</v>
      </c>
    </row>
    <row r="15107" spans="1:9">
      <c r="A15107" s="22" t="str">
        <f>HYPERLINK("https://app.vivvix.com/360/KMI/IntelliDrive/ApplUI/Pages/CreativePages/CustomReportCreativeDetail.aspx?App=23&amp;ReportView=4&amp;Qid=1711279&amp;Row=15099&amp;Col=1","No Title Assigned - #15274664602")</f>
        <v/>
      </c>
      <c r="B15107" s="0" t="s">
        <v>20062</v>
      </c>
      <c r="E15107" s="0" t="inlineStr">
        <is>
          <t xml:space="preserve">Mazda</t>
        </is>
      </c>
      <c r="F15107" s="0" t="inlineStr">
        <is>
          <t xml:space="preserve">Mazda</t>
        </is>
      </c>
      <c r="G15107" s="0" t="s">
        <v>171</v>
      </c>
      <c r="H15107" s="5">
        <v>161.524900</v>
      </c>
    </row>
    <row r="15108" spans="1:9">
      <c r="A15108" s="22" t="str">
        <f>HYPERLINK("https://app.vivvix.com/360/KMI/IntelliDrive/ApplUI/Pages/CreativePages/CustomReportCreativeDetail.aspx?App=23&amp;ReportView=4&amp;Qid=1711279&amp;Row=15100&amp;Col=1","No Title Assigned - #15274664952")</f>
        <v/>
      </c>
      <c r="B15108" s="0" t="s">
        <v>20063</v>
      </c>
      <c r="E15108" s="0" t="inlineStr">
        <is>
          <t xml:space="preserve">Mazda</t>
        </is>
      </c>
      <c r="F15108" s="0" t="inlineStr">
        <is>
          <t xml:space="preserve">Mazda</t>
        </is>
      </c>
      <c r="G15108" s="0" t="s">
        <v>171</v>
      </c>
      <c r="H15108" s="5">
        <v>469.376700</v>
      </c>
    </row>
    <row r="15109" spans="1:9">
      <c r="A15109" s="22" t="str">
        <f>HYPERLINK("https://app.vivvix.com/360/KMI/IntelliDrive/ApplUI/Pages/CreativePages/CustomReportCreativeDetail.aspx?App=23&amp;ReportView=4&amp;Qid=1711279&amp;Row=15101&amp;Col=1","No Title Assigned - #15274665021")</f>
        <v/>
      </c>
      <c r="B15109" s="0" t="s">
        <v>20064</v>
      </c>
      <c r="E15109" s="0" t="inlineStr">
        <is>
          <t xml:space="preserve">Mazda</t>
        </is>
      </c>
      <c r="F15109" s="0" t="inlineStr">
        <is>
          <t xml:space="preserve">Mazda</t>
        </is>
      </c>
      <c r="G15109" s="0" t="s">
        <v>171</v>
      </c>
      <c r="H15109" s="5">
        <v>497.920300</v>
      </c>
    </row>
    <row r="15110" spans="1:9">
      <c r="A15110" s="22" t="str">
        <f>HYPERLINK("https://app.vivvix.com/360/KMI/IntelliDrive/ApplUI/Pages/CreativePages/CustomReportCreativeDetail.aspx?App=23&amp;ReportView=4&amp;Qid=1711279&amp;Row=15102&amp;Col=1","No Title Assigned - #15274665063")</f>
        <v/>
      </c>
      <c r="B15110" s="0" t="s">
        <v>20065</v>
      </c>
      <c r="E15110" s="0" t="inlineStr">
        <is>
          <t xml:space="preserve">Mazda</t>
        </is>
      </c>
      <c r="F15110" s="0" t="inlineStr">
        <is>
          <t xml:space="preserve">Mazda</t>
        </is>
      </c>
      <c r="G15110" s="0" t="s">
        <v>171</v>
      </c>
      <c r="H15110" s="5">
        <v>103.713000</v>
      </c>
    </row>
    <row r="15111" spans="1:9">
      <c r="A15111" s="22" t="str">
        <f>HYPERLINK("https://app.vivvix.com/360/KMI/IntelliDrive/ApplUI/Pages/CreativePages/CustomReportCreativeDetail.aspx?App=23&amp;ReportView=4&amp;Qid=1711279&amp;Row=15103&amp;Col=1","No Title Assigned - #15274665339")</f>
        <v/>
      </c>
      <c r="B15111" s="0" t="s">
        <v>20066</v>
      </c>
      <c r="E15111" s="0" t="inlineStr">
        <is>
          <t xml:space="preserve">Mazda</t>
        </is>
      </c>
      <c r="F15111" s="0" t="inlineStr">
        <is>
          <t xml:space="preserve">Mazda</t>
        </is>
      </c>
      <c r="G15111" s="0" t="s">
        <v>171</v>
      </c>
      <c r="H15111" s="5">
        <v>92.197500</v>
      </c>
    </row>
    <row r="15112" spans="1:9">
      <c r="A15112" s="22" t="str">
        <f>HYPERLINK("https://app.vivvix.com/360/KMI/IntelliDrive/ApplUI/Pages/CreativePages/CustomReportCreativeDetail.aspx?App=23&amp;ReportView=4&amp;Qid=1711279&amp;Row=15104&amp;Col=1","No Title Assigned - #15274665527")</f>
        <v/>
      </c>
      <c r="B15112" s="0" t="s">
        <v>20067</v>
      </c>
      <c r="E15112" s="0" t="inlineStr">
        <is>
          <t xml:space="preserve">Mazda</t>
        </is>
      </c>
      <c r="F15112" s="0" t="inlineStr">
        <is>
          <t xml:space="preserve">Mazda</t>
        </is>
      </c>
      <c r="G15112" s="0" t="s">
        <v>171</v>
      </c>
      <c r="H15112" s="5">
        <v>86.101200</v>
      </c>
    </row>
    <row r="15113" spans="1:9">
      <c r="A15113" s="22" t="str">
        <f>HYPERLINK("https://app.vivvix.com/360/KMI/IntelliDrive/ApplUI/Pages/CreativePages/CustomReportCreativeDetail.aspx?App=23&amp;ReportView=4&amp;Qid=1711279&amp;Row=15105&amp;Col=1","No Title Assigned - #15274666103")</f>
        <v/>
      </c>
      <c r="B15113" s="0" t="s">
        <v>20068</v>
      </c>
      <c r="E15113" s="0" t="inlineStr">
        <is>
          <t xml:space="preserve">Mazda</t>
        </is>
      </c>
      <c r="F15113" s="0" t="inlineStr">
        <is>
          <t xml:space="preserve">Mazda</t>
        </is>
      </c>
      <c r="G15113" s="0" t="s">
        <v>171</v>
      </c>
      <c r="H15113" s="5">
        <v>61.381000</v>
      </c>
    </row>
    <row r="15114" spans="1:9">
      <c r="A15114" s="22" t="str">
        <f>HYPERLINK("https://app.vivvix.com/360/KMI/IntelliDrive/ApplUI/Pages/CreativePages/CustomReportCreativeDetail.aspx?App=23&amp;ReportView=4&amp;Qid=1711279&amp;Row=15106&amp;Col=1","No Title Assigned - #15274666234")</f>
        <v/>
      </c>
      <c r="B15114" s="0" t="s">
        <v>20069</v>
      </c>
      <c r="E15114" s="0" t="inlineStr">
        <is>
          <t xml:space="preserve">Mazda</t>
        </is>
      </c>
      <c r="F15114" s="0" t="inlineStr">
        <is>
          <t xml:space="preserve">Mazda</t>
        </is>
      </c>
      <c r="G15114" s="0" t="s">
        <v>171</v>
      </c>
      <c r="H15114" s="5">
        <v>262.600300</v>
      </c>
    </row>
    <row r="15115" spans="1:9">
      <c r="A15115" s="22" t="str">
        <f>HYPERLINK("https://app.vivvix.com/360/KMI/IntelliDrive/ApplUI/Pages/CreativePages/CustomReportCreativeDetail.aspx?App=23&amp;ReportView=4&amp;Qid=1711279&amp;Row=15107&amp;Col=1","No Title Assigned - #15274666464")</f>
        <v/>
      </c>
      <c r="B15115" s="0" t="s">
        <v>20070</v>
      </c>
      <c r="E15115" s="0" t="inlineStr">
        <is>
          <t xml:space="preserve">Mazda</t>
        </is>
      </c>
      <c r="F15115" s="0" t="inlineStr">
        <is>
          <t xml:space="preserve">Mazda</t>
        </is>
      </c>
      <c r="G15115" s="0" t="s">
        <v>171</v>
      </c>
      <c r="H15115" s="5">
        <v>27.679900</v>
      </c>
    </row>
    <row r="15116" spans="1:9">
      <c r="A15116" s="22" t="str">
        <f>HYPERLINK("https://app.vivvix.com/360/KMI/IntelliDrive/ApplUI/Pages/CreativePages/CustomReportCreativeDetail.aspx?App=23&amp;ReportView=4&amp;Qid=1711279&amp;Row=15108&amp;Col=1","No Title Assigned - #15274667437")</f>
        <v/>
      </c>
      <c r="B15116" s="0" t="s">
        <v>20071</v>
      </c>
      <c r="E15116" s="0" t="inlineStr">
        <is>
          <t xml:space="preserve">Mazda</t>
        </is>
      </c>
      <c r="F15116" s="0" t="inlineStr">
        <is>
          <t xml:space="preserve">Mazda</t>
        </is>
      </c>
      <c r="G15116" s="0" t="s">
        <v>171</v>
      </c>
      <c r="H15116" s="5">
        <v>492.524200</v>
      </c>
    </row>
    <row r="15117" spans="1:9">
      <c r="A15117" s="22" t="str">
        <f>HYPERLINK("https://app.vivvix.com/360/KMI/IntelliDrive/ApplUI/Pages/CreativePages/CustomReportCreativeDetail.aspx?App=23&amp;ReportView=4&amp;Qid=1711279&amp;Row=15109&amp;Col=1","No Title Assigned - #15274669061")</f>
        <v/>
      </c>
      <c r="B15117" s="0" t="s">
        <v>20072</v>
      </c>
      <c r="E15117" s="0" t="inlineStr">
        <is>
          <t xml:space="preserve">Mazda</t>
        </is>
      </c>
      <c r="F15117" s="0" t="inlineStr">
        <is>
          <t xml:space="preserve">Mazda</t>
        </is>
      </c>
      <c r="G15117" s="0" t="s">
        <v>171</v>
      </c>
      <c r="H15117" s="5">
        <v>2692.565900</v>
      </c>
    </row>
    <row r="15118" spans="1:9">
      <c r="A15118" s="22" t="str">
        <f>HYPERLINK("https://app.vivvix.com/360/KMI/IntelliDrive/ApplUI/Pages/CreativePages/CustomReportCreativeDetail.aspx?App=23&amp;ReportView=4&amp;Qid=1711279&amp;Row=15110&amp;Col=1","No Title Assigned - #15274669621")</f>
        <v/>
      </c>
      <c r="B15118" s="0" t="s">
        <v>20073</v>
      </c>
      <c r="E15118" s="0" t="inlineStr">
        <is>
          <t xml:space="preserve">Mazda</t>
        </is>
      </c>
      <c r="F15118" s="0" t="inlineStr">
        <is>
          <t xml:space="preserve">Mazda</t>
        </is>
      </c>
      <c r="G15118" s="0" t="s">
        <v>171</v>
      </c>
      <c r="H15118" s="5">
        <v>419.242800</v>
      </c>
    </row>
    <row r="15119" spans="1:9">
      <c r="A15119" s="22" t="str">
        <f>HYPERLINK("https://app.vivvix.com/360/KMI/IntelliDrive/ApplUI/Pages/CreativePages/CustomReportCreativeDetail.aspx?App=23&amp;ReportView=4&amp;Qid=1711279&amp;Row=15111&amp;Col=1","No Title Assigned - #15274669621")</f>
        <v/>
      </c>
      <c r="B15119" s="0" t="s">
        <v>20073</v>
      </c>
      <c r="E15119" s="0" t="inlineStr">
        <is>
          <t xml:space="preserve">Mazda</t>
        </is>
      </c>
      <c r="F15119" s="0" t="inlineStr">
        <is>
          <t xml:space="preserve">Mazda</t>
        </is>
      </c>
      <c r="G15119" s="0" t="s">
        <v>171</v>
      </c>
      <c r="H15119" s="5">
        <v>125.910100</v>
      </c>
    </row>
    <row r="15120" spans="1:9">
      <c r="A15120" s="22" t="str">
        <f>HYPERLINK("https://app.vivvix.com/360/KMI/IntelliDrive/ApplUI/Pages/CreativePages/CustomReportCreativeDetail.aspx?App=23&amp;ReportView=4&amp;Qid=1711279&amp;Row=15112&amp;Col=1","No Title Assigned - #15274669964")</f>
        <v/>
      </c>
      <c r="B15120" s="0" t="s">
        <v>20074</v>
      </c>
      <c r="E15120" s="0" t="inlineStr">
        <is>
          <t xml:space="preserve">Mazda</t>
        </is>
      </c>
      <c r="F15120" s="0" t="inlineStr">
        <is>
          <t xml:space="preserve">Mazda</t>
        </is>
      </c>
      <c r="G15120" s="0" t="s">
        <v>171</v>
      </c>
      <c r="H15120" s="5">
        <v>337.102300</v>
      </c>
    </row>
    <row r="15121" spans="1:9">
      <c r="A15121" s="22" t="str">
        <f>HYPERLINK("https://app.vivvix.com/360/KMI/IntelliDrive/ApplUI/Pages/CreativePages/CustomReportCreativeDetail.aspx?App=23&amp;ReportView=4&amp;Qid=1711279&amp;Row=15113&amp;Col=1","No Title Assigned - #15274670618")</f>
        <v/>
      </c>
      <c r="B15121" s="0" t="s">
        <v>20075</v>
      </c>
      <c r="E15121" s="0" t="inlineStr">
        <is>
          <t xml:space="preserve">Mazda</t>
        </is>
      </c>
      <c r="F15121" s="0" t="inlineStr">
        <is>
          <t xml:space="preserve">Mazda</t>
        </is>
      </c>
      <c r="G15121" s="0" t="s">
        <v>171</v>
      </c>
      <c r="H15121" s="5">
        <v>2308.212400</v>
      </c>
    </row>
    <row r="15122" spans="1:9">
      <c r="A15122" s="22" t="str">
        <f>HYPERLINK("https://app.vivvix.com/360/KMI/IntelliDrive/ApplUI/Pages/CreativePages/CustomReportCreativeDetail.aspx?App=23&amp;ReportView=4&amp;Qid=1711279&amp;Row=15114&amp;Col=1","No Title Assigned - #15274670886")</f>
        <v/>
      </c>
      <c r="B15122" s="0" t="s">
        <v>20076</v>
      </c>
      <c r="E15122" s="0" t="inlineStr">
        <is>
          <t xml:space="preserve">Mazda</t>
        </is>
      </c>
      <c r="F15122" s="0" t="inlineStr">
        <is>
          <t xml:space="preserve">Mazda</t>
        </is>
      </c>
      <c r="G15122" s="0" t="s">
        <v>171</v>
      </c>
      <c r="H15122" s="5">
        <v>81.864200</v>
      </c>
    </row>
    <row r="15123" spans="1:9">
      <c r="A15123" s="22" t="str">
        <f>HYPERLINK("https://app.vivvix.com/360/KMI/IntelliDrive/ApplUI/Pages/CreativePages/CustomReportCreativeDetail.aspx?App=23&amp;ReportView=4&amp;Qid=1711279&amp;Row=15115&amp;Col=1","No Title Assigned - #15274671183")</f>
        <v/>
      </c>
      <c r="B15123" s="0" t="s">
        <v>20077</v>
      </c>
      <c r="E15123" s="0" t="inlineStr">
        <is>
          <t xml:space="preserve">Mazda</t>
        </is>
      </c>
      <c r="F15123" s="0" t="inlineStr">
        <is>
          <t xml:space="preserve">Mazda</t>
        </is>
      </c>
      <c r="G15123" s="0" t="s">
        <v>171</v>
      </c>
      <c r="H15123" s="5">
        <v>1424.412400</v>
      </c>
    </row>
    <row r="15124" spans="1:9">
      <c r="A15124" s="22" t="str">
        <f>HYPERLINK("https://app.vivvix.com/360/KMI/IntelliDrive/ApplUI/Pages/CreativePages/CustomReportCreativeDetail.aspx?App=23&amp;ReportView=4&amp;Qid=1711279&amp;Row=15116&amp;Col=1","No Title Assigned - #15274671184")</f>
        <v/>
      </c>
      <c r="B15124" s="0" t="s">
        <v>20078</v>
      </c>
      <c r="E15124" s="0" t="inlineStr">
        <is>
          <t xml:space="preserve">Mazda</t>
        </is>
      </c>
      <c r="F15124" s="0" t="inlineStr">
        <is>
          <t xml:space="preserve">Mazda</t>
        </is>
      </c>
      <c r="G15124" s="0" t="s">
        <v>171</v>
      </c>
      <c r="H15124" s="5">
        <v>452.353700</v>
      </c>
    </row>
    <row r="15125" spans="1:9">
      <c r="A15125" s="22" t="str">
        <f>HYPERLINK("https://app.vivvix.com/360/KMI/IntelliDrive/ApplUI/Pages/CreativePages/CustomReportCreativeDetail.aspx?App=23&amp;ReportView=4&amp;Qid=1711279&amp;Row=15117&amp;Col=1","No Title Assigned - #15274671616")</f>
        <v/>
      </c>
      <c r="B15125" s="0" t="s">
        <v>20079</v>
      </c>
      <c r="E15125" s="0" t="inlineStr">
        <is>
          <t xml:space="preserve">Mazda</t>
        </is>
      </c>
      <c r="F15125" s="0" t="inlineStr">
        <is>
          <t xml:space="preserve">Mazda</t>
        </is>
      </c>
      <c r="G15125" s="0" t="s">
        <v>171</v>
      </c>
      <c r="H15125" s="5">
        <v>1.787400</v>
      </c>
    </row>
    <row r="15126" spans="1:9">
      <c r="A15126" s="22" t="str">
        <f>HYPERLINK("https://app.vivvix.com/360/KMI/IntelliDrive/ApplUI/Pages/CreativePages/CustomReportCreativeDetail.aspx?App=23&amp;ReportView=4&amp;Qid=1711279&amp;Row=15118&amp;Col=1","No Title Assigned - #15274673003")</f>
        <v/>
      </c>
      <c r="B15126" s="0" t="s">
        <v>20080</v>
      </c>
      <c r="E15126" s="0" t="inlineStr">
        <is>
          <t xml:space="preserve">Mazda</t>
        </is>
      </c>
      <c r="F15126" s="0" t="inlineStr">
        <is>
          <t xml:space="preserve">Mazda</t>
        </is>
      </c>
      <c r="G15126" s="0" t="s">
        <v>171</v>
      </c>
      <c r="H15126" s="5">
        <v>32.601300</v>
      </c>
    </row>
    <row r="15127" spans="1:9">
      <c r="A15127" s="22" t="str">
        <f>HYPERLINK("https://app.vivvix.com/360/KMI/IntelliDrive/ApplUI/Pages/CreativePages/CustomReportCreativeDetail.aspx?App=23&amp;ReportView=4&amp;Qid=1711279&amp;Row=15119&amp;Col=1","No Title Assigned - #15274673469")</f>
        <v/>
      </c>
      <c r="B15127" s="0" t="s">
        <v>20081</v>
      </c>
      <c r="C15127" s="0" t="s">
        <v>20082</v>
      </c>
      <c r="D15127" s="0" t="s">
        <v>20082</v>
      </c>
      <c r="E15127" s="0" t="inlineStr">
        <is>
          <t xml:space="preserve">Mazda</t>
        </is>
      </c>
      <c r="F15127" s="0" t="inlineStr">
        <is>
          <t xml:space="preserve">Mazda</t>
        </is>
      </c>
      <c r="G15127" s="0" t="s">
        <v>171</v>
      </c>
      <c r="H15127" s="5">
        <v>29.602300</v>
      </c>
    </row>
    <row r="15128" spans="1:9">
      <c r="A15128" s="22" t="str">
        <f>HYPERLINK("https://app.vivvix.com/360/KMI/IntelliDrive/ApplUI/Pages/CreativePages/CustomReportCreativeDetail.aspx?App=23&amp;ReportView=4&amp;Qid=1711279&amp;Row=15120&amp;Col=1","No Title Assigned - #15274673469")</f>
        <v/>
      </c>
      <c r="B15128" s="0" t="s">
        <v>20081</v>
      </c>
      <c r="E15128" s="0" t="inlineStr">
        <is>
          <t xml:space="preserve">Mazda</t>
        </is>
      </c>
      <c r="F15128" s="0" t="inlineStr">
        <is>
          <t xml:space="preserve">Mazda</t>
        </is>
      </c>
      <c r="G15128" s="0" t="s">
        <v>171</v>
      </c>
      <c r="H15128" s="5">
        <v>16.780700</v>
      </c>
    </row>
    <row r="15129" spans="1:9">
      <c r="A15129" s="22" t="str">
        <f>HYPERLINK("https://app.vivvix.com/360/KMI/IntelliDrive/ApplUI/Pages/CreativePages/CustomReportCreativeDetail.aspx?App=23&amp;ReportView=4&amp;Qid=1711279&amp;Row=15121&amp;Col=1","No Title Assigned - #15274675838")</f>
        <v/>
      </c>
      <c r="B15129" s="0" t="s">
        <v>20083</v>
      </c>
      <c r="E15129" s="0" t="inlineStr">
        <is>
          <t xml:space="preserve">Mazda</t>
        </is>
      </c>
      <c r="F15129" s="0" t="inlineStr">
        <is>
          <t xml:space="preserve">Mazda</t>
        </is>
      </c>
      <c r="G15129" s="0" t="s">
        <v>171</v>
      </c>
      <c r="H15129" s="5">
        <v>19276.069500</v>
      </c>
    </row>
    <row r="15130" spans="1:9">
      <c r="A15130" s="22" t="str">
        <f>HYPERLINK("https://app.vivvix.com/360/KMI/IntelliDrive/ApplUI/Pages/CreativePages/CustomReportCreativeDetail.aspx?App=23&amp;ReportView=4&amp;Qid=1711279&amp;Row=15122&amp;Col=1","No Title Assigned - #15274676017")</f>
        <v/>
      </c>
      <c r="B15130" s="0" t="s">
        <v>20084</v>
      </c>
      <c r="E15130" s="0" t="inlineStr">
        <is>
          <t xml:space="preserve">Mazda</t>
        </is>
      </c>
      <c r="F15130" s="0" t="inlineStr">
        <is>
          <t xml:space="preserve">Mazda</t>
        </is>
      </c>
      <c r="G15130" s="0" t="s">
        <v>171</v>
      </c>
      <c r="H15130" s="5">
        <v>316.412800</v>
      </c>
    </row>
    <row r="15131" spans="1:9">
      <c r="A15131" s="22" t="str">
        <f>HYPERLINK("https://app.vivvix.com/360/KMI/IntelliDrive/ApplUI/Pages/CreativePages/CustomReportCreativeDetail.aspx?App=23&amp;ReportView=4&amp;Qid=1711279&amp;Row=15123&amp;Col=1","No Title Assigned - #15274680334")</f>
        <v/>
      </c>
      <c r="B15131" s="0" t="s">
        <v>20085</v>
      </c>
      <c r="E15131" s="0" t="inlineStr">
        <is>
          <t xml:space="preserve">Mazda</t>
        </is>
      </c>
      <c r="F15131" s="0" t="inlineStr">
        <is>
          <t xml:space="preserve">Mazda</t>
        </is>
      </c>
      <c r="G15131" s="0" t="s">
        <v>171</v>
      </c>
      <c r="H15131" s="5">
        <v>17.767600</v>
      </c>
    </row>
    <row r="15132" spans="1:9">
      <c r="A15132" s="22" t="str">
        <f>HYPERLINK("https://app.vivvix.com/360/KMI/IntelliDrive/ApplUI/Pages/CreativePages/CustomReportCreativeDetail.aspx?App=23&amp;ReportView=4&amp;Qid=1711279&amp;Row=15124&amp;Col=1","No Title Assigned - #15274685886")</f>
        <v/>
      </c>
      <c r="B15132" s="0" t="s">
        <v>20086</v>
      </c>
      <c r="E15132" s="0" t="inlineStr">
        <is>
          <t xml:space="preserve">Mazda</t>
        </is>
      </c>
      <c r="F15132" s="0" t="inlineStr">
        <is>
          <t xml:space="preserve">Mazda</t>
        </is>
      </c>
      <c r="G15132" s="0" t="s">
        <v>171</v>
      </c>
      <c r="H15132" s="5">
        <v>71.407800</v>
      </c>
    </row>
    <row r="15133" spans="1:9">
      <c r="A15133" s="22" t="str">
        <f>HYPERLINK("https://app.vivvix.com/360/KMI/IntelliDrive/ApplUI/Pages/CreativePages/CustomReportCreativeDetail.aspx?App=23&amp;ReportView=4&amp;Qid=1711279&amp;Row=15125&amp;Col=1","No Title Assigned - #15274706506")</f>
        <v/>
      </c>
      <c r="B15133" s="0" t="s">
        <v>20087</v>
      </c>
      <c r="C15133" s="0" t="s">
        <v>20088</v>
      </c>
      <c r="D15133" s="0" t="s">
        <v>20089</v>
      </c>
      <c r="E15133" s="0" t="inlineStr">
        <is>
          <t xml:space="preserve">Mazda</t>
        </is>
      </c>
      <c r="F15133" s="0" t="s">
        <v>13</v>
      </c>
      <c r="G15133" s="0" t="s">
        <v>49</v>
      </c>
      <c r="H15133" s="5">
        <v>1240.101600</v>
      </c>
    </row>
    <row r="15134" spans="1:9">
      <c r="A15134" s="22" t="str">
        <f>HYPERLINK("https://app.vivvix.com/360/KMI/IntelliDrive/ApplUI/Pages/CreativePages/CustomReportCreativeDetail.aspx?App=23&amp;ReportView=4&amp;Qid=1711279&amp;Row=15126&amp;Col=1","No Title Assigned - #15274707927")</f>
        <v/>
      </c>
      <c r="B15134" s="0" t="s">
        <v>20090</v>
      </c>
      <c r="E15134" s="0" t="inlineStr">
        <is>
          <t xml:space="preserve">Mazda</t>
        </is>
      </c>
      <c r="F15134" s="0" t="inlineStr">
        <is>
          <t xml:space="preserve">Mazda</t>
        </is>
      </c>
      <c r="G15134" s="0" t="s">
        <v>171</v>
      </c>
      <c r="H15134" s="5">
        <v>1508.701800</v>
      </c>
    </row>
    <row r="15135" spans="1:9">
      <c r="A15135" s="22" t="str">
        <f>HYPERLINK("https://app.vivvix.com/360/KMI/IntelliDrive/ApplUI/Pages/CreativePages/CustomReportCreativeDetail.aspx?App=23&amp;ReportView=4&amp;Qid=1711279&amp;Row=15127&amp;Col=1","No Title Assigned - #15274707927")</f>
        <v/>
      </c>
      <c r="B15135" s="0" t="s">
        <v>20090</v>
      </c>
      <c r="E15135" s="0" t="inlineStr">
        <is>
          <t xml:space="preserve">Mazda</t>
        </is>
      </c>
      <c r="F15135" s="0" t="inlineStr">
        <is>
          <t xml:space="preserve">Mazda</t>
        </is>
      </c>
      <c r="G15135" s="0" t="s">
        <v>171</v>
      </c>
      <c r="H15135" s="5">
        <v>25032.253100</v>
      </c>
    </row>
    <row r="15136" spans="1:9">
      <c r="A15136" s="22" t="str">
        <f>HYPERLINK("https://app.vivvix.com/360/KMI/IntelliDrive/ApplUI/Pages/CreativePages/CustomReportCreativeDetail.aspx?App=23&amp;ReportView=4&amp;Qid=1711279&amp;Row=15128&amp;Col=1","No Title Assigned - #15274708047")</f>
        <v/>
      </c>
      <c r="B15136" s="0" t="s">
        <v>20091</v>
      </c>
      <c r="E15136" s="0" t="inlineStr">
        <is>
          <t xml:space="preserve">Mazda</t>
        </is>
      </c>
      <c r="F15136" s="0" t="inlineStr">
        <is>
          <t xml:space="preserve">Mazda</t>
        </is>
      </c>
      <c r="G15136" s="0" t="s">
        <v>171</v>
      </c>
      <c r="H15136" s="5">
        <v>229.156600</v>
      </c>
    </row>
    <row r="15137" spans="1:9">
      <c r="A15137" s="22" t="str">
        <f>HYPERLINK("https://app.vivvix.com/360/KMI/IntelliDrive/ApplUI/Pages/CreativePages/CustomReportCreativeDetail.aspx?App=23&amp;ReportView=4&amp;Qid=1711279&amp;Row=15129&amp;Col=1","No Title Assigned - #15274709713")</f>
        <v/>
      </c>
      <c r="B15137" s="0" t="s">
        <v>20092</v>
      </c>
      <c r="E15137" s="0" t="inlineStr">
        <is>
          <t xml:space="preserve">Mazda</t>
        </is>
      </c>
      <c r="F15137" s="0" t="inlineStr">
        <is>
          <t xml:space="preserve">Mazda</t>
        </is>
      </c>
      <c r="G15137" s="0" t="s">
        <v>171</v>
      </c>
      <c r="H15137" s="5">
        <v>32224.411800</v>
      </c>
    </row>
    <row r="15138" spans="1:9">
      <c r="A15138" s="22" t="str">
        <f>HYPERLINK("https://app.vivvix.com/360/KMI/IntelliDrive/ApplUI/Pages/CreativePages/CustomReportCreativeDetail.aspx?App=23&amp;ReportView=4&amp;Qid=1711279&amp;Row=15130&amp;Col=1","No Title Assigned - #15274710216")</f>
        <v/>
      </c>
      <c r="B15138" s="0" t="s">
        <v>20093</v>
      </c>
      <c r="E15138" s="0" t="inlineStr">
        <is>
          <t xml:space="preserve">Mazda</t>
        </is>
      </c>
      <c r="F15138" s="0" t="inlineStr">
        <is>
          <t xml:space="preserve">Mazda</t>
        </is>
      </c>
      <c r="G15138" s="0" t="s">
        <v>171</v>
      </c>
      <c r="H15138" s="5">
        <v>1006.985700</v>
      </c>
    </row>
    <row r="15139" spans="1:9">
      <c r="A15139" s="22" t="str">
        <f>HYPERLINK("https://app.vivvix.com/360/KMI/IntelliDrive/ApplUI/Pages/CreativePages/CustomReportCreativeDetail.aspx?App=23&amp;ReportView=4&amp;Qid=1711279&amp;Row=15131&amp;Col=1","No Title Assigned - #15274710490")</f>
        <v/>
      </c>
      <c r="B15139" s="0" t="s">
        <v>20094</v>
      </c>
      <c r="E15139" s="0" t="inlineStr">
        <is>
          <t xml:space="preserve">Mazda</t>
        </is>
      </c>
      <c r="F15139" s="0" t="inlineStr">
        <is>
          <t xml:space="preserve">Mazda</t>
        </is>
      </c>
      <c r="G15139" s="0" t="s">
        <v>171</v>
      </c>
      <c r="H15139" s="5">
        <v>137.400400</v>
      </c>
    </row>
    <row r="15140" spans="1:9">
      <c r="A15140" s="22" t="str">
        <f>HYPERLINK("https://app.vivvix.com/360/KMI/IntelliDrive/ApplUI/Pages/CreativePages/CustomReportCreativeDetail.aspx?App=23&amp;ReportView=4&amp;Qid=1711279&amp;Row=15132&amp;Col=1","No Title Assigned - #15274710852")</f>
        <v/>
      </c>
      <c r="B15140" s="0" t="s">
        <v>20095</v>
      </c>
      <c r="E15140" s="0" t="inlineStr">
        <is>
          <t xml:space="preserve">Mazda</t>
        </is>
      </c>
      <c r="F15140" s="0" t="inlineStr">
        <is>
          <t xml:space="preserve">Mazda</t>
        </is>
      </c>
      <c r="G15140" s="0" t="s">
        <v>171</v>
      </c>
      <c r="H15140" s="5">
        <v>98.872300</v>
      </c>
    </row>
    <row r="15141" spans="1:9">
      <c r="A15141" s="22" t="str">
        <f>HYPERLINK("https://app.vivvix.com/360/KMI/IntelliDrive/ApplUI/Pages/CreativePages/CustomReportCreativeDetail.aspx?App=23&amp;ReportView=4&amp;Qid=1711279&amp;Row=15133&amp;Col=1","No Title Assigned - #15274711541")</f>
        <v/>
      </c>
      <c r="B15141" s="0" t="s">
        <v>20096</v>
      </c>
      <c r="C15141" s="0" t="s">
        <v>20097</v>
      </c>
      <c r="D15141" s="0" t="s">
        <v>20097</v>
      </c>
      <c r="E15141" s="0" t="inlineStr">
        <is>
          <t xml:space="preserve">Mazda</t>
        </is>
      </c>
      <c r="F15141" s="0" t="s">
        <v>28</v>
      </c>
      <c r="G15141" s="0" t="s">
        <v>29</v>
      </c>
      <c r="H15141" s="5">
        <v>2316.474900</v>
      </c>
    </row>
    <row r="15142" spans="1:9">
      <c r="A15142" s="22" t="str">
        <f>HYPERLINK("https://app.vivvix.com/360/KMI/IntelliDrive/ApplUI/Pages/CreativePages/CustomReportCreativeDetail.aspx?App=23&amp;ReportView=4&amp;Qid=1711279&amp;Row=15134&amp;Col=1","No Title Assigned - #15274711775")</f>
        <v/>
      </c>
      <c r="B15142" s="0" t="s">
        <v>20098</v>
      </c>
      <c r="C15142" s="0" t="s">
        <v>20099</v>
      </c>
      <c r="D15142" s="0" t="s">
        <v>20099</v>
      </c>
      <c r="E15142" s="0" t="inlineStr">
        <is>
          <t xml:space="preserve">Mazda</t>
        </is>
      </c>
      <c r="F15142" s="0" t="inlineStr">
        <is>
          <t xml:space="preserve">Mazda</t>
        </is>
      </c>
      <c r="G15142" s="0" t="s">
        <v>210</v>
      </c>
      <c r="H15142" s="5">
        <v>7445.316300</v>
      </c>
    </row>
    <row r="15143" spans="1:9">
      <c r="A15143" s="22" t="str">
        <f>HYPERLINK("https://app.vivvix.com/360/KMI/IntelliDrive/ApplUI/Pages/CreativePages/CustomReportCreativeDetail.aspx?App=23&amp;ReportView=4&amp;Qid=1711279&amp;Row=15135&amp;Col=1","No Title Assigned - #15274711810")</f>
        <v/>
      </c>
      <c r="B15143" s="0" t="s">
        <v>20100</v>
      </c>
      <c r="C15143" s="0" t="s">
        <v>20101</v>
      </c>
      <c r="D15143" s="0" t="s">
        <v>20101</v>
      </c>
      <c r="E15143" s="0" t="inlineStr">
        <is>
          <t xml:space="preserve">Mazda</t>
        </is>
      </c>
      <c r="F15143" s="0" t="s">
        <v>13</v>
      </c>
      <c r="G15143" s="0" t="s">
        <v>49</v>
      </c>
      <c r="H15143" s="5">
        <v>1969.301200</v>
      </c>
    </row>
    <row r="15144" spans="1:9">
      <c r="A15144" s="22" t="str">
        <f>HYPERLINK("https://app.vivvix.com/360/KMI/IntelliDrive/ApplUI/Pages/CreativePages/CustomReportCreativeDetail.aspx?App=23&amp;ReportView=4&amp;Qid=1711279&amp;Row=15136&amp;Col=1","No Title Assigned - #15274713683")</f>
        <v/>
      </c>
      <c r="B15144" s="0" t="s">
        <v>20102</v>
      </c>
      <c r="C15144" s="0" t="s">
        <v>20103</v>
      </c>
      <c r="D15144" s="0" t="s">
        <v>20103</v>
      </c>
      <c r="E15144" s="0" t="inlineStr">
        <is>
          <t xml:space="preserve">Mazda</t>
        </is>
      </c>
      <c r="F15144" s="0" t="s">
        <v>13</v>
      </c>
      <c r="G15144" s="0" t="s">
        <v>49</v>
      </c>
      <c r="H15144" s="5">
        <v>651.014000</v>
      </c>
    </row>
    <row r="15145" spans="1:9">
      <c r="A15145" s="22" t="str">
        <f>HYPERLINK("https://app.vivvix.com/360/KMI/IntelliDrive/ApplUI/Pages/CreativePages/CustomReportCreativeDetail.aspx?App=23&amp;ReportView=4&amp;Qid=1711279&amp;Row=15137&amp;Col=1","No Title Assigned - #15274714763")</f>
        <v/>
      </c>
      <c r="B15145" s="0" t="s">
        <v>20104</v>
      </c>
      <c r="C15145" s="0" t="s">
        <v>20105</v>
      </c>
      <c r="D15145" s="0" t="s">
        <v>12367</v>
      </c>
      <c r="E15145" s="0" t="inlineStr">
        <is>
          <t xml:space="preserve">Mazda</t>
        </is>
      </c>
      <c r="F15145" s="0" t="s">
        <v>13</v>
      </c>
      <c r="G15145" s="0" t="s">
        <v>49</v>
      </c>
      <c r="H15145" s="5">
        <v>93.572300</v>
      </c>
    </row>
    <row r="15146" spans="1:9">
      <c r="A15146" s="22" t="str">
        <f>HYPERLINK("https://app.vivvix.com/360/KMI/IntelliDrive/ApplUI/Pages/CreativePages/CustomReportCreativeDetail.aspx?App=23&amp;ReportView=4&amp;Qid=1711279&amp;Row=15138&amp;Col=1","No Title Assigned - #15274717918")</f>
        <v/>
      </c>
      <c r="B15146" s="0" t="s">
        <v>20106</v>
      </c>
      <c r="C15146" s="0" t="s">
        <v>20107</v>
      </c>
      <c r="D15146" s="0" t="s">
        <v>20107</v>
      </c>
      <c r="E15146" s="0" t="inlineStr">
        <is>
          <t xml:space="preserve">Mazda</t>
        </is>
      </c>
      <c r="F15146" s="0" t="s">
        <v>13</v>
      </c>
      <c r="G15146" s="0" t="s">
        <v>49</v>
      </c>
      <c r="H15146" s="5">
        <v>180.526400</v>
      </c>
    </row>
    <row r="15147" spans="1:9">
      <c r="A15147" s="22" t="str">
        <f>HYPERLINK("https://app.vivvix.com/360/KMI/IntelliDrive/ApplUI/Pages/CreativePages/CustomReportCreativeDetail.aspx?App=23&amp;ReportView=4&amp;Qid=1711279&amp;Row=15139&amp;Col=1","No Title Assigned - #15274717919")</f>
        <v/>
      </c>
      <c r="B15147" s="0" t="s">
        <v>20108</v>
      </c>
      <c r="E15147" s="0" t="inlineStr">
        <is>
          <t xml:space="preserve">Mazda</t>
        </is>
      </c>
      <c r="F15147" s="0" t="s">
        <v>13</v>
      </c>
      <c r="G15147" s="0" t="s">
        <v>49</v>
      </c>
      <c r="H15147" s="5">
        <v>1184.852500</v>
      </c>
    </row>
    <row r="15148" spans="1:9">
      <c r="A15148" s="22" t="str">
        <f>HYPERLINK("https://app.vivvix.com/360/KMI/IntelliDrive/ApplUI/Pages/CreativePages/CustomReportCreativeDetail.aspx?App=23&amp;ReportView=4&amp;Qid=1711279&amp;Row=15140&amp;Col=1","No Title Assigned - #15274717919")</f>
        <v/>
      </c>
      <c r="B15148" s="0" t="s">
        <v>20108</v>
      </c>
      <c r="C15148" s="0" t="s">
        <v>20109</v>
      </c>
      <c r="D15148" s="0" t="s">
        <v>10455</v>
      </c>
      <c r="E15148" s="0" t="inlineStr">
        <is>
          <t xml:space="preserve">Mazda</t>
        </is>
      </c>
      <c r="F15148" s="0" t="s">
        <v>13</v>
      </c>
      <c r="G15148" s="0" t="s">
        <v>49</v>
      </c>
      <c r="H15148" s="5">
        <v>541.579200</v>
      </c>
    </row>
    <row r="15149" spans="1:9">
      <c r="A15149" s="22" t="str">
        <f>HYPERLINK("https://app.vivvix.com/360/KMI/IntelliDrive/ApplUI/Pages/CreativePages/CustomReportCreativeDetail.aspx?App=23&amp;ReportView=4&amp;Qid=1711279&amp;Row=15141&amp;Col=1","No Title Assigned - #15274718257")</f>
        <v/>
      </c>
      <c r="B15149" s="0" t="s">
        <v>20110</v>
      </c>
      <c r="C15149" s="0" t="s">
        <v>20111</v>
      </c>
      <c r="D15149" s="0" t="s">
        <v>12367</v>
      </c>
      <c r="E15149" s="0" t="inlineStr">
        <is>
          <t xml:space="preserve">Mazda</t>
        </is>
      </c>
      <c r="F15149" s="0" t="s">
        <v>13</v>
      </c>
      <c r="G15149" s="0" t="s">
        <v>49</v>
      </c>
      <c r="H15149" s="5">
        <v>6313.379900</v>
      </c>
    </row>
    <row r="15150" spans="1:9">
      <c r="A15150" s="22" t="str">
        <f>HYPERLINK("https://app.vivvix.com/360/KMI/IntelliDrive/ApplUI/Pages/CreativePages/CustomReportCreativeDetail.aspx?App=23&amp;ReportView=4&amp;Qid=1711279&amp;Row=15142&amp;Col=1","No Title Assigned - #15274718257")</f>
        <v/>
      </c>
      <c r="B15150" s="0" t="s">
        <v>20110</v>
      </c>
      <c r="E15150" s="0" t="inlineStr">
        <is>
          <t xml:space="preserve">Mazda</t>
        </is>
      </c>
      <c r="F15150" s="0" t="s">
        <v>13</v>
      </c>
      <c r="G15150" s="0" t="s">
        <v>49</v>
      </c>
      <c r="H15150" s="5">
        <v>95261.343800</v>
      </c>
    </row>
    <row r="15151" spans="1:9">
      <c r="A15151" s="22" t="str">
        <f>HYPERLINK("https://app.vivvix.com/360/KMI/IntelliDrive/ApplUI/Pages/CreativePages/CustomReportCreativeDetail.aspx?App=23&amp;ReportView=4&amp;Qid=1711279&amp;Row=15143&amp;Col=1","No Title Assigned - #15274720293")</f>
        <v/>
      </c>
      <c r="B15151" s="0" t="s">
        <v>20112</v>
      </c>
      <c r="C15151" s="0" t="s">
        <v>20113</v>
      </c>
      <c r="D15151" s="0" t="s">
        <v>20113</v>
      </c>
      <c r="E15151" s="0" t="inlineStr">
        <is>
          <t xml:space="preserve">Mazda</t>
        </is>
      </c>
      <c r="F15151" s="0" t="inlineStr">
        <is>
          <t xml:space="preserve">Mazda</t>
        </is>
      </c>
      <c r="G15151" s="0" t="s">
        <v>210</v>
      </c>
      <c r="H15151" s="5">
        <v>479.377500</v>
      </c>
    </row>
    <row r="15152" spans="1:9">
      <c r="A15152" s="22" t="str">
        <f>HYPERLINK("https://app.vivvix.com/360/KMI/IntelliDrive/ApplUI/Pages/CreativePages/CustomReportCreativeDetail.aspx?App=23&amp;ReportView=4&amp;Qid=1711279&amp;Row=15144&amp;Col=1","No Title Assigned - #15274721391")</f>
        <v/>
      </c>
      <c r="B15152" s="0" t="s">
        <v>20114</v>
      </c>
      <c r="C15152" s="0" t="s">
        <v>20089</v>
      </c>
      <c r="D15152" s="0" t="s">
        <v>20089</v>
      </c>
      <c r="E15152" s="0" t="inlineStr">
        <is>
          <t xml:space="preserve">Mazda</t>
        </is>
      </c>
      <c r="F15152" s="0" t="s">
        <v>13</v>
      </c>
      <c r="G15152" s="0" t="s">
        <v>49</v>
      </c>
      <c r="H15152" s="5">
        <v>1492.315100</v>
      </c>
    </row>
    <row r="15153" spans="1:9">
      <c r="A15153" s="22" t="str">
        <f>HYPERLINK("https://app.vivvix.com/360/KMI/IntelliDrive/ApplUI/Pages/CreativePages/CustomReportCreativeDetail.aspx?App=23&amp;ReportView=4&amp;Qid=1711279&amp;Row=15145&amp;Col=1","No Title Assigned - #15274723391")</f>
        <v/>
      </c>
      <c r="B15153" s="0" t="s">
        <v>20115</v>
      </c>
      <c r="C15153" s="0" t="s">
        <v>20116</v>
      </c>
      <c r="D15153" s="0" t="s">
        <v>20089</v>
      </c>
      <c r="E15153" s="0" t="inlineStr">
        <is>
          <t xml:space="preserve">Mazda</t>
        </is>
      </c>
      <c r="F15153" s="0" t="s">
        <v>13</v>
      </c>
      <c r="G15153" s="0" t="s">
        <v>49</v>
      </c>
      <c r="H15153" s="5">
        <v>11.629800</v>
      </c>
    </row>
    <row r="15154" spans="1:9">
      <c r="A15154" s="22" t="str">
        <f>HYPERLINK("https://app.vivvix.com/360/KMI/IntelliDrive/ApplUI/Pages/CreativePages/CustomReportCreativeDetail.aspx?App=23&amp;ReportView=4&amp;Qid=1711279&amp;Row=15146&amp;Col=1","No Title Assigned - #15274724043")</f>
        <v/>
      </c>
      <c r="B15154" s="0" t="s">
        <v>20117</v>
      </c>
      <c r="C15154" s="0" t="s">
        <v>20118</v>
      </c>
      <c r="D15154" s="0" t="s">
        <v>20118</v>
      </c>
      <c r="E15154" s="0" t="inlineStr">
        <is>
          <t xml:space="preserve">Mazda</t>
        </is>
      </c>
      <c r="F15154" s="0" t="s">
        <v>13</v>
      </c>
      <c r="G15154" s="0" t="s">
        <v>49</v>
      </c>
      <c r="H15154" s="5">
        <v>124.111100</v>
      </c>
    </row>
    <row r="15155" spans="1:9">
      <c r="A15155" s="22" t="str">
        <f>HYPERLINK("https://app.vivvix.com/360/KMI/IntelliDrive/ApplUI/Pages/CreativePages/CustomReportCreativeDetail.aspx?App=23&amp;ReportView=4&amp;Qid=1711279&amp;Row=15147&amp;Col=1","No Title Assigned - #15274724307")</f>
        <v/>
      </c>
      <c r="B15155" s="0" t="s">
        <v>20119</v>
      </c>
      <c r="C15155" s="0" t="s">
        <v>20120</v>
      </c>
      <c r="D15155" s="0" t="s">
        <v>8558</v>
      </c>
      <c r="E15155" s="0" t="inlineStr">
        <is>
          <t xml:space="preserve">Mazda</t>
        </is>
      </c>
      <c r="F15155" s="0" t="s">
        <v>13</v>
      </c>
      <c r="G15155" s="0" t="s">
        <v>49</v>
      </c>
      <c r="H15155" s="5">
        <v>230.312700</v>
      </c>
    </row>
    <row r="15156" spans="1:9">
      <c r="A15156" s="22" t="str">
        <f>HYPERLINK("https://app.vivvix.com/360/KMI/IntelliDrive/ApplUI/Pages/CreativePages/CustomReportCreativeDetail.aspx?App=23&amp;ReportView=4&amp;Qid=1711279&amp;Row=15148&amp;Col=1","No Title Assigned - #15274724346")</f>
        <v/>
      </c>
      <c r="B15156" s="0" t="s">
        <v>20121</v>
      </c>
      <c r="C15156" s="0" t="s">
        <v>20122</v>
      </c>
      <c r="D15156" s="0" t="s">
        <v>20122</v>
      </c>
      <c r="E15156" s="0" t="inlineStr">
        <is>
          <t xml:space="preserve">Mazda</t>
        </is>
      </c>
      <c r="F15156" s="0" t="s">
        <v>13</v>
      </c>
      <c r="G15156" s="0" t="s">
        <v>49</v>
      </c>
      <c r="H15156" s="5">
        <v>18.823400</v>
      </c>
    </row>
    <row r="15157" spans="1:9">
      <c r="A15157" s="22" t="str">
        <f>HYPERLINK("https://app.vivvix.com/360/KMI/IntelliDrive/ApplUI/Pages/CreativePages/CustomReportCreativeDetail.aspx?App=23&amp;ReportView=4&amp;Qid=1711279&amp;Row=15149&amp;Col=1","No Title Assigned - #15274725357")</f>
        <v/>
      </c>
      <c r="B15157" s="0" t="s">
        <v>20123</v>
      </c>
      <c r="C15157" s="0" t="s">
        <v>20124</v>
      </c>
      <c r="D15157" s="0" t="s">
        <v>20124</v>
      </c>
      <c r="E15157" s="0" t="inlineStr">
        <is>
          <t xml:space="preserve">Mazda</t>
        </is>
      </c>
      <c r="F15157" s="0" t="s">
        <v>13</v>
      </c>
      <c r="G15157" s="0" t="s">
        <v>49</v>
      </c>
      <c r="H15157" s="5">
        <v>1489.696500</v>
      </c>
    </row>
    <row r="15158" spans="1:9">
      <c r="A15158" s="22" t="str">
        <f>HYPERLINK("https://app.vivvix.com/360/KMI/IntelliDrive/ApplUI/Pages/CreativePages/CustomReportCreativeDetail.aspx?App=23&amp;ReportView=4&amp;Qid=1711279&amp;Row=15150&amp;Col=1","No Title Assigned - #15274725928")</f>
        <v/>
      </c>
      <c r="B15158" s="0" t="s">
        <v>20125</v>
      </c>
      <c r="C15158" s="0" t="s">
        <v>20126</v>
      </c>
      <c r="D15158" s="0" t="s">
        <v>4239</v>
      </c>
      <c r="E15158" s="0" t="inlineStr">
        <is>
          <t xml:space="preserve">Mazda</t>
        </is>
      </c>
      <c r="F15158" s="0" t="s">
        <v>28</v>
      </c>
      <c r="G15158" s="0" t="s">
        <v>29</v>
      </c>
      <c r="H15158" s="5">
        <v>689.557100</v>
      </c>
    </row>
    <row r="15159" spans="1:9">
      <c r="A15159" s="22" t="str">
        <f>HYPERLINK("https://app.vivvix.com/360/KMI/IntelliDrive/ApplUI/Pages/CreativePages/CustomReportCreativeDetail.aspx?App=23&amp;ReportView=4&amp;Qid=1711279&amp;Row=15151&amp;Col=1","No Title Assigned - #15274726391")</f>
        <v/>
      </c>
      <c r="B15159" s="0" t="s">
        <v>20127</v>
      </c>
      <c r="C15159" s="0" t="s">
        <v>20128</v>
      </c>
      <c r="D15159" s="0" t="s">
        <v>20128</v>
      </c>
      <c r="E15159" s="0" t="inlineStr">
        <is>
          <t xml:space="preserve">Mazda</t>
        </is>
      </c>
      <c r="F15159" s="0" t="inlineStr">
        <is>
          <t xml:space="preserve">Mazda</t>
        </is>
      </c>
      <c r="G15159" s="0" t="s">
        <v>210</v>
      </c>
      <c r="H15159" s="5">
        <v>482.160600</v>
      </c>
    </row>
    <row r="15160" spans="1:9">
      <c r="A15160" s="22" t="str">
        <f>HYPERLINK("https://app.vivvix.com/360/KMI/IntelliDrive/ApplUI/Pages/CreativePages/CustomReportCreativeDetail.aspx?App=23&amp;ReportView=4&amp;Qid=1711279&amp;Row=15152&amp;Col=1","No Title Assigned - #15274726660")</f>
        <v/>
      </c>
      <c r="B15160" s="0" t="s">
        <v>20129</v>
      </c>
      <c r="E15160" s="0" t="inlineStr">
        <is>
          <t xml:space="preserve">Mazda</t>
        </is>
      </c>
      <c r="F15160" s="0" t="s">
        <v>13</v>
      </c>
      <c r="G15160" s="0" t="s">
        <v>49</v>
      </c>
      <c r="H15160" s="5">
        <v>279.087100</v>
      </c>
    </row>
    <row r="15161" spans="1:9">
      <c r="A15161" s="22" t="str">
        <f>HYPERLINK("https://app.vivvix.com/360/KMI/IntelliDrive/ApplUI/Pages/CreativePages/CustomReportCreativeDetail.aspx?App=23&amp;ReportView=4&amp;Qid=1711279&amp;Row=15153&amp;Col=1","No Title Assigned - #15274726660")</f>
        <v/>
      </c>
      <c r="B15161" s="0" t="s">
        <v>20129</v>
      </c>
      <c r="C15161" s="0" t="s">
        <v>20130</v>
      </c>
      <c r="D15161" s="0" t="s">
        <v>20130</v>
      </c>
      <c r="E15161" s="0" t="inlineStr">
        <is>
          <t xml:space="preserve">Mazda</t>
        </is>
      </c>
      <c r="F15161" s="0" t="s">
        <v>13</v>
      </c>
      <c r="G15161" s="0" t="s">
        <v>49</v>
      </c>
      <c r="H15161" s="5">
        <v>1084.758800</v>
      </c>
    </row>
    <row r="15162" spans="1:9">
      <c r="A15162" s="22" t="str">
        <f>HYPERLINK("https://app.vivvix.com/360/KMI/IntelliDrive/ApplUI/Pages/CreativePages/CustomReportCreativeDetail.aspx?App=23&amp;ReportView=4&amp;Qid=1711279&amp;Row=15154&amp;Col=1","No Title Assigned - #15274726696")</f>
        <v/>
      </c>
      <c r="B15162" s="0" t="s">
        <v>20131</v>
      </c>
      <c r="C15162" s="0" t="s">
        <v>20132</v>
      </c>
      <c r="D15162" s="0" t="s">
        <v>20132</v>
      </c>
      <c r="E15162" s="0" t="inlineStr">
        <is>
          <t xml:space="preserve">Mazda</t>
        </is>
      </c>
      <c r="F15162" s="0" t="s">
        <v>13</v>
      </c>
      <c r="G15162" s="0" t="s">
        <v>49</v>
      </c>
      <c r="H15162" s="5">
        <v>10.347600</v>
      </c>
    </row>
    <row r="15163" spans="1:9">
      <c r="A15163" s="22" t="str">
        <f>HYPERLINK("https://app.vivvix.com/360/KMI/IntelliDrive/ApplUI/Pages/CreativePages/CustomReportCreativeDetail.aspx?App=23&amp;ReportView=4&amp;Qid=1711279&amp;Row=15155&amp;Col=1","No Title Assigned - #15274726697")</f>
        <v/>
      </c>
      <c r="B15163" s="0" t="s">
        <v>20133</v>
      </c>
      <c r="C15163" s="0" t="s">
        <v>20134</v>
      </c>
      <c r="D15163" s="0" t="s">
        <v>11420</v>
      </c>
      <c r="E15163" s="0" t="inlineStr">
        <is>
          <t xml:space="preserve">Mazda</t>
        </is>
      </c>
      <c r="F15163" s="0" t="s">
        <v>13</v>
      </c>
      <c r="G15163" s="0" t="s">
        <v>49</v>
      </c>
      <c r="H15163" s="5">
        <v>5.173800</v>
      </c>
    </row>
    <row r="15164" spans="1:9">
      <c r="A15164" s="22" t="str">
        <f>HYPERLINK("https://app.vivvix.com/360/KMI/IntelliDrive/ApplUI/Pages/CreativePages/CustomReportCreativeDetail.aspx?App=23&amp;ReportView=4&amp;Qid=1711279&amp;Row=15156&amp;Col=1","No Title Assigned - #15274726782")</f>
        <v/>
      </c>
      <c r="B15164" s="0" t="s">
        <v>20135</v>
      </c>
      <c r="C15164" s="0" t="s">
        <v>20136</v>
      </c>
      <c r="D15164" s="0" t="s">
        <v>15405</v>
      </c>
      <c r="E15164" s="0" t="inlineStr">
        <is>
          <t xml:space="preserve">Mazda</t>
        </is>
      </c>
      <c r="F15164" s="0" t="inlineStr">
        <is>
          <t xml:space="preserve">Mazda</t>
        </is>
      </c>
      <c r="G15164" s="0" t="s">
        <v>210</v>
      </c>
      <c r="H15164" s="5">
        <v>475.415000</v>
      </c>
    </row>
    <row r="15165" spans="1:9">
      <c r="A15165" s="22" t="str">
        <f>HYPERLINK("https://app.vivvix.com/360/KMI/IntelliDrive/ApplUI/Pages/CreativePages/CustomReportCreativeDetail.aspx?App=23&amp;ReportView=4&amp;Qid=1711279&amp;Row=15157&amp;Col=1","No Title Assigned - #15274727865")</f>
        <v/>
      </c>
      <c r="B15165" s="0" t="s">
        <v>20137</v>
      </c>
      <c r="C15165" s="0" t="s">
        <v>20138</v>
      </c>
      <c r="D15165" s="0" t="s">
        <v>10008</v>
      </c>
      <c r="E15165" s="0" t="inlineStr">
        <is>
          <t xml:space="preserve">Mazda</t>
        </is>
      </c>
      <c r="F15165" s="0" t="s">
        <v>13</v>
      </c>
      <c r="G15165" s="0" t="s">
        <v>49</v>
      </c>
      <c r="H15165" s="5">
        <v>17.558500</v>
      </c>
    </row>
    <row r="15166" spans="1:9">
      <c r="A15166" s="22" t="str">
        <f>HYPERLINK("https://app.vivvix.com/360/KMI/IntelliDrive/ApplUI/Pages/CreativePages/CustomReportCreativeDetail.aspx?App=23&amp;ReportView=4&amp;Qid=1711279&amp;Row=15158&amp;Col=1","No Title Assigned - #15274728290")</f>
        <v/>
      </c>
      <c r="B15166" s="0" t="s">
        <v>20139</v>
      </c>
      <c r="C15166" s="0" t="s">
        <v>20140</v>
      </c>
      <c r="D15166" s="0" t="s">
        <v>10770</v>
      </c>
      <c r="E15166" s="0" t="inlineStr">
        <is>
          <t xml:space="preserve">Mazda</t>
        </is>
      </c>
      <c r="F15166" s="0" t="s">
        <v>13</v>
      </c>
      <c r="G15166" s="0" t="s">
        <v>49</v>
      </c>
      <c r="H15166" s="5">
        <v>476.802500</v>
      </c>
    </row>
    <row r="15167" spans="1:9">
      <c r="A15167" s="22" t="str">
        <f>HYPERLINK("https://app.vivvix.com/360/KMI/IntelliDrive/ApplUI/Pages/CreativePages/CustomReportCreativeDetail.aspx?App=23&amp;ReportView=4&amp;Qid=1711279&amp;Row=15159&amp;Col=1","No Title Assigned - #15274728976")</f>
        <v/>
      </c>
      <c r="B15167" s="0" t="s">
        <v>20141</v>
      </c>
      <c r="C15167" s="0" t="s">
        <v>20142</v>
      </c>
      <c r="D15167" s="0" t="s">
        <v>20142</v>
      </c>
      <c r="E15167" s="0" t="inlineStr">
        <is>
          <t xml:space="preserve">Mazda</t>
        </is>
      </c>
      <c r="F15167" s="0" t="s">
        <v>13</v>
      </c>
      <c r="G15167" s="0" t="s">
        <v>49</v>
      </c>
      <c r="H15167" s="5">
        <v>16233.471200</v>
      </c>
    </row>
    <row r="15168" spans="1:9">
      <c r="A15168" s="22" t="str">
        <f>HYPERLINK("https://app.vivvix.com/360/KMI/IntelliDrive/ApplUI/Pages/CreativePages/CustomReportCreativeDetail.aspx?App=23&amp;ReportView=4&amp;Qid=1711279&amp;Row=15160&amp;Col=1","No Title Assigned - #15274729089")</f>
        <v/>
      </c>
      <c r="B15168" s="0" t="s">
        <v>20143</v>
      </c>
      <c r="C15168" s="0" t="s">
        <v>20144</v>
      </c>
      <c r="D15168" s="0" t="s">
        <v>20144</v>
      </c>
      <c r="E15168" s="0" t="inlineStr">
        <is>
          <t xml:space="preserve">Mazda</t>
        </is>
      </c>
      <c r="F15168" s="0" t="inlineStr">
        <is>
          <t xml:space="preserve">Mazda</t>
        </is>
      </c>
      <c r="G15168" s="0" t="s">
        <v>210</v>
      </c>
      <c r="H15168" s="5">
        <v>840.524000</v>
      </c>
    </row>
    <row r="15169" spans="1:9">
      <c r="A15169" s="22" t="str">
        <f>HYPERLINK("https://app.vivvix.com/360/KMI/IntelliDrive/ApplUI/Pages/CreativePages/CustomReportCreativeDetail.aspx?App=23&amp;ReportView=4&amp;Qid=1711279&amp;Row=15161&amp;Col=1","No Title Assigned - #15274729309")</f>
        <v/>
      </c>
      <c r="B15169" s="0" t="s">
        <v>20145</v>
      </c>
      <c r="C15169" s="0" t="s">
        <v>20146</v>
      </c>
      <c r="D15169" s="0" t="s">
        <v>20146</v>
      </c>
      <c r="E15169" s="0" t="inlineStr">
        <is>
          <t xml:space="preserve">Mazda</t>
        </is>
      </c>
      <c r="F15169" s="0" t="s">
        <v>13</v>
      </c>
      <c r="G15169" s="0" t="s">
        <v>49</v>
      </c>
      <c r="H15169" s="5">
        <v>2784.467300</v>
      </c>
    </row>
    <row r="15170" spans="1:9">
      <c r="A15170" s="22" t="str">
        <f>HYPERLINK("https://app.vivvix.com/360/KMI/IntelliDrive/ApplUI/Pages/CreativePages/CustomReportCreativeDetail.aspx?App=23&amp;ReportView=4&amp;Qid=1711279&amp;Row=15162&amp;Col=1","No Title Assigned - #15274729687")</f>
        <v/>
      </c>
      <c r="B15170" s="0" t="s">
        <v>20147</v>
      </c>
      <c r="C15170" s="0" t="s">
        <v>20148</v>
      </c>
      <c r="D15170" s="0" t="s">
        <v>20148</v>
      </c>
      <c r="E15170" s="0" t="inlineStr">
        <is>
          <t xml:space="preserve">Mazda</t>
        </is>
      </c>
      <c r="F15170" s="0" t="inlineStr">
        <is>
          <t xml:space="preserve">Mazda</t>
        </is>
      </c>
      <c r="G15170" s="0" t="s">
        <v>210</v>
      </c>
      <c r="H15170" s="5">
        <v>478.991300</v>
      </c>
    </row>
    <row r="15171" spans="1:9">
      <c r="A15171" s="22" t="str">
        <f>HYPERLINK("https://app.vivvix.com/360/KMI/IntelliDrive/ApplUI/Pages/CreativePages/CustomReportCreativeDetail.aspx?App=23&amp;ReportView=4&amp;Qid=1711279&amp;Row=15163&amp;Col=1","No Title Assigned - #15274730167")</f>
        <v/>
      </c>
      <c r="B15171" s="0" t="s">
        <v>20149</v>
      </c>
      <c r="C15171" s="0" t="s">
        <v>20150</v>
      </c>
      <c r="D15171" s="0" t="s">
        <v>20150</v>
      </c>
      <c r="E15171" s="0" t="inlineStr">
        <is>
          <t xml:space="preserve">Mazda</t>
        </is>
      </c>
      <c r="F15171" s="0" t="s">
        <v>13</v>
      </c>
      <c r="G15171" s="0" t="s">
        <v>49</v>
      </c>
      <c r="H15171" s="5">
        <v>82393.171900</v>
      </c>
    </row>
    <row r="15172" spans="1:9">
      <c r="A15172" s="22" t="str">
        <f>HYPERLINK("https://app.vivvix.com/360/KMI/IntelliDrive/ApplUI/Pages/CreativePages/CustomReportCreativeDetail.aspx?App=23&amp;ReportView=4&amp;Qid=1711279&amp;Row=15164&amp;Col=1","No Title Assigned - #15274731559")</f>
        <v/>
      </c>
      <c r="B15172" s="0" t="s">
        <v>20151</v>
      </c>
      <c r="E15172" s="0" t="inlineStr">
        <is>
          <t xml:space="preserve">Mazda</t>
        </is>
      </c>
      <c r="F15172" s="0" t="inlineStr">
        <is>
          <t xml:space="preserve">Mazda</t>
        </is>
      </c>
      <c r="G15172" s="0" t="s">
        <v>171</v>
      </c>
      <c r="H15172" s="5">
        <v>810.129100</v>
      </c>
    </row>
    <row r="15173" spans="1:9">
      <c r="A15173" s="22" t="str">
        <f>HYPERLINK("https://app.vivvix.com/360/KMI/IntelliDrive/ApplUI/Pages/CreativePages/CustomReportCreativeDetail.aspx?App=23&amp;ReportView=4&amp;Qid=1711279&amp;Row=15165&amp;Col=1","No Title Assigned - #15274731713")</f>
        <v/>
      </c>
      <c r="B15173" s="0" t="s">
        <v>20152</v>
      </c>
      <c r="E15173" s="0" t="inlineStr">
        <is>
          <t xml:space="preserve">Mazda</t>
        </is>
      </c>
      <c r="F15173" s="0" t="inlineStr">
        <is>
          <t xml:space="preserve">Mazda</t>
        </is>
      </c>
      <c r="G15173" s="0" t="s">
        <v>171</v>
      </c>
      <c r="H15173" s="5">
        <v>1.787400</v>
      </c>
    </row>
    <row r="15174" spans="1:9">
      <c r="A15174" s="22" t="str">
        <f>HYPERLINK("https://app.vivvix.com/360/KMI/IntelliDrive/ApplUI/Pages/CreativePages/CustomReportCreativeDetail.aspx?App=23&amp;ReportView=4&amp;Qid=1711279&amp;Row=15166&amp;Col=1","No Title Assigned - #15274732523")</f>
        <v/>
      </c>
      <c r="B15174" s="0" t="s">
        <v>20153</v>
      </c>
      <c r="E15174" s="0" t="inlineStr">
        <is>
          <t xml:space="preserve">Mazda</t>
        </is>
      </c>
      <c r="F15174" s="0" t="inlineStr">
        <is>
          <t xml:space="preserve">Mazda</t>
        </is>
      </c>
      <c r="G15174" s="0" t="s">
        <v>171</v>
      </c>
      <c r="H15174" s="5">
        <v>30.402200</v>
      </c>
    </row>
    <row r="15175" spans="1:9">
      <c r="A15175" s="22" t="str">
        <f>HYPERLINK("https://app.vivvix.com/360/KMI/IntelliDrive/ApplUI/Pages/CreativePages/CustomReportCreativeDetail.aspx?App=23&amp;ReportView=4&amp;Qid=1711279&amp;Row=15167&amp;Col=1","No Title Assigned - #15274732595")</f>
        <v/>
      </c>
      <c r="B15175" s="0" t="s">
        <v>20154</v>
      </c>
      <c r="E15175" s="0" t="inlineStr">
        <is>
          <t xml:space="preserve">Mazda</t>
        </is>
      </c>
      <c r="F15175" s="0" t="inlineStr">
        <is>
          <t xml:space="preserve">Mazda</t>
        </is>
      </c>
      <c r="G15175" s="0" t="s">
        <v>171</v>
      </c>
      <c r="H15175" s="5">
        <v>39.852600</v>
      </c>
    </row>
    <row r="15176" spans="1:9">
      <c r="A15176" s="22" t="str">
        <f>HYPERLINK("https://app.vivvix.com/360/KMI/IntelliDrive/ApplUI/Pages/CreativePages/CustomReportCreativeDetail.aspx?App=23&amp;ReportView=4&amp;Qid=1711279&amp;Row=15168&amp;Col=1","No Title Assigned - #15274732631")</f>
        <v/>
      </c>
      <c r="B15176" s="0" t="s">
        <v>20155</v>
      </c>
      <c r="E15176" s="0" t="inlineStr">
        <is>
          <t xml:space="preserve">Mazda</t>
        </is>
      </c>
      <c r="F15176" s="0" t="inlineStr">
        <is>
          <t xml:space="preserve">Mazda</t>
        </is>
      </c>
      <c r="G15176" s="0" t="s">
        <v>171</v>
      </c>
      <c r="H15176" s="5">
        <v>162.131400</v>
      </c>
    </row>
    <row r="15177" spans="1:9">
      <c r="A15177" s="22" t="str">
        <f>HYPERLINK("https://app.vivvix.com/360/KMI/IntelliDrive/ApplUI/Pages/CreativePages/CustomReportCreativeDetail.aspx?App=23&amp;ReportView=4&amp;Qid=1711279&amp;Row=15169&amp;Col=1","No Title Assigned - #15274732872")</f>
        <v/>
      </c>
      <c r="B15177" s="0" t="s">
        <v>20156</v>
      </c>
      <c r="E15177" s="0" t="inlineStr">
        <is>
          <t xml:space="preserve">Mazda</t>
        </is>
      </c>
      <c r="F15177" s="0" t="inlineStr">
        <is>
          <t xml:space="preserve">Mazda</t>
        </is>
      </c>
      <c r="G15177" s="0" t="s">
        <v>171</v>
      </c>
      <c r="H15177" s="5">
        <v>144.170800</v>
      </c>
    </row>
    <row r="15178" spans="1:9">
      <c r="A15178" s="22" t="str">
        <f>HYPERLINK("https://app.vivvix.com/360/KMI/IntelliDrive/ApplUI/Pages/CreativePages/CustomReportCreativeDetail.aspx?App=23&amp;ReportView=4&amp;Qid=1711279&amp;Row=15170&amp;Col=1","No Title Assigned - #15274732978")</f>
        <v/>
      </c>
      <c r="B15178" s="0" t="s">
        <v>20157</v>
      </c>
      <c r="C15178" s="0" t="s">
        <v>20158</v>
      </c>
      <c r="D15178" s="0" t="s">
        <v>20158</v>
      </c>
      <c r="E15178" s="0" t="inlineStr">
        <is>
          <t xml:space="preserve">Mazda</t>
        </is>
      </c>
      <c r="F15178" s="0" t="inlineStr">
        <is>
          <t xml:space="preserve">Mazda</t>
        </is>
      </c>
      <c r="G15178" s="0" t="s">
        <v>210</v>
      </c>
      <c r="H15178" s="5">
        <v>4721.009300</v>
      </c>
    </row>
    <row r="15179" spans="1:9">
      <c r="A15179" s="22" t="str">
        <f>HYPERLINK("https://app.vivvix.com/360/KMI/IntelliDrive/ApplUI/Pages/CreativePages/CustomReportCreativeDetail.aspx?App=23&amp;ReportView=4&amp;Qid=1711279&amp;Row=15171&amp;Col=1","No Title Assigned - #15274733700")</f>
        <v/>
      </c>
      <c r="B15179" s="0" t="s">
        <v>20159</v>
      </c>
      <c r="E15179" s="0" t="inlineStr">
        <is>
          <t xml:space="preserve">Mazda</t>
        </is>
      </c>
      <c r="F15179" s="0" t="s">
        <v>13</v>
      </c>
      <c r="G15179" s="0" t="s">
        <v>49</v>
      </c>
      <c r="H15179" s="5">
        <v>90.322600</v>
      </c>
    </row>
    <row r="15180" spans="1:9">
      <c r="A15180" s="22" t="str">
        <f>HYPERLINK("https://app.vivvix.com/360/KMI/IntelliDrive/ApplUI/Pages/CreativePages/CustomReportCreativeDetail.aspx?App=23&amp;ReportView=4&amp;Qid=1711279&amp;Row=15172&amp;Col=1","No Title Assigned - #15274734119")</f>
        <v/>
      </c>
      <c r="B15180" s="0" t="s">
        <v>20160</v>
      </c>
      <c r="C15180" s="0" t="s">
        <v>20161</v>
      </c>
      <c r="D15180" s="0" t="s">
        <v>20161</v>
      </c>
      <c r="E15180" s="0" t="inlineStr">
        <is>
          <t xml:space="preserve">Mazda</t>
        </is>
      </c>
      <c r="F15180" s="0" t="s">
        <v>13</v>
      </c>
      <c r="G15180" s="0" t="s">
        <v>49</v>
      </c>
      <c r="H15180" s="5">
        <v>114.186300</v>
      </c>
    </row>
    <row r="15181" spans="1:9">
      <c r="A15181" s="22" t="str">
        <f>HYPERLINK("https://app.vivvix.com/360/KMI/IntelliDrive/ApplUI/Pages/CreativePages/CustomReportCreativeDetail.aspx?App=23&amp;ReportView=4&amp;Qid=1711279&amp;Row=15173&amp;Col=1","No Title Assigned - #15274734817")</f>
        <v/>
      </c>
      <c r="B15181" s="0" t="s">
        <v>20162</v>
      </c>
      <c r="C15181" s="0" t="s">
        <v>20163</v>
      </c>
      <c r="D15181" s="0" t="s">
        <v>20163</v>
      </c>
      <c r="E15181" s="0" t="inlineStr">
        <is>
          <t xml:space="preserve">Mazda</t>
        </is>
      </c>
      <c r="F15181" s="0" t="s">
        <v>13</v>
      </c>
      <c r="G15181" s="0" t="s">
        <v>49</v>
      </c>
      <c r="H15181" s="5">
        <v>4089.976800</v>
      </c>
    </row>
    <row r="15182" spans="1:9">
      <c r="A15182" s="22" t="str">
        <f>HYPERLINK("https://app.vivvix.com/360/KMI/IntelliDrive/ApplUI/Pages/CreativePages/CustomReportCreativeDetail.aspx?App=23&amp;ReportView=4&amp;Qid=1711279&amp;Row=15174&amp;Col=1","No Title Assigned - #15274735800")</f>
        <v/>
      </c>
      <c r="B15182" s="0" t="s">
        <v>20164</v>
      </c>
      <c r="E15182" s="0" t="inlineStr">
        <is>
          <t xml:space="preserve">Mazda</t>
        </is>
      </c>
      <c r="F15182" s="0" t="s">
        <v>13</v>
      </c>
      <c r="G15182" s="0" t="s">
        <v>49</v>
      </c>
      <c r="H15182" s="5">
        <v>59314.196900</v>
      </c>
    </row>
    <row r="15183" spans="1:9">
      <c r="A15183" s="22" t="str">
        <f>HYPERLINK("https://app.vivvix.com/360/KMI/IntelliDrive/ApplUI/Pages/CreativePages/CustomReportCreativeDetail.aspx?App=23&amp;ReportView=4&amp;Qid=1711279&amp;Row=15175&amp;Col=1","No Title Assigned - #15274735800")</f>
        <v/>
      </c>
      <c r="B15183" s="0" t="s">
        <v>20164</v>
      </c>
      <c r="C15183" s="0" t="s">
        <v>20165</v>
      </c>
      <c r="D15183" s="0" t="s">
        <v>20165</v>
      </c>
      <c r="E15183" s="0" t="inlineStr">
        <is>
          <t xml:space="preserve">Mazda</t>
        </is>
      </c>
      <c r="F15183" s="0" t="s">
        <v>13</v>
      </c>
      <c r="G15183" s="0" t="s">
        <v>49</v>
      </c>
      <c r="H15183" s="5">
        <v>11060.658800</v>
      </c>
    </row>
    <row r="15184" spans="1:9">
      <c r="A15184" s="22" t="str">
        <f>HYPERLINK("https://app.vivvix.com/360/KMI/IntelliDrive/ApplUI/Pages/CreativePages/CustomReportCreativeDetail.aspx?App=23&amp;ReportView=4&amp;Qid=1711279&amp;Row=15176&amp;Col=1","No Title Assigned - #15274736082")</f>
        <v/>
      </c>
      <c r="B15184" s="0" t="s">
        <v>20166</v>
      </c>
      <c r="C15184" s="0" t="s">
        <v>20167</v>
      </c>
      <c r="D15184" s="0" t="s">
        <v>20167</v>
      </c>
      <c r="E15184" s="0" t="inlineStr">
        <is>
          <t xml:space="preserve">Mazda</t>
        </is>
      </c>
      <c r="F15184" s="0" t="s">
        <v>13</v>
      </c>
      <c r="G15184" s="0" t="s">
        <v>49</v>
      </c>
      <c r="H15184" s="5">
        <v>1891.579400</v>
      </c>
    </row>
    <row r="15185" spans="1:9">
      <c r="A15185" s="22" t="str">
        <f>HYPERLINK("https://app.vivvix.com/360/KMI/IntelliDrive/ApplUI/Pages/CreativePages/CustomReportCreativeDetail.aspx?App=23&amp;ReportView=4&amp;Qid=1711279&amp;Row=15177&amp;Col=1","No Title Assigned - #15274736082")</f>
        <v/>
      </c>
      <c r="B15185" s="0" t="s">
        <v>20166</v>
      </c>
      <c r="E15185" s="0" t="inlineStr">
        <is>
          <t xml:space="preserve">Mazda</t>
        </is>
      </c>
      <c r="F15185" s="0" t="s">
        <v>13</v>
      </c>
      <c r="G15185" s="0" t="s">
        <v>49</v>
      </c>
      <c r="H15185" s="5">
        <v>19339.512700</v>
      </c>
    </row>
    <row r="15186" spans="1:9">
      <c r="A15186" s="22" t="str">
        <f>HYPERLINK("https://app.vivvix.com/360/KMI/IntelliDrive/ApplUI/Pages/CreativePages/CustomReportCreativeDetail.aspx?App=23&amp;ReportView=4&amp;Qid=1711279&amp;Row=15178&amp;Col=1","No Title Assigned - #15274736420")</f>
        <v/>
      </c>
      <c r="B15186" s="0" t="s">
        <v>20168</v>
      </c>
      <c r="C15186" s="0" t="s">
        <v>20169</v>
      </c>
      <c r="D15186" s="0" t="s">
        <v>20169</v>
      </c>
      <c r="E15186" s="0" t="inlineStr">
        <is>
          <t xml:space="preserve">Mazda</t>
        </is>
      </c>
      <c r="F15186" s="0" t="s">
        <v>13</v>
      </c>
      <c r="G15186" s="0" t="s">
        <v>49</v>
      </c>
      <c r="H15186" s="5">
        <v>800.849400</v>
      </c>
    </row>
    <row r="15187" spans="1:9">
      <c r="A15187" s="22" t="str">
        <f>HYPERLINK("https://app.vivvix.com/360/KMI/IntelliDrive/ApplUI/Pages/CreativePages/CustomReportCreativeDetail.aspx?App=23&amp;ReportView=4&amp;Qid=1711279&amp;Row=15179&amp;Col=1","No Title Assigned - #15274737473")</f>
        <v/>
      </c>
      <c r="B15187" s="0" t="s">
        <v>20170</v>
      </c>
      <c r="C15187" s="0" t="s">
        <v>20171</v>
      </c>
      <c r="D15187" s="0" t="s">
        <v>20171</v>
      </c>
      <c r="E15187" s="0" t="inlineStr">
        <is>
          <t xml:space="preserve">Mazda</t>
        </is>
      </c>
      <c r="F15187" s="0" t="s">
        <v>13</v>
      </c>
      <c r="G15187" s="0" t="s">
        <v>49</v>
      </c>
      <c r="H15187" s="5">
        <v>50.911100</v>
      </c>
    </row>
    <row r="15188" spans="1:9">
      <c r="A15188" s="22" t="str">
        <f>HYPERLINK("https://app.vivvix.com/360/KMI/IntelliDrive/ApplUI/Pages/CreativePages/CustomReportCreativeDetail.aspx?App=23&amp;ReportView=4&amp;Qid=1711279&amp;Row=15180&amp;Col=1","No Title Assigned - #15274737890")</f>
        <v/>
      </c>
      <c r="B15188" s="0" t="s">
        <v>20172</v>
      </c>
      <c r="C15188" s="0" t="s">
        <v>20173</v>
      </c>
      <c r="D15188" s="0" t="s">
        <v>6044</v>
      </c>
      <c r="E15188" s="0" t="inlineStr">
        <is>
          <t xml:space="preserve">Mazda</t>
        </is>
      </c>
      <c r="F15188" s="0" t="s">
        <v>13</v>
      </c>
      <c r="G15188" s="0" t="s">
        <v>49</v>
      </c>
      <c r="H15188" s="5">
        <v>25.589700</v>
      </c>
    </row>
    <row r="15189" spans="1:9">
      <c r="A15189" s="22" t="str">
        <f>HYPERLINK("https://app.vivvix.com/360/KMI/IntelliDrive/ApplUI/Pages/CreativePages/CustomReportCreativeDetail.aspx?App=23&amp;ReportView=4&amp;Qid=1711279&amp;Row=15181&amp;Col=1","No Title Assigned - #15274740164")</f>
        <v/>
      </c>
      <c r="B15189" s="0" t="s">
        <v>20174</v>
      </c>
      <c r="E15189" s="0" t="inlineStr">
        <is>
          <t xml:space="preserve">Mazda</t>
        </is>
      </c>
      <c r="F15189" s="0" t="inlineStr">
        <is>
          <t xml:space="preserve">Mazda</t>
        </is>
      </c>
      <c r="G15189" s="0" t="s">
        <v>171</v>
      </c>
      <c r="H15189" s="5">
        <v>2209.944700</v>
      </c>
    </row>
    <row r="15190" spans="1:9">
      <c r="A15190" s="22" t="str">
        <f>HYPERLINK("https://app.vivvix.com/360/KMI/IntelliDrive/ApplUI/Pages/CreativePages/CustomReportCreativeDetail.aspx?App=23&amp;ReportView=4&amp;Qid=1711279&amp;Row=15182&amp;Col=1","No Title Assigned - #15274740164")</f>
        <v/>
      </c>
      <c r="B15190" s="0" t="s">
        <v>20174</v>
      </c>
      <c r="E15190" s="0" t="inlineStr">
        <is>
          <t xml:space="preserve">Mazda</t>
        </is>
      </c>
      <c r="F15190" s="0" t="inlineStr">
        <is>
          <t xml:space="preserve">Mazda</t>
        </is>
      </c>
      <c r="G15190" s="0" t="s">
        <v>171</v>
      </c>
      <c r="H15190" s="5">
        <v>19437.212500</v>
      </c>
    </row>
    <row r="15191" spans="1:9">
      <c r="A15191" s="22" t="str">
        <f>HYPERLINK("https://app.vivvix.com/360/KMI/IntelliDrive/ApplUI/Pages/CreativePages/CustomReportCreativeDetail.aspx?App=23&amp;ReportView=4&amp;Qid=1711279&amp;Row=15183&amp;Col=1","No Title Assigned - #15274740187")</f>
        <v/>
      </c>
      <c r="B15191" s="0" t="s">
        <v>20175</v>
      </c>
      <c r="E15191" s="0" t="inlineStr">
        <is>
          <t xml:space="preserve">Mazda</t>
        </is>
      </c>
      <c r="F15191" s="0" t="inlineStr">
        <is>
          <t xml:space="preserve">Mazda</t>
        </is>
      </c>
      <c r="G15191" s="0" t="s">
        <v>171</v>
      </c>
      <c r="H15191" s="5">
        <v>1885.052800</v>
      </c>
    </row>
    <row r="15192" spans="1:9">
      <c r="A15192" s="22" t="str">
        <f>HYPERLINK("https://app.vivvix.com/360/KMI/IntelliDrive/ApplUI/Pages/CreativePages/CustomReportCreativeDetail.aspx?App=23&amp;ReportView=4&amp;Qid=1711279&amp;Row=15184&amp;Col=1","No Title Assigned - #15274740259")</f>
        <v/>
      </c>
      <c r="B15192" s="0" t="s">
        <v>20176</v>
      </c>
      <c r="E15192" s="0" t="inlineStr">
        <is>
          <t xml:space="preserve">Mazda</t>
        </is>
      </c>
      <c r="F15192" s="0" t="inlineStr">
        <is>
          <t xml:space="preserve">Mazda</t>
        </is>
      </c>
      <c r="G15192" s="0" t="s">
        <v>171</v>
      </c>
      <c r="H15192" s="5">
        <v>362.282800</v>
      </c>
    </row>
    <row r="15193" spans="1:9">
      <c r="A15193" s="22" t="str">
        <f>HYPERLINK("https://app.vivvix.com/360/KMI/IntelliDrive/ApplUI/Pages/CreativePages/CustomReportCreativeDetail.aspx?App=23&amp;ReportView=4&amp;Qid=1711279&amp;Row=15185&amp;Col=1","No Title Assigned - #15274740288")</f>
        <v/>
      </c>
      <c r="B15193" s="0" t="s">
        <v>20177</v>
      </c>
      <c r="E15193" s="0" t="inlineStr">
        <is>
          <t xml:space="preserve">Mazda</t>
        </is>
      </c>
      <c r="F15193" s="0" t="inlineStr">
        <is>
          <t xml:space="preserve">Mazda</t>
        </is>
      </c>
      <c r="G15193" s="0" t="s">
        <v>171</v>
      </c>
      <c r="H15193" s="5">
        <v>54.107400</v>
      </c>
    </row>
    <row r="15194" spans="1:9">
      <c r="A15194" s="22" t="str">
        <f>HYPERLINK("https://app.vivvix.com/360/KMI/IntelliDrive/ApplUI/Pages/CreativePages/CustomReportCreativeDetail.aspx?App=23&amp;ReportView=4&amp;Qid=1711279&amp;Row=15186&amp;Col=1","No Title Assigned - #15274740991")</f>
        <v/>
      </c>
      <c r="B15194" s="0" t="s">
        <v>20178</v>
      </c>
      <c r="E15194" s="0" t="inlineStr">
        <is>
          <t xml:space="preserve">Mazda</t>
        </is>
      </c>
      <c r="F15194" s="0" t="inlineStr">
        <is>
          <t xml:space="preserve">Mazda</t>
        </is>
      </c>
      <c r="G15194" s="0" t="s">
        <v>171</v>
      </c>
      <c r="H15194" s="5">
        <v>469.376700</v>
      </c>
    </row>
    <row r="15195" spans="1:9">
      <c r="A15195" s="22" t="str">
        <f>HYPERLINK("https://app.vivvix.com/360/KMI/IntelliDrive/ApplUI/Pages/CreativePages/CustomReportCreativeDetail.aspx?App=23&amp;ReportView=4&amp;Qid=1711279&amp;Row=15187&amp;Col=1","No Title Assigned - #15274741077")</f>
        <v/>
      </c>
      <c r="B15195" s="0" t="s">
        <v>20179</v>
      </c>
      <c r="E15195" s="0" t="inlineStr">
        <is>
          <t xml:space="preserve">Mazda</t>
        </is>
      </c>
      <c r="F15195" s="0" t="inlineStr">
        <is>
          <t xml:space="preserve">Mazda</t>
        </is>
      </c>
      <c r="G15195" s="0" t="s">
        <v>171</v>
      </c>
      <c r="H15195" s="5">
        <v>135836.885800</v>
      </c>
    </row>
    <row r="15196" spans="1:9">
      <c r="A15196" s="22" t="str">
        <f>HYPERLINK("https://app.vivvix.com/360/KMI/IntelliDrive/ApplUI/Pages/CreativePages/CustomReportCreativeDetail.aspx?App=23&amp;ReportView=4&amp;Qid=1711279&amp;Row=15188&amp;Col=1","No Title Assigned - #15274741082")</f>
        <v/>
      </c>
      <c r="B15196" s="0" t="s">
        <v>20180</v>
      </c>
      <c r="E15196" s="0" t="inlineStr">
        <is>
          <t xml:space="preserve">Mazda</t>
        </is>
      </c>
      <c r="F15196" s="0" t="inlineStr">
        <is>
          <t xml:space="preserve">Mazda</t>
        </is>
      </c>
      <c r="G15196" s="0" t="s">
        <v>171</v>
      </c>
      <c r="H15196" s="5">
        <v>9.138600</v>
      </c>
    </row>
    <row r="15197" spans="1:9">
      <c r="A15197" s="22" t="str">
        <f>HYPERLINK("https://app.vivvix.com/360/KMI/IntelliDrive/ApplUI/Pages/CreativePages/CustomReportCreativeDetail.aspx?App=23&amp;ReportView=4&amp;Qid=1711279&amp;Row=15189&amp;Col=1","No Title Assigned - #15274741136")</f>
        <v/>
      </c>
      <c r="B15197" s="0" t="s">
        <v>20181</v>
      </c>
      <c r="E15197" s="0" t="inlineStr">
        <is>
          <t xml:space="preserve">Mazda</t>
        </is>
      </c>
      <c r="F15197" s="0" t="inlineStr">
        <is>
          <t xml:space="preserve">Mazda</t>
        </is>
      </c>
      <c r="G15197" s="0" t="s">
        <v>171</v>
      </c>
      <c r="H15197" s="5">
        <v>28.761200</v>
      </c>
    </row>
    <row r="15198" spans="1:9">
      <c r="A15198" s="22" t="str">
        <f>HYPERLINK("https://app.vivvix.com/360/KMI/IntelliDrive/ApplUI/Pages/CreativePages/CustomReportCreativeDetail.aspx?App=23&amp;ReportView=4&amp;Qid=1711279&amp;Row=15190&amp;Col=1","No Title Assigned - #15274741196")</f>
        <v/>
      </c>
      <c r="B15198" s="0" t="s">
        <v>20182</v>
      </c>
      <c r="E15198" s="0" t="inlineStr">
        <is>
          <t xml:space="preserve">Mazda</t>
        </is>
      </c>
      <c r="F15198" s="0" t="inlineStr">
        <is>
          <t xml:space="preserve">Mazda</t>
        </is>
      </c>
      <c r="G15198" s="0" t="s">
        <v>171</v>
      </c>
      <c r="H15198" s="5">
        <v>161.267900</v>
      </c>
    </row>
    <row r="15199" spans="1:9">
      <c r="A15199" s="22" t="str">
        <f>HYPERLINK("https://app.vivvix.com/360/KMI/IntelliDrive/ApplUI/Pages/CreativePages/CustomReportCreativeDetail.aspx?App=23&amp;ReportView=4&amp;Qid=1711279&amp;Row=15191&amp;Col=1","No Title Assigned - #15274741761")</f>
        <v/>
      </c>
      <c r="B15199" s="0" t="s">
        <v>20183</v>
      </c>
      <c r="E15199" s="0" t="inlineStr">
        <is>
          <t xml:space="preserve">Mazda</t>
        </is>
      </c>
      <c r="F15199" s="0" t="s">
        <v>21</v>
      </c>
      <c r="G15199" s="0" t="s">
        <v>22</v>
      </c>
      <c r="H15199" s="5">
        <v>1090.659500</v>
      </c>
    </row>
    <row r="15200" spans="1:9">
      <c r="A15200" s="22" t="str">
        <f>HYPERLINK("https://app.vivvix.com/360/KMI/IntelliDrive/ApplUI/Pages/CreativePages/CustomReportCreativeDetail.aspx?App=23&amp;ReportView=4&amp;Qid=1711279&amp;Row=15192&amp;Col=1","No Title Assigned - #15274741813")</f>
        <v/>
      </c>
      <c r="B15200" s="0" t="s">
        <v>20184</v>
      </c>
      <c r="E15200" s="0" t="inlineStr">
        <is>
          <t xml:space="preserve">Mazda</t>
        </is>
      </c>
      <c r="F15200" s="0" t="inlineStr">
        <is>
          <t xml:space="preserve">Mazda</t>
        </is>
      </c>
      <c r="G15200" s="0" t="s">
        <v>171</v>
      </c>
      <c r="H15200" s="5">
        <v>14.344500</v>
      </c>
    </row>
    <row r="15201" spans="1:9">
      <c r="A15201" s="22" t="str">
        <f>HYPERLINK("https://app.vivvix.com/360/KMI/IntelliDrive/ApplUI/Pages/CreativePages/CustomReportCreativeDetail.aspx?App=23&amp;ReportView=4&amp;Qid=1711279&amp;Row=15193&amp;Col=1","No Title Assigned - #15274741897")</f>
        <v/>
      </c>
      <c r="B15201" s="0" t="s">
        <v>20185</v>
      </c>
      <c r="E15201" s="0" t="inlineStr">
        <is>
          <t xml:space="preserve">Mazda</t>
        </is>
      </c>
      <c r="F15201" s="0" t="inlineStr">
        <is>
          <t xml:space="preserve">Mazda</t>
        </is>
      </c>
      <c r="G15201" s="0" t="s">
        <v>171</v>
      </c>
      <c r="H15201" s="5">
        <v>75.902700</v>
      </c>
    </row>
    <row r="15202" spans="1:9">
      <c r="A15202" s="22" t="str">
        <f>HYPERLINK("https://app.vivvix.com/360/KMI/IntelliDrive/ApplUI/Pages/CreativePages/CustomReportCreativeDetail.aspx?App=23&amp;ReportView=4&amp;Qid=1711279&amp;Row=15194&amp;Col=1","No Title Assigned - #15274742456")</f>
        <v/>
      </c>
      <c r="B15202" s="0" t="s">
        <v>20186</v>
      </c>
      <c r="E15202" s="0" t="inlineStr">
        <is>
          <t xml:space="preserve">Mazda</t>
        </is>
      </c>
      <c r="F15202" s="0" t="inlineStr">
        <is>
          <t xml:space="preserve">Mazda</t>
        </is>
      </c>
      <c r="G15202" s="0" t="s">
        <v>171</v>
      </c>
      <c r="H15202" s="5">
        <v>97.013900</v>
      </c>
    </row>
    <row r="15203" spans="1:9">
      <c r="A15203" s="22" t="str">
        <f>HYPERLINK("https://app.vivvix.com/360/KMI/IntelliDrive/ApplUI/Pages/CreativePages/CustomReportCreativeDetail.aspx?App=23&amp;ReportView=4&amp;Qid=1711279&amp;Row=15195&amp;Col=1","No Title Assigned - #15274742653")</f>
        <v/>
      </c>
      <c r="B15203" s="0" t="s">
        <v>20187</v>
      </c>
      <c r="E15203" s="0" t="inlineStr">
        <is>
          <t xml:space="preserve">Mazda</t>
        </is>
      </c>
      <c r="F15203" s="0" t="inlineStr">
        <is>
          <t xml:space="preserve">Mazda</t>
        </is>
      </c>
      <c r="G15203" s="0" t="s">
        <v>171</v>
      </c>
      <c r="H15203" s="5">
        <v>282.890000</v>
      </c>
    </row>
    <row r="15204" spans="1:9">
      <c r="A15204" s="22" t="str">
        <f>HYPERLINK("https://app.vivvix.com/360/KMI/IntelliDrive/ApplUI/Pages/CreativePages/CustomReportCreativeDetail.aspx?App=23&amp;ReportView=4&amp;Qid=1711279&amp;Row=15196&amp;Col=1","No Title Assigned - #15274742916")</f>
        <v/>
      </c>
      <c r="B15204" s="0" t="s">
        <v>20188</v>
      </c>
      <c r="E15204" s="0" t="inlineStr">
        <is>
          <t xml:space="preserve">Mazda</t>
        </is>
      </c>
      <c r="F15204" s="0" t="inlineStr">
        <is>
          <t xml:space="preserve">Mazda</t>
        </is>
      </c>
      <c r="G15204" s="0" t="s">
        <v>171</v>
      </c>
      <c r="H15204" s="5">
        <v>10.883200</v>
      </c>
    </row>
    <row r="15205" spans="1:9">
      <c r="A15205" s="22" t="str">
        <f>HYPERLINK("https://app.vivvix.com/360/KMI/IntelliDrive/ApplUI/Pages/CreativePages/CustomReportCreativeDetail.aspx?App=23&amp;ReportView=4&amp;Qid=1711279&amp;Row=15197&amp;Col=1","No Title Assigned - #15274743508")</f>
        <v/>
      </c>
      <c r="B15205" s="0" t="s">
        <v>20189</v>
      </c>
      <c r="E15205" s="0" t="inlineStr">
        <is>
          <t xml:space="preserve">Mazda</t>
        </is>
      </c>
      <c r="F15205" s="0" t="inlineStr">
        <is>
          <t xml:space="preserve">Mazda</t>
        </is>
      </c>
      <c r="G15205" s="0" t="s">
        <v>171</v>
      </c>
      <c r="H15205" s="5">
        <v>6.827000</v>
      </c>
    </row>
    <row r="15206" spans="1:9">
      <c r="A15206" s="22" t="str">
        <f>HYPERLINK("https://app.vivvix.com/360/KMI/IntelliDrive/ApplUI/Pages/CreativePages/CustomReportCreativeDetail.aspx?App=23&amp;ReportView=4&amp;Qid=1711279&amp;Row=15198&amp;Col=1","No Title Assigned - #15274743950")</f>
        <v/>
      </c>
      <c r="B15206" s="0" t="s">
        <v>20190</v>
      </c>
      <c r="E15206" s="0" t="inlineStr">
        <is>
          <t xml:space="preserve">Mazda</t>
        </is>
      </c>
      <c r="F15206" s="0" t="inlineStr">
        <is>
          <t xml:space="preserve">Mazda</t>
        </is>
      </c>
      <c r="G15206" s="0" t="s">
        <v>171</v>
      </c>
      <c r="H15206" s="5">
        <v>267.204200</v>
      </c>
    </row>
    <row r="15207" spans="1:9">
      <c r="A15207" s="22" t="str">
        <f>HYPERLINK("https://app.vivvix.com/360/KMI/IntelliDrive/ApplUI/Pages/CreativePages/CustomReportCreativeDetail.aspx?App=23&amp;ReportView=4&amp;Qid=1711279&amp;Row=15199&amp;Col=1","No Title Assigned - #15274744188")</f>
        <v/>
      </c>
      <c r="B15207" s="0" t="s">
        <v>20191</v>
      </c>
      <c r="E15207" s="0" t="inlineStr">
        <is>
          <t xml:space="preserve">Mazda</t>
        </is>
      </c>
      <c r="F15207" s="0" t="inlineStr">
        <is>
          <t xml:space="preserve">Mazda</t>
        </is>
      </c>
      <c r="G15207" s="0" t="s">
        <v>171</v>
      </c>
      <c r="H15207" s="5">
        <v>240.997400</v>
      </c>
    </row>
    <row r="15208" spans="1:9">
      <c r="A15208" s="22" t="str">
        <f>HYPERLINK("https://app.vivvix.com/360/KMI/IntelliDrive/ApplUI/Pages/CreativePages/CustomReportCreativeDetail.aspx?App=23&amp;ReportView=4&amp;Qid=1711279&amp;Row=15200&amp;Col=1","No Title Assigned - #15274744233")</f>
        <v/>
      </c>
      <c r="B15208" s="0" t="s">
        <v>20192</v>
      </c>
      <c r="E15208" s="0" t="inlineStr">
        <is>
          <t xml:space="preserve">Mazda</t>
        </is>
      </c>
      <c r="F15208" s="0" t="inlineStr">
        <is>
          <t xml:space="preserve">Mazda</t>
        </is>
      </c>
      <c r="G15208" s="0" t="s">
        <v>171</v>
      </c>
      <c r="H15208" s="5">
        <v>16.086600</v>
      </c>
    </row>
    <row r="15209" spans="1:9">
      <c r="A15209" s="22" t="str">
        <f>HYPERLINK("https://app.vivvix.com/360/KMI/IntelliDrive/ApplUI/Pages/CreativePages/CustomReportCreativeDetail.aspx?App=23&amp;ReportView=4&amp;Qid=1711279&amp;Row=15201&amp;Col=1","No Title Assigned - #15274746841")</f>
        <v/>
      </c>
      <c r="B15209" s="0" t="s">
        <v>20193</v>
      </c>
      <c r="E15209" s="0" t="inlineStr">
        <is>
          <t xml:space="preserve">Mazda</t>
        </is>
      </c>
      <c r="F15209" s="0" t="inlineStr">
        <is>
          <t xml:space="preserve">Mazda</t>
        </is>
      </c>
      <c r="G15209" s="0" t="s">
        <v>171</v>
      </c>
      <c r="H15209" s="5">
        <v>32.180600</v>
      </c>
    </row>
    <row r="15210" spans="1:9">
      <c r="A15210" s="22" t="str">
        <f>HYPERLINK("https://app.vivvix.com/360/KMI/IntelliDrive/ApplUI/Pages/CreativePages/CustomReportCreativeDetail.aspx?App=23&amp;ReportView=4&amp;Qid=1711279&amp;Row=15202&amp;Col=1","No Title Assigned - #15274747483")</f>
        <v/>
      </c>
      <c r="B15210" s="0" t="s">
        <v>20194</v>
      </c>
      <c r="E15210" s="0" t="inlineStr">
        <is>
          <t xml:space="preserve">Mazda</t>
        </is>
      </c>
      <c r="F15210" s="0" t="inlineStr">
        <is>
          <t xml:space="preserve">Mazda</t>
        </is>
      </c>
      <c r="G15210" s="0" t="s">
        <v>171</v>
      </c>
      <c r="H15210" s="5">
        <v>14.462500</v>
      </c>
    </row>
    <row r="15211" spans="1:9">
      <c r="A15211" s="22" t="str">
        <f>HYPERLINK("https://app.vivvix.com/360/KMI/IntelliDrive/ApplUI/Pages/CreativePages/CustomReportCreativeDetail.aspx?App=23&amp;ReportView=4&amp;Qid=1711279&amp;Row=15203&amp;Col=1","No Title Assigned - #15274747625")</f>
        <v/>
      </c>
      <c r="B15211" s="0" t="s">
        <v>20195</v>
      </c>
      <c r="C15211" s="0" t="s">
        <v>20196</v>
      </c>
      <c r="D15211" s="0" t="s">
        <v>20196</v>
      </c>
      <c r="E15211" s="0" t="inlineStr">
        <is>
          <t xml:space="preserve">Mazda</t>
        </is>
      </c>
      <c r="F15211" s="0" t="s">
        <v>28</v>
      </c>
      <c r="G15211" s="0" t="s">
        <v>29</v>
      </c>
      <c r="H15211" s="5">
        <v>192.372800</v>
      </c>
    </row>
    <row r="15212" spans="1:9">
      <c r="A15212" s="22" t="str">
        <f>HYPERLINK("https://app.vivvix.com/360/KMI/IntelliDrive/ApplUI/Pages/CreativePages/CustomReportCreativeDetail.aspx?App=23&amp;ReportView=4&amp;Qid=1711279&amp;Row=15204&amp;Col=1","No Title Assigned - #15274747655")</f>
        <v/>
      </c>
      <c r="B15212" s="0" t="s">
        <v>20197</v>
      </c>
      <c r="E15212" s="0" t="inlineStr">
        <is>
          <t xml:space="preserve">Mazda</t>
        </is>
      </c>
      <c r="F15212" s="0" t="inlineStr">
        <is>
          <t xml:space="preserve">Mazda</t>
        </is>
      </c>
      <c r="G15212" s="0" t="s">
        <v>171</v>
      </c>
      <c r="H15212" s="5">
        <v>13.775300</v>
      </c>
    </row>
    <row r="15213" spans="1:9">
      <c r="A15213" s="22" t="str">
        <f>HYPERLINK("https://app.vivvix.com/360/KMI/IntelliDrive/ApplUI/Pages/CreativePages/CustomReportCreativeDetail.aspx?App=23&amp;ReportView=4&amp;Qid=1711279&amp;Row=15205&amp;Col=1","No Title Assigned - #15274748749")</f>
        <v/>
      </c>
      <c r="B15213" s="0" t="s">
        <v>20198</v>
      </c>
      <c r="E15213" s="0" t="inlineStr">
        <is>
          <t xml:space="preserve">Mazda</t>
        </is>
      </c>
      <c r="F15213" s="0" t="inlineStr">
        <is>
          <t xml:space="preserve">Mazda</t>
        </is>
      </c>
      <c r="G15213" s="0" t="s">
        <v>171</v>
      </c>
      <c r="H15213" s="5">
        <v>364.538600</v>
      </c>
    </row>
    <row r="15214" spans="1:9">
      <c r="A15214" s="22" t="str">
        <f>HYPERLINK("https://app.vivvix.com/360/KMI/IntelliDrive/ApplUI/Pages/CreativePages/CustomReportCreativeDetail.aspx?App=23&amp;ReportView=4&amp;Qid=1711279&amp;Row=15206&amp;Col=1","No Title Assigned - #15274749206")</f>
        <v/>
      </c>
      <c r="B15214" s="0" t="s">
        <v>20199</v>
      </c>
      <c r="E15214" s="0" t="inlineStr">
        <is>
          <t xml:space="preserve">Mazda</t>
        </is>
      </c>
      <c r="F15214" s="0" t="inlineStr">
        <is>
          <t xml:space="preserve">Mazda</t>
        </is>
      </c>
      <c r="G15214" s="0" t="s">
        <v>171</v>
      </c>
      <c r="H15214" s="5">
        <v>585.642200</v>
      </c>
    </row>
    <row r="15215" spans="1:9">
      <c r="A15215" s="22" t="str">
        <f>HYPERLINK("https://app.vivvix.com/360/KMI/IntelliDrive/ApplUI/Pages/CreativePages/CustomReportCreativeDetail.aspx?App=23&amp;ReportView=4&amp;Qid=1711279&amp;Row=15207&amp;Col=1","No Title Assigned - #15274750345")</f>
        <v/>
      </c>
      <c r="B15215" s="0" t="s">
        <v>20200</v>
      </c>
      <c r="E15215" s="0" t="inlineStr">
        <is>
          <t xml:space="preserve">Mazda</t>
        </is>
      </c>
      <c r="F15215" s="0" t="inlineStr">
        <is>
          <t xml:space="preserve">Mazda</t>
        </is>
      </c>
      <c r="G15215" s="0" t="s">
        <v>171</v>
      </c>
      <c r="H15215" s="5">
        <v>616.298700</v>
      </c>
    </row>
    <row r="15216" spans="1:9">
      <c r="A15216" s="22" t="str">
        <f>HYPERLINK("https://app.vivvix.com/360/KMI/IntelliDrive/ApplUI/Pages/CreativePages/CustomReportCreativeDetail.aspx?App=23&amp;ReportView=4&amp;Qid=1711279&amp;Row=15208&amp;Col=1","No Title Assigned - #15274752625")</f>
        <v/>
      </c>
      <c r="B15216" s="0" t="s">
        <v>20201</v>
      </c>
      <c r="E15216" s="0" t="inlineStr">
        <is>
          <t xml:space="preserve">Mazda</t>
        </is>
      </c>
      <c r="F15216" s="0" t="inlineStr">
        <is>
          <t xml:space="preserve">Mazda</t>
        </is>
      </c>
      <c r="G15216" s="0" t="s">
        <v>171</v>
      </c>
      <c r="H15216" s="5">
        <v>39.684600</v>
      </c>
    </row>
    <row r="15217" spans="1:9">
      <c r="A15217" s="22" t="str">
        <f>HYPERLINK("https://app.vivvix.com/360/KMI/IntelliDrive/ApplUI/Pages/CreativePages/CustomReportCreativeDetail.aspx?App=23&amp;ReportView=4&amp;Qid=1711279&amp;Row=15209&amp;Col=1","No Title Assigned - #15274753365")</f>
        <v/>
      </c>
      <c r="B15217" s="0" t="s">
        <v>20202</v>
      </c>
      <c r="C15217" s="0" t="s">
        <v>20203</v>
      </c>
      <c r="D15217" s="0" t="s">
        <v>20203</v>
      </c>
      <c r="E15217" s="0" t="inlineStr">
        <is>
          <t xml:space="preserve">Mazda</t>
        </is>
      </c>
      <c r="F15217" s="0" t="inlineStr">
        <is>
          <t xml:space="preserve">Mazda</t>
        </is>
      </c>
      <c r="G15217" s="0" t="s">
        <v>171</v>
      </c>
      <c r="H15217" s="5">
        <v>616.298700</v>
      </c>
    </row>
    <row r="15218" spans="1:9">
      <c r="A15218" s="22" t="str">
        <f>HYPERLINK("https://app.vivvix.com/360/KMI/IntelliDrive/ApplUI/Pages/CreativePages/CustomReportCreativeDetail.aspx?App=23&amp;ReportView=4&amp;Qid=1711279&amp;Row=15210&amp;Col=1","No Title Assigned - #15274753365")</f>
        <v/>
      </c>
      <c r="B15218" s="0" t="s">
        <v>20202</v>
      </c>
      <c r="E15218" s="0" t="inlineStr">
        <is>
          <t xml:space="preserve">Mazda</t>
        </is>
      </c>
      <c r="F15218" s="0" t="inlineStr">
        <is>
          <t xml:space="preserve">Mazda</t>
        </is>
      </c>
      <c r="G15218" s="0" t="s">
        <v>171</v>
      </c>
      <c r="H15218" s="5">
        <v>1300.498300</v>
      </c>
    </row>
    <row r="15219" spans="1:9">
      <c r="A15219" s="22" t="str">
        <f>HYPERLINK("https://app.vivvix.com/360/KMI/IntelliDrive/ApplUI/Pages/CreativePages/CustomReportCreativeDetail.aspx?App=23&amp;ReportView=4&amp;Qid=1711279&amp;Row=15211&amp;Col=1","No Title Assigned - #15274753695")</f>
        <v/>
      </c>
      <c r="B15219" s="0" t="s">
        <v>20204</v>
      </c>
      <c r="E15219" s="0" t="inlineStr">
        <is>
          <t xml:space="preserve">Mazda</t>
        </is>
      </c>
      <c r="F15219" s="0" t="inlineStr">
        <is>
          <t xml:space="preserve">Mazda</t>
        </is>
      </c>
      <c r="G15219" s="0" t="s">
        <v>171</v>
      </c>
      <c r="H15219" s="5">
        <v>130.904200</v>
      </c>
    </row>
    <row r="15220" spans="1:9">
      <c r="A15220" s="22" t="str">
        <f>HYPERLINK("https://app.vivvix.com/360/KMI/IntelliDrive/ApplUI/Pages/CreativePages/CustomReportCreativeDetail.aspx?App=23&amp;ReportView=4&amp;Qid=1711279&amp;Row=15212&amp;Col=1","No Title Assigned - #15274763147")</f>
        <v/>
      </c>
      <c r="B15220" s="0" t="s">
        <v>20205</v>
      </c>
      <c r="E15220" s="0" t="inlineStr">
        <is>
          <t xml:space="preserve">Mazda</t>
        </is>
      </c>
      <c r="F15220" s="0" t="inlineStr">
        <is>
          <t xml:space="preserve">Mazda</t>
        </is>
      </c>
      <c r="G15220" s="0" t="s">
        <v>171</v>
      </c>
      <c r="H15220" s="5">
        <v>269.743700</v>
      </c>
    </row>
    <row r="15221" spans="1:9">
      <c r="A15221" s="22" t="str">
        <f>HYPERLINK("https://app.vivvix.com/360/KMI/IntelliDrive/ApplUI/Pages/CreativePages/CustomReportCreativeDetail.aspx?App=23&amp;ReportView=4&amp;Qid=1711279&amp;Row=15213&amp;Col=1","No Title Assigned - #15274773719")</f>
        <v/>
      </c>
      <c r="B15221" s="0" t="s">
        <v>20206</v>
      </c>
      <c r="C15221" s="0" t="s">
        <v>20207</v>
      </c>
      <c r="D15221" s="0" t="s">
        <v>19496</v>
      </c>
      <c r="E15221" s="0" t="inlineStr">
        <is>
          <t xml:space="preserve">Mazda</t>
        </is>
      </c>
      <c r="F15221" s="0" t="s">
        <v>13</v>
      </c>
      <c r="G15221" s="0" t="s">
        <v>49</v>
      </c>
      <c r="H15221" s="5">
        <v>8.529900</v>
      </c>
    </row>
    <row r="15222" spans="1:9">
      <c r="A15222" s="22" t="str">
        <f>HYPERLINK("https://app.vivvix.com/360/KMI/IntelliDrive/ApplUI/Pages/CreativePages/CustomReportCreativeDetail.aspx?App=23&amp;ReportView=4&amp;Qid=1711279&amp;Row=15214&amp;Col=1","No Title Assigned - #15274778923")</f>
        <v/>
      </c>
      <c r="B15222" s="0" t="s">
        <v>20208</v>
      </c>
      <c r="E15222" s="0" t="inlineStr">
        <is>
          <t xml:space="preserve">Mazda</t>
        </is>
      </c>
      <c r="F15222" s="0" t="inlineStr">
        <is>
          <t xml:space="preserve">Mazda</t>
        </is>
      </c>
      <c r="G15222" s="0" t="s">
        <v>171</v>
      </c>
      <c r="H15222" s="5">
        <v>1310.191100</v>
      </c>
    </row>
    <row r="15223" spans="1:9">
      <c r="A15223" s="22" t="str">
        <f>HYPERLINK("https://app.vivvix.com/360/KMI/IntelliDrive/ApplUI/Pages/CreativePages/CustomReportCreativeDetail.aspx?App=23&amp;ReportView=4&amp;Qid=1711279&amp;Row=15215&amp;Col=1","No Title Assigned - #15274779240")</f>
        <v/>
      </c>
      <c r="B15223" s="0" t="s">
        <v>20209</v>
      </c>
      <c r="E15223" s="0" t="inlineStr">
        <is>
          <t xml:space="preserve">Mazda</t>
        </is>
      </c>
      <c r="F15223" s="0" t="inlineStr">
        <is>
          <t xml:space="preserve">Mazda</t>
        </is>
      </c>
      <c r="G15223" s="0" t="s">
        <v>171</v>
      </c>
      <c r="H15223" s="5">
        <v>41.067500</v>
      </c>
    </row>
    <row r="15224" spans="1:9">
      <c r="A15224" s="22" t="str">
        <f>HYPERLINK("https://app.vivvix.com/360/KMI/IntelliDrive/ApplUI/Pages/CreativePages/CustomReportCreativeDetail.aspx?App=23&amp;ReportView=4&amp;Qid=1711279&amp;Row=15216&amp;Col=1","No Title Assigned - #15274782319")</f>
        <v/>
      </c>
      <c r="B15224" s="0" t="s">
        <v>20210</v>
      </c>
      <c r="E15224" s="0" t="inlineStr">
        <is>
          <t xml:space="preserve">Mazda</t>
        </is>
      </c>
      <c r="F15224" s="0" t="inlineStr">
        <is>
          <t xml:space="preserve">Mazda</t>
        </is>
      </c>
      <c r="G15224" s="0" t="s">
        <v>171</v>
      </c>
      <c r="H15224" s="5">
        <v>134.870600</v>
      </c>
    </row>
    <row r="15225" spans="1:9">
      <c r="A15225" s="22" t="str">
        <f>HYPERLINK("https://app.vivvix.com/360/KMI/IntelliDrive/ApplUI/Pages/CreativePages/CustomReportCreativeDetail.aspx?App=23&amp;ReportView=4&amp;Qid=1711279&amp;Row=15217&amp;Col=1","No Title Assigned - #15274782461")</f>
        <v/>
      </c>
      <c r="B15225" s="0" t="s">
        <v>20211</v>
      </c>
      <c r="E15225" s="0" t="inlineStr">
        <is>
          <t xml:space="preserve">Mazda</t>
        </is>
      </c>
      <c r="F15225" s="0" t="inlineStr">
        <is>
          <t xml:space="preserve">Mazda</t>
        </is>
      </c>
      <c r="G15225" s="0" t="s">
        <v>171</v>
      </c>
      <c r="H15225" s="5">
        <v>49753.504400</v>
      </c>
    </row>
    <row r="15226" spans="1:9">
      <c r="A15226" s="22" t="str">
        <f>HYPERLINK("https://app.vivvix.com/360/KMI/IntelliDrive/ApplUI/Pages/CreativePages/CustomReportCreativeDetail.aspx?App=23&amp;ReportView=4&amp;Qid=1711279&amp;Row=15218&amp;Col=1","No Title Assigned - #15274782840")</f>
        <v/>
      </c>
      <c r="B15226" s="0" t="s">
        <v>20212</v>
      </c>
      <c r="E15226" s="0" t="inlineStr">
        <is>
          <t xml:space="preserve">Mazda</t>
        </is>
      </c>
      <c r="F15226" s="0" t="inlineStr">
        <is>
          <t xml:space="preserve">Mazda</t>
        </is>
      </c>
      <c r="G15226" s="0" t="s">
        <v>171</v>
      </c>
      <c r="H15226" s="5">
        <v>209.027000</v>
      </c>
    </row>
    <row r="15227" spans="1:9">
      <c r="A15227" s="22" t="str">
        <f>HYPERLINK("https://app.vivvix.com/360/KMI/IntelliDrive/ApplUI/Pages/CreativePages/CustomReportCreativeDetail.aspx?App=23&amp;ReportView=4&amp;Qid=1711279&amp;Row=15219&amp;Col=1","No Title Assigned - #15274783847")</f>
        <v/>
      </c>
      <c r="B15227" s="0" t="s">
        <v>20213</v>
      </c>
      <c r="E15227" s="0" t="inlineStr">
        <is>
          <t xml:space="preserve">Mazda</t>
        </is>
      </c>
      <c r="F15227" s="0" t="inlineStr">
        <is>
          <t xml:space="preserve">Mazda</t>
        </is>
      </c>
      <c r="G15227" s="0" t="s">
        <v>171</v>
      </c>
      <c r="H15227" s="5">
        <v>1713.844900</v>
      </c>
    </row>
    <row r="15228" spans="1:9">
      <c r="A15228" s="22" t="str">
        <f>HYPERLINK("https://app.vivvix.com/360/KMI/IntelliDrive/ApplUI/Pages/CreativePages/CustomReportCreativeDetail.aspx?App=23&amp;ReportView=4&amp;Qid=1711279&amp;Row=15220&amp;Col=1","No Title Assigned - #15274783847")</f>
        <v/>
      </c>
      <c r="B15228" s="0" t="s">
        <v>20213</v>
      </c>
      <c r="E15228" s="0" t="inlineStr">
        <is>
          <t xml:space="preserve">Mazda</t>
        </is>
      </c>
      <c r="F15228" s="0" t="inlineStr">
        <is>
          <t xml:space="preserve">Mazda</t>
        </is>
      </c>
      <c r="G15228" s="0" t="s">
        <v>171</v>
      </c>
      <c r="H15228" s="5">
        <v>181.579600</v>
      </c>
    </row>
    <row r="15229" spans="1:9">
      <c r="A15229" s="22" t="str">
        <f>HYPERLINK("https://app.vivvix.com/360/KMI/IntelliDrive/ApplUI/Pages/CreativePages/CustomReportCreativeDetail.aspx?App=23&amp;ReportView=4&amp;Qid=1711279&amp;Row=15221&amp;Col=1","No Title Assigned - #15274783917")</f>
        <v/>
      </c>
      <c r="B15229" s="0" t="s">
        <v>20214</v>
      </c>
      <c r="E15229" s="0" t="inlineStr">
        <is>
          <t xml:space="preserve">Mazda</t>
        </is>
      </c>
      <c r="F15229" s="0" t="inlineStr">
        <is>
          <t xml:space="preserve">Mazda</t>
        </is>
      </c>
      <c r="G15229" s="0" t="s">
        <v>171</v>
      </c>
      <c r="H15229" s="5">
        <v>17.669800</v>
      </c>
    </row>
    <row r="15230" spans="1:9">
      <c r="A15230" s="22" t="str">
        <f>HYPERLINK("https://app.vivvix.com/360/KMI/IntelliDrive/ApplUI/Pages/CreativePages/CustomReportCreativeDetail.aspx?App=23&amp;ReportView=4&amp;Qid=1711279&amp;Row=15222&amp;Col=1","No Title Assigned - #15274784934")</f>
        <v/>
      </c>
      <c r="B15230" s="0" t="s">
        <v>20215</v>
      </c>
      <c r="E15230" s="0" t="inlineStr">
        <is>
          <t xml:space="preserve">Mazda</t>
        </is>
      </c>
      <c r="F15230" s="0" t="inlineStr">
        <is>
          <t xml:space="preserve">Mazda</t>
        </is>
      </c>
      <c r="G15230" s="0" t="s">
        <v>171</v>
      </c>
      <c r="H15230" s="5">
        <v>6.617000</v>
      </c>
    </row>
    <row r="15231" spans="1:9">
      <c r="A15231" s="22" t="str">
        <f>HYPERLINK("https://app.vivvix.com/360/KMI/IntelliDrive/ApplUI/Pages/CreativePages/CustomReportCreativeDetail.aspx?App=23&amp;ReportView=4&amp;Qid=1711279&amp;Row=15223&amp;Col=1","No Title Assigned - #15274785012")</f>
        <v/>
      </c>
      <c r="B15231" s="0" t="s">
        <v>20216</v>
      </c>
      <c r="E15231" s="0" t="inlineStr">
        <is>
          <t xml:space="preserve">Mazda</t>
        </is>
      </c>
      <c r="F15231" s="0" t="inlineStr">
        <is>
          <t xml:space="preserve">Mazda</t>
        </is>
      </c>
      <c r="G15231" s="0" t="s">
        <v>171</v>
      </c>
      <c r="H15231" s="5">
        <v>764.573800</v>
      </c>
    </row>
    <row r="15232" spans="1:9">
      <c r="A15232" s="22" t="str">
        <f>HYPERLINK("https://app.vivvix.com/360/KMI/IntelliDrive/ApplUI/Pages/CreativePages/CustomReportCreativeDetail.aspx?App=23&amp;ReportView=4&amp;Qid=1711279&amp;Row=15224&amp;Col=1","No Title Assigned - #15274785874")</f>
        <v/>
      </c>
      <c r="B15232" s="0" t="s">
        <v>20217</v>
      </c>
      <c r="C15232" s="0" t="s">
        <v>20218</v>
      </c>
      <c r="D15232" s="0" t="s">
        <v>20218</v>
      </c>
      <c r="E15232" s="0" t="inlineStr">
        <is>
          <t xml:space="preserve">Mazda</t>
        </is>
      </c>
      <c r="F15232" s="0" t="s">
        <v>21</v>
      </c>
      <c r="G15232" s="0" t="s">
        <v>22</v>
      </c>
      <c r="H15232" s="5">
        <v>3456.683700</v>
      </c>
    </row>
    <row r="15233" spans="1:9">
      <c r="A15233" s="22" t="str">
        <f>HYPERLINK("https://app.vivvix.com/360/KMI/IntelliDrive/ApplUI/Pages/CreativePages/CustomReportCreativeDetail.aspx?App=23&amp;ReportView=4&amp;Qid=1711279&amp;Row=15225&amp;Col=1","No Title Assigned - #15274785874")</f>
        <v/>
      </c>
      <c r="B15233" s="0" t="s">
        <v>20217</v>
      </c>
      <c r="E15233" s="0" t="inlineStr">
        <is>
          <t xml:space="preserve">Mazda</t>
        </is>
      </c>
      <c r="F15233" s="0" t="s">
        <v>21</v>
      </c>
      <c r="G15233" s="0" t="s">
        <v>22</v>
      </c>
      <c r="H15233" s="5">
        <v>1426.541400</v>
      </c>
    </row>
    <row r="15234" spans="1:9">
      <c r="A15234" s="22" t="str">
        <f>HYPERLINK("https://app.vivvix.com/360/KMI/IntelliDrive/ApplUI/Pages/CreativePages/CustomReportCreativeDetail.aspx?App=23&amp;ReportView=4&amp;Qid=1711279&amp;Row=15226&amp;Col=1","No Title Assigned - #15274785909")</f>
        <v/>
      </c>
      <c r="B15234" s="0" t="s">
        <v>20219</v>
      </c>
      <c r="C15234" s="0" t="s">
        <v>20220</v>
      </c>
      <c r="D15234" s="0" t="s">
        <v>20220</v>
      </c>
      <c r="E15234" s="0" t="inlineStr">
        <is>
          <t xml:space="preserve">Mazda</t>
        </is>
      </c>
      <c r="F15234" s="0" t="s">
        <v>13</v>
      </c>
      <c r="G15234" s="0" t="s">
        <v>49</v>
      </c>
      <c r="H15234" s="5">
        <v>311.488400</v>
      </c>
    </row>
    <row r="15235" spans="1:9">
      <c r="A15235" s="22" t="str">
        <f>HYPERLINK("https://app.vivvix.com/360/KMI/IntelliDrive/ApplUI/Pages/CreativePages/CustomReportCreativeDetail.aspx?App=23&amp;ReportView=4&amp;Qid=1711279&amp;Row=15227&amp;Col=1","No Title Assigned - #15274786704")</f>
        <v/>
      </c>
      <c r="B15235" s="0" t="s">
        <v>20221</v>
      </c>
      <c r="C15235" s="0" t="s">
        <v>20222</v>
      </c>
      <c r="D15235" s="0" t="s">
        <v>20222</v>
      </c>
      <c r="E15235" s="0" t="inlineStr">
        <is>
          <t xml:space="preserve">Mazda</t>
        </is>
      </c>
      <c r="F15235" s="0" t="s">
        <v>13</v>
      </c>
      <c r="G15235" s="0" t="s">
        <v>49</v>
      </c>
      <c r="H15235" s="5">
        <v>1411.573200</v>
      </c>
    </row>
    <row r="15236" spans="1:9">
      <c r="A15236" s="22" t="str">
        <f>HYPERLINK("https://app.vivvix.com/360/KMI/IntelliDrive/ApplUI/Pages/CreativePages/CustomReportCreativeDetail.aspx?App=23&amp;ReportView=4&amp;Qid=1711279&amp;Row=15228&amp;Col=1","No Title Assigned - #15274789284")</f>
        <v/>
      </c>
      <c r="B15236" s="0" t="s">
        <v>20223</v>
      </c>
      <c r="C15236" s="0" t="s">
        <v>20224</v>
      </c>
      <c r="D15236" s="0" t="s">
        <v>20224</v>
      </c>
      <c r="E15236" s="0" t="inlineStr">
        <is>
          <t xml:space="preserve">Mazda</t>
        </is>
      </c>
      <c r="F15236" s="0" t="s">
        <v>13</v>
      </c>
      <c r="G15236" s="0" t="s">
        <v>49</v>
      </c>
      <c r="H15236" s="5">
        <v>10617.732400</v>
      </c>
    </row>
    <row r="15237" spans="1:9">
      <c r="A15237" s="22" t="str">
        <f>HYPERLINK("https://app.vivvix.com/360/KMI/IntelliDrive/ApplUI/Pages/CreativePages/CustomReportCreativeDetail.aspx?App=23&amp;ReportView=4&amp;Qid=1711279&amp;Row=15229&amp;Col=1","No Title Assigned - #15274790798")</f>
        <v/>
      </c>
      <c r="B15237" s="0" t="s">
        <v>20225</v>
      </c>
      <c r="C15237" s="0" t="s">
        <v>20226</v>
      </c>
      <c r="D15237" s="0" t="s">
        <v>20226</v>
      </c>
      <c r="E15237" s="0" t="inlineStr">
        <is>
          <t xml:space="preserve">Mazda</t>
        </is>
      </c>
      <c r="F15237" s="0" t="s">
        <v>21</v>
      </c>
      <c r="G15237" s="0" t="s">
        <v>22</v>
      </c>
      <c r="H15237" s="5">
        <v>110.405100</v>
      </c>
    </row>
    <row r="15238" spans="1:9">
      <c r="A15238" s="22" t="str">
        <f>HYPERLINK("https://app.vivvix.com/360/KMI/IntelliDrive/ApplUI/Pages/CreativePages/CustomReportCreativeDetail.aspx?App=23&amp;ReportView=4&amp;Qid=1711279&amp;Row=15230&amp;Col=1","No Title Assigned - #15274791077")</f>
        <v/>
      </c>
      <c r="B15238" s="0" t="s">
        <v>20227</v>
      </c>
      <c r="C15238" s="0" t="s">
        <v>20228</v>
      </c>
      <c r="D15238" s="0" t="s">
        <v>20228</v>
      </c>
      <c r="E15238" s="0" t="inlineStr">
        <is>
          <t xml:space="preserve">Mazda</t>
        </is>
      </c>
      <c r="F15238" s="0" t="s">
        <v>13</v>
      </c>
      <c r="G15238" s="0" t="s">
        <v>49</v>
      </c>
      <c r="H15238" s="5">
        <v>187.842000</v>
      </c>
    </row>
    <row r="15239" spans="1:9">
      <c r="A15239" s="22" t="str">
        <f>HYPERLINK("https://app.vivvix.com/360/KMI/IntelliDrive/ApplUI/Pages/CreativePages/CustomReportCreativeDetail.aspx?App=23&amp;ReportView=4&amp;Qid=1711279&amp;Row=15231&amp;Col=1","No Title Assigned - #15274792721")</f>
        <v/>
      </c>
      <c r="B15239" s="0" t="s">
        <v>20229</v>
      </c>
      <c r="C15239" s="0" t="s">
        <v>20230</v>
      </c>
      <c r="D15239" s="0" t="s">
        <v>20230</v>
      </c>
      <c r="E15239" s="0" t="inlineStr">
        <is>
          <t xml:space="preserve">Mazda</t>
        </is>
      </c>
      <c r="F15239" s="0" t="s">
        <v>13</v>
      </c>
      <c r="G15239" s="0" t="s">
        <v>49</v>
      </c>
      <c r="H15239" s="5">
        <v>196.736800</v>
      </c>
    </row>
    <row r="15240" spans="1:9">
      <c r="A15240" s="22" t="str">
        <f>HYPERLINK("https://app.vivvix.com/360/KMI/IntelliDrive/ApplUI/Pages/CreativePages/CustomReportCreativeDetail.aspx?App=23&amp;ReportView=4&amp;Qid=1711279&amp;Row=15232&amp;Col=1","No Title Assigned - #15274793685")</f>
        <v/>
      </c>
      <c r="B15240" s="0" t="s">
        <v>20231</v>
      </c>
      <c r="C15240" s="0" t="s">
        <v>20232</v>
      </c>
      <c r="D15240" s="0" t="s">
        <v>20232</v>
      </c>
      <c r="E15240" s="0" t="inlineStr">
        <is>
          <t xml:space="preserve">Mazda</t>
        </is>
      </c>
      <c r="F15240" s="0" t="s">
        <v>21</v>
      </c>
      <c r="G15240" s="0" t="s">
        <v>22</v>
      </c>
      <c r="H15240" s="5">
        <v>198.088300</v>
      </c>
    </row>
    <row r="15241" spans="1:9">
      <c r="A15241" s="22" t="str">
        <f>HYPERLINK("https://app.vivvix.com/360/KMI/IntelliDrive/ApplUI/Pages/CreativePages/CustomReportCreativeDetail.aspx?App=23&amp;ReportView=4&amp;Qid=1711279&amp;Row=15233&amp;Col=1","No Title Assigned - #15274793962")</f>
        <v/>
      </c>
      <c r="B15241" s="0" t="s">
        <v>20233</v>
      </c>
      <c r="C15241" s="0" t="s">
        <v>20234</v>
      </c>
      <c r="D15241" s="0" t="s">
        <v>20234</v>
      </c>
      <c r="E15241" s="0" t="inlineStr">
        <is>
          <t xml:space="preserve">Mazda</t>
        </is>
      </c>
      <c r="F15241" s="0" t="s">
        <v>13</v>
      </c>
      <c r="G15241" s="0" t="s">
        <v>49</v>
      </c>
      <c r="H15241" s="5">
        <v>10704.283300</v>
      </c>
    </row>
    <row r="15242" spans="1:9">
      <c r="A15242" s="22" t="str">
        <f>HYPERLINK("https://app.vivvix.com/360/KMI/IntelliDrive/ApplUI/Pages/CreativePages/CustomReportCreativeDetail.aspx?App=23&amp;ReportView=4&amp;Qid=1711279&amp;Row=15234&amp;Col=1","No Title Assigned - #15274798058")</f>
        <v/>
      </c>
      <c r="B15242" s="0" t="s">
        <v>20235</v>
      </c>
      <c r="C15242" s="0" t="s">
        <v>20236</v>
      </c>
      <c r="D15242" s="0" t="s">
        <v>20236</v>
      </c>
      <c r="E15242" s="0" t="inlineStr">
        <is>
          <t xml:space="preserve">Mazda</t>
        </is>
      </c>
      <c r="F15242" s="0" t="s">
        <v>21</v>
      </c>
      <c r="G15242" s="0" t="s">
        <v>22</v>
      </c>
      <c r="H15242" s="5">
        <v>399.826600</v>
      </c>
    </row>
    <row r="15243" spans="1:9">
      <c r="A15243" s="22" t="str">
        <f>HYPERLINK("https://app.vivvix.com/360/KMI/IntelliDrive/ApplUI/Pages/CreativePages/CustomReportCreativeDetail.aspx?App=23&amp;ReportView=4&amp;Qid=1711279&amp;Row=15235&amp;Col=1","No Title Assigned - #15274799297")</f>
        <v/>
      </c>
      <c r="B15243" s="0" t="s">
        <v>20237</v>
      </c>
      <c r="C15243" s="0" t="s">
        <v>20238</v>
      </c>
      <c r="D15243" s="0" t="s">
        <v>20238</v>
      </c>
      <c r="E15243" s="0" t="inlineStr">
        <is>
          <t xml:space="preserve">Mazda</t>
        </is>
      </c>
      <c r="F15243" s="0" t="s">
        <v>21</v>
      </c>
      <c r="G15243" s="0" t="s">
        <v>22</v>
      </c>
      <c r="H15243" s="5">
        <v>5063.088700</v>
      </c>
    </row>
    <row r="15244" spans="1:9">
      <c r="A15244" s="22" t="str">
        <f>HYPERLINK("https://app.vivvix.com/360/KMI/IntelliDrive/ApplUI/Pages/CreativePages/CustomReportCreativeDetail.aspx?App=23&amp;ReportView=4&amp;Qid=1711279&amp;Row=15236&amp;Col=1","No Title Assigned - #15274800933")</f>
        <v/>
      </c>
      <c r="B15244" s="0" t="s">
        <v>20239</v>
      </c>
      <c r="E15244" s="0" t="inlineStr">
        <is>
          <t xml:space="preserve">Mazda</t>
        </is>
      </c>
      <c r="F15244" s="0" t="s">
        <v>13</v>
      </c>
      <c r="G15244" s="0" t="s">
        <v>49</v>
      </c>
      <c r="H15244" s="5">
        <v>10.347600</v>
      </c>
    </row>
    <row r="15245" spans="1:9">
      <c r="A15245" s="22" t="str">
        <f>HYPERLINK("https://app.vivvix.com/360/KMI/IntelliDrive/ApplUI/Pages/CreativePages/CustomReportCreativeDetail.aspx?App=23&amp;ReportView=4&amp;Qid=1711279&amp;Row=15237&amp;Col=1","No Title Assigned - #15274801303")</f>
        <v/>
      </c>
      <c r="B15245" s="0" t="s">
        <v>20240</v>
      </c>
      <c r="C15245" s="0" t="s">
        <v>20241</v>
      </c>
      <c r="D15245" s="0" t="s">
        <v>4225</v>
      </c>
      <c r="E15245" s="0" t="inlineStr">
        <is>
          <t xml:space="preserve">Mazda</t>
        </is>
      </c>
      <c r="F15245" s="0" t="s">
        <v>28</v>
      </c>
      <c r="G15245" s="0" t="s">
        <v>29</v>
      </c>
      <c r="H15245" s="5">
        <v>103.873900</v>
      </c>
    </row>
    <row r="15246" spans="1:9">
      <c r="A15246" s="22" t="str">
        <f>HYPERLINK("https://app.vivvix.com/360/KMI/IntelliDrive/ApplUI/Pages/CreativePages/CustomReportCreativeDetail.aspx?App=23&amp;ReportView=4&amp;Qid=1711279&amp;Row=15238&amp;Col=1","No Title Assigned - #15274802945")</f>
        <v/>
      </c>
      <c r="B15246" s="0" t="s">
        <v>20242</v>
      </c>
      <c r="C15246" s="0" t="s">
        <v>20243</v>
      </c>
      <c r="D15246" s="0" t="s">
        <v>20243</v>
      </c>
      <c r="E15246" s="0" t="inlineStr">
        <is>
          <t xml:space="preserve">Mazda</t>
        </is>
      </c>
      <c r="F15246" s="0" t="s">
        <v>13</v>
      </c>
      <c r="G15246" s="0" t="s">
        <v>49</v>
      </c>
      <c r="H15246" s="5">
        <v>32.378800</v>
      </c>
    </row>
    <row r="15247" spans="1:9">
      <c r="A15247" s="22" t="str">
        <f>HYPERLINK("https://app.vivvix.com/360/KMI/IntelliDrive/ApplUI/Pages/CreativePages/CustomReportCreativeDetail.aspx?App=23&amp;ReportView=4&amp;Qid=1711279&amp;Row=15239&amp;Col=1","No Title Assigned - #15274803751")</f>
        <v/>
      </c>
      <c r="B15247" s="0" t="s">
        <v>20244</v>
      </c>
      <c r="C15247" s="0" t="s">
        <v>20245</v>
      </c>
      <c r="D15247" s="0" t="s">
        <v>11258</v>
      </c>
      <c r="E15247" s="0" t="inlineStr">
        <is>
          <t xml:space="preserve">Mazda</t>
        </is>
      </c>
      <c r="F15247" s="0" t="s">
        <v>13</v>
      </c>
      <c r="G15247" s="0" t="s">
        <v>49</v>
      </c>
      <c r="H15247" s="5">
        <v>98.135200</v>
      </c>
    </row>
    <row r="15248" spans="1:9">
      <c r="A15248" s="22" t="str">
        <f>HYPERLINK("https://app.vivvix.com/360/KMI/IntelliDrive/ApplUI/Pages/CreativePages/CustomReportCreativeDetail.aspx?App=23&amp;ReportView=4&amp;Qid=1711279&amp;Row=15240&amp;Col=1","No Title Assigned - #15274805529")</f>
        <v/>
      </c>
      <c r="B15248" s="0" t="s">
        <v>20246</v>
      </c>
      <c r="C15248" s="0" t="s">
        <v>20247</v>
      </c>
      <c r="D15248" s="0" t="s">
        <v>20247</v>
      </c>
      <c r="E15248" s="0" t="inlineStr">
        <is>
          <t xml:space="preserve">Mazda</t>
        </is>
      </c>
      <c r="F15248" s="0" t="s">
        <v>28</v>
      </c>
      <c r="G15248" s="0" t="s">
        <v>29</v>
      </c>
      <c r="H15248" s="5">
        <v>997.715200</v>
      </c>
    </row>
    <row r="15249" spans="1:9">
      <c r="A15249" s="22" t="str">
        <f>HYPERLINK("https://app.vivvix.com/360/KMI/IntelliDrive/ApplUI/Pages/CreativePages/CustomReportCreativeDetail.aspx?App=23&amp;ReportView=4&amp;Qid=1711279&amp;Row=15241&amp;Col=1","No Title Assigned - #15274807747")</f>
        <v/>
      </c>
      <c r="B15249" s="0" t="s">
        <v>20248</v>
      </c>
      <c r="C15249" s="0" t="s">
        <v>20249</v>
      </c>
      <c r="D15249" s="0" t="s">
        <v>18157</v>
      </c>
      <c r="E15249" s="0" t="inlineStr">
        <is>
          <t xml:space="preserve">Mazda</t>
        </is>
      </c>
      <c r="F15249" s="0" t="s">
        <v>13</v>
      </c>
      <c r="G15249" s="0" t="s">
        <v>49</v>
      </c>
      <c r="H15249" s="5">
        <v>407.523300</v>
      </c>
    </row>
    <row r="15250" spans="1:9">
      <c r="A15250" s="22" t="str">
        <f>HYPERLINK("https://app.vivvix.com/360/KMI/IntelliDrive/ApplUI/Pages/CreativePages/CustomReportCreativeDetail.aspx?App=23&amp;ReportView=4&amp;Qid=1711279&amp;Row=15242&amp;Col=1","No Title Assigned - #15274807747")</f>
        <v/>
      </c>
      <c r="B15250" s="0" t="s">
        <v>20248</v>
      </c>
      <c r="E15250" s="0" t="inlineStr">
        <is>
          <t xml:space="preserve">Mazda</t>
        </is>
      </c>
      <c r="F15250" s="0" t="s">
        <v>13</v>
      </c>
      <c r="G15250" s="0" t="s">
        <v>49</v>
      </c>
      <c r="H15250" s="5">
        <v>72.870300</v>
      </c>
    </row>
    <row r="15251" spans="1:9">
      <c r="A15251" s="22" t="str">
        <f>HYPERLINK("https://app.vivvix.com/360/KMI/IntelliDrive/ApplUI/Pages/CreativePages/CustomReportCreativeDetail.aspx?App=23&amp;ReportView=4&amp;Qid=1711279&amp;Row=15243&amp;Col=1","No Title Assigned - #15274808146")</f>
        <v/>
      </c>
      <c r="B15251" s="0" t="s">
        <v>20250</v>
      </c>
      <c r="C15251" s="0" t="s">
        <v>20251</v>
      </c>
      <c r="D15251" s="0" t="s">
        <v>6044</v>
      </c>
      <c r="E15251" s="0" t="inlineStr">
        <is>
          <t xml:space="preserve">Mazda</t>
        </is>
      </c>
      <c r="F15251" s="0" t="s">
        <v>13</v>
      </c>
      <c r="G15251" s="0" t="s">
        <v>49</v>
      </c>
      <c r="H15251" s="5">
        <v>1240.101600</v>
      </c>
    </row>
    <row r="15252" spans="1:9">
      <c r="A15252" s="22" t="str">
        <f>HYPERLINK("https://app.vivvix.com/360/KMI/IntelliDrive/ApplUI/Pages/CreativePages/CustomReportCreativeDetail.aspx?App=23&amp;ReportView=4&amp;Qid=1711279&amp;Row=15244&amp;Col=1","No Title Assigned - #15274808313")</f>
        <v/>
      </c>
      <c r="B15252" s="0" t="s">
        <v>20252</v>
      </c>
      <c r="C15252" s="0" t="s">
        <v>20253</v>
      </c>
      <c r="D15252" s="0" t="s">
        <v>20253</v>
      </c>
      <c r="E15252" s="0" t="inlineStr">
        <is>
          <t xml:space="preserve">Mazda</t>
        </is>
      </c>
      <c r="F15252" s="0" t="s">
        <v>21</v>
      </c>
      <c r="G15252" s="0" t="s">
        <v>22</v>
      </c>
      <c r="H15252" s="5">
        <v>332.457500</v>
      </c>
    </row>
    <row r="15253" spans="1:9">
      <c r="A15253" s="22" t="str">
        <f>HYPERLINK("https://app.vivvix.com/360/KMI/IntelliDrive/ApplUI/Pages/CreativePages/CustomReportCreativeDetail.aspx?App=23&amp;ReportView=4&amp;Qid=1711279&amp;Row=15245&amp;Col=1","No Title Assigned - #15274809043")</f>
        <v/>
      </c>
      <c r="B15253" s="0" t="s">
        <v>20254</v>
      </c>
      <c r="C15253" s="0" t="s">
        <v>20255</v>
      </c>
      <c r="D15253" s="0" t="s">
        <v>20255</v>
      </c>
      <c r="E15253" s="0" t="inlineStr">
        <is>
          <t xml:space="preserve">Mazda</t>
        </is>
      </c>
      <c r="F15253" s="0" t="s">
        <v>13</v>
      </c>
      <c r="G15253" s="0" t="s">
        <v>49</v>
      </c>
      <c r="H15253" s="5">
        <v>23389.068100</v>
      </c>
    </row>
    <row r="15254" spans="1:9">
      <c r="A15254" s="22" t="str">
        <f>HYPERLINK("https://app.vivvix.com/360/KMI/IntelliDrive/ApplUI/Pages/CreativePages/CustomReportCreativeDetail.aspx?App=23&amp;ReportView=4&amp;Qid=1711279&amp;Row=15246&amp;Col=1","No Title Assigned - #15274809749")</f>
        <v/>
      </c>
      <c r="B15254" s="0" t="s">
        <v>20256</v>
      </c>
      <c r="C15254" s="0" t="s">
        <v>20257</v>
      </c>
      <c r="D15254" s="0" t="s">
        <v>20257</v>
      </c>
      <c r="E15254" s="0" t="inlineStr">
        <is>
          <t xml:space="preserve">Mazda</t>
        </is>
      </c>
      <c r="F15254" s="0" t="s">
        <v>13</v>
      </c>
      <c r="G15254" s="0" t="s">
        <v>49</v>
      </c>
      <c r="H15254" s="5">
        <v>56.527000</v>
      </c>
    </row>
    <row r="15255" spans="1:9">
      <c r="A15255" s="22" t="str">
        <f>HYPERLINK("https://app.vivvix.com/360/KMI/IntelliDrive/ApplUI/Pages/CreativePages/CustomReportCreativeDetail.aspx?App=23&amp;ReportView=4&amp;Qid=1711279&amp;Row=15247&amp;Col=1","No Title Assigned - #15274810105")</f>
        <v/>
      </c>
      <c r="B15255" s="0" t="s">
        <v>20258</v>
      </c>
      <c r="C15255" s="0" t="s">
        <v>20259</v>
      </c>
      <c r="D15255" s="0" t="s">
        <v>20259</v>
      </c>
      <c r="E15255" s="0" t="inlineStr">
        <is>
          <t xml:space="preserve">Mazda</t>
        </is>
      </c>
      <c r="F15255" s="0" t="inlineStr">
        <is>
          <t xml:space="preserve">Mazda</t>
        </is>
      </c>
      <c r="G15255" s="0" t="s">
        <v>210</v>
      </c>
      <c r="H15255" s="5">
        <v>472.519800</v>
      </c>
    </row>
    <row r="15256" spans="1:9">
      <c r="A15256" s="22" t="str">
        <f>HYPERLINK("https://app.vivvix.com/360/KMI/IntelliDrive/ApplUI/Pages/CreativePages/CustomReportCreativeDetail.aspx?App=23&amp;ReportView=4&amp;Qid=1711279&amp;Row=15248&amp;Col=1","No Title Assigned - #15274810661")</f>
        <v/>
      </c>
      <c r="B15256" s="0" t="s">
        <v>20260</v>
      </c>
      <c r="C15256" s="0" t="s">
        <v>20261</v>
      </c>
      <c r="D15256" s="0" t="s">
        <v>9919</v>
      </c>
      <c r="E15256" s="0" t="inlineStr">
        <is>
          <t xml:space="preserve">Mazda</t>
        </is>
      </c>
      <c r="F15256" s="0" t="s">
        <v>13</v>
      </c>
      <c r="G15256" s="0" t="s">
        <v>49</v>
      </c>
      <c r="H15256" s="5">
        <v>8165.800500</v>
      </c>
    </row>
    <row r="15257" spans="1:9">
      <c r="A15257" s="22" t="str">
        <f>HYPERLINK("https://app.vivvix.com/360/KMI/IntelliDrive/ApplUI/Pages/CreativePages/CustomReportCreativeDetail.aspx?App=23&amp;ReportView=4&amp;Qid=1711279&amp;Row=15249&amp;Col=1","No Title Assigned - #15274813574")</f>
        <v/>
      </c>
      <c r="B15257" s="0" t="s">
        <v>20262</v>
      </c>
      <c r="C15257" s="0" t="s">
        <v>20263</v>
      </c>
      <c r="D15257" s="0" t="s">
        <v>20263</v>
      </c>
      <c r="E15257" s="0" t="inlineStr">
        <is>
          <t xml:space="preserve">Mazda</t>
        </is>
      </c>
      <c r="F15257" s="0" t="s">
        <v>13</v>
      </c>
      <c r="G15257" s="0" t="s">
        <v>49</v>
      </c>
      <c r="H15257" s="5">
        <v>20.816400</v>
      </c>
    </row>
    <row r="15258" spans="1:9">
      <c r="A15258" s="22" t="str">
        <f>HYPERLINK("https://app.vivvix.com/360/KMI/IntelliDrive/ApplUI/Pages/CreativePages/CustomReportCreativeDetail.aspx?App=23&amp;ReportView=4&amp;Qid=1711279&amp;Row=15250&amp;Col=1","No Title Assigned - #15274814021")</f>
        <v/>
      </c>
      <c r="B15258" s="0" t="s">
        <v>20264</v>
      </c>
      <c r="C15258" s="0" t="s">
        <v>20265</v>
      </c>
      <c r="D15258" s="0" t="s">
        <v>20265</v>
      </c>
      <c r="E15258" s="0" t="inlineStr">
        <is>
          <t xml:space="preserve">Mazda</t>
        </is>
      </c>
      <c r="F15258" s="0" t="s">
        <v>13</v>
      </c>
      <c r="G15258" s="0" t="s">
        <v>49</v>
      </c>
      <c r="H15258" s="5">
        <v>10617.732400</v>
      </c>
    </row>
    <row r="15259" spans="1:9">
      <c r="A15259" s="22" t="str">
        <f>HYPERLINK("https://app.vivvix.com/360/KMI/IntelliDrive/ApplUI/Pages/CreativePages/CustomReportCreativeDetail.aspx?App=23&amp;ReportView=4&amp;Qid=1711279&amp;Row=15251&amp;Col=1","No Title Assigned - #15274814211")</f>
        <v/>
      </c>
      <c r="B15259" s="0" t="s">
        <v>20266</v>
      </c>
      <c r="C15259" s="0" t="s">
        <v>20267</v>
      </c>
      <c r="D15259" s="0" t="s">
        <v>20267</v>
      </c>
      <c r="E15259" s="0" t="inlineStr">
        <is>
          <t xml:space="preserve">Mazda</t>
        </is>
      </c>
      <c r="F15259" s="0" t="s">
        <v>28</v>
      </c>
      <c r="G15259" s="0" t="s">
        <v>29</v>
      </c>
      <c r="H15259" s="5">
        <v>188.015000</v>
      </c>
    </row>
    <row r="15260" spans="1:9">
      <c r="A15260" s="22" t="str">
        <f>HYPERLINK("https://app.vivvix.com/360/KMI/IntelliDrive/ApplUI/Pages/CreativePages/CustomReportCreativeDetail.aspx?App=23&amp;ReportView=4&amp;Qid=1711279&amp;Row=15252&amp;Col=1","No Title Assigned - #15274814298")</f>
        <v/>
      </c>
      <c r="B15260" s="0" t="s">
        <v>20268</v>
      </c>
      <c r="E15260" s="0" t="inlineStr">
        <is>
          <t xml:space="preserve">Mazda</t>
        </is>
      </c>
      <c r="F15260" s="0" t="s">
        <v>13</v>
      </c>
      <c r="G15260" s="0" t="s">
        <v>49</v>
      </c>
      <c r="H15260" s="5">
        <v>101.967300</v>
      </c>
    </row>
    <row r="15261" spans="1:9">
      <c r="A15261" s="22" t="str">
        <f>HYPERLINK("https://app.vivvix.com/360/KMI/IntelliDrive/ApplUI/Pages/CreativePages/CustomReportCreativeDetail.aspx?App=23&amp;ReportView=4&amp;Qid=1711279&amp;Row=15253&amp;Col=1","No Title Assigned - #15274814431")</f>
        <v/>
      </c>
      <c r="B15261" s="0" t="s">
        <v>20269</v>
      </c>
      <c r="C15261" s="0" t="s">
        <v>20270</v>
      </c>
      <c r="D15261" s="0" t="s">
        <v>9167</v>
      </c>
      <c r="E15261" s="0" t="inlineStr">
        <is>
          <t xml:space="preserve">Mazda</t>
        </is>
      </c>
      <c r="F15261" s="0" t="s">
        <v>13</v>
      </c>
      <c r="G15261" s="0" t="s">
        <v>49</v>
      </c>
      <c r="H15261" s="5">
        <v>1106.003100</v>
      </c>
    </row>
    <row r="15262" spans="1:9">
      <c r="A15262" s="22" t="str">
        <f>HYPERLINK("https://app.vivvix.com/360/KMI/IntelliDrive/ApplUI/Pages/CreativePages/CustomReportCreativeDetail.aspx?App=23&amp;ReportView=4&amp;Qid=1711279&amp;Row=15254&amp;Col=1","No Title Assigned - #15274814437")</f>
        <v/>
      </c>
      <c r="B15262" s="0" t="s">
        <v>20271</v>
      </c>
      <c r="C15262" s="0" t="s">
        <v>20272</v>
      </c>
      <c r="D15262" s="0" t="s">
        <v>20272</v>
      </c>
      <c r="E15262" s="0" t="inlineStr">
        <is>
          <t xml:space="preserve">Mazda</t>
        </is>
      </c>
      <c r="F15262" s="0" t="s">
        <v>13</v>
      </c>
      <c r="G15262" s="0" t="s">
        <v>49</v>
      </c>
      <c r="H15262" s="5">
        <v>299.386300</v>
      </c>
    </row>
    <row r="15263" spans="1:9">
      <c r="A15263" s="22" t="str">
        <f>HYPERLINK("https://app.vivvix.com/360/KMI/IntelliDrive/ApplUI/Pages/CreativePages/CustomReportCreativeDetail.aspx?App=23&amp;ReportView=4&amp;Qid=1711279&amp;Row=15255&amp;Col=1","No Title Assigned - #15274814592")</f>
        <v/>
      </c>
      <c r="B15263" s="0" t="s">
        <v>20273</v>
      </c>
      <c r="C15263" s="0" t="s">
        <v>20274</v>
      </c>
      <c r="D15263" s="0" t="s">
        <v>20274</v>
      </c>
      <c r="E15263" s="0" t="inlineStr">
        <is>
          <t xml:space="preserve">Mazda</t>
        </is>
      </c>
      <c r="F15263" s="0" t="s">
        <v>28</v>
      </c>
      <c r="G15263" s="0" t="s">
        <v>29</v>
      </c>
      <c r="H15263" s="5">
        <v>515.144300</v>
      </c>
    </row>
    <row r="15264" spans="1:9">
      <c r="A15264" s="22" t="str">
        <f>HYPERLINK("https://app.vivvix.com/360/KMI/IntelliDrive/ApplUI/Pages/CreativePages/CustomReportCreativeDetail.aspx?App=23&amp;ReportView=4&amp;Qid=1711279&amp;Row=15256&amp;Col=1","No Title Assigned - #15274814596")</f>
        <v/>
      </c>
      <c r="B15264" s="0" t="s">
        <v>20275</v>
      </c>
      <c r="C15264" s="0" t="s">
        <v>20276</v>
      </c>
      <c r="D15264" s="0" t="s">
        <v>20276</v>
      </c>
      <c r="E15264" s="0" t="inlineStr">
        <is>
          <t xml:space="preserve">Mazda</t>
        </is>
      </c>
      <c r="F15264" s="0" t="s">
        <v>13</v>
      </c>
      <c r="G15264" s="0" t="s">
        <v>49</v>
      </c>
      <c r="H15264" s="5">
        <v>20.816400</v>
      </c>
    </row>
    <row r="15265" spans="1:9">
      <c r="A15265" s="22" t="str">
        <f>HYPERLINK("https://app.vivvix.com/360/KMI/IntelliDrive/ApplUI/Pages/CreativePages/CustomReportCreativeDetail.aspx?App=23&amp;ReportView=4&amp;Qid=1711279&amp;Row=15257&amp;Col=1","No Title Assigned - #15274815797")</f>
        <v/>
      </c>
      <c r="B15265" s="0" t="s">
        <v>20277</v>
      </c>
      <c r="E15265" s="0" t="inlineStr">
        <is>
          <t xml:space="preserve">Mazda</t>
        </is>
      </c>
      <c r="F15265" s="0" t="inlineStr">
        <is>
          <t xml:space="preserve">Mazda</t>
        </is>
      </c>
      <c r="G15265" s="0" t="s">
        <v>171</v>
      </c>
      <c r="H15265" s="5">
        <v>538.695900</v>
      </c>
    </row>
    <row r="15266" spans="1:9">
      <c r="A15266" s="22" t="str">
        <f>HYPERLINK("https://app.vivvix.com/360/KMI/IntelliDrive/ApplUI/Pages/CreativePages/CustomReportCreativeDetail.aspx?App=23&amp;ReportView=4&amp;Qid=1711279&amp;Row=15258&amp;Col=1","No Title Assigned - #15274816209")</f>
        <v/>
      </c>
      <c r="B15266" s="0" t="s">
        <v>20278</v>
      </c>
      <c r="E15266" s="0" t="inlineStr">
        <is>
          <t xml:space="preserve">Mazda</t>
        </is>
      </c>
      <c r="F15266" s="0" t="inlineStr">
        <is>
          <t xml:space="preserve">Mazda</t>
        </is>
      </c>
      <c r="G15266" s="0" t="s">
        <v>171</v>
      </c>
      <c r="H15266" s="5">
        <v>416.725800</v>
      </c>
    </row>
    <row r="15267" spans="1:9">
      <c r="A15267" s="22" t="str">
        <f>HYPERLINK("https://app.vivvix.com/360/KMI/IntelliDrive/ApplUI/Pages/CreativePages/CustomReportCreativeDetail.aspx?App=23&amp;ReportView=4&amp;Qid=1711279&amp;Row=15259&amp;Col=1","No Title Assigned - #15274816836")</f>
        <v/>
      </c>
      <c r="B15267" s="0" t="s">
        <v>20279</v>
      </c>
      <c r="E15267" s="0" t="inlineStr">
        <is>
          <t xml:space="preserve">Mazda</t>
        </is>
      </c>
      <c r="F15267" s="0" t="inlineStr">
        <is>
          <t xml:space="preserve">Mazda</t>
        </is>
      </c>
      <c r="G15267" s="0" t="s">
        <v>171</v>
      </c>
      <c r="H15267" s="5">
        <v>69.959100</v>
      </c>
    </row>
    <row r="15268" spans="1:9">
      <c r="A15268" s="22" t="str">
        <f>HYPERLINK("https://app.vivvix.com/360/KMI/IntelliDrive/ApplUI/Pages/CreativePages/CustomReportCreativeDetail.aspx?App=23&amp;ReportView=4&amp;Qid=1711279&amp;Row=15260&amp;Col=1","No Title Assigned - #15274816932")</f>
        <v/>
      </c>
      <c r="B15268" s="0" t="s">
        <v>20280</v>
      </c>
      <c r="E15268" s="0" t="inlineStr">
        <is>
          <t xml:space="preserve">Mazda</t>
        </is>
      </c>
      <c r="F15268" s="0" t="inlineStr">
        <is>
          <t xml:space="preserve">Mazda</t>
        </is>
      </c>
      <c r="G15268" s="0" t="s">
        <v>171</v>
      </c>
      <c r="H15268" s="5">
        <v>13.354100</v>
      </c>
    </row>
    <row r="15269" spans="1:9">
      <c r="A15269" s="22" t="str">
        <f>HYPERLINK("https://app.vivvix.com/360/KMI/IntelliDrive/ApplUI/Pages/CreativePages/CustomReportCreativeDetail.aspx?App=23&amp;ReportView=4&amp;Qid=1711279&amp;Row=15261&amp;Col=1","No Title Assigned - #15274817053")</f>
        <v/>
      </c>
      <c r="B15269" s="0" t="s">
        <v>20281</v>
      </c>
      <c r="E15269" s="0" t="inlineStr">
        <is>
          <t xml:space="preserve">Mazda</t>
        </is>
      </c>
      <c r="F15269" s="0" t="inlineStr">
        <is>
          <t xml:space="preserve">Mazda</t>
        </is>
      </c>
      <c r="G15269" s="0" t="s">
        <v>171</v>
      </c>
      <c r="H15269" s="5">
        <v>595.893000</v>
      </c>
    </row>
    <row r="15270" spans="1:9">
      <c r="A15270" s="22" t="str">
        <f>HYPERLINK("https://app.vivvix.com/360/KMI/IntelliDrive/ApplUI/Pages/CreativePages/CustomReportCreativeDetail.aspx?App=23&amp;ReportView=4&amp;Qid=1711279&amp;Row=15262&amp;Col=1","No Title Assigned - #15274817365")</f>
        <v/>
      </c>
      <c r="B15270" s="0" t="s">
        <v>20282</v>
      </c>
      <c r="E15270" s="0" t="inlineStr">
        <is>
          <t xml:space="preserve">Mazda</t>
        </is>
      </c>
      <c r="F15270" s="0" t="inlineStr">
        <is>
          <t xml:space="preserve">Mazda</t>
        </is>
      </c>
      <c r="G15270" s="0" t="s">
        <v>171</v>
      </c>
      <c r="H15270" s="5">
        <v>23.724900</v>
      </c>
    </row>
    <row r="15271" spans="1:9">
      <c r="A15271" s="22" t="str">
        <f>HYPERLINK("https://app.vivvix.com/360/KMI/IntelliDrive/ApplUI/Pages/CreativePages/CustomReportCreativeDetail.aspx?App=23&amp;ReportView=4&amp;Qid=1711279&amp;Row=15263&amp;Col=1","No Title Assigned - #15274817444")</f>
        <v/>
      </c>
      <c r="B15271" s="0" t="s">
        <v>20283</v>
      </c>
      <c r="E15271" s="0" t="inlineStr">
        <is>
          <t xml:space="preserve">Mazda</t>
        </is>
      </c>
      <c r="F15271" s="0" t="inlineStr">
        <is>
          <t xml:space="preserve">Mazda</t>
        </is>
      </c>
      <c r="G15271" s="0" t="s">
        <v>171</v>
      </c>
      <c r="H15271" s="5">
        <v>75.126100</v>
      </c>
    </row>
    <row r="15272" spans="1:9">
      <c r="A15272" s="22" t="str">
        <f>HYPERLINK("https://app.vivvix.com/360/KMI/IntelliDrive/ApplUI/Pages/CreativePages/CustomReportCreativeDetail.aspx?App=23&amp;ReportView=4&amp;Qid=1711279&amp;Row=15264&amp;Col=1","No Title Assigned - #15274817446")</f>
        <v/>
      </c>
      <c r="B15272" s="0" t="s">
        <v>20284</v>
      </c>
      <c r="E15272" s="0" t="inlineStr">
        <is>
          <t xml:space="preserve">Mazda</t>
        </is>
      </c>
      <c r="F15272" s="0" t="inlineStr">
        <is>
          <t xml:space="preserve">Mazda</t>
        </is>
      </c>
      <c r="G15272" s="0" t="s">
        <v>171</v>
      </c>
      <c r="H15272" s="5">
        <v>225.378300</v>
      </c>
    </row>
    <row r="15273" spans="1:9">
      <c r="A15273" s="22" t="str">
        <f>HYPERLINK("https://app.vivvix.com/360/KMI/IntelliDrive/ApplUI/Pages/CreativePages/CustomReportCreativeDetail.aspx?App=23&amp;ReportView=4&amp;Qid=1711279&amp;Row=15265&amp;Col=1","No Title Assigned - #15274818947")</f>
        <v/>
      </c>
      <c r="B15273" s="0" t="s">
        <v>20285</v>
      </c>
      <c r="E15273" s="0" t="inlineStr">
        <is>
          <t xml:space="preserve">Mazda</t>
        </is>
      </c>
      <c r="F15273" s="0" t="inlineStr">
        <is>
          <t xml:space="preserve">Mazda</t>
        </is>
      </c>
      <c r="G15273" s="0" t="s">
        <v>171</v>
      </c>
      <c r="H15273" s="5">
        <v>67.222100</v>
      </c>
    </row>
    <row r="15274" spans="1:9">
      <c r="A15274" s="22" t="str">
        <f>HYPERLINK("https://app.vivvix.com/360/KMI/IntelliDrive/ApplUI/Pages/CreativePages/CustomReportCreativeDetail.aspx?App=23&amp;ReportView=4&amp;Qid=1711279&amp;Row=15266&amp;Col=1","No Title Assigned - #15274818989")</f>
        <v/>
      </c>
      <c r="B15274" s="0" t="s">
        <v>20286</v>
      </c>
      <c r="E15274" s="0" t="inlineStr">
        <is>
          <t xml:space="preserve">Mazda</t>
        </is>
      </c>
      <c r="F15274" s="0" t="s">
        <v>21</v>
      </c>
      <c r="G15274" s="0" t="s">
        <v>22</v>
      </c>
      <c r="H15274" s="5">
        <v>589.287400</v>
      </c>
    </row>
    <row r="15275" spans="1:9">
      <c r="A15275" s="22" t="str">
        <f>HYPERLINK("https://app.vivvix.com/360/KMI/IntelliDrive/ApplUI/Pages/CreativePages/CustomReportCreativeDetail.aspx?App=23&amp;ReportView=4&amp;Qid=1711279&amp;Row=15267&amp;Col=1","No Title Assigned - #15274819086")</f>
        <v/>
      </c>
      <c r="B15275" s="0" t="s">
        <v>20287</v>
      </c>
      <c r="C15275" s="0" t="s">
        <v>20288</v>
      </c>
      <c r="D15275" s="0" t="s">
        <v>20288</v>
      </c>
      <c r="E15275" s="0" t="inlineStr">
        <is>
          <t xml:space="preserve">Mazda</t>
        </is>
      </c>
      <c r="F15275" s="0" t="inlineStr">
        <is>
          <t xml:space="preserve">Mazda</t>
        </is>
      </c>
      <c r="G15275" s="0" t="s">
        <v>171</v>
      </c>
      <c r="H15275" s="5">
        <v>329.001000</v>
      </c>
    </row>
    <row r="15276" spans="1:9">
      <c r="A15276" s="22" t="str">
        <f>HYPERLINK("https://app.vivvix.com/360/KMI/IntelliDrive/ApplUI/Pages/CreativePages/CustomReportCreativeDetail.aspx?App=23&amp;ReportView=4&amp;Qid=1711279&amp;Row=15268&amp;Col=1","No Title Assigned - #15274819687")</f>
        <v/>
      </c>
      <c r="B15276" s="0" t="s">
        <v>20289</v>
      </c>
      <c r="E15276" s="0" t="inlineStr">
        <is>
          <t xml:space="preserve">Mazda</t>
        </is>
      </c>
      <c r="F15276" s="0" t="inlineStr">
        <is>
          <t xml:space="preserve">Mazda</t>
        </is>
      </c>
      <c r="G15276" s="0" t="s">
        <v>171</v>
      </c>
      <c r="H15276" s="5">
        <v>132.465700</v>
      </c>
    </row>
    <row r="15277" spans="1:9">
      <c r="A15277" s="22" t="str">
        <f>HYPERLINK("https://app.vivvix.com/360/KMI/IntelliDrive/ApplUI/Pages/CreativePages/CustomReportCreativeDetail.aspx?App=23&amp;ReportView=4&amp;Qid=1711279&amp;Row=15269&amp;Col=1","No Title Assigned - #15274819803")</f>
        <v/>
      </c>
      <c r="B15277" s="0" t="s">
        <v>20290</v>
      </c>
      <c r="E15277" s="0" t="inlineStr">
        <is>
          <t xml:space="preserve">Mazda</t>
        </is>
      </c>
      <c r="F15277" s="0" t="inlineStr">
        <is>
          <t xml:space="preserve">Mazda</t>
        </is>
      </c>
      <c r="G15277" s="0" t="s">
        <v>171</v>
      </c>
      <c r="H15277" s="5">
        <v>249.363700</v>
      </c>
    </row>
    <row r="15278" spans="1:9">
      <c r="A15278" s="22" t="str">
        <f>HYPERLINK("https://app.vivvix.com/360/KMI/IntelliDrive/ApplUI/Pages/CreativePages/CustomReportCreativeDetail.aspx?App=23&amp;ReportView=4&amp;Qid=1711279&amp;Row=15270&amp;Col=1","No Title Assigned - #15274820058")</f>
        <v/>
      </c>
      <c r="B15278" s="0" t="s">
        <v>20291</v>
      </c>
      <c r="E15278" s="0" t="inlineStr">
        <is>
          <t xml:space="preserve">Mazda</t>
        </is>
      </c>
      <c r="F15278" s="0" t="inlineStr">
        <is>
          <t xml:space="preserve">Mazda</t>
        </is>
      </c>
      <c r="G15278" s="0" t="s">
        <v>171</v>
      </c>
      <c r="H15278" s="5">
        <v>291.337000</v>
      </c>
    </row>
    <row r="15279" spans="1:9">
      <c r="A15279" s="22" t="str">
        <f>HYPERLINK("https://app.vivvix.com/360/KMI/IntelliDrive/ApplUI/Pages/CreativePages/CustomReportCreativeDetail.aspx?App=23&amp;ReportView=4&amp;Qid=1711279&amp;Row=15271&amp;Col=1","No Title Assigned - #15274820382")</f>
        <v/>
      </c>
      <c r="B15279" s="0" t="s">
        <v>20292</v>
      </c>
      <c r="C15279" s="0" t="s">
        <v>20293</v>
      </c>
      <c r="D15279" s="0" t="s">
        <v>20293</v>
      </c>
      <c r="E15279" s="0" t="inlineStr">
        <is>
          <t xml:space="preserve">Mazda</t>
        </is>
      </c>
      <c r="F15279" s="0" t="inlineStr">
        <is>
          <t xml:space="preserve">Mazda</t>
        </is>
      </c>
      <c r="G15279" s="0" t="s">
        <v>171</v>
      </c>
      <c r="H15279" s="5">
        <v>45.696200</v>
      </c>
    </row>
    <row r="15280" spans="1:9">
      <c r="A15280" s="22" t="str">
        <f>HYPERLINK("https://app.vivvix.com/360/KMI/IntelliDrive/ApplUI/Pages/CreativePages/CustomReportCreativeDetail.aspx?App=23&amp;ReportView=4&amp;Qid=1711279&amp;Row=15272&amp;Col=1","No Title Assigned - #15274820451")</f>
        <v/>
      </c>
      <c r="B15280" s="0" t="s">
        <v>20294</v>
      </c>
      <c r="E15280" s="0" t="inlineStr">
        <is>
          <t xml:space="preserve">Mazda</t>
        </is>
      </c>
      <c r="F15280" s="0" t="inlineStr">
        <is>
          <t xml:space="preserve">Mazda</t>
        </is>
      </c>
      <c r="G15280" s="0" t="s">
        <v>171</v>
      </c>
      <c r="H15280" s="5">
        <v>87.269000</v>
      </c>
    </row>
    <row r="15281" spans="1:9">
      <c r="A15281" s="22" t="str">
        <f>HYPERLINK("https://app.vivvix.com/360/KMI/IntelliDrive/ApplUI/Pages/CreativePages/CustomReportCreativeDetail.aspx?App=23&amp;ReportView=4&amp;Qid=1711279&amp;Row=15273&amp;Col=1","No Title Assigned - #15274820753")</f>
        <v/>
      </c>
      <c r="B15281" s="0" t="s">
        <v>20295</v>
      </c>
      <c r="E15281" s="0" t="inlineStr">
        <is>
          <t xml:space="preserve">Mazda</t>
        </is>
      </c>
      <c r="F15281" s="0" t="inlineStr">
        <is>
          <t xml:space="preserve">Mazda</t>
        </is>
      </c>
      <c r="G15281" s="0" t="s">
        <v>171</v>
      </c>
      <c r="H15281" s="5">
        <v>98.239700</v>
      </c>
    </row>
    <row r="15282" spans="1:9">
      <c r="A15282" s="22" t="str">
        <f>HYPERLINK("https://app.vivvix.com/360/KMI/IntelliDrive/ApplUI/Pages/CreativePages/CustomReportCreativeDetail.aspx?App=23&amp;ReportView=4&amp;Qid=1711279&amp;Row=15274&amp;Col=1","No Title Assigned - #15274820767")</f>
        <v/>
      </c>
      <c r="B15282" s="0" t="s">
        <v>20296</v>
      </c>
      <c r="E15282" s="0" t="inlineStr">
        <is>
          <t xml:space="preserve">Mazda</t>
        </is>
      </c>
      <c r="F15282" s="0" t="inlineStr">
        <is>
          <t xml:space="preserve">Mazda</t>
        </is>
      </c>
      <c r="G15282" s="0" t="s">
        <v>171</v>
      </c>
      <c r="H15282" s="5">
        <v>229.228900</v>
      </c>
    </row>
    <row r="15283" spans="1:9">
      <c r="A15283" s="22" t="str">
        <f>HYPERLINK("https://app.vivvix.com/360/KMI/IntelliDrive/ApplUI/Pages/CreativePages/CustomReportCreativeDetail.aspx?App=23&amp;ReportView=4&amp;Qid=1711279&amp;Row=15275&amp;Col=1","No Title Assigned - #15274820850")</f>
        <v/>
      </c>
      <c r="B15283" s="0" t="s">
        <v>20297</v>
      </c>
      <c r="E15283" s="0" t="inlineStr">
        <is>
          <t xml:space="preserve">Mazda</t>
        </is>
      </c>
      <c r="F15283" s="0" t="inlineStr">
        <is>
          <t xml:space="preserve">Mazda</t>
        </is>
      </c>
      <c r="G15283" s="0" t="s">
        <v>171</v>
      </c>
      <c r="H15283" s="5">
        <v>1.450600</v>
      </c>
    </row>
    <row r="15284" spans="1:9">
      <c r="A15284" s="22" t="str">
        <f>HYPERLINK("https://app.vivvix.com/360/KMI/IntelliDrive/ApplUI/Pages/CreativePages/CustomReportCreativeDetail.aspx?App=23&amp;ReportView=4&amp;Qid=1711279&amp;Row=15276&amp;Col=1","No Title Assigned - #15274820901")</f>
        <v/>
      </c>
      <c r="B15284" s="0" t="s">
        <v>20298</v>
      </c>
      <c r="E15284" s="0" t="inlineStr">
        <is>
          <t xml:space="preserve">Mazda</t>
        </is>
      </c>
      <c r="F15284" s="0" t="inlineStr">
        <is>
          <t xml:space="preserve">Mazda</t>
        </is>
      </c>
      <c r="G15284" s="0" t="s">
        <v>171</v>
      </c>
      <c r="H15284" s="5">
        <v>15.960200</v>
      </c>
    </row>
    <row r="15285" spans="1:9">
      <c r="A15285" s="22" t="str">
        <f>HYPERLINK("https://app.vivvix.com/360/KMI/IntelliDrive/ApplUI/Pages/CreativePages/CustomReportCreativeDetail.aspx?App=23&amp;ReportView=4&amp;Qid=1711279&amp;Row=15277&amp;Col=1","No Title Assigned - #15274820901")</f>
        <v/>
      </c>
      <c r="B15285" s="0" t="s">
        <v>20298</v>
      </c>
      <c r="E15285" s="0" t="inlineStr">
        <is>
          <t xml:space="preserve">Mazda</t>
        </is>
      </c>
      <c r="F15285" s="0" t="inlineStr">
        <is>
          <t xml:space="preserve">Mazda</t>
        </is>
      </c>
      <c r="G15285" s="0" t="s">
        <v>171</v>
      </c>
      <c r="H15285" s="5">
        <v>79.672200</v>
      </c>
    </row>
    <row r="15286" spans="1:9">
      <c r="A15286" s="22" t="str">
        <f>HYPERLINK("https://app.vivvix.com/360/KMI/IntelliDrive/ApplUI/Pages/CreativePages/CustomReportCreativeDetail.aspx?App=23&amp;ReportView=4&amp;Qid=1711279&amp;Row=15278&amp;Col=1","No Title Assigned - #15274821037")</f>
        <v/>
      </c>
      <c r="B15286" s="0" t="s">
        <v>20299</v>
      </c>
      <c r="E15286" s="0" t="inlineStr">
        <is>
          <t xml:space="preserve">Mazda</t>
        </is>
      </c>
      <c r="F15286" s="0" t="inlineStr">
        <is>
          <t xml:space="preserve">Mazda</t>
        </is>
      </c>
      <c r="G15286" s="0" t="s">
        <v>171</v>
      </c>
      <c r="H15286" s="5">
        <v>518.580900</v>
      </c>
    </row>
    <row r="15287" spans="1:9">
      <c r="A15287" s="22" t="str">
        <f>HYPERLINK("https://app.vivvix.com/360/KMI/IntelliDrive/ApplUI/Pages/CreativePages/CustomReportCreativeDetail.aspx?App=23&amp;ReportView=4&amp;Qid=1711279&amp;Row=15279&amp;Col=1","No Title Assigned - #15274821058")</f>
        <v/>
      </c>
      <c r="B15287" s="0" t="s">
        <v>20300</v>
      </c>
      <c r="E15287" s="0" t="inlineStr">
        <is>
          <t xml:space="preserve">Mazda</t>
        </is>
      </c>
      <c r="F15287" s="0" t="inlineStr">
        <is>
          <t xml:space="preserve">Mazda</t>
        </is>
      </c>
      <c r="G15287" s="0" t="s">
        <v>171</v>
      </c>
      <c r="H15287" s="5">
        <v>42.558500</v>
      </c>
    </row>
    <row r="15288" spans="1:9">
      <c r="A15288" s="22" t="str">
        <f>HYPERLINK("https://app.vivvix.com/360/KMI/IntelliDrive/ApplUI/Pages/CreativePages/CustomReportCreativeDetail.aspx?App=23&amp;ReportView=4&amp;Qid=1711279&amp;Row=15280&amp;Col=1","No Title Assigned - #15274821082")</f>
        <v/>
      </c>
      <c r="B15288" s="0" t="s">
        <v>20301</v>
      </c>
      <c r="E15288" s="0" t="inlineStr">
        <is>
          <t xml:space="preserve">Mazda</t>
        </is>
      </c>
      <c r="F15288" s="0" t="inlineStr">
        <is>
          <t xml:space="preserve">Mazda</t>
        </is>
      </c>
      <c r="G15288" s="0" t="s">
        <v>171</v>
      </c>
      <c r="H15288" s="5">
        <v>1276.816600</v>
      </c>
    </row>
    <row r="15289" spans="1:9">
      <c r="A15289" s="22" t="str">
        <f>HYPERLINK("https://app.vivvix.com/360/KMI/IntelliDrive/ApplUI/Pages/CreativePages/CustomReportCreativeDetail.aspx?App=23&amp;ReportView=4&amp;Qid=1711279&amp;Row=15281&amp;Col=1","No Title Assigned - #15274821300")</f>
        <v/>
      </c>
      <c r="B15289" s="0" t="s">
        <v>20302</v>
      </c>
      <c r="E15289" s="0" t="inlineStr">
        <is>
          <t xml:space="preserve">Mazda</t>
        </is>
      </c>
      <c r="F15289" s="0" t="inlineStr">
        <is>
          <t xml:space="preserve">Mazda</t>
        </is>
      </c>
      <c r="G15289" s="0" t="s">
        <v>171</v>
      </c>
      <c r="H15289" s="5">
        <v>175.936700</v>
      </c>
    </row>
    <row r="15290" spans="1:9">
      <c r="A15290" s="22" t="str">
        <f>HYPERLINK("https://app.vivvix.com/360/KMI/IntelliDrive/ApplUI/Pages/CreativePages/CustomReportCreativeDetail.aspx?App=23&amp;ReportView=4&amp;Qid=1711279&amp;Row=15282&amp;Col=1","No Title Assigned - #15274821618")</f>
        <v/>
      </c>
      <c r="B15290" s="0" t="s">
        <v>20303</v>
      </c>
      <c r="E15290" s="0" t="inlineStr">
        <is>
          <t xml:space="preserve">Mazda</t>
        </is>
      </c>
      <c r="F15290" s="0" t="inlineStr">
        <is>
          <t xml:space="preserve">Mazda</t>
        </is>
      </c>
      <c r="G15290" s="0" t="s">
        <v>171</v>
      </c>
      <c r="H15290" s="5">
        <v>29.023800</v>
      </c>
    </row>
    <row r="15291" spans="1:9">
      <c r="A15291" s="22" t="str">
        <f>HYPERLINK("https://app.vivvix.com/360/KMI/IntelliDrive/ApplUI/Pages/CreativePages/CustomReportCreativeDetail.aspx?App=23&amp;ReportView=4&amp;Qid=1711279&amp;Row=15283&amp;Col=1","No Title Assigned - #15274822380")</f>
        <v/>
      </c>
      <c r="B15291" s="0" t="s">
        <v>20304</v>
      </c>
      <c r="E15291" s="0" t="inlineStr">
        <is>
          <t xml:space="preserve">Mazda</t>
        </is>
      </c>
      <c r="F15291" s="0" t="inlineStr">
        <is>
          <t xml:space="preserve">Mazda</t>
        </is>
      </c>
      <c r="G15291" s="0" t="s">
        <v>171</v>
      </c>
      <c r="H15291" s="5">
        <v>646.021600</v>
      </c>
    </row>
    <row r="15292" spans="1:9">
      <c r="A15292" s="22" t="str">
        <f>HYPERLINK("https://app.vivvix.com/360/KMI/IntelliDrive/ApplUI/Pages/CreativePages/CustomReportCreativeDetail.aspx?App=23&amp;ReportView=4&amp;Qid=1711279&amp;Row=15284&amp;Col=1","No Title Assigned - #15274823238")</f>
        <v/>
      </c>
      <c r="B15292" s="0" t="s">
        <v>20305</v>
      </c>
      <c r="E15292" s="0" t="inlineStr">
        <is>
          <t xml:space="preserve">Mazda</t>
        </is>
      </c>
      <c r="F15292" s="0" t="inlineStr">
        <is>
          <t xml:space="preserve">Mazda</t>
        </is>
      </c>
      <c r="G15292" s="0" t="s">
        <v>171</v>
      </c>
      <c r="H15292" s="5">
        <v>118.781700</v>
      </c>
    </row>
    <row r="15293" spans="1:9">
      <c r="A15293" s="22" t="str">
        <f>HYPERLINK("https://app.vivvix.com/360/KMI/IntelliDrive/ApplUI/Pages/CreativePages/CustomReportCreativeDetail.aspx?App=23&amp;ReportView=4&amp;Qid=1711279&amp;Row=15285&amp;Col=1","No Title Assigned - #15274823708")</f>
        <v/>
      </c>
      <c r="B15293" s="0" t="s">
        <v>20306</v>
      </c>
      <c r="E15293" s="0" t="inlineStr">
        <is>
          <t xml:space="preserve">Mazda</t>
        </is>
      </c>
      <c r="F15293" s="0" t="inlineStr">
        <is>
          <t xml:space="preserve">Mazda</t>
        </is>
      </c>
      <c r="G15293" s="0" t="s">
        <v>171</v>
      </c>
      <c r="H15293" s="5">
        <v>41.840700</v>
      </c>
    </row>
    <row r="15294" spans="1:9">
      <c r="A15294" s="22" t="str">
        <f>HYPERLINK("https://app.vivvix.com/360/KMI/IntelliDrive/ApplUI/Pages/CreativePages/CustomReportCreativeDetail.aspx?App=23&amp;ReportView=4&amp;Qid=1711279&amp;Row=15286&amp;Col=1","No Title Assigned - #15274824065")</f>
        <v/>
      </c>
      <c r="B15294" s="0" t="s">
        <v>20307</v>
      </c>
      <c r="E15294" s="0" t="inlineStr">
        <is>
          <t xml:space="preserve">Mazda</t>
        </is>
      </c>
      <c r="F15294" s="0" t="inlineStr">
        <is>
          <t xml:space="preserve">Mazda</t>
        </is>
      </c>
      <c r="G15294" s="0" t="s">
        <v>171</v>
      </c>
      <c r="H15294" s="5">
        <v>34.327700</v>
      </c>
    </row>
    <row r="15295" spans="1:9">
      <c r="A15295" s="22" t="str">
        <f>HYPERLINK("https://app.vivvix.com/360/KMI/IntelliDrive/ApplUI/Pages/CreativePages/CustomReportCreativeDetail.aspx?App=23&amp;ReportView=4&amp;Qid=1711279&amp;Row=15287&amp;Col=1","No Title Assigned - #15274824982")</f>
        <v/>
      </c>
      <c r="B15295" s="0" t="s">
        <v>20308</v>
      </c>
      <c r="C15295" s="0" t="s">
        <v>20309</v>
      </c>
      <c r="D15295" s="0" t="s">
        <v>20309</v>
      </c>
      <c r="E15295" s="0" t="inlineStr">
        <is>
          <t xml:space="preserve">Mazda</t>
        </is>
      </c>
      <c r="F15295" s="0" t="inlineStr">
        <is>
          <t xml:space="preserve">Mazda</t>
        </is>
      </c>
      <c r="G15295" s="0" t="s">
        <v>171</v>
      </c>
      <c r="H15295" s="5">
        <v>165.033400</v>
      </c>
    </row>
    <row r="15296" spans="1:9">
      <c r="A15296" s="22" t="str">
        <f>HYPERLINK("https://app.vivvix.com/360/KMI/IntelliDrive/ApplUI/Pages/CreativePages/CustomReportCreativeDetail.aspx?App=23&amp;ReportView=4&amp;Qid=1711279&amp;Row=15288&amp;Col=1","No Title Assigned - #15274825306")</f>
        <v/>
      </c>
      <c r="B15296" s="0" t="s">
        <v>20310</v>
      </c>
      <c r="E15296" s="0" t="inlineStr">
        <is>
          <t xml:space="preserve">Mazda</t>
        </is>
      </c>
      <c r="F15296" s="0" t="inlineStr">
        <is>
          <t xml:space="preserve">Mazda</t>
        </is>
      </c>
      <c r="G15296" s="0" t="s">
        <v>171</v>
      </c>
      <c r="H15296" s="5">
        <v>34.907600</v>
      </c>
    </row>
    <row r="15297" spans="1:9">
      <c r="A15297" s="22" t="str">
        <f>HYPERLINK("https://app.vivvix.com/360/KMI/IntelliDrive/ApplUI/Pages/CreativePages/CustomReportCreativeDetail.aspx?App=23&amp;ReportView=4&amp;Qid=1711279&amp;Row=15289&amp;Col=1","No Title Assigned - #15274825501")</f>
        <v/>
      </c>
      <c r="B15297" s="0" t="s">
        <v>20311</v>
      </c>
      <c r="E15297" s="0" t="inlineStr">
        <is>
          <t xml:space="preserve">Mazda</t>
        </is>
      </c>
      <c r="F15297" s="0" t="inlineStr">
        <is>
          <t xml:space="preserve">Mazda</t>
        </is>
      </c>
      <c r="G15297" s="0" t="s">
        <v>171</v>
      </c>
      <c r="H15297" s="5">
        <v>56.939700</v>
      </c>
    </row>
    <row r="15298" spans="1:9">
      <c r="A15298" s="22" t="str">
        <f>HYPERLINK("https://app.vivvix.com/360/KMI/IntelliDrive/ApplUI/Pages/CreativePages/CustomReportCreativeDetail.aspx?App=23&amp;ReportView=4&amp;Qid=1711279&amp;Row=15290&amp;Col=1","No Title Assigned - #15274826143")</f>
        <v/>
      </c>
      <c r="B15298" s="0" t="s">
        <v>20312</v>
      </c>
      <c r="E15298" s="0" t="inlineStr">
        <is>
          <t xml:space="preserve">Mazda</t>
        </is>
      </c>
      <c r="F15298" s="0" t="inlineStr">
        <is>
          <t xml:space="preserve">Mazda</t>
        </is>
      </c>
      <c r="G15298" s="0" t="s">
        <v>171</v>
      </c>
      <c r="H15298" s="5">
        <v>743.880400</v>
      </c>
    </row>
    <row r="15299" spans="1:9">
      <c r="A15299" s="22" t="str">
        <f>HYPERLINK("https://app.vivvix.com/360/KMI/IntelliDrive/ApplUI/Pages/CreativePages/CustomReportCreativeDetail.aspx?App=23&amp;ReportView=4&amp;Qid=1711279&amp;Row=15291&amp;Col=1","No Title Assigned - #15274826143")</f>
        <v/>
      </c>
      <c r="B15299" s="0" t="s">
        <v>20312</v>
      </c>
      <c r="E15299" s="0" t="inlineStr">
        <is>
          <t xml:space="preserve">Mazda</t>
        </is>
      </c>
      <c r="F15299" s="0" t="inlineStr">
        <is>
          <t xml:space="preserve">Mazda</t>
        </is>
      </c>
      <c r="G15299" s="0" t="s">
        <v>171</v>
      </c>
      <c r="H15299" s="5">
        <v>291.257900</v>
      </c>
    </row>
    <row r="15300" spans="1:9">
      <c r="A15300" s="22" t="str">
        <f>HYPERLINK("https://app.vivvix.com/360/KMI/IntelliDrive/ApplUI/Pages/CreativePages/CustomReportCreativeDetail.aspx?App=23&amp;ReportView=4&amp;Qid=1711279&amp;Row=15292&amp;Col=1","No Title Assigned - #15274826586")</f>
        <v/>
      </c>
      <c r="B15300" s="0" t="s">
        <v>20313</v>
      </c>
      <c r="E15300" s="0" t="inlineStr">
        <is>
          <t xml:space="preserve">Mazda</t>
        </is>
      </c>
      <c r="F15300" s="0" t="inlineStr">
        <is>
          <t xml:space="preserve">Mazda</t>
        </is>
      </c>
      <c r="G15300" s="0" t="s">
        <v>171</v>
      </c>
      <c r="H15300" s="5">
        <v>93.987900</v>
      </c>
    </row>
    <row r="15301" spans="1:9">
      <c r="A15301" s="22" t="str">
        <f>HYPERLINK("https://app.vivvix.com/360/KMI/IntelliDrive/ApplUI/Pages/CreativePages/CustomReportCreativeDetail.aspx?App=23&amp;ReportView=4&amp;Qid=1711279&amp;Row=15293&amp;Col=1","No Title Assigned - #15274828005")</f>
        <v/>
      </c>
      <c r="B15301" s="0" t="s">
        <v>20314</v>
      </c>
      <c r="E15301" s="0" t="inlineStr">
        <is>
          <t xml:space="preserve">Mazda</t>
        </is>
      </c>
      <c r="F15301" s="0" t="inlineStr">
        <is>
          <t xml:space="preserve">Mazda</t>
        </is>
      </c>
      <c r="G15301" s="0" t="s">
        <v>171</v>
      </c>
      <c r="H15301" s="5">
        <v>93.906700</v>
      </c>
    </row>
    <row r="15302" spans="1:9">
      <c r="A15302" s="22" t="str">
        <f>HYPERLINK("https://app.vivvix.com/360/KMI/IntelliDrive/ApplUI/Pages/CreativePages/CustomReportCreativeDetail.aspx?App=23&amp;ReportView=4&amp;Qid=1711279&amp;Row=15294&amp;Col=1","No Title Assigned - #15274830848")</f>
        <v/>
      </c>
      <c r="B15302" s="0" t="s">
        <v>20315</v>
      </c>
      <c r="E15302" s="0" t="inlineStr">
        <is>
          <t xml:space="preserve">Mazda</t>
        </is>
      </c>
      <c r="F15302" s="0" t="inlineStr">
        <is>
          <t xml:space="preserve">Mazda</t>
        </is>
      </c>
      <c r="G15302" s="0" t="s">
        <v>171</v>
      </c>
      <c r="H15302" s="5">
        <v>4.170800</v>
      </c>
    </row>
    <row r="15303" spans="1:9">
      <c r="A15303" s="22" t="str">
        <f>HYPERLINK("https://app.vivvix.com/360/KMI/IntelliDrive/ApplUI/Pages/CreativePages/CustomReportCreativeDetail.aspx?App=23&amp;ReportView=4&amp;Qid=1711279&amp;Row=15295&amp;Col=1","No Title Assigned - #15274832452")</f>
        <v/>
      </c>
      <c r="B15303" s="0" t="s">
        <v>20316</v>
      </c>
      <c r="E15303" s="0" t="inlineStr">
        <is>
          <t xml:space="preserve">Mazda</t>
        </is>
      </c>
      <c r="F15303" s="0" t="inlineStr">
        <is>
          <t xml:space="preserve">Mazda</t>
        </is>
      </c>
      <c r="G15303" s="0" t="s">
        <v>171</v>
      </c>
      <c r="H15303" s="5">
        <v>1037.574200</v>
      </c>
    </row>
    <row r="15304" spans="1:9">
      <c r="A15304" s="22" t="str">
        <f>HYPERLINK("https://app.vivvix.com/360/KMI/IntelliDrive/ApplUI/Pages/CreativePages/CustomReportCreativeDetail.aspx?App=23&amp;ReportView=4&amp;Qid=1711279&amp;Row=15296&amp;Col=1","No Title Assigned - #15274832829")</f>
        <v/>
      </c>
      <c r="B15304" s="0" t="s">
        <v>20317</v>
      </c>
      <c r="E15304" s="0" t="inlineStr">
        <is>
          <t xml:space="preserve">Mazda</t>
        </is>
      </c>
      <c r="F15304" s="0" t="inlineStr">
        <is>
          <t xml:space="preserve">Mazda</t>
        </is>
      </c>
      <c r="G15304" s="0" t="s">
        <v>171</v>
      </c>
      <c r="H15304" s="5">
        <v>366.282500</v>
      </c>
    </row>
    <row r="15305" spans="1:9">
      <c r="A15305" s="22" t="str">
        <f>HYPERLINK("https://app.vivvix.com/360/KMI/IntelliDrive/ApplUI/Pages/CreativePages/CustomReportCreativeDetail.aspx?App=23&amp;ReportView=4&amp;Qid=1711279&amp;Row=15297&amp;Col=1","No Title Assigned - #15274832885")</f>
        <v/>
      </c>
      <c r="B15305" s="0" t="s">
        <v>20318</v>
      </c>
      <c r="E15305" s="0" t="inlineStr">
        <is>
          <t xml:space="preserve">Mazda</t>
        </is>
      </c>
      <c r="F15305" s="0" t="inlineStr">
        <is>
          <t xml:space="preserve">Mazda</t>
        </is>
      </c>
      <c r="G15305" s="0" t="s">
        <v>171</v>
      </c>
      <c r="H15305" s="5">
        <v>130.673200</v>
      </c>
    </row>
    <row r="15306" spans="1:9">
      <c r="A15306" s="22" t="str">
        <f>HYPERLINK("https://app.vivvix.com/360/KMI/IntelliDrive/ApplUI/Pages/CreativePages/CustomReportCreativeDetail.aspx?App=23&amp;ReportView=4&amp;Qid=1711279&amp;Row=15298&amp;Col=1","No Title Assigned - #15274840160")</f>
        <v/>
      </c>
      <c r="B15306" s="0" t="s">
        <v>20319</v>
      </c>
      <c r="E15306" s="0" t="inlineStr">
        <is>
          <t xml:space="preserve">Mazda</t>
        </is>
      </c>
      <c r="F15306" s="0" t="inlineStr">
        <is>
          <t xml:space="preserve">Mazda</t>
        </is>
      </c>
      <c r="G15306" s="0" t="s">
        <v>171</v>
      </c>
      <c r="H15306" s="5">
        <v>69.873800</v>
      </c>
    </row>
    <row r="15307" spans="1:9">
      <c r="A15307" s="22" t="str">
        <f>HYPERLINK("https://app.vivvix.com/360/KMI/IntelliDrive/ApplUI/Pages/CreativePages/CustomReportCreativeDetail.aspx?App=23&amp;ReportView=4&amp;Qid=1711279&amp;Row=15299&amp;Col=1","No Title Assigned - #15274842205")</f>
        <v/>
      </c>
      <c r="B15307" s="0" t="s">
        <v>20320</v>
      </c>
      <c r="E15307" s="0" t="inlineStr">
        <is>
          <t xml:space="preserve">Mazda</t>
        </is>
      </c>
      <c r="F15307" s="0" t="inlineStr">
        <is>
          <t xml:space="preserve">Mazda</t>
        </is>
      </c>
      <c r="G15307" s="0" t="s">
        <v>171</v>
      </c>
      <c r="H15307" s="5">
        <v>200.941900</v>
      </c>
    </row>
    <row r="15308" spans="1:9">
      <c r="A15308" s="22" t="str">
        <f>HYPERLINK("https://app.vivvix.com/360/KMI/IntelliDrive/ApplUI/Pages/CreativePages/CustomReportCreativeDetail.aspx?App=23&amp;ReportView=4&amp;Qid=1711279&amp;Row=15300&amp;Col=1","No Title Assigned - #15274855029")</f>
        <v/>
      </c>
      <c r="B15308" s="0" t="s">
        <v>20321</v>
      </c>
      <c r="E15308" s="0" t="inlineStr">
        <is>
          <t xml:space="preserve">Mazda</t>
        </is>
      </c>
      <c r="F15308" s="0" t="inlineStr">
        <is>
          <t xml:space="preserve">Mazda</t>
        </is>
      </c>
      <c r="G15308" s="0" t="s">
        <v>171</v>
      </c>
      <c r="H15308" s="5">
        <v>90.258200</v>
      </c>
    </row>
    <row r="15309" spans="1:9">
      <c r="A15309" s="22" t="str">
        <f>HYPERLINK("https://app.vivvix.com/360/KMI/IntelliDrive/ApplUI/Pages/CreativePages/CustomReportCreativeDetail.aspx?App=23&amp;ReportView=4&amp;Qid=1711279&amp;Row=15301&amp;Col=1","No Title Assigned - #15274855180")</f>
        <v/>
      </c>
      <c r="B15309" s="0" t="s">
        <v>20322</v>
      </c>
      <c r="E15309" s="0" t="inlineStr">
        <is>
          <t xml:space="preserve">Mazda</t>
        </is>
      </c>
      <c r="F15309" s="0" t="inlineStr">
        <is>
          <t xml:space="preserve">Mazda</t>
        </is>
      </c>
      <c r="G15309" s="0" t="s">
        <v>171</v>
      </c>
      <c r="H15309" s="5">
        <v>1061.877200</v>
      </c>
    </row>
    <row r="15310" spans="1:9">
      <c r="A15310" s="22" t="str">
        <f>HYPERLINK("https://app.vivvix.com/360/KMI/IntelliDrive/ApplUI/Pages/CreativePages/CustomReportCreativeDetail.aspx?App=23&amp;ReportView=4&amp;Qid=1711279&amp;Row=15302&amp;Col=1","No Title Assigned - #15274865313")</f>
        <v/>
      </c>
      <c r="B15310" s="0" t="s">
        <v>20323</v>
      </c>
      <c r="C15310" s="0" t="s">
        <v>20324</v>
      </c>
      <c r="D15310" s="0" t="s">
        <v>20324</v>
      </c>
      <c r="E15310" s="0" t="inlineStr">
        <is>
          <t xml:space="preserve">Mazda</t>
        </is>
      </c>
      <c r="F15310" s="0" t="s">
        <v>13</v>
      </c>
      <c r="G15310" s="0" t="s">
        <v>49</v>
      </c>
      <c r="H15310" s="5">
        <v>88.552000</v>
      </c>
    </row>
    <row r="15311" spans="1:9">
      <c r="A15311" s="22" t="str">
        <f>HYPERLINK("https://app.vivvix.com/360/KMI/IntelliDrive/ApplUI/Pages/CreativePages/CustomReportCreativeDetail.aspx?App=23&amp;ReportView=4&amp;Qid=1711279&amp;Row=15303&amp;Col=1","No Title Assigned - #15274866302")</f>
        <v/>
      </c>
      <c r="B15311" s="0" t="s">
        <v>20325</v>
      </c>
      <c r="C15311" s="0" t="s">
        <v>20326</v>
      </c>
      <c r="D15311" s="0" t="s">
        <v>20218</v>
      </c>
      <c r="E15311" s="0" t="inlineStr">
        <is>
          <t xml:space="preserve">Mazda</t>
        </is>
      </c>
      <c r="F15311" s="0" t="s">
        <v>21</v>
      </c>
      <c r="G15311" s="0" t="s">
        <v>22</v>
      </c>
      <c r="H15311" s="5">
        <v>157.702100</v>
      </c>
    </row>
    <row r="15312" spans="1:9">
      <c r="A15312" s="22" t="str">
        <f>HYPERLINK("https://app.vivvix.com/360/KMI/IntelliDrive/ApplUI/Pages/CreativePages/CustomReportCreativeDetail.aspx?App=23&amp;ReportView=4&amp;Qid=1711279&amp;Row=15304&amp;Col=1","No Title Assigned - #15274872545")</f>
        <v/>
      </c>
      <c r="B15312" s="0" t="s">
        <v>20327</v>
      </c>
      <c r="C15312" s="0" t="s">
        <v>20328</v>
      </c>
      <c r="D15312" s="0" t="s">
        <v>20328</v>
      </c>
      <c r="E15312" s="0" t="inlineStr">
        <is>
          <t xml:space="preserve">Mazda</t>
        </is>
      </c>
      <c r="F15312" s="0" t="s">
        <v>13</v>
      </c>
      <c r="G15312" s="0" t="s">
        <v>49</v>
      </c>
      <c r="H15312" s="5">
        <v>3040.922400</v>
      </c>
    </row>
    <row r="15313" spans="1:9">
      <c r="A15313" s="22" t="str">
        <f>HYPERLINK("https://app.vivvix.com/360/KMI/IntelliDrive/ApplUI/Pages/CreativePages/CustomReportCreativeDetail.aspx?App=23&amp;ReportView=4&amp;Qid=1711279&amp;Row=15305&amp;Col=1","No Title Assigned - #15274873737")</f>
        <v/>
      </c>
      <c r="B15313" s="0" t="s">
        <v>20329</v>
      </c>
      <c r="C15313" s="0" t="s">
        <v>20330</v>
      </c>
      <c r="D15313" s="0" t="s">
        <v>20330</v>
      </c>
      <c r="E15313" s="0" t="inlineStr">
        <is>
          <t xml:space="preserve">Mazda</t>
        </is>
      </c>
      <c r="F15313" s="0" t="s">
        <v>13</v>
      </c>
      <c r="G15313" s="0" t="s">
        <v>49</v>
      </c>
      <c r="H15313" s="5">
        <v>11321.994400</v>
      </c>
    </row>
    <row r="15314" spans="1:9">
      <c r="A15314" s="22" t="str">
        <f>HYPERLINK("https://app.vivvix.com/360/KMI/IntelliDrive/ApplUI/Pages/CreativePages/CustomReportCreativeDetail.aspx?App=23&amp;ReportView=4&amp;Qid=1711279&amp;Row=15306&amp;Col=1","No Title Assigned - #15274875987")</f>
        <v/>
      </c>
      <c r="B15314" s="0" t="s">
        <v>20331</v>
      </c>
      <c r="C15314" s="0" t="s">
        <v>20332</v>
      </c>
      <c r="D15314" s="0" t="s">
        <v>20332</v>
      </c>
      <c r="E15314" s="0" t="inlineStr">
        <is>
          <t xml:space="preserve">Mazda</t>
        </is>
      </c>
      <c r="F15314" s="0" t="s">
        <v>13</v>
      </c>
      <c r="G15314" s="0" t="s">
        <v>49</v>
      </c>
      <c r="H15314" s="5">
        <v>1103.035200</v>
      </c>
    </row>
    <row r="15315" spans="1:9">
      <c r="A15315" s="22" t="str">
        <f>HYPERLINK("https://app.vivvix.com/360/KMI/IntelliDrive/ApplUI/Pages/CreativePages/CustomReportCreativeDetail.aspx?App=23&amp;ReportView=4&amp;Qid=1711279&amp;Row=15307&amp;Col=1","No Title Assigned - #15274876002")</f>
        <v/>
      </c>
      <c r="B15315" s="0" t="s">
        <v>20333</v>
      </c>
      <c r="C15315" s="0" t="s">
        <v>20334</v>
      </c>
      <c r="D15315" s="0" t="s">
        <v>20334</v>
      </c>
      <c r="E15315" s="0" t="inlineStr">
        <is>
          <t xml:space="preserve">Mazda</t>
        </is>
      </c>
      <c r="F15315" s="0" t="s">
        <v>13</v>
      </c>
      <c r="G15315" s="0" t="s">
        <v>49</v>
      </c>
      <c r="H15315" s="5">
        <v>22.138000</v>
      </c>
    </row>
    <row r="15316" spans="1:9">
      <c r="A15316" s="22" t="str">
        <f>HYPERLINK("https://app.vivvix.com/360/KMI/IntelliDrive/ApplUI/Pages/CreativePages/CustomReportCreativeDetail.aspx?App=23&amp;ReportView=4&amp;Qid=1711279&amp;Row=15308&amp;Col=1","No Title Assigned - #15274876152")</f>
        <v/>
      </c>
      <c r="B15316" s="0" t="s">
        <v>20335</v>
      </c>
      <c r="C15316" s="0" t="s">
        <v>20336</v>
      </c>
      <c r="D15316" s="0" t="s">
        <v>8445</v>
      </c>
      <c r="E15316" s="0" t="inlineStr">
        <is>
          <t xml:space="preserve">Mazda</t>
        </is>
      </c>
      <c r="F15316" s="0" t="s">
        <v>13</v>
      </c>
      <c r="G15316" s="0" t="s">
        <v>49</v>
      </c>
      <c r="H15316" s="5">
        <v>43.917600</v>
      </c>
    </row>
    <row r="15317" spans="1:9">
      <c r="A15317" s="22" t="str">
        <f>HYPERLINK("https://app.vivvix.com/360/KMI/IntelliDrive/ApplUI/Pages/CreativePages/CustomReportCreativeDetail.aspx?App=23&amp;ReportView=4&amp;Qid=1711279&amp;Row=15309&amp;Col=1","No Title Assigned - #15274877426")</f>
        <v/>
      </c>
      <c r="B15317" s="0" t="s">
        <v>20337</v>
      </c>
      <c r="C15317" s="0" t="s">
        <v>20338</v>
      </c>
      <c r="D15317" s="0" t="s">
        <v>20338</v>
      </c>
      <c r="E15317" s="0" t="inlineStr">
        <is>
          <t xml:space="preserve">Mazda</t>
        </is>
      </c>
      <c r="F15317" s="0" t="inlineStr">
        <is>
          <t xml:space="preserve">Mazda</t>
        </is>
      </c>
      <c r="G15317" s="0" t="s">
        <v>210</v>
      </c>
      <c r="H15317" s="5">
        <v>1215.207500</v>
      </c>
    </row>
    <row r="15318" spans="1:9">
      <c r="A15318" s="22" t="str">
        <f>HYPERLINK("https://app.vivvix.com/360/KMI/IntelliDrive/ApplUI/Pages/CreativePages/CustomReportCreativeDetail.aspx?App=23&amp;ReportView=4&amp;Qid=1711279&amp;Row=15310&amp;Col=1","No Title Assigned - #15274878171")</f>
        <v/>
      </c>
      <c r="B15318" s="0" t="s">
        <v>20339</v>
      </c>
      <c r="C15318" s="0" t="s">
        <v>20340</v>
      </c>
      <c r="D15318" s="0" t="s">
        <v>20340</v>
      </c>
      <c r="E15318" s="0" t="inlineStr">
        <is>
          <t xml:space="preserve">Mazda</t>
        </is>
      </c>
      <c r="F15318" s="0" t="s">
        <v>13</v>
      </c>
      <c r="G15318" s="0" t="s">
        <v>49</v>
      </c>
      <c r="H15318" s="5">
        <v>32877.171900</v>
      </c>
    </row>
    <row r="15319" spans="1:9">
      <c r="A15319" s="22" t="str">
        <f>HYPERLINK("https://app.vivvix.com/360/KMI/IntelliDrive/ApplUI/Pages/CreativePages/CustomReportCreativeDetail.aspx?App=23&amp;ReportView=4&amp;Qid=1711279&amp;Row=15311&amp;Col=1","No Title Assigned - #15274879743")</f>
        <v/>
      </c>
      <c r="B15319" s="0" t="s">
        <v>20341</v>
      </c>
      <c r="C15319" s="0" t="s">
        <v>20342</v>
      </c>
      <c r="D15319" s="0" t="s">
        <v>20342</v>
      </c>
      <c r="E15319" s="0" t="inlineStr">
        <is>
          <t xml:space="preserve">Mazda</t>
        </is>
      </c>
      <c r="F15319" s="0" t="s">
        <v>13</v>
      </c>
      <c r="G15319" s="0" t="s">
        <v>49</v>
      </c>
      <c r="H15319" s="5">
        <v>112.952400</v>
      </c>
    </row>
    <row r="15320" spans="1:9">
      <c r="A15320" s="22" t="str">
        <f>HYPERLINK("https://app.vivvix.com/360/KMI/IntelliDrive/ApplUI/Pages/CreativePages/CustomReportCreativeDetail.aspx?App=23&amp;ReportView=4&amp;Qid=1711279&amp;Row=15312&amp;Col=1","No Title Assigned - #15274881349")</f>
        <v/>
      </c>
      <c r="B15320" s="0" t="s">
        <v>20343</v>
      </c>
      <c r="C15320" s="0" t="s">
        <v>20344</v>
      </c>
      <c r="D15320" s="0" t="s">
        <v>15956</v>
      </c>
      <c r="E15320" s="0" t="inlineStr">
        <is>
          <t xml:space="preserve">Mazda</t>
        </is>
      </c>
      <c r="F15320" s="0" t="s">
        <v>13</v>
      </c>
      <c r="G15320" s="0" t="s">
        <v>49</v>
      </c>
      <c r="H15320" s="5">
        <v>124.549200</v>
      </c>
    </row>
    <row r="15321" spans="1:9">
      <c r="A15321" s="22" t="str">
        <f>HYPERLINK("https://app.vivvix.com/360/KMI/IntelliDrive/ApplUI/Pages/CreativePages/CustomReportCreativeDetail.aspx?App=23&amp;ReportView=4&amp;Qid=1711279&amp;Row=15313&amp;Col=1","No Title Assigned - #15274881481")</f>
        <v/>
      </c>
      <c r="B15321" s="0" t="s">
        <v>20345</v>
      </c>
      <c r="C15321" s="0" t="s">
        <v>20346</v>
      </c>
      <c r="D15321" s="0" t="s">
        <v>6420</v>
      </c>
      <c r="E15321" s="0" t="inlineStr">
        <is>
          <t xml:space="preserve">Mazda</t>
        </is>
      </c>
      <c r="F15321" s="0" t="s">
        <v>13</v>
      </c>
      <c r="G15321" s="0" t="s">
        <v>49</v>
      </c>
      <c r="H15321" s="5">
        <v>1198.209700</v>
      </c>
    </row>
    <row r="15322" spans="1:9">
      <c r="A15322" s="22" t="str">
        <f>HYPERLINK("https://app.vivvix.com/360/KMI/IntelliDrive/ApplUI/Pages/CreativePages/CustomReportCreativeDetail.aspx?App=23&amp;ReportView=4&amp;Qid=1711279&amp;Row=15314&amp;Col=1","No Title Assigned - #15274881482")</f>
        <v/>
      </c>
      <c r="B15322" s="0" t="s">
        <v>20347</v>
      </c>
      <c r="C15322" s="0" t="s">
        <v>20348</v>
      </c>
      <c r="D15322" s="0" t="s">
        <v>11258</v>
      </c>
      <c r="E15322" s="0" t="inlineStr">
        <is>
          <t xml:space="preserve">Mazda</t>
        </is>
      </c>
      <c r="F15322" s="0" t="s">
        <v>13</v>
      </c>
      <c r="G15322" s="0" t="s">
        <v>49</v>
      </c>
      <c r="H15322" s="5">
        <v>83.691200</v>
      </c>
    </row>
    <row r="15323" spans="1:9">
      <c r="A15323" s="22" t="str">
        <f>HYPERLINK("https://app.vivvix.com/360/KMI/IntelliDrive/ApplUI/Pages/CreativePages/CustomReportCreativeDetail.aspx?App=23&amp;ReportView=4&amp;Qid=1711279&amp;Row=15315&amp;Col=1","No Title Assigned - #15274882353")</f>
        <v/>
      </c>
      <c r="B15323" s="0" t="s">
        <v>20349</v>
      </c>
      <c r="C15323" s="0" t="s">
        <v>20350</v>
      </c>
      <c r="D15323" s="0" t="s">
        <v>15020</v>
      </c>
      <c r="E15323" s="0" t="inlineStr">
        <is>
          <t xml:space="preserve">Mazda</t>
        </is>
      </c>
      <c r="F15323" s="0" t="s">
        <v>13</v>
      </c>
      <c r="G15323" s="0" t="s">
        <v>49</v>
      </c>
      <c r="H15323" s="5">
        <v>5.173800</v>
      </c>
    </row>
    <row r="15324" spans="1:9">
      <c r="A15324" s="22" t="str">
        <f>HYPERLINK("https://app.vivvix.com/360/KMI/IntelliDrive/ApplUI/Pages/CreativePages/CustomReportCreativeDetail.aspx?App=23&amp;ReportView=4&amp;Qid=1711279&amp;Row=15316&amp;Col=1","No Title Assigned - #15274882354")</f>
        <v/>
      </c>
      <c r="B15324" s="0" t="s">
        <v>20351</v>
      </c>
      <c r="C15324" s="0" t="s">
        <v>20352</v>
      </c>
      <c r="D15324" s="0" t="s">
        <v>4335</v>
      </c>
      <c r="E15324" s="0" t="inlineStr">
        <is>
          <t xml:space="preserve">Mazda</t>
        </is>
      </c>
      <c r="F15324" s="0" t="s">
        <v>13</v>
      </c>
      <c r="G15324" s="0" t="s">
        <v>49</v>
      </c>
      <c r="H15324" s="5">
        <v>5.173800</v>
      </c>
    </row>
    <row r="15325" spans="1:9">
      <c r="A15325" s="22" t="str">
        <f>HYPERLINK("https://app.vivvix.com/360/KMI/IntelliDrive/ApplUI/Pages/CreativePages/CustomReportCreativeDetail.aspx?App=23&amp;ReportView=4&amp;Qid=1711279&amp;Row=15317&amp;Col=1","No Title Assigned - #15274883947")</f>
        <v/>
      </c>
      <c r="B15325" s="0" t="s">
        <v>20353</v>
      </c>
      <c r="E15325" s="0" t="inlineStr">
        <is>
          <t xml:space="preserve">Mazda</t>
        </is>
      </c>
      <c r="F15325" s="0" t="s">
        <v>13</v>
      </c>
      <c r="G15325" s="0" t="s">
        <v>49</v>
      </c>
      <c r="H15325" s="5">
        <v>60.602700</v>
      </c>
    </row>
    <row r="15326" spans="1:9">
      <c r="A15326" s="22" t="str">
        <f>HYPERLINK("https://app.vivvix.com/360/KMI/IntelliDrive/ApplUI/Pages/CreativePages/CustomReportCreativeDetail.aspx?App=23&amp;ReportView=4&amp;Qid=1711279&amp;Row=15318&amp;Col=1","No Title Assigned - #15274884906")</f>
        <v/>
      </c>
      <c r="B15326" s="0" t="s">
        <v>20354</v>
      </c>
      <c r="C15326" s="0" t="s">
        <v>20355</v>
      </c>
      <c r="D15326" s="0" t="s">
        <v>20355</v>
      </c>
      <c r="E15326" s="0" t="inlineStr">
        <is>
          <t xml:space="preserve">Mazda</t>
        </is>
      </c>
      <c r="F15326" s="0" t="s">
        <v>28</v>
      </c>
      <c r="G15326" s="0" t="s">
        <v>29</v>
      </c>
      <c r="H15326" s="5">
        <v>153.557500</v>
      </c>
    </row>
    <row r="15327" spans="1:9">
      <c r="A15327" s="22" t="str">
        <f>HYPERLINK("https://app.vivvix.com/360/KMI/IntelliDrive/ApplUI/Pages/CreativePages/CustomReportCreativeDetail.aspx?App=23&amp;ReportView=4&amp;Qid=1711279&amp;Row=15319&amp;Col=1","No Title Assigned - #15274885085")</f>
        <v/>
      </c>
      <c r="B15327" s="0" t="s">
        <v>20356</v>
      </c>
      <c r="C15327" s="0" t="s">
        <v>20357</v>
      </c>
      <c r="D15327" s="0" t="s">
        <v>20357</v>
      </c>
      <c r="E15327" s="0" t="inlineStr">
        <is>
          <t xml:space="preserve">Mazda</t>
        </is>
      </c>
      <c r="F15327" s="0" t="s">
        <v>13</v>
      </c>
      <c r="G15327" s="0" t="s">
        <v>49</v>
      </c>
      <c r="H15327" s="5">
        <v>3169.696300</v>
      </c>
    </row>
    <row r="15328" spans="1:9">
      <c r="A15328" s="22" t="str">
        <f>HYPERLINK("https://app.vivvix.com/360/KMI/IntelliDrive/ApplUI/Pages/CreativePages/CustomReportCreativeDetail.aspx?App=23&amp;ReportView=4&amp;Qid=1711279&amp;Row=15320&amp;Col=1","No Title Assigned - #15274886011")</f>
        <v/>
      </c>
      <c r="B15328" s="0" t="s">
        <v>20358</v>
      </c>
      <c r="C15328" s="0" t="s">
        <v>20359</v>
      </c>
      <c r="D15328" s="0" t="s">
        <v>16585</v>
      </c>
      <c r="E15328" s="0" t="inlineStr">
        <is>
          <t xml:space="preserve">Mazda</t>
        </is>
      </c>
      <c r="F15328" s="0" t="inlineStr">
        <is>
          <t xml:space="preserve">Mazda</t>
        </is>
      </c>
      <c r="G15328" s="0" t="s">
        <v>210</v>
      </c>
      <c r="H15328" s="5">
        <v>2674.395500</v>
      </c>
    </row>
    <row r="15329" spans="1:9">
      <c r="A15329" s="22" t="str">
        <f>HYPERLINK("https://app.vivvix.com/360/KMI/IntelliDrive/ApplUI/Pages/CreativePages/CustomReportCreativeDetail.aspx?App=23&amp;ReportView=4&amp;Qid=1711279&amp;Row=15321&amp;Col=1","No Title Assigned - #15274886346")</f>
        <v/>
      </c>
      <c r="B15329" s="0" t="s">
        <v>20360</v>
      </c>
      <c r="C15329" s="0" t="s">
        <v>20361</v>
      </c>
      <c r="D15329" s="0" t="s">
        <v>4239</v>
      </c>
      <c r="E15329" s="0" t="inlineStr">
        <is>
          <t xml:space="preserve">Mazda</t>
        </is>
      </c>
      <c r="F15329" s="0" t="s">
        <v>28</v>
      </c>
      <c r="G15329" s="0" t="s">
        <v>29</v>
      </c>
      <c r="H15329" s="5">
        <v>543.152900</v>
      </c>
    </row>
    <row r="15330" spans="1:9">
      <c r="A15330" s="22" t="str">
        <f>HYPERLINK("https://app.vivvix.com/360/KMI/IntelliDrive/ApplUI/Pages/CreativePages/CustomReportCreativeDetail.aspx?App=23&amp;ReportView=4&amp;Qid=1711279&amp;Row=15322&amp;Col=1","No Title Assigned - #15274886502")</f>
        <v/>
      </c>
      <c r="B15330" s="0" t="s">
        <v>20362</v>
      </c>
      <c r="C15330" s="0" t="s">
        <v>20363</v>
      </c>
      <c r="D15330" s="0" t="s">
        <v>11639</v>
      </c>
      <c r="E15330" s="0" t="inlineStr">
        <is>
          <t xml:space="preserve">Mazda</t>
        </is>
      </c>
      <c r="F15330" s="0" t="s">
        <v>13</v>
      </c>
      <c r="G15330" s="0" t="s">
        <v>49</v>
      </c>
      <c r="H15330" s="5">
        <v>18.751800</v>
      </c>
    </row>
    <row r="15331" spans="1:9">
      <c r="A15331" s="22" t="str">
        <f>HYPERLINK("https://app.vivvix.com/360/KMI/IntelliDrive/ApplUI/Pages/CreativePages/CustomReportCreativeDetail.aspx?App=23&amp;ReportView=4&amp;Qid=1711279&amp;Row=15323&amp;Col=1","No Title Assigned - #15274886810")</f>
        <v/>
      </c>
      <c r="B15331" s="0" t="s">
        <v>20364</v>
      </c>
      <c r="C15331" s="0" t="s">
        <v>20365</v>
      </c>
      <c r="D15331" s="0" t="s">
        <v>17755</v>
      </c>
      <c r="E15331" s="0" t="inlineStr">
        <is>
          <t xml:space="preserve">Mazda</t>
        </is>
      </c>
      <c r="F15331" s="0" t="s">
        <v>28</v>
      </c>
      <c r="G15331" s="0" t="s">
        <v>29</v>
      </c>
      <c r="H15331" s="5">
        <v>97.422900</v>
      </c>
    </row>
    <row r="15332" spans="1:9">
      <c r="A15332" s="22" t="str">
        <f>HYPERLINK("https://app.vivvix.com/360/KMI/IntelliDrive/ApplUI/Pages/CreativePages/CustomReportCreativeDetail.aspx?App=23&amp;ReportView=4&amp;Qid=1711279&amp;Row=15324&amp;Col=1","No Title Assigned - #15274887048")</f>
        <v/>
      </c>
      <c r="B15332" s="0" t="s">
        <v>20366</v>
      </c>
      <c r="C15332" s="0" t="s">
        <v>20367</v>
      </c>
      <c r="D15332" s="0" t="s">
        <v>10453</v>
      </c>
      <c r="E15332" s="0" t="inlineStr">
        <is>
          <t xml:space="preserve">Mazda</t>
        </is>
      </c>
      <c r="F15332" s="0" t="s">
        <v>13</v>
      </c>
      <c r="G15332" s="0" t="s">
        <v>49</v>
      </c>
      <c r="H15332" s="5">
        <v>48.363300</v>
      </c>
    </row>
    <row r="15333" spans="1:9">
      <c r="A15333" s="22" t="str">
        <f>HYPERLINK("https://app.vivvix.com/360/KMI/IntelliDrive/ApplUI/Pages/CreativePages/CustomReportCreativeDetail.aspx?App=23&amp;ReportView=4&amp;Qid=1711279&amp;Row=15325&amp;Col=1","No Title Assigned - #15274887993")</f>
        <v/>
      </c>
      <c r="B15333" s="0" t="s">
        <v>20368</v>
      </c>
      <c r="C15333" s="0" t="s">
        <v>20369</v>
      </c>
      <c r="D15333" s="0" t="s">
        <v>20369</v>
      </c>
      <c r="E15333" s="0" t="inlineStr">
        <is>
          <t xml:space="preserve">Mazda</t>
        </is>
      </c>
      <c r="F15333" s="0" t="s">
        <v>13</v>
      </c>
      <c r="G15333" s="0" t="s">
        <v>49</v>
      </c>
      <c r="H15333" s="5">
        <v>55.428900</v>
      </c>
    </row>
    <row r="15334" spans="1:9">
      <c r="A15334" s="22" t="str">
        <f>HYPERLINK("https://app.vivvix.com/360/KMI/IntelliDrive/ApplUI/Pages/CreativePages/CustomReportCreativeDetail.aspx?App=23&amp;ReportView=4&amp;Qid=1711279&amp;Row=15326&amp;Col=1","No Title Assigned - #15274888308")</f>
        <v/>
      </c>
      <c r="B15334" s="0" t="s">
        <v>20370</v>
      </c>
      <c r="C15334" s="0" t="s">
        <v>20371</v>
      </c>
      <c r="D15334" s="0" t="s">
        <v>20371</v>
      </c>
      <c r="E15334" s="0" t="inlineStr">
        <is>
          <t xml:space="preserve">Mazda</t>
        </is>
      </c>
      <c r="F15334" s="0" t="s">
        <v>13</v>
      </c>
      <c r="G15334" s="0" t="s">
        <v>49</v>
      </c>
      <c r="H15334" s="5">
        <v>113.334000</v>
      </c>
    </row>
    <row r="15335" spans="1:9">
      <c r="A15335" s="22" t="str">
        <f>HYPERLINK("https://app.vivvix.com/360/KMI/IntelliDrive/ApplUI/Pages/CreativePages/CustomReportCreativeDetail.aspx?App=23&amp;ReportView=4&amp;Qid=1711279&amp;Row=15327&amp;Col=1","No Title Assigned - #15274888574")</f>
        <v/>
      </c>
      <c r="B15335" s="0" t="s">
        <v>20372</v>
      </c>
      <c r="E15335" s="0" t="inlineStr">
        <is>
          <t xml:space="preserve">Mazda</t>
        </is>
      </c>
      <c r="F15335" s="0" t="inlineStr">
        <is>
          <t xml:space="preserve">Mazda</t>
        </is>
      </c>
      <c r="G15335" s="0" t="s">
        <v>171</v>
      </c>
      <c r="H15335" s="5">
        <v>5869.175700</v>
      </c>
    </row>
    <row r="15336" spans="1:9">
      <c r="A15336" s="22" t="str">
        <f>HYPERLINK("https://app.vivvix.com/360/KMI/IntelliDrive/ApplUI/Pages/CreativePages/CustomReportCreativeDetail.aspx?App=23&amp;ReportView=4&amp;Qid=1711279&amp;Row=15328&amp;Col=1","No Title Assigned - #15274888885")</f>
        <v/>
      </c>
      <c r="B15336" s="0" t="s">
        <v>20373</v>
      </c>
      <c r="C15336" s="0" t="s">
        <v>20374</v>
      </c>
      <c r="D15336" s="0" t="s">
        <v>16648</v>
      </c>
      <c r="E15336" s="0" t="inlineStr">
        <is>
          <t xml:space="preserve">Mazda</t>
        </is>
      </c>
      <c r="F15336" s="0" t="s">
        <v>13</v>
      </c>
      <c r="G15336" s="0" t="s">
        <v>49</v>
      </c>
      <c r="H15336" s="5">
        <v>72.730100</v>
      </c>
    </row>
    <row r="15337" spans="1:9">
      <c r="A15337" s="22" t="str">
        <f>HYPERLINK("https://app.vivvix.com/360/KMI/IntelliDrive/ApplUI/Pages/CreativePages/CustomReportCreativeDetail.aspx?App=23&amp;ReportView=4&amp;Qid=1711279&amp;Row=15329&amp;Col=1","No Title Assigned - #15274888999")</f>
        <v/>
      </c>
      <c r="B15337" s="0" t="s">
        <v>20375</v>
      </c>
      <c r="C15337" s="0" t="s">
        <v>20376</v>
      </c>
      <c r="D15337" s="0" t="s">
        <v>20376</v>
      </c>
      <c r="E15337" s="0" t="inlineStr">
        <is>
          <t xml:space="preserve">Mazda</t>
        </is>
      </c>
      <c r="F15337" s="0" t="s">
        <v>28</v>
      </c>
      <c r="G15337" s="0" t="s">
        <v>29</v>
      </c>
      <c r="H15337" s="5">
        <v>169.039500</v>
      </c>
    </row>
    <row r="15338" spans="1:9">
      <c r="A15338" s="22" t="str">
        <f>HYPERLINK("https://app.vivvix.com/360/KMI/IntelliDrive/ApplUI/Pages/CreativePages/CustomReportCreativeDetail.aspx?App=23&amp;ReportView=4&amp;Qid=1711279&amp;Row=15330&amp;Col=1","No Title Assigned - #15274889563")</f>
        <v/>
      </c>
      <c r="B15338" s="0" t="s">
        <v>20377</v>
      </c>
      <c r="C15338" s="0" t="s">
        <v>20378</v>
      </c>
      <c r="D15338" s="0" t="s">
        <v>20378</v>
      </c>
      <c r="E15338" s="0" t="inlineStr">
        <is>
          <t xml:space="preserve">Mazda</t>
        </is>
      </c>
      <c r="F15338" s="0" t="s">
        <v>17</v>
      </c>
      <c r="G15338" s="0" t="s">
        <v>33</v>
      </c>
      <c r="H15338" s="5">
        <v>1019.410400</v>
      </c>
    </row>
    <row r="15339" spans="1:9">
      <c r="A15339" s="22" t="str">
        <f>HYPERLINK("https://app.vivvix.com/360/KMI/IntelliDrive/ApplUI/Pages/CreativePages/CustomReportCreativeDetail.aspx?App=23&amp;ReportView=4&amp;Qid=1711279&amp;Row=15331&amp;Col=1","No Title Assigned - #15274892150")</f>
        <v/>
      </c>
      <c r="B15339" s="0" t="s">
        <v>20379</v>
      </c>
      <c r="C15339" s="0" t="s">
        <v>20380</v>
      </c>
      <c r="D15339" s="0" t="s">
        <v>20380</v>
      </c>
      <c r="E15339" s="0" t="inlineStr">
        <is>
          <t xml:space="preserve">Mazda</t>
        </is>
      </c>
      <c r="F15339" s="0" t="s">
        <v>13</v>
      </c>
      <c r="G15339" s="0" t="s">
        <v>49</v>
      </c>
      <c r="H15339" s="5">
        <v>71.612800</v>
      </c>
    </row>
    <row r="15340" spans="1:9">
      <c r="A15340" s="22" t="str">
        <f>HYPERLINK("https://app.vivvix.com/360/KMI/IntelliDrive/ApplUI/Pages/CreativePages/CustomReportCreativeDetail.aspx?App=23&amp;ReportView=4&amp;Qid=1711279&amp;Row=15332&amp;Col=1","No Title Assigned - #15274892894")</f>
        <v/>
      </c>
      <c r="B15340" s="0" t="s">
        <v>20381</v>
      </c>
      <c r="C15340" s="0" t="s">
        <v>20382</v>
      </c>
      <c r="D15340" s="0" t="s">
        <v>4335</v>
      </c>
      <c r="E15340" s="0" t="inlineStr">
        <is>
          <t xml:space="preserve">Mazda</t>
        </is>
      </c>
      <c r="F15340" s="0" t="s">
        <v>13</v>
      </c>
      <c r="G15340" s="0" t="s">
        <v>49</v>
      </c>
      <c r="H15340" s="5">
        <v>201.190000</v>
      </c>
    </row>
    <row r="15341" spans="1:9">
      <c r="A15341" s="22" t="str">
        <f>HYPERLINK("https://app.vivvix.com/360/KMI/IntelliDrive/ApplUI/Pages/CreativePages/CustomReportCreativeDetail.aspx?App=23&amp;ReportView=4&amp;Qid=1711279&amp;Row=15333&amp;Col=1","No Title Assigned - #15274893911")</f>
        <v/>
      </c>
      <c r="B15341" s="0" t="s">
        <v>20383</v>
      </c>
      <c r="C15341" s="0" t="s">
        <v>20384</v>
      </c>
      <c r="D15341" s="0" t="s">
        <v>4335</v>
      </c>
      <c r="E15341" s="0" t="inlineStr">
        <is>
          <t xml:space="preserve">Mazda</t>
        </is>
      </c>
      <c r="F15341" s="0" t="s">
        <v>13</v>
      </c>
      <c r="G15341" s="0" t="s">
        <v>49</v>
      </c>
      <c r="H15341" s="5">
        <v>50.522200</v>
      </c>
    </row>
    <row r="15342" spans="1:9">
      <c r="A15342" s="22" t="str">
        <f>HYPERLINK("https://app.vivvix.com/360/KMI/IntelliDrive/ApplUI/Pages/CreativePages/CustomReportCreativeDetail.aspx?App=23&amp;ReportView=4&amp;Qid=1711279&amp;Row=15334&amp;Col=1","No Title Assigned - #15274894378")</f>
        <v/>
      </c>
      <c r="B15342" s="0" t="s">
        <v>20385</v>
      </c>
      <c r="C15342" s="0" t="s">
        <v>20386</v>
      </c>
      <c r="D15342" s="0" t="s">
        <v>20386</v>
      </c>
      <c r="E15342" s="0" t="inlineStr">
        <is>
          <t xml:space="preserve">Mazda</t>
        </is>
      </c>
      <c r="F15342" s="0" t="s">
        <v>13</v>
      </c>
      <c r="G15342" s="0" t="s">
        <v>49</v>
      </c>
      <c r="H15342" s="5">
        <v>134.198800</v>
      </c>
    </row>
    <row r="15343" spans="1:9">
      <c r="A15343" s="22" t="str">
        <f>HYPERLINK("https://app.vivvix.com/360/KMI/IntelliDrive/ApplUI/Pages/CreativePages/CustomReportCreativeDetail.aspx?App=23&amp;ReportView=4&amp;Qid=1711279&amp;Row=15335&amp;Col=1","No Title Assigned - #15274895157")</f>
        <v/>
      </c>
      <c r="B15343" s="0" t="s">
        <v>20387</v>
      </c>
      <c r="E15343" s="0" t="inlineStr">
        <is>
          <t xml:space="preserve">Mazda</t>
        </is>
      </c>
      <c r="F15343" s="0" t="inlineStr">
        <is>
          <t xml:space="preserve">Mazda</t>
        </is>
      </c>
      <c r="G15343" s="0" t="s">
        <v>171</v>
      </c>
      <c r="H15343" s="5">
        <v>25.150300</v>
      </c>
    </row>
    <row r="15344" spans="1:9">
      <c r="A15344" s="22" t="str">
        <f>HYPERLINK("https://app.vivvix.com/360/KMI/IntelliDrive/ApplUI/Pages/CreativePages/CustomReportCreativeDetail.aspx?App=23&amp;ReportView=4&amp;Qid=1711279&amp;Row=15336&amp;Col=1","No Title Assigned - #15274896363")</f>
        <v/>
      </c>
      <c r="B15344" s="0" t="s">
        <v>20388</v>
      </c>
      <c r="E15344" s="0" t="inlineStr">
        <is>
          <t xml:space="preserve">Mazda</t>
        </is>
      </c>
      <c r="F15344" s="0" t="inlineStr">
        <is>
          <t xml:space="preserve">Mazda</t>
        </is>
      </c>
      <c r="G15344" s="0" t="s">
        <v>171</v>
      </c>
      <c r="H15344" s="5">
        <v>39.424200</v>
      </c>
    </row>
    <row r="15345" spans="1:9">
      <c r="A15345" s="22" t="str">
        <f>HYPERLINK("https://app.vivvix.com/360/KMI/IntelliDrive/ApplUI/Pages/CreativePages/CustomReportCreativeDetail.aspx?App=23&amp;ReportView=4&amp;Qid=1711279&amp;Row=15337&amp;Col=1","No Title Assigned - #15274896977")</f>
        <v/>
      </c>
      <c r="B15345" s="0" t="s">
        <v>20389</v>
      </c>
      <c r="E15345" s="0" t="inlineStr">
        <is>
          <t xml:space="preserve">Mazda</t>
        </is>
      </c>
      <c r="F15345" s="0" t="inlineStr">
        <is>
          <t xml:space="preserve">Mazda</t>
        </is>
      </c>
      <c r="G15345" s="0" t="s">
        <v>171</v>
      </c>
      <c r="H15345" s="5">
        <v>422.235600</v>
      </c>
    </row>
    <row r="15346" spans="1:9">
      <c r="A15346" s="22" t="str">
        <f>HYPERLINK("https://app.vivvix.com/360/KMI/IntelliDrive/ApplUI/Pages/CreativePages/CustomReportCreativeDetail.aspx?App=23&amp;ReportView=4&amp;Qid=1711279&amp;Row=15338&amp;Col=1","No Title Assigned - #15274897839")</f>
        <v/>
      </c>
      <c r="B15346" s="0" t="s">
        <v>20390</v>
      </c>
      <c r="E15346" s="0" t="inlineStr">
        <is>
          <t xml:space="preserve">Mazda</t>
        </is>
      </c>
      <c r="F15346" s="0" t="inlineStr">
        <is>
          <t xml:space="preserve">Mazda</t>
        </is>
      </c>
      <c r="G15346" s="0" t="s">
        <v>171</v>
      </c>
      <c r="H15346" s="5">
        <v>167.827200</v>
      </c>
    </row>
    <row r="15347" spans="1:9">
      <c r="A15347" s="22" t="str">
        <f>HYPERLINK("https://app.vivvix.com/360/KMI/IntelliDrive/ApplUI/Pages/CreativePages/CustomReportCreativeDetail.aspx?App=23&amp;ReportView=4&amp;Qid=1711279&amp;Row=15339&amp;Col=1","No Title Assigned - #15274898029")</f>
        <v/>
      </c>
      <c r="B15347" s="0" t="s">
        <v>20391</v>
      </c>
      <c r="E15347" s="0" t="inlineStr">
        <is>
          <t xml:space="preserve">Mazda</t>
        </is>
      </c>
      <c r="F15347" s="0" t="inlineStr">
        <is>
          <t xml:space="preserve">Mazda</t>
        </is>
      </c>
      <c r="G15347" s="0" t="s">
        <v>171</v>
      </c>
      <c r="H15347" s="5">
        <v>28.525000</v>
      </c>
    </row>
    <row r="15348" spans="1:9">
      <c r="A15348" s="22" t="str">
        <f>HYPERLINK("https://app.vivvix.com/360/KMI/IntelliDrive/ApplUI/Pages/CreativePages/CustomReportCreativeDetail.aspx?App=23&amp;ReportView=4&amp;Qid=1711279&amp;Row=15340&amp;Col=1","No Title Assigned - #15274898104")</f>
        <v/>
      </c>
      <c r="B15348" s="0" t="s">
        <v>20392</v>
      </c>
      <c r="E15348" s="0" t="inlineStr">
        <is>
          <t xml:space="preserve">Mazda</t>
        </is>
      </c>
      <c r="F15348" s="0" t="inlineStr">
        <is>
          <t xml:space="preserve">Mazda</t>
        </is>
      </c>
      <c r="G15348" s="0" t="s">
        <v>171</v>
      </c>
      <c r="H15348" s="5">
        <v>874.050200</v>
      </c>
    </row>
    <row r="15349" spans="1:9">
      <c r="A15349" s="22" t="str">
        <f>HYPERLINK("https://app.vivvix.com/360/KMI/IntelliDrive/ApplUI/Pages/CreativePages/CustomReportCreativeDetail.aspx?App=23&amp;ReportView=4&amp;Qid=1711279&amp;Row=15341&amp;Col=1","No Title Assigned - #15274898396")</f>
        <v/>
      </c>
      <c r="B15349" s="0" t="s">
        <v>20393</v>
      </c>
      <c r="E15349" s="0" t="inlineStr">
        <is>
          <t xml:space="preserve">Mazda</t>
        </is>
      </c>
      <c r="F15349" s="0" t="inlineStr">
        <is>
          <t xml:space="preserve">Mazda</t>
        </is>
      </c>
      <c r="G15349" s="0" t="s">
        <v>171</v>
      </c>
      <c r="H15349" s="5">
        <v>20.647400</v>
      </c>
    </row>
    <row r="15350" spans="1:9">
      <c r="A15350" s="22" t="str">
        <f>HYPERLINK("https://app.vivvix.com/360/KMI/IntelliDrive/ApplUI/Pages/CreativePages/CustomReportCreativeDetail.aspx?App=23&amp;ReportView=4&amp;Qid=1711279&amp;Row=15342&amp;Col=1","No Title Assigned - #15274900060")</f>
        <v/>
      </c>
      <c r="B15350" s="0" t="s">
        <v>20394</v>
      </c>
      <c r="E15350" s="0" t="inlineStr">
        <is>
          <t xml:space="preserve">Mazda</t>
        </is>
      </c>
      <c r="F15350" s="0" t="inlineStr">
        <is>
          <t xml:space="preserve">Mazda</t>
        </is>
      </c>
      <c r="G15350" s="0" t="s">
        <v>171</v>
      </c>
      <c r="H15350" s="5">
        <v>595.376500</v>
      </c>
    </row>
    <row r="15351" spans="1:9">
      <c r="A15351" s="22" t="str">
        <f>HYPERLINK("https://app.vivvix.com/360/KMI/IntelliDrive/ApplUI/Pages/CreativePages/CustomReportCreativeDetail.aspx?App=23&amp;ReportView=4&amp;Qid=1711279&amp;Row=15343&amp;Col=1","No Title Assigned - #15274900550")</f>
        <v/>
      </c>
      <c r="B15351" s="0" t="s">
        <v>20395</v>
      </c>
      <c r="E15351" s="0" t="inlineStr">
        <is>
          <t xml:space="preserve">Mazda</t>
        </is>
      </c>
      <c r="F15351" s="0" t="inlineStr">
        <is>
          <t xml:space="preserve">Mazda</t>
        </is>
      </c>
      <c r="G15351" s="0" t="s">
        <v>171</v>
      </c>
      <c r="H15351" s="5">
        <v>218.300400</v>
      </c>
    </row>
    <row r="15352" spans="1:9">
      <c r="A15352" s="22" t="str">
        <f>HYPERLINK("https://app.vivvix.com/360/KMI/IntelliDrive/ApplUI/Pages/CreativePages/CustomReportCreativeDetail.aspx?App=23&amp;ReportView=4&amp;Qid=1711279&amp;Row=15344&amp;Col=1","No Title Assigned - #15274901731")</f>
        <v/>
      </c>
      <c r="B15352" s="0" t="s">
        <v>20396</v>
      </c>
      <c r="E15352" s="0" t="inlineStr">
        <is>
          <t xml:space="preserve">Mazda</t>
        </is>
      </c>
      <c r="F15352" s="0" t="inlineStr">
        <is>
          <t xml:space="preserve">Mazda</t>
        </is>
      </c>
      <c r="G15352" s="0" t="s">
        <v>171</v>
      </c>
      <c r="H15352" s="5">
        <v>12.512400</v>
      </c>
    </row>
    <row r="15353" spans="1:9">
      <c r="A15353" s="22" t="str">
        <f>HYPERLINK("https://app.vivvix.com/360/KMI/IntelliDrive/ApplUI/Pages/CreativePages/CustomReportCreativeDetail.aspx?App=23&amp;ReportView=4&amp;Qid=1711279&amp;Row=15345&amp;Col=1","No Title Assigned - #15274901965")</f>
        <v/>
      </c>
      <c r="B15353" s="0" t="s">
        <v>20397</v>
      </c>
      <c r="E15353" s="0" t="inlineStr">
        <is>
          <t xml:space="preserve">Mazda</t>
        </is>
      </c>
      <c r="F15353" s="0" t="inlineStr">
        <is>
          <t xml:space="preserve">Mazda</t>
        </is>
      </c>
      <c r="G15353" s="0" t="s">
        <v>171</v>
      </c>
      <c r="H15353" s="5">
        <v>3997.345800</v>
      </c>
    </row>
    <row r="15354" spans="1:9">
      <c r="A15354" s="22" t="str">
        <f>HYPERLINK("https://app.vivvix.com/360/KMI/IntelliDrive/ApplUI/Pages/CreativePages/CustomReportCreativeDetail.aspx?App=23&amp;ReportView=4&amp;Qid=1711279&amp;Row=15346&amp;Col=1","No Title Assigned - #15274902123")</f>
        <v/>
      </c>
      <c r="B15354" s="0" t="s">
        <v>20398</v>
      </c>
      <c r="E15354" s="0" t="inlineStr">
        <is>
          <t xml:space="preserve">Mazda</t>
        </is>
      </c>
      <c r="F15354" s="0" t="inlineStr">
        <is>
          <t xml:space="preserve">Mazda</t>
        </is>
      </c>
      <c r="G15354" s="0" t="s">
        <v>171</v>
      </c>
      <c r="H15354" s="5">
        <v>48.398700</v>
      </c>
    </row>
    <row r="15355" spans="1:9">
      <c r="A15355" s="22" t="str">
        <f>HYPERLINK("https://app.vivvix.com/360/KMI/IntelliDrive/ApplUI/Pages/CreativePages/CustomReportCreativeDetail.aspx?App=23&amp;ReportView=4&amp;Qid=1711279&amp;Row=15347&amp;Col=1","No Title Assigned - #15274903109")</f>
        <v/>
      </c>
      <c r="B15355" s="0" t="s">
        <v>20399</v>
      </c>
      <c r="E15355" s="0" t="inlineStr">
        <is>
          <t xml:space="preserve">Mazda</t>
        </is>
      </c>
      <c r="F15355" s="0" t="inlineStr">
        <is>
          <t xml:space="preserve">Mazda</t>
        </is>
      </c>
      <c r="G15355" s="0" t="s">
        <v>171</v>
      </c>
      <c r="H15355" s="5">
        <v>34.899800</v>
      </c>
    </row>
    <row r="15356" spans="1:9">
      <c r="A15356" s="22" t="str">
        <f>HYPERLINK("https://app.vivvix.com/360/KMI/IntelliDrive/ApplUI/Pages/CreativePages/CustomReportCreativeDetail.aspx?App=23&amp;ReportView=4&amp;Qid=1711279&amp;Row=15348&amp;Col=1","No Title Assigned - #15274903988")</f>
        <v/>
      </c>
      <c r="B15356" s="0" t="s">
        <v>20400</v>
      </c>
      <c r="E15356" s="0" t="inlineStr">
        <is>
          <t xml:space="preserve">Mazda</t>
        </is>
      </c>
      <c r="F15356" s="0" t="inlineStr">
        <is>
          <t xml:space="preserve">Mazda</t>
        </is>
      </c>
      <c r="G15356" s="0" t="s">
        <v>171</v>
      </c>
      <c r="H15356" s="5">
        <v>118.781700</v>
      </c>
    </row>
    <row r="15357" spans="1:9">
      <c r="A15357" s="22" t="str">
        <f>HYPERLINK("https://app.vivvix.com/360/KMI/IntelliDrive/ApplUI/Pages/CreativePages/CustomReportCreativeDetail.aspx?App=23&amp;ReportView=4&amp;Qid=1711279&amp;Row=15349&amp;Col=1","No Title Assigned - #15274904024")</f>
        <v/>
      </c>
      <c r="B15357" s="0" t="s">
        <v>20401</v>
      </c>
      <c r="E15357" s="0" t="inlineStr">
        <is>
          <t xml:space="preserve">Mazda</t>
        </is>
      </c>
      <c r="F15357" s="0" t="inlineStr">
        <is>
          <t xml:space="preserve">Mazda</t>
        </is>
      </c>
      <c r="G15357" s="0" t="s">
        <v>171</v>
      </c>
      <c r="H15357" s="5">
        <v>158.206400</v>
      </c>
    </row>
    <row r="15358" spans="1:9">
      <c r="A15358" s="22" t="str">
        <f>HYPERLINK("https://app.vivvix.com/360/KMI/IntelliDrive/ApplUI/Pages/CreativePages/CustomReportCreativeDetail.aspx?App=23&amp;ReportView=4&amp;Qid=1711279&amp;Row=15350&amp;Col=1","No Title Assigned - #15274904099")</f>
        <v/>
      </c>
      <c r="B15358" s="0" t="s">
        <v>20402</v>
      </c>
      <c r="E15358" s="0" t="inlineStr">
        <is>
          <t xml:space="preserve">Mazda</t>
        </is>
      </c>
      <c r="F15358" s="0" t="inlineStr">
        <is>
          <t xml:space="preserve">Mazda</t>
        </is>
      </c>
      <c r="G15358" s="0" t="s">
        <v>171</v>
      </c>
      <c r="H15358" s="5">
        <v>491.906600</v>
      </c>
    </row>
    <row r="15359" spans="1:9">
      <c r="A15359" s="22" t="str">
        <f>HYPERLINK("https://app.vivvix.com/360/KMI/IntelliDrive/ApplUI/Pages/CreativePages/CustomReportCreativeDetail.aspx?App=23&amp;ReportView=4&amp;Qid=1711279&amp;Row=15351&amp;Col=1","No Title Assigned - #15274904498")</f>
        <v/>
      </c>
      <c r="B15359" s="0" t="s">
        <v>20403</v>
      </c>
      <c r="E15359" s="0" t="inlineStr">
        <is>
          <t xml:space="preserve">Mazda</t>
        </is>
      </c>
      <c r="F15359" s="0" t="inlineStr">
        <is>
          <t xml:space="preserve">Mazda</t>
        </is>
      </c>
      <c r="G15359" s="0" t="s">
        <v>171</v>
      </c>
      <c r="H15359" s="5">
        <v>39.961400</v>
      </c>
    </row>
    <row r="15360" spans="1:9">
      <c r="A15360" s="22" t="str">
        <f>HYPERLINK("https://app.vivvix.com/360/KMI/IntelliDrive/ApplUI/Pages/CreativePages/CustomReportCreativeDetail.aspx?App=23&amp;ReportView=4&amp;Qid=1711279&amp;Row=15352&amp;Col=1","No Title Assigned - #15274905113")</f>
        <v/>
      </c>
      <c r="B15360" s="0" t="s">
        <v>20404</v>
      </c>
      <c r="E15360" s="0" t="inlineStr">
        <is>
          <t xml:space="preserve">Mazda</t>
        </is>
      </c>
      <c r="F15360" s="0" t="inlineStr">
        <is>
          <t xml:space="preserve">Mazda</t>
        </is>
      </c>
      <c r="G15360" s="0" t="s">
        <v>171</v>
      </c>
      <c r="H15360" s="5">
        <v>91.665300</v>
      </c>
    </row>
    <row r="15361" spans="1:9">
      <c r="A15361" s="22" t="str">
        <f>HYPERLINK("https://app.vivvix.com/360/KMI/IntelliDrive/ApplUI/Pages/CreativePages/CustomReportCreativeDetail.aspx?App=23&amp;ReportView=4&amp;Qid=1711279&amp;Row=15353&amp;Col=1","No Title Assigned - #15274905417")</f>
        <v/>
      </c>
      <c r="B15361" s="0" t="s">
        <v>20405</v>
      </c>
      <c r="E15361" s="0" t="inlineStr">
        <is>
          <t xml:space="preserve">Mazda</t>
        </is>
      </c>
      <c r="F15361" s="0" t="inlineStr">
        <is>
          <t xml:space="preserve">Mazda</t>
        </is>
      </c>
      <c r="G15361" s="0" t="s">
        <v>171</v>
      </c>
      <c r="H15361" s="5">
        <v>162.347600</v>
      </c>
    </row>
    <row r="15362" spans="1:9">
      <c r="A15362" s="22" t="str">
        <f>HYPERLINK("https://app.vivvix.com/360/KMI/IntelliDrive/ApplUI/Pages/CreativePages/CustomReportCreativeDetail.aspx?App=23&amp;ReportView=4&amp;Qid=1711279&amp;Row=15354&amp;Col=1","No Title Assigned - #15274905954")</f>
        <v/>
      </c>
      <c r="B15362" s="0" t="s">
        <v>20406</v>
      </c>
      <c r="E15362" s="0" t="inlineStr">
        <is>
          <t xml:space="preserve">Mazda</t>
        </is>
      </c>
      <c r="F15362" s="0" t="inlineStr">
        <is>
          <t xml:space="preserve">Mazda</t>
        </is>
      </c>
      <c r="G15362" s="0" t="s">
        <v>171</v>
      </c>
      <c r="H15362" s="5">
        <v>4.170800</v>
      </c>
    </row>
    <row r="15363" spans="1:9">
      <c r="A15363" s="22" t="str">
        <f>HYPERLINK("https://app.vivvix.com/360/KMI/IntelliDrive/ApplUI/Pages/CreativePages/CustomReportCreativeDetail.aspx?App=23&amp;ReportView=4&amp;Qid=1711279&amp;Row=15355&amp;Col=1","No Title Assigned - #15274906846")</f>
        <v/>
      </c>
      <c r="B15363" s="0" t="s">
        <v>20407</v>
      </c>
      <c r="E15363" s="0" t="inlineStr">
        <is>
          <t xml:space="preserve">Mazda</t>
        </is>
      </c>
      <c r="F15363" s="0" t="inlineStr">
        <is>
          <t xml:space="preserve">Mazda</t>
        </is>
      </c>
      <c r="G15363" s="0" t="s">
        <v>171</v>
      </c>
      <c r="H15363" s="5">
        <v>207.045400</v>
      </c>
    </row>
    <row r="15364" spans="1:9">
      <c r="A15364" s="22" t="str">
        <f>HYPERLINK("https://app.vivvix.com/360/KMI/IntelliDrive/ApplUI/Pages/CreativePages/CustomReportCreativeDetail.aspx?App=23&amp;ReportView=4&amp;Qid=1711279&amp;Row=15356&amp;Col=1","No Title Assigned - #15274909546")</f>
        <v/>
      </c>
      <c r="B15364" s="0" t="s">
        <v>20408</v>
      </c>
      <c r="E15364" s="0" t="inlineStr">
        <is>
          <t xml:space="preserve">Mazda</t>
        </is>
      </c>
      <c r="F15364" s="0" t="inlineStr">
        <is>
          <t xml:space="preserve">Mazda</t>
        </is>
      </c>
      <c r="G15364" s="0" t="s">
        <v>171</v>
      </c>
      <c r="H15364" s="5">
        <v>746.510600</v>
      </c>
    </row>
    <row r="15365" spans="1:9">
      <c r="A15365" s="22" t="str">
        <f>HYPERLINK("https://app.vivvix.com/360/KMI/IntelliDrive/ApplUI/Pages/CreativePages/CustomReportCreativeDetail.aspx?App=23&amp;ReportView=4&amp;Qid=1711279&amp;Row=15357&amp;Col=1","No Title Assigned - #15274909956")</f>
        <v/>
      </c>
      <c r="B15365" s="0" t="s">
        <v>20409</v>
      </c>
      <c r="E15365" s="0" t="inlineStr">
        <is>
          <t xml:space="preserve">Mazda</t>
        </is>
      </c>
      <c r="F15365" s="0" t="inlineStr">
        <is>
          <t xml:space="preserve">Mazda</t>
        </is>
      </c>
      <c r="G15365" s="0" t="s">
        <v>171</v>
      </c>
      <c r="H15365" s="5">
        <v>13.062600</v>
      </c>
    </row>
    <row r="15366" spans="1:9">
      <c r="A15366" s="22" t="str">
        <f>HYPERLINK("https://app.vivvix.com/360/KMI/IntelliDrive/ApplUI/Pages/CreativePages/CustomReportCreativeDetail.aspx?App=23&amp;ReportView=4&amp;Qid=1711279&amp;Row=15358&amp;Col=1","No Title Assigned - #15274911258")</f>
        <v/>
      </c>
      <c r="B15366" s="0" t="s">
        <v>20410</v>
      </c>
      <c r="C15366" s="0" t="s">
        <v>20411</v>
      </c>
      <c r="D15366" s="0" t="s">
        <v>20411</v>
      </c>
      <c r="E15366" s="0" t="inlineStr">
        <is>
          <t xml:space="preserve">Mazda</t>
        </is>
      </c>
      <c r="F15366" s="0" t="s">
        <v>28</v>
      </c>
      <c r="G15366" s="0" t="s">
        <v>29</v>
      </c>
      <c r="H15366" s="5">
        <v>240.632600</v>
      </c>
    </row>
    <row r="15367" spans="1:9">
      <c r="A15367" s="22" t="str">
        <f>HYPERLINK("https://app.vivvix.com/360/KMI/IntelliDrive/ApplUI/Pages/CreativePages/CustomReportCreativeDetail.aspx?App=23&amp;ReportView=4&amp;Qid=1711279&amp;Row=15359&amp;Col=1","No Title Assigned - #15274911706")</f>
        <v/>
      </c>
      <c r="B15367" s="0" t="s">
        <v>20412</v>
      </c>
      <c r="E15367" s="0" t="inlineStr">
        <is>
          <t xml:space="preserve">Mazda</t>
        </is>
      </c>
      <c r="F15367" s="0" t="inlineStr">
        <is>
          <t xml:space="preserve">Mazda</t>
        </is>
      </c>
      <c r="G15367" s="0" t="s">
        <v>171</v>
      </c>
      <c r="H15367" s="5">
        <v>960.657200</v>
      </c>
    </row>
    <row r="15368" spans="1:9">
      <c r="A15368" s="22" t="str">
        <f>HYPERLINK("https://app.vivvix.com/360/KMI/IntelliDrive/ApplUI/Pages/CreativePages/CustomReportCreativeDetail.aspx?App=23&amp;ReportView=4&amp;Qid=1711279&amp;Row=15360&amp;Col=1","No Title Assigned - #15274914606")</f>
        <v/>
      </c>
      <c r="B15368" s="0" t="s">
        <v>20413</v>
      </c>
      <c r="E15368" s="0" t="inlineStr">
        <is>
          <t xml:space="preserve">Mazda</t>
        </is>
      </c>
      <c r="F15368" s="0" t="inlineStr">
        <is>
          <t xml:space="preserve">Mazda</t>
        </is>
      </c>
      <c r="G15368" s="0" t="s">
        <v>171</v>
      </c>
      <c r="H15368" s="5">
        <v>316.412800</v>
      </c>
    </row>
    <row r="15369" spans="1:9">
      <c r="A15369" s="22" t="str">
        <f>HYPERLINK("https://app.vivvix.com/360/KMI/IntelliDrive/ApplUI/Pages/CreativePages/CustomReportCreativeDetail.aspx?App=23&amp;ReportView=4&amp;Qid=1711279&amp;Row=15361&amp;Col=1","No Title Assigned - #15274914943")</f>
        <v/>
      </c>
      <c r="B15369" s="0" t="s">
        <v>20414</v>
      </c>
      <c r="E15369" s="0" t="inlineStr">
        <is>
          <t xml:space="preserve">Mazda</t>
        </is>
      </c>
      <c r="F15369" s="0" t="inlineStr">
        <is>
          <t xml:space="preserve">Mazda</t>
        </is>
      </c>
      <c r="G15369" s="0" t="s">
        <v>171</v>
      </c>
      <c r="H15369" s="5">
        <v>1023.483800</v>
      </c>
    </row>
    <row r="15370" spans="1:9">
      <c r="A15370" s="22" t="str">
        <f>HYPERLINK("https://app.vivvix.com/360/KMI/IntelliDrive/ApplUI/Pages/CreativePages/CustomReportCreativeDetail.aspx?App=23&amp;ReportView=4&amp;Qid=1711279&amp;Row=15362&amp;Col=1","No Title Assigned - #15274915358")</f>
        <v/>
      </c>
      <c r="B15370" s="0" t="s">
        <v>20415</v>
      </c>
      <c r="E15370" s="0" t="inlineStr">
        <is>
          <t xml:space="preserve">Mazda</t>
        </is>
      </c>
      <c r="F15370" s="0" t="inlineStr">
        <is>
          <t xml:space="preserve">Mazda</t>
        </is>
      </c>
      <c r="G15370" s="0" t="s">
        <v>171</v>
      </c>
      <c r="H15370" s="5">
        <v>85.185700</v>
      </c>
    </row>
    <row r="15371" spans="1:9">
      <c r="A15371" s="22" t="str">
        <f>HYPERLINK("https://app.vivvix.com/360/KMI/IntelliDrive/ApplUI/Pages/CreativePages/CustomReportCreativeDetail.aspx?App=23&amp;ReportView=4&amp;Qid=1711279&amp;Row=15363&amp;Col=1","No Title Assigned - #15274915366")</f>
        <v/>
      </c>
      <c r="B15371" s="0" t="s">
        <v>20416</v>
      </c>
      <c r="E15371" s="0" t="inlineStr">
        <is>
          <t xml:space="preserve">Mazda</t>
        </is>
      </c>
      <c r="F15371" s="0" t="inlineStr">
        <is>
          <t xml:space="preserve">Mazda</t>
        </is>
      </c>
      <c r="G15371" s="0" t="s">
        <v>171</v>
      </c>
      <c r="H15371" s="5">
        <v>267.830300</v>
      </c>
    </row>
    <row r="15372" spans="1:9">
      <c r="A15372" s="22" t="str">
        <f>HYPERLINK("https://app.vivvix.com/360/KMI/IntelliDrive/ApplUI/Pages/CreativePages/CustomReportCreativeDetail.aspx?App=23&amp;ReportView=4&amp;Qid=1711279&amp;Row=15364&amp;Col=1","No Title Assigned - #15274915946")</f>
        <v/>
      </c>
      <c r="B15372" s="0" t="s">
        <v>20417</v>
      </c>
      <c r="E15372" s="0" t="inlineStr">
        <is>
          <t xml:space="preserve">Mazda</t>
        </is>
      </c>
      <c r="F15372" s="0" t="inlineStr">
        <is>
          <t xml:space="preserve">Mazda</t>
        </is>
      </c>
      <c r="G15372" s="0" t="s">
        <v>171</v>
      </c>
      <c r="H15372" s="5">
        <v>158.206400</v>
      </c>
    </row>
    <row r="15373" spans="1:9">
      <c r="A15373" s="22" t="str">
        <f>HYPERLINK("https://app.vivvix.com/360/KMI/IntelliDrive/ApplUI/Pages/CreativePages/CustomReportCreativeDetail.aspx?App=23&amp;ReportView=4&amp;Qid=1711279&amp;Row=15365&amp;Col=1","No Title Assigned - #15274915947")</f>
        <v/>
      </c>
      <c r="B15373" s="0" t="s">
        <v>20418</v>
      </c>
      <c r="E15373" s="0" t="inlineStr">
        <is>
          <t xml:space="preserve">Mazda</t>
        </is>
      </c>
      <c r="F15373" s="0" t="inlineStr">
        <is>
          <t xml:space="preserve">Mazda</t>
        </is>
      </c>
      <c r="G15373" s="0" t="s">
        <v>171</v>
      </c>
      <c r="H15373" s="5">
        <v>316.412800</v>
      </c>
    </row>
    <row r="15374" spans="1:9">
      <c r="A15374" s="22" t="str">
        <f>HYPERLINK("https://app.vivvix.com/360/KMI/IntelliDrive/ApplUI/Pages/CreativePages/CustomReportCreativeDetail.aspx?App=23&amp;ReportView=4&amp;Qid=1711279&amp;Row=15366&amp;Col=1","No Title Assigned - #15274917043")</f>
        <v/>
      </c>
      <c r="B15374" s="0" t="s">
        <v>20419</v>
      </c>
      <c r="E15374" s="0" t="inlineStr">
        <is>
          <t xml:space="preserve">Mazda</t>
        </is>
      </c>
      <c r="F15374" s="0" t="inlineStr">
        <is>
          <t xml:space="preserve">Mazda</t>
        </is>
      </c>
      <c r="G15374" s="0" t="s">
        <v>171</v>
      </c>
      <c r="H15374" s="5">
        <v>158.206400</v>
      </c>
    </row>
    <row r="15375" spans="1:9">
      <c r="A15375" s="22" t="str">
        <f>HYPERLINK("https://app.vivvix.com/360/KMI/IntelliDrive/ApplUI/Pages/CreativePages/CustomReportCreativeDetail.aspx?App=23&amp;ReportView=4&amp;Qid=1711279&amp;Row=15367&amp;Col=1","No Title Assigned - #15274917044")</f>
        <v/>
      </c>
      <c r="B15375" s="0" t="s">
        <v>20420</v>
      </c>
      <c r="E15375" s="0" t="inlineStr">
        <is>
          <t xml:space="preserve">Mazda</t>
        </is>
      </c>
      <c r="F15375" s="0" t="inlineStr">
        <is>
          <t xml:space="preserve">Mazda</t>
        </is>
      </c>
      <c r="G15375" s="0" t="s">
        <v>171</v>
      </c>
      <c r="H15375" s="5">
        <v>316.412800</v>
      </c>
    </row>
    <row r="15376" spans="1:9">
      <c r="A15376" s="22" t="str">
        <f>HYPERLINK("https://app.vivvix.com/360/KMI/IntelliDrive/ApplUI/Pages/CreativePages/CustomReportCreativeDetail.aspx?App=23&amp;ReportView=4&amp;Qid=1711279&amp;Row=15368&amp;Col=1","No Title Assigned - #15274919832")</f>
        <v/>
      </c>
      <c r="B15376" s="0" t="s">
        <v>20421</v>
      </c>
      <c r="E15376" s="0" t="inlineStr">
        <is>
          <t xml:space="preserve">Mazda</t>
        </is>
      </c>
      <c r="F15376" s="0" t="inlineStr">
        <is>
          <t xml:space="preserve">Mazda</t>
        </is>
      </c>
      <c r="G15376" s="0" t="s">
        <v>171</v>
      </c>
      <c r="H15376" s="5">
        <v>1.787400</v>
      </c>
    </row>
    <row r="15377" spans="1:9">
      <c r="A15377" s="22" t="str">
        <f>HYPERLINK("https://app.vivvix.com/360/KMI/IntelliDrive/ApplUI/Pages/CreativePages/CustomReportCreativeDetail.aspx?App=23&amp;ReportView=4&amp;Qid=1711279&amp;Row=15369&amp;Col=1","No Title Assigned - #15274920048")</f>
        <v/>
      </c>
      <c r="B15377" s="0" t="s">
        <v>20422</v>
      </c>
      <c r="E15377" s="0" t="inlineStr">
        <is>
          <t xml:space="preserve">Mazda</t>
        </is>
      </c>
      <c r="F15377" s="0" t="inlineStr">
        <is>
          <t xml:space="preserve">Mazda</t>
        </is>
      </c>
      <c r="G15377" s="0" t="s">
        <v>171</v>
      </c>
      <c r="H15377" s="5">
        <v>27.679900</v>
      </c>
    </row>
    <row r="15378" spans="1:9">
      <c r="A15378" s="22" t="str">
        <f>HYPERLINK("https://app.vivvix.com/360/KMI/IntelliDrive/ApplUI/Pages/CreativePages/CustomReportCreativeDetail.aspx?App=23&amp;ReportView=4&amp;Qid=1711279&amp;Row=15370&amp;Col=1","No Title Assigned - #15274933540")</f>
        <v/>
      </c>
      <c r="B15378" s="0" t="s">
        <v>20423</v>
      </c>
      <c r="C15378" s="0" t="s">
        <v>20424</v>
      </c>
      <c r="D15378" s="0" t="s">
        <v>20424</v>
      </c>
      <c r="E15378" s="0" t="inlineStr">
        <is>
          <t xml:space="preserve">Mazda</t>
        </is>
      </c>
      <c r="F15378" s="0" t="s">
        <v>21</v>
      </c>
      <c r="G15378" s="0" t="s">
        <v>22</v>
      </c>
      <c r="H15378" s="5">
        <v>293.465600</v>
      </c>
    </row>
    <row r="15379" spans="1:9">
      <c r="A15379" s="22" t="str">
        <f>HYPERLINK("https://app.vivvix.com/360/KMI/IntelliDrive/ApplUI/Pages/CreativePages/CustomReportCreativeDetail.aspx?App=23&amp;ReportView=4&amp;Qid=1711279&amp;Row=15371&amp;Col=1","No Title Assigned - #15274943527")</f>
        <v/>
      </c>
      <c r="B15379" s="0" t="s">
        <v>20425</v>
      </c>
      <c r="C15379" s="0" t="s">
        <v>20426</v>
      </c>
      <c r="D15379" s="0" t="s">
        <v>20426</v>
      </c>
      <c r="E15379" s="0" t="inlineStr">
        <is>
          <t xml:space="preserve">Mazda</t>
        </is>
      </c>
      <c r="F15379" s="0" t="s">
        <v>13</v>
      </c>
      <c r="G15379" s="0" t="s">
        <v>49</v>
      </c>
      <c r="H15379" s="5">
        <v>44.276000</v>
      </c>
    </row>
    <row r="15380" spans="1:9">
      <c r="A15380" s="22" t="str">
        <f>HYPERLINK("https://app.vivvix.com/360/KMI/IntelliDrive/ApplUI/Pages/CreativePages/CustomReportCreativeDetail.aspx?App=23&amp;ReportView=4&amp;Qid=1711279&amp;Row=15372&amp;Col=1","No Title Assigned - #15274948370")</f>
        <v/>
      </c>
      <c r="B15380" s="0" t="s">
        <v>20427</v>
      </c>
      <c r="C15380" s="0" t="s">
        <v>20428</v>
      </c>
      <c r="D15380" s="0" t="s">
        <v>20428</v>
      </c>
      <c r="E15380" s="0" t="inlineStr">
        <is>
          <t xml:space="preserve">Mazda</t>
        </is>
      </c>
      <c r="F15380" s="0" t="s">
        <v>13</v>
      </c>
      <c r="G15380" s="0" t="s">
        <v>49</v>
      </c>
      <c r="H15380" s="5">
        <v>383788.125000</v>
      </c>
    </row>
    <row r="15381" spans="1:9">
      <c r="A15381" s="22" t="str">
        <f>HYPERLINK("https://app.vivvix.com/360/KMI/IntelliDrive/ApplUI/Pages/CreativePages/CustomReportCreativeDetail.aspx?App=23&amp;ReportView=4&amp;Qid=1711279&amp;Row=15373&amp;Col=1","No Title Assigned - #15274952525")</f>
        <v/>
      </c>
      <c r="B15381" s="0" t="s">
        <v>20429</v>
      </c>
      <c r="E15381" s="0" t="inlineStr">
        <is>
          <t xml:space="preserve">Mazda</t>
        </is>
      </c>
      <c r="F15381" s="0" t="inlineStr">
        <is>
          <t xml:space="preserve">Mazda</t>
        </is>
      </c>
      <c r="G15381" s="0" t="s">
        <v>171</v>
      </c>
      <c r="H15381" s="5">
        <v>1.787400</v>
      </c>
    </row>
    <row r="15382" spans="1:9">
      <c r="A15382" s="22" t="str">
        <f>HYPERLINK("https://app.vivvix.com/360/KMI/IntelliDrive/ApplUI/Pages/CreativePages/CustomReportCreativeDetail.aspx?App=23&amp;ReportView=4&amp;Qid=1711279&amp;Row=15374&amp;Col=1","No Title Assigned - #15274953509")</f>
        <v/>
      </c>
      <c r="B15382" s="0" t="s">
        <v>20430</v>
      </c>
      <c r="E15382" s="0" t="inlineStr">
        <is>
          <t xml:space="preserve">Mazda</t>
        </is>
      </c>
      <c r="F15382" s="0" t="inlineStr">
        <is>
          <t xml:space="preserve">Mazda</t>
        </is>
      </c>
      <c r="G15382" s="0" t="s">
        <v>171</v>
      </c>
      <c r="H15382" s="5">
        <v>380.430400</v>
      </c>
    </row>
    <row r="15383" spans="1:9">
      <c r="A15383" s="22" t="str">
        <f>HYPERLINK("https://app.vivvix.com/360/KMI/IntelliDrive/ApplUI/Pages/CreativePages/CustomReportCreativeDetail.aspx?App=23&amp;ReportView=4&amp;Qid=1711279&amp;Row=15375&amp;Col=1","No Title Assigned - #15274954807")</f>
        <v/>
      </c>
      <c r="B15383" s="0" t="s">
        <v>20431</v>
      </c>
      <c r="E15383" s="0" t="inlineStr">
        <is>
          <t xml:space="preserve">Mazda</t>
        </is>
      </c>
      <c r="F15383" s="0" t="inlineStr">
        <is>
          <t xml:space="preserve">Mazda</t>
        </is>
      </c>
      <c r="G15383" s="0" t="s">
        <v>171</v>
      </c>
      <c r="H15383" s="5">
        <v>1897.569200</v>
      </c>
    </row>
    <row r="15384" spans="1:9">
      <c r="A15384" s="22" t="str">
        <f>HYPERLINK("https://app.vivvix.com/360/KMI/IntelliDrive/ApplUI/Pages/CreativePages/CustomReportCreativeDetail.aspx?App=23&amp;ReportView=4&amp;Qid=1711279&amp;Row=15376&amp;Col=1","No Title Assigned - #15274972492")</f>
        <v/>
      </c>
      <c r="B15384" s="0" t="s">
        <v>20432</v>
      </c>
      <c r="C15384" s="0" t="s">
        <v>20433</v>
      </c>
      <c r="D15384" s="0" t="s">
        <v>20433</v>
      </c>
      <c r="E15384" s="0" t="inlineStr">
        <is>
          <t xml:space="preserve">Mazda</t>
        </is>
      </c>
      <c r="F15384" s="0" t="s">
        <v>13</v>
      </c>
      <c r="G15384" s="0" t="s">
        <v>49</v>
      </c>
      <c r="H15384" s="5">
        <v>192.703000</v>
      </c>
    </row>
    <row r="15385" spans="1:9">
      <c r="A15385" s="22" t="str">
        <f>HYPERLINK("https://app.vivvix.com/360/KMI/IntelliDrive/ApplUI/Pages/CreativePages/CustomReportCreativeDetail.aspx?App=23&amp;ReportView=4&amp;Qid=1711279&amp;Row=15377&amp;Col=1","No Title Assigned - #15274974156")</f>
        <v/>
      </c>
      <c r="B15385" s="0" t="s">
        <v>20434</v>
      </c>
      <c r="C15385" s="0" t="s">
        <v>20435</v>
      </c>
      <c r="D15385" s="0" t="s">
        <v>8588</v>
      </c>
      <c r="E15385" s="0" t="inlineStr">
        <is>
          <t xml:space="preserve">Mazda</t>
        </is>
      </c>
      <c r="F15385" s="0" t="s">
        <v>13</v>
      </c>
      <c r="G15385" s="0" t="s">
        <v>49</v>
      </c>
      <c r="H15385" s="5">
        <v>2665.336600</v>
      </c>
    </row>
    <row r="15386" spans="1:9">
      <c r="A15386" s="22" t="str">
        <f>HYPERLINK("https://app.vivvix.com/360/KMI/IntelliDrive/ApplUI/Pages/CreativePages/CustomReportCreativeDetail.aspx?App=23&amp;ReportView=4&amp;Qid=1711279&amp;Row=15378&amp;Col=1","No Title Assigned - #15274975480")</f>
        <v/>
      </c>
      <c r="B15386" s="0" t="s">
        <v>20436</v>
      </c>
      <c r="C15386" s="0" t="s">
        <v>20437</v>
      </c>
      <c r="D15386" s="0" t="s">
        <v>20437</v>
      </c>
      <c r="E15386" s="0" t="inlineStr">
        <is>
          <t xml:space="preserve">Mazda</t>
        </is>
      </c>
      <c r="F15386" s="0" t="s">
        <v>13</v>
      </c>
      <c r="G15386" s="0" t="s">
        <v>49</v>
      </c>
      <c r="H15386" s="5">
        <v>425.302900</v>
      </c>
    </row>
    <row r="15387" spans="1:9">
      <c r="A15387" s="22" t="str">
        <f>HYPERLINK("https://app.vivvix.com/360/KMI/IntelliDrive/ApplUI/Pages/CreativePages/CustomReportCreativeDetail.aspx?App=23&amp;ReportView=4&amp;Qid=1711279&amp;Row=15379&amp;Col=1","No Title Assigned - #15274976750")</f>
        <v/>
      </c>
      <c r="B15387" s="0" t="s">
        <v>20438</v>
      </c>
      <c r="C15387" s="0" t="s">
        <v>20439</v>
      </c>
      <c r="D15387" s="0" t="s">
        <v>20439</v>
      </c>
      <c r="E15387" s="0" t="inlineStr">
        <is>
          <t xml:space="preserve">Mazda</t>
        </is>
      </c>
      <c r="F15387" s="0" t="s">
        <v>13</v>
      </c>
      <c r="G15387" s="0" t="s">
        <v>49</v>
      </c>
      <c r="H15387" s="5">
        <v>298.498300</v>
      </c>
    </row>
    <row r="15388" spans="1:9">
      <c r="A15388" s="22" t="str">
        <f>HYPERLINK("https://app.vivvix.com/360/KMI/IntelliDrive/ApplUI/Pages/CreativePages/CustomReportCreativeDetail.aspx?App=23&amp;ReportView=4&amp;Qid=1711279&amp;Row=15380&amp;Col=1","No Title Assigned - #15274977043")</f>
        <v/>
      </c>
      <c r="B15388" s="0" t="s">
        <v>20440</v>
      </c>
      <c r="C15388" s="0" t="s">
        <v>20441</v>
      </c>
      <c r="D15388" s="0" t="s">
        <v>10770</v>
      </c>
      <c r="E15388" s="0" t="inlineStr">
        <is>
          <t xml:space="preserve">Mazda</t>
        </is>
      </c>
      <c r="F15388" s="0" t="s">
        <v>13</v>
      </c>
      <c r="G15388" s="0" t="s">
        <v>49</v>
      </c>
      <c r="H15388" s="5">
        <v>42.695100</v>
      </c>
    </row>
    <row r="15389" spans="1:9">
      <c r="A15389" s="22" t="str">
        <f>HYPERLINK("https://app.vivvix.com/360/KMI/IntelliDrive/ApplUI/Pages/CreativePages/CustomReportCreativeDetail.aspx?App=23&amp;ReportView=4&amp;Qid=1711279&amp;Row=15381&amp;Col=1","No Title Assigned - #15274977638")</f>
        <v/>
      </c>
      <c r="B15389" s="0" t="s">
        <v>20442</v>
      </c>
      <c r="C15389" s="0" t="s">
        <v>20443</v>
      </c>
      <c r="D15389" s="0" t="s">
        <v>20443</v>
      </c>
      <c r="E15389" s="0" t="inlineStr">
        <is>
          <t xml:space="preserve">Mazda</t>
        </is>
      </c>
      <c r="F15389" s="0" t="s">
        <v>13</v>
      </c>
      <c r="G15389" s="0" t="s">
        <v>49</v>
      </c>
      <c r="H15389" s="5">
        <v>1460.715800</v>
      </c>
    </row>
    <row r="15390" spans="1:9">
      <c r="A15390" s="22" t="str">
        <f>HYPERLINK("https://app.vivvix.com/360/KMI/IntelliDrive/ApplUI/Pages/CreativePages/CustomReportCreativeDetail.aspx?App=23&amp;ReportView=4&amp;Qid=1711279&amp;Row=15382&amp;Col=1","No Title Assigned - #15274977999")</f>
        <v/>
      </c>
      <c r="B15390" s="0" t="s">
        <v>20444</v>
      </c>
      <c r="C15390" s="0" t="s">
        <v>20445</v>
      </c>
      <c r="D15390" s="0" t="s">
        <v>8203</v>
      </c>
      <c r="E15390" s="0" t="inlineStr">
        <is>
          <t xml:space="preserve">Mazda</t>
        </is>
      </c>
      <c r="F15390" s="0" t="s">
        <v>28</v>
      </c>
      <c r="G15390" s="0" t="s">
        <v>29</v>
      </c>
      <c r="H15390" s="5">
        <v>484.178800</v>
      </c>
    </row>
    <row r="15391" spans="1:9">
      <c r="A15391" s="22" t="str">
        <f>HYPERLINK("https://app.vivvix.com/360/KMI/IntelliDrive/ApplUI/Pages/CreativePages/CustomReportCreativeDetail.aspx?App=23&amp;ReportView=4&amp;Qid=1711279&amp;Row=15383&amp;Col=1","No Title Assigned - #15274978518")</f>
        <v/>
      </c>
      <c r="B15391" s="0" t="s">
        <v>20446</v>
      </c>
      <c r="C15391" s="0" t="s">
        <v>14092</v>
      </c>
      <c r="D15391" s="0" t="s">
        <v>14092</v>
      </c>
      <c r="E15391" s="0" t="inlineStr">
        <is>
          <t xml:space="preserve">Mazda</t>
        </is>
      </c>
      <c r="F15391" s="0" t="s">
        <v>28</v>
      </c>
      <c r="G15391" s="0" t="s">
        <v>29</v>
      </c>
      <c r="H15391" s="5">
        <v>7334.510100</v>
      </c>
    </row>
    <row r="15392" spans="1:9">
      <c r="A15392" s="22" t="str">
        <f>HYPERLINK("https://app.vivvix.com/360/KMI/IntelliDrive/ApplUI/Pages/CreativePages/CustomReportCreativeDetail.aspx?App=23&amp;ReportView=4&amp;Qid=1711279&amp;Row=15384&amp;Col=1","No Title Assigned - #15274979262")</f>
        <v/>
      </c>
      <c r="B15392" s="0" t="s">
        <v>20447</v>
      </c>
      <c r="E15392" s="0" t="inlineStr">
        <is>
          <t xml:space="preserve">Mazda</t>
        </is>
      </c>
      <c r="F15392" s="0" t="inlineStr">
        <is>
          <t xml:space="preserve">Mazda</t>
        </is>
      </c>
      <c r="G15392" s="0" t="s">
        <v>171</v>
      </c>
      <c r="H15392" s="5">
        <v>14701.457500</v>
      </c>
    </row>
    <row r="15393" spans="1:9">
      <c r="A15393" s="22" t="str">
        <f>HYPERLINK("https://app.vivvix.com/360/KMI/IntelliDrive/ApplUI/Pages/CreativePages/CustomReportCreativeDetail.aspx?App=23&amp;ReportView=4&amp;Qid=1711279&amp;Row=15385&amp;Col=1","No Title Assigned - #15274979463")</f>
        <v/>
      </c>
      <c r="B15393" s="0" t="s">
        <v>20448</v>
      </c>
      <c r="E15393" s="0" t="inlineStr">
        <is>
          <t xml:space="preserve">Mazda</t>
        </is>
      </c>
      <c r="F15393" s="0" t="inlineStr">
        <is>
          <t xml:space="preserve">Mazda</t>
        </is>
      </c>
      <c r="G15393" s="0" t="s">
        <v>171</v>
      </c>
      <c r="H15393" s="5">
        <v>1201.746200</v>
      </c>
    </row>
    <row r="15394" spans="1:9">
      <c r="A15394" s="22" t="str">
        <f>HYPERLINK("https://app.vivvix.com/360/KMI/IntelliDrive/ApplUI/Pages/CreativePages/CustomReportCreativeDetail.aspx?App=23&amp;ReportView=4&amp;Qid=1711279&amp;Row=15386&amp;Col=1","No Title Assigned - #15274979477")</f>
        <v/>
      </c>
      <c r="B15394" s="0" t="s">
        <v>20449</v>
      </c>
      <c r="E15394" s="0" t="inlineStr">
        <is>
          <t xml:space="preserve">Mazda</t>
        </is>
      </c>
      <c r="F15394" s="0" t="inlineStr">
        <is>
          <t xml:space="preserve">Mazda</t>
        </is>
      </c>
      <c r="G15394" s="0" t="s">
        <v>171</v>
      </c>
      <c r="H15394" s="5">
        <v>118.781700</v>
      </c>
    </row>
    <row r="15395" spans="1:9">
      <c r="A15395" s="22" t="str">
        <f>HYPERLINK("https://app.vivvix.com/360/KMI/IntelliDrive/ApplUI/Pages/CreativePages/CustomReportCreativeDetail.aspx?App=23&amp;ReportView=4&amp;Qid=1711279&amp;Row=15387&amp;Col=1","No Title Assigned - #15274979660")</f>
        <v/>
      </c>
      <c r="B15395" s="0" t="s">
        <v>20450</v>
      </c>
      <c r="C15395" s="0" t="s">
        <v>20451</v>
      </c>
      <c r="D15395" s="0" t="s">
        <v>20451</v>
      </c>
      <c r="E15395" s="0" t="inlineStr">
        <is>
          <t xml:space="preserve">Mazda</t>
        </is>
      </c>
      <c r="F15395" s="0" t="inlineStr">
        <is>
          <t xml:space="preserve">Mazda</t>
        </is>
      </c>
      <c r="G15395" s="0" t="s">
        <v>171</v>
      </c>
      <c r="H15395" s="5">
        <v>933.131000</v>
      </c>
    </row>
    <row r="15396" spans="1:9">
      <c r="A15396" s="22" t="str">
        <f>HYPERLINK("https://app.vivvix.com/360/KMI/IntelliDrive/ApplUI/Pages/CreativePages/CustomReportCreativeDetail.aspx?App=23&amp;ReportView=4&amp;Qid=1711279&amp;Row=15388&amp;Col=1","No Title Assigned - #15274979791")</f>
        <v/>
      </c>
      <c r="B15396" s="0" t="s">
        <v>20452</v>
      </c>
      <c r="E15396" s="0" t="inlineStr">
        <is>
          <t xml:space="preserve">Mazda</t>
        </is>
      </c>
      <c r="F15396" s="0" t="inlineStr">
        <is>
          <t xml:space="preserve">Mazda</t>
        </is>
      </c>
      <c r="G15396" s="0" t="s">
        <v>171</v>
      </c>
      <c r="H15396" s="5">
        <v>946.288700</v>
      </c>
    </row>
    <row r="15397" spans="1:9">
      <c r="A15397" s="22" t="str">
        <f>HYPERLINK("https://app.vivvix.com/360/KMI/IntelliDrive/ApplUI/Pages/CreativePages/CustomReportCreativeDetail.aspx?App=23&amp;ReportView=4&amp;Qid=1711279&amp;Row=15389&amp;Col=1","No Title Assigned - #15274980011")</f>
        <v/>
      </c>
      <c r="B15397" s="0" t="s">
        <v>20453</v>
      </c>
      <c r="E15397" s="0" t="inlineStr">
        <is>
          <t xml:space="preserve">Mazda</t>
        </is>
      </c>
      <c r="F15397" s="0" t="inlineStr">
        <is>
          <t xml:space="preserve">Mazda</t>
        </is>
      </c>
      <c r="G15397" s="0" t="s">
        <v>171</v>
      </c>
      <c r="H15397" s="5">
        <v>146.542200</v>
      </c>
    </row>
    <row r="15398" spans="1:9">
      <c r="A15398" s="22" t="str">
        <f>HYPERLINK("https://app.vivvix.com/360/KMI/IntelliDrive/ApplUI/Pages/CreativePages/CustomReportCreativeDetail.aspx?App=23&amp;ReportView=4&amp;Qid=1711279&amp;Row=15390&amp;Col=1","No Title Assigned - #15274980200")</f>
        <v/>
      </c>
      <c r="B15398" s="0" t="s">
        <v>20454</v>
      </c>
      <c r="E15398" s="0" t="inlineStr">
        <is>
          <t xml:space="preserve">Mazda</t>
        </is>
      </c>
      <c r="F15398" s="0" t="inlineStr">
        <is>
          <t xml:space="preserve">Mazda</t>
        </is>
      </c>
      <c r="G15398" s="0" t="s">
        <v>171</v>
      </c>
      <c r="H15398" s="5">
        <v>1062.732900</v>
      </c>
    </row>
    <row r="15399" spans="1:9">
      <c r="A15399" s="22" t="str">
        <f>HYPERLINK("https://app.vivvix.com/360/KMI/IntelliDrive/ApplUI/Pages/CreativePages/CustomReportCreativeDetail.aspx?App=23&amp;ReportView=4&amp;Qid=1711279&amp;Row=15391&amp;Col=1","No Title Assigned - #15274980220")</f>
        <v/>
      </c>
      <c r="B15399" s="0" t="s">
        <v>20455</v>
      </c>
      <c r="E15399" s="0" t="inlineStr">
        <is>
          <t xml:space="preserve">Mazda</t>
        </is>
      </c>
      <c r="F15399" s="0" t="inlineStr">
        <is>
          <t xml:space="preserve">Mazda</t>
        </is>
      </c>
      <c r="G15399" s="0" t="s">
        <v>171</v>
      </c>
      <c r="H15399" s="5">
        <v>75.272900</v>
      </c>
    </row>
    <row r="15400" spans="1:9">
      <c r="A15400" s="22" t="str">
        <f>HYPERLINK("https://app.vivvix.com/360/KMI/IntelliDrive/ApplUI/Pages/CreativePages/CustomReportCreativeDetail.aspx?App=23&amp;ReportView=4&amp;Qid=1711279&amp;Row=15392&amp;Col=1","No Title Assigned - #15274981073")</f>
        <v/>
      </c>
      <c r="B15400" s="0" t="s">
        <v>20456</v>
      </c>
      <c r="E15400" s="0" t="inlineStr">
        <is>
          <t xml:space="preserve">Mazda</t>
        </is>
      </c>
      <c r="F15400" s="0" t="inlineStr">
        <is>
          <t xml:space="preserve">Mazda</t>
        </is>
      </c>
      <c r="G15400" s="0" t="s">
        <v>171</v>
      </c>
      <c r="H15400" s="5">
        <v>448.886300</v>
      </c>
    </row>
    <row r="15401" spans="1:9">
      <c r="A15401" s="22" t="str">
        <f>HYPERLINK("https://app.vivvix.com/360/KMI/IntelliDrive/ApplUI/Pages/CreativePages/CustomReportCreativeDetail.aspx?App=23&amp;ReportView=4&amp;Qid=1711279&amp;Row=15393&amp;Col=1","No Title Assigned - #15274981317")</f>
        <v/>
      </c>
      <c r="B15401" s="0" t="s">
        <v>20457</v>
      </c>
      <c r="E15401" s="0" t="inlineStr">
        <is>
          <t xml:space="preserve">Mazda</t>
        </is>
      </c>
      <c r="F15401" s="0" t="inlineStr">
        <is>
          <t xml:space="preserve">Mazda</t>
        </is>
      </c>
      <c r="G15401" s="0" t="s">
        <v>171</v>
      </c>
      <c r="H15401" s="5">
        <v>34.907600</v>
      </c>
    </row>
    <row r="15402" spans="1:9">
      <c r="A15402" s="22" t="str">
        <f>HYPERLINK("https://app.vivvix.com/360/KMI/IntelliDrive/ApplUI/Pages/CreativePages/CustomReportCreativeDetail.aspx?App=23&amp;ReportView=4&amp;Qid=1711279&amp;Row=15394&amp;Col=1","No Title Assigned - #15274981414")</f>
        <v/>
      </c>
      <c r="B15402" s="0" t="s">
        <v>20458</v>
      </c>
      <c r="E15402" s="0" t="inlineStr">
        <is>
          <t xml:space="preserve">Mazda</t>
        </is>
      </c>
      <c r="F15402" s="0" t="inlineStr">
        <is>
          <t xml:space="preserve">Mazda</t>
        </is>
      </c>
      <c r="G15402" s="0" t="s">
        <v>171</v>
      </c>
      <c r="H15402" s="5">
        <v>6.789700</v>
      </c>
    </row>
    <row r="15403" spans="1:9">
      <c r="A15403" s="22" t="str">
        <f>HYPERLINK("https://app.vivvix.com/360/KMI/IntelliDrive/ApplUI/Pages/CreativePages/CustomReportCreativeDetail.aspx?App=23&amp;ReportView=4&amp;Qid=1711279&amp;Row=15395&amp;Col=1","No Title Assigned - #15274981420")</f>
        <v/>
      </c>
      <c r="B15403" s="0" t="s">
        <v>20459</v>
      </c>
      <c r="E15403" s="0" t="inlineStr">
        <is>
          <t xml:space="preserve">Mazda</t>
        </is>
      </c>
      <c r="F15403" s="0" t="inlineStr">
        <is>
          <t xml:space="preserve">Mazda</t>
        </is>
      </c>
      <c r="G15403" s="0" t="s">
        <v>171</v>
      </c>
      <c r="H15403" s="5">
        <v>97.293100</v>
      </c>
    </row>
    <row r="15404" spans="1:9">
      <c r="A15404" s="22" t="str">
        <f>HYPERLINK("https://app.vivvix.com/360/KMI/IntelliDrive/ApplUI/Pages/CreativePages/CustomReportCreativeDetail.aspx?App=23&amp;ReportView=4&amp;Qid=1711279&amp;Row=15396&amp;Col=1","No Title Assigned - #15274981671")</f>
        <v/>
      </c>
      <c r="B15404" s="0" t="s">
        <v>20460</v>
      </c>
      <c r="E15404" s="0" t="inlineStr">
        <is>
          <t xml:space="preserve">Mazda</t>
        </is>
      </c>
      <c r="F15404" s="0" t="inlineStr">
        <is>
          <t xml:space="preserve">Mazda</t>
        </is>
      </c>
      <c r="G15404" s="0" t="s">
        <v>171</v>
      </c>
      <c r="H15404" s="5">
        <v>130.710300</v>
      </c>
    </row>
    <row r="15405" spans="1:9">
      <c r="A15405" s="22" t="str">
        <f>HYPERLINK("https://app.vivvix.com/360/KMI/IntelliDrive/ApplUI/Pages/CreativePages/CustomReportCreativeDetail.aspx?App=23&amp;ReportView=4&amp;Qid=1711279&amp;Row=15397&amp;Col=1","No Title Assigned - #15274981909")</f>
        <v/>
      </c>
      <c r="B15405" s="0" t="s">
        <v>20461</v>
      </c>
      <c r="E15405" s="0" t="inlineStr">
        <is>
          <t xml:space="preserve">Mazda</t>
        </is>
      </c>
      <c r="F15405" s="0" t="inlineStr">
        <is>
          <t xml:space="preserve">Mazda</t>
        </is>
      </c>
      <c r="G15405" s="0" t="s">
        <v>171</v>
      </c>
      <c r="H15405" s="5">
        <v>2308.212400</v>
      </c>
    </row>
    <row r="15406" spans="1:9">
      <c r="A15406" s="22" t="str">
        <f>HYPERLINK("https://app.vivvix.com/360/KMI/IntelliDrive/ApplUI/Pages/CreativePages/CustomReportCreativeDetail.aspx?App=23&amp;ReportView=4&amp;Qid=1711279&amp;Row=15398&amp;Col=1","No Title Assigned - #15274981956")</f>
        <v/>
      </c>
      <c r="B15406" s="0" t="s">
        <v>20462</v>
      </c>
      <c r="E15406" s="0" t="inlineStr">
        <is>
          <t xml:space="preserve">Mazda</t>
        </is>
      </c>
      <c r="F15406" s="0" t="inlineStr">
        <is>
          <t xml:space="preserve">Mazda</t>
        </is>
      </c>
      <c r="G15406" s="0" t="s">
        <v>171</v>
      </c>
      <c r="H15406" s="5">
        <v>52.349700</v>
      </c>
    </row>
    <row r="15407" spans="1:9">
      <c r="A15407" s="22" t="str">
        <f>HYPERLINK("https://app.vivvix.com/360/KMI/IntelliDrive/ApplUI/Pages/CreativePages/CustomReportCreativeDetail.aspx?App=23&amp;ReportView=4&amp;Qid=1711279&amp;Row=15399&amp;Col=1","No Title Assigned - #15274982091")</f>
        <v/>
      </c>
      <c r="B15407" s="0" t="s">
        <v>20463</v>
      </c>
      <c r="E15407" s="0" t="inlineStr">
        <is>
          <t xml:space="preserve">Mazda</t>
        </is>
      </c>
      <c r="F15407" s="0" t="inlineStr">
        <is>
          <t xml:space="preserve">Mazda</t>
        </is>
      </c>
      <c r="G15407" s="0" t="s">
        <v>171</v>
      </c>
      <c r="H15407" s="5">
        <v>3481.769100</v>
      </c>
    </row>
    <row r="15408" spans="1:9">
      <c r="A15408" s="22" t="str">
        <f>HYPERLINK("https://app.vivvix.com/360/KMI/IntelliDrive/ApplUI/Pages/CreativePages/CustomReportCreativeDetail.aspx?App=23&amp;ReportView=4&amp;Qid=1711279&amp;Row=15400&amp;Col=1","No Title Assigned - #15274982203")</f>
        <v/>
      </c>
      <c r="B15408" s="0" t="s">
        <v>20464</v>
      </c>
      <c r="E15408" s="0" t="inlineStr">
        <is>
          <t xml:space="preserve">Mazda</t>
        </is>
      </c>
      <c r="F15408" s="0" t="inlineStr">
        <is>
          <t xml:space="preserve">Mazda</t>
        </is>
      </c>
      <c r="G15408" s="0" t="s">
        <v>171</v>
      </c>
      <c r="H15408" s="5">
        <v>168.574800</v>
      </c>
    </row>
    <row r="15409" spans="1:9">
      <c r="A15409" s="22" t="str">
        <f>HYPERLINK("https://app.vivvix.com/360/KMI/IntelliDrive/ApplUI/Pages/CreativePages/CustomReportCreativeDetail.aspx?App=23&amp;ReportView=4&amp;Qid=1711279&amp;Row=15401&amp;Col=1","No Title Assigned - #15274982450")</f>
        <v/>
      </c>
      <c r="B15409" s="0" t="s">
        <v>20465</v>
      </c>
      <c r="E15409" s="0" t="inlineStr">
        <is>
          <t xml:space="preserve">Mazda</t>
        </is>
      </c>
      <c r="F15409" s="0" t="inlineStr">
        <is>
          <t xml:space="preserve">Mazda</t>
        </is>
      </c>
      <c r="G15409" s="0" t="s">
        <v>171</v>
      </c>
      <c r="H15409" s="5">
        <v>637.182500</v>
      </c>
    </row>
    <row r="15410" spans="1:9">
      <c r="A15410" s="22" t="str">
        <f>HYPERLINK("https://app.vivvix.com/360/KMI/IntelliDrive/ApplUI/Pages/CreativePages/CustomReportCreativeDetail.aspx?App=23&amp;ReportView=4&amp;Qid=1711279&amp;Row=15402&amp;Col=1","No Title Assigned - #15274982797")</f>
        <v/>
      </c>
      <c r="B15410" s="0" t="s">
        <v>20466</v>
      </c>
      <c r="E15410" s="0" t="inlineStr">
        <is>
          <t xml:space="preserve">Mazda</t>
        </is>
      </c>
      <c r="F15410" s="0" t="inlineStr">
        <is>
          <t xml:space="preserve">Mazda</t>
        </is>
      </c>
      <c r="G15410" s="0" t="s">
        <v>171</v>
      </c>
      <c r="H15410" s="5">
        <v>47.053200</v>
      </c>
    </row>
    <row r="15411" spans="1:9">
      <c r="A15411" s="22" t="str">
        <f>HYPERLINK("https://app.vivvix.com/360/KMI/IntelliDrive/ApplUI/Pages/CreativePages/CustomReportCreativeDetail.aspx?App=23&amp;ReportView=4&amp;Qid=1711279&amp;Row=15403&amp;Col=1","No Title Assigned - #15274983063")</f>
        <v/>
      </c>
      <c r="B15411" s="0" t="s">
        <v>20467</v>
      </c>
      <c r="E15411" s="0" t="inlineStr">
        <is>
          <t xml:space="preserve">Mazda</t>
        </is>
      </c>
      <c r="F15411" s="0" t="inlineStr">
        <is>
          <t xml:space="preserve">Mazda</t>
        </is>
      </c>
      <c r="G15411" s="0" t="s">
        <v>171</v>
      </c>
      <c r="H15411" s="5">
        <v>30708.795300</v>
      </c>
    </row>
    <row r="15412" spans="1:9">
      <c r="A15412" s="22" t="str">
        <f>HYPERLINK("https://app.vivvix.com/360/KMI/IntelliDrive/ApplUI/Pages/CreativePages/CustomReportCreativeDetail.aspx?App=23&amp;ReportView=4&amp;Qid=1711279&amp;Row=15404&amp;Col=1","No Title Assigned - #15274983580")</f>
        <v/>
      </c>
      <c r="B15412" s="0" t="s">
        <v>20468</v>
      </c>
      <c r="E15412" s="0" t="inlineStr">
        <is>
          <t xml:space="preserve">Mazda</t>
        </is>
      </c>
      <c r="F15412" s="0" t="inlineStr">
        <is>
          <t xml:space="preserve">Mazda</t>
        </is>
      </c>
      <c r="G15412" s="0" t="s">
        <v>171</v>
      </c>
      <c r="H15412" s="5">
        <v>13.867800</v>
      </c>
    </row>
    <row r="15413" spans="1:9">
      <c r="A15413" s="22" t="str">
        <f>HYPERLINK("https://app.vivvix.com/360/KMI/IntelliDrive/ApplUI/Pages/CreativePages/CustomReportCreativeDetail.aspx?App=23&amp;ReportView=4&amp;Qid=1711279&amp;Row=15405&amp;Col=1","No Title Assigned - #15274983696")</f>
        <v/>
      </c>
      <c r="B15413" s="0" t="s">
        <v>20469</v>
      </c>
      <c r="E15413" s="0" t="inlineStr">
        <is>
          <t xml:space="preserve">Mazda</t>
        </is>
      </c>
      <c r="F15413" s="0" t="inlineStr">
        <is>
          <t xml:space="preserve">Mazda</t>
        </is>
      </c>
      <c r="G15413" s="0" t="s">
        <v>171</v>
      </c>
      <c r="H15413" s="5">
        <v>165.991600</v>
      </c>
    </row>
    <row r="15414" spans="1:9">
      <c r="A15414" s="22" t="str">
        <f>HYPERLINK("https://app.vivvix.com/360/KMI/IntelliDrive/ApplUI/Pages/CreativePages/CustomReportCreativeDetail.aspx?App=23&amp;ReportView=4&amp;Qid=1711279&amp;Row=15406&amp;Col=1","No Title Assigned - #15274984019")</f>
        <v/>
      </c>
      <c r="B15414" s="0" t="s">
        <v>20470</v>
      </c>
      <c r="C15414" s="0" t="s">
        <v>20471</v>
      </c>
      <c r="D15414" s="0" t="s">
        <v>20471</v>
      </c>
      <c r="E15414" s="0" t="inlineStr">
        <is>
          <t xml:space="preserve">Mazda</t>
        </is>
      </c>
      <c r="F15414" s="0" t="inlineStr">
        <is>
          <t xml:space="preserve">Mazda</t>
        </is>
      </c>
      <c r="G15414" s="0" t="s">
        <v>171</v>
      </c>
      <c r="H15414" s="5">
        <v>1397.702500</v>
      </c>
    </row>
    <row r="15415" spans="1:9">
      <c r="A15415" s="22" t="str">
        <f>HYPERLINK("https://app.vivvix.com/360/KMI/IntelliDrive/ApplUI/Pages/CreativePages/CustomReportCreativeDetail.aspx?App=23&amp;ReportView=4&amp;Qid=1711279&amp;Row=15407&amp;Col=1","No Title Assigned - #15274985328")</f>
        <v/>
      </c>
      <c r="B15415" s="0" t="s">
        <v>20472</v>
      </c>
      <c r="E15415" s="0" t="inlineStr">
        <is>
          <t xml:space="preserve">Mazda</t>
        </is>
      </c>
      <c r="F15415" s="0" t="inlineStr">
        <is>
          <t xml:space="preserve">Mazda</t>
        </is>
      </c>
      <c r="G15415" s="0" t="s">
        <v>171</v>
      </c>
      <c r="H15415" s="5">
        <v>1930.391300</v>
      </c>
    </row>
    <row r="15416" spans="1:9">
      <c r="A15416" s="22" t="str">
        <f>HYPERLINK("https://app.vivvix.com/360/KMI/IntelliDrive/ApplUI/Pages/CreativePages/CustomReportCreativeDetail.aspx?App=23&amp;ReportView=4&amp;Qid=1711279&amp;Row=15408&amp;Col=1","No Title Assigned - #15274986430")</f>
        <v/>
      </c>
      <c r="B15416" s="0" t="s">
        <v>20473</v>
      </c>
      <c r="E15416" s="0" t="inlineStr">
        <is>
          <t xml:space="preserve">Mazda</t>
        </is>
      </c>
      <c r="F15416" s="0" t="inlineStr">
        <is>
          <t xml:space="preserve">Mazda</t>
        </is>
      </c>
      <c r="G15416" s="0" t="s">
        <v>171</v>
      </c>
      <c r="H15416" s="5">
        <v>616.977000</v>
      </c>
    </row>
    <row r="15417" spans="1:9">
      <c r="A15417" s="22" t="str">
        <f>HYPERLINK("https://app.vivvix.com/360/KMI/IntelliDrive/ApplUI/Pages/CreativePages/CustomReportCreativeDetail.aspx?App=23&amp;ReportView=4&amp;Qid=1711279&amp;Row=15409&amp;Col=1","No Title Assigned - #15274987176")</f>
        <v/>
      </c>
      <c r="B15417" s="0" t="s">
        <v>20474</v>
      </c>
      <c r="E15417" s="0" t="inlineStr">
        <is>
          <t xml:space="preserve">Mazda</t>
        </is>
      </c>
      <c r="F15417" s="0" t="inlineStr">
        <is>
          <t xml:space="preserve">Mazda</t>
        </is>
      </c>
      <c r="G15417" s="0" t="s">
        <v>171</v>
      </c>
      <c r="H15417" s="5">
        <v>481.191400</v>
      </c>
    </row>
    <row r="15418" spans="1:9">
      <c r="A15418" s="22" t="str">
        <f>HYPERLINK("https://app.vivvix.com/360/KMI/IntelliDrive/ApplUI/Pages/CreativePages/CustomReportCreativeDetail.aspx?App=23&amp;ReportView=4&amp;Qid=1711279&amp;Row=15410&amp;Col=1","No Title Assigned - #15274987194")</f>
        <v/>
      </c>
      <c r="B15418" s="0" t="s">
        <v>20475</v>
      </c>
      <c r="E15418" s="0" t="inlineStr">
        <is>
          <t xml:space="preserve">Mazda</t>
        </is>
      </c>
      <c r="F15418" s="0" t="inlineStr">
        <is>
          <t xml:space="preserve">Mazda</t>
        </is>
      </c>
      <c r="G15418" s="0" t="s">
        <v>171</v>
      </c>
      <c r="H15418" s="5">
        <v>130.107300</v>
      </c>
    </row>
    <row r="15419" spans="1:9">
      <c r="A15419" s="22" t="str">
        <f>HYPERLINK("https://app.vivvix.com/360/KMI/IntelliDrive/ApplUI/Pages/CreativePages/CustomReportCreativeDetail.aspx?App=23&amp;ReportView=4&amp;Qid=1711279&amp;Row=15411&amp;Col=1","No Title Assigned - #15274987318")</f>
        <v/>
      </c>
      <c r="B15419" s="0" t="s">
        <v>20476</v>
      </c>
      <c r="E15419" s="0" t="inlineStr">
        <is>
          <t xml:space="preserve">Mazda</t>
        </is>
      </c>
      <c r="F15419" s="0" t="inlineStr">
        <is>
          <t xml:space="preserve">Mazda</t>
        </is>
      </c>
      <c r="G15419" s="0" t="s">
        <v>171</v>
      </c>
      <c r="H15419" s="5">
        <v>54.748600</v>
      </c>
    </row>
    <row r="15420" spans="1:9">
      <c r="A15420" s="22" t="str">
        <f>HYPERLINK("https://app.vivvix.com/360/KMI/IntelliDrive/ApplUI/Pages/CreativePages/CustomReportCreativeDetail.aspx?App=23&amp;ReportView=4&amp;Qid=1711279&amp;Row=15412&amp;Col=1","No Title Assigned - #15274987337")</f>
        <v/>
      </c>
      <c r="B15420" s="0" t="s">
        <v>20477</v>
      </c>
      <c r="E15420" s="0" t="inlineStr">
        <is>
          <t xml:space="preserve">Mazda</t>
        </is>
      </c>
      <c r="F15420" s="0" t="inlineStr">
        <is>
          <t xml:space="preserve">Mazda</t>
        </is>
      </c>
      <c r="G15420" s="0" t="s">
        <v>171</v>
      </c>
      <c r="H15420" s="5">
        <v>8.375000</v>
      </c>
    </row>
    <row r="15421" spans="1:9">
      <c r="A15421" s="22" t="str">
        <f>HYPERLINK("https://app.vivvix.com/360/KMI/IntelliDrive/ApplUI/Pages/CreativePages/CustomReportCreativeDetail.aspx?App=23&amp;ReportView=4&amp;Qid=1711279&amp;Row=15413&amp;Col=1","No Title Assigned - #15274987695")</f>
        <v/>
      </c>
      <c r="B15421" s="0" t="s">
        <v>20478</v>
      </c>
      <c r="E15421" s="0" t="inlineStr">
        <is>
          <t xml:space="preserve">Mazda</t>
        </is>
      </c>
      <c r="F15421" s="0" t="inlineStr">
        <is>
          <t xml:space="preserve">Mazda</t>
        </is>
      </c>
      <c r="G15421" s="0" t="s">
        <v>171</v>
      </c>
      <c r="H15421" s="5">
        <v>245.953300</v>
      </c>
    </row>
    <row r="15422" spans="1:9">
      <c r="A15422" s="22" t="str">
        <f>HYPERLINK("https://app.vivvix.com/360/KMI/IntelliDrive/ApplUI/Pages/CreativePages/CustomReportCreativeDetail.aspx?App=23&amp;ReportView=4&amp;Qid=1711279&amp;Row=15414&amp;Col=1","No Title Assigned - #15274987700")</f>
        <v/>
      </c>
      <c r="B15422" s="0" t="s">
        <v>20479</v>
      </c>
      <c r="E15422" s="0" t="inlineStr">
        <is>
          <t xml:space="preserve">Mazda</t>
        </is>
      </c>
      <c r="F15422" s="0" t="inlineStr">
        <is>
          <t xml:space="preserve">Mazda</t>
        </is>
      </c>
      <c r="G15422" s="0" t="s">
        <v>171</v>
      </c>
      <c r="H15422" s="5">
        <v>652.320600</v>
      </c>
    </row>
    <row r="15423" spans="1:9">
      <c r="A15423" s="22" t="str">
        <f>HYPERLINK("https://app.vivvix.com/360/KMI/IntelliDrive/ApplUI/Pages/CreativePages/CustomReportCreativeDetail.aspx?App=23&amp;ReportView=4&amp;Qid=1711279&amp;Row=15415&amp;Col=1","No Title Assigned - #15274987721")</f>
        <v/>
      </c>
      <c r="B15423" s="0" t="s">
        <v>20480</v>
      </c>
      <c r="E15423" s="0" t="inlineStr">
        <is>
          <t xml:space="preserve">Mazda</t>
        </is>
      </c>
      <c r="F15423" s="0" t="inlineStr">
        <is>
          <t xml:space="preserve">Mazda</t>
        </is>
      </c>
      <c r="G15423" s="0" t="s">
        <v>171</v>
      </c>
      <c r="H15423" s="5">
        <v>40.681600</v>
      </c>
    </row>
    <row r="15424" spans="1:9">
      <c r="A15424" s="22" t="str">
        <f>HYPERLINK("https://app.vivvix.com/360/KMI/IntelliDrive/ApplUI/Pages/CreativePages/CustomReportCreativeDetail.aspx?App=23&amp;ReportView=4&amp;Qid=1711279&amp;Row=15416&amp;Col=1","No Title Assigned - #15274988683")</f>
        <v/>
      </c>
      <c r="B15424" s="0" t="s">
        <v>20481</v>
      </c>
      <c r="E15424" s="0" t="inlineStr">
        <is>
          <t xml:space="preserve">Mazda</t>
        </is>
      </c>
      <c r="F15424" s="0" t="inlineStr">
        <is>
          <t xml:space="preserve">Mazda</t>
        </is>
      </c>
      <c r="G15424" s="0" t="s">
        <v>171</v>
      </c>
      <c r="H15424" s="5">
        <v>103.177800</v>
      </c>
    </row>
    <row r="15425" spans="1:9">
      <c r="A15425" s="22" t="str">
        <f>HYPERLINK("https://app.vivvix.com/360/KMI/IntelliDrive/ApplUI/Pages/CreativePages/CustomReportCreativeDetail.aspx?App=23&amp;ReportView=4&amp;Qid=1711279&amp;Row=15417&amp;Col=1","No Title Assigned - #15274988757")</f>
        <v/>
      </c>
      <c r="B15425" s="0" t="s">
        <v>20482</v>
      </c>
      <c r="E15425" s="0" t="inlineStr">
        <is>
          <t xml:space="preserve">Mazda</t>
        </is>
      </c>
      <c r="F15425" s="0" t="inlineStr">
        <is>
          <t xml:space="preserve">Mazda</t>
        </is>
      </c>
      <c r="G15425" s="0" t="s">
        <v>171</v>
      </c>
      <c r="H15425" s="5">
        <v>556.178800</v>
      </c>
    </row>
    <row r="15426" spans="1:9">
      <c r="A15426" s="22" t="str">
        <f>HYPERLINK("https://app.vivvix.com/360/KMI/IntelliDrive/ApplUI/Pages/CreativePages/CustomReportCreativeDetail.aspx?App=23&amp;ReportView=4&amp;Qid=1711279&amp;Row=15418&amp;Col=1","No Title Assigned - #15274988859")</f>
        <v/>
      </c>
      <c r="B15426" s="0" t="s">
        <v>20483</v>
      </c>
      <c r="E15426" s="0" t="inlineStr">
        <is>
          <t xml:space="preserve">Mazda</t>
        </is>
      </c>
      <c r="F15426" s="0" t="inlineStr">
        <is>
          <t xml:space="preserve">Mazda</t>
        </is>
      </c>
      <c r="G15426" s="0" t="s">
        <v>171</v>
      </c>
      <c r="H15426" s="5">
        <v>73.632800</v>
      </c>
    </row>
    <row r="15427" spans="1:9">
      <c r="A15427" s="22" t="str">
        <f>HYPERLINK("https://app.vivvix.com/360/KMI/IntelliDrive/ApplUI/Pages/CreativePages/CustomReportCreativeDetail.aspx?App=23&amp;ReportView=4&amp;Qid=1711279&amp;Row=15419&amp;Col=1","No Title Assigned - #15274988860")</f>
        <v/>
      </c>
      <c r="B15427" s="0" t="s">
        <v>20484</v>
      </c>
      <c r="E15427" s="0" t="inlineStr">
        <is>
          <t xml:space="preserve">Mazda</t>
        </is>
      </c>
      <c r="F15427" s="0" t="inlineStr">
        <is>
          <t xml:space="preserve">Mazda</t>
        </is>
      </c>
      <c r="G15427" s="0" t="s">
        <v>171</v>
      </c>
      <c r="H15427" s="5">
        <v>1.787400</v>
      </c>
    </row>
    <row r="15428" spans="1:9">
      <c r="A15428" s="22" t="str">
        <f>HYPERLINK("https://app.vivvix.com/360/KMI/IntelliDrive/ApplUI/Pages/CreativePages/CustomReportCreativeDetail.aspx?App=23&amp;ReportView=4&amp;Qid=1711279&amp;Row=15420&amp;Col=1","No Title Assigned - #15274988925")</f>
        <v/>
      </c>
      <c r="B15428" s="0" t="s">
        <v>20485</v>
      </c>
      <c r="E15428" s="0" t="inlineStr">
        <is>
          <t xml:space="preserve">Mazda</t>
        </is>
      </c>
      <c r="F15428" s="0" t="inlineStr">
        <is>
          <t xml:space="preserve">Mazda</t>
        </is>
      </c>
      <c r="G15428" s="0" t="s">
        <v>171</v>
      </c>
      <c r="H15428" s="5">
        <v>467.027100</v>
      </c>
    </row>
    <row r="15429" spans="1:9">
      <c r="A15429" s="22" t="str">
        <f>HYPERLINK("https://app.vivvix.com/360/KMI/IntelliDrive/ApplUI/Pages/CreativePages/CustomReportCreativeDetail.aspx?App=23&amp;ReportView=4&amp;Qid=1711279&amp;Row=15421&amp;Col=1","No Title Assigned - #15274988963")</f>
        <v/>
      </c>
      <c r="B15429" s="0" t="s">
        <v>20486</v>
      </c>
      <c r="E15429" s="0" t="inlineStr">
        <is>
          <t xml:space="preserve">Mazda</t>
        </is>
      </c>
      <c r="F15429" s="0" t="inlineStr">
        <is>
          <t xml:space="preserve">Mazda</t>
        </is>
      </c>
      <c r="G15429" s="0" t="s">
        <v>171</v>
      </c>
      <c r="H15429" s="5">
        <v>291.257900</v>
      </c>
    </row>
    <row r="15430" spans="1:9">
      <c r="A15430" s="22" t="str">
        <f>HYPERLINK("https://app.vivvix.com/360/KMI/IntelliDrive/ApplUI/Pages/CreativePages/CustomReportCreativeDetail.aspx?App=23&amp;ReportView=4&amp;Qid=1711279&amp;Row=15422&amp;Col=1","No Title Assigned - #15274988963")</f>
        <v/>
      </c>
      <c r="B15430" s="0" t="s">
        <v>20486</v>
      </c>
      <c r="E15430" s="0" t="inlineStr">
        <is>
          <t xml:space="preserve">Mazda</t>
        </is>
      </c>
      <c r="F15430" s="0" t="inlineStr">
        <is>
          <t xml:space="preserve">Mazda</t>
        </is>
      </c>
      <c r="G15430" s="0" t="s">
        <v>171</v>
      </c>
      <c r="H15430" s="5">
        <v>64.380100</v>
      </c>
    </row>
    <row r="15431" spans="1:9">
      <c r="A15431" s="22" t="str">
        <f>HYPERLINK("https://app.vivvix.com/360/KMI/IntelliDrive/ApplUI/Pages/CreativePages/CustomReportCreativeDetail.aspx?App=23&amp;ReportView=4&amp;Qid=1711279&amp;Row=15423&amp;Col=1","No Title Assigned - #15274988995")</f>
        <v/>
      </c>
      <c r="B15431" s="0" t="s">
        <v>20487</v>
      </c>
      <c r="E15431" s="0" t="inlineStr">
        <is>
          <t xml:space="preserve">Mazda</t>
        </is>
      </c>
      <c r="F15431" s="0" t="inlineStr">
        <is>
          <t xml:space="preserve">Mazda</t>
        </is>
      </c>
      <c r="G15431" s="0" t="s">
        <v>171</v>
      </c>
      <c r="H15431" s="5">
        <v>1052.168700</v>
      </c>
    </row>
    <row r="15432" spans="1:9">
      <c r="A15432" s="22" t="str">
        <f>HYPERLINK("https://app.vivvix.com/360/KMI/IntelliDrive/ApplUI/Pages/CreativePages/CustomReportCreativeDetail.aspx?App=23&amp;ReportView=4&amp;Qid=1711279&amp;Row=15424&amp;Col=1","No Title Assigned - #15274989076")</f>
        <v/>
      </c>
      <c r="B15432" s="0" t="s">
        <v>20488</v>
      </c>
      <c r="E15432" s="0" t="inlineStr">
        <is>
          <t xml:space="preserve">Mazda</t>
        </is>
      </c>
      <c r="F15432" s="0" t="inlineStr">
        <is>
          <t xml:space="preserve">Mazda</t>
        </is>
      </c>
      <c r="G15432" s="0" t="s">
        <v>171</v>
      </c>
      <c r="H15432" s="5">
        <v>152.230400</v>
      </c>
    </row>
    <row r="15433" spans="1:9">
      <c r="A15433" s="22" t="str">
        <f>HYPERLINK("https://app.vivvix.com/360/KMI/IntelliDrive/ApplUI/Pages/CreativePages/CustomReportCreativeDetail.aspx?App=23&amp;ReportView=4&amp;Qid=1711279&amp;Row=15425&amp;Col=1","No Title Assigned - #15274989350")</f>
        <v/>
      </c>
      <c r="B15433" s="0" t="s">
        <v>20489</v>
      </c>
      <c r="E15433" s="0" t="inlineStr">
        <is>
          <t xml:space="preserve">Mazda</t>
        </is>
      </c>
      <c r="F15433" s="0" t="inlineStr">
        <is>
          <t xml:space="preserve">Mazda</t>
        </is>
      </c>
      <c r="G15433" s="0" t="s">
        <v>171</v>
      </c>
      <c r="H15433" s="5">
        <v>212.832500</v>
      </c>
    </row>
    <row r="15434" spans="1:9">
      <c r="A15434" s="22" t="str">
        <f>HYPERLINK("https://app.vivvix.com/360/KMI/IntelliDrive/ApplUI/Pages/CreativePages/CustomReportCreativeDetail.aspx?App=23&amp;ReportView=4&amp;Qid=1711279&amp;Row=15426&amp;Col=1","No Title Assigned - #15274989415")</f>
        <v/>
      </c>
      <c r="B15434" s="0" t="s">
        <v>20490</v>
      </c>
      <c r="E15434" s="0" t="inlineStr">
        <is>
          <t xml:space="preserve">Mazda</t>
        </is>
      </c>
      <c r="F15434" s="0" t="inlineStr">
        <is>
          <t xml:space="preserve">Mazda</t>
        </is>
      </c>
      <c r="G15434" s="0" t="s">
        <v>171</v>
      </c>
      <c r="H15434" s="5">
        <v>2876.869900</v>
      </c>
    </row>
    <row r="15435" spans="1:9">
      <c r="A15435" s="22" t="str">
        <f>HYPERLINK("https://app.vivvix.com/360/KMI/IntelliDrive/ApplUI/Pages/CreativePages/CustomReportCreativeDetail.aspx?App=23&amp;ReportView=4&amp;Qid=1711279&amp;Row=15427&amp;Col=1","No Title Assigned - #15274990403")</f>
        <v/>
      </c>
      <c r="B15435" s="0" t="s">
        <v>20491</v>
      </c>
      <c r="E15435" s="0" t="inlineStr">
        <is>
          <t xml:space="preserve">Mazda</t>
        </is>
      </c>
      <c r="F15435" s="0" t="inlineStr">
        <is>
          <t xml:space="preserve">Mazda</t>
        </is>
      </c>
      <c r="G15435" s="0" t="s">
        <v>171</v>
      </c>
      <c r="H15435" s="5">
        <v>245.953300</v>
      </c>
    </row>
    <row r="15436" spans="1:9">
      <c r="A15436" s="22" t="str">
        <f>HYPERLINK("https://app.vivvix.com/360/KMI/IntelliDrive/ApplUI/Pages/CreativePages/CustomReportCreativeDetail.aspx?App=23&amp;ReportView=4&amp;Qid=1711279&amp;Row=15428&amp;Col=1","No Title Assigned - #15274990421")</f>
        <v/>
      </c>
      <c r="B15436" s="0" t="s">
        <v>20492</v>
      </c>
      <c r="E15436" s="0" t="inlineStr">
        <is>
          <t xml:space="preserve">Mazda</t>
        </is>
      </c>
      <c r="F15436" s="0" t="inlineStr">
        <is>
          <t xml:space="preserve">Mazda</t>
        </is>
      </c>
      <c r="G15436" s="0" t="s">
        <v>171</v>
      </c>
      <c r="H15436" s="5">
        <v>20.281000</v>
      </c>
    </row>
    <row r="15437" spans="1:9">
      <c r="A15437" s="22" t="str">
        <f>HYPERLINK("https://app.vivvix.com/360/KMI/IntelliDrive/ApplUI/Pages/CreativePages/CustomReportCreativeDetail.aspx?App=23&amp;ReportView=4&amp;Qid=1711279&amp;Row=15429&amp;Col=1","No Title Assigned - #15274990628")</f>
        <v/>
      </c>
      <c r="B15437" s="0" t="s">
        <v>20493</v>
      </c>
      <c r="E15437" s="0" t="inlineStr">
        <is>
          <t xml:space="preserve">Mazda</t>
        </is>
      </c>
      <c r="F15437" s="0" t="inlineStr">
        <is>
          <t xml:space="preserve">Mazda</t>
        </is>
      </c>
      <c r="G15437" s="0" t="s">
        <v>171</v>
      </c>
      <c r="H15437" s="5">
        <v>85.293200</v>
      </c>
    </row>
    <row r="15438" spans="1:9">
      <c r="A15438" s="22" t="str">
        <f>HYPERLINK("https://app.vivvix.com/360/KMI/IntelliDrive/ApplUI/Pages/CreativePages/CustomReportCreativeDetail.aspx?App=23&amp;ReportView=4&amp;Qid=1711279&amp;Row=15430&amp;Col=1","No Title Assigned - #15274990683")</f>
        <v/>
      </c>
      <c r="B15438" s="0" t="s">
        <v>20494</v>
      </c>
      <c r="E15438" s="0" t="inlineStr">
        <is>
          <t xml:space="preserve">Mazda</t>
        </is>
      </c>
      <c r="F15438" s="0" t="inlineStr">
        <is>
          <t xml:space="preserve">Mazda</t>
        </is>
      </c>
      <c r="G15438" s="0" t="s">
        <v>171</v>
      </c>
      <c r="H15438" s="5">
        <v>1504.656400</v>
      </c>
    </row>
    <row r="15439" spans="1:9">
      <c r="A15439" s="22" t="str">
        <f>HYPERLINK("https://app.vivvix.com/360/KMI/IntelliDrive/ApplUI/Pages/CreativePages/CustomReportCreativeDetail.aspx?App=23&amp;ReportView=4&amp;Qid=1711279&amp;Row=15431&amp;Col=1","No Title Assigned - #15274992516")</f>
        <v/>
      </c>
      <c r="B15439" s="0" t="s">
        <v>20495</v>
      </c>
      <c r="E15439" s="0" t="inlineStr">
        <is>
          <t xml:space="preserve">Mazda</t>
        </is>
      </c>
      <c r="F15439" s="0" t="inlineStr">
        <is>
          <t xml:space="preserve">Mazda</t>
        </is>
      </c>
      <c r="G15439" s="0" t="s">
        <v>171</v>
      </c>
      <c r="H15439" s="5">
        <v>3066.203100</v>
      </c>
    </row>
    <row r="15440" spans="1:9">
      <c r="A15440" s="22" t="str">
        <f>HYPERLINK("https://app.vivvix.com/360/KMI/IntelliDrive/ApplUI/Pages/CreativePages/CustomReportCreativeDetail.aspx?App=23&amp;ReportView=4&amp;Qid=1711279&amp;Row=15432&amp;Col=1","No Title Assigned - #15274994390")</f>
        <v/>
      </c>
      <c r="B15440" s="0" t="s">
        <v>20496</v>
      </c>
      <c r="E15440" s="0" t="inlineStr">
        <is>
          <t xml:space="preserve">Mazda</t>
        </is>
      </c>
      <c r="F15440" s="0" t="inlineStr">
        <is>
          <t xml:space="preserve">Mazda</t>
        </is>
      </c>
      <c r="G15440" s="0" t="s">
        <v>171</v>
      </c>
      <c r="H15440" s="5">
        <v>6169.518800</v>
      </c>
    </row>
    <row r="15441" spans="1:9">
      <c r="A15441" s="22" t="str">
        <f>HYPERLINK("https://app.vivvix.com/360/KMI/IntelliDrive/ApplUI/Pages/CreativePages/CustomReportCreativeDetail.aspx?App=23&amp;ReportView=4&amp;Qid=1711279&amp;Row=15433&amp;Col=1","No Title Assigned - #15274998881")</f>
        <v/>
      </c>
      <c r="B15441" s="0" t="s">
        <v>20497</v>
      </c>
      <c r="E15441" s="0" t="inlineStr">
        <is>
          <t xml:space="preserve">Mazda</t>
        </is>
      </c>
      <c r="F15441" s="0" t="inlineStr">
        <is>
          <t xml:space="preserve">Mazda</t>
        </is>
      </c>
      <c r="G15441" s="0" t="s">
        <v>171</v>
      </c>
      <c r="H15441" s="5">
        <v>638.151500</v>
      </c>
    </row>
    <row r="15442" spans="1:9">
      <c r="A15442" s="22" t="str">
        <f>HYPERLINK("https://app.vivvix.com/360/KMI/IntelliDrive/ApplUI/Pages/CreativePages/CustomReportCreativeDetail.aspx?App=23&amp;ReportView=4&amp;Qid=1711279&amp;Row=15434&amp;Col=1","No Title Assigned - #15275002177")</f>
        <v/>
      </c>
      <c r="B15442" s="0" t="s">
        <v>20498</v>
      </c>
      <c r="E15442" s="0" t="inlineStr">
        <is>
          <t xml:space="preserve">Mazda</t>
        </is>
      </c>
      <c r="F15442" s="0" t="inlineStr">
        <is>
          <t xml:space="preserve">Mazda</t>
        </is>
      </c>
      <c r="G15442" s="0" t="s">
        <v>171</v>
      </c>
      <c r="H15442" s="5">
        <v>477.633800</v>
      </c>
    </row>
    <row r="15443" spans="1:9">
      <c r="A15443" s="22" t="str">
        <f>HYPERLINK("https://app.vivvix.com/360/KMI/IntelliDrive/ApplUI/Pages/CreativePages/CustomReportCreativeDetail.aspx?App=23&amp;ReportView=4&amp;Qid=1711279&amp;Row=15435&amp;Col=1","No Title Assigned - #15275003226")</f>
        <v/>
      </c>
      <c r="B15443" s="0" t="s">
        <v>20499</v>
      </c>
      <c r="E15443" s="0" t="inlineStr">
        <is>
          <t xml:space="preserve">Mazda</t>
        </is>
      </c>
      <c r="F15443" s="0" t="s">
        <v>21</v>
      </c>
      <c r="G15443" s="0" t="s">
        <v>22</v>
      </c>
      <c r="H15443" s="5">
        <v>1488.722000</v>
      </c>
    </row>
    <row r="15444" spans="1:9">
      <c r="A15444" s="22" t="str">
        <f>HYPERLINK("https://app.vivvix.com/360/KMI/IntelliDrive/ApplUI/Pages/CreativePages/CustomReportCreativeDetail.aspx?App=23&amp;ReportView=4&amp;Qid=1711279&amp;Row=15436&amp;Col=1","No Title Assigned - #15275018057")</f>
        <v/>
      </c>
      <c r="B15444" s="0" t="s">
        <v>20500</v>
      </c>
      <c r="C15444" s="0" t="s">
        <v>20501</v>
      </c>
      <c r="D15444" s="0" t="s">
        <v>20501</v>
      </c>
      <c r="E15444" s="0" t="inlineStr">
        <is>
          <t xml:space="preserve">Mazda</t>
        </is>
      </c>
      <c r="F15444" s="0" t="s">
        <v>13</v>
      </c>
      <c r="G15444" s="0" t="s">
        <v>49</v>
      </c>
      <c r="H15444" s="5">
        <v>157.307900</v>
      </c>
    </row>
    <row r="15445" spans="1:9">
      <c r="A15445" s="22" t="str">
        <f>HYPERLINK("https://app.vivvix.com/360/KMI/IntelliDrive/ApplUI/Pages/CreativePages/CustomReportCreativeDetail.aspx?App=23&amp;ReportView=4&amp;Qid=1711279&amp;Row=15437&amp;Col=1","No Title Assigned - #15275021607")</f>
        <v/>
      </c>
      <c r="B15445" s="0" t="s">
        <v>20502</v>
      </c>
      <c r="E15445" s="0" t="inlineStr">
        <is>
          <t xml:space="preserve">Mazda</t>
        </is>
      </c>
      <c r="F15445" s="0" t="s">
        <v>13</v>
      </c>
      <c r="G15445" s="0" t="s">
        <v>49</v>
      </c>
      <c r="H15445" s="5">
        <v>126.379700</v>
      </c>
    </row>
    <row r="15446" spans="1:9">
      <c r="A15446" s="22" t="str">
        <f>HYPERLINK("https://app.vivvix.com/360/KMI/IntelliDrive/ApplUI/Pages/CreativePages/CustomReportCreativeDetail.aspx?App=23&amp;ReportView=4&amp;Qid=1711279&amp;Row=15438&amp;Col=1","No Title Assigned - #15275022576")</f>
        <v/>
      </c>
      <c r="B15446" s="0" t="s">
        <v>20503</v>
      </c>
      <c r="C15446" s="0" t="s">
        <v>20504</v>
      </c>
      <c r="D15446" s="0" t="s">
        <v>20504</v>
      </c>
      <c r="E15446" s="0" t="inlineStr">
        <is>
          <t xml:space="preserve">Mazda</t>
        </is>
      </c>
      <c r="F15446" s="0" t="s">
        <v>13</v>
      </c>
      <c r="G15446" s="0" t="s">
        <v>49</v>
      </c>
      <c r="H15446" s="5">
        <v>214.838400</v>
      </c>
    </row>
    <row r="15447" spans="1:9">
      <c r="A15447" s="22" t="str">
        <f>HYPERLINK("https://app.vivvix.com/360/KMI/IntelliDrive/ApplUI/Pages/CreativePages/CustomReportCreativeDetail.aspx?App=23&amp;ReportView=4&amp;Qid=1711279&amp;Row=15439&amp;Col=1","No Title Assigned - #15275022637")</f>
        <v/>
      </c>
      <c r="B15447" s="0" t="s">
        <v>20505</v>
      </c>
      <c r="C15447" s="0" t="s">
        <v>20506</v>
      </c>
      <c r="D15447" s="0" t="s">
        <v>20506</v>
      </c>
      <c r="E15447" s="0" t="inlineStr">
        <is>
          <t xml:space="preserve">Mazda</t>
        </is>
      </c>
      <c r="F15447" s="0" t="inlineStr">
        <is>
          <t xml:space="preserve">Mazda</t>
        </is>
      </c>
      <c r="G15447" s="0" t="s">
        <v>210</v>
      </c>
      <c r="H15447" s="5">
        <v>3652.609900</v>
      </c>
    </row>
    <row r="15448" spans="1:9">
      <c r="A15448" s="22" t="str">
        <f>HYPERLINK("https://app.vivvix.com/360/KMI/IntelliDrive/ApplUI/Pages/CreativePages/CustomReportCreativeDetail.aspx?App=23&amp;ReportView=4&amp;Qid=1711279&amp;Row=15440&amp;Col=1","No Title Assigned - #15275023464")</f>
        <v/>
      </c>
      <c r="B15448" s="0" t="s">
        <v>20507</v>
      </c>
      <c r="C15448" s="0" t="s">
        <v>20508</v>
      </c>
      <c r="D15448" s="0" t="s">
        <v>20508</v>
      </c>
      <c r="E15448" s="0" t="inlineStr">
        <is>
          <t xml:space="preserve">Mazda</t>
        </is>
      </c>
      <c r="F15448" s="0" t="inlineStr">
        <is>
          <t xml:space="preserve">Mazda</t>
        </is>
      </c>
      <c r="G15448" s="0" t="s">
        <v>210</v>
      </c>
      <c r="H15448" s="5">
        <v>912.540600</v>
      </c>
    </row>
    <row r="15449" spans="1:9">
      <c r="A15449" s="22" t="str">
        <f>HYPERLINK("https://app.vivvix.com/360/KMI/IntelliDrive/ApplUI/Pages/CreativePages/CustomReportCreativeDetail.aspx?App=23&amp;ReportView=4&amp;Qid=1711279&amp;Row=15441&amp;Col=1","No Title Assigned - #15275023724")</f>
        <v/>
      </c>
      <c r="B15449" s="0" t="s">
        <v>20509</v>
      </c>
      <c r="C15449" s="0" t="s">
        <v>20510</v>
      </c>
      <c r="D15449" s="0" t="s">
        <v>20510</v>
      </c>
      <c r="E15449" s="0" t="inlineStr">
        <is>
          <t xml:space="preserve">Mazda</t>
        </is>
      </c>
      <c r="F15449" s="0" t="s">
        <v>13</v>
      </c>
      <c r="G15449" s="0" t="s">
        <v>49</v>
      </c>
      <c r="H15449" s="5">
        <v>8717.852300</v>
      </c>
    </row>
    <row r="15450" spans="1:9">
      <c r="A15450" s="22" t="str">
        <f>HYPERLINK("https://app.vivvix.com/360/KMI/IntelliDrive/ApplUI/Pages/CreativePages/CustomReportCreativeDetail.aspx?App=23&amp;ReportView=4&amp;Qid=1711279&amp;Row=15442&amp;Col=1","No Title Assigned - #15275028997")</f>
        <v/>
      </c>
      <c r="B15450" s="0" t="s">
        <v>20511</v>
      </c>
      <c r="C15450" s="0" t="s">
        <v>20512</v>
      </c>
      <c r="D15450" s="0" t="s">
        <v>20512</v>
      </c>
      <c r="E15450" s="0" t="inlineStr">
        <is>
          <t xml:space="preserve">Mazda</t>
        </is>
      </c>
      <c r="F15450" s="0" t="inlineStr">
        <is>
          <t xml:space="preserve">Mazda</t>
        </is>
      </c>
      <c r="G15450" s="0" t="s">
        <v>210</v>
      </c>
      <c r="H15450" s="5">
        <v>1941.268800</v>
      </c>
    </row>
    <row r="15451" spans="1:9">
      <c r="A15451" s="22" t="str">
        <f>HYPERLINK("https://app.vivvix.com/360/KMI/IntelliDrive/ApplUI/Pages/CreativePages/CustomReportCreativeDetail.aspx?App=23&amp;ReportView=4&amp;Qid=1711279&amp;Row=15443&amp;Col=1","No Title Assigned - #15275029953")</f>
        <v/>
      </c>
      <c r="B15451" s="0" t="s">
        <v>20513</v>
      </c>
      <c r="C15451" s="0" t="s">
        <v>20514</v>
      </c>
      <c r="D15451" s="0" t="s">
        <v>20514</v>
      </c>
      <c r="E15451" s="0" t="inlineStr">
        <is>
          <t xml:space="preserve">Mazda</t>
        </is>
      </c>
      <c r="F15451" s="0" t="s">
        <v>13</v>
      </c>
      <c r="G15451" s="0" t="s">
        <v>49</v>
      </c>
      <c r="H15451" s="5">
        <v>1601.698800</v>
      </c>
    </row>
    <row r="15452" spans="1:9">
      <c r="A15452" s="22" t="str">
        <f>HYPERLINK("https://app.vivvix.com/360/KMI/IntelliDrive/ApplUI/Pages/CreativePages/CustomReportCreativeDetail.aspx?App=23&amp;ReportView=4&amp;Qid=1711279&amp;Row=15444&amp;Col=1","No Title Assigned - #15275030348")</f>
        <v/>
      </c>
      <c r="B15452" s="0" t="s">
        <v>20515</v>
      </c>
      <c r="C15452" s="0" t="s">
        <v>20516</v>
      </c>
      <c r="D15452" s="0" t="s">
        <v>20516</v>
      </c>
      <c r="E15452" s="0" t="inlineStr">
        <is>
          <t xml:space="preserve">Mazda</t>
        </is>
      </c>
      <c r="F15452" s="0" t="s">
        <v>21</v>
      </c>
      <c r="G15452" s="0" t="s">
        <v>22</v>
      </c>
      <c r="H15452" s="5">
        <v>399.826600</v>
      </c>
    </row>
    <row r="15453" spans="1:9">
      <c r="A15453" s="22" t="str">
        <f>HYPERLINK("https://app.vivvix.com/360/KMI/IntelliDrive/ApplUI/Pages/CreativePages/CustomReportCreativeDetail.aspx?App=23&amp;ReportView=4&amp;Qid=1711279&amp;Row=15445&amp;Col=1","No Title Assigned - #15275031272")</f>
        <v/>
      </c>
      <c r="B15453" s="0" t="s">
        <v>20517</v>
      </c>
      <c r="C15453" s="0" t="s">
        <v>20518</v>
      </c>
      <c r="D15453" s="0" t="s">
        <v>20518</v>
      </c>
      <c r="E15453" s="0" t="inlineStr">
        <is>
          <t xml:space="preserve">Mazda</t>
        </is>
      </c>
      <c r="F15453" s="0" t="s">
        <v>13</v>
      </c>
      <c r="G15453" s="0" t="s">
        <v>49</v>
      </c>
      <c r="H15453" s="5">
        <v>810.236000</v>
      </c>
    </row>
    <row r="15454" spans="1:9">
      <c r="A15454" s="22" t="str">
        <f>HYPERLINK("https://app.vivvix.com/360/KMI/IntelliDrive/ApplUI/Pages/CreativePages/CustomReportCreativeDetail.aspx?App=23&amp;ReportView=4&amp;Qid=1711279&amp;Row=15446&amp;Col=1","No Title Assigned - #15275032852")</f>
        <v/>
      </c>
      <c r="B15454" s="0" t="s">
        <v>20519</v>
      </c>
      <c r="C15454" s="0" t="s">
        <v>20520</v>
      </c>
      <c r="D15454" s="0" t="s">
        <v>11048</v>
      </c>
      <c r="E15454" s="0" t="inlineStr">
        <is>
          <t xml:space="preserve">Mazda</t>
        </is>
      </c>
      <c r="F15454" s="0" t="s">
        <v>28</v>
      </c>
      <c r="G15454" s="0" t="s">
        <v>29</v>
      </c>
      <c r="H15454" s="5">
        <v>1076.604300</v>
      </c>
    </row>
    <row r="15455" spans="1:9">
      <c r="A15455" s="22" t="str">
        <f>HYPERLINK("https://app.vivvix.com/360/KMI/IntelliDrive/ApplUI/Pages/CreativePages/CustomReportCreativeDetail.aspx?App=23&amp;ReportView=4&amp;Qid=1711279&amp;Row=15447&amp;Col=1","No Title Assigned - #15275033166")</f>
        <v/>
      </c>
      <c r="B15455" s="0" t="s">
        <v>20521</v>
      </c>
      <c r="C15455" s="0" t="s">
        <v>20522</v>
      </c>
      <c r="D15455" s="0" t="s">
        <v>20522</v>
      </c>
      <c r="E15455" s="0" t="inlineStr">
        <is>
          <t xml:space="preserve">Mazda</t>
        </is>
      </c>
      <c r="F15455" s="0" t="s">
        <v>13</v>
      </c>
      <c r="G15455" s="0" t="s">
        <v>49</v>
      </c>
      <c r="H15455" s="5">
        <v>1210.443400</v>
      </c>
    </row>
    <row r="15456" spans="1:9">
      <c r="A15456" s="22" t="str">
        <f>HYPERLINK("https://app.vivvix.com/360/KMI/IntelliDrive/ApplUI/Pages/CreativePages/CustomReportCreativeDetail.aspx?App=23&amp;ReportView=4&amp;Qid=1711279&amp;Row=15448&amp;Col=1","No Title Assigned - #15275033250")</f>
        <v/>
      </c>
      <c r="B15456" s="0" t="s">
        <v>20523</v>
      </c>
      <c r="C15456" s="0" t="s">
        <v>20524</v>
      </c>
      <c r="D15456" s="0" t="s">
        <v>20524</v>
      </c>
      <c r="E15456" s="0" t="inlineStr">
        <is>
          <t xml:space="preserve">Mazda</t>
        </is>
      </c>
      <c r="F15456" s="0" t="inlineStr">
        <is>
          <t xml:space="preserve">Mazda</t>
        </is>
      </c>
      <c r="G15456" s="0" t="s">
        <v>210</v>
      </c>
      <c r="H15456" s="5">
        <v>207.175800</v>
      </c>
    </row>
    <row r="15457" spans="1:9">
      <c r="A15457" s="22" t="str">
        <f>HYPERLINK("https://app.vivvix.com/360/KMI/IntelliDrive/ApplUI/Pages/CreativePages/CustomReportCreativeDetail.aspx?App=23&amp;ReportView=4&amp;Qid=1711279&amp;Row=15449&amp;Col=1","No Title Assigned - #15275033736")</f>
        <v/>
      </c>
      <c r="B15457" s="0" t="s">
        <v>20525</v>
      </c>
      <c r="C15457" s="0" t="s">
        <v>20526</v>
      </c>
      <c r="D15457" s="0" t="s">
        <v>20526</v>
      </c>
      <c r="E15457" s="0" t="inlineStr">
        <is>
          <t xml:space="preserve">Mazda</t>
        </is>
      </c>
      <c r="F15457" s="0" t="inlineStr">
        <is>
          <t xml:space="preserve">Mazda</t>
        </is>
      </c>
      <c r="G15457" s="0" t="s">
        <v>210</v>
      </c>
      <c r="H15457" s="5">
        <v>675.467600</v>
      </c>
    </row>
    <row r="15458" spans="1:9">
      <c r="A15458" s="22" t="str">
        <f>HYPERLINK("https://app.vivvix.com/360/KMI/IntelliDrive/ApplUI/Pages/CreativePages/CustomReportCreativeDetail.aspx?App=23&amp;ReportView=4&amp;Qid=1711279&amp;Row=15450&amp;Col=1","No Title Assigned - #15275033736")</f>
        <v/>
      </c>
      <c r="B15458" s="0" t="s">
        <v>20525</v>
      </c>
      <c r="E15458" s="0" t="inlineStr">
        <is>
          <t xml:space="preserve">Mazda</t>
        </is>
      </c>
      <c r="F15458" s="0" t="inlineStr">
        <is>
          <t xml:space="preserve">Mazda</t>
        </is>
      </c>
      <c r="G15458" s="0" t="s">
        <v>210</v>
      </c>
      <c r="H15458" s="5">
        <v>302.938500</v>
      </c>
    </row>
    <row r="15459" spans="1:9">
      <c r="A15459" s="22" t="str">
        <f>HYPERLINK("https://app.vivvix.com/360/KMI/IntelliDrive/ApplUI/Pages/CreativePages/CustomReportCreativeDetail.aspx?App=23&amp;ReportView=4&amp;Qid=1711279&amp;Row=15451&amp;Col=1","No Title Assigned - #15275034137")</f>
        <v/>
      </c>
      <c r="B15459" s="0" t="s">
        <v>20527</v>
      </c>
      <c r="C15459" s="0" t="s">
        <v>20528</v>
      </c>
      <c r="D15459" s="0" t="s">
        <v>20528</v>
      </c>
      <c r="E15459" s="0" t="inlineStr">
        <is>
          <t xml:space="preserve">Mazda</t>
        </is>
      </c>
      <c r="F15459" s="0" t="s">
        <v>13</v>
      </c>
      <c r="G15459" s="0" t="s">
        <v>49</v>
      </c>
      <c r="H15459" s="5">
        <v>921.204600</v>
      </c>
    </row>
    <row r="15460" spans="1:9">
      <c r="A15460" s="22" t="str">
        <f>HYPERLINK("https://app.vivvix.com/360/KMI/IntelliDrive/ApplUI/Pages/CreativePages/CustomReportCreativeDetail.aspx?App=23&amp;ReportView=4&amp;Qid=1711279&amp;Row=15452&amp;Col=1","No Title Assigned - #15275035724")</f>
        <v/>
      </c>
      <c r="B15460" s="0" t="s">
        <v>20529</v>
      </c>
      <c r="C15460" s="0" t="s">
        <v>20530</v>
      </c>
      <c r="D15460" s="0" t="s">
        <v>20530</v>
      </c>
      <c r="E15460" s="0" t="inlineStr">
        <is>
          <t xml:space="preserve">Mazda</t>
        </is>
      </c>
      <c r="F15460" s="0" t="s">
        <v>13</v>
      </c>
      <c r="G15460" s="0" t="s">
        <v>49</v>
      </c>
      <c r="H15460" s="5">
        <v>93.187300</v>
      </c>
    </row>
    <row r="15461" spans="1:9">
      <c r="A15461" s="22" t="str">
        <f>HYPERLINK("https://app.vivvix.com/360/KMI/IntelliDrive/ApplUI/Pages/CreativePages/CustomReportCreativeDetail.aspx?App=23&amp;ReportView=4&amp;Qid=1711279&amp;Row=15453&amp;Col=1","No Title Assigned - #15275036146")</f>
        <v/>
      </c>
      <c r="B15461" s="0" t="s">
        <v>20531</v>
      </c>
      <c r="C15461" s="0" t="s">
        <v>20532</v>
      </c>
      <c r="D15461" s="0" t="s">
        <v>20532</v>
      </c>
      <c r="E15461" s="0" t="inlineStr">
        <is>
          <t xml:space="preserve">Mazda</t>
        </is>
      </c>
      <c r="F15461" s="0" t="s">
        <v>13</v>
      </c>
      <c r="G15461" s="0" t="s">
        <v>49</v>
      </c>
      <c r="H15461" s="5">
        <v>47.795000</v>
      </c>
    </row>
    <row r="15462" spans="1:9">
      <c r="A15462" s="22" t="str">
        <f>HYPERLINK("https://app.vivvix.com/360/KMI/IntelliDrive/ApplUI/Pages/CreativePages/CustomReportCreativeDetail.aspx?App=23&amp;ReportView=4&amp;Qid=1711279&amp;Row=15454&amp;Col=1","No Title Assigned - #15275036215")</f>
        <v/>
      </c>
      <c r="B15462" s="0" t="s">
        <v>20533</v>
      </c>
      <c r="C15462" s="0" t="s">
        <v>20534</v>
      </c>
      <c r="D15462" s="0" t="s">
        <v>20534</v>
      </c>
      <c r="E15462" s="0" t="inlineStr">
        <is>
          <t xml:space="preserve">Mazda</t>
        </is>
      </c>
      <c r="F15462" s="0" t="s">
        <v>28</v>
      </c>
      <c r="G15462" s="0" t="s">
        <v>29</v>
      </c>
      <c r="H15462" s="5">
        <v>761.874900</v>
      </c>
    </row>
    <row r="15463" spans="1:9">
      <c r="A15463" s="22" t="str">
        <f>HYPERLINK("https://app.vivvix.com/360/KMI/IntelliDrive/ApplUI/Pages/CreativePages/CustomReportCreativeDetail.aspx?App=23&amp;ReportView=4&amp;Qid=1711279&amp;Row=15455&amp;Col=1","No Title Assigned - #15275036628")</f>
        <v/>
      </c>
      <c r="B15463" s="0" t="s">
        <v>20535</v>
      </c>
      <c r="C15463" s="0" t="s">
        <v>20536</v>
      </c>
      <c r="D15463" s="0" t="s">
        <v>4335</v>
      </c>
      <c r="E15463" s="0" t="inlineStr">
        <is>
          <t xml:space="preserve">Mazda</t>
        </is>
      </c>
      <c r="F15463" s="0" t="s">
        <v>13</v>
      </c>
      <c r="G15463" s="0" t="s">
        <v>49</v>
      </c>
      <c r="H15463" s="5">
        <v>535.905300</v>
      </c>
    </row>
    <row r="15464" spans="1:9">
      <c r="A15464" s="22" t="str">
        <f>HYPERLINK("https://app.vivvix.com/360/KMI/IntelliDrive/ApplUI/Pages/CreativePages/CustomReportCreativeDetail.aspx?App=23&amp;ReportView=4&amp;Qid=1711279&amp;Row=15456&amp;Col=1","No Title Assigned - #15275038046")</f>
        <v/>
      </c>
      <c r="B15464" s="0" t="s">
        <v>20537</v>
      </c>
      <c r="E15464" s="0" t="inlineStr">
        <is>
          <t xml:space="preserve">Mazda</t>
        </is>
      </c>
      <c r="F15464" s="0" t="inlineStr">
        <is>
          <t xml:space="preserve">Mazda</t>
        </is>
      </c>
      <c r="G15464" s="0" t="s">
        <v>171</v>
      </c>
      <c r="H15464" s="5">
        <v>8514.819200</v>
      </c>
    </row>
    <row r="15465" spans="1:9">
      <c r="A15465" s="22" t="str">
        <f>HYPERLINK("https://app.vivvix.com/360/KMI/IntelliDrive/ApplUI/Pages/CreativePages/CustomReportCreativeDetail.aspx?App=23&amp;ReportView=4&amp;Qid=1711279&amp;Row=15457&amp;Col=1","No Title Assigned - #15275038986")</f>
        <v/>
      </c>
      <c r="B15465" s="0" t="s">
        <v>20538</v>
      </c>
      <c r="E15465" s="0" t="inlineStr">
        <is>
          <t xml:space="preserve">Mazda</t>
        </is>
      </c>
      <c r="F15465" s="0" t="inlineStr">
        <is>
          <t xml:space="preserve">Mazda</t>
        </is>
      </c>
      <c r="G15465" s="0" t="s">
        <v>171</v>
      </c>
      <c r="H15465" s="5">
        <v>41.262300</v>
      </c>
    </row>
    <row r="15466" spans="1:9">
      <c r="A15466" s="22" t="str">
        <f>HYPERLINK("https://app.vivvix.com/360/KMI/IntelliDrive/ApplUI/Pages/CreativePages/CustomReportCreativeDetail.aspx?App=23&amp;ReportView=4&amp;Qid=1711279&amp;Row=15458&amp;Col=1","No Title Assigned - #15275039692")</f>
        <v/>
      </c>
      <c r="B15466" s="0" t="s">
        <v>20539</v>
      </c>
      <c r="C15466" s="0" t="s">
        <v>20540</v>
      </c>
      <c r="D15466" s="0" t="s">
        <v>4768</v>
      </c>
      <c r="E15466" s="0" t="inlineStr">
        <is>
          <t xml:space="preserve">Mazda</t>
        </is>
      </c>
      <c r="F15466" s="0" t="s">
        <v>13</v>
      </c>
      <c r="G15466" s="0" t="s">
        <v>49</v>
      </c>
      <c r="H15466" s="5">
        <v>1885.338700</v>
      </c>
    </row>
    <row r="15467" spans="1:9">
      <c r="A15467" s="22" t="str">
        <f>HYPERLINK("https://app.vivvix.com/360/KMI/IntelliDrive/ApplUI/Pages/CreativePages/CustomReportCreativeDetail.aspx?App=23&amp;ReportView=4&amp;Qid=1711279&amp;Row=15459&amp;Col=1","No Title Assigned - #15275041748")</f>
        <v/>
      </c>
      <c r="B15467" s="0" t="s">
        <v>20541</v>
      </c>
      <c r="C15467" s="0" t="s">
        <v>20542</v>
      </c>
      <c r="D15467" s="0" t="s">
        <v>20542</v>
      </c>
      <c r="E15467" s="0" t="inlineStr">
        <is>
          <t xml:space="preserve">Mazda</t>
        </is>
      </c>
      <c r="F15467" s="0" t="s">
        <v>21</v>
      </c>
      <c r="G15467" s="0" t="s">
        <v>22</v>
      </c>
      <c r="H15467" s="5">
        <v>1796.813000</v>
      </c>
    </row>
    <row r="15468" spans="1:9">
      <c r="A15468" s="22" t="str">
        <f>HYPERLINK("https://app.vivvix.com/360/KMI/IntelliDrive/ApplUI/Pages/CreativePages/CustomReportCreativeDetail.aspx?App=23&amp;ReportView=4&amp;Qid=1711279&amp;Row=15460&amp;Col=1","No Title Assigned - #15275041991")</f>
        <v/>
      </c>
      <c r="B15468" s="0" t="s">
        <v>20543</v>
      </c>
      <c r="C15468" s="0" t="s">
        <v>20544</v>
      </c>
      <c r="D15468" s="0" t="s">
        <v>4200</v>
      </c>
      <c r="E15468" s="0" t="inlineStr">
        <is>
          <t xml:space="preserve">Mazda</t>
        </is>
      </c>
      <c r="F15468" s="0" t="s">
        <v>28</v>
      </c>
      <c r="G15468" s="0" t="s">
        <v>29</v>
      </c>
      <c r="H15468" s="5">
        <v>204.411000</v>
      </c>
    </row>
    <row r="15469" spans="1:9">
      <c r="A15469" s="22" t="str">
        <f>HYPERLINK("https://app.vivvix.com/360/KMI/IntelliDrive/ApplUI/Pages/CreativePages/CustomReportCreativeDetail.aspx?App=23&amp;ReportView=4&amp;Qid=1711279&amp;Row=15461&amp;Col=1","No Title Assigned - #15275042045")</f>
        <v/>
      </c>
      <c r="B15469" s="0" t="s">
        <v>20545</v>
      </c>
      <c r="C15469" s="0" t="s">
        <v>20546</v>
      </c>
      <c r="D15469" s="0" t="s">
        <v>4335</v>
      </c>
      <c r="E15469" s="0" t="inlineStr">
        <is>
          <t xml:space="preserve">Mazda</t>
        </is>
      </c>
      <c r="F15469" s="0" t="s">
        <v>13</v>
      </c>
      <c r="G15469" s="0" t="s">
        <v>49</v>
      </c>
      <c r="H15469" s="5">
        <v>94.436700</v>
      </c>
    </row>
    <row r="15470" spans="1:9">
      <c r="A15470" s="22" t="str">
        <f>HYPERLINK("https://app.vivvix.com/360/KMI/IntelliDrive/ApplUI/Pages/CreativePages/CustomReportCreativeDetail.aspx?App=23&amp;ReportView=4&amp;Qid=1711279&amp;Row=15462&amp;Col=1","No Title Assigned - #15275043288")</f>
        <v/>
      </c>
      <c r="B15470" s="0" t="s">
        <v>20547</v>
      </c>
      <c r="E15470" s="0" t="inlineStr">
        <is>
          <t xml:space="preserve">Mazda</t>
        </is>
      </c>
      <c r="F15470" s="0" t="inlineStr">
        <is>
          <t xml:space="preserve">Mazda</t>
        </is>
      </c>
      <c r="G15470" s="0" t="s">
        <v>171</v>
      </c>
      <c r="H15470" s="5">
        <v>55.133900</v>
      </c>
    </row>
    <row r="15471" spans="1:9">
      <c r="A15471" s="22" t="str">
        <f>HYPERLINK("https://app.vivvix.com/360/KMI/IntelliDrive/ApplUI/Pages/CreativePages/CustomReportCreativeDetail.aspx?App=23&amp;ReportView=4&amp;Qid=1711279&amp;Row=15463&amp;Col=1","No Title Assigned - #15275046353")</f>
        <v/>
      </c>
      <c r="B15471" s="0" t="s">
        <v>20548</v>
      </c>
      <c r="C15471" s="0" t="s">
        <v>20549</v>
      </c>
      <c r="D15471" s="0" t="s">
        <v>20549</v>
      </c>
      <c r="E15471" s="0" t="inlineStr">
        <is>
          <t xml:space="preserve">Mazda</t>
        </is>
      </c>
      <c r="F15471" s="0" t="s">
        <v>13</v>
      </c>
      <c r="G15471" s="0" t="s">
        <v>49</v>
      </c>
      <c r="H15471" s="5">
        <v>118.191700</v>
      </c>
    </row>
    <row r="15472" spans="1:9">
      <c r="A15472" s="22" t="str">
        <f>HYPERLINK("https://app.vivvix.com/360/KMI/IntelliDrive/ApplUI/Pages/CreativePages/CustomReportCreativeDetail.aspx?App=23&amp;ReportView=4&amp;Qid=1711279&amp;Row=15464&amp;Col=1","No Title Assigned - #15275047785")</f>
        <v/>
      </c>
      <c r="B15472" s="0" t="s">
        <v>20550</v>
      </c>
      <c r="E15472" s="0" t="inlineStr">
        <is>
          <t xml:space="preserve">Mazda</t>
        </is>
      </c>
      <c r="F15472" s="0" t="s">
        <v>13</v>
      </c>
      <c r="G15472" s="0" t="s">
        <v>49</v>
      </c>
      <c r="H15472" s="5">
        <v>2081.673100</v>
      </c>
    </row>
    <row r="15473" spans="1:9">
      <c r="A15473" s="22" t="str">
        <f>HYPERLINK("https://app.vivvix.com/360/KMI/IntelliDrive/ApplUI/Pages/CreativePages/CustomReportCreativeDetail.aspx?App=23&amp;ReportView=4&amp;Qid=1711279&amp;Row=15465&amp;Col=1","No Title Assigned - #15275048067")</f>
        <v/>
      </c>
      <c r="B15473" s="0" t="s">
        <v>20551</v>
      </c>
      <c r="C15473" s="0" t="s">
        <v>20552</v>
      </c>
      <c r="D15473" s="0" t="s">
        <v>20552</v>
      </c>
      <c r="E15473" s="0" t="inlineStr">
        <is>
          <t xml:space="preserve">Mazda</t>
        </is>
      </c>
      <c r="F15473" s="0" t="s">
        <v>13</v>
      </c>
      <c r="G15473" s="0" t="s">
        <v>49</v>
      </c>
      <c r="H15473" s="5">
        <v>62180.797000</v>
      </c>
    </row>
    <row r="15474" spans="1:9">
      <c r="A15474" s="22" t="str">
        <f>HYPERLINK("https://app.vivvix.com/360/KMI/IntelliDrive/ApplUI/Pages/CreativePages/CustomReportCreativeDetail.aspx?App=23&amp;ReportView=4&amp;Qid=1711279&amp;Row=15466&amp;Col=1","No Title Assigned - #15275048834")</f>
        <v/>
      </c>
      <c r="B15474" s="0" t="s">
        <v>20553</v>
      </c>
      <c r="C15474" s="0" t="s">
        <v>20554</v>
      </c>
      <c r="D15474" s="0" t="s">
        <v>4335</v>
      </c>
      <c r="E15474" s="0" t="inlineStr">
        <is>
          <t xml:space="preserve">Mazda</t>
        </is>
      </c>
      <c r="F15474" s="0" t="s">
        <v>13</v>
      </c>
      <c r="G15474" s="0" t="s">
        <v>49</v>
      </c>
      <c r="H15474" s="5">
        <v>17.289300</v>
      </c>
    </row>
    <row r="15475" spans="1:9">
      <c r="A15475" s="22" t="str">
        <f>HYPERLINK("https://app.vivvix.com/360/KMI/IntelliDrive/ApplUI/Pages/CreativePages/CustomReportCreativeDetail.aspx?App=23&amp;ReportView=4&amp;Qid=1711279&amp;Row=15467&amp;Col=1","No Title Assigned - #15275049528")</f>
        <v/>
      </c>
      <c r="B15475" s="0" t="s">
        <v>20555</v>
      </c>
      <c r="C15475" s="0" t="s">
        <v>20556</v>
      </c>
      <c r="D15475" s="0" t="s">
        <v>20556</v>
      </c>
      <c r="E15475" s="0" t="inlineStr">
        <is>
          <t xml:space="preserve">Mazda</t>
        </is>
      </c>
      <c r="F15475" s="0" t="s">
        <v>28</v>
      </c>
      <c r="G15475" s="0" t="s">
        <v>29</v>
      </c>
      <c r="H15475" s="5">
        <v>1010.995900</v>
      </c>
    </row>
    <row r="15476" spans="1:9">
      <c r="A15476" s="22" t="str">
        <f>HYPERLINK("https://app.vivvix.com/360/KMI/IntelliDrive/ApplUI/Pages/CreativePages/CustomReportCreativeDetail.aspx?App=23&amp;ReportView=4&amp;Qid=1711279&amp;Row=15468&amp;Col=1","No Title Assigned - #15275049675")</f>
        <v/>
      </c>
      <c r="B15476" s="0" t="s">
        <v>20557</v>
      </c>
      <c r="C15476" s="0" t="s">
        <v>20558</v>
      </c>
      <c r="D15476" s="0" t="s">
        <v>20558</v>
      </c>
      <c r="E15476" s="0" t="inlineStr">
        <is>
          <t xml:space="preserve">Mazda</t>
        </is>
      </c>
      <c r="F15476" s="0" t="s">
        <v>13</v>
      </c>
      <c r="G15476" s="0" t="s">
        <v>49</v>
      </c>
      <c r="H15476" s="5">
        <v>145.896200</v>
      </c>
    </row>
    <row r="15477" spans="1:9">
      <c r="A15477" s="22" t="str">
        <f>HYPERLINK("https://app.vivvix.com/360/KMI/IntelliDrive/ApplUI/Pages/CreativePages/CustomReportCreativeDetail.aspx?App=23&amp;ReportView=4&amp;Qid=1711279&amp;Row=15469&amp;Col=1","No Title Assigned - #15275049867")</f>
        <v/>
      </c>
      <c r="B15477" s="0" t="s">
        <v>20559</v>
      </c>
      <c r="C15477" s="0" t="s">
        <v>20560</v>
      </c>
      <c r="D15477" s="0" t="s">
        <v>15956</v>
      </c>
      <c r="E15477" s="0" t="inlineStr">
        <is>
          <t xml:space="preserve">Mazda</t>
        </is>
      </c>
      <c r="F15477" s="0" t="s">
        <v>13</v>
      </c>
      <c r="G15477" s="0" t="s">
        <v>49</v>
      </c>
      <c r="H15477" s="5">
        <v>85.390200</v>
      </c>
    </row>
    <row r="15478" spans="1:9">
      <c r="A15478" s="22" t="str">
        <f>HYPERLINK("https://app.vivvix.com/360/KMI/IntelliDrive/ApplUI/Pages/CreativePages/CustomReportCreativeDetail.aspx?App=23&amp;ReportView=4&amp;Qid=1711279&amp;Row=15470&amp;Col=1","No Title Assigned - #15275051695")</f>
        <v/>
      </c>
      <c r="B15478" s="0" t="s">
        <v>20561</v>
      </c>
      <c r="C15478" s="0" t="s">
        <v>20562</v>
      </c>
      <c r="D15478" s="0" t="s">
        <v>20089</v>
      </c>
      <c r="E15478" s="0" t="inlineStr">
        <is>
          <t xml:space="preserve">Mazda</t>
        </is>
      </c>
      <c r="F15478" s="0" t="s">
        <v>13</v>
      </c>
      <c r="G15478" s="0" t="s">
        <v>49</v>
      </c>
      <c r="H15478" s="5">
        <v>80.896700</v>
      </c>
    </row>
    <row r="15479" spans="1:9">
      <c r="A15479" s="22" t="str">
        <f>HYPERLINK("https://app.vivvix.com/360/KMI/IntelliDrive/ApplUI/Pages/CreativePages/CustomReportCreativeDetail.aspx?App=23&amp;ReportView=4&amp;Qid=1711279&amp;Row=15471&amp;Col=1","No Title Assigned - #15275052087")</f>
        <v/>
      </c>
      <c r="B15479" s="0" t="s">
        <v>20563</v>
      </c>
      <c r="C15479" s="0" t="s">
        <v>20564</v>
      </c>
      <c r="D15479" s="0" t="s">
        <v>20564</v>
      </c>
      <c r="E15479" s="0" t="inlineStr">
        <is>
          <t xml:space="preserve">Mazda</t>
        </is>
      </c>
      <c r="F15479" s="0" t="s">
        <v>28</v>
      </c>
      <c r="G15479" s="0" t="s">
        <v>29</v>
      </c>
      <c r="H15479" s="5">
        <v>1487.238700</v>
      </c>
    </row>
    <row r="15480" spans="1:9">
      <c r="A15480" s="22" t="str">
        <f>HYPERLINK("https://app.vivvix.com/360/KMI/IntelliDrive/ApplUI/Pages/CreativePages/CustomReportCreativeDetail.aspx?App=23&amp;ReportView=4&amp;Qid=1711279&amp;Row=15472&amp;Col=1","No Title Assigned - #15275052087")</f>
        <v/>
      </c>
      <c r="B15480" s="0" t="s">
        <v>20563</v>
      </c>
      <c r="E15480" s="0" t="inlineStr">
        <is>
          <t xml:space="preserve">Mazda</t>
        </is>
      </c>
      <c r="F15480" s="0" t="s">
        <v>28</v>
      </c>
      <c r="G15480" s="0" t="s">
        <v>29</v>
      </c>
      <c r="H15480" s="5">
        <v>2463.098600</v>
      </c>
    </row>
    <row r="15481" spans="1:9">
      <c r="A15481" s="22" t="str">
        <f>HYPERLINK("https://app.vivvix.com/360/KMI/IntelliDrive/ApplUI/Pages/CreativePages/CustomReportCreativeDetail.aspx?App=23&amp;ReportView=4&amp;Qid=1711279&amp;Row=15473&amp;Col=1","No Title Assigned - #15275052520")</f>
        <v/>
      </c>
      <c r="B15481" s="0" t="s">
        <v>20565</v>
      </c>
      <c r="C15481" s="0" t="s">
        <v>20566</v>
      </c>
      <c r="D15481" s="0" t="s">
        <v>20566</v>
      </c>
      <c r="E15481" s="0" t="inlineStr">
        <is>
          <t xml:space="preserve">Mazda</t>
        </is>
      </c>
      <c r="F15481" s="0" t="s">
        <v>13</v>
      </c>
      <c r="G15481" s="0" t="s">
        <v>49</v>
      </c>
      <c r="H15481" s="5">
        <v>19115.430000</v>
      </c>
    </row>
    <row r="15482" spans="1:9">
      <c r="A15482" s="22" t="str">
        <f>HYPERLINK("https://app.vivvix.com/360/KMI/IntelliDrive/ApplUI/Pages/CreativePages/CustomReportCreativeDetail.aspx?App=23&amp;ReportView=4&amp;Qid=1711279&amp;Row=15474&amp;Col=1","No Title Assigned - #15275053215")</f>
        <v/>
      </c>
      <c r="B15482" s="0" t="s">
        <v>20567</v>
      </c>
      <c r="C15482" s="0" t="s">
        <v>20568</v>
      </c>
      <c r="D15482" s="0" t="s">
        <v>20568</v>
      </c>
      <c r="E15482" s="0" t="inlineStr">
        <is>
          <t xml:space="preserve">Mazda</t>
        </is>
      </c>
      <c r="F15482" s="0" t="s">
        <v>13</v>
      </c>
      <c r="G15482" s="0" t="s">
        <v>49</v>
      </c>
      <c r="H15482" s="5">
        <v>498.850500</v>
      </c>
    </row>
    <row r="15483" spans="1:9">
      <c r="A15483" s="22" t="str">
        <f>HYPERLINK("https://app.vivvix.com/360/KMI/IntelliDrive/ApplUI/Pages/CreativePages/CustomReportCreativeDetail.aspx?App=23&amp;ReportView=4&amp;Qid=1711279&amp;Row=15475&amp;Col=1","No Title Assigned - #15275054047")</f>
        <v/>
      </c>
      <c r="B15483" s="0" t="s">
        <v>20569</v>
      </c>
      <c r="C15483" s="0" t="s">
        <v>20570</v>
      </c>
      <c r="D15483" s="0" t="s">
        <v>20570</v>
      </c>
      <c r="E15483" s="0" t="inlineStr">
        <is>
          <t xml:space="preserve">Mazda</t>
        </is>
      </c>
      <c r="F15483" s="0" t="s">
        <v>28</v>
      </c>
      <c r="G15483" s="0" t="s">
        <v>29</v>
      </c>
      <c r="H15483" s="5">
        <v>1394.653600</v>
      </c>
    </row>
    <row r="15484" spans="1:9">
      <c r="A15484" s="22" t="str">
        <f>HYPERLINK("https://app.vivvix.com/360/KMI/IntelliDrive/ApplUI/Pages/CreativePages/CustomReportCreativeDetail.aspx?App=23&amp;ReportView=4&amp;Qid=1711279&amp;Row=15476&amp;Col=1","No Title Assigned - #15275054450")</f>
        <v/>
      </c>
      <c r="B15484" s="0" t="s">
        <v>20571</v>
      </c>
      <c r="C15484" s="0" t="s">
        <v>20572</v>
      </c>
      <c r="D15484" s="0" t="s">
        <v>20572</v>
      </c>
      <c r="E15484" s="0" t="inlineStr">
        <is>
          <t xml:space="preserve">Mazda</t>
        </is>
      </c>
      <c r="F15484" s="0" t="s">
        <v>13</v>
      </c>
      <c r="G15484" s="0" t="s">
        <v>49</v>
      </c>
      <c r="H15484" s="5">
        <v>311.488400</v>
      </c>
    </row>
    <row r="15485" spans="1:9">
      <c r="A15485" s="22" t="str">
        <f>HYPERLINK("https://app.vivvix.com/360/KMI/IntelliDrive/ApplUI/Pages/CreativePages/CustomReportCreativeDetail.aspx?App=23&amp;ReportView=4&amp;Qid=1711279&amp;Row=15477&amp;Col=1","No Title Assigned - #15275054966")</f>
        <v/>
      </c>
      <c r="B15485" s="0" t="s">
        <v>20573</v>
      </c>
      <c r="C15485" s="0" t="s">
        <v>20574</v>
      </c>
      <c r="D15485" s="0" t="s">
        <v>12825</v>
      </c>
      <c r="E15485" s="0" t="inlineStr">
        <is>
          <t xml:space="preserve">Mazda</t>
        </is>
      </c>
      <c r="F15485" s="0" t="s">
        <v>28</v>
      </c>
      <c r="G15485" s="0" t="s">
        <v>29</v>
      </c>
      <c r="H15485" s="5">
        <v>124.507000</v>
      </c>
    </row>
    <row r="15486" spans="1:9">
      <c r="A15486" s="22" t="str">
        <f>HYPERLINK("https://app.vivvix.com/360/KMI/IntelliDrive/ApplUI/Pages/CreativePages/CustomReportCreativeDetail.aspx?App=23&amp;ReportView=4&amp;Qid=1711279&amp;Row=15478&amp;Col=1","No Title Assigned - #15275056647")</f>
        <v/>
      </c>
      <c r="B15486" s="0" t="s">
        <v>20575</v>
      </c>
      <c r="C15486" s="0" t="s">
        <v>20576</v>
      </c>
      <c r="D15486" s="0" t="s">
        <v>20576</v>
      </c>
      <c r="E15486" s="0" t="inlineStr">
        <is>
          <t xml:space="preserve">Mazda</t>
        </is>
      </c>
      <c r="F15486" s="0" t="inlineStr">
        <is>
          <t xml:space="preserve">Mazda</t>
        </is>
      </c>
      <c r="G15486" s="0" t="s">
        <v>171</v>
      </c>
      <c r="H15486" s="5">
        <v>165.484600</v>
      </c>
    </row>
    <row r="15487" spans="1:9">
      <c r="A15487" s="22" t="str">
        <f>HYPERLINK("https://app.vivvix.com/360/KMI/IntelliDrive/ApplUI/Pages/CreativePages/CustomReportCreativeDetail.aspx?App=23&amp;ReportView=4&amp;Qid=1711279&amp;Row=15479&amp;Col=1","No Title Assigned - #15275057910")</f>
        <v/>
      </c>
      <c r="B15487" s="0" t="s">
        <v>20577</v>
      </c>
      <c r="E15487" s="0" t="inlineStr">
        <is>
          <t xml:space="preserve">Mazda</t>
        </is>
      </c>
      <c r="F15487" s="0" t="inlineStr">
        <is>
          <t xml:space="preserve">Mazda</t>
        </is>
      </c>
      <c r="G15487" s="0" t="s">
        <v>171</v>
      </c>
      <c r="H15487" s="5">
        <v>522.923700</v>
      </c>
    </row>
    <row r="15488" spans="1:9">
      <c r="A15488" s="22" t="str">
        <f>HYPERLINK("https://app.vivvix.com/360/KMI/IntelliDrive/ApplUI/Pages/CreativePages/CustomReportCreativeDetail.aspx?App=23&amp;ReportView=4&amp;Qid=1711279&amp;Row=15480&amp;Col=1","No Title Assigned - #15275058694")</f>
        <v/>
      </c>
      <c r="B15488" s="0" t="s">
        <v>20578</v>
      </c>
      <c r="E15488" s="0" t="inlineStr">
        <is>
          <t xml:space="preserve">Mazda</t>
        </is>
      </c>
      <c r="F15488" s="0" t="inlineStr">
        <is>
          <t xml:space="preserve">Mazda</t>
        </is>
      </c>
      <c r="G15488" s="0" t="s">
        <v>171</v>
      </c>
      <c r="H15488" s="5">
        <v>3.308500</v>
      </c>
    </row>
    <row r="15489" spans="1:9">
      <c r="A15489" s="22" t="str">
        <f>HYPERLINK("https://app.vivvix.com/360/KMI/IntelliDrive/ApplUI/Pages/CreativePages/CustomReportCreativeDetail.aspx?App=23&amp;ReportView=4&amp;Qid=1711279&amp;Row=15481&amp;Col=1","No Title Assigned - #15275058981")</f>
        <v/>
      </c>
      <c r="B15489" s="0" t="s">
        <v>20579</v>
      </c>
      <c r="E15489" s="0" t="inlineStr">
        <is>
          <t xml:space="preserve">Mazda</t>
        </is>
      </c>
      <c r="F15489" s="0" t="inlineStr">
        <is>
          <t xml:space="preserve">Mazda</t>
        </is>
      </c>
      <c r="G15489" s="0" t="s">
        <v>171</v>
      </c>
      <c r="H15489" s="5">
        <v>484.244400</v>
      </c>
    </row>
    <row r="15490" spans="1:9">
      <c r="A15490" s="22" t="str">
        <f>HYPERLINK("https://app.vivvix.com/360/KMI/IntelliDrive/ApplUI/Pages/CreativePages/CustomReportCreativeDetail.aspx?App=23&amp;ReportView=4&amp;Qid=1711279&amp;Row=15482&amp;Col=1","No Title Assigned - #15275060082")</f>
        <v/>
      </c>
      <c r="B15490" s="0" t="s">
        <v>20580</v>
      </c>
      <c r="E15490" s="0" t="inlineStr">
        <is>
          <t xml:space="preserve">Mazda</t>
        </is>
      </c>
      <c r="F15490" s="0" t="inlineStr">
        <is>
          <t xml:space="preserve">Mazda</t>
        </is>
      </c>
      <c r="G15490" s="0" t="s">
        <v>171</v>
      </c>
      <c r="H15490" s="5">
        <v>179.055400</v>
      </c>
    </row>
    <row r="15491" spans="1:9">
      <c r="A15491" s="22" t="str">
        <f>HYPERLINK("https://app.vivvix.com/360/KMI/IntelliDrive/ApplUI/Pages/CreativePages/CustomReportCreativeDetail.aspx?App=23&amp;ReportView=4&amp;Qid=1711279&amp;Row=15483&amp;Col=1","No Title Assigned - #15275060082")</f>
        <v/>
      </c>
      <c r="B15491" s="0" t="s">
        <v>20580</v>
      </c>
      <c r="E15491" s="0" t="inlineStr">
        <is>
          <t xml:space="preserve">Mazda</t>
        </is>
      </c>
      <c r="F15491" s="0" t="inlineStr">
        <is>
          <t xml:space="preserve">Mazda</t>
        </is>
      </c>
      <c r="G15491" s="0" t="s">
        <v>171</v>
      </c>
      <c r="H15491" s="5">
        <v>88.183300</v>
      </c>
    </row>
    <row r="15492" spans="1:9">
      <c r="A15492" s="22" t="str">
        <f>HYPERLINK("https://app.vivvix.com/360/KMI/IntelliDrive/ApplUI/Pages/CreativePages/CustomReportCreativeDetail.aspx?App=23&amp;ReportView=4&amp;Qid=1711279&amp;Row=15484&amp;Col=1","No Title Assigned - #15275060426")</f>
        <v/>
      </c>
      <c r="B15492" s="0" t="s">
        <v>20581</v>
      </c>
      <c r="E15492" s="0" t="inlineStr">
        <is>
          <t xml:space="preserve">Mazda</t>
        </is>
      </c>
      <c r="F15492" s="0" t="inlineStr">
        <is>
          <t xml:space="preserve">Mazda</t>
        </is>
      </c>
      <c r="G15492" s="0" t="s">
        <v>171</v>
      </c>
      <c r="H15492" s="5">
        <v>153.297100</v>
      </c>
    </row>
    <row r="15493" spans="1:9">
      <c r="A15493" s="22" t="str">
        <f>HYPERLINK("https://app.vivvix.com/360/KMI/IntelliDrive/ApplUI/Pages/CreativePages/CustomReportCreativeDetail.aspx?App=23&amp;ReportView=4&amp;Qid=1711279&amp;Row=15485&amp;Col=1","No Title Assigned - #15275061028")</f>
        <v/>
      </c>
      <c r="B15493" s="0" t="s">
        <v>20582</v>
      </c>
      <c r="E15493" s="0" t="inlineStr">
        <is>
          <t xml:space="preserve">Mazda</t>
        </is>
      </c>
      <c r="F15493" s="0" t="inlineStr">
        <is>
          <t xml:space="preserve">Mazda</t>
        </is>
      </c>
      <c r="G15493" s="0" t="s">
        <v>171</v>
      </c>
      <c r="H15493" s="5">
        <v>175.905700</v>
      </c>
    </row>
    <row r="15494" spans="1:9">
      <c r="A15494" s="22" t="str">
        <f>HYPERLINK("https://app.vivvix.com/360/KMI/IntelliDrive/ApplUI/Pages/CreativePages/CustomReportCreativeDetail.aspx?App=23&amp;ReportView=4&amp;Qid=1711279&amp;Row=15486&amp;Col=1","No Title Assigned - #15275061749")</f>
        <v/>
      </c>
      <c r="B15494" s="0" t="s">
        <v>20583</v>
      </c>
      <c r="E15494" s="0" t="inlineStr">
        <is>
          <t xml:space="preserve">Mazda</t>
        </is>
      </c>
      <c r="F15494" s="0" t="inlineStr">
        <is>
          <t xml:space="preserve">Mazda</t>
        </is>
      </c>
      <c r="G15494" s="0" t="s">
        <v>171</v>
      </c>
      <c r="H15494" s="5">
        <v>122.692500</v>
      </c>
    </row>
    <row r="15495" spans="1:9">
      <c r="A15495" s="22" t="str">
        <f>HYPERLINK("https://app.vivvix.com/360/KMI/IntelliDrive/ApplUI/Pages/CreativePages/CustomReportCreativeDetail.aspx?App=23&amp;ReportView=4&amp;Qid=1711279&amp;Row=15487&amp;Col=1","No Title Assigned - #15275062367")</f>
        <v/>
      </c>
      <c r="B15495" s="0" t="s">
        <v>20584</v>
      </c>
      <c r="E15495" s="0" t="inlineStr">
        <is>
          <t xml:space="preserve">Mazda</t>
        </is>
      </c>
      <c r="F15495" s="0" t="inlineStr">
        <is>
          <t xml:space="preserve">Mazda</t>
        </is>
      </c>
      <c r="G15495" s="0" t="s">
        <v>171</v>
      </c>
      <c r="H15495" s="5">
        <v>49.307700</v>
      </c>
    </row>
    <row r="15496" spans="1:9">
      <c r="A15496" s="22" t="str">
        <f>HYPERLINK("https://app.vivvix.com/360/KMI/IntelliDrive/ApplUI/Pages/CreativePages/CustomReportCreativeDetail.aspx?App=23&amp;ReportView=4&amp;Qid=1711279&amp;Row=15488&amp;Col=1","No Title Assigned - #15275062735")</f>
        <v/>
      </c>
      <c r="B15496" s="0" t="s">
        <v>20585</v>
      </c>
      <c r="E15496" s="0" t="inlineStr">
        <is>
          <t xml:space="preserve">Mazda</t>
        </is>
      </c>
      <c r="F15496" s="0" t="inlineStr">
        <is>
          <t xml:space="preserve">Mazda</t>
        </is>
      </c>
      <c r="G15496" s="0" t="s">
        <v>171</v>
      </c>
      <c r="H15496" s="5">
        <v>34.173900</v>
      </c>
    </row>
    <row r="15497" spans="1:9">
      <c r="A15497" s="22" t="str">
        <f>HYPERLINK("https://app.vivvix.com/360/KMI/IntelliDrive/ApplUI/Pages/CreativePages/CustomReportCreativeDetail.aspx?App=23&amp;ReportView=4&amp;Qid=1711279&amp;Row=15489&amp;Col=1","No Title Assigned - #15275063143")</f>
        <v/>
      </c>
      <c r="B15497" s="0" t="s">
        <v>20586</v>
      </c>
      <c r="E15497" s="0" t="inlineStr">
        <is>
          <t xml:space="preserve">Mazda</t>
        </is>
      </c>
      <c r="F15497" s="0" t="inlineStr">
        <is>
          <t xml:space="preserve">Mazda</t>
        </is>
      </c>
      <c r="G15497" s="0" t="s">
        <v>171</v>
      </c>
      <c r="H15497" s="5">
        <v>52.399200</v>
      </c>
    </row>
    <row r="15498" spans="1:9">
      <c r="A15498" s="22" t="str">
        <f>HYPERLINK("https://app.vivvix.com/360/KMI/IntelliDrive/ApplUI/Pages/CreativePages/CustomReportCreativeDetail.aspx?App=23&amp;ReportView=4&amp;Qid=1711279&amp;Row=15490&amp;Col=1","No Title Assigned - #15275063471")</f>
        <v/>
      </c>
      <c r="B15498" s="0" t="s">
        <v>20587</v>
      </c>
      <c r="E15498" s="0" t="inlineStr">
        <is>
          <t xml:space="preserve">Mazda</t>
        </is>
      </c>
      <c r="F15498" s="0" t="inlineStr">
        <is>
          <t xml:space="preserve">Mazda</t>
        </is>
      </c>
      <c r="G15498" s="0" t="s">
        <v>171</v>
      </c>
      <c r="H15498" s="5">
        <v>3482.094700</v>
      </c>
    </row>
    <row r="15499" spans="1:9">
      <c r="A15499" s="22" t="str">
        <f>HYPERLINK("https://app.vivvix.com/360/KMI/IntelliDrive/ApplUI/Pages/CreativePages/CustomReportCreativeDetail.aspx?App=23&amp;ReportView=4&amp;Qid=1711279&amp;Row=15491&amp;Col=1","No Title Assigned - #15275064673")</f>
        <v/>
      </c>
      <c r="B15499" s="0" t="s">
        <v>20588</v>
      </c>
      <c r="E15499" s="0" t="inlineStr">
        <is>
          <t xml:space="preserve">Mazda</t>
        </is>
      </c>
      <c r="F15499" s="0" t="inlineStr">
        <is>
          <t xml:space="preserve">Mazda</t>
        </is>
      </c>
      <c r="G15499" s="0" t="s">
        <v>171</v>
      </c>
      <c r="H15499" s="5">
        <v>1404.366600</v>
      </c>
    </row>
    <row r="15500" spans="1:9">
      <c r="A15500" s="22" t="str">
        <f>HYPERLINK("https://app.vivvix.com/360/KMI/IntelliDrive/ApplUI/Pages/CreativePages/CustomReportCreativeDetail.aspx?App=23&amp;ReportView=4&amp;Qid=1711279&amp;Row=15492&amp;Col=1","No Title Assigned - #15275064828")</f>
        <v/>
      </c>
      <c r="B15500" s="0" t="s">
        <v>20589</v>
      </c>
      <c r="E15500" s="0" t="inlineStr">
        <is>
          <t xml:space="preserve">Mazda</t>
        </is>
      </c>
      <c r="F15500" s="0" t="inlineStr">
        <is>
          <t xml:space="preserve">Mazda</t>
        </is>
      </c>
      <c r="G15500" s="0" t="s">
        <v>171</v>
      </c>
      <c r="H15500" s="5">
        <v>885.067300</v>
      </c>
    </row>
    <row r="15501" spans="1:9">
      <c r="A15501" s="22" t="str">
        <f>HYPERLINK("https://app.vivvix.com/360/KMI/IntelliDrive/ApplUI/Pages/CreativePages/CustomReportCreativeDetail.aspx?App=23&amp;ReportView=4&amp;Qid=1711279&amp;Row=15493&amp;Col=1","No Title Assigned - #15275064906")</f>
        <v/>
      </c>
      <c r="B15501" s="0" t="s">
        <v>20590</v>
      </c>
      <c r="E15501" s="0" t="inlineStr">
        <is>
          <t xml:space="preserve">Mazda</t>
        </is>
      </c>
      <c r="F15501" s="0" t="inlineStr">
        <is>
          <t xml:space="preserve">Mazda</t>
        </is>
      </c>
      <c r="G15501" s="0" t="s">
        <v>171</v>
      </c>
      <c r="H15501" s="5">
        <v>20.934600</v>
      </c>
    </row>
    <row r="15502" spans="1:9">
      <c r="A15502" s="22" t="str">
        <f>HYPERLINK("https://app.vivvix.com/360/KMI/IntelliDrive/ApplUI/Pages/CreativePages/CustomReportCreativeDetail.aspx?App=23&amp;ReportView=4&amp;Qid=1711279&amp;Row=15494&amp;Col=1","No Title Assigned - #15275065683")</f>
        <v/>
      </c>
      <c r="B15502" s="0" t="s">
        <v>20591</v>
      </c>
      <c r="E15502" s="0" t="inlineStr">
        <is>
          <t xml:space="preserve">Mazda</t>
        </is>
      </c>
      <c r="F15502" s="0" t="inlineStr">
        <is>
          <t xml:space="preserve">Mazda</t>
        </is>
      </c>
      <c r="G15502" s="0" t="s">
        <v>171</v>
      </c>
      <c r="H15502" s="5">
        <v>22.982700</v>
      </c>
    </row>
    <row r="15503" spans="1:9">
      <c r="A15503" s="22" t="str">
        <f>HYPERLINK("https://app.vivvix.com/360/KMI/IntelliDrive/ApplUI/Pages/CreativePages/CustomReportCreativeDetail.aspx?App=23&amp;ReportView=4&amp;Qid=1711279&amp;Row=15495&amp;Col=1","No Title Assigned - #15275065762")</f>
        <v/>
      </c>
      <c r="B15503" s="0" t="s">
        <v>20592</v>
      </c>
      <c r="C15503" s="0" t="s">
        <v>20593</v>
      </c>
      <c r="D15503" s="0" t="s">
        <v>4652</v>
      </c>
      <c r="E15503" s="0" t="inlineStr">
        <is>
          <t xml:space="preserve">Mazda</t>
        </is>
      </c>
      <c r="F15503" s="0" t="s">
        <v>17</v>
      </c>
      <c r="G15503" s="0" t="s">
        <v>33</v>
      </c>
      <c r="H15503" s="5">
        <v>598.170600</v>
      </c>
    </row>
    <row r="15504" spans="1:9">
      <c r="A15504" s="22" t="str">
        <f>HYPERLINK("https://app.vivvix.com/360/KMI/IntelliDrive/ApplUI/Pages/CreativePages/CustomReportCreativeDetail.aspx?App=23&amp;ReportView=4&amp;Qid=1711279&amp;Row=15496&amp;Col=1","No Title Assigned - #15275068143")</f>
        <v/>
      </c>
      <c r="B15504" s="0" t="s">
        <v>20594</v>
      </c>
      <c r="E15504" s="0" t="inlineStr">
        <is>
          <t xml:space="preserve">Mazda</t>
        </is>
      </c>
      <c r="F15504" s="0" t="inlineStr">
        <is>
          <t xml:space="preserve">Mazda</t>
        </is>
      </c>
      <c r="G15504" s="0" t="s">
        <v>171</v>
      </c>
      <c r="H15504" s="5">
        <v>774.032500</v>
      </c>
    </row>
    <row r="15505" spans="1:9">
      <c r="A15505" s="22" t="str">
        <f>HYPERLINK("https://app.vivvix.com/360/KMI/IntelliDrive/ApplUI/Pages/CreativePages/CustomReportCreativeDetail.aspx?App=23&amp;ReportView=4&amp;Qid=1711279&amp;Row=15497&amp;Col=1","No Title Assigned - #15275068447")</f>
        <v/>
      </c>
      <c r="B15505" s="0" t="s">
        <v>20595</v>
      </c>
      <c r="E15505" s="0" t="inlineStr">
        <is>
          <t xml:space="preserve">Mazda</t>
        </is>
      </c>
      <c r="F15505" s="0" t="inlineStr">
        <is>
          <t xml:space="preserve">Mazda</t>
        </is>
      </c>
      <c r="G15505" s="0" t="s">
        <v>171</v>
      </c>
      <c r="H15505" s="5">
        <v>244.201600</v>
      </c>
    </row>
    <row r="15506" spans="1:9">
      <c r="A15506" s="22" t="str">
        <f>HYPERLINK("https://app.vivvix.com/360/KMI/IntelliDrive/ApplUI/Pages/CreativePages/CustomReportCreativeDetail.aspx?App=23&amp;ReportView=4&amp;Qid=1711279&amp;Row=15498&amp;Col=1","No Title Assigned - #15275069345")</f>
        <v/>
      </c>
      <c r="B15506" s="0" t="s">
        <v>20596</v>
      </c>
      <c r="E15506" s="0" t="inlineStr">
        <is>
          <t xml:space="preserve">Mazda</t>
        </is>
      </c>
      <c r="F15506" s="0" t="inlineStr">
        <is>
          <t xml:space="preserve">Mazda</t>
        </is>
      </c>
      <c r="G15506" s="0" t="s">
        <v>171</v>
      </c>
      <c r="H15506" s="5">
        <v>151.537000</v>
      </c>
    </row>
    <row r="15507" spans="1:9">
      <c r="A15507" s="22" t="str">
        <f>HYPERLINK("https://app.vivvix.com/360/KMI/IntelliDrive/ApplUI/Pages/CreativePages/CustomReportCreativeDetail.aspx?App=23&amp;ReportView=4&amp;Qid=1711279&amp;Row=15499&amp;Col=1","No Title Assigned - #15275069733")</f>
        <v/>
      </c>
      <c r="B15507" s="0" t="s">
        <v>20597</v>
      </c>
      <c r="E15507" s="0" t="inlineStr">
        <is>
          <t xml:space="preserve">Mazda</t>
        </is>
      </c>
      <c r="F15507" s="0" t="inlineStr">
        <is>
          <t xml:space="preserve">Mazda</t>
        </is>
      </c>
      <c r="G15507" s="0" t="s">
        <v>171</v>
      </c>
      <c r="H15507" s="5">
        <v>36711.687500</v>
      </c>
    </row>
    <row r="15508" spans="1:9">
      <c r="A15508" s="22" t="str">
        <f>HYPERLINK("https://app.vivvix.com/360/KMI/IntelliDrive/ApplUI/Pages/CreativePages/CustomReportCreativeDetail.aspx?App=23&amp;ReportView=4&amp;Qid=1711279&amp;Row=15500&amp;Col=1","No Title Assigned - #15275069823")</f>
        <v/>
      </c>
      <c r="B15508" s="0" t="s">
        <v>20598</v>
      </c>
      <c r="E15508" s="0" t="inlineStr">
        <is>
          <t xml:space="preserve">Mazda</t>
        </is>
      </c>
      <c r="F15508" s="0" t="s">
        <v>21</v>
      </c>
      <c r="G15508" s="0" t="s">
        <v>22</v>
      </c>
      <c r="H15508" s="5">
        <v>198.088300</v>
      </c>
    </row>
    <row r="15509" spans="1:9">
      <c r="A15509" s="22" t="str">
        <f>HYPERLINK("https://app.vivvix.com/360/KMI/IntelliDrive/ApplUI/Pages/CreativePages/CustomReportCreativeDetail.aspx?App=23&amp;ReportView=4&amp;Qid=1711279&amp;Row=15501&amp;Col=1","No Title Assigned - #15275071510")</f>
        <v/>
      </c>
      <c r="B15509" s="0" t="s">
        <v>20599</v>
      </c>
      <c r="E15509" s="0" t="inlineStr">
        <is>
          <t xml:space="preserve">Mazda</t>
        </is>
      </c>
      <c r="F15509" s="0" t="inlineStr">
        <is>
          <t xml:space="preserve">Mazda</t>
        </is>
      </c>
      <c r="G15509" s="0" t="s">
        <v>171</v>
      </c>
      <c r="H15509" s="5">
        <v>1646.339000</v>
      </c>
    </row>
    <row r="15510" spans="1:9">
      <c r="A15510" s="22" t="str">
        <f>HYPERLINK("https://app.vivvix.com/360/KMI/IntelliDrive/ApplUI/Pages/CreativePages/CustomReportCreativeDetail.aspx?App=23&amp;ReportView=4&amp;Qid=1711279&amp;Row=15502&amp;Col=1","No Title Assigned - #15275076322")</f>
        <v/>
      </c>
      <c r="B15510" s="0" t="s">
        <v>20600</v>
      </c>
      <c r="E15510" s="0" t="inlineStr">
        <is>
          <t xml:space="preserve">Mazda</t>
        </is>
      </c>
      <c r="F15510" s="0" t="inlineStr">
        <is>
          <t xml:space="preserve">Mazda</t>
        </is>
      </c>
      <c r="G15510" s="0" t="s">
        <v>171</v>
      </c>
      <c r="H15510" s="5">
        <v>126.905400</v>
      </c>
    </row>
    <row r="15511" spans="1:9">
      <c r="A15511" s="22" t="str">
        <f>HYPERLINK("https://app.vivvix.com/360/KMI/IntelliDrive/ApplUI/Pages/CreativePages/CustomReportCreativeDetail.aspx?App=23&amp;ReportView=4&amp;Qid=1711279&amp;Row=15503&amp;Col=1","No Title Assigned - #15275076680")</f>
        <v/>
      </c>
      <c r="B15511" s="0" t="s">
        <v>20601</v>
      </c>
      <c r="E15511" s="0" t="inlineStr">
        <is>
          <t xml:space="preserve">Mazda</t>
        </is>
      </c>
      <c r="F15511" s="0" t="inlineStr">
        <is>
          <t xml:space="preserve">Mazda</t>
        </is>
      </c>
      <c r="G15511" s="0" t="s">
        <v>171</v>
      </c>
      <c r="H15511" s="5">
        <v>162.347600</v>
      </c>
    </row>
    <row r="15512" spans="1:9">
      <c r="A15512" s="22" t="str">
        <f>HYPERLINK("https://app.vivvix.com/360/KMI/IntelliDrive/ApplUI/Pages/CreativePages/CustomReportCreativeDetail.aspx?App=23&amp;ReportView=4&amp;Qid=1711279&amp;Row=15504&amp;Col=1","No Title Assigned - #15275077475")</f>
        <v/>
      </c>
      <c r="B15512" s="0" t="s">
        <v>20602</v>
      </c>
      <c r="E15512" s="0" t="inlineStr">
        <is>
          <t xml:space="preserve">Mazda</t>
        </is>
      </c>
      <c r="F15512" s="0" t="inlineStr">
        <is>
          <t xml:space="preserve">Mazda</t>
        </is>
      </c>
      <c r="G15512" s="0" t="s">
        <v>171</v>
      </c>
      <c r="H15512" s="5">
        <v>96.503200</v>
      </c>
    </row>
    <row r="15513" spans="1:9">
      <c r="A15513" s="22" t="str">
        <f>HYPERLINK("https://app.vivvix.com/360/KMI/IntelliDrive/ApplUI/Pages/CreativePages/CustomReportCreativeDetail.aspx?App=23&amp;ReportView=4&amp;Qid=1711279&amp;Row=15505&amp;Col=1","No Title Assigned - #15275080421")</f>
        <v/>
      </c>
      <c r="B15513" s="0" t="s">
        <v>20603</v>
      </c>
      <c r="E15513" s="0" t="inlineStr">
        <is>
          <t xml:space="preserve">Mazda</t>
        </is>
      </c>
      <c r="F15513" s="0" t="inlineStr">
        <is>
          <t xml:space="preserve">Mazda</t>
        </is>
      </c>
      <c r="G15513" s="0" t="s">
        <v>171</v>
      </c>
      <c r="H15513" s="5">
        <v>263.088400</v>
      </c>
    </row>
    <row r="15514" spans="1:9">
      <c r="A15514" s="22" t="str">
        <f>HYPERLINK("https://app.vivvix.com/360/KMI/IntelliDrive/ApplUI/Pages/CreativePages/CustomReportCreativeDetail.aspx?App=23&amp;ReportView=4&amp;Qid=1711279&amp;Row=15506&amp;Col=1","No Title Assigned - #15275101304")</f>
        <v/>
      </c>
      <c r="B15514" s="0" t="s">
        <v>20604</v>
      </c>
      <c r="E15514" s="0" t="inlineStr">
        <is>
          <t xml:space="preserve">Mazda</t>
        </is>
      </c>
      <c r="F15514" s="0" t="s">
        <v>28</v>
      </c>
      <c r="G15514" s="0" t="s">
        <v>29</v>
      </c>
      <c r="H15514" s="5">
        <v>81.825300</v>
      </c>
    </row>
    <row r="15515" spans="1:9">
      <c r="A15515" s="22" t="str">
        <f>HYPERLINK("https://app.vivvix.com/360/KMI/IntelliDrive/ApplUI/Pages/CreativePages/CustomReportCreativeDetail.aspx?App=23&amp;ReportView=4&amp;Qid=1711279&amp;Row=15507&amp;Col=1","No Title Assigned - #15275105519")</f>
        <v/>
      </c>
      <c r="B15515" s="0" t="s">
        <v>20605</v>
      </c>
      <c r="C15515" s="0" t="s">
        <v>20606</v>
      </c>
      <c r="D15515" s="0" t="s">
        <v>15837</v>
      </c>
      <c r="E15515" s="0" t="inlineStr">
        <is>
          <t xml:space="preserve">Mazda</t>
        </is>
      </c>
      <c r="F15515" s="0" t="s">
        <v>13</v>
      </c>
      <c r="G15515" s="0" t="s">
        <v>49</v>
      </c>
      <c r="H15515" s="5">
        <v>19.370900</v>
      </c>
    </row>
    <row r="15516" spans="1:9">
      <c r="A15516" s="22" t="str">
        <f>HYPERLINK("https://app.vivvix.com/360/KMI/IntelliDrive/ApplUI/Pages/CreativePages/CustomReportCreativeDetail.aspx?App=23&amp;ReportView=4&amp;Qid=1711279&amp;Row=15508&amp;Col=1","No Title Assigned - #15275107272")</f>
        <v/>
      </c>
      <c r="B15516" s="0" t="s">
        <v>20607</v>
      </c>
      <c r="E15516" s="0" t="inlineStr">
        <is>
          <t xml:space="preserve">Mazda</t>
        </is>
      </c>
      <c r="F15516" s="0" t="s">
        <v>13</v>
      </c>
      <c r="G15516" s="0" t="s">
        <v>49</v>
      </c>
      <c r="H15516" s="5">
        <v>147.566400</v>
      </c>
    </row>
    <row r="15517" spans="1:9">
      <c r="A15517" s="22" t="str">
        <f>HYPERLINK("https://app.vivvix.com/360/KMI/IntelliDrive/ApplUI/Pages/CreativePages/CustomReportCreativeDetail.aspx?App=23&amp;ReportView=4&amp;Qid=1711279&amp;Row=15509&amp;Col=1","No Title Assigned - #15275107272")</f>
        <v/>
      </c>
      <c r="B15517" s="0" t="s">
        <v>20607</v>
      </c>
      <c r="C15517" s="0" t="s">
        <v>20608</v>
      </c>
      <c r="D15517" s="0" t="s">
        <v>20608</v>
      </c>
      <c r="E15517" s="0" t="inlineStr">
        <is>
          <t xml:space="preserve">Mazda</t>
        </is>
      </c>
      <c r="F15517" s="0" t="s">
        <v>13</v>
      </c>
      <c r="G15517" s="0" t="s">
        <v>49</v>
      </c>
      <c r="H15517" s="5">
        <v>365.745600</v>
      </c>
    </row>
    <row r="15518" spans="1:9">
      <c r="A15518" s="22" t="str">
        <f>HYPERLINK("https://app.vivvix.com/360/KMI/IntelliDrive/ApplUI/Pages/CreativePages/CustomReportCreativeDetail.aspx?App=23&amp;ReportView=4&amp;Qid=1711279&amp;Row=15510&amp;Col=1","No Title Assigned - #15275107946")</f>
        <v/>
      </c>
      <c r="B15518" s="0" t="s">
        <v>20609</v>
      </c>
      <c r="C15518" s="0" t="s">
        <v>20610</v>
      </c>
      <c r="D15518" s="0" t="s">
        <v>20610</v>
      </c>
      <c r="E15518" s="0" t="inlineStr">
        <is>
          <t xml:space="preserve">Mazda</t>
        </is>
      </c>
      <c r="F15518" s="0" t="s">
        <v>13</v>
      </c>
      <c r="G15518" s="0" t="s">
        <v>49</v>
      </c>
      <c r="H15518" s="5">
        <v>292.173500</v>
      </c>
    </row>
    <row r="15519" spans="1:9">
      <c r="A15519" s="22" t="str">
        <f>HYPERLINK("https://app.vivvix.com/360/KMI/IntelliDrive/ApplUI/Pages/CreativePages/CustomReportCreativeDetail.aspx?App=23&amp;ReportView=4&amp;Qid=1711279&amp;Row=15511&amp;Col=1","No Title Assigned - #15275108021")</f>
        <v/>
      </c>
      <c r="B15519" s="0" t="s">
        <v>20611</v>
      </c>
      <c r="C15519" s="0" t="s">
        <v>20612</v>
      </c>
      <c r="D15519" s="0" t="s">
        <v>20612</v>
      </c>
      <c r="E15519" s="0" t="inlineStr">
        <is>
          <t xml:space="preserve">Mazda</t>
        </is>
      </c>
      <c r="F15519" s="0" t="s">
        <v>52</v>
      </c>
      <c r="G15519" s="0" t="s">
        <v>325</v>
      </c>
      <c r="H15519" s="5">
        <v>490.513600</v>
      </c>
    </row>
    <row r="15520" spans="1:9">
      <c r="A15520" s="22" t="str">
        <f>HYPERLINK("https://app.vivvix.com/360/KMI/IntelliDrive/ApplUI/Pages/CreativePages/CustomReportCreativeDetail.aspx?App=23&amp;ReportView=4&amp;Qid=1711279&amp;Row=15512&amp;Col=1","No Title Assigned - #15275108323")</f>
        <v/>
      </c>
      <c r="B15520" s="0" t="s">
        <v>20613</v>
      </c>
      <c r="C15520" s="0" t="s">
        <v>20614</v>
      </c>
      <c r="D15520" s="0" t="s">
        <v>20614</v>
      </c>
      <c r="E15520" s="0" t="inlineStr">
        <is>
          <t xml:space="preserve">Mazda</t>
        </is>
      </c>
      <c r="F15520" s="0" t="s">
        <v>13</v>
      </c>
      <c r="G15520" s="0" t="s">
        <v>49</v>
      </c>
      <c r="H15520" s="5">
        <v>1023.996500</v>
      </c>
    </row>
    <row r="15521" spans="1:9">
      <c r="A15521" s="22" t="str">
        <f>HYPERLINK("https://app.vivvix.com/360/KMI/IntelliDrive/ApplUI/Pages/CreativePages/CustomReportCreativeDetail.aspx?App=23&amp;ReportView=4&amp;Qid=1711279&amp;Row=15513&amp;Col=1","No Title Assigned - #15275108564")</f>
        <v/>
      </c>
      <c r="B15521" s="0" t="s">
        <v>20615</v>
      </c>
      <c r="C15521" s="0" t="s">
        <v>20616</v>
      </c>
      <c r="D15521" s="0" t="s">
        <v>20616</v>
      </c>
      <c r="E15521" s="0" t="inlineStr">
        <is>
          <t xml:space="preserve">Mazda</t>
        </is>
      </c>
      <c r="F15521" s="0" t="s">
        <v>13</v>
      </c>
      <c r="G15521" s="0" t="s">
        <v>49</v>
      </c>
      <c r="H15521" s="5">
        <v>110.061600</v>
      </c>
    </row>
    <row r="15522" spans="1:9">
      <c r="A15522" s="22" t="str">
        <f>HYPERLINK("https://app.vivvix.com/360/KMI/IntelliDrive/ApplUI/Pages/CreativePages/CustomReportCreativeDetail.aspx?App=23&amp;ReportView=4&amp;Qid=1711279&amp;Row=15514&amp;Col=1","No Title Assigned - #15275112001")</f>
        <v/>
      </c>
      <c r="B15522" s="0" t="s">
        <v>20617</v>
      </c>
      <c r="C15522" s="0" t="s">
        <v>20618</v>
      </c>
      <c r="D15522" s="0" t="s">
        <v>20618</v>
      </c>
      <c r="E15522" s="0" t="inlineStr">
        <is>
          <t xml:space="preserve">Mazda</t>
        </is>
      </c>
      <c r="F15522" s="0" t="s">
        <v>13</v>
      </c>
      <c r="G15522" s="0" t="s">
        <v>49</v>
      </c>
      <c r="H15522" s="5">
        <v>800.849400</v>
      </c>
    </row>
    <row r="15523" spans="1:9">
      <c r="A15523" s="22" t="str">
        <f>HYPERLINK("https://app.vivvix.com/360/KMI/IntelliDrive/ApplUI/Pages/CreativePages/CustomReportCreativeDetail.aspx?App=23&amp;ReportView=4&amp;Qid=1711279&amp;Row=15515&amp;Col=1","No Title Assigned - #15275112349")</f>
        <v/>
      </c>
      <c r="B15523" s="0" t="s">
        <v>20619</v>
      </c>
      <c r="C15523" s="0" t="s">
        <v>20620</v>
      </c>
      <c r="D15523" s="0" t="s">
        <v>20620</v>
      </c>
      <c r="E15523" s="0" t="inlineStr">
        <is>
          <t xml:space="preserve">Mazda</t>
        </is>
      </c>
      <c r="F15523" s="0" t="s">
        <v>13</v>
      </c>
      <c r="G15523" s="0" t="s">
        <v>49</v>
      </c>
      <c r="H15523" s="5">
        <v>468.122200</v>
      </c>
    </row>
    <row r="15524" spans="1:9">
      <c r="A15524" s="22" t="str">
        <f>HYPERLINK("https://app.vivvix.com/360/KMI/IntelliDrive/ApplUI/Pages/CreativePages/CustomReportCreativeDetail.aspx?App=23&amp;ReportView=4&amp;Qid=1711279&amp;Row=15516&amp;Col=1","No Title Assigned - #15275114373")</f>
        <v/>
      </c>
      <c r="B15524" s="0" t="s">
        <v>20621</v>
      </c>
      <c r="E15524" s="0" t="inlineStr">
        <is>
          <t xml:space="preserve">Mazda</t>
        </is>
      </c>
      <c r="F15524" s="0" t="s">
        <v>13</v>
      </c>
      <c r="G15524" s="0" t="s">
        <v>49</v>
      </c>
      <c r="H15524" s="5">
        <v>41.845600</v>
      </c>
    </row>
    <row r="15525" spans="1:9">
      <c r="A15525" s="22" t="str">
        <f>HYPERLINK("https://app.vivvix.com/360/KMI/IntelliDrive/ApplUI/Pages/CreativePages/CustomReportCreativeDetail.aspx?App=23&amp;ReportView=4&amp;Qid=1711279&amp;Row=15517&amp;Col=1","No Title Assigned - #15275114624")</f>
        <v/>
      </c>
      <c r="B15525" s="0" t="s">
        <v>20622</v>
      </c>
      <c r="C15525" s="0" t="s">
        <v>20623</v>
      </c>
      <c r="D15525" s="0" t="s">
        <v>13111</v>
      </c>
      <c r="E15525" s="0" t="inlineStr">
        <is>
          <t xml:space="preserve">Mazda</t>
        </is>
      </c>
      <c r="F15525" s="0" t="s">
        <v>13</v>
      </c>
      <c r="G15525" s="0" t="s">
        <v>49</v>
      </c>
      <c r="H15525" s="5">
        <v>95.820600</v>
      </c>
    </row>
    <row r="15526" spans="1:9">
      <c r="A15526" s="22" t="str">
        <f>HYPERLINK("https://app.vivvix.com/360/KMI/IntelliDrive/ApplUI/Pages/CreativePages/CustomReportCreativeDetail.aspx?App=23&amp;ReportView=4&amp;Qid=1711279&amp;Row=15518&amp;Col=1","No Title Assigned - #15275114845")</f>
        <v/>
      </c>
      <c r="B15526" s="0" t="s">
        <v>20624</v>
      </c>
      <c r="E15526" s="0" t="inlineStr">
        <is>
          <t xml:space="preserve">Mazda</t>
        </is>
      </c>
      <c r="F15526" s="0" t="s">
        <v>13</v>
      </c>
      <c r="G15526" s="0" t="s">
        <v>49</v>
      </c>
      <c r="H15526" s="5">
        <v>31.224600</v>
      </c>
    </row>
    <row r="15527" spans="1:9">
      <c r="A15527" s="22" t="str">
        <f>HYPERLINK("https://app.vivvix.com/360/KMI/IntelliDrive/ApplUI/Pages/CreativePages/CustomReportCreativeDetail.aspx?App=23&amp;ReportView=4&amp;Qid=1711279&amp;Row=15519&amp;Col=1","No Title Assigned - #15275115228")</f>
        <v/>
      </c>
      <c r="B15527" s="0" t="s">
        <v>20625</v>
      </c>
      <c r="E15527" s="0" t="inlineStr">
        <is>
          <t xml:space="preserve">Mazda</t>
        </is>
      </c>
      <c r="F15527" s="0" t="s">
        <v>13</v>
      </c>
      <c r="G15527" s="0" t="s">
        <v>49</v>
      </c>
      <c r="H15527" s="5">
        <v>25.278800</v>
      </c>
    </row>
    <row r="15528" spans="1:9">
      <c r="A15528" s="22" t="str">
        <f>HYPERLINK("https://app.vivvix.com/360/KMI/IntelliDrive/ApplUI/Pages/CreativePages/CustomReportCreativeDetail.aspx?App=23&amp;ReportView=4&amp;Qid=1711279&amp;Row=15520&amp;Col=1","No Title Assigned - #15275115801")</f>
        <v/>
      </c>
      <c r="B15528" s="0" t="s">
        <v>20626</v>
      </c>
      <c r="C15528" s="0" t="s">
        <v>20627</v>
      </c>
      <c r="D15528" s="0" t="s">
        <v>4774</v>
      </c>
      <c r="E15528" s="0" t="inlineStr">
        <is>
          <t xml:space="preserve">Mazda</t>
        </is>
      </c>
      <c r="F15528" s="0" t="s">
        <v>13</v>
      </c>
      <c r="G15528" s="0" t="s">
        <v>49</v>
      </c>
      <c r="H15528" s="5">
        <v>420.286900</v>
      </c>
    </row>
    <row r="15529" spans="1:9">
      <c r="A15529" s="22" t="str">
        <f>HYPERLINK("https://app.vivvix.com/360/KMI/IntelliDrive/ApplUI/Pages/CreativePages/CustomReportCreativeDetail.aspx?App=23&amp;ReportView=4&amp;Qid=1711279&amp;Row=15521&amp;Col=1","No Title Assigned - #15275116494")</f>
        <v/>
      </c>
      <c r="B15529" s="0" t="s">
        <v>20628</v>
      </c>
      <c r="C15529" s="0" t="s">
        <v>20629</v>
      </c>
      <c r="D15529" s="0" t="s">
        <v>20629</v>
      </c>
      <c r="E15529" s="0" t="inlineStr">
        <is>
          <t xml:space="preserve">Mazda</t>
        </is>
      </c>
      <c r="F15529" s="0" t="inlineStr">
        <is>
          <t xml:space="preserve">Mazda</t>
        </is>
      </c>
      <c r="G15529" s="0" t="s">
        <v>210</v>
      </c>
      <c r="H15529" s="5">
        <v>737.545600</v>
      </c>
    </row>
    <row r="15530" spans="1:9">
      <c r="A15530" s="22" t="str">
        <f>HYPERLINK("https://app.vivvix.com/360/KMI/IntelliDrive/ApplUI/Pages/CreativePages/CustomReportCreativeDetail.aspx?App=23&amp;ReportView=4&amp;Qid=1711279&amp;Row=15522&amp;Col=1","No Title Assigned - #15275117830")</f>
        <v/>
      </c>
      <c r="B15530" s="0" t="s">
        <v>20630</v>
      </c>
      <c r="C15530" s="0" t="s">
        <v>20631</v>
      </c>
      <c r="D15530" s="0" t="s">
        <v>20631</v>
      </c>
      <c r="E15530" s="0" t="inlineStr">
        <is>
          <t xml:space="preserve">Mazda</t>
        </is>
      </c>
      <c r="F15530" s="0" t="s">
        <v>13</v>
      </c>
      <c r="G15530" s="0" t="s">
        <v>49</v>
      </c>
      <c r="H15530" s="5">
        <v>7884.500500</v>
      </c>
    </row>
    <row r="15531" spans="1:9">
      <c r="A15531" s="22" t="str">
        <f>HYPERLINK("https://app.vivvix.com/360/KMI/IntelliDrive/ApplUI/Pages/CreativePages/CustomReportCreativeDetail.aspx?App=23&amp;ReportView=4&amp;Qid=1711279&amp;Row=15523&amp;Col=1","No Title Assigned - #15275120182")</f>
        <v/>
      </c>
      <c r="B15531" s="0" t="s">
        <v>20632</v>
      </c>
      <c r="C15531" s="0" t="s">
        <v>20633</v>
      </c>
      <c r="D15531" s="0" t="s">
        <v>16585</v>
      </c>
      <c r="E15531" s="0" t="inlineStr">
        <is>
          <t xml:space="preserve">Mazda</t>
        </is>
      </c>
      <c r="F15531" s="0" t="inlineStr">
        <is>
          <t xml:space="preserve">Mazda</t>
        </is>
      </c>
      <c r="G15531" s="0" t="s">
        <v>210</v>
      </c>
      <c r="H15531" s="5">
        <v>566.895100</v>
      </c>
    </row>
    <row r="15532" spans="1:9">
      <c r="A15532" s="22" t="str">
        <f>HYPERLINK("https://app.vivvix.com/360/KMI/IntelliDrive/ApplUI/Pages/CreativePages/CustomReportCreativeDetail.aspx?App=23&amp;ReportView=4&amp;Qid=1711279&amp;Row=15524&amp;Col=1","No Title Assigned - #15275120327")</f>
        <v/>
      </c>
      <c r="B15532" s="0" t="s">
        <v>20634</v>
      </c>
      <c r="C15532" s="0" t="s">
        <v>20635</v>
      </c>
      <c r="D15532" s="0" t="s">
        <v>16884</v>
      </c>
      <c r="E15532" s="0" t="inlineStr">
        <is>
          <t xml:space="preserve">Mazda</t>
        </is>
      </c>
      <c r="F15532" s="0" t="s">
        <v>13</v>
      </c>
      <c r="G15532" s="0" t="s">
        <v>49</v>
      </c>
      <c r="H15532" s="5">
        <v>155.350000</v>
      </c>
    </row>
    <row r="15533" spans="1:9">
      <c r="A15533" s="22" t="str">
        <f>HYPERLINK("https://app.vivvix.com/360/KMI/IntelliDrive/ApplUI/Pages/CreativePages/CustomReportCreativeDetail.aspx?App=23&amp;ReportView=4&amp;Qid=1711279&amp;Row=15525&amp;Col=1","No Title Assigned - #15275121120")</f>
        <v/>
      </c>
      <c r="B15533" s="0" t="s">
        <v>20636</v>
      </c>
      <c r="E15533" s="0" t="inlineStr">
        <is>
          <t xml:space="preserve">Mazda</t>
        </is>
      </c>
      <c r="F15533" s="0" t="inlineStr">
        <is>
          <t xml:space="preserve">Mazda</t>
        </is>
      </c>
      <c r="G15533" s="0" t="s">
        <v>210</v>
      </c>
      <c r="H15533" s="5">
        <v>944.245900</v>
      </c>
    </row>
    <row r="15534" spans="1:9">
      <c r="A15534" s="22" t="str">
        <f>HYPERLINK("https://app.vivvix.com/360/KMI/IntelliDrive/ApplUI/Pages/CreativePages/CustomReportCreativeDetail.aspx?App=23&amp;ReportView=4&amp;Qid=1711279&amp;Row=15526&amp;Col=1","No Title Assigned - #15275121120")</f>
        <v/>
      </c>
      <c r="B15534" s="0" t="s">
        <v>20636</v>
      </c>
      <c r="C15534" s="0" t="s">
        <v>20637</v>
      </c>
      <c r="D15534" s="0" t="s">
        <v>20637</v>
      </c>
      <c r="E15534" s="0" t="inlineStr">
        <is>
          <t xml:space="preserve">Mazda</t>
        </is>
      </c>
      <c r="F15534" s="0" t="inlineStr">
        <is>
          <t xml:space="preserve">Mazda</t>
        </is>
      </c>
      <c r="G15534" s="0" t="s">
        <v>210</v>
      </c>
      <c r="H15534" s="5">
        <v>927.589200</v>
      </c>
    </row>
    <row r="15535" spans="1:9">
      <c r="A15535" s="22" t="str">
        <f>HYPERLINK("https://app.vivvix.com/360/KMI/IntelliDrive/ApplUI/Pages/CreativePages/CustomReportCreativeDetail.aspx?App=23&amp;ReportView=4&amp;Qid=1711279&amp;Row=15527&amp;Col=1","No Title Assigned - #15275121340")</f>
        <v/>
      </c>
      <c r="B15535" s="0" t="s">
        <v>20638</v>
      </c>
      <c r="C15535" s="0" t="s">
        <v>20639</v>
      </c>
      <c r="D15535" s="0" t="s">
        <v>20639</v>
      </c>
      <c r="E15535" s="0" t="inlineStr">
        <is>
          <t xml:space="preserve">Mazda</t>
        </is>
      </c>
      <c r="F15535" s="0" t="s">
        <v>13</v>
      </c>
      <c r="G15535" s="0" t="s">
        <v>49</v>
      </c>
      <c r="H15535" s="5">
        <v>5033.451700</v>
      </c>
    </row>
    <row r="15536" spans="1:9">
      <c r="A15536" s="22" t="str">
        <f>HYPERLINK("https://app.vivvix.com/360/KMI/IntelliDrive/ApplUI/Pages/CreativePages/CustomReportCreativeDetail.aspx?App=23&amp;ReportView=4&amp;Qid=1711279&amp;Row=15528&amp;Col=1","No Title Assigned - #15275121525")</f>
        <v/>
      </c>
      <c r="B15536" s="0" t="s">
        <v>20640</v>
      </c>
      <c r="C15536" s="0" t="s">
        <v>20641</v>
      </c>
      <c r="D15536" s="0" t="s">
        <v>10860</v>
      </c>
      <c r="E15536" s="0" t="inlineStr">
        <is>
          <t xml:space="preserve">Mazda</t>
        </is>
      </c>
      <c r="F15536" s="0" t="s">
        <v>13</v>
      </c>
      <c r="G15536" s="0" t="s">
        <v>49</v>
      </c>
      <c r="H15536" s="5">
        <v>96.726600</v>
      </c>
    </row>
    <row r="15537" spans="1:9">
      <c r="A15537" s="22" t="str">
        <f>HYPERLINK("https://app.vivvix.com/360/KMI/IntelliDrive/ApplUI/Pages/CreativePages/CustomReportCreativeDetail.aspx?App=23&amp;ReportView=4&amp;Qid=1711279&amp;Row=15529&amp;Col=1","No Title Assigned - #15275121711")</f>
        <v/>
      </c>
      <c r="B15537" s="0" t="s">
        <v>20642</v>
      </c>
      <c r="C15537" s="0" t="s">
        <v>20643</v>
      </c>
      <c r="D15537" s="0" t="s">
        <v>10004</v>
      </c>
      <c r="E15537" s="0" t="inlineStr">
        <is>
          <t xml:space="preserve">Mazda</t>
        </is>
      </c>
      <c r="F15537" s="0" t="s">
        <v>13</v>
      </c>
      <c r="G15537" s="0" t="s">
        <v>49</v>
      </c>
      <c r="H15537" s="5">
        <v>119.199500</v>
      </c>
    </row>
    <row r="15538" spans="1:9">
      <c r="A15538" s="22" t="str">
        <f>HYPERLINK("https://app.vivvix.com/360/KMI/IntelliDrive/ApplUI/Pages/CreativePages/CustomReportCreativeDetail.aspx?App=23&amp;ReportView=4&amp;Qid=1711279&amp;Row=15530&amp;Col=1","No Title Assigned - #15275122203")</f>
        <v/>
      </c>
      <c r="B15538" s="0" t="s">
        <v>20644</v>
      </c>
      <c r="C15538" s="0" t="s">
        <v>20645</v>
      </c>
      <c r="D15538" s="0" t="s">
        <v>11560</v>
      </c>
      <c r="E15538" s="0" t="inlineStr">
        <is>
          <t xml:space="preserve">Mazda</t>
        </is>
      </c>
      <c r="F15538" s="0" t="s">
        <v>13</v>
      </c>
      <c r="G15538" s="0" t="s">
        <v>49</v>
      </c>
      <c r="H15538" s="5">
        <v>413.577600</v>
      </c>
    </row>
    <row r="15539" spans="1:9">
      <c r="A15539" s="22" t="str">
        <f>HYPERLINK("https://app.vivvix.com/360/KMI/IntelliDrive/ApplUI/Pages/CreativePages/CustomReportCreativeDetail.aspx?App=23&amp;ReportView=4&amp;Qid=1711279&amp;Row=15531&amp;Col=1","No Title Assigned - #15275122596")</f>
        <v/>
      </c>
      <c r="B15539" s="0" t="s">
        <v>20646</v>
      </c>
      <c r="E15539" s="0" t="inlineStr">
        <is>
          <t xml:space="preserve">Mazda</t>
        </is>
      </c>
      <c r="F15539" s="0" t="s">
        <v>13</v>
      </c>
      <c r="G15539" s="0" t="s">
        <v>49</v>
      </c>
      <c r="H15539" s="5">
        <v>2431.692300</v>
      </c>
    </row>
    <row r="15540" spans="1:9">
      <c r="A15540" s="22" t="str">
        <f>HYPERLINK("https://app.vivvix.com/360/KMI/IntelliDrive/ApplUI/Pages/CreativePages/CustomReportCreativeDetail.aspx?App=23&amp;ReportView=4&amp;Qid=1711279&amp;Row=15532&amp;Col=1","No Title Assigned - #15275122596")</f>
        <v/>
      </c>
      <c r="B15540" s="0" t="s">
        <v>20646</v>
      </c>
      <c r="C15540" s="0" t="s">
        <v>20647</v>
      </c>
      <c r="D15540" s="0" t="s">
        <v>20647</v>
      </c>
      <c r="E15540" s="0" t="inlineStr">
        <is>
          <t xml:space="preserve">Mazda</t>
        </is>
      </c>
      <c r="F15540" s="0" t="s">
        <v>13</v>
      </c>
      <c r="G15540" s="0" t="s">
        <v>49</v>
      </c>
      <c r="H15540" s="5">
        <v>9258.348000</v>
      </c>
    </row>
    <row r="15541" spans="1:9">
      <c r="A15541" s="22" t="str">
        <f>HYPERLINK("https://app.vivvix.com/360/KMI/IntelliDrive/ApplUI/Pages/CreativePages/CustomReportCreativeDetail.aspx?App=23&amp;ReportView=4&amp;Qid=1711279&amp;Row=15533&amp;Col=1","No Title Assigned - #15275122652")</f>
        <v/>
      </c>
      <c r="B15541" s="0" t="s">
        <v>20648</v>
      </c>
      <c r="C15541" s="0" t="s">
        <v>20649</v>
      </c>
      <c r="D15541" s="0" t="s">
        <v>20649</v>
      </c>
      <c r="E15541" s="0" t="inlineStr">
        <is>
          <t xml:space="preserve">Mazda</t>
        </is>
      </c>
      <c r="F15541" s="0" t="s">
        <v>13</v>
      </c>
      <c r="G15541" s="0" t="s">
        <v>49</v>
      </c>
      <c r="H15541" s="5">
        <v>12.069500</v>
      </c>
    </row>
    <row r="15542" spans="1:9">
      <c r="A15542" s="22" t="str">
        <f>HYPERLINK("https://app.vivvix.com/360/KMI/IntelliDrive/ApplUI/Pages/CreativePages/CustomReportCreativeDetail.aspx?App=23&amp;ReportView=4&amp;Qid=1711279&amp;Row=15534&amp;Col=1","No Title Assigned - #15275122853")</f>
        <v/>
      </c>
      <c r="B15542" s="0" t="s">
        <v>20650</v>
      </c>
      <c r="C15542" s="0" t="s">
        <v>20651</v>
      </c>
      <c r="D15542" s="0" t="s">
        <v>20651</v>
      </c>
      <c r="E15542" s="0" t="inlineStr">
        <is>
          <t xml:space="preserve">Mazda</t>
        </is>
      </c>
      <c r="F15542" s="0" t="s">
        <v>21</v>
      </c>
      <c r="G15542" s="0" t="s">
        <v>22</v>
      </c>
      <c r="H15542" s="5">
        <v>32099.425800</v>
      </c>
    </row>
    <row r="15543" spans="1:9">
      <c r="A15543" s="22" t="str">
        <f>HYPERLINK("https://app.vivvix.com/360/KMI/IntelliDrive/ApplUI/Pages/CreativePages/CustomReportCreativeDetail.aspx?App=23&amp;ReportView=4&amp;Qid=1711279&amp;Row=15535&amp;Col=1","No Title Assigned - #15275123056")</f>
        <v/>
      </c>
      <c r="B15543" s="0" t="s">
        <v>20652</v>
      </c>
      <c r="C15543" s="0" t="s">
        <v>20653</v>
      </c>
      <c r="D15543" s="0" t="s">
        <v>20653</v>
      </c>
      <c r="E15543" s="0" t="inlineStr">
        <is>
          <t xml:space="preserve">Mazda</t>
        </is>
      </c>
      <c r="F15543" s="0" t="s">
        <v>17</v>
      </c>
      <c r="G15543" s="0" t="s">
        <v>33</v>
      </c>
      <c r="H15543" s="5">
        <v>54.335500</v>
      </c>
    </row>
    <row r="15544" spans="1:9">
      <c r="A15544" s="22" t="str">
        <f>HYPERLINK("https://app.vivvix.com/360/KMI/IntelliDrive/ApplUI/Pages/CreativePages/CustomReportCreativeDetail.aspx?App=23&amp;ReportView=4&amp;Qid=1711279&amp;Row=15536&amp;Col=1","No Title Assigned - #15275123781")</f>
        <v/>
      </c>
      <c r="B15544" s="0" t="s">
        <v>20654</v>
      </c>
      <c r="E15544" s="0" t="inlineStr">
        <is>
          <t xml:space="preserve">Mazda</t>
        </is>
      </c>
      <c r="F15544" s="0" t="s">
        <v>13</v>
      </c>
      <c r="G15544" s="0" t="s">
        <v>49</v>
      </c>
      <c r="H15544" s="5">
        <v>82.697600</v>
      </c>
    </row>
    <row r="15545" spans="1:9">
      <c r="A15545" s="22" t="str">
        <f>HYPERLINK("https://app.vivvix.com/360/KMI/IntelliDrive/ApplUI/Pages/CreativePages/CustomReportCreativeDetail.aspx?App=23&amp;ReportView=4&amp;Qid=1711279&amp;Row=15537&amp;Col=1","No Title Assigned - #15275123885")</f>
        <v/>
      </c>
      <c r="B15545" s="0" t="s">
        <v>20655</v>
      </c>
      <c r="C15545" s="0" t="s">
        <v>20656</v>
      </c>
      <c r="D15545" s="0" t="s">
        <v>11831</v>
      </c>
      <c r="E15545" s="0" t="inlineStr">
        <is>
          <t xml:space="preserve">Mazda</t>
        </is>
      </c>
      <c r="F15545" s="0" t="s">
        <v>13</v>
      </c>
      <c r="G15545" s="0" t="s">
        <v>49</v>
      </c>
      <c r="H15545" s="5">
        <v>81.890900</v>
      </c>
    </row>
    <row r="15546" spans="1:9">
      <c r="A15546" s="22" t="str">
        <f>HYPERLINK("https://app.vivvix.com/360/KMI/IntelliDrive/ApplUI/Pages/CreativePages/CustomReportCreativeDetail.aspx?App=23&amp;ReportView=4&amp;Qid=1711279&amp;Row=15538&amp;Col=1","No Title Assigned - #15275124548")</f>
        <v/>
      </c>
      <c r="B15546" s="0" t="s">
        <v>20657</v>
      </c>
      <c r="C15546" s="0" t="s">
        <v>20658</v>
      </c>
      <c r="D15546" s="0" t="s">
        <v>20658</v>
      </c>
      <c r="E15546" s="0" t="inlineStr">
        <is>
          <t xml:space="preserve">Mazda</t>
        </is>
      </c>
      <c r="F15546" s="0" t="inlineStr">
        <is>
          <t xml:space="preserve">Mazda</t>
        </is>
      </c>
      <c r="G15546" s="0" t="s">
        <v>210</v>
      </c>
      <c r="H15546" s="5">
        <v>873.931600</v>
      </c>
    </row>
    <row r="15547" spans="1:9">
      <c r="A15547" s="22" t="str">
        <f>HYPERLINK("https://app.vivvix.com/360/KMI/IntelliDrive/ApplUI/Pages/CreativePages/CustomReportCreativeDetail.aspx?App=23&amp;ReportView=4&amp;Qid=1711279&amp;Row=15539&amp;Col=1","No Title Assigned - #15275124697")</f>
        <v/>
      </c>
      <c r="B15547" s="0" t="s">
        <v>20659</v>
      </c>
      <c r="C15547" s="0" t="s">
        <v>20660</v>
      </c>
      <c r="D15547" s="0" t="s">
        <v>20660</v>
      </c>
      <c r="E15547" s="0" t="inlineStr">
        <is>
          <t xml:space="preserve">Mazda</t>
        </is>
      </c>
      <c r="F15547" s="0" t="s">
        <v>13</v>
      </c>
      <c r="G15547" s="0" t="s">
        <v>49</v>
      </c>
      <c r="H15547" s="5">
        <v>64.717400</v>
      </c>
    </row>
    <row r="15548" spans="1:9">
      <c r="A15548" s="22" t="str">
        <f>HYPERLINK("https://app.vivvix.com/360/KMI/IntelliDrive/ApplUI/Pages/CreativePages/CustomReportCreativeDetail.aspx?App=23&amp;ReportView=4&amp;Qid=1711279&amp;Row=15540&amp;Col=1","No Title Assigned - #15275124935")</f>
        <v/>
      </c>
      <c r="B15548" s="0" t="s">
        <v>20661</v>
      </c>
      <c r="E15548" s="0" t="inlineStr">
        <is>
          <t xml:space="preserve">Mazda</t>
        </is>
      </c>
      <c r="F15548" s="0" t="s">
        <v>13</v>
      </c>
      <c r="G15548" s="0" t="s">
        <v>49</v>
      </c>
      <c r="H15548" s="5">
        <v>1944.072200</v>
      </c>
    </row>
    <row r="15549" spans="1:9">
      <c r="A15549" s="22" t="str">
        <f>HYPERLINK("https://app.vivvix.com/360/KMI/IntelliDrive/ApplUI/Pages/CreativePages/CustomReportCreativeDetail.aspx?App=23&amp;ReportView=4&amp;Qid=1711279&amp;Row=15541&amp;Col=1","No Title Assigned - #15275125074")</f>
        <v/>
      </c>
      <c r="B15549" s="0" t="s">
        <v>20662</v>
      </c>
      <c r="E15549" s="0" t="inlineStr">
        <is>
          <t xml:space="preserve">Mazda</t>
        </is>
      </c>
      <c r="F15549" s="0" t="inlineStr">
        <is>
          <t xml:space="preserve">Mazda</t>
        </is>
      </c>
      <c r="G15549" s="0" t="s">
        <v>210</v>
      </c>
      <c r="H15549" s="5">
        <v>416.308300</v>
      </c>
    </row>
    <row r="15550" spans="1:9">
      <c r="A15550" s="22" t="str">
        <f>HYPERLINK("https://app.vivvix.com/360/KMI/IntelliDrive/ApplUI/Pages/CreativePages/CustomReportCreativeDetail.aspx?App=23&amp;ReportView=4&amp;Qid=1711279&amp;Row=15542&amp;Col=1","No Title Assigned - #15275125074")</f>
        <v/>
      </c>
      <c r="B15550" s="0" t="s">
        <v>20662</v>
      </c>
      <c r="C15550" s="0" t="s">
        <v>20663</v>
      </c>
      <c r="D15550" s="0" t="s">
        <v>16585</v>
      </c>
      <c r="E15550" s="0" t="inlineStr">
        <is>
          <t xml:space="preserve">Mazda</t>
        </is>
      </c>
      <c r="F15550" s="0" t="inlineStr">
        <is>
          <t xml:space="preserve">Mazda</t>
        </is>
      </c>
      <c r="G15550" s="0" t="s">
        <v>210</v>
      </c>
      <c r="H15550" s="5">
        <v>1874.860000</v>
      </c>
    </row>
    <row r="15551" spans="1:9">
      <c r="A15551" s="22" t="str">
        <f>HYPERLINK("https://app.vivvix.com/360/KMI/IntelliDrive/ApplUI/Pages/CreativePages/CustomReportCreativeDetail.aspx?App=23&amp;ReportView=4&amp;Qid=1711279&amp;Row=15543&amp;Col=1","No Title Assigned - #15275125576")</f>
        <v/>
      </c>
      <c r="B15551" s="0" t="s">
        <v>20664</v>
      </c>
      <c r="C15551" s="0" t="s">
        <v>20665</v>
      </c>
      <c r="D15551" s="0" t="s">
        <v>20665</v>
      </c>
      <c r="E15551" s="0" t="inlineStr">
        <is>
          <t xml:space="preserve">Mazda</t>
        </is>
      </c>
      <c r="F15551" s="0" t="s">
        <v>13</v>
      </c>
      <c r="G15551" s="0" t="s">
        <v>49</v>
      </c>
      <c r="H15551" s="5">
        <v>5033.451700</v>
      </c>
    </row>
    <row r="15552" spans="1:9">
      <c r="A15552" s="22" t="str">
        <f>HYPERLINK("https://app.vivvix.com/360/KMI/IntelliDrive/ApplUI/Pages/CreativePages/CustomReportCreativeDetail.aspx?App=23&amp;ReportView=4&amp;Qid=1711279&amp;Row=15544&amp;Col=1","No Title Assigned - #15275125582")</f>
        <v/>
      </c>
      <c r="B15552" s="0" t="s">
        <v>20666</v>
      </c>
      <c r="C15552" s="0" t="s">
        <v>20667</v>
      </c>
      <c r="D15552" s="0" t="s">
        <v>11560</v>
      </c>
      <c r="E15552" s="0" t="inlineStr">
        <is>
          <t xml:space="preserve">Mazda</t>
        </is>
      </c>
      <c r="F15552" s="0" t="s">
        <v>13</v>
      </c>
      <c r="G15552" s="0" t="s">
        <v>49</v>
      </c>
      <c r="H15552" s="5">
        <v>17.558500</v>
      </c>
    </row>
    <row r="15553" spans="1:9">
      <c r="A15553" s="22" t="str">
        <f>HYPERLINK("https://app.vivvix.com/360/KMI/IntelliDrive/ApplUI/Pages/CreativePages/CustomReportCreativeDetail.aspx?App=23&amp;ReportView=4&amp;Qid=1711279&amp;Row=15545&amp;Col=1","No Title Assigned - #15275125820")</f>
        <v/>
      </c>
      <c r="B15553" s="0" t="s">
        <v>20668</v>
      </c>
      <c r="C15553" s="0" t="s">
        <v>20669</v>
      </c>
      <c r="D15553" s="0" t="s">
        <v>4774</v>
      </c>
      <c r="E15553" s="0" t="inlineStr">
        <is>
          <t xml:space="preserve">Mazda</t>
        </is>
      </c>
      <c r="F15553" s="0" t="s">
        <v>13</v>
      </c>
      <c r="G15553" s="0" t="s">
        <v>49</v>
      </c>
      <c r="H15553" s="5">
        <v>47.002000</v>
      </c>
    </row>
    <row r="15554" spans="1:9">
      <c r="A15554" s="22" t="str">
        <f>HYPERLINK("https://app.vivvix.com/360/KMI/IntelliDrive/ApplUI/Pages/CreativePages/CustomReportCreativeDetail.aspx?App=23&amp;ReportView=4&amp;Qid=1711279&amp;Row=15546&amp;Col=1","No Title Assigned - #15275126213")</f>
        <v/>
      </c>
      <c r="B15554" s="0" t="s">
        <v>20670</v>
      </c>
      <c r="C15554" s="0" t="s">
        <v>20671</v>
      </c>
      <c r="D15554" s="0" t="s">
        <v>20671</v>
      </c>
      <c r="E15554" s="0" t="inlineStr">
        <is>
          <t xml:space="preserve">Mazda</t>
        </is>
      </c>
      <c r="F15554" s="0" t="s">
        <v>13</v>
      </c>
      <c r="G15554" s="0" t="s">
        <v>49</v>
      </c>
      <c r="H15554" s="5">
        <v>130.836000</v>
      </c>
    </row>
    <row r="15555" spans="1:9">
      <c r="A15555" s="22" t="str">
        <f>HYPERLINK("https://app.vivvix.com/360/KMI/IntelliDrive/ApplUI/Pages/CreativePages/CustomReportCreativeDetail.aspx?App=23&amp;ReportView=4&amp;Qid=1711279&amp;Row=15547&amp;Col=1","No Title Assigned - #15275126716")</f>
        <v/>
      </c>
      <c r="B15555" s="0" t="s">
        <v>20672</v>
      </c>
      <c r="C15555" s="0" t="s">
        <v>20673</v>
      </c>
      <c r="D15555" s="0" t="s">
        <v>20673</v>
      </c>
      <c r="E15555" s="0" t="inlineStr">
        <is>
          <t xml:space="preserve">Mazda</t>
        </is>
      </c>
      <c r="F15555" s="0" t="s">
        <v>13</v>
      </c>
      <c r="G15555" s="0" t="s">
        <v>49</v>
      </c>
      <c r="H15555" s="5">
        <v>446.247000</v>
      </c>
    </row>
    <row r="15556" spans="1:9">
      <c r="A15556" s="22" t="str">
        <f>HYPERLINK("https://app.vivvix.com/360/KMI/IntelliDrive/ApplUI/Pages/CreativePages/CustomReportCreativeDetail.aspx?App=23&amp;ReportView=4&amp;Qid=1711279&amp;Row=15548&amp;Col=1","No Title Assigned - #15275127024")</f>
        <v/>
      </c>
      <c r="B15556" s="0" t="s">
        <v>20674</v>
      </c>
      <c r="C15556" s="0" t="s">
        <v>20675</v>
      </c>
      <c r="D15556" s="0" t="s">
        <v>20675</v>
      </c>
      <c r="E15556" s="0" t="inlineStr">
        <is>
          <t xml:space="preserve">Mazda</t>
        </is>
      </c>
      <c r="F15556" s="0" t="s">
        <v>13</v>
      </c>
      <c r="G15556" s="0" t="s">
        <v>49</v>
      </c>
      <c r="H15556" s="5">
        <v>96.585400</v>
      </c>
    </row>
    <row r="15557" spans="1:9">
      <c r="A15557" s="22" t="str">
        <f>HYPERLINK("https://app.vivvix.com/360/KMI/IntelliDrive/ApplUI/Pages/CreativePages/CustomReportCreativeDetail.aspx?App=23&amp;ReportView=4&amp;Qid=1711279&amp;Row=15549&amp;Col=1","No Title Assigned - #15275128728")</f>
        <v/>
      </c>
      <c r="B15557" s="0" t="s">
        <v>20676</v>
      </c>
      <c r="C15557" s="0" t="s">
        <v>20677</v>
      </c>
      <c r="D15557" s="0" t="s">
        <v>20677</v>
      </c>
      <c r="E15557" s="0" t="inlineStr">
        <is>
          <t xml:space="preserve">Mazda</t>
        </is>
      </c>
      <c r="F15557" s="0" t="s">
        <v>666</v>
      </c>
      <c r="G15557" s="0" t="s">
        <v>667</v>
      </c>
      <c r="H15557" s="5">
        <v>538.695900</v>
      </c>
    </row>
    <row r="15558" spans="1:9">
      <c r="A15558" s="22" t="str">
        <f>HYPERLINK("https://app.vivvix.com/360/KMI/IntelliDrive/ApplUI/Pages/CreativePages/CustomReportCreativeDetail.aspx?App=23&amp;ReportView=4&amp;Qid=1711279&amp;Row=15550&amp;Col=1","No Title Assigned - #15275130562")</f>
        <v/>
      </c>
      <c r="B15558" s="0" t="s">
        <v>20678</v>
      </c>
      <c r="E15558" s="0" t="inlineStr">
        <is>
          <t xml:space="preserve">Mazda</t>
        </is>
      </c>
      <c r="F15558" s="0" t="inlineStr">
        <is>
          <t xml:space="preserve">Mazda</t>
        </is>
      </c>
      <c r="G15558" s="0" t="s">
        <v>171</v>
      </c>
      <c r="H15558" s="5">
        <v>39.403300</v>
      </c>
    </row>
    <row r="15559" spans="1:9">
      <c r="A15559" s="22" t="str">
        <f>HYPERLINK("https://app.vivvix.com/360/KMI/IntelliDrive/ApplUI/Pages/CreativePages/CustomReportCreativeDetail.aspx?App=23&amp;ReportView=4&amp;Qid=1711279&amp;Row=15551&amp;Col=1","No Title Assigned - #15275131046")</f>
        <v/>
      </c>
      <c r="B15559" s="0" t="s">
        <v>20679</v>
      </c>
      <c r="C15559" s="0" t="s">
        <v>20680</v>
      </c>
      <c r="D15559" s="0" t="s">
        <v>11373</v>
      </c>
      <c r="E15559" s="0" t="inlineStr">
        <is>
          <t xml:space="preserve">Mazda</t>
        </is>
      </c>
      <c r="F15559" s="0" t="s">
        <v>13</v>
      </c>
      <c r="G15559" s="0" t="s">
        <v>49</v>
      </c>
      <c r="H15559" s="5">
        <v>246.516100</v>
      </c>
    </row>
    <row r="15560" spans="1:9">
      <c r="A15560" s="22" t="str">
        <f>HYPERLINK("https://app.vivvix.com/360/KMI/IntelliDrive/ApplUI/Pages/CreativePages/CustomReportCreativeDetail.aspx?App=23&amp;ReportView=4&amp;Qid=1711279&amp;Row=15552&amp;Col=1","No Title Assigned - #15275132240")</f>
        <v/>
      </c>
      <c r="B15560" s="0" t="s">
        <v>20681</v>
      </c>
      <c r="E15560" s="0" t="inlineStr">
        <is>
          <t xml:space="preserve">Mazda</t>
        </is>
      </c>
      <c r="F15560" s="0" t="s">
        <v>13</v>
      </c>
      <c r="G15560" s="0" t="s">
        <v>49</v>
      </c>
      <c r="H15560" s="5">
        <v>47.795000</v>
      </c>
    </row>
    <row r="15561" spans="1:9">
      <c r="A15561" s="22" t="str">
        <f>HYPERLINK("https://app.vivvix.com/360/KMI/IntelliDrive/ApplUI/Pages/CreativePages/CustomReportCreativeDetail.aspx?App=23&amp;ReportView=4&amp;Qid=1711279&amp;Row=15553&amp;Col=1","No Title Assigned - #15275132240")</f>
        <v/>
      </c>
      <c r="B15561" s="0" t="s">
        <v>20681</v>
      </c>
      <c r="C15561" s="0" t="s">
        <v>20682</v>
      </c>
      <c r="D15561" s="0" t="s">
        <v>20682</v>
      </c>
      <c r="E15561" s="0" t="inlineStr">
        <is>
          <t xml:space="preserve">Mazda</t>
        </is>
      </c>
      <c r="F15561" s="0" t="s">
        <v>13</v>
      </c>
      <c r="G15561" s="0" t="s">
        <v>49</v>
      </c>
      <c r="H15561" s="5">
        <v>774.544500</v>
      </c>
    </row>
    <row r="15562" spans="1:9">
      <c r="A15562" s="22" t="str">
        <f>HYPERLINK("https://app.vivvix.com/360/KMI/IntelliDrive/ApplUI/Pages/CreativePages/CustomReportCreativeDetail.aspx?App=23&amp;ReportView=4&amp;Qid=1711279&amp;Row=15554&amp;Col=1","No Title Assigned - #15275132622")</f>
        <v/>
      </c>
      <c r="B15562" s="0" t="s">
        <v>20683</v>
      </c>
      <c r="C15562" s="0" t="s">
        <v>20684</v>
      </c>
      <c r="D15562" s="0" t="s">
        <v>20089</v>
      </c>
      <c r="E15562" s="0" t="inlineStr">
        <is>
          <t xml:space="preserve">Mazda</t>
        </is>
      </c>
      <c r="F15562" s="0" t="s">
        <v>13</v>
      </c>
      <c r="G15562" s="0" t="s">
        <v>49</v>
      </c>
      <c r="H15562" s="5">
        <v>158.110200</v>
      </c>
    </row>
    <row r="15563" spans="1:9">
      <c r="A15563" s="22" t="str">
        <f>HYPERLINK("https://app.vivvix.com/360/KMI/IntelliDrive/ApplUI/Pages/CreativePages/CustomReportCreativeDetail.aspx?App=23&amp;ReportView=4&amp;Qid=1711279&amp;Row=15555&amp;Col=1","No Title Assigned - #15275133169")</f>
        <v/>
      </c>
      <c r="B15563" s="0" t="s">
        <v>20685</v>
      </c>
      <c r="C15563" s="0" t="s">
        <v>20686</v>
      </c>
      <c r="D15563" s="0" t="s">
        <v>20686</v>
      </c>
      <c r="E15563" s="0" t="inlineStr">
        <is>
          <t xml:space="preserve">Mazda</t>
        </is>
      </c>
      <c r="F15563" s="0" t="s">
        <v>13</v>
      </c>
      <c r="G15563" s="0" t="s">
        <v>49</v>
      </c>
      <c r="H15563" s="5">
        <v>5033.451700</v>
      </c>
    </row>
    <row r="15564" spans="1:9">
      <c r="A15564" s="22" t="str">
        <f>HYPERLINK("https://app.vivvix.com/360/KMI/IntelliDrive/ApplUI/Pages/CreativePages/CustomReportCreativeDetail.aspx?App=23&amp;ReportView=4&amp;Qid=1711279&amp;Row=15556&amp;Col=1","No Title Assigned - #15275133611")</f>
        <v/>
      </c>
      <c r="B15564" s="0" t="s">
        <v>20687</v>
      </c>
      <c r="E15564" s="0" t="inlineStr">
        <is>
          <t xml:space="preserve">Mazda</t>
        </is>
      </c>
      <c r="F15564" s="0" t="s">
        <v>21</v>
      </c>
      <c r="G15564" s="0" t="s">
        <v>22</v>
      </c>
      <c r="H15564" s="5">
        <v>185.337200</v>
      </c>
    </row>
    <row r="15565" spans="1:9">
      <c r="A15565" s="22" t="str">
        <f>HYPERLINK("https://app.vivvix.com/360/KMI/IntelliDrive/ApplUI/Pages/CreativePages/CustomReportCreativeDetail.aspx?App=23&amp;ReportView=4&amp;Qid=1711279&amp;Row=15557&amp;Col=1","No Title Assigned - #15275135230")</f>
        <v/>
      </c>
      <c r="B15565" s="0" t="s">
        <v>20688</v>
      </c>
      <c r="C15565" s="0" t="s">
        <v>20689</v>
      </c>
      <c r="D15565" s="0" t="s">
        <v>20689</v>
      </c>
      <c r="E15565" s="0" t="inlineStr">
        <is>
          <t xml:space="preserve">Mazda</t>
        </is>
      </c>
      <c r="F15565" s="0" t="s">
        <v>13</v>
      </c>
      <c r="G15565" s="0" t="s">
        <v>49</v>
      </c>
      <c r="H15565" s="5">
        <v>255.730500</v>
      </c>
    </row>
    <row r="15566" spans="1:9">
      <c r="A15566" s="22" t="str">
        <f>HYPERLINK("https://app.vivvix.com/360/KMI/IntelliDrive/ApplUI/Pages/CreativePages/CustomReportCreativeDetail.aspx?App=23&amp;ReportView=4&amp;Qid=1711279&amp;Row=15558&amp;Col=1","No Title Assigned - #15275135298")</f>
        <v/>
      </c>
      <c r="B15566" s="0" t="s">
        <v>20690</v>
      </c>
      <c r="C15566" s="0" t="s">
        <v>20691</v>
      </c>
      <c r="D15566" s="0" t="s">
        <v>6183</v>
      </c>
      <c r="E15566" s="0" t="inlineStr">
        <is>
          <t xml:space="preserve">Mazda</t>
        </is>
      </c>
      <c r="F15566" s="0" t="s">
        <v>13</v>
      </c>
      <c r="G15566" s="0" t="s">
        <v>49</v>
      </c>
      <c r="H15566" s="5">
        <v>559.332700</v>
      </c>
    </row>
    <row r="15567" spans="1:9">
      <c r="A15567" s="22" t="str">
        <f>HYPERLINK("https://app.vivvix.com/360/KMI/IntelliDrive/ApplUI/Pages/CreativePages/CustomReportCreativeDetail.aspx?App=23&amp;ReportView=4&amp;Qid=1711279&amp;Row=15559&amp;Col=1","No Title Assigned - #15275136440")</f>
        <v/>
      </c>
      <c r="B15567" s="0" t="s">
        <v>20692</v>
      </c>
      <c r="C15567" s="0" t="s">
        <v>20693</v>
      </c>
      <c r="D15567" s="0" t="s">
        <v>20693</v>
      </c>
      <c r="E15567" s="0" t="inlineStr">
        <is>
          <t xml:space="preserve">Mazda</t>
        </is>
      </c>
      <c r="F15567" s="0" t="s">
        <v>28</v>
      </c>
      <c r="G15567" s="0" t="s">
        <v>29</v>
      </c>
      <c r="H15567" s="5">
        <v>2316.474900</v>
      </c>
    </row>
    <row r="15568" spans="1:9">
      <c r="A15568" s="22" t="str">
        <f>HYPERLINK("https://app.vivvix.com/360/KMI/IntelliDrive/ApplUI/Pages/CreativePages/CustomReportCreativeDetail.aspx?App=23&amp;ReportView=4&amp;Qid=1711279&amp;Row=15560&amp;Col=1","No Title Assigned - #15275137211")</f>
        <v/>
      </c>
      <c r="B15568" s="0" t="s">
        <v>20694</v>
      </c>
      <c r="C15568" s="0" t="s">
        <v>20695</v>
      </c>
      <c r="D15568" s="0" t="s">
        <v>16549</v>
      </c>
      <c r="E15568" s="0" t="inlineStr">
        <is>
          <t xml:space="preserve">Mazda</t>
        </is>
      </c>
      <c r="F15568" s="0" t="s">
        <v>28</v>
      </c>
      <c r="G15568" s="0" t="s">
        <v>29</v>
      </c>
      <c r="H15568" s="5">
        <v>237.891600</v>
      </c>
    </row>
    <row r="15569" spans="1:9">
      <c r="A15569" s="22" t="str">
        <f>HYPERLINK("https://app.vivvix.com/360/KMI/IntelliDrive/ApplUI/Pages/CreativePages/CustomReportCreativeDetail.aspx?App=23&amp;ReportView=4&amp;Qid=1711279&amp;Row=15561&amp;Col=1","No Title Assigned - #15275137324")</f>
        <v/>
      </c>
      <c r="B15569" s="0" t="s">
        <v>20696</v>
      </c>
      <c r="C15569" s="0" t="s">
        <v>20697</v>
      </c>
      <c r="D15569" s="0" t="s">
        <v>20697</v>
      </c>
      <c r="E15569" s="0" t="inlineStr">
        <is>
          <t xml:space="preserve">Mazda</t>
        </is>
      </c>
      <c r="F15569" s="0" t="s">
        <v>13</v>
      </c>
      <c r="G15569" s="0" t="s">
        <v>49</v>
      </c>
      <c r="H15569" s="5">
        <v>22.138000</v>
      </c>
    </row>
    <row r="15570" spans="1:9">
      <c r="A15570" s="22" t="str">
        <f>HYPERLINK("https://app.vivvix.com/360/KMI/IntelliDrive/ApplUI/Pages/CreativePages/CustomReportCreativeDetail.aspx?App=23&amp;ReportView=4&amp;Qid=1711279&amp;Row=15562&amp;Col=1","No Title Assigned - #15275138173")</f>
        <v/>
      </c>
      <c r="B15570" s="0" t="s">
        <v>20698</v>
      </c>
      <c r="C15570" s="0" t="s">
        <v>20699</v>
      </c>
      <c r="D15570" s="0" t="s">
        <v>4335</v>
      </c>
      <c r="E15570" s="0" t="inlineStr">
        <is>
          <t xml:space="preserve">Mazda</t>
        </is>
      </c>
      <c r="F15570" s="0" t="s">
        <v>13</v>
      </c>
      <c r="G15570" s="0" t="s">
        <v>49</v>
      </c>
      <c r="H15570" s="5">
        <v>246.516100</v>
      </c>
    </row>
    <row r="15571" spans="1:9">
      <c r="A15571" s="22" t="str">
        <f>HYPERLINK("https://app.vivvix.com/360/KMI/IntelliDrive/ApplUI/Pages/CreativePages/CustomReportCreativeDetail.aspx?App=23&amp;ReportView=4&amp;Qid=1711279&amp;Row=15563&amp;Col=1","No Title Assigned - #15275139294")</f>
        <v/>
      </c>
      <c r="B15571" s="0" t="s">
        <v>20700</v>
      </c>
      <c r="E15571" s="0" t="inlineStr">
        <is>
          <t xml:space="preserve">Mazda</t>
        </is>
      </c>
      <c r="F15571" s="0" t="inlineStr">
        <is>
          <t xml:space="preserve">Mazda</t>
        </is>
      </c>
      <c r="G15571" s="0" t="s">
        <v>171</v>
      </c>
      <c r="H15571" s="5">
        <v>278.602600</v>
      </c>
    </row>
    <row r="15572" spans="1:9">
      <c r="A15572" s="22" t="str">
        <f>HYPERLINK("https://app.vivvix.com/360/KMI/IntelliDrive/ApplUI/Pages/CreativePages/CustomReportCreativeDetail.aspx?App=23&amp;ReportView=4&amp;Qid=1711279&amp;Row=15564&amp;Col=1","No Title Assigned - #15275139357")</f>
        <v/>
      </c>
      <c r="B15572" s="0" t="s">
        <v>20701</v>
      </c>
      <c r="E15572" s="0" t="inlineStr">
        <is>
          <t xml:space="preserve">Mazda</t>
        </is>
      </c>
      <c r="F15572" s="0" t="inlineStr">
        <is>
          <t xml:space="preserve">Mazda</t>
        </is>
      </c>
      <c r="G15572" s="0" t="s">
        <v>171</v>
      </c>
      <c r="H15572" s="5">
        <v>25.278700</v>
      </c>
    </row>
    <row r="15573" spans="1:9">
      <c r="A15573" s="22" t="str">
        <f>HYPERLINK("https://app.vivvix.com/360/KMI/IntelliDrive/ApplUI/Pages/CreativePages/CustomReportCreativeDetail.aspx?App=23&amp;ReportView=4&amp;Qid=1711279&amp;Row=15565&amp;Col=1","No Title Assigned - #15275139368")</f>
        <v/>
      </c>
      <c r="B15573" s="0" t="s">
        <v>20702</v>
      </c>
      <c r="E15573" s="0" t="inlineStr">
        <is>
          <t xml:space="preserve">Mazda</t>
        </is>
      </c>
      <c r="F15573" s="0" t="inlineStr">
        <is>
          <t xml:space="preserve">Mazda</t>
        </is>
      </c>
      <c r="G15573" s="0" t="s">
        <v>171</v>
      </c>
      <c r="H15573" s="5">
        <v>224.684600</v>
      </c>
    </row>
    <row r="15574" spans="1:9">
      <c r="A15574" s="22" t="str">
        <f>HYPERLINK("https://app.vivvix.com/360/KMI/IntelliDrive/ApplUI/Pages/CreativePages/CustomReportCreativeDetail.aspx?App=23&amp;ReportView=4&amp;Qid=1711279&amp;Row=15566&amp;Col=1","No Title Assigned - #15275163086")</f>
        <v/>
      </c>
      <c r="B15574" s="0" t="s">
        <v>20703</v>
      </c>
      <c r="E15574" s="0" t="inlineStr">
        <is>
          <t xml:space="preserve">Mazda</t>
        </is>
      </c>
      <c r="F15574" s="0" t="s">
        <v>13</v>
      </c>
      <c r="G15574" s="0" t="s">
        <v>49</v>
      </c>
      <c r="H15574" s="5">
        <v>365.189800</v>
      </c>
    </row>
    <row r="15575" spans="1:9">
      <c r="A15575" s="22" t="str">
        <f>HYPERLINK("https://app.vivvix.com/360/KMI/IntelliDrive/ApplUI/Pages/CreativePages/CustomReportCreativeDetail.aspx?App=23&amp;ReportView=4&amp;Qid=1711279&amp;Row=15567&amp;Col=1","No Title Assigned - #15275168764")</f>
        <v/>
      </c>
      <c r="B15575" s="0" t="s">
        <v>20704</v>
      </c>
      <c r="C15575" s="0" t="s">
        <v>20705</v>
      </c>
      <c r="D15575" s="0" t="s">
        <v>20705</v>
      </c>
      <c r="E15575" s="0" t="inlineStr">
        <is>
          <t xml:space="preserve">Mazda</t>
        </is>
      </c>
      <c r="F15575" s="0" t="s">
        <v>13</v>
      </c>
      <c r="G15575" s="0" t="s">
        <v>49</v>
      </c>
      <c r="H15575" s="5">
        <v>18.823400</v>
      </c>
    </row>
    <row r="15576" spans="1:9">
      <c r="A15576" s="22" t="str">
        <f>HYPERLINK("https://app.vivvix.com/360/KMI/IntelliDrive/ApplUI/Pages/CreativePages/CustomReportCreativeDetail.aspx?App=23&amp;ReportView=4&amp;Qid=1711279&amp;Row=15568&amp;Col=1","No Title Assigned - #15275174078")</f>
        <v/>
      </c>
      <c r="B15576" s="0" t="s">
        <v>20706</v>
      </c>
      <c r="C15576" s="0" t="s">
        <v>20707</v>
      </c>
      <c r="D15576" s="0" t="s">
        <v>8453</v>
      </c>
      <c r="E15576" s="0" t="inlineStr">
        <is>
          <t xml:space="preserve">Mazda</t>
        </is>
      </c>
      <c r="F15576" s="0" t="s">
        <v>13</v>
      </c>
      <c r="G15576" s="0" t="s">
        <v>49</v>
      </c>
      <c r="H15576" s="5">
        <v>311.110000</v>
      </c>
    </row>
    <row r="15577" spans="1:9">
      <c r="A15577" s="22" t="str">
        <f>HYPERLINK("https://app.vivvix.com/360/KMI/IntelliDrive/ApplUI/Pages/CreativePages/CustomReportCreativeDetail.aspx?App=23&amp;ReportView=4&amp;Qid=1711279&amp;Row=15569&amp;Col=1","No Title Assigned - #15275174420")</f>
        <v/>
      </c>
      <c r="B15577" s="0" t="s">
        <v>20708</v>
      </c>
      <c r="C15577" s="0" t="s">
        <v>20709</v>
      </c>
      <c r="D15577" s="0" t="s">
        <v>4335</v>
      </c>
      <c r="E15577" s="0" t="inlineStr">
        <is>
          <t xml:space="preserve">Mazda</t>
        </is>
      </c>
      <c r="F15577" s="0" t="s">
        <v>13</v>
      </c>
      <c r="G15577" s="0" t="s">
        <v>49</v>
      </c>
      <c r="H15577" s="5">
        <v>122.865600</v>
      </c>
    </row>
    <row r="15578" spans="1:9">
      <c r="A15578" s="22" t="str">
        <f>HYPERLINK("https://app.vivvix.com/360/KMI/IntelliDrive/ApplUI/Pages/CreativePages/CustomReportCreativeDetail.aspx?App=23&amp;ReportView=4&amp;Qid=1711279&amp;Row=15570&amp;Col=1","No Title Assigned - #15275176042")</f>
        <v/>
      </c>
      <c r="B15578" s="0" t="s">
        <v>20710</v>
      </c>
      <c r="C15578" s="0" t="s">
        <v>20711</v>
      </c>
      <c r="D15578" s="0" t="s">
        <v>8453</v>
      </c>
      <c r="E15578" s="0" t="inlineStr">
        <is>
          <t xml:space="preserve">Mazda</t>
        </is>
      </c>
      <c r="F15578" s="0" t="s">
        <v>13</v>
      </c>
      <c r="G15578" s="0" t="s">
        <v>49</v>
      </c>
      <c r="H15578" s="5">
        <v>81.176300</v>
      </c>
    </row>
    <row r="15579" spans="1:9">
      <c r="A15579" s="22" t="str">
        <f>HYPERLINK("https://app.vivvix.com/360/KMI/IntelliDrive/ApplUI/Pages/CreativePages/CustomReportCreativeDetail.aspx?App=23&amp;ReportView=4&amp;Qid=1711279&amp;Row=15571&amp;Col=1","No Title Assigned - #15275176680")</f>
        <v/>
      </c>
      <c r="B15579" s="0" t="s">
        <v>20712</v>
      </c>
      <c r="C15579" s="0" t="s">
        <v>20713</v>
      </c>
      <c r="D15579" s="0" t="s">
        <v>20713</v>
      </c>
      <c r="E15579" s="0" t="inlineStr">
        <is>
          <t xml:space="preserve">Mazda</t>
        </is>
      </c>
      <c r="F15579" s="0" t="s">
        <v>28</v>
      </c>
      <c r="G15579" s="0" t="s">
        <v>29</v>
      </c>
      <c r="H15579" s="5">
        <v>251.648100</v>
      </c>
    </row>
    <row r="15580" spans="1:9">
      <c r="A15580" s="22" t="str">
        <f>HYPERLINK("https://app.vivvix.com/360/KMI/IntelliDrive/ApplUI/Pages/CreativePages/CustomReportCreativeDetail.aspx?App=23&amp;ReportView=4&amp;Qid=1711279&amp;Row=15572&amp;Col=1","No Title Assigned - #15275176797")</f>
        <v/>
      </c>
      <c r="B15580" s="0" t="s">
        <v>20714</v>
      </c>
      <c r="C15580" s="0" t="s">
        <v>20715</v>
      </c>
      <c r="D15580" s="0" t="s">
        <v>20715</v>
      </c>
      <c r="E15580" s="0" t="inlineStr">
        <is>
          <t xml:space="preserve">Mazda</t>
        </is>
      </c>
      <c r="F15580" s="0" t="s">
        <v>28</v>
      </c>
      <c r="G15580" s="0" t="s">
        <v>29</v>
      </c>
      <c r="H15580" s="5">
        <v>219.340300</v>
      </c>
    </row>
    <row r="15581" spans="1:9">
      <c r="A15581" s="22" t="str">
        <f>HYPERLINK("https://app.vivvix.com/360/KMI/IntelliDrive/ApplUI/Pages/CreativePages/CustomReportCreativeDetail.aspx?App=23&amp;ReportView=4&amp;Qid=1711279&amp;Row=15573&amp;Col=1","No Title Assigned - #15275177003")</f>
        <v/>
      </c>
      <c r="B15581" s="0" t="s">
        <v>20716</v>
      </c>
      <c r="C15581" s="0" t="s">
        <v>20717</v>
      </c>
      <c r="D15581" s="0" t="s">
        <v>4335</v>
      </c>
      <c r="E15581" s="0" t="inlineStr">
        <is>
          <t xml:space="preserve">Mazda</t>
        </is>
      </c>
      <c r="F15581" s="0" t="s">
        <v>13</v>
      </c>
      <c r="G15581" s="0" t="s">
        <v>49</v>
      </c>
      <c r="H15581" s="5">
        <v>85.390200</v>
      </c>
    </row>
    <row r="15582" spans="1:9">
      <c r="A15582" s="22" t="str">
        <f>HYPERLINK("https://app.vivvix.com/360/KMI/IntelliDrive/ApplUI/Pages/CreativePages/CustomReportCreativeDetail.aspx?App=23&amp;ReportView=4&amp;Qid=1711279&amp;Row=15574&amp;Col=1","No Title Assigned - #15275177752")</f>
        <v/>
      </c>
      <c r="B15582" s="0" t="s">
        <v>20718</v>
      </c>
      <c r="C15582" s="0" t="s">
        <v>20719</v>
      </c>
      <c r="D15582" s="0" t="s">
        <v>20719</v>
      </c>
      <c r="E15582" s="0" t="inlineStr">
        <is>
          <t xml:space="preserve">Mazda</t>
        </is>
      </c>
      <c r="F15582" s="0" t="inlineStr">
        <is>
          <t xml:space="preserve">Mazda</t>
        </is>
      </c>
      <c r="G15582" s="0" t="s">
        <v>210</v>
      </c>
      <c r="H15582" s="5">
        <v>792.017800</v>
      </c>
    </row>
    <row r="15583" spans="1:9">
      <c r="A15583" s="22" t="str">
        <f>HYPERLINK("https://app.vivvix.com/360/KMI/IntelliDrive/ApplUI/Pages/CreativePages/CustomReportCreativeDetail.aspx?App=23&amp;ReportView=4&amp;Qid=1711279&amp;Row=15575&amp;Col=1","No Title Assigned - #15275178688")</f>
        <v/>
      </c>
      <c r="B15583" s="0" t="s">
        <v>20720</v>
      </c>
      <c r="C15583" s="0" t="s">
        <v>20721</v>
      </c>
      <c r="D15583" s="0" t="s">
        <v>10770</v>
      </c>
      <c r="E15583" s="0" t="inlineStr">
        <is>
          <t xml:space="preserve">Mazda</t>
        </is>
      </c>
      <c r="F15583" s="0" t="s">
        <v>13</v>
      </c>
      <c r="G15583" s="0" t="s">
        <v>49</v>
      </c>
      <c r="H15583" s="5">
        <v>9.375900</v>
      </c>
    </row>
    <row r="15584" spans="1:9">
      <c r="A15584" s="22" t="str">
        <f>HYPERLINK("https://app.vivvix.com/360/KMI/IntelliDrive/ApplUI/Pages/CreativePages/CustomReportCreativeDetail.aspx?App=23&amp;ReportView=4&amp;Qid=1711279&amp;Row=15576&amp;Col=1","No Title Assigned - #15275180669")</f>
        <v/>
      </c>
      <c r="B15584" s="0" t="s">
        <v>20722</v>
      </c>
      <c r="C15584" s="0" t="s">
        <v>20723</v>
      </c>
      <c r="D15584" s="0" t="s">
        <v>20723</v>
      </c>
      <c r="E15584" s="0" t="inlineStr">
        <is>
          <t xml:space="preserve">Mazda</t>
        </is>
      </c>
      <c r="F15584" s="0" t="s">
        <v>13</v>
      </c>
      <c r="G15584" s="0" t="s">
        <v>49</v>
      </c>
      <c r="H15584" s="5">
        <v>11.629800</v>
      </c>
    </row>
    <row r="15585" spans="1:9">
      <c r="A15585" s="22" t="str">
        <f>HYPERLINK("https://app.vivvix.com/360/KMI/IntelliDrive/ApplUI/Pages/CreativePages/CustomReportCreativeDetail.aspx?App=23&amp;ReportView=4&amp;Qid=1711279&amp;Row=15577&amp;Col=1","No Title Assigned - #15275181309")</f>
        <v/>
      </c>
      <c r="B15585" s="0" t="s">
        <v>20724</v>
      </c>
      <c r="C15585" s="0" t="s">
        <v>20725</v>
      </c>
      <c r="D15585" s="0" t="s">
        <v>20725</v>
      </c>
      <c r="E15585" s="0" t="inlineStr">
        <is>
          <t xml:space="preserve">Mazda</t>
        </is>
      </c>
      <c r="F15585" s="0" t="s">
        <v>28</v>
      </c>
      <c r="G15585" s="0" t="s">
        <v>29</v>
      </c>
      <c r="H15585" s="5">
        <v>561.038000</v>
      </c>
    </row>
    <row r="15586" spans="1:9">
      <c r="A15586" s="22" t="str">
        <f>HYPERLINK("https://app.vivvix.com/360/KMI/IntelliDrive/ApplUI/Pages/CreativePages/CustomReportCreativeDetail.aspx?App=23&amp;ReportView=4&amp;Qid=1711279&amp;Row=15578&amp;Col=1","No Title Assigned - #15275181986")</f>
        <v/>
      </c>
      <c r="B15586" s="0" t="s">
        <v>20726</v>
      </c>
      <c r="C15586" s="0" t="s">
        <v>20727</v>
      </c>
      <c r="D15586" s="0" t="s">
        <v>20727</v>
      </c>
      <c r="E15586" s="0" t="inlineStr">
        <is>
          <t xml:space="preserve">Mazda</t>
        </is>
      </c>
      <c r="F15586" s="0" t="s">
        <v>13</v>
      </c>
      <c r="G15586" s="0" t="s">
        <v>49</v>
      </c>
      <c r="H15586" s="5">
        <v>3339.403600</v>
      </c>
    </row>
    <row r="15587" spans="1:9">
      <c r="A15587" s="22" t="str">
        <f>HYPERLINK("https://app.vivvix.com/360/KMI/IntelliDrive/ApplUI/Pages/CreativePages/CustomReportCreativeDetail.aspx?App=23&amp;ReportView=4&amp;Qid=1711279&amp;Row=15579&amp;Col=1","No Title Assigned - #15275182498")</f>
        <v/>
      </c>
      <c r="B15587" s="0" t="s">
        <v>20728</v>
      </c>
      <c r="C15587" s="0" t="s">
        <v>20729</v>
      </c>
      <c r="D15587" s="0" t="s">
        <v>20729</v>
      </c>
      <c r="E15587" s="0" t="inlineStr">
        <is>
          <t xml:space="preserve">Mazda</t>
        </is>
      </c>
      <c r="F15587" s="0" t="s">
        <v>13</v>
      </c>
      <c r="G15587" s="0" t="s">
        <v>49</v>
      </c>
      <c r="H15587" s="5">
        <v>36.059700</v>
      </c>
    </row>
    <row r="15588" spans="1:9">
      <c r="A15588" s="22" t="str">
        <f>HYPERLINK("https://app.vivvix.com/360/KMI/IntelliDrive/ApplUI/Pages/CreativePages/CustomReportCreativeDetail.aspx?App=23&amp;ReportView=4&amp;Qid=1711279&amp;Row=15580&amp;Col=1","No Title Assigned - #15275183129")</f>
        <v/>
      </c>
      <c r="B15588" s="0" t="s">
        <v>20730</v>
      </c>
      <c r="C15588" s="0" t="s">
        <v>20731</v>
      </c>
      <c r="D15588" s="0" t="s">
        <v>9800</v>
      </c>
      <c r="E15588" s="0" t="inlineStr">
        <is>
          <t xml:space="preserve">Mazda</t>
        </is>
      </c>
      <c r="F15588" s="0" t="s">
        <v>13</v>
      </c>
      <c r="G15588" s="0" t="s">
        <v>49</v>
      </c>
      <c r="H15588" s="5">
        <v>429.189300</v>
      </c>
    </row>
    <row r="15589" spans="1:9">
      <c r="A15589" s="22" t="str">
        <f>HYPERLINK("https://app.vivvix.com/360/KMI/IntelliDrive/ApplUI/Pages/CreativePages/CustomReportCreativeDetail.aspx?App=23&amp;ReportView=4&amp;Qid=1711279&amp;Row=15581&amp;Col=1","No Title Assigned - #15275183464")</f>
        <v/>
      </c>
      <c r="B15589" s="0" t="s">
        <v>20732</v>
      </c>
      <c r="C15589" s="0" t="s">
        <v>20733</v>
      </c>
      <c r="D15589" s="0" t="s">
        <v>10008</v>
      </c>
      <c r="E15589" s="0" t="inlineStr">
        <is>
          <t xml:space="preserve">Mazda</t>
        </is>
      </c>
      <c r="F15589" s="0" t="s">
        <v>13</v>
      </c>
      <c r="G15589" s="0" t="s">
        <v>49</v>
      </c>
      <c r="H15589" s="5">
        <v>188.786100</v>
      </c>
    </row>
    <row r="15590" spans="1:9">
      <c r="A15590" s="22" t="str">
        <f>HYPERLINK("https://app.vivvix.com/360/KMI/IntelliDrive/ApplUI/Pages/CreativePages/CustomReportCreativeDetail.aspx?App=23&amp;ReportView=4&amp;Qid=1711279&amp;Row=15582&amp;Col=1","No Title Assigned - #15275184338")</f>
        <v/>
      </c>
      <c r="B15590" s="0" t="s">
        <v>20734</v>
      </c>
      <c r="C15590" s="0" t="s">
        <v>20735</v>
      </c>
      <c r="D15590" s="0" t="s">
        <v>20735</v>
      </c>
      <c r="E15590" s="0" t="inlineStr">
        <is>
          <t xml:space="preserve">Mazda</t>
        </is>
      </c>
      <c r="F15590" s="0" t="s">
        <v>13</v>
      </c>
      <c r="G15590" s="0" t="s">
        <v>49</v>
      </c>
      <c r="H15590" s="5">
        <v>752.057100</v>
      </c>
    </row>
    <row r="15591" spans="1:9">
      <c r="A15591" s="22" t="str">
        <f>HYPERLINK("https://app.vivvix.com/360/KMI/IntelliDrive/ApplUI/Pages/CreativePages/CustomReportCreativeDetail.aspx?App=23&amp;ReportView=4&amp;Qid=1711279&amp;Row=15583&amp;Col=1","No Title Assigned - #15275186313")</f>
        <v/>
      </c>
      <c r="B15591" s="0" t="s">
        <v>20736</v>
      </c>
      <c r="C15591" s="0" t="s">
        <v>20737</v>
      </c>
      <c r="D15591" s="0" t="s">
        <v>20737</v>
      </c>
      <c r="E15591" s="0" t="inlineStr">
        <is>
          <t xml:space="preserve">Mazda</t>
        </is>
      </c>
      <c r="F15591" s="0" t="s">
        <v>13</v>
      </c>
      <c r="G15591" s="0" t="s">
        <v>49</v>
      </c>
      <c r="H15591" s="5">
        <v>1481.345200</v>
      </c>
    </row>
    <row r="15592" spans="1:9">
      <c r="A15592" s="22" t="str">
        <f>HYPERLINK("https://app.vivvix.com/360/KMI/IntelliDrive/ApplUI/Pages/CreativePages/CustomReportCreativeDetail.aspx?App=23&amp;ReportView=4&amp;Qid=1711279&amp;Row=15584&amp;Col=1","No Title Assigned - #15275186313")</f>
        <v/>
      </c>
      <c r="B15592" s="0" t="s">
        <v>20736</v>
      </c>
      <c r="C15592" s="0" t="s">
        <v>20738</v>
      </c>
      <c r="D15592" s="0" t="s">
        <v>20738</v>
      </c>
      <c r="E15592" s="0" t="inlineStr">
        <is>
          <t xml:space="preserve">Mazda</t>
        </is>
      </c>
      <c r="F15592" s="0" t="s">
        <v>13</v>
      </c>
      <c r="G15592" s="0" t="s">
        <v>49</v>
      </c>
      <c r="H15592" s="5">
        <v>1193.730400</v>
      </c>
    </row>
    <row r="15593" spans="1:9">
      <c r="A15593" s="22" t="str">
        <f>HYPERLINK("https://app.vivvix.com/360/KMI/IntelliDrive/ApplUI/Pages/CreativePages/CustomReportCreativeDetail.aspx?App=23&amp;ReportView=4&amp;Qid=1711279&amp;Row=15585&amp;Col=1","No Title Assigned - #15275186549")</f>
        <v/>
      </c>
      <c r="B15593" s="0" t="s">
        <v>20739</v>
      </c>
      <c r="C15593" s="0" t="s">
        <v>20740</v>
      </c>
      <c r="D15593" s="0" t="s">
        <v>20740</v>
      </c>
      <c r="E15593" s="0" t="inlineStr">
        <is>
          <t xml:space="preserve">Mazda</t>
        </is>
      </c>
      <c r="F15593" s="0" t="s">
        <v>13</v>
      </c>
      <c r="G15593" s="0" t="s">
        <v>49</v>
      </c>
      <c r="H15593" s="5">
        <v>1219.729400</v>
      </c>
    </row>
    <row r="15594" spans="1:9">
      <c r="A15594" s="22" t="str">
        <f>HYPERLINK("https://app.vivvix.com/360/KMI/IntelliDrive/ApplUI/Pages/CreativePages/CustomReportCreativeDetail.aspx?App=23&amp;ReportView=4&amp;Qid=1711279&amp;Row=15586&amp;Col=1","No Title Assigned - #15275186889")</f>
        <v/>
      </c>
      <c r="B15594" s="0" t="s">
        <v>20741</v>
      </c>
      <c r="C15594" s="0" t="s">
        <v>20742</v>
      </c>
      <c r="D15594" s="0" t="s">
        <v>4274</v>
      </c>
      <c r="E15594" s="0" t="inlineStr">
        <is>
          <t xml:space="preserve">Mazda</t>
        </is>
      </c>
      <c r="F15594" s="0" t="s">
        <v>28</v>
      </c>
      <c r="G15594" s="0" t="s">
        <v>29</v>
      </c>
      <c r="H15594" s="5">
        <v>2316.474900</v>
      </c>
    </row>
    <row r="15595" spans="1:9">
      <c r="A15595" s="22" t="str">
        <f>HYPERLINK("https://app.vivvix.com/360/KMI/IntelliDrive/ApplUI/Pages/CreativePages/CustomReportCreativeDetail.aspx?App=23&amp;ReportView=4&amp;Qid=1711279&amp;Row=15587&amp;Col=1","No Title Assigned - #15275186890")</f>
        <v/>
      </c>
      <c r="B15595" s="0" t="s">
        <v>20743</v>
      </c>
      <c r="C15595" s="0" t="s">
        <v>20744</v>
      </c>
      <c r="D15595" s="0" t="s">
        <v>11499</v>
      </c>
      <c r="E15595" s="0" t="inlineStr">
        <is>
          <t xml:space="preserve">Mazda</t>
        </is>
      </c>
      <c r="F15595" s="0" t="s">
        <v>13</v>
      </c>
      <c r="G15595" s="0" t="s">
        <v>49</v>
      </c>
      <c r="H15595" s="5">
        <v>38.345800</v>
      </c>
    </row>
    <row r="15596" spans="1:9">
      <c r="A15596" s="22" t="str">
        <f>HYPERLINK("https://app.vivvix.com/360/KMI/IntelliDrive/ApplUI/Pages/CreativePages/CustomReportCreativeDetail.aspx?App=23&amp;ReportView=4&amp;Qid=1711279&amp;Row=15588&amp;Col=1","No Title Assigned - #15275186897")</f>
        <v/>
      </c>
      <c r="B15596" s="0" t="s">
        <v>20745</v>
      </c>
      <c r="C15596" s="0" t="s">
        <v>20746</v>
      </c>
      <c r="D15596" s="0" t="s">
        <v>19730</v>
      </c>
      <c r="E15596" s="0" t="inlineStr">
        <is>
          <t xml:space="preserve">Mazda</t>
        </is>
      </c>
      <c r="F15596" s="0" t="s">
        <v>13</v>
      </c>
      <c r="G15596" s="0" t="s">
        <v>49</v>
      </c>
      <c r="H15596" s="5">
        <v>3229.059300</v>
      </c>
    </row>
    <row r="15597" spans="1:9">
      <c r="A15597" s="22" t="str">
        <f>HYPERLINK("https://app.vivvix.com/360/KMI/IntelliDrive/ApplUI/Pages/CreativePages/CustomReportCreativeDetail.aspx?App=23&amp;ReportView=4&amp;Qid=1711279&amp;Row=15589&amp;Col=1","No Title Assigned - #15275186897")</f>
        <v/>
      </c>
      <c r="B15597" s="0" t="s">
        <v>20745</v>
      </c>
      <c r="E15597" s="0" t="inlineStr">
        <is>
          <t xml:space="preserve">Mazda</t>
        </is>
      </c>
      <c r="F15597" s="0" t="s">
        <v>13</v>
      </c>
      <c r="G15597" s="0" t="s">
        <v>49</v>
      </c>
      <c r="H15597" s="5">
        <v>2026.804700</v>
      </c>
    </row>
    <row r="15598" spans="1:9">
      <c r="A15598" s="22" t="str">
        <f>HYPERLINK("https://app.vivvix.com/360/KMI/IntelliDrive/ApplUI/Pages/CreativePages/CustomReportCreativeDetail.aspx?App=23&amp;ReportView=4&amp;Qid=1711279&amp;Row=15590&amp;Col=1","No Title Assigned - #15275187596")</f>
        <v/>
      </c>
      <c r="B15598" s="0" t="s">
        <v>20747</v>
      </c>
      <c r="C15598" s="0" t="s">
        <v>20748</v>
      </c>
      <c r="D15598" s="0" t="s">
        <v>15405</v>
      </c>
      <c r="E15598" s="0" t="inlineStr">
        <is>
          <t xml:space="preserve">Mazda</t>
        </is>
      </c>
      <c r="F15598" s="0" t="inlineStr">
        <is>
          <t xml:space="preserve">Mazda</t>
        </is>
      </c>
      <c r="G15598" s="0" t="s">
        <v>210</v>
      </c>
      <c r="H15598" s="5">
        <v>803.667900</v>
      </c>
    </row>
    <row r="15599" spans="1:9">
      <c r="A15599" s="22" t="str">
        <f>HYPERLINK("https://app.vivvix.com/360/KMI/IntelliDrive/ApplUI/Pages/CreativePages/CustomReportCreativeDetail.aspx?App=23&amp;ReportView=4&amp;Qid=1711279&amp;Row=15591&amp;Col=1","No Title Assigned - #15275190333")</f>
        <v/>
      </c>
      <c r="B15599" s="0" t="s">
        <v>20749</v>
      </c>
      <c r="E15599" s="0" t="inlineStr">
        <is>
          <t xml:space="preserve">Mazda</t>
        </is>
      </c>
      <c r="F15599" s="0" t="s">
        <v>28</v>
      </c>
      <c r="G15599" s="0" t="s">
        <v>29</v>
      </c>
      <c r="H15599" s="5">
        <v>10.128500</v>
      </c>
    </row>
    <row r="15600" spans="1:9">
      <c r="A15600" s="22" t="str">
        <f>HYPERLINK("https://app.vivvix.com/360/KMI/IntelliDrive/ApplUI/Pages/CreativePages/CustomReportCreativeDetail.aspx?App=23&amp;ReportView=4&amp;Qid=1711279&amp;Row=15592&amp;Col=1","No Title Assigned - #15275190333")</f>
        <v/>
      </c>
      <c r="B15600" s="0" t="s">
        <v>20749</v>
      </c>
      <c r="C15600" s="0" t="s">
        <v>20750</v>
      </c>
      <c r="D15600" s="0" t="s">
        <v>20750</v>
      </c>
      <c r="E15600" s="0" t="inlineStr">
        <is>
          <t xml:space="preserve">Mazda</t>
        </is>
      </c>
      <c r="F15600" s="0" t="s">
        <v>28</v>
      </c>
      <c r="G15600" s="0" t="s">
        <v>29</v>
      </c>
      <c r="H15600" s="5">
        <v>886.232300</v>
      </c>
    </row>
    <row r="15601" spans="1:9">
      <c r="A15601" s="22" t="str">
        <f>HYPERLINK("https://app.vivvix.com/360/KMI/IntelliDrive/ApplUI/Pages/CreativePages/CustomReportCreativeDetail.aspx?App=23&amp;ReportView=4&amp;Qid=1711279&amp;Row=15593&amp;Col=1","No Title Assigned - #15275190425")</f>
        <v/>
      </c>
      <c r="B15601" s="0" t="s">
        <v>20751</v>
      </c>
      <c r="E15601" s="0" t="inlineStr">
        <is>
          <t xml:space="preserve">Mazda</t>
        </is>
      </c>
      <c r="F15601" s="0" t="inlineStr">
        <is>
          <t xml:space="preserve">Mazda</t>
        </is>
      </c>
      <c r="G15601" s="0" t="s">
        <v>171</v>
      </c>
      <c r="H15601" s="5">
        <v>17.453800</v>
      </c>
    </row>
    <row r="15602" spans="1:9">
      <c r="A15602" s="22" t="str">
        <f>HYPERLINK("https://app.vivvix.com/360/KMI/IntelliDrive/ApplUI/Pages/CreativePages/CustomReportCreativeDetail.aspx?App=23&amp;ReportView=4&amp;Qid=1711279&amp;Row=15594&amp;Col=1","No Title Assigned - #15275191625")</f>
        <v/>
      </c>
      <c r="B15602" s="0" t="s">
        <v>20752</v>
      </c>
      <c r="E15602" s="0" t="inlineStr">
        <is>
          <t xml:space="preserve">Mazda</t>
        </is>
      </c>
      <c r="F15602" s="0" t="inlineStr">
        <is>
          <t xml:space="preserve">Mazda</t>
        </is>
      </c>
      <c r="G15602" s="0" t="s">
        <v>171</v>
      </c>
      <c r="H15602" s="5">
        <v>8.375000</v>
      </c>
    </row>
    <row r="15603" spans="1:9">
      <c r="A15603" s="22" t="str">
        <f>HYPERLINK("https://app.vivvix.com/360/KMI/IntelliDrive/ApplUI/Pages/CreativePages/CustomReportCreativeDetail.aspx?App=23&amp;ReportView=4&amp;Qid=1711279&amp;Row=15595&amp;Col=1","No Title Assigned - #15275191694")</f>
        <v/>
      </c>
      <c r="B15603" s="0" t="s">
        <v>20753</v>
      </c>
      <c r="E15603" s="0" t="inlineStr">
        <is>
          <t xml:space="preserve">Mazda</t>
        </is>
      </c>
      <c r="F15603" s="0" t="inlineStr">
        <is>
          <t xml:space="preserve">Mazda</t>
        </is>
      </c>
      <c r="G15603" s="0" t="s">
        <v>171</v>
      </c>
      <c r="H15603" s="5">
        <v>241.957300</v>
      </c>
    </row>
    <row r="15604" spans="1:9">
      <c r="A15604" s="22" t="str">
        <f>HYPERLINK("https://app.vivvix.com/360/KMI/IntelliDrive/ApplUI/Pages/CreativePages/CustomReportCreativeDetail.aspx?App=23&amp;ReportView=4&amp;Qid=1711279&amp;Row=15596&amp;Col=1","No Title Assigned - #15275192429")</f>
        <v/>
      </c>
      <c r="B15604" s="0" t="s">
        <v>20754</v>
      </c>
      <c r="E15604" s="0" t="inlineStr">
        <is>
          <t xml:space="preserve">Mazda</t>
        </is>
      </c>
      <c r="F15604" s="0" t="inlineStr">
        <is>
          <t xml:space="preserve">Mazda</t>
        </is>
      </c>
      <c r="G15604" s="0" t="s">
        <v>171</v>
      </c>
      <c r="H15604" s="5">
        <v>229.272200</v>
      </c>
    </row>
    <row r="15605" spans="1:9">
      <c r="A15605" s="22" t="str">
        <f>HYPERLINK("https://app.vivvix.com/360/KMI/IntelliDrive/ApplUI/Pages/CreativePages/CustomReportCreativeDetail.aspx?App=23&amp;ReportView=4&amp;Qid=1711279&amp;Row=15597&amp;Col=1","No Title Assigned - #15275192468")</f>
        <v/>
      </c>
      <c r="B15605" s="0" t="s">
        <v>20755</v>
      </c>
      <c r="C15605" s="0" t="s">
        <v>20756</v>
      </c>
      <c r="D15605" s="0" t="s">
        <v>15697</v>
      </c>
      <c r="E15605" s="0" t="inlineStr">
        <is>
          <t xml:space="preserve">Mazda</t>
        </is>
      </c>
      <c r="F15605" s="0" t="s">
        <v>28</v>
      </c>
      <c r="G15605" s="0" t="s">
        <v>29</v>
      </c>
      <c r="H15605" s="5">
        <v>53.602300</v>
      </c>
    </row>
    <row r="15606" spans="1:9">
      <c r="A15606" s="22" t="str">
        <f>HYPERLINK("https://app.vivvix.com/360/KMI/IntelliDrive/ApplUI/Pages/CreativePages/CustomReportCreativeDetail.aspx?App=23&amp;ReportView=4&amp;Qid=1711279&amp;Row=15598&amp;Col=1","No Title Assigned - #15275192574")</f>
        <v/>
      </c>
      <c r="B15606" s="0" t="s">
        <v>20757</v>
      </c>
      <c r="C15606" s="0" t="s">
        <v>20758</v>
      </c>
      <c r="D15606" s="0" t="s">
        <v>8439</v>
      </c>
      <c r="E15606" s="0" t="inlineStr">
        <is>
          <t xml:space="preserve">Mazda</t>
        </is>
      </c>
      <c r="F15606" s="0" t="s">
        <v>13</v>
      </c>
      <c r="G15606" s="0" t="s">
        <v>49</v>
      </c>
      <c r="H15606" s="5">
        <v>56.548500</v>
      </c>
    </row>
    <row r="15607" spans="1:9">
      <c r="A15607" s="22" t="str">
        <f>HYPERLINK("https://app.vivvix.com/360/KMI/IntelliDrive/ApplUI/Pages/CreativePages/CustomReportCreativeDetail.aspx?App=23&amp;ReportView=4&amp;Qid=1711279&amp;Row=15599&amp;Col=1","No Title Assigned - #15275193344")</f>
        <v/>
      </c>
      <c r="B15607" s="0" t="s">
        <v>20759</v>
      </c>
      <c r="E15607" s="0" t="inlineStr">
        <is>
          <t xml:space="preserve">Mazda</t>
        </is>
      </c>
      <c r="F15607" s="0" t="inlineStr">
        <is>
          <t xml:space="preserve">Mazda</t>
        </is>
      </c>
      <c r="G15607" s="0" t="s">
        <v>171</v>
      </c>
      <c r="H15607" s="5">
        <v>229.228900</v>
      </c>
    </row>
    <row r="15608" spans="1:9">
      <c r="A15608" s="22" t="str">
        <f>HYPERLINK("https://app.vivvix.com/360/KMI/IntelliDrive/ApplUI/Pages/CreativePages/CustomReportCreativeDetail.aspx?App=23&amp;ReportView=4&amp;Qid=1711279&amp;Row=15600&amp;Col=1","No Title Assigned - #15275193431")</f>
        <v/>
      </c>
      <c r="B15608" s="0" t="s">
        <v>20760</v>
      </c>
      <c r="E15608" s="0" t="inlineStr">
        <is>
          <t xml:space="preserve">Mazda</t>
        </is>
      </c>
      <c r="F15608" s="0" t="inlineStr">
        <is>
          <t xml:space="preserve">Mazda</t>
        </is>
      </c>
      <c r="G15608" s="0" t="s">
        <v>171</v>
      </c>
      <c r="H15608" s="5">
        <v>752.248800</v>
      </c>
    </row>
    <row r="15609" spans="1:9">
      <c r="A15609" s="22" t="str">
        <f>HYPERLINK("https://app.vivvix.com/360/KMI/IntelliDrive/ApplUI/Pages/CreativePages/CustomReportCreativeDetail.aspx?App=23&amp;ReportView=4&amp;Qid=1711279&amp;Row=15601&amp;Col=1","No Title Assigned - #15275194000")</f>
        <v/>
      </c>
      <c r="B15609" s="0" t="s">
        <v>20761</v>
      </c>
      <c r="E15609" s="0" t="inlineStr">
        <is>
          <t xml:space="preserve">Mazda</t>
        </is>
      </c>
      <c r="F15609" s="0" t="s">
        <v>21</v>
      </c>
      <c r="G15609" s="0" t="s">
        <v>22</v>
      </c>
      <c r="H15609" s="5">
        <v>230.423900</v>
      </c>
    </row>
    <row r="15610" spans="1:9">
      <c r="A15610" s="22" t="str">
        <f>HYPERLINK("https://app.vivvix.com/360/KMI/IntelliDrive/ApplUI/Pages/CreativePages/CustomReportCreativeDetail.aspx?App=23&amp;ReportView=4&amp;Qid=1711279&amp;Row=15602&amp;Col=1","No Title Assigned - #15275194081")</f>
        <v/>
      </c>
      <c r="B15610" s="0" t="s">
        <v>20762</v>
      </c>
      <c r="E15610" s="0" t="inlineStr">
        <is>
          <t xml:space="preserve">Mazda</t>
        </is>
      </c>
      <c r="F15610" s="0" t="inlineStr">
        <is>
          <t xml:space="preserve">Mazda</t>
        </is>
      </c>
      <c r="G15610" s="0" t="s">
        <v>171</v>
      </c>
      <c r="H15610" s="5">
        <v>52.961400</v>
      </c>
    </row>
    <row r="15611" spans="1:9">
      <c r="A15611" s="22" t="str">
        <f>HYPERLINK("https://app.vivvix.com/360/KMI/IntelliDrive/ApplUI/Pages/CreativePages/CustomReportCreativeDetail.aspx?App=23&amp;ReportView=4&amp;Qid=1711279&amp;Row=15603&amp;Col=1","No Title Assigned - #15275194255")</f>
        <v/>
      </c>
      <c r="B15611" s="0" t="s">
        <v>20763</v>
      </c>
      <c r="E15611" s="0" t="inlineStr">
        <is>
          <t xml:space="preserve">Mazda</t>
        </is>
      </c>
      <c r="F15611" s="0" t="inlineStr">
        <is>
          <t xml:space="preserve">Mazda</t>
        </is>
      </c>
      <c r="G15611" s="0" t="s">
        <v>171</v>
      </c>
      <c r="H15611" s="5">
        <v>10.809400</v>
      </c>
    </row>
    <row r="15612" spans="1:9">
      <c r="A15612" s="22" t="str">
        <f>HYPERLINK("https://app.vivvix.com/360/KMI/IntelliDrive/ApplUI/Pages/CreativePages/CustomReportCreativeDetail.aspx?App=23&amp;ReportView=4&amp;Qid=1711279&amp;Row=15604&amp;Col=1","No Title Assigned - #15275194343")</f>
        <v/>
      </c>
      <c r="B15612" s="0" t="s">
        <v>20764</v>
      </c>
      <c r="E15612" s="0" t="inlineStr">
        <is>
          <t xml:space="preserve">Mazda</t>
        </is>
      </c>
      <c r="F15612" s="0" t="inlineStr">
        <is>
          <t xml:space="preserve">Mazda</t>
        </is>
      </c>
      <c r="G15612" s="0" t="s">
        <v>171</v>
      </c>
      <c r="H15612" s="5">
        <v>3718.866300</v>
      </c>
    </row>
    <row r="15613" spans="1:9">
      <c r="A15613" s="22" t="str">
        <f>HYPERLINK("https://app.vivvix.com/360/KMI/IntelliDrive/ApplUI/Pages/CreativePages/CustomReportCreativeDetail.aspx?App=23&amp;ReportView=4&amp;Qid=1711279&amp;Row=15605&amp;Col=1","No Title Assigned - #15275194574")</f>
        <v/>
      </c>
      <c r="B15613" s="0" t="s">
        <v>20765</v>
      </c>
      <c r="E15613" s="0" t="inlineStr">
        <is>
          <t xml:space="preserve">Mazda</t>
        </is>
      </c>
      <c r="F15613" s="0" t="inlineStr">
        <is>
          <t xml:space="preserve">Mazda</t>
        </is>
      </c>
      <c r="G15613" s="0" t="s">
        <v>171</v>
      </c>
      <c r="H15613" s="5">
        <v>338.437900</v>
      </c>
    </row>
    <row r="15614" spans="1:9">
      <c r="A15614" s="22" t="str">
        <f>HYPERLINK("https://app.vivvix.com/360/KMI/IntelliDrive/ApplUI/Pages/CreativePages/CustomReportCreativeDetail.aspx?App=23&amp;ReportView=4&amp;Qid=1711279&amp;Row=15606&amp;Col=1","No Title Assigned - #15275194773")</f>
        <v/>
      </c>
      <c r="B15614" s="0" t="s">
        <v>20766</v>
      </c>
      <c r="E15614" s="0" t="inlineStr">
        <is>
          <t xml:space="preserve">Mazda</t>
        </is>
      </c>
      <c r="F15614" s="0" t="inlineStr">
        <is>
          <t xml:space="preserve">Mazda</t>
        </is>
      </c>
      <c r="G15614" s="0" t="s">
        <v>171</v>
      </c>
      <c r="H15614" s="5">
        <v>121.416500</v>
      </c>
    </row>
    <row r="15615" spans="1:9">
      <c r="A15615" s="22" t="str">
        <f>HYPERLINK("https://app.vivvix.com/360/KMI/IntelliDrive/ApplUI/Pages/CreativePages/CustomReportCreativeDetail.aspx?App=23&amp;ReportView=4&amp;Qid=1711279&amp;Row=15607&amp;Col=1","No Title Assigned - #15275195016")</f>
        <v/>
      </c>
      <c r="B15615" s="0" t="s">
        <v>20767</v>
      </c>
      <c r="E15615" s="0" t="inlineStr">
        <is>
          <t xml:space="preserve">Mazda</t>
        </is>
      </c>
      <c r="F15615" s="0" t="inlineStr">
        <is>
          <t xml:space="preserve">Mazda</t>
        </is>
      </c>
      <c r="G15615" s="0" t="s">
        <v>171</v>
      </c>
      <c r="H15615" s="5">
        <v>34.899800</v>
      </c>
    </row>
    <row r="15616" spans="1:9">
      <c r="A15616" s="22" t="str">
        <f>HYPERLINK("https://app.vivvix.com/360/KMI/IntelliDrive/ApplUI/Pages/CreativePages/CustomReportCreativeDetail.aspx?App=23&amp;ReportView=4&amp;Qid=1711279&amp;Row=15608&amp;Col=1","No Title Assigned - #15275195056")</f>
        <v/>
      </c>
      <c r="B15616" s="0" t="s">
        <v>20768</v>
      </c>
      <c r="E15616" s="0" t="inlineStr">
        <is>
          <t xml:space="preserve">Mazda</t>
        </is>
      </c>
      <c r="F15616" s="0" t="inlineStr">
        <is>
          <t xml:space="preserve">Mazda</t>
        </is>
      </c>
      <c r="G15616" s="0" t="s">
        <v>171</v>
      </c>
      <c r="H15616" s="5">
        <v>777.655100</v>
      </c>
    </row>
    <row r="15617" spans="1:9">
      <c r="A15617" s="22" t="str">
        <f>HYPERLINK("https://app.vivvix.com/360/KMI/IntelliDrive/ApplUI/Pages/CreativePages/CustomReportCreativeDetail.aspx?App=23&amp;ReportView=4&amp;Qid=1711279&amp;Row=15609&amp;Col=1","No Title Assigned - #15275195056")</f>
        <v/>
      </c>
      <c r="B15617" s="0" t="s">
        <v>20768</v>
      </c>
      <c r="E15617" s="0" t="inlineStr">
        <is>
          <t xml:space="preserve">Mazda</t>
        </is>
      </c>
      <c r="F15617" s="0" t="inlineStr">
        <is>
          <t xml:space="preserve">Mazda</t>
        </is>
      </c>
      <c r="G15617" s="0" t="s">
        <v>171</v>
      </c>
      <c r="H15617" s="5">
        <v>5042.313500</v>
      </c>
    </row>
    <row r="15618" spans="1:9">
      <c r="A15618" s="22" t="str">
        <f>HYPERLINK("https://app.vivvix.com/360/KMI/IntelliDrive/ApplUI/Pages/CreativePages/CustomReportCreativeDetail.aspx?App=23&amp;ReportView=4&amp;Qid=1711279&amp;Row=15610&amp;Col=1","No Title Assigned - #15275195650")</f>
        <v/>
      </c>
      <c r="B15618" s="0" t="s">
        <v>20769</v>
      </c>
      <c r="E15618" s="0" t="inlineStr">
        <is>
          <t xml:space="preserve">Mazda</t>
        </is>
      </c>
      <c r="F15618" s="0" t="inlineStr">
        <is>
          <t xml:space="preserve">Mazda</t>
        </is>
      </c>
      <c r="G15618" s="0" t="s">
        <v>171</v>
      </c>
      <c r="H15618" s="5">
        <v>485.542000</v>
      </c>
    </row>
    <row r="15619" spans="1:9">
      <c r="A15619" s="22" t="str">
        <f>HYPERLINK("https://app.vivvix.com/360/KMI/IntelliDrive/ApplUI/Pages/CreativePages/CustomReportCreativeDetail.aspx?App=23&amp;ReportView=4&amp;Qid=1711279&amp;Row=15611&amp;Col=1","No Title Assigned - #15275195655")</f>
        <v/>
      </c>
      <c r="B15619" s="0" t="s">
        <v>20770</v>
      </c>
      <c r="E15619" s="0" t="inlineStr">
        <is>
          <t xml:space="preserve">Mazda</t>
        </is>
      </c>
      <c r="F15619" s="0" t="inlineStr">
        <is>
          <t xml:space="preserve">Mazda</t>
        </is>
      </c>
      <c r="G15619" s="0" t="s">
        <v>171</v>
      </c>
      <c r="H15619" s="5">
        <v>485.542000</v>
      </c>
    </row>
    <row r="15620" spans="1:9">
      <c r="A15620" s="22" t="str">
        <f>HYPERLINK("https://app.vivvix.com/360/KMI/IntelliDrive/ApplUI/Pages/CreativePages/CustomReportCreativeDetail.aspx?App=23&amp;ReportView=4&amp;Qid=1711279&amp;Row=15612&amp;Col=1","No Title Assigned - #15275196265")</f>
        <v/>
      </c>
      <c r="B15620" s="0" t="s">
        <v>20771</v>
      </c>
      <c r="E15620" s="0" t="inlineStr">
        <is>
          <t xml:space="preserve">Mazda</t>
        </is>
      </c>
      <c r="F15620" s="0" t="inlineStr">
        <is>
          <t xml:space="preserve">Mazda</t>
        </is>
      </c>
      <c r="G15620" s="0" t="s">
        <v>171</v>
      </c>
      <c r="H15620" s="5">
        <v>86.173500</v>
      </c>
    </row>
    <row r="15621" spans="1:9">
      <c r="A15621" s="22" t="str">
        <f>HYPERLINK("https://app.vivvix.com/360/KMI/IntelliDrive/ApplUI/Pages/CreativePages/CustomReportCreativeDetail.aspx?App=23&amp;ReportView=4&amp;Qid=1711279&amp;Row=15613&amp;Col=1","No Title Assigned - #15275196856")</f>
        <v/>
      </c>
      <c r="B15621" s="0" t="s">
        <v>20772</v>
      </c>
      <c r="E15621" s="0" t="inlineStr">
        <is>
          <t xml:space="preserve">Mazda</t>
        </is>
      </c>
      <c r="F15621" s="0" t="inlineStr">
        <is>
          <t xml:space="preserve">Mazda</t>
        </is>
      </c>
      <c r="G15621" s="0" t="s">
        <v>171</v>
      </c>
      <c r="H15621" s="5">
        <v>123.645700</v>
      </c>
    </row>
    <row r="15622" spans="1:9">
      <c r="A15622" s="22" t="str">
        <f>HYPERLINK("https://app.vivvix.com/360/KMI/IntelliDrive/ApplUI/Pages/CreativePages/CustomReportCreativeDetail.aspx?App=23&amp;ReportView=4&amp;Qid=1711279&amp;Row=15614&amp;Col=1","No Title Assigned - #15275196998")</f>
        <v/>
      </c>
      <c r="B15622" s="0" t="s">
        <v>20773</v>
      </c>
      <c r="E15622" s="0" t="inlineStr">
        <is>
          <t xml:space="preserve">Mazda</t>
        </is>
      </c>
      <c r="F15622" s="0" t="s">
        <v>13</v>
      </c>
      <c r="G15622" s="0" t="s">
        <v>49</v>
      </c>
      <c r="H15622" s="5">
        <v>498.799300</v>
      </c>
    </row>
    <row r="15623" spans="1:9">
      <c r="A15623" s="22" t="str">
        <f>HYPERLINK("https://app.vivvix.com/360/KMI/IntelliDrive/ApplUI/Pages/CreativePages/CustomReportCreativeDetail.aspx?App=23&amp;ReportView=4&amp;Qid=1711279&amp;Row=15615&amp;Col=1","No Title Assigned - #15275197026")</f>
        <v/>
      </c>
      <c r="B15623" s="0" t="s">
        <v>20774</v>
      </c>
      <c r="E15623" s="0" t="inlineStr">
        <is>
          <t xml:space="preserve">Mazda</t>
        </is>
      </c>
      <c r="F15623" s="0" t="inlineStr">
        <is>
          <t xml:space="preserve">Mazda</t>
        </is>
      </c>
      <c r="G15623" s="0" t="s">
        <v>171</v>
      </c>
      <c r="H15623" s="5">
        <v>262.722000</v>
      </c>
    </row>
    <row r="15624" spans="1:9">
      <c r="A15624" s="22" t="str">
        <f>HYPERLINK("https://app.vivvix.com/360/KMI/IntelliDrive/ApplUI/Pages/CreativePages/CustomReportCreativeDetail.aspx?App=23&amp;ReportView=4&amp;Qid=1711279&amp;Row=15616&amp;Col=1","No Title Assigned - #15275197164")</f>
        <v/>
      </c>
      <c r="B15624" s="0" t="s">
        <v>20775</v>
      </c>
      <c r="E15624" s="0" t="inlineStr">
        <is>
          <t xml:space="preserve">Mazda</t>
        </is>
      </c>
      <c r="F15624" s="0" t="inlineStr">
        <is>
          <t xml:space="preserve">Mazda</t>
        </is>
      </c>
      <c r="G15624" s="0" t="s">
        <v>171</v>
      </c>
      <c r="H15624" s="5">
        <v>245.953300</v>
      </c>
    </row>
    <row r="15625" spans="1:9">
      <c r="A15625" s="22" t="str">
        <f>HYPERLINK("https://app.vivvix.com/360/KMI/IntelliDrive/ApplUI/Pages/CreativePages/CustomReportCreativeDetail.aspx?App=23&amp;ReportView=4&amp;Qid=1711279&amp;Row=15617&amp;Col=1","No Title Assigned - #15275197498")</f>
        <v/>
      </c>
      <c r="B15625" s="0" t="s">
        <v>20776</v>
      </c>
      <c r="E15625" s="0" t="inlineStr">
        <is>
          <t xml:space="preserve">Mazda</t>
        </is>
      </c>
      <c r="F15625" s="0" t="inlineStr">
        <is>
          <t xml:space="preserve">Mazda</t>
        </is>
      </c>
      <c r="G15625" s="0" t="s">
        <v>171</v>
      </c>
      <c r="H15625" s="5">
        <v>64.207400</v>
      </c>
    </row>
    <row r="15626" spans="1:9">
      <c r="A15626" s="22" t="str">
        <f>HYPERLINK("https://app.vivvix.com/360/KMI/IntelliDrive/ApplUI/Pages/CreativePages/CustomReportCreativeDetail.aspx?App=23&amp;ReportView=4&amp;Qid=1711279&amp;Row=15618&amp;Col=1","No Title Assigned - #15275197762")</f>
        <v/>
      </c>
      <c r="B15626" s="0" t="s">
        <v>20777</v>
      </c>
      <c r="E15626" s="0" t="inlineStr">
        <is>
          <t xml:space="preserve">Mazda</t>
        </is>
      </c>
      <c r="F15626" s="0" t="inlineStr">
        <is>
          <t xml:space="preserve">Mazda</t>
        </is>
      </c>
      <c r="G15626" s="0" t="s">
        <v>171</v>
      </c>
      <c r="H15626" s="5">
        <v>4.170800</v>
      </c>
    </row>
    <row r="15627" spans="1:9">
      <c r="A15627" s="22" t="str">
        <f>HYPERLINK("https://app.vivvix.com/360/KMI/IntelliDrive/ApplUI/Pages/CreativePages/CustomReportCreativeDetail.aspx?App=23&amp;ReportView=4&amp;Qid=1711279&amp;Row=15619&amp;Col=1","No Title Assigned - #15275199517")</f>
        <v/>
      </c>
      <c r="B15627" s="0" t="s">
        <v>20778</v>
      </c>
      <c r="E15627" s="0" t="inlineStr">
        <is>
          <t xml:space="preserve">Mazda</t>
        </is>
      </c>
      <c r="F15627" s="0" t="inlineStr">
        <is>
          <t xml:space="preserve">Mazda</t>
        </is>
      </c>
      <c r="G15627" s="0" t="s">
        <v>171</v>
      </c>
      <c r="H15627" s="5">
        <v>72.901800</v>
      </c>
    </row>
    <row r="15628" spans="1:9">
      <c r="A15628" s="22" t="str">
        <f>HYPERLINK("https://app.vivvix.com/360/KMI/IntelliDrive/ApplUI/Pages/CreativePages/CustomReportCreativeDetail.aspx?App=23&amp;ReportView=4&amp;Qid=1711279&amp;Row=15620&amp;Col=1","No Title Assigned - #15275200221")</f>
        <v/>
      </c>
      <c r="B15628" s="0" t="s">
        <v>20779</v>
      </c>
      <c r="E15628" s="0" t="inlineStr">
        <is>
          <t xml:space="preserve">Mazda</t>
        </is>
      </c>
      <c r="F15628" s="0" t="inlineStr">
        <is>
          <t xml:space="preserve">Mazda</t>
        </is>
      </c>
      <c r="G15628" s="0" t="s">
        <v>171</v>
      </c>
      <c r="H15628" s="5">
        <v>250.429600</v>
      </c>
    </row>
    <row r="15629" spans="1:9">
      <c r="A15629" s="22" t="str">
        <f>HYPERLINK("https://app.vivvix.com/360/KMI/IntelliDrive/ApplUI/Pages/CreativePages/CustomReportCreativeDetail.aspx?App=23&amp;ReportView=4&amp;Qid=1711279&amp;Row=15621&amp;Col=1","No Title Assigned - #15275200359")</f>
        <v/>
      </c>
      <c r="B15629" s="0" t="s">
        <v>20780</v>
      </c>
      <c r="E15629" s="0" t="inlineStr">
        <is>
          <t xml:space="preserve">Mazda</t>
        </is>
      </c>
      <c r="F15629" s="0" t="inlineStr">
        <is>
          <t xml:space="preserve">Mazda</t>
        </is>
      </c>
      <c r="G15629" s="0" t="s">
        <v>171</v>
      </c>
      <c r="H15629" s="5">
        <v>81.883100</v>
      </c>
    </row>
    <row r="15630" spans="1:9">
      <c r="A15630" s="22" t="str">
        <f>HYPERLINK("https://app.vivvix.com/360/KMI/IntelliDrive/ApplUI/Pages/CreativePages/CustomReportCreativeDetail.aspx?App=23&amp;ReportView=4&amp;Qid=1711279&amp;Row=15622&amp;Col=1","No Title Assigned - #15275200424")</f>
        <v/>
      </c>
      <c r="B15630" s="0" t="s">
        <v>20781</v>
      </c>
      <c r="E15630" s="0" t="inlineStr">
        <is>
          <t xml:space="preserve">Mazda</t>
        </is>
      </c>
      <c r="F15630" s="0" t="inlineStr">
        <is>
          <t xml:space="preserve">Mazda</t>
        </is>
      </c>
      <c r="G15630" s="0" t="s">
        <v>171</v>
      </c>
      <c r="H15630" s="5">
        <v>81.883100</v>
      </c>
    </row>
    <row r="15631" spans="1:9">
      <c r="A15631" s="22" t="str">
        <f>HYPERLINK("https://app.vivvix.com/360/KMI/IntelliDrive/ApplUI/Pages/CreativePages/CustomReportCreativeDetail.aspx?App=23&amp;ReportView=4&amp;Qid=1711279&amp;Row=15623&amp;Col=1","No Title Assigned - #15275200788")</f>
        <v/>
      </c>
      <c r="B15631" s="0" t="s">
        <v>20782</v>
      </c>
      <c r="E15631" s="0" t="inlineStr">
        <is>
          <t xml:space="preserve">Mazda</t>
        </is>
      </c>
      <c r="F15631" s="0" t="inlineStr">
        <is>
          <t xml:space="preserve">Mazda</t>
        </is>
      </c>
      <c r="G15631" s="0" t="s">
        <v>171</v>
      </c>
      <c r="H15631" s="5">
        <v>56.886700</v>
      </c>
    </row>
    <row r="15632" spans="1:9">
      <c r="A15632" s="22" t="str">
        <f>HYPERLINK("https://app.vivvix.com/360/KMI/IntelliDrive/ApplUI/Pages/CreativePages/CustomReportCreativeDetail.aspx?App=23&amp;ReportView=4&amp;Qid=1711279&amp;Row=15624&amp;Col=1","No Title Assigned - #15275201106")</f>
        <v/>
      </c>
      <c r="B15632" s="0" t="s">
        <v>20783</v>
      </c>
      <c r="E15632" s="0" t="inlineStr">
        <is>
          <t xml:space="preserve">Mazda</t>
        </is>
      </c>
      <c r="F15632" s="0" t="inlineStr">
        <is>
          <t xml:space="preserve">Mazda</t>
        </is>
      </c>
      <c r="G15632" s="0" t="s">
        <v>171</v>
      </c>
      <c r="H15632" s="5">
        <v>192.520100</v>
      </c>
    </row>
    <row r="15633" spans="1:9">
      <c r="A15633" s="22" t="str">
        <f>HYPERLINK("https://app.vivvix.com/360/KMI/IntelliDrive/ApplUI/Pages/CreativePages/CustomReportCreativeDetail.aspx?App=23&amp;ReportView=4&amp;Qid=1711279&amp;Row=15625&amp;Col=1","No Title Assigned - #15275201277")</f>
        <v/>
      </c>
      <c r="B15633" s="0" t="s">
        <v>20784</v>
      </c>
      <c r="E15633" s="0" t="inlineStr">
        <is>
          <t xml:space="preserve">Mazda</t>
        </is>
      </c>
      <c r="F15633" s="0" t="inlineStr">
        <is>
          <t xml:space="preserve">Mazda</t>
        </is>
      </c>
      <c r="G15633" s="0" t="s">
        <v>171</v>
      </c>
      <c r="H15633" s="5">
        <v>74.028000</v>
      </c>
    </row>
    <row r="15634" spans="1:9">
      <c r="A15634" s="22" t="str">
        <f>HYPERLINK("https://app.vivvix.com/360/KMI/IntelliDrive/ApplUI/Pages/CreativePages/CustomReportCreativeDetail.aspx?App=23&amp;ReportView=4&amp;Qid=1711279&amp;Row=15626&amp;Col=1","No Title Assigned - #15275201277")</f>
        <v/>
      </c>
      <c r="B15634" s="0" t="s">
        <v>20784</v>
      </c>
      <c r="C15634" s="0" t="s">
        <v>20785</v>
      </c>
      <c r="D15634" s="0" t="s">
        <v>20785</v>
      </c>
      <c r="E15634" s="0" t="inlineStr">
        <is>
          <t xml:space="preserve">Mazda</t>
        </is>
      </c>
      <c r="F15634" s="0" t="inlineStr">
        <is>
          <t xml:space="preserve">Mazda</t>
        </is>
      </c>
      <c r="G15634" s="0" t="s">
        <v>171</v>
      </c>
      <c r="H15634" s="5">
        <v>250.798100</v>
      </c>
    </row>
    <row r="15635" spans="1:9">
      <c r="A15635" s="22" t="str">
        <f>HYPERLINK("https://app.vivvix.com/360/KMI/IntelliDrive/ApplUI/Pages/CreativePages/CustomReportCreativeDetail.aspx?App=23&amp;ReportView=4&amp;Qid=1711279&amp;Row=15627&amp;Col=1","No Title Assigned - #15275201422")</f>
        <v/>
      </c>
      <c r="B15635" s="0" t="s">
        <v>20786</v>
      </c>
      <c r="E15635" s="0" t="inlineStr">
        <is>
          <t xml:space="preserve">Mazda</t>
        </is>
      </c>
      <c r="F15635" s="0" t="inlineStr">
        <is>
          <t xml:space="preserve">Mazda</t>
        </is>
      </c>
      <c r="G15635" s="0" t="s">
        <v>171</v>
      </c>
      <c r="H15635" s="5">
        <v>1.787400</v>
      </c>
    </row>
    <row r="15636" spans="1:9">
      <c r="A15636" s="22" t="str">
        <f>HYPERLINK("https://app.vivvix.com/360/KMI/IntelliDrive/ApplUI/Pages/CreativePages/CustomReportCreativeDetail.aspx?App=23&amp;ReportView=4&amp;Qid=1711279&amp;Row=15628&amp;Col=1","No Title Assigned - #15275201885")</f>
        <v/>
      </c>
      <c r="B15636" s="0" t="s">
        <v>20787</v>
      </c>
      <c r="E15636" s="0" t="inlineStr">
        <is>
          <t xml:space="preserve">Mazda</t>
        </is>
      </c>
      <c r="F15636" s="0" t="inlineStr">
        <is>
          <t xml:space="preserve">Mazda</t>
        </is>
      </c>
      <c r="G15636" s="0" t="s">
        <v>171</v>
      </c>
      <c r="H15636" s="5">
        <v>1.788300</v>
      </c>
    </row>
    <row r="15637" spans="1:9">
      <c r="A15637" s="22" t="str">
        <f>HYPERLINK("https://app.vivvix.com/360/KMI/IntelliDrive/ApplUI/Pages/CreativePages/CustomReportCreativeDetail.aspx?App=23&amp;ReportView=4&amp;Qid=1711279&amp;Row=15629&amp;Col=1","No Title Assigned - #15275202205")</f>
        <v/>
      </c>
      <c r="B15637" s="0" t="s">
        <v>20788</v>
      </c>
      <c r="E15637" s="0" t="inlineStr">
        <is>
          <t xml:space="preserve">Mazda</t>
        </is>
      </c>
      <c r="F15637" s="0" t="inlineStr">
        <is>
          <t xml:space="preserve">Mazda</t>
        </is>
      </c>
      <c r="G15637" s="0" t="s">
        <v>171</v>
      </c>
      <c r="H15637" s="5">
        <v>30.364000</v>
      </c>
    </row>
    <row r="15638" spans="1:9">
      <c r="A15638" s="22" t="str">
        <f>HYPERLINK("https://app.vivvix.com/360/KMI/IntelliDrive/ApplUI/Pages/CreativePages/CustomReportCreativeDetail.aspx?App=23&amp;ReportView=4&amp;Qid=1711279&amp;Row=15630&amp;Col=1","No Title Assigned - #15275202214")</f>
        <v/>
      </c>
      <c r="B15638" s="0" t="s">
        <v>20789</v>
      </c>
      <c r="E15638" s="0" t="inlineStr">
        <is>
          <t xml:space="preserve">Mazda</t>
        </is>
      </c>
      <c r="F15638" s="0" t="inlineStr">
        <is>
          <t xml:space="preserve">Mazda</t>
        </is>
      </c>
      <c r="G15638" s="0" t="s">
        <v>171</v>
      </c>
      <c r="H15638" s="5">
        <v>8820.392600</v>
      </c>
    </row>
    <row r="15639" spans="1:9">
      <c r="A15639" s="22" t="str">
        <f>HYPERLINK("https://app.vivvix.com/360/KMI/IntelliDrive/ApplUI/Pages/CreativePages/CustomReportCreativeDetail.aspx?App=23&amp;ReportView=4&amp;Qid=1711279&amp;Row=15631&amp;Col=1","No Title Assigned - #15275202300")</f>
        <v/>
      </c>
      <c r="B15639" s="0" t="s">
        <v>20790</v>
      </c>
      <c r="E15639" s="0" t="inlineStr">
        <is>
          <t xml:space="preserve">Mazda</t>
        </is>
      </c>
      <c r="F15639" s="0" t="inlineStr">
        <is>
          <t xml:space="preserve">Mazda</t>
        </is>
      </c>
      <c r="G15639" s="0" t="s">
        <v>171</v>
      </c>
      <c r="H15639" s="5">
        <v>33.955100</v>
      </c>
    </row>
    <row r="15640" spans="1:9">
      <c r="A15640" s="22" t="str">
        <f>HYPERLINK("https://app.vivvix.com/360/KMI/IntelliDrive/ApplUI/Pages/CreativePages/CustomReportCreativeDetail.aspx?App=23&amp;ReportView=4&amp;Qid=1711279&amp;Row=15632&amp;Col=1","No Title Assigned - #15275202301")</f>
        <v/>
      </c>
      <c r="B15640" s="0" t="s">
        <v>20791</v>
      </c>
      <c r="E15640" s="0" t="inlineStr">
        <is>
          <t xml:space="preserve">Mazda</t>
        </is>
      </c>
      <c r="F15640" s="0" t="inlineStr">
        <is>
          <t xml:space="preserve">Mazda</t>
        </is>
      </c>
      <c r="G15640" s="0" t="s">
        <v>171</v>
      </c>
      <c r="H15640" s="5">
        <v>33.955100</v>
      </c>
    </row>
    <row r="15641" spans="1:9">
      <c r="A15641" s="22" t="str">
        <f>HYPERLINK("https://app.vivvix.com/360/KMI/IntelliDrive/ApplUI/Pages/CreativePages/CustomReportCreativeDetail.aspx?App=23&amp;ReportView=4&amp;Qid=1711279&amp;Row=15633&amp;Col=1","No Title Assigned - #15275202417")</f>
        <v/>
      </c>
      <c r="B15641" s="0" t="s">
        <v>20792</v>
      </c>
      <c r="E15641" s="0" t="inlineStr">
        <is>
          <t xml:space="preserve">Mazda</t>
        </is>
      </c>
      <c r="F15641" s="0" t="inlineStr">
        <is>
          <t xml:space="preserve">Mazda</t>
        </is>
      </c>
      <c r="G15641" s="0" t="s">
        <v>171</v>
      </c>
      <c r="H15641" s="5">
        <v>163.766200</v>
      </c>
    </row>
    <row r="15642" spans="1:9">
      <c r="A15642" s="22" t="str">
        <f>HYPERLINK("https://app.vivvix.com/360/KMI/IntelliDrive/ApplUI/Pages/CreativePages/CustomReportCreativeDetail.aspx?App=23&amp;ReportView=4&amp;Qid=1711279&amp;Row=15634&amp;Col=1","No Title Assigned - #15275202466")</f>
        <v/>
      </c>
      <c r="B15642" s="0" t="s">
        <v>20793</v>
      </c>
      <c r="E15642" s="0" t="inlineStr">
        <is>
          <t xml:space="preserve">Mazda</t>
        </is>
      </c>
      <c r="F15642" s="0" t="inlineStr">
        <is>
          <t xml:space="preserve">Mazda</t>
        </is>
      </c>
      <c r="G15642" s="0" t="s">
        <v>171</v>
      </c>
      <c r="H15642" s="5">
        <v>168.474000</v>
      </c>
    </row>
    <row r="15643" spans="1:9">
      <c r="A15643" s="22" t="str">
        <f>HYPERLINK("https://app.vivvix.com/360/KMI/IntelliDrive/ApplUI/Pages/CreativePages/CustomReportCreativeDetail.aspx?App=23&amp;ReportView=4&amp;Qid=1711279&amp;Row=15635&amp;Col=1","No Title Assigned - #15275202639")</f>
        <v/>
      </c>
      <c r="B15643" s="0" t="s">
        <v>20794</v>
      </c>
      <c r="E15643" s="0" t="inlineStr">
        <is>
          <t xml:space="preserve">Mazda</t>
        </is>
      </c>
      <c r="F15643" s="0" t="inlineStr">
        <is>
          <t xml:space="preserve">Mazda</t>
        </is>
      </c>
      <c r="G15643" s="0" t="s">
        <v>171</v>
      </c>
      <c r="H15643" s="5">
        <v>230.918200</v>
      </c>
    </row>
    <row r="15644" spans="1:9">
      <c r="A15644" s="22" t="str">
        <f>HYPERLINK("https://app.vivvix.com/360/KMI/IntelliDrive/ApplUI/Pages/CreativePages/CustomReportCreativeDetail.aspx?App=23&amp;ReportView=4&amp;Qid=1711279&amp;Row=15636&amp;Col=1","No Title Assigned - #15275203687")</f>
        <v/>
      </c>
      <c r="B15644" s="0" t="s">
        <v>20795</v>
      </c>
      <c r="E15644" s="0" t="inlineStr">
        <is>
          <t xml:space="preserve">Mazda</t>
        </is>
      </c>
      <c r="F15644" s="0" t="inlineStr">
        <is>
          <t xml:space="preserve">Mazda</t>
        </is>
      </c>
      <c r="G15644" s="0" t="s">
        <v>171</v>
      </c>
      <c r="H15644" s="5">
        <v>616.298700</v>
      </c>
    </row>
    <row r="15645" spans="1:9">
      <c r="A15645" s="22" t="str">
        <f>HYPERLINK("https://app.vivvix.com/360/KMI/IntelliDrive/ApplUI/Pages/CreativePages/CustomReportCreativeDetail.aspx?App=23&amp;ReportView=4&amp;Qid=1711279&amp;Row=15637&amp;Col=1","No Title Assigned - #15275203760")</f>
        <v/>
      </c>
      <c r="B15645" s="0" t="s">
        <v>20796</v>
      </c>
      <c r="E15645" s="0" t="inlineStr">
        <is>
          <t xml:space="preserve">Mazda</t>
        </is>
      </c>
      <c r="F15645" s="0" t="inlineStr">
        <is>
          <t xml:space="preserve">Mazda</t>
        </is>
      </c>
      <c r="G15645" s="0" t="s">
        <v>171</v>
      </c>
      <c r="H15645" s="5">
        <v>69.430000</v>
      </c>
    </row>
    <row r="15646" spans="1:9">
      <c r="A15646" s="22" t="str">
        <f>HYPERLINK("https://app.vivvix.com/360/KMI/IntelliDrive/ApplUI/Pages/CreativePages/CustomReportCreativeDetail.aspx?App=23&amp;ReportView=4&amp;Qid=1711279&amp;Row=15638&amp;Col=1","No Title Assigned - #15275204367")</f>
        <v/>
      </c>
      <c r="B15646" s="0" t="s">
        <v>20797</v>
      </c>
      <c r="E15646" s="0" t="inlineStr">
        <is>
          <t xml:space="preserve">Mazda</t>
        </is>
      </c>
      <c r="F15646" s="0" t="inlineStr">
        <is>
          <t xml:space="preserve">Mazda</t>
        </is>
      </c>
      <c r="G15646" s="0" t="s">
        <v>171</v>
      </c>
      <c r="H15646" s="5">
        <v>42.894800</v>
      </c>
    </row>
    <row r="15647" spans="1:9">
      <c r="A15647" s="22" t="str">
        <f>HYPERLINK("https://app.vivvix.com/360/KMI/IntelliDrive/ApplUI/Pages/CreativePages/CustomReportCreativeDetail.aspx?App=23&amp;ReportView=4&amp;Qid=1711279&amp;Row=15639&amp;Col=1","No Title Assigned - #15275204686")</f>
        <v/>
      </c>
      <c r="B15647" s="0" t="s">
        <v>20798</v>
      </c>
      <c r="C15647" s="0" t="s">
        <v>20799</v>
      </c>
      <c r="D15647" s="0" t="s">
        <v>20799</v>
      </c>
      <c r="E15647" s="0" t="inlineStr">
        <is>
          <t xml:space="preserve">Mazda</t>
        </is>
      </c>
      <c r="F15647" s="0" t="inlineStr">
        <is>
          <t xml:space="preserve">Mazda</t>
        </is>
      </c>
      <c r="G15647" s="0" t="s">
        <v>171</v>
      </c>
      <c r="H15647" s="5">
        <v>51.206400</v>
      </c>
    </row>
    <row r="15648" spans="1:9">
      <c r="A15648" s="22" t="str">
        <f>HYPERLINK("https://app.vivvix.com/360/KMI/IntelliDrive/ApplUI/Pages/CreativePages/CustomReportCreativeDetail.aspx?App=23&amp;ReportView=4&amp;Qid=1711279&amp;Row=15640&amp;Col=1","No Title Assigned - #15275205351")</f>
        <v/>
      </c>
      <c r="B15648" s="0" t="s">
        <v>20800</v>
      </c>
      <c r="E15648" s="0" t="inlineStr">
        <is>
          <t xml:space="preserve">Mazda</t>
        </is>
      </c>
      <c r="F15648" s="0" t="inlineStr">
        <is>
          <t xml:space="preserve">Mazda</t>
        </is>
      </c>
      <c r="G15648" s="0" t="s">
        <v>171</v>
      </c>
      <c r="H15648" s="5">
        <v>52.884300</v>
      </c>
    </row>
    <row r="15649" spans="1:9">
      <c r="A15649" s="22" t="str">
        <f>HYPERLINK("https://app.vivvix.com/360/KMI/IntelliDrive/ApplUI/Pages/CreativePages/CustomReportCreativeDetail.aspx?App=23&amp;ReportView=4&amp;Qid=1711279&amp;Row=15641&amp;Col=1","No Title Assigned - #15275205477")</f>
        <v/>
      </c>
      <c r="B15649" s="0" t="s">
        <v>20801</v>
      </c>
      <c r="E15649" s="0" t="inlineStr">
        <is>
          <t xml:space="preserve">Mazda</t>
        </is>
      </c>
      <c r="F15649" s="0" t="inlineStr">
        <is>
          <t xml:space="preserve">Mazda</t>
        </is>
      </c>
      <c r="G15649" s="0" t="s">
        <v>171</v>
      </c>
      <c r="H15649" s="5">
        <v>803.133600</v>
      </c>
    </row>
    <row r="15650" spans="1:9">
      <c r="A15650" s="22" t="str">
        <f>HYPERLINK("https://app.vivvix.com/360/KMI/IntelliDrive/ApplUI/Pages/CreativePages/CustomReportCreativeDetail.aspx?App=23&amp;ReportView=4&amp;Qid=1711279&amp;Row=15642&amp;Col=1","No Title Assigned - #15275205735")</f>
        <v/>
      </c>
      <c r="B15650" s="0" t="s">
        <v>20802</v>
      </c>
      <c r="E15650" s="0" t="inlineStr">
        <is>
          <t xml:space="preserve">Mazda</t>
        </is>
      </c>
      <c r="F15650" s="0" t="inlineStr">
        <is>
          <t xml:space="preserve">Mazda</t>
        </is>
      </c>
      <c r="G15650" s="0" t="s">
        <v>171</v>
      </c>
      <c r="H15650" s="5">
        <v>229.228900</v>
      </c>
    </row>
    <row r="15651" spans="1:9">
      <c r="A15651" s="22" t="str">
        <f>HYPERLINK("https://app.vivvix.com/360/KMI/IntelliDrive/ApplUI/Pages/CreativePages/CustomReportCreativeDetail.aspx?App=23&amp;ReportView=4&amp;Qid=1711279&amp;Row=15643&amp;Col=1","No Title Assigned - #15275206210")</f>
        <v/>
      </c>
      <c r="B15651" s="0" t="s">
        <v>20803</v>
      </c>
      <c r="E15651" s="0" t="inlineStr">
        <is>
          <t xml:space="preserve">Mazda</t>
        </is>
      </c>
      <c r="F15651" s="0" t="inlineStr">
        <is>
          <t xml:space="preserve">Mazda</t>
        </is>
      </c>
      <c r="G15651" s="0" t="s">
        <v>171</v>
      </c>
      <c r="H15651" s="5">
        <v>26028.390600</v>
      </c>
    </row>
    <row r="15652" spans="1:9">
      <c r="A15652" s="22" t="str">
        <f>HYPERLINK("https://app.vivvix.com/360/KMI/IntelliDrive/ApplUI/Pages/CreativePages/CustomReportCreativeDetail.aspx?App=23&amp;ReportView=4&amp;Qid=1711279&amp;Row=15644&amp;Col=1","No Title Assigned - #15275206210")</f>
        <v/>
      </c>
      <c r="B15652" s="0" t="s">
        <v>20803</v>
      </c>
      <c r="E15652" s="0" t="inlineStr">
        <is>
          <t xml:space="preserve">Mazda</t>
        </is>
      </c>
      <c r="F15652" s="0" t="inlineStr">
        <is>
          <t xml:space="preserve">Mazda</t>
        </is>
      </c>
      <c r="G15652" s="0" t="s">
        <v>171</v>
      </c>
      <c r="H15652" s="5">
        <v>391.672300</v>
      </c>
    </row>
    <row r="15653" spans="1:9">
      <c r="A15653" s="22" t="str">
        <f>HYPERLINK("https://app.vivvix.com/360/KMI/IntelliDrive/ApplUI/Pages/CreativePages/CustomReportCreativeDetail.aspx?App=23&amp;ReportView=4&amp;Qid=1711279&amp;Row=15645&amp;Col=1","No Title Assigned - #15275206486")</f>
        <v/>
      </c>
      <c r="B15653" s="0" t="s">
        <v>20804</v>
      </c>
      <c r="E15653" s="0" t="inlineStr">
        <is>
          <t xml:space="preserve">Mazda</t>
        </is>
      </c>
      <c r="F15653" s="0" t="inlineStr">
        <is>
          <t xml:space="preserve">Mazda</t>
        </is>
      </c>
      <c r="G15653" s="0" t="s">
        <v>171</v>
      </c>
      <c r="H15653" s="5">
        <v>100.623500</v>
      </c>
    </row>
    <row r="15654" spans="1:9">
      <c r="A15654" s="22" t="str">
        <f>HYPERLINK("https://app.vivvix.com/360/KMI/IntelliDrive/ApplUI/Pages/CreativePages/CustomReportCreativeDetail.aspx?App=23&amp;ReportView=4&amp;Qid=1711279&amp;Row=15646&amp;Col=1","No Title Assigned - #15275207087")</f>
        <v/>
      </c>
      <c r="B15654" s="0" t="s">
        <v>20805</v>
      </c>
      <c r="E15654" s="0" t="inlineStr">
        <is>
          <t xml:space="preserve">Mazda</t>
        </is>
      </c>
      <c r="F15654" s="0" t="s">
        <v>21</v>
      </c>
      <c r="G15654" s="0" t="s">
        <v>22</v>
      </c>
      <c r="H15654" s="5">
        <v>40170.035200</v>
      </c>
    </row>
    <row r="15655" spans="1:9">
      <c r="A15655" s="22" t="str">
        <f>HYPERLINK("https://app.vivvix.com/360/KMI/IntelliDrive/ApplUI/Pages/CreativePages/CustomReportCreativeDetail.aspx?App=23&amp;ReportView=4&amp;Qid=1711279&amp;Row=15647&amp;Col=1","No Title Assigned - #15275207996")</f>
        <v/>
      </c>
      <c r="B15655" s="0" t="s">
        <v>20806</v>
      </c>
      <c r="E15655" s="0" t="inlineStr">
        <is>
          <t xml:space="preserve">Mazda</t>
        </is>
      </c>
      <c r="F15655" s="0" t="inlineStr">
        <is>
          <t xml:space="preserve">Mazda</t>
        </is>
      </c>
      <c r="G15655" s="0" t="s">
        <v>171</v>
      </c>
      <c r="H15655" s="5">
        <v>57.007900</v>
      </c>
    </row>
    <row r="15656" spans="1:9">
      <c r="A15656" s="22" t="str">
        <f>HYPERLINK("https://app.vivvix.com/360/KMI/IntelliDrive/ApplUI/Pages/CreativePages/CustomReportCreativeDetail.aspx?App=23&amp;ReportView=4&amp;Qid=1711279&amp;Row=15648&amp;Col=1","No Title Assigned - #15275208237")</f>
        <v/>
      </c>
      <c r="B15656" s="0" t="s">
        <v>20807</v>
      </c>
      <c r="E15656" s="0" t="inlineStr">
        <is>
          <t xml:space="preserve">Mazda</t>
        </is>
      </c>
      <c r="F15656" s="0" t="inlineStr">
        <is>
          <t xml:space="preserve">Mazda</t>
        </is>
      </c>
      <c r="G15656" s="0" t="s">
        <v>171</v>
      </c>
      <c r="H15656" s="5">
        <v>432.797600</v>
      </c>
    </row>
    <row r="15657" spans="1:9">
      <c r="A15657" s="22" t="str">
        <f>HYPERLINK("https://app.vivvix.com/360/KMI/IntelliDrive/ApplUI/Pages/CreativePages/CustomReportCreativeDetail.aspx?App=23&amp;ReportView=4&amp;Qid=1711279&amp;Row=15649&amp;Col=1","No Title Assigned - #15275209142")</f>
        <v/>
      </c>
      <c r="B15657" s="0" t="s">
        <v>20808</v>
      </c>
      <c r="E15657" s="0" t="inlineStr">
        <is>
          <t xml:space="preserve">Mazda</t>
        </is>
      </c>
      <c r="F15657" s="0" t="inlineStr">
        <is>
          <t xml:space="preserve">Mazda</t>
        </is>
      </c>
      <c r="G15657" s="0" t="s">
        <v>171</v>
      </c>
      <c r="H15657" s="5">
        <v>79.214100</v>
      </c>
    </row>
    <row r="15658" spans="1:9">
      <c r="A15658" s="22" t="str">
        <f>HYPERLINK("https://app.vivvix.com/360/KMI/IntelliDrive/ApplUI/Pages/CreativePages/CustomReportCreativeDetail.aspx?App=23&amp;ReportView=4&amp;Qid=1711279&amp;Row=15650&amp;Col=1","No Title Assigned - #15275209183")</f>
        <v/>
      </c>
      <c r="B15658" s="0" t="s">
        <v>20809</v>
      </c>
      <c r="E15658" s="0" t="inlineStr">
        <is>
          <t xml:space="preserve">Mazda</t>
        </is>
      </c>
      <c r="F15658" s="0" t="inlineStr">
        <is>
          <t xml:space="preserve">Mazda</t>
        </is>
      </c>
      <c r="G15658" s="0" t="s">
        <v>171</v>
      </c>
      <c r="H15658" s="5">
        <v>61.939300</v>
      </c>
    </row>
    <row r="15659" spans="1:9">
      <c r="A15659" s="22" t="str">
        <f>HYPERLINK("https://app.vivvix.com/360/KMI/IntelliDrive/ApplUI/Pages/CreativePages/CustomReportCreativeDetail.aspx?App=23&amp;ReportView=4&amp;Qid=1711279&amp;Row=15651&amp;Col=1","No Title Assigned - #15275209445")</f>
        <v/>
      </c>
      <c r="B15659" s="0" t="s">
        <v>20810</v>
      </c>
      <c r="E15659" s="0" t="inlineStr">
        <is>
          <t xml:space="preserve">Mazda</t>
        </is>
      </c>
      <c r="F15659" s="0" t="inlineStr">
        <is>
          <t xml:space="preserve">Mazda</t>
        </is>
      </c>
      <c r="G15659" s="0" t="s">
        <v>171</v>
      </c>
      <c r="H15659" s="5">
        <v>2308.212400</v>
      </c>
    </row>
    <row r="15660" spans="1:9">
      <c r="A15660" s="22" t="str">
        <f>HYPERLINK("https://app.vivvix.com/360/KMI/IntelliDrive/ApplUI/Pages/CreativePages/CustomReportCreativeDetail.aspx?App=23&amp;ReportView=4&amp;Qid=1711279&amp;Row=15652&amp;Col=1","No Title Assigned - #15275210110")</f>
        <v/>
      </c>
      <c r="B15660" s="0" t="s">
        <v>20811</v>
      </c>
      <c r="C15660" s="0" t="s">
        <v>20812</v>
      </c>
      <c r="D15660" s="0" t="s">
        <v>20812</v>
      </c>
      <c r="E15660" s="0" t="inlineStr">
        <is>
          <t xml:space="preserve">Mazda</t>
        </is>
      </c>
      <c r="F15660" s="0" t="s">
        <v>13</v>
      </c>
      <c r="G15660" s="0" t="s">
        <v>49</v>
      </c>
      <c r="H15660" s="5">
        <v>1408.927700</v>
      </c>
    </row>
    <row r="15661" spans="1:9">
      <c r="A15661" s="22" t="str">
        <f>HYPERLINK("https://app.vivvix.com/360/KMI/IntelliDrive/ApplUI/Pages/CreativePages/CustomReportCreativeDetail.aspx?App=23&amp;ReportView=4&amp;Qid=1711279&amp;Row=15653&amp;Col=1","No Title Assigned - #15275210213")</f>
        <v/>
      </c>
      <c r="B15661" s="0" t="s">
        <v>20813</v>
      </c>
      <c r="E15661" s="0" t="inlineStr">
        <is>
          <t xml:space="preserve">Mazda</t>
        </is>
      </c>
      <c r="F15661" s="0" t="inlineStr">
        <is>
          <t xml:space="preserve">Mazda</t>
        </is>
      </c>
      <c r="G15661" s="0" t="s">
        <v>171</v>
      </c>
      <c r="H15661" s="5">
        <v>109.299700</v>
      </c>
    </row>
    <row r="15662" spans="1:9">
      <c r="A15662" s="22" t="str">
        <f>HYPERLINK("https://app.vivvix.com/360/KMI/IntelliDrive/ApplUI/Pages/CreativePages/CustomReportCreativeDetail.aspx?App=23&amp;ReportView=4&amp;Qid=1711279&amp;Row=15654&amp;Col=1","No Title Assigned - #15275211137")</f>
        <v/>
      </c>
      <c r="B15662" s="0" t="s">
        <v>20814</v>
      </c>
      <c r="E15662" s="0" t="inlineStr">
        <is>
          <t xml:space="preserve">Mazda</t>
        </is>
      </c>
      <c r="F15662" s="0" t="inlineStr">
        <is>
          <t xml:space="preserve">Mazda</t>
        </is>
      </c>
      <c r="G15662" s="0" t="s">
        <v>171</v>
      </c>
      <c r="H15662" s="5">
        <v>24.605000</v>
      </c>
    </row>
    <row r="15663" spans="1:9">
      <c r="A15663" s="22" t="str">
        <f>HYPERLINK("https://app.vivvix.com/360/KMI/IntelliDrive/ApplUI/Pages/CreativePages/CustomReportCreativeDetail.aspx?App=23&amp;ReportView=4&amp;Qid=1711279&amp;Row=15655&amp;Col=1","No Title Assigned - #15275211649")</f>
        <v/>
      </c>
      <c r="B15663" s="0" t="s">
        <v>20815</v>
      </c>
      <c r="E15663" s="0" t="inlineStr">
        <is>
          <t xml:space="preserve">Mazda</t>
        </is>
      </c>
      <c r="F15663" s="0" t="inlineStr">
        <is>
          <t xml:space="preserve">Mazda</t>
        </is>
      </c>
      <c r="G15663" s="0" t="s">
        <v>171</v>
      </c>
      <c r="H15663" s="5">
        <v>262.722000</v>
      </c>
    </row>
    <row r="15664" spans="1:9">
      <c r="A15664" s="22" t="str">
        <f>HYPERLINK("https://app.vivvix.com/360/KMI/IntelliDrive/ApplUI/Pages/CreativePages/CustomReportCreativeDetail.aspx?App=23&amp;ReportView=4&amp;Qid=1711279&amp;Row=15656&amp;Col=1","No Title Assigned - #15275212918")</f>
        <v/>
      </c>
      <c r="B15664" s="0" t="s">
        <v>20816</v>
      </c>
      <c r="E15664" s="0" t="inlineStr">
        <is>
          <t xml:space="preserve">Mazda</t>
        </is>
      </c>
      <c r="F15664" s="0" t="inlineStr">
        <is>
          <t xml:space="preserve">Mazda</t>
        </is>
      </c>
      <c r="G15664" s="0" t="s">
        <v>171</v>
      </c>
      <c r="H15664" s="5">
        <v>29.317800</v>
      </c>
    </row>
    <row r="15665" spans="1:9">
      <c r="A15665" s="22" t="str">
        <f>HYPERLINK("https://app.vivvix.com/360/KMI/IntelliDrive/ApplUI/Pages/CreativePages/CustomReportCreativeDetail.aspx?App=23&amp;ReportView=4&amp;Qid=1711279&amp;Row=15657&amp;Col=1","No Title Assigned - #15275214231")</f>
        <v/>
      </c>
      <c r="B15665" s="0" t="s">
        <v>20817</v>
      </c>
      <c r="C15665" s="0" t="s">
        <v>20818</v>
      </c>
      <c r="D15665" s="0" t="s">
        <v>4430</v>
      </c>
      <c r="E15665" s="0" t="inlineStr">
        <is>
          <t xml:space="preserve">Mazda</t>
        </is>
      </c>
      <c r="F15665" s="0" t="s">
        <v>28</v>
      </c>
      <c r="G15665" s="0" t="s">
        <v>29</v>
      </c>
      <c r="H15665" s="5">
        <v>10.128500</v>
      </c>
    </row>
    <row r="15666" spans="1:9">
      <c r="A15666" s="22" t="str">
        <f>HYPERLINK("https://app.vivvix.com/360/KMI/IntelliDrive/ApplUI/Pages/CreativePages/CustomReportCreativeDetail.aspx?App=23&amp;ReportView=4&amp;Qid=1711279&amp;Row=15658&amp;Col=1","No Title Assigned - #15275216315")</f>
        <v/>
      </c>
      <c r="B15666" s="0" t="s">
        <v>20819</v>
      </c>
      <c r="C15666" s="0" t="s">
        <v>20820</v>
      </c>
      <c r="D15666" s="0" t="s">
        <v>20820</v>
      </c>
      <c r="E15666" s="0" t="inlineStr">
        <is>
          <t xml:space="preserve">Mazda</t>
        </is>
      </c>
      <c r="F15666" s="0" t="inlineStr">
        <is>
          <t xml:space="preserve">Mazda</t>
        </is>
      </c>
      <c r="G15666" s="0" t="s">
        <v>171</v>
      </c>
      <c r="H15666" s="5">
        <v>254.130800</v>
      </c>
    </row>
    <row r="15667" spans="1:9">
      <c r="A15667" s="22" t="str">
        <f>HYPERLINK("https://app.vivvix.com/360/KMI/IntelliDrive/ApplUI/Pages/CreativePages/CustomReportCreativeDetail.aspx?App=23&amp;ReportView=4&amp;Qid=1711279&amp;Row=15659&amp;Col=1","No Title Assigned - #15275216686")</f>
        <v/>
      </c>
      <c r="B15667" s="0" t="s">
        <v>20821</v>
      </c>
      <c r="E15667" s="0" t="inlineStr">
        <is>
          <t xml:space="preserve">Mazda</t>
        </is>
      </c>
      <c r="F15667" s="0" t="inlineStr">
        <is>
          <t xml:space="preserve">Mazda</t>
        </is>
      </c>
      <c r="G15667" s="0" t="s">
        <v>171</v>
      </c>
      <c r="H15667" s="5">
        <v>616.298700</v>
      </c>
    </row>
    <row r="15668" spans="1:9">
      <c r="A15668" s="22" t="str">
        <f>HYPERLINK("https://app.vivvix.com/360/KMI/IntelliDrive/ApplUI/Pages/CreativePages/CustomReportCreativeDetail.aspx?App=23&amp;ReportView=4&amp;Qid=1711279&amp;Row=15660&amp;Col=1","No Title Assigned - #15275217235")</f>
        <v/>
      </c>
      <c r="B15668" s="0" t="s">
        <v>20822</v>
      </c>
      <c r="E15668" s="0" t="inlineStr">
        <is>
          <t xml:space="preserve">Mazda</t>
        </is>
      </c>
      <c r="F15668" s="0" t="inlineStr">
        <is>
          <t xml:space="preserve">Mazda</t>
        </is>
      </c>
      <c r="G15668" s="0" t="s">
        <v>171</v>
      </c>
      <c r="H15668" s="5">
        <v>325.350600</v>
      </c>
    </row>
    <row r="15669" spans="1:9">
      <c r="A15669" s="22" t="str">
        <f>HYPERLINK("https://app.vivvix.com/360/KMI/IntelliDrive/ApplUI/Pages/CreativePages/CustomReportCreativeDetail.aspx?App=23&amp;ReportView=4&amp;Qid=1711279&amp;Row=15661&amp;Col=1","No Title Assigned - #15275221443")</f>
        <v/>
      </c>
      <c r="B15669" s="0" t="s">
        <v>20823</v>
      </c>
      <c r="E15669" s="0" t="inlineStr">
        <is>
          <t xml:space="preserve">Mazda</t>
        </is>
      </c>
      <c r="F15669" s="0" t="inlineStr">
        <is>
          <t xml:space="preserve">Mazda</t>
        </is>
      </c>
      <c r="G15669" s="0" t="s">
        <v>171</v>
      </c>
      <c r="H15669" s="5">
        <v>125.496800</v>
      </c>
    </row>
    <row r="15670" spans="1:9">
      <c r="A15670" s="22" t="str">
        <f>HYPERLINK("https://app.vivvix.com/360/KMI/IntelliDrive/ApplUI/Pages/CreativePages/CustomReportCreativeDetail.aspx?App=23&amp;ReportView=4&amp;Qid=1711279&amp;Row=15662&amp;Col=1","No Title Assigned - #15275243509")</f>
        <v/>
      </c>
      <c r="B15670" s="0" t="s">
        <v>20824</v>
      </c>
      <c r="C15670" s="0" t="s">
        <v>20825</v>
      </c>
      <c r="D15670" s="0" t="s">
        <v>8453</v>
      </c>
      <c r="E15670" s="0" t="inlineStr">
        <is>
          <t xml:space="preserve">Mazda</t>
        </is>
      </c>
      <c r="F15670" s="0" t="s">
        <v>13</v>
      </c>
      <c r="G15670" s="0" t="s">
        <v>49</v>
      </c>
      <c r="H15670" s="5">
        <v>843.857600</v>
      </c>
    </row>
    <row r="15671" spans="1:9">
      <c r="A15671" s="22" t="str">
        <f>HYPERLINK("https://app.vivvix.com/360/KMI/IntelliDrive/ApplUI/Pages/CreativePages/CustomReportCreativeDetail.aspx?App=23&amp;ReportView=4&amp;Qid=1711279&amp;Row=15663&amp;Col=1","No Title Assigned - #15275243782")</f>
        <v/>
      </c>
      <c r="B15671" s="0" t="s">
        <v>20826</v>
      </c>
      <c r="C15671" s="0" t="s">
        <v>20827</v>
      </c>
      <c r="D15671" s="0" t="s">
        <v>6420</v>
      </c>
      <c r="E15671" s="0" t="inlineStr">
        <is>
          <t xml:space="preserve">Mazda</t>
        </is>
      </c>
      <c r="F15671" s="0" t="s">
        <v>13</v>
      </c>
      <c r="G15671" s="0" t="s">
        <v>49</v>
      </c>
      <c r="H15671" s="5">
        <v>81.176300</v>
      </c>
    </row>
    <row r="15672" spans="1:9">
      <c r="A15672" s="22" t="str">
        <f>HYPERLINK("https://app.vivvix.com/360/KMI/IntelliDrive/ApplUI/Pages/CreativePages/CustomReportCreativeDetail.aspx?App=23&amp;ReportView=4&amp;Qid=1711279&amp;Row=15664&amp;Col=1","No Title Assigned - #15275247516")</f>
        <v/>
      </c>
      <c r="B15672" s="0" t="s">
        <v>20828</v>
      </c>
      <c r="C15672" s="0" t="s">
        <v>20829</v>
      </c>
      <c r="D15672" s="0" t="s">
        <v>20653</v>
      </c>
      <c r="E15672" s="0" t="inlineStr">
        <is>
          <t xml:space="preserve">Mazda</t>
        </is>
      </c>
      <c r="F15672" s="0" t="s">
        <v>17</v>
      </c>
      <c r="G15672" s="0" t="s">
        <v>33</v>
      </c>
      <c r="H15672" s="5">
        <v>410.210300</v>
      </c>
    </row>
    <row r="15673" spans="1:9">
      <c r="A15673" s="22" t="str">
        <f>HYPERLINK("https://app.vivvix.com/360/KMI/IntelliDrive/ApplUI/Pages/CreativePages/CustomReportCreativeDetail.aspx?App=23&amp;ReportView=4&amp;Qid=1711279&amp;Row=15665&amp;Col=1","No Title Assigned - #15275249394")</f>
        <v/>
      </c>
      <c r="B15673" s="0" t="s">
        <v>20830</v>
      </c>
      <c r="C15673" s="0" t="s">
        <v>20831</v>
      </c>
      <c r="D15673" s="0" t="s">
        <v>20831</v>
      </c>
      <c r="E15673" s="0" t="inlineStr">
        <is>
          <t xml:space="preserve">Mazda</t>
        </is>
      </c>
      <c r="F15673" s="0" t="inlineStr">
        <is>
          <t xml:space="preserve">Mazda</t>
        </is>
      </c>
      <c r="G15673" s="0" t="s">
        <v>210</v>
      </c>
      <c r="H15673" s="5">
        <v>933.332800</v>
      </c>
    </row>
    <row r="15674" spans="1:9">
      <c r="A15674" s="22" t="str">
        <f>HYPERLINK("https://app.vivvix.com/360/KMI/IntelliDrive/ApplUI/Pages/CreativePages/CustomReportCreativeDetail.aspx?App=23&amp;ReportView=4&amp;Qid=1711279&amp;Row=15666&amp;Col=1","No Title Assigned - #15275249995")</f>
        <v/>
      </c>
      <c r="B15674" s="0" t="s">
        <v>20832</v>
      </c>
      <c r="C15674" s="0" t="s">
        <v>20833</v>
      </c>
      <c r="D15674" s="0" t="s">
        <v>20833</v>
      </c>
      <c r="E15674" s="0" t="inlineStr">
        <is>
          <t xml:space="preserve">Mazda</t>
        </is>
      </c>
      <c r="F15674" s="0" t="s">
        <v>21</v>
      </c>
      <c r="G15674" s="0" t="s">
        <v>22</v>
      </c>
      <c r="H15674" s="5">
        <v>965.199900</v>
      </c>
    </row>
    <row r="15675" spans="1:9">
      <c r="A15675" s="22" t="str">
        <f>HYPERLINK("https://app.vivvix.com/360/KMI/IntelliDrive/ApplUI/Pages/CreativePages/CustomReportCreativeDetail.aspx?App=23&amp;ReportView=4&amp;Qid=1711279&amp;Row=15667&amp;Col=1","No Title Assigned - #15275250112")</f>
        <v/>
      </c>
      <c r="B15675" s="0" t="s">
        <v>20834</v>
      </c>
      <c r="C15675" s="0" t="s">
        <v>20835</v>
      </c>
      <c r="D15675" s="0" t="s">
        <v>14856</v>
      </c>
      <c r="E15675" s="0" t="inlineStr">
        <is>
          <t xml:space="preserve">Mazda</t>
        </is>
      </c>
      <c r="F15675" s="0" t="s">
        <v>13</v>
      </c>
      <c r="G15675" s="0" t="s">
        <v>49</v>
      </c>
      <c r="H15675" s="5">
        <v>1257.339800</v>
      </c>
    </row>
    <row r="15676" spans="1:9">
      <c r="A15676" s="22" t="str">
        <f>HYPERLINK("https://app.vivvix.com/360/KMI/IntelliDrive/ApplUI/Pages/CreativePages/CustomReportCreativeDetail.aspx?App=23&amp;ReportView=4&amp;Qid=1711279&amp;Row=15668&amp;Col=1","No Title Assigned - #15275250573")</f>
        <v/>
      </c>
      <c r="B15676" s="0" t="s">
        <v>20836</v>
      </c>
      <c r="C15676" s="0" t="s">
        <v>20837</v>
      </c>
      <c r="D15676" s="0" t="s">
        <v>20837</v>
      </c>
      <c r="E15676" s="0" t="inlineStr">
        <is>
          <t xml:space="preserve">Mazda</t>
        </is>
      </c>
      <c r="F15676" s="0" t="s">
        <v>13</v>
      </c>
      <c r="G15676" s="0" t="s">
        <v>49</v>
      </c>
      <c r="H15676" s="5">
        <v>493.032200</v>
      </c>
    </row>
    <row r="15677" spans="1:9">
      <c r="A15677" s="22" t="str">
        <f>HYPERLINK("https://app.vivvix.com/360/KMI/IntelliDrive/ApplUI/Pages/CreativePages/CustomReportCreativeDetail.aspx?App=23&amp;ReportView=4&amp;Qid=1711279&amp;Row=15669&amp;Col=1","No Title Assigned - #15275251517")</f>
        <v/>
      </c>
      <c r="B15677" s="0" t="s">
        <v>20838</v>
      </c>
      <c r="C15677" s="0" t="s">
        <v>20839</v>
      </c>
      <c r="D15677" s="0" t="s">
        <v>20839</v>
      </c>
      <c r="E15677" s="0" t="inlineStr">
        <is>
          <t xml:space="preserve">Mazda</t>
        </is>
      </c>
      <c r="F15677" s="0" t="s">
        <v>13</v>
      </c>
      <c r="G15677" s="0" t="s">
        <v>49</v>
      </c>
      <c r="H15677" s="5">
        <v>2.918900</v>
      </c>
    </row>
    <row r="15678" spans="1:9">
      <c r="A15678" s="22" t="str">
        <f>HYPERLINK("https://app.vivvix.com/360/KMI/IntelliDrive/ApplUI/Pages/CreativePages/CustomReportCreativeDetail.aspx?App=23&amp;ReportView=4&amp;Qid=1711279&amp;Row=15670&amp;Col=1","No Title Assigned - #15275252966")</f>
        <v/>
      </c>
      <c r="B15678" s="0" t="s">
        <v>20840</v>
      </c>
      <c r="C15678" s="0" t="s">
        <v>20841</v>
      </c>
      <c r="D15678" s="0" t="s">
        <v>20841</v>
      </c>
      <c r="E15678" s="0" t="inlineStr">
        <is>
          <t xml:space="preserve">Mazda</t>
        </is>
      </c>
      <c r="F15678" s="0" t="s">
        <v>13</v>
      </c>
      <c r="G15678" s="0" t="s">
        <v>49</v>
      </c>
      <c r="H15678" s="5">
        <v>5033.451700</v>
      </c>
    </row>
    <row r="15679" spans="1:9">
      <c r="A15679" s="22" t="str">
        <f>HYPERLINK("https://app.vivvix.com/360/KMI/IntelliDrive/ApplUI/Pages/CreativePages/CustomReportCreativeDetail.aspx?App=23&amp;ReportView=4&amp;Qid=1711279&amp;Row=15671&amp;Col=1","No Title Assigned - #15275253411")</f>
        <v/>
      </c>
      <c r="B15679" s="0" t="s">
        <v>20842</v>
      </c>
      <c r="E15679" s="0" t="inlineStr">
        <is>
          <t xml:space="preserve">Mazda</t>
        </is>
      </c>
      <c r="F15679" s="0" t="inlineStr">
        <is>
          <t xml:space="preserve">Mazda</t>
        </is>
      </c>
      <c r="G15679" s="0" t="s">
        <v>171</v>
      </c>
      <c r="H15679" s="5">
        <v>424.984100</v>
      </c>
    </row>
    <row r="15680" spans="1:9">
      <c r="A15680" s="22" t="str">
        <f>HYPERLINK("https://app.vivvix.com/360/KMI/IntelliDrive/ApplUI/Pages/CreativePages/CustomReportCreativeDetail.aspx?App=23&amp;ReportView=4&amp;Qid=1711279&amp;Row=15672&amp;Col=1","No Title Assigned - #15275253411")</f>
        <v/>
      </c>
      <c r="B15680" s="0" t="s">
        <v>20842</v>
      </c>
      <c r="E15680" s="0" t="inlineStr">
        <is>
          <t xml:space="preserve">Mazda</t>
        </is>
      </c>
      <c r="F15680" s="0" t="inlineStr">
        <is>
          <t xml:space="preserve">Mazda</t>
        </is>
      </c>
      <c r="G15680" s="0" t="s">
        <v>171</v>
      </c>
      <c r="H15680" s="5">
        <v>169.543100</v>
      </c>
    </row>
    <row r="15681" spans="1:9">
      <c r="A15681" s="22" t="str">
        <f>HYPERLINK("https://app.vivvix.com/360/KMI/IntelliDrive/ApplUI/Pages/CreativePages/CustomReportCreativeDetail.aspx?App=23&amp;ReportView=4&amp;Qid=1711279&amp;Row=15673&amp;Col=1","No Title Assigned - #15275255154")</f>
        <v/>
      </c>
      <c r="B15681" s="0" t="s">
        <v>20843</v>
      </c>
      <c r="E15681" s="0" t="inlineStr">
        <is>
          <t xml:space="preserve">Mazda</t>
        </is>
      </c>
      <c r="F15681" s="0" t="s">
        <v>13</v>
      </c>
      <c r="G15681" s="0" t="s">
        <v>49</v>
      </c>
      <c r="H15681" s="5">
        <v>160.079100</v>
      </c>
    </row>
    <row r="15682" spans="1:9">
      <c r="A15682" s="22" t="str">
        <f>HYPERLINK("https://app.vivvix.com/360/KMI/IntelliDrive/ApplUI/Pages/CreativePages/CustomReportCreativeDetail.aspx?App=23&amp;ReportView=4&amp;Qid=1711279&amp;Row=15674&amp;Col=1","No Title Assigned - #15275255453")</f>
        <v/>
      </c>
      <c r="B15682" s="0" t="s">
        <v>20844</v>
      </c>
      <c r="E15682" s="0" t="inlineStr">
        <is>
          <t xml:space="preserve">Mazda</t>
        </is>
      </c>
      <c r="F15682" s="0" t="s">
        <v>13</v>
      </c>
      <c r="G15682" s="0" t="s">
        <v>49</v>
      </c>
      <c r="H15682" s="5">
        <v>86.698600</v>
      </c>
    </row>
    <row r="15683" spans="1:9">
      <c r="A15683" s="22" t="str">
        <f>HYPERLINK("https://app.vivvix.com/360/KMI/IntelliDrive/ApplUI/Pages/CreativePages/CustomReportCreativeDetail.aspx?App=23&amp;ReportView=4&amp;Qid=1711279&amp;Row=15675&amp;Col=1","No Title Assigned - #15275255453")</f>
        <v/>
      </c>
      <c r="B15683" s="0" t="s">
        <v>20844</v>
      </c>
      <c r="C15683" s="0" t="s">
        <v>20845</v>
      </c>
      <c r="D15683" s="0" t="s">
        <v>20845</v>
      </c>
      <c r="E15683" s="0" t="inlineStr">
        <is>
          <t xml:space="preserve">Mazda</t>
        </is>
      </c>
      <c r="F15683" s="0" t="s">
        <v>13</v>
      </c>
      <c r="G15683" s="0" t="s">
        <v>49</v>
      </c>
      <c r="H15683" s="5">
        <v>254.984400</v>
      </c>
    </row>
    <row r="15684" spans="1:9">
      <c r="A15684" s="22" t="str">
        <f>HYPERLINK("https://app.vivvix.com/360/KMI/IntelliDrive/ApplUI/Pages/CreativePages/CustomReportCreativeDetail.aspx?App=23&amp;ReportView=4&amp;Qid=1711279&amp;Row=15676&amp;Col=1","No Title Assigned - #15275255572")</f>
        <v/>
      </c>
      <c r="B15684" s="0" t="s">
        <v>20846</v>
      </c>
      <c r="C15684" s="0" t="s">
        <v>20847</v>
      </c>
      <c r="D15684" s="0" t="s">
        <v>9919</v>
      </c>
      <c r="E15684" s="0" t="inlineStr">
        <is>
          <t xml:space="preserve">Mazda</t>
        </is>
      </c>
      <c r="F15684" s="0" t="s">
        <v>13</v>
      </c>
      <c r="G15684" s="0" t="s">
        <v>49</v>
      </c>
      <c r="H15684" s="5">
        <v>38.260000</v>
      </c>
    </row>
    <row r="15685" spans="1:9">
      <c r="A15685" s="22" t="str">
        <f>HYPERLINK("https://app.vivvix.com/360/KMI/IntelliDrive/ApplUI/Pages/CreativePages/CustomReportCreativeDetail.aspx?App=23&amp;ReportView=4&amp;Qid=1711279&amp;Row=15677&amp;Col=1","No Title Assigned - #15275255811")</f>
        <v/>
      </c>
      <c r="B15685" s="0" t="s">
        <v>20848</v>
      </c>
      <c r="C15685" s="0" t="s">
        <v>20849</v>
      </c>
      <c r="D15685" s="0" t="s">
        <v>20849</v>
      </c>
      <c r="E15685" s="0" t="inlineStr">
        <is>
          <t xml:space="preserve">Mazda</t>
        </is>
      </c>
      <c r="F15685" s="0" t="s">
        <v>13</v>
      </c>
      <c r="G15685" s="0" t="s">
        <v>49</v>
      </c>
      <c r="H15685" s="5">
        <v>1374.887000</v>
      </c>
    </row>
    <row r="15686" spans="1:9">
      <c r="A15686" s="22" t="str">
        <f>HYPERLINK("https://app.vivvix.com/360/KMI/IntelliDrive/ApplUI/Pages/CreativePages/CustomReportCreativeDetail.aspx?App=23&amp;ReportView=4&amp;Qid=1711279&amp;Row=15678&amp;Col=1","No Title Assigned - #15275256131")</f>
        <v/>
      </c>
      <c r="B15686" s="0" t="s">
        <v>20850</v>
      </c>
      <c r="C15686" s="0" t="s">
        <v>20851</v>
      </c>
      <c r="D15686" s="0" t="s">
        <v>20851</v>
      </c>
      <c r="E15686" s="0" t="inlineStr">
        <is>
          <t xml:space="preserve">Mazda</t>
        </is>
      </c>
      <c r="F15686" s="0" t="s">
        <v>13</v>
      </c>
      <c r="G15686" s="0" t="s">
        <v>49</v>
      </c>
      <c r="H15686" s="5">
        <v>595.911200</v>
      </c>
    </row>
    <row r="15687" spans="1:9">
      <c r="A15687" s="22" t="str">
        <f>HYPERLINK("https://app.vivvix.com/360/KMI/IntelliDrive/ApplUI/Pages/CreativePages/CustomReportCreativeDetail.aspx?App=23&amp;ReportView=4&amp;Qid=1711279&amp;Row=15679&amp;Col=1","No Title Assigned - #15275257051")</f>
        <v/>
      </c>
      <c r="B15687" s="0" t="s">
        <v>20852</v>
      </c>
      <c r="C15687" s="0" t="s">
        <v>20853</v>
      </c>
      <c r="D15687" s="0" t="s">
        <v>20853</v>
      </c>
      <c r="E15687" s="0" t="inlineStr">
        <is>
          <t xml:space="preserve">Mazda</t>
        </is>
      </c>
      <c r="F15687" s="0" t="s">
        <v>13</v>
      </c>
      <c r="G15687" s="0" t="s">
        <v>49</v>
      </c>
      <c r="H15687" s="5">
        <v>318.964800</v>
      </c>
    </row>
    <row r="15688" spans="1:9">
      <c r="A15688" s="22" t="str">
        <f>HYPERLINK("https://app.vivvix.com/360/KMI/IntelliDrive/ApplUI/Pages/CreativePages/CustomReportCreativeDetail.aspx?App=23&amp;ReportView=4&amp;Qid=1711279&amp;Row=15680&amp;Col=1","No Title Assigned - #15275257225")</f>
        <v/>
      </c>
      <c r="B15688" s="0" t="s">
        <v>20854</v>
      </c>
      <c r="C15688" s="0" t="s">
        <v>20855</v>
      </c>
      <c r="D15688" s="0" t="s">
        <v>20855</v>
      </c>
      <c r="E15688" s="0" t="inlineStr">
        <is>
          <t xml:space="preserve">Mazda</t>
        </is>
      </c>
      <c r="F15688" s="0" t="s">
        <v>13</v>
      </c>
      <c r="G15688" s="0" t="s">
        <v>49</v>
      </c>
      <c r="H15688" s="5">
        <v>597.614800</v>
      </c>
    </row>
    <row r="15689" spans="1:9">
      <c r="A15689" s="22" t="str">
        <f>HYPERLINK("https://app.vivvix.com/360/KMI/IntelliDrive/ApplUI/Pages/CreativePages/CustomReportCreativeDetail.aspx?App=23&amp;ReportView=4&amp;Qid=1711279&amp;Row=15681&amp;Col=1","No Title Assigned - #15275258743")</f>
        <v/>
      </c>
      <c r="B15689" s="0" t="s">
        <v>20856</v>
      </c>
      <c r="C15689" s="0" t="s">
        <v>20857</v>
      </c>
      <c r="D15689" s="0" t="s">
        <v>8439</v>
      </c>
      <c r="E15689" s="0" t="inlineStr">
        <is>
          <t xml:space="preserve">Mazda</t>
        </is>
      </c>
      <c r="F15689" s="0" t="s">
        <v>13</v>
      </c>
      <c r="G15689" s="0" t="s">
        <v>49</v>
      </c>
      <c r="H15689" s="5">
        <v>81.176300</v>
      </c>
    </row>
    <row r="15690" spans="1:9">
      <c r="A15690" s="22" t="str">
        <f>HYPERLINK("https://app.vivvix.com/360/KMI/IntelliDrive/ApplUI/Pages/CreativePages/CustomReportCreativeDetail.aspx?App=23&amp;ReportView=4&amp;Qid=1711279&amp;Row=15682&amp;Col=1","No Title Assigned - #15275259044")</f>
        <v/>
      </c>
      <c r="B15690" s="0" t="s">
        <v>20858</v>
      </c>
      <c r="C15690" s="0" t="s">
        <v>20859</v>
      </c>
      <c r="D15690" s="0" t="s">
        <v>20859</v>
      </c>
      <c r="E15690" s="0" t="inlineStr">
        <is>
          <t xml:space="preserve">Mazda</t>
        </is>
      </c>
      <c r="F15690" s="0" t="s">
        <v>13</v>
      </c>
      <c r="G15690" s="0" t="s">
        <v>49</v>
      </c>
      <c r="H15690" s="5">
        <v>114.186300</v>
      </c>
    </row>
    <row r="15691" spans="1:9">
      <c r="A15691" s="22" t="str">
        <f>HYPERLINK("https://app.vivvix.com/360/KMI/IntelliDrive/ApplUI/Pages/CreativePages/CustomReportCreativeDetail.aspx?App=23&amp;ReportView=4&amp;Qid=1711279&amp;Row=15683&amp;Col=1","No Title Assigned - #15275263815")</f>
        <v/>
      </c>
      <c r="B15691" s="0" t="s">
        <v>20860</v>
      </c>
      <c r="E15691" s="0" t="inlineStr">
        <is>
          <t xml:space="preserve">Mazda</t>
        </is>
      </c>
      <c r="F15691" s="0" t="s">
        <v>13</v>
      </c>
      <c r="G15691" s="0" t="s">
        <v>49</v>
      </c>
      <c r="H15691" s="5">
        <v>10.347600</v>
      </c>
    </row>
    <row r="15692" spans="1:9">
      <c r="A15692" s="22" t="str">
        <f>HYPERLINK("https://app.vivvix.com/360/KMI/IntelliDrive/ApplUI/Pages/CreativePages/CustomReportCreativeDetail.aspx?App=23&amp;ReportView=4&amp;Qid=1711279&amp;Row=15684&amp;Col=1","No Title Assigned - #15275264012")</f>
        <v/>
      </c>
      <c r="B15692" s="0" t="s">
        <v>20861</v>
      </c>
      <c r="C15692" s="0" t="s">
        <v>20862</v>
      </c>
      <c r="D15692" s="0" t="s">
        <v>4335</v>
      </c>
      <c r="E15692" s="0" t="inlineStr">
        <is>
          <t xml:space="preserve">Mazda</t>
        </is>
      </c>
      <c r="F15692" s="0" t="s">
        <v>13</v>
      </c>
      <c r="G15692" s="0" t="s">
        <v>49</v>
      </c>
      <c r="H15692" s="5">
        <v>481.191400</v>
      </c>
    </row>
    <row r="15693" spans="1:9">
      <c r="A15693" s="22" t="str">
        <f>HYPERLINK("https://app.vivvix.com/360/KMI/IntelliDrive/ApplUI/Pages/CreativePages/CustomReportCreativeDetail.aspx?App=23&amp;ReportView=4&amp;Qid=1711279&amp;Row=15685&amp;Col=1","No Title Assigned - #15275264419")</f>
        <v/>
      </c>
      <c r="B15693" s="0" t="s">
        <v>20863</v>
      </c>
      <c r="E15693" s="0" t="inlineStr">
        <is>
          <t xml:space="preserve">Mazda</t>
        </is>
      </c>
      <c r="F15693" s="0" t="s">
        <v>13</v>
      </c>
      <c r="G15693" s="0" t="s">
        <v>49</v>
      </c>
      <c r="H15693" s="5">
        <v>246.118200</v>
      </c>
    </row>
    <row r="15694" spans="1:9">
      <c r="A15694" s="22" t="str">
        <f>HYPERLINK("https://app.vivvix.com/360/KMI/IntelliDrive/ApplUI/Pages/CreativePages/CustomReportCreativeDetail.aspx?App=23&amp;ReportView=4&amp;Qid=1711279&amp;Row=15686&amp;Col=1","No Title Assigned - #15275264528")</f>
        <v/>
      </c>
      <c r="B15694" s="0" t="s">
        <v>20864</v>
      </c>
      <c r="E15694" s="0" t="inlineStr">
        <is>
          <t xml:space="preserve">Mazda</t>
        </is>
      </c>
      <c r="F15694" s="0" t="s">
        <v>13</v>
      </c>
      <c r="G15694" s="0" t="s">
        <v>49</v>
      </c>
      <c r="H15694" s="5">
        <v>538.133800</v>
      </c>
    </row>
    <row r="15695" spans="1:9">
      <c r="A15695" s="22" t="str">
        <f>HYPERLINK("https://app.vivvix.com/360/KMI/IntelliDrive/ApplUI/Pages/CreativePages/CustomReportCreativeDetail.aspx?App=23&amp;ReportView=4&amp;Qid=1711279&amp;Row=15687&amp;Col=1","No Title Assigned - #15275264530")</f>
        <v/>
      </c>
      <c r="B15695" s="0" t="s">
        <v>20865</v>
      </c>
      <c r="C15695" s="0" t="s">
        <v>20866</v>
      </c>
      <c r="D15695" s="0" t="s">
        <v>20866</v>
      </c>
      <c r="E15695" s="0" t="inlineStr">
        <is>
          <t xml:space="preserve">Mazda</t>
        </is>
      </c>
      <c r="F15695" s="0" t="s">
        <v>13</v>
      </c>
      <c r="G15695" s="0" t="s">
        <v>49</v>
      </c>
      <c r="H15695" s="5">
        <v>796.165800</v>
      </c>
    </row>
    <row r="15696" spans="1:9">
      <c r="A15696" s="22" t="str">
        <f>HYPERLINK("https://app.vivvix.com/360/KMI/IntelliDrive/ApplUI/Pages/CreativePages/CustomReportCreativeDetail.aspx?App=23&amp;ReportView=4&amp;Qid=1711279&amp;Row=15688&amp;Col=1","No Title Assigned - #15275264739")</f>
        <v/>
      </c>
      <c r="B15696" s="0" t="s">
        <v>20867</v>
      </c>
      <c r="E15696" s="0" t="inlineStr">
        <is>
          <t xml:space="preserve">Mazda</t>
        </is>
      </c>
      <c r="F15696" s="0" t="s">
        <v>13</v>
      </c>
      <c r="G15696" s="0" t="s">
        <v>49</v>
      </c>
      <c r="H15696" s="5">
        <v>265.616600</v>
      </c>
    </row>
    <row r="15697" spans="1:9">
      <c r="A15697" s="22" t="str">
        <f>HYPERLINK("https://app.vivvix.com/360/KMI/IntelliDrive/ApplUI/Pages/CreativePages/CustomReportCreativeDetail.aspx?App=23&amp;ReportView=4&amp;Qid=1711279&amp;Row=15689&amp;Col=1","No Title Assigned - #15275264800")</f>
        <v/>
      </c>
      <c r="B15697" s="0" t="s">
        <v>20868</v>
      </c>
      <c r="E15697" s="0" t="inlineStr">
        <is>
          <t xml:space="preserve">Mazda</t>
        </is>
      </c>
      <c r="F15697" s="0" t="s">
        <v>13</v>
      </c>
      <c r="G15697" s="0" t="s">
        <v>49</v>
      </c>
      <c r="H15697" s="5">
        <v>102.932700</v>
      </c>
    </row>
    <row r="15698" spans="1:9">
      <c r="A15698" s="22" t="str">
        <f>HYPERLINK("https://app.vivvix.com/360/KMI/IntelliDrive/ApplUI/Pages/CreativePages/CustomReportCreativeDetail.aspx?App=23&amp;ReportView=4&amp;Qid=1711279&amp;Row=15690&amp;Col=1","No Title Assigned - #15275265097")</f>
        <v/>
      </c>
      <c r="B15698" s="0" t="s">
        <v>20869</v>
      </c>
      <c r="E15698" s="0" t="inlineStr">
        <is>
          <t xml:space="preserve">Mazda</t>
        </is>
      </c>
      <c r="F15698" s="0" t="s">
        <v>13</v>
      </c>
      <c r="G15698" s="0" t="s">
        <v>49</v>
      </c>
      <c r="H15698" s="5">
        <v>811.564500</v>
      </c>
    </row>
    <row r="15699" spans="1:9">
      <c r="A15699" s="22" t="str">
        <f>HYPERLINK("https://app.vivvix.com/360/KMI/IntelliDrive/ApplUI/Pages/CreativePages/CustomReportCreativeDetail.aspx?App=23&amp;ReportView=4&amp;Qid=1711279&amp;Row=15691&amp;Col=1","No Title Assigned - #15275265229")</f>
        <v/>
      </c>
      <c r="B15699" s="0" t="s">
        <v>20870</v>
      </c>
      <c r="E15699" s="0" t="inlineStr">
        <is>
          <t xml:space="preserve">Mazda</t>
        </is>
      </c>
      <c r="F15699" s="0" t="s">
        <v>28</v>
      </c>
      <c r="G15699" s="0" t="s">
        <v>29</v>
      </c>
      <c r="H15699" s="5">
        <v>169.834400</v>
      </c>
    </row>
    <row r="15700" spans="1:9">
      <c r="A15700" s="22" t="str">
        <f>HYPERLINK("https://app.vivvix.com/360/KMI/IntelliDrive/ApplUI/Pages/CreativePages/CustomReportCreativeDetail.aspx?App=23&amp;ReportView=4&amp;Qid=1711279&amp;Row=15692&amp;Col=1","No Title Assigned - #15275265612")</f>
        <v/>
      </c>
      <c r="B15700" s="0" t="s">
        <v>20871</v>
      </c>
      <c r="C15700" s="0" t="s">
        <v>20872</v>
      </c>
      <c r="D15700" s="0" t="s">
        <v>20872</v>
      </c>
      <c r="E15700" s="0" t="inlineStr">
        <is>
          <t xml:space="preserve">Mazda</t>
        </is>
      </c>
      <c r="F15700" s="0" t="s">
        <v>13</v>
      </c>
      <c r="G15700" s="0" t="s">
        <v>49</v>
      </c>
      <c r="H15700" s="5">
        <v>986.621100</v>
      </c>
    </row>
    <row r="15701" spans="1:9">
      <c r="A15701" s="22" t="str">
        <f>HYPERLINK("https://app.vivvix.com/360/KMI/IntelliDrive/ApplUI/Pages/CreativePages/CustomReportCreativeDetail.aspx?App=23&amp;ReportView=4&amp;Qid=1711279&amp;Row=15693&amp;Col=1","No Title Assigned - #15275265621")</f>
        <v/>
      </c>
      <c r="B15701" s="0" t="s">
        <v>20873</v>
      </c>
      <c r="C15701" s="0" t="s">
        <v>20874</v>
      </c>
      <c r="D15701" s="0" t="s">
        <v>5013</v>
      </c>
      <c r="E15701" s="0" t="inlineStr">
        <is>
          <t xml:space="preserve">Mazda</t>
        </is>
      </c>
      <c r="F15701" s="0" t="s">
        <v>13</v>
      </c>
      <c r="G15701" s="0" t="s">
        <v>49</v>
      </c>
      <c r="H15701" s="5">
        <v>286.944500</v>
      </c>
    </row>
    <row r="15702" spans="1:9">
      <c r="A15702" s="22" t="str">
        <f>HYPERLINK("https://app.vivvix.com/360/KMI/IntelliDrive/ApplUI/Pages/CreativePages/CustomReportCreativeDetail.aspx?App=23&amp;ReportView=4&amp;Qid=1711279&amp;Row=15694&amp;Col=1","No Title Assigned - #15275265780")</f>
        <v/>
      </c>
      <c r="B15702" s="0" t="s">
        <v>20875</v>
      </c>
      <c r="C15702" s="0" t="s">
        <v>20876</v>
      </c>
      <c r="D15702" s="0" t="s">
        <v>20876</v>
      </c>
      <c r="E15702" s="0" t="inlineStr">
        <is>
          <t xml:space="preserve">Mazda</t>
        </is>
      </c>
      <c r="F15702" s="0" t="s">
        <v>13</v>
      </c>
      <c r="G15702" s="0" t="s">
        <v>49</v>
      </c>
      <c r="H15702" s="5">
        <v>334.373500</v>
      </c>
    </row>
    <row r="15703" spans="1:9">
      <c r="A15703" s="22" t="str">
        <f>HYPERLINK("https://app.vivvix.com/360/KMI/IntelliDrive/ApplUI/Pages/CreativePages/CustomReportCreativeDetail.aspx?App=23&amp;ReportView=4&amp;Qid=1711279&amp;Row=15695&amp;Col=1","No Title Assigned - #15275265969")</f>
        <v/>
      </c>
      <c r="B15703" s="0" t="s">
        <v>20877</v>
      </c>
      <c r="C15703" s="0" t="s">
        <v>20878</v>
      </c>
      <c r="D15703" s="0" t="s">
        <v>4335</v>
      </c>
      <c r="E15703" s="0" t="inlineStr">
        <is>
          <t xml:space="preserve">Mazda</t>
        </is>
      </c>
      <c r="F15703" s="0" t="s">
        <v>13</v>
      </c>
      <c r="G15703" s="0" t="s">
        <v>49</v>
      </c>
      <c r="H15703" s="5">
        <v>28.193400</v>
      </c>
    </row>
    <row r="15704" spans="1:9">
      <c r="A15704" s="22" t="str">
        <f>HYPERLINK("https://app.vivvix.com/360/KMI/IntelliDrive/ApplUI/Pages/CreativePages/CustomReportCreativeDetail.aspx?App=23&amp;ReportView=4&amp;Qid=1711279&amp;Row=15696&amp;Col=1","No Title Assigned - #15275266234")</f>
        <v/>
      </c>
      <c r="B15704" s="0" t="s">
        <v>20879</v>
      </c>
      <c r="C15704" s="0" t="s">
        <v>20880</v>
      </c>
      <c r="D15704" s="0" t="s">
        <v>20880</v>
      </c>
      <c r="E15704" s="0" t="inlineStr">
        <is>
          <t xml:space="preserve">Mazda</t>
        </is>
      </c>
      <c r="F15704" s="0" t="s">
        <v>13</v>
      </c>
      <c r="G15704" s="0" t="s">
        <v>49</v>
      </c>
      <c r="H15704" s="5">
        <v>252.838000</v>
      </c>
    </row>
    <row r="15705" spans="1:9">
      <c r="A15705" s="22" t="str">
        <f>HYPERLINK("https://app.vivvix.com/360/KMI/IntelliDrive/ApplUI/Pages/CreativePages/CustomReportCreativeDetail.aspx?App=23&amp;ReportView=4&amp;Qid=1711279&amp;Row=15697&amp;Col=1","No Title Assigned - #15275266375")</f>
        <v/>
      </c>
      <c r="B15705" s="0" t="s">
        <v>20881</v>
      </c>
      <c r="E15705" s="0" t="inlineStr">
        <is>
          <t xml:space="preserve">Mazda</t>
        </is>
      </c>
      <c r="F15705" s="0" t="s">
        <v>13</v>
      </c>
      <c r="G15705" s="0" t="s">
        <v>49</v>
      </c>
      <c r="H15705" s="5">
        <v>49.968500</v>
      </c>
    </row>
    <row r="15706" spans="1:9">
      <c r="A15706" s="22" t="str">
        <f>HYPERLINK("https://app.vivvix.com/360/KMI/IntelliDrive/ApplUI/Pages/CreativePages/CustomReportCreativeDetail.aspx?App=23&amp;ReportView=4&amp;Qid=1711279&amp;Row=15698&amp;Col=1","No Title Assigned - #15275266545")</f>
        <v/>
      </c>
      <c r="B15706" s="0" t="s">
        <v>20882</v>
      </c>
      <c r="E15706" s="0" t="inlineStr">
        <is>
          <t xml:space="preserve">Mazda</t>
        </is>
      </c>
      <c r="F15706" s="0" t="s">
        <v>13</v>
      </c>
      <c r="G15706" s="0" t="s">
        <v>49</v>
      </c>
      <c r="H15706" s="5">
        <v>56.766000</v>
      </c>
    </row>
    <row r="15707" spans="1:9">
      <c r="A15707" s="22" t="str">
        <f>HYPERLINK("https://app.vivvix.com/360/KMI/IntelliDrive/ApplUI/Pages/CreativePages/CustomReportCreativeDetail.aspx?App=23&amp;ReportView=4&amp;Qid=1711279&amp;Row=15699&amp;Col=1","No Title Assigned - #15275266545")</f>
        <v/>
      </c>
      <c r="B15707" s="0" t="s">
        <v>20882</v>
      </c>
      <c r="C15707" s="0" t="s">
        <v>20883</v>
      </c>
      <c r="D15707" s="0" t="s">
        <v>20883</v>
      </c>
      <c r="E15707" s="0" t="inlineStr">
        <is>
          <t xml:space="preserve">Mazda</t>
        </is>
      </c>
      <c r="F15707" s="0" t="s">
        <v>13</v>
      </c>
      <c r="G15707" s="0" t="s">
        <v>49</v>
      </c>
      <c r="H15707" s="5">
        <v>1067.942800</v>
      </c>
    </row>
    <row r="15708" spans="1:9">
      <c r="A15708" s="22" t="str">
        <f>HYPERLINK("https://app.vivvix.com/360/KMI/IntelliDrive/ApplUI/Pages/CreativePages/CustomReportCreativeDetail.aspx?App=23&amp;ReportView=4&amp;Qid=1711279&amp;Row=15700&amp;Col=1","No Title Assigned - #15275267166")</f>
        <v/>
      </c>
      <c r="B15708" s="0" t="s">
        <v>20884</v>
      </c>
      <c r="E15708" s="0" t="inlineStr">
        <is>
          <t xml:space="preserve">Mazda</t>
        </is>
      </c>
      <c r="F15708" s="0" t="inlineStr">
        <is>
          <t xml:space="preserve">Mazda</t>
        </is>
      </c>
      <c r="G15708" s="0" t="s">
        <v>171</v>
      </c>
      <c r="H15708" s="5">
        <v>15.572100</v>
      </c>
    </row>
    <row r="15709" spans="1:9">
      <c r="A15709" s="22" t="str">
        <f>HYPERLINK("https://app.vivvix.com/360/KMI/IntelliDrive/ApplUI/Pages/CreativePages/CustomReportCreativeDetail.aspx?App=23&amp;ReportView=4&amp;Qid=1711279&amp;Row=15701&amp;Col=1","No Title Assigned - #15275267244")</f>
        <v/>
      </c>
      <c r="B15709" s="0" t="s">
        <v>20885</v>
      </c>
      <c r="E15709" s="0" t="inlineStr">
        <is>
          <t xml:space="preserve">Mazda</t>
        </is>
      </c>
      <c r="F15709" s="0" t="inlineStr">
        <is>
          <t xml:space="preserve">Mazda</t>
        </is>
      </c>
      <c r="G15709" s="0" t="s">
        <v>171</v>
      </c>
      <c r="H15709" s="5">
        <v>20.883800</v>
      </c>
    </row>
    <row r="15710" spans="1:9">
      <c r="A15710" s="22" t="str">
        <f>HYPERLINK("https://app.vivvix.com/360/KMI/IntelliDrive/ApplUI/Pages/CreativePages/CustomReportCreativeDetail.aspx?App=23&amp;ReportView=4&amp;Qid=1711279&amp;Row=15702&amp;Col=1","No Title Assigned - #15275268153")</f>
        <v/>
      </c>
      <c r="B15710" s="0" t="s">
        <v>20886</v>
      </c>
      <c r="C15710" s="0" t="s">
        <v>20887</v>
      </c>
      <c r="D15710" s="0" t="s">
        <v>4335</v>
      </c>
      <c r="E15710" s="0" t="inlineStr">
        <is>
          <t xml:space="preserve">Mazda</t>
        </is>
      </c>
      <c r="F15710" s="0" t="s">
        <v>13</v>
      </c>
      <c r="G15710" s="0" t="s">
        <v>49</v>
      </c>
      <c r="H15710" s="5">
        <v>484.893600</v>
      </c>
    </row>
    <row r="15711" spans="1:9">
      <c r="A15711" s="22" t="str">
        <f>HYPERLINK("https://app.vivvix.com/360/KMI/IntelliDrive/ApplUI/Pages/CreativePages/CustomReportCreativeDetail.aspx?App=23&amp;ReportView=4&amp;Qid=1711279&amp;Row=15703&amp;Col=1","No Title Assigned - #15275268392")</f>
        <v/>
      </c>
      <c r="B15711" s="0" t="s">
        <v>20888</v>
      </c>
      <c r="E15711" s="0" t="inlineStr">
        <is>
          <t xml:space="preserve">Mazda</t>
        </is>
      </c>
      <c r="F15711" s="0" t="inlineStr">
        <is>
          <t xml:space="preserve">Mazda</t>
        </is>
      </c>
      <c r="G15711" s="0" t="s">
        <v>171</v>
      </c>
      <c r="H15711" s="5">
        <v>240.069900</v>
      </c>
    </row>
    <row r="15712" spans="1:9">
      <c r="A15712" s="22" t="str">
        <f>HYPERLINK("https://app.vivvix.com/360/KMI/IntelliDrive/ApplUI/Pages/CreativePages/CustomReportCreativeDetail.aspx?App=23&amp;ReportView=4&amp;Qid=1711279&amp;Row=15704&amp;Col=1","No Title Assigned - #15275268486")</f>
        <v/>
      </c>
      <c r="B15712" s="0" t="s">
        <v>20889</v>
      </c>
      <c r="E15712" s="0" t="inlineStr">
        <is>
          <t xml:space="preserve">Mazda</t>
        </is>
      </c>
      <c r="F15712" s="0" t="inlineStr">
        <is>
          <t xml:space="preserve">Mazda</t>
        </is>
      </c>
      <c r="G15712" s="0" t="s">
        <v>171</v>
      </c>
      <c r="H15712" s="5">
        <v>121.461500</v>
      </c>
    </row>
    <row r="15713" spans="1:9">
      <c r="A15713" s="22" t="str">
        <f>HYPERLINK("https://app.vivvix.com/360/KMI/IntelliDrive/ApplUI/Pages/CreativePages/CustomReportCreativeDetail.aspx?App=23&amp;ReportView=4&amp;Qid=1711279&amp;Row=15705&amp;Col=1","No Title Assigned - #15275268496")</f>
        <v/>
      </c>
      <c r="B15713" s="0" t="s">
        <v>20890</v>
      </c>
      <c r="E15713" s="0" t="inlineStr">
        <is>
          <t xml:space="preserve">Mazda</t>
        </is>
      </c>
      <c r="F15713" s="0" t="inlineStr">
        <is>
          <t xml:space="preserve">Mazda</t>
        </is>
      </c>
      <c r="G15713" s="0" t="s">
        <v>171</v>
      </c>
      <c r="H15713" s="5">
        <v>162.347600</v>
      </c>
    </row>
    <row r="15714" spans="1:9">
      <c r="A15714" s="22" t="str">
        <f>HYPERLINK("https://app.vivvix.com/360/KMI/IntelliDrive/ApplUI/Pages/CreativePages/CustomReportCreativeDetail.aspx?App=23&amp;ReportView=4&amp;Qid=1711279&amp;Row=15706&amp;Col=1","No Title Assigned - #15275268622")</f>
        <v/>
      </c>
      <c r="B15714" s="0" t="s">
        <v>20891</v>
      </c>
      <c r="E15714" s="0" t="inlineStr">
        <is>
          <t xml:space="preserve">Mazda</t>
        </is>
      </c>
      <c r="F15714" s="0" t="inlineStr">
        <is>
          <t xml:space="preserve">Mazda</t>
        </is>
      </c>
      <c r="G15714" s="0" t="s">
        <v>171</v>
      </c>
      <c r="H15714" s="5">
        <v>179.393700</v>
      </c>
    </row>
    <row r="15715" spans="1:9">
      <c r="A15715" s="22" t="str">
        <f>HYPERLINK("https://app.vivvix.com/360/KMI/IntelliDrive/ApplUI/Pages/CreativePages/CustomReportCreativeDetail.aspx?App=23&amp;ReportView=4&amp;Qid=1711279&amp;Row=15707&amp;Col=1","No Title Assigned - #15275268793")</f>
        <v/>
      </c>
      <c r="B15715" s="0" t="s">
        <v>20892</v>
      </c>
      <c r="E15715" s="0" t="inlineStr">
        <is>
          <t xml:space="preserve">Mazda</t>
        </is>
      </c>
      <c r="F15715" s="0" t="inlineStr">
        <is>
          <t xml:space="preserve">Mazda</t>
        </is>
      </c>
      <c r="G15715" s="0" t="s">
        <v>171</v>
      </c>
      <c r="H15715" s="5">
        <v>7884.500500</v>
      </c>
    </row>
    <row r="15716" spans="1:9">
      <c r="A15716" s="22" t="str">
        <f>HYPERLINK("https://app.vivvix.com/360/KMI/IntelliDrive/ApplUI/Pages/CreativePages/CustomReportCreativeDetail.aspx?App=23&amp;ReportView=4&amp;Qid=1711279&amp;Row=15708&amp;Col=1","No Title Assigned - #15275268953")</f>
        <v/>
      </c>
      <c r="B15716" s="0" t="s">
        <v>20893</v>
      </c>
      <c r="E15716" s="0" t="inlineStr">
        <is>
          <t xml:space="preserve">Mazda</t>
        </is>
      </c>
      <c r="F15716" s="0" t="s">
        <v>28</v>
      </c>
      <c r="G15716" s="0" t="s">
        <v>29</v>
      </c>
      <c r="H15716" s="5">
        <v>480.187100</v>
      </c>
    </row>
    <row r="15717" spans="1:9">
      <c r="A15717" s="22" t="str">
        <f>HYPERLINK("https://app.vivvix.com/360/KMI/IntelliDrive/ApplUI/Pages/CreativePages/CustomReportCreativeDetail.aspx?App=23&amp;ReportView=4&amp;Qid=1711279&amp;Row=15709&amp;Col=1","No Title Assigned - #15275269521")</f>
        <v/>
      </c>
      <c r="B15717" s="0" t="s">
        <v>20894</v>
      </c>
      <c r="C15717" s="0" t="s">
        <v>20895</v>
      </c>
      <c r="D15717" s="0" t="s">
        <v>20895</v>
      </c>
      <c r="E15717" s="0" t="inlineStr">
        <is>
          <t xml:space="preserve">Mazda</t>
        </is>
      </c>
      <c r="F15717" s="0" t="s">
        <v>13</v>
      </c>
      <c r="G15717" s="0" t="s">
        <v>49</v>
      </c>
      <c r="H15717" s="5">
        <v>1106.003100</v>
      </c>
    </row>
    <row r="15718" spans="1:9">
      <c r="A15718" s="22" t="str">
        <f>HYPERLINK("https://app.vivvix.com/360/KMI/IntelliDrive/ApplUI/Pages/CreativePages/CustomReportCreativeDetail.aspx?App=23&amp;ReportView=4&amp;Qid=1711279&amp;Row=15710&amp;Col=1","No Title Assigned - #15275269615")</f>
        <v/>
      </c>
      <c r="B15718" s="0" t="s">
        <v>20896</v>
      </c>
      <c r="E15718" s="0" t="inlineStr">
        <is>
          <t xml:space="preserve">Mazda</t>
        </is>
      </c>
      <c r="F15718" s="0" t="s">
        <v>13</v>
      </c>
      <c r="G15718" s="0" t="s">
        <v>49</v>
      </c>
      <c r="H15718" s="5">
        <v>81.176300</v>
      </c>
    </row>
    <row r="15719" spans="1:9">
      <c r="A15719" s="22" t="str">
        <f>HYPERLINK("https://app.vivvix.com/360/KMI/IntelliDrive/ApplUI/Pages/CreativePages/CustomReportCreativeDetail.aspx?App=23&amp;ReportView=4&amp;Qid=1711279&amp;Row=15711&amp;Col=1","No Title Assigned - #15275269971")</f>
        <v/>
      </c>
      <c r="B15719" s="0" t="s">
        <v>20897</v>
      </c>
      <c r="C15719" s="0" t="s">
        <v>20898</v>
      </c>
      <c r="D15719" s="0" t="s">
        <v>11499</v>
      </c>
      <c r="E15719" s="0" t="inlineStr">
        <is>
          <t xml:space="preserve">Mazda</t>
        </is>
      </c>
      <c r="F15719" s="0" t="s">
        <v>13</v>
      </c>
      <c r="G15719" s="0" t="s">
        <v>49</v>
      </c>
      <c r="H15719" s="5">
        <v>42.695100</v>
      </c>
    </row>
    <row r="15720" spans="1:9">
      <c r="A15720" s="22" t="str">
        <f>HYPERLINK("https://app.vivvix.com/360/KMI/IntelliDrive/ApplUI/Pages/CreativePages/CustomReportCreativeDetail.aspx?App=23&amp;ReportView=4&amp;Qid=1711279&amp;Row=15712&amp;Col=1","No Title Assigned - #15275270084")</f>
        <v/>
      </c>
      <c r="B15720" s="0" t="s">
        <v>20899</v>
      </c>
      <c r="C15720" s="0" t="s">
        <v>20900</v>
      </c>
      <c r="D15720" s="0" t="s">
        <v>20900</v>
      </c>
      <c r="E15720" s="0" t="inlineStr">
        <is>
          <t xml:space="preserve">Mazda</t>
        </is>
      </c>
      <c r="F15720" s="0" t="s">
        <v>13</v>
      </c>
      <c r="G15720" s="0" t="s">
        <v>49</v>
      </c>
      <c r="H15720" s="5">
        <v>36.059700</v>
      </c>
    </row>
    <row r="15721" spans="1:9">
      <c r="A15721" s="22" t="str">
        <f>HYPERLINK("https://app.vivvix.com/360/KMI/IntelliDrive/ApplUI/Pages/CreativePages/CustomReportCreativeDetail.aspx?App=23&amp;ReportView=4&amp;Qid=1711279&amp;Row=15713&amp;Col=1","No Title Assigned - #15275270091")</f>
        <v/>
      </c>
      <c r="B15721" s="0" t="s">
        <v>20901</v>
      </c>
      <c r="C15721" s="0" t="s">
        <v>20902</v>
      </c>
      <c r="D15721" s="0" t="s">
        <v>7396</v>
      </c>
      <c r="E15721" s="0" t="inlineStr">
        <is>
          <t xml:space="preserve">Mazda</t>
        </is>
      </c>
      <c r="F15721" s="0" t="s">
        <v>13</v>
      </c>
      <c r="G15721" s="0" t="s">
        <v>49</v>
      </c>
      <c r="H15721" s="5">
        <v>65.047800</v>
      </c>
    </row>
    <row r="15722" spans="1:9">
      <c r="A15722" s="22" t="str">
        <f>HYPERLINK("https://app.vivvix.com/360/KMI/IntelliDrive/ApplUI/Pages/CreativePages/CustomReportCreativeDetail.aspx?App=23&amp;ReportView=4&amp;Qid=1711279&amp;Row=15714&amp;Col=1","No Title Assigned - #15275270707")</f>
        <v/>
      </c>
      <c r="B15722" s="0" t="s">
        <v>20903</v>
      </c>
      <c r="C15722" s="0" t="s">
        <v>20904</v>
      </c>
      <c r="D15722" s="0" t="s">
        <v>4335</v>
      </c>
      <c r="E15722" s="0" t="inlineStr">
        <is>
          <t xml:space="preserve">Mazda</t>
        </is>
      </c>
      <c r="F15722" s="0" t="s">
        <v>13</v>
      </c>
      <c r="G15722" s="0" t="s">
        <v>49</v>
      </c>
      <c r="H15722" s="5">
        <v>54.326100</v>
      </c>
    </row>
    <row r="15723" spans="1:9">
      <c r="A15723" s="22" t="str">
        <f>HYPERLINK("https://app.vivvix.com/360/KMI/IntelliDrive/ApplUI/Pages/CreativePages/CustomReportCreativeDetail.aspx?App=23&amp;ReportView=4&amp;Qid=1711279&amp;Row=15715&amp;Col=1","No Title Assigned - #15275271856")</f>
        <v/>
      </c>
      <c r="B15723" s="0" t="s">
        <v>20905</v>
      </c>
      <c r="E15723" s="0" t="inlineStr">
        <is>
          <t xml:space="preserve">Mazda</t>
        </is>
      </c>
      <c r="F15723" s="0" t="inlineStr">
        <is>
          <t xml:space="preserve">Mazda</t>
        </is>
      </c>
      <c r="G15723" s="0" t="s">
        <v>171</v>
      </c>
      <c r="H15723" s="5">
        <v>326.154200</v>
      </c>
    </row>
    <row r="15724" spans="1:9">
      <c r="A15724" s="22" t="str">
        <f>HYPERLINK("https://app.vivvix.com/360/KMI/IntelliDrive/ApplUI/Pages/CreativePages/CustomReportCreativeDetail.aspx?App=23&amp;ReportView=4&amp;Qid=1711279&amp;Row=15716&amp;Col=1","No Title Assigned - #15275271861")</f>
        <v/>
      </c>
      <c r="B15724" s="0" t="s">
        <v>20906</v>
      </c>
      <c r="E15724" s="0" t="inlineStr">
        <is>
          <t xml:space="preserve">Mazda</t>
        </is>
      </c>
      <c r="F15724" s="0" t="inlineStr">
        <is>
          <t xml:space="preserve">Mazda</t>
        </is>
      </c>
      <c r="G15724" s="0" t="s">
        <v>171</v>
      </c>
      <c r="H15724" s="5">
        <v>4.288000</v>
      </c>
    </row>
    <row r="15725" spans="1:9">
      <c r="A15725" s="22" t="str">
        <f>HYPERLINK("https://app.vivvix.com/360/KMI/IntelliDrive/ApplUI/Pages/CreativePages/CustomReportCreativeDetail.aspx?App=23&amp;ReportView=4&amp;Qid=1711279&amp;Row=15717&amp;Col=1","No Title Assigned - #15275272594")</f>
        <v/>
      </c>
      <c r="B15725" s="0" t="s">
        <v>20907</v>
      </c>
      <c r="E15725" s="0" t="inlineStr">
        <is>
          <t xml:space="preserve">Mazda</t>
        </is>
      </c>
      <c r="F15725" s="0" t="inlineStr">
        <is>
          <t xml:space="preserve">Mazda</t>
        </is>
      </c>
      <c r="G15725" s="0" t="s">
        <v>171</v>
      </c>
      <c r="H15725" s="5">
        <v>147.049300</v>
      </c>
    </row>
    <row r="15726" spans="1:9">
      <c r="A15726" s="22" t="str">
        <f>HYPERLINK("https://app.vivvix.com/360/KMI/IntelliDrive/ApplUI/Pages/CreativePages/CustomReportCreativeDetail.aspx?App=23&amp;ReportView=4&amp;Qid=1711279&amp;Row=15718&amp;Col=1","No Title Assigned - #15275272820")</f>
        <v/>
      </c>
      <c r="B15726" s="0" t="s">
        <v>20908</v>
      </c>
      <c r="E15726" s="0" t="inlineStr">
        <is>
          <t xml:space="preserve">Mazda</t>
        </is>
      </c>
      <c r="F15726" s="0" t="inlineStr">
        <is>
          <t xml:space="preserve">Mazda</t>
        </is>
      </c>
      <c r="G15726" s="0" t="s">
        <v>171</v>
      </c>
      <c r="H15726" s="5">
        <v>337.427900</v>
      </c>
    </row>
    <row r="15727" spans="1:9">
      <c r="A15727" s="22" t="str">
        <f>HYPERLINK("https://app.vivvix.com/360/KMI/IntelliDrive/ApplUI/Pages/CreativePages/CustomReportCreativeDetail.aspx?App=23&amp;ReportView=4&amp;Qid=1711279&amp;Row=15719&amp;Col=1","No Title Assigned - #15275272830")</f>
        <v/>
      </c>
      <c r="B15727" s="0" t="s">
        <v>20909</v>
      </c>
      <c r="E15727" s="0" t="inlineStr">
        <is>
          <t xml:space="preserve">Mazda</t>
        </is>
      </c>
      <c r="F15727" s="0" t="inlineStr">
        <is>
          <t xml:space="preserve">Mazda</t>
        </is>
      </c>
      <c r="G15727" s="0" t="s">
        <v>171</v>
      </c>
      <c r="H15727" s="5">
        <v>20.326000</v>
      </c>
    </row>
    <row r="15728" spans="1:9">
      <c r="A15728" s="22" t="str">
        <f>HYPERLINK("https://app.vivvix.com/360/KMI/IntelliDrive/ApplUI/Pages/CreativePages/CustomReportCreativeDetail.aspx?App=23&amp;ReportView=4&amp;Qid=1711279&amp;Row=15720&amp;Col=1","No Title Assigned - #15275273006")</f>
        <v/>
      </c>
      <c r="B15728" s="0" t="s">
        <v>20910</v>
      </c>
      <c r="E15728" s="0" t="inlineStr">
        <is>
          <t xml:space="preserve">Mazda</t>
        </is>
      </c>
      <c r="F15728" s="0" t="inlineStr">
        <is>
          <t xml:space="preserve">Mazda</t>
        </is>
      </c>
      <c r="G15728" s="0" t="s">
        <v>171</v>
      </c>
      <c r="H15728" s="5">
        <v>45.965400</v>
      </c>
    </row>
    <row r="15729" spans="1:9">
      <c r="A15729" s="22" t="str">
        <f>HYPERLINK("https://app.vivvix.com/360/KMI/IntelliDrive/ApplUI/Pages/CreativePages/CustomReportCreativeDetail.aspx?App=23&amp;ReportView=4&amp;Qid=1711279&amp;Row=15721&amp;Col=1","No Title Assigned - #15275273137")</f>
        <v/>
      </c>
      <c r="B15729" s="0" t="s">
        <v>20911</v>
      </c>
      <c r="E15729" s="0" t="inlineStr">
        <is>
          <t xml:space="preserve">Mazda</t>
        </is>
      </c>
      <c r="F15729" s="0" t="inlineStr">
        <is>
          <t xml:space="preserve">Mazda</t>
        </is>
      </c>
      <c r="G15729" s="0" t="s">
        <v>171</v>
      </c>
      <c r="H15729" s="5">
        <v>1232.597400</v>
      </c>
    </row>
    <row r="15730" spans="1:9">
      <c r="A15730" s="22" t="str">
        <f>HYPERLINK("https://app.vivvix.com/360/KMI/IntelliDrive/ApplUI/Pages/CreativePages/CustomReportCreativeDetail.aspx?App=23&amp;ReportView=4&amp;Qid=1711279&amp;Row=15722&amp;Col=1","No Title Assigned - #15275273453")</f>
        <v/>
      </c>
      <c r="B15730" s="0" t="s">
        <v>20912</v>
      </c>
      <c r="C15730" s="0" t="s">
        <v>20913</v>
      </c>
      <c r="D15730" s="0" t="s">
        <v>20913</v>
      </c>
      <c r="E15730" s="0" t="inlineStr">
        <is>
          <t xml:space="preserve">Mazda</t>
        </is>
      </c>
      <c r="F15730" s="0" t="s">
        <v>13</v>
      </c>
      <c r="G15730" s="0" t="s">
        <v>49</v>
      </c>
      <c r="H15730" s="5">
        <v>454.898100</v>
      </c>
    </row>
    <row r="15731" spans="1:9">
      <c r="A15731" s="22" t="str">
        <f>HYPERLINK("https://app.vivvix.com/360/KMI/IntelliDrive/ApplUI/Pages/CreativePages/CustomReportCreativeDetail.aspx?App=23&amp;ReportView=4&amp;Qid=1711279&amp;Row=15723&amp;Col=1","No Title Assigned - #15275273660")</f>
        <v/>
      </c>
      <c r="B15731" s="0" t="s">
        <v>20914</v>
      </c>
      <c r="E15731" s="0" t="inlineStr">
        <is>
          <t xml:space="preserve">Mazda</t>
        </is>
      </c>
      <c r="F15731" s="0" t="s">
        <v>21</v>
      </c>
      <c r="G15731" s="0" t="s">
        <v>22</v>
      </c>
      <c r="H15731" s="5">
        <v>1078.700200</v>
      </c>
    </row>
    <row r="15732" spans="1:9">
      <c r="A15732" s="22" t="str">
        <f>HYPERLINK("https://app.vivvix.com/360/KMI/IntelliDrive/ApplUI/Pages/CreativePages/CustomReportCreativeDetail.aspx?App=23&amp;ReportView=4&amp;Qid=1711279&amp;Row=15724&amp;Col=1","No Title Assigned - #15275273781")</f>
        <v/>
      </c>
      <c r="B15732" s="0" t="s">
        <v>20915</v>
      </c>
      <c r="E15732" s="0" t="inlineStr">
        <is>
          <t xml:space="preserve">Mazda</t>
        </is>
      </c>
      <c r="F15732" s="0" t="inlineStr">
        <is>
          <t xml:space="preserve">Mazda</t>
        </is>
      </c>
      <c r="G15732" s="0" t="s">
        <v>171</v>
      </c>
      <c r="H15732" s="5">
        <v>14.262500</v>
      </c>
    </row>
    <row r="15733" spans="1:9">
      <c r="A15733" s="22" t="str">
        <f>HYPERLINK("https://app.vivvix.com/360/KMI/IntelliDrive/ApplUI/Pages/CreativePages/CustomReportCreativeDetail.aspx?App=23&amp;ReportView=4&amp;Qid=1711279&amp;Row=15725&amp;Col=1","No Title Assigned - #15275273783")</f>
        <v/>
      </c>
      <c r="B15733" s="0" t="s">
        <v>20916</v>
      </c>
      <c r="E15733" s="0" t="inlineStr">
        <is>
          <t xml:space="preserve">Mazda</t>
        </is>
      </c>
      <c r="F15733" s="0" t="inlineStr">
        <is>
          <t xml:space="preserve">Mazda</t>
        </is>
      </c>
      <c r="G15733" s="0" t="s">
        <v>171</v>
      </c>
      <c r="H15733" s="5">
        <v>10.809400</v>
      </c>
    </row>
    <row r="15734" spans="1:9">
      <c r="A15734" s="22" t="str">
        <f>HYPERLINK("https://app.vivvix.com/360/KMI/IntelliDrive/ApplUI/Pages/CreativePages/CustomReportCreativeDetail.aspx?App=23&amp;ReportView=4&amp;Qid=1711279&amp;Row=15726&amp;Col=1","No Title Assigned - #15275274297")</f>
        <v/>
      </c>
      <c r="B15734" s="0" t="s">
        <v>20917</v>
      </c>
      <c r="E15734" s="0" t="inlineStr">
        <is>
          <t xml:space="preserve">Mazda</t>
        </is>
      </c>
      <c r="F15734" s="0" t="inlineStr">
        <is>
          <t xml:space="preserve">Mazda</t>
        </is>
      </c>
      <c r="G15734" s="0" t="s">
        <v>171</v>
      </c>
      <c r="H15734" s="5">
        <v>127.669100</v>
      </c>
    </row>
    <row r="15735" spans="1:9">
      <c r="A15735" s="22" t="str">
        <f>HYPERLINK("https://app.vivvix.com/360/KMI/IntelliDrive/ApplUI/Pages/CreativePages/CustomReportCreativeDetail.aspx?App=23&amp;ReportView=4&amp;Qid=1711279&amp;Row=15727&amp;Col=1","No Title Assigned - #15275274561")</f>
        <v/>
      </c>
      <c r="B15735" s="0" t="s">
        <v>20918</v>
      </c>
      <c r="E15735" s="0" t="inlineStr">
        <is>
          <t xml:space="preserve">Mazda</t>
        </is>
      </c>
      <c r="F15735" s="0" t="inlineStr">
        <is>
          <t xml:space="preserve">Mazda</t>
        </is>
      </c>
      <c r="G15735" s="0" t="s">
        <v>171</v>
      </c>
      <c r="H15735" s="5">
        <v>201.368200</v>
      </c>
    </row>
    <row r="15736" spans="1:9">
      <c r="A15736" s="22" t="str">
        <f>HYPERLINK("https://app.vivvix.com/360/KMI/IntelliDrive/ApplUI/Pages/CreativePages/CustomReportCreativeDetail.aspx?App=23&amp;ReportView=4&amp;Qid=1711279&amp;Row=15728&amp;Col=1","No Title Assigned - #15275274820")</f>
        <v/>
      </c>
      <c r="B15736" s="0" t="s">
        <v>20919</v>
      </c>
      <c r="E15736" s="0" t="inlineStr">
        <is>
          <t xml:space="preserve">Mazda</t>
        </is>
      </c>
      <c r="F15736" s="0" t="inlineStr">
        <is>
          <t xml:space="preserve">Mazda</t>
        </is>
      </c>
      <c r="G15736" s="0" t="s">
        <v>171</v>
      </c>
      <c r="H15736" s="5">
        <v>2308.212400</v>
      </c>
    </row>
    <row r="15737" spans="1:9">
      <c r="A15737" s="22" t="str">
        <f>HYPERLINK("https://app.vivvix.com/360/KMI/IntelliDrive/ApplUI/Pages/CreativePages/CustomReportCreativeDetail.aspx?App=23&amp;ReportView=4&amp;Qid=1711279&amp;Row=15729&amp;Col=1","No Title Assigned - #15275275648")</f>
        <v/>
      </c>
      <c r="B15737" s="0" t="s">
        <v>20920</v>
      </c>
      <c r="E15737" s="0" t="inlineStr">
        <is>
          <t xml:space="preserve">Mazda</t>
        </is>
      </c>
      <c r="F15737" s="0" t="inlineStr">
        <is>
          <t xml:space="preserve">Mazda</t>
        </is>
      </c>
      <c r="G15737" s="0" t="s">
        <v>171</v>
      </c>
      <c r="H15737" s="5">
        <v>161.535100</v>
      </c>
    </row>
    <row r="15738" spans="1:9">
      <c r="A15738" s="22" t="str">
        <f>HYPERLINK("https://app.vivvix.com/360/KMI/IntelliDrive/ApplUI/Pages/CreativePages/CustomReportCreativeDetail.aspx?App=23&amp;ReportView=4&amp;Qid=1711279&amp;Row=15730&amp;Col=1","No Title Assigned - #15275275759")</f>
        <v/>
      </c>
      <c r="B15738" s="0" t="s">
        <v>20921</v>
      </c>
      <c r="E15738" s="0" t="inlineStr">
        <is>
          <t xml:space="preserve">Mazda</t>
        </is>
      </c>
      <c r="F15738" s="0" t="inlineStr">
        <is>
          <t xml:space="preserve">Mazda</t>
        </is>
      </c>
      <c r="G15738" s="0" t="s">
        <v>171</v>
      </c>
      <c r="H15738" s="5">
        <v>600.432400</v>
      </c>
    </row>
    <row r="15739" spans="1:9">
      <c r="A15739" s="22" t="str">
        <f>HYPERLINK("https://app.vivvix.com/360/KMI/IntelliDrive/ApplUI/Pages/CreativePages/CustomReportCreativeDetail.aspx?App=23&amp;ReportView=4&amp;Qid=1711279&amp;Row=15731&amp;Col=1","No Title Assigned - #15275275825")</f>
        <v/>
      </c>
      <c r="B15739" s="0" t="s">
        <v>20922</v>
      </c>
      <c r="E15739" s="0" t="inlineStr">
        <is>
          <t xml:space="preserve">Mazda</t>
        </is>
      </c>
      <c r="F15739" s="0" t="inlineStr">
        <is>
          <t xml:space="preserve">Mazda</t>
        </is>
      </c>
      <c r="G15739" s="0" t="s">
        <v>171</v>
      </c>
      <c r="H15739" s="5">
        <v>24.300600</v>
      </c>
    </row>
    <row r="15740" spans="1:9">
      <c r="A15740" s="22" t="str">
        <f>HYPERLINK("https://app.vivvix.com/360/KMI/IntelliDrive/ApplUI/Pages/CreativePages/CustomReportCreativeDetail.aspx?App=23&amp;ReportView=4&amp;Qid=1711279&amp;Row=15732&amp;Col=1","No Title Assigned - #15275275970")</f>
        <v/>
      </c>
      <c r="B15740" s="0" t="s">
        <v>20923</v>
      </c>
      <c r="E15740" s="0" t="inlineStr">
        <is>
          <t xml:space="preserve">Mazda</t>
        </is>
      </c>
      <c r="F15740" s="0" t="inlineStr">
        <is>
          <t xml:space="preserve">Mazda</t>
        </is>
      </c>
      <c r="G15740" s="0" t="s">
        <v>171</v>
      </c>
      <c r="H15740" s="5">
        <v>13.775300</v>
      </c>
    </row>
    <row r="15741" spans="1:9">
      <c r="A15741" s="22" t="str">
        <f>HYPERLINK("https://app.vivvix.com/360/KMI/IntelliDrive/ApplUI/Pages/CreativePages/CustomReportCreativeDetail.aspx?App=23&amp;ReportView=4&amp;Qid=1711279&amp;Row=15733&amp;Col=1","No Title Assigned - #15275276271")</f>
        <v/>
      </c>
      <c r="B15741" s="0" t="s">
        <v>20924</v>
      </c>
      <c r="E15741" s="0" t="inlineStr">
        <is>
          <t xml:space="preserve">Mazda</t>
        </is>
      </c>
      <c r="F15741" s="0" t="inlineStr">
        <is>
          <t xml:space="preserve">Mazda</t>
        </is>
      </c>
      <c r="G15741" s="0" t="s">
        <v>171</v>
      </c>
      <c r="H15741" s="5">
        <v>18.277200</v>
      </c>
    </row>
    <row r="15742" spans="1:9">
      <c r="A15742" s="22" t="str">
        <f>HYPERLINK("https://app.vivvix.com/360/KMI/IntelliDrive/ApplUI/Pages/CreativePages/CustomReportCreativeDetail.aspx?App=23&amp;ReportView=4&amp;Qid=1711279&amp;Row=15734&amp;Col=1","No Title Assigned - #15275276330")</f>
        <v/>
      </c>
      <c r="B15742" s="0" t="s">
        <v>20925</v>
      </c>
      <c r="E15742" s="0" t="inlineStr">
        <is>
          <t xml:space="preserve">Mazda</t>
        </is>
      </c>
      <c r="F15742" s="0" t="inlineStr">
        <is>
          <t xml:space="preserve">Mazda</t>
        </is>
      </c>
      <c r="G15742" s="0" t="s">
        <v>171</v>
      </c>
      <c r="H15742" s="5">
        <v>13.830800</v>
      </c>
    </row>
    <row r="15743" spans="1:9">
      <c r="A15743" s="22" t="str">
        <f>HYPERLINK("https://app.vivvix.com/360/KMI/IntelliDrive/ApplUI/Pages/CreativePages/CustomReportCreativeDetail.aspx?App=23&amp;ReportView=4&amp;Qid=1711279&amp;Row=15735&amp;Col=1","No Title Assigned - #15275276469")</f>
        <v/>
      </c>
      <c r="B15743" s="0" t="s">
        <v>20926</v>
      </c>
      <c r="E15743" s="0" t="inlineStr">
        <is>
          <t xml:space="preserve">Mazda</t>
        </is>
      </c>
      <c r="F15743" s="0" t="inlineStr">
        <is>
          <t xml:space="preserve">Mazda</t>
        </is>
      </c>
      <c r="G15743" s="0" t="s">
        <v>171</v>
      </c>
      <c r="H15743" s="5">
        <v>331.555600</v>
      </c>
    </row>
    <row r="15744" spans="1:9">
      <c r="A15744" s="22" t="str">
        <f>HYPERLINK("https://app.vivvix.com/360/KMI/IntelliDrive/ApplUI/Pages/CreativePages/CustomReportCreativeDetail.aspx?App=23&amp;ReportView=4&amp;Qid=1711279&amp;Row=15736&amp;Col=1","No Title Assigned - #15275276616")</f>
        <v/>
      </c>
      <c r="B15744" s="0" t="s">
        <v>20927</v>
      </c>
      <c r="E15744" s="0" t="inlineStr">
        <is>
          <t xml:space="preserve">Mazda</t>
        </is>
      </c>
      <c r="F15744" s="0" t="inlineStr">
        <is>
          <t xml:space="preserve">Mazda</t>
        </is>
      </c>
      <c r="G15744" s="0" t="s">
        <v>171</v>
      </c>
      <c r="H15744" s="5">
        <v>45091.281300</v>
      </c>
    </row>
    <row r="15745" spans="1:9">
      <c r="A15745" s="22" t="str">
        <f>HYPERLINK("https://app.vivvix.com/360/KMI/IntelliDrive/ApplUI/Pages/CreativePages/CustomReportCreativeDetail.aspx?App=23&amp;ReportView=4&amp;Qid=1711279&amp;Row=15737&amp;Col=1","No Title Assigned - #15275276695")</f>
        <v/>
      </c>
      <c r="B15745" s="0" t="s">
        <v>20928</v>
      </c>
      <c r="E15745" s="0" t="inlineStr">
        <is>
          <t xml:space="preserve">Mazda</t>
        </is>
      </c>
      <c r="F15745" s="0" t="inlineStr">
        <is>
          <t xml:space="preserve">Mazda</t>
        </is>
      </c>
      <c r="G15745" s="0" t="s">
        <v>171</v>
      </c>
      <c r="H15745" s="5">
        <v>1020.633300</v>
      </c>
    </row>
    <row r="15746" spans="1:9">
      <c r="A15746" s="22" t="str">
        <f>HYPERLINK("https://app.vivvix.com/360/KMI/IntelliDrive/ApplUI/Pages/CreativePages/CustomReportCreativeDetail.aspx?App=23&amp;ReportView=4&amp;Qid=1711279&amp;Row=15738&amp;Col=1","No Title Assigned - #15275276718")</f>
        <v/>
      </c>
      <c r="B15746" s="0" t="s">
        <v>20929</v>
      </c>
      <c r="E15746" s="0" t="inlineStr">
        <is>
          <t xml:space="preserve">Mazda</t>
        </is>
      </c>
      <c r="F15746" s="0" t="inlineStr">
        <is>
          <t xml:space="preserve">Mazda</t>
        </is>
      </c>
      <c r="G15746" s="0" t="s">
        <v>171</v>
      </c>
      <c r="H15746" s="5">
        <v>61.148500</v>
      </c>
    </row>
    <row r="15747" spans="1:9">
      <c r="A15747" s="22" t="str">
        <f>HYPERLINK("https://app.vivvix.com/360/KMI/IntelliDrive/ApplUI/Pages/CreativePages/CustomReportCreativeDetail.aspx?App=23&amp;ReportView=4&amp;Qid=1711279&amp;Row=15739&amp;Col=1","No Title Assigned - #15275276721")</f>
        <v/>
      </c>
      <c r="B15747" s="0" t="s">
        <v>20930</v>
      </c>
      <c r="E15747" s="0" t="inlineStr">
        <is>
          <t xml:space="preserve">Mazda</t>
        </is>
      </c>
      <c r="F15747" s="0" t="inlineStr">
        <is>
          <t xml:space="preserve">Mazda</t>
        </is>
      </c>
      <c r="G15747" s="0" t="s">
        <v>171</v>
      </c>
      <c r="H15747" s="5">
        <v>179.393700</v>
      </c>
    </row>
    <row r="15748" spans="1:9">
      <c r="A15748" s="22" t="str">
        <f>HYPERLINK("https://app.vivvix.com/360/KMI/IntelliDrive/ApplUI/Pages/CreativePages/CustomReportCreativeDetail.aspx?App=23&amp;ReportView=4&amp;Qid=1711279&amp;Row=15740&amp;Col=1","No Title Assigned - #15275276914")</f>
        <v/>
      </c>
      <c r="B15748" s="0" t="s">
        <v>20931</v>
      </c>
      <c r="E15748" s="0" t="inlineStr">
        <is>
          <t xml:space="preserve">Mazda</t>
        </is>
      </c>
      <c r="F15748" s="0" t="inlineStr">
        <is>
          <t xml:space="preserve">Mazda</t>
        </is>
      </c>
      <c r="G15748" s="0" t="s">
        <v>171</v>
      </c>
      <c r="H15748" s="5">
        <v>22.074600</v>
      </c>
    </row>
    <row r="15749" spans="1:9">
      <c r="A15749" s="22" t="str">
        <f>HYPERLINK("https://app.vivvix.com/360/KMI/IntelliDrive/ApplUI/Pages/CreativePages/CustomReportCreativeDetail.aspx?App=23&amp;ReportView=4&amp;Qid=1711279&amp;Row=15741&amp;Col=1","No Title Assigned - #15275277146")</f>
        <v/>
      </c>
      <c r="B15749" s="0" t="s">
        <v>20932</v>
      </c>
      <c r="E15749" s="0" t="inlineStr">
        <is>
          <t xml:space="preserve">Mazda</t>
        </is>
      </c>
      <c r="F15749" s="0" t="inlineStr">
        <is>
          <t xml:space="preserve">Mazda</t>
        </is>
      </c>
      <c r="G15749" s="0" t="s">
        <v>171</v>
      </c>
      <c r="H15749" s="5">
        <v>14.344500</v>
      </c>
    </row>
    <row r="15750" spans="1:9">
      <c r="A15750" s="22" t="str">
        <f>HYPERLINK("https://app.vivvix.com/360/KMI/IntelliDrive/ApplUI/Pages/CreativePages/CustomReportCreativeDetail.aspx?App=23&amp;ReportView=4&amp;Qid=1711279&amp;Row=15742&amp;Col=1","No Title Assigned - #15275277219")</f>
        <v/>
      </c>
      <c r="B15750" s="0" t="s">
        <v>20933</v>
      </c>
      <c r="E15750" s="0" t="inlineStr">
        <is>
          <t xml:space="preserve">Mazda</t>
        </is>
      </c>
      <c r="F15750" s="0" t="inlineStr">
        <is>
          <t xml:space="preserve">Mazda</t>
        </is>
      </c>
      <c r="G15750" s="0" t="s">
        <v>171</v>
      </c>
      <c r="H15750" s="5">
        <v>221.169200</v>
      </c>
    </row>
    <row r="15751" spans="1:9">
      <c r="A15751" s="22" t="str">
        <f>HYPERLINK("https://app.vivvix.com/360/KMI/IntelliDrive/ApplUI/Pages/CreativePages/CustomReportCreativeDetail.aspx?App=23&amp;ReportView=4&amp;Qid=1711279&amp;Row=15743&amp;Col=1","No Title Assigned - #15275277235")</f>
        <v/>
      </c>
      <c r="B15751" s="0" t="s">
        <v>20934</v>
      </c>
      <c r="E15751" s="0" t="inlineStr">
        <is>
          <t xml:space="preserve">Mazda</t>
        </is>
      </c>
      <c r="F15751" s="0" t="inlineStr">
        <is>
          <t xml:space="preserve">Mazda</t>
        </is>
      </c>
      <c r="G15751" s="0" t="s">
        <v>171</v>
      </c>
      <c r="H15751" s="5">
        <v>33.955100</v>
      </c>
    </row>
    <row r="15752" spans="1:9">
      <c r="A15752" s="22" t="str">
        <f>HYPERLINK("https://app.vivvix.com/360/KMI/IntelliDrive/ApplUI/Pages/CreativePages/CustomReportCreativeDetail.aspx?App=23&amp;ReportView=4&amp;Qid=1711279&amp;Row=15744&amp;Col=1","No Title Assigned - #15275277273")</f>
        <v/>
      </c>
      <c r="B15752" s="0" t="s">
        <v>20935</v>
      </c>
      <c r="C15752" s="0" t="s">
        <v>20936</v>
      </c>
      <c r="D15752" s="0" t="s">
        <v>20936</v>
      </c>
      <c r="E15752" s="0" t="inlineStr">
        <is>
          <t xml:space="preserve">Mazda</t>
        </is>
      </c>
      <c r="F15752" s="0" t="inlineStr">
        <is>
          <t xml:space="preserve">Mazda</t>
        </is>
      </c>
      <c r="G15752" s="0" t="s">
        <v>171</v>
      </c>
      <c r="H15752" s="5">
        <v>377.409800</v>
      </c>
    </row>
    <row r="15753" spans="1:9">
      <c r="A15753" s="22" t="str">
        <f>HYPERLINK("https://app.vivvix.com/360/KMI/IntelliDrive/ApplUI/Pages/CreativePages/CustomReportCreativeDetail.aspx?App=23&amp;ReportView=4&amp;Qid=1711279&amp;Row=15745&amp;Col=1","No Title Assigned - #15275277747")</f>
        <v/>
      </c>
      <c r="B15753" s="0" t="s">
        <v>20937</v>
      </c>
      <c r="C15753" s="0" t="s">
        <v>20938</v>
      </c>
      <c r="D15753" s="0" t="s">
        <v>20938</v>
      </c>
      <c r="E15753" s="0" t="inlineStr">
        <is>
          <t xml:space="preserve">Mazda</t>
        </is>
      </c>
      <c r="F15753" s="0" t="s">
        <v>13</v>
      </c>
      <c r="G15753" s="0" t="s">
        <v>49</v>
      </c>
      <c r="H15753" s="5">
        <v>5969.140900</v>
      </c>
    </row>
    <row r="15754" spans="1:9">
      <c r="A15754" s="22" t="str">
        <f>HYPERLINK("https://app.vivvix.com/360/KMI/IntelliDrive/ApplUI/Pages/CreativePages/CustomReportCreativeDetail.aspx?App=23&amp;ReportView=4&amp;Qid=1711279&amp;Row=15746&amp;Col=1","No Title Assigned - #15275277747")</f>
        <v/>
      </c>
      <c r="B15754" s="0" t="s">
        <v>20937</v>
      </c>
      <c r="E15754" s="0" t="inlineStr">
        <is>
          <t xml:space="preserve">Mazda</t>
        </is>
      </c>
      <c r="F15754" s="0" t="s">
        <v>13</v>
      </c>
      <c r="G15754" s="0" t="s">
        <v>49</v>
      </c>
      <c r="H15754" s="5">
        <v>49.007100</v>
      </c>
    </row>
    <row r="15755" spans="1:9">
      <c r="A15755" s="22" t="str">
        <f>HYPERLINK("https://app.vivvix.com/360/KMI/IntelliDrive/ApplUI/Pages/CreativePages/CustomReportCreativeDetail.aspx?App=23&amp;ReportView=4&amp;Qid=1711279&amp;Row=15747&amp;Col=1","No Title Assigned - #15275278820")</f>
        <v/>
      </c>
      <c r="B15755" s="0" t="s">
        <v>20939</v>
      </c>
      <c r="E15755" s="0" t="inlineStr">
        <is>
          <t xml:space="preserve">Mazda</t>
        </is>
      </c>
      <c r="F15755" s="0" t="inlineStr">
        <is>
          <t xml:space="preserve">Mazda</t>
        </is>
      </c>
      <c r="G15755" s="0" t="s">
        <v>171</v>
      </c>
      <c r="H15755" s="5">
        <v>124.393900</v>
      </c>
    </row>
    <row r="15756" spans="1:9">
      <c r="A15756" s="22" t="str">
        <f>HYPERLINK("https://app.vivvix.com/360/KMI/IntelliDrive/ApplUI/Pages/CreativePages/CustomReportCreativeDetail.aspx?App=23&amp;ReportView=4&amp;Qid=1711279&amp;Row=15748&amp;Col=1","No Title Assigned - #15275279659")</f>
        <v/>
      </c>
      <c r="B15756" s="0" t="s">
        <v>20940</v>
      </c>
      <c r="E15756" s="0" t="inlineStr">
        <is>
          <t xml:space="preserve">Mazda</t>
        </is>
      </c>
      <c r="F15756" s="0" t="inlineStr">
        <is>
          <t xml:space="preserve">Mazda</t>
        </is>
      </c>
      <c r="G15756" s="0" t="s">
        <v>171</v>
      </c>
      <c r="H15756" s="5">
        <v>6045.374000</v>
      </c>
    </row>
    <row r="15757" spans="1:9">
      <c r="A15757" s="22" t="str">
        <f>HYPERLINK("https://app.vivvix.com/360/KMI/IntelliDrive/ApplUI/Pages/CreativePages/CustomReportCreativeDetail.aspx?App=23&amp;ReportView=4&amp;Qid=1711279&amp;Row=15749&amp;Col=1","No Title Assigned - #15275279663")</f>
        <v/>
      </c>
      <c r="B15757" s="0" t="s">
        <v>20941</v>
      </c>
      <c r="E15757" s="0" t="inlineStr">
        <is>
          <t xml:space="preserve">Mazda</t>
        </is>
      </c>
      <c r="F15757" s="0" t="inlineStr">
        <is>
          <t xml:space="preserve">Mazda</t>
        </is>
      </c>
      <c r="G15757" s="0" t="s">
        <v>171</v>
      </c>
      <c r="H15757" s="5">
        <v>510.029900</v>
      </c>
    </row>
    <row r="15758" spans="1:9">
      <c r="A15758" s="22" t="str">
        <f>HYPERLINK("https://app.vivvix.com/360/KMI/IntelliDrive/ApplUI/Pages/CreativePages/CustomReportCreativeDetail.aspx?App=23&amp;ReportView=4&amp;Qid=1711279&amp;Row=15750&amp;Col=1","No Title Assigned - #15275279877")</f>
        <v/>
      </c>
      <c r="B15758" s="0" t="s">
        <v>20942</v>
      </c>
      <c r="E15758" s="0" t="inlineStr">
        <is>
          <t xml:space="preserve">Mazda</t>
        </is>
      </c>
      <c r="F15758" s="0" t="inlineStr">
        <is>
          <t xml:space="preserve">Mazda</t>
        </is>
      </c>
      <c r="G15758" s="0" t="s">
        <v>171</v>
      </c>
      <c r="H15758" s="5">
        <v>1383.119800</v>
      </c>
    </row>
    <row r="15759" spans="1:9">
      <c r="A15759" s="22" t="str">
        <f>HYPERLINK("https://app.vivvix.com/360/KMI/IntelliDrive/ApplUI/Pages/CreativePages/CustomReportCreativeDetail.aspx?App=23&amp;ReportView=4&amp;Qid=1711279&amp;Row=15751&amp;Col=1","No Title Assigned - #15275280140")</f>
        <v/>
      </c>
      <c r="B15759" s="0" t="s">
        <v>20943</v>
      </c>
      <c r="E15759" s="0" t="inlineStr">
        <is>
          <t xml:space="preserve">Mazda</t>
        </is>
      </c>
      <c r="F15759" s="0" t="inlineStr">
        <is>
          <t xml:space="preserve">Mazda</t>
        </is>
      </c>
      <c r="G15759" s="0" t="s">
        <v>171</v>
      </c>
      <c r="H15759" s="5">
        <v>10.323700</v>
      </c>
    </row>
    <row r="15760" spans="1:9">
      <c r="A15760" s="22" t="str">
        <f>HYPERLINK("https://app.vivvix.com/360/KMI/IntelliDrive/ApplUI/Pages/CreativePages/CustomReportCreativeDetail.aspx?App=23&amp;ReportView=4&amp;Qid=1711279&amp;Row=15752&amp;Col=1","No Title Assigned - #15275280406")</f>
        <v/>
      </c>
      <c r="B15760" s="0" t="s">
        <v>20944</v>
      </c>
      <c r="E15760" s="0" t="inlineStr">
        <is>
          <t xml:space="preserve">Mazda</t>
        </is>
      </c>
      <c r="F15760" s="0" t="inlineStr">
        <is>
          <t xml:space="preserve">Mazda</t>
        </is>
      </c>
      <c r="G15760" s="0" t="s">
        <v>171</v>
      </c>
      <c r="H15760" s="5">
        <v>24.300600</v>
      </c>
    </row>
    <row r="15761" spans="1:9">
      <c r="A15761" s="22" t="str">
        <f>HYPERLINK("https://app.vivvix.com/360/KMI/IntelliDrive/ApplUI/Pages/CreativePages/CustomReportCreativeDetail.aspx?App=23&amp;ReportView=4&amp;Qid=1711279&amp;Row=15753&amp;Col=1","No Title Assigned - #15275280587")</f>
        <v/>
      </c>
      <c r="B15761" s="0" t="s">
        <v>20945</v>
      </c>
      <c r="E15761" s="0" t="inlineStr">
        <is>
          <t xml:space="preserve">Mazda</t>
        </is>
      </c>
      <c r="F15761" s="0" t="inlineStr">
        <is>
          <t xml:space="preserve">Mazda</t>
        </is>
      </c>
      <c r="G15761" s="0" t="s">
        <v>171</v>
      </c>
      <c r="H15761" s="5">
        <v>3075.122600</v>
      </c>
    </row>
    <row r="15762" spans="1:9">
      <c r="A15762" s="22" t="str">
        <f>HYPERLINK("https://app.vivvix.com/360/KMI/IntelliDrive/ApplUI/Pages/CreativePages/CustomReportCreativeDetail.aspx?App=23&amp;ReportView=4&amp;Qid=1711279&amp;Row=15754&amp;Col=1","No Title Assigned - #15275280907")</f>
        <v/>
      </c>
      <c r="B15762" s="0" t="s">
        <v>20946</v>
      </c>
      <c r="E15762" s="0" t="inlineStr">
        <is>
          <t xml:space="preserve">Mazda</t>
        </is>
      </c>
      <c r="F15762" s="0" t="inlineStr">
        <is>
          <t xml:space="preserve">Mazda</t>
        </is>
      </c>
      <c r="G15762" s="0" t="s">
        <v>171</v>
      </c>
      <c r="H15762" s="5">
        <v>30.668200</v>
      </c>
    </row>
    <row r="15763" spans="1:9">
      <c r="A15763" s="22" t="str">
        <f>HYPERLINK("https://app.vivvix.com/360/KMI/IntelliDrive/ApplUI/Pages/CreativePages/CustomReportCreativeDetail.aspx?App=23&amp;ReportView=4&amp;Qid=1711279&amp;Row=15755&amp;Col=1","No Title Assigned - #15275281301")</f>
        <v/>
      </c>
      <c r="B15763" s="0" t="s">
        <v>20947</v>
      </c>
      <c r="E15763" s="0" t="inlineStr">
        <is>
          <t xml:space="preserve">Mazda</t>
        </is>
      </c>
      <c r="F15763" s="0" t="inlineStr">
        <is>
          <t xml:space="preserve">Mazda</t>
        </is>
      </c>
      <c r="G15763" s="0" t="s">
        <v>171</v>
      </c>
      <c r="H15763" s="5">
        <v>1098.985400</v>
      </c>
    </row>
    <row r="15764" spans="1:9">
      <c r="A15764" s="22" t="str">
        <f>HYPERLINK("https://app.vivvix.com/360/KMI/IntelliDrive/ApplUI/Pages/CreativePages/CustomReportCreativeDetail.aspx?App=23&amp;ReportView=4&amp;Qid=1711279&amp;Row=15756&amp;Col=1","No Title Assigned - #15275284978")</f>
        <v/>
      </c>
      <c r="B15764" s="0" t="s">
        <v>20948</v>
      </c>
      <c r="E15764" s="0" t="inlineStr">
        <is>
          <t xml:space="preserve">Mazda</t>
        </is>
      </c>
      <c r="F15764" s="0" t="inlineStr">
        <is>
          <t xml:space="preserve">Mazda</t>
        </is>
      </c>
      <c r="G15764" s="0" t="s">
        <v>171</v>
      </c>
      <c r="H15764" s="5">
        <v>69.873800</v>
      </c>
    </row>
    <row r="15765" spans="1:9">
      <c r="A15765" s="22" t="str">
        <f>HYPERLINK("https://app.vivvix.com/360/KMI/IntelliDrive/ApplUI/Pages/CreativePages/CustomReportCreativeDetail.aspx?App=23&amp;ReportView=4&amp;Qid=1711279&amp;Row=15757&amp;Col=1","No Title Assigned - #15275287746")</f>
        <v/>
      </c>
      <c r="B15765" s="0" t="s">
        <v>20949</v>
      </c>
      <c r="E15765" s="0" t="inlineStr">
        <is>
          <t xml:space="preserve">Mazda</t>
        </is>
      </c>
      <c r="F15765" s="0" t="inlineStr">
        <is>
          <t xml:space="preserve">Mazda</t>
        </is>
      </c>
      <c r="G15765" s="0" t="s">
        <v>171</v>
      </c>
      <c r="H15765" s="5">
        <v>48.364900</v>
      </c>
    </row>
    <row r="15766" spans="1:9">
      <c r="A15766" s="22" t="str">
        <f>HYPERLINK("https://app.vivvix.com/360/KMI/IntelliDrive/ApplUI/Pages/CreativePages/CustomReportCreativeDetail.aspx?App=23&amp;ReportView=4&amp;Qid=1711279&amp;Row=15758&amp;Col=1","No Title Assigned - #15275289837")</f>
        <v/>
      </c>
      <c r="B15766" s="0" t="s">
        <v>20950</v>
      </c>
      <c r="E15766" s="0" t="inlineStr">
        <is>
          <t xml:space="preserve">Mazda</t>
        </is>
      </c>
      <c r="F15766" s="0" t="inlineStr">
        <is>
          <t xml:space="preserve">Mazda</t>
        </is>
      </c>
      <c r="G15766" s="0" t="s">
        <v>171</v>
      </c>
      <c r="H15766" s="5">
        <v>34.899800</v>
      </c>
    </row>
    <row r="15767" spans="1:9">
      <c r="A15767" s="22" t="str">
        <f>HYPERLINK("https://app.vivvix.com/360/KMI/IntelliDrive/ApplUI/Pages/CreativePages/CustomReportCreativeDetail.aspx?App=23&amp;ReportView=4&amp;Qid=1711279&amp;Row=15759&amp;Col=1","No Title Assigned - #15275289940")</f>
        <v/>
      </c>
      <c r="B15767" s="0" t="s">
        <v>20951</v>
      </c>
      <c r="C15767" s="0" t="s">
        <v>20952</v>
      </c>
      <c r="D15767" s="0" t="s">
        <v>20952</v>
      </c>
      <c r="E15767" s="0" t="inlineStr">
        <is>
          <t xml:space="preserve">Mazda</t>
        </is>
      </c>
      <c r="F15767" s="0" t="s">
        <v>13</v>
      </c>
      <c r="G15767" s="0" t="s">
        <v>49</v>
      </c>
      <c r="H15767" s="5">
        <v>43.687000</v>
      </c>
    </row>
    <row r="15768" spans="1:9">
      <c r="A15768" s="22" t="str">
        <f>HYPERLINK("https://app.vivvix.com/360/KMI/IntelliDrive/ApplUI/Pages/CreativePages/CustomReportCreativeDetail.aspx?App=23&amp;ReportView=4&amp;Qid=1711279&amp;Row=15760&amp;Col=1","No Title Assigned - #15275301824")</f>
        <v/>
      </c>
      <c r="B15768" s="0" t="s">
        <v>20953</v>
      </c>
      <c r="C15768" s="0" t="s">
        <v>20954</v>
      </c>
      <c r="D15768" s="0" t="s">
        <v>4274</v>
      </c>
      <c r="E15768" s="0" t="inlineStr">
        <is>
          <t xml:space="preserve">Mazda</t>
        </is>
      </c>
      <c r="F15768" s="0" t="s">
        <v>28</v>
      </c>
      <c r="G15768" s="0" t="s">
        <v>29</v>
      </c>
      <c r="H15768" s="5">
        <v>503.134800</v>
      </c>
    </row>
    <row r="15769" spans="1:9">
      <c r="A15769" s="22" t="str">
        <f>HYPERLINK("https://app.vivvix.com/360/KMI/IntelliDrive/ApplUI/Pages/CreativePages/CustomReportCreativeDetail.aspx?App=23&amp;ReportView=4&amp;Qid=1711279&amp;Row=15761&amp;Col=1","No Title Assigned - #15275302429")</f>
        <v/>
      </c>
      <c r="B15769" s="0" t="s">
        <v>20955</v>
      </c>
      <c r="C15769" s="0" t="s">
        <v>20956</v>
      </c>
      <c r="D15769" s="0" t="s">
        <v>4333</v>
      </c>
      <c r="E15769" s="0" t="inlineStr">
        <is>
          <t xml:space="preserve">Mazda</t>
        </is>
      </c>
      <c r="F15769" s="0" t="s">
        <v>28</v>
      </c>
      <c r="G15769" s="0" t="s">
        <v>29</v>
      </c>
      <c r="H15769" s="5">
        <v>2316.474900</v>
      </c>
    </row>
    <row r="15770" spans="1:9">
      <c r="A15770" s="22" t="str">
        <f>HYPERLINK("https://app.vivvix.com/360/KMI/IntelliDrive/ApplUI/Pages/CreativePages/CustomReportCreativeDetail.aspx?App=23&amp;ReportView=4&amp;Qid=1711279&amp;Row=15762&amp;Col=1","No Title Assigned - #15275302486")</f>
        <v/>
      </c>
      <c r="B15770" s="0" t="s">
        <v>20957</v>
      </c>
      <c r="C15770" s="0" t="s">
        <v>20958</v>
      </c>
      <c r="D15770" s="0" t="s">
        <v>20958</v>
      </c>
      <c r="E15770" s="0" t="inlineStr">
        <is>
          <t xml:space="preserve">Mazda</t>
        </is>
      </c>
      <c r="F15770" s="0" t="s">
        <v>21</v>
      </c>
      <c r="G15770" s="0" t="s">
        <v>22</v>
      </c>
      <c r="H15770" s="5">
        <v>110.405100</v>
      </c>
    </row>
    <row r="15771" spans="1:9">
      <c r="A15771" s="22" t="str">
        <f>HYPERLINK("https://app.vivvix.com/360/KMI/IntelliDrive/ApplUI/Pages/CreativePages/CustomReportCreativeDetail.aspx?App=23&amp;ReportView=4&amp;Qid=1711279&amp;Row=15763&amp;Col=1","No Title Assigned - #15275308149")</f>
        <v/>
      </c>
      <c r="B15771" s="0" t="s">
        <v>20959</v>
      </c>
      <c r="C15771" s="0" t="s">
        <v>20960</v>
      </c>
      <c r="D15771" s="0" t="s">
        <v>20960</v>
      </c>
      <c r="E15771" s="0" t="inlineStr">
        <is>
          <t xml:space="preserve">Mazda</t>
        </is>
      </c>
      <c r="F15771" s="0" t="s">
        <v>21</v>
      </c>
      <c r="G15771" s="0" t="s">
        <v>22</v>
      </c>
      <c r="H15771" s="5">
        <v>912.579800</v>
      </c>
    </row>
    <row r="15772" spans="1:9">
      <c r="A15772" s="22" t="str">
        <f>HYPERLINK("https://app.vivvix.com/360/KMI/IntelliDrive/ApplUI/Pages/CreativePages/CustomReportCreativeDetail.aspx?App=23&amp;ReportView=4&amp;Qid=1711279&amp;Row=15764&amp;Col=1","No Title Assigned - #15275309328")</f>
        <v/>
      </c>
      <c r="B15772" s="0" t="s">
        <v>20961</v>
      </c>
      <c r="C15772" s="0" t="s">
        <v>20962</v>
      </c>
      <c r="D15772" s="0" t="s">
        <v>20962</v>
      </c>
      <c r="E15772" s="0" t="inlineStr">
        <is>
          <t xml:space="preserve">Mazda</t>
        </is>
      </c>
      <c r="F15772" s="0" t="s">
        <v>21</v>
      </c>
      <c r="G15772" s="0" t="s">
        <v>22</v>
      </c>
      <c r="H15772" s="5">
        <v>792.302500</v>
      </c>
    </row>
    <row r="15773" spans="1:9">
      <c r="A15773" s="22" t="str">
        <f>HYPERLINK("https://app.vivvix.com/360/KMI/IntelliDrive/ApplUI/Pages/CreativePages/CustomReportCreativeDetail.aspx?App=23&amp;ReportView=4&amp;Qid=1711279&amp;Row=15765&amp;Col=1","No Title Assigned - #15275310631")</f>
        <v/>
      </c>
      <c r="B15773" s="0" t="s">
        <v>20963</v>
      </c>
      <c r="C15773" s="0" t="s">
        <v>20964</v>
      </c>
      <c r="D15773" s="0" t="s">
        <v>20964</v>
      </c>
      <c r="E15773" s="0" t="inlineStr">
        <is>
          <t xml:space="preserve">Mazda</t>
        </is>
      </c>
      <c r="F15773" s="0" t="s">
        <v>13</v>
      </c>
      <c r="G15773" s="0" t="s">
        <v>49</v>
      </c>
      <c r="H15773" s="5">
        <v>278.612500</v>
      </c>
    </row>
    <row r="15774" spans="1:9">
      <c r="A15774" s="22" t="str">
        <f>HYPERLINK("https://app.vivvix.com/360/KMI/IntelliDrive/ApplUI/Pages/CreativePages/CustomReportCreativeDetail.aspx?App=23&amp;ReportView=4&amp;Qid=1711279&amp;Row=15766&amp;Col=1","No Title Assigned - #15275310951")</f>
        <v/>
      </c>
      <c r="B15774" s="0" t="s">
        <v>20965</v>
      </c>
      <c r="C15774" s="0" t="s">
        <v>20966</v>
      </c>
      <c r="D15774" s="0" t="s">
        <v>20966</v>
      </c>
      <c r="E15774" s="0" t="inlineStr">
        <is>
          <t xml:space="preserve">Mazda</t>
        </is>
      </c>
      <c r="F15774" s="0" t="inlineStr">
        <is>
          <t xml:space="preserve">Mazda</t>
        </is>
      </c>
      <c r="G15774" s="0" t="s">
        <v>210</v>
      </c>
      <c r="H15774" s="5">
        <v>304.180200</v>
      </c>
    </row>
    <row r="15775" spans="1:9">
      <c r="A15775" s="22" t="str">
        <f>HYPERLINK("https://app.vivvix.com/360/KMI/IntelliDrive/ApplUI/Pages/CreativePages/CustomReportCreativeDetail.aspx?App=23&amp;ReportView=4&amp;Qid=1711279&amp;Row=15767&amp;Col=1","No Title Assigned - #15275315182")</f>
        <v/>
      </c>
      <c r="B15775" s="0" t="s">
        <v>20967</v>
      </c>
      <c r="C15775" s="0" t="s">
        <v>20968</v>
      </c>
      <c r="D15775" s="0" t="s">
        <v>4430</v>
      </c>
      <c r="E15775" s="0" t="inlineStr">
        <is>
          <t xml:space="preserve">Mazda</t>
        </is>
      </c>
      <c r="F15775" s="0" t="s">
        <v>28</v>
      </c>
      <c r="G15775" s="0" t="s">
        <v>29</v>
      </c>
      <c r="H15775" s="5">
        <v>2316.474900</v>
      </c>
    </row>
    <row r="15776" spans="1:9">
      <c r="A15776" s="22" t="str">
        <f>HYPERLINK("https://app.vivvix.com/360/KMI/IntelliDrive/ApplUI/Pages/CreativePages/CustomReportCreativeDetail.aspx?App=23&amp;ReportView=4&amp;Qid=1711279&amp;Row=15768&amp;Col=1","No Title Assigned - #15275321056")</f>
        <v/>
      </c>
      <c r="B15776" s="0" t="s">
        <v>20969</v>
      </c>
      <c r="C15776" s="0" t="s">
        <v>20970</v>
      </c>
      <c r="D15776" s="0" t="s">
        <v>10453</v>
      </c>
      <c r="E15776" s="0" t="inlineStr">
        <is>
          <t xml:space="preserve">Mazda</t>
        </is>
      </c>
      <c r="F15776" s="0" t="s">
        <v>13</v>
      </c>
      <c r="G15776" s="0" t="s">
        <v>49</v>
      </c>
      <c r="H15776" s="5">
        <v>102.797400</v>
      </c>
    </row>
    <row r="15777" spans="1:9">
      <c r="A15777" s="22" t="str">
        <f>HYPERLINK("https://app.vivvix.com/360/KMI/IntelliDrive/ApplUI/Pages/CreativePages/CustomReportCreativeDetail.aspx?App=23&amp;ReportView=4&amp;Qid=1711279&amp;Row=15769&amp;Col=1","No Title Assigned - #15275323072")</f>
        <v/>
      </c>
      <c r="B15777" s="0" t="s">
        <v>20971</v>
      </c>
      <c r="C15777" s="0" t="s">
        <v>20972</v>
      </c>
      <c r="D15777" s="0" t="s">
        <v>20972</v>
      </c>
      <c r="E15777" s="0" t="inlineStr">
        <is>
          <t xml:space="preserve">Mazda</t>
        </is>
      </c>
      <c r="F15777" s="0" t="s">
        <v>13</v>
      </c>
      <c r="G15777" s="0" t="s">
        <v>49</v>
      </c>
      <c r="H15777" s="5">
        <v>5077.095200</v>
      </c>
    </row>
    <row r="15778" spans="1:9">
      <c r="A15778" s="22" t="str">
        <f>HYPERLINK("https://app.vivvix.com/360/KMI/IntelliDrive/ApplUI/Pages/CreativePages/CustomReportCreativeDetail.aspx?App=23&amp;ReportView=4&amp;Qid=1711279&amp;Row=15770&amp;Col=1","No Title Assigned - #15275323072")</f>
        <v/>
      </c>
      <c r="B15778" s="0" t="s">
        <v>20971</v>
      </c>
      <c r="E15778" s="0" t="inlineStr">
        <is>
          <t xml:space="preserve">Mazda</t>
        </is>
      </c>
      <c r="F15778" s="0" t="s">
        <v>13</v>
      </c>
      <c r="G15778" s="0" t="s">
        <v>49</v>
      </c>
      <c r="H15778" s="5">
        <v>675.992900</v>
      </c>
    </row>
    <row r="15779" spans="1:9">
      <c r="A15779" s="22" t="str">
        <f>HYPERLINK("https://app.vivvix.com/360/KMI/IntelliDrive/ApplUI/Pages/CreativePages/CustomReportCreativeDetail.aspx?App=23&amp;ReportView=4&amp;Qid=1711279&amp;Row=15771&amp;Col=1","No Title Assigned - #15275324646")</f>
        <v/>
      </c>
      <c r="B15779" s="0" t="s">
        <v>20973</v>
      </c>
      <c r="C15779" s="0" t="s">
        <v>20974</v>
      </c>
      <c r="D15779" s="0" t="s">
        <v>20974</v>
      </c>
      <c r="E15779" s="0" t="inlineStr">
        <is>
          <t xml:space="preserve">Mazda</t>
        </is>
      </c>
      <c r="F15779" s="0" t="s">
        <v>13</v>
      </c>
      <c r="G15779" s="0" t="s">
        <v>49</v>
      </c>
      <c r="H15779" s="5">
        <v>37.646800</v>
      </c>
    </row>
    <row r="15780" spans="1:9">
      <c r="A15780" s="22" t="str">
        <f>HYPERLINK("https://app.vivvix.com/360/KMI/IntelliDrive/ApplUI/Pages/CreativePages/CustomReportCreativeDetail.aspx?App=23&amp;ReportView=4&amp;Qid=1711279&amp;Row=15772&amp;Col=1","No Title Assigned - #15275324985")</f>
        <v/>
      </c>
      <c r="B15780" s="0" t="s">
        <v>20975</v>
      </c>
      <c r="C15780" s="0" t="s">
        <v>20976</v>
      </c>
      <c r="D15780" s="0" t="s">
        <v>20976</v>
      </c>
      <c r="E15780" s="0" t="inlineStr">
        <is>
          <t xml:space="preserve">Mazda</t>
        </is>
      </c>
      <c r="F15780" s="0" t="s">
        <v>28</v>
      </c>
      <c r="G15780" s="0" t="s">
        <v>29</v>
      </c>
      <c r="H15780" s="5">
        <v>34.173300</v>
      </c>
    </row>
    <row r="15781" spans="1:9">
      <c r="A15781" s="22" t="str">
        <f>HYPERLINK("https://app.vivvix.com/360/KMI/IntelliDrive/ApplUI/Pages/CreativePages/CustomReportCreativeDetail.aspx?App=23&amp;ReportView=4&amp;Qid=1711279&amp;Row=15773&amp;Col=1","No Title Assigned - #15275326195")</f>
        <v/>
      </c>
      <c r="B15781" s="0" t="s">
        <v>20977</v>
      </c>
      <c r="E15781" s="0" t="inlineStr">
        <is>
          <t xml:space="preserve">Mazda</t>
        </is>
      </c>
      <c r="F15781" s="0" t="s">
        <v>13</v>
      </c>
      <c r="G15781" s="0" t="s">
        <v>49</v>
      </c>
      <c r="H15781" s="5">
        <v>128.452700</v>
      </c>
    </row>
    <row r="15782" spans="1:9">
      <c r="A15782" s="22" t="str">
        <f>HYPERLINK("https://app.vivvix.com/360/KMI/IntelliDrive/ApplUI/Pages/CreativePages/CustomReportCreativeDetail.aspx?App=23&amp;ReportView=4&amp;Qid=1711279&amp;Row=15774&amp;Col=1","No Title Assigned - #15275327092")</f>
        <v/>
      </c>
      <c r="B15782" s="0" t="s">
        <v>20978</v>
      </c>
      <c r="E15782" s="0" t="inlineStr">
        <is>
          <t xml:space="preserve">Mazda</t>
        </is>
      </c>
      <c r="F15782" s="0" t="s">
        <v>13</v>
      </c>
      <c r="G15782" s="0" t="s">
        <v>49</v>
      </c>
      <c r="H15782" s="5">
        <v>491.865700</v>
      </c>
    </row>
    <row r="15783" spans="1:9">
      <c r="A15783" s="22" t="str">
        <f>HYPERLINK("https://app.vivvix.com/360/KMI/IntelliDrive/ApplUI/Pages/CreativePages/CustomReportCreativeDetail.aspx?App=23&amp;ReportView=4&amp;Qid=1711279&amp;Row=15775&amp;Col=1","No Title Assigned - #15275328546")</f>
        <v/>
      </c>
      <c r="B15783" s="0" t="s">
        <v>20979</v>
      </c>
      <c r="E15783" s="0" t="inlineStr">
        <is>
          <t xml:space="preserve">Mazda</t>
        </is>
      </c>
      <c r="F15783" s="0" t="s">
        <v>13</v>
      </c>
      <c r="G15783" s="0" t="s">
        <v>49</v>
      </c>
      <c r="H15783" s="5">
        <v>18.751800</v>
      </c>
    </row>
    <row r="15784" spans="1:9">
      <c r="A15784" s="22" t="str">
        <f>HYPERLINK("https://app.vivvix.com/360/KMI/IntelliDrive/ApplUI/Pages/CreativePages/CustomReportCreativeDetail.aspx?App=23&amp;ReportView=4&amp;Qid=1711279&amp;Row=15776&amp;Col=1","No Title Assigned - #15275328568")</f>
        <v/>
      </c>
      <c r="B15784" s="0" t="s">
        <v>20980</v>
      </c>
      <c r="E15784" s="0" t="inlineStr">
        <is>
          <t xml:space="preserve">Mazda</t>
        </is>
      </c>
      <c r="F15784" s="0" t="s">
        <v>13</v>
      </c>
      <c r="G15784" s="0" t="s">
        <v>49</v>
      </c>
      <c r="H15784" s="5">
        <v>173.064100</v>
      </c>
    </row>
    <row r="15785" spans="1:9">
      <c r="A15785" s="22" t="str">
        <f>HYPERLINK("https://app.vivvix.com/360/KMI/IntelliDrive/ApplUI/Pages/CreativePages/CustomReportCreativeDetail.aspx?App=23&amp;ReportView=4&amp;Qid=1711279&amp;Row=15777&amp;Col=1","No Title Assigned - #15275328593")</f>
        <v/>
      </c>
      <c r="B15785" s="0" t="s">
        <v>20981</v>
      </c>
      <c r="E15785" s="0" t="inlineStr">
        <is>
          <t xml:space="preserve">Mazda</t>
        </is>
      </c>
      <c r="F15785" s="0" t="s">
        <v>28</v>
      </c>
      <c r="G15785" s="0" t="s">
        <v>29</v>
      </c>
      <c r="H15785" s="5">
        <v>219.340300</v>
      </c>
    </row>
    <row r="15786" spans="1:9">
      <c r="A15786" s="22" t="str">
        <f>HYPERLINK("https://app.vivvix.com/360/KMI/IntelliDrive/ApplUI/Pages/CreativePages/CustomReportCreativeDetail.aspx?App=23&amp;ReportView=4&amp;Qid=1711279&amp;Row=15778&amp;Col=1","No Title Assigned - #15275332593")</f>
        <v/>
      </c>
      <c r="B15786" s="0" t="s">
        <v>20982</v>
      </c>
      <c r="C15786" s="0" t="s">
        <v>20983</v>
      </c>
      <c r="D15786" s="0" t="s">
        <v>20983</v>
      </c>
      <c r="E15786" s="0" t="inlineStr">
        <is>
          <t xml:space="preserve">Mazda</t>
        </is>
      </c>
      <c r="F15786" s="0" t="s">
        <v>13</v>
      </c>
      <c r="G15786" s="0" t="s">
        <v>49</v>
      </c>
      <c r="H15786" s="5">
        <v>1408.927700</v>
      </c>
    </row>
    <row r="15787" spans="1:9">
      <c r="A15787" s="22" t="str">
        <f>HYPERLINK("https://app.vivvix.com/360/KMI/IntelliDrive/ApplUI/Pages/CreativePages/CustomReportCreativeDetail.aspx?App=23&amp;ReportView=4&amp;Qid=1711279&amp;Row=15779&amp;Col=1","No Title Assigned - #15275334202")</f>
        <v/>
      </c>
      <c r="B15787" s="0" t="s">
        <v>20984</v>
      </c>
      <c r="E15787" s="0" t="inlineStr">
        <is>
          <t xml:space="preserve">Mazda</t>
        </is>
      </c>
      <c r="F15787" s="0" t="inlineStr">
        <is>
          <t xml:space="preserve">Mazda</t>
        </is>
      </c>
      <c r="G15787" s="0" t="s">
        <v>171</v>
      </c>
      <c r="H15787" s="5">
        <v>24.736700</v>
      </c>
    </row>
    <row r="15788" spans="1:9">
      <c r="A15788" s="22" t="str">
        <f>HYPERLINK("https://app.vivvix.com/360/KMI/IntelliDrive/ApplUI/Pages/CreativePages/CustomReportCreativeDetail.aspx?App=23&amp;ReportView=4&amp;Qid=1711279&amp;Row=15780&amp;Col=1","No Title Assigned - #15275339591")</f>
        <v/>
      </c>
      <c r="B15788" s="0" t="s">
        <v>20985</v>
      </c>
      <c r="E15788" s="0" t="inlineStr">
        <is>
          <t xml:space="preserve">Mazda</t>
        </is>
      </c>
      <c r="F15788" s="0" t="inlineStr">
        <is>
          <t xml:space="preserve">Mazda</t>
        </is>
      </c>
      <c r="G15788" s="0" t="s">
        <v>171</v>
      </c>
      <c r="H15788" s="5">
        <v>1477.819200</v>
      </c>
    </row>
    <row r="15789" spans="1:9">
      <c r="A15789" s="22" t="str">
        <f>HYPERLINK("https://app.vivvix.com/360/KMI/IntelliDrive/ApplUI/Pages/CreativePages/CustomReportCreativeDetail.aspx?App=23&amp;ReportView=4&amp;Qid=1711279&amp;Row=15781&amp;Col=1","No Title Assigned - #15275339666")</f>
        <v/>
      </c>
      <c r="B15789" s="0" t="s">
        <v>20986</v>
      </c>
      <c r="E15789" s="0" t="inlineStr">
        <is>
          <t xml:space="preserve">Mazda</t>
        </is>
      </c>
      <c r="F15789" s="0" t="inlineStr">
        <is>
          <t xml:space="preserve">Mazda</t>
        </is>
      </c>
      <c r="G15789" s="0" t="s">
        <v>171</v>
      </c>
      <c r="H15789" s="5">
        <v>276.261900</v>
      </c>
    </row>
    <row r="15790" spans="1:9">
      <c r="A15790" s="22" t="str">
        <f>HYPERLINK("https://app.vivvix.com/360/KMI/IntelliDrive/ApplUI/Pages/CreativePages/CustomReportCreativeDetail.aspx?App=23&amp;ReportView=4&amp;Qid=1711279&amp;Row=15782&amp;Col=1","No Title Assigned - #15275339666")</f>
        <v/>
      </c>
      <c r="B15790" s="0" t="s">
        <v>20986</v>
      </c>
      <c r="E15790" s="0" t="inlineStr">
        <is>
          <t xml:space="preserve">Mazda</t>
        </is>
      </c>
      <c r="F15790" s="0" t="inlineStr">
        <is>
          <t xml:space="preserve">Mazda</t>
        </is>
      </c>
      <c r="G15790" s="0" t="s">
        <v>171</v>
      </c>
      <c r="H15790" s="5">
        <v>45.659400</v>
      </c>
    </row>
    <row r="15791" spans="1:9">
      <c r="A15791" s="22" t="str">
        <f>HYPERLINK("https://app.vivvix.com/360/KMI/IntelliDrive/ApplUI/Pages/CreativePages/CustomReportCreativeDetail.aspx?App=23&amp;ReportView=4&amp;Qid=1711279&amp;Row=15783&amp;Col=1","No Title Assigned - #15275340897")</f>
        <v/>
      </c>
      <c r="B15791" s="0" t="s">
        <v>20987</v>
      </c>
      <c r="E15791" s="0" t="inlineStr">
        <is>
          <t xml:space="preserve">Mazda</t>
        </is>
      </c>
      <c r="F15791" s="0" t="inlineStr">
        <is>
          <t xml:space="preserve">Mazda</t>
        </is>
      </c>
      <c r="G15791" s="0" t="s">
        <v>171</v>
      </c>
      <c r="H15791" s="5">
        <v>391.649600</v>
      </c>
    </row>
    <row r="15792" spans="1:9">
      <c r="A15792" s="22" t="str">
        <f>HYPERLINK("https://app.vivvix.com/360/KMI/IntelliDrive/ApplUI/Pages/CreativePages/CustomReportCreativeDetail.aspx?App=23&amp;ReportView=4&amp;Qid=1711279&amp;Row=15784&amp;Col=1","No Title Assigned - #15275342103")</f>
        <v/>
      </c>
      <c r="B15792" s="0" t="s">
        <v>20988</v>
      </c>
      <c r="E15792" s="0" t="inlineStr">
        <is>
          <t xml:space="preserve">Mazda</t>
        </is>
      </c>
      <c r="F15792" s="0" t="inlineStr">
        <is>
          <t xml:space="preserve">Mazda</t>
        </is>
      </c>
      <c r="G15792" s="0" t="s">
        <v>171</v>
      </c>
      <c r="H15792" s="5">
        <v>17.449900</v>
      </c>
    </row>
    <row r="15793" spans="1:9">
      <c r="A15793" s="22" t="str">
        <f>HYPERLINK("https://app.vivvix.com/360/KMI/IntelliDrive/ApplUI/Pages/CreativePages/CustomReportCreativeDetail.aspx?App=23&amp;ReportView=4&amp;Qid=1711279&amp;Row=15785&amp;Col=1","No Title Assigned - #15275346803")</f>
        <v/>
      </c>
      <c r="B15793" s="0" t="s">
        <v>20989</v>
      </c>
      <c r="E15793" s="0" t="inlineStr">
        <is>
          <t xml:space="preserve">Mazda</t>
        </is>
      </c>
      <c r="F15793" s="0" t="inlineStr">
        <is>
          <t xml:space="preserve">Mazda</t>
        </is>
      </c>
      <c r="G15793" s="0" t="s">
        <v>171</v>
      </c>
      <c r="H15793" s="5">
        <v>263.088400</v>
      </c>
    </row>
    <row r="15794" spans="1:9">
      <c r="A15794" s="22" t="str">
        <f>HYPERLINK("https://app.vivvix.com/360/KMI/IntelliDrive/ApplUI/Pages/CreativePages/CustomReportCreativeDetail.aspx?App=23&amp;ReportView=4&amp;Qid=1711279&amp;Row=15786&amp;Col=1","No Title Assigned - #15275346805")</f>
        <v/>
      </c>
      <c r="B15794" s="0" t="s">
        <v>20990</v>
      </c>
      <c r="C15794" s="0" t="s">
        <v>20991</v>
      </c>
      <c r="D15794" s="0" t="s">
        <v>20991</v>
      </c>
      <c r="E15794" s="0" t="inlineStr">
        <is>
          <t xml:space="preserve">Mazda</t>
        </is>
      </c>
      <c r="F15794" s="0" t="inlineStr">
        <is>
          <t xml:space="preserve">Mazda</t>
        </is>
      </c>
      <c r="G15794" s="0" t="s">
        <v>171</v>
      </c>
      <c r="H15794" s="5">
        <v>263.088400</v>
      </c>
    </row>
    <row r="15795" spans="1:9">
      <c r="A15795" s="22" t="str">
        <f>HYPERLINK("https://app.vivvix.com/360/KMI/IntelliDrive/ApplUI/Pages/CreativePages/CustomReportCreativeDetail.aspx?App=23&amp;ReportView=4&amp;Qid=1711279&amp;Row=15787&amp;Col=1","No Title Assigned - #15275353862")</f>
        <v/>
      </c>
      <c r="B15795" s="0" t="s">
        <v>20992</v>
      </c>
      <c r="E15795" s="0" t="inlineStr">
        <is>
          <t xml:space="preserve">Mazda</t>
        </is>
      </c>
      <c r="F15795" s="0" t="s">
        <v>21</v>
      </c>
      <c r="G15795" s="0" t="s">
        <v>22</v>
      </c>
      <c r="H15795" s="5">
        <v>110.405100</v>
      </c>
    </row>
    <row r="15796" spans="1:9">
      <c r="A15796" s="22" t="str">
        <f>HYPERLINK("https://app.vivvix.com/360/KMI/IntelliDrive/ApplUI/Pages/CreativePages/CustomReportCreativeDetail.aspx?App=23&amp;ReportView=4&amp;Qid=1711279&amp;Row=15788&amp;Col=1","No Title Assigned - #15275356650")</f>
        <v/>
      </c>
      <c r="B15796" s="0" t="s">
        <v>20993</v>
      </c>
      <c r="E15796" s="0" t="inlineStr">
        <is>
          <t xml:space="preserve">Mazda</t>
        </is>
      </c>
      <c r="F15796" s="0" t="inlineStr">
        <is>
          <t xml:space="preserve">Mazda</t>
        </is>
      </c>
      <c r="G15796" s="0" t="s">
        <v>171</v>
      </c>
      <c r="H15796" s="5">
        <v>5.055300</v>
      </c>
    </row>
    <row r="15797" spans="1:9">
      <c r="A15797" s="22" t="str">
        <f>HYPERLINK("https://app.vivvix.com/360/KMI/IntelliDrive/ApplUI/Pages/CreativePages/CustomReportCreativeDetail.aspx?App=23&amp;ReportView=4&amp;Qid=1711279&amp;Row=15789&amp;Col=1","No Title Assigned - #15275386890")</f>
        <v/>
      </c>
      <c r="B15797" s="0" t="s">
        <v>20994</v>
      </c>
      <c r="E15797" s="0" t="inlineStr">
        <is>
          <t xml:space="preserve">Mazda</t>
        </is>
      </c>
      <c r="F15797" s="0" t="s">
        <v>28</v>
      </c>
      <c r="G15797" s="0" t="s">
        <v>29</v>
      </c>
      <c r="H15797" s="5">
        <v>2325.127200</v>
      </c>
    </row>
    <row r="15798" spans="1:9">
      <c r="A15798" s="22" t="str">
        <f>HYPERLINK("https://app.vivvix.com/360/KMI/IntelliDrive/ApplUI/Pages/CreativePages/CustomReportCreativeDetail.aspx?App=23&amp;ReportView=4&amp;Qid=1711279&amp;Row=15790&amp;Col=1","No Title Assigned - #15275389111")</f>
        <v/>
      </c>
      <c r="B15798" s="0" t="s">
        <v>20995</v>
      </c>
      <c r="C15798" s="0" t="s">
        <v>20996</v>
      </c>
      <c r="D15798" s="0" t="s">
        <v>4774</v>
      </c>
      <c r="E15798" s="0" t="inlineStr">
        <is>
          <t xml:space="preserve">Mazda</t>
        </is>
      </c>
      <c r="F15798" s="0" t="s">
        <v>13</v>
      </c>
      <c r="G15798" s="0" t="s">
        <v>49</v>
      </c>
      <c r="H15798" s="5">
        <v>67.339600</v>
      </c>
    </row>
    <row r="15799" spans="1:9">
      <c r="A15799" s="22" t="str">
        <f>HYPERLINK("https://app.vivvix.com/360/KMI/IntelliDrive/ApplUI/Pages/CreativePages/CustomReportCreativeDetail.aspx?App=23&amp;ReportView=4&amp;Qid=1711279&amp;Row=15791&amp;Col=1","No Title Assigned - #15275390338")</f>
        <v/>
      </c>
      <c r="B15799" s="0" t="s">
        <v>20997</v>
      </c>
      <c r="E15799" s="0" t="inlineStr">
        <is>
          <t xml:space="preserve">Mazda</t>
        </is>
      </c>
      <c r="F15799" s="0" t="s">
        <v>13</v>
      </c>
      <c r="G15799" s="0" t="s">
        <v>49</v>
      </c>
      <c r="H15799" s="5">
        <v>78.347900</v>
      </c>
    </row>
    <row r="15800" spans="1:9">
      <c r="A15800" s="22" t="str">
        <f>HYPERLINK("https://app.vivvix.com/360/KMI/IntelliDrive/ApplUI/Pages/CreativePages/CustomReportCreativeDetail.aspx?App=23&amp;ReportView=4&amp;Qid=1711279&amp;Row=15792&amp;Col=1","No Title Assigned - #15275392618")</f>
        <v/>
      </c>
      <c r="B15800" s="0" t="s">
        <v>20998</v>
      </c>
      <c r="E15800" s="0" t="inlineStr">
        <is>
          <t xml:space="preserve">Mazda</t>
        </is>
      </c>
      <c r="F15800" s="0" t="s">
        <v>17</v>
      </c>
      <c r="G15800" s="0" t="s">
        <v>33</v>
      </c>
      <c r="H15800" s="5">
        <v>1372.433800</v>
      </c>
    </row>
    <row r="15801" spans="1:9">
      <c r="A15801" s="22" t="str">
        <f>HYPERLINK("https://app.vivvix.com/360/KMI/IntelliDrive/ApplUI/Pages/CreativePages/CustomReportCreativeDetail.aspx?App=23&amp;ReportView=4&amp;Qid=1711279&amp;Row=15793&amp;Col=1","No Title Assigned - #15275393493")</f>
        <v/>
      </c>
      <c r="B15801" s="0" t="s">
        <v>20999</v>
      </c>
      <c r="E15801" s="0" t="inlineStr">
        <is>
          <t xml:space="preserve">Mazda</t>
        </is>
      </c>
      <c r="F15801" s="0" t="s">
        <v>28</v>
      </c>
      <c r="G15801" s="0" t="s">
        <v>29</v>
      </c>
      <c r="H15801" s="5">
        <v>219.340300</v>
      </c>
    </row>
    <row r="15802" spans="1:9">
      <c r="A15802" s="22" t="str">
        <f>HYPERLINK("https://app.vivvix.com/360/KMI/IntelliDrive/ApplUI/Pages/CreativePages/CustomReportCreativeDetail.aspx?App=23&amp;ReportView=4&amp;Qid=1711279&amp;Row=15794&amp;Col=1","No Title Assigned - #15275393754")</f>
        <v/>
      </c>
      <c r="B15802" s="0" t="s">
        <v>21000</v>
      </c>
      <c r="C15802" s="0" t="s">
        <v>21001</v>
      </c>
      <c r="D15802" s="0" t="s">
        <v>9417</v>
      </c>
      <c r="E15802" s="0" t="inlineStr">
        <is>
          <t xml:space="preserve">Mazda</t>
        </is>
      </c>
      <c r="F15802" s="0" t="s">
        <v>13</v>
      </c>
      <c r="G15802" s="0" t="s">
        <v>49</v>
      </c>
      <c r="H15802" s="5">
        <v>19860.122700</v>
      </c>
    </row>
    <row r="15803" spans="1:9">
      <c r="A15803" s="22" t="str">
        <f>HYPERLINK("https://app.vivvix.com/360/KMI/IntelliDrive/ApplUI/Pages/CreativePages/CustomReportCreativeDetail.aspx?App=23&amp;ReportView=4&amp;Qid=1711279&amp;Row=15795&amp;Col=1","No Title Assigned - #15275396387")</f>
        <v/>
      </c>
      <c r="B15803" s="0" t="s">
        <v>21002</v>
      </c>
      <c r="E15803" s="0" t="inlineStr">
        <is>
          <t xml:space="preserve">Mazda</t>
        </is>
      </c>
      <c r="F15803" s="0" t="inlineStr">
        <is>
          <t xml:space="preserve">Mazda</t>
        </is>
      </c>
      <c r="G15803" s="0" t="s">
        <v>171</v>
      </c>
      <c r="H15803" s="5">
        <v>33.759200</v>
      </c>
    </row>
    <row r="15804" spans="1:9">
      <c r="A15804" s="22" t="str">
        <f>HYPERLINK("https://app.vivvix.com/360/KMI/IntelliDrive/ApplUI/Pages/CreativePages/CustomReportCreativeDetail.aspx?App=23&amp;ReportView=4&amp;Qid=1711279&amp;Row=15796&amp;Col=1","No Title Assigned - #15275398894")</f>
        <v/>
      </c>
      <c r="B15804" s="0" t="s">
        <v>21003</v>
      </c>
      <c r="E15804" s="0" t="inlineStr">
        <is>
          <t xml:space="preserve">Mazda</t>
        </is>
      </c>
      <c r="F15804" s="0" t="s">
        <v>13</v>
      </c>
      <c r="G15804" s="0" t="s">
        <v>49</v>
      </c>
      <c r="H15804" s="5">
        <v>5.173800</v>
      </c>
    </row>
    <row r="15805" spans="1:9">
      <c r="A15805" s="22" t="str">
        <f>HYPERLINK("https://app.vivvix.com/360/KMI/IntelliDrive/ApplUI/Pages/CreativePages/CustomReportCreativeDetail.aspx?App=23&amp;ReportView=4&amp;Qid=1711279&amp;Row=15797&amp;Col=1","No Title Assigned - #15275400077")</f>
        <v/>
      </c>
      <c r="B15805" s="0" t="s">
        <v>21004</v>
      </c>
      <c r="E15805" s="0" t="inlineStr">
        <is>
          <t xml:space="preserve">Mazda</t>
        </is>
      </c>
      <c r="F15805" s="0" t="inlineStr">
        <is>
          <t xml:space="preserve">Mazda</t>
        </is>
      </c>
      <c r="G15805" s="0" t="s">
        <v>171</v>
      </c>
      <c r="H15805" s="5">
        <v>1.788300</v>
      </c>
    </row>
    <row r="15806" spans="1:9">
      <c r="A15806" s="22" t="str">
        <f>HYPERLINK("https://app.vivvix.com/360/KMI/IntelliDrive/ApplUI/Pages/CreativePages/CustomReportCreativeDetail.aspx?App=23&amp;ReportView=4&amp;Qid=1711279&amp;Row=15798&amp;Col=1","No Title Assigned - #15275400893")</f>
        <v/>
      </c>
      <c r="B15806" s="0" t="s">
        <v>21005</v>
      </c>
      <c r="E15806" s="0" t="inlineStr">
        <is>
          <t xml:space="preserve">Mazda</t>
        </is>
      </c>
      <c r="F15806" s="0" t="inlineStr">
        <is>
          <t xml:space="preserve">Mazda</t>
        </is>
      </c>
      <c r="G15806" s="0" t="s">
        <v>171</v>
      </c>
      <c r="H15806" s="5">
        <v>41.840700</v>
      </c>
    </row>
    <row r="15807" spans="1:9">
      <c r="A15807" s="22" t="str">
        <f>HYPERLINK("https://app.vivvix.com/360/KMI/IntelliDrive/ApplUI/Pages/CreativePages/CustomReportCreativeDetail.aspx?App=23&amp;ReportView=4&amp;Qid=1711279&amp;Row=15799&amp;Col=1","No Title Assigned - #15275402689")</f>
        <v/>
      </c>
      <c r="B15807" s="0" t="s">
        <v>21006</v>
      </c>
      <c r="E15807" s="0" t="inlineStr">
        <is>
          <t xml:space="preserve">Mazda</t>
        </is>
      </c>
      <c r="F15807" s="0" t="inlineStr">
        <is>
          <t xml:space="preserve">Mazda</t>
        </is>
      </c>
      <c r="G15807" s="0" t="s">
        <v>171</v>
      </c>
      <c r="H15807" s="5">
        <v>47.594400</v>
      </c>
    </row>
    <row r="15808" spans="1:9">
      <c r="A15808" s="22" t="str">
        <f>HYPERLINK("https://app.vivvix.com/360/KMI/IntelliDrive/ApplUI/Pages/CreativePages/CustomReportCreativeDetail.aspx?App=23&amp;ReportView=4&amp;Qid=1711279&amp;Row=15800&amp;Col=1","No Title Assigned - #15275406238")</f>
        <v/>
      </c>
      <c r="B15808" s="0" t="s">
        <v>21007</v>
      </c>
      <c r="E15808" s="0" t="inlineStr">
        <is>
          <t xml:space="preserve">Mazda</t>
        </is>
      </c>
      <c r="F15808" s="0" t="inlineStr">
        <is>
          <t xml:space="preserve">Mazda</t>
        </is>
      </c>
      <c r="G15808" s="0" t="s">
        <v>171</v>
      </c>
      <c r="H15808" s="5">
        <v>52.160500</v>
      </c>
    </row>
    <row r="15809" spans="1:9">
      <c r="A15809" s="22" t="str">
        <f>HYPERLINK("https://app.vivvix.com/360/KMI/IntelliDrive/ApplUI/Pages/CreativePages/CustomReportCreativeDetail.aspx?App=23&amp;ReportView=4&amp;Qid=1711279&amp;Row=15801&amp;Col=1","No Title Assigned - #15275407205")</f>
        <v/>
      </c>
      <c r="B15809" s="0" t="s">
        <v>21008</v>
      </c>
      <c r="E15809" s="0" t="inlineStr">
        <is>
          <t xml:space="preserve">Mazda</t>
        </is>
      </c>
      <c r="F15809" s="0" t="inlineStr">
        <is>
          <t xml:space="preserve">Mazda</t>
        </is>
      </c>
      <c r="G15809" s="0" t="s">
        <v>171</v>
      </c>
      <c r="H15809" s="5">
        <v>92.197500</v>
      </c>
    </row>
    <row r="15810" spans="1:9">
      <c r="A15810" s="22" t="str">
        <f>HYPERLINK("https://app.vivvix.com/360/KMI/IntelliDrive/ApplUI/Pages/CreativePages/CustomReportCreativeDetail.aspx?App=23&amp;ReportView=4&amp;Qid=1711279&amp;Row=15802&amp;Col=1","No Title Assigned - #15275407352")</f>
        <v/>
      </c>
      <c r="B15810" s="0" t="s">
        <v>21009</v>
      </c>
      <c r="E15810" s="0" t="inlineStr">
        <is>
          <t xml:space="preserve">Mazda</t>
        </is>
      </c>
      <c r="F15810" s="0" t="inlineStr">
        <is>
          <t xml:space="preserve">Mazda</t>
        </is>
      </c>
      <c r="G15810" s="0" t="s">
        <v>171</v>
      </c>
      <c r="H15810" s="5">
        <v>30.364000</v>
      </c>
    </row>
    <row r="15811" spans="1:9">
      <c r="A15811" s="22" t="str">
        <f>HYPERLINK("https://app.vivvix.com/360/KMI/IntelliDrive/ApplUI/Pages/CreativePages/CustomReportCreativeDetail.aspx?App=23&amp;ReportView=4&amp;Qid=1711279&amp;Row=15803&amp;Col=1","No Title Assigned - #15275408552")</f>
        <v/>
      </c>
      <c r="B15811" s="0" t="s">
        <v>21010</v>
      </c>
      <c r="E15811" s="0" t="inlineStr">
        <is>
          <t xml:space="preserve">Mazda</t>
        </is>
      </c>
      <c r="F15811" s="0" t="inlineStr">
        <is>
          <t xml:space="preserve">Mazda</t>
        </is>
      </c>
      <c r="G15811" s="0" t="s">
        <v>171</v>
      </c>
      <c r="H15811" s="5">
        <v>616.298700</v>
      </c>
    </row>
    <row r="15812" spans="1:9">
      <c r="A15812" s="22" t="str">
        <f>HYPERLINK("https://app.vivvix.com/360/KMI/IntelliDrive/ApplUI/Pages/CreativePages/CustomReportCreativeDetail.aspx?App=23&amp;ReportView=4&amp;Qid=1711279&amp;Row=15804&amp;Col=1","No Title Assigned - #15275410601")</f>
        <v/>
      </c>
      <c r="B15812" s="0" t="s">
        <v>21011</v>
      </c>
      <c r="E15812" s="0" t="inlineStr">
        <is>
          <t xml:space="preserve">Mazda</t>
        </is>
      </c>
      <c r="F15812" s="0" t="inlineStr">
        <is>
          <t xml:space="preserve">Mazda</t>
        </is>
      </c>
      <c r="G15812" s="0" t="s">
        <v>171</v>
      </c>
      <c r="H15812" s="5">
        <v>2558.768100</v>
      </c>
    </row>
    <row r="15813" spans="1:9">
      <c r="A15813" s="22" t="str">
        <f>HYPERLINK("https://app.vivvix.com/360/KMI/IntelliDrive/ApplUI/Pages/CreativePages/CustomReportCreativeDetail.aspx?App=23&amp;ReportView=4&amp;Qid=1711279&amp;Row=15805&amp;Col=1","No Title Assigned - #15275410752")</f>
        <v/>
      </c>
      <c r="B15813" s="0" t="s">
        <v>21012</v>
      </c>
      <c r="E15813" s="0" t="inlineStr">
        <is>
          <t xml:space="preserve">Mazda</t>
        </is>
      </c>
      <c r="F15813" s="0" t="inlineStr">
        <is>
          <t xml:space="preserve">Mazda</t>
        </is>
      </c>
      <c r="G15813" s="0" t="s">
        <v>171</v>
      </c>
      <c r="H15813" s="5">
        <v>1550.382000</v>
      </c>
    </row>
    <row r="15814" spans="1:9">
      <c r="A15814" s="22" t="str">
        <f>HYPERLINK("https://app.vivvix.com/360/KMI/IntelliDrive/ApplUI/Pages/CreativePages/CustomReportCreativeDetail.aspx?App=23&amp;ReportView=4&amp;Qid=1711279&amp;Row=15806&amp;Col=1","No Title Assigned - #15275415259")</f>
        <v/>
      </c>
      <c r="B15814" s="0" t="s">
        <v>21013</v>
      </c>
      <c r="E15814" s="0" t="inlineStr">
        <is>
          <t xml:space="preserve">Mazda</t>
        </is>
      </c>
      <c r="F15814" s="0" t="inlineStr">
        <is>
          <t xml:space="preserve">Mazda</t>
        </is>
      </c>
      <c r="G15814" s="0" t="s">
        <v>171</v>
      </c>
      <c r="H15814" s="5">
        <v>234.748200</v>
      </c>
    </row>
    <row r="15815" spans="1:9">
      <c r="A15815" s="22" t="str">
        <f>HYPERLINK("https://app.vivvix.com/360/KMI/IntelliDrive/ApplUI/Pages/CreativePages/CustomReportCreativeDetail.aspx?App=23&amp;ReportView=4&amp;Qid=1711279&amp;Row=15807&amp;Col=1","No Title Assigned - #15275415281")</f>
        <v/>
      </c>
      <c r="B15815" s="0" t="s">
        <v>21014</v>
      </c>
      <c r="E15815" s="0" t="inlineStr">
        <is>
          <t xml:space="preserve">Mazda</t>
        </is>
      </c>
      <c r="F15815" s="0" t="s">
        <v>204</v>
      </c>
      <c r="G15815" s="0" t="s">
        <v>205</v>
      </c>
      <c r="H15815" s="5">
        <v>3269.160600</v>
      </c>
    </row>
    <row r="15816" spans="1:9">
      <c r="A15816" s="22" t="str">
        <f>HYPERLINK("https://app.vivvix.com/360/KMI/IntelliDrive/ApplUI/Pages/CreativePages/CustomReportCreativeDetail.aspx?App=23&amp;ReportView=4&amp;Qid=1711279&amp;Row=15808&amp;Col=1","No Title Assigned - #15275423143")</f>
        <v/>
      </c>
      <c r="B15816" s="0" t="s">
        <v>21015</v>
      </c>
      <c r="C15816" s="0" t="s">
        <v>21016</v>
      </c>
      <c r="D15816" s="0" t="s">
        <v>4774</v>
      </c>
      <c r="E15816" s="0" t="inlineStr">
        <is>
          <t xml:space="preserve">Mazda</t>
        </is>
      </c>
      <c r="F15816" s="0" t="s">
        <v>13</v>
      </c>
      <c r="G15816" s="0" t="s">
        <v>49</v>
      </c>
      <c r="H15816" s="5">
        <v>1415.348500</v>
      </c>
    </row>
    <row r="15817" spans="1:9">
      <c r="A15817" s="22" t="str">
        <f>HYPERLINK("https://app.vivvix.com/360/KMI/IntelliDrive/ApplUI/Pages/CreativePages/CustomReportCreativeDetail.aspx?App=23&amp;ReportView=4&amp;Qid=1711279&amp;Row=15809&amp;Col=1","No Title Assigned - #15275441584")</f>
        <v/>
      </c>
      <c r="B15817" s="0" t="s">
        <v>21017</v>
      </c>
      <c r="C15817" s="0" t="s">
        <v>21018</v>
      </c>
      <c r="D15817" s="0" t="s">
        <v>21018</v>
      </c>
      <c r="E15817" s="0" t="inlineStr">
        <is>
          <t xml:space="preserve">Mazda</t>
        </is>
      </c>
      <c r="F15817" s="0" t="s">
        <v>13</v>
      </c>
      <c r="G15817" s="0" t="s">
        <v>49</v>
      </c>
      <c r="H15817" s="5">
        <v>2793.659500</v>
      </c>
    </row>
    <row r="15818" spans="1:9">
      <c r="A15818" s="22" t="str">
        <f>HYPERLINK("https://app.vivvix.com/360/KMI/IntelliDrive/ApplUI/Pages/CreativePages/CustomReportCreativeDetail.aspx?App=23&amp;ReportView=4&amp;Qid=1711279&amp;Row=15810&amp;Col=1","No Title Assigned - #15275441744")</f>
        <v/>
      </c>
      <c r="B15818" s="0" t="s">
        <v>21019</v>
      </c>
      <c r="C15818" s="0" t="s">
        <v>21020</v>
      </c>
      <c r="D15818" s="0" t="s">
        <v>17671</v>
      </c>
      <c r="E15818" s="0" t="inlineStr">
        <is>
          <t xml:space="preserve">Mazda</t>
        </is>
      </c>
      <c r="F15818" s="0" t="s">
        <v>13</v>
      </c>
      <c r="G15818" s="0" t="s">
        <v>49</v>
      </c>
      <c r="H15818" s="5">
        <v>9.375900</v>
      </c>
    </row>
    <row r="15819" spans="1:9">
      <c r="A15819" s="22" t="str">
        <f>HYPERLINK("https://app.vivvix.com/360/KMI/IntelliDrive/ApplUI/Pages/CreativePages/CustomReportCreativeDetail.aspx?App=23&amp;ReportView=4&amp;Qid=1711279&amp;Row=15811&amp;Col=1","No Title Assigned - #15275448031")</f>
        <v/>
      </c>
      <c r="B15819" s="0" t="s">
        <v>21021</v>
      </c>
      <c r="C15819" s="0" t="s">
        <v>21022</v>
      </c>
      <c r="D15819" s="0" t="s">
        <v>21022</v>
      </c>
      <c r="E15819" s="0" t="inlineStr">
        <is>
          <t xml:space="preserve">Mazda</t>
        </is>
      </c>
      <c r="F15819" s="0" t="s">
        <v>13</v>
      </c>
      <c r="G15819" s="0" t="s">
        <v>49</v>
      </c>
      <c r="H15819" s="5">
        <v>499.022300</v>
      </c>
    </row>
    <row r="15820" spans="1:9">
      <c r="A15820" s="22" t="str">
        <f>HYPERLINK("https://app.vivvix.com/360/KMI/IntelliDrive/ApplUI/Pages/CreativePages/CustomReportCreativeDetail.aspx?App=23&amp;ReportView=4&amp;Qid=1711279&amp;Row=15812&amp;Col=1","No Title Assigned - #15275450611")</f>
        <v/>
      </c>
      <c r="B15820" s="0" t="s">
        <v>21023</v>
      </c>
      <c r="E15820" s="0" t="inlineStr">
        <is>
          <t xml:space="preserve">Mazda</t>
        </is>
      </c>
      <c r="F15820" s="0" t="inlineStr">
        <is>
          <t xml:space="preserve">Mazda</t>
        </is>
      </c>
      <c r="G15820" s="0" t="s">
        <v>171</v>
      </c>
      <c r="H15820" s="5">
        <v>141.064800</v>
      </c>
    </row>
    <row r="15821" spans="1:9">
      <c r="A15821" s="22" t="str">
        <f>HYPERLINK("https://app.vivvix.com/360/KMI/IntelliDrive/ApplUI/Pages/CreativePages/CustomReportCreativeDetail.aspx?App=23&amp;ReportView=4&amp;Qid=1711279&amp;Row=15813&amp;Col=1","No Title Assigned - #15275451655")</f>
        <v/>
      </c>
      <c r="B15821" s="0" t="s">
        <v>21024</v>
      </c>
      <c r="E15821" s="0" t="inlineStr">
        <is>
          <t xml:space="preserve">Mazda</t>
        </is>
      </c>
      <c r="F15821" s="0" t="inlineStr">
        <is>
          <t xml:space="preserve">Mazda</t>
        </is>
      </c>
      <c r="G15821" s="0" t="s">
        <v>171</v>
      </c>
      <c r="H15821" s="5">
        <v>27.679900</v>
      </c>
    </row>
    <row r="15822" spans="1:9">
      <c r="A15822" s="22" t="str">
        <f>HYPERLINK("https://app.vivvix.com/360/KMI/IntelliDrive/ApplUI/Pages/CreativePages/CustomReportCreativeDetail.aspx?App=23&amp;ReportView=4&amp;Qid=1711279&amp;Row=15814&amp;Col=1","No Title Assigned - #15275452655")</f>
        <v/>
      </c>
      <c r="B15822" s="0" t="s">
        <v>21025</v>
      </c>
      <c r="E15822" s="0" t="inlineStr">
        <is>
          <t xml:space="preserve">Mazda</t>
        </is>
      </c>
      <c r="F15822" s="0" t="s">
        <v>1568</v>
      </c>
      <c r="G15822" s="0" t="s">
        <v>1569</v>
      </c>
      <c r="H15822" s="5">
        <v>1395.577000</v>
      </c>
    </row>
    <row r="15823" spans="1:9">
      <c r="A15823" s="22" t="str">
        <f>HYPERLINK("https://app.vivvix.com/360/KMI/IntelliDrive/ApplUI/Pages/CreativePages/CustomReportCreativeDetail.aspx?App=23&amp;ReportView=4&amp;Qid=1711279&amp;Row=15815&amp;Col=1","No Title Assigned - #15275452787")</f>
        <v/>
      </c>
      <c r="B15823" s="0" t="s">
        <v>21026</v>
      </c>
      <c r="E15823" s="0" t="inlineStr">
        <is>
          <t xml:space="preserve">Mazda</t>
        </is>
      </c>
      <c r="F15823" s="0" t="inlineStr">
        <is>
          <t xml:space="preserve">Mazda</t>
        </is>
      </c>
      <c r="G15823" s="0" t="s">
        <v>171</v>
      </c>
      <c r="H15823" s="5">
        <v>4277.846900</v>
      </c>
    </row>
    <row r="15824" spans="1:9">
      <c r="A15824" s="22" t="str">
        <f>HYPERLINK("https://app.vivvix.com/360/KMI/IntelliDrive/ApplUI/Pages/CreativePages/CustomReportCreativeDetail.aspx?App=23&amp;ReportView=4&amp;Qid=1711279&amp;Row=15816&amp;Col=1","No Title Assigned - #15275454881")</f>
        <v/>
      </c>
      <c r="B15824" s="0" t="s">
        <v>21027</v>
      </c>
      <c r="E15824" s="0" t="inlineStr">
        <is>
          <t xml:space="preserve">Mazda</t>
        </is>
      </c>
      <c r="F15824" s="0" t="inlineStr">
        <is>
          <t xml:space="preserve">Mazda</t>
        </is>
      </c>
      <c r="G15824" s="0" t="s">
        <v>171</v>
      </c>
      <c r="H15824" s="5">
        <v>411.544900</v>
      </c>
    </row>
    <row r="15825" spans="1:9">
      <c r="A15825" s="22" t="str">
        <f>HYPERLINK("https://app.vivvix.com/360/KMI/IntelliDrive/ApplUI/Pages/CreativePages/CustomReportCreativeDetail.aspx?App=23&amp;ReportView=4&amp;Qid=1711279&amp;Row=15817&amp;Col=1","No Title Assigned - #15275455545")</f>
        <v/>
      </c>
      <c r="B15825" s="0" t="s">
        <v>21028</v>
      </c>
      <c r="E15825" s="0" t="inlineStr">
        <is>
          <t xml:space="preserve">Mazda</t>
        </is>
      </c>
      <c r="F15825" s="0" t="inlineStr">
        <is>
          <t xml:space="preserve">Mazda</t>
        </is>
      </c>
      <c r="G15825" s="0" t="s">
        <v>171</v>
      </c>
      <c r="H15825" s="5">
        <v>566.015400</v>
      </c>
    </row>
    <row r="15826" spans="1:9">
      <c r="A15826" s="22" t="str">
        <f>HYPERLINK("https://app.vivvix.com/360/KMI/IntelliDrive/ApplUI/Pages/CreativePages/CustomReportCreativeDetail.aspx?App=23&amp;ReportView=4&amp;Qid=1711279&amp;Row=15818&amp;Col=1","No Title Assigned - #15275455974")</f>
        <v/>
      </c>
      <c r="B15826" s="0" t="s">
        <v>21029</v>
      </c>
      <c r="E15826" s="0" t="inlineStr">
        <is>
          <t xml:space="preserve">Mazda</t>
        </is>
      </c>
      <c r="F15826" s="0" t="inlineStr">
        <is>
          <t xml:space="preserve">Mazda</t>
        </is>
      </c>
      <c r="G15826" s="0" t="s">
        <v>171</v>
      </c>
      <c r="H15826" s="5">
        <v>737.859900</v>
      </c>
    </row>
    <row r="15827" spans="1:9">
      <c r="A15827" s="22" t="str">
        <f>HYPERLINK("https://app.vivvix.com/360/KMI/IntelliDrive/ApplUI/Pages/CreativePages/CustomReportCreativeDetail.aspx?App=23&amp;ReportView=4&amp;Qid=1711279&amp;Row=15819&amp;Col=1","No Title Assigned - #15275456013")</f>
        <v/>
      </c>
      <c r="B15827" s="0" t="s">
        <v>21030</v>
      </c>
      <c r="E15827" s="0" t="inlineStr">
        <is>
          <t xml:space="preserve">Mazda</t>
        </is>
      </c>
      <c r="F15827" s="0" t="inlineStr">
        <is>
          <t xml:space="preserve">Mazda</t>
        </is>
      </c>
      <c r="G15827" s="0" t="s">
        <v>171</v>
      </c>
      <c r="H15827" s="5">
        <v>2308.212400</v>
      </c>
    </row>
    <row r="15828" spans="1:9">
      <c r="A15828" s="22" t="str">
        <f>HYPERLINK("https://app.vivvix.com/360/KMI/IntelliDrive/ApplUI/Pages/CreativePages/CustomReportCreativeDetail.aspx?App=23&amp;ReportView=4&amp;Qid=1711279&amp;Row=15820&amp;Col=1","No Title Assigned - #15275458412")</f>
        <v/>
      </c>
      <c r="B15828" s="0" t="s">
        <v>21031</v>
      </c>
      <c r="C15828" s="0" t="s">
        <v>21032</v>
      </c>
      <c r="D15828" s="0" t="s">
        <v>21032</v>
      </c>
      <c r="E15828" s="0" t="inlineStr">
        <is>
          <t xml:space="preserve">Mazda</t>
        </is>
      </c>
      <c r="F15828" s="0" t="inlineStr">
        <is>
          <t xml:space="preserve">Mazda</t>
        </is>
      </c>
      <c r="G15828" s="0" t="s">
        <v>171</v>
      </c>
      <c r="H15828" s="5">
        <v>29.023800</v>
      </c>
    </row>
    <row r="15829" spans="1:9">
      <c r="A15829" s="22" t="str">
        <f>HYPERLINK("https://app.vivvix.com/360/KMI/IntelliDrive/ApplUI/Pages/CreativePages/CustomReportCreativeDetail.aspx?App=23&amp;ReportView=4&amp;Qid=1711279&amp;Row=15821&amp;Col=1","No Title Assigned - #15275464796")</f>
        <v/>
      </c>
      <c r="B15829" s="0" t="s">
        <v>21033</v>
      </c>
      <c r="E15829" s="0" t="inlineStr">
        <is>
          <t xml:space="preserve">Mazda</t>
        </is>
      </c>
      <c r="F15829" s="0" t="inlineStr">
        <is>
          <t xml:space="preserve">Mazda</t>
        </is>
      </c>
      <c r="G15829" s="0" t="s">
        <v>171</v>
      </c>
      <c r="H15829" s="5">
        <v>438.174500</v>
      </c>
    </row>
    <row r="15830" spans="1:9">
      <c r="A15830" s="22" t="str">
        <f>HYPERLINK("https://app.vivvix.com/360/KMI/IntelliDrive/ApplUI/Pages/CreativePages/CustomReportCreativeDetail.aspx?App=23&amp;ReportView=4&amp;Qid=1711279&amp;Row=15822&amp;Col=1","No Title Assigned - #15275464895")</f>
        <v/>
      </c>
      <c r="B15830" s="0" t="s">
        <v>21034</v>
      </c>
      <c r="E15830" s="0" t="inlineStr">
        <is>
          <t xml:space="preserve">Mazda</t>
        </is>
      </c>
      <c r="F15830" s="0" t="inlineStr">
        <is>
          <t xml:space="preserve">Mazda</t>
        </is>
      </c>
      <c r="G15830" s="0" t="s">
        <v>171</v>
      </c>
      <c r="H15830" s="5">
        <v>11.658800</v>
      </c>
    </row>
    <row r="15831" spans="1:9">
      <c r="A15831" s="22" t="str">
        <f>HYPERLINK("https://app.vivvix.com/360/KMI/IntelliDrive/ApplUI/Pages/CreativePages/CustomReportCreativeDetail.aspx?App=23&amp;ReportView=4&amp;Qid=1711279&amp;Row=15823&amp;Col=1","No Title Assigned - #15275465050")</f>
        <v/>
      </c>
      <c r="B15831" s="0" t="s">
        <v>21035</v>
      </c>
      <c r="E15831" s="0" t="inlineStr">
        <is>
          <t xml:space="preserve">Mazda</t>
        </is>
      </c>
      <c r="F15831" s="0" t="inlineStr">
        <is>
          <t xml:space="preserve">Mazda</t>
        </is>
      </c>
      <c r="G15831" s="0" t="s">
        <v>171</v>
      </c>
      <c r="H15831" s="5">
        <v>105.000800</v>
      </c>
    </row>
    <row r="15832" spans="1:9">
      <c r="A15832" s="22" t="str">
        <f>HYPERLINK("https://app.vivvix.com/360/KMI/IntelliDrive/ApplUI/Pages/CreativePages/CustomReportCreativeDetail.aspx?App=23&amp;ReportView=4&amp;Qid=1711279&amp;Row=15824&amp;Col=1","No Title Assigned - #15275465416")</f>
        <v/>
      </c>
      <c r="B15832" s="0" t="s">
        <v>21036</v>
      </c>
      <c r="E15832" s="0" t="inlineStr">
        <is>
          <t xml:space="preserve">Mazda</t>
        </is>
      </c>
      <c r="F15832" s="0" t="inlineStr">
        <is>
          <t xml:space="preserve">Mazda</t>
        </is>
      </c>
      <c r="G15832" s="0" t="s">
        <v>171</v>
      </c>
      <c r="H15832" s="5">
        <v>164.947700</v>
      </c>
    </row>
    <row r="15833" spans="1:9">
      <c r="A15833" s="22" t="str">
        <f>HYPERLINK("https://app.vivvix.com/360/KMI/IntelliDrive/ApplUI/Pages/CreativePages/CustomReportCreativeDetail.aspx?App=23&amp;ReportView=4&amp;Qid=1711279&amp;Row=15825&amp;Col=1","No Title Assigned - #15275466322")</f>
        <v/>
      </c>
      <c r="B15833" s="0" t="s">
        <v>21037</v>
      </c>
      <c r="E15833" s="0" t="inlineStr">
        <is>
          <t xml:space="preserve">Mazda</t>
        </is>
      </c>
      <c r="F15833" s="0" t="inlineStr">
        <is>
          <t xml:space="preserve">Mazda</t>
        </is>
      </c>
      <c r="G15833" s="0" t="s">
        <v>171</v>
      </c>
      <c r="H15833" s="5">
        <v>388.462400</v>
      </c>
    </row>
    <row r="15834" spans="1:9">
      <c r="A15834" s="22" t="str">
        <f>HYPERLINK("https://app.vivvix.com/360/KMI/IntelliDrive/ApplUI/Pages/CreativePages/CustomReportCreativeDetail.aspx?App=23&amp;ReportView=4&amp;Qid=1711279&amp;Row=15826&amp;Col=1","No Title Assigned - #15275468777")</f>
        <v/>
      </c>
      <c r="B15834" s="0" t="s">
        <v>21038</v>
      </c>
      <c r="E15834" s="0" t="inlineStr">
        <is>
          <t xml:space="preserve">Mazda</t>
        </is>
      </c>
      <c r="F15834" s="0" t="inlineStr">
        <is>
          <t xml:space="preserve">Mazda</t>
        </is>
      </c>
      <c r="G15834" s="0" t="s">
        <v>171</v>
      </c>
      <c r="H15834" s="5">
        <v>29.671400</v>
      </c>
    </row>
    <row r="15835" spans="1:9">
      <c r="A15835" s="22" t="str">
        <f>HYPERLINK("https://app.vivvix.com/360/KMI/IntelliDrive/ApplUI/Pages/CreativePages/CustomReportCreativeDetail.aspx?App=23&amp;ReportView=4&amp;Qid=1711279&amp;Row=15827&amp;Col=1","No Title Assigned - #15275472201")</f>
        <v/>
      </c>
      <c r="B15835" s="0" t="s">
        <v>21039</v>
      </c>
      <c r="E15835" s="0" t="inlineStr">
        <is>
          <t xml:space="preserve">Mazda</t>
        </is>
      </c>
      <c r="F15835" s="0" t="inlineStr">
        <is>
          <t xml:space="preserve">Mazda</t>
        </is>
      </c>
      <c r="G15835" s="0" t="s">
        <v>171</v>
      </c>
      <c r="H15835" s="5">
        <v>251.081400</v>
      </c>
    </row>
    <row r="15836" spans="1:9">
      <c r="A15836" s="22" t="str">
        <f>HYPERLINK("https://app.vivvix.com/360/KMI/IntelliDrive/ApplUI/Pages/CreativePages/CustomReportCreativeDetail.aspx?App=23&amp;ReportView=4&amp;Qid=1711279&amp;Row=15828&amp;Col=1","No Title Assigned - #15275472238")</f>
        <v/>
      </c>
      <c r="B15836" s="0" t="s">
        <v>21040</v>
      </c>
      <c r="C15836" s="0" t="s">
        <v>21041</v>
      </c>
      <c r="D15836" s="0" t="s">
        <v>21041</v>
      </c>
      <c r="E15836" s="0" t="inlineStr">
        <is>
          <t xml:space="preserve">Mazda</t>
        </is>
      </c>
      <c r="F15836" s="0" t="inlineStr">
        <is>
          <t xml:space="preserve">Mazda</t>
        </is>
      </c>
      <c r="G15836" s="0" t="s">
        <v>171</v>
      </c>
      <c r="H15836" s="5">
        <v>185.654300</v>
      </c>
    </row>
    <row r="15837" spans="1:9">
      <c r="A15837" s="22" t="str">
        <f>HYPERLINK("https://app.vivvix.com/360/KMI/IntelliDrive/ApplUI/Pages/CreativePages/CustomReportCreativeDetail.aspx?App=23&amp;ReportView=4&amp;Qid=1711279&amp;Row=15829&amp;Col=1","No Title Assigned - #15275515472")</f>
        <v/>
      </c>
      <c r="B15837" s="0" t="s">
        <v>21042</v>
      </c>
      <c r="C15837" s="0" t="s">
        <v>21043</v>
      </c>
      <c r="D15837" s="0" t="s">
        <v>21043</v>
      </c>
      <c r="E15837" s="0" t="inlineStr">
        <is>
          <t xml:space="preserve">Mazda</t>
        </is>
      </c>
      <c r="F15837" s="0" t="s">
        <v>13</v>
      </c>
      <c r="G15837" s="0" t="s">
        <v>49</v>
      </c>
      <c r="H15837" s="5">
        <v>243.154100</v>
      </c>
    </row>
    <row r="15838" spans="1:9">
      <c r="A15838" s="22" t="str">
        <f>HYPERLINK("https://app.vivvix.com/360/KMI/IntelliDrive/ApplUI/Pages/CreativePages/CustomReportCreativeDetail.aspx?App=23&amp;ReportView=4&amp;Qid=1711279&amp;Row=15830&amp;Col=1","No Title Assigned - #15275516377")</f>
        <v/>
      </c>
      <c r="B15838" s="0" t="s">
        <v>21044</v>
      </c>
      <c r="C15838" s="0" t="s">
        <v>21045</v>
      </c>
      <c r="D15838" s="0" t="s">
        <v>21045</v>
      </c>
      <c r="E15838" s="0" t="inlineStr">
        <is>
          <t xml:space="preserve">Mazda</t>
        </is>
      </c>
      <c r="F15838" s="0" t="s">
        <v>13</v>
      </c>
      <c r="G15838" s="0" t="s">
        <v>49</v>
      </c>
      <c r="H15838" s="5">
        <v>243.154100</v>
      </c>
    </row>
    <row r="15839" spans="1:9">
      <c r="A15839" s="22" t="str">
        <f>HYPERLINK("https://app.vivvix.com/360/KMI/IntelliDrive/ApplUI/Pages/CreativePages/CustomReportCreativeDetail.aspx?App=23&amp;ReportView=4&amp;Qid=1711279&amp;Row=15831&amp;Col=1","No Title Assigned - #15275519908")</f>
        <v/>
      </c>
      <c r="B15839" s="0" t="s">
        <v>21046</v>
      </c>
      <c r="C15839" s="0" t="s">
        <v>21047</v>
      </c>
      <c r="D15839" s="0" t="s">
        <v>21047</v>
      </c>
      <c r="E15839" s="0" t="inlineStr">
        <is>
          <t xml:space="preserve">Mazda</t>
        </is>
      </c>
      <c r="F15839" s="0" t="s">
        <v>13</v>
      </c>
      <c r="G15839" s="0" t="s">
        <v>49</v>
      </c>
      <c r="H15839" s="5">
        <v>486.731100</v>
      </c>
    </row>
    <row r="15840" spans="1:9">
      <c r="A15840" s="22" t="str">
        <f>HYPERLINK("https://app.vivvix.com/360/KMI/IntelliDrive/ApplUI/Pages/CreativePages/CustomReportCreativeDetail.aspx?App=23&amp;ReportView=4&amp;Qid=1711279&amp;Row=15832&amp;Col=1","No Title Assigned - #15275525581")</f>
        <v/>
      </c>
      <c r="B15840" s="0" t="s">
        <v>21048</v>
      </c>
      <c r="C15840" s="0" t="s">
        <v>21049</v>
      </c>
      <c r="D15840" s="0" t="s">
        <v>5013</v>
      </c>
      <c r="E15840" s="0" t="inlineStr">
        <is>
          <t xml:space="preserve">Mazda</t>
        </is>
      </c>
      <c r="F15840" s="0" t="s">
        <v>13</v>
      </c>
      <c r="G15840" s="0" t="s">
        <v>49</v>
      </c>
      <c r="H15840" s="5">
        <v>47.910300</v>
      </c>
    </row>
    <row r="15841" spans="1:9">
      <c r="A15841" s="22" t="str">
        <f>HYPERLINK("https://app.vivvix.com/360/KMI/IntelliDrive/ApplUI/Pages/CreativePages/CustomReportCreativeDetail.aspx?App=23&amp;ReportView=4&amp;Qid=1711279&amp;Row=15833&amp;Col=1","No Title Assigned - #15275526457")</f>
        <v/>
      </c>
      <c r="B15841" s="0" t="s">
        <v>21050</v>
      </c>
      <c r="E15841" s="0" t="inlineStr">
        <is>
          <t xml:space="preserve">Mazda</t>
        </is>
      </c>
      <c r="F15841" s="0" t="inlineStr">
        <is>
          <t xml:space="preserve">Mazda</t>
        </is>
      </c>
      <c r="G15841" s="0" t="s">
        <v>171</v>
      </c>
      <c r="H15841" s="5">
        <v>679.018200</v>
      </c>
    </row>
    <row r="15842" spans="1:9">
      <c r="A15842" s="22" t="str">
        <f>HYPERLINK("https://app.vivvix.com/360/KMI/IntelliDrive/ApplUI/Pages/CreativePages/CustomReportCreativeDetail.aspx?App=23&amp;ReportView=4&amp;Qid=1711279&amp;Row=15834&amp;Col=1","No Title Assigned - #15275528230")</f>
        <v/>
      </c>
      <c r="B15842" s="0" t="s">
        <v>21051</v>
      </c>
      <c r="C15842" s="0" t="s">
        <v>21052</v>
      </c>
      <c r="D15842" s="0" t="s">
        <v>21052</v>
      </c>
      <c r="E15842" s="0" t="inlineStr">
        <is>
          <t xml:space="preserve">Mazda</t>
        </is>
      </c>
      <c r="F15842" s="0" t="s">
        <v>13</v>
      </c>
      <c r="G15842" s="0" t="s">
        <v>49</v>
      </c>
      <c r="H15842" s="5">
        <v>6504.266600</v>
      </c>
    </row>
    <row r="15843" spans="1:9">
      <c r="A15843" s="22" t="str">
        <f>HYPERLINK("https://app.vivvix.com/360/KMI/IntelliDrive/ApplUI/Pages/CreativePages/CustomReportCreativeDetail.aspx?App=23&amp;ReportView=4&amp;Qid=1711279&amp;Row=15835&amp;Col=1","No Title Assigned - #15275528280")</f>
        <v/>
      </c>
      <c r="B15843" s="0" t="s">
        <v>21053</v>
      </c>
      <c r="C15843" s="0" t="s">
        <v>21054</v>
      </c>
      <c r="D15843" s="0" t="s">
        <v>21054</v>
      </c>
      <c r="E15843" s="0" t="inlineStr">
        <is>
          <t xml:space="preserve">Mazda</t>
        </is>
      </c>
      <c r="F15843" s="0" t="s">
        <v>13</v>
      </c>
      <c r="G15843" s="0" t="s">
        <v>49</v>
      </c>
      <c r="H15843" s="5">
        <v>397.313400</v>
      </c>
    </row>
    <row r="15844" spans="1:9">
      <c r="A15844" s="22" t="str">
        <f>HYPERLINK("https://app.vivvix.com/360/KMI/IntelliDrive/ApplUI/Pages/CreativePages/CustomReportCreativeDetail.aspx?App=23&amp;ReportView=4&amp;Qid=1711279&amp;Row=15836&amp;Col=1","No Title Assigned - #15275532215")</f>
        <v/>
      </c>
      <c r="B15844" s="0" t="s">
        <v>21055</v>
      </c>
      <c r="C15844" s="0" t="s">
        <v>21056</v>
      </c>
      <c r="D15844" s="0" t="s">
        <v>21056</v>
      </c>
      <c r="E15844" s="0" t="inlineStr">
        <is>
          <t xml:space="preserve">Mazda</t>
        </is>
      </c>
      <c r="F15844" s="0" t="s">
        <v>13</v>
      </c>
      <c r="G15844" s="0" t="s">
        <v>49</v>
      </c>
      <c r="H15844" s="5">
        <v>479.480300</v>
      </c>
    </row>
    <row r="15845" spans="1:9">
      <c r="A15845" s="22" t="str">
        <f>HYPERLINK("https://app.vivvix.com/360/KMI/IntelliDrive/ApplUI/Pages/CreativePages/CustomReportCreativeDetail.aspx?App=23&amp;ReportView=4&amp;Qid=1711279&amp;Row=15837&amp;Col=1","No Title Assigned - #15275532902")</f>
        <v/>
      </c>
      <c r="B15845" s="0" t="s">
        <v>21057</v>
      </c>
      <c r="E15845" s="0" t="inlineStr">
        <is>
          <t xml:space="preserve">Mazda</t>
        </is>
      </c>
      <c r="F15845" s="0" t="s">
        <v>13</v>
      </c>
      <c r="G15845" s="0" t="s">
        <v>49</v>
      </c>
      <c r="H15845" s="5">
        <v>30.205000</v>
      </c>
    </row>
    <row r="15846" spans="1:9">
      <c r="A15846" s="22" t="str">
        <f>HYPERLINK("https://app.vivvix.com/360/KMI/IntelliDrive/ApplUI/Pages/CreativePages/CustomReportCreativeDetail.aspx?App=23&amp;ReportView=4&amp;Qid=1711279&amp;Row=15838&amp;Col=1","No Title Assigned - #15275533093")</f>
        <v/>
      </c>
      <c r="B15846" s="0" t="s">
        <v>21058</v>
      </c>
      <c r="C15846" s="0" t="s">
        <v>21059</v>
      </c>
      <c r="D15846" s="0" t="s">
        <v>5549</v>
      </c>
      <c r="E15846" s="0" t="inlineStr">
        <is>
          <t xml:space="preserve">Mazda</t>
        </is>
      </c>
      <c r="F15846" s="0" t="s">
        <v>28</v>
      </c>
      <c r="G15846" s="0" t="s">
        <v>29</v>
      </c>
      <c r="H15846" s="5">
        <v>166.766100</v>
      </c>
    </row>
    <row r="15847" spans="1:9">
      <c r="A15847" s="22" t="str">
        <f>HYPERLINK("https://app.vivvix.com/360/KMI/IntelliDrive/ApplUI/Pages/CreativePages/CustomReportCreativeDetail.aspx?App=23&amp;ReportView=4&amp;Qid=1711279&amp;Row=15839&amp;Col=1","No Title Assigned - #15275540125")</f>
        <v/>
      </c>
      <c r="B15847" s="0" t="s">
        <v>21060</v>
      </c>
      <c r="C15847" s="0" t="s">
        <v>21061</v>
      </c>
      <c r="D15847" s="0" t="s">
        <v>21061</v>
      </c>
      <c r="E15847" s="0" t="inlineStr">
        <is>
          <t xml:space="preserve">Mazda</t>
        </is>
      </c>
      <c r="F15847" s="0" t="s">
        <v>13</v>
      </c>
      <c r="G15847" s="0" t="s">
        <v>49</v>
      </c>
      <c r="H15847" s="5">
        <v>44.123400</v>
      </c>
    </row>
    <row r="15848" spans="1:9">
      <c r="A15848" s="22" t="str">
        <f>HYPERLINK("https://app.vivvix.com/360/KMI/IntelliDrive/ApplUI/Pages/CreativePages/CustomReportCreativeDetail.aspx?App=23&amp;ReportView=4&amp;Qid=1711279&amp;Row=15840&amp;Col=1","No Title Assigned - #15275540477")</f>
        <v/>
      </c>
      <c r="B15848" s="0" t="s">
        <v>21062</v>
      </c>
      <c r="E15848" s="0" t="inlineStr">
        <is>
          <t xml:space="preserve">Mazda</t>
        </is>
      </c>
      <c r="F15848" s="0" t="s">
        <v>13</v>
      </c>
      <c r="G15848" s="0" t="s">
        <v>49</v>
      </c>
      <c r="H15848" s="5">
        <v>130.116200</v>
      </c>
    </row>
    <row r="15849" spans="1:9">
      <c r="A15849" s="22" t="str">
        <f>HYPERLINK("https://app.vivvix.com/360/KMI/IntelliDrive/ApplUI/Pages/CreativePages/CustomReportCreativeDetail.aspx?App=23&amp;ReportView=4&amp;Qid=1711279&amp;Row=15841&amp;Col=1","No Title Assigned - #15275542896")</f>
        <v/>
      </c>
      <c r="B15849" s="0" t="s">
        <v>21063</v>
      </c>
      <c r="C15849" s="0" t="s">
        <v>21064</v>
      </c>
      <c r="D15849" s="0" t="s">
        <v>21064</v>
      </c>
      <c r="E15849" s="0" t="inlineStr">
        <is>
          <t xml:space="preserve">Mazda</t>
        </is>
      </c>
      <c r="F15849" s="0" t="s">
        <v>13</v>
      </c>
      <c r="G15849" s="0" t="s">
        <v>49</v>
      </c>
      <c r="H15849" s="5">
        <v>67.100700</v>
      </c>
    </row>
    <row r="15850" spans="1:9">
      <c r="A15850" s="22" t="str">
        <f>HYPERLINK("https://app.vivvix.com/360/KMI/IntelliDrive/ApplUI/Pages/CreativePages/CustomReportCreativeDetail.aspx?App=23&amp;ReportView=4&amp;Qid=1711279&amp;Row=15842&amp;Col=1","No Title Assigned - #15275543628")</f>
        <v/>
      </c>
      <c r="B15850" s="0" t="s">
        <v>21065</v>
      </c>
      <c r="E15850" s="0" t="inlineStr">
        <is>
          <t xml:space="preserve">Mazda</t>
        </is>
      </c>
      <c r="F15850" s="0" t="s">
        <v>13</v>
      </c>
      <c r="G15850" s="0" t="s">
        <v>49</v>
      </c>
      <c r="H15850" s="5">
        <v>469.069100</v>
      </c>
    </row>
    <row r="15851" spans="1:9">
      <c r="A15851" s="22" t="str">
        <f>HYPERLINK("https://app.vivvix.com/360/KMI/IntelliDrive/ApplUI/Pages/CreativePages/CustomReportCreativeDetail.aspx?App=23&amp;ReportView=4&amp;Qid=1711279&amp;Row=15843&amp;Col=1","No Title Assigned - #15275574225")</f>
        <v/>
      </c>
      <c r="B15851" s="0" t="s">
        <v>21066</v>
      </c>
      <c r="C15851" s="0" t="s">
        <v>21067</v>
      </c>
      <c r="D15851" s="0" t="s">
        <v>21067</v>
      </c>
      <c r="E15851" s="0" t="inlineStr">
        <is>
          <t xml:space="preserve">Mazda</t>
        </is>
      </c>
      <c r="F15851" s="0" t="s">
        <v>13</v>
      </c>
      <c r="G15851" s="0" t="s">
        <v>49</v>
      </c>
      <c r="H15851" s="5">
        <v>609.498700</v>
      </c>
    </row>
    <row r="15852" spans="1:9">
      <c r="A15852" s="22" t="str">
        <f>HYPERLINK("https://app.vivvix.com/360/KMI/IntelliDrive/ApplUI/Pages/CreativePages/CustomReportCreativeDetail.aspx?App=23&amp;ReportView=4&amp;Qid=1711279&amp;Row=15844&amp;Col=1","No Title Assigned - #15275637940")</f>
        <v/>
      </c>
      <c r="B15852" s="0" t="s">
        <v>21068</v>
      </c>
      <c r="E15852" s="0" t="inlineStr">
        <is>
          <t xml:space="preserve">Mazda</t>
        </is>
      </c>
      <c r="F15852" s="0" t="s">
        <v>13</v>
      </c>
      <c r="G15852" s="0" t="s">
        <v>49</v>
      </c>
      <c r="H15852" s="5">
        <v>5.819400</v>
      </c>
    </row>
    <row r="15853" spans="1:9">
      <c r="A15853" s="22" t="str">
        <f>HYPERLINK("https://app.vivvix.com/360/KMI/IntelliDrive/ApplUI/Pages/CreativePages/CustomReportCreativeDetail.aspx?App=23&amp;ReportView=4&amp;Qid=1711279&amp;Row=15845&amp;Col=1","No Title Assigned - #15275643637")</f>
        <v/>
      </c>
      <c r="B15853" s="0" t="s">
        <v>21069</v>
      </c>
      <c r="E15853" s="0" t="inlineStr">
        <is>
          <t xml:space="preserve">Mazda</t>
        </is>
      </c>
      <c r="F15853" s="0" t="s">
        <v>13</v>
      </c>
      <c r="G15853" s="0" t="s">
        <v>49</v>
      </c>
      <c r="H15853" s="5">
        <v>58.665700</v>
      </c>
    </row>
    <row r="15854" spans="1:9">
      <c r="A15854" s="22" t="str">
        <f>HYPERLINK("https://app.vivvix.com/360/KMI/IntelliDrive/ApplUI/Pages/CreativePages/CustomReportCreativeDetail.aspx?App=23&amp;ReportView=4&amp;Qid=1711279&amp;Row=15846&amp;Col=1","No Title Assigned - #15275645039")</f>
        <v/>
      </c>
      <c r="B15854" s="0" t="s">
        <v>21070</v>
      </c>
      <c r="E15854" s="0" t="inlineStr">
        <is>
          <t xml:space="preserve">Mazda</t>
        </is>
      </c>
      <c r="F15854" s="0" t="s">
        <v>13</v>
      </c>
      <c r="G15854" s="0" t="s">
        <v>49</v>
      </c>
      <c r="H15854" s="5">
        <v>246.516100</v>
      </c>
    </row>
    <row r="15855" spans="1:9">
      <c r="A15855" s="22" t="str">
        <f>HYPERLINK("https://app.vivvix.com/360/KMI/IntelliDrive/ApplUI/Pages/CreativePages/CustomReportCreativeDetail.aspx?App=23&amp;ReportView=4&amp;Qid=1711279&amp;Row=15847&amp;Col=1","No Title Assigned - #15275646544")</f>
        <v/>
      </c>
      <c r="B15855" s="0" t="s">
        <v>21071</v>
      </c>
      <c r="C15855" s="0" t="s">
        <v>21072</v>
      </c>
      <c r="D15855" s="0" t="s">
        <v>21072</v>
      </c>
      <c r="E15855" s="0" t="inlineStr">
        <is>
          <t xml:space="preserve">Mazda</t>
        </is>
      </c>
      <c r="F15855" s="0" t="s">
        <v>13</v>
      </c>
      <c r="G15855" s="0" t="s">
        <v>49</v>
      </c>
      <c r="H15855" s="5">
        <v>8.529900</v>
      </c>
    </row>
    <row r="15856" spans="1:9">
      <c r="A15856" s="22" t="str">
        <f>HYPERLINK("https://app.vivvix.com/360/KMI/IntelliDrive/ApplUI/Pages/CreativePages/CustomReportCreativeDetail.aspx?App=23&amp;ReportView=4&amp;Qid=1711279&amp;Row=15848&amp;Col=1","No Title Assigned - #15275646587")</f>
        <v/>
      </c>
      <c r="B15856" s="0" t="s">
        <v>21073</v>
      </c>
      <c r="C15856" s="0" t="s">
        <v>21074</v>
      </c>
      <c r="D15856" s="0" t="s">
        <v>21074</v>
      </c>
      <c r="E15856" s="0" t="inlineStr">
        <is>
          <t xml:space="preserve">Mazda</t>
        </is>
      </c>
      <c r="F15856" s="0" t="s">
        <v>13</v>
      </c>
      <c r="G15856" s="0" t="s">
        <v>49</v>
      </c>
      <c r="H15856" s="5">
        <v>8.529900</v>
      </c>
    </row>
    <row r="15857" spans="1:9">
      <c r="A15857" s="22" t="str">
        <f>HYPERLINK("https://app.vivvix.com/360/KMI/IntelliDrive/ApplUI/Pages/CreativePages/CustomReportCreativeDetail.aspx?App=23&amp;ReportView=4&amp;Qid=1711279&amp;Row=15849&amp;Col=1","No Title Assigned - #15275655715")</f>
        <v/>
      </c>
      <c r="B15857" s="0" t="s">
        <v>21075</v>
      </c>
      <c r="E15857" s="0" t="inlineStr">
        <is>
          <t xml:space="preserve">Mazda</t>
        </is>
      </c>
      <c r="F15857" s="0" t="s">
        <v>13</v>
      </c>
      <c r="G15857" s="0" t="s">
        <v>49</v>
      </c>
      <c r="H15857" s="5">
        <v>97.750900</v>
      </c>
    </row>
    <row r="15858" spans="1:9">
      <c r="A15858" s="22" t="str">
        <f>HYPERLINK("https://app.vivvix.com/360/KMI/IntelliDrive/ApplUI/Pages/CreativePages/CustomReportCreativeDetail.aspx?App=23&amp;ReportView=4&amp;Qid=1711279&amp;Row=15850&amp;Col=1","No Title Assigned - #15275668909")</f>
        <v/>
      </c>
      <c r="B15858" s="0" t="s">
        <v>21076</v>
      </c>
      <c r="E15858" s="0" t="inlineStr">
        <is>
          <t xml:space="preserve">Mazda</t>
        </is>
      </c>
      <c r="F15858" s="0" t="inlineStr">
        <is>
          <t xml:space="preserve">Mazda</t>
        </is>
      </c>
      <c r="G15858" s="0" t="s">
        <v>171</v>
      </c>
      <c r="H15858" s="5">
        <v>3938.989300</v>
      </c>
    </row>
    <row r="15859" spans="1:9">
      <c r="A15859" s="22" t="str">
        <f>HYPERLINK("https://app.vivvix.com/360/KMI/IntelliDrive/ApplUI/Pages/CreativePages/CustomReportCreativeDetail.aspx?App=23&amp;ReportView=4&amp;Qid=1711279&amp;Row=15851&amp;Col=1","No Title Assigned - #15275707554")</f>
        <v/>
      </c>
      <c r="B15859" s="0" t="s">
        <v>21077</v>
      </c>
      <c r="C15859" s="0" t="s">
        <v>21078</v>
      </c>
      <c r="D15859" s="0" t="s">
        <v>21078</v>
      </c>
      <c r="E15859" s="0" t="inlineStr">
        <is>
          <t xml:space="preserve">Mazda</t>
        </is>
      </c>
      <c r="F15859" s="0" t="inlineStr">
        <is>
          <t xml:space="preserve">Mazda</t>
        </is>
      </c>
      <c r="G15859" s="0" t="s">
        <v>210</v>
      </c>
      <c r="H15859" s="5">
        <v>1462.540200</v>
      </c>
    </row>
    <row r="15860" spans="1:9">
      <c r="A15860" s="22" t="str">
        <f>HYPERLINK("https://app.vivvix.com/360/KMI/IntelliDrive/ApplUI/Pages/CreativePages/CustomReportCreativeDetail.aspx?App=23&amp;ReportView=4&amp;Qid=1711279&amp;Row=15852&amp;Col=1","No Title Assigned - #15275709095")</f>
        <v/>
      </c>
      <c r="B15860" s="0" t="s">
        <v>21079</v>
      </c>
      <c r="E15860" s="0" t="inlineStr">
        <is>
          <t xml:space="preserve">Mazda</t>
        </is>
      </c>
      <c r="F15860" s="0" t="s">
        <v>13</v>
      </c>
      <c r="G15860" s="0" t="s">
        <v>49</v>
      </c>
      <c r="H15860" s="5">
        <v>311.488400</v>
      </c>
    </row>
    <row r="15861" spans="1:9">
      <c r="A15861" s="22" t="str">
        <f>HYPERLINK("https://app.vivvix.com/360/KMI/IntelliDrive/ApplUI/Pages/CreativePages/CustomReportCreativeDetail.aspx?App=23&amp;ReportView=4&amp;Qid=1711279&amp;Row=15853&amp;Col=1","No Title Assigned - #15275717639")</f>
        <v/>
      </c>
      <c r="B15861" s="0" t="s">
        <v>21080</v>
      </c>
      <c r="C15861" s="0" t="s">
        <v>21081</v>
      </c>
      <c r="D15861" s="0" t="s">
        <v>21081</v>
      </c>
      <c r="E15861" s="0" t="inlineStr">
        <is>
          <t xml:space="preserve">Mazda</t>
        </is>
      </c>
      <c r="F15861" s="0" t="s">
        <v>13</v>
      </c>
      <c r="G15861" s="0" t="s">
        <v>49</v>
      </c>
      <c r="H15861" s="5">
        <v>649.491900</v>
      </c>
    </row>
    <row r="15862" spans="1:9">
      <c r="A15862" s="22" t="str">
        <f>HYPERLINK("https://app.vivvix.com/360/KMI/IntelliDrive/ApplUI/Pages/CreativePages/CustomReportCreativeDetail.aspx?App=23&amp;ReportView=4&amp;Qid=1711279&amp;Row=15854&amp;Col=1","No Title Assigned - #15275724383")</f>
        <v/>
      </c>
      <c r="B15862" s="0" t="s">
        <v>21082</v>
      </c>
      <c r="E15862" s="0" t="inlineStr">
        <is>
          <t xml:space="preserve">Mazda</t>
        </is>
      </c>
      <c r="F15862" s="0" t="s">
        <v>1568</v>
      </c>
      <c r="G15862" s="0" t="s">
        <v>1569</v>
      </c>
      <c r="H15862" s="5">
        <v>1395.577000</v>
      </c>
    </row>
    <row r="15863" spans="1:9">
      <c r="A15863" s="22" t="str">
        <f>HYPERLINK("https://app.vivvix.com/360/KMI/IntelliDrive/ApplUI/Pages/CreativePages/CustomReportCreativeDetail.aspx?App=23&amp;ReportView=4&amp;Qid=1711279&amp;Row=15855&amp;Col=1","No Title Assigned - #15275729300")</f>
        <v/>
      </c>
      <c r="B15863" s="0" t="s">
        <v>21083</v>
      </c>
      <c r="E15863" s="0" t="inlineStr">
        <is>
          <t xml:space="preserve">Mazda</t>
        </is>
      </c>
      <c r="F15863" s="0" t="inlineStr">
        <is>
          <t xml:space="preserve">Mazda</t>
        </is>
      </c>
      <c r="G15863" s="0" t="s">
        <v>171</v>
      </c>
      <c r="H15863" s="5">
        <v>52.160500</v>
      </c>
    </row>
    <row r="15864" spans="1:9">
      <c r="A15864" s="22" t="str">
        <f>HYPERLINK("https://app.vivvix.com/360/KMI/IntelliDrive/ApplUI/Pages/CreativePages/CustomReportCreativeDetail.aspx?App=23&amp;ReportView=4&amp;Qid=1711279&amp;Row=15856&amp;Col=1","No Title Assigned - #15275729852")</f>
        <v/>
      </c>
      <c r="B15864" s="0" t="s">
        <v>21084</v>
      </c>
      <c r="E15864" s="0" t="inlineStr">
        <is>
          <t xml:space="preserve">Mazda</t>
        </is>
      </c>
      <c r="F15864" s="0" t="inlineStr">
        <is>
          <t xml:space="preserve">Mazda</t>
        </is>
      </c>
      <c r="G15864" s="0" t="s">
        <v>171</v>
      </c>
      <c r="H15864" s="5">
        <v>150.252200</v>
      </c>
    </row>
    <row r="15865" spans="1:9">
      <c r="A15865" s="22" t="str">
        <f>HYPERLINK("https://app.vivvix.com/360/KMI/IntelliDrive/ApplUI/Pages/CreativePages/CustomReportCreativeDetail.aspx?App=23&amp;ReportView=4&amp;Qid=1711279&amp;Row=15857&amp;Col=1","No Title Assigned - #15275730027")</f>
        <v/>
      </c>
      <c r="B15865" s="0" t="s">
        <v>21085</v>
      </c>
      <c r="E15865" s="0" t="inlineStr">
        <is>
          <t xml:space="preserve">Mazda</t>
        </is>
      </c>
      <c r="F15865" s="0" t="inlineStr">
        <is>
          <t xml:space="preserve">Mazda</t>
        </is>
      </c>
      <c r="G15865" s="0" t="s">
        <v>171</v>
      </c>
      <c r="H15865" s="5">
        <v>434.775800</v>
      </c>
    </row>
    <row r="15866" spans="1:9">
      <c r="A15866" s="22" t="str">
        <f>HYPERLINK("https://app.vivvix.com/360/KMI/IntelliDrive/ApplUI/Pages/CreativePages/CustomReportCreativeDetail.aspx?App=23&amp;ReportView=4&amp;Qid=1711279&amp;Row=15858&amp;Col=1","No Title Assigned - #15275730157")</f>
        <v/>
      </c>
      <c r="B15866" s="0" t="s">
        <v>21086</v>
      </c>
      <c r="E15866" s="0" t="inlineStr">
        <is>
          <t xml:space="preserve">Mazda</t>
        </is>
      </c>
      <c r="F15866" s="0" t="inlineStr">
        <is>
          <t xml:space="preserve">Mazda</t>
        </is>
      </c>
      <c r="G15866" s="0" t="s">
        <v>171</v>
      </c>
      <c r="H15866" s="5">
        <v>3009.312800</v>
      </c>
    </row>
    <row r="15867" spans="1:9">
      <c r="A15867" s="22" t="str">
        <f>HYPERLINK("https://app.vivvix.com/360/KMI/IntelliDrive/ApplUI/Pages/CreativePages/CustomReportCreativeDetail.aspx?App=23&amp;ReportView=4&amp;Qid=1711279&amp;Row=15859&amp;Col=1","No Title Assigned - #15275730439")</f>
        <v/>
      </c>
      <c r="B15867" s="0" t="s">
        <v>21087</v>
      </c>
      <c r="E15867" s="0" t="inlineStr">
        <is>
          <t xml:space="preserve">Mazda</t>
        </is>
      </c>
      <c r="F15867" s="0" t="inlineStr">
        <is>
          <t xml:space="preserve">Mazda</t>
        </is>
      </c>
      <c r="G15867" s="0" t="s">
        <v>171</v>
      </c>
      <c r="H15867" s="5">
        <v>16054.942500</v>
      </c>
    </row>
    <row r="15868" spans="1:9">
      <c r="A15868" s="22" t="str">
        <f>HYPERLINK("https://app.vivvix.com/360/KMI/IntelliDrive/ApplUI/Pages/CreativePages/CustomReportCreativeDetail.aspx?App=23&amp;ReportView=4&amp;Qid=1711279&amp;Row=15860&amp;Col=1","No Title Assigned - #15275730439")</f>
        <v/>
      </c>
      <c r="B15868" s="0" t="s">
        <v>21087</v>
      </c>
      <c r="E15868" s="0" t="inlineStr">
        <is>
          <t xml:space="preserve">Mazda</t>
        </is>
      </c>
      <c r="F15868" s="0" t="inlineStr">
        <is>
          <t xml:space="preserve">Mazda</t>
        </is>
      </c>
      <c r="G15868" s="0" t="s">
        <v>171</v>
      </c>
      <c r="H15868" s="5">
        <v>897.549500</v>
      </c>
    </row>
    <row r="15869" spans="1:9">
      <c r="A15869" s="22" t="str">
        <f>HYPERLINK("https://app.vivvix.com/360/KMI/IntelliDrive/ApplUI/Pages/CreativePages/CustomReportCreativeDetail.aspx?App=23&amp;ReportView=4&amp;Qid=1711279&amp;Row=15861&amp;Col=1","No Title Assigned - #15275730931")</f>
        <v/>
      </c>
      <c r="B15869" s="0" t="s">
        <v>21088</v>
      </c>
      <c r="E15869" s="0" t="inlineStr">
        <is>
          <t xml:space="preserve">Mazda</t>
        </is>
      </c>
      <c r="F15869" s="0" t="inlineStr">
        <is>
          <t xml:space="preserve">Mazda</t>
        </is>
      </c>
      <c r="G15869" s="0" t="s">
        <v>171</v>
      </c>
      <c r="H15869" s="5">
        <v>4.170800</v>
      </c>
    </row>
    <row r="15870" spans="1:9">
      <c r="A15870" s="22" t="str">
        <f>HYPERLINK("https://app.vivvix.com/360/KMI/IntelliDrive/ApplUI/Pages/CreativePages/CustomReportCreativeDetail.aspx?App=23&amp;ReportView=4&amp;Qid=1711279&amp;Row=15862&amp;Col=1","No Title Assigned - #15275731129")</f>
        <v/>
      </c>
      <c r="B15870" s="0" t="s">
        <v>21089</v>
      </c>
      <c r="E15870" s="0" t="inlineStr">
        <is>
          <t xml:space="preserve">Mazda</t>
        </is>
      </c>
      <c r="F15870" s="0" t="inlineStr">
        <is>
          <t xml:space="preserve">Mazda</t>
        </is>
      </c>
      <c r="G15870" s="0" t="s">
        <v>171</v>
      </c>
      <c r="H15870" s="5">
        <v>1.787400</v>
      </c>
    </row>
    <row r="15871" spans="1:9">
      <c r="A15871" s="22" t="str">
        <f>HYPERLINK("https://app.vivvix.com/360/KMI/IntelliDrive/ApplUI/Pages/CreativePages/CustomReportCreativeDetail.aspx?App=23&amp;ReportView=4&amp;Qid=1711279&amp;Row=15863&amp;Col=1","No Title Assigned - #15275731428")</f>
        <v/>
      </c>
      <c r="B15871" s="0" t="s">
        <v>21090</v>
      </c>
      <c r="E15871" s="0" t="inlineStr">
        <is>
          <t xml:space="preserve">Mazda</t>
        </is>
      </c>
      <c r="F15871" s="0" t="inlineStr">
        <is>
          <t xml:space="preserve">Mazda</t>
        </is>
      </c>
      <c r="G15871" s="0" t="s">
        <v>171</v>
      </c>
      <c r="H15871" s="5">
        <v>164.015100</v>
      </c>
    </row>
    <row r="15872" spans="1:9">
      <c r="A15872" s="22" t="str">
        <f>HYPERLINK("https://app.vivvix.com/360/KMI/IntelliDrive/ApplUI/Pages/CreativePages/CustomReportCreativeDetail.aspx?App=23&amp;ReportView=4&amp;Qid=1711279&amp;Row=15864&amp;Col=1","No Title Assigned - #15275731798")</f>
        <v/>
      </c>
      <c r="B15872" s="0" t="s">
        <v>21091</v>
      </c>
      <c r="E15872" s="0" t="inlineStr">
        <is>
          <t xml:space="preserve">Mazda</t>
        </is>
      </c>
      <c r="F15872" s="0" t="inlineStr">
        <is>
          <t xml:space="preserve">Mazda</t>
        </is>
      </c>
      <c r="G15872" s="0" t="s">
        <v>171</v>
      </c>
      <c r="H15872" s="5">
        <v>3891.354200</v>
      </c>
    </row>
    <row r="15873" spans="1:9">
      <c r="A15873" s="22" t="str">
        <f>HYPERLINK("https://app.vivvix.com/360/KMI/IntelliDrive/ApplUI/Pages/CreativePages/CustomReportCreativeDetail.aspx?App=23&amp;ReportView=4&amp;Qid=1711279&amp;Row=15865&amp;Col=1","No Title Assigned - #15275731964")</f>
        <v/>
      </c>
      <c r="B15873" s="0" t="s">
        <v>21092</v>
      </c>
      <c r="E15873" s="0" t="inlineStr">
        <is>
          <t xml:space="preserve">Mazda</t>
        </is>
      </c>
      <c r="F15873" s="0" t="inlineStr">
        <is>
          <t xml:space="preserve">Mazda</t>
        </is>
      </c>
      <c r="G15873" s="0" t="s">
        <v>171</v>
      </c>
      <c r="H15873" s="5">
        <v>161.524900</v>
      </c>
    </row>
    <row r="15874" spans="1:9">
      <c r="A15874" s="22" t="str">
        <f>HYPERLINK("https://app.vivvix.com/360/KMI/IntelliDrive/ApplUI/Pages/CreativePages/CustomReportCreativeDetail.aspx?App=23&amp;ReportView=4&amp;Qid=1711279&amp;Row=15866&amp;Col=1","No Title Assigned - #15275732370")</f>
        <v/>
      </c>
      <c r="B15874" s="0" t="s">
        <v>21093</v>
      </c>
      <c r="E15874" s="0" t="inlineStr">
        <is>
          <t xml:space="preserve">Mazda</t>
        </is>
      </c>
      <c r="F15874" s="0" t="inlineStr">
        <is>
          <t xml:space="preserve">Mazda</t>
        </is>
      </c>
      <c r="G15874" s="0" t="s">
        <v>171</v>
      </c>
      <c r="H15874" s="5">
        <v>164.015100</v>
      </c>
    </row>
    <row r="15875" spans="1:9">
      <c r="A15875" s="22" t="str">
        <f>HYPERLINK("https://app.vivvix.com/360/KMI/IntelliDrive/ApplUI/Pages/CreativePages/CustomReportCreativeDetail.aspx?App=23&amp;ReportView=4&amp;Qid=1711279&amp;Row=15867&amp;Col=1","No Title Assigned - #15275732589")</f>
        <v/>
      </c>
      <c r="B15875" s="0" t="s">
        <v>21094</v>
      </c>
      <c r="E15875" s="0" t="inlineStr">
        <is>
          <t xml:space="preserve">Mazda</t>
        </is>
      </c>
      <c r="F15875" s="0" t="inlineStr">
        <is>
          <t xml:space="preserve">Mazda</t>
        </is>
      </c>
      <c r="G15875" s="0" t="s">
        <v>171</v>
      </c>
      <c r="H15875" s="5">
        <v>1726.235700</v>
      </c>
    </row>
    <row r="15876" spans="1:9">
      <c r="A15876" s="22" t="str">
        <f>HYPERLINK("https://app.vivvix.com/360/KMI/IntelliDrive/ApplUI/Pages/CreativePages/CustomReportCreativeDetail.aspx?App=23&amp;ReportView=4&amp;Qid=1711279&amp;Row=15868&amp;Col=1","No Title Assigned - #15275733172")</f>
        <v/>
      </c>
      <c r="B15876" s="0" t="s">
        <v>21095</v>
      </c>
      <c r="E15876" s="0" t="inlineStr">
        <is>
          <t xml:space="preserve">Mazda</t>
        </is>
      </c>
      <c r="F15876" s="0" t="inlineStr">
        <is>
          <t xml:space="preserve">Mazda</t>
        </is>
      </c>
      <c r="G15876" s="0" t="s">
        <v>171</v>
      </c>
      <c r="H15876" s="5">
        <v>441.692700</v>
      </c>
    </row>
    <row r="15877" spans="1:9">
      <c r="A15877" s="22" t="str">
        <f>HYPERLINK("https://app.vivvix.com/360/KMI/IntelliDrive/ApplUI/Pages/CreativePages/CustomReportCreativeDetail.aspx?App=23&amp;ReportView=4&amp;Qid=1711279&amp;Row=15869&amp;Col=1","No Title Assigned - #15275734114")</f>
        <v/>
      </c>
      <c r="B15877" s="0" t="s">
        <v>21096</v>
      </c>
      <c r="E15877" s="0" t="inlineStr">
        <is>
          <t xml:space="preserve">Mazda</t>
        </is>
      </c>
      <c r="F15877" s="0" t="inlineStr">
        <is>
          <t xml:space="preserve">Mazda</t>
        </is>
      </c>
      <c r="G15877" s="0" t="s">
        <v>171</v>
      </c>
      <c r="H15877" s="5">
        <v>678.267700</v>
      </c>
    </row>
    <row r="15878" spans="1:9">
      <c r="A15878" s="22" t="str">
        <f>HYPERLINK("https://app.vivvix.com/360/KMI/IntelliDrive/ApplUI/Pages/CreativePages/CustomReportCreativeDetail.aspx?App=23&amp;ReportView=4&amp;Qid=1711279&amp;Row=15870&amp;Col=1","No Title Assigned - #15275737269")</f>
        <v/>
      </c>
      <c r="B15878" s="0" t="s">
        <v>21097</v>
      </c>
      <c r="C15878" s="0" t="s">
        <v>21098</v>
      </c>
      <c r="D15878" s="0" t="s">
        <v>21098</v>
      </c>
      <c r="E15878" s="0" t="inlineStr">
        <is>
          <t xml:space="preserve">Mazda</t>
        </is>
      </c>
      <c r="F15878" s="0" t="inlineStr">
        <is>
          <t xml:space="preserve">Mazda</t>
        </is>
      </c>
      <c r="G15878" s="0" t="s">
        <v>171</v>
      </c>
      <c r="H15878" s="5">
        <v>40.174200</v>
      </c>
    </row>
    <row r="15879" spans="1:9">
      <c r="A15879" s="22" t="str">
        <f>HYPERLINK("https://app.vivvix.com/360/KMI/IntelliDrive/ApplUI/Pages/CreativePages/CustomReportCreativeDetail.aspx?App=23&amp;ReportView=4&amp;Qid=1711279&amp;Row=15871&amp;Col=1","No Title Assigned - #15275739232")</f>
        <v/>
      </c>
      <c r="B15879" s="0" t="s">
        <v>21099</v>
      </c>
      <c r="E15879" s="0" t="inlineStr">
        <is>
          <t xml:space="preserve">Mazda</t>
        </is>
      </c>
      <c r="F15879" s="0" t="inlineStr">
        <is>
          <t xml:space="preserve">Mazda</t>
        </is>
      </c>
      <c r="G15879" s="0" t="s">
        <v>171</v>
      </c>
      <c r="H15879" s="5">
        <v>1504.656400</v>
      </c>
    </row>
    <row r="15880" spans="1:9">
      <c r="A15880" s="22" t="str">
        <f>HYPERLINK("https://app.vivvix.com/360/KMI/IntelliDrive/ApplUI/Pages/CreativePages/CustomReportCreativeDetail.aspx?App=23&amp;ReportView=4&amp;Qid=1711279&amp;Row=15872&amp;Col=1","No Title Assigned - #15275739232")</f>
        <v/>
      </c>
      <c r="B15880" s="0" t="s">
        <v>21099</v>
      </c>
      <c r="E15880" s="0" t="inlineStr">
        <is>
          <t xml:space="preserve">Mazda</t>
        </is>
      </c>
      <c r="F15880" s="0" t="inlineStr">
        <is>
          <t xml:space="preserve">Mazda</t>
        </is>
      </c>
      <c r="G15880" s="0" t="s">
        <v>171</v>
      </c>
      <c r="H15880" s="5">
        <v>50.181300</v>
      </c>
    </row>
    <row r="15881" spans="1:9">
      <c r="A15881" s="22" t="str">
        <f>HYPERLINK("https://app.vivvix.com/360/KMI/IntelliDrive/ApplUI/Pages/CreativePages/CustomReportCreativeDetail.aspx?App=23&amp;ReportView=4&amp;Qid=1711279&amp;Row=15873&amp;Col=1","No Title Assigned - #15275739233")</f>
        <v/>
      </c>
      <c r="B15881" s="0" t="s">
        <v>21100</v>
      </c>
      <c r="E15881" s="0" t="inlineStr">
        <is>
          <t xml:space="preserve">Mazda</t>
        </is>
      </c>
      <c r="F15881" s="0" t="inlineStr">
        <is>
          <t xml:space="preserve">Mazda</t>
        </is>
      </c>
      <c r="G15881" s="0" t="s">
        <v>171</v>
      </c>
      <c r="H15881" s="5">
        <v>1504.656400</v>
      </c>
    </row>
    <row r="15882" spans="1:9">
      <c r="A15882" s="22" t="str">
        <f>HYPERLINK("https://app.vivvix.com/360/KMI/IntelliDrive/ApplUI/Pages/CreativePages/CustomReportCreativeDetail.aspx?App=23&amp;ReportView=4&amp;Qid=1711279&amp;Row=15874&amp;Col=1","No Title Assigned - #15275740249")</f>
        <v/>
      </c>
      <c r="B15882" s="0" t="s">
        <v>21101</v>
      </c>
      <c r="E15882" s="0" t="inlineStr">
        <is>
          <t xml:space="preserve">Mazda</t>
        </is>
      </c>
      <c r="F15882" s="0" t="inlineStr">
        <is>
          <t xml:space="preserve">Mazda</t>
        </is>
      </c>
      <c r="G15882" s="0" t="s">
        <v>171</v>
      </c>
      <c r="H15882" s="5">
        <v>80.937800</v>
      </c>
    </row>
    <row r="15883" spans="1:9">
      <c r="A15883" s="22" t="str">
        <f>HYPERLINK("https://app.vivvix.com/360/KMI/IntelliDrive/ApplUI/Pages/CreativePages/CustomReportCreativeDetail.aspx?App=23&amp;ReportView=4&amp;Qid=1711279&amp;Row=15875&amp;Col=1","No Title Assigned - #15275741362")</f>
        <v/>
      </c>
      <c r="B15883" s="0" t="s">
        <v>21102</v>
      </c>
      <c r="E15883" s="0" t="inlineStr">
        <is>
          <t xml:space="preserve">Mazda</t>
        </is>
      </c>
      <c r="F15883" s="0" t="inlineStr">
        <is>
          <t xml:space="preserve">Mazda</t>
        </is>
      </c>
      <c r="G15883" s="0" t="s">
        <v>171</v>
      </c>
      <c r="H15883" s="5">
        <v>111.134900</v>
      </c>
    </row>
    <row r="15884" spans="1:9">
      <c r="A15884" s="22" t="str">
        <f>HYPERLINK("https://app.vivvix.com/360/KMI/IntelliDrive/ApplUI/Pages/CreativePages/CustomReportCreativeDetail.aspx?App=23&amp;ReportView=4&amp;Qid=1711279&amp;Row=15876&amp;Col=1","No Title Assigned - #15275741952")</f>
        <v/>
      </c>
      <c r="B15884" s="0" t="s">
        <v>21103</v>
      </c>
      <c r="E15884" s="0" t="inlineStr">
        <is>
          <t xml:space="preserve">Mazda</t>
        </is>
      </c>
      <c r="F15884" s="0" t="inlineStr">
        <is>
          <t xml:space="preserve">Mazda</t>
        </is>
      </c>
      <c r="G15884" s="0" t="s">
        <v>171</v>
      </c>
      <c r="H15884" s="5">
        <v>388.462400</v>
      </c>
    </row>
    <row r="15885" spans="1:9">
      <c r="A15885" s="22" t="str">
        <f>HYPERLINK("https://app.vivvix.com/360/KMI/IntelliDrive/ApplUI/Pages/CreativePages/CustomReportCreativeDetail.aspx?App=23&amp;ReportView=4&amp;Qid=1711279&amp;Row=15877&amp;Col=1","No Title Assigned - #15275779356")</f>
        <v/>
      </c>
      <c r="B15885" s="0" t="s">
        <v>21104</v>
      </c>
      <c r="C15885" s="0" t="s">
        <v>21105</v>
      </c>
      <c r="D15885" s="0" t="s">
        <v>21105</v>
      </c>
      <c r="E15885" s="0" t="inlineStr">
        <is>
          <t xml:space="preserve">Mazda</t>
        </is>
      </c>
      <c r="F15885" s="0" t="s">
        <v>369</v>
      </c>
      <c r="G15885" s="0" t="s">
        <v>370</v>
      </c>
      <c r="H15885" s="5">
        <v>768.095400</v>
      </c>
    </row>
    <row r="15886" spans="1:9">
      <c r="A15886" s="22" t="str">
        <f>HYPERLINK("https://app.vivvix.com/360/KMI/IntelliDrive/ApplUI/Pages/CreativePages/CustomReportCreativeDetail.aspx?App=23&amp;ReportView=4&amp;Qid=1711279&amp;Row=15878&amp;Col=1","No Title Assigned - #15275790999")</f>
        <v/>
      </c>
      <c r="B15886" s="0" t="s">
        <v>21106</v>
      </c>
      <c r="E15886" s="0" t="inlineStr">
        <is>
          <t xml:space="preserve">Mazda</t>
        </is>
      </c>
      <c r="F15886" s="0" t="s">
        <v>13</v>
      </c>
      <c r="G15886" s="0" t="s">
        <v>49</v>
      </c>
      <c r="H15886" s="5">
        <v>4623.007900</v>
      </c>
    </row>
    <row r="15887" spans="1:9">
      <c r="A15887" s="22" t="str">
        <f>HYPERLINK("https://app.vivvix.com/360/KMI/IntelliDrive/ApplUI/Pages/CreativePages/CustomReportCreativeDetail.aspx?App=23&amp;ReportView=4&amp;Qid=1711279&amp;Row=15879&amp;Col=1","No Title Assigned - #15275793489")</f>
        <v/>
      </c>
      <c r="B15887" s="0" t="s">
        <v>21107</v>
      </c>
      <c r="C15887" s="0" t="s">
        <v>21108</v>
      </c>
      <c r="D15887" s="0" t="s">
        <v>21108</v>
      </c>
      <c r="E15887" s="0" t="inlineStr">
        <is>
          <t xml:space="preserve">Mazda</t>
        </is>
      </c>
      <c r="F15887" s="0" t="s">
        <v>369</v>
      </c>
      <c r="G15887" s="0" t="s">
        <v>370</v>
      </c>
    </row>
    <row r="15888" spans="1:9">
      <c r="A15888" s="22" t="str">
        <f>HYPERLINK("https://app.vivvix.com/360/KMI/IntelliDrive/ApplUI/Pages/CreativePages/CustomReportCreativeDetail.aspx?App=23&amp;ReportView=4&amp;Qid=1711279&amp;Row=15880&amp;Col=1","No Title Assigned - #15275797629")</f>
        <v/>
      </c>
      <c r="B15888" s="0" t="s">
        <v>21109</v>
      </c>
      <c r="E15888" s="0" t="inlineStr">
        <is>
          <t xml:space="preserve">Mazda</t>
        </is>
      </c>
      <c r="F15888" s="0" t="s">
        <v>13</v>
      </c>
      <c r="G15888" s="0" t="s">
        <v>49</v>
      </c>
      <c r="H15888" s="5">
        <v>61.434100</v>
      </c>
    </row>
    <row r="15889" spans="1:9">
      <c r="A15889" s="22" t="str">
        <f>HYPERLINK("https://app.vivvix.com/360/KMI/IntelliDrive/ApplUI/Pages/CreativePages/CustomReportCreativeDetail.aspx?App=23&amp;ReportView=4&amp;Qid=1711279&amp;Row=15881&amp;Col=1","No Title Assigned - #15275799270")</f>
        <v/>
      </c>
      <c r="B15889" s="0" t="s">
        <v>21110</v>
      </c>
      <c r="E15889" s="0" t="inlineStr">
        <is>
          <t xml:space="preserve">Mazda</t>
        </is>
      </c>
      <c r="F15889" s="0" t="inlineStr">
        <is>
          <t xml:space="preserve">Mazda</t>
        </is>
      </c>
      <c r="G15889" s="0" t="s">
        <v>171</v>
      </c>
      <c r="H15889" s="5">
        <v>21183.724900</v>
      </c>
    </row>
    <row r="15890" spans="1:9">
      <c r="A15890" s="22" t="str">
        <f>HYPERLINK("https://app.vivvix.com/360/KMI/IntelliDrive/ApplUI/Pages/CreativePages/CustomReportCreativeDetail.aspx?App=23&amp;ReportView=4&amp;Qid=1711279&amp;Row=15882&amp;Col=1","No Title Assigned - #15275799270")</f>
        <v/>
      </c>
      <c r="B15890" s="0" t="s">
        <v>21110</v>
      </c>
      <c r="E15890" s="0" t="inlineStr">
        <is>
          <t xml:space="preserve">Mazda</t>
        </is>
      </c>
      <c r="F15890" s="0" t="inlineStr">
        <is>
          <t xml:space="preserve">Mazda</t>
        </is>
      </c>
      <c r="G15890" s="0" t="s">
        <v>171</v>
      </c>
      <c r="H15890" s="5">
        <v>54.643600</v>
      </c>
    </row>
    <row r="15891" spans="1:9">
      <c r="A15891" s="22" t="str">
        <f>HYPERLINK("https://app.vivvix.com/360/KMI/IntelliDrive/ApplUI/Pages/CreativePages/CustomReportCreativeDetail.aspx?App=23&amp;ReportView=4&amp;Qid=1711279&amp;Row=15883&amp;Col=1","No Title Assigned - #15275801964")</f>
        <v/>
      </c>
      <c r="B15891" s="0" t="s">
        <v>21111</v>
      </c>
      <c r="E15891" s="0" t="inlineStr">
        <is>
          <t xml:space="preserve">Mazda</t>
        </is>
      </c>
      <c r="F15891" s="0" t="s">
        <v>28</v>
      </c>
      <c r="G15891" s="0" t="s">
        <v>29</v>
      </c>
      <c r="H15891" s="5">
        <v>73.981000</v>
      </c>
    </row>
    <row r="15892" spans="1:9">
      <c r="A15892" s="22" t="str">
        <f>HYPERLINK("https://app.vivvix.com/360/KMI/IntelliDrive/ApplUI/Pages/CreativePages/CustomReportCreativeDetail.aspx?App=23&amp;ReportView=4&amp;Qid=1711279&amp;Row=15884&amp;Col=1","No Title Assigned - #15275808880")</f>
        <v/>
      </c>
      <c r="B15892" s="0" t="s">
        <v>21112</v>
      </c>
      <c r="E15892" s="0" t="inlineStr">
        <is>
          <t xml:space="preserve">Mazda</t>
        </is>
      </c>
      <c r="F15892" s="0" t="s">
        <v>13</v>
      </c>
      <c r="G15892" s="0" t="s">
        <v>49</v>
      </c>
      <c r="H15892" s="5">
        <v>1332.864900</v>
      </c>
    </row>
    <row r="15893" spans="1:9">
      <c r="A15893" s="22" t="str">
        <f>HYPERLINK("https://app.vivvix.com/360/KMI/IntelliDrive/ApplUI/Pages/CreativePages/CustomReportCreativeDetail.aspx?App=23&amp;ReportView=4&amp;Qid=1711279&amp;Row=15885&amp;Col=1","No Title Assigned - #15275812332")</f>
        <v/>
      </c>
      <c r="B15893" s="0" t="s">
        <v>21113</v>
      </c>
      <c r="E15893" s="0" t="inlineStr">
        <is>
          <t xml:space="preserve">Mazda</t>
        </is>
      </c>
      <c r="F15893" s="0" t="s">
        <v>28</v>
      </c>
      <c r="G15893" s="0" t="s">
        <v>29</v>
      </c>
      <c r="H15893" s="5">
        <v>10.128500</v>
      </c>
    </row>
    <row r="15894" spans="1:9">
      <c r="A15894" s="22" t="str">
        <f>HYPERLINK("https://app.vivvix.com/360/KMI/IntelliDrive/ApplUI/Pages/CreativePages/CustomReportCreativeDetail.aspx?App=23&amp;ReportView=4&amp;Qid=1711279&amp;Row=15886&amp;Col=1","No Title Assigned - #15275814711")</f>
        <v/>
      </c>
      <c r="B15894" s="0" t="s">
        <v>21114</v>
      </c>
      <c r="E15894" s="0" t="inlineStr">
        <is>
          <t xml:space="preserve">Mazda</t>
        </is>
      </c>
      <c r="F15894" s="0" t="inlineStr">
        <is>
          <t xml:space="preserve">Mazda</t>
        </is>
      </c>
      <c r="G15894" s="0" t="s">
        <v>171</v>
      </c>
      <c r="H15894" s="5">
        <v>129.247700</v>
      </c>
    </row>
    <row r="15895" spans="1:9">
      <c r="A15895" s="22" t="str">
        <f>HYPERLINK("https://app.vivvix.com/360/KMI/IntelliDrive/ApplUI/Pages/CreativePages/CustomReportCreativeDetail.aspx?App=23&amp;ReportView=4&amp;Qid=1711279&amp;Row=15887&amp;Col=1","No Title Assigned - #15275818910")</f>
        <v/>
      </c>
      <c r="B15895" s="0" t="s">
        <v>21115</v>
      </c>
      <c r="E15895" s="0" t="inlineStr">
        <is>
          <t xml:space="preserve">Mazda</t>
        </is>
      </c>
      <c r="F15895" s="0" t="inlineStr">
        <is>
          <t xml:space="preserve">Mazda</t>
        </is>
      </c>
      <c r="G15895" s="0" t="s">
        <v>171</v>
      </c>
      <c r="H15895" s="5">
        <v>6.617000</v>
      </c>
    </row>
    <row r="15896" spans="1:9">
      <c r="A15896" s="22" t="str">
        <f>HYPERLINK("https://app.vivvix.com/360/KMI/IntelliDrive/ApplUI/Pages/CreativePages/CustomReportCreativeDetail.aspx?App=23&amp;ReportView=4&amp;Qid=1711279&amp;Row=15888&amp;Col=1","No Title Assigned - #15275819158")</f>
        <v/>
      </c>
      <c r="B15896" s="0" t="s">
        <v>21116</v>
      </c>
      <c r="E15896" s="0" t="inlineStr">
        <is>
          <t xml:space="preserve">Mazda</t>
        </is>
      </c>
      <c r="F15896" s="0" t="inlineStr">
        <is>
          <t xml:space="preserve">Mazda</t>
        </is>
      </c>
      <c r="G15896" s="0" t="s">
        <v>171</v>
      </c>
      <c r="H15896" s="5">
        <v>1322.021200</v>
      </c>
    </row>
    <row r="15897" spans="1:9">
      <c r="A15897" s="22" t="str">
        <f>HYPERLINK("https://app.vivvix.com/360/KMI/IntelliDrive/ApplUI/Pages/CreativePages/CustomReportCreativeDetail.aspx?App=23&amp;ReportView=4&amp;Qid=1711279&amp;Row=15889&amp;Col=1","No Title Assigned - #15275819714")</f>
        <v/>
      </c>
      <c r="B15897" s="0" t="s">
        <v>21117</v>
      </c>
      <c r="E15897" s="0" t="inlineStr">
        <is>
          <t xml:space="preserve">Mazda</t>
        </is>
      </c>
      <c r="F15897" s="0" t="inlineStr">
        <is>
          <t xml:space="preserve">Mazda</t>
        </is>
      </c>
      <c r="G15897" s="0" t="s">
        <v>171</v>
      </c>
      <c r="H15897" s="5">
        <v>74.690500</v>
      </c>
    </row>
    <row r="15898" spans="1:9">
      <c r="A15898" s="22" t="str">
        <f>HYPERLINK("https://app.vivvix.com/360/KMI/IntelliDrive/ApplUI/Pages/CreativePages/CustomReportCreativeDetail.aspx?App=23&amp;ReportView=4&amp;Qid=1711279&amp;Row=15890&amp;Col=1","No Title Assigned - #15275822807")</f>
        <v/>
      </c>
      <c r="B15898" s="0" t="s">
        <v>21118</v>
      </c>
      <c r="E15898" s="0" t="inlineStr">
        <is>
          <t xml:space="preserve">Mazda</t>
        </is>
      </c>
      <c r="F15898" s="0" t="inlineStr">
        <is>
          <t xml:space="preserve">Mazda</t>
        </is>
      </c>
      <c r="G15898" s="0" t="s">
        <v>171</v>
      </c>
      <c r="H15898" s="5">
        <v>553.194000</v>
      </c>
    </row>
    <row r="15899" spans="1:9">
      <c r="A15899" s="22" t="str">
        <f>HYPERLINK("https://app.vivvix.com/360/KMI/IntelliDrive/ApplUI/Pages/CreativePages/CustomReportCreativeDetail.aspx?App=23&amp;ReportView=4&amp;Qid=1711279&amp;Row=15891&amp;Col=1","No Title Assigned - #15275825279")</f>
        <v/>
      </c>
      <c r="B15899" s="0" t="s">
        <v>21119</v>
      </c>
      <c r="E15899" s="0" t="inlineStr">
        <is>
          <t xml:space="preserve">Mazda</t>
        </is>
      </c>
      <c r="F15899" s="0" t="inlineStr">
        <is>
          <t xml:space="preserve">Mazda</t>
        </is>
      </c>
      <c r="G15899" s="0" t="s">
        <v>171</v>
      </c>
      <c r="H15899" s="5">
        <v>97.806700</v>
      </c>
    </row>
    <row r="15900" spans="1:9">
      <c r="A15900" s="22" t="str">
        <f>HYPERLINK("https://app.vivvix.com/360/KMI/IntelliDrive/ApplUI/Pages/CreativePages/CustomReportCreativeDetail.aspx?App=23&amp;ReportView=4&amp;Qid=1711279&amp;Row=15892&amp;Col=1","No Title Assigned - #15275825457")</f>
        <v/>
      </c>
      <c r="B15900" s="0" t="s">
        <v>21120</v>
      </c>
      <c r="E15900" s="0" t="inlineStr">
        <is>
          <t xml:space="preserve">Mazda</t>
        </is>
      </c>
      <c r="F15900" s="0" t="inlineStr">
        <is>
          <t xml:space="preserve">Mazda</t>
        </is>
      </c>
      <c r="G15900" s="0" t="s">
        <v>171</v>
      </c>
      <c r="H15900" s="5">
        <v>56.939700</v>
      </c>
    </row>
    <row r="15901" spans="1:9">
      <c r="A15901" s="22" t="str">
        <f>HYPERLINK("https://app.vivvix.com/360/KMI/IntelliDrive/ApplUI/Pages/CreativePages/CustomReportCreativeDetail.aspx?App=23&amp;ReportView=4&amp;Qid=1711279&amp;Row=15893&amp;Col=1","No Title Assigned - #15275849080")</f>
        <v/>
      </c>
      <c r="B15901" s="0" t="s">
        <v>21121</v>
      </c>
      <c r="E15901" s="0" t="inlineStr">
        <is>
          <t xml:space="preserve">Mazda</t>
        </is>
      </c>
      <c r="F15901" s="0" t="s">
        <v>28</v>
      </c>
      <c r="G15901" s="0" t="s">
        <v>29</v>
      </c>
      <c r="H15901" s="5">
        <v>294.299100</v>
      </c>
    </row>
    <row r="15902" spans="1:9">
      <c r="A15902" s="22" t="str">
        <f>HYPERLINK("https://app.vivvix.com/360/KMI/IntelliDrive/ApplUI/Pages/CreativePages/CustomReportCreativeDetail.aspx?App=23&amp;ReportView=4&amp;Qid=1711279&amp;Row=15894&amp;Col=1","No Title Assigned - #15275856671")</f>
        <v/>
      </c>
      <c r="B15902" s="0" t="s">
        <v>21122</v>
      </c>
      <c r="E15902" s="0" t="inlineStr">
        <is>
          <t xml:space="preserve">Mazda</t>
        </is>
      </c>
      <c r="F15902" s="0" t="s">
        <v>28</v>
      </c>
      <c r="G15902" s="0" t="s">
        <v>29</v>
      </c>
      <c r="H15902" s="5">
        <v>489.164700</v>
      </c>
    </row>
    <row r="15903" spans="1:9">
      <c r="A15903" s="22" t="str">
        <f>HYPERLINK("https://app.vivvix.com/360/KMI/IntelliDrive/ApplUI/Pages/CreativePages/CustomReportCreativeDetail.aspx?App=23&amp;ReportView=4&amp;Qid=1711279&amp;Row=15895&amp;Col=1","No Title Assigned - #15275872456")</f>
        <v/>
      </c>
      <c r="B15903" s="0" t="s">
        <v>21123</v>
      </c>
      <c r="E15903" s="0" t="inlineStr">
        <is>
          <t xml:space="preserve">Mazda</t>
        </is>
      </c>
      <c r="F15903" s="0" t="inlineStr">
        <is>
          <t xml:space="preserve">Mazda</t>
        </is>
      </c>
      <c r="G15903" s="0" t="s">
        <v>171</v>
      </c>
      <c r="H15903" s="5">
        <v>84.611100</v>
      </c>
    </row>
    <row r="15904" spans="1:9">
      <c r="A15904" s="22" t="str">
        <f>HYPERLINK("https://app.vivvix.com/360/KMI/IntelliDrive/ApplUI/Pages/CreativePages/CustomReportCreativeDetail.aspx?App=23&amp;ReportView=4&amp;Qid=1711279&amp;Row=15896&amp;Col=1","No Title Assigned - #15275912160")</f>
        <v/>
      </c>
      <c r="B15904" s="0" t="s">
        <v>21124</v>
      </c>
      <c r="C15904" s="0" t="s">
        <v>21125</v>
      </c>
      <c r="D15904" s="0" t="s">
        <v>21125</v>
      </c>
      <c r="E15904" s="0" t="inlineStr">
        <is>
          <t xml:space="preserve">Mazda</t>
        </is>
      </c>
      <c r="F15904" s="0" t="s">
        <v>13</v>
      </c>
      <c r="G15904" s="0" t="s">
        <v>49</v>
      </c>
      <c r="H15904" s="5">
        <v>958.550900</v>
      </c>
    </row>
    <row r="15905" spans="1:9">
      <c r="A15905" s="22" t="str">
        <f>HYPERLINK("https://app.vivvix.com/360/KMI/IntelliDrive/ApplUI/Pages/CreativePages/CustomReportCreativeDetail.aspx?App=23&amp;ReportView=4&amp;Qid=1711279&amp;Row=15897&amp;Col=1","No Title Assigned - #15275912161")</f>
        <v/>
      </c>
      <c r="B15905" s="0" t="s">
        <v>21126</v>
      </c>
      <c r="C15905" s="0" t="s">
        <v>21127</v>
      </c>
      <c r="D15905" s="0" t="s">
        <v>21127</v>
      </c>
      <c r="E15905" s="0" t="inlineStr">
        <is>
          <t xml:space="preserve">Mazda</t>
        </is>
      </c>
      <c r="F15905" s="0" t="s">
        <v>13</v>
      </c>
      <c r="G15905" s="0" t="s">
        <v>49</v>
      </c>
      <c r="H15905" s="5">
        <v>958.550900</v>
      </c>
    </row>
    <row r="15906" spans="1:9">
      <c r="A15906" s="22" t="str">
        <f>HYPERLINK("https://app.vivvix.com/360/KMI/IntelliDrive/ApplUI/Pages/CreativePages/CustomReportCreativeDetail.aspx?App=23&amp;ReportView=4&amp;Qid=1711279&amp;Row=15898&amp;Col=1","No Title Assigned - #15275954402")</f>
        <v/>
      </c>
      <c r="B15906" s="0" t="s">
        <v>21128</v>
      </c>
      <c r="C15906" s="0" t="s">
        <v>21129</v>
      </c>
      <c r="D15906" s="0" t="s">
        <v>21129</v>
      </c>
      <c r="E15906" s="0" t="inlineStr">
        <is>
          <t xml:space="preserve">Mazda</t>
        </is>
      </c>
      <c r="F15906" s="0" t="s">
        <v>13</v>
      </c>
      <c r="G15906" s="0" t="s">
        <v>49</v>
      </c>
      <c r="H15906" s="5">
        <v>745.148600</v>
      </c>
    </row>
    <row r="15907" spans="1:9">
      <c r="A15907" s="22" t="str">
        <f>HYPERLINK("https://app.vivvix.com/360/KMI/IntelliDrive/ApplUI/Pages/CreativePages/CustomReportCreativeDetail.aspx?App=23&amp;ReportView=4&amp;Qid=1711279&amp;Row=15899&amp;Col=1","No Title Assigned - #15275954426")</f>
        <v/>
      </c>
      <c r="B15907" s="0" t="s">
        <v>21130</v>
      </c>
      <c r="C15907" s="0" t="s">
        <v>21131</v>
      </c>
      <c r="D15907" s="0" t="s">
        <v>21131</v>
      </c>
      <c r="E15907" s="0" t="inlineStr">
        <is>
          <t xml:space="preserve">Mazda</t>
        </is>
      </c>
      <c r="F15907" s="0" t="s">
        <v>13</v>
      </c>
      <c r="G15907" s="0" t="s">
        <v>49</v>
      </c>
      <c r="H15907" s="5">
        <v>1492.201300</v>
      </c>
    </row>
    <row r="15908" spans="1:9">
      <c r="A15908" s="22" t="str">
        <f>HYPERLINK("https://app.vivvix.com/360/KMI/IntelliDrive/ApplUI/Pages/CreativePages/CustomReportCreativeDetail.aspx?App=23&amp;ReportView=4&amp;Qid=1711279&amp;Row=15900&amp;Col=1","No Title Assigned - #15275955254")</f>
        <v/>
      </c>
      <c r="B15908" s="0" t="s">
        <v>21132</v>
      </c>
      <c r="C15908" s="0" t="s">
        <v>21133</v>
      </c>
      <c r="D15908" s="0" t="s">
        <v>21133</v>
      </c>
      <c r="E15908" s="0" t="inlineStr">
        <is>
          <t xml:space="preserve">Mazda</t>
        </is>
      </c>
      <c r="F15908" s="0" t="s">
        <v>28</v>
      </c>
      <c r="G15908" s="0" t="s">
        <v>29</v>
      </c>
      <c r="H15908" s="5">
        <v>969.894300</v>
      </c>
    </row>
    <row r="15909" spans="1:9">
      <c r="A15909" s="22" t="str">
        <f>HYPERLINK("https://app.vivvix.com/360/KMI/IntelliDrive/ApplUI/Pages/CreativePages/CustomReportCreativeDetail.aspx?App=23&amp;ReportView=4&amp;Qid=1711279&amp;Row=15901&amp;Col=1","No Title Assigned - #15276002291")</f>
        <v/>
      </c>
      <c r="B15909" s="0" t="s">
        <v>21134</v>
      </c>
      <c r="E15909" s="0" t="inlineStr">
        <is>
          <t xml:space="preserve">Mazda</t>
        </is>
      </c>
      <c r="F15909" s="0" t="inlineStr">
        <is>
          <t xml:space="preserve">Mazda</t>
        </is>
      </c>
      <c r="G15909" s="0" t="s">
        <v>171</v>
      </c>
      <c r="H15909" s="5">
        <v>2860.134100</v>
      </c>
    </row>
    <row r="15910" spans="1:9">
      <c r="A15910" s="22" t="str">
        <f>HYPERLINK("https://app.vivvix.com/360/KMI/IntelliDrive/ApplUI/Pages/CreativePages/CustomReportCreativeDetail.aspx?App=23&amp;ReportView=4&amp;Qid=1711279&amp;Row=15902&amp;Col=1","No Title Assigned - #15276007964")</f>
        <v/>
      </c>
      <c r="B15910" s="0" t="s">
        <v>21135</v>
      </c>
      <c r="E15910" s="0" t="inlineStr">
        <is>
          <t xml:space="preserve">Mazda</t>
        </is>
      </c>
      <c r="F15910" s="0" t="inlineStr">
        <is>
          <t xml:space="preserve">Mazda</t>
        </is>
      </c>
      <c r="G15910" s="0" t="s">
        <v>171</v>
      </c>
      <c r="H15910" s="5">
        <v>105.365100</v>
      </c>
    </row>
    <row r="15911" spans="1:9">
      <c r="A15911" s="22" t="str">
        <f>HYPERLINK("https://app.vivvix.com/360/KMI/IntelliDrive/ApplUI/Pages/CreativePages/CustomReportCreativeDetail.aspx?App=23&amp;ReportView=4&amp;Qid=1711279&amp;Row=15903&amp;Col=1","No Title Assigned - #15276010761")</f>
        <v/>
      </c>
      <c r="B15911" s="0" t="s">
        <v>21136</v>
      </c>
      <c r="E15911" s="0" t="inlineStr">
        <is>
          <t xml:space="preserve">Mazda</t>
        </is>
      </c>
      <c r="F15911" s="0" t="inlineStr">
        <is>
          <t xml:space="preserve">Mazda</t>
        </is>
      </c>
      <c r="G15911" s="0" t="s">
        <v>171</v>
      </c>
      <c r="H15911" s="5">
        <v>342.823100</v>
      </c>
    </row>
    <row r="15912" spans="1:9">
      <c r="A15912" s="22" t="str">
        <f>HYPERLINK("https://app.vivvix.com/360/KMI/IntelliDrive/ApplUI/Pages/CreativePages/CustomReportCreativeDetail.aspx?App=23&amp;ReportView=4&amp;Qid=1711279&amp;Row=15904&amp;Col=1","No Title Assigned - #15276013251")</f>
        <v/>
      </c>
      <c r="B15912" s="0" t="s">
        <v>21137</v>
      </c>
      <c r="E15912" s="0" t="inlineStr">
        <is>
          <t xml:space="preserve">Mazda</t>
        </is>
      </c>
      <c r="F15912" s="0" t="inlineStr">
        <is>
          <t xml:space="preserve">Mazda</t>
        </is>
      </c>
      <c r="G15912" s="0" t="s">
        <v>171</v>
      </c>
      <c r="H15912" s="5">
        <v>24365.527300</v>
      </c>
    </row>
    <row r="15913" spans="1:9">
      <c r="A15913" s="22" t="str">
        <f>HYPERLINK("https://app.vivvix.com/360/KMI/IntelliDrive/ApplUI/Pages/CreativePages/CustomReportCreativeDetail.aspx?App=23&amp;ReportView=4&amp;Qid=1711279&amp;Row=15905&amp;Col=1","No Title Assigned - #15276047925")</f>
        <v/>
      </c>
      <c r="B15913" s="0" t="s">
        <v>21138</v>
      </c>
      <c r="E15913" s="0" t="inlineStr">
        <is>
          <t xml:space="preserve">Mazda</t>
        </is>
      </c>
      <c r="F15913" s="0" t="inlineStr">
        <is>
          <t xml:space="preserve">Mazda</t>
        </is>
      </c>
      <c r="G15913" s="0" t="s">
        <v>171</v>
      </c>
      <c r="H15913" s="5">
        <v>4.377400</v>
      </c>
    </row>
    <row r="15914" spans="1:9">
      <c r="A15914" s="22" t="str">
        <f>HYPERLINK("https://app.vivvix.com/360/KMI/IntelliDrive/ApplUI/Pages/CreativePages/CustomReportCreativeDetail.aspx?App=23&amp;ReportView=4&amp;Qid=1711279&amp;Row=15906&amp;Col=1","No Title Assigned - #15276083718")</f>
        <v/>
      </c>
      <c r="B15914" s="0" t="s">
        <v>21139</v>
      </c>
      <c r="C15914" s="0" t="s">
        <v>21140</v>
      </c>
      <c r="D15914" s="0" t="s">
        <v>21140</v>
      </c>
      <c r="E15914" s="0" t="inlineStr">
        <is>
          <t xml:space="preserve">Mazda</t>
        </is>
      </c>
      <c r="F15914" s="0" t="s">
        <v>13</v>
      </c>
      <c r="G15914" s="0" t="s">
        <v>49</v>
      </c>
      <c r="H15914" s="5">
        <v>47.321600</v>
      </c>
    </row>
    <row r="15915" spans="1:9">
      <c r="A15915" s="22" t="str">
        <f>HYPERLINK("https://app.vivvix.com/360/KMI/IntelliDrive/ApplUI/Pages/CreativePages/CustomReportCreativeDetail.aspx?App=23&amp;ReportView=4&amp;Qid=1711279&amp;Row=15907&amp;Col=1","No Title Assigned - #15276092253")</f>
        <v/>
      </c>
      <c r="B15915" s="0" t="s">
        <v>21141</v>
      </c>
      <c r="E15915" s="0" t="inlineStr">
        <is>
          <t xml:space="preserve">Mazda</t>
        </is>
      </c>
      <c r="F15915" s="0" t="inlineStr">
        <is>
          <t xml:space="preserve">Mazda</t>
        </is>
      </c>
      <c r="G15915" s="0" t="s">
        <v>171</v>
      </c>
      <c r="H15915" s="5">
        <v>4.377400</v>
      </c>
    </row>
    <row r="15916" spans="1:9">
      <c r="A15916" s="22" t="str">
        <f>HYPERLINK("https://app.vivvix.com/360/KMI/IntelliDrive/ApplUI/Pages/CreativePages/CustomReportCreativeDetail.aspx?App=23&amp;ReportView=4&amp;Qid=1711279&amp;Row=15908&amp;Col=1","No Title Assigned - #15276092696")</f>
        <v/>
      </c>
      <c r="B15916" s="0" t="s">
        <v>21142</v>
      </c>
      <c r="E15916" s="0" t="inlineStr">
        <is>
          <t xml:space="preserve">Mazda</t>
        </is>
      </c>
      <c r="F15916" s="0" t="inlineStr">
        <is>
          <t xml:space="preserve">Mazda</t>
        </is>
      </c>
      <c r="G15916" s="0" t="s">
        <v>171</v>
      </c>
      <c r="H15916" s="5">
        <v>98.820500</v>
      </c>
    </row>
    <row r="15917" spans="1:9">
      <c r="A15917" s="22" t="str">
        <f>HYPERLINK("https://app.vivvix.com/360/KMI/IntelliDrive/ApplUI/Pages/CreativePages/CustomReportCreativeDetail.aspx?App=23&amp;ReportView=4&amp;Qid=1711279&amp;Row=15909&amp;Col=1","No Title Assigned - #15276093367")</f>
        <v/>
      </c>
      <c r="B15917" s="0" t="s">
        <v>21143</v>
      </c>
      <c r="E15917" s="0" t="inlineStr">
        <is>
          <t xml:space="preserve">Mazda</t>
        </is>
      </c>
      <c r="F15917" s="0" t="inlineStr">
        <is>
          <t xml:space="preserve">Mazda</t>
        </is>
      </c>
      <c r="G15917" s="0" t="s">
        <v>171</v>
      </c>
      <c r="H15917" s="5">
        <v>15565.308500</v>
      </c>
    </row>
    <row r="15918" spans="1:9">
      <c r="A15918" s="22" t="str">
        <f>HYPERLINK("https://app.vivvix.com/360/KMI/IntelliDrive/ApplUI/Pages/CreativePages/CustomReportCreativeDetail.aspx?App=23&amp;ReportView=4&amp;Qid=1711279&amp;Row=15910&amp;Col=1","No Title Assigned - #15276093505")</f>
        <v/>
      </c>
      <c r="B15918" s="0" t="s">
        <v>21144</v>
      </c>
      <c r="E15918" s="0" t="inlineStr">
        <is>
          <t xml:space="preserve">Mazda</t>
        </is>
      </c>
      <c r="F15918" s="0" t="inlineStr">
        <is>
          <t xml:space="preserve">Mazda</t>
        </is>
      </c>
      <c r="G15918" s="0" t="s">
        <v>171</v>
      </c>
      <c r="H15918" s="5">
        <v>228.897800</v>
      </c>
    </row>
    <row r="15919" spans="1:9">
      <c r="A15919" s="22" t="str">
        <f>HYPERLINK("https://app.vivvix.com/360/KMI/IntelliDrive/ApplUI/Pages/CreativePages/CustomReportCreativeDetail.aspx?App=23&amp;ReportView=4&amp;Qid=1711279&amp;Row=15911&amp;Col=1","No Title Assigned - #15276097682")</f>
        <v/>
      </c>
      <c r="B15919" s="0" t="s">
        <v>21145</v>
      </c>
      <c r="E15919" s="0" t="inlineStr">
        <is>
          <t xml:space="preserve">Mazda</t>
        </is>
      </c>
      <c r="F15919" s="0" t="inlineStr">
        <is>
          <t xml:space="preserve">Mazda</t>
        </is>
      </c>
      <c r="G15919" s="0" t="s">
        <v>171</v>
      </c>
      <c r="H15919" s="5">
        <v>98.066000</v>
      </c>
    </row>
    <row r="15920" spans="1:9">
      <c r="A15920" s="22" t="str">
        <f>HYPERLINK("https://app.vivvix.com/360/KMI/IntelliDrive/ApplUI/Pages/CreativePages/CustomReportCreativeDetail.aspx?App=23&amp;ReportView=4&amp;Qid=1711279&amp;Row=15912&amp;Col=1","No Title Assigned - #15276101050")</f>
        <v/>
      </c>
      <c r="B15920" s="0" t="s">
        <v>21146</v>
      </c>
      <c r="E15920" s="0" t="inlineStr">
        <is>
          <t xml:space="preserve">Mazda</t>
        </is>
      </c>
      <c r="F15920" s="0" t="inlineStr">
        <is>
          <t xml:space="preserve">Mazda</t>
        </is>
      </c>
      <c r="G15920" s="0" t="s">
        <v>171</v>
      </c>
      <c r="H15920" s="5">
        <v>1937.839000</v>
      </c>
    </row>
    <row r="15921" spans="1:9">
      <c r="A15921" s="22" t="str">
        <f>HYPERLINK("https://app.vivvix.com/360/KMI/IntelliDrive/ApplUI/Pages/CreativePages/CustomReportCreativeDetail.aspx?App=23&amp;ReportView=4&amp;Qid=1711279&amp;Row=15913&amp;Col=1","No Title Assigned - #15276104140")</f>
        <v/>
      </c>
      <c r="B15921" s="0" t="s">
        <v>21147</v>
      </c>
      <c r="E15921" s="0" t="inlineStr">
        <is>
          <t xml:space="preserve">Mazda</t>
        </is>
      </c>
      <c r="F15921" s="0" t="inlineStr">
        <is>
          <t xml:space="preserve">Mazda</t>
        </is>
      </c>
      <c r="G15921" s="0" t="s">
        <v>171</v>
      </c>
      <c r="H15921" s="5">
        <v>416.390400</v>
      </c>
    </row>
    <row r="15922" spans="1:9">
      <c r="A15922" s="22" t="str">
        <f>HYPERLINK("https://app.vivvix.com/360/KMI/IntelliDrive/ApplUI/Pages/CreativePages/CustomReportCreativeDetail.aspx?App=23&amp;ReportView=4&amp;Qid=1711279&amp;Row=15914&amp;Col=1","No Title Assigned - #15276109102")</f>
        <v/>
      </c>
      <c r="B15922" s="0" t="s">
        <v>21148</v>
      </c>
      <c r="E15922" s="0" t="inlineStr">
        <is>
          <t xml:space="preserve">Mazda</t>
        </is>
      </c>
      <c r="F15922" s="0" t="inlineStr">
        <is>
          <t xml:space="preserve">Mazda</t>
        </is>
      </c>
      <c r="G15922" s="0" t="s">
        <v>171</v>
      </c>
      <c r="H15922" s="5">
        <v>4314.856800</v>
      </c>
    </row>
    <row r="15923" spans="1:9">
      <c r="A15923" s="22" t="str">
        <f>HYPERLINK("https://app.vivvix.com/360/KMI/IntelliDrive/ApplUI/Pages/CreativePages/CustomReportCreativeDetail.aspx?App=23&amp;ReportView=4&amp;Qid=1711279&amp;Row=15915&amp;Col=1","No Title Assigned - #15276143820")</f>
        <v/>
      </c>
      <c r="B15923" s="0" t="s">
        <v>21149</v>
      </c>
      <c r="C15923" s="0" t="s">
        <v>21150</v>
      </c>
      <c r="D15923" s="0" t="s">
        <v>21150</v>
      </c>
      <c r="E15923" s="0" t="inlineStr">
        <is>
          <t xml:space="preserve">Mazda</t>
        </is>
      </c>
      <c r="F15923" s="0" t="s">
        <v>13</v>
      </c>
      <c r="G15923" s="0" t="s">
        <v>49</v>
      </c>
      <c r="H15923" s="5">
        <v>247.785400</v>
      </c>
    </row>
    <row r="15924" spans="1:9">
      <c r="A15924" s="22" t="str">
        <f>HYPERLINK("https://app.vivvix.com/360/KMI/IntelliDrive/ApplUI/Pages/CreativePages/CustomReportCreativeDetail.aspx?App=23&amp;ReportView=4&amp;Qid=1711279&amp;Row=15916&amp;Col=1","No Title Assigned - #15276143836")</f>
        <v/>
      </c>
      <c r="B15924" s="0" t="s">
        <v>21151</v>
      </c>
      <c r="C15924" s="0" t="s">
        <v>21152</v>
      </c>
      <c r="D15924" s="0" t="s">
        <v>21152</v>
      </c>
      <c r="E15924" s="0" t="inlineStr">
        <is>
          <t xml:space="preserve">Mazda</t>
        </is>
      </c>
      <c r="F15924" s="0" t="inlineStr">
        <is>
          <t xml:space="preserve">Mazda</t>
        </is>
      </c>
      <c r="G15924" s="0" t="s">
        <v>210</v>
      </c>
      <c r="H15924" s="5">
        <v>415.209800</v>
      </c>
    </row>
    <row r="15925" spans="1:9">
      <c r="A15925" s="22" t="str">
        <f>HYPERLINK("https://app.vivvix.com/360/KMI/IntelliDrive/ApplUI/Pages/CreativePages/CustomReportCreativeDetail.aspx?App=23&amp;ReportView=4&amp;Qid=1711279&amp;Row=15917&amp;Col=1","No Title Assigned - #15276151780")</f>
        <v/>
      </c>
      <c r="B15925" s="0" t="s">
        <v>21153</v>
      </c>
      <c r="C15925" s="0" t="s">
        <v>21154</v>
      </c>
      <c r="D15925" s="0" t="s">
        <v>21154</v>
      </c>
      <c r="E15925" s="0" t="inlineStr">
        <is>
          <t xml:space="preserve">Mazda</t>
        </is>
      </c>
      <c r="F15925" s="0" t="inlineStr">
        <is>
          <t xml:space="preserve">Mazda</t>
        </is>
      </c>
      <c r="G15925" s="0" t="s">
        <v>210</v>
      </c>
      <c r="H15925" s="5">
        <v>263.008100</v>
      </c>
    </row>
    <row r="15926" spans="1:9">
      <c r="A15926" s="22" t="str">
        <f>HYPERLINK("https://app.vivvix.com/360/KMI/IntelliDrive/ApplUI/Pages/CreativePages/CustomReportCreativeDetail.aspx?App=23&amp;ReportView=4&amp;Qid=1711279&amp;Row=15918&amp;Col=1","No Title Assigned - #15276153506")</f>
        <v/>
      </c>
      <c r="B15926" s="0" t="s">
        <v>21155</v>
      </c>
      <c r="C15926" s="0" t="s">
        <v>21156</v>
      </c>
      <c r="D15926" s="0" t="s">
        <v>21156</v>
      </c>
      <c r="E15926" s="0" t="inlineStr">
        <is>
          <t xml:space="preserve">Mazda</t>
        </is>
      </c>
      <c r="F15926" s="0" t="s">
        <v>13</v>
      </c>
      <c r="G15926" s="0" t="s">
        <v>49</v>
      </c>
      <c r="H15926" s="5">
        <v>4251.451500</v>
      </c>
    </row>
    <row r="15927" spans="1:9">
      <c r="A15927" s="22" t="str">
        <f>HYPERLINK("https://app.vivvix.com/360/KMI/IntelliDrive/ApplUI/Pages/CreativePages/CustomReportCreativeDetail.aspx?App=23&amp;ReportView=4&amp;Qid=1711279&amp;Row=15919&amp;Col=1","No Title Assigned - #15276155981")</f>
        <v/>
      </c>
      <c r="B15927" s="0" t="s">
        <v>21157</v>
      </c>
      <c r="C15927" s="0" t="s">
        <v>21158</v>
      </c>
      <c r="D15927" s="0" t="s">
        <v>21158</v>
      </c>
      <c r="E15927" s="0" t="inlineStr">
        <is>
          <t xml:space="preserve">Mazda</t>
        </is>
      </c>
      <c r="F15927" s="0" t="s">
        <v>13</v>
      </c>
      <c r="G15927" s="0" t="s">
        <v>49</v>
      </c>
      <c r="H15927" s="5">
        <v>1501.385700</v>
      </c>
    </row>
    <row r="15928" spans="1:9">
      <c r="A15928" s="22" t="str">
        <f>HYPERLINK("https://app.vivvix.com/360/KMI/IntelliDrive/ApplUI/Pages/CreativePages/CustomReportCreativeDetail.aspx?App=23&amp;ReportView=4&amp;Qid=1711279&amp;Row=15920&amp;Col=1","No Title Assigned - #15276156141")</f>
        <v/>
      </c>
      <c r="B15928" s="0" t="s">
        <v>21159</v>
      </c>
      <c r="C15928" s="0" t="s">
        <v>21160</v>
      </c>
      <c r="D15928" s="0" t="s">
        <v>8588</v>
      </c>
      <c r="E15928" s="0" t="inlineStr">
        <is>
          <t xml:space="preserve">Mazda</t>
        </is>
      </c>
      <c r="F15928" s="0" t="s">
        <v>13</v>
      </c>
      <c r="G15928" s="0" t="s">
        <v>49</v>
      </c>
      <c r="H15928" s="5">
        <v>63155.964500</v>
      </c>
    </row>
    <row r="15929" spans="1:9">
      <c r="A15929" s="22" t="str">
        <f>HYPERLINK("https://app.vivvix.com/360/KMI/IntelliDrive/ApplUI/Pages/CreativePages/CustomReportCreativeDetail.aspx?App=23&amp;ReportView=4&amp;Qid=1711279&amp;Row=15921&amp;Col=1","No Title Assigned - #15276156141")</f>
        <v/>
      </c>
      <c r="B15929" s="0" t="s">
        <v>21159</v>
      </c>
      <c r="E15929" s="0" t="inlineStr">
        <is>
          <t xml:space="preserve">Mazda</t>
        </is>
      </c>
      <c r="F15929" s="0" t="s">
        <v>13</v>
      </c>
      <c r="G15929" s="0" t="s">
        <v>49</v>
      </c>
      <c r="H15929" s="5">
        <v>56426.382200</v>
      </c>
    </row>
    <row r="15930" spans="1:9">
      <c r="A15930" s="22" t="str">
        <f>HYPERLINK("https://app.vivvix.com/360/KMI/IntelliDrive/ApplUI/Pages/CreativePages/CustomReportCreativeDetail.aspx?App=23&amp;ReportView=4&amp;Qid=1711279&amp;Row=15922&amp;Col=1","No Title Assigned - #15276160347")</f>
        <v/>
      </c>
      <c r="B15930" s="0" t="s">
        <v>21161</v>
      </c>
      <c r="C15930" s="0" t="s">
        <v>21162</v>
      </c>
      <c r="D15930" s="0" t="s">
        <v>21162</v>
      </c>
      <c r="E15930" s="0" t="inlineStr">
        <is>
          <t xml:space="preserve">Mazda</t>
        </is>
      </c>
      <c r="F15930" s="0" t="s">
        <v>13</v>
      </c>
      <c r="G15930" s="0" t="s">
        <v>49</v>
      </c>
      <c r="H15930" s="5">
        <v>3523.064000</v>
      </c>
    </row>
    <row r="15931" spans="1:9">
      <c r="A15931" s="22" t="str">
        <f>HYPERLINK("https://app.vivvix.com/360/KMI/IntelliDrive/ApplUI/Pages/CreativePages/CustomReportCreativeDetail.aspx?App=23&amp;ReportView=4&amp;Qid=1711279&amp;Row=15923&amp;Col=1","No Title Assigned - #15276161154")</f>
        <v/>
      </c>
      <c r="B15931" s="0" t="s">
        <v>21163</v>
      </c>
      <c r="C15931" s="0" t="s">
        <v>21164</v>
      </c>
      <c r="D15931" s="0" t="s">
        <v>21164</v>
      </c>
      <c r="E15931" s="0" t="inlineStr">
        <is>
          <t xml:space="preserve">Mazda</t>
        </is>
      </c>
      <c r="F15931" s="0" t="s">
        <v>13</v>
      </c>
      <c r="G15931" s="0" t="s">
        <v>49</v>
      </c>
      <c r="H15931" s="5">
        <v>3497.003200</v>
      </c>
    </row>
    <row r="15932" spans="1:9">
      <c r="A15932" s="22" t="str">
        <f>HYPERLINK("https://app.vivvix.com/360/KMI/IntelliDrive/ApplUI/Pages/CreativePages/CustomReportCreativeDetail.aspx?App=23&amp;ReportView=4&amp;Qid=1711279&amp;Row=15924&amp;Col=1","No Title Assigned - #15276162435")</f>
        <v/>
      </c>
      <c r="B15932" s="0" t="s">
        <v>21165</v>
      </c>
      <c r="E15932" s="0" t="inlineStr">
        <is>
          <t xml:space="preserve">Mazda</t>
        </is>
      </c>
      <c r="F15932" s="0" t="s">
        <v>13</v>
      </c>
      <c r="G15932" s="0" t="s">
        <v>49</v>
      </c>
      <c r="H15932" s="5">
        <v>529.186900</v>
      </c>
    </row>
    <row r="15933" spans="1:9">
      <c r="A15933" s="22" t="str">
        <f>HYPERLINK("https://app.vivvix.com/360/KMI/IntelliDrive/ApplUI/Pages/CreativePages/CustomReportCreativeDetail.aspx?App=23&amp;ReportView=4&amp;Qid=1711279&amp;Row=15925&amp;Col=1","No Title Assigned - #15276162435")</f>
        <v/>
      </c>
      <c r="B15933" s="0" t="s">
        <v>21165</v>
      </c>
      <c r="C15933" s="0" t="s">
        <v>21166</v>
      </c>
      <c r="D15933" s="0" t="s">
        <v>21166</v>
      </c>
      <c r="E15933" s="0" t="inlineStr">
        <is>
          <t xml:space="preserve">Mazda</t>
        </is>
      </c>
      <c r="F15933" s="0" t="s">
        <v>13</v>
      </c>
      <c r="G15933" s="0" t="s">
        <v>49</v>
      </c>
      <c r="H15933" s="5">
        <v>154.966600</v>
      </c>
    </row>
    <row r="15934" spans="1:9">
      <c r="A15934" s="22" t="str">
        <f>HYPERLINK("https://app.vivvix.com/360/KMI/IntelliDrive/ApplUI/Pages/CreativePages/CustomReportCreativeDetail.aspx?App=23&amp;ReportView=4&amp;Qid=1711279&amp;Row=15926&amp;Col=1","No Title Assigned - #15276162512")</f>
        <v/>
      </c>
      <c r="B15934" s="0" t="s">
        <v>21167</v>
      </c>
      <c r="E15934" s="0" t="inlineStr">
        <is>
          <t xml:space="preserve">Mazda</t>
        </is>
      </c>
      <c r="F15934" s="0" t="inlineStr">
        <is>
          <t xml:space="preserve">Mazda</t>
        </is>
      </c>
      <c r="G15934" s="0" t="s">
        <v>171</v>
      </c>
      <c r="H15934" s="5">
        <v>6154.331500</v>
      </c>
    </row>
    <row r="15935" spans="1:9">
      <c r="A15935" s="22" t="str">
        <f>HYPERLINK("https://app.vivvix.com/360/KMI/IntelliDrive/ApplUI/Pages/CreativePages/CustomReportCreativeDetail.aspx?App=23&amp;ReportView=4&amp;Qid=1711279&amp;Row=15927&amp;Col=1","No Title Assigned - #15276162868")</f>
        <v/>
      </c>
      <c r="B15935" s="0" t="s">
        <v>21168</v>
      </c>
      <c r="C15935" s="0" t="s">
        <v>21169</v>
      </c>
      <c r="D15935" s="0" t="s">
        <v>21169</v>
      </c>
      <c r="E15935" s="0" t="inlineStr">
        <is>
          <t xml:space="preserve">Mazda</t>
        </is>
      </c>
      <c r="F15935" s="0" t="s">
        <v>13</v>
      </c>
      <c r="G15935" s="0" t="s">
        <v>49</v>
      </c>
      <c r="H15935" s="5">
        <v>68.489100</v>
      </c>
    </row>
    <row r="15936" spans="1:9">
      <c r="A15936" s="22" t="str">
        <f>HYPERLINK("https://app.vivvix.com/360/KMI/IntelliDrive/ApplUI/Pages/CreativePages/CustomReportCreativeDetail.aspx?App=23&amp;ReportView=4&amp;Qid=1711279&amp;Row=15928&amp;Col=1","No Title Assigned - #15276163742")</f>
        <v/>
      </c>
      <c r="B15936" s="0" t="s">
        <v>21170</v>
      </c>
      <c r="C15936" s="0" t="s">
        <v>21171</v>
      </c>
      <c r="D15936" s="0" t="s">
        <v>21171</v>
      </c>
      <c r="E15936" s="0" t="inlineStr">
        <is>
          <t xml:space="preserve">Mazda</t>
        </is>
      </c>
      <c r="F15936" s="0" t="s">
        <v>52</v>
      </c>
      <c r="G15936" s="0" t="s">
        <v>325</v>
      </c>
      <c r="H15936" s="5">
        <v>18414.771600</v>
      </c>
    </row>
    <row r="15937" spans="1:9">
      <c r="A15937" s="22" t="str">
        <f>HYPERLINK("https://app.vivvix.com/360/KMI/IntelliDrive/ApplUI/Pages/CreativePages/CustomReportCreativeDetail.aspx?App=23&amp;ReportView=4&amp;Qid=1711279&amp;Row=15929&amp;Col=1","No Title Assigned - #15276164874")</f>
        <v/>
      </c>
      <c r="B15937" s="0" t="s">
        <v>21172</v>
      </c>
      <c r="C15937" s="0" t="s">
        <v>21173</v>
      </c>
      <c r="D15937" s="0" t="s">
        <v>21173</v>
      </c>
      <c r="E15937" s="0" t="inlineStr">
        <is>
          <t xml:space="preserve">Mazda</t>
        </is>
      </c>
      <c r="F15937" s="0" t="s">
        <v>13</v>
      </c>
      <c r="G15937" s="0" t="s">
        <v>49</v>
      </c>
      <c r="H15937" s="5">
        <v>1.176800</v>
      </c>
    </row>
    <row r="15938" spans="1:9">
      <c r="A15938" s="22" t="str">
        <f>HYPERLINK("https://app.vivvix.com/360/KMI/IntelliDrive/ApplUI/Pages/CreativePages/CustomReportCreativeDetail.aspx?App=23&amp;ReportView=4&amp;Qid=1711279&amp;Row=15930&amp;Col=1","No Title Assigned - #15276166060")</f>
        <v/>
      </c>
      <c r="B15938" s="0" t="s">
        <v>21174</v>
      </c>
      <c r="C15938" s="0" t="s">
        <v>21175</v>
      </c>
      <c r="D15938" s="0" t="s">
        <v>21175</v>
      </c>
      <c r="E15938" s="0" t="inlineStr">
        <is>
          <t xml:space="preserve">Mazda</t>
        </is>
      </c>
      <c r="F15938" s="0" t="s">
        <v>13</v>
      </c>
      <c r="G15938" s="0" t="s">
        <v>49</v>
      </c>
      <c r="H15938" s="5">
        <v>667.825200</v>
      </c>
    </row>
    <row r="15939" spans="1:9">
      <c r="A15939" s="22" t="str">
        <f>HYPERLINK("https://app.vivvix.com/360/KMI/IntelliDrive/ApplUI/Pages/CreativePages/CustomReportCreativeDetail.aspx?App=23&amp;ReportView=4&amp;Qid=1711279&amp;Row=15931&amp;Col=1","No Title Assigned - #15276166693")</f>
        <v/>
      </c>
      <c r="B15939" s="0" t="s">
        <v>21176</v>
      </c>
      <c r="C15939" s="0" t="s">
        <v>21177</v>
      </c>
      <c r="D15939" s="0" t="s">
        <v>21177</v>
      </c>
      <c r="E15939" s="0" t="inlineStr">
        <is>
          <t xml:space="preserve">Mazda</t>
        </is>
      </c>
      <c r="F15939" s="0" t="s">
        <v>13</v>
      </c>
      <c r="G15939" s="0" t="s">
        <v>49</v>
      </c>
      <c r="H15939" s="5">
        <v>16.655400</v>
      </c>
    </row>
    <row r="15940" spans="1:9">
      <c r="A15940" s="22" t="str">
        <f>HYPERLINK("https://app.vivvix.com/360/KMI/IntelliDrive/ApplUI/Pages/CreativePages/CustomReportCreativeDetail.aspx?App=23&amp;ReportView=4&amp;Qid=1711279&amp;Row=15932&amp;Col=1","No Title Assigned - #15276167041")</f>
        <v/>
      </c>
      <c r="B15940" s="0" t="s">
        <v>21178</v>
      </c>
      <c r="C15940" s="0" t="s">
        <v>21179</v>
      </c>
      <c r="D15940" s="0" t="s">
        <v>21179</v>
      </c>
      <c r="E15940" s="0" t="inlineStr">
        <is>
          <t xml:space="preserve">Mazda</t>
        </is>
      </c>
      <c r="F15940" s="0" t="s">
        <v>13</v>
      </c>
      <c r="G15940" s="0" t="s">
        <v>49</v>
      </c>
      <c r="H15940" s="5">
        <v>4195.853600</v>
      </c>
    </row>
    <row r="15941" spans="1:9">
      <c r="A15941" s="22" t="str">
        <f>HYPERLINK("https://app.vivvix.com/360/KMI/IntelliDrive/ApplUI/Pages/CreativePages/CustomReportCreativeDetail.aspx?App=23&amp;ReportView=4&amp;Qid=1711279&amp;Row=15933&amp;Col=1","No Title Assigned - #15276167041")</f>
        <v/>
      </c>
      <c r="B15941" s="0" t="s">
        <v>21178</v>
      </c>
      <c r="E15941" s="0" t="inlineStr">
        <is>
          <t xml:space="preserve">Mazda</t>
        </is>
      </c>
      <c r="F15941" s="0" t="s">
        <v>13</v>
      </c>
      <c r="G15941" s="0" t="s">
        <v>49</v>
      </c>
      <c r="H15941" s="5">
        <v>753.680100</v>
      </c>
    </row>
    <row r="15942" spans="1:9">
      <c r="A15942" s="22" t="str">
        <f>HYPERLINK("https://app.vivvix.com/360/KMI/IntelliDrive/ApplUI/Pages/CreativePages/CustomReportCreativeDetail.aspx?App=23&amp;ReportView=4&amp;Qid=1711279&amp;Row=15934&amp;Col=1","No Title Assigned - #15276168364")</f>
        <v/>
      </c>
      <c r="B15942" s="0" t="s">
        <v>21180</v>
      </c>
      <c r="C15942" s="0" t="s">
        <v>21181</v>
      </c>
      <c r="D15942" s="0" t="s">
        <v>21181</v>
      </c>
      <c r="E15942" s="0" t="inlineStr">
        <is>
          <t xml:space="preserve">Mazda</t>
        </is>
      </c>
      <c r="F15942" s="0" t="s">
        <v>13</v>
      </c>
      <c r="G15942" s="0" t="s">
        <v>49</v>
      </c>
      <c r="H15942" s="5">
        <v>37801.205700</v>
      </c>
    </row>
    <row r="15943" spans="1:9">
      <c r="A15943" s="22" t="str">
        <f>HYPERLINK("https://app.vivvix.com/360/KMI/IntelliDrive/ApplUI/Pages/CreativePages/CustomReportCreativeDetail.aspx?App=23&amp;ReportView=4&amp;Qid=1711279&amp;Row=15935&amp;Col=1","No Title Assigned - #15276168726")</f>
        <v/>
      </c>
      <c r="B15943" s="0" t="s">
        <v>21182</v>
      </c>
      <c r="C15943" s="0" t="s">
        <v>21183</v>
      </c>
      <c r="D15943" s="0" t="s">
        <v>21183</v>
      </c>
      <c r="E15943" s="0" t="inlineStr">
        <is>
          <t xml:space="preserve">Mazda</t>
        </is>
      </c>
      <c r="F15943" s="0" t="s">
        <v>13</v>
      </c>
      <c r="G15943" s="0" t="s">
        <v>49</v>
      </c>
      <c r="H15943" s="5">
        <v>742.707000</v>
      </c>
    </row>
    <row r="15944" spans="1:9">
      <c r="A15944" s="22" t="str">
        <f>HYPERLINK("https://app.vivvix.com/360/KMI/IntelliDrive/ApplUI/Pages/CreativePages/CustomReportCreativeDetail.aspx?App=23&amp;ReportView=4&amp;Qid=1711279&amp;Row=15936&amp;Col=1","No Title Assigned - #15276169765")</f>
        <v/>
      </c>
      <c r="B15944" s="0" t="s">
        <v>21184</v>
      </c>
      <c r="E15944" s="0" t="inlineStr">
        <is>
          <t xml:space="preserve">Mazda</t>
        </is>
      </c>
      <c r="F15944" s="0" t="inlineStr">
        <is>
          <t xml:space="preserve">Mazda</t>
        </is>
      </c>
      <c r="G15944" s="0" t="s">
        <v>171</v>
      </c>
      <c r="H15944" s="5">
        <v>443.061000</v>
      </c>
    </row>
    <row r="15945" spans="1:9">
      <c r="A15945" s="22" t="str">
        <f>HYPERLINK("https://app.vivvix.com/360/KMI/IntelliDrive/ApplUI/Pages/CreativePages/CustomReportCreativeDetail.aspx?App=23&amp;ReportView=4&amp;Qid=1711279&amp;Row=15937&amp;Col=1","No Title Assigned - #15276170110")</f>
        <v/>
      </c>
      <c r="B15945" s="0" t="s">
        <v>21185</v>
      </c>
      <c r="E15945" s="0" t="inlineStr">
        <is>
          <t xml:space="preserve">Mazda</t>
        </is>
      </c>
      <c r="F15945" s="0" t="inlineStr">
        <is>
          <t xml:space="preserve">Mazda</t>
        </is>
      </c>
      <c r="G15945" s="0" t="s">
        <v>171</v>
      </c>
      <c r="H15945" s="5">
        <v>30959.060600</v>
      </c>
    </row>
    <row r="15946" spans="1:9">
      <c r="A15946" s="22" t="str">
        <f>HYPERLINK("https://app.vivvix.com/360/KMI/IntelliDrive/ApplUI/Pages/CreativePages/CustomReportCreativeDetail.aspx?App=23&amp;ReportView=4&amp;Qid=1711279&amp;Row=15938&amp;Col=1","No Title Assigned - #15276172359")</f>
        <v/>
      </c>
      <c r="B15946" s="0" t="s">
        <v>21186</v>
      </c>
      <c r="E15946" s="0" t="inlineStr">
        <is>
          <t xml:space="preserve">Mazda</t>
        </is>
      </c>
      <c r="F15946" s="0" t="inlineStr">
        <is>
          <t xml:space="preserve">Mazda</t>
        </is>
      </c>
      <c r="G15946" s="0" t="s">
        <v>171</v>
      </c>
      <c r="H15946" s="5">
        <v>6.039000</v>
      </c>
    </row>
    <row r="15947" spans="1:9">
      <c r="A15947" s="22" t="str">
        <f>HYPERLINK("https://app.vivvix.com/360/KMI/IntelliDrive/ApplUI/Pages/CreativePages/CustomReportCreativeDetail.aspx?App=23&amp;ReportView=4&amp;Qid=1711279&amp;Row=15939&amp;Col=1","No Title Assigned - #15276172633")</f>
        <v/>
      </c>
      <c r="B15947" s="0" t="s">
        <v>21187</v>
      </c>
      <c r="E15947" s="0" t="inlineStr">
        <is>
          <t xml:space="preserve">Mazda</t>
        </is>
      </c>
      <c r="F15947" s="0" t="inlineStr">
        <is>
          <t xml:space="preserve">Mazda</t>
        </is>
      </c>
      <c r="G15947" s="0" t="s">
        <v>171</v>
      </c>
      <c r="H15947" s="5">
        <v>78179.612200</v>
      </c>
    </row>
    <row r="15948" spans="1:9">
      <c r="A15948" s="22" t="str">
        <f>HYPERLINK("https://app.vivvix.com/360/KMI/IntelliDrive/ApplUI/Pages/CreativePages/CustomReportCreativeDetail.aspx?App=23&amp;ReportView=4&amp;Qid=1711279&amp;Row=15940&amp;Col=1","No Title Assigned - #15276173102")</f>
        <v/>
      </c>
      <c r="B15948" s="0" t="s">
        <v>21188</v>
      </c>
      <c r="E15948" s="0" t="inlineStr">
        <is>
          <t xml:space="preserve">Mazda</t>
        </is>
      </c>
      <c r="F15948" s="0" t="inlineStr">
        <is>
          <t xml:space="preserve">Mazda</t>
        </is>
      </c>
      <c r="G15948" s="0" t="s">
        <v>171</v>
      </c>
      <c r="H15948" s="5">
        <v>180.522700</v>
      </c>
    </row>
    <row r="15949" spans="1:9">
      <c r="A15949" s="22" t="str">
        <f>HYPERLINK("https://app.vivvix.com/360/KMI/IntelliDrive/ApplUI/Pages/CreativePages/CustomReportCreativeDetail.aspx?App=23&amp;ReportView=4&amp;Qid=1711279&amp;Row=15941&amp;Col=1","No Title Assigned - #15276173420")</f>
        <v/>
      </c>
      <c r="B15949" s="0" t="s">
        <v>21189</v>
      </c>
      <c r="E15949" s="0" t="inlineStr">
        <is>
          <t xml:space="preserve">Mazda</t>
        </is>
      </c>
      <c r="F15949" s="0" t="inlineStr">
        <is>
          <t xml:space="preserve">Mazda</t>
        </is>
      </c>
      <c r="G15949" s="0" t="s">
        <v>171</v>
      </c>
      <c r="H15949" s="5">
        <v>190.775200</v>
      </c>
    </row>
    <row r="15950" spans="1:9">
      <c r="A15950" s="22" t="str">
        <f>HYPERLINK("https://app.vivvix.com/360/KMI/IntelliDrive/ApplUI/Pages/CreativePages/CustomReportCreativeDetail.aspx?App=23&amp;ReportView=4&amp;Qid=1711279&amp;Row=15942&amp;Col=1","No Title Assigned - #15276173616")</f>
        <v/>
      </c>
      <c r="B15950" s="0" t="s">
        <v>21190</v>
      </c>
      <c r="C15950" s="0" t="s">
        <v>21191</v>
      </c>
      <c r="D15950" s="0" t="s">
        <v>21191</v>
      </c>
      <c r="E15950" s="0" t="inlineStr">
        <is>
          <t xml:space="preserve">Mazda</t>
        </is>
      </c>
      <c r="F15950" s="0" t="s">
        <v>13</v>
      </c>
      <c r="G15950" s="0" t="s">
        <v>49</v>
      </c>
      <c r="H15950" s="5">
        <v>6.363100</v>
      </c>
    </row>
    <row r="15951" spans="1:9">
      <c r="A15951" s="22" t="str">
        <f>HYPERLINK("https://app.vivvix.com/360/KMI/IntelliDrive/ApplUI/Pages/CreativePages/CustomReportCreativeDetail.aspx?App=23&amp;ReportView=4&amp;Qid=1711279&amp;Row=15943&amp;Col=1","No Title Assigned - #15276174044")</f>
        <v/>
      </c>
      <c r="B15951" s="0" t="s">
        <v>21192</v>
      </c>
      <c r="E15951" s="0" t="inlineStr">
        <is>
          <t xml:space="preserve">Mazda</t>
        </is>
      </c>
      <c r="F15951" s="0" t="inlineStr">
        <is>
          <t xml:space="preserve">Mazda</t>
        </is>
      </c>
      <c r="G15951" s="0" t="s">
        <v>171</v>
      </c>
      <c r="H15951" s="5">
        <v>4.377400</v>
      </c>
    </row>
    <row r="15952" spans="1:9">
      <c r="A15952" s="22" t="str">
        <f>HYPERLINK("https://app.vivvix.com/360/KMI/IntelliDrive/ApplUI/Pages/CreativePages/CustomReportCreativeDetail.aspx?App=23&amp;ReportView=4&amp;Qid=1711279&amp;Row=15944&amp;Col=1","No Title Assigned - #15276174351")</f>
        <v/>
      </c>
      <c r="B15952" s="0" t="s">
        <v>21193</v>
      </c>
      <c r="C15952" s="0" t="s">
        <v>21194</v>
      </c>
      <c r="D15952" s="0" t="s">
        <v>21194</v>
      </c>
      <c r="E15952" s="0" t="inlineStr">
        <is>
          <t xml:space="preserve">Mazda</t>
        </is>
      </c>
      <c r="F15952" s="0" t="inlineStr">
        <is>
          <t xml:space="preserve">Mazda</t>
        </is>
      </c>
      <c r="G15952" s="0" t="s">
        <v>171</v>
      </c>
      <c r="H15952" s="5">
        <v>263.265800</v>
      </c>
    </row>
    <row r="15953" spans="1:9">
      <c r="A15953" s="22" t="str">
        <f>HYPERLINK("https://app.vivvix.com/360/KMI/IntelliDrive/ApplUI/Pages/CreativePages/CustomReportCreativeDetail.aspx?App=23&amp;ReportView=4&amp;Qid=1711279&amp;Row=15945&amp;Col=1","No Title Assigned - #15276174670")</f>
        <v/>
      </c>
      <c r="B15953" s="0" t="s">
        <v>21195</v>
      </c>
      <c r="E15953" s="0" t="inlineStr">
        <is>
          <t xml:space="preserve">Mazda</t>
        </is>
      </c>
      <c r="F15953" s="0" t="inlineStr">
        <is>
          <t xml:space="preserve">Mazda</t>
        </is>
      </c>
      <c r="G15953" s="0" t="s">
        <v>171</v>
      </c>
      <c r="H15953" s="5">
        <v>3136.293100</v>
      </c>
    </row>
    <row r="15954" spans="1:9">
      <c r="A15954" s="22" t="str">
        <f>HYPERLINK("https://app.vivvix.com/360/KMI/IntelliDrive/ApplUI/Pages/CreativePages/CustomReportCreativeDetail.aspx?App=23&amp;ReportView=4&amp;Qid=1711279&amp;Row=15946&amp;Col=1","No Title Assigned - #15276178839")</f>
        <v/>
      </c>
      <c r="B15954" s="0" t="s">
        <v>21196</v>
      </c>
      <c r="E15954" s="0" t="inlineStr">
        <is>
          <t xml:space="preserve">Mazda</t>
        </is>
      </c>
      <c r="F15954" s="0" t="inlineStr">
        <is>
          <t xml:space="preserve">Mazda</t>
        </is>
      </c>
      <c r="G15954" s="0" t="s">
        <v>171</v>
      </c>
      <c r="H15954" s="5">
        <v>629.894800</v>
      </c>
    </row>
    <row r="15955" spans="1:9">
      <c r="A15955" s="22" t="str">
        <f>HYPERLINK("https://app.vivvix.com/360/KMI/IntelliDrive/ApplUI/Pages/CreativePages/CustomReportCreativeDetail.aspx?App=23&amp;ReportView=4&amp;Qid=1711279&amp;Row=15947&amp;Col=1","No Title Assigned - #15276179860")</f>
        <v/>
      </c>
      <c r="B15955" s="0" t="s">
        <v>21197</v>
      </c>
      <c r="E15955" s="0" t="inlineStr">
        <is>
          <t xml:space="preserve">Mazda</t>
        </is>
      </c>
      <c r="F15955" s="0" t="inlineStr">
        <is>
          <t xml:space="preserve">Mazda</t>
        </is>
      </c>
      <c r="G15955" s="0" t="s">
        <v>171</v>
      </c>
      <c r="H15955" s="5">
        <v>62.094600</v>
      </c>
    </row>
    <row r="15956" spans="1:9">
      <c r="A15956" s="22" t="str">
        <f>HYPERLINK("https://app.vivvix.com/360/KMI/IntelliDrive/ApplUI/Pages/CreativePages/CustomReportCreativeDetail.aspx?App=23&amp;ReportView=4&amp;Qid=1711279&amp;Row=15948&amp;Col=1","No Title Assigned - #15276180147")</f>
        <v/>
      </c>
      <c r="B15956" s="0" t="s">
        <v>21198</v>
      </c>
      <c r="E15956" s="0" t="inlineStr">
        <is>
          <t xml:space="preserve">Mazda</t>
        </is>
      </c>
      <c r="F15956" s="0" t="inlineStr">
        <is>
          <t xml:space="preserve">Mazda</t>
        </is>
      </c>
      <c r="G15956" s="0" t="s">
        <v>171</v>
      </c>
      <c r="H15956" s="5">
        <v>1.593800</v>
      </c>
    </row>
    <row r="15957" spans="1:9">
      <c r="A15957" s="22" t="str">
        <f>HYPERLINK("https://app.vivvix.com/360/KMI/IntelliDrive/ApplUI/Pages/CreativePages/CustomReportCreativeDetail.aspx?App=23&amp;ReportView=4&amp;Qid=1711279&amp;Row=15949&amp;Col=1","No Title Assigned - #15276181493")</f>
        <v/>
      </c>
      <c r="B15957" s="0" t="s">
        <v>21199</v>
      </c>
      <c r="E15957" s="0" t="inlineStr">
        <is>
          <t xml:space="preserve">Mazda</t>
        </is>
      </c>
      <c r="F15957" s="0" t="inlineStr">
        <is>
          <t xml:space="preserve">Mazda</t>
        </is>
      </c>
      <c r="G15957" s="0" t="s">
        <v>171</v>
      </c>
      <c r="H15957" s="5">
        <v>33680.951000</v>
      </c>
    </row>
    <row r="15958" spans="1:9">
      <c r="A15958" s="22" t="str">
        <f>HYPERLINK("https://app.vivvix.com/360/KMI/IntelliDrive/ApplUI/Pages/CreativePages/CustomReportCreativeDetail.aspx?App=23&amp;ReportView=4&amp;Qid=1711279&amp;Row=15950&amp;Col=1","No Title Assigned - #15276181493")</f>
        <v/>
      </c>
      <c r="B15958" s="0" t="s">
        <v>21199</v>
      </c>
      <c r="E15958" s="0" t="inlineStr">
        <is>
          <t xml:space="preserve">Mazda</t>
        </is>
      </c>
      <c r="F15958" s="0" t="inlineStr">
        <is>
          <t xml:space="preserve">Mazda</t>
        </is>
      </c>
      <c r="G15958" s="0" t="s">
        <v>171</v>
      </c>
      <c r="H15958" s="5">
        <v>827.268100</v>
      </c>
    </row>
    <row r="15959" spans="1:9">
      <c r="A15959" s="22" t="str">
        <f>HYPERLINK("https://app.vivvix.com/360/KMI/IntelliDrive/ApplUI/Pages/CreativePages/CustomReportCreativeDetail.aspx?App=23&amp;ReportView=4&amp;Qid=1711279&amp;Row=15951&amp;Col=1","No Title Assigned - #15276182563")</f>
        <v/>
      </c>
      <c r="B15959" s="0" t="s">
        <v>21200</v>
      </c>
      <c r="E15959" s="0" t="inlineStr">
        <is>
          <t xml:space="preserve">Mazda</t>
        </is>
      </c>
      <c r="F15959" s="0" t="inlineStr">
        <is>
          <t xml:space="preserve">Mazda</t>
        </is>
      </c>
      <c r="G15959" s="0" t="s">
        <v>171</v>
      </c>
      <c r="H15959" s="5">
        <v>23.660800</v>
      </c>
    </row>
    <row r="15960" spans="1:9">
      <c r="A15960" s="22" t="str">
        <f>HYPERLINK("https://app.vivvix.com/360/KMI/IntelliDrive/ApplUI/Pages/CreativePages/CustomReportCreativeDetail.aspx?App=23&amp;ReportView=4&amp;Qid=1711279&amp;Row=15952&amp;Col=1","No Title Assigned - #15276189673")</f>
        <v/>
      </c>
      <c r="B15960" s="0" t="s">
        <v>21201</v>
      </c>
      <c r="C15960" s="0" t="s">
        <v>21202</v>
      </c>
      <c r="D15960" s="0" t="s">
        <v>6404</v>
      </c>
      <c r="E15960" s="0" t="inlineStr">
        <is>
          <t xml:space="preserve">Mazda</t>
        </is>
      </c>
      <c r="F15960" s="0" t="s">
        <v>13</v>
      </c>
      <c r="G15960" s="0" t="s">
        <v>49</v>
      </c>
      <c r="H15960" s="5">
        <v>5997.975200</v>
      </c>
    </row>
    <row r="15961" spans="1:9">
      <c r="A15961" s="22" t="str">
        <f>HYPERLINK("https://app.vivvix.com/360/KMI/IntelliDrive/ApplUI/Pages/CreativePages/CustomReportCreativeDetail.aspx?App=23&amp;ReportView=4&amp;Qid=1711279&amp;Row=15953&amp;Col=1","No Title Assigned - #15276190672")</f>
        <v/>
      </c>
      <c r="B15961" s="0" t="s">
        <v>21203</v>
      </c>
      <c r="E15961" s="0" t="inlineStr">
        <is>
          <t xml:space="preserve">Mazda</t>
        </is>
      </c>
      <c r="F15961" s="0" t="inlineStr">
        <is>
          <t xml:space="preserve">Mazda</t>
        </is>
      </c>
      <c r="G15961" s="0" t="s">
        <v>171</v>
      </c>
      <c r="H15961" s="5">
        <v>652.533100</v>
      </c>
    </row>
    <row r="15962" spans="1:9">
      <c r="A15962" s="22" t="str">
        <f>HYPERLINK("https://app.vivvix.com/360/KMI/IntelliDrive/ApplUI/Pages/CreativePages/CustomReportCreativeDetail.aspx?App=23&amp;ReportView=4&amp;Qid=1711279&amp;Row=15954&amp;Col=1","No Title Assigned - #15276190711")</f>
        <v/>
      </c>
      <c r="B15962" s="0" t="s">
        <v>21204</v>
      </c>
      <c r="E15962" s="0" t="inlineStr">
        <is>
          <t xml:space="preserve">Mazda</t>
        </is>
      </c>
      <c r="F15962" s="0" t="inlineStr">
        <is>
          <t xml:space="preserve">Mazda</t>
        </is>
      </c>
      <c r="G15962" s="0" t="s">
        <v>171</v>
      </c>
      <c r="H15962" s="5">
        <v>11396.542500</v>
      </c>
    </row>
    <row r="15963" spans="1:9">
      <c r="A15963" s="22" t="str">
        <f>HYPERLINK("https://app.vivvix.com/360/KMI/IntelliDrive/ApplUI/Pages/CreativePages/CustomReportCreativeDetail.aspx?App=23&amp;ReportView=4&amp;Qid=1711279&amp;Row=15955&amp;Col=1","No Title Assigned - #15276190711")</f>
        <v/>
      </c>
      <c r="B15963" s="0" t="s">
        <v>21204</v>
      </c>
      <c r="E15963" s="0" t="inlineStr">
        <is>
          <t xml:space="preserve">Mazda</t>
        </is>
      </c>
      <c r="F15963" s="0" t="inlineStr">
        <is>
          <t xml:space="preserve">Mazda</t>
        </is>
      </c>
      <c r="G15963" s="0" t="s">
        <v>171</v>
      </c>
      <c r="H15963" s="5">
        <v>124.779000</v>
      </c>
    </row>
    <row r="15964" spans="1:9">
      <c r="A15964" s="22" t="str">
        <f>HYPERLINK("https://app.vivvix.com/360/KMI/IntelliDrive/ApplUI/Pages/CreativePages/CustomReportCreativeDetail.aspx?App=23&amp;ReportView=4&amp;Qid=1711279&amp;Row=15956&amp;Col=1","No Title Assigned - #15276190776")</f>
        <v/>
      </c>
      <c r="B15964" s="0" t="s">
        <v>21205</v>
      </c>
      <c r="E15964" s="0" t="inlineStr">
        <is>
          <t xml:space="preserve">Mazda</t>
        </is>
      </c>
      <c r="F15964" s="0" t="inlineStr">
        <is>
          <t xml:space="preserve">Mazda</t>
        </is>
      </c>
      <c r="G15964" s="0" t="s">
        <v>171</v>
      </c>
      <c r="H15964" s="5">
        <v>3527.131600</v>
      </c>
    </row>
    <row r="15965" spans="1:9">
      <c r="A15965" s="22" t="str">
        <f>HYPERLINK("https://app.vivvix.com/360/KMI/IntelliDrive/ApplUI/Pages/CreativePages/CustomReportCreativeDetail.aspx?App=23&amp;ReportView=4&amp;Qid=1711279&amp;Row=15957&amp;Col=1","No Title Assigned - #15276191932")</f>
        <v/>
      </c>
      <c r="B15965" s="0" t="s">
        <v>21206</v>
      </c>
      <c r="E15965" s="0" t="inlineStr">
        <is>
          <t xml:space="preserve">Mazda</t>
        </is>
      </c>
      <c r="F15965" s="0" t="inlineStr">
        <is>
          <t xml:space="preserve">Mazda</t>
        </is>
      </c>
      <c r="G15965" s="0" t="s">
        <v>171</v>
      </c>
      <c r="H15965" s="5">
        <v>121.870300</v>
      </c>
    </row>
    <row r="15966" spans="1:9">
      <c r="A15966" s="22" t="str">
        <f>HYPERLINK("https://app.vivvix.com/360/KMI/IntelliDrive/ApplUI/Pages/CreativePages/CustomReportCreativeDetail.aspx?App=23&amp;ReportView=4&amp;Qid=1711279&amp;Row=15958&amp;Col=1","No Title Assigned - #15276194242")</f>
        <v/>
      </c>
      <c r="B15966" s="0" t="s">
        <v>21207</v>
      </c>
      <c r="E15966" s="0" t="inlineStr">
        <is>
          <t xml:space="preserve">Mazda</t>
        </is>
      </c>
      <c r="F15966" s="0" t="inlineStr">
        <is>
          <t xml:space="preserve">Mazda</t>
        </is>
      </c>
      <c r="G15966" s="0" t="s">
        <v>171</v>
      </c>
      <c r="H15966" s="5">
        <v>130.946500</v>
      </c>
    </row>
    <row r="15967" spans="1:9">
      <c r="A15967" s="22" t="str">
        <f>HYPERLINK("https://app.vivvix.com/360/KMI/IntelliDrive/ApplUI/Pages/CreativePages/CustomReportCreativeDetail.aspx?App=23&amp;ReportView=4&amp;Qid=1711279&amp;Row=15959&amp;Col=1","No Title Assigned - #15276196464")</f>
        <v/>
      </c>
      <c r="B15967" s="0" t="s">
        <v>21208</v>
      </c>
      <c r="E15967" s="0" t="inlineStr">
        <is>
          <t xml:space="preserve">Mazda</t>
        </is>
      </c>
      <c r="F15967" s="0" t="inlineStr">
        <is>
          <t xml:space="preserve">Mazda</t>
        </is>
      </c>
      <c r="G15967" s="0" t="s">
        <v>171</v>
      </c>
      <c r="H15967" s="5">
        <v>565.268200</v>
      </c>
    </row>
    <row r="15968" spans="1:9">
      <c r="A15968" s="22" t="str">
        <f>HYPERLINK("https://app.vivvix.com/360/KMI/IntelliDrive/ApplUI/Pages/CreativePages/CustomReportCreativeDetail.aspx?App=23&amp;ReportView=4&amp;Qid=1711279&amp;Row=15960&amp;Col=1","No Title Assigned - #15276216576")</f>
        <v/>
      </c>
      <c r="B15968" s="0" t="s">
        <v>21209</v>
      </c>
      <c r="C15968" s="0" t="s">
        <v>21210</v>
      </c>
      <c r="D15968" s="0" t="s">
        <v>21210</v>
      </c>
      <c r="E15968" s="0" t="inlineStr">
        <is>
          <t xml:space="preserve">Mazda</t>
        </is>
      </c>
      <c r="F15968" s="0" t="s">
        <v>666</v>
      </c>
      <c r="G15968" s="0" t="s">
        <v>667</v>
      </c>
      <c r="H15968" s="5">
        <v>1752.605100</v>
      </c>
    </row>
    <row r="15969" spans="1:9">
      <c r="A15969" s="22" t="str">
        <f>HYPERLINK("https://app.vivvix.com/360/KMI/IntelliDrive/ApplUI/Pages/CreativePages/CustomReportCreativeDetail.aspx?App=23&amp;ReportView=4&amp;Qid=1711279&amp;Row=15961&amp;Col=1","No Title Assigned - #15276238481")</f>
        <v/>
      </c>
      <c r="B15969" s="0" t="s">
        <v>21211</v>
      </c>
      <c r="C15969" s="0" t="s">
        <v>21212</v>
      </c>
      <c r="D15969" s="0" t="s">
        <v>9364</v>
      </c>
      <c r="E15969" s="0" t="inlineStr">
        <is>
          <t xml:space="preserve">Mazda</t>
        </is>
      </c>
      <c r="F15969" s="0" t="s">
        <v>13</v>
      </c>
      <c r="G15969" s="0" t="s">
        <v>49</v>
      </c>
      <c r="H15969" s="5">
        <v>440.652800</v>
      </c>
    </row>
    <row r="15970" spans="1:9">
      <c r="A15970" s="22" t="str">
        <f>HYPERLINK("https://app.vivvix.com/360/KMI/IntelliDrive/ApplUI/Pages/CreativePages/CustomReportCreativeDetail.aspx?App=23&amp;ReportView=4&amp;Qid=1711279&amp;Row=15962&amp;Col=1","No Title Assigned - #15276241229")</f>
        <v/>
      </c>
      <c r="B15970" s="0" t="s">
        <v>21213</v>
      </c>
      <c r="C15970" s="0" t="s">
        <v>21214</v>
      </c>
      <c r="D15970" s="0" t="s">
        <v>21214</v>
      </c>
      <c r="E15970" s="0" t="inlineStr">
        <is>
          <t xml:space="preserve">Mazda</t>
        </is>
      </c>
      <c r="F15970" s="0" t="s">
        <v>17</v>
      </c>
      <c r="G15970" s="0" t="s">
        <v>33</v>
      </c>
      <c r="H15970" s="5">
        <v>3892.081400</v>
      </c>
    </row>
    <row r="15971" spans="1:9">
      <c r="A15971" s="22" t="str">
        <f>HYPERLINK("https://app.vivvix.com/360/KMI/IntelliDrive/ApplUI/Pages/CreativePages/CustomReportCreativeDetail.aspx?App=23&amp;ReportView=4&amp;Qid=1711279&amp;Row=15963&amp;Col=1","No Title Assigned - #15276242332")</f>
        <v/>
      </c>
      <c r="B15971" s="0" t="s">
        <v>21215</v>
      </c>
      <c r="E15971" s="0" t="inlineStr">
        <is>
          <t xml:space="preserve">Mazda</t>
        </is>
      </c>
      <c r="F15971" s="0" t="inlineStr">
        <is>
          <t xml:space="preserve">Mazda</t>
        </is>
      </c>
      <c r="G15971" s="0" t="s">
        <v>171</v>
      </c>
      <c r="H15971" s="5">
        <v>658.563500</v>
      </c>
    </row>
    <row r="15972" spans="1:9">
      <c r="A15972" s="22" t="str">
        <f>HYPERLINK("https://app.vivvix.com/360/KMI/IntelliDrive/ApplUI/Pages/CreativePages/CustomReportCreativeDetail.aspx?App=23&amp;ReportView=4&amp;Qid=1711279&amp;Row=15964&amp;Col=1","No Title Assigned - #15276242554")</f>
        <v/>
      </c>
      <c r="B15972" s="0" t="s">
        <v>21216</v>
      </c>
      <c r="E15972" s="0" t="inlineStr">
        <is>
          <t xml:space="preserve">Mazda</t>
        </is>
      </c>
      <c r="F15972" s="0" t="inlineStr">
        <is>
          <t xml:space="preserve">Mazda</t>
        </is>
      </c>
      <c r="G15972" s="0" t="s">
        <v>171</v>
      </c>
      <c r="H15972" s="5">
        <v>3.629100</v>
      </c>
    </row>
    <row r="15973" spans="1:9">
      <c r="A15973" s="22" t="str">
        <f>HYPERLINK("https://app.vivvix.com/360/KMI/IntelliDrive/ApplUI/Pages/CreativePages/CustomReportCreativeDetail.aspx?App=23&amp;ReportView=4&amp;Qid=1711279&amp;Row=15965&amp;Col=1","No Title Assigned - #15276244548")</f>
        <v/>
      </c>
      <c r="B15973" s="0" t="s">
        <v>21217</v>
      </c>
      <c r="C15973" s="0" t="s">
        <v>21218</v>
      </c>
      <c r="D15973" s="0" t="s">
        <v>6183</v>
      </c>
      <c r="E15973" s="0" t="inlineStr">
        <is>
          <t xml:space="preserve">Mazda</t>
        </is>
      </c>
      <c r="F15973" s="0" t="s">
        <v>13</v>
      </c>
      <c r="G15973" s="0" t="s">
        <v>49</v>
      </c>
      <c r="H15973" s="5">
        <v>154.223300</v>
      </c>
    </row>
    <row r="15974" spans="1:9">
      <c r="A15974" s="22" t="str">
        <f>HYPERLINK("https://app.vivvix.com/360/KMI/IntelliDrive/ApplUI/Pages/CreativePages/CustomReportCreativeDetail.aspx?App=23&amp;ReportView=4&amp;Qid=1711279&amp;Row=15966&amp;Col=1","No Title Assigned - #15276244942")</f>
        <v/>
      </c>
      <c r="B15974" s="0" t="s">
        <v>21219</v>
      </c>
      <c r="C15974" s="0" t="s">
        <v>21220</v>
      </c>
      <c r="D15974" s="0" t="s">
        <v>21220</v>
      </c>
      <c r="E15974" s="0" t="inlineStr">
        <is>
          <t xml:space="preserve">Mazda</t>
        </is>
      </c>
      <c r="F15974" s="0" t="s">
        <v>17</v>
      </c>
      <c r="G15974" s="0" t="s">
        <v>33</v>
      </c>
      <c r="H15974" s="5">
        <v>152.104900</v>
      </c>
    </row>
    <row r="15975" spans="1:9">
      <c r="A15975" s="22" t="str">
        <f>HYPERLINK("https://app.vivvix.com/360/KMI/IntelliDrive/ApplUI/Pages/CreativePages/CustomReportCreativeDetail.aspx?App=23&amp;ReportView=4&amp;Qid=1711279&amp;Row=15967&amp;Col=1","No Title Assigned - #15276245439")</f>
        <v/>
      </c>
      <c r="B15975" s="0" t="s">
        <v>21221</v>
      </c>
      <c r="C15975" s="0" t="s">
        <v>21222</v>
      </c>
      <c r="D15975" s="0" t="s">
        <v>21222</v>
      </c>
      <c r="E15975" s="0" t="inlineStr">
        <is>
          <t xml:space="preserve">Mazda</t>
        </is>
      </c>
      <c r="F15975" s="0" t="inlineStr">
        <is>
          <t xml:space="preserve">Mazda</t>
        </is>
      </c>
      <c r="G15975" s="0" t="s">
        <v>4306</v>
      </c>
    </row>
    <row r="15976" spans="1:9">
      <c r="A15976" s="22" t="str">
        <f>HYPERLINK("https://app.vivvix.com/360/KMI/IntelliDrive/ApplUI/Pages/CreativePages/CustomReportCreativeDetail.aspx?App=23&amp;ReportView=4&amp;Qid=1711279&amp;Row=15968&amp;Col=1","No Title Assigned - #15276246739")</f>
        <v/>
      </c>
      <c r="B15976" s="0" t="s">
        <v>21223</v>
      </c>
      <c r="C15976" s="0" t="s">
        <v>21224</v>
      </c>
      <c r="D15976" s="0" t="s">
        <v>21224</v>
      </c>
      <c r="E15976" s="0" t="inlineStr">
        <is>
          <t xml:space="preserve">Mazda</t>
        </is>
      </c>
      <c r="F15976" s="0" t="s">
        <v>13</v>
      </c>
      <c r="G15976" s="0" t="s">
        <v>49</v>
      </c>
      <c r="H15976" s="5">
        <v>676.437300</v>
      </c>
    </row>
    <row r="15977" spans="1:9">
      <c r="A15977" s="22" t="str">
        <f>HYPERLINK("https://app.vivvix.com/360/KMI/IntelliDrive/ApplUI/Pages/CreativePages/CustomReportCreativeDetail.aspx?App=23&amp;ReportView=4&amp;Qid=1711279&amp;Row=15969&amp;Col=1","No Title Assigned - #15276247656")</f>
        <v/>
      </c>
      <c r="B15977" s="0" t="s">
        <v>21225</v>
      </c>
      <c r="C15977" s="0" t="s">
        <v>21226</v>
      </c>
      <c r="D15977" s="0" t="s">
        <v>21226</v>
      </c>
      <c r="E15977" s="0" t="inlineStr">
        <is>
          <t xml:space="preserve">Mazda</t>
        </is>
      </c>
      <c r="F15977" s="0" t="s">
        <v>17</v>
      </c>
      <c r="G15977" s="0" t="s">
        <v>33</v>
      </c>
      <c r="H15977" s="5">
        <v>3.945000</v>
      </c>
    </row>
    <row r="15978" spans="1:9">
      <c r="A15978" s="22" t="str">
        <f>HYPERLINK("https://app.vivvix.com/360/KMI/IntelliDrive/ApplUI/Pages/CreativePages/CustomReportCreativeDetail.aspx?App=23&amp;ReportView=4&amp;Qid=1711279&amp;Row=15970&amp;Col=1","No Title Assigned - #15276248326")</f>
        <v/>
      </c>
      <c r="B15978" s="0" t="s">
        <v>21227</v>
      </c>
      <c r="C15978" s="0" t="s">
        <v>21228</v>
      </c>
      <c r="D15978" s="0" t="s">
        <v>21228</v>
      </c>
      <c r="E15978" s="0" t="inlineStr">
        <is>
          <t xml:space="preserve">Mazda</t>
        </is>
      </c>
      <c r="F15978" s="0" t="s">
        <v>13</v>
      </c>
      <c r="G15978" s="0" t="s">
        <v>49</v>
      </c>
      <c r="H15978" s="5">
        <v>1558.857600</v>
      </c>
    </row>
    <row r="15979" spans="1:9">
      <c r="A15979" s="22" t="str">
        <f>HYPERLINK("https://app.vivvix.com/360/KMI/IntelliDrive/ApplUI/Pages/CreativePages/CustomReportCreativeDetail.aspx?App=23&amp;ReportView=4&amp;Qid=1711279&amp;Row=15971&amp;Col=1","No Title Assigned - #15276248326")</f>
        <v/>
      </c>
      <c r="B15979" s="0" t="s">
        <v>21227</v>
      </c>
      <c r="E15979" s="0" t="inlineStr">
        <is>
          <t xml:space="preserve">Mazda</t>
        </is>
      </c>
      <c r="F15979" s="0" t="s">
        <v>13</v>
      </c>
      <c r="G15979" s="0" t="s">
        <v>49</v>
      </c>
      <c r="H15979" s="5">
        <v>278.711000</v>
      </c>
    </row>
    <row r="15980" spans="1:9">
      <c r="A15980" s="22" t="str">
        <f>HYPERLINK("https://app.vivvix.com/360/KMI/IntelliDrive/ApplUI/Pages/CreativePages/CustomReportCreativeDetail.aspx?App=23&amp;ReportView=4&amp;Qid=1711279&amp;Row=15972&amp;Col=1","No Title Assigned - #15276249019")</f>
        <v/>
      </c>
      <c r="B15980" s="0" t="s">
        <v>21229</v>
      </c>
      <c r="E15980" s="0" t="inlineStr">
        <is>
          <t xml:space="preserve">Mazda</t>
        </is>
      </c>
      <c r="F15980" s="0" t="inlineStr">
        <is>
          <t xml:space="preserve">Mazda</t>
        </is>
      </c>
      <c r="G15980" s="0" t="s">
        <v>171</v>
      </c>
      <c r="H15980" s="5">
        <v>21.774600</v>
      </c>
    </row>
    <row r="15981" spans="1:9">
      <c r="A15981" s="22" t="str">
        <f>HYPERLINK("https://app.vivvix.com/360/KMI/IntelliDrive/ApplUI/Pages/CreativePages/CustomReportCreativeDetail.aspx?App=23&amp;ReportView=4&amp;Qid=1711279&amp;Row=15973&amp;Col=1","No Title Assigned - #15276249288")</f>
        <v/>
      </c>
      <c r="B15981" s="0" t="s">
        <v>21230</v>
      </c>
      <c r="E15981" s="0" t="inlineStr">
        <is>
          <t xml:space="preserve">Mazda</t>
        </is>
      </c>
      <c r="F15981" s="0" t="inlineStr">
        <is>
          <t xml:space="preserve">Mazda</t>
        </is>
      </c>
      <c r="G15981" s="0" t="s">
        <v>171</v>
      </c>
      <c r="H15981" s="5">
        <v>14.516400</v>
      </c>
    </row>
    <row r="15982" spans="1:9">
      <c r="A15982" s="22" t="str">
        <f>HYPERLINK("https://app.vivvix.com/360/KMI/IntelliDrive/ApplUI/Pages/CreativePages/CustomReportCreativeDetail.aspx?App=23&amp;ReportView=4&amp;Qid=1711279&amp;Row=15974&amp;Col=1","No Title Assigned - #15276249916")</f>
        <v/>
      </c>
      <c r="B15982" s="0" t="s">
        <v>21231</v>
      </c>
      <c r="E15982" s="0" t="inlineStr">
        <is>
          <t xml:space="preserve">Mazda</t>
        </is>
      </c>
      <c r="F15982" s="0" t="inlineStr">
        <is>
          <t xml:space="preserve">Mazda</t>
        </is>
      </c>
      <c r="G15982" s="0" t="s">
        <v>171</v>
      </c>
      <c r="H15982" s="5">
        <v>105.861000</v>
      </c>
    </row>
    <row r="15983" spans="1:9">
      <c r="A15983" s="22" t="str">
        <f>HYPERLINK("https://app.vivvix.com/360/KMI/IntelliDrive/ApplUI/Pages/CreativePages/CustomReportCreativeDetail.aspx?App=23&amp;ReportView=4&amp;Qid=1711279&amp;Row=15975&amp;Col=1","No Title Assigned - #15276251473")</f>
        <v/>
      </c>
      <c r="B15983" s="0" t="s">
        <v>21232</v>
      </c>
      <c r="C15983" s="0" t="s">
        <v>21233</v>
      </c>
      <c r="D15983" s="0" t="s">
        <v>21233</v>
      </c>
      <c r="E15983" s="0" t="inlineStr">
        <is>
          <t xml:space="preserve">Mazda</t>
        </is>
      </c>
      <c r="F15983" s="0" t="inlineStr">
        <is>
          <t xml:space="preserve">Mazda</t>
        </is>
      </c>
      <c r="G15983" s="0" t="s">
        <v>171</v>
      </c>
      <c r="H15983" s="5">
        <v>371.718900</v>
      </c>
    </row>
    <row r="15984" spans="1:9">
      <c r="A15984" s="22" t="str">
        <f>HYPERLINK("https://app.vivvix.com/360/KMI/IntelliDrive/ApplUI/Pages/CreativePages/CustomReportCreativeDetail.aspx?App=23&amp;ReportView=4&amp;Qid=1711279&amp;Row=15976&amp;Col=1","No Title Assigned - #15276254105")</f>
        <v/>
      </c>
      <c r="B15984" s="0" t="s">
        <v>21234</v>
      </c>
      <c r="E15984" s="0" t="inlineStr">
        <is>
          <t xml:space="preserve">Mazda</t>
        </is>
      </c>
      <c r="F15984" s="0" t="inlineStr">
        <is>
          <t xml:space="preserve">Mazda</t>
        </is>
      </c>
      <c r="G15984" s="0" t="s">
        <v>171</v>
      </c>
      <c r="H15984" s="5">
        <v>62.212500</v>
      </c>
    </row>
    <row r="15985" spans="1:9">
      <c r="A15985" s="22" t="str">
        <f>HYPERLINK("https://app.vivvix.com/360/KMI/IntelliDrive/ApplUI/Pages/CreativePages/CustomReportCreativeDetail.aspx?App=23&amp;ReportView=4&amp;Qid=1711279&amp;Row=15977&amp;Col=1","No Title Assigned - #15276254399")</f>
        <v/>
      </c>
      <c r="B15985" s="0" t="s">
        <v>21235</v>
      </c>
      <c r="C15985" s="0" t="s">
        <v>21236</v>
      </c>
      <c r="D15985" s="0" t="s">
        <v>4774</v>
      </c>
      <c r="E15985" s="0" t="inlineStr">
        <is>
          <t xml:space="preserve">Mazda</t>
        </is>
      </c>
      <c r="F15985" s="0" t="s">
        <v>13</v>
      </c>
      <c r="G15985" s="0" t="s">
        <v>49</v>
      </c>
      <c r="H15985" s="5">
        <v>30871.152800</v>
      </c>
    </row>
    <row r="15986" spans="1:9">
      <c r="A15986" s="22" t="str">
        <f>HYPERLINK("https://app.vivvix.com/360/KMI/IntelliDrive/ApplUI/Pages/CreativePages/CustomReportCreativeDetail.aspx?App=23&amp;ReportView=4&amp;Qid=1711279&amp;Row=15978&amp;Col=1","No Title Assigned - #15276254399")</f>
        <v/>
      </c>
      <c r="B15986" s="0" t="s">
        <v>21235</v>
      </c>
      <c r="E15986" s="0" t="inlineStr">
        <is>
          <t xml:space="preserve">Mazda</t>
        </is>
      </c>
      <c r="F15986" s="0" t="s">
        <v>13</v>
      </c>
      <c r="G15986" s="0" t="s">
        <v>49</v>
      </c>
      <c r="H15986" s="5">
        <v>130185.043300</v>
      </c>
    </row>
    <row r="15987" spans="1:9">
      <c r="A15987" s="22" t="str">
        <f>HYPERLINK("https://app.vivvix.com/360/KMI/IntelliDrive/ApplUI/Pages/CreativePages/CustomReportCreativeDetail.aspx?App=23&amp;ReportView=4&amp;Qid=1711279&amp;Row=15979&amp;Col=1","No Title Assigned - #15276259041")</f>
        <v/>
      </c>
      <c r="B15987" s="0" t="s">
        <v>21237</v>
      </c>
      <c r="E15987" s="0" t="inlineStr">
        <is>
          <t xml:space="preserve">Mazda</t>
        </is>
      </c>
      <c r="F15987" s="0" t="inlineStr">
        <is>
          <t xml:space="preserve">Mazda</t>
        </is>
      </c>
      <c r="G15987" s="0" t="s">
        <v>171</v>
      </c>
      <c r="H15987" s="5">
        <v>20.040800</v>
      </c>
    </row>
    <row r="15988" spans="1:9">
      <c r="A15988" s="22" t="str">
        <f>HYPERLINK("https://app.vivvix.com/360/KMI/IntelliDrive/ApplUI/Pages/CreativePages/CustomReportCreativeDetail.aspx?App=23&amp;ReportView=4&amp;Qid=1711279&amp;Row=15980&amp;Col=1","No Title Assigned - #15276260465")</f>
        <v/>
      </c>
      <c r="B15988" s="0" t="s">
        <v>21238</v>
      </c>
      <c r="E15988" s="0" t="inlineStr">
        <is>
          <t xml:space="preserve">Mazda</t>
        </is>
      </c>
      <c r="F15988" s="0" t="inlineStr">
        <is>
          <t xml:space="preserve">Mazda</t>
        </is>
      </c>
      <c r="G15988" s="0" t="s">
        <v>171</v>
      </c>
      <c r="H15988" s="5">
        <v>799.537200</v>
      </c>
    </row>
    <row r="15989" spans="1:9">
      <c r="A15989" s="22" t="str">
        <f>HYPERLINK("https://app.vivvix.com/360/KMI/IntelliDrive/ApplUI/Pages/CreativePages/CustomReportCreativeDetail.aspx?App=23&amp;ReportView=4&amp;Qid=1711279&amp;Row=15981&amp;Col=1","No Title Assigned - #15276262036")</f>
        <v/>
      </c>
      <c r="B15989" s="0" t="s">
        <v>21239</v>
      </c>
      <c r="E15989" s="0" t="inlineStr">
        <is>
          <t xml:space="preserve">Mazda</t>
        </is>
      </c>
      <c r="F15989" s="0" t="inlineStr">
        <is>
          <t xml:space="preserve">Mazda</t>
        </is>
      </c>
      <c r="G15989" s="0" t="s">
        <v>171</v>
      </c>
      <c r="H15989" s="5">
        <v>1011.692500</v>
      </c>
    </row>
    <row r="15990" spans="1:9">
      <c r="A15990" s="22" t="str">
        <f>HYPERLINK("https://app.vivvix.com/360/KMI/IntelliDrive/ApplUI/Pages/CreativePages/CustomReportCreativeDetail.aspx?App=23&amp;ReportView=4&amp;Qid=1711279&amp;Row=15982&amp;Col=1","No Title Assigned - #15276262055")</f>
        <v/>
      </c>
      <c r="B15990" s="0" t="s">
        <v>21240</v>
      </c>
      <c r="E15990" s="0" t="inlineStr">
        <is>
          <t xml:space="preserve">Mazda</t>
        </is>
      </c>
      <c r="F15990" s="0" t="inlineStr">
        <is>
          <t xml:space="preserve">Mazda</t>
        </is>
      </c>
      <c r="G15990" s="0" t="s">
        <v>171</v>
      </c>
      <c r="H15990" s="5">
        <v>607.015500</v>
      </c>
    </row>
    <row r="15991" spans="1:9">
      <c r="A15991" s="22" t="str">
        <f>HYPERLINK("https://app.vivvix.com/360/KMI/IntelliDrive/ApplUI/Pages/CreativePages/CustomReportCreativeDetail.aspx?App=23&amp;ReportView=4&amp;Qid=1711279&amp;Row=15983&amp;Col=1","No Title Assigned - #15276264760")</f>
        <v/>
      </c>
      <c r="B15991" s="0" t="s">
        <v>21241</v>
      </c>
      <c r="E15991" s="0" t="inlineStr">
        <is>
          <t xml:space="preserve">Mazda</t>
        </is>
      </c>
      <c r="F15991" s="0" t="inlineStr">
        <is>
          <t xml:space="preserve">Mazda</t>
        </is>
      </c>
      <c r="G15991" s="0" t="s">
        <v>171</v>
      </c>
      <c r="H15991" s="5">
        <v>67.265000</v>
      </c>
    </row>
    <row r="15992" spans="1:9">
      <c r="A15992" s="22" t="str">
        <f>HYPERLINK("https://app.vivvix.com/360/KMI/IntelliDrive/ApplUI/Pages/CreativePages/CustomReportCreativeDetail.aspx?App=23&amp;ReportView=4&amp;Qid=1711279&amp;Row=15984&amp;Col=1","No Title Assigned - #15276265010")</f>
        <v/>
      </c>
      <c r="B15992" s="0" t="s">
        <v>21242</v>
      </c>
      <c r="E15992" s="0" t="inlineStr">
        <is>
          <t xml:space="preserve">Mazda</t>
        </is>
      </c>
      <c r="F15992" s="0" t="inlineStr">
        <is>
          <t xml:space="preserve">Mazda</t>
        </is>
      </c>
      <c r="G15992" s="0" t="s">
        <v>171</v>
      </c>
      <c r="H15992" s="5">
        <v>50.288000</v>
      </c>
    </row>
    <row r="15993" spans="1:9">
      <c r="A15993" s="22" t="str">
        <f>HYPERLINK("https://app.vivvix.com/360/KMI/IntelliDrive/ApplUI/Pages/CreativePages/CustomReportCreativeDetail.aspx?App=23&amp;ReportView=4&amp;Qid=1711279&amp;Row=15985&amp;Col=1","No Title Assigned - #15276300155")</f>
        <v/>
      </c>
      <c r="B15993" s="0" t="s">
        <v>21243</v>
      </c>
      <c r="C15993" s="0" t="s">
        <v>21244</v>
      </c>
      <c r="D15993" s="0" t="s">
        <v>21244</v>
      </c>
      <c r="E15993" s="0" t="inlineStr">
        <is>
          <t xml:space="preserve">Mazda</t>
        </is>
      </c>
      <c r="F15993" s="0" t="s">
        <v>13</v>
      </c>
      <c r="G15993" s="0" t="s">
        <v>49</v>
      </c>
      <c r="H15993" s="5">
        <v>6023.532700</v>
      </c>
    </row>
    <row r="15994" spans="1:9">
      <c r="A15994" s="22" t="str">
        <f>HYPERLINK("https://app.vivvix.com/360/KMI/IntelliDrive/ApplUI/Pages/CreativePages/CustomReportCreativeDetail.aspx?App=23&amp;ReportView=4&amp;Qid=1711279&amp;Row=15986&amp;Col=1","No Title Assigned - #15276301237")</f>
        <v/>
      </c>
      <c r="B15994" s="0" t="s">
        <v>21245</v>
      </c>
      <c r="E15994" s="0" t="inlineStr">
        <is>
          <t xml:space="preserve">Mazda</t>
        </is>
      </c>
      <c r="F15994" s="0" t="s">
        <v>21</v>
      </c>
      <c r="G15994" s="0" t="s">
        <v>22</v>
      </c>
      <c r="H15994" s="5">
        <v>604.545400</v>
      </c>
    </row>
    <row r="15995" spans="1:9">
      <c r="A15995" s="22" t="str">
        <f>HYPERLINK("https://app.vivvix.com/360/KMI/IntelliDrive/ApplUI/Pages/CreativePages/CustomReportCreativeDetail.aspx?App=23&amp;ReportView=4&amp;Qid=1711279&amp;Row=15987&amp;Col=1","No Title Assigned - #15276301875")</f>
        <v/>
      </c>
      <c r="B15995" s="0" t="s">
        <v>21246</v>
      </c>
      <c r="E15995" s="0" t="inlineStr">
        <is>
          <t xml:space="preserve">Mazda</t>
        </is>
      </c>
      <c r="F15995" s="0" t="s">
        <v>13</v>
      </c>
      <c r="G15995" s="0" t="s">
        <v>49</v>
      </c>
      <c r="H15995" s="5">
        <v>188.851200</v>
      </c>
    </row>
    <row r="15996" spans="1:9">
      <c r="A15996" s="22" t="str">
        <f>HYPERLINK("https://app.vivvix.com/360/KMI/IntelliDrive/ApplUI/Pages/CreativePages/CustomReportCreativeDetail.aspx?App=23&amp;ReportView=4&amp;Qid=1711279&amp;Row=15988&amp;Col=1","No Title Assigned - #15276302760")</f>
        <v/>
      </c>
      <c r="B15996" s="0" t="s">
        <v>21247</v>
      </c>
      <c r="C15996" s="0" t="s">
        <v>21248</v>
      </c>
      <c r="D15996" s="0" t="s">
        <v>21248</v>
      </c>
      <c r="E15996" s="0" t="inlineStr">
        <is>
          <t xml:space="preserve">Mazda</t>
        </is>
      </c>
      <c r="F15996" s="0" t="s">
        <v>13</v>
      </c>
      <c r="G15996" s="0" t="s">
        <v>49</v>
      </c>
      <c r="H15996" s="5">
        <v>188.335500</v>
      </c>
    </row>
    <row r="15997" spans="1:9">
      <c r="A15997" s="22" t="str">
        <f>HYPERLINK("https://app.vivvix.com/360/KMI/IntelliDrive/ApplUI/Pages/CreativePages/CustomReportCreativeDetail.aspx?App=23&amp;ReportView=4&amp;Qid=1711279&amp;Row=15989&amp;Col=1","No Title Assigned - #15276307205")</f>
        <v/>
      </c>
      <c r="B15997" s="0" t="s">
        <v>21249</v>
      </c>
      <c r="C15997" s="0" t="s">
        <v>21250</v>
      </c>
      <c r="D15997" s="0" t="s">
        <v>6183</v>
      </c>
      <c r="E15997" s="0" t="inlineStr">
        <is>
          <t xml:space="preserve">Mazda</t>
        </is>
      </c>
      <c r="F15997" s="0" t="s">
        <v>13</v>
      </c>
      <c r="G15997" s="0" t="s">
        <v>49</v>
      </c>
      <c r="H15997" s="5">
        <v>28.028300</v>
      </c>
    </row>
    <row r="15998" spans="1:9">
      <c r="A15998" s="22" t="str">
        <f>HYPERLINK("https://app.vivvix.com/360/KMI/IntelliDrive/ApplUI/Pages/CreativePages/CustomReportCreativeDetail.aspx?App=23&amp;ReportView=4&amp;Qid=1711279&amp;Row=15990&amp;Col=1","No Title Assigned - #15276307816")</f>
        <v/>
      </c>
      <c r="B15998" s="0" t="s">
        <v>21251</v>
      </c>
      <c r="C15998" s="0" t="s">
        <v>21252</v>
      </c>
      <c r="D15998" s="0" t="s">
        <v>21252</v>
      </c>
      <c r="E15998" s="0" t="inlineStr">
        <is>
          <t xml:space="preserve">Mazda</t>
        </is>
      </c>
      <c r="F15998" s="0" t="s">
        <v>13</v>
      </c>
      <c r="G15998" s="0" t="s">
        <v>49</v>
      </c>
      <c r="H15998" s="5">
        <v>113.568600</v>
      </c>
    </row>
    <row r="15999" spans="1:9">
      <c r="A15999" s="22" t="str">
        <f>HYPERLINK("https://app.vivvix.com/360/KMI/IntelliDrive/ApplUI/Pages/CreativePages/CustomReportCreativeDetail.aspx?App=23&amp;ReportView=4&amp;Qid=1711279&amp;Row=15991&amp;Col=1","No Title Assigned - #15276308003")</f>
        <v/>
      </c>
      <c r="B15999" s="0" t="s">
        <v>21253</v>
      </c>
      <c r="E15999" s="0" t="inlineStr">
        <is>
          <t xml:space="preserve">Mazda</t>
        </is>
      </c>
      <c r="F15999" s="0" t="s">
        <v>204</v>
      </c>
      <c r="G15999" s="0" t="s">
        <v>205</v>
      </c>
      <c r="H15999" s="5">
        <v>1424.960000</v>
      </c>
    </row>
    <row r="16000" spans="1:9">
      <c r="A16000" s="22" t="str">
        <f>HYPERLINK("https://app.vivvix.com/360/KMI/IntelliDrive/ApplUI/Pages/CreativePages/CustomReportCreativeDetail.aspx?App=23&amp;ReportView=4&amp;Qid=1711279&amp;Row=15992&amp;Col=1","No Title Assigned - #15276312183")</f>
        <v/>
      </c>
      <c r="B16000" s="0" t="s">
        <v>21254</v>
      </c>
      <c r="C16000" s="0" t="s">
        <v>21255</v>
      </c>
      <c r="D16000" s="0" t="s">
        <v>21255</v>
      </c>
      <c r="E16000" s="0" t="inlineStr">
        <is>
          <t xml:space="preserve">Mazda</t>
        </is>
      </c>
      <c r="F16000" s="0" t="s">
        <v>13</v>
      </c>
      <c r="G16000" s="0" t="s">
        <v>49</v>
      </c>
      <c r="H16000" s="5">
        <v>113.393400</v>
      </c>
    </row>
    <row r="16001" spans="1:9">
      <c r="A16001" s="22" t="str">
        <f>HYPERLINK("https://app.vivvix.com/360/KMI/IntelliDrive/ApplUI/Pages/CreativePages/CustomReportCreativeDetail.aspx?App=23&amp;ReportView=4&amp;Qid=1711279&amp;Row=15993&amp;Col=1","No Title Assigned - #15276317964")</f>
        <v/>
      </c>
      <c r="B16001" s="0" t="s">
        <v>21256</v>
      </c>
      <c r="C16001" s="0" t="s">
        <v>21257</v>
      </c>
      <c r="D16001" s="0" t="s">
        <v>8453</v>
      </c>
      <c r="E16001" s="0" t="inlineStr">
        <is>
          <t xml:space="preserve">Mazda</t>
        </is>
      </c>
      <c r="F16001" s="0" t="s">
        <v>13</v>
      </c>
      <c r="G16001" s="0" t="s">
        <v>49</v>
      </c>
      <c r="H16001" s="5">
        <v>157.004000</v>
      </c>
    </row>
    <row r="16002" spans="1:9">
      <c r="A16002" s="22" t="str">
        <f>HYPERLINK("https://app.vivvix.com/360/KMI/IntelliDrive/ApplUI/Pages/CreativePages/CustomReportCreativeDetail.aspx?App=23&amp;ReportView=4&amp;Qid=1711279&amp;Row=15994&amp;Col=1","No Title Assigned - #15276318025")</f>
        <v/>
      </c>
      <c r="B16002" s="0" t="s">
        <v>21258</v>
      </c>
      <c r="C16002" s="0" t="s">
        <v>21259</v>
      </c>
      <c r="D16002" s="0" t="s">
        <v>4335</v>
      </c>
      <c r="E16002" s="0" t="inlineStr">
        <is>
          <t xml:space="preserve">Mazda</t>
        </is>
      </c>
      <c r="F16002" s="0" t="s">
        <v>13</v>
      </c>
      <c r="G16002" s="0" t="s">
        <v>49</v>
      </c>
      <c r="H16002" s="5">
        <v>1337.950800</v>
      </c>
    </row>
    <row r="16003" spans="1:9">
      <c r="A16003" s="22" t="str">
        <f>HYPERLINK("https://app.vivvix.com/360/KMI/IntelliDrive/ApplUI/Pages/CreativePages/CustomReportCreativeDetail.aspx?App=23&amp;ReportView=4&amp;Qid=1711279&amp;Row=15995&amp;Col=1","No Title Assigned - #15276320449")</f>
        <v/>
      </c>
      <c r="B16003" s="0" t="s">
        <v>21260</v>
      </c>
      <c r="C16003" s="0" t="s">
        <v>21261</v>
      </c>
      <c r="D16003" s="0" t="s">
        <v>21261</v>
      </c>
      <c r="E16003" s="0" t="inlineStr">
        <is>
          <t xml:space="preserve">Mazda</t>
        </is>
      </c>
      <c r="F16003" s="0" t="s">
        <v>13</v>
      </c>
      <c r="G16003" s="0" t="s">
        <v>49</v>
      </c>
      <c r="H16003" s="5">
        <v>346.227200</v>
      </c>
    </row>
    <row r="16004" spans="1:9">
      <c r="A16004" s="22" t="str">
        <f>HYPERLINK("https://app.vivvix.com/360/KMI/IntelliDrive/ApplUI/Pages/CreativePages/CustomReportCreativeDetail.aspx?App=23&amp;ReportView=4&amp;Qid=1711279&amp;Row=15996&amp;Col=1","No Title Assigned - #15276320889")</f>
        <v/>
      </c>
      <c r="B16004" s="0" t="s">
        <v>21262</v>
      </c>
      <c r="C16004" s="0" t="s">
        <v>21263</v>
      </c>
      <c r="D16004" s="0" t="s">
        <v>4335</v>
      </c>
      <c r="E16004" s="0" t="inlineStr">
        <is>
          <t xml:space="preserve">Mazda</t>
        </is>
      </c>
      <c r="F16004" s="0" t="s">
        <v>13</v>
      </c>
      <c r="G16004" s="0" t="s">
        <v>49</v>
      </c>
      <c r="H16004" s="5">
        <v>4145.087900</v>
      </c>
    </row>
    <row r="16005" spans="1:9">
      <c r="A16005" s="22" t="str">
        <f>HYPERLINK("https://app.vivvix.com/360/KMI/IntelliDrive/ApplUI/Pages/CreativePages/CustomReportCreativeDetail.aspx?App=23&amp;ReportView=4&amp;Qid=1711279&amp;Row=15997&amp;Col=1","No Title Assigned - #15276321337")</f>
        <v/>
      </c>
      <c r="B16005" s="0" t="s">
        <v>21264</v>
      </c>
      <c r="C16005" s="0" t="s">
        <v>21265</v>
      </c>
      <c r="D16005" s="0" t="s">
        <v>21265</v>
      </c>
      <c r="E16005" s="0" t="inlineStr">
        <is>
          <t xml:space="preserve">Mazda</t>
        </is>
      </c>
      <c r="F16005" s="0" t="s">
        <v>13</v>
      </c>
      <c r="G16005" s="0" t="s">
        <v>49</v>
      </c>
      <c r="H16005" s="5">
        <v>200.535400</v>
      </c>
    </row>
    <row r="16006" spans="1:9">
      <c r="A16006" s="22" t="str">
        <f>HYPERLINK("https://app.vivvix.com/360/KMI/IntelliDrive/ApplUI/Pages/CreativePages/CustomReportCreativeDetail.aspx?App=23&amp;ReportView=4&amp;Qid=1711279&amp;Row=15998&amp;Col=1","No Title Assigned - #15276322079")</f>
        <v/>
      </c>
      <c r="B16006" s="0" t="s">
        <v>21266</v>
      </c>
      <c r="C16006" s="0" t="s">
        <v>21267</v>
      </c>
      <c r="D16006" s="0" t="s">
        <v>6183</v>
      </c>
      <c r="E16006" s="0" t="inlineStr">
        <is>
          <t xml:space="preserve">Mazda</t>
        </is>
      </c>
      <c r="F16006" s="0" t="s">
        <v>13</v>
      </c>
      <c r="G16006" s="0" t="s">
        <v>49</v>
      </c>
      <c r="H16006" s="5">
        <v>31.475200</v>
      </c>
    </row>
    <row r="16007" spans="1:9">
      <c r="A16007" s="22" t="str">
        <f>HYPERLINK("https://app.vivvix.com/360/KMI/IntelliDrive/ApplUI/Pages/CreativePages/CustomReportCreativeDetail.aspx?App=23&amp;ReportView=4&amp;Qid=1711279&amp;Row=15999&amp;Col=1","No Title Assigned - #15276322358")</f>
        <v/>
      </c>
      <c r="B16007" s="0" t="s">
        <v>21268</v>
      </c>
      <c r="C16007" s="0" t="s">
        <v>21269</v>
      </c>
      <c r="D16007" s="0" t="s">
        <v>6044</v>
      </c>
      <c r="E16007" s="0" t="inlineStr">
        <is>
          <t xml:space="preserve">Mazda</t>
        </is>
      </c>
      <c r="F16007" s="0" t="s">
        <v>13</v>
      </c>
      <c r="G16007" s="0" t="s">
        <v>49</v>
      </c>
      <c r="H16007" s="5">
        <v>178.806700</v>
      </c>
    </row>
    <row r="16008" spans="1:9">
      <c r="A16008" s="22" t="str">
        <f>HYPERLINK("https://app.vivvix.com/360/KMI/IntelliDrive/ApplUI/Pages/CreativePages/CustomReportCreativeDetail.aspx?App=23&amp;ReportView=4&amp;Qid=1711279&amp;Row=16000&amp;Col=1","No Title Assigned - #15276322806")</f>
        <v/>
      </c>
      <c r="B16008" s="0" t="s">
        <v>21270</v>
      </c>
      <c r="C16008" s="0" t="s">
        <v>21271</v>
      </c>
      <c r="D16008" s="0" t="s">
        <v>4335</v>
      </c>
      <c r="E16008" s="0" t="inlineStr">
        <is>
          <t xml:space="preserve">Mazda</t>
        </is>
      </c>
      <c r="F16008" s="0" t="s">
        <v>13</v>
      </c>
      <c r="G16008" s="0" t="s">
        <v>49</v>
      </c>
      <c r="H16008" s="5">
        <v>280.803800</v>
      </c>
    </row>
    <row r="16009" spans="1:9">
      <c r="A16009" s="22" t="str">
        <f>HYPERLINK("https://app.vivvix.com/360/KMI/IntelliDrive/ApplUI/Pages/CreativePages/CustomReportCreativeDetail.aspx?App=23&amp;ReportView=4&amp;Qid=1711279&amp;Row=16001&amp;Col=1","No Title Assigned - #15276322823")</f>
        <v/>
      </c>
      <c r="B16009" s="0" t="s">
        <v>21272</v>
      </c>
      <c r="C16009" s="0" t="s">
        <v>21273</v>
      </c>
      <c r="D16009" s="0" t="s">
        <v>8439</v>
      </c>
      <c r="E16009" s="0" t="inlineStr">
        <is>
          <t xml:space="preserve">Mazda</t>
        </is>
      </c>
      <c r="F16009" s="0" t="s">
        <v>13</v>
      </c>
      <c r="G16009" s="0" t="s">
        <v>49</v>
      </c>
      <c r="H16009" s="5">
        <v>1090.247000</v>
      </c>
    </row>
    <row r="16010" spans="1:9">
      <c r="A16010" s="22" t="str">
        <f>HYPERLINK("https://app.vivvix.com/360/KMI/IntelliDrive/ApplUI/Pages/CreativePages/CustomReportCreativeDetail.aspx?App=23&amp;ReportView=4&amp;Qid=1711279&amp;Row=16002&amp;Col=1","No Title Assigned - #15276323284")</f>
        <v/>
      </c>
      <c r="B16010" s="0" t="s">
        <v>21274</v>
      </c>
      <c r="C16010" s="0" t="s">
        <v>21275</v>
      </c>
      <c r="D16010" s="0" t="s">
        <v>21275</v>
      </c>
      <c r="E16010" s="0" t="inlineStr">
        <is>
          <t xml:space="preserve">Mazda</t>
        </is>
      </c>
      <c r="F16010" s="0" t="s">
        <v>13</v>
      </c>
      <c r="G16010" s="0" t="s">
        <v>49</v>
      </c>
      <c r="H16010" s="5">
        <v>995.217300</v>
      </c>
    </row>
    <row r="16011" spans="1:9">
      <c r="A16011" s="22" t="str">
        <f>HYPERLINK("https://app.vivvix.com/360/KMI/IntelliDrive/ApplUI/Pages/CreativePages/CustomReportCreativeDetail.aspx?App=23&amp;ReportView=4&amp;Qid=1711279&amp;Row=16003&amp;Col=1","No Title Assigned - #15276323515")</f>
        <v/>
      </c>
      <c r="B16011" s="0" t="s">
        <v>21276</v>
      </c>
      <c r="C16011" s="0" t="s">
        <v>21277</v>
      </c>
      <c r="D16011" s="0" t="s">
        <v>10101</v>
      </c>
      <c r="E16011" s="0" t="inlineStr">
        <is>
          <t xml:space="preserve">Mazda</t>
        </is>
      </c>
      <c r="F16011" s="0" t="s">
        <v>13</v>
      </c>
      <c r="G16011" s="0" t="s">
        <v>49</v>
      </c>
      <c r="H16011" s="5">
        <v>331.637100</v>
      </c>
    </row>
    <row r="16012" spans="1:9">
      <c r="A16012" s="22" t="str">
        <f>HYPERLINK("https://app.vivvix.com/360/KMI/IntelliDrive/ApplUI/Pages/CreativePages/CustomReportCreativeDetail.aspx?App=23&amp;ReportView=4&amp;Qid=1711279&amp;Row=16004&amp;Col=1","No Title Assigned - #15276324233")</f>
        <v/>
      </c>
      <c r="B16012" s="0" t="s">
        <v>21278</v>
      </c>
      <c r="E16012" s="0" t="inlineStr">
        <is>
          <t xml:space="preserve">Mazda</t>
        </is>
      </c>
      <c r="F16012" s="0" t="inlineStr">
        <is>
          <t xml:space="preserve">Mazda</t>
        </is>
      </c>
      <c r="G16012" s="0" t="s">
        <v>171</v>
      </c>
      <c r="H16012" s="5">
        <v>5931.770100</v>
      </c>
    </row>
    <row r="16013" spans="1:9">
      <c r="A16013" s="22" t="str">
        <f>HYPERLINK("https://app.vivvix.com/360/KMI/IntelliDrive/ApplUI/Pages/CreativePages/CustomReportCreativeDetail.aspx?App=23&amp;ReportView=4&amp;Qid=1711279&amp;Row=16005&amp;Col=1","No Title Assigned - #15276324233")</f>
        <v/>
      </c>
      <c r="B16013" s="0" t="s">
        <v>21278</v>
      </c>
      <c r="E16013" s="0" t="inlineStr">
        <is>
          <t xml:space="preserve">Mazda</t>
        </is>
      </c>
      <c r="F16013" s="0" t="inlineStr">
        <is>
          <t xml:space="preserve">Mazda</t>
        </is>
      </c>
      <c r="G16013" s="0" t="s">
        <v>171</v>
      </c>
      <c r="H16013" s="5">
        <v>502.028000</v>
      </c>
    </row>
    <row r="16014" spans="1:9">
      <c r="A16014" s="22" t="str">
        <f>HYPERLINK("https://app.vivvix.com/360/KMI/IntelliDrive/ApplUI/Pages/CreativePages/CustomReportCreativeDetail.aspx?App=23&amp;ReportView=4&amp;Qid=1711279&amp;Row=16006&amp;Col=1","No Title Assigned - #15276324420")</f>
        <v/>
      </c>
      <c r="B16014" s="0" t="s">
        <v>21279</v>
      </c>
      <c r="E16014" s="0" t="inlineStr">
        <is>
          <t xml:space="preserve">Mazda</t>
        </is>
      </c>
      <c r="F16014" s="0" t="inlineStr">
        <is>
          <t xml:space="preserve">Mazda</t>
        </is>
      </c>
      <c r="G16014" s="0" t="s">
        <v>171</v>
      </c>
      <c r="H16014" s="5">
        <v>4532.911200</v>
      </c>
    </row>
    <row r="16015" spans="1:9">
      <c r="A16015" s="22" t="str">
        <f>HYPERLINK("https://app.vivvix.com/360/KMI/IntelliDrive/ApplUI/Pages/CreativePages/CustomReportCreativeDetail.aspx?App=23&amp;ReportView=4&amp;Qid=1711279&amp;Row=16007&amp;Col=1","No Title Assigned - #15276325404")</f>
        <v/>
      </c>
      <c r="B16015" s="0" t="s">
        <v>21280</v>
      </c>
      <c r="C16015" s="0" t="s">
        <v>21281</v>
      </c>
      <c r="D16015" s="0" t="s">
        <v>4774</v>
      </c>
      <c r="E16015" s="0" t="inlineStr">
        <is>
          <t xml:space="preserve">Mazda</t>
        </is>
      </c>
      <c r="F16015" s="0" t="s">
        <v>13</v>
      </c>
      <c r="G16015" s="0" t="s">
        <v>49</v>
      </c>
      <c r="H16015" s="5">
        <v>49.414500</v>
      </c>
    </row>
    <row r="16016" spans="1:9">
      <c r="A16016" s="22" t="str">
        <f>HYPERLINK("https://app.vivvix.com/360/KMI/IntelliDrive/ApplUI/Pages/CreativePages/CustomReportCreativeDetail.aspx?App=23&amp;ReportView=4&amp;Qid=1711279&amp;Row=16008&amp;Col=1","No Title Assigned - #15276325855")</f>
        <v/>
      </c>
      <c r="B16016" s="0" t="s">
        <v>21282</v>
      </c>
      <c r="C16016" s="0" t="s">
        <v>21283</v>
      </c>
      <c r="D16016" s="0" t="s">
        <v>21283</v>
      </c>
      <c r="E16016" s="0" t="inlineStr">
        <is>
          <t xml:space="preserve">Mazda</t>
        </is>
      </c>
      <c r="F16016" s="0" t="s">
        <v>13</v>
      </c>
      <c r="G16016" s="0" t="s">
        <v>49</v>
      </c>
      <c r="H16016" s="5">
        <v>149.283100</v>
      </c>
    </row>
    <row r="16017" spans="1:9">
      <c r="A16017" s="22" t="str">
        <f>HYPERLINK("https://app.vivvix.com/360/KMI/IntelliDrive/ApplUI/Pages/CreativePages/CustomReportCreativeDetail.aspx?App=23&amp;ReportView=4&amp;Qid=1711279&amp;Row=16009&amp;Col=1","No Title Assigned - #15276325870")</f>
        <v/>
      </c>
      <c r="B16017" s="0" t="s">
        <v>21284</v>
      </c>
      <c r="C16017" s="0" t="s">
        <v>21285</v>
      </c>
      <c r="D16017" s="0" t="s">
        <v>21285</v>
      </c>
      <c r="E16017" s="0" t="inlineStr">
        <is>
          <t xml:space="preserve">Mazda</t>
        </is>
      </c>
      <c r="F16017" s="0" t="s">
        <v>13</v>
      </c>
      <c r="G16017" s="0" t="s">
        <v>49</v>
      </c>
      <c r="H16017" s="5">
        <v>48.273100</v>
      </c>
    </row>
    <row r="16018" spans="1:9">
      <c r="A16018" s="22" t="str">
        <f>HYPERLINK("https://app.vivvix.com/360/KMI/IntelliDrive/ApplUI/Pages/CreativePages/CustomReportCreativeDetail.aspx?App=23&amp;ReportView=4&amp;Qid=1711279&amp;Row=16010&amp;Col=1","No Title Assigned - #15276325870")</f>
        <v/>
      </c>
      <c r="B16018" s="0" t="s">
        <v>21284</v>
      </c>
      <c r="E16018" s="0" t="inlineStr">
        <is>
          <t xml:space="preserve">Mazda</t>
        </is>
      </c>
      <c r="F16018" s="0" t="s">
        <v>13</v>
      </c>
      <c r="G16018" s="0" t="s">
        <v>49</v>
      </c>
      <c r="H16018" s="5">
        <v>25.638900</v>
      </c>
    </row>
    <row r="16019" spans="1:9">
      <c r="A16019" s="22" t="str">
        <f>HYPERLINK("https://app.vivvix.com/360/KMI/IntelliDrive/ApplUI/Pages/CreativePages/CustomReportCreativeDetail.aspx?App=23&amp;ReportView=4&amp;Qid=1711279&amp;Row=16011&amp;Col=1","No Title Assigned - #15276326889")</f>
        <v/>
      </c>
      <c r="B16019" s="0" t="s">
        <v>21286</v>
      </c>
      <c r="C16019" s="0" t="s">
        <v>21287</v>
      </c>
      <c r="D16019" s="0" t="s">
        <v>21287</v>
      </c>
      <c r="E16019" s="0" t="inlineStr">
        <is>
          <t xml:space="preserve">Mazda</t>
        </is>
      </c>
      <c r="F16019" s="0" t="inlineStr">
        <is>
          <t xml:space="preserve">Mazda</t>
        </is>
      </c>
      <c r="G16019" s="0" t="s">
        <v>210</v>
      </c>
      <c r="H16019" s="5">
        <v>73.410600</v>
      </c>
    </row>
    <row r="16020" spans="1:9">
      <c r="A16020" s="22" t="str">
        <f>HYPERLINK("https://app.vivvix.com/360/KMI/IntelliDrive/ApplUI/Pages/CreativePages/CustomReportCreativeDetail.aspx?App=23&amp;ReportView=4&amp;Qid=1711279&amp;Row=16012&amp;Col=1","No Title Assigned - #15276327253")</f>
        <v/>
      </c>
      <c r="B16020" s="0" t="s">
        <v>21288</v>
      </c>
      <c r="C16020" s="0" t="s">
        <v>21289</v>
      </c>
      <c r="D16020" s="0" t="s">
        <v>5013</v>
      </c>
      <c r="E16020" s="0" t="inlineStr">
        <is>
          <t xml:space="preserve">Mazda</t>
        </is>
      </c>
      <c r="F16020" s="0" t="s">
        <v>13</v>
      </c>
      <c r="G16020" s="0" t="s">
        <v>49</v>
      </c>
      <c r="H16020" s="5">
        <v>4077.401300</v>
      </c>
    </row>
    <row r="16021" spans="1:9">
      <c r="A16021" s="22" t="str">
        <f>HYPERLINK("https://app.vivvix.com/360/KMI/IntelliDrive/ApplUI/Pages/CreativePages/CustomReportCreativeDetail.aspx?App=23&amp;ReportView=4&amp;Qid=1711279&amp;Row=16013&amp;Col=1","No Title Assigned - #15276327299")</f>
        <v/>
      </c>
      <c r="B16021" s="0" t="s">
        <v>21290</v>
      </c>
      <c r="C16021" s="0" t="s">
        <v>21291</v>
      </c>
      <c r="D16021" s="0" t="s">
        <v>21291</v>
      </c>
      <c r="E16021" s="0" t="inlineStr">
        <is>
          <t xml:space="preserve">Mazda</t>
        </is>
      </c>
      <c r="F16021" s="0" t="s">
        <v>13</v>
      </c>
      <c r="G16021" s="0" t="s">
        <v>49</v>
      </c>
      <c r="H16021" s="5">
        <v>472.128000</v>
      </c>
    </row>
    <row r="16022" spans="1:9">
      <c r="A16022" s="22" t="str">
        <f>HYPERLINK("https://app.vivvix.com/360/KMI/IntelliDrive/ApplUI/Pages/CreativePages/CustomReportCreativeDetail.aspx?App=23&amp;ReportView=4&amp;Qid=1711279&amp;Row=16014&amp;Col=1","No Title Assigned - #15276327331")</f>
        <v/>
      </c>
      <c r="B16022" s="0" t="s">
        <v>21292</v>
      </c>
      <c r="C16022" s="0" t="s">
        <v>21293</v>
      </c>
      <c r="D16022" s="0" t="s">
        <v>21293</v>
      </c>
      <c r="E16022" s="0" t="inlineStr">
        <is>
          <t xml:space="preserve">Mazda</t>
        </is>
      </c>
      <c r="F16022" s="0" t="s">
        <v>13</v>
      </c>
      <c r="G16022" s="0" t="s">
        <v>49</v>
      </c>
      <c r="H16022" s="5">
        <v>763.626600</v>
      </c>
    </row>
    <row r="16023" spans="1:9">
      <c r="A16023" s="22" t="str">
        <f>HYPERLINK("https://app.vivvix.com/360/KMI/IntelliDrive/ApplUI/Pages/CreativePages/CustomReportCreativeDetail.aspx?App=23&amp;ReportView=4&amp;Qid=1711279&amp;Row=16015&amp;Col=1","No Title Assigned - #15276327363")</f>
        <v/>
      </c>
      <c r="B16023" s="0" t="s">
        <v>21294</v>
      </c>
      <c r="C16023" s="0" t="s">
        <v>21295</v>
      </c>
      <c r="D16023" s="0" t="s">
        <v>21295</v>
      </c>
      <c r="E16023" s="0" t="inlineStr">
        <is>
          <t xml:space="preserve">Mazda</t>
        </is>
      </c>
      <c r="F16023" s="0" t="s">
        <v>13</v>
      </c>
      <c r="G16023" s="0" t="s">
        <v>49</v>
      </c>
      <c r="H16023" s="5">
        <v>804.897000</v>
      </c>
    </row>
    <row r="16024" spans="1:9">
      <c r="A16024" s="22" t="str">
        <f>HYPERLINK("https://app.vivvix.com/360/KMI/IntelliDrive/ApplUI/Pages/CreativePages/CustomReportCreativeDetail.aspx?App=23&amp;ReportView=4&amp;Qid=1711279&amp;Row=16016&amp;Col=1","No Title Assigned - #15276327543")</f>
        <v/>
      </c>
      <c r="B16024" s="0" t="s">
        <v>21296</v>
      </c>
      <c r="C16024" s="0" t="s">
        <v>21297</v>
      </c>
      <c r="D16024" s="0" t="s">
        <v>21297</v>
      </c>
      <c r="E16024" s="0" t="inlineStr">
        <is>
          <t xml:space="preserve">Mazda</t>
        </is>
      </c>
      <c r="F16024" s="0" t="s">
        <v>13</v>
      </c>
      <c r="G16024" s="0" t="s">
        <v>49</v>
      </c>
      <c r="H16024" s="5">
        <v>170.907000</v>
      </c>
    </row>
    <row r="16025" spans="1:9">
      <c r="A16025" s="22" t="str">
        <f>HYPERLINK("https://app.vivvix.com/360/KMI/IntelliDrive/ApplUI/Pages/CreativePages/CustomReportCreativeDetail.aspx?App=23&amp;ReportView=4&amp;Qid=1711279&amp;Row=16017&amp;Col=1","No Title Assigned - #15276327612")</f>
        <v/>
      </c>
      <c r="B16025" s="0" t="s">
        <v>21298</v>
      </c>
      <c r="C16025" s="0" t="s">
        <v>21299</v>
      </c>
      <c r="D16025" s="0" t="s">
        <v>21299</v>
      </c>
      <c r="E16025" s="0" t="inlineStr">
        <is>
          <t xml:space="preserve">Mazda</t>
        </is>
      </c>
      <c r="F16025" s="0" t="s">
        <v>13</v>
      </c>
      <c r="G16025" s="0" t="s">
        <v>49</v>
      </c>
      <c r="H16025" s="5">
        <v>607.200600</v>
      </c>
    </row>
    <row r="16026" spans="1:9">
      <c r="A16026" s="22" t="str">
        <f>HYPERLINK("https://app.vivvix.com/360/KMI/IntelliDrive/ApplUI/Pages/CreativePages/CustomReportCreativeDetail.aspx?App=23&amp;ReportView=4&amp;Qid=1711279&amp;Row=16018&amp;Col=1","No Title Assigned - #15276327779")</f>
        <v/>
      </c>
      <c r="B16026" s="0" t="s">
        <v>21300</v>
      </c>
      <c r="C16026" s="0" t="s">
        <v>21301</v>
      </c>
      <c r="D16026" s="0" t="s">
        <v>21301</v>
      </c>
      <c r="E16026" s="0" t="inlineStr">
        <is>
          <t xml:space="preserve">Mazda</t>
        </is>
      </c>
      <c r="F16026" s="0" t="s">
        <v>13</v>
      </c>
      <c r="G16026" s="0" t="s">
        <v>49</v>
      </c>
      <c r="H16026" s="5">
        <v>1156.796100</v>
      </c>
    </row>
    <row r="16027" spans="1:9">
      <c r="A16027" s="22" t="str">
        <f>HYPERLINK("https://app.vivvix.com/360/KMI/IntelliDrive/ApplUI/Pages/CreativePages/CustomReportCreativeDetail.aspx?App=23&amp;ReportView=4&amp;Qid=1711279&amp;Row=16019&amp;Col=1","No Title Assigned - #15276328178")</f>
        <v/>
      </c>
      <c r="B16027" s="0" t="s">
        <v>21302</v>
      </c>
      <c r="C16027" s="0" t="s">
        <v>21303</v>
      </c>
      <c r="D16027" s="0" t="s">
        <v>21303</v>
      </c>
      <c r="E16027" s="0" t="inlineStr">
        <is>
          <t xml:space="preserve">Mazda</t>
        </is>
      </c>
      <c r="F16027" s="0" t="s">
        <v>13</v>
      </c>
      <c r="G16027" s="0" t="s">
        <v>49</v>
      </c>
      <c r="H16027" s="5">
        <v>68.362800</v>
      </c>
    </row>
    <row r="16028" spans="1:9">
      <c r="A16028" s="22" t="str">
        <f>HYPERLINK("https://app.vivvix.com/360/KMI/IntelliDrive/ApplUI/Pages/CreativePages/CustomReportCreativeDetail.aspx?App=23&amp;ReportView=4&amp;Qid=1711279&amp;Row=16020&amp;Col=1","No Title Assigned - #15276329469")</f>
        <v/>
      </c>
      <c r="B16028" s="0" t="s">
        <v>21304</v>
      </c>
      <c r="C16028" s="0" t="s">
        <v>21305</v>
      </c>
      <c r="D16028" s="0" t="s">
        <v>21305</v>
      </c>
      <c r="E16028" s="0" t="inlineStr">
        <is>
          <t xml:space="preserve">Mazda</t>
        </is>
      </c>
      <c r="F16028" s="0" t="s">
        <v>13</v>
      </c>
      <c r="G16028" s="0" t="s">
        <v>49</v>
      </c>
      <c r="H16028" s="5">
        <v>34.939400</v>
      </c>
    </row>
    <row r="16029" spans="1:9">
      <c r="A16029" s="22" t="str">
        <f>HYPERLINK("https://app.vivvix.com/360/KMI/IntelliDrive/ApplUI/Pages/CreativePages/CustomReportCreativeDetail.aspx?App=23&amp;ReportView=4&amp;Qid=1711279&amp;Row=16021&amp;Col=1","No Title Assigned - #15276329493")</f>
        <v/>
      </c>
      <c r="B16029" s="0" t="s">
        <v>21306</v>
      </c>
      <c r="C16029" s="0" t="s">
        <v>21307</v>
      </c>
      <c r="D16029" s="0" t="s">
        <v>9825</v>
      </c>
      <c r="E16029" s="0" t="inlineStr">
        <is>
          <t xml:space="preserve">Mazda</t>
        </is>
      </c>
      <c r="F16029" s="0" t="s">
        <v>13</v>
      </c>
      <c r="G16029" s="0" t="s">
        <v>49</v>
      </c>
      <c r="H16029" s="5">
        <v>176.700300</v>
      </c>
    </row>
    <row r="16030" spans="1:9">
      <c r="A16030" s="22" t="str">
        <f>HYPERLINK("https://app.vivvix.com/360/KMI/IntelliDrive/ApplUI/Pages/CreativePages/CustomReportCreativeDetail.aspx?App=23&amp;ReportView=4&amp;Qid=1711279&amp;Row=16022&amp;Col=1","No Title Assigned - #15276329539")</f>
        <v/>
      </c>
      <c r="B16030" s="0" t="s">
        <v>21308</v>
      </c>
      <c r="C16030" s="0" t="s">
        <v>21309</v>
      </c>
      <c r="D16030" s="0" t="s">
        <v>21309</v>
      </c>
      <c r="E16030" s="0" t="inlineStr">
        <is>
          <t xml:space="preserve">Mazda</t>
        </is>
      </c>
      <c r="F16030" s="0" t="s">
        <v>13</v>
      </c>
      <c r="G16030" s="0" t="s">
        <v>49</v>
      </c>
      <c r="H16030" s="5">
        <v>2707.736400</v>
      </c>
    </row>
    <row r="16031" spans="1:9">
      <c r="A16031" s="22" t="str">
        <f>HYPERLINK("https://app.vivvix.com/360/KMI/IntelliDrive/ApplUI/Pages/CreativePages/CustomReportCreativeDetail.aspx?App=23&amp;ReportView=4&amp;Qid=1711279&amp;Row=16023&amp;Col=1","No Title Assigned - #15276330049")</f>
        <v/>
      </c>
      <c r="B16031" s="0" t="s">
        <v>21310</v>
      </c>
      <c r="C16031" s="0" t="s">
        <v>21311</v>
      </c>
      <c r="D16031" s="0" t="s">
        <v>21311</v>
      </c>
      <c r="E16031" s="0" t="inlineStr">
        <is>
          <t xml:space="preserve">Mazda</t>
        </is>
      </c>
      <c r="F16031" s="0" t="s">
        <v>13</v>
      </c>
      <c r="G16031" s="0" t="s">
        <v>49</v>
      </c>
      <c r="H16031" s="5">
        <v>6.485900</v>
      </c>
    </row>
    <row r="16032" spans="1:9">
      <c r="A16032" s="22" t="str">
        <f>HYPERLINK("https://app.vivvix.com/360/KMI/IntelliDrive/ApplUI/Pages/CreativePages/CustomReportCreativeDetail.aspx?App=23&amp;ReportView=4&amp;Qid=1711279&amp;Row=16024&amp;Col=1","No Title Assigned - #15276330386")</f>
        <v/>
      </c>
      <c r="B16032" s="0" t="s">
        <v>21312</v>
      </c>
      <c r="C16032" s="0" t="s">
        <v>21313</v>
      </c>
      <c r="D16032" s="0" t="s">
        <v>10311</v>
      </c>
      <c r="E16032" s="0" t="inlineStr">
        <is>
          <t xml:space="preserve">Mazda</t>
        </is>
      </c>
      <c r="F16032" s="0" t="s">
        <v>13</v>
      </c>
      <c r="G16032" s="0" t="s">
        <v>49</v>
      </c>
      <c r="H16032" s="5">
        <v>2725.496600</v>
      </c>
    </row>
    <row r="16033" spans="1:9">
      <c r="A16033" s="22" t="str">
        <f>HYPERLINK("https://app.vivvix.com/360/KMI/IntelliDrive/ApplUI/Pages/CreativePages/CustomReportCreativeDetail.aspx?App=23&amp;ReportView=4&amp;Qid=1711279&amp;Row=16025&amp;Col=1","No Title Assigned - #15276330386")</f>
        <v/>
      </c>
      <c r="B16033" s="0" t="s">
        <v>21312</v>
      </c>
      <c r="E16033" s="0" t="inlineStr">
        <is>
          <t xml:space="preserve">Mazda</t>
        </is>
      </c>
      <c r="F16033" s="0" t="s">
        <v>13</v>
      </c>
      <c r="G16033" s="0" t="s">
        <v>49</v>
      </c>
      <c r="H16033" s="5">
        <v>14451.519500</v>
      </c>
    </row>
    <row r="16034" spans="1:9">
      <c r="A16034" s="22" t="str">
        <f>HYPERLINK("https://app.vivvix.com/360/KMI/IntelliDrive/ApplUI/Pages/CreativePages/CustomReportCreativeDetail.aspx?App=23&amp;ReportView=4&amp;Qid=1711279&amp;Row=16026&amp;Col=1","No Title Assigned - #15276331501")</f>
        <v/>
      </c>
      <c r="B16034" s="0" t="s">
        <v>21314</v>
      </c>
      <c r="C16034" s="0" t="s">
        <v>21315</v>
      </c>
      <c r="D16034" s="0" t="s">
        <v>21315</v>
      </c>
      <c r="E16034" s="0" t="inlineStr">
        <is>
          <t xml:space="preserve">Mazda</t>
        </is>
      </c>
      <c r="F16034" s="0" t="s">
        <v>13</v>
      </c>
      <c r="G16034" s="0" t="s">
        <v>49</v>
      </c>
      <c r="H16034" s="5">
        <v>104.849600</v>
      </c>
    </row>
    <row r="16035" spans="1:9">
      <c r="A16035" s="22" t="str">
        <f>HYPERLINK("https://app.vivvix.com/360/KMI/IntelliDrive/ApplUI/Pages/CreativePages/CustomReportCreativeDetail.aspx?App=23&amp;ReportView=4&amp;Qid=1711279&amp;Row=16027&amp;Col=1","No Title Assigned - #15276331791")</f>
        <v/>
      </c>
      <c r="B16035" s="0" t="s">
        <v>21316</v>
      </c>
      <c r="C16035" s="0" t="s">
        <v>21317</v>
      </c>
      <c r="D16035" s="0" t="s">
        <v>9699</v>
      </c>
      <c r="E16035" s="0" t="inlineStr">
        <is>
          <t xml:space="preserve">Mazda</t>
        </is>
      </c>
      <c r="F16035" s="0" t="s">
        <v>13</v>
      </c>
      <c r="G16035" s="0" t="s">
        <v>49</v>
      </c>
      <c r="H16035" s="5">
        <v>6.609600</v>
      </c>
    </row>
    <row r="16036" spans="1:9">
      <c r="A16036" s="22" t="str">
        <f>HYPERLINK("https://app.vivvix.com/360/KMI/IntelliDrive/ApplUI/Pages/CreativePages/CustomReportCreativeDetail.aspx?App=23&amp;ReportView=4&amp;Qid=1711279&amp;Row=16028&amp;Col=1","No Title Assigned - #15276332095")</f>
        <v/>
      </c>
      <c r="B16036" s="0" t="s">
        <v>21318</v>
      </c>
      <c r="C16036" s="0" t="s">
        <v>21319</v>
      </c>
      <c r="D16036" s="0" t="s">
        <v>20089</v>
      </c>
      <c r="E16036" s="0" t="inlineStr">
        <is>
          <t xml:space="preserve">Mazda</t>
        </is>
      </c>
      <c r="F16036" s="0" t="s">
        <v>13</v>
      </c>
      <c r="G16036" s="0" t="s">
        <v>49</v>
      </c>
      <c r="H16036" s="5">
        <v>29.079900</v>
      </c>
    </row>
    <row r="16037" spans="1:9">
      <c r="A16037" s="22" t="str">
        <f>HYPERLINK("https://app.vivvix.com/360/KMI/IntelliDrive/ApplUI/Pages/CreativePages/CustomReportCreativeDetail.aspx?App=23&amp;ReportView=4&amp;Qid=1711279&amp;Row=16029&amp;Col=1","No Title Assigned - #15276332285")</f>
        <v/>
      </c>
      <c r="B16037" s="0" t="s">
        <v>21320</v>
      </c>
      <c r="C16037" s="0" t="s">
        <v>21321</v>
      </c>
      <c r="D16037" s="0" t="s">
        <v>6183</v>
      </c>
      <c r="E16037" s="0" t="inlineStr">
        <is>
          <t xml:space="preserve">Mazda</t>
        </is>
      </c>
      <c r="F16037" s="0" t="s">
        <v>13</v>
      </c>
      <c r="G16037" s="0" t="s">
        <v>49</v>
      </c>
      <c r="H16037" s="5">
        <v>1160.026200</v>
      </c>
    </row>
    <row r="16038" spans="1:9">
      <c r="A16038" s="22" t="str">
        <f>HYPERLINK("https://app.vivvix.com/360/KMI/IntelliDrive/ApplUI/Pages/CreativePages/CustomReportCreativeDetail.aspx?App=23&amp;ReportView=4&amp;Qid=1711279&amp;Row=16030&amp;Col=1","No Title Assigned - #15276332687")</f>
        <v/>
      </c>
      <c r="B16038" s="0" t="s">
        <v>21322</v>
      </c>
      <c r="C16038" s="0" t="s">
        <v>21323</v>
      </c>
      <c r="D16038" s="0" t="s">
        <v>21323</v>
      </c>
      <c r="E16038" s="0" t="inlineStr">
        <is>
          <t xml:space="preserve">Mazda</t>
        </is>
      </c>
      <c r="F16038" s="0" t="s">
        <v>52</v>
      </c>
      <c r="G16038" s="0" t="s">
        <v>325</v>
      </c>
      <c r="H16038" s="5">
        <v>5555.203200</v>
      </c>
    </row>
    <row r="16039" spans="1:9">
      <c r="A16039" s="22" t="str">
        <f>HYPERLINK("https://app.vivvix.com/360/KMI/IntelliDrive/ApplUI/Pages/CreativePages/CustomReportCreativeDetail.aspx?App=23&amp;ReportView=4&amp;Qid=1711279&amp;Row=16031&amp;Col=1","No Title Assigned - #15276332955")</f>
        <v/>
      </c>
      <c r="B16039" s="0" t="s">
        <v>21324</v>
      </c>
      <c r="C16039" s="0" t="s">
        <v>21325</v>
      </c>
      <c r="D16039" s="0" t="s">
        <v>5013</v>
      </c>
      <c r="E16039" s="0" t="inlineStr">
        <is>
          <t xml:space="preserve">Mazda</t>
        </is>
      </c>
      <c r="F16039" s="0" t="s">
        <v>13</v>
      </c>
      <c r="G16039" s="0" t="s">
        <v>49</v>
      </c>
      <c r="H16039" s="5">
        <v>12140.588000</v>
      </c>
    </row>
    <row r="16040" spans="1:9">
      <c r="A16040" s="22" t="str">
        <f>HYPERLINK("https://app.vivvix.com/360/KMI/IntelliDrive/ApplUI/Pages/CreativePages/CustomReportCreativeDetail.aspx?App=23&amp;ReportView=4&amp;Qid=1711279&amp;Row=16032&amp;Col=1","No Title Assigned - #15276333219")</f>
        <v/>
      </c>
      <c r="B16040" s="0" t="s">
        <v>21326</v>
      </c>
      <c r="C16040" s="0" t="s">
        <v>21327</v>
      </c>
      <c r="D16040" s="0" t="s">
        <v>14288</v>
      </c>
      <c r="E16040" s="0" t="inlineStr">
        <is>
          <t xml:space="preserve">Mazda</t>
        </is>
      </c>
      <c r="F16040" s="0" t="inlineStr">
        <is>
          <t xml:space="preserve">Mazda</t>
        </is>
      </c>
      <c r="G16040" s="0" t="s">
        <v>210</v>
      </c>
      <c r="H16040" s="5">
        <v>660.695400</v>
      </c>
    </row>
    <row r="16041" spans="1:9">
      <c r="A16041" s="22" t="str">
        <f>HYPERLINK("https://app.vivvix.com/360/KMI/IntelliDrive/ApplUI/Pages/CreativePages/CustomReportCreativeDetail.aspx?App=23&amp;ReportView=4&amp;Qid=1711279&amp;Row=16033&amp;Col=1","No Title Assigned - #15276333486")</f>
        <v/>
      </c>
      <c r="B16041" s="0" t="s">
        <v>21328</v>
      </c>
      <c r="C16041" s="0" t="s">
        <v>21329</v>
      </c>
      <c r="D16041" s="0" t="s">
        <v>21329</v>
      </c>
      <c r="E16041" s="0" t="inlineStr">
        <is>
          <t xml:space="preserve">Mazda</t>
        </is>
      </c>
      <c r="F16041" s="0" t="s">
        <v>13</v>
      </c>
      <c r="G16041" s="0" t="s">
        <v>49</v>
      </c>
      <c r="H16041" s="5">
        <v>6073.145500</v>
      </c>
    </row>
    <row r="16042" spans="1:9">
      <c r="A16042" s="22" t="str">
        <f>HYPERLINK("https://app.vivvix.com/360/KMI/IntelliDrive/ApplUI/Pages/CreativePages/CustomReportCreativeDetail.aspx?App=23&amp;ReportView=4&amp;Qid=1711279&amp;Row=16034&amp;Col=1","No Title Assigned - #15276333874")</f>
        <v/>
      </c>
      <c r="B16042" s="0" t="s">
        <v>21330</v>
      </c>
      <c r="C16042" s="0" t="s">
        <v>21331</v>
      </c>
      <c r="D16042" s="0" t="s">
        <v>21331</v>
      </c>
      <c r="E16042" s="0" t="inlineStr">
        <is>
          <t xml:space="preserve">Mazda</t>
        </is>
      </c>
      <c r="F16042" s="0" t="s">
        <v>13</v>
      </c>
      <c r="G16042" s="0" t="s">
        <v>49</v>
      </c>
      <c r="H16042" s="5">
        <v>43092.880600</v>
      </c>
    </row>
    <row r="16043" spans="1:9">
      <c r="A16043" s="22" t="str">
        <f>HYPERLINK("https://app.vivvix.com/360/KMI/IntelliDrive/ApplUI/Pages/CreativePages/CustomReportCreativeDetail.aspx?App=23&amp;ReportView=4&amp;Qid=1711279&amp;Row=16035&amp;Col=1","No Title Assigned - #15276333874")</f>
        <v/>
      </c>
      <c r="B16043" s="0" t="s">
        <v>21330</v>
      </c>
      <c r="E16043" s="0" t="inlineStr">
        <is>
          <t xml:space="preserve">Mazda</t>
        </is>
      </c>
      <c r="F16043" s="0" t="s">
        <v>13</v>
      </c>
      <c r="G16043" s="0" t="s">
        <v>49</v>
      </c>
      <c r="H16043" s="5">
        <v>951.746200</v>
      </c>
    </row>
    <row r="16044" spans="1:9">
      <c r="A16044" s="22" t="str">
        <f>HYPERLINK("https://app.vivvix.com/360/KMI/IntelliDrive/ApplUI/Pages/CreativePages/CustomReportCreativeDetail.aspx?App=23&amp;ReportView=4&amp;Qid=1711279&amp;Row=16036&amp;Col=1","No Title Assigned - #15276333983")</f>
        <v/>
      </c>
      <c r="B16044" s="0" t="s">
        <v>21332</v>
      </c>
      <c r="C16044" s="0" t="s">
        <v>21333</v>
      </c>
      <c r="D16044" s="0" t="s">
        <v>4774</v>
      </c>
      <c r="E16044" s="0" t="inlineStr">
        <is>
          <t xml:space="preserve">Mazda</t>
        </is>
      </c>
      <c r="F16044" s="0" t="s">
        <v>13</v>
      </c>
      <c r="G16044" s="0" t="s">
        <v>49</v>
      </c>
      <c r="H16044" s="5">
        <v>5.509900</v>
      </c>
    </row>
    <row r="16045" spans="1:9">
      <c r="A16045" s="22" t="str">
        <f>HYPERLINK("https://app.vivvix.com/360/KMI/IntelliDrive/ApplUI/Pages/CreativePages/CustomReportCreativeDetail.aspx?App=23&amp;ReportView=4&amp;Qid=1711279&amp;Row=16037&amp;Col=1","No Title Assigned - #15276334238")</f>
        <v/>
      </c>
      <c r="B16045" s="0" t="s">
        <v>21334</v>
      </c>
      <c r="C16045" s="0" t="s">
        <v>21335</v>
      </c>
      <c r="D16045" s="0" t="s">
        <v>4774</v>
      </c>
      <c r="E16045" s="0" t="inlineStr">
        <is>
          <t xml:space="preserve">Mazda</t>
        </is>
      </c>
      <c r="F16045" s="0" t="s">
        <v>13</v>
      </c>
      <c r="G16045" s="0" t="s">
        <v>49</v>
      </c>
      <c r="H16045" s="5">
        <v>28.739700</v>
      </c>
    </row>
    <row r="16046" spans="1:9">
      <c r="A16046" s="22" t="str">
        <f>HYPERLINK("https://app.vivvix.com/360/KMI/IntelliDrive/ApplUI/Pages/CreativePages/CustomReportCreativeDetail.aspx?App=23&amp;ReportView=4&amp;Qid=1711279&amp;Row=16038&amp;Col=1","No Title Assigned - #15276334452")</f>
        <v/>
      </c>
      <c r="B16046" s="0" t="s">
        <v>21336</v>
      </c>
      <c r="E16046" s="0" t="inlineStr">
        <is>
          <t xml:space="preserve">Mazda</t>
        </is>
      </c>
      <c r="F16046" s="0" t="inlineStr">
        <is>
          <t xml:space="preserve">Mazda</t>
        </is>
      </c>
      <c r="G16046" s="0" t="s">
        <v>171</v>
      </c>
      <c r="H16046" s="5">
        <v>72.685200</v>
      </c>
    </row>
    <row r="16047" spans="1:9">
      <c r="A16047" s="22" t="str">
        <f>HYPERLINK("https://app.vivvix.com/360/KMI/IntelliDrive/ApplUI/Pages/CreativePages/CustomReportCreativeDetail.aspx?App=23&amp;ReportView=4&amp;Qid=1711279&amp;Row=16039&amp;Col=1","No Title Assigned - #15276335216")</f>
        <v/>
      </c>
      <c r="B16047" s="0" t="s">
        <v>21337</v>
      </c>
      <c r="C16047" s="0" t="s">
        <v>21338</v>
      </c>
      <c r="D16047" s="0" t="s">
        <v>6183</v>
      </c>
      <c r="E16047" s="0" t="inlineStr">
        <is>
          <t xml:space="preserve">Mazda</t>
        </is>
      </c>
      <c r="F16047" s="0" t="s">
        <v>13</v>
      </c>
      <c r="G16047" s="0" t="s">
        <v>49</v>
      </c>
      <c r="H16047" s="5">
        <v>1760.492500</v>
      </c>
    </row>
    <row r="16048" spans="1:9">
      <c r="A16048" s="22" t="str">
        <f>HYPERLINK("https://app.vivvix.com/360/KMI/IntelliDrive/ApplUI/Pages/CreativePages/CustomReportCreativeDetail.aspx?App=23&amp;ReportView=4&amp;Qid=1711279&amp;Row=16040&amp;Col=1","No Title Assigned - #15276335323")</f>
        <v/>
      </c>
      <c r="B16048" s="0" t="s">
        <v>21339</v>
      </c>
      <c r="E16048" s="0" t="inlineStr">
        <is>
          <t xml:space="preserve">Mazda</t>
        </is>
      </c>
      <c r="F16048" s="0" t="inlineStr">
        <is>
          <t xml:space="preserve">Mazda</t>
        </is>
      </c>
      <c r="G16048" s="0" t="s">
        <v>171</v>
      </c>
      <c r="H16048" s="5">
        <v>72.185900</v>
      </c>
    </row>
    <row r="16049" spans="1:9">
      <c r="A16049" s="22" t="str">
        <f>HYPERLINK("https://app.vivvix.com/360/KMI/IntelliDrive/ApplUI/Pages/CreativePages/CustomReportCreativeDetail.aspx?App=23&amp;ReportView=4&amp;Qid=1711279&amp;Row=16041&amp;Col=1","No Title Assigned - #15276335324")</f>
        <v/>
      </c>
      <c r="B16049" s="0" t="s">
        <v>21340</v>
      </c>
      <c r="E16049" s="0" t="inlineStr">
        <is>
          <t xml:space="preserve">Mazda</t>
        </is>
      </c>
      <c r="F16049" s="0" t="inlineStr">
        <is>
          <t xml:space="preserve">Mazda</t>
        </is>
      </c>
      <c r="G16049" s="0" t="s">
        <v>171</v>
      </c>
      <c r="H16049" s="5">
        <v>871.056700</v>
      </c>
    </row>
    <row r="16050" spans="1:9">
      <c r="A16050" s="22" t="str">
        <f>HYPERLINK("https://app.vivvix.com/360/KMI/IntelliDrive/ApplUI/Pages/CreativePages/CustomReportCreativeDetail.aspx?App=23&amp;ReportView=4&amp;Qid=1711279&amp;Row=16042&amp;Col=1","No Title Assigned - #15276335439")</f>
        <v/>
      </c>
      <c r="B16050" s="0" t="s">
        <v>21341</v>
      </c>
      <c r="E16050" s="0" t="inlineStr">
        <is>
          <t xml:space="preserve">Mazda</t>
        </is>
      </c>
      <c r="F16050" s="0" t="inlineStr">
        <is>
          <t xml:space="preserve">Mazda</t>
        </is>
      </c>
      <c r="G16050" s="0" t="s">
        <v>171</v>
      </c>
      <c r="H16050" s="5">
        <v>2.390700</v>
      </c>
    </row>
    <row r="16051" spans="1:9">
      <c r="A16051" s="22" t="str">
        <f>HYPERLINK("https://app.vivvix.com/360/KMI/IntelliDrive/ApplUI/Pages/CreativePages/CustomReportCreativeDetail.aspx?App=23&amp;ReportView=4&amp;Qid=1711279&amp;Row=16043&amp;Col=1","No Title Assigned - #15276335502")</f>
        <v/>
      </c>
      <c r="B16051" s="0" t="s">
        <v>21342</v>
      </c>
      <c r="E16051" s="0" t="inlineStr">
        <is>
          <t xml:space="preserve">Mazda</t>
        </is>
      </c>
      <c r="F16051" s="0" t="inlineStr">
        <is>
          <t xml:space="preserve">Mazda</t>
        </is>
      </c>
      <c r="G16051" s="0" t="s">
        <v>171</v>
      </c>
      <c r="H16051" s="5">
        <v>119.751000</v>
      </c>
    </row>
    <row r="16052" spans="1:9">
      <c r="A16052" s="22" t="str">
        <f>HYPERLINK("https://app.vivvix.com/360/KMI/IntelliDrive/ApplUI/Pages/CreativePages/CustomReportCreativeDetail.aspx?App=23&amp;ReportView=4&amp;Qid=1711279&amp;Row=16044&amp;Col=1","No Title Assigned - #15276335531")</f>
        <v/>
      </c>
      <c r="B16052" s="0" t="s">
        <v>21343</v>
      </c>
      <c r="C16052" s="0" t="s">
        <v>21344</v>
      </c>
      <c r="D16052" s="0" t="s">
        <v>4335</v>
      </c>
      <c r="E16052" s="0" t="inlineStr">
        <is>
          <t xml:space="preserve">Mazda</t>
        </is>
      </c>
      <c r="F16052" s="0" t="s">
        <v>13</v>
      </c>
      <c r="G16052" s="0" t="s">
        <v>49</v>
      </c>
      <c r="H16052" s="5">
        <v>898.736500</v>
      </c>
    </row>
    <row r="16053" spans="1:9">
      <c r="A16053" s="22" t="str">
        <f>HYPERLINK("https://app.vivvix.com/360/KMI/IntelliDrive/ApplUI/Pages/CreativePages/CustomReportCreativeDetail.aspx?App=23&amp;ReportView=4&amp;Qid=1711279&amp;Row=16045&amp;Col=1","No Title Assigned - #15276335531")</f>
        <v/>
      </c>
      <c r="B16053" s="0" t="s">
        <v>21343</v>
      </c>
      <c r="E16053" s="0" t="inlineStr">
        <is>
          <t xml:space="preserve">Mazda</t>
        </is>
      </c>
      <c r="F16053" s="0" t="s">
        <v>13</v>
      </c>
      <c r="G16053" s="0" t="s">
        <v>49</v>
      </c>
      <c r="H16053" s="5">
        <v>710.597200</v>
      </c>
    </row>
    <row r="16054" spans="1:9">
      <c r="A16054" s="22" t="str">
        <f>HYPERLINK("https://app.vivvix.com/360/KMI/IntelliDrive/ApplUI/Pages/CreativePages/CustomReportCreativeDetail.aspx?App=23&amp;ReportView=4&amp;Qid=1711279&amp;Row=16046&amp;Col=1","No Title Assigned - #15276335699")</f>
        <v/>
      </c>
      <c r="B16054" s="0" t="s">
        <v>21345</v>
      </c>
      <c r="E16054" s="0" t="inlineStr">
        <is>
          <t xml:space="preserve">Mazda</t>
        </is>
      </c>
      <c r="F16054" s="0" t="inlineStr">
        <is>
          <t xml:space="preserve">Mazda</t>
        </is>
      </c>
      <c r="G16054" s="0" t="s">
        <v>171</v>
      </c>
      <c r="H16054" s="5">
        <v>819.280500</v>
      </c>
    </row>
    <row r="16055" spans="1:9">
      <c r="A16055" s="22" t="str">
        <f>HYPERLINK("https://app.vivvix.com/360/KMI/IntelliDrive/ApplUI/Pages/CreativePages/CustomReportCreativeDetail.aspx?App=23&amp;ReportView=4&amp;Qid=1711279&amp;Row=16047&amp;Col=1","No Title Assigned - #15276335818")</f>
        <v/>
      </c>
      <c r="B16055" s="0" t="s">
        <v>21346</v>
      </c>
      <c r="E16055" s="0" t="inlineStr">
        <is>
          <t xml:space="preserve">Mazda</t>
        </is>
      </c>
      <c r="F16055" s="0" t="inlineStr">
        <is>
          <t xml:space="preserve">Mazda</t>
        </is>
      </c>
      <c r="G16055" s="0" t="s">
        <v>171</v>
      </c>
      <c r="H16055" s="5">
        <v>72.685200</v>
      </c>
    </row>
    <row r="16056" spans="1:9">
      <c r="A16056" s="22" t="str">
        <f>HYPERLINK("https://app.vivvix.com/360/KMI/IntelliDrive/ApplUI/Pages/CreativePages/CustomReportCreativeDetail.aspx?App=23&amp;ReportView=4&amp;Qid=1711279&amp;Row=16048&amp;Col=1","No Title Assigned - #15276335820")</f>
        <v/>
      </c>
      <c r="B16056" s="0" t="s">
        <v>21347</v>
      </c>
      <c r="C16056" s="0" t="s">
        <v>21348</v>
      </c>
      <c r="D16056" s="0" t="s">
        <v>21348</v>
      </c>
      <c r="E16056" s="0" t="inlineStr">
        <is>
          <t xml:space="preserve">Mazda</t>
        </is>
      </c>
      <c r="F16056" s="0" t="s">
        <v>13</v>
      </c>
      <c r="G16056" s="0" t="s">
        <v>49</v>
      </c>
      <c r="H16056" s="5">
        <v>335.104200</v>
      </c>
    </row>
    <row r="16057" spans="1:9">
      <c r="A16057" s="22" t="str">
        <f>HYPERLINK("https://app.vivvix.com/360/KMI/IntelliDrive/ApplUI/Pages/CreativePages/CustomReportCreativeDetail.aspx?App=23&amp;ReportView=4&amp;Qid=1711279&amp;Row=16049&amp;Col=1","No Title Assigned - #15276336145")</f>
        <v/>
      </c>
      <c r="B16057" s="0" t="s">
        <v>21349</v>
      </c>
      <c r="E16057" s="0" t="inlineStr">
        <is>
          <t xml:space="preserve">Mazda</t>
        </is>
      </c>
      <c r="F16057" s="0" t="inlineStr">
        <is>
          <t xml:space="preserve">Mazda</t>
        </is>
      </c>
      <c r="G16057" s="0" t="s">
        <v>171</v>
      </c>
      <c r="H16057" s="5">
        <v>607.200600</v>
      </c>
    </row>
    <row r="16058" spans="1:9">
      <c r="A16058" s="22" t="str">
        <f>HYPERLINK("https://app.vivvix.com/360/KMI/IntelliDrive/ApplUI/Pages/CreativePages/CustomReportCreativeDetail.aspx?App=23&amp;ReportView=4&amp;Qid=1711279&amp;Row=16050&amp;Col=1","No Title Assigned - #15276336187")</f>
        <v/>
      </c>
      <c r="B16058" s="0" t="s">
        <v>21350</v>
      </c>
      <c r="E16058" s="0" t="inlineStr">
        <is>
          <t xml:space="preserve">Mazda</t>
        </is>
      </c>
      <c r="F16058" s="0" t="inlineStr">
        <is>
          <t xml:space="preserve">Mazda</t>
        </is>
      </c>
      <c r="G16058" s="0" t="s">
        <v>171</v>
      </c>
      <c r="H16058" s="5">
        <v>36.981100</v>
      </c>
    </row>
    <row r="16059" spans="1:9">
      <c r="A16059" s="22" t="str">
        <f>HYPERLINK("https://app.vivvix.com/360/KMI/IntelliDrive/ApplUI/Pages/CreativePages/CustomReportCreativeDetail.aspx?App=23&amp;ReportView=4&amp;Qid=1711279&amp;Row=16051&amp;Col=1","No Title Assigned - #15276336440")</f>
        <v/>
      </c>
      <c r="B16059" s="0" t="s">
        <v>21351</v>
      </c>
      <c r="E16059" s="0" t="inlineStr">
        <is>
          <t xml:space="preserve">Mazda</t>
        </is>
      </c>
      <c r="F16059" s="0" t="inlineStr">
        <is>
          <t xml:space="preserve">Mazda</t>
        </is>
      </c>
      <c r="G16059" s="0" t="s">
        <v>171</v>
      </c>
      <c r="H16059" s="5">
        <v>0.796900</v>
      </c>
    </row>
    <row r="16060" spans="1:9">
      <c r="A16060" s="22" t="str">
        <f>HYPERLINK("https://app.vivvix.com/360/KMI/IntelliDrive/ApplUI/Pages/CreativePages/CustomReportCreativeDetail.aspx?App=23&amp;ReportView=4&amp;Qid=1711279&amp;Row=16052&amp;Col=1","No Title Assigned - #15276336616")</f>
        <v/>
      </c>
      <c r="B16060" s="0" t="s">
        <v>21352</v>
      </c>
      <c r="E16060" s="0" t="inlineStr">
        <is>
          <t xml:space="preserve">Mazda</t>
        </is>
      </c>
      <c r="F16060" s="0" t="inlineStr">
        <is>
          <t xml:space="preserve">Mazda</t>
        </is>
      </c>
      <c r="G16060" s="0" t="s">
        <v>171</v>
      </c>
      <c r="H16060" s="5">
        <v>455.690900</v>
      </c>
    </row>
    <row r="16061" spans="1:9">
      <c r="A16061" s="22" t="str">
        <f>HYPERLINK("https://app.vivvix.com/360/KMI/IntelliDrive/ApplUI/Pages/CreativePages/CustomReportCreativeDetail.aspx?App=23&amp;ReportView=4&amp;Qid=1711279&amp;Row=16053&amp;Col=1","No Title Assigned - #15276336632")</f>
        <v/>
      </c>
      <c r="B16061" s="0" t="s">
        <v>21353</v>
      </c>
      <c r="E16061" s="0" t="inlineStr">
        <is>
          <t xml:space="preserve">Mazda</t>
        </is>
      </c>
      <c r="F16061" s="0" t="inlineStr">
        <is>
          <t xml:space="preserve">Mazda</t>
        </is>
      </c>
      <c r="G16061" s="0" t="s">
        <v>171</v>
      </c>
      <c r="H16061" s="5">
        <v>143.011100</v>
      </c>
    </row>
    <row r="16062" spans="1:9">
      <c r="A16062" s="22" t="str">
        <f>HYPERLINK("https://app.vivvix.com/360/KMI/IntelliDrive/ApplUI/Pages/CreativePages/CustomReportCreativeDetail.aspx?App=23&amp;ReportView=4&amp;Qid=1711279&amp;Row=16054&amp;Col=1","No Title Assigned - #15276336969")</f>
        <v/>
      </c>
      <c r="B16062" s="0" t="s">
        <v>21354</v>
      </c>
      <c r="E16062" s="0" t="inlineStr">
        <is>
          <t xml:space="preserve">Mazda</t>
        </is>
      </c>
      <c r="F16062" s="0" t="inlineStr">
        <is>
          <t xml:space="preserve">Mazda</t>
        </is>
      </c>
      <c r="G16062" s="0" t="s">
        <v>171</v>
      </c>
      <c r="H16062" s="5">
        <v>135.837200</v>
      </c>
    </row>
    <row r="16063" spans="1:9">
      <c r="A16063" s="22" t="str">
        <f>HYPERLINK("https://app.vivvix.com/360/KMI/IntelliDrive/ApplUI/Pages/CreativePages/CustomReportCreativeDetail.aspx?App=23&amp;ReportView=4&amp;Qid=1711279&amp;Row=16055&amp;Col=1","No Title Assigned - #15276337223")</f>
        <v/>
      </c>
      <c r="B16063" s="0" t="s">
        <v>21355</v>
      </c>
      <c r="E16063" s="0" t="inlineStr">
        <is>
          <t xml:space="preserve">Mazda</t>
        </is>
      </c>
      <c r="F16063" s="0" t="inlineStr">
        <is>
          <t xml:space="preserve">Mazda</t>
        </is>
      </c>
      <c r="G16063" s="0" t="s">
        <v>171</v>
      </c>
      <c r="H16063" s="5">
        <v>72.685200</v>
      </c>
    </row>
    <row r="16064" spans="1:9">
      <c r="A16064" s="22" t="str">
        <f>HYPERLINK("https://app.vivvix.com/360/KMI/IntelliDrive/ApplUI/Pages/CreativePages/CustomReportCreativeDetail.aspx?App=23&amp;ReportView=4&amp;Qid=1711279&amp;Row=16056&amp;Col=1","No Title Assigned - #15276337239")</f>
        <v/>
      </c>
      <c r="B16064" s="0" t="s">
        <v>21356</v>
      </c>
      <c r="E16064" s="0" t="inlineStr">
        <is>
          <t xml:space="preserve">Mazda</t>
        </is>
      </c>
      <c r="F16064" s="0" t="inlineStr">
        <is>
          <t xml:space="preserve">Mazda</t>
        </is>
      </c>
      <c r="G16064" s="0" t="s">
        <v>171</v>
      </c>
      <c r="H16064" s="5">
        <v>1821.601800</v>
      </c>
    </row>
    <row r="16065" spans="1:9">
      <c r="A16065" s="22" t="str">
        <f>HYPERLINK("https://app.vivvix.com/360/KMI/IntelliDrive/ApplUI/Pages/CreativePages/CustomReportCreativeDetail.aspx?App=23&amp;ReportView=4&amp;Qid=1711279&amp;Row=16057&amp;Col=1","No Title Assigned - #15276337318")</f>
        <v/>
      </c>
      <c r="B16065" s="0" t="s">
        <v>21357</v>
      </c>
      <c r="C16065" s="0" t="s">
        <v>21358</v>
      </c>
      <c r="D16065" s="0" t="s">
        <v>21358</v>
      </c>
      <c r="E16065" s="0" t="inlineStr">
        <is>
          <t xml:space="preserve">Mazda</t>
        </is>
      </c>
      <c r="F16065" s="0" t="s">
        <v>13</v>
      </c>
      <c r="G16065" s="0" t="s">
        <v>49</v>
      </c>
      <c r="H16065" s="5">
        <v>3918.486400</v>
      </c>
    </row>
    <row r="16066" spans="1:9">
      <c r="A16066" s="22" t="str">
        <f>HYPERLINK("https://app.vivvix.com/360/KMI/IntelliDrive/ApplUI/Pages/CreativePages/CustomReportCreativeDetail.aspx?App=23&amp;ReportView=4&amp;Qid=1711279&amp;Row=16058&amp;Col=1","No Title Assigned - #15276337522")</f>
        <v/>
      </c>
      <c r="B16066" s="0" t="s">
        <v>21359</v>
      </c>
      <c r="E16066" s="0" t="inlineStr">
        <is>
          <t xml:space="preserve">Mazda</t>
        </is>
      </c>
      <c r="F16066" s="0" t="inlineStr">
        <is>
          <t xml:space="preserve">Mazda</t>
        </is>
      </c>
      <c r="G16066" s="0" t="s">
        <v>171</v>
      </c>
      <c r="H16066" s="5">
        <v>61.114700</v>
      </c>
    </row>
    <row r="16067" spans="1:9">
      <c r="A16067" s="22" t="str">
        <f>HYPERLINK("https://app.vivvix.com/360/KMI/IntelliDrive/ApplUI/Pages/CreativePages/CustomReportCreativeDetail.aspx?App=23&amp;ReportView=4&amp;Qid=1711279&amp;Row=16059&amp;Col=1","No Title Assigned - #15276337542")</f>
        <v/>
      </c>
      <c r="B16067" s="0" t="s">
        <v>21360</v>
      </c>
      <c r="E16067" s="0" t="inlineStr">
        <is>
          <t xml:space="preserve">Mazda</t>
        </is>
      </c>
      <c r="F16067" s="0" t="inlineStr">
        <is>
          <t xml:space="preserve">Mazda</t>
        </is>
      </c>
      <c r="G16067" s="0" t="s">
        <v>171</v>
      </c>
      <c r="H16067" s="5">
        <v>1095.317100</v>
      </c>
    </row>
    <row r="16068" spans="1:9">
      <c r="A16068" s="22" t="str">
        <f>HYPERLINK("https://app.vivvix.com/360/KMI/IntelliDrive/ApplUI/Pages/CreativePages/CustomReportCreativeDetail.aspx?App=23&amp;ReportView=4&amp;Qid=1711279&amp;Row=16060&amp;Col=1","No Title Assigned - #15276337543")</f>
        <v/>
      </c>
      <c r="B16068" s="0" t="s">
        <v>21361</v>
      </c>
      <c r="E16068" s="0" t="inlineStr">
        <is>
          <t xml:space="preserve">Mazda</t>
        </is>
      </c>
      <c r="F16068" s="0" t="inlineStr">
        <is>
          <t xml:space="preserve">Mazda</t>
        </is>
      </c>
      <c r="G16068" s="0" t="s">
        <v>171</v>
      </c>
      <c r="H16068" s="5">
        <v>699.771800</v>
      </c>
    </row>
    <row r="16069" spans="1:9">
      <c r="A16069" s="22" t="str">
        <f>HYPERLINK("https://app.vivvix.com/360/KMI/IntelliDrive/ApplUI/Pages/CreativePages/CustomReportCreativeDetail.aspx?App=23&amp;ReportView=4&amp;Qid=1711279&amp;Row=16061&amp;Col=1","No Title Assigned - #15276337655")</f>
        <v/>
      </c>
      <c r="B16069" s="0" t="s">
        <v>21362</v>
      </c>
      <c r="E16069" s="0" t="inlineStr">
        <is>
          <t xml:space="preserve">Mazda</t>
        </is>
      </c>
      <c r="F16069" s="0" t="inlineStr">
        <is>
          <t xml:space="preserve">Mazda</t>
        </is>
      </c>
      <c r="G16069" s="0" t="s">
        <v>171</v>
      </c>
      <c r="H16069" s="5">
        <v>1869.336300</v>
      </c>
    </row>
    <row r="16070" spans="1:9">
      <c r="A16070" s="22" t="str">
        <f>HYPERLINK("https://app.vivvix.com/360/KMI/IntelliDrive/ApplUI/Pages/CreativePages/CustomReportCreativeDetail.aspx?App=23&amp;ReportView=4&amp;Qid=1711279&amp;Row=16062&amp;Col=1","No Title Assigned - #15276337664")</f>
        <v/>
      </c>
      <c r="B16070" s="0" t="s">
        <v>21363</v>
      </c>
      <c r="E16070" s="0" t="inlineStr">
        <is>
          <t xml:space="preserve">Mazda</t>
        </is>
      </c>
      <c r="F16070" s="0" t="inlineStr">
        <is>
          <t xml:space="preserve">Mazda</t>
        </is>
      </c>
      <c r="G16070" s="0" t="s">
        <v>171</v>
      </c>
      <c r="H16070" s="5">
        <v>375.507900</v>
      </c>
    </row>
    <row r="16071" spans="1:9">
      <c r="A16071" s="22" t="str">
        <f>HYPERLINK("https://app.vivvix.com/360/KMI/IntelliDrive/ApplUI/Pages/CreativePages/CustomReportCreativeDetail.aspx?App=23&amp;ReportView=4&amp;Qid=1711279&amp;Row=16063&amp;Col=1","No Title Assigned - #15276337834")</f>
        <v/>
      </c>
      <c r="B16071" s="0" t="s">
        <v>21364</v>
      </c>
      <c r="E16071" s="0" t="inlineStr">
        <is>
          <t xml:space="preserve">Mazda</t>
        </is>
      </c>
      <c r="F16071" s="0" t="inlineStr">
        <is>
          <t xml:space="preserve">Mazda</t>
        </is>
      </c>
      <c r="G16071" s="0" t="s">
        <v>171</v>
      </c>
      <c r="H16071" s="5">
        <v>559.056400</v>
      </c>
    </row>
    <row r="16072" spans="1:9">
      <c r="A16072" s="22" t="str">
        <f>HYPERLINK("https://app.vivvix.com/360/KMI/IntelliDrive/ApplUI/Pages/CreativePages/CustomReportCreativeDetail.aspx?App=23&amp;ReportView=4&amp;Qid=1711279&amp;Row=16064&amp;Col=1","No Title Assigned - #15276338796")</f>
        <v/>
      </c>
      <c r="B16072" s="0" t="s">
        <v>21365</v>
      </c>
      <c r="E16072" s="0" t="inlineStr">
        <is>
          <t xml:space="preserve">Mazda</t>
        </is>
      </c>
      <c r="F16072" s="0" t="inlineStr">
        <is>
          <t xml:space="preserve">Mazda</t>
        </is>
      </c>
      <c r="G16072" s="0" t="s">
        <v>171</v>
      </c>
      <c r="H16072" s="5">
        <v>162.701000</v>
      </c>
    </row>
    <row r="16073" spans="1:9">
      <c r="A16073" s="22" t="str">
        <f>HYPERLINK("https://app.vivvix.com/360/KMI/IntelliDrive/ApplUI/Pages/CreativePages/CustomReportCreativeDetail.aspx?App=23&amp;ReportView=4&amp;Qid=1711279&amp;Row=16065&amp;Col=1","No Title Assigned - #15276338977")</f>
        <v/>
      </c>
      <c r="B16073" s="0" t="s">
        <v>21366</v>
      </c>
      <c r="E16073" s="0" t="inlineStr">
        <is>
          <t xml:space="preserve">Mazda</t>
        </is>
      </c>
      <c r="F16073" s="0" t="inlineStr">
        <is>
          <t xml:space="preserve">Mazda</t>
        </is>
      </c>
      <c r="G16073" s="0" t="s">
        <v>171</v>
      </c>
      <c r="H16073" s="5">
        <v>110722.517000</v>
      </c>
    </row>
    <row r="16074" spans="1:9">
      <c r="A16074" s="22" t="str">
        <f>HYPERLINK("https://app.vivvix.com/360/KMI/IntelliDrive/ApplUI/Pages/CreativePages/CustomReportCreativeDetail.aspx?App=23&amp;ReportView=4&amp;Qid=1711279&amp;Row=16066&amp;Col=1","No Title Assigned - #15276339070")</f>
        <v/>
      </c>
      <c r="B16074" s="0" t="s">
        <v>21367</v>
      </c>
      <c r="E16074" s="0" t="inlineStr">
        <is>
          <t xml:space="preserve">Mazda</t>
        </is>
      </c>
      <c r="F16074" s="0" t="inlineStr">
        <is>
          <t xml:space="preserve">Mazda</t>
        </is>
      </c>
      <c r="G16074" s="0" t="s">
        <v>171</v>
      </c>
      <c r="H16074" s="5">
        <v>68.172200</v>
      </c>
    </row>
    <row r="16075" spans="1:9">
      <c r="A16075" s="22" t="str">
        <f>HYPERLINK("https://app.vivvix.com/360/KMI/IntelliDrive/ApplUI/Pages/CreativePages/CustomReportCreativeDetail.aspx?App=23&amp;ReportView=4&amp;Qid=1711279&amp;Row=16067&amp;Col=1","No Title Assigned - #15276339073")</f>
        <v/>
      </c>
      <c r="B16075" s="0" t="s">
        <v>21368</v>
      </c>
      <c r="E16075" s="0" t="inlineStr">
        <is>
          <t xml:space="preserve">Mazda</t>
        </is>
      </c>
      <c r="F16075" s="0" t="inlineStr">
        <is>
          <t xml:space="preserve">Mazda</t>
        </is>
      </c>
      <c r="G16075" s="0" t="s">
        <v>171</v>
      </c>
      <c r="H16075" s="5">
        <v>118095.894900</v>
      </c>
    </row>
    <row r="16076" spans="1:9">
      <c r="A16076" s="22" t="str">
        <f>HYPERLINK("https://app.vivvix.com/360/KMI/IntelliDrive/ApplUI/Pages/CreativePages/CustomReportCreativeDetail.aspx?App=23&amp;ReportView=4&amp;Qid=1711279&amp;Row=16068&amp;Col=1","No Title Assigned - #15276339073")</f>
        <v/>
      </c>
      <c r="B16076" s="0" t="s">
        <v>21368</v>
      </c>
      <c r="E16076" s="0" t="inlineStr">
        <is>
          <t xml:space="preserve">Mazda</t>
        </is>
      </c>
      <c r="F16076" s="0" t="inlineStr">
        <is>
          <t xml:space="preserve">Mazda</t>
        </is>
      </c>
      <c r="G16076" s="0" t="s">
        <v>171</v>
      </c>
      <c r="H16076" s="5">
        <v>42785.542400</v>
      </c>
    </row>
    <row r="16077" spans="1:9">
      <c r="A16077" s="22" t="str">
        <f>HYPERLINK("https://app.vivvix.com/360/KMI/IntelliDrive/ApplUI/Pages/CreativePages/CustomReportCreativeDetail.aspx?App=23&amp;ReportView=4&amp;Qid=1711279&amp;Row=16069&amp;Col=1","No Title Assigned - #15276339148")</f>
        <v/>
      </c>
      <c r="B16077" s="0" t="s">
        <v>21369</v>
      </c>
      <c r="E16077" s="0" t="inlineStr">
        <is>
          <t xml:space="preserve">Mazda</t>
        </is>
      </c>
      <c r="F16077" s="0" t="inlineStr">
        <is>
          <t xml:space="preserve">Mazda</t>
        </is>
      </c>
      <c r="G16077" s="0" t="s">
        <v>171</v>
      </c>
      <c r="H16077" s="5">
        <v>51.325200</v>
      </c>
    </row>
    <row r="16078" spans="1:9">
      <c r="A16078" s="22" t="str">
        <f>HYPERLINK("https://app.vivvix.com/360/KMI/IntelliDrive/ApplUI/Pages/CreativePages/CustomReportCreativeDetail.aspx?App=23&amp;ReportView=4&amp;Qid=1711279&amp;Row=16070&amp;Col=1","No Title Assigned - #15276339287")</f>
        <v/>
      </c>
      <c r="B16078" s="0" t="s">
        <v>21370</v>
      </c>
      <c r="E16078" s="0" t="inlineStr">
        <is>
          <t xml:space="preserve">Mazda</t>
        </is>
      </c>
      <c r="F16078" s="0" t="inlineStr">
        <is>
          <t xml:space="preserve">Mazda</t>
        </is>
      </c>
      <c r="G16078" s="0" t="s">
        <v>171</v>
      </c>
      <c r="H16078" s="5">
        <v>0.796900</v>
      </c>
    </row>
    <row r="16079" spans="1:9">
      <c r="A16079" s="22" t="str">
        <f>HYPERLINK("https://app.vivvix.com/360/KMI/IntelliDrive/ApplUI/Pages/CreativePages/CustomReportCreativeDetail.aspx?App=23&amp;ReportView=4&amp;Qid=1711279&amp;Row=16071&amp;Col=1","No Title Assigned - #15276339345")</f>
        <v/>
      </c>
      <c r="B16079" s="0" t="s">
        <v>21371</v>
      </c>
      <c r="E16079" s="0" t="inlineStr">
        <is>
          <t xml:space="preserve">Mazda</t>
        </is>
      </c>
      <c r="F16079" s="0" t="inlineStr">
        <is>
          <t xml:space="preserve">Mazda</t>
        </is>
      </c>
      <c r="G16079" s="0" t="s">
        <v>171</v>
      </c>
      <c r="H16079" s="5">
        <v>879.491800</v>
      </c>
    </row>
    <row r="16080" spans="1:9">
      <c r="A16080" s="22" t="str">
        <f>HYPERLINK("https://app.vivvix.com/360/KMI/IntelliDrive/ApplUI/Pages/CreativePages/CustomReportCreativeDetail.aspx?App=23&amp;ReportView=4&amp;Qid=1711279&amp;Row=16072&amp;Col=1","No Title Assigned - #15276339397")</f>
        <v/>
      </c>
      <c r="B16080" s="0" t="s">
        <v>21372</v>
      </c>
      <c r="E16080" s="0" t="inlineStr">
        <is>
          <t xml:space="preserve">Mazda</t>
        </is>
      </c>
      <c r="F16080" s="0" t="inlineStr">
        <is>
          <t xml:space="preserve">Mazda</t>
        </is>
      </c>
      <c r="G16080" s="0" t="s">
        <v>171</v>
      </c>
      <c r="H16080" s="5">
        <v>37610.207000</v>
      </c>
    </row>
    <row r="16081" spans="1:9">
      <c r="A16081" s="22" t="str">
        <f>HYPERLINK("https://app.vivvix.com/360/KMI/IntelliDrive/ApplUI/Pages/CreativePages/CustomReportCreativeDetail.aspx?App=23&amp;ReportView=4&amp;Qid=1711279&amp;Row=16073&amp;Col=1","No Title Assigned - #15276339417")</f>
        <v/>
      </c>
      <c r="B16081" s="0" t="s">
        <v>21373</v>
      </c>
      <c r="E16081" s="0" t="inlineStr">
        <is>
          <t xml:space="preserve">Mazda</t>
        </is>
      </c>
      <c r="F16081" s="0" t="inlineStr">
        <is>
          <t xml:space="preserve">Mazda</t>
        </is>
      </c>
      <c r="G16081" s="0" t="s">
        <v>171</v>
      </c>
      <c r="H16081" s="5">
        <v>32.089300</v>
      </c>
    </row>
    <row r="16082" spans="1:9">
      <c r="A16082" s="22" t="str">
        <f>HYPERLINK("https://app.vivvix.com/360/KMI/IntelliDrive/ApplUI/Pages/CreativePages/CustomReportCreativeDetail.aspx?App=23&amp;ReportView=4&amp;Qid=1711279&amp;Row=16074&amp;Col=1","No Title Assigned - #15276339702")</f>
        <v/>
      </c>
      <c r="B16082" s="0" t="s">
        <v>21374</v>
      </c>
      <c r="C16082" s="0" t="s">
        <v>21375</v>
      </c>
      <c r="D16082" s="0" t="s">
        <v>21375</v>
      </c>
      <c r="E16082" s="0" t="inlineStr">
        <is>
          <t xml:space="preserve">Mazda</t>
        </is>
      </c>
      <c r="F16082" s="0" t="inlineStr">
        <is>
          <t xml:space="preserve">Mazda</t>
        </is>
      </c>
      <c r="G16082" s="0" t="s">
        <v>171</v>
      </c>
      <c r="H16082" s="5">
        <v>3344.959000</v>
      </c>
    </row>
    <row r="16083" spans="1:9">
      <c r="A16083" s="22" t="str">
        <f>HYPERLINK("https://app.vivvix.com/360/KMI/IntelliDrive/ApplUI/Pages/CreativePages/CustomReportCreativeDetail.aspx?App=23&amp;ReportView=4&amp;Qid=1711279&amp;Row=16075&amp;Col=1","No Title Assigned - #15276339702")</f>
        <v/>
      </c>
      <c r="B16083" s="0" t="s">
        <v>21374</v>
      </c>
      <c r="E16083" s="0" t="inlineStr">
        <is>
          <t xml:space="preserve">Mazda</t>
        </is>
      </c>
      <c r="F16083" s="0" t="inlineStr">
        <is>
          <t xml:space="preserve">Mazda</t>
        </is>
      </c>
      <c r="G16083" s="0" t="s">
        <v>171</v>
      </c>
      <c r="H16083" s="5">
        <v>246.108900</v>
      </c>
    </row>
    <row r="16084" spans="1:9">
      <c r="A16084" s="22" t="str">
        <f>HYPERLINK("https://app.vivvix.com/360/KMI/IntelliDrive/ApplUI/Pages/CreativePages/CustomReportCreativeDetail.aspx?App=23&amp;ReportView=4&amp;Qid=1711279&amp;Row=16076&amp;Col=1","No Title Assigned - #15276339938")</f>
        <v/>
      </c>
      <c r="B16084" s="0" t="s">
        <v>21376</v>
      </c>
      <c r="E16084" s="0" t="inlineStr">
        <is>
          <t xml:space="preserve">Mazda</t>
        </is>
      </c>
      <c r="F16084" s="0" t="inlineStr">
        <is>
          <t xml:space="preserve">Mazda</t>
        </is>
      </c>
      <c r="G16084" s="0" t="s">
        <v>171</v>
      </c>
      <c r="H16084" s="5">
        <v>1142.826600</v>
      </c>
    </row>
    <row r="16085" spans="1:9">
      <c r="A16085" s="22" t="str">
        <f>HYPERLINK("https://app.vivvix.com/360/KMI/IntelliDrive/ApplUI/Pages/CreativePages/CustomReportCreativeDetail.aspx?App=23&amp;ReportView=4&amp;Qid=1711279&amp;Row=16077&amp;Col=1","No Title Assigned - #15276340092")</f>
        <v/>
      </c>
      <c r="B16085" s="0" t="s">
        <v>21377</v>
      </c>
      <c r="E16085" s="0" t="inlineStr">
        <is>
          <t xml:space="preserve">Mazda</t>
        </is>
      </c>
      <c r="F16085" s="0" t="inlineStr">
        <is>
          <t xml:space="preserve">Mazda</t>
        </is>
      </c>
      <c r="G16085" s="0" t="s">
        <v>171</v>
      </c>
      <c r="H16085" s="5">
        <v>314.633200</v>
      </c>
    </row>
    <row r="16086" spans="1:9">
      <c r="A16086" s="22" t="str">
        <f>HYPERLINK("https://app.vivvix.com/360/KMI/IntelliDrive/ApplUI/Pages/CreativePages/CustomReportCreativeDetail.aspx?App=23&amp;ReportView=4&amp;Qid=1711279&amp;Row=16078&amp;Col=1","No Title Assigned - #15276340260")</f>
        <v/>
      </c>
      <c r="B16086" s="0" t="s">
        <v>21378</v>
      </c>
      <c r="E16086" s="0" t="inlineStr">
        <is>
          <t xml:space="preserve">Mazda</t>
        </is>
      </c>
      <c r="F16086" s="0" t="inlineStr">
        <is>
          <t xml:space="preserve">Mazda</t>
        </is>
      </c>
      <c r="G16086" s="0" t="s">
        <v>171</v>
      </c>
      <c r="H16086" s="5">
        <v>6.375200</v>
      </c>
    </row>
    <row r="16087" spans="1:9">
      <c r="A16087" s="22" t="str">
        <f>HYPERLINK("https://app.vivvix.com/360/KMI/IntelliDrive/ApplUI/Pages/CreativePages/CustomReportCreativeDetail.aspx?App=23&amp;ReportView=4&amp;Qid=1711279&amp;Row=16079&amp;Col=1","No Title Assigned - #15276340285")</f>
        <v/>
      </c>
      <c r="B16087" s="0" t="s">
        <v>21379</v>
      </c>
      <c r="E16087" s="0" t="inlineStr">
        <is>
          <t xml:space="preserve">Mazda</t>
        </is>
      </c>
      <c r="F16087" s="0" t="inlineStr">
        <is>
          <t xml:space="preserve">Mazda</t>
        </is>
      </c>
      <c r="G16087" s="0" t="s">
        <v>171</v>
      </c>
      <c r="H16087" s="5">
        <v>248.285000</v>
      </c>
    </row>
    <row r="16088" spans="1:9">
      <c r="A16088" s="22" t="str">
        <f>HYPERLINK("https://app.vivvix.com/360/KMI/IntelliDrive/ApplUI/Pages/CreativePages/CustomReportCreativeDetail.aspx?App=23&amp;ReportView=4&amp;Qid=1711279&amp;Row=16080&amp;Col=1","No Title Assigned - #15276340368")</f>
        <v/>
      </c>
      <c r="B16088" s="0" t="s">
        <v>21380</v>
      </c>
      <c r="E16088" s="0" t="inlineStr">
        <is>
          <t xml:space="preserve">Mazda</t>
        </is>
      </c>
      <c r="F16088" s="0" t="inlineStr">
        <is>
          <t xml:space="preserve">Mazda</t>
        </is>
      </c>
      <c r="G16088" s="0" t="s">
        <v>171</v>
      </c>
      <c r="H16088" s="5">
        <v>56.281200</v>
      </c>
    </row>
    <row r="16089" spans="1:9">
      <c r="A16089" s="22" t="str">
        <f>HYPERLINK("https://app.vivvix.com/360/KMI/IntelliDrive/ApplUI/Pages/CreativePages/CustomReportCreativeDetail.aspx?App=23&amp;ReportView=4&amp;Qid=1711279&amp;Row=16081&amp;Col=1","No Title Assigned - #15276340755")</f>
        <v/>
      </c>
      <c r="B16089" s="0" t="s">
        <v>21381</v>
      </c>
      <c r="E16089" s="0" t="inlineStr">
        <is>
          <t xml:space="preserve">Mazda</t>
        </is>
      </c>
      <c r="F16089" s="0" t="inlineStr">
        <is>
          <t xml:space="preserve">Mazda</t>
        </is>
      </c>
      <c r="G16089" s="0" t="s">
        <v>171</v>
      </c>
      <c r="H16089" s="5">
        <v>649.208300</v>
      </c>
    </row>
    <row r="16090" spans="1:9">
      <c r="A16090" s="22" t="str">
        <f>HYPERLINK("https://app.vivvix.com/360/KMI/IntelliDrive/ApplUI/Pages/CreativePages/CustomReportCreativeDetail.aspx?App=23&amp;ReportView=4&amp;Qid=1711279&amp;Row=16082&amp;Col=1","No Title Assigned - #15276340826")</f>
        <v/>
      </c>
      <c r="B16090" s="0" t="s">
        <v>21382</v>
      </c>
      <c r="C16090" s="0" t="s">
        <v>21383</v>
      </c>
      <c r="D16090" s="0" t="s">
        <v>21383</v>
      </c>
      <c r="E16090" s="0" t="inlineStr">
        <is>
          <t xml:space="preserve">Mazda</t>
        </is>
      </c>
      <c r="F16090" s="0" t="s">
        <v>13</v>
      </c>
      <c r="G16090" s="0" t="s">
        <v>49</v>
      </c>
      <c r="H16090" s="5">
        <v>129.773900</v>
      </c>
    </row>
    <row r="16091" spans="1:9">
      <c r="A16091" s="22" t="str">
        <f>HYPERLINK("https://app.vivvix.com/360/KMI/IntelliDrive/ApplUI/Pages/CreativePages/CustomReportCreativeDetail.aspx?App=23&amp;ReportView=4&amp;Qid=1711279&amp;Row=16083&amp;Col=1","No Title Assigned - #15276340965")</f>
        <v/>
      </c>
      <c r="B16091" s="0" t="s">
        <v>21384</v>
      </c>
      <c r="E16091" s="0" t="inlineStr">
        <is>
          <t xml:space="preserve">Mazda</t>
        </is>
      </c>
      <c r="F16091" s="0" t="inlineStr">
        <is>
          <t xml:space="preserve">Mazda</t>
        </is>
      </c>
      <c r="G16091" s="0" t="s">
        <v>171</v>
      </c>
      <c r="H16091" s="5">
        <v>72.185900</v>
      </c>
    </row>
    <row r="16092" spans="1:9">
      <c r="A16092" s="22" t="str">
        <f>HYPERLINK("https://app.vivvix.com/360/KMI/IntelliDrive/ApplUI/Pages/CreativePages/CustomReportCreativeDetail.aspx?App=23&amp;ReportView=4&amp;Qid=1711279&amp;Row=16084&amp;Col=1","No Title Assigned - #15276341090")</f>
        <v/>
      </c>
      <c r="B16092" s="0" t="s">
        <v>21385</v>
      </c>
      <c r="E16092" s="0" t="inlineStr">
        <is>
          <t xml:space="preserve">Mazda</t>
        </is>
      </c>
      <c r="F16092" s="0" t="inlineStr">
        <is>
          <t xml:space="preserve">Mazda</t>
        </is>
      </c>
      <c r="G16092" s="0" t="s">
        <v>171</v>
      </c>
      <c r="H16092" s="5">
        <v>298.664500</v>
      </c>
    </row>
    <row r="16093" spans="1:9">
      <c r="A16093" s="22" t="str">
        <f>HYPERLINK("https://app.vivvix.com/360/KMI/IntelliDrive/ApplUI/Pages/CreativePages/CustomReportCreativeDetail.aspx?App=23&amp;ReportView=4&amp;Qid=1711279&amp;Row=16085&amp;Col=1","No Title Assigned - #15276341265")</f>
        <v/>
      </c>
      <c r="B16093" s="0" t="s">
        <v>21386</v>
      </c>
      <c r="E16093" s="0" t="inlineStr">
        <is>
          <t xml:space="preserve">Mazda</t>
        </is>
      </c>
      <c r="F16093" s="0" t="inlineStr">
        <is>
          <t xml:space="preserve">Mazda</t>
        </is>
      </c>
      <c r="G16093" s="0" t="s">
        <v>171</v>
      </c>
      <c r="H16093" s="5">
        <v>813.987600</v>
      </c>
    </row>
    <row r="16094" spans="1:9">
      <c r="A16094" s="22" t="str">
        <f>HYPERLINK("https://app.vivvix.com/360/KMI/IntelliDrive/ApplUI/Pages/CreativePages/CustomReportCreativeDetail.aspx?App=23&amp;ReportView=4&amp;Qid=1711279&amp;Row=16086&amp;Col=1","No Title Assigned - #15276341355")</f>
        <v/>
      </c>
      <c r="B16094" s="0" t="s">
        <v>21387</v>
      </c>
      <c r="E16094" s="0" t="inlineStr">
        <is>
          <t xml:space="preserve">Mazda</t>
        </is>
      </c>
      <c r="F16094" s="0" t="inlineStr">
        <is>
          <t xml:space="preserve">Mazda</t>
        </is>
      </c>
      <c r="G16094" s="0" t="s">
        <v>171</v>
      </c>
      <c r="H16094" s="5">
        <v>483.193500</v>
      </c>
    </row>
    <row r="16095" spans="1:9">
      <c r="A16095" s="22" t="str">
        <f>HYPERLINK("https://app.vivvix.com/360/KMI/IntelliDrive/ApplUI/Pages/CreativePages/CustomReportCreativeDetail.aspx?App=23&amp;ReportView=4&amp;Qid=1711279&amp;Row=16087&amp;Col=1","No Title Assigned - #15276342320")</f>
        <v/>
      </c>
      <c r="B16095" s="0" t="s">
        <v>21388</v>
      </c>
      <c r="C16095" s="0" t="s">
        <v>21389</v>
      </c>
      <c r="D16095" s="0" t="s">
        <v>21389</v>
      </c>
      <c r="E16095" s="0" t="inlineStr">
        <is>
          <t xml:space="preserve">Mazda</t>
        </is>
      </c>
      <c r="F16095" s="0" t="inlineStr">
        <is>
          <t xml:space="preserve">Mazda</t>
        </is>
      </c>
      <c r="G16095" s="0" t="s">
        <v>171</v>
      </c>
      <c r="H16095" s="5">
        <v>134.530000</v>
      </c>
    </row>
    <row r="16096" spans="1:9">
      <c r="A16096" s="22" t="str">
        <f>HYPERLINK("https://app.vivvix.com/360/KMI/IntelliDrive/ApplUI/Pages/CreativePages/CustomReportCreativeDetail.aspx?App=23&amp;ReportView=4&amp;Qid=1711279&amp;Row=16088&amp;Col=1","No Title Assigned - #15276359114")</f>
        <v/>
      </c>
      <c r="B16096" s="0" t="s">
        <v>21390</v>
      </c>
      <c r="E16096" s="0" t="inlineStr">
        <is>
          <t xml:space="preserve">Mazda</t>
        </is>
      </c>
      <c r="F16096" s="0" t="inlineStr">
        <is>
          <t xml:space="preserve">Mazda</t>
        </is>
      </c>
      <c r="G16096" s="0" t="s">
        <v>171</v>
      </c>
      <c r="H16096" s="5">
        <v>72.685200</v>
      </c>
    </row>
    <row r="16097" spans="1:9">
      <c r="A16097" s="22" t="str">
        <f>HYPERLINK("https://app.vivvix.com/360/KMI/IntelliDrive/ApplUI/Pages/CreativePages/CustomReportCreativeDetail.aspx?App=23&amp;ReportView=4&amp;Qid=1711279&amp;Row=16089&amp;Col=1","No Title Assigned - #15276360187")</f>
        <v/>
      </c>
      <c r="B16097" s="0" t="s">
        <v>21391</v>
      </c>
      <c r="E16097" s="0" t="inlineStr">
        <is>
          <t xml:space="preserve">Mazda</t>
        </is>
      </c>
      <c r="F16097" s="0" t="inlineStr">
        <is>
          <t xml:space="preserve">Mazda</t>
        </is>
      </c>
      <c r="G16097" s="0" t="s">
        <v>171</v>
      </c>
      <c r="H16097" s="5">
        <v>45.534400</v>
      </c>
    </row>
    <row r="16098" spans="1:9">
      <c r="A16098" s="22" t="str">
        <f>HYPERLINK("https://app.vivvix.com/360/KMI/IntelliDrive/ApplUI/Pages/CreativePages/CustomReportCreativeDetail.aspx?App=23&amp;ReportView=4&amp;Qid=1711279&amp;Row=16090&amp;Col=1","No Title Assigned - #15276360857")</f>
        <v/>
      </c>
      <c r="B16098" s="0" t="s">
        <v>21392</v>
      </c>
      <c r="E16098" s="0" t="inlineStr">
        <is>
          <t xml:space="preserve">Mazda</t>
        </is>
      </c>
      <c r="F16098" s="0" t="inlineStr">
        <is>
          <t xml:space="preserve">Mazda</t>
        </is>
      </c>
      <c r="G16098" s="0" t="s">
        <v>171</v>
      </c>
      <c r="H16098" s="5">
        <v>72.685200</v>
      </c>
    </row>
    <row r="16099" spans="1:9">
      <c r="A16099" s="22" t="str">
        <f>HYPERLINK("https://app.vivvix.com/360/KMI/IntelliDrive/ApplUI/Pages/CreativePages/CustomReportCreativeDetail.aspx?App=23&amp;ReportView=4&amp;Qid=1711279&amp;Row=16091&amp;Col=1","No Title Assigned - #15276365415")</f>
        <v/>
      </c>
      <c r="B16099" s="0" t="s">
        <v>21393</v>
      </c>
      <c r="C16099" s="0" t="s">
        <v>21394</v>
      </c>
      <c r="D16099" s="0" t="s">
        <v>21394</v>
      </c>
      <c r="E16099" s="0" t="inlineStr">
        <is>
          <t xml:space="preserve">Mazda</t>
        </is>
      </c>
      <c r="F16099" s="0" t="s">
        <v>13</v>
      </c>
      <c r="G16099" s="0" t="s">
        <v>49</v>
      </c>
      <c r="H16099" s="5">
        <v>31.475200</v>
      </c>
    </row>
    <row r="16100" spans="1:9">
      <c r="A16100" s="22" t="str">
        <f>HYPERLINK("https://app.vivvix.com/360/KMI/IntelliDrive/ApplUI/Pages/CreativePages/CustomReportCreativeDetail.aspx?App=23&amp;ReportView=4&amp;Qid=1711279&amp;Row=16092&amp;Col=1","No Title Assigned - #15276365561")</f>
        <v/>
      </c>
      <c r="B16100" s="0" t="s">
        <v>21395</v>
      </c>
      <c r="C16100" s="0" t="s">
        <v>21396</v>
      </c>
      <c r="D16100" s="0" t="s">
        <v>21329</v>
      </c>
      <c r="E16100" s="0" t="inlineStr">
        <is>
          <t xml:space="preserve">Mazda</t>
        </is>
      </c>
      <c r="F16100" s="0" t="s">
        <v>13</v>
      </c>
      <c r="G16100" s="0" t="s">
        <v>49</v>
      </c>
      <c r="H16100" s="5">
        <v>129.773900</v>
      </c>
    </row>
    <row r="16101" spans="1:9">
      <c r="A16101" s="22" t="str">
        <f>HYPERLINK("https://app.vivvix.com/360/KMI/IntelliDrive/ApplUI/Pages/CreativePages/CustomReportCreativeDetail.aspx?App=23&amp;ReportView=4&amp;Qid=1711279&amp;Row=16093&amp;Col=1","No Title Assigned - #15276374844")</f>
        <v/>
      </c>
      <c r="B16101" s="0" t="s">
        <v>21397</v>
      </c>
      <c r="C16101" s="0" t="s">
        <v>21398</v>
      </c>
      <c r="D16101" s="0" t="s">
        <v>4774</v>
      </c>
      <c r="E16101" s="0" t="inlineStr">
        <is>
          <t xml:space="preserve">Mazda</t>
        </is>
      </c>
      <c r="F16101" s="0" t="s">
        <v>13</v>
      </c>
      <c r="G16101" s="0" t="s">
        <v>49</v>
      </c>
      <c r="H16101" s="5">
        <v>40.072300</v>
      </c>
    </row>
    <row r="16102" spans="1:9">
      <c r="A16102" s="22" t="str">
        <f>HYPERLINK("https://app.vivvix.com/360/KMI/IntelliDrive/ApplUI/Pages/CreativePages/CustomReportCreativeDetail.aspx?App=23&amp;ReportView=4&amp;Qid=1711279&amp;Row=16094&amp;Col=1","No Title Assigned - #15276376977")</f>
        <v/>
      </c>
      <c r="B16102" s="0" t="s">
        <v>21399</v>
      </c>
      <c r="C16102" s="0" t="s">
        <v>21400</v>
      </c>
      <c r="D16102" s="0" t="s">
        <v>4335</v>
      </c>
      <c r="E16102" s="0" t="inlineStr">
        <is>
          <t xml:space="preserve">Mazda</t>
        </is>
      </c>
      <c r="F16102" s="0" t="s">
        <v>13</v>
      </c>
      <c r="G16102" s="0" t="s">
        <v>49</v>
      </c>
      <c r="H16102" s="5">
        <v>409.177600</v>
      </c>
    </row>
    <row r="16103" spans="1:9">
      <c r="A16103" s="22" t="str">
        <f>HYPERLINK("https://app.vivvix.com/360/KMI/IntelliDrive/ApplUI/Pages/CreativePages/CustomReportCreativeDetail.aspx?App=23&amp;ReportView=4&amp;Qid=1711279&amp;Row=16095&amp;Col=1","No Title Assigned - #15276380637")</f>
        <v/>
      </c>
      <c r="B16103" s="0" t="s">
        <v>21401</v>
      </c>
      <c r="C16103" s="0" t="s">
        <v>21402</v>
      </c>
      <c r="D16103" s="0" t="s">
        <v>4768</v>
      </c>
      <c r="E16103" s="0" t="inlineStr">
        <is>
          <t xml:space="preserve">Mazda</t>
        </is>
      </c>
      <c r="F16103" s="0" t="s">
        <v>13</v>
      </c>
      <c r="G16103" s="0" t="s">
        <v>49</v>
      </c>
      <c r="H16103" s="5">
        <v>106.130000</v>
      </c>
    </row>
    <row r="16104" spans="1:9">
      <c r="A16104" s="22" t="str">
        <f>HYPERLINK("https://app.vivvix.com/360/KMI/IntelliDrive/ApplUI/Pages/CreativePages/CustomReportCreativeDetail.aspx?App=23&amp;ReportView=4&amp;Qid=1711279&amp;Row=16096&amp;Col=1","No Title Assigned - #15276380956")</f>
        <v/>
      </c>
      <c r="B16104" s="0" t="s">
        <v>21403</v>
      </c>
      <c r="C16104" s="0" t="s">
        <v>21404</v>
      </c>
      <c r="D16104" s="0" t="s">
        <v>4768</v>
      </c>
      <c r="E16104" s="0" t="inlineStr">
        <is>
          <t xml:space="preserve">Mazda</t>
        </is>
      </c>
      <c r="F16104" s="0" t="s">
        <v>13</v>
      </c>
      <c r="G16104" s="0" t="s">
        <v>49</v>
      </c>
      <c r="H16104" s="5">
        <v>7012.478800</v>
      </c>
    </row>
    <row r="16105" spans="1:9">
      <c r="A16105" s="22" t="str">
        <f>HYPERLINK("https://app.vivvix.com/360/KMI/IntelliDrive/ApplUI/Pages/CreativePages/CustomReportCreativeDetail.aspx?App=23&amp;ReportView=4&amp;Qid=1711279&amp;Row=16097&amp;Col=1","No Title Assigned - #15276384299")</f>
        <v/>
      </c>
      <c r="B16105" s="0" t="s">
        <v>21405</v>
      </c>
      <c r="C16105" s="0" t="s">
        <v>21406</v>
      </c>
      <c r="D16105" s="0" t="s">
        <v>21406</v>
      </c>
      <c r="E16105" s="0" t="inlineStr">
        <is>
          <t xml:space="preserve">Mazda</t>
        </is>
      </c>
      <c r="F16105" s="0" t="s">
        <v>13</v>
      </c>
      <c r="G16105" s="0" t="s">
        <v>49</v>
      </c>
      <c r="H16105" s="5">
        <v>2064.333800</v>
      </c>
    </row>
    <row r="16106" spans="1:9">
      <c r="A16106" s="22" t="str">
        <f>HYPERLINK("https://app.vivvix.com/360/KMI/IntelliDrive/ApplUI/Pages/CreativePages/CustomReportCreativeDetail.aspx?App=23&amp;ReportView=4&amp;Qid=1711279&amp;Row=16098&amp;Col=1","No Title Assigned - #15276385382")</f>
        <v/>
      </c>
      <c r="B16106" s="0" t="s">
        <v>21407</v>
      </c>
      <c r="C16106" s="0" t="s">
        <v>21408</v>
      </c>
      <c r="D16106" s="0" t="s">
        <v>21408</v>
      </c>
      <c r="E16106" s="0" t="inlineStr">
        <is>
          <t xml:space="preserve">Mazda</t>
        </is>
      </c>
      <c r="F16106" s="0" t="s">
        <v>13</v>
      </c>
      <c r="G16106" s="0" t="s">
        <v>49</v>
      </c>
      <c r="H16106" s="5">
        <v>334.365200</v>
      </c>
    </row>
    <row r="16107" spans="1:9">
      <c r="A16107" s="22" t="str">
        <f>HYPERLINK("https://app.vivvix.com/360/KMI/IntelliDrive/ApplUI/Pages/CreativePages/CustomReportCreativeDetail.aspx?App=23&amp;ReportView=4&amp;Qid=1711279&amp;Row=16099&amp;Col=1","No Title Assigned - #15276385550")</f>
        <v/>
      </c>
      <c r="B16107" s="0" t="s">
        <v>21409</v>
      </c>
      <c r="C16107" s="0" t="s">
        <v>21410</v>
      </c>
      <c r="D16107" s="0" t="s">
        <v>21410</v>
      </c>
      <c r="E16107" s="0" t="inlineStr">
        <is>
          <t xml:space="preserve">Mazda</t>
        </is>
      </c>
      <c r="F16107" s="0" t="s">
        <v>21</v>
      </c>
      <c r="G16107" s="0" t="s">
        <v>22</v>
      </c>
      <c r="H16107" s="5">
        <v>4109.296200</v>
      </c>
    </row>
    <row r="16108" spans="1:9">
      <c r="A16108" s="22" t="str">
        <f>HYPERLINK("https://app.vivvix.com/360/KMI/IntelliDrive/ApplUI/Pages/CreativePages/CustomReportCreativeDetail.aspx?App=23&amp;ReportView=4&amp;Qid=1711279&amp;Row=16100&amp;Col=1","No Title Assigned - #15276386092")</f>
        <v/>
      </c>
      <c r="B16108" s="0" t="s">
        <v>21411</v>
      </c>
      <c r="C16108" s="0" t="s">
        <v>21412</v>
      </c>
      <c r="D16108" s="0" t="s">
        <v>21412</v>
      </c>
      <c r="E16108" s="0" t="inlineStr">
        <is>
          <t xml:space="preserve">Mazda</t>
        </is>
      </c>
      <c r="F16108" s="0" t="s">
        <v>13</v>
      </c>
      <c r="G16108" s="0" t="s">
        <v>49</v>
      </c>
      <c r="H16108" s="5">
        <v>114.129000</v>
      </c>
    </row>
    <row r="16109" spans="1:9">
      <c r="A16109" s="22" t="str">
        <f>HYPERLINK("https://app.vivvix.com/360/KMI/IntelliDrive/ApplUI/Pages/CreativePages/CustomReportCreativeDetail.aspx?App=23&amp;ReportView=4&amp;Qid=1711279&amp;Row=16101&amp;Col=1","No Title Assigned - #15276386541")</f>
        <v/>
      </c>
      <c r="B16109" s="0" t="s">
        <v>21413</v>
      </c>
      <c r="C16109" s="0" t="s">
        <v>21414</v>
      </c>
      <c r="D16109" s="0" t="s">
        <v>21414</v>
      </c>
      <c r="E16109" s="0" t="inlineStr">
        <is>
          <t xml:space="preserve">Mazda</t>
        </is>
      </c>
      <c r="F16109" s="0" t="s">
        <v>13</v>
      </c>
      <c r="G16109" s="0" t="s">
        <v>49</v>
      </c>
      <c r="H16109" s="5">
        <v>15.377400</v>
      </c>
    </row>
    <row r="16110" spans="1:9">
      <c r="A16110" s="22" t="str">
        <f>HYPERLINK("https://app.vivvix.com/360/KMI/IntelliDrive/ApplUI/Pages/CreativePages/CustomReportCreativeDetail.aspx?App=23&amp;ReportView=4&amp;Qid=1711279&amp;Row=16102&amp;Col=1","No Title Assigned - #15276386838")</f>
        <v/>
      </c>
      <c r="B16110" s="0" t="s">
        <v>21415</v>
      </c>
      <c r="C16110" s="0" t="s">
        <v>21416</v>
      </c>
      <c r="D16110" s="0" t="s">
        <v>14317</v>
      </c>
      <c r="E16110" s="0" t="inlineStr">
        <is>
          <t xml:space="preserve">Mazda</t>
        </is>
      </c>
      <c r="F16110" s="0" t="s">
        <v>13</v>
      </c>
      <c r="G16110" s="0" t="s">
        <v>49</v>
      </c>
      <c r="H16110" s="5">
        <v>448.534300</v>
      </c>
    </row>
    <row r="16111" spans="1:9">
      <c r="A16111" s="22" t="str">
        <f>HYPERLINK("https://app.vivvix.com/360/KMI/IntelliDrive/ApplUI/Pages/CreativePages/CustomReportCreativeDetail.aspx?App=23&amp;ReportView=4&amp;Qid=1711279&amp;Row=16103&amp;Col=1","No Title Assigned - #15276387181")</f>
        <v/>
      </c>
      <c r="B16111" s="0" t="s">
        <v>21417</v>
      </c>
      <c r="C16111" s="0" t="s">
        <v>21418</v>
      </c>
      <c r="D16111" s="0" t="s">
        <v>4335</v>
      </c>
      <c r="E16111" s="0" t="inlineStr">
        <is>
          <t xml:space="preserve">Mazda</t>
        </is>
      </c>
      <c r="F16111" s="0" t="s">
        <v>13</v>
      </c>
      <c r="G16111" s="0" t="s">
        <v>49</v>
      </c>
      <c r="H16111" s="5">
        <v>258.519800</v>
      </c>
    </row>
    <row r="16112" spans="1:9">
      <c r="A16112" s="22" t="str">
        <f>HYPERLINK("https://app.vivvix.com/360/KMI/IntelliDrive/ApplUI/Pages/CreativePages/CustomReportCreativeDetail.aspx?App=23&amp;ReportView=4&amp;Qid=1711279&amp;Row=16104&amp;Col=1","No Title Assigned - #15276388164")</f>
        <v/>
      </c>
      <c r="B16112" s="0" t="s">
        <v>21419</v>
      </c>
      <c r="E16112" s="0" t="inlineStr">
        <is>
          <t xml:space="preserve">Mazda</t>
        </is>
      </c>
      <c r="F16112" s="0" t="s">
        <v>13</v>
      </c>
      <c r="G16112" s="0" t="s">
        <v>49</v>
      </c>
      <c r="H16112" s="5">
        <v>423.365200</v>
      </c>
    </row>
    <row r="16113" spans="1:9">
      <c r="A16113" s="22" t="str">
        <f>HYPERLINK("https://app.vivvix.com/360/KMI/IntelliDrive/ApplUI/Pages/CreativePages/CustomReportCreativeDetail.aspx?App=23&amp;ReportView=4&amp;Qid=1711279&amp;Row=16105&amp;Col=1","No Title Assigned - #15276388639")</f>
        <v/>
      </c>
      <c r="B16113" s="0" t="s">
        <v>21420</v>
      </c>
      <c r="C16113" s="0" t="s">
        <v>21421</v>
      </c>
      <c r="D16113" s="0" t="s">
        <v>21421</v>
      </c>
      <c r="E16113" s="0" t="inlineStr">
        <is>
          <t xml:space="preserve">Mazda</t>
        </is>
      </c>
      <c r="F16113" s="0" t="s">
        <v>13</v>
      </c>
      <c r="G16113" s="0" t="s">
        <v>49</v>
      </c>
      <c r="H16113" s="5">
        <v>2732.208300</v>
      </c>
    </row>
    <row r="16114" spans="1:9">
      <c r="A16114" s="22" t="str">
        <f>HYPERLINK("https://app.vivvix.com/360/KMI/IntelliDrive/ApplUI/Pages/CreativePages/CustomReportCreativeDetail.aspx?App=23&amp;ReportView=4&amp;Qid=1711279&amp;Row=16106&amp;Col=1","No Title Assigned - #15276388856")</f>
        <v/>
      </c>
      <c r="B16114" s="0" t="s">
        <v>21422</v>
      </c>
      <c r="C16114" s="0" t="s">
        <v>21423</v>
      </c>
      <c r="D16114" s="0" t="s">
        <v>5013</v>
      </c>
      <c r="E16114" s="0" t="inlineStr">
        <is>
          <t xml:space="preserve">Mazda</t>
        </is>
      </c>
      <c r="F16114" s="0" t="s">
        <v>13</v>
      </c>
      <c r="G16114" s="0" t="s">
        <v>49</v>
      </c>
      <c r="H16114" s="5">
        <v>2174.715300</v>
      </c>
    </row>
    <row r="16115" spans="1:9">
      <c r="A16115" s="22" t="str">
        <f>HYPERLINK("https://app.vivvix.com/360/KMI/IntelliDrive/ApplUI/Pages/CreativePages/CustomReportCreativeDetail.aspx?App=23&amp;ReportView=4&amp;Qid=1711279&amp;Row=16107&amp;Col=1","No Title Assigned - #15276389103")</f>
        <v/>
      </c>
      <c r="B16115" s="0" t="s">
        <v>21424</v>
      </c>
      <c r="C16115" s="0" t="s">
        <v>21425</v>
      </c>
      <c r="D16115" s="0" t="s">
        <v>21329</v>
      </c>
      <c r="E16115" s="0" t="inlineStr">
        <is>
          <t xml:space="preserve">Mazda</t>
        </is>
      </c>
      <c r="F16115" s="0" t="s">
        <v>13</v>
      </c>
      <c r="G16115" s="0" t="s">
        <v>49</v>
      </c>
      <c r="H16115" s="5">
        <v>440.652800</v>
      </c>
    </row>
    <row r="16116" spans="1:9">
      <c r="A16116" s="22" t="str">
        <f>HYPERLINK("https://app.vivvix.com/360/KMI/IntelliDrive/ApplUI/Pages/CreativePages/CustomReportCreativeDetail.aspx?App=23&amp;ReportView=4&amp;Qid=1711279&amp;Row=16108&amp;Col=1","No Title Assigned - #15276389503")</f>
        <v/>
      </c>
      <c r="B16116" s="0" t="s">
        <v>21426</v>
      </c>
      <c r="C16116" s="0" t="s">
        <v>21427</v>
      </c>
      <c r="D16116" s="0" t="s">
        <v>21427</v>
      </c>
      <c r="E16116" s="0" t="inlineStr">
        <is>
          <t xml:space="preserve">Mazda</t>
        </is>
      </c>
      <c r="F16116" s="0" t="s">
        <v>13</v>
      </c>
      <c r="G16116" s="0" t="s">
        <v>49</v>
      </c>
      <c r="H16116" s="5">
        <v>5997.263600</v>
      </c>
    </row>
    <row r="16117" spans="1:9">
      <c r="A16117" s="22" t="str">
        <f>HYPERLINK("https://app.vivvix.com/360/KMI/IntelliDrive/ApplUI/Pages/CreativePages/CustomReportCreativeDetail.aspx?App=23&amp;ReportView=4&amp;Qid=1711279&amp;Row=16109&amp;Col=1","No Title Assigned - #15276389909")</f>
        <v/>
      </c>
      <c r="B16117" s="0" t="s">
        <v>21428</v>
      </c>
      <c r="C16117" s="0" t="s">
        <v>21429</v>
      </c>
      <c r="D16117" s="0" t="s">
        <v>21429</v>
      </c>
      <c r="E16117" s="0" t="inlineStr">
        <is>
          <t xml:space="preserve">Mazda</t>
        </is>
      </c>
      <c r="F16117" s="0" t="s">
        <v>13</v>
      </c>
      <c r="G16117" s="0" t="s">
        <v>49</v>
      </c>
      <c r="H16117" s="5">
        <v>1863.318200</v>
      </c>
    </row>
    <row r="16118" spans="1:9">
      <c r="A16118" s="22" t="str">
        <f>HYPERLINK("https://app.vivvix.com/360/KMI/IntelliDrive/ApplUI/Pages/CreativePages/CustomReportCreativeDetail.aspx?App=23&amp;ReportView=4&amp;Qid=1711279&amp;Row=16110&amp;Col=1","No Title Assigned - #15276389919")</f>
        <v/>
      </c>
      <c r="B16118" s="0" t="s">
        <v>21430</v>
      </c>
      <c r="C16118" s="0" t="s">
        <v>21431</v>
      </c>
      <c r="D16118" s="0" t="s">
        <v>5013</v>
      </c>
      <c r="E16118" s="0" t="inlineStr">
        <is>
          <t xml:space="preserve">Mazda</t>
        </is>
      </c>
      <c r="F16118" s="0" t="s">
        <v>13</v>
      </c>
      <c r="G16118" s="0" t="s">
        <v>49</v>
      </c>
      <c r="H16118" s="5">
        <v>305.508900</v>
      </c>
    </row>
    <row r="16119" spans="1:9">
      <c r="A16119" s="22" t="str">
        <f>HYPERLINK("https://app.vivvix.com/360/KMI/IntelliDrive/ApplUI/Pages/CreativePages/CustomReportCreativeDetail.aspx?App=23&amp;ReportView=4&amp;Qid=1711279&amp;Row=16111&amp;Col=1","No Title Assigned - #15276393081")</f>
        <v/>
      </c>
      <c r="B16119" s="0" t="s">
        <v>21432</v>
      </c>
      <c r="E16119" s="0" t="inlineStr">
        <is>
          <t xml:space="preserve">Mazda</t>
        </is>
      </c>
      <c r="F16119" s="0" t="s">
        <v>13</v>
      </c>
      <c r="G16119" s="0" t="s">
        <v>49</v>
      </c>
      <c r="H16119" s="5">
        <v>283.276800</v>
      </c>
    </row>
    <row r="16120" spans="1:9">
      <c r="A16120" s="22" t="str">
        <f>HYPERLINK("https://app.vivvix.com/360/KMI/IntelliDrive/ApplUI/Pages/CreativePages/CustomReportCreativeDetail.aspx?App=23&amp;ReportView=4&amp;Qid=1711279&amp;Row=16112&amp;Col=1","No Title Assigned - #15276393331")</f>
        <v/>
      </c>
      <c r="B16120" s="0" t="s">
        <v>21433</v>
      </c>
      <c r="C16120" s="0" t="s">
        <v>21434</v>
      </c>
      <c r="D16120" s="0" t="s">
        <v>14856</v>
      </c>
      <c r="E16120" s="0" t="inlineStr">
        <is>
          <t xml:space="preserve">Mazda</t>
        </is>
      </c>
      <c r="F16120" s="0" t="s">
        <v>13</v>
      </c>
      <c r="G16120" s="0" t="s">
        <v>49</v>
      </c>
      <c r="H16120" s="5">
        <v>129.773900</v>
      </c>
    </row>
    <row r="16121" spans="1:9">
      <c r="A16121" s="22" t="str">
        <f>HYPERLINK("https://app.vivvix.com/360/KMI/IntelliDrive/ApplUI/Pages/CreativePages/CustomReportCreativeDetail.aspx?App=23&amp;ReportView=4&amp;Qid=1711279&amp;Row=16113&amp;Col=1","No Title Assigned - #15276393346")</f>
        <v/>
      </c>
      <c r="B16121" s="0" t="s">
        <v>21435</v>
      </c>
      <c r="C16121" s="0" t="s">
        <v>21436</v>
      </c>
      <c r="D16121" s="0" t="s">
        <v>8588</v>
      </c>
      <c r="E16121" s="0" t="inlineStr">
        <is>
          <t xml:space="preserve">Mazda</t>
        </is>
      </c>
      <c r="F16121" s="0" t="s">
        <v>13</v>
      </c>
      <c r="G16121" s="0" t="s">
        <v>49</v>
      </c>
      <c r="H16121" s="5">
        <v>499.845300</v>
      </c>
    </row>
    <row r="16122" spans="1:9">
      <c r="A16122" s="22" t="str">
        <f>HYPERLINK("https://app.vivvix.com/360/KMI/IntelliDrive/ApplUI/Pages/CreativePages/CustomReportCreativeDetail.aspx?App=23&amp;ReportView=4&amp;Qid=1711279&amp;Row=16114&amp;Col=1","No Title Assigned - #15276393501")</f>
        <v/>
      </c>
      <c r="B16122" s="0" t="s">
        <v>21437</v>
      </c>
      <c r="C16122" s="0" t="s">
        <v>21438</v>
      </c>
      <c r="D16122" s="0" t="s">
        <v>10004</v>
      </c>
      <c r="E16122" s="0" t="inlineStr">
        <is>
          <t xml:space="preserve">Mazda</t>
        </is>
      </c>
      <c r="F16122" s="0" t="s">
        <v>13</v>
      </c>
      <c r="G16122" s="0" t="s">
        <v>49</v>
      </c>
      <c r="H16122" s="5">
        <v>129.773900</v>
      </c>
    </row>
    <row r="16123" spans="1:9">
      <c r="A16123" s="22" t="str">
        <f>HYPERLINK("https://app.vivvix.com/360/KMI/IntelliDrive/ApplUI/Pages/CreativePages/CustomReportCreativeDetail.aspx?App=23&amp;ReportView=4&amp;Qid=1711279&amp;Row=16115&amp;Col=1","No Title Assigned - #15276393542")</f>
        <v/>
      </c>
      <c r="B16123" s="0" t="s">
        <v>21439</v>
      </c>
      <c r="C16123" s="0" t="s">
        <v>21440</v>
      </c>
      <c r="D16123" s="0" t="s">
        <v>21440</v>
      </c>
      <c r="E16123" s="0" t="inlineStr">
        <is>
          <t xml:space="preserve">Mazda</t>
        </is>
      </c>
      <c r="F16123" s="0" t="s">
        <v>13</v>
      </c>
      <c r="G16123" s="0" t="s">
        <v>49</v>
      </c>
      <c r="H16123" s="5">
        <v>81.876000</v>
      </c>
    </row>
    <row r="16124" spans="1:9">
      <c r="A16124" s="22" t="str">
        <f>HYPERLINK("https://app.vivvix.com/360/KMI/IntelliDrive/ApplUI/Pages/CreativePages/CustomReportCreativeDetail.aspx?App=23&amp;ReportView=4&amp;Qid=1711279&amp;Row=16116&amp;Col=1","No Title Assigned - #15276394727")</f>
        <v/>
      </c>
      <c r="B16124" s="0" t="s">
        <v>21441</v>
      </c>
      <c r="C16124" s="0" t="s">
        <v>21442</v>
      </c>
      <c r="D16124" s="0" t="s">
        <v>21442</v>
      </c>
      <c r="E16124" s="0" t="inlineStr">
        <is>
          <t xml:space="preserve">Mazda</t>
        </is>
      </c>
      <c r="F16124" s="0" t="s">
        <v>13</v>
      </c>
      <c r="G16124" s="0" t="s">
        <v>49</v>
      </c>
      <c r="H16124" s="5">
        <v>29.002800</v>
      </c>
    </row>
    <row r="16125" spans="1:9">
      <c r="A16125" s="22" t="str">
        <f>HYPERLINK("https://app.vivvix.com/360/KMI/IntelliDrive/ApplUI/Pages/CreativePages/CustomReportCreativeDetail.aspx?App=23&amp;ReportView=4&amp;Qid=1711279&amp;Row=16117&amp;Col=1","No Title Assigned - #15276395999")</f>
        <v/>
      </c>
      <c r="B16125" s="0" t="s">
        <v>21443</v>
      </c>
      <c r="C16125" s="0" t="s">
        <v>21444</v>
      </c>
      <c r="D16125" s="0" t="s">
        <v>10311</v>
      </c>
      <c r="E16125" s="0" t="inlineStr">
        <is>
          <t xml:space="preserve">Mazda</t>
        </is>
      </c>
      <c r="F16125" s="0" t="s">
        <v>13</v>
      </c>
      <c r="G16125" s="0" t="s">
        <v>49</v>
      </c>
      <c r="H16125" s="5">
        <v>94.227700</v>
      </c>
    </row>
    <row r="16126" spans="1:9">
      <c r="A16126" s="22" t="str">
        <f>HYPERLINK("https://app.vivvix.com/360/KMI/IntelliDrive/ApplUI/Pages/CreativePages/CustomReportCreativeDetail.aspx?App=23&amp;ReportView=4&amp;Qid=1711279&amp;Row=16118&amp;Col=1","No Title Assigned - #15276396000")</f>
        <v/>
      </c>
      <c r="B16126" s="0" t="s">
        <v>21445</v>
      </c>
      <c r="C16126" s="0" t="s">
        <v>21446</v>
      </c>
      <c r="D16126" s="0" t="s">
        <v>9364</v>
      </c>
      <c r="E16126" s="0" t="inlineStr">
        <is>
          <t xml:space="preserve">Mazda</t>
        </is>
      </c>
      <c r="F16126" s="0" t="s">
        <v>13</v>
      </c>
      <c r="G16126" s="0" t="s">
        <v>49</v>
      </c>
      <c r="H16126" s="5">
        <v>94.227700</v>
      </c>
    </row>
    <row r="16127" spans="1:9">
      <c r="A16127" s="22" t="str">
        <f>HYPERLINK("https://app.vivvix.com/360/KMI/IntelliDrive/ApplUI/Pages/CreativePages/CustomReportCreativeDetail.aspx?App=23&amp;ReportView=4&amp;Qid=1711279&amp;Row=16119&amp;Col=1","No Title Assigned - #15276396620")</f>
        <v/>
      </c>
      <c r="B16127" s="0" t="s">
        <v>21447</v>
      </c>
      <c r="C16127" s="0" t="s">
        <v>21448</v>
      </c>
      <c r="D16127" s="0" t="s">
        <v>4774</v>
      </c>
      <c r="E16127" s="0" t="inlineStr">
        <is>
          <t xml:space="preserve">Mazda</t>
        </is>
      </c>
      <c r="F16127" s="0" t="s">
        <v>13</v>
      </c>
      <c r="G16127" s="0" t="s">
        <v>49</v>
      </c>
      <c r="H16127" s="5">
        <v>91.991200</v>
      </c>
    </row>
    <row r="16128" spans="1:9">
      <c r="A16128" s="22" t="str">
        <f>HYPERLINK("https://app.vivvix.com/360/KMI/IntelliDrive/ApplUI/Pages/CreativePages/CustomReportCreativeDetail.aspx?App=23&amp;ReportView=4&amp;Qid=1711279&amp;Row=16120&amp;Col=1","No Title Assigned - #15276396976")</f>
        <v/>
      </c>
      <c r="B16128" s="0" t="s">
        <v>21449</v>
      </c>
      <c r="C16128" s="0" t="s">
        <v>21450</v>
      </c>
      <c r="D16128" s="0" t="s">
        <v>9939</v>
      </c>
      <c r="E16128" s="0" t="inlineStr">
        <is>
          <t xml:space="preserve">Mazda</t>
        </is>
      </c>
      <c r="F16128" s="0" t="s">
        <v>13</v>
      </c>
      <c r="G16128" s="0" t="s">
        <v>49</v>
      </c>
      <c r="H16128" s="5">
        <v>6.565100</v>
      </c>
    </row>
    <row r="16129" spans="1:9">
      <c r="A16129" s="22" t="str">
        <f>HYPERLINK("https://app.vivvix.com/360/KMI/IntelliDrive/ApplUI/Pages/CreativePages/CustomReportCreativeDetail.aspx?App=23&amp;ReportView=4&amp;Qid=1711279&amp;Row=16121&amp;Col=1","No Title Assigned - #15276397112")</f>
        <v/>
      </c>
      <c r="B16129" s="0" t="s">
        <v>21451</v>
      </c>
      <c r="C16129" s="0" t="s">
        <v>21452</v>
      </c>
      <c r="D16129" s="0" t="s">
        <v>21452</v>
      </c>
      <c r="E16129" s="0" t="inlineStr">
        <is>
          <t xml:space="preserve">Mazda</t>
        </is>
      </c>
      <c r="F16129" s="0" t="s">
        <v>13</v>
      </c>
      <c r="G16129" s="0" t="s">
        <v>49</v>
      </c>
      <c r="H16129" s="5">
        <v>2715.750300</v>
      </c>
    </row>
    <row r="16130" spans="1:9">
      <c r="A16130" s="22" t="str">
        <f>HYPERLINK("https://app.vivvix.com/360/KMI/IntelliDrive/ApplUI/Pages/CreativePages/CustomReportCreativeDetail.aspx?App=23&amp;ReportView=4&amp;Qid=1711279&amp;Row=16122&amp;Col=1","No Title Assigned - #15276397273")</f>
        <v/>
      </c>
      <c r="B16130" s="0" t="s">
        <v>21453</v>
      </c>
      <c r="C16130" s="0" t="s">
        <v>21454</v>
      </c>
      <c r="D16130" s="0" t="s">
        <v>17856</v>
      </c>
      <c r="E16130" s="0" t="inlineStr">
        <is>
          <t xml:space="preserve">Mazda</t>
        </is>
      </c>
      <c r="F16130" s="0" t="s">
        <v>13</v>
      </c>
      <c r="G16130" s="0" t="s">
        <v>49</v>
      </c>
      <c r="H16130" s="5">
        <v>221.926400</v>
      </c>
    </row>
    <row r="16131" spans="1:9">
      <c r="A16131" s="22" t="str">
        <f>HYPERLINK("https://app.vivvix.com/360/KMI/IntelliDrive/ApplUI/Pages/CreativePages/CustomReportCreativeDetail.aspx?App=23&amp;ReportView=4&amp;Qid=1711279&amp;Row=16123&amp;Col=1","No Title Assigned - #15276397395")</f>
        <v/>
      </c>
      <c r="B16131" s="0" t="s">
        <v>21455</v>
      </c>
      <c r="C16131" s="0" t="s">
        <v>21456</v>
      </c>
      <c r="D16131" s="0" t="s">
        <v>21456</v>
      </c>
      <c r="E16131" s="0" t="inlineStr">
        <is>
          <t xml:space="preserve">Mazda</t>
        </is>
      </c>
      <c r="F16131" s="0" t="s">
        <v>13</v>
      </c>
      <c r="G16131" s="0" t="s">
        <v>49</v>
      </c>
      <c r="H16131" s="5">
        <v>3064.150400</v>
      </c>
    </row>
    <row r="16132" spans="1:9">
      <c r="A16132" s="22" t="str">
        <f>HYPERLINK("https://app.vivvix.com/360/KMI/IntelliDrive/ApplUI/Pages/CreativePages/CustomReportCreativeDetail.aspx?App=23&amp;ReportView=4&amp;Qid=1711279&amp;Row=16124&amp;Col=1","No Title Assigned - #15276398720")</f>
        <v/>
      </c>
      <c r="B16132" s="0" t="s">
        <v>21457</v>
      </c>
      <c r="C16132" s="0" t="s">
        <v>21458</v>
      </c>
      <c r="D16132" s="0" t="s">
        <v>21458</v>
      </c>
      <c r="E16132" s="0" t="inlineStr">
        <is>
          <t xml:space="preserve">Mazda</t>
        </is>
      </c>
      <c r="F16132" s="0" t="s">
        <v>13</v>
      </c>
      <c r="G16132" s="0" t="s">
        <v>49</v>
      </c>
      <c r="H16132" s="5">
        <v>287.676300</v>
      </c>
    </row>
    <row r="16133" spans="1:9">
      <c r="A16133" s="22" t="str">
        <f>HYPERLINK("https://app.vivvix.com/360/KMI/IntelliDrive/ApplUI/Pages/CreativePages/CustomReportCreativeDetail.aspx?App=23&amp;ReportView=4&amp;Qid=1711279&amp;Row=16125&amp;Col=1","No Title Assigned - #15276398862")</f>
        <v/>
      </c>
      <c r="B16133" s="0" t="s">
        <v>21459</v>
      </c>
      <c r="E16133" s="0" t="inlineStr">
        <is>
          <t xml:space="preserve">Mazda</t>
        </is>
      </c>
      <c r="F16133" s="0" t="s">
        <v>13</v>
      </c>
      <c r="G16133" s="0" t="s">
        <v>49</v>
      </c>
      <c r="H16133" s="5">
        <v>2871.978500</v>
      </c>
    </row>
    <row r="16134" spans="1:9">
      <c r="A16134" s="22" t="str">
        <f>HYPERLINK("https://app.vivvix.com/360/KMI/IntelliDrive/ApplUI/Pages/CreativePages/CustomReportCreativeDetail.aspx?App=23&amp;ReportView=4&amp;Qid=1711279&amp;Row=16126&amp;Col=1","No Title Assigned - #15276398862")</f>
        <v/>
      </c>
      <c r="B16134" s="0" t="s">
        <v>21459</v>
      </c>
      <c r="C16134" s="0" t="s">
        <v>21460</v>
      </c>
      <c r="D16134" s="0" t="s">
        <v>5013</v>
      </c>
      <c r="E16134" s="0" t="inlineStr">
        <is>
          <t xml:space="preserve">Mazda</t>
        </is>
      </c>
      <c r="F16134" s="0" t="s">
        <v>13</v>
      </c>
      <c r="G16134" s="0" t="s">
        <v>49</v>
      </c>
      <c r="H16134" s="5">
        <v>337.886400</v>
      </c>
    </row>
    <row r="16135" spans="1:9">
      <c r="A16135" s="22" t="str">
        <f>HYPERLINK("https://app.vivvix.com/360/KMI/IntelliDrive/ApplUI/Pages/CreativePages/CustomReportCreativeDetail.aspx?App=23&amp;ReportView=4&amp;Qid=1711279&amp;Row=16127&amp;Col=1","No Title Assigned - #15276399532")</f>
        <v/>
      </c>
      <c r="B16135" s="0" t="s">
        <v>21461</v>
      </c>
      <c r="C16135" s="0" t="s">
        <v>21462</v>
      </c>
      <c r="D16135" s="0" t="s">
        <v>21462</v>
      </c>
      <c r="E16135" s="0" t="inlineStr">
        <is>
          <t xml:space="preserve">Mazda</t>
        </is>
      </c>
      <c r="F16135" s="0" t="s">
        <v>13</v>
      </c>
      <c r="G16135" s="0" t="s">
        <v>49</v>
      </c>
      <c r="H16135" s="5">
        <v>21.117100</v>
      </c>
    </row>
    <row r="16136" spans="1:9">
      <c r="A16136" s="22" t="str">
        <f>HYPERLINK("https://app.vivvix.com/360/KMI/IntelliDrive/ApplUI/Pages/CreativePages/CustomReportCreativeDetail.aspx?App=23&amp;ReportView=4&amp;Qid=1711279&amp;Row=16128&amp;Col=1","No Title Assigned - #15276400070")</f>
        <v/>
      </c>
      <c r="B16136" s="0" t="s">
        <v>21463</v>
      </c>
      <c r="C16136" s="0" t="s">
        <v>21464</v>
      </c>
      <c r="D16136" s="0" t="s">
        <v>4938</v>
      </c>
      <c r="E16136" s="0" t="inlineStr">
        <is>
          <t xml:space="preserve">Mazda</t>
        </is>
      </c>
      <c r="F16136" s="0" t="s">
        <v>13</v>
      </c>
      <c r="G16136" s="0" t="s">
        <v>49</v>
      </c>
      <c r="H16136" s="5">
        <v>476.618700</v>
      </c>
    </row>
    <row r="16137" spans="1:9">
      <c r="A16137" s="22" t="str">
        <f>HYPERLINK("https://app.vivvix.com/360/KMI/IntelliDrive/ApplUI/Pages/CreativePages/CustomReportCreativeDetail.aspx?App=23&amp;ReportView=4&amp;Qid=1711279&amp;Row=16129&amp;Col=1","No Title Assigned - #15276400078")</f>
        <v/>
      </c>
      <c r="B16137" s="0" t="s">
        <v>21465</v>
      </c>
      <c r="C16137" s="0" t="s">
        <v>21466</v>
      </c>
      <c r="D16137" s="0" t="s">
        <v>10311</v>
      </c>
      <c r="E16137" s="0" t="inlineStr">
        <is>
          <t xml:space="preserve">Mazda</t>
        </is>
      </c>
      <c r="F16137" s="0" t="s">
        <v>13</v>
      </c>
      <c r="G16137" s="0" t="s">
        <v>49</v>
      </c>
      <c r="H16137" s="5">
        <v>44.917600</v>
      </c>
    </row>
    <row r="16138" spans="1:9">
      <c r="A16138" s="22" t="str">
        <f>HYPERLINK("https://app.vivvix.com/360/KMI/IntelliDrive/ApplUI/Pages/CreativePages/CustomReportCreativeDetail.aspx?App=23&amp;ReportView=4&amp;Qid=1711279&amp;Row=16130&amp;Col=1","No Title Assigned - #15276400918")</f>
        <v/>
      </c>
      <c r="B16138" s="0" t="s">
        <v>21467</v>
      </c>
      <c r="C16138" s="0" t="s">
        <v>21468</v>
      </c>
      <c r="D16138" s="0" t="s">
        <v>6404</v>
      </c>
      <c r="E16138" s="0" t="inlineStr">
        <is>
          <t xml:space="preserve">Mazda</t>
        </is>
      </c>
      <c r="F16138" s="0" t="s">
        <v>13</v>
      </c>
      <c r="G16138" s="0" t="s">
        <v>49</v>
      </c>
      <c r="H16138" s="5">
        <v>5.910100</v>
      </c>
    </row>
    <row r="16139" spans="1:9">
      <c r="A16139" s="22" t="str">
        <f>HYPERLINK("https://app.vivvix.com/360/KMI/IntelliDrive/ApplUI/Pages/CreativePages/CustomReportCreativeDetail.aspx?App=23&amp;ReportView=4&amp;Qid=1711279&amp;Row=16131&amp;Col=1","No Title Assigned - #15276400935")</f>
        <v/>
      </c>
      <c r="B16139" s="0" t="s">
        <v>21469</v>
      </c>
      <c r="C16139" s="0" t="s">
        <v>21470</v>
      </c>
      <c r="D16139" s="0" t="s">
        <v>21470</v>
      </c>
      <c r="E16139" s="0" t="inlineStr">
        <is>
          <t xml:space="preserve">Mazda</t>
        </is>
      </c>
      <c r="F16139" s="0" t="s">
        <v>13</v>
      </c>
      <c r="G16139" s="0" t="s">
        <v>49</v>
      </c>
      <c r="H16139" s="5">
        <v>150.568900</v>
      </c>
    </row>
    <row r="16140" spans="1:9">
      <c r="A16140" s="22" t="str">
        <f>HYPERLINK("https://app.vivvix.com/360/KMI/IntelliDrive/ApplUI/Pages/CreativePages/CustomReportCreativeDetail.aspx?App=23&amp;ReportView=4&amp;Qid=1711279&amp;Row=16132&amp;Col=1","No Title Assigned - #15276400945")</f>
        <v/>
      </c>
      <c r="B16140" s="0" t="s">
        <v>21471</v>
      </c>
      <c r="C16140" s="0" t="s">
        <v>21472</v>
      </c>
      <c r="D16140" s="0" t="s">
        <v>21472</v>
      </c>
      <c r="E16140" s="0" t="inlineStr">
        <is>
          <t xml:space="preserve">Mazda</t>
        </is>
      </c>
      <c r="F16140" s="0" t="s">
        <v>13</v>
      </c>
      <c r="G16140" s="0" t="s">
        <v>49</v>
      </c>
      <c r="H16140" s="5">
        <v>265.205900</v>
      </c>
    </row>
    <row r="16141" spans="1:9">
      <c r="A16141" s="22" t="str">
        <f>HYPERLINK("https://app.vivvix.com/360/KMI/IntelliDrive/ApplUI/Pages/CreativePages/CustomReportCreativeDetail.aspx?App=23&amp;ReportView=4&amp;Qid=1711279&amp;Row=16133&amp;Col=1","No Title Assigned - #15276401358")</f>
        <v/>
      </c>
      <c r="B16141" s="0" t="s">
        <v>21473</v>
      </c>
      <c r="C16141" s="0" t="s">
        <v>21474</v>
      </c>
      <c r="D16141" s="0" t="s">
        <v>21474</v>
      </c>
      <c r="E16141" s="0" t="inlineStr">
        <is>
          <t xml:space="preserve">Mazda</t>
        </is>
      </c>
      <c r="F16141" s="0" t="inlineStr">
        <is>
          <t xml:space="preserve">Mazda</t>
        </is>
      </c>
      <c r="G16141" s="0" t="s">
        <v>210</v>
      </c>
      <c r="H16141" s="5">
        <v>23.766400</v>
      </c>
    </row>
    <row r="16142" spans="1:9">
      <c r="A16142" s="22" t="str">
        <f>HYPERLINK("https://app.vivvix.com/360/KMI/IntelliDrive/ApplUI/Pages/CreativePages/CustomReportCreativeDetail.aspx?App=23&amp;ReportView=4&amp;Qid=1711279&amp;Row=16134&amp;Col=1","No Title Assigned - #15276401545")</f>
        <v/>
      </c>
      <c r="B16142" s="0" t="s">
        <v>21475</v>
      </c>
      <c r="C16142" s="0" t="s">
        <v>21476</v>
      </c>
      <c r="D16142" s="0" t="s">
        <v>10311</v>
      </c>
      <c r="E16142" s="0" t="inlineStr">
        <is>
          <t xml:space="preserve">Mazda</t>
        </is>
      </c>
      <c r="F16142" s="0" t="s">
        <v>13</v>
      </c>
      <c r="G16142" s="0" t="s">
        <v>49</v>
      </c>
      <c r="H16142" s="5">
        <v>250.732000</v>
      </c>
    </row>
    <row r="16143" spans="1:9">
      <c r="A16143" s="22" t="str">
        <f>HYPERLINK("https://app.vivvix.com/360/KMI/IntelliDrive/ApplUI/Pages/CreativePages/CustomReportCreativeDetail.aspx?App=23&amp;ReportView=4&amp;Qid=1711279&amp;Row=16135&amp;Col=1","No Title Assigned - #15276401576")</f>
        <v/>
      </c>
      <c r="B16143" s="0" t="s">
        <v>21477</v>
      </c>
      <c r="C16143" s="0" t="s">
        <v>21478</v>
      </c>
      <c r="D16143" s="0" t="s">
        <v>21478</v>
      </c>
      <c r="E16143" s="0" t="inlineStr">
        <is>
          <t xml:space="preserve">Mazda</t>
        </is>
      </c>
      <c r="F16143" s="0" t="s">
        <v>13</v>
      </c>
      <c r="G16143" s="0" t="s">
        <v>49</v>
      </c>
      <c r="H16143" s="5">
        <v>36.032300</v>
      </c>
    </row>
    <row r="16144" spans="1:9">
      <c r="A16144" s="22" t="str">
        <f>HYPERLINK("https://app.vivvix.com/360/KMI/IntelliDrive/ApplUI/Pages/CreativePages/CustomReportCreativeDetail.aspx?App=23&amp;ReportView=4&amp;Qid=1711279&amp;Row=16136&amp;Col=1","No Title Assigned - #15276401647")</f>
        <v/>
      </c>
      <c r="B16144" s="0" t="s">
        <v>21479</v>
      </c>
      <c r="C16144" s="0" t="s">
        <v>21480</v>
      </c>
      <c r="D16144" s="0" t="s">
        <v>21480</v>
      </c>
      <c r="E16144" s="0" t="inlineStr">
        <is>
          <t xml:space="preserve">Mazda</t>
        </is>
      </c>
      <c r="F16144" s="0" t="s">
        <v>13</v>
      </c>
      <c r="G16144" s="0" t="s">
        <v>49</v>
      </c>
      <c r="H16144" s="5">
        <v>1904.255400</v>
      </c>
    </row>
    <row r="16145" spans="1:9">
      <c r="A16145" s="22" t="str">
        <f>HYPERLINK("https://app.vivvix.com/360/KMI/IntelliDrive/ApplUI/Pages/CreativePages/CustomReportCreativeDetail.aspx?App=23&amp;ReportView=4&amp;Qid=1711279&amp;Row=16137&amp;Col=1","No Title Assigned - #15276401915")</f>
        <v/>
      </c>
      <c r="B16145" s="0" t="s">
        <v>21481</v>
      </c>
      <c r="C16145" s="0" t="s">
        <v>21482</v>
      </c>
      <c r="D16145" s="0" t="s">
        <v>5013</v>
      </c>
      <c r="E16145" s="0" t="inlineStr">
        <is>
          <t xml:space="preserve">Mazda</t>
        </is>
      </c>
      <c r="F16145" s="0" t="s">
        <v>13</v>
      </c>
      <c r="G16145" s="0" t="s">
        <v>49</v>
      </c>
      <c r="H16145" s="5">
        <v>6.565100</v>
      </c>
    </row>
    <row r="16146" spans="1:9">
      <c r="A16146" s="22" t="str">
        <f>HYPERLINK("https://app.vivvix.com/360/KMI/IntelliDrive/ApplUI/Pages/CreativePages/CustomReportCreativeDetail.aspx?App=23&amp;ReportView=4&amp;Qid=1711279&amp;Row=16138&amp;Col=1","No Title Assigned - #15276402026")</f>
        <v/>
      </c>
      <c r="B16146" s="0" t="s">
        <v>21483</v>
      </c>
      <c r="C16146" s="0" t="s">
        <v>21484</v>
      </c>
      <c r="D16146" s="0" t="s">
        <v>21484</v>
      </c>
      <c r="E16146" s="0" t="inlineStr">
        <is>
          <t xml:space="preserve">Mazda</t>
        </is>
      </c>
      <c r="F16146" s="0" t="s">
        <v>13</v>
      </c>
      <c r="G16146" s="0" t="s">
        <v>49</v>
      </c>
      <c r="H16146" s="5">
        <v>120.286800</v>
      </c>
    </row>
    <row r="16147" spans="1:9">
      <c r="A16147" s="22" t="str">
        <f>HYPERLINK("https://app.vivvix.com/360/KMI/IntelliDrive/ApplUI/Pages/CreativePages/CustomReportCreativeDetail.aspx?App=23&amp;ReportView=4&amp;Qid=1711279&amp;Row=16139&amp;Col=1","No Title Assigned - #15276402198")</f>
        <v/>
      </c>
      <c r="B16147" s="0" t="s">
        <v>21485</v>
      </c>
      <c r="C16147" s="0" t="s">
        <v>21486</v>
      </c>
      <c r="D16147" s="0" t="s">
        <v>4335</v>
      </c>
      <c r="E16147" s="0" t="inlineStr">
        <is>
          <t xml:space="preserve">Mazda</t>
        </is>
      </c>
      <c r="F16147" s="0" t="s">
        <v>13</v>
      </c>
      <c r="G16147" s="0" t="s">
        <v>49</v>
      </c>
      <c r="H16147" s="5">
        <v>227.931000</v>
      </c>
    </row>
    <row r="16148" spans="1:9">
      <c r="A16148" s="22" t="str">
        <f>HYPERLINK("https://app.vivvix.com/360/KMI/IntelliDrive/ApplUI/Pages/CreativePages/CustomReportCreativeDetail.aspx?App=23&amp;ReportView=4&amp;Qid=1711279&amp;Row=16140&amp;Col=1","No Title Assigned - #15276402239")</f>
        <v/>
      </c>
      <c r="B16148" s="0" t="s">
        <v>21487</v>
      </c>
      <c r="C16148" s="0" t="s">
        <v>21488</v>
      </c>
      <c r="D16148" s="0" t="s">
        <v>4774</v>
      </c>
      <c r="E16148" s="0" t="inlineStr">
        <is>
          <t xml:space="preserve">Mazda</t>
        </is>
      </c>
      <c r="F16148" s="0" t="s">
        <v>13</v>
      </c>
      <c r="G16148" s="0" t="s">
        <v>49</v>
      </c>
      <c r="H16148" s="5">
        <v>64.119900</v>
      </c>
    </row>
    <row r="16149" spans="1:9">
      <c r="A16149" s="22" t="str">
        <f>HYPERLINK("https://app.vivvix.com/360/KMI/IntelliDrive/ApplUI/Pages/CreativePages/CustomReportCreativeDetail.aspx?App=23&amp;ReportView=4&amp;Qid=1711279&amp;Row=16141&amp;Col=1","No Title Assigned - #15276402508")</f>
        <v/>
      </c>
      <c r="B16149" s="0" t="s">
        <v>21489</v>
      </c>
      <c r="C16149" s="0" t="s">
        <v>21490</v>
      </c>
      <c r="D16149" s="0" t="s">
        <v>5013</v>
      </c>
      <c r="E16149" s="0" t="inlineStr">
        <is>
          <t xml:space="preserve">Mazda</t>
        </is>
      </c>
      <c r="F16149" s="0" t="s">
        <v>13</v>
      </c>
      <c r="G16149" s="0" t="s">
        <v>49</v>
      </c>
      <c r="H16149" s="5">
        <v>140.077100</v>
      </c>
    </row>
    <row r="16150" spans="1:9">
      <c r="A16150" s="22" t="str">
        <f>HYPERLINK("https://app.vivvix.com/360/KMI/IntelliDrive/ApplUI/Pages/CreativePages/CustomReportCreativeDetail.aspx?App=23&amp;ReportView=4&amp;Qid=1711279&amp;Row=16142&amp;Col=1","No Title Assigned - #15276402662")</f>
        <v/>
      </c>
      <c r="B16150" s="0" t="s">
        <v>21491</v>
      </c>
      <c r="C16150" s="0" t="s">
        <v>21492</v>
      </c>
      <c r="D16150" s="0" t="s">
        <v>21492</v>
      </c>
      <c r="E16150" s="0" t="inlineStr">
        <is>
          <t xml:space="preserve">Mazda</t>
        </is>
      </c>
      <c r="F16150" s="0" t="s">
        <v>13</v>
      </c>
      <c r="G16150" s="0" t="s">
        <v>49</v>
      </c>
      <c r="H16150" s="5">
        <v>177.431100</v>
      </c>
    </row>
    <row r="16151" spans="1:9">
      <c r="A16151" s="22" t="str">
        <f>HYPERLINK("https://app.vivvix.com/360/KMI/IntelliDrive/ApplUI/Pages/CreativePages/CustomReportCreativeDetail.aspx?App=23&amp;ReportView=4&amp;Qid=1711279&amp;Row=16143&amp;Col=1","No Title Assigned - #15276402989")</f>
        <v/>
      </c>
      <c r="B16151" s="0" t="s">
        <v>21493</v>
      </c>
      <c r="C16151" s="0" t="s">
        <v>21494</v>
      </c>
      <c r="D16151" s="0" t="s">
        <v>21494</v>
      </c>
      <c r="E16151" s="0" t="inlineStr">
        <is>
          <t xml:space="preserve">Mazda</t>
        </is>
      </c>
      <c r="F16151" s="0" t="s">
        <v>13</v>
      </c>
      <c r="G16151" s="0" t="s">
        <v>49</v>
      </c>
      <c r="H16151" s="5">
        <v>372.265400</v>
      </c>
    </row>
    <row r="16152" spans="1:9">
      <c r="A16152" s="22" t="str">
        <f>HYPERLINK("https://app.vivvix.com/360/KMI/IntelliDrive/ApplUI/Pages/CreativePages/CustomReportCreativeDetail.aspx?App=23&amp;ReportView=4&amp;Qid=1711279&amp;Row=16144&amp;Col=1","No Title Assigned - #15276403023")</f>
        <v/>
      </c>
      <c r="B16152" s="0" t="s">
        <v>21495</v>
      </c>
      <c r="C16152" s="0" t="s">
        <v>21496</v>
      </c>
      <c r="D16152" s="0" t="s">
        <v>21496</v>
      </c>
      <c r="E16152" s="0" t="inlineStr">
        <is>
          <t xml:space="preserve">Mazda</t>
        </is>
      </c>
      <c r="F16152" s="0" t="s">
        <v>13</v>
      </c>
      <c r="G16152" s="0" t="s">
        <v>49</v>
      </c>
      <c r="H16152" s="5">
        <v>107.368400</v>
      </c>
    </row>
    <row r="16153" spans="1:9">
      <c r="A16153" s="22" t="str">
        <f>HYPERLINK("https://app.vivvix.com/360/KMI/IntelliDrive/ApplUI/Pages/CreativePages/CustomReportCreativeDetail.aspx?App=23&amp;ReportView=4&amp;Qid=1711279&amp;Row=16145&amp;Col=1","No Title Assigned - #15276403118")</f>
        <v/>
      </c>
      <c r="B16153" s="0" t="s">
        <v>21497</v>
      </c>
      <c r="C16153" s="0" t="s">
        <v>21498</v>
      </c>
      <c r="D16153" s="0" t="s">
        <v>21498</v>
      </c>
      <c r="E16153" s="0" t="inlineStr">
        <is>
          <t xml:space="preserve">Mazda</t>
        </is>
      </c>
      <c r="F16153" s="0" t="s">
        <v>13</v>
      </c>
      <c r="G16153" s="0" t="s">
        <v>49</v>
      </c>
      <c r="H16153" s="5">
        <v>278.620500</v>
      </c>
    </row>
    <row r="16154" spans="1:9">
      <c r="A16154" s="22" t="str">
        <f>HYPERLINK("https://app.vivvix.com/360/KMI/IntelliDrive/ApplUI/Pages/CreativePages/CustomReportCreativeDetail.aspx?App=23&amp;ReportView=4&amp;Qid=1711279&amp;Row=16146&amp;Col=1","No Title Assigned - #15276403762")</f>
        <v/>
      </c>
      <c r="B16154" s="0" t="s">
        <v>21499</v>
      </c>
      <c r="C16154" s="0" t="s">
        <v>21500</v>
      </c>
      <c r="D16154" s="0" t="s">
        <v>9800</v>
      </c>
      <c r="E16154" s="0" t="inlineStr">
        <is>
          <t xml:space="preserve">Mazda</t>
        </is>
      </c>
      <c r="F16154" s="0" t="s">
        <v>13</v>
      </c>
      <c r="G16154" s="0" t="s">
        <v>49</v>
      </c>
      <c r="H16154" s="5">
        <v>238.962300</v>
      </c>
    </row>
    <row r="16155" spans="1:9">
      <c r="A16155" s="22" t="str">
        <f>HYPERLINK("https://app.vivvix.com/360/KMI/IntelliDrive/ApplUI/Pages/CreativePages/CustomReportCreativeDetail.aspx?App=23&amp;ReportView=4&amp;Qid=1711279&amp;Row=16147&amp;Col=1","No Title Assigned - #15276403992")</f>
        <v/>
      </c>
      <c r="B16155" s="0" t="s">
        <v>21501</v>
      </c>
      <c r="C16155" s="0" t="s">
        <v>21502</v>
      </c>
      <c r="D16155" s="0" t="s">
        <v>21502</v>
      </c>
      <c r="E16155" s="0" t="inlineStr">
        <is>
          <t xml:space="preserve">Mazda</t>
        </is>
      </c>
      <c r="F16155" s="0" t="s">
        <v>13</v>
      </c>
      <c r="G16155" s="0" t="s">
        <v>49</v>
      </c>
      <c r="H16155" s="5">
        <v>582.323500</v>
      </c>
    </row>
    <row r="16156" spans="1:9">
      <c r="A16156" s="22" t="str">
        <f>HYPERLINK("https://app.vivvix.com/360/KMI/IntelliDrive/ApplUI/Pages/CreativePages/CustomReportCreativeDetail.aspx?App=23&amp;ReportView=4&amp;Qid=1711279&amp;Row=16148&amp;Col=1","No Title Assigned - #15276404034")</f>
        <v/>
      </c>
      <c r="B16156" s="0" t="s">
        <v>21503</v>
      </c>
      <c r="C16156" s="0" t="s">
        <v>21504</v>
      </c>
      <c r="D16156" s="0" t="s">
        <v>21504</v>
      </c>
      <c r="E16156" s="0" t="inlineStr">
        <is>
          <t xml:space="preserve">Mazda</t>
        </is>
      </c>
      <c r="F16156" s="0" t="s">
        <v>13</v>
      </c>
      <c r="G16156" s="0" t="s">
        <v>49</v>
      </c>
      <c r="H16156" s="5">
        <v>839.794800</v>
      </c>
    </row>
    <row r="16157" spans="1:9">
      <c r="A16157" s="22" t="str">
        <f>HYPERLINK("https://app.vivvix.com/360/KMI/IntelliDrive/ApplUI/Pages/CreativePages/CustomReportCreativeDetail.aspx?App=23&amp;ReportView=4&amp;Qid=1711279&amp;Row=16149&amp;Col=1","No Title Assigned - #15276404201")</f>
        <v/>
      </c>
      <c r="B16157" s="0" t="s">
        <v>21505</v>
      </c>
      <c r="C16157" s="0" t="s">
        <v>21506</v>
      </c>
      <c r="D16157" s="0" t="s">
        <v>4335</v>
      </c>
      <c r="E16157" s="0" t="inlineStr">
        <is>
          <t xml:space="preserve">Mazda</t>
        </is>
      </c>
      <c r="F16157" s="0" t="s">
        <v>13</v>
      </c>
      <c r="G16157" s="0" t="s">
        <v>49</v>
      </c>
      <c r="H16157" s="5">
        <v>412.488000</v>
      </c>
    </row>
    <row r="16158" spans="1:9">
      <c r="A16158" s="22" t="str">
        <f>HYPERLINK("https://app.vivvix.com/360/KMI/IntelliDrive/ApplUI/Pages/CreativePages/CustomReportCreativeDetail.aspx?App=23&amp;ReportView=4&amp;Qid=1711279&amp;Row=16150&amp;Col=1","No Title Assigned - #15276404359")</f>
        <v/>
      </c>
      <c r="B16158" s="0" t="s">
        <v>21507</v>
      </c>
      <c r="E16158" s="0" t="inlineStr">
        <is>
          <t xml:space="preserve">Mazda</t>
        </is>
      </c>
      <c r="F16158" s="0" t="inlineStr">
        <is>
          <t xml:space="preserve">Mazda</t>
        </is>
      </c>
      <c r="G16158" s="0" t="s">
        <v>171</v>
      </c>
      <c r="H16158" s="5">
        <v>773.054900</v>
      </c>
    </row>
    <row r="16159" spans="1:9">
      <c r="A16159" s="22" t="str">
        <f>HYPERLINK("https://app.vivvix.com/360/KMI/IntelliDrive/ApplUI/Pages/CreativePages/CustomReportCreativeDetail.aspx?App=23&amp;ReportView=4&amp;Qid=1711279&amp;Row=16151&amp;Col=1","No Title Assigned - #15276404359")</f>
        <v/>
      </c>
      <c r="B16159" s="0" t="s">
        <v>21507</v>
      </c>
      <c r="E16159" s="0" t="inlineStr">
        <is>
          <t xml:space="preserve">Mazda</t>
        </is>
      </c>
      <c r="F16159" s="0" t="inlineStr">
        <is>
          <t xml:space="preserve">Mazda</t>
        </is>
      </c>
      <c r="G16159" s="0" t="s">
        <v>171</v>
      </c>
      <c r="H16159" s="5">
        <v>6.039000</v>
      </c>
    </row>
    <row r="16160" spans="1:9">
      <c r="A16160" s="22" t="str">
        <f>HYPERLINK("https://app.vivvix.com/360/KMI/IntelliDrive/ApplUI/Pages/CreativePages/CustomReportCreativeDetail.aspx?App=23&amp;ReportView=4&amp;Qid=1711279&amp;Row=16152&amp;Col=1","No Title Assigned - #15276404457")</f>
        <v/>
      </c>
      <c r="B16160" s="0" t="s">
        <v>21508</v>
      </c>
      <c r="C16160" s="0" t="s">
        <v>21509</v>
      </c>
      <c r="D16160" s="0" t="s">
        <v>21509</v>
      </c>
      <c r="E16160" s="0" t="inlineStr">
        <is>
          <t xml:space="preserve">Mazda</t>
        </is>
      </c>
      <c r="F16160" s="0" t="s">
        <v>13</v>
      </c>
      <c r="G16160" s="0" t="s">
        <v>49</v>
      </c>
      <c r="H16160" s="5">
        <v>33.115400</v>
      </c>
    </row>
    <row r="16161" spans="1:9">
      <c r="A16161" s="22" t="str">
        <f>HYPERLINK("https://app.vivvix.com/360/KMI/IntelliDrive/ApplUI/Pages/CreativePages/CustomReportCreativeDetail.aspx?App=23&amp;ReportView=4&amp;Qid=1711279&amp;Row=16153&amp;Col=1","No Title Assigned - #15276404541")</f>
        <v/>
      </c>
      <c r="B16161" s="0" t="s">
        <v>21510</v>
      </c>
      <c r="C16161" s="0" t="s">
        <v>21511</v>
      </c>
      <c r="D16161" s="0" t="s">
        <v>5013</v>
      </c>
      <c r="E16161" s="0" t="inlineStr">
        <is>
          <t xml:space="preserve">Mazda</t>
        </is>
      </c>
      <c r="F16161" s="0" t="s">
        <v>13</v>
      </c>
      <c r="G16161" s="0" t="s">
        <v>49</v>
      </c>
      <c r="H16161" s="5">
        <v>1049.635600</v>
      </c>
    </row>
    <row r="16162" spans="1:9">
      <c r="A16162" s="22" t="str">
        <f>HYPERLINK("https://app.vivvix.com/360/KMI/IntelliDrive/ApplUI/Pages/CreativePages/CustomReportCreativeDetail.aspx?App=23&amp;ReportView=4&amp;Qid=1711279&amp;Row=16154&amp;Col=1","No Title Assigned - #15276404611")</f>
        <v/>
      </c>
      <c r="B16162" s="0" t="s">
        <v>21512</v>
      </c>
      <c r="C16162" s="0" t="s">
        <v>21513</v>
      </c>
      <c r="D16162" s="0" t="s">
        <v>21513</v>
      </c>
      <c r="E16162" s="0" t="inlineStr">
        <is>
          <t xml:space="preserve">Mazda</t>
        </is>
      </c>
      <c r="F16162" s="0" t="s">
        <v>13</v>
      </c>
      <c r="G16162" s="0" t="s">
        <v>49</v>
      </c>
      <c r="H16162" s="5">
        <v>466.799700</v>
      </c>
    </row>
    <row r="16163" spans="1:9">
      <c r="A16163" s="22" t="str">
        <f>HYPERLINK("https://app.vivvix.com/360/KMI/IntelliDrive/ApplUI/Pages/CreativePages/CustomReportCreativeDetail.aspx?App=23&amp;ReportView=4&amp;Qid=1711279&amp;Row=16155&amp;Col=1","No Title Assigned - #15276404859")</f>
        <v/>
      </c>
      <c r="B16163" s="0" t="s">
        <v>21514</v>
      </c>
      <c r="C16163" s="0" t="s">
        <v>21515</v>
      </c>
      <c r="D16163" s="0" t="s">
        <v>21515</v>
      </c>
      <c r="E16163" s="0" t="inlineStr">
        <is>
          <t xml:space="preserve">Mazda</t>
        </is>
      </c>
      <c r="F16163" s="0" t="s">
        <v>13</v>
      </c>
      <c r="G16163" s="0" t="s">
        <v>49</v>
      </c>
      <c r="H16163" s="5">
        <v>3799.802000</v>
      </c>
    </row>
    <row r="16164" spans="1:9">
      <c r="A16164" s="22" t="str">
        <f>HYPERLINK("https://app.vivvix.com/360/KMI/IntelliDrive/ApplUI/Pages/CreativePages/CustomReportCreativeDetail.aspx?App=23&amp;ReportView=4&amp;Qid=1711279&amp;Row=16156&amp;Col=1","No Title Assigned - #15276405186")</f>
        <v/>
      </c>
      <c r="B16164" s="0" t="s">
        <v>21516</v>
      </c>
      <c r="C16164" s="0" t="s">
        <v>21517</v>
      </c>
      <c r="D16164" s="0" t="s">
        <v>9045</v>
      </c>
      <c r="E16164" s="0" t="inlineStr">
        <is>
          <t xml:space="preserve">Mazda</t>
        </is>
      </c>
      <c r="F16164" s="0" t="s">
        <v>13</v>
      </c>
      <c r="G16164" s="0" t="s">
        <v>49</v>
      </c>
      <c r="H16164" s="5">
        <v>11.019800</v>
      </c>
    </row>
    <row r="16165" spans="1:9">
      <c r="A16165" s="22" t="str">
        <f>HYPERLINK("https://app.vivvix.com/360/KMI/IntelliDrive/ApplUI/Pages/CreativePages/CustomReportCreativeDetail.aspx?App=23&amp;ReportView=4&amp;Qid=1711279&amp;Row=16157&amp;Col=1","No Title Assigned - #15276405522")</f>
        <v/>
      </c>
      <c r="B16165" s="0" t="s">
        <v>21518</v>
      </c>
      <c r="C16165" s="0" t="s">
        <v>21519</v>
      </c>
      <c r="D16165" s="0" t="s">
        <v>21519</v>
      </c>
      <c r="E16165" s="0" t="inlineStr">
        <is>
          <t xml:space="preserve">Mazda</t>
        </is>
      </c>
      <c r="F16165" s="0" t="s">
        <v>13</v>
      </c>
      <c r="G16165" s="0" t="s">
        <v>49</v>
      </c>
      <c r="H16165" s="5">
        <v>216.310200</v>
      </c>
    </row>
    <row r="16166" spans="1:9">
      <c r="A16166" s="22" t="str">
        <f>HYPERLINK("https://app.vivvix.com/360/KMI/IntelliDrive/ApplUI/Pages/CreativePages/CustomReportCreativeDetail.aspx?App=23&amp;ReportView=4&amp;Qid=1711279&amp;Row=16158&amp;Col=1","No Title Assigned - #15276405805")</f>
        <v/>
      </c>
      <c r="B16166" s="0" t="s">
        <v>21520</v>
      </c>
      <c r="C16166" s="0" t="s">
        <v>21521</v>
      </c>
      <c r="D16166" s="0" t="s">
        <v>21521</v>
      </c>
      <c r="E16166" s="0" t="inlineStr">
        <is>
          <t xml:space="preserve">Mazda</t>
        </is>
      </c>
      <c r="F16166" s="0" t="s">
        <v>13</v>
      </c>
      <c r="G16166" s="0" t="s">
        <v>49</v>
      </c>
      <c r="H16166" s="5">
        <v>349.435700</v>
      </c>
    </row>
    <row r="16167" spans="1:9">
      <c r="A16167" s="22" t="str">
        <f>HYPERLINK("https://app.vivvix.com/360/KMI/IntelliDrive/ApplUI/Pages/CreativePages/CustomReportCreativeDetail.aspx?App=23&amp;ReportView=4&amp;Qid=1711279&amp;Row=16159&amp;Col=1","No Title Assigned - #15276405832")</f>
        <v/>
      </c>
      <c r="B16167" s="0" t="s">
        <v>21522</v>
      </c>
      <c r="C16167" s="0" t="s">
        <v>21523</v>
      </c>
      <c r="D16167" s="0" t="s">
        <v>21523</v>
      </c>
      <c r="E16167" s="0" t="inlineStr">
        <is>
          <t xml:space="preserve">Mazda</t>
        </is>
      </c>
      <c r="F16167" s="0" t="s">
        <v>13</v>
      </c>
      <c r="G16167" s="0" t="s">
        <v>49</v>
      </c>
      <c r="H16167" s="5">
        <v>317.600300</v>
      </c>
    </row>
    <row r="16168" spans="1:9">
      <c r="A16168" s="22" t="str">
        <f>HYPERLINK("https://app.vivvix.com/360/KMI/IntelliDrive/ApplUI/Pages/CreativePages/CustomReportCreativeDetail.aspx?App=23&amp;ReportView=4&amp;Qid=1711279&amp;Row=16160&amp;Col=1","No Title Assigned - #15276406161")</f>
        <v/>
      </c>
      <c r="B16168" s="0" t="s">
        <v>21524</v>
      </c>
      <c r="C16168" s="0" t="s">
        <v>21525</v>
      </c>
      <c r="D16168" s="0" t="s">
        <v>21525</v>
      </c>
      <c r="E16168" s="0" t="inlineStr">
        <is>
          <t xml:space="preserve">Mazda</t>
        </is>
      </c>
      <c r="F16168" s="0" t="s">
        <v>13</v>
      </c>
      <c r="G16168" s="0" t="s">
        <v>49</v>
      </c>
      <c r="H16168" s="5">
        <v>605.449700</v>
      </c>
    </row>
    <row r="16169" spans="1:9">
      <c r="A16169" s="22" t="str">
        <f>HYPERLINK("https://app.vivvix.com/360/KMI/IntelliDrive/ApplUI/Pages/CreativePages/CustomReportCreativeDetail.aspx?App=23&amp;ReportView=4&amp;Qid=1711279&amp;Row=16161&amp;Col=1","No Title Assigned - #15276406380")</f>
        <v/>
      </c>
      <c r="B16169" s="0" t="s">
        <v>21526</v>
      </c>
      <c r="C16169" s="0" t="s">
        <v>21527</v>
      </c>
      <c r="D16169" s="0" t="s">
        <v>21527</v>
      </c>
      <c r="E16169" s="0" t="inlineStr">
        <is>
          <t xml:space="preserve">Mazda</t>
        </is>
      </c>
      <c r="F16169" s="0" t="s">
        <v>13</v>
      </c>
      <c r="G16169" s="0" t="s">
        <v>49</v>
      </c>
      <c r="H16169" s="5">
        <v>503.908100</v>
      </c>
    </row>
    <row r="16170" spans="1:9">
      <c r="A16170" s="22" t="str">
        <f>HYPERLINK("https://app.vivvix.com/360/KMI/IntelliDrive/ApplUI/Pages/CreativePages/CustomReportCreativeDetail.aspx?App=23&amp;ReportView=4&amp;Qid=1711279&amp;Row=16162&amp;Col=1","No Title Assigned - #15276406473")</f>
        <v/>
      </c>
      <c r="B16170" s="0" t="s">
        <v>21528</v>
      </c>
      <c r="C16170" s="0" t="s">
        <v>21529</v>
      </c>
      <c r="D16170" s="0" t="s">
        <v>6183</v>
      </c>
      <c r="E16170" s="0" t="inlineStr">
        <is>
          <t xml:space="preserve">Mazda</t>
        </is>
      </c>
      <c r="F16170" s="0" t="s">
        <v>13</v>
      </c>
      <c r="G16170" s="0" t="s">
        <v>49</v>
      </c>
      <c r="H16170" s="5">
        <v>69.545900</v>
      </c>
    </row>
    <row r="16171" spans="1:9">
      <c r="A16171" s="22" t="str">
        <f>HYPERLINK("https://app.vivvix.com/360/KMI/IntelliDrive/ApplUI/Pages/CreativePages/CustomReportCreativeDetail.aspx?App=23&amp;ReportView=4&amp;Qid=1711279&amp;Row=16163&amp;Col=1","No Title Assigned - #15276406645")</f>
        <v/>
      </c>
      <c r="B16171" s="0" t="s">
        <v>21530</v>
      </c>
      <c r="C16171" s="0" t="s">
        <v>21531</v>
      </c>
      <c r="D16171" s="0" t="s">
        <v>4335</v>
      </c>
      <c r="E16171" s="0" t="inlineStr">
        <is>
          <t xml:space="preserve">Mazda</t>
        </is>
      </c>
      <c r="F16171" s="0" t="s">
        <v>13</v>
      </c>
      <c r="G16171" s="0" t="s">
        <v>49</v>
      </c>
      <c r="H16171" s="5">
        <v>32.152100</v>
      </c>
    </row>
    <row r="16172" spans="1:9">
      <c r="A16172" s="22" t="str">
        <f>HYPERLINK("https://app.vivvix.com/360/KMI/IntelliDrive/ApplUI/Pages/CreativePages/CustomReportCreativeDetail.aspx?App=23&amp;ReportView=4&amp;Qid=1711279&amp;Row=16164&amp;Col=1","No Title Assigned - #15276406973")</f>
        <v/>
      </c>
      <c r="B16172" s="0" t="s">
        <v>21532</v>
      </c>
      <c r="C16172" s="0" t="s">
        <v>21533</v>
      </c>
      <c r="D16172" s="0" t="s">
        <v>10004</v>
      </c>
      <c r="E16172" s="0" t="inlineStr">
        <is>
          <t xml:space="preserve">Mazda</t>
        </is>
      </c>
      <c r="F16172" s="0" t="s">
        <v>13</v>
      </c>
      <c r="G16172" s="0" t="s">
        <v>49</v>
      </c>
      <c r="H16172" s="5">
        <v>258.561500</v>
      </c>
    </row>
    <row r="16173" spans="1:9">
      <c r="A16173" s="22" t="str">
        <f>HYPERLINK("https://app.vivvix.com/360/KMI/IntelliDrive/ApplUI/Pages/CreativePages/CustomReportCreativeDetail.aspx?App=23&amp;ReportView=4&amp;Qid=1711279&amp;Row=16165&amp;Col=1","No Title Assigned - #15276407017")</f>
        <v/>
      </c>
      <c r="B16173" s="0" t="s">
        <v>21534</v>
      </c>
      <c r="C16173" s="0" t="s">
        <v>21535</v>
      </c>
      <c r="D16173" s="0" t="s">
        <v>21535</v>
      </c>
      <c r="E16173" s="0" t="inlineStr">
        <is>
          <t xml:space="preserve">Mazda</t>
        </is>
      </c>
      <c r="F16173" s="0" t="s">
        <v>13</v>
      </c>
      <c r="G16173" s="0" t="s">
        <v>49</v>
      </c>
      <c r="H16173" s="5">
        <v>2163.218500</v>
      </c>
    </row>
    <row r="16174" spans="1:9">
      <c r="A16174" s="22" t="str">
        <f>HYPERLINK("https://app.vivvix.com/360/KMI/IntelliDrive/ApplUI/Pages/CreativePages/CustomReportCreativeDetail.aspx?App=23&amp;ReportView=4&amp;Qid=1711279&amp;Row=16166&amp;Col=1","No Title Assigned - #15276407018")</f>
        <v/>
      </c>
      <c r="B16174" s="0" t="s">
        <v>21536</v>
      </c>
      <c r="C16174" s="0" t="s">
        <v>21537</v>
      </c>
      <c r="D16174" s="0" t="s">
        <v>21519</v>
      </c>
      <c r="E16174" s="0" t="inlineStr">
        <is>
          <t xml:space="preserve">Mazda</t>
        </is>
      </c>
      <c r="F16174" s="0" t="s">
        <v>13</v>
      </c>
      <c r="G16174" s="0" t="s">
        <v>49</v>
      </c>
      <c r="H16174" s="5">
        <v>2163.218500</v>
      </c>
    </row>
    <row r="16175" spans="1:9">
      <c r="A16175" s="22" t="str">
        <f>HYPERLINK("https://app.vivvix.com/360/KMI/IntelliDrive/ApplUI/Pages/CreativePages/CustomReportCreativeDetail.aspx?App=23&amp;ReportView=4&amp;Qid=1711279&amp;Row=16167&amp;Col=1","No Title Assigned - #15276407039")</f>
        <v/>
      </c>
      <c r="B16175" s="0" t="s">
        <v>21538</v>
      </c>
      <c r="E16175" s="0" t="inlineStr">
        <is>
          <t xml:space="preserve">Mazda</t>
        </is>
      </c>
      <c r="F16175" s="0" t="inlineStr">
        <is>
          <t xml:space="preserve">Mazda</t>
        </is>
      </c>
      <c r="G16175" s="0" t="s">
        <v>171</v>
      </c>
      <c r="H16175" s="5">
        <v>4250.404200</v>
      </c>
    </row>
    <row r="16176" spans="1:9">
      <c r="A16176" s="22" t="str">
        <f>HYPERLINK("https://app.vivvix.com/360/KMI/IntelliDrive/ApplUI/Pages/CreativePages/CustomReportCreativeDetail.aspx?App=23&amp;ReportView=4&amp;Qid=1711279&amp;Row=16168&amp;Col=1","No Title Assigned - #15276407166")</f>
        <v/>
      </c>
      <c r="B16176" s="0" t="s">
        <v>21539</v>
      </c>
      <c r="C16176" s="0" t="s">
        <v>21540</v>
      </c>
      <c r="D16176" s="0" t="s">
        <v>4335</v>
      </c>
      <c r="E16176" s="0" t="inlineStr">
        <is>
          <t xml:space="preserve">Mazda</t>
        </is>
      </c>
      <c r="F16176" s="0" t="s">
        <v>13</v>
      </c>
      <c r="G16176" s="0" t="s">
        <v>49</v>
      </c>
      <c r="H16176" s="5">
        <v>127.415700</v>
      </c>
    </row>
    <row r="16177" spans="1:9">
      <c r="A16177" s="22" t="str">
        <f>HYPERLINK("https://app.vivvix.com/360/KMI/IntelliDrive/ApplUI/Pages/CreativePages/CustomReportCreativeDetail.aspx?App=23&amp;ReportView=4&amp;Qid=1711279&amp;Row=16169&amp;Col=1","No Title Assigned - #15276407229")</f>
        <v/>
      </c>
      <c r="B16177" s="0" t="s">
        <v>21541</v>
      </c>
      <c r="C16177" s="0" t="s">
        <v>21542</v>
      </c>
      <c r="D16177" s="0" t="s">
        <v>11469</v>
      </c>
      <c r="E16177" s="0" t="inlineStr">
        <is>
          <t xml:space="preserve">Mazda</t>
        </is>
      </c>
      <c r="F16177" s="0" t="s">
        <v>13</v>
      </c>
      <c r="G16177" s="0" t="s">
        <v>49</v>
      </c>
      <c r="H16177" s="5">
        <v>53.880700</v>
      </c>
    </row>
    <row r="16178" spans="1:9">
      <c r="A16178" s="22" t="str">
        <f>HYPERLINK("https://app.vivvix.com/360/KMI/IntelliDrive/ApplUI/Pages/CreativePages/CustomReportCreativeDetail.aspx?App=23&amp;ReportView=4&amp;Qid=1711279&amp;Row=16170&amp;Col=1","No Title Assigned - #15276407328")</f>
        <v/>
      </c>
      <c r="B16178" s="0" t="s">
        <v>21543</v>
      </c>
      <c r="C16178" s="0" t="s">
        <v>21544</v>
      </c>
      <c r="D16178" s="0" t="s">
        <v>20526</v>
      </c>
      <c r="E16178" s="0" t="inlineStr">
        <is>
          <t xml:space="preserve">Mazda</t>
        </is>
      </c>
      <c r="F16178" s="0" t="inlineStr">
        <is>
          <t xml:space="preserve">Mazda</t>
        </is>
      </c>
      <c r="G16178" s="0" t="s">
        <v>210</v>
      </c>
      <c r="H16178" s="5">
        <v>13336.672300</v>
      </c>
    </row>
    <row r="16179" spans="1:9">
      <c r="A16179" s="22" t="str">
        <f>HYPERLINK("https://app.vivvix.com/360/KMI/IntelliDrive/ApplUI/Pages/CreativePages/CustomReportCreativeDetail.aspx?App=23&amp;ReportView=4&amp;Qid=1711279&amp;Row=16171&amp;Col=1","No Title Assigned - #15276407328")</f>
        <v/>
      </c>
      <c r="B16179" s="0" t="s">
        <v>21543</v>
      </c>
      <c r="E16179" s="0" t="inlineStr">
        <is>
          <t xml:space="preserve">Mazda</t>
        </is>
      </c>
      <c r="F16179" s="0" t="inlineStr">
        <is>
          <t xml:space="preserve">Mazda</t>
        </is>
      </c>
      <c r="G16179" s="0" t="s">
        <v>210</v>
      </c>
      <c r="H16179" s="5">
        <v>992.476000</v>
      </c>
    </row>
    <row r="16180" spans="1:9">
      <c r="A16180" s="22" t="str">
        <f>HYPERLINK("https://app.vivvix.com/360/KMI/IntelliDrive/ApplUI/Pages/CreativePages/CustomReportCreativeDetail.aspx?App=23&amp;ReportView=4&amp;Qid=1711279&amp;Row=16172&amp;Col=1","No Title Assigned - #15276407410")</f>
        <v/>
      </c>
      <c r="B16180" s="0" t="s">
        <v>21545</v>
      </c>
      <c r="C16180" s="0" t="s">
        <v>21546</v>
      </c>
      <c r="D16180" s="0" t="s">
        <v>21546</v>
      </c>
      <c r="E16180" s="0" t="inlineStr">
        <is>
          <t xml:space="preserve">Mazda</t>
        </is>
      </c>
      <c r="F16180" s="0" t="s">
        <v>13</v>
      </c>
      <c r="G16180" s="0" t="s">
        <v>49</v>
      </c>
      <c r="H16180" s="5">
        <v>190.720400</v>
      </c>
    </row>
    <row r="16181" spans="1:9">
      <c r="A16181" s="22" t="str">
        <f>HYPERLINK("https://app.vivvix.com/360/KMI/IntelliDrive/ApplUI/Pages/CreativePages/CustomReportCreativeDetail.aspx?App=23&amp;ReportView=4&amp;Qid=1711279&amp;Row=16173&amp;Col=1","No Title Assigned - #15276407411")</f>
        <v/>
      </c>
      <c r="B16181" s="0" t="s">
        <v>21547</v>
      </c>
      <c r="C16181" s="0" t="s">
        <v>21548</v>
      </c>
      <c r="D16181" s="0" t="s">
        <v>21548</v>
      </c>
      <c r="E16181" s="0" t="inlineStr">
        <is>
          <t xml:space="preserve">Mazda</t>
        </is>
      </c>
      <c r="F16181" s="0" t="s">
        <v>13</v>
      </c>
      <c r="G16181" s="0" t="s">
        <v>49</v>
      </c>
      <c r="H16181" s="5">
        <v>1059.665500</v>
      </c>
    </row>
    <row r="16182" spans="1:9">
      <c r="A16182" s="22" t="str">
        <f>HYPERLINK("https://app.vivvix.com/360/KMI/IntelliDrive/ApplUI/Pages/CreativePages/CustomReportCreativeDetail.aspx?App=23&amp;ReportView=4&amp;Qid=1711279&amp;Row=16174&amp;Col=1","No Title Assigned - #15276407783")</f>
        <v/>
      </c>
      <c r="B16182" s="0" t="s">
        <v>21549</v>
      </c>
      <c r="E16182" s="0" t="inlineStr">
        <is>
          <t xml:space="preserve">Mazda</t>
        </is>
      </c>
      <c r="F16182" s="0" t="s">
        <v>13</v>
      </c>
      <c r="G16182" s="0" t="s">
        <v>49</v>
      </c>
      <c r="H16182" s="5">
        <v>17.730300</v>
      </c>
    </row>
    <row r="16183" spans="1:9">
      <c r="A16183" s="22" t="str">
        <f>HYPERLINK("https://app.vivvix.com/360/KMI/IntelliDrive/ApplUI/Pages/CreativePages/CustomReportCreativeDetail.aspx?App=23&amp;ReportView=4&amp;Qid=1711279&amp;Row=16175&amp;Col=1","No Title Assigned - #15276407783")</f>
        <v/>
      </c>
      <c r="B16183" s="0" t="s">
        <v>21549</v>
      </c>
      <c r="C16183" s="0" t="s">
        <v>21550</v>
      </c>
      <c r="D16183" s="0" t="s">
        <v>21550</v>
      </c>
      <c r="E16183" s="0" t="inlineStr">
        <is>
          <t xml:space="preserve">Mazda</t>
        </is>
      </c>
      <c r="F16183" s="0" t="s">
        <v>13</v>
      </c>
      <c r="G16183" s="0" t="s">
        <v>49</v>
      </c>
      <c r="H16183" s="5">
        <v>65.632300</v>
      </c>
    </row>
    <row r="16184" spans="1:9">
      <c r="A16184" s="22" t="str">
        <f>HYPERLINK("https://app.vivvix.com/360/KMI/IntelliDrive/ApplUI/Pages/CreativePages/CustomReportCreativeDetail.aspx?App=23&amp;ReportView=4&amp;Qid=1711279&amp;Row=16176&amp;Col=1","No Title Assigned - #15276409257")</f>
        <v/>
      </c>
      <c r="B16184" s="0" t="s">
        <v>21551</v>
      </c>
      <c r="C16184" s="0" t="s">
        <v>21552</v>
      </c>
      <c r="D16184" s="0" t="s">
        <v>21552</v>
      </c>
      <c r="E16184" s="0" t="inlineStr">
        <is>
          <t xml:space="preserve">Mazda</t>
        </is>
      </c>
      <c r="F16184" s="0" t="s">
        <v>13</v>
      </c>
      <c r="G16184" s="0" t="s">
        <v>49</v>
      </c>
      <c r="H16184" s="5">
        <v>195.367600</v>
      </c>
    </row>
    <row r="16185" spans="1:9">
      <c r="A16185" s="22" t="str">
        <f>HYPERLINK("https://app.vivvix.com/360/KMI/IntelliDrive/ApplUI/Pages/CreativePages/CustomReportCreativeDetail.aspx?App=23&amp;ReportView=4&amp;Qid=1711279&amp;Row=16177&amp;Col=1","No Title Assigned - #15276409732")</f>
        <v/>
      </c>
      <c r="B16185" s="0" t="s">
        <v>21553</v>
      </c>
      <c r="C16185" s="0" t="s">
        <v>21554</v>
      </c>
      <c r="D16185" s="0" t="s">
        <v>14832</v>
      </c>
      <c r="E16185" s="0" t="inlineStr">
        <is>
          <t xml:space="preserve">Mazda</t>
        </is>
      </c>
      <c r="F16185" s="0" t="inlineStr">
        <is>
          <t xml:space="preserve">Mazda</t>
        </is>
      </c>
      <c r="G16185" s="0" t="s">
        <v>210</v>
      </c>
      <c r="H16185" s="5">
        <v>415.453100</v>
      </c>
    </row>
    <row r="16186" spans="1:9">
      <c r="A16186" s="22" t="str">
        <f>HYPERLINK("https://app.vivvix.com/360/KMI/IntelliDrive/ApplUI/Pages/CreativePages/CustomReportCreativeDetail.aspx?App=23&amp;ReportView=4&amp;Qid=1711279&amp;Row=16178&amp;Col=1","No Title Assigned - #15276409880")</f>
        <v/>
      </c>
      <c r="B16186" s="0" t="s">
        <v>21555</v>
      </c>
      <c r="C16186" s="0" t="s">
        <v>21556</v>
      </c>
      <c r="D16186" s="0" t="s">
        <v>21556</v>
      </c>
      <c r="E16186" s="0" t="inlineStr">
        <is>
          <t xml:space="preserve">Mazda</t>
        </is>
      </c>
      <c r="F16186" s="0" t="inlineStr">
        <is>
          <t xml:space="preserve">Mazda</t>
        </is>
      </c>
      <c r="G16186" s="0" t="s">
        <v>4306</v>
      </c>
      <c r="H16186" s="5">
        <v>42621.877900</v>
      </c>
    </row>
    <row r="16187" spans="1:9">
      <c r="A16187" s="22" t="str">
        <f>HYPERLINK("https://app.vivvix.com/360/KMI/IntelliDrive/ApplUI/Pages/CreativePages/CustomReportCreativeDetail.aspx?App=23&amp;ReportView=4&amp;Qid=1711279&amp;Row=16179&amp;Col=1","No Title Assigned - #15276410613")</f>
        <v/>
      </c>
      <c r="B16187" s="0" t="s">
        <v>21557</v>
      </c>
      <c r="C16187" s="0" t="s">
        <v>21558</v>
      </c>
      <c r="D16187" s="0" t="s">
        <v>21558</v>
      </c>
      <c r="E16187" s="0" t="inlineStr">
        <is>
          <t xml:space="preserve">Mazda</t>
        </is>
      </c>
      <c r="F16187" s="0" t="s">
        <v>13</v>
      </c>
      <c r="G16187" s="0" t="s">
        <v>49</v>
      </c>
      <c r="H16187" s="5">
        <v>11.834100</v>
      </c>
    </row>
    <row r="16188" spans="1:9">
      <c r="A16188" s="22" t="str">
        <f>HYPERLINK("https://app.vivvix.com/360/KMI/IntelliDrive/ApplUI/Pages/CreativePages/CustomReportCreativeDetail.aspx?App=23&amp;ReportView=4&amp;Qid=1711279&amp;Row=16180&amp;Col=1","No Title Assigned - #15276410730")</f>
        <v/>
      </c>
      <c r="B16188" s="0" t="s">
        <v>21559</v>
      </c>
      <c r="C16188" s="0" t="s">
        <v>21560</v>
      </c>
      <c r="D16188" s="0" t="s">
        <v>4335</v>
      </c>
      <c r="E16188" s="0" t="inlineStr">
        <is>
          <t xml:space="preserve">Mazda</t>
        </is>
      </c>
      <c r="F16188" s="0" t="s">
        <v>13</v>
      </c>
      <c r="G16188" s="0" t="s">
        <v>49</v>
      </c>
      <c r="H16188" s="5">
        <v>76.160100</v>
      </c>
    </row>
    <row r="16189" spans="1:9">
      <c r="A16189" s="22" t="str">
        <f>HYPERLINK("https://app.vivvix.com/360/KMI/IntelliDrive/ApplUI/Pages/CreativePages/CustomReportCreativeDetail.aspx?App=23&amp;ReportView=4&amp;Qid=1711279&amp;Row=16181&amp;Col=1","No Title Assigned - #15276410866")</f>
        <v/>
      </c>
      <c r="B16189" s="0" t="s">
        <v>21561</v>
      </c>
      <c r="C16189" s="0" t="s">
        <v>21562</v>
      </c>
      <c r="D16189" s="0" t="s">
        <v>5013</v>
      </c>
      <c r="E16189" s="0" t="inlineStr">
        <is>
          <t xml:space="preserve">Mazda</t>
        </is>
      </c>
      <c r="F16189" s="0" t="s">
        <v>13</v>
      </c>
      <c r="G16189" s="0" t="s">
        <v>49</v>
      </c>
      <c r="H16189" s="5">
        <v>377.284300</v>
      </c>
    </row>
    <row r="16190" spans="1:9">
      <c r="A16190" s="22" t="str">
        <f>HYPERLINK("https://app.vivvix.com/360/KMI/IntelliDrive/ApplUI/Pages/CreativePages/CustomReportCreativeDetail.aspx?App=23&amp;ReportView=4&amp;Qid=1711279&amp;Row=16182&amp;Col=1","No Title Assigned - #15276411414")</f>
        <v/>
      </c>
      <c r="B16190" s="0" t="s">
        <v>21563</v>
      </c>
      <c r="C16190" s="0" t="s">
        <v>21564</v>
      </c>
      <c r="D16190" s="0" t="s">
        <v>4335</v>
      </c>
      <c r="E16190" s="0" t="inlineStr">
        <is>
          <t xml:space="preserve">Mazda</t>
        </is>
      </c>
      <c r="F16190" s="0" t="s">
        <v>13</v>
      </c>
      <c r="G16190" s="0" t="s">
        <v>49</v>
      </c>
      <c r="H16190" s="5">
        <v>42.021800</v>
      </c>
    </row>
    <row r="16191" spans="1:9">
      <c r="A16191" s="22" t="str">
        <f>HYPERLINK("https://app.vivvix.com/360/KMI/IntelliDrive/ApplUI/Pages/CreativePages/CustomReportCreativeDetail.aspx?App=23&amp;ReportView=4&amp;Qid=1711279&amp;Row=16183&amp;Col=1","No Title Assigned - #15276411814")</f>
        <v/>
      </c>
      <c r="B16191" s="0" t="s">
        <v>21565</v>
      </c>
      <c r="C16191" s="0" t="s">
        <v>21566</v>
      </c>
      <c r="D16191" s="0" t="s">
        <v>21566</v>
      </c>
      <c r="E16191" s="0" t="inlineStr">
        <is>
          <t xml:space="preserve">Mazda</t>
        </is>
      </c>
      <c r="F16191" s="0" t="inlineStr">
        <is>
          <t xml:space="preserve">Mazda</t>
        </is>
      </c>
      <c r="G16191" s="0" t="s">
        <v>210</v>
      </c>
      <c r="H16191" s="5">
        <v>19866.361000</v>
      </c>
    </row>
    <row r="16192" spans="1:9">
      <c r="A16192" s="22" t="str">
        <f>HYPERLINK("https://app.vivvix.com/360/KMI/IntelliDrive/ApplUI/Pages/CreativePages/CustomReportCreativeDetail.aspx?App=23&amp;ReportView=4&amp;Qid=1711279&amp;Row=16184&amp;Col=1","No Title Assigned - #15276412274")</f>
        <v/>
      </c>
      <c r="B16192" s="0" t="s">
        <v>21567</v>
      </c>
      <c r="C16192" s="0" t="s">
        <v>21568</v>
      </c>
      <c r="D16192" s="0" t="s">
        <v>21568</v>
      </c>
      <c r="E16192" s="0" t="inlineStr">
        <is>
          <t xml:space="preserve">Mazda</t>
        </is>
      </c>
      <c r="F16192" s="0" t="inlineStr">
        <is>
          <t xml:space="preserve">Mazda</t>
        </is>
      </c>
      <c r="G16192" s="0" t="s">
        <v>210</v>
      </c>
      <c r="H16192" s="5">
        <v>537.158500</v>
      </c>
    </row>
    <row r="16193" spans="1:9">
      <c r="A16193" s="22" t="str">
        <f>HYPERLINK("https://app.vivvix.com/360/KMI/IntelliDrive/ApplUI/Pages/CreativePages/CustomReportCreativeDetail.aspx?App=23&amp;ReportView=4&amp;Qid=1711279&amp;Row=16185&amp;Col=1","No Title Assigned - #15276412332")</f>
        <v/>
      </c>
      <c r="B16193" s="0" t="s">
        <v>21569</v>
      </c>
      <c r="C16193" s="0" t="s">
        <v>21570</v>
      </c>
      <c r="D16193" s="0" t="s">
        <v>21570</v>
      </c>
      <c r="E16193" s="0" t="inlineStr">
        <is>
          <t xml:space="preserve">Mazda</t>
        </is>
      </c>
      <c r="F16193" s="0" t="inlineStr">
        <is>
          <t xml:space="preserve">Mazda</t>
        </is>
      </c>
      <c r="G16193" s="0" t="s">
        <v>210</v>
      </c>
      <c r="H16193" s="5">
        <v>1828.541300</v>
      </c>
    </row>
    <row r="16194" spans="1:9">
      <c r="A16194" s="22" t="str">
        <f>HYPERLINK("https://app.vivvix.com/360/KMI/IntelliDrive/ApplUI/Pages/CreativePages/CustomReportCreativeDetail.aspx?App=23&amp;ReportView=4&amp;Qid=1711279&amp;Row=16186&amp;Col=1","No Title Assigned - #15276412538")</f>
        <v/>
      </c>
      <c r="B16194" s="0" t="s">
        <v>21571</v>
      </c>
      <c r="C16194" s="0" t="s">
        <v>21572</v>
      </c>
      <c r="D16194" s="0" t="s">
        <v>10006</v>
      </c>
      <c r="E16194" s="0" t="inlineStr">
        <is>
          <t xml:space="preserve">Mazda</t>
        </is>
      </c>
      <c r="F16194" s="0" t="s">
        <v>13</v>
      </c>
      <c r="G16194" s="0" t="s">
        <v>49</v>
      </c>
      <c r="H16194" s="5">
        <v>391.943800</v>
      </c>
    </row>
    <row r="16195" spans="1:9">
      <c r="A16195" s="22" t="str">
        <f>HYPERLINK("https://app.vivvix.com/360/KMI/IntelliDrive/ApplUI/Pages/CreativePages/CustomReportCreativeDetail.aspx?App=23&amp;ReportView=4&amp;Qid=1711279&amp;Row=16187&amp;Col=1","No Title Assigned - #15276412591")</f>
        <v/>
      </c>
      <c r="B16195" s="0" t="s">
        <v>21573</v>
      </c>
      <c r="C16195" s="0" t="s">
        <v>21574</v>
      </c>
      <c r="D16195" s="0" t="s">
        <v>21574</v>
      </c>
      <c r="E16195" s="0" t="inlineStr">
        <is>
          <t xml:space="preserve">Mazda</t>
        </is>
      </c>
      <c r="F16195" s="0" t="s">
        <v>13</v>
      </c>
      <c r="G16195" s="0" t="s">
        <v>49</v>
      </c>
      <c r="H16195" s="5">
        <v>28.941700</v>
      </c>
    </row>
    <row r="16196" spans="1:9">
      <c r="A16196" s="22" t="str">
        <f>HYPERLINK("https://app.vivvix.com/360/KMI/IntelliDrive/ApplUI/Pages/CreativePages/CustomReportCreativeDetail.aspx?App=23&amp;ReportView=4&amp;Qid=1711279&amp;Row=16188&amp;Col=1","No Title Assigned - #15276412592")</f>
        <v/>
      </c>
      <c r="B16196" s="0" t="s">
        <v>21575</v>
      </c>
      <c r="C16196" s="0" t="s">
        <v>21576</v>
      </c>
      <c r="D16196" s="0" t="s">
        <v>9800</v>
      </c>
      <c r="E16196" s="0" t="inlineStr">
        <is>
          <t xml:space="preserve">Mazda</t>
        </is>
      </c>
      <c r="F16196" s="0" t="s">
        <v>13</v>
      </c>
      <c r="G16196" s="0" t="s">
        <v>49</v>
      </c>
      <c r="H16196" s="5">
        <v>1301.737300</v>
      </c>
    </row>
    <row r="16197" spans="1:9">
      <c r="A16197" s="22" t="str">
        <f>HYPERLINK("https://app.vivvix.com/360/KMI/IntelliDrive/ApplUI/Pages/CreativePages/CustomReportCreativeDetail.aspx?App=23&amp;ReportView=4&amp;Qid=1711279&amp;Row=16189&amp;Col=1","No Title Assigned - #15276412641")</f>
        <v/>
      </c>
      <c r="B16197" s="0" t="s">
        <v>21577</v>
      </c>
      <c r="C16197" s="0" t="s">
        <v>21578</v>
      </c>
      <c r="D16197" s="0" t="s">
        <v>4938</v>
      </c>
      <c r="E16197" s="0" t="inlineStr">
        <is>
          <t xml:space="preserve">Mazda</t>
        </is>
      </c>
      <c r="F16197" s="0" t="s">
        <v>13</v>
      </c>
      <c r="G16197" s="0" t="s">
        <v>49</v>
      </c>
      <c r="H16197" s="5">
        <v>206.073300</v>
      </c>
    </row>
    <row r="16198" spans="1:9">
      <c r="A16198" s="22" t="str">
        <f>HYPERLINK("https://app.vivvix.com/360/KMI/IntelliDrive/ApplUI/Pages/CreativePages/CustomReportCreativeDetail.aspx?App=23&amp;ReportView=4&amp;Qid=1711279&amp;Row=16190&amp;Col=1","No Title Assigned - #15276412644")</f>
        <v/>
      </c>
      <c r="B16198" s="0" t="s">
        <v>21579</v>
      </c>
      <c r="C16198" s="0" t="s">
        <v>21580</v>
      </c>
      <c r="D16198" s="0" t="s">
        <v>4335</v>
      </c>
      <c r="E16198" s="0" t="inlineStr">
        <is>
          <t xml:space="preserve">Mazda</t>
        </is>
      </c>
      <c r="F16198" s="0" t="s">
        <v>13</v>
      </c>
      <c r="G16198" s="0" t="s">
        <v>49</v>
      </c>
      <c r="H16198" s="5">
        <v>535.551600</v>
      </c>
    </row>
    <row r="16199" spans="1:9">
      <c r="A16199" s="22" t="str">
        <f>HYPERLINK("https://app.vivvix.com/360/KMI/IntelliDrive/ApplUI/Pages/CreativePages/CustomReportCreativeDetail.aspx?App=23&amp;ReportView=4&amp;Qid=1711279&amp;Row=16191&amp;Col=1","No Title Assigned - #15276412664")</f>
        <v/>
      </c>
      <c r="B16199" s="0" t="s">
        <v>21581</v>
      </c>
      <c r="C16199" s="0" t="s">
        <v>21582</v>
      </c>
      <c r="D16199" s="0" t="s">
        <v>4335</v>
      </c>
      <c r="E16199" s="0" t="inlineStr">
        <is>
          <t xml:space="preserve">Mazda</t>
        </is>
      </c>
      <c r="F16199" s="0" t="s">
        <v>13</v>
      </c>
      <c r="G16199" s="0" t="s">
        <v>49</v>
      </c>
      <c r="H16199" s="5">
        <v>1313.677100</v>
      </c>
    </row>
    <row r="16200" spans="1:9">
      <c r="A16200" s="22" t="str">
        <f>HYPERLINK("https://app.vivvix.com/360/KMI/IntelliDrive/ApplUI/Pages/CreativePages/CustomReportCreativeDetail.aspx?App=23&amp;ReportView=4&amp;Qid=1711279&amp;Row=16192&amp;Col=1","No Title Assigned - #15276412831")</f>
        <v/>
      </c>
      <c r="B16200" s="0" t="s">
        <v>21583</v>
      </c>
      <c r="C16200" s="0" t="s">
        <v>21584</v>
      </c>
      <c r="D16200" s="0" t="s">
        <v>9699</v>
      </c>
      <c r="E16200" s="0" t="inlineStr">
        <is>
          <t xml:space="preserve">Mazda</t>
        </is>
      </c>
      <c r="F16200" s="0" t="s">
        <v>13</v>
      </c>
      <c r="G16200" s="0" t="s">
        <v>49</v>
      </c>
      <c r="H16200" s="5">
        <v>178.806700</v>
      </c>
    </row>
    <row r="16201" spans="1:9">
      <c r="A16201" s="22" t="str">
        <f>HYPERLINK("https://app.vivvix.com/360/KMI/IntelliDrive/ApplUI/Pages/CreativePages/CustomReportCreativeDetail.aspx?App=23&amp;ReportView=4&amp;Qid=1711279&amp;Row=16193&amp;Col=1","No Title Assigned - #15276412852")</f>
        <v/>
      </c>
      <c r="B16201" s="0" t="s">
        <v>21585</v>
      </c>
      <c r="C16201" s="0" t="s">
        <v>21586</v>
      </c>
      <c r="D16201" s="0" t="s">
        <v>4768</v>
      </c>
      <c r="E16201" s="0" t="inlineStr">
        <is>
          <t xml:space="preserve">Mazda</t>
        </is>
      </c>
      <c r="F16201" s="0" t="s">
        <v>13</v>
      </c>
      <c r="G16201" s="0" t="s">
        <v>49</v>
      </c>
      <c r="H16201" s="5">
        <v>103.723200</v>
      </c>
    </row>
    <row r="16202" spans="1:9">
      <c r="A16202" s="22" t="str">
        <f>HYPERLINK("https://app.vivvix.com/360/KMI/IntelliDrive/ApplUI/Pages/CreativePages/CustomReportCreativeDetail.aspx?App=23&amp;ReportView=4&amp;Qid=1711279&amp;Row=16194&amp;Col=1","No Title Assigned - #15276412917")</f>
        <v/>
      </c>
      <c r="B16202" s="0" t="s">
        <v>21587</v>
      </c>
      <c r="C16202" s="0" t="s">
        <v>21588</v>
      </c>
      <c r="D16202" s="0" t="s">
        <v>21588</v>
      </c>
      <c r="E16202" s="0" t="inlineStr">
        <is>
          <t xml:space="preserve">Mazda</t>
        </is>
      </c>
      <c r="F16202" s="0" t="s">
        <v>13</v>
      </c>
      <c r="G16202" s="0" t="s">
        <v>49</v>
      </c>
      <c r="H16202" s="5">
        <v>10.438500</v>
      </c>
    </row>
    <row r="16203" spans="1:9">
      <c r="A16203" s="22" t="str">
        <f>HYPERLINK("https://app.vivvix.com/360/KMI/IntelliDrive/ApplUI/Pages/CreativePages/CustomReportCreativeDetail.aspx?App=23&amp;ReportView=4&amp;Qid=1711279&amp;Row=16195&amp;Col=1","No Title Assigned - #15276412917")</f>
        <v/>
      </c>
      <c r="B16203" s="0" t="s">
        <v>21587</v>
      </c>
      <c r="E16203" s="0" t="inlineStr">
        <is>
          <t xml:space="preserve">Mazda</t>
        </is>
      </c>
      <c r="F16203" s="0" t="s">
        <v>13</v>
      </c>
      <c r="G16203" s="0" t="s">
        <v>49</v>
      </c>
      <c r="H16203" s="5">
        <v>414.823400</v>
      </c>
    </row>
    <row r="16204" spans="1:9">
      <c r="A16204" s="22" t="str">
        <f>HYPERLINK("https://app.vivvix.com/360/KMI/IntelliDrive/ApplUI/Pages/CreativePages/CustomReportCreativeDetail.aspx?App=23&amp;ReportView=4&amp;Qid=1711279&amp;Row=16196&amp;Col=1","No Title Assigned - #15276412951")</f>
        <v/>
      </c>
      <c r="B16204" s="0" t="s">
        <v>21589</v>
      </c>
      <c r="C16204" s="0" t="s">
        <v>21590</v>
      </c>
      <c r="D16204" s="0" t="s">
        <v>21590</v>
      </c>
      <c r="E16204" s="0" t="inlineStr">
        <is>
          <t xml:space="preserve">Mazda</t>
        </is>
      </c>
      <c r="F16204" s="0" t="s">
        <v>13</v>
      </c>
      <c r="G16204" s="0" t="s">
        <v>49</v>
      </c>
      <c r="H16204" s="5">
        <v>813.570900</v>
      </c>
    </row>
    <row r="16205" spans="1:9">
      <c r="A16205" s="22" t="str">
        <f>HYPERLINK("https://app.vivvix.com/360/KMI/IntelliDrive/ApplUI/Pages/CreativePages/CustomReportCreativeDetail.aspx?App=23&amp;ReportView=4&amp;Qid=1711279&amp;Row=16197&amp;Col=1","No Title Assigned - #15276412969")</f>
        <v/>
      </c>
      <c r="B16205" s="0" t="s">
        <v>21591</v>
      </c>
      <c r="E16205" s="0" t="inlineStr">
        <is>
          <t xml:space="preserve">Mazda</t>
        </is>
      </c>
      <c r="F16205" s="0" t="s">
        <v>13</v>
      </c>
      <c r="G16205" s="0" t="s">
        <v>49</v>
      </c>
      <c r="H16205" s="5">
        <v>140.235400</v>
      </c>
    </row>
    <row r="16206" spans="1:9">
      <c r="A16206" s="22" t="str">
        <f>HYPERLINK("https://app.vivvix.com/360/KMI/IntelliDrive/ApplUI/Pages/CreativePages/CustomReportCreativeDetail.aspx?App=23&amp;ReportView=4&amp;Qid=1711279&amp;Row=16198&amp;Col=1","No Title Assigned - #15276412969")</f>
        <v/>
      </c>
      <c r="B16206" s="0" t="s">
        <v>21591</v>
      </c>
      <c r="C16206" s="0" t="s">
        <v>21592</v>
      </c>
      <c r="D16206" s="0" t="s">
        <v>21592</v>
      </c>
      <c r="E16206" s="0" t="inlineStr">
        <is>
          <t xml:space="preserve">Mazda</t>
        </is>
      </c>
      <c r="F16206" s="0" t="s">
        <v>13</v>
      </c>
      <c r="G16206" s="0" t="s">
        <v>49</v>
      </c>
      <c r="H16206" s="5">
        <v>411.462200</v>
      </c>
    </row>
    <row r="16207" spans="1:9">
      <c r="A16207" s="22" t="str">
        <f>HYPERLINK("https://app.vivvix.com/360/KMI/IntelliDrive/ApplUI/Pages/CreativePages/CustomReportCreativeDetail.aspx?App=23&amp;ReportView=4&amp;Qid=1711279&amp;Row=16199&amp;Col=1","No Title Assigned - #15276412988")</f>
        <v/>
      </c>
      <c r="B16207" s="0" t="s">
        <v>21593</v>
      </c>
      <c r="C16207" s="0" t="s">
        <v>21594</v>
      </c>
      <c r="D16207" s="0" t="s">
        <v>4335</v>
      </c>
      <c r="E16207" s="0" t="inlineStr">
        <is>
          <t xml:space="preserve">Mazda</t>
        </is>
      </c>
      <c r="F16207" s="0" t="s">
        <v>13</v>
      </c>
      <c r="G16207" s="0" t="s">
        <v>49</v>
      </c>
      <c r="H16207" s="5">
        <v>139.440100</v>
      </c>
    </row>
    <row r="16208" spans="1:9">
      <c r="A16208" s="22" t="str">
        <f>HYPERLINK("https://app.vivvix.com/360/KMI/IntelliDrive/ApplUI/Pages/CreativePages/CustomReportCreativeDetail.aspx?App=23&amp;ReportView=4&amp;Qid=1711279&amp;Row=16200&amp;Col=1","No Title Assigned - #15276413015")</f>
        <v/>
      </c>
      <c r="B16208" s="0" t="s">
        <v>21595</v>
      </c>
      <c r="C16208" s="0" t="s">
        <v>21596</v>
      </c>
      <c r="D16208" s="0" t="s">
        <v>21596</v>
      </c>
      <c r="E16208" s="0" t="inlineStr">
        <is>
          <t xml:space="preserve">Mazda</t>
        </is>
      </c>
      <c r="F16208" s="0" t="s">
        <v>13</v>
      </c>
      <c r="G16208" s="0" t="s">
        <v>49</v>
      </c>
      <c r="H16208" s="5">
        <v>2607.630800</v>
      </c>
    </row>
    <row r="16209" spans="1:9">
      <c r="A16209" s="22" t="str">
        <f>HYPERLINK("https://app.vivvix.com/360/KMI/IntelliDrive/ApplUI/Pages/CreativePages/CustomReportCreativeDetail.aspx?App=23&amp;ReportView=4&amp;Qid=1711279&amp;Row=16201&amp;Col=1","No Title Assigned - #15276413061")</f>
        <v/>
      </c>
      <c r="B16209" s="0" t="s">
        <v>21597</v>
      </c>
      <c r="C16209" s="0" t="s">
        <v>21598</v>
      </c>
      <c r="D16209" s="0" t="s">
        <v>21598</v>
      </c>
      <c r="E16209" s="0" t="inlineStr">
        <is>
          <t xml:space="preserve">Mazda</t>
        </is>
      </c>
      <c r="F16209" s="0" t="s">
        <v>13</v>
      </c>
      <c r="G16209" s="0" t="s">
        <v>49</v>
      </c>
      <c r="H16209" s="5">
        <v>17741.664700</v>
      </c>
    </row>
    <row r="16210" spans="1:9">
      <c r="A16210" s="22" t="str">
        <f>HYPERLINK("https://app.vivvix.com/360/KMI/IntelliDrive/ApplUI/Pages/CreativePages/CustomReportCreativeDetail.aspx?App=23&amp;ReportView=4&amp;Qid=1711279&amp;Row=16202&amp;Col=1","No Title Assigned - #15276413061")</f>
        <v/>
      </c>
      <c r="B16210" s="0" t="s">
        <v>21597</v>
      </c>
      <c r="E16210" s="0" t="inlineStr">
        <is>
          <t xml:space="preserve">Mazda</t>
        </is>
      </c>
      <c r="F16210" s="0" t="s">
        <v>13</v>
      </c>
      <c r="G16210" s="0" t="s">
        <v>49</v>
      </c>
      <c r="H16210" s="5">
        <v>37706.273400</v>
      </c>
    </row>
    <row r="16211" spans="1:9">
      <c r="A16211" s="22" t="str">
        <f>HYPERLINK("https://app.vivvix.com/360/KMI/IntelliDrive/ApplUI/Pages/CreativePages/CustomReportCreativeDetail.aspx?App=23&amp;ReportView=4&amp;Qid=1711279&amp;Row=16203&amp;Col=1","No Title Assigned - #15276413089")</f>
        <v/>
      </c>
      <c r="B16211" s="0" t="s">
        <v>21599</v>
      </c>
      <c r="C16211" s="0" t="s">
        <v>21600</v>
      </c>
      <c r="D16211" s="0" t="s">
        <v>4335</v>
      </c>
      <c r="E16211" s="0" t="inlineStr">
        <is>
          <t xml:space="preserve">Mazda</t>
        </is>
      </c>
      <c r="F16211" s="0" t="s">
        <v>13</v>
      </c>
      <c r="G16211" s="0" t="s">
        <v>49</v>
      </c>
      <c r="H16211" s="5">
        <v>38.173300</v>
      </c>
    </row>
    <row r="16212" spans="1:9">
      <c r="A16212" s="22" t="str">
        <f>HYPERLINK("https://app.vivvix.com/360/KMI/IntelliDrive/ApplUI/Pages/CreativePages/CustomReportCreativeDetail.aspx?App=23&amp;ReportView=4&amp;Qid=1711279&amp;Row=16204&amp;Col=1","No Title Assigned - #15276413091")</f>
        <v/>
      </c>
      <c r="B16212" s="0" t="s">
        <v>21601</v>
      </c>
      <c r="C16212" s="0" t="s">
        <v>21602</v>
      </c>
      <c r="D16212" s="0" t="s">
        <v>4335</v>
      </c>
      <c r="E16212" s="0" t="inlineStr">
        <is>
          <t xml:space="preserve">Mazda</t>
        </is>
      </c>
      <c r="F16212" s="0" t="s">
        <v>13</v>
      </c>
      <c r="G16212" s="0" t="s">
        <v>49</v>
      </c>
      <c r="H16212" s="5">
        <v>131.527400</v>
      </c>
    </row>
    <row r="16213" spans="1:9">
      <c r="A16213" s="22" t="str">
        <f>HYPERLINK("https://app.vivvix.com/360/KMI/IntelliDrive/ApplUI/Pages/CreativePages/CustomReportCreativeDetail.aspx?App=23&amp;ReportView=4&amp;Qid=1711279&amp;Row=16205&amp;Col=1","No Title Assigned - #15276413305")</f>
        <v/>
      </c>
      <c r="B16213" s="0" t="s">
        <v>21603</v>
      </c>
      <c r="C16213" s="0" t="s">
        <v>21604</v>
      </c>
      <c r="D16213" s="0" t="s">
        <v>4774</v>
      </c>
      <c r="E16213" s="0" t="inlineStr">
        <is>
          <t xml:space="preserve">Mazda</t>
        </is>
      </c>
      <c r="F16213" s="0" t="s">
        <v>13</v>
      </c>
      <c r="G16213" s="0" t="s">
        <v>49</v>
      </c>
      <c r="H16213" s="5">
        <v>6.609600</v>
      </c>
    </row>
    <row r="16214" spans="1:9">
      <c r="A16214" s="22" t="str">
        <f>HYPERLINK("https://app.vivvix.com/360/KMI/IntelliDrive/ApplUI/Pages/CreativePages/CustomReportCreativeDetail.aspx?App=23&amp;ReportView=4&amp;Qid=1711279&amp;Row=16206&amp;Col=1","No Title Assigned - #15276413315")</f>
        <v/>
      </c>
      <c r="B16214" s="0" t="s">
        <v>21605</v>
      </c>
      <c r="C16214" s="0" t="s">
        <v>21606</v>
      </c>
      <c r="D16214" s="0" t="s">
        <v>21606</v>
      </c>
      <c r="E16214" s="0" t="inlineStr">
        <is>
          <t xml:space="preserve">Mazda</t>
        </is>
      </c>
      <c r="F16214" s="0" t="s">
        <v>13</v>
      </c>
      <c r="G16214" s="0" t="s">
        <v>49</v>
      </c>
      <c r="H16214" s="5">
        <v>150.984400</v>
      </c>
    </row>
    <row r="16215" spans="1:9">
      <c r="A16215" s="22" t="str">
        <f>HYPERLINK("https://app.vivvix.com/360/KMI/IntelliDrive/ApplUI/Pages/CreativePages/CustomReportCreativeDetail.aspx?App=23&amp;ReportView=4&amp;Qid=1711279&amp;Row=16207&amp;Col=1","No Title Assigned - #15276413357")</f>
        <v/>
      </c>
      <c r="B16215" s="0" t="s">
        <v>21607</v>
      </c>
      <c r="C16215" s="0" t="s">
        <v>21608</v>
      </c>
      <c r="D16215" s="0" t="s">
        <v>21608</v>
      </c>
      <c r="E16215" s="0" t="inlineStr">
        <is>
          <t xml:space="preserve">Mazda</t>
        </is>
      </c>
      <c r="F16215" s="0" t="s">
        <v>13</v>
      </c>
      <c r="G16215" s="0" t="s">
        <v>49</v>
      </c>
      <c r="H16215" s="5">
        <v>324.962100</v>
      </c>
    </row>
    <row r="16216" spans="1:9">
      <c r="A16216" s="22" t="str">
        <f>HYPERLINK("https://app.vivvix.com/360/KMI/IntelliDrive/ApplUI/Pages/CreativePages/CustomReportCreativeDetail.aspx?App=23&amp;ReportView=4&amp;Qid=1711279&amp;Row=16208&amp;Col=1","No Title Assigned - #15276413474")</f>
        <v/>
      </c>
      <c r="B16216" s="0" t="s">
        <v>21609</v>
      </c>
      <c r="C16216" s="0" t="s">
        <v>21610</v>
      </c>
      <c r="D16216" s="0" t="s">
        <v>21610</v>
      </c>
      <c r="E16216" s="0" t="inlineStr">
        <is>
          <t xml:space="preserve">Mazda</t>
        </is>
      </c>
      <c r="F16216" s="0" t="s">
        <v>13</v>
      </c>
      <c r="G16216" s="0" t="s">
        <v>49</v>
      </c>
      <c r="H16216" s="5">
        <v>31.149600</v>
      </c>
    </row>
    <row r="16217" spans="1:9">
      <c r="A16217" s="22" t="str">
        <f>HYPERLINK("https://app.vivvix.com/360/KMI/IntelliDrive/ApplUI/Pages/CreativePages/CustomReportCreativeDetail.aspx?App=23&amp;ReportView=4&amp;Qid=1711279&amp;Row=16209&amp;Col=1","No Title Assigned - #15276413482")</f>
        <v/>
      </c>
      <c r="B16217" s="0" t="s">
        <v>21611</v>
      </c>
      <c r="C16217" s="0" t="s">
        <v>21612</v>
      </c>
      <c r="D16217" s="0" t="s">
        <v>10004</v>
      </c>
      <c r="E16217" s="0" t="inlineStr">
        <is>
          <t xml:space="preserve">Mazda</t>
        </is>
      </c>
      <c r="F16217" s="0" t="s">
        <v>13</v>
      </c>
      <c r="G16217" s="0" t="s">
        <v>49</v>
      </c>
      <c r="H16217" s="5">
        <v>510.318300</v>
      </c>
    </row>
    <row r="16218" spans="1:9">
      <c r="A16218" s="22" t="str">
        <f>HYPERLINK("https://app.vivvix.com/360/KMI/IntelliDrive/ApplUI/Pages/CreativePages/CustomReportCreativeDetail.aspx?App=23&amp;ReportView=4&amp;Qid=1711279&amp;Row=16210&amp;Col=1","No Title Assigned - #15276413547")</f>
        <v/>
      </c>
      <c r="B16218" s="0" t="s">
        <v>21613</v>
      </c>
      <c r="C16218" s="0" t="s">
        <v>21614</v>
      </c>
      <c r="D16218" s="0" t="s">
        <v>21265</v>
      </c>
      <c r="E16218" s="0" t="inlineStr">
        <is>
          <t xml:space="preserve">Mazda</t>
        </is>
      </c>
      <c r="F16218" s="0" t="s">
        <v>13</v>
      </c>
      <c r="G16218" s="0" t="s">
        <v>49</v>
      </c>
      <c r="H16218" s="5">
        <v>31.909500</v>
      </c>
    </row>
    <row r="16219" spans="1:9">
      <c r="A16219" s="22" t="str">
        <f>HYPERLINK("https://app.vivvix.com/360/KMI/IntelliDrive/ApplUI/Pages/CreativePages/CustomReportCreativeDetail.aspx?App=23&amp;ReportView=4&amp;Qid=1711279&amp;Row=16211&amp;Col=1","No Title Assigned - #15276413591")</f>
        <v/>
      </c>
      <c r="B16219" s="0" t="s">
        <v>21615</v>
      </c>
      <c r="C16219" s="0" t="s">
        <v>21616</v>
      </c>
      <c r="D16219" s="0" t="s">
        <v>10311</v>
      </c>
      <c r="E16219" s="0" t="inlineStr">
        <is>
          <t xml:space="preserve">Mazda</t>
        </is>
      </c>
      <c r="F16219" s="0" t="s">
        <v>13</v>
      </c>
      <c r="G16219" s="0" t="s">
        <v>49</v>
      </c>
      <c r="H16219" s="5">
        <v>349.222800</v>
      </c>
    </row>
    <row r="16220" spans="1:9">
      <c r="A16220" s="22" t="str">
        <f>HYPERLINK("https://app.vivvix.com/360/KMI/IntelliDrive/ApplUI/Pages/CreativePages/CustomReportCreativeDetail.aspx?App=23&amp;ReportView=4&amp;Qid=1711279&amp;Row=16212&amp;Col=1","No Title Assigned - #15276413626")</f>
        <v/>
      </c>
      <c r="B16220" s="0" t="s">
        <v>21617</v>
      </c>
      <c r="E16220" s="0" t="inlineStr">
        <is>
          <t xml:space="preserve">Mazda</t>
        </is>
      </c>
      <c r="F16220" s="0" t="s">
        <v>13</v>
      </c>
      <c r="G16220" s="0" t="s">
        <v>49</v>
      </c>
      <c r="H16220" s="5">
        <v>25.386700</v>
      </c>
    </row>
    <row r="16221" spans="1:9">
      <c r="A16221" s="22" t="str">
        <f>HYPERLINK("https://app.vivvix.com/360/KMI/IntelliDrive/ApplUI/Pages/CreativePages/CustomReportCreativeDetail.aspx?App=23&amp;ReportView=4&amp;Qid=1711279&amp;Row=16213&amp;Col=1","No Title Assigned - #15276413661")</f>
        <v/>
      </c>
      <c r="B16221" s="0" t="s">
        <v>21618</v>
      </c>
      <c r="C16221" s="0" t="s">
        <v>21619</v>
      </c>
      <c r="D16221" s="0" t="s">
        <v>9939</v>
      </c>
      <c r="E16221" s="0" t="inlineStr">
        <is>
          <t xml:space="preserve">Mazda</t>
        </is>
      </c>
      <c r="F16221" s="0" t="s">
        <v>13</v>
      </c>
      <c r="G16221" s="0" t="s">
        <v>49</v>
      </c>
      <c r="H16221" s="5">
        <v>111.678500</v>
      </c>
    </row>
    <row r="16222" spans="1:9">
      <c r="A16222" s="22" t="str">
        <f>HYPERLINK("https://app.vivvix.com/360/KMI/IntelliDrive/ApplUI/Pages/CreativePages/CustomReportCreativeDetail.aspx?App=23&amp;ReportView=4&amp;Qid=1711279&amp;Row=16214&amp;Col=1","No Title Assigned - #15276413677")</f>
        <v/>
      </c>
      <c r="B16222" s="0" t="s">
        <v>21620</v>
      </c>
      <c r="C16222" s="0" t="s">
        <v>21621</v>
      </c>
      <c r="D16222" s="0" t="s">
        <v>21621</v>
      </c>
      <c r="E16222" s="0" t="inlineStr">
        <is>
          <t xml:space="preserve">Mazda</t>
        </is>
      </c>
      <c r="F16222" s="0" t="s">
        <v>13</v>
      </c>
      <c r="G16222" s="0" t="s">
        <v>49</v>
      </c>
      <c r="H16222" s="5">
        <v>181.129400</v>
      </c>
    </row>
    <row r="16223" spans="1:9">
      <c r="A16223" s="22" t="str">
        <f>HYPERLINK("https://app.vivvix.com/360/KMI/IntelliDrive/ApplUI/Pages/CreativePages/CustomReportCreativeDetail.aspx?App=23&amp;ReportView=4&amp;Qid=1711279&amp;Row=16215&amp;Col=1","No Title Assigned - #15276413692")</f>
        <v/>
      </c>
      <c r="B16223" s="0" t="s">
        <v>21622</v>
      </c>
      <c r="C16223" s="0" t="s">
        <v>21623</v>
      </c>
      <c r="D16223" s="0" t="s">
        <v>21623</v>
      </c>
      <c r="E16223" s="0" t="inlineStr">
        <is>
          <t xml:space="preserve">Mazda</t>
        </is>
      </c>
      <c r="F16223" s="0" t="s">
        <v>13</v>
      </c>
      <c r="G16223" s="0" t="s">
        <v>49</v>
      </c>
      <c r="H16223" s="5">
        <v>22.455000</v>
      </c>
    </row>
    <row r="16224" spans="1:9">
      <c r="A16224" s="22" t="str">
        <f>HYPERLINK("https://app.vivvix.com/360/KMI/IntelliDrive/ApplUI/Pages/CreativePages/CustomReportCreativeDetail.aspx?App=23&amp;ReportView=4&amp;Qid=1711279&amp;Row=16216&amp;Col=1","No Title Assigned - #15276413693")</f>
        <v/>
      </c>
      <c r="B16224" s="0" t="s">
        <v>21624</v>
      </c>
      <c r="C16224" s="0" t="s">
        <v>21625</v>
      </c>
      <c r="D16224" s="0" t="s">
        <v>21625</v>
      </c>
      <c r="E16224" s="0" t="inlineStr">
        <is>
          <t xml:space="preserve">Mazda</t>
        </is>
      </c>
      <c r="F16224" s="0" t="s">
        <v>13</v>
      </c>
      <c r="G16224" s="0" t="s">
        <v>49</v>
      </c>
      <c r="H16224" s="5">
        <v>33.682500</v>
      </c>
    </row>
    <row r="16225" spans="1:9">
      <c r="A16225" s="22" t="str">
        <f>HYPERLINK("https://app.vivvix.com/360/KMI/IntelliDrive/ApplUI/Pages/CreativePages/CustomReportCreativeDetail.aspx?App=23&amp;ReportView=4&amp;Qid=1711279&amp;Row=16217&amp;Col=1","No Title Assigned - #15276413747")</f>
        <v/>
      </c>
      <c r="B16225" s="0" t="s">
        <v>21626</v>
      </c>
      <c r="C16225" s="0" t="s">
        <v>21627</v>
      </c>
      <c r="D16225" s="0" t="s">
        <v>9167</v>
      </c>
      <c r="E16225" s="0" t="inlineStr">
        <is>
          <t xml:space="preserve">Mazda</t>
        </is>
      </c>
      <c r="F16225" s="0" t="s">
        <v>13</v>
      </c>
      <c r="G16225" s="0" t="s">
        <v>49</v>
      </c>
      <c r="H16225" s="5">
        <v>31.475200</v>
      </c>
    </row>
    <row r="16226" spans="1:9">
      <c r="A16226" s="22" t="str">
        <f>HYPERLINK("https://app.vivvix.com/360/KMI/IntelliDrive/ApplUI/Pages/CreativePages/CustomReportCreativeDetail.aspx?App=23&amp;ReportView=4&amp;Qid=1711279&amp;Row=16218&amp;Col=1","No Title Assigned - #15276413839")</f>
        <v/>
      </c>
      <c r="B16226" s="0" t="s">
        <v>21628</v>
      </c>
      <c r="C16226" s="0" t="s">
        <v>21629</v>
      </c>
      <c r="D16226" s="0" t="s">
        <v>21629</v>
      </c>
      <c r="E16226" s="0" t="inlineStr">
        <is>
          <t xml:space="preserve">Mazda</t>
        </is>
      </c>
      <c r="F16226" s="0" t="s">
        <v>13</v>
      </c>
      <c r="G16226" s="0" t="s">
        <v>49</v>
      </c>
      <c r="H16226" s="5">
        <v>12481.274400</v>
      </c>
    </row>
    <row r="16227" spans="1:9">
      <c r="A16227" s="22" t="str">
        <f>HYPERLINK("https://app.vivvix.com/360/KMI/IntelliDrive/ApplUI/Pages/CreativePages/CustomReportCreativeDetail.aspx?App=23&amp;ReportView=4&amp;Qid=1711279&amp;Row=16219&amp;Col=1","No Title Assigned - #15276413869")</f>
        <v/>
      </c>
      <c r="B16227" s="0" t="s">
        <v>21630</v>
      </c>
      <c r="C16227" s="0" t="s">
        <v>21631</v>
      </c>
      <c r="D16227" s="0" t="s">
        <v>6404</v>
      </c>
      <c r="E16227" s="0" t="inlineStr">
        <is>
          <t xml:space="preserve">Mazda</t>
        </is>
      </c>
      <c r="F16227" s="0" t="s">
        <v>13</v>
      </c>
      <c r="G16227" s="0" t="s">
        <v>49</v>
      </c>
      <c r="H16227" s="5">
        <v>67.081100</v>
      </c>
    </row>
    <row r="16228" spans="1:9">
      <c r="A16228" s="22" t="str">
        <f>HYPERLINK("https://app.vivvix.com/360/KMI/IntelliDrive/ApplUI/Pages/CreativePages/CustomReportCreativeDetail.aspx?App=23&amp;ReportView=4&amp;Qid=1711279&amp;Row=16220&amp;Col=1","No Title Assigned - #15276414011")</f>
        <v/>
      </c>
      <c r="B16228" s="0" t="s">
        <v>21632</v>
      </c>
      <c r="C16228" s="0" t="s">
        <v>21633</v>
      </c>
      <c r="D16228" s="0" t="s">
        <v>21633</v>
      </c>
      <c r="E16228" s="0" t="inlineStr">
        <is>
          <t xml:space="preserve">Mazda</t>
        </is>
      </c>
      <c r="F16228" s="0" t="s">
        <v>13</v>
      </c>
      <c r="G16228" s="0" t="s">
        <v>49</v>
      </c>
      <c r="H16228" s="5">
        <v>470.939600</v>
      </c>
    </row>
    <row r="16229" spans="1:9">
      <c r="A16229" s="22" t="str">
        <f>HYPERLINK("https://app.vivvix.com/360/KMI/IntelliDrive/ApplUI/Pages/CreativePages/CustomReportCreativeDetail.aspx?App=23&amp;ReportView=4&amp;Qid=1711279&amp;Row=16221&amp;Col=1","No Title Assigned - #15276414035")</f>
        <v/>
      </c>
      <c r="B16229" s="0" t="s">
        <v>21634</v>
      </c>
      <c r="C16229" s="0" t="s">
        <v>21635</v>
      </c>
      <c r="D16229" s="0" t="s">
        <v>4774</v>
      </c>
      <c r="E16229" s="0" t="inlineStr">
        <is>
          <t xml:space="preserve">Mazda</t>
        </is>
      </c>
      <c r="F16229" s="0" t="s">
        <v>13</v>
      </c>
      <c r="G16229" s="0" t="s">
        <v>49</v>
      </c>
      <c r="H16229" s="5">
        <v>135.138500</v>
      </c>
    </row>
    <row r="16230" spans="1:9">
      <c r="A16230" s="22" t="str">
        <f>HYPERLINK("https://app.vivvix.com/360/KMI/IntelliDrive/ApplUI/Pages/CreativePages/CustomReportCreativeDetail.aspx?App=23&amp;ReportView=4&amp;Qid=1711279&amp;Row=16222&amp;Col=1","No Title Assigned - #15276414105")</f>
        <v/>
      </c>
      <c r="B16230" s="0" t="s">
        <v>21636</v>
      </c>
      <c r="C16230" s="0" t="s">
        <v>21637</v>
      </c>
      <c r="D16230" s="0" t="s">
        <v>5013</v>
      </c>
      <c r="E16230" s="0" t="inlineStr">
        <is>
          <t xml:space="preserve">Mazda</t>
        </is>
      </c>
      <c r="F16230" s="0" t="s">
        <v>13</v>
      </c>
      <c r="G16230" s="0" t="s">
        <v>49</v>
      </c>
      <c r="H16230" s="5">
        <v>506.401600</v>
      </c>
    </row>
    <row r="16231" spans="1:9">
      <c r="A16231" s="22" t="str">
        <f>HYPERLINK("https://app.vivvix.com/360/KMI/IntelliDrive/ApplUI/Pages/CreativePages/CustomReportCreativeDetail.aspx?App=23&amp;ReportView=4&amp;Qid=1711279&amp;Row=16223&amp;Col=1","No Title Assigned - #15276414156")</f>
        <v/>
      </c>
      <c r="B16231" s="0" t="s">
        <v>21638</v>
      </c>
      <c r="C16231" s="0" t="s">
        <v>21639</v>
      </c>
      <c r="D16231" s="0" t="s">
        <v>21639</v>
      </c>
      <c r="E16231" s="0" t="inlineStr">
        <is>
          <t xml:space="preserve">Mazda</t>
        </is>
      </c>
      <c r="F16231" s="0" t="s">
        <v>13</v>
      </c>
      <c r="G16231" s="0" t="s">
        <v>49</v>
      </c>
      <c r="H16231" s="5">
        <v>50.773400</v>
      </c>
    </row>
    <row r="16232" spans="1:9">
      <c r="A16232" s="22" t="str">
        <f>HYPERLINK("https://app.vivvix.com/360/KMI/IntelliDrive/ApplUI/Pages/CreativePages/CustomReportCreativeDetail.aspx?App=23&amp;ReportView=4&amp;Qid=1711279&amp;Row=16224&amp;Col=1","No Title Assigned - #15276414209")</f>
        <v/>
      </c>
      <c r="B16232" s="0" t="s">
        <v>21640</v>
      </c>
      <c r="C16232" s="0" t="s">
        <v>21641</v>
      </c>
      <c r="D16232" s="0" t="s">
        <v>4774</v>
      </c>
      <c r="E16232" s="0" t="inlineStr">
        <is>
          <t xml:space="preserve">Mazda</t>
        </is>
      </c>
      <c r="F16232" s="0" t="s">
        <v>13</v>
      </c>
      <c r="G16232" s="0" t="s">
        <v>49</v>
      </c>
      <c r="H16232" s="5">
        <v>6614.056600</v>
      </c>
    </row>
    <row r="16233" spans="1:9">
      <c r="A16233" s="22" t="str">
        <f>HYPERLINK("https://app.vivvix.com/360/KMI/IntelliDrive/ApplUI/Pages/CreativePages/CustomReportCreativeDetail.aspx?App=23&amp;ReportView=4&amp;Qid=1711279&amp;Row=16225&amp;Col=1","No Title Assigned - #15276414307")</f>
        <v/>
      </c>
      <c r="B16233" s="0" t="s">
        <v>21642</v>
      </c>
      <c r="C16233" s="0" t="s">
        <v>21643</v>
      </c>
      <c r="D16233" s="0" t="s">
        <v>4335</v>
      </c>
      <c r="E16233" s="0" t="inlineStr">
        <is>
          <t xml:space="preserve">Mazda</t>
        </is>
      </c>
      <c r="F16233" s="0" t="s">
        <v>13</v>
      </c>
      <c r="G16233" s="0" t="s">
        <v>49</v>
      </c>
      <c r="H16233" s="5">
        <v>49.414500</v>
      </c>
    </row>
    <row r="16234" spans="1:9">
      <c r="A16234" s="22" t="str">
        <f>HYPERLINK("https://app.vivvix.com/360/KMI/IntelliDrive/ApplUI/Pages/CreativePages/CustomReportCreativeDetail.aspx?App=23&amp;ReportView=4&amp;Qid=1711279&amp;Row=16226&amp;Col=1","No Title Assigned - #15276414326")</f>
        <v/>
      </c>
      <c r="B16234" s="0" t="s">
        <v>21644</v>
      </c>
      <c r="C16234" s="0" t="s">
        <v>21645</v>
      </c>
      <c r="D16234" s="0" t="s">
        <v>17134</v>
      </c>
      <c r="E16234" s="0" t="inlineStr">
        <is>
          <t xml:space="preserve">Mazda</t>
        </is>
      </c>
      <c r="F16234" s="0" t="inlineStr">
        <is>
          <t xml:space="preserve">Mazda</t>
        </is>
      </c>
      <c r="G16234" s="0" t="s">
        <v>210</v>
      </c>
      <c r="H16234" s="5">
        <v>435.880200</v>
      </c>
    </row>
    <row r="16235" spans="1:9">
      <c r="A16235" s="22" t="str">
        <f>HYPERLINK("https://app.vivvix.com/360/KMI/IntelliDrive/ApplUI/Pages/CreativePages/CustomReportCreativeDetail.aspx?App=23&amp;ReportView=4&amp;Qid=1711279&amp;Row=16227&amp;Col=1","No Title Assigned - #15276414370")</f>
        <v/>
      </c>
      <c r="B16235" s="0" t="s">
        <v>21646</v>
      </c>
      <c r="C16235" s="0" t="s">
        <v>21647</v>
      </c>
      <c r="D16235" s="0" t="s">
        <v>10004</v>
      </c>
      <c r="E16235" s="0" t="inlineStr">
        <is>
          <t xml:space="preserve">Mazda</t>
        </is>
      </c>
      <c r="F16235" s="0" t="s">
        <v>13</v>
      </c>
      <c r="G16235" s="0" t="s">
        <v>49</v>
      </c>
      <c r="H16235" s="5">
        <v>494.857600</v>
      </c>
    </row>
    <row r="16236" spans="1:9">
      <c r="A16236" s="22" t="str">
        <f>HYPERLINK("https://app.vivvix.com/360/KMI/IntelliDrive/ApplUI/Pages/CreativePages/CustomReportCreativeDetail.aspx?App=23&amp;ReportView=4&amp;Qid=1711279&amp;Row=16228&amp;Col=1","No Title Assigned - #15276414454")</f>
        <v/>
      </c>
      <c r="B16236" s="0" t="s">
        <v>21648</v>
      </c>
      <c r="C16236" s="0" t="s">
        <v>21649</v>
      </c>
      <c r="D16236" s="0" t="s">
        <v>9043</v>
      </c>
      <c r="E16236" s="0" t="inlineStr">
        <is>
          <t xml:space="preserve">Mazda</t>
        </is>
      </c>
      <c r="F16236" s="0" t="s">
        <v>13</v>
      </c>
      <c r="G16236" s="0" t="s">
        <v>49</v>
      </c>
      <c r="H16236" s="5">
        <v>251.801600</v>
      </c>
    </row>
    <row r="16237" spans="1:9">
      <c r="A16237" s="22" t="str">
        <f>HYPERLINK("https://app.vivvix.com/360/KMI/IntelliDrive/ApplUI/Pages/CreativePages/CustomReportCreativeDetail.aspx?App=23&amp;ReportView=4&amp;Qid=1711279&amp;Row=16229&amp;Col=1","No Title Assigned - #15276414613")</f>
        <v/>
      </c>
      <c r="B16237" s="0" t="s">
        <v>21650</v>
      </c>
      <c r="C16237" s="0" t="s">
        <v>21651</v>
      </c>
      <c r="D16237" s="0" t="s">
        <v>11469</v>
      </c>
      <c r="E16237" s="0" t="inlineStr">
        <is>
          <t xml:space="preserve">Mazda</t>
        </is>
      </c>
      <c r="F16237" s="0" t="s">
        <v>13</v>
      </c>
      <c r="G16237" s="0" t="s">
        <v>49</v>
      </c>
      <c r="H16237" s="5">
        <v>208.179600</v>
      </c>
    </row>
    <row r="16238" spans="1:9">
      <c r="A16238" s="22" t="str">
        <f>HYPERLINK("https://app.vivvix.com/360/KMI/IntelliDrive/ApplUI/Pages/CreativePages/CustomReportCreativeDetail.aspx?App=23&amp;ReportView=4&amp;Qid=1711279&amp;Row=16230&amp;Col=1","No Title Assigned - #15276414723")</f>
        <v/>
      </c>
      <c r="B16238" s="0" t="s">
        <v>21652</v>
      </c>
      <c r="C16238" s="0" t="s">
        <v>21653</v>
      </c>
      <c r="D16238" s="0" t="s">
        <v>5013</v>
      </c>
      <c r="E16238" s="0" t="inlineStr">
        <is>
          <t xml:space="preserve">Mazda</t>
        </is>
      </c>
      <c r="F16238" s="0" t="s">
        <v>13</v>
      </c>
      <c r="G16238" s="0" t="s">
        <v>49</v>
      </c>
      <c r="H16238" s="5">
        <v>101.995200</v>
      </c>
    </row>
    <row r="16239" spans="1:9">
      <c r="A16239" s="22" t="str">
        <f>HYPERLINK("https://app.vivvix.com/360/KMI/IntelliDrive/ApplUI/Pages/CreativePages/CustomReportCreativeDetail.aspx?App=23&amp;ReportView=4&amp;Qid=1711279&amp;Row=16231&amp;Col=1","No Title Assigned - #15276414780")</f>
        <v/>
      </c>
      <c r="B16239" s="0" t="s">
        <v>21654</v>
      </c>
      <c r="C16239" s="0" t="s">
        <v>21655</v>
      </c>
      <c r="D16239" s="0" t="s">
        <v>21655</v>
      </c>
      <c r="E16239" s="0" t="inlineStr">
        <is>
          <t xml:space="preserve">Mazda</t>
        </is>
      </c>
      <c r="F16239" s="0" t="s">
        <v>13</v>
      </c>
      <c r="G16239" s="0" t="s">
        <v>49</v>
      </c>
      <c r="H16239" s="5">
        <v>73.364100</v>
      </c>
    </row>
    <row r="16240" spans="1:9">
      <c r="A16240" s="22" t="str">
        <f>HYPERLINK("https://app.vivvix.com/360/KMI/IntelliDrive/ApplUI/Pages/CreativePages/CustomReportCreativeDetail.aspx?App=23&amp;ReportView=4&amp;Qid=1711279&amp;Row=16232&amp;Col=1","No Title Assigned - #15276414901")</f>
        <v/>
      </c>
      <c r="B16240" s="0" t="s">
        <v>21656</v>
      </c>
      <c r="C16240" s="0" t="s">
        <v>21657</v>
      </c>
      <c r="D16240" s="0" t="s">
        <v>21657</v>
      </c>
      <c r="E16240" s="0" t="inlineStr">
        <is>
          <t xml:space="preserve">Mazda</t>
        </is>
      </c>
      <c r="F16240" s="0" t="s">
        <v>13</v>
      </c>
      <c r="G16240" s="0" t="s">
        <v>49</v>
      </c>
      <c r="H16240" s="5">
        <v>17248.829900</v>
      </c>
    </row>
    <row r="16241" spans="1:9">
      <c r="A16241" s="22" t="str">
        <f>HYPERLINK("https://app.vivvix.com/360/KMI/IntelliDrive/ApplUI/Pages/CreativePages/CustomReportCreativeDetail.aspx?App=23&amp;ReportView=4&amp;Qid=1711279&amp;Row=16233&amp;Col=1","No Title Assigned - #15276414901")</f>
        <v/>
      </c>
      <c r="B16241" s="0" t="s">
        <v>21656</v>
      </c>
      <c r="E16241" s="0" t="inlineStr">
        <is>
          <t xml:space="preserve">Mazda</t>
        </is>
      </c>
      <c r="F16241" s="0" t="s">
        <v>13</v>
      </c>
      <c r="G16241" s="0" t="s">
        <v>49</v>
      </c>
      <c r="H16241" s="5">
        <v>671.009600</v>
      </c>
    </row>
    <row r="16242" spans="1:9">
      <c r="A16242" s="22" t="str">
        <f>HYPERLINK("https://app.vivvix.com/360/KMI/IntelliDrive/ApplUI/Pages/CreativePages/CustomReportCreativeDetail.aspx?App=23&amp;ReportView=4&amp;Qid=1711279&amp;Row=16234&amp;Col=1","No Title Assigned - #15276414909")</f>
        <v/>
      </c>
      <c r="B16242" s="0" t="s">
        <v>21658</v>
      </c>
      <c r="C16242" s="0" t="s">
        <v>21659</v>
      </c>
      <c r="D16242" s="0" t="s">
        <v>6404</v>
      </c>
      <c r="E16242" s="0" t="inlineStr">
        <is>
          <t xml:space="preserve">Mazda</t>
        </is>
      </c>
      <c r="F16242" s="0" t="s">
        <v>13</v>
      </c>
      <c r="G16242" s="0" t="s">
        <v>49</v>
      </c>
      <c r="H16242" s="5">
        <v>63.819000</v>
      </c>
    </row>
    <row r="16243" spans="1:9">
      <c r="A16243" s="22" t="str">
        <f>HYPERLINK("https://app.vivvix.com/360/KMI/IntelliDrive/ApplUI/Pages/CreativePages/CustomReportCreativeDetail.aspx?App=23&amp;ReportView=4&amp;Qid=1711279&amp;Row=16235&amp;Col=1","No Title Assigned - #15276415001")</f>
        <v/>
      </c>
      <c r="B16243" s="0" t="s">
        <v>21660</v>
      </c>
      <c r="C16243" s="0" t="s">
        <v>21661</v>
      </c>
      <c r="D16243" s="0" t="s">
        <v>9699</v>
      </c>
      <c r="E16243" s="0" t="inlineStr">
        <is>
          <t xml:space="preserve">Mazda</t>
        </is>
      </c>
      <c r="F16243" s="0" t="s">
        <v>13</v>
      </c>
      <c r="G16243" s="0" t="s">
        <v>49</v>
      </c>
      <c r="H16243" s="5">
        <v>283.224000</v>
      </c>
    </row>
    <row r="16244" spans="1:9">
      <c r="A16244" s="22" t="str">
        <f>HYPERLINK("https://app.vivvix.com/360/KMI/IntelliDrive/ApplUI/Pages/CreativePages/CustomReportCreativeDetail.aspx?App=23&amp;ReportView=4&amp;Qid=1711279&amp;Row=16236&amp;Col=1","No Title Assigned - #15276415037")</f>
        <v/>
      </c>
      <c r="B16244" s="0" t="s">
        <v>21662</v>
      </c>
      <c r="C16244" s="0" t="s">
        <v>21663</v>
      </c>
      <c r="D16244" s="0" t="s">
        <v>4774</v>
      </c>
      <c r="E16244" s="0" t="inlineStr">
        <is>
          <t xml:space="preserve">Mazda</t>
        </is>
      </c>
      <c r="F16244" s="0" t="s">
        <v>13</v>
      </c>
      <c r="G16244" s="0" t="s">
        <v>49</v>
      </c>
      <c r="H16244" s="5">
        <v>106.222000</v>
      </c>
    </row>
    <row r="16245" spans="1:9">
      <c r="A16245" s="22" t="str">
        <f>HYPERLINK("https://app.vivvix.com/360/KMI/IntelliDrive/ApplUI/Pages/CreativePages/CustomReportCreativeDetail.aspx?App=23&amp;ReportView=4&amp;Qid=1711279&amp;Row=16237&amp;Col=1","No Title Assigned - #15276415097")</f>
        <v/>
      </c>
      <c r="B16245" s="0" t="s">
        <v>21664</v>
      </c>
      <c r="C16245" s="0" t="s">
        <v>21665</v>
      </c>
      <c r="D16245" s="0" t="s">
        <v>4335</v>
      </c>
      <c r="E16245" s="0" t="inlineStr">
        <is>
          <t xml:space="preserve">Mazda</t>
        </is>
      </c>
      <c r="F16245" s="0" t="s">
        <v>13</v>
      </c>
      <c r="G16245" s="0" t="s">
        <v>49</v>
      </c>
      <c r="H16245" s="5">
        <v>227.347700</v>
      </c>
    </row>
    <row r="16246" spans="1:9">
      <c r="A16246" s="22" t="str">
        <f>HYPERLINK("https://app.vivvix.com/360/KMI/IntelliDrive/ApplUI/Pages/CreativePages/CustomReportCreativeDetail.aspx?App=23&amp;ReportView=4&amp;Qid=1711279&amp;Row=16238&amp;Col=1","No Title Assigned - #15276415355")</f>
        <v/>
      </c>
      <c r="B16246" s="0" t="s">
        <v>21666</v>
      </c>
      <c r="C16246" s="0" t="s">
        <v>21667</v>
      </c>
      <c r="D16246" s="0" t="s">
        <v>21667</v>
      </c>
      <c r="E16246" s="0" t="inlineStr">
        <is>
          <t xml:space="preserve">Mazda</t>
        </is>
      </c>
      <c r="F16246" s="0" t="inlineStr">
        <is>
          <t xml:space="preserve">Mazda</t>
        </is>
      </c>
      <c r="G16246" s="0" t="s">
        <v>210</v>
      </c>
      <c r="H16246" s="5">
        <v>429.730500</v>
      </c>
    </row>
    <row r="16247" spans="1:9">
      <c r="A16247" s="22" t="str">
        <f>HYPERLINK("https://app.vivvix.com/360/KMI/IntelliDrive/ApplUI/Pages/CreativePages/CustomReportCreativeDetail.aspx?App=23&amp;ReportView=4&amp;Qid=1711279&amp;Row=16239&amp;Col=1","No Title Assigned - #15276415412")</f>
        <v/>
      </c>
      <c r="B16247" s="0" t="s">
        <v>21668</v>
      </c>
      <c r="C16247" s="0" t="s">
        <v>21669</v>
      </c>
      <c r="D16247" s="0" t="s">
        <v>21669</v>
      </c>
      <c r="E16247" s="0" t="inlineStr">
        <is>
          <t xml:space="preserve">Mazda</t>
        </is>
      </c>
      <c r="F16247" s="0" t="s">
        <v>13</v>
      </c>
      <c r="G16247" s="0" t="s">
        <v>49</v>
      </c>
      <c r="H16247" s="5">
        <v>813.197800</v>
      </c>
    </row>
    <row r="16248" spans="1:9">
      <c r="A16248" s="22" t="str">
        <f>HYPERLINK("https://app.vivvix.com/360/KMI/IntelliDrive/ApplUI/Pages/CreativePages/CustomReportCreativeDetail.aspx?App=23&amp;ReportView=4&amp;Qid=1711279&amp;Row=16240&amp;Col=1","No Title Assigned - #15276415484")</f>
        <v/>
      </c>
      <c r="B16248" s="0" t="s">
        <v>21670</v>
      </c>
      <c r="C16248" s="0" t="s">
        <v>21671</v>
      </c>
      <c r="D16248" s="0" t="s">
        <v>8962</v>
      </c>
      <c r="E16248" s="0" t="inlineStr">
        <is>
          <t xml:space="preserve">Mazda</t>
        </is>
      </c>
      <c r="F16248" s="0" t="s">
        <v>13</v>
      </c>
      <c r="G16248" s="0" t="s">
        <v>49</v>
      </c>
      <c r="H16248" s="5">
        <v>90.441500</v>
      </c>
    </row>
    <row r="16249" spans="1:9">
      <c r="A16249" s="22" t="str">
        <f>HYPERLINK("https://app.vivvix.com/360/KMI/IntelliDrive/ApplUI/Pages/CreativePages/CustomReportCreativeDetail.aspx?App=23&amp;ReportView=4&amp;Qid=1711279&amp;Row=16241&amp;Col=1","No Title Assigned - #15276415659")</f>
        <v/>
      </c>
      <c r="B16249" s="0" t="s">
        <v>21672</v>
      </c>
      <c r="C16249" s="0" t="s">
        <v>21673</v>
      </c>
      <c r="D16249" s="0" t="s">
        <v>4774</v>
      </c>
      <c r="E16249" s="0" t="inlineStr">
        <is>
          <t xml:space="preserve">Mazda</t>
        </is>
      </c>
      <c r="F16249" s="0" t="s">
        <v>13</v>
      </c>
      <c r="G16249" s="0" t="s">
        <v>49</v>
      </c>
      <c r="H16249" s="5">
        <v>507.522900</v>
      </c>
    </row>
    <row r="16250" spans="1:9">
      <c r="A16250" s="22" t="str">
        <f>HYPERLINK("https://app.vivvix.com/360/KMI/IntelliDrive/ApplUI/Pages/CreativePages/CustomReportCreativeDetail.aspx?App=23&amp;ReportView=4&amp;Qid=1711279&amp;Row=16242&amp;Col=1","No Title Assigned - #15276415934")</f>
        <v/>
      </c>
      <c r="B16250" s="0" t="s">
        <v>21674</v>
      </c>
      <c r="C16250" s="0" t="s">
        <v>21675</v>
      </c>
      <c r="D16250" s="0" t="s">
        <v>21675</v>
      </c>
      <c r="E16250" s="0" t="inlineStr">
        <is>
          <t xml:space="preserve">Mazda</t>
        </is>
      </c>
      <c r="F16250" s="0" t="s">
        <v>13</v>
      </c>
      <c r="G16250" s="0" t="s">
        <v>49</v>
      </c>
      <c r="H16250" s="5">
        <v>74.027100</v>
      </c>
    </row>
    <row r="16251" spans="1:9">
      <c r="A16251" s="22" t="str">
        <f>HYPERLINK("https://app.vivvix.com/360/KMI/IntelliDrive/ApplUI/Pages/CreativePages/CustomReportCreativeDetail.aspx?App=23&amp;ReportView=4&amp;Qid=1711279&amp;Row=16243&amp;Col=1","No Title Assigned - #15276416446")</f>
        <v/>
      </c>
      <c r="B16251" s="0" t="s">
        <v>21676</v>
      </c>
      <c r="C16251" s="0" t="s">
        <v>21677</v>
      </c>
      <c r="D16251" s="0" t="s">
        <v>21677</v>
      </c>
      <c r="E16251" s="0" t="inlineStr">
        <is>
          <t xml:space="preserve">Mazda</t>
        </is>
      </c>
      <c r="F16251" s="0" t="s">
        <v>13</v>
      </c>
      <c r="G16251" s="0" t="s">
        <v>49</v>
      </c>
      <c r="H16251" s="5">
        <v>411.462200</v>
      </c>
    </row>
    <row r="16252" spans="1:9">
      <c r="A16252" s="22" t="str">
        <f>HYPERLINK("https://app.vivvix.com/360/KMI/IntelliDrive/ApplUI/Pages/CreativePages/CustomReportCreativeDetail.aspx?App=23&amp;ReportView=4&amp;Qid=1711279&amp;Row=16244&amp;Col=1","No Title Assigned - #15276416648")</f>
        <v/>
      </c>
      <c r="B16252" s="0" t="s">
        <v>21678</v>
      </c>
      <c r="C16252" s="0" t="s">
        <v>21679</v>
      </c>
      <c r="D16252" s="0" t="s">
        <v>21679</v>
      </c>
      <c r="E16252" s="0" t="inlineStr">
        <is>
          <t xml:space="preserve">Mazda</t>
        </is>
      </c>
      <c r="F16252" s="0" t="s">
        <v>13</v>
      </c>
      <c r="G16252" s="0" t="s">
        <v>49</v>
      </c>
      <c r="H16252" s="5">
        <v>38.853700</v>
      </c>
    </row>
    <row r="16253" spans="1:9">
      <c r="A16253" s="22" t="str">
        <f>HYPERLINK("https://app.vivvix.com/360/KMI/IntelliDrive/ApplUI/Pages/CreativePages/CustomReportCreativeDetail.aspx?App=23&amp;ReportView=4&amp;Qid=1711279&amp;Row=16245&amp;Col=1","No Title Assigned - #15276416695")</f>
        <v/>
      </c>
      <c r="B16253" s="0" t="s">
        <v>21680</v>
      </c>
      <c r="C16253" s="0" t="s">
        <v>21681</v>
      </c>
      <c r="D16253" s="0" t="s">
        <v>21681</v>
      </c>
      <c r="E16253" s="0" t="inlineStr">
        <is>
          <t xml:space="preserve">Mazda</t>
        </is>
      </c>
      <c r="F16253" s="0" t="s">
        <v>13</v>
      </c>
      <c r="G16253" s="0" t="s">
        <v>49</v>
      </c>
      <c r="H16253" s="5">
        <v>7.145600</v>
      </c>
    </row>
    <row r="16254" spans="1:9">
      <c r="A16254" s="22" t="str">
        <f>HYPERLINK("https://app.vivvix.com/360/KMI/IntelliDrive/ApplUI/Pages/CreativePages/CustomReportCreativeDetail.aspx?App=23&amp;ReportView=4&amp;Qid=1711279&amp;Row=16246&amp;Col=1","No Title Assigned - #15276416865")</f>
        <v/>
      </c>
      <c r="B16254" s="0" t="s">
        <v>21682</v>
      </c>
      <c r="C16254" s="0" t="s">
        <v>21683</v>
      </c>
      <c r="D16254" s="0" t="s">
        <v>9711</v>
      </c>
      <c r="E16254" s="0" t="inlineStr">
        <is>
          <t xml:space="preserve">Mazda</t>
        </is>
      </c>
      <c r="F16254" s="0" t="s">
        <v>13</v>
      </c>
      <c r="G16254" s="0" t="s">
        <v>49</v>
      </c>
      <c r="H16254" s="5">
        <v>28.028300</v>
      </c>
    </row>
    <row r="16255" spans="1:9">
      <c r="A16255" s="22" t="str">
        <f>HYPERLINK("https://app.vivvix.com/360/KMI/IntelliDrive/ApplUI/Pages/CreativePages/CustomReportCreativeDetail.aspx?App=23&amp;ReportView=4&amp;Qid=1711279&amp;Row=16247&amp;Col=1","No Title Assigned - #15276419269")</f>
        <v/>
      </c>
      <c r="B16255" s="0" t="s">
        <v>21684</v>
      </c>
      <c r="C16255" s="0" t="s">
        <v>21685</v>
      </c>
      <c r="D16255" s="0" t="s">
        <v>4335</v>
      </c>
      <c r="E16255" s="0" t="inlineStr">
        <is>
          <t xml:space="preserve">Mazda</t>
        </is>
      </c>
      <c r="F16255" s="0" t="s">
        <v>13</v>
      </c>
      <c r="G16255" s="0" t="s">
        <v>49</v>
      </c>
      <c r="H16255" s="5">
        <v>31.475200</v>
      </c>
    </row>
    <row r="16256" spans="1:9">
      <c r="A16256" s="22" t="str">
        <f>HYPERLINK("https://app.vivvix.com/360/KMI/IntelliDrive/ApplUI/Pages/CreativePages/CustomReportCreativeDetail.aspx?App=23&amp;ReportView=4&amp;Qid=1711279&amp;Row=16248&amp;Col=1","No Title Assigned - #15276420456")</f>
        <v/>
      </c>
      <c r="B16256" s="0" t="s">
        <v>21686</v>
      </c>
      <c r="C16256" s="0" t="s">
        <v>21687</v>
      </c>
      <c r="D16256" s="0" t="s">
        <v>21687</v>
      </c>
      <c r="E16256" s="0" t="inlineStr">
        <is>
          <t xml:space="preserve">Mazda</t>
        </is>
      </c>
      <c r="F16256" s="0" t="s">
        <v>13</v>
      </c>
      <c r="G16256" s="0" t="s">
        <v>49</v>
      </c>
      <c r="H16256" s="5">
        <v>22.829700</v>
      </c>
    </row>
    <row r="16257" spans="1:9">
      <c r="A16257" s="22" t="str">
        <f>HYPERLINK("https://app.vivvix.com/360/KMI/IntelliDrive/ApplUI/Pages/CreativePages/CustomReportCreativeDetail.aspx?App=23&amp;ReportView=4&amp;Qid=1711279&amp;Row=16249&amp;Col=1","No Title Assigned - #15276423068")</f>
        <v/>
      </c>
      <c r="B16257" s="0" t="s">
        <v>21688</v>
      </c>
      <c r="E16257" s="0" t="inlineStr">
        <is>
          <t xml:space="preserve">Mazda</t>
        </is>
      </c>
      <c r="F16257" s="0" t="inlineStr">
        <is>
          <t xml:space="preserve">Mazda</t>
        </is>
      </c>
      <c r="G16257" s="0" t="s">
        <v>171</v>
      </c>
      <c r="H16257" s="5">
        <v>262.751700</v>
      </c>
    </row>
    <row r="16258" spans="1:9">
      <c r="A16258" s="22" t="str">
        <f>HYPERLINK("https://app.vivvix.com/360/KMI/IntelliDrive/ApplUI/Pages/CreativePages/CustomReportCreativeDetail.aspx?App=23&amp;ReportView=4&amp;Qid=1711279&amp;Row=16250&amp;Col=1","No Title Assigned - #15276428750")</f>
        <v/>
      </c>
      <c r="B16258" s="0" t="s">
        <v>21689</v>
      </c>
      <c r="E16258" s="0" t="inlineStr">
        <is>
          <t xml:space="preserve">Mazda</t>
        </is>
      </c>
      <c r="F16258" s="0" t="inlineStr">
        <is>
          <t xml:space="preserve">Mazda</t>
        </is>
      </c>
      <c r="G16258" s="0" t="s">
        <v>171</v>
      </c>
      <c r="H16258" s="5">
        <v>1344.058900</v>
      </c>
    </row>
    <row r="16259" spans="1:9">
      <c r="A16259" s="22" t="str">
        <f>HYPERLINK("https://app.vivvix.com/360/KMI/IntelliDrive/ApplUI/Pages/CreativePages/CustomReportCreativeDetail.aspx?App=23&amp;ReportView=4&amp;Qid=1711279&amp;Row=16251&amp;Col=1","No Title Assigned - #15276431771")</f>
        <v/>
      </c>
      <c r="B16259" s="0" t="s">
        <v>21690</v>
      </c>
      <c r="C16259" s="0" t="s">
        <v>21691</v>
      </c>
      <c r="D16259" s="0" t="s">
        <v>21691</v>
      </c>
      <c r="E16259" s="0" t="inlineStr">
        <is>
          <t xml:space="preserve">Mazda</t>
        </is>
      </c>
      <c r="F16259" s="0" t="inlineStr">
        <is>
          <t xml:space="preserve">Mazda</t>
        </is>
      </c>
      <c r="G16259" s="0" t="s">
        <v>171</v>
      </c>
      <c r="H16259" s="5">
        <v>511.598700</v>
      </c>
    </row>
    <row r="16260" spans="1:9">
      <c r="A16260" s="22" t="str">
        <f>HYPERLINK("https://app.vivvix.com/360/KMI/IntelliDrive/ApplUI/Pages/CreativePages/CustomReportCreativeDetail.aspx?App=23&amp;ReportView=4&amp;Qid=1711279&amp;Row=16252&amp;Col=1","No Title Assigned - #15276431774")</f>
        <v/>
      </c>
      <c r="B16260" s="0" t="s">
        <v>21692</v>
      </c>
      <c r="E16260" s="0" t="inlineStr">
        <is>
          <t xml:space="preserve">Mazda</t>
        </is>
      </c>
      <c r="F16260" s="0" t="inlineStr">
        <is>
          <t xml:space="preserve">Mazda</t>
        </is>
      </c>
      <c r="G16260" s="0" t="s">
        <v>171</v>
      </c>
      <c r="H16260" s="5">
        <v>335.012200</v>
      </c>
    </row>
    <row r="16261" spans="1:9">
      <c r="A16261" s="22" t="str">
        <f>HYPERLINK("https://app.vivvix.com/360/KMI/IntelliDrive/ApplUI/Pages/CreativePages/CustomReportCreativeDetail.aspx?App=23&amp;ReportView=4&amp;Qid=1711279&amp;Row=16253&amp;Col=1","No Title Assigned - #15276432577")</f>
        <v/>
      </c>
      <c r="B16261" s="0" t="s">
        <v>21693</v>
      </c>
      <c r="E16261" s="0" t="inlineStr">
        <is>
          <t xml:space="preserve">Mazda</t>
        </is>
      </c>
      <c r="F16261" s="0" t="inlineStr">
        <is>
          <t xml:space="preserve">Mazda</t>
        </is>
      </c>
      <c r="G16261" s="0" t="s">
        <v>171</v>
      </c>
      <c r="H16261" s="5">
        <v>143.887200</v>
      </c>
    </row>
    <row r="16262" spans="1:9">
      <c r="A16262" s="22" t="str">
        <f>HYPERLINK("https://app.vivvix.com/360/KMI/IntelliDrive/ApplUI/Pages/CreativePages/CustomReportCreativeDetail.aspx?App=23&amp;ReportView=4&amp;Qid=1711279&amp;Row=16254&amp;Col=1","No Title Assigned - #15276433486")</f>
        <v/>
      </c>
      <c r="B16262" s="0" t="s">
        <v>21694</v>
      </c>
      <c r="E16262" s="0" t="inlineStr">
        <is>
          <t xml:space="preserve">Mazda</t>
        </is>
      </c>
      <c r="F16262" s="0" t="inlineStr">
        <is>
          <t xml:space="preserve">Mazda</t>
        </is>
      </c>
      <c r="G16262" s="0" t="s">
        <v>171</v>
      </c>
      <c r="H16262" s="5">
        <v>39.789800</v>
      </c>
    </row>
    <row r="16263" spans="1:9">
      <c r="A16263" s="22" t="str">
        <f>HYPERLINK("https://app.vivvix.com/360/KMI/IntelliDrive/ApplUI/Pages/CreativePages/CustomReportCreativeDetail.aspx?App=23&amp;ReportView=4&amp;Qid=1711279&amp;Row=16255&amp;Col=1","No Title Assigned - #15276433607")</f>
        <v/>
      </c>
      <c r="B16263" s="0" t="s">
        <v>21695</v>
      </c>
      <c r="E16263" s="0" t="inlineStr">
        <is>
          <t xml:space="preserve">Mazda</t>
        </is>
      </c>
      <c r="F16263" s="0" t="inlineStr">
        <is>
          <t xml:space="preserve">Mazda</t>
        </is>
      </c>
      <c r="G16263" s="0" t="s">
        <v>171</v>
      </c>
      <c r="H16263" s="5">
        <v>436.188400</v>
      </c>
    </row>
    <row r="16264" spans="1:9">
      <c r="A16264" s="22" t="str">
        <f>HYPERLINK("https://app.vivvix.com/360/KMI/IntelliDrive/ApplUI/Pages/CreativePages/CustomReportCreativeDetail.aspx?App=23&amp;ReportView=4&amp;Qid=1711279&amp;Row=16256&amp;Col=1","No Title Assigned - #15276434050")</f>
        <v/>
      </c>
      <c r="B16264" s="0" t="s">
        <v>21696</v>
      </c>
      <c r="C16264" s="0" t="s">
        <v>21697</v>
      </c>
      <c r="D16264" s="0" t="s">
        <v>21697</v>
      </c>
      <c r="E16264" s="0" t="inlineStr">
        <is>
          <t xml:space="preserve">Mazda</t>
        </is>
      </c>
      <c r="F16264" s="0" t="inlineStr">
        <is>
          <t xml:space="preserve">Mazda</t>
        </is>
      </c>
      <c r="G16264" s="0" t="s">
        <v>171</v>
      </c>
      <c r="H16264" s="5">
        <v>2780.354000</v>
      </c>
    </row>
    <row r="16265" spans="1:9">
      <c r="A16265" s="22" t="str">
        <f>HYPERLINK("https://app.vivvix.com/360/KMI/IntelliDrive/ApplUI/Pages/CreativePages/CustomReportCreativeDetail.aspx?App=23&amp;ReportView=4&amp;Qid=1711279&amp;Row=16257&amp;Col=1","No Title Assigned - #15276434243")</f>
        <v/>
      </c>
      <c r="B16265" s="0" t="s">
        <v>21698</v>
      </c>
      <c r="E16265" s="0" t="inlineStr">
        <is>
          <t xml:space="preserve">Mazda</t>
        </is>
      </c>
      <c r="F16265" s="0" t="inlineStr">
        <is>
          <t xml:space="preserve">Mazda</t>
        </is>
      </c>
      <c r="G16265" s="0" t="s">
        <v>171</v>
      </c>
      <c r="H16265" s="5">
        <v>237.099500</v>
      </c>
    </row>
    <row r="16266" spans="1:9">
      <c r="A16266" s="22" t="str">
        <f>HYPERLINK("https://app.vivvix.com/360/KMI/IntelliDrive/ApplUI/Pages/CreativePages/CustomReportCreativeDetail.aspx?App=23&amp;ReportView=4&amp;Qid=1711279&amp;Row=16258&amp;Col=1","No Title Assigned - #15276434910")</f>
        <v/>
      </c>
      <c r="B16266" s="0" t="s">
        <v>21699</v>
      </c>
      <c r="E16266" s="0" t="inlineStr">
        <is>
          <t xml:space="preserve">Mazda</t>
        </is>
      </c>
      <c r="F16266" s="0" t="inlineStr">
        <is>
          <t xml:space="preserve">Mazda</t>
        </is>
      </c>
      <c r="G16266" s="0" t="s">
        <v>171</v>
      </c>
      <c r="H16266" s="5">
        <v>226.780100</v>
      </c>
    </row>
    <row r="16267" spans="1:9">
      <c r="A16267" s="22" t="str">
        <f>HYPERLINK("https://app.vivvix.com/360/KMI/IntelliDrive/ApplUI/Pages/CreativePages/CustomReportCreativeDetail.aspx?App=23&amp;ReportView=4&amp;Qid=1711279&amp;Row=16259&amp;Col=1","No Title Assigned - #15276435044")</f>
        <v/>
      </c>
      <c r="B16267" s="0" t="s">
        <v>21700</v>
      </c>
      <c r="E16267" s="0" t="inlineStr">
        <is>
          <t xml:space="preserve">Mazda</t>
        </is>
      </c>
      <c r="F16267" s="0" t="inlineStr">
        <is>
          <t xml:space="preserve">Mazda</t>
        </is>
      </c>
      <c r="G16267" s="0" t="s">
        <v>171</v>
      </c>
      <c r="H16267" s="5">
        <v>72.685200</v>
      </c>
    </row>
    <row r="16268" spans="1:9">
      <c r="A16268" s="22" t="str">
        <f>HYPERLINK("https://app.vivvix.com/360/KMI/IntelliDrive/ApplUI/Pages/CreativePages/CustomReportCreativeDetail.aspx?App=23&amp;ReportView=4&amp;Qid=1711279&amp;Row=16260&amp;Col=1","No Title Assigned - #15276435100")</f>
        <v/>
      </c>
      <c r="B16268" s="0" t="s">
        <v>21701</v>
      </c>
      <c r="E16268" s="0" t="inlineStr">
        <is>
          <t xml:space="preserve">Mazda</t>
        </is>
      </c>
      <c r="F16268" s="0" t="inlineStr">
        <is>
          <t xml:space="preserve">Mazda</t>
        </is>
      </c>
      <c r="G16268" s="0" t="s">
        <v>171</v>
      </c>
      <c r="H16268" s="5">
        <v>799.757200</v>
      </c>
    </row>
    <row r="16269" spans="1:9">
      <c r="A16269" s="22" t="str">
        <f>HYPERLINK("https://app.vivvix.com/360/KMI/IntelliDrive/ApplUI/Pages/CreativePages/CustomReportCreativeDetail.aspx?App=23&amp;ReportView=4&amp;Qid=1711279&amp;Row=16261&amp;Col=1","No Title Assigned - #15276435286")</f>
        <v/>
      </c>
      <c r="B16269" s="0" t="s">
        <v>21702</v>
      </c>
      <c r="E16269" s="0" t="inlineStr">
        <is>
          <t xml:space="preserve">Mazda</t>
        </is>
      </c>
      <c r="F16269" s="0" t="inlineStr">
        <is>
          <t xml:space="preserve">Mazda</t>
        </is>
      </c>
      <c r="G16269" s="0" t="s">
        <v>171</v>
      </c>
      <c r="H16269" s="5">
        <v>72.826500</v>
      </c>
    </row>
    <row r="16270" spans="1:9">
      <c r="A16270" s="22" t="str">
        <f>HYPERLINK("https://app.vivvix.com/360/KMI/IntelliDrive/ApplUI/Pages/CreativePages/CustomReportCreativeDetail.aspx?App=23&amp;ReportView=4&amp;Qid=1711279&amp;Row=16262&amp;Col=1","No Title Assigned - #15276443643")</f>
        <v/>
      </c>
      <c r="B16270" s="0" t="s">
        <v>21703</v>
      </c>
      <c r="C16270" s="0" t="s">
        <v>21704</v>
      </c>
      <c r="D16270" s="0" t="s">
        <v>21704</v>
      </c>
      <c r="E16270" s="0" t="inlineStr">
        <is>
          <t xml:space="preserve">Mazda</t>
        </is>
      </c>
      <c r="F16270" s="0" t="s">
        <v>13</v>
      </c>
      <c r="G16270" s="0" t="s">
        <v>49</v>
      </c>
      <c r="H16270" s="5">
        <v>4.645800</v>
      </c>
    </row>
    <row r="16271" spans="1:9">
      <c r="A16271" s="22" t="str">
        <f>HYPERLINK("https://app.vivvix.com/360/KMI/IntelliDrive/ApplUI/Pages/CreativePages/CustomReportCreativeDetail.aspx?App=23&amp;ReportView=4&amp;Qid=1711279&amp;Row=16263&amp;Col=1","No Title Assigned - #15276446967")</f>
        <v/>
      </c>
      <c r="B16271" s="0" t="s">
        <v>21705</v>
      </c>
      <c r="E16271" s="0" t="inlineStr">
        <is>
          <t xml:space="preserve">Mazda</t>
        </is>
      </c>
      <c r="F16271" s="0" t="s">
        <v>13</v>
      </c>
      <c r="G16271" s="0" t="s">
        <v>49</v>
      </c>
      <c r="H16271" s="5">
        <v>763.317500</v>
      </c>
    </row>
    <row r="16272" spans="1:9">
      <c r="A16272" s="22" t="str">
        <f>HYPERLINK("https://app.vivvix.com/360/KMI/IntelliDrive/ApplUI/Pages/CreativePages/CustomReportCreativeDetail.aspx?App=23&amp;ReportView=4&amp;Qid=1711279&amp;Row=16264&amp;Col=1","No Title Assigned - #15276447576")</f>
        <v/>
      </c>
      <c r="B16272" s="0" t="s">
        <v>21706</v>
      </c>
      <c r="C16272" s="0" t="s">
        <v>21707</v>
      </c>
      <c r="D16272" s="0" t="s">
        <v>4774</v>
      </c>
      <c r="E16272" s="0" t="inlineStr">
        <is>
          <t xml:space="preserve">Mazda</t>
        </is>
      </c>
      <c r="F16272" s="0" t="s">
        <v>13</v>
      </c>
      <c r="G16272" s="0" t="s">
        <v>49</v>
      </c>
      <c r="H16272" s="5">
        <v>2655.059300</v>
      </c>
    </row>
    <row r="16273" spans="1:9">
      <c r="A16273" s="22" t="str">
        <f>HYPERLINK("https://app.vivvix.com/360/KMI/IntelliDrive/ApplUI/Pages/CreativePages/CustomReportCreativeDetail.aspx?App=23&amp;ReportView=4&amp;Qid=1711279&amp;Row=16265&amp;Col=1","No Title Assigned - #15276450397")</f>
        <v/>
      </c>
      <c r="B16273" s="0" t="s">
        <v>21708</v>
      </c>
      <c r="C16273" s="0" t="s">
        <v>21709</v>
      </c>
      <c r="D16273" s="0" t="s">
        <v>21709</v>
      </c>
      <c r="E16273" s="0" t="inlineStr">
        <is>
          <t xml:space="preserve">Mazda</t>
        </is>
      </c>
      <c r="F16273" s="0" t="s">
        <v>13</v>
      </c>
      <c r="G16273" s="0" t="s">
        <v>49</v>
      </c>
      <c r="H16273" s="5">
        <v>6261.549800</v>
      </c>
    </row>
    <row r="16274" spans="1:9">
      <c r="A16274" s="22" t="str">
        <f>HYPERLINK("https://app.vivvix.com/360/KMI/IntelliDrive/ApplUI/Pages/CreativePages/CustomReportCreativeDetail.aspx?App=23&amp;ReportView=4&amp;Qid=1711279&amp;Row=16266&amp;Col=1","No Title Assigned - #15276451531")</f>
        <v/>
      </c>
      <c r="B16274" s="0" t="s">
        <v>21710</v>
      </c>
      <c r="C16274" s="0" t="s">
        <v>21711</v>
      </c>
      <c r="D16274" s="0" t="s">
        <v>4335</v>
      </c>
      <c r="E16274" s="0" t="inlineStr">
        <is>
          <t xml:space="preserve">Mazda</t>
        </is>
      </c>
      <c r="F16274" s="0" t="s">
        <v>13</v>
      </c>
      <c r="G16274" s="0" t="s">
        <v>49</v>
      </c>
      <c r="H16274" s="5">
        <v>125.900800</v>
      </c>
    </row>
    <row r="16275" spans="1:9">
      <c r="A16275" s="22" t="str">
        <f>HYPERLINK("https://app.vivvix.com/360/KMI/IntelliDrive/ApplUI/Pages/CreativePages/CustomReportCreativeDetail.aspx?App=23&amp;ReportView=4&amp;Qid=1711279&amp;Row=16267&amp;Col=1","No Title Assigned - #15276454146")</f>
        <v/>
      </c>
      <c r="B16275" s="0" t="s">
        <v>21712</v>
      </c>
      <c r="C16275" s="0" t="s">
        <v>21713</v>
      </c>
      <c r="D16275" s="0" t="s">
        <v>21713</v>
      </c>
      <c r="E16275" s="0" t="inlineStr">
        <is>
          <t xml:space="preserve">Mazda</t>
        </is>
      </c>
      <c r="F16275" s="0" t="s">
        <v>13</v>
      </c>
      <c r="G16275" s="0" t="s">
        <v>49</v>
      </c>
      <c r="H16275" s="5">
        <v>132.669900</v>
      </c>
    </row>
    <row r="16276" spans="1:9">
      <c r="A16276" s="22" t="str">
        <f>HYPERLINK("https://app.vivvix.com/360/KMI/IntelliDrive/ApplUI/Pages/CreativePages/CustomReportCreativeDetail.aspx?App=23&amp;ReportView=4&amp;Qid=1711279&amp;Row=16268&amp;Col=1","No Title Assigned - #15276455265")</f>
        <v/>
      </c>
      <c r="B16276" s="0" t="s">
        <v>21714</v>
      </c>
      <c r="C16276" s="0" t="s">
        <v>21715</v>
      </c>
      <c r="D16276" s="0" t="s">
        <v>5013</v>
      </c>
      <c r="E16276" s="0" t="inlineStr">
        <is>
          <t xml:space="preserve">Mazda</t>
        </is>
      </c>
      <c r="F16276" s="0" t="s">
        <v>13</v>
      </c>
      <c r="G16276" s="0" t="s">
        <v>49</v>
      </c>
      <c r="H16276" s="5">
        <v>25.521000</v>
      </c>
    </row>
    <row r="16277" spans="1:9">
      <c r="A16277" s="22" t="str">
        <f>HYPERLINK("https://app.vivvix.com/360/KMI/IntelliDrive/ApplUI/Pages/CreativePages/CustomReportCreativeDetail.aspx?App=23&amp;ReportView=4&amp;Qid=1711279&amp;Row=16269&amp;Col=1","No Title Assigned - #15276457145")</f>
        <v/>
      </c>
      <c r="B16277" s="0" t="s">
        <v>21716</v>
      </c>
      <c r="C16277" s="0" t="s">
        <v>21717</v>
      </c>
      <c r="D16277" s="0" t="s">
        <v>21717</v>
      </c>
      <c r="E16277" s="0" t="inlineStr">
        <is>
          <t xml:space="preserve">Mazda</t>
        </is>
      </c>
      <c r="F16277" s="0" t="s">
        <v>13</v>
      </c>
      <c r="G16277" s="0" t="s">
        <v>49</v>
      </c>
      <c r="H16277" s="5">
        <v>901.649700</v>
      </c>
    </row>
    <row r="16278" spans="1:9">
      <c r="A16278" s="22" t="str">
        <f>HYPERLINK("https://app.vivvix.com/360/KMI/IntelliDrive/ApplUI/Pages/CreativePages/CustomReportCreativeDetail.aspx?App=23&amp;ReportView=4&amp;Qid=1711279&amp;Row=16270&amp;Col=1","No Title Assigned - #15276458413")</f>
        <v/>
      </c>
      <c r="B16278" s="0" t="s">
        <v>21718</v>
      </c>
      <c r="C16278" s="0" t="s">
        <v>21719</v>
      </c>
      <c r="D16278" s="0" t="s">
        <v>21719</v>
      </c>
      <c r="E16278" s="0" t="inlineStr">
        <is>
          <t xml:space="preserve">Mazda</t>
        </is>
      </c>
      <c r="F16278" s="0" t="s">
        <v>13</v>
      </c>
      <c r="G16278" s="0" t="s">
        <v>49</v>
      </c>
      <c r="H16278" s="5">
        <v>1200.475300</v>
      </c>
    </row>
    <row r="16279" spans="1:9">
      <c r="A16279" s="22" t="str">
        <f>HYPERLINK("https://app.vivvix.com/360/KMI/IntelliDrive/ApplUI/Pages/CreativePages/CustomReportCreativeDetail.aspx?App=23&amp;ReportView=4&amp;Qid=1711279&amp;Row=16271&amp;Col=1","No Title Assigned - #15276463126")</f>
        <v/>
      </c>
      <c r="B16279" s="0" t="s">
        <v>21720</v>
      </c>
      <c r="C16279" s="0" t="s">
        <v>21721</v>
      </c>
      <c r="D16279" s="0" t="s">
        <v>5013</v>
      </c>
      <c r="E16279" s="0" t="inlineStr">
        <is>
          <t xml:space="preserve">Mazda</t>
        </is>
      </c>
      <c r="F16279" s="0" t="s">
        <v>13</v>
      </c>
      <c r="G16279" s="0" t="s">
        <v>49</v>
      </c>
      <c r="H16279" s="5">
        <v>7.145500</v>
      </c>
    </row>
    <row r="16280" spans="1:9">
      <c r="A16280" s="22" t="str">
        <f>HYPERLINK("https://app.vivvix.com/360/KMI/IntelliDrive/ApplUI/Pages/CreativePages/CustomReportCreativeDetail.aspx?App=23&amp;ReportView=4&amp;Qid=1711279&amp;Row=16272&amp;Col=1","No Title Assigned - #15276464517")</f>
        <v/>
      </c>
      <c r="B16280" s="0" t="s">
        <v>21722</v>
      </c>
      <c r="C16280" s="0" t="s">
        <v>21723</v>
      </c>
      <c r="D16280" s="0" t="s">
        <v>4774</v>
      </c>
      <c r="E16280" s="0" t="inlineStr">
        <is>
          <t xml:space="preserve">Mazda</t>
        </is>
      </c>
      <c r="F16280" s="0" t="s">
        <v>13</v>
      </c>
      <c r="G16280" s="0" t="s">
        <v>49</v>
      </c>
      <c r="H16280" s="5">
        <v>132.049800</v>
      </c>
    </row>
    <row r="16281" spans="1:9">
      <c r="A16281" s="22" t="str">
        <f>HYPERLINK("https://app.vivvix.com/360/KMI/IntelliDrive/ApplUI/Pages/CreativePages/CustomReportCreativeDetail.aspx?App=23&amp;ReportView=4&amp;Qid=1711279&amp;Row=16273&amp;Col=1","No Title Assigned - #15276467042")</f>
        <v/>
      </c>
      <c r="B16281" s="0" t="s">
        <v>21724</v>
      </c>
      <c r="C16281" s="0" t="s">
        <v>21725</v>
      </c>
      <c r="D16281" s="0" t="s">
        <v>21725</v>
      </c>
      <c r="E16281" s="0" t="inlineStr">
        <is>
          <t xml:space="preserve">Mazda</t>
        </is>
      </c>
      <c r="F16281" s="0" t="s">
        <v>13</v>
      </c>
      <c r="G16281" s="0" t="s">
        <v>49</v>
      </c>
      <c r="H16281" s="5">
        <v>5190.224500</v>
      </c>
    </row>
    <row r="16282" spans="1:9">
      <c r="A16282" s="22" t="str">
        <f>HYPERLINK("https://app.vivvix.com/360/KMI/IntelliDrive/ApplUI/Pages/CreativePages/CustomReportCreativeDetail.aspx?App=23&amp;ReportView=4&amp;Qid=1711279&amp;Row=16274&amp;Col=1","No Title Assigned - #15276469241")</f>
        <v/>
      </c>
      <c r="B16282" s="0" t="s">
        <v>21726</v>
      </c>
      <c r="C16282" s="0" t="s">
        <v>21727</v>
      </c>
      <c r="D16282" s="0" t="s">
        <v>21727</v>
      </c>
      <c r="E16282" s="0" t="inlineStr">
        <is>
          <t xml:space="preserve">Mazda</t>
        </is>
      </c>
      <c r="F16282" s="0" t="s">
        <v>13</v>
      </c>
      <c r="G16282" s="0" t="s">
        <v>49</v>
      </c>
      <c r="H16282" s="5">
        <v>1500.208300</v>
      </c>
    </row>
    <row r="16283" spans="1:9">
      <c r="A16283" s="22" t="str">
        <f>HYPERLINK("https://app.vivvix.com/360/KMI/IntelliDrive/ApplUI/Pages/CreativePages/CustomReportCreativeDetail.aspx?App=23&amp;ReportView=4&amp;Qid=1711279&amp;Row=16275&amp;Col=1","No Title Assigned - #15276470562")</f>
        <v/>
      </c>
      <c r="B16283" s="0" t="s">
        <v>21728</v>
      </c>
      <c r="C16283" s="0" t="s">
        <v>21729</v>
      </c>
      <c r="D16283" s="0" t="s">
        <v>21729</v>
      </c>
      <c r="E16283" s="0" t="inlineStr">
        <is>
          <t xml:space="preserve">Mazda</t>
        </is>
      </c>
      <c r="F16283" s="0" t="s">
        <v>13</v>
      </c>
      <c r="G16283" s="0" t="s">
        <v>49</v>
      </c>
      <c r="H16283" s="5">
        <v>126.065400</v>
      </c>
    </row>
    <row r="16284" spans="1:9">
      <c r="A16284" s="22" t="str">
        <f>HYPERLINK("https://app.vivvix.com/360/KMI/IntelliDrive/ApplUI/Pages/CreativePages/CustomReportCreativeDetail.aspx?App=23&amp;ReportView=4&amp;Qid=1711279&amp;Row=16276&amp;Col=1","No Title Assigned - #15276471153")</f>
        <v/>
      </c>
      <c r="B16284" s="0" t="s">
        <v>21730</v>
      </c>
      <c r="C16284" s="0" t="s">
        <v>21731</v>
      </c>
      <c r="D16284" s="0" t="s">
        <v>21731</v>
      </c>
      <c r="E16284" s="0" t="inlineStr">
        <is>
          <t xml:space="preserve">Mazda</t>
        </is>
      </c>
      <c r="F16284" s="0" t="s">
        <v>13</v>
      </c>
      <c r="G16284" s="0" t="s">
        <v>49</v>
      </c>
      <c r="H16284" s="5">
        <v>24.290100</v>
      </c>
    </row>
    <row r="16285" spans="1:9">
      <c r="A16285" s="22" t="str">
        <f>HYPERLINK("https://app.vivvix.com/360/KMI/IntelliDrive/ApplUI/Pages/CreativePages/CustomReportCreativeDetail.aspx?App=23&amp;ReportView=4&amp;Qid=1711279&amp;Row=16277&amp;Col=1","No Title Assigned - #15276471564")</f>
        <v/>
      </c>
      <c r="B16285" s="0" t="s">
        <v>21732</v>
      </c>
      <c r="C16285" s="0" t="s">
        <v>21733</v>
      </c>
      <c r="D16285" s="0" t="s">
        <v>4335</v>
      </c>
      <c r="E16285" s="0" t="inlineStr">
        <is>
          <t xml:space="preserve">Mazda</t>
        </is>
      </c>
      <c r="F16285" s="0" t="s">
        <v>13</v>
      </c>
      <c r="G16285" s="0" t="s">
        <v>49</v>
      </c>
      <c r="H16285" s="5">
        <v>1280.482600</v>
      </c>
    </row>
    <row r="16286" spans="1:9">
      <c r="A16286" s="22" t="str">
        <f>HYPERLINK("https://app.vivvix.com/360/KMI/IntelliDrive/ApplUI/Pages/CreativePages/CustomReportCreativeDetail.aspx?App=23&amp;ReportView=4&amp;Qid=1711279&amp;Row=16278&amp;Col=1","No Title Assigned - #15276474201")</f>
        <v/>
      </c>
      <c r="B16286" s="0" t="s">
        <v>21734</v>
      </c>
      <c r="E16286" s="0" t="inlineStr">
        <is>
          <t xml:space="preserve">Mazda</t>
        </is>
      </c>
      <c r="F16286" s="0" t="s">
        <v>13</v>
      </c>
      <c r="G16286" s="0" t="s">
        <v>49</v>
      </c>
      <c r="H16286" s="5">
        <v>19.260000</v>
      </c>
    </row>
    <row r="16287" spans="1:9">
      <c r="A16287" s="22" t="str">
        <f>HYPERLINK("https://app.vivvix.com/360/KMI/IntelliDrive/ApplUI/Pages/CreativePages/CustomReportCreativeDetail.aspx?App=23&amp;ReportView=4&amp;Qid=1711279&amp;Row=16279&amp;Col=1","No Title Assigned - #15276474661")</f>
        <v/>
      </c>
      <c r="B16287" s="0" t="s">
        <v>21735</v>
      </c>
      <c r="C16287" s="0" t="s">
        <v>21736</v>
      </c>
      <c r="D16287" s="0" t="s">
        <v>5013</v>
      </c>
      <c r="E16287" s="0" t="inlineStr">
        <is>
          <t xml:space="preserve">Mazda</t>
        </is>
      </c>
      <c r="F16287" s="0" t="s">
        <v>13</v>
      </c>
      <c r="G16287" s="0" t="s">
        <v>49</v>
      </c>
      <c r="H16287" s="5">
        <v>412.840800</v>
      </c>
    </row>
    <row r="16288" spans="1:9">
      <c r="A16288" s="22" t="str">
        <f>HYPERLINK("https://app.vivvix.com/360/KMI/IntelliDrive/ApplUI/Pages/CreativePages/CustomReportCreativeDetail.aspx?App=23&amp;ReportView=4&amp;Qid=1711279&amp;Row=16280&amp;Col=1","No Title Assigned - #15276474715")</f>
        <v/>
      </c>
      <c r="B16288" s="0" t="s">
        <v>21737</v>
      </c>
      <c r="C16288" s="0" t="s">
        <v>21738</v>
      </c>
      <c r="D16288" s="0" t="s">
        <v>9167</v>
      </c>
      <c r="E16288" s="0" t="inlineStr">
        <is>
          <t xml:space="preserve">Mazda</t>
        </is>
      </c>
      <c r="F16288" s="0" t="s">
        <v>13</v>
      </c>
      <c r="G16288" s="0" t="s">
        <v>49</v>
      </c>
      <c r="H16288" s="5">
        <v>1.176800</v>
      </c>
    </row>
    <row r="16289" spans="1:9">
      <c r="A16289" s="22" t="str">
        <f>HYPERLINK("https://app.vivvix.com/360/KMI/IntelliDrive/ApplUI/Pages/CreativePages/CustomReportCreativeDetail.aspx?App=23&amp;ReportView=4&amp;Qid=1711279&amp;Row=16281&amp;Col=1","No Title Assigned - #15276474864")</f>
        <v/>
      </c>
      <c r="B16289" s="0" t="s">
        <v>21739</v>
      </c>
      <c r="C16289" s="0" t="s">
        <v>21740</v>
      </c>
      <c r="D16289" s="0" t="s">
        <v>21740</v>
      </c>
      <c r="E16289" s="0" t="inlineStr">
        <is>
          <t xml:space="preserve">Mazda</t>
        </is>
      </c>
      <c r="F16289" s="0" t="s">
        <v>13</v>
      </c>
      <c r="G16289" s="0" t="s">
        <v>49</v>
      </c>
      <c r="H16289" s="5">
        <v>1.176800</v>
      </c>
    </row>
    <row r="16290" spans="1:9">
      <c r="A16290" s="22" t="str">
        <f>HYPERLINK("https://app.vivvix.com/360/KMI/IntelliDrive/ApplUI/Pages/CreativePages/CustomReportCreativeDetail.aspx?App=23&amp;ReportView=4&amp;Qid=1711279&amp;Row=16282&amp;Col=1","No Title Assigned - #15276474982")</f>
        <v/>
      </c>
      <c r="B16290" s="0" t="s">
        <v>21741</v>
      </c>
      <c r="E16290" s="0" t="inlineStr">
        <is>
          <t xml:space="preserve">Mazda</t>
        </is>
      </c>
      <c r="F16290" s="0" t="inlineStr">
        <is>
          <t xml:space="preserve">Mazda</t>
        </is>
      </c>
      <c r="G16290" s="0" t="s">
        <v>171</v>
      </c>
      <c r="H16290" s="5">
        <v>30.263400</v>
      </c>
    </row>
    <row r="16291" spans="1:9">
      <c r="A16291" s="22" t="str">
        <f>HYPERLINK("https://app.vivvix.com/360/KMI/IntelliDrive/ApplUI/Pages/CreativePages/CustomReportCreativeDetail.aspx?App=23&amp;ReportView=4&amp;Qid=1711279&amp;Row=16283&amp;Col=1","No Title Assigned - #15276475090")</f>
        <v/>
      </c>
      <c r="B16291" s="0" t="s">
        <v>21742</v>
      </c>
      <c r="E16291" s="0" t="inlineStr">
        <is>
          <t xml:space="preserve">Mazda</t>
        </is>
      </c>
      <c r="F16291" s="0" t="inlineStr">
        <is>
          <t xml:space="preserve">Mazda</t>
        </is>
      </c>
      <c r="G16291" s="0" t="s">
        <v>171</v>
      </c>
      <c r="H16291" s="5">
        <v>747.309900</v>
      </c>
    </row>
    <row r="16292" spans="1:9">
      <c r="A16292" s="22" t="str">
        <f>HYPERLINK("https://app.vivvix.com/360/KMI/IntelliDrive/ApplUI/Pages/CreativePages/CustomReportCreativeDetail.aspx?App=23&amp;ReportView=4&amp;Qid=1711279&amp;Row=16284&amp;Col=1","No Title Assigned - #15276476828")</f>
        <v/>
      </c>
      <c r="B16292" s="0" t="s">
        <v>21743</v>
      </c>
      <c r="E16292" s="0" t="inlineStr">
        <is>
          <t xml:space="preserve">Mazda</t>
        </is>
      </c>
      <c r="F16292" s="0" t="inlineStr">
        <is>
          <t xml:space="preserve">Mazda</t>
        </is>
      </c>
      <c r="G16292" s="0" t="s">
        <v>171</v>
      </c>
      <c r="H16292" s="5">
        <v>1140.211200</v>
      </c>
    </row>
    <row r="16293" spans="1:9">
      <c r="A16293" s="22" t="str">
        <f>HYPERLINK("https://app.vivvix.com/360/KMI/IntelliDrive/ApplUI/Pages/CreativePages/CustomReportCreativeDetail.aspx?App=23&amp;ReportView=4&amp;Qid=1711279&amp;Row=16285&amp;Col=1","No Title Assigned - #15276476992")</f>
        <v/>
      </c>
      <c r="B16293" s="0" t="s">
        <v>21744</v>
      </c>
      <c r="C16293" s="0" t="s">
        <v>21745</v>
      </c>
      <c r="D16293" s="0" t="s">
        <v>21745</v>
      </c>
      <c r="E16293" s="0" t="inlineStr">
        <is>
          <t xml:space="preserve">Mazda</t>
        </is>
      </c>
      <c r="F16293" s="0" t="s">
        <v>13</v>
      </c>
      <c r="G16293" s="0" t="s">
        <v>49</v>
      </c>
      <c r="H16293" s="5">
        <v>11.535700</v>
      </c>
    </row>
    <row r="16294" spans="1:9">
      <c r="A16294" s="22" t="str">
        <f>HYPERLINK("https://app.vivvix.com/360/KMI/IntelliDrive/ApplUI/Pages/CreativePages/CustomReportCreativeDetail.aspx?App=23&amp;ReportView=4&amp;Qid=1711279&amp;Row=16286&amp;Col=1","No Title Assigned - #15276477209")</f>
        <v/>
      </c>
      <c r="B16294" s="0" t="s">
        <v>21746</v>
      </c>
      <c r="E16294" s="0" t="inlineStr">
        <is>
          <t xml:space="preserve">Mazda</t>
        </is>
      </c>
      <c r="F16294" s="0" t="inlineStr">
        <is>
          <t xml:space="preserve">Mazda</t>
        </is>
      </c>
      <c r="G16294" s="0" t="s">
        <v>171</v>
      </c>
      <c r="H16294" s="5">
        <v>125.061200</v>
      </c>
    </row>
    <row r="16295" spans="1:9">
      <c r="A16295" s="22" t="str">
        <f>HYPERLINK("https://app.vivvix.com/360/KMI/IntelliDrive/ApplUI/Pages/CreativePages/CustomReportCreativeDetail.aspx?App=23&amp;ReportView=4&amp;Qid=1711279&amp;Row=16287&amp;Col=1","No Title Assigned - #15276477397")</f>
        <v/>
      </c>
      <c r="B16295" s="0" t="s">
        <v>21747</v>
      </c>
      <c r="E16295" s="0" t="inlineStr">
        <is>
          <t xml:space="preserve">Mazda</t>
        </is>
      </c>
      <c r="F16295" s="0" t="inlineStr">
        <is>
          <t xml:space="preserve">Mazda</t>
        </is>
      </c>
      <c r="G16295" s="0" t="s">
        <v>171</v>
      </c>
      <c r="H16295" s="5">
        <v>145.370400</v>
      </c>
    </row>
    <row r="16296" spans="1:9">
      <c r="A16296" s="22" t="str">
        <f>HYPERLINK("https://app.vivvix.com/360/KMI/IntelliDrive/ApplUI/Pages/CreativePages/CustomReportCreativeDetail.aspx?App=23&amp;ReportView=4&amp;Qid=1711279&amp;Row=16288&amp;Col=1","No Title Assigned - #15276478158")</f>
        <v/>
      </c>
      <c r="B16296" s="0" t="s">
        <v>21748</v>
      </c>
      <c r="E16296" s="0" t="inlineStr">
        <is>
          <t xml:space="preserve">Mazda</t>
        </is>
      </c>
      <c r="F16296" s="0" t="inlineStr">
        <is>
          <t xml:space="preserve">Mazda</t>
        </is>
      </c>
      <c r="G16296" s="0" t="s">
        <v>171</v>
      </c>
      <c r="H16296" s="5">
        <v>176.873100</v>
      </c>
    </row>
    <row r="16297" spans="1:9">
      <c r="A16297" s="22" t="str">
        <f>HYPERLINK("https://app.vivvix.com/360/KMI/IntelliDrive/ApplUI/Pages/CreativePages/CustomReportCreativeDetail.aspx?App=23&amp;ReportView=4&amp;Qid=1711279&amp;Row=16289&amp;Col=1","No Title Assigned - #15276478713")</f>
        <v/>
      </c>
      <c r="B16297" s="0" t="s">
        <v>21749</v>
      </c>
      <c r="E16297" s="0" t="inlineStr">
        <is>
          <t xml:space="preserve">Mazda</t>
        </is>
      </c>
      <c r="F16297" s="0" t="inlineStr">
        <is>
          <t xml:space="preserve">Mazda</t>
        </is>
      </c>
      <c r="G16297" s="0" t="s">
        <v>171</v>
      </c>
      <c r="H16297" s="5">
        <v>648.952900</v>
      </c>
    </row>
    <row r="16298" spans="1:9">
      <c r="A16298" s="22" t="str">
        <f>HYPERLINK("https://app.vivvix.com/360/KMI/IntelliDrive/ApplUI/Pages/CreativePages/CustomReportCreativeDetail.aspx?App=23&amp;ReportView=4&amp;Qid=1711279&amp;Row=16290&amp;Col=1","No Title Assigned - #15276480147")</f>
        <v/>
      </c>
      <c r="B16298" s="0" t="s">
        <v>21750</v>
      </c>
      <c r="C16298" s="0" t="s">
        <v>21751</v>
      </c>
      <c r="D16298" s="0" t="s">
        <v>21751</v>
      </c>
      <c r="E16298" s="0" t="inlineStr">
        <is>
          <t xml:space="preserve">Mazda</t>
        </is>
      </c>
      <c r="F16298" s="0" t="inlineStr">
        <is>
          <t xml:space="preserve">Mazda</t>
        </is>
      </c>
      <c r="G16298" s="0" t="s">
        <v>171</v>
      </c>
      <c r="H16298" s="5">
        <v>559.870000</v>
      </c>
    </row>
    <row r="16299" spans="1:9">
      <c r="A16299" s="22" t="str">
        <f>HYPERLINK("https://app.vivvix.com/360/KMI/IntelliDrive/ApplUI/Pages/CreativePages/CustomReportCreativeDetail.aspx?App=23&amp;ReportView=4&amp;Qid=1711279&amp;Row=16291&amp;Col=1","No Title Assigned - #15276480184")</f>
        <v/>
      </c>
      <c r="B16299" s="0" t="s">
        <v>21752</v>
      </c>
      <c r="C16299" s="0" t="s">
        <v>21753</v>
      </c>
      <c r="D16299" s="0" t="s">
        <v>9703</v>
      </c>
      <c r="E16299" s="0" t="inlineStr">
        <is>
          <t xml:space="preserve">Mazda</t>
        </is>
      </c>
      <c r="F16299" s="0" t="s">
        <v>13</v>
      </c>
      <c r="G16299" s="0" t="s">
        <v>49</v>
      </c>
      <c r="H16299" s="5">
        <v>10.745100</v>
      </c>
    </row>
    <row r="16300" spans="1:9">
      <c r="A16300" s="22" t="str">
        <f>HYPERLINK("https://app.vivvix.com/360/KMI/IntelliDrive/ApplUI/Pages/CreativePages/CustomReportCreativeDetail.aspx?App=23&amp;ReportView=4&amp;Qid=1711279&amp;Row=16292&amp;Col=1","No Title Assigned - #15276480488")</f>
        <v/>
      </c>
      <c r="B16300" s="0" t="s">
        <v>21754</v>
      </c>
      <c r="E16300" s="0" t="inlineStr">
        <is>
          <t xml:space="preserve">Mazda</t>
        </is>
      </c>
      <c r="F16300" s="0" t="inlineStr">
        <is>
          <t xml:space="preserve">Mazda</t>
        </is>
      </c>
      <c r="G16300" s="0" t="s">
        <v>171</v>
      </c>
      <c r="H16300" s="5">
        <v>884.577300</v>
      </c>
    </row>
    <row r="16301" spans="1:9">
      <c r="A16301" s="22" t="str">
        <f>HYPERLINK("https://app.vivvix.com/360/KMI/IntelliDrive/ApplUI/Pages/CreativePages/CustomReportCreativeDetail.aspx?App=23&amp;ReportView=4&amp;Qid=1711279&amp;Row=16293&amp;Col=1","No Title Assigned - #15276481340")</f>
        <v/>
      </c>
      <c r="B16301" s="0" t="s">
        <v>21755</v>
      </c>
      <c r="E16301" s="0" t="inlineStr">
        <is>
          <t xml:space="preserve">Mazda</t>
        </is>
      </c>
      <c r="F16301" s="0" t="inlineStr">
        <is>
          <t xml:space="preserve">Mazda</t>
        </is>
      </c>
      <c r="G16301" s="0" t="s">
        <v>171</v>
      </c>
      <c r="H16301" s="5">
        <v>11.254100</v>
      </c>
    </row>
    <row r="16302" spans="1:9">
      <c r="A16302" s="22" t="str">
        <f>HYPERLINK("https://app.vivvix.com/360/KMI/IntelliDrive/ApplUI/Pages/CreativePages/CustomReportCreativeDetail.aspx?App=23&amp;ReportView=4&amp;Qid=1711279&amp;Row=16294&amp;Col=1","No Title Assigned - #15276481665")</f>
        <v/>
      </c>
      <c r="B16302" s="0" t="s">
        <v>21756</v>
      </c>
      <c r="E16302" s="0" t="inlineStr">
        <is>
          <t xml:space="preserve">Mazda</t>
        </is>
      </c>
      <c r="F16302" s="0" t="inlineStr">
        <is>
          <t xml:space="preserve">Mazda</t>
        </is>
      </c>
      <c r="G16302" s="0" t="s">
        <v>171</v>
      </c>
      <c r="H16302" s="5">
        <v>436.111200</v>
      </c>
    </row>
    <row r="16303" spans="1:9">
      <c r="A16303" s="22" t="str">
        <f>HYPERLINK("https://app.vivvix.com/360/KMI/IntelliDrive/ApplUI/Pages/CreativePages/CustomReportCreativeDetail.aspx?App=23&amp;ReportView=4&amp;Qid=1711279&amp;Row=16295&amp;Col=1","No Title Assigned - #15276481805")</f>
        <v/>
      </c>
      <c r="B16303" s="0" t="s">
        <v>21757</v>
      </c>
      <c r="C16303" s="0" t="s">
        <v>21758</v>
      </c>
      <c r="D16303" s="0" t="s">
        <v>4335</v>
      </c>
      <c r="E16303" s="0" t="inlineStr">
        <is>
          <t xml:space="preserve">Mazda</t>
        </is>
      </c>
      <c r="F16303" s="0" t="s">
        <v>13</v>
      </c>
      <c r="G16303" s="0" t="s">
        <v>49</v>
      </c>
      <c r="H16303" s="5">
        <v>31.475200</v>
      </c>
    </row>
    <row r="16304" spans="1:9">
      <c r="A16304" s="22" t="str">
        <f>HYPERLINK("https://app.vivvix.com/360/KMI/IntelliDrive/ApplUI/Pages/CreativePages/CustomReportCreativeDetail.aspx?App=23&amp;ReportView=4&amp;Qid=1711279&amp;Row=16296&amp;Col=1","No Title Assigned - #15276481882")</f>
        <v/>
      </c>
      <c r="B16304" s="0" t="s">
        <v>21759</v>
      </c>
      <c r="E16304" s="0" t="inlineStr">
        <is>
          <t xml:space="preserve">Mazda</t>
        </is>
      </c>
      <c r="F16304" s="0" t="inlineStr">
        <is>
          <t xml:space="preserve">Mazda</t>
        </is>
      </c>
      <c r="G16304" s="0" t="s">
        <v>171</v>
      </c>
      <c r="H16304" s="5">
        <v>218.055600</v>
      </c>
    </row>
    <row r="16305" spans="1:9">
      <c r="A16305" s="22" t="str">
        <f>HYPERLINK("https://app.vivvix.com/360/KMI/IntelliDrive/ApplUI/Pages/CreativePages/CustomReportCreativeDetail.aspx?App=23&amp;ReportView=4&amp;Qid=1711279&amp;Row=16297&amp;Col=1","No Title Assigned - #15276484028")</f>
        <v/>
      </c>
      <c r="B16305" s="0" t="s">
        <v>21760</v>
      </c>
      <c r="E16305" s="0" t="inlineStr">
        <is>
          <t xml:space="preserve">Mazda</t>
        </is>
      </c>
      <c r="F16305" s="0" t="inlineStr">
        <is>
          <t xml:space="preserve">Mazda</t>
        </is>
      </c>
      <c r="G16305" s="0" t="s">
        <v>171</v>
      </c>
      <c r="H16305" s="5">
        <v>6409.888200</v>
      </c>
    </row>
    <row r="16306" spans="1:9">
      <c r="A16306" s="22" t="str">
        <f>HYPERLINK("https://app.vivvix.com/360/KMI/IntelliDrive/ApplUI/Pages/CreativePages/CustomReportCreativeDetail.aspx?App=23&amp;ReportView=4&amp;Qid=1711279&amp;Row=16298&amp;Col=1","No Title Assigned - #15276484086")</f>
        <v/>
      </c>
      <c r="B16306" s="0" t="s">
        <v>21761</v>
      </c>
      <c r="E16306" s="0" t="inlineStr">
        <is>
          <t xml:space="preserve">Mazda</t>
        </is>
      </c>
      <c r="F16306" s="0" t="inlineStr">
        <is>
          <t xml:space="preserve">Mazda</t>
        </is>
      </c>
      <c r="G16306" s="0" t="s">
        <v>171</v>
      </c>
      <c r="H16306" s="5">
        <v>219.635000</v>
      </c>
    </row>
    <row r="16307" spans="1:9">
      <c r="A16307" s="22" t="str">
        <f>HYPERLINK("https://app.vivvix.com/360/KMI/IntelliDrive/ApplUI/Pages/CreativePages/CustomReportCreativeDetail.aspx?App=23&amp;ReportView=4&amp;Qid=1711279&amp;Row=16299&amp;Col=1","No Title Assigned - #15276484537")</f>
        <v/>
      </c>
      <c r="B16307" s="0" t="s">
        <v>21762</v>
      </c>
      <c r="E16307" s="0" t="inlineStr">
        <is>
          <t xml:space="preserve">Mazda</t>
        </is>
      </c>
      <c r="F16307" s="0" t="inlineStr">
        <is>
          <t xml:space="preserve">Mazda</t>
        </is>
      </c>
      <c r="G16307" s="0" t="s">
        <v>171</v>
      </c>
      <c r="H16307" s="5">
        <v>14.189500</v>
      </c>
    </row>
    <row r="16308" spans="1:9">
      <c r="A16308" s="22" t="str">
        <f>HYPERLINK("https://app.vivvix.com/360/KMI/IntelliDrive/ApplUI/Pages/CreativePages/CustomReportCreativeDetail.aspx?App=23&amp;ReportView=4&amp;Qid=1711279&amp;Row=16300&amp;Col=1","No Title Assigned - #15276484605")</f>
        <v/>
      </c>
      <c r="B16308" s="0" t="s">
        <v>21763</v>
      </c>
      <c r="E16308" s="0" t="inlineStr">
        <is>
          <t xml:space="preserve">Mazda</t>
        </is>
      </c>
      <c r="F16308" s="0" t="inlineStr">
        <is>
          <t xml:space="preserve">Mazda</t>
        </is>
      </c>
      <c r="G16308" s="0" t="s">
        <v>171</v>
      </c>
      <c r="H16308" s="5">
        <v>11.281500</v>
      </c>
    </row>
    <row r="16309" spans="1:9">
      <c r="A16309" s="22" t="str">
        <f>HYPERLINK("https://app.vivvix.com/360/KMI/IntelliDrive/ApplUI/Pages/CreativePages/CustomReportCreativeDetail.aspx?App=23&amp;ReportView=4&amp;Qid=1711279&amp;Row=16301&amp;Col=1","No Title Assigned - #15276488481")</f>
        <v/>
      </c>
      <c r="B16309" s="0" t="s">
        <v>21764</v>
      </c>
      <c r="E16309" s="0" t="inlineStr">
        <is>
          <t xml:space="preserve">Mazda</t>
        </is>
      </c>
      <c r="F16309" s="0" t="inlineStr">
        <is>
          <t xml:space="preserve">Mazda</t>
        </is>
      </c>
      <c r="G16309" s="0" t="s">
        <v>171</v>
      </c>
      <c r="H16309" s="5">
        <v>353.746200</v>
      </c>
    </row>
    <row r="16310" spans="1:9">
      <c r="A16310" s="22" t="str">
        <f>HYPERLINK("https://app.vivvix.com/360/KMI/IntelliDrive/ApplUI/Pages/CreativePages/CustomReportCreativeDetail.aspx?App=23&amp;ReportView=4&amp;Qid=1711279&amp;Row=16302&amp;Col=1","No Title Assigned - #15276488639")</f>
        <v/>
      </c>
      <c r="B16310" s="0" t="s">
        <v>21765</v>
      </c>
      <c r="E16310" s="0" t="inlineStr">
        <is>
          <t xml:space="preserve">Mazda</t>
        </is>
      </c>
      <c r="F16310" s="0" t="inlineStr">
        <is>
          <t xml:space="preserve">Mazda</t>
        </is>
      </c>
      <c r="G16310" s="0" t="s">
        <v>171</v>
      </c>
      <c r="H16310" s="5">
        <v>416.858300</v>
      </c>
    </row>
    <row r="16311" spans="1:9">
      <c r="A16311" s="22" t="str">
        <f>HYPERLINK("https://app.vivvix.com/360/KMI/IntelliDrive/ApplUI/Pages/CreativePages/CustomReportCreativeDetail.aspx?App=23&amp;ReportView=4&amp;Qid=1711279&amp;Row=16303&amp;Col=1","No Title Assigned - #15276489330")</f>
        <v/>
      </c>
      <c r="B16311" s="0" t="s">
        <v>21766</v>
      </c>
      <c r="E16311" s="0" t="inlineStr">
        <is>
          <t xml:space="preserve">Mazda</t>
        </is>
      </c>
      <c r="F16311" s="0" t="inlineStr">
        <is>
          <t xml:space="preserve">Mazda</t>
        </is>
      </c>
      <c r="G16311" s="0" t="s">
        <v>171</v>
      </c>
      <c r="H16311" s="5">
        <v>1013.577100</v>
      </c>
    </row>
    <row r="16312" spans="1:9">
      <c r="A16312" s="22" t="str">
        <f>HYPERLINK("https://app.vivvix.com/360/KMI/IntelliDrive/ApplUI/Pages/CreativePages/CustomReportCreativeDetail.aspx?App=23&amp;ReportView=4&amp;Qid=1711279&amp;Row=16304&amp;Col=1","No Title Assigned - #15276489330")</f>
        <v/>
      </c>
      <c r="B16312" s="0" t="s">
        <v>21766</v>
      </c>
      <c r="E16312" s="0" t="inlineStr">
        <is>
          <t xml:space="preserve">Mazda</t>
        </is>
      </c>
      <c r="F16312" s="0" t="inlineStr">
        <is>
          <t xml:space="preserve">Mazda</t>
        </is>
      </c>
      <c r="G16312" s="0" t="s">
        <v>171</v>
      </c>
      <c r="H16312" s="5">
        <v>212.734200</v>
      </c>
    </row>
    <row r="16313" spans="1:9">
      <c r="A16313" s="22" t="str">
        <f>HYPERLINK("https://app.vivvix.com/360/KMI/IntelliDrive/ApplUI/Pages/CreativePages/CustomReportCreativeDetail.aspx?App=23&amp;ReportView=4&amp;Qid=1711279&amp;Row=16305&amp;Col=1","No Title Assigned - #15276489518")</f>
        <v/>
      </c>
      <c r="B16313" s="0" t="s">
        <v>21767</v>
      </c>
      <c r="E16313" s="0" t="inlineStr">
        <is>
          <t xml:space="preserve">Mazda</t>
        </is>
      </c>
      <c r="F16313" s="0" t="inlineStr">
        <is>
          <t xml:space="preserve">Mazda</t>
        </is>
      </c>
      <c r="G16313" s="0" t="s">
        <v>171</v>
      </c>
      <c r="H16313" s="5">
        <v>546.635800</v>
      </c>
    </row>
    <row r="16314" spans="1:9">
      <c r="A16314" s="22" t="str">
        <f>HYPERLINK("https://app.vivvix.com/360/KMI/IntelliDrive/ApplUI/Pages/CreativePages/CustomReportCreativeDetail.aspx?App=23&amp;ReportView=4&amp;Qid=1711279&amp;Row=16306&amp;Col=1","No Title Assigned - #15276489732")</f>
        <v/>
      </c>
      <c r="B16314" s="0" t="s">
        <v>21768</v>
      </c>
      <c r="E16314" s="0" t="inlineStr">
        <is>
          <t xml:space="preserve">Mazda</t>
        </is>
      </c>
      <c r="F16314" s="0" t="inlineStr">
        <is>
          <t xml:space="preserve">Mazda</t>
        </is>
      </c>
      <c r="G16314" s="0" t="s">
        <v>171</v>
      </c>
      <c r="H16314" s="5">
        <v>89.105800</v>
      </c>
    </row>
    <row r="16315" spans="1:9">
      <c r="A16315" s="22" t="str">
        <f>HYPERLINK("https://app.vivvix.com/360/KMI/IntelliDrive/ApplUI/Pages/CreativePages/CustomReportCreativeDetail.aspx?App=23&amp;ReportView=4&amp;Qid=1711279&amp;Row=16307&amp;Col=1","No Title Assigned - #15276489745")</f>
        <v/>
      </c>
      <c r="B16315" s="0" t="s">
        <v>21769</v>
      </c>
      <c r="C16315" s="0" t="s">
        <v>21770</v>
      </c>
      <c r="D16315" s="0" t="s">
        <v>21770</v>
      </c>
      <c r="E16315" s="0" t="inlineStr">
        <is>
          <t xml:space="preserve">Mazda</t>
        </is>
      </c>
      <c r="F16315" s="0" t="inlineStr">
        <is>
          <t xml:space="preserve">Mazda</t>
        </is>
      </c>
      <c r="G16315" s="0" t="s">
        <v>171</v>
      </c>
      <c r="H16315" s="5">
        <v>6.099900</v>
      </c>
    </row>
    <row r="16316" spans="1:9">
      <c r="A16316" s="22" t="str">
        <f>HYPERLINK("https://app.vivvix.com/360/KMI/IntelliDrive/ApplUI/Pages/CreativePages/CustomReportCreativeDetail.aspx?App=23&amp;ReportView=4&amp;Qid=1711279&amp;Row=16308&amp;Col=1","No Title Assigned - #15276489746")</f>
        <v/>
      </c>
      <c r="B16316" s="0" t="s">
        <v>21771</v>
      </c>
      <c r="E16316" s="0" t="inlineStr">
        <is>
          <t xml:space="preserve">Mazda</t>
        </is>
      </c>
      <c r="F16316" s="0" t="inlineStr">
        <is>
          <t xml:space="preserve">Mazda</t>
        </is>
      </c>
      <c r="G16316" s="0" t="s">
        <v>171</v>
      </c>
      <c r="H16316" s="5">
        <v>6.099900</v>
      </c>
    </row>
    <row r="16317" spans="1:9">
      <c r="A16317" s="22" t="str">
        <f>HYPERLINK("https://app.vivvix.com/360/KMI/IntelliDrive/ApplUI/Pages/CreativePages/CustomReportCreativeDetail.aspx?App=23&amp;ReportView=4&amp;Qid=1711279&amp;Row=16309&amp;Col=1","No Title Assigned - #15276489923")</f>
        <v/>
      </c>
      <c r="B16317" s="0" t="s">
        <v>21772</v>
      </c>
      <c r="E16317" s="0" t="inlineStr">
        <is>
          <t xml:space="preserve">Mazda</t>
        </is>
      </c>
      <c r="F16317" s="0" t="inlineStr">
        <is>
          <t xml:space="preserve">Mazda</t>
        </is>
      </c>
      <c r="G16317" s="0" t="s">
        <v>171</v>
      </c>
      <c r="H16317" s="5">
        <v>395.930400</v>
      </c>
    </row>
    <row r="16318" spans="1:9">
      <c r="A16318" s="22" t="str">
        <f>HYPERLINK("https://app.vivvix.com/360/KMI/IntelliDrive/ApplUI/Pages/CreativePages/CustomReportCreativeDetail.aspx?App=23&amp;ReportView=4&amp;Qid=1711279&amp;Row=16310&amp;Col=1","No Title Assigned - #15276489985")</f>
        <v/>
      </c>
      <c r="B16318" s="0" t="s">
        <v>21773</v>
      </c>
      <c r="E16318" s="0" t="inlineStr">
        <is>
          <t xml:space="preserve">Mazda</t>
        </is>
      </c>
      <c r="F16318" s="0" t="inlineStr">
        <is>
          <t xml:space="preserve">Mazda</t>
        </is>
      </c>
      <c r="G16318" s="0" t="s">
        <v>171</v>
      </c>
      <c r="H16318" s="5">
        <v>42.699300</v>
      </c>
    </row>
    <row r="16319" spans="1:9">
      <c r="A16319" s="22" t="str">
        <f>HYPERLINK("https://app.vivvix.com/360/KMI/IntelliDrive/ApplUI/Pages/CreativePages/CustomReportCreativeDetail.aspx?App=23&amp;ReportView=4&amp;Qid=1711279&amp;Row=16311&amp;Col=1","No Title Assigned - #15276489987")</f>
        <v/>
      </c>
      <c r="B16319" s="0" t="s">
        <v>21774</v>
      </c>
      <c r="E16319" s="0" t="inlineStr">
        <is>
          <t xml:space="preserve">Mazda</t>
        </is>
      </c>
      <c r="F16319" s="0" t="inlineStr">
        <is>
          <t xml:space="preserve">Mazda</t>
        </is>
      </c>
      <c r="G16319" s="0" t="s">
        <v>171</v>
      </c>
      <c r="H16319" s="5">
        <v>52.433400</v>
      </c>
    </row>
    <row r="16320" spans="1:9">
      <c r="A16320" s="22" t="str">
        <f>HYPERLINK("https://app.vivvix.com/360/KMI/IntelliDrive/ApplUI/Pages/CreativePages/CustomReportCreativeDetail.aspx?App=23&amp;ReportView=4&amp;Qid=1711279&amp;Row=16312&amp;Col=1","No Title Assigned - #15276490053")</f>
        <v/>
      </c>
      <c r="B16320" s="0" t="s">
        <v>21775</v>
      </c>
      <c r="E16320" s="0" t="inlineStr">
        <is>
          <t xml:space="preserve">Mazda</t>
        </is>
      </c>
      <c r="F16320" s="0" t="inlineStr">
        <is>
          <t xml:space="preserve">Mazda</t>
        </is>
      </c>
      <c r="G16320" s="0" t="s">
        <v>171</v>
      </c>
      <c r="H16320" s="5">
        <v>172.251500</v>
      </c>
    </row>
    <row r="16321" spans="1:9">
      <c r="A16321" s="22" t="str">
        <f>HYPERLINK("https://app.vivvix.com/360/KMI/IntelliDrive/ApplUI/Pages/CreativePages/CustomReportCreativeDetail.aspx?App=23&amp;ReportView=4&amp;Qid=1711279&amp;Row=16313&amp;Col=1","No Title Assigned - #15276490361")</f>
        <v/>
      </c>
      <c r="B16321" s="0" t="s">
        <v>21776</v>
      </c>
      <c r="E16321" s="0" t="inlineStr">
        <is>
          <t xml:space="preserve">Mazda</t>
        </is>
      </c>
      <c r="F16321" s="0" t="inlineStr">
        <is>
          <t xml:space="preserve">Mazda</t>
        </is>
      </c>
      <c r="G16321" s="0" t="s">
        <v>171</v>
      </c>
      <c r="H16321" s="5">
        <v>16.432900</v>
      </c>
    </row>
    <row r="16322" spans="1:9">
      <c r="A16322" s="22" t="str">
        <f>HYPERLINK("https://app.vivvix.com/360/KMI/IntelliDrive/ApplUI/Pages/CreativePages/CustomReportCreativeDetail.aspx?App=23&amp;ReportView=4&amp;Qid=1711279&amp;Row=16314&amp;Col=1","No Title Assigned - #15276490687")</f>
        <v/>
      </c>
      <c r="B16322" s="0" t="s">
        <v>21777</v>
      </c>
      <c r="E16322" s="0" t="inlineStr">
        <is>
          <t xml:space="preserve">Mazda</t>
        </is>
      </c>
      <c r="F16322" s="0" t="inlineStr">
        <is>
          <t xml:space="preserve">Mazda</t>
        </is>
      </c>
      <c r="G16322" s="0" t="s">
        <v>171</v>
      </c>
      <c r="H16322" s="5">
        <v>1193.815800</v>
      </c>
    </row>
    <row r="16323" spans="1:9">
      <c r="A16323" s="22" t="str">
        <f>HYPERLINK("https://app.vivvix.com/360/KMI/IntelliDrive/ApplUI/Pages/CreativePages/CustomReportCreativeDetail.aspx?App=23&amp;ReportView=4&amp;Qid=1711279&amp;Row=16315&amp;Col=1","No Title Assigned - #15276490779")</f>
        <v/>
      </c>
      <c r="B16323" s="0" t="s">
        <v>21778</v>
      </c>
      <c r="E16323" s="0" t="inlineStr">
        <is>
          <t xml:space="preserve">Mazda</t>
        </is>
      </c>
      <c r="F16323" s="0" t="inlineStr">
        <is>
          <t xml:space="preserve">Mazda</t>
        </is>
      </c>
      <c r="G16323" s="0" t="s">
        <v>171</v>
      </c>
      <c r="H16323" s="5">
        <v>1017.785600</v>
      </c>
    </row>
    <row r="16324" spans="1:9">
      <c r="A16324" s="22" t="str">
        <f>HYPERLINK("https://app.vivvix.com/360/KMI/IntelliDrive/ApplUI/Pages/CreativePages/CustomReportCreativeDetail.aspx?App=23&amp;ReportView=4&amp;Qid=1711279&amp;Row=16316&amp;Col=1","No Title Assigned - #15276491207")</f>
        <v/>
      </c>
      <c r="B16324" s="0" t="s">
        <v>21779</v>
      </c>
      <c r="C16324" s="0" t="s">
        <v>21780</v>
      </c>
      <c r="D16324" s="0" t="s">
        <v>21780</v>
      </c>
      <c r="E16324" s="0" t="inlineStr">
        <is>
          <t xml:space="preserve">Mazda</t>
        </is>
      </c>
      <c r="F16324" s="0" t="inlineStr">
        <is>
          <t xml:space="preserve">Mazda</t>
        </is>
      </c>
      <c r="G16324" s="0" t="s">
        <v>171</v>
      </c>
      <c r="H16324" s="5">
        <v>809.172800</v>
      </c>
    </row>
    <row r="16325" spans="1:9">
      <c r="A16325" s="22" t="str">
        <f>HYPERLINK("https://app.vivvix.com/360/KMI/IntelliDrive/ApplUI/Pages/CreativePages/CustomReportCreativeDetail.aspx?App=23&amp;ReportView=4&amp;Qid=1711279&amp;Row=16317&amp;Col=1","No Title Assigned - #15276491331")</f>
        <v/>
      </c>
      <c r="B16325" s="0" t="s">
        <v>21781</v>
      </c>
      <c r="E16325" s="0" t="inlineStr">
        <is>
          <t xml:space="preserve">Mazda</t>
        </is>
      </c>
      <c r="F16325" s="0" t="inlineStr">
        <is>
          <t xml:space="preserve">Mazda</t>
        </is>
      </c>
      <c r="G16325" s="0" t="s">
        <v>171</v>
      </c>
      <c r="H16325" s="5">
        <v>32.832400</v>
      </c>
    </row>
    <row r="16326" spans="1:9">
      <c r="A16326" s="22" t="str">
        <f>HYPERLINK("https://app.vivvix.com/360/KMI/IntelliDrive/ApplUI/Pages/CreativePages/CustomReportCreativeDetail.aspx?App=23&amp;ReportView=4&amp;Qid=1711279&amp;Row=16318&amp;Col=1","No Title Assigned - #15276491492")</f>
        <v/>
      </c>
      <c r="B16326" s="0" t="s">
        <v>21782</v>
      </c>
      <c r="E16326" s="0" t="inlineStr">
        <is>
          <t xml:space="preserve">Mazda</t>
        </is>
      </c>
      <c r="F16326" s="0" t="inlineStr">
        <is>
          <t xml:space="preserve">Mazda</t>
        </is>
      </c>
      <c r="G16326" s="0" t="s">
        <v>171</v>
      </c>
      <c r="H16326" s="5">
        <v>223.100300</v>
      </c>
    </row>
    <row r="16327" spans="1:9">
      <c r="A16327" s="22" t="str">
        <f>HYPERLINK("https://app.vivvix.com/360/KMI/IntelliDrive/ApplUI/Pages/CreativePages/CustomReportCreativeDetail.aspx?App=23&amp;ReportView=4&amp;Qid=1711279&amp;Row=16319&amp;Col=1","No Title Assigned - #15276492090")</f>
        <v/>
      </c>
      <c r="B16327" s="0" t="s">
        <v>21783</v>
      </c>
      <c r="E16327" s="0" t="inlineStr">
        <is>
          <t xml:space="preserve">Mazda</t>
        </is>
      </c>
      <c r="F16327" s="0" t="inlineStr">
        <is>
          <t xml:space="preserve">Mazda</t>
        </is>
      </c>
      <c r="G16327" s="0" t="s">
        <v>171</v>
      </c>
      <c r="H16327" s="5">
        <v>45.616700</v>
      </c>
    </row>
    <row r="16328" spans="1:9">
      <c r="A16328" s="22" t="str">
        <f>HYPERLINK("https://app.vivvix.com/360/KMI/IntelliDrive/ApplUI/Pages/CreativePages/CustomReportCreativeDetail.aspx?App=23&amp;ReportView=4&amp;Qid=1711279&amp;Row=16320&amp;Col=1","No Title Assigned - #15276492196")</f>
        <v/>
      </c>
      <c r="B16328" s="0" t="s">
        <v>21784</v>
      </c>
      <c r="E16328" s="0" t="inlineStr">
        <is>
          <t xml:space="preserve">Mazda</t>
        </is>
      </c>
      <c r="F16328" s="0" t="inlineStr">
        <is>
          <t xml:space="preserve">Mazda</t>
        </is>
      </c>
      <c r="G16328" s="0" t="s">
        <v>171</v>
      </c>
      <c r="H16328" s="5">
        <v>274.430700</v>
      </c>
    </row>
    <row r="16329" spans="1:9">
      <c r="A16329" s="22" t="str">
        <f>HYPERLINK("https://app.vivvix.com/360/KMI/IntelliDrive/ApplUI/Pages/CreativePages/CustomReportCreativeDetail.aspx?App=23&amp;ReportView=4&amp;Qid=1711279&amp;Row=16321&amp;Col=1","No Title Assigned - #15276492477")</f>
        <v/>
      </c>
      <c r="B16329" s="0" t="s">
        <v>21785</v>
      </c>
      <c r="E16329" s="0" t="inlineStr">
        <is>
          <t xml:space="preserve">Mazda</t>
        </is>
      </c>
      <c r="F16329" s="0" t="inlineStr">
        <is>
          <t xml:space="preserve">Mazda</t>
        </is>
      </c>
      <c r="G16329" s="0" t="s">
        <v>171</v>
      </c>
      <c r="H16329" s="5">
        <v>281.211000</v>
      </c>
    </row>
    <row r="16330" spans="1:9">
      <c r="A16330" s="22" t="str">
        <f>HYPERLINK("https://app.vivvix.com/360/KMI/IntelliDrive/ApplUI/Pages/CreativePages/CustomReportCreativeDetail.aspx?App=23&amp;ReportView=4&amp;Qid=1711279&amp;Row=16322&amp;Col=1","No Title Assigned - #15276492751")</f>
        <v/>
      </c>
      <c r="B16330" s="0" t="s">
        <v>21786</v>
      </c>
      <c r="E16330" s="0" t="inlineStr">
        <is>
          <t xml:space="preserve">Mazda</t>
        </is>
      </c>
      <c r="F16330" s="0" t="inlineStr">
        <is>
          <t xml:space="preserve">Mazda</t>
        </is>
      </c>
      <c r="G16330" s="0" t="s">
        <v>171</v>
      </c>
      <c r="H16330" s="5">
        <v>0.796900</v>
      </c>
    </row>
    <row r="16331" spans="1:9">
      <c r="A16331" s="22" t="str">
        <f>HYPERLINK("https://app.vivvix.com/360/KMI/IntelliDrive/ApplUI/Pages/CreativePages/CustomReportCreativeDetail.aspx?App=23&amp;ReportView=4&amp;Qid=1711279&amp;Row=16323&amp;Col=1","No Title Assigned - #15276493053")</f>
        <v/>
      </c>
      <c r="B16331" s="0" t="s">
        <v>21787</v>
      </c>
      <c r="E16331" s="0" t="inlineStr">
        <is>
          <t xml:space="preserve">Mazda</t>
        </is>
      </c>
      <c r="F16331" s="0" t="inlineStr">
        <is>
          <t xml:space="preserve">Mazda</t>
        </is>
      </c>
      <c r="G16331" s="0" t="s">
        <v>171</v>
      </c>
      <c r="H16331" s="5">
        <v>72.685200</v>
      </c>
    </row>
    <row r="16332" spans="1:9">
      <c r="A16332" s="22" t="str">
        <f>HYPERLINK("https://app.vivvix.com/360/KMI/IntelliDrive/ApplUI/Pages/CreativePages/CustomReportCreativeDetail.aspx?App=23&amp;ReportView=4&amp;Qid=1711279&amp;Row=16324&amp;Col=1","No Title Assigned - #15276493760")</f>
        <v/>
      </c>
      <c r="B16332" s="0" t="s">
        <v>21788</v>
      </c>
      <c r="E16332" s="0" t="inlineStr">
        <is>
          <t xml:space="preserve">Mazda</t>
        </is>
      </c>
      <c r="F16332" s="0" t="inlineStr">
        <is>
          <t xml:space="preserve">Mazda</t>
        </is>
      </c>
      <c r="G16332" s="0" t="s">
        <v>171</v>
      </c>
      <c r="H16332" s="5">
        <v>1187.416700</v>
      </c>
    </row>
    <row r="16333" spans="1:9">
      <c r="A16333" s="22" t="str">
        <f>HYPERLINK("https://app.vivvix.com/360/KMI/IntelliDrive/ApplUI/Pages/CreativePages/CustomReportCreativeDetail.aspx?App=23&amp;ReportView=4&amp;Qid=1711279&amp;Row=16325&amp;Col=1","No Title Assigned - #15276493782")</f>
        <v/>
      </c>
      <c r="B16333" s="0" t="s">
        <v>21789</v>
      </c>
      <c r="E16333" s="0" t="inlineStr">
        <is>
          <t xml:space="preserve">Mazda</t>
        </is>
      </c>
      <c r="F16333" s="0" t="inlineStr">
        <is>
          <t xml:space="preserve">Mazda</t>
        </is>
      </c>
      <c r="G16333" s="0" t="s">
        <v>171</v>
      </c>
      <c r="H16333" s="5">
        <v>20.742300</v>
      </c>
    </row>
    <row r="16334" spans="1:9">
      <c r="A16334" s="22" t="str">
        <f>HYPERLINK("https://app.vivvix.com/360/KMI/IntelliDrive/ApplUI/Pages/CreativePages/CustomReportCreativeDetail.aspx?App=23&amp;ReportView=4&amp;Qid=1711279&amp;Row=16326&amp;Col=1","No Title Assigned - #15276494456")</f>
        <v/>
      </c>
      <c r="B16334" s="0" t="s">
        <v>21790</v>
      </c>
      <c r="E16334" s="0" t="inlineStr">
        <is>
          <t xml:space="preserve">Mazda</t>
        </is>
      </c>
      <c r="F16334" s="0" t="inlineStr">
        <is>
          <t xml:space="preserve">Mazda</t>
        </is>
      </c>
      <c r="G16334" s="0" t="s">
        <v>171</v>
      </c>
      <c r="H16334" s="5">
        <v>1214.401200</v>
      </c>
    </row>
    <row r="16335" spans="1:9">
      <c r="A16335" s="22" t="str">
        <f>HYPERLINK("https://app.vivvix.com/360/KMI/IntelliDrive/ApplUI/Pages/CreativePages/CustomReportCreativeDetail.aspx?App=23&amp;ReportView=4&amp;Qid=1711279&amp;Row=16327&amp;Col=1","No Title Assigned - #15276494546")</f>
        <v/>
      </c>
      <c r="B16335" s="0" t="s">
        <v>21791</v>
      </c>
      <c r="E16335" s="0" t="inlineStr">
        <is>
          <t xml:space="preserve">Mazda</t>
        </is>
      </c>
      <c r="F16335" s="0" t="inlineStr">
        <is>
          <t xml:space="preserve">Mazda</t>
        </is>
      </c>
      <c r="G16335" s="0" t="s">
        <v>171</v>
      </c>
      <c r="H16335" s="5">
        <v>22.563000</v>
      </c>
    </row>
    <row r="16336" spans="1:9">
      <c r="A16336" s="22" t="str">
        <f>HYPERLINK("https://app.vivvix.com/360/KMI/IntelliDrive/ApplUI/Pages/CreativePages/CustomReportCreativeDetail.aspx?App=23&amp;ReportView=4&amp;Qid=1711279&amp;Row=16328&amp;Col=1","No Title Assigned - #15276494700")</f>
        <v/>
      </c>
      <c r="B16336" s="0" t="s">
        <v>21792</v>
      </c>
      <c r="E16336" s="0" t="inlineStr">
        <is>
          <t xml:space="preserve">Mazda</t>
        </is>
      </c>
      <c r="F16336" s="0" t="inlineStr">
        <is>
          <t xml:space="preserve">Mazda</t>
        </is>
      </c>
      <c r="G16336" s="0" t="s">
        <v>171</v>
      </c>
      <c r="H16336" s="5">
        <v>65.664800</v>
      </c>
    </row>
    <row r="16337" spans="1:9">
      <c r="A16337" s="22" t="str">
        <f>HYPERLINK("https://app.vivvix.com/360/KMI/IntelliDrive/ApplUI/Pages/CreativePages/CustomReportCreativeDetail.aspx?App=23&amp;ReportView=4&amp;Qid=1711279&amp;Row=16329&amp;Col=1","No Title Assigned - #15276494757")</f>
        <v/>
      </c>
      <c r="B16337" s="0" t="s">
        <v>21793</v>
      </c>
      <c r="E16337" s="0" t="inlineStr">
        <is>
          <t xml:space="preserve">Mazda</t>
        </is>
      </c>
      <c r="F16337" s="0" t="inlineStr">
        <is>
          <t xml:space="preserve">Mazda</t>
        </is>
      </c>
      <c r="G16337" s="0" t="s">
        <v>171</v>
      </c>
      <c r="H16337" s="5">
        <v>82.083800</v>
      </c>
    </row>
    <row r="16338" spans="1:9">
      <c r="A16338" s="22" t="str">
        <f>HYPERLINK("https://app.vivvix.com/360/KMI/IntelliDrive/ApplUI/Pages/CreativePages/CustomReportCreativeDetail.aspx?App=23&amp;ReportView=4&amp;Qid=1711279&amp;Row=16330&amp;Col=1","No Title Assigned - #15276494778")</f>
        <v/>
      </c>
      <c r="B16338" s="0" t="s">
        <v>21794</v>
      </c>
      <c r="E16338" s="0" t="inlineStr">
        <is>
          <t xml:space="preserve">Mazda</t>
        </is>
      </c>
      <c r="F16338" s="0" t="inlineStr">
        <is>
          <t xml:space="preserve">Mazda</t>
        </is>
      </c>
      <c r="G16338" s="0" t="s">
        <v>171</v>
      </c>
      <c r="H16338" s="5">
        <v>4.018500</v>
      </c>
    </row>
    <row r="16339" spans="1:9">
      <c r="A16339" s="22" t="str">
        <f>HYPERLINK("https://app.vivvix.com/360/KMI/IntelliDrive/ApplUI/Pages/CreativePages/CustomReportCreativeDetail.aspx?App=23&amp;ReportView=4&amp;Qid=1711279&amp;Row=16331&amp;Col=1","No Title Assigned - #15276497498")</f>
        <v/>
      </c>
      <c r="B16339" s="0" t="s">
        <v>21795</v>
      </c>
      <c r="E16339" s="0" t="inlineStr">
        <is>
          <t xml:space="preserve">Mazda</t>
        </is>
      </c>
      <c r="F16339" s="0" t="s">
        <v>204</v>
      </c>
      <c r="G16339" s="0" t="s">
        <v>205</v>
      </c>
      <c r="H16339" s="5">
        <v>106.872000</v>
      </c>
    </row>
    <row r="16340" spans="1:9">
      <c r="A16340" s="22" t="str">
        <f>HYPERLINK("https://app.vivvix.com/360/KMI/IntelliDrive/ApplUI/Pages/CreativePages/CustomReportCreativeDetail.aspx?App=23&amp;ReportView=4&amp;Qid=1711279&amp;Row=16332&amp;Col=1","No Title Assigned - #15276497816")</f>
        <v/>
      </c>
      <c r="B16340" s="0" t="s">
        <v>21796</v>
      </c>
      <c r="E16340" s="0" t="inlineStr">
        <is>
          <t xml:space="preserve">Mazda</t>
        </is>
      </c>
      <c r="F16340" s="0" t="inlineStr">
        <is>
          <t xml:space="preserve">Mazda</t>
        </is>
      </c>
      <c r="G16340" s="0" t="s">
        <v>171</v>
      </c>
      <c r="H16340" s="5">
        <v>323536.437500</v>
      </c>
    </row>
    <row r="16341" spans="1:9">
      <c r="A16341" s="22" t="str">
        <f>HYPERLINK("https://app.vivvix.com/360/KMI/IntelliDrive/ApplUI/Pages/CreativePages/CustomReportCreativeDetail.aspx?App=23&amp;ReportView=4&amp;Qid=1711279&amp;Row=16333&amp;Col=1","No Title Assigned - #15276500465")</f>
        <v/>
      </c>
      <c r="B16341" s="0" t="s">
        <v>21797</v>
      </c>
      <c r="E16341" s="0" t="inlineStr">
        <is>
          <t xml:space="preserve">Mazda</t>
        </is>
      </c>
      <c r="F16341" s="0" t="inlineStr">
        <is>
          <t xml:space="preserve">Mazda</t>
        </is>
      </c>
      <c r="G16341" s="0" t="s">
        <v>171</v>
      </c>
      <c r="H16341" s="5">
        <v>62.212500</v>
      </c>
    </row>
    <row r="16342" spans="1:9">
      <c r="A16342" s="22" t="str">
        <f>HYPERLINK("https://app.vivvix.com/360/KMI/IntelliDrive/ApplUI/Pages/CreativePages/CustomReportCreativeDetail.aspx?App=23&amp;ReportView=4&amp;Qid=1711279&amp;Row=16334&amp;Col=1","No Title Assigned - #15276500888")</f>
        <v/>
      </c>
      <c r="B16342" s="0" t="s">
        <v>21798</v>
      </c>
      <c r="E16342" s="0" t="inlineStr">
        <is>
          <t xml:space="preserve">Mazda</t>
        </is>
      </c>
      <c r="F16342" s="0" t="inlineStr">
        <is>
          <t xml:space="preserve">Mazda</t>
        </is>
      </c>
      <c r="G16342" s="0" t="s">
        <v>171</v>
      </c>
      <c r="H16342" s="5">
        <v>956.278000</v>
      </c>
    </row>
    <row r="16343" spans="1:9">
      <c r="A16343" s="22" t="str">
        <f>HYPERLINK("https://app.vivvix.com/360/KMI/IntelliDrive/ApplUI/Pages/CreativePages/CustomReportCreativeDetail.aspx?App=23&amp;ReportView=4&amp;Qid=1711279&amp;Row=16335&amp;Col=1","No Title Assigned - #15276500960")</f>
        <v/>
      </c>
      <c r="B16343" s="0" t="s">
        <v>21799</v>
      </c>
      <c r="E16343" s="0" t="inlineStr">
        <is>
          <t xml:space="preserve">Mazda</t>
        </is>
      </c>
      <c r="F16343" s="0" t="inlineStr">
        <is>
          <t xml:space="preserve">Mazda</t>
        </is>
      </c>
      <c r="G16343" s="0" t="s">
        <v>171</v>
      </c>
      <c r="H16343" s="5">
        <v>558.680200</v>
      </c>
    </row>
    <row r="16344" spans="1:9">
      <c r="A16344" s="22" t="str">
        <f>HYPERLINK("https://app.vivvix.com/360/KMI/IntelliDrive/ApplUI/Pages/CreativePages/CustomReportCreativeDetail.aspx?App=23&amp;ReportView=4&amp;Qid=1711279&amp;Row=16336&amp;Col=1","No Title Assigned - #15276501470")</f>
        <v/>
      </c>
      <c r="B16344" s="0" t="s">
        <v>21800</v>
      </c>
      <c r="E16344" s="0" t="inlineStr">
        <is>
          <t xml:space="preserve">Mazda</t>
        </is>
      </c>
      <c r="F16344" s="0" t="inlineStr">
        <is>
          <t xml:space="preserve">Mazda</t>
        </is>
      </c>
      <c r="G16344" s="0" t="s">
        <v>171</v>
      </c>
      <c r="H16344" s="5">
        <v>226.486600</v>
      </c>
    </row>
    <row r="16345" spans="1:9">
      <c r="A16345" s="22" t="str">
        <f>HYPERLINK("https://app.vivvix.com/360/KMI/IntelliDrive/ApplUI/Pages/CreativePages/CustomReportCreativeDetail.aspx?App=23&amp;ReportView=4&amp;Qid=1711279&amp;Row=16337&amp;Col=1","No Title Assigned - #15276501903")</f>
        <v/>
      </c>
      <c r="B16345" s="0" t="s">
        <v>21801</v>
      </c>
      <c r="E16345" s="0" t="inlineStr">
        <is>
          <t xml:space="preserve">Mazda</t>
        </is>
      </c>
      <c r="F16345" s="0" t="inlineStr">
        <is>
          <t xml:space="preserve">Mazda</t>
        </is>
      </c>
      <c r="G16345" s="0" t="s">
        <v>171</v>
      </c>
      <c r="H16345" s="5">
        <v>397.480300</v>
      </c>
    </row>
    <row r="16346" spans="1:9">
      <c r="A16346" s="22" t="str">
        <f>HYPERLINK("https://app.vivvix.com/360/KMI/IntelliDrive/ApplUI/Pages/CreativePages/CustomReportCreativeDetail.aspx?App=23&amp;ReportView=4&amp;Qid=1711279&amp;Row=16338&amp;Col=1","No Title Assigned - #15276502573")</f>
        <v/>
      </c>
      <c r="B16346" s="0" t="s">
        <v>21802</v>
      </c>
      <c r="E16346" s="0" t="inlineStr">
        <is>
          <t xml:space="preserve">Mazda</t>
        </is>
      </c>
      <c r="F16346" s="0" t="inlineStr">
        <is>
          <t xml:space="preserve">Mazda</t>
        </is>
      </c>
      <c r="G16346" s="0" t="s">
        <v>171</v>
      </c>
      <c r="H16346" s="5">
        <v>475.287900</v>
      </c>
    </row>
    <row r="16347" spans="1:9">
      <c r="A16347" s="22" t="str">
        <f>HYPERLINK("https://app.vivvix.com/360/KMI/IntelliDrive/ApplUI/Pages/CreativePages/CustomReportCreativeDetail.aspx?App=23&amp;ReportView=4&amp;Qid=1711279&amp;Row=16339&amp;Col=1","No Title Assigned - #15276503497")</f>
        <v/>
      </c>
      <c r="B16347" s="0" t="s">
        <v>21803</v>
      </c>
      <c r="E16347" s="0" t="inlineStr">
        <is>
          <t xml:space="preserve">Mazda</t>
        </is>
      </c>
      <c r="F16347" s="0" t="inlineStr">
        <is>
          <t xml:space="preserve">Mazda</t>
        </is>
      </c>
      <c r="G16347" s="0" t="s">
        <v>171</v>
      </c>
      <c r="H16347" s="5">
        <v>26.796000</v>
      </c>
    </row>
    <row r="16348" spans="1:9">
      <c r="A16348" s="22" t="str">
        <f>HYPERLINK("https://app.vivvix.com/360/KMI/IntelliDrive/ApplUI/Pages/CreativePages/CustomReportCreativeDetail.aspx?App=23&amp;ReportView=4&amp;Qid=1711279&amp;Row=16340&amp;Col=1","No Title Assigned - #15276503852")</f>
        <v/>
      </c>
      <c r="B16348" s="0" t="s">
        <v>21804</v>
      </c>
      <c r="E16348" s="0" t="inlineStr">
        <is>
          <t xml:space="preserve">Mazda</t>
        </is>
      </c>
      <c r="F16348" s="0" t="inlineStr">
        <is>
          <t xml:space="preserve">Mazda</t>
        </is>
      </c>
      <c r="G16348" s="0" t="s">
        <v>171</v>
      </c>
      <c r="H16348" s="5">
        <v>9.206900</v>
      </c>
    </row>
    <row r="16349" spans="1:9">
      <c r="A16349" s="22" t="str">
        <f>HYPERLINK("https://app.vivvix.com/360/KMI/IntelliDrive/ApplUI/Pages/CreativePages/CustomReportCreativeDetail.aspx?App=23&amp;ReportView=4&amp;Qid=1711279&amp;Row=16341&amp;Col=1","No Title Assigned - #15276504041")</f>
        <v/>
      </c>
      <c r="B16349" s="0" t="s">
        <v>21805</v>
      </c>
      <c r="E16349" s="0" t="inlineStr">
        <is>
          <t xml:space="preserve">Mazda</t>
        </is>
      </c>
      <c r="F16349" s="0" t="inlineStr">
        <is>
          <t xml:space="preserve">Mazda</t>
        </is>
      </c>
      <c r="G16349" s="0" t="s">
        <v>171</v>
      </c>
      <c r="H16349" s="5">
        <v>45.126000</v>
      </c>
    </row>
    <row r="16350" spans="1:9">
      <c r="A16350" s="22" t="str">
        <f>HYPERLINK("https://app.vivvix.com/360/KMI/IntelliDrive/ApplUI/Pages/CreativePages/CustomReportCreativeDetail.aspx?App=23&amp;ReportView=4&amp;Qid=1711279&amp;Row=16342&amp;Col=1","No Title Assigned - #15276514440")</f>
        <v/>
      </c>
      <c r="B16350" s="0" t="s">
        <v>21806</v>
      </c>
      <c r="C16350" s="0" t="s">
        <v>21807</v>
      </c>
      <c r="D16350" s="0" t="s">
        <v>21807</v>
      </c>
      <c r="E16350" s="0" t="inlineStr">
        <is>
          <t xml:space="preserve">Mazda</t>
        </is>
      </c>
      <c r="F16350" s="0" t="s">
        <v>13</v>
      </c>
      <c r="G16350" s="0" t="s">
        <v>49</v>
      </c>
      <c r="H16350" s="5">
        <v>0.588400</v>
      </c>
    </row>
    <row r="16351" spans="1:9">
      <c r="A16351" s="22" t="str">
        <f>HYPERLINK("https://app.vivvix.com/360/KMI/IntelliDrive/ApplUI/Pages/CreativePages/CustomReportCreativeDetail.aspx?App=23&amp;ReportView=4&amp;Qid=1711279&amp;Row=16343&amp;Col=1","No Title Assigned - #15276518115")</f>
        <v/>
      </c>
      <c r="B16351" s="0" t="s">
        <v>21808</v>
      </c>
      <c r="C16351" s="0" t="s">
        <v>21809</v>
      </c>
      <c r="D16351" s="0" t="s">
        <v>21809</v>
      </c>
      <c r="E16351" s="0" t="inlineStr">
        <is>
          <t xml:space="preserve">Mazda</t>
        </is>
      </c>
      <c r="F16351" s="0" t="s">
        <v>13</v>
      </c>
      <c r="G16351" s="0" t="s">
        <v>49</v>
      </c>
      <c r="H16351" s="5">
        <v>40.458900</v>
      </c>
    </row>
    <row r="16352" spans="1:9">
      <c r="A16352" s="22" t="str">
        <f>HYPERLINK("https://app.vivvix.com/360/KMI/IntelliDrive/ApplUI/Pages/CreativePages/CustomReportCreativeDetail.aspx?App=23&amp;ReportView=4&amp;Qid=1711279&amp;Row=16344&amp;Col=1","No Title Assigned - #15276518761")</f>
        <v/>
      </c>
      <c r="B16352" s="0" t="s">
        <v>21810</v>
      </c>
      <c r="C16352" s="0" t="s">
        <v>21811</v>
      </c>
      <c r="D16352" s="0" t="s">
        <v>15762</v>
      </c>
      <c r="E16352" s="0" t="inlineStr">
        <is>
          <t xml:space="preserve">Mazda</t>
        </is>
      </c>
      <c r="F16352" s="0" t="s">
        <v>13</v>
      </c>
      <c r="G16352" s="0" t="s">
        <v>49</v>
      </c>
      <c r="H16352" s="5">
        <v>1521.560300</v>
      </c>
    </row>
    <row r="16353" spans="1:9">
      <c r="A16353" s="22" t="str">
        <f>HYPERLINK("https://app.vivvix.com/360/KMI/IntelliDrive/ApplUI/Pages/CreativePages/CustomReportCreativeDetail.aspx?App=23&amp;ReportView=4&amp;Qid=1711279&amp;Row=16345&amp;Col=1","No Title Assigned - #15276521117")</f>
        <v/>
      </c>
      <c r="B16353" s="0" t="s">
        <v>21812</v>
      </c>
      <c r="C16353" s="0" t="s">
        <v>21813</v>
      </c>
      <c r="D16353" s="0" t="s">
        <v>4335</v>
      </c>
      <c r="E16353" s="0" t="inlineStr">
        <is>
          <t xml:space="preserve">Mazda</t>
        </is>
      </c>
      <c r="F16353" s="0" t="s">
        <v>13</v>
      </c>
      <c r="G16353" s="0" t="s">
        <v>49</v>
      </c>
      <c r="H16353" s="5">
        <v>41.926100</v>
      </c>
    </row>
    <row r="16354" spans="1:9">
      <c r="A16354" s="22" t="str">
        <f>HYPERLINK("https://app.vivvix.com/360/KMI/IntelliDrive/ApplUI/Pages/CreativePages/CustomReportCreativeDetail.aspx?App=23&amp;ReportView=4&amp;Qid=1711279&amp;Row=16346&amp;Col=1","No Title Assigned - #15276521196")</f>
        <v/>
      </c>
      <c r="B16354" s="0" t="s">
        <v>21814</v>
      </c>
      <c r="E16354" s="0" t="inlineStr">
        <is>
          <t xml:space="preserve">Mazda</t>
        </is>
      </c>
      <c r="F16354" s="0" t="s">
        <v>13</v>
      </c>
      <c r="G16354" s="0" t="s">
        <v>49</v>
      </c>
      <c r="H16354" s="5">
        <v>53.174900</v>
      </c>
    </row>
    <row r="16355" spans="1:9">
      <c r="A16355" s="22" t="str">
        <f>HYPERLINK("https://app.vivvix.com/360/KMI/IntelliDrive/ApplUI/Pages/CreativePages/CustomReportCreativeDetail.aspx?App=23&amp;ReportView=4&amp;Qid=1711279&amp;Row=16347&amp;Col=1","No Title Assigned - #15276521223")</f>
        <v/>
      </c>
      <c r="B16355" s="0" t="s">
        <v>21815</v>
      </c>
      <c r="C16355" s="0" t="s">
        <v>21816</v>
      </c>
      <c r="D16355" s="0" t="s">
        <v>5013</v>
      </c>
      <c r="E16355" s="0" t="inlineStr">
        <is>
          <t xml:space="preserve">Mazda</t>
        </is>
      </c>
      <c r="F16355" s="0" t="s">
        <v>13</v>
      </c>
      <c r="G16355" s="0" t="s">
        <v>49</v>
      </c>
      <c r="H16355" s="5">
        <v>139.091800</v>
      </c>
    </row>
    <row r="16356" spans="1:9">
      <c r="A16356" s="22" t="str">
        <f>HYPERLINK("https://app.vivvix.com/360/KMI/IntelliDrive/ApplUI/Pages/CreativePages/CustomReportCreativeDetail.aspx?App=23&amp;ReportView=4&amp;Qid=1711279&amp;Row=16348&amp;Col=1","No Title Assigned - #15276521997")</f>
        <v/>
      </c>
      <c r="B16356" s="0" t="s">
        <v>21817</v>
      </c>
      <c r="C16356" s="0" t="s">
        <v>21818</v>
      </c>
      <c r="D16356" s="0" t="s">
        <v>4774</v>
      </c>
      <c r="E16356" s="0" t="inlineStr">
        <is>
          <t xml:space="preserve">Mazda</t>
        </is>
      </c>
      <c r="F16356" s="0" t="s">
        <v>13</v>
      </c>
      <c r="G16356" s="0" t="s">
        <v>49</v>
      </c>
      <c r="H16356" s="5">
        <v>305.781300</v>
      </c>
    </row>
    <row r="16357" spans="1:9">
      <c r="A16357" s="22" t="str">
        <f>HYPERLINK("https://app.vivvix.com/360/KMI/IntelliDrive/ApplUI/Pages/CreativePages/CustomReportCreativeDetail.aspx?App=23&amp;ReportView=4&amp;Qid=1711279&amp;Row=16349&amp;Col=1","No Title Assigned - #15276522269")</f>
        <v/>
      </c>
      <c r="B16357" s="0" t="s">
        <v>21819</v>
      </c>
      <c r="C16357" s="0" t="s">
        <v>21820</v>
      </c>
      <c r="D16357" s="0" t="s">
        <v>8476</v>
      </c>
      <c r="E16357" s="0" t="inlineStr">
        <is>
          <t xml:space="preserve">Mazda</t>
        </is>
      </c>
      <c r="F16357" s="0" t="s">
        <v>13</v>
      </c>
      <c r="G16357" s="0" t="s">
        <v>49</v>
      </c>
      <c r="H16357" s="5">
        <v>429.466600</v>
      </c>
    </row>
    <row r="16358" spans="1:9">
      <c r="A16358" s="22" t="str">
        <f>HYPERLINK("https://app.vivvix.com/360/KMI/IntelliDrive/ApplUI/Pages/CreativePages/CustomReportCreativeDetail.aspx?App=23&amp;ReportView=4&amp;Qid=1711279&amp;Row=16350&amp;Col=1","No Title Assigned - #15276522324")</f>
        <v/>
      </c>
      <c r="B16358" s="0" t="s">
        <v>21821</v>
      </c>
      <c r="C16358" s="0" t="s">
        <v>21822</v>
      </c>
      <c r="D16358" s="0" t="s">
        <v>4774</v>
      </c>
      <c r="E16358" s="0" t="inlineStr">
        <is>
          <t xml:space="preserve">Mazda</t>
        </is>
      </c>
      <c r="F16358" s="0" t="s">
        <v>13</v>
      </c>
      <c r="G16358" s="0" t="s">
        <v>49</v>
      </c>
      <c r="H16358" s="5">
        <v>18.394800</v>
      </c>
    </row>
    <row r="16359" spans="1:9">
      <c r="A16359" s="22" t="str">
        <f>HYPERLINK("https://app.vivvix.com/360/KMI/IntelliDrive/ApplUI/Pages/CreativePages/CustomReportCreativeDetail.aspx?App=23&amp;ReportView=4&amp;Qid=1711279&amp;Row=16351&amp;Col=1","No Title Assigned - #15276523359")</f>
        <v/>
      </c>
      <c r="B16359" s="0" t="s">
        <v>21823</v>
      </c>
      <c r="C16359" s="0" t="s">
        <v>21824</v>
      </c>
      <c r="D16359" s="0" t="s">
        <v>21824</v>
      </c>
      <c r="E16359" s="0" t="inlineStr">
        <is>
          <t xml:space="preserve">Mazda</t>
        </is>
      </c>
      <c r="F16359" s="0" t="s">
        <v>13</v>
      </c>
      <c r="G16359" s="0" t="s">
        <v>49</v>
      </c>
      <c r="H16359" s="5">
        <v>9368.949300</v>
      </c>
    </row>
    <row r="16360" spans="1:9">
      <c r="A16360" s="22" t="str">
        <f>HYPERLINK("https://app.vivvix.com/360/KMI/IntelliDrive/ApplUI/Pages/CreativePages/CustomReportCreativeDetail.aspx?App=23&amp;ReportView=4&amp;Qid=1711279&amp;Row=16352&amp;Col=1","No Title Assigned - #15276523553")</f>
        <v/>
      </c>
      <c r="B16360" s="0" t="s">
        <v>21825</v>
      </c>
      <c r="C16360" s="0" t="s">
        <v>21826</v>
      </c>
      <c r="D16360" s="0" t="s">
        <v>4774</v>
      </c>
      <c r="E16360" s="0" t="inlineStr">
        <is>
          <t xml:space="preserve">Mazda</t>
        </is>
      </c>
      <c r="F16360" s="0" t="s">
        <v>13</v>
      </c>
      <c r="G16360" s="0" t="s">
        <v>49</v>
      </c>
      <c r="H16360" s="5">
        <v>108.838800</v>
      </c>
    </row>
    <row r="16361" spans="1:9">
      <c r="A16361" s="22" t="str">
        <f>HYPERLINK("https://app.vivvix.com/360/KMI/IntelliDrive/ApplUI/Pages/CreativePages/CustomReportCreativeDetail.aspx?App=23&amp;ReportView=4&amp;Qid=1711279&amp;Row=16353&amp;Col=1","No Title Assigned - #15276524828")</f>
        <v/>
      </c>
      <c r="B16361" s="0" t="s">
        <v>21827</v>
      </c>
      <c r="C16361" s="0" t="s">
        <v>21828</v>
      </c>
      <c r="D16361" s="0" t="s">
        <v>5013</v>
      </c>
      <c r="E16361" s="0" t="inlineStr">
        <is>
          <t xml:space="preserve">Mazda</t>
        </is>
      </c>
      <c r="F16361" s="0" t="s">
        <v>13</v>
      </c>
      <c r="G16361" s="0" t="s">
        <v>49</v>
      </c>
      <c r="H16361" s="5">
        <v>128.239800</v>
      </c>
    </row>
    <row r="16362" spans="1:9">
      <c r="A16362" s="22" t="str">
        <f>HYPERLINK("https://app.vivvix.com/360/KMI/IntelliDrive/ApplUI/Pages/CreativePages/CustomReportCreativeDetail.aspx?App=23&amp;ReportView=4&amp;Qid=1711279&amp;Row=16354&amp;Col=1","No Title Assigned - #15276524834")</f>
        <v/>
      </c>
      <c r="B16362" s="0" t="s">
        <v>21829</v>
      </c>
      <c r="C16362" s="0" t="s">
        <v>21830</v>
      </c>
      <c r="D16362" s="0" t="s">
        <v>6183</v>
      </c>
      <c r="E16362" s="0" t="inlineStr">
        <is>
          <t xml:space="preserve">Mazda</t>
        </is>
      </c>
      <c r="F16362" s="0" t="s">
        <v>13</v>
      </c>
      <c r="G16362" s="0" t="s">
        <v>49</v>
      </c>
      <c r="H16362" s="5">
        <v>20.159400</v>
      </c>
    </row>
    <row r="16363" spans="1:9">
      <c r="A16363" s="22" t="str">
        <f>HYPERLINK("https://app.vivvix.com/360/KMI/IntelliDrive/ApplUI/Pages/CreativePages/CustomReportCreativeDetail.aspx?App=23&amp;ReportView=4&amp;Qid=1711279&amp;Row=16355&amp;Col=1","No Title Assigned - #15276525236")</f>
        <v/>
      </c>
      <c r="B16363" s="0" t="s">
        <v>21831</v>
      </c>
      <c r="C16363" s="0" t="s">
        <v>21832</v>
      </c>
      <c r="D16363" s="0" t="s">
        <v>4774</v>
      </c>
      <c r="E16363" s="0" t="inlineStr">
        <is>
          <t xml:space="preserve">Mazda</t>
        </is>
      </c>
      <c r="F16363" s="0" t="s">
        <v>13</v>
      </c>
      <c r="G16363" s="0" t="s">
        <v>49</v>
      </c>
      <c r="H16363" s="5">
        <v>80.480400</v>
      </c>
    </row>
    <row r="16364" spans="1:9">
      <c r="A16364" s="22" t="str">
        <f>HYPERLINK("https://app.vivvix.com/360/KMI/IntelliDrive/ApplUI/Pages/CreativePages/CustomReportCreativeDetail.aspx?App=23&amp;ReportView=4&amp;Qid=1711279&amp;Row=16356&amp;Col=1","No Title Assigned - #15276526040")</f>
        <v/>
      </c>
      <c r="B16364" s="0" t="s">
        <v>21833</v>
      </c>
      <c r="C16364" s="0" t="s">
        <v>21834</v>
      </c>
      <c r="D16364" s="0" t="s">
        <v>9729</v>
      </c>
      <c r="E16364" s="0" t="inlineStr">
        <is>
          <t xml:space="preserve">Mazda</t>
        </is>
      </c>
      <c r="F16364" s="0" t="s">
        <v>13</v>
      </c>
      <c r="G16364" s="0" t="s">
        <v>49</v>
      </c>
      <c r="H16364" s="5">
        <v>3751.815100</v>
      </c>
    </row>
    <row r="16365" spans="1:9">
      <c r="A16365" s="22" t="str">
        <f>HYPERLINK("https://app.vivvix.com/360/KMI/IntelliDrive/ApplUI/Pages/CreativePages/CustomReportCreativeDetail.aspx?App=23&amp;ReportView=4&amp;Qid=1711279&amp;Row=16357&amp;Col=1","No Title Assigned - #15276526256")</f>
        <v/>
      </c>
      <c r="B16365" s="0" t="s">
        <v>21835</v>
      </c>
      <c r="C16365" s="0" t="s">
        <v>21836</v>
      </c>
      <c r="D16365" s="0" t="s">
        <v>4335</v>
      </c>
      <c r="E16365" s="0" t="inlineStr">
        <is>
          <t xml:space="preserve">Mazda</t>
        </is>
      </c>
      <c r="F16365" s="0" t="s">
        <v>13</v>
      </c>
      <c r="G16365" s="0" t="s">
        <v>49</v>
      </c>
      <c r="H16365" s="5">
        <v>1075.217100</v>
      </c>
    </row>
    <row r="16366" spans="1:9">
      <c r="A16366" s="22" t="str">
        <f>HYPERLINK("https://app.vivvix.com/360/KMI/IntelliDrive/ApplUI/Pages/CreativePages/CustomReportCreativeDetail.aspx?App=23&amp;ReportView=4&amp;Qid=1711279&amp;Row=16358&amp;Col=1","No Title Assigned - #15276526745")</f>
        <v/>
      </c>
      <c r="B16366" s="0" t="s">
        <v>21837</v>
      </c>
      <c r="C16366" s="0" t="s">
        <v>21838</v>
      </c>
      <c r="D16366" s="0" t="s">
        <v>21838</v>
      </c>
      <c r="E16366" s="0" t="inlineStr">
        <is>
          <t xml:space="preserve">Mazda</t>
        </is>
      </c>
      <c r="F16366" s="0" t="s">
        <v>13</v>
      </c>
      <c r="G16366" s="0" t="s">
        <v>49</v>
      </c>
      <c r="H16366" s="5">
        <v>230.059700</v>
      </c>
    </row>
    <row r="16367" spans="1:9">
      <c r="A16367" s="22" t="str">
        <f>HYPERLINK("https://app.vivvix.com/360/KMI/IntelliDrive/ApplUI/Pages/CreativePages/CustomReportCreativeDetail.aspx?App=23&amp;ReportView=4&amp;Qid=1711279&amp;Row=16359&amp;Col=1","No Title Assigned - #15276527178")</f>
        <v/>
      </c>
      <c r="B16367" s="0" t="s">
        <v>21839</v>
      </c>
      <c r="C16367" s="0" t="s">
        <v>21840</v>
      </c>
      <c r="D16367" s="0" t="s">
        <v>10805</v>
      </c>
      <c r="E16367" s="0" t="inlineStr">
        <is>
          <t xml:space="preserve">Mazda</t>
        </is>
      </c>
      <c r="F16367" s="0" t="s">
        <v>13</v>
      </c>
      <c r="G16367" s="0" t="s">
        <v>49</v>
      </c>
      <c r="H16367" s="5">
        <v>6919.296800</v>
      </c>
    </row>
    <row r="16368" spans="1:9">
      <c r="A16368" s="22" t="str">
        <f>HYPERLINK("https://app.vivvix.com/360/KMI/IntelliDrive/ApplUI/Pages/CreativePages/CustomReportCreativeDetail.aspx?App=23&amp;ReportView=4&amp;Qid=1711279&amp;Row=16360&amp;Col=1","No Title Assigned - #15276527178")</f>
        <v/>
      </c>
      <c r="B16368" s="0" t="s">
        <v>21839</v>
      </c>
      <c r="E16368" s="0" t="inlineStr">
        <is>
          <t xml:space="preserve">Mazda</t>
        </is>
      </c>
      <c r="F16368" s="0" t="s">
        <v>13</v>
      </c>
      <c r="G16368" s="0" t="s">
        <v>49</v>
      </c>
      <c r="H16368" s="5">
        <v>2155.609800</v>
      </c>
    </row>
    <row r="16369" spans="1:9">
      <c r="A16369" s="22" t="str">
        <f>HYPERLINK("https://app.vivvix.com/360/KMI/IntelliDrive/ApplUI/Pages/CreativePages/CustomReportCreativeDetail.aspx?App=23&amp;ReportView=4&amp;Qid=1711279&amp;Row=16361&amp;Col=1","No Title Assigned - #15276530482")</f>
        <v/>
      </c>
      <c r="B16369" s="0" t="s">
        <v>21841</v>
      </c>
      <c r="C16369" s="0" t="s">
        <v>21842</v>
      </c>
      <c r="D16369" s="0" t="s">
        <v>8560</v>
      </c>
      <c r="E16369" s="0" t="inlineStr">
        <is>
          <t xml:space="preserve">Mazda</t>
        </is>
      </c>
      <c r="F16369" s="0" t="s">
        <v>13</v>
      </c>
      <c r="G16369" s="0" t="s">
        <v>49</v>
      </c>
      <c r="H16369" s="5">
        <v>33.115400</v>
      </c>
    </row>
    <row r="16370" spans="1:9">
      <c r="A16370" s="22" t="str">
        <f>HYPERLINK("https://app.vivvix.com/360/KMI/IntelliDrive/ApplUI/Pages/CreativePages/CustomReportCreativeDetail.aspx?App=23&amp;ReportView=4&amp;Qid=1711279&amp;Row=16362&amp;Col=1","No Title Assigned - #15276530717")</f>
        <v/>
      </c>
      <c r="B16370" s="0" t="s">
        <v>21843</v>
      </c>
      <c r="C16370" s="0" t="s">
        <v>21844</v>
      </c>
      <c r="D16370" s="0" t="s">
        <v>5013</v>
      </c>
      <c r="E16370" s="0" t="inlineStr">
        <is>
          <t xml:space="preserve">Mazda</t>
        </is>
      </c>
      <c r="F16370" s="0" t="s">
        <v>13</v>
      </c>
      <c r="G16370" s="0" t="s">
        <v>49</v>
      </c>
      <c r="H16370" s="5">
        <v>100.458100</v>
      </c>
    </row>
    <row r="16371" spans="1:9">
      <c r="A16371" s="22" t="str">
        <f>HYPERLINK("https://app.vivvix.com/360/KMI/IntelliDrive/ApplUI/Pages/CreativePages/CustomReportCreativeDetail.aspx?App=23&amp;ReportView=4&amp;Qid=1711279&amp;Row=16363&amp;Col=1","No Title Assigned - #15276531264")</f>
        <v/>
      </c>
      <c r="B16371" s="0" t="s">
        <v>21845</v>
      </c>
      <c r="C16371" s="0" t="s">
        <v>21846</v>
      </c>
      <c r="D16371" s="0" t="s">
        <v>21414</v>
      </c>
      <c r="E16371" s="0" t="inlineStr">
        <is>
          <t xml:space="preserve">Mazda</t>
        </is>
      </c>
      <c r="F16371" s="0" t="s">
        <v>13</v>
      </c>
      <c r="G16371" s="0" t="s">
        <v>49</v>
      </c>
      <c r="H16371" s="5">
        <v>527.834500</v>
      </c>
    </row>
    <row r="16372" spans="1:9">
      <c r="A16372" s="22" t="str">
        <f>HYPERLINK("https://app.vivvix.com/360/KMI/IntelliDrive/ApplUI/Pages/CreativePages/CustomReportCreativeDetail.aspx?App=23&amp;ReportView=4&amp;Qid=1711279&amp;Row=16364&amp;Col=1","No Title Assigned - #15276531276")</f>
        <v/>
      </c>
      <c r="B16372" s="0" t="s">
        <v>21847</v>
      </c>
      <c r="C16372" s="0" t="s">
        <v>21848</v>
      </c>
      <c r="D16372" s="0" t="s">
        <v>21848</v>
      </c>
      <c r="E16372" s="0" t="inlineStr">
        <is>
          <t xml:space="preserve">Mazda</t>
        </is>
      </c>
      <c r="F16372" s="0" t="s">
        <v>13</v>
      </c>
      <c r="G16372" s="0" t="s">
        <v>49</v>
      </c>
      <c r="H16372" s="5">
        <v>2018.226000</v>
      </c>
    </row>
    <row r="16373" spans="1:9">
      <c r="A16373" s="22" t="str">
        <f>HYPERLINK("https://app.vivvix.com/360/KMI/IntelliDrive/ApplUI/Pages/CreativePages/CustomReportCreativeDetail.aspx?App=23&amp;ReportView=4&amp;Qid=1711279&amp;Row=16365&amp;Col=1","No Title Assigned - #15276532205")</f>
        <v/>
      </c>
      <c r="B16373" s="0" t="s">
        <v>21849</v>
      </c>
      <c r="C16373" s="0" t="s">
        <v>21850</v>
      </c>
      <c r="D16373" s="0" t="s">
        <v>21850</v>
      </c>
      <c r="E16373" s="0" t="inlineStr">
        <is>
          <t xml:space="preserve">Mazda</t>
        </is>
      </c>
      <c r="F16373" s="0" t="s">
        <v>115</v>
      </c>
      <c r="G16373" s="0" t="s">
        <v>365</v>
      </c>
      <c r="H16373" s="5">
        <v>4389.126300</v>
      </c>
    </row>
    <row r="16374" spans="1:9">
      <c r="A16374" s="22" t="str">
        <f>HYPERLINK("https://app.vivvix.com/360/KMI/IntelliDrive/ApplUI/Pages/CreativePages/CustomReportCreativeDetail.aspx?App=23&amp;ReportView=4&amp;Qid=1711279&amp;Row=16366&amp;Col=1","No Title Assigned - #15276533016")</f>
        <v/>
      </c>
      <c r="B16374" s="0" t="s">
        <v>21851</v>
      </c>
      <c r="C16374" s="0" t="s">
        <v>21852</v>
      </c>
      <c r="D16374" s="0" t="s">
        <v>21852</v>
      </c>
      <c r="E16374" s="0" t="inlineStr">
        <is>
          <t xml:space="preserve">Mazda</t>
        </is>
      </c>
      <c r="F16374" s="0" t="inlineStr">
        <is>
          <t xml:space="preserve">Mazda</t>
        </is>
      </c>
      <c r="G16374" s="0" t="s">
        <v>210</v>
      </c>
      <c r="H16374" s="5">
        <v>906.128000</v>
      </c>
    </row>
    <row r="16375" spans="1:9">
      <c r="A16375" s="22" t="str">
        <f>HYPERLINK("https://app.vivvix.com/360/KMI/IntelliDrive/ApplUI/Pages/CreativePages/CustomReportCreativeDetail.aspx?App=23&amp;ReportView=4&amp;Qid=1711279&amp;Row=16367&amp;Col=1","No Title Assigned - #15276533016")</f>
        <v/>
      </c>
      <c r="B16375" s="0" t="s">
        <v>21851</v>
      </c>
      <c r="E16375" s="0" t="inlineStr">
        <is>
          <t xml:space="preserve">Mazda</t>
        </is>
      </c>
      <c r="F16375" s="0" t="inlineStr">
        <is>
          <t xml:space="preserve">Mazda</t>
        </is>
      </c>
      <c r="G16375" s="0" t="s">
        <v>210</v>
      </c>
      <c r="H16375" s="5">
        <v>428.280300</v>
      </c>
    </row>
    <row r="16376" spans="1:9">
      <c r="A16376" s="22" t="str">
        <f>HYPERLINK("https://app.vivvix.com/360/KMI/IntelliDrive/ApplUI/Pages/CreativePages/CustomReportCreativeDetail.aspx?App=23&amp;ReportView=4&amp;Qid=1711279&amp;Row=16368&amp;Col=1","No Title Assigned - #15276535218")</f>
        <v/>
      </c>
      <c r="B16376" s="0" t="s">
        <v>21853</v>
      </c>
      <c r="C16376" s="0" t="s">
        <v>21854</v>
      </c>
      <c r="D16376" s="0" t="s">
        <v>21854</v>
      </c>
      <c r="E16376" s="0" t="inlineStr">
        <is>
          <t xml:space="preserve">Mazda</t>
        </is>
      </c>
      <c r="F16376" s="0" t="s">
        <v>13</v>
      </c>
      <c r="G16376" s="0" t="s">
        <v>49</v>
      </c>
      <c r="H16376" s="5">
        <v>5205.509100</v>
      </c>
    </row>
    <row r="16377" spans="1:9">
      <c r="A16377" s="22" t="str">
        <f>HYPERLINK("https://app.vivvix.com/360/KMI/IntelliDrive/ApplUI/Pages/CreativePages/CustomReportCreativeDetail.aspx?App=23&amp;ReportView=4&amp;Qid=1711279&amp;Row=16369&amp;Col=1","No Title Assigned - #15276535218")</f>
        <v/>
      </c>
      <c r="B16377" s="0" t="s">
        <v>21853</v>
      </c>
      <c r="E16377" s="0" t="inlineStr">
        <is>
          <t xml:space="preserve">Mazda</t>
        </is>
      </c>
      <c r="F16377" s="0" t="s">
        <v>13</v>
      </c>
      <c r="G16377" s="0" t="s">
        <v>49</v>
      </c>
      <c r="H16377" s="5">
        <v>2455.017500</v>
      </c>
    </row>
    <row r="16378" spans="1:9">
      <c r="A16378" s="22" t="str">
        <f>HYPERLINK("https://app.vivvix.com/360/KMI/IntelliDrive/ApplUI/Pages/CreativePages/CustomReportCreativeDetail.aspx?App=23&amp;ReportView=4&amp;Qid=1711279&amp;Row=16370&amp;Col=1","No Title Assigned - #15276535365")</f>
        <v/>
      </c>
      <c r="B16378" s="0" t="s">
        <v>21855</v>
      </c>
      <c r="C16378" s="0" t="s">
        <v>21856</v>
      </c>
      <c r="D16378" s="0" t="s">
        <v>5013</v>
      </c>
      <c r="E16378" s="0" t="inlineStr">
        <is>
          <t xml:space="preserve">Mazda</t>
        </is>
      </c>
      <c r="F16378" s="0" t="s">
        <v>13</v>
      </c>
      <c r="G16378" s="0" t="s">
        <v>49</v>
      </c>
      <c r="H16378" s="5">
        <v>20.159400</v>
      </c>
    </row>
    <row r="16379" spans="1:9">
      <c r="A16379" s="22" t="str">
        <f>HYPERLINK("https://app.vivvix.com/360/KMI/IntelliDrive/ApplUI/Pages/CreativePages/CustomReportCreativeDetail.aspx?App=23&amp;ReportView=4&amp;Qid=1711279&amp;Row=16371&amp;Col=1","No Title Assigned - #15276536389")</f>
        <v/>
      </c>
      <c r="B16379" s="0" t="s">
        <v>21857</v>
      </c>
      <c r="C16379" s="0" t="s">
        <v>21858</v>
      </c>
      <c r="D16379" s="0" t="s">
        <v>21858</v>
      </c>
      <c r="E16379" s="0" t="inlineStr">
        <is>
          <t xml:space="preserve">Mazda</t>
        </is>
      </c>
      <c r="F16379" s="0" t="s">
        <v>13</v>
      </c>
      <c r="G16379" s="0" t="s">
        <v>49</v>
      </c>
      <c r="H16379" s="5">
        <v>0.588400</v>
      </c>
    </row>
    <row r="16380" spans="1:9">
      <c r="A16380" s="22" t="str">
        <f>HYPERLINK("https://app.vivvix.com/360/KMI/IntelliDrive/ApplUI/Pages/CreativePages/CustomReportCreativeDetail.aspx?App=23&amp;ReportView=4&amp;Qid=1711279&amp;Row=16372&amp;Col=1","No Title Assigned - #15276536678")</f>
        <v/>
      </c>
      <c r="B16380" s="0" t="s">
        <v>21859</v>
      </c>
      <c r="C16380" s="0" t="s">
        <v>21860</v>
      </c>
      <c r="D16380" s="0" t="s">
        <v>6183</v>
      </c>
      <c r="E16380" s="0" t="inlineStr">
        <is>
          <t xml:space="preserve">Mazda</t>
        </is>
      </c>
      <c r="F16380" s="0" t="s">
        <v>13</v>
      </c>
      <c r="G16380" s="0" t="s">
        <v>49</v>
      </c>
      <c r="H16380" s="5">
        <v>2119.331000</v>
      </c>
    </row>
    <row r="16381" spans="1:9">
      <c r="A16381" s="22" t="str">
        <f>HYPERLINK("https://app.vivvix.com/360/KMI/IntelliDrive/ApplUI/Pages/CreativePages/CustomReportCreativeDetail.aspx?App=23&amp;ReportView=4&amp;Qid=1711279&amp;Row=16373&amp;Col=1","No Title Assigned - #15276536748")</f>
        <v/>
      </c>
      <c r="B16381" s="0" t="s">
        <v>21861</v>
      </c>
      <c r="E16381" s="0" t="inlineStr">
        <is>
          <t xml:space="preserve">Mazda</t>
        </is>
      </c>
      <c r="F16381" s="0" t="s">
        <v>13</v>
      </c>
      <c r="G16381" s="0" t="s">
        <v>49</v>
      </c>
      <c r="H16381" s="5">
        <v>72.762500</v>
      </c>
    </row>
    <row r="16382" spans="1:9">
      <c r="A16382" s="22" t="str">
        <f>HYPERLINK("https://app.vivvix.com/360/KMI/IntelliDrive/ApplUI/Pages/CreativePages/CustomReportCreativeDetail.aspx?App=23&amp;ReportView=4&amp;Qid=1711279&amp;Row=16374&amp;Col=1","No Title Assigned - #15276537088")</f>
        <v/>
      </c>
      <c r="B16382" s="0" t="s">
        <v>21862</v>
      </c>
      <c r="C16382" s="0" t="s">
        <v>21863</v>
      </c>
      <c r="D16382" s="0" t="s">
        <v>6183</v>
      </c>
      <c r="E16382" s="0" t="inlineStr">
        <is>
          <t xml:space="preserve">Mazda</t>
        </is>
      </c>
      <c r="F16382" s="0" t="s">
        <v>13</v>
      </c>
      <c r="G16382" s="0" t="s">
        <v>49</v>
      </c>
      <c r="H16382" s="5">
        <v>221.759800</v>
      </c>
    </row>
    <row r="16383" spans="1:9">
      <c r="A16383" s="22" t="str">
        <f>HYPERLINK("https://app.vivvix.com/360/KMI/IntelliDrive/ApplUI/Pages/CreativePages/CustomReportCreativeDetail.aspx?App=23&amp;ReportView=4&amp;Qid=1711279&amp;Row=16375&amp;Col=1","No Title Assigned - #15276537512")</f>
        <v/>
      </c>
      <c r="B16383" s="0" t="s">
        <v>21864</v>
      </c>
      <c r="C16383" s="0" t="s">
        <v>21865</v>
      </c>
      <c r="D16383" s="0" t="s">
        <v>21865</v>
      </c>
      <c r="E16383" s="0" t="inlineStr">
        <is>
          <t xml:space="preserve">Mazda</t>
        </is>
      </c>
      <c r="F16383" s="0" t="s">
        <v>13</v>
      </c>
      <c r="G16383" s="0" t="s">
        <v>49</v>
      </c>
      <c r="H16383" s="5">
        <v>0.588400</v>
      </c>
    </row>
    <row r="16384" spans="1:9">
      <c r="A16384" s="22" t="str">
        <f>HYPERLINK("https://app.vivvix.com/360/KMI/IntelliDrive/ApplUI/Pages/CreativePages/CustomReportCreativeDetail.aspx?App=23&amp;ReportView=4&amp;Qid=1711279&amp;Row=16376&amp;Col=1","No Title Assigned - #15276537799")</f>
        <v/>
      </c>
      <c r="B16384" s="0" t="s">
        <v>21866</v>
      </c>
      <c r="C16384" s="0" t="s">
        <v>21867</v>
      </c>
      <c r="D16384" s="0" t="s">
        <v>21867</v>
      </c>
      <c r="E16384" s="0" t="inlineStr">
        <is>
          <t xml:space="preserve">Mazda</t>
        </is>
      </c>
      <c r="F16384" s="0" t="s">
        <v>13</v>
      </c>
      <c r="G16384" s="0" t="s">
        <v>49</v>
      </c>
      <c r="H16384" s="5">
        <v>42.952500</v>
      </c>
    </row>
    <row r="16385" spans="1:9">
      <c r="A16385" s="22" t="str">
        <f>HYPERLINK("https://app.vivvix.com/360/KMI/IntelliDrive/ApplUI/Pages/CreativePages/CustomReportCreativeDetail.aspx?App=23&amp;ReportView=4&amp;Qid=1711279&amp;Row=16377&amp;Col=1","No Title Assigned - #15276538124")</f>
        <v/>
      </c>
      <c r="B16385" s="0" t="s">
        <v>21868</v>
      </c>
      <c r="C16385" s="0" t="s">
        <v>21869</v>
      </c>
      <c r="D16385" s="0" t="s">
        <v>5013</v>
      </c>
      <c r="E16385" s="0" t="inlineStr">
        <is>
          <t xml:space="preserve">Mazda</t>
        </is>
      </c>
      <c r="F16385" s="0" t="s">
        <v>13</v>
      </c>
      <c r="G16385" s="0" t="s">
        <v>49</v>
      </c>
      <c r="H16385" s="5">
        <v>4997.605500</v>
      </c>
    </row>
    <row r="16386" spans="1:9">
      <c r="A16386" s="22" t="str">
        <f>HYPERLINK("https://app.vivvix.com/360/KMI/IntelliDrive/ApplUI/Pages/CreativePages/CustomReportCreativeDetail.aspx?App=23&amp;ReportView=4&amp;Qid=1711279&amp;Row=16378&amp;Col=1","No Title Assigned - #15276538177")</f>
        <v/>
      </c>
      <c r="B16386" s="0" t="s">
        <v>21870</v>
      </c>
      <c r="C16386" s="0" t="s">
        <v>21871</v>
      </c>
      <c r="D16386" s="0" t="s">
        <v>21871</v>
      </c>
      <c r="E16386" s="0" t="inlineStr">
        <is>
          <t xml:space="preserve">Mazda</t>
        </is>
      </c>
      <c r="F16386" s="0" t="s">
        <v>13</v>
      </c>
      <c r="G16386" s="0" t="s">
        <v>49</v>
      </c>
      <c r="H16386" s="5">
        <v>1055.669000</v>
      </c>
    </row>
    <row r="16387" spans="1:9">
      <c r="A16387" s="22" t="str">
        <f>HYPERLINK("https://app.vivvix.com/360/KMI/IntelliDrive/ApplUI/Pages/CreativePages/CustomReportCreativeDetail.aspx?App=23&amp;ReportView=4&amp;Qid=1711279&amp;Row=16379&amp;Col=1","No Title Assigned - #15276538283")</f>
        <v/>
      </c>
      <c r="B16387" s="0" t="s">
        <v>21872</v>
      </c>
      <c r="C16387" s="0" t="s">
        <v>21873</v>
      </c>
      <c r="D16387" s="0" t="s">
        <v>8439</v>
      </c>
      <c r="E16387" s="0" t="inlineStr">
        <is>
          <t xml:space="preserve">Mazda</t>
        </is>
      </c>
      <c r="F16387" s="0" t="s">
        <v>13</v>
      </c>
      <c r="G16387" s="0" t="s">
        <v>49</v>
      </c>
      <c r="H16387" s="5">
        <v>56.327400</v>
      </c>
    </row>
    <row r="16388" spans="1:9">
      <c r="A16388" s="22" t="str">
        <f>HYPERLINK("https://app.vivvix.com/360/KMI/IntelliDrive/ApplUI/Pages/CreativePages/CustomReportCreativeDetail.aspx?App=23&amp;ReportView=4&amp;Qid=1711279&amp;Row=16380&amp;Col=1","No Title Assigned - #15276538599")</f>
        <v/>
      </c>
      <c r="B16388" s="0" t="s">
        <v>21874</v>
      </c>
      <c r="C16388" s="0" t="s">
        <v>21875</v>
      </c>
      <c r="D16388" s="0" t="s">
        <v>4335</v>
      </c>
      <c r="E16388" s="0" t="inlineStr">
        <is>
          <t xml:space="preserve">Mazda</t>
        </is>
      </c>
      <c r="F16388" s="0" t="s">
        <v>13</v>
      </c>
      <c r="G16388" s="0" t="s">
        <v>49</v>
      </c>
      <c r="H16388" s="5">
        <v>357.212800</v>
      </c>
    </row>
    <row r="16389" spans="1:9">
      <c r="A16389" s="22" t="str">
        <f>HYPERLINK("https://app.vivvix.com/360/KMI/IntelliDrive/ApplUI/Pages/CreativePages/CustomReportCreativeDetail.aspx?App=23&amp;ReportView=4&amp;Qid=1711279&amp;Row=16381&amp;Col=1","No Title Assigned - #15276539313")</f>
        <v/>
      </c>
      <c r="B16389" s="0" t="s">
        <v>21876</v>
      </c>
      <c r="C16389" s="0" t="s">
        <v>21877</v>
      </c>
      <c r="D16389" s="0" t="s">
        <v>21877</v>
      </c>
      <c r="E16389" s="0" t="inlineStr">
        <is>
          <t xml:space="preserve">Mazda</t>
        </is>
      </c>
      <c r="F16389" s="0" t="s">
        <v>13</v>
      </c>
      <c r="G16389" s="0" t="s">
        <v>49</v>
      </c>
      <c r="H16389" s="5">
        <v>1200.475300</v>
      </c>
    </row>
    <row r="16390" spans="1:9">
      <c r="A16390" s="22" t="str">
        <f>HYPERLINK("https://app.vivvix.com/360/KMI/IntelliDrive/ApplUI/Pages/CreativePages/CustomReportCreativeDetail.aspx?App=23&amp;ReportView=4&amp;Qid=1711279&amp;Row=16382&amp;Col=1","No Title Assigned - #15276539440")</f>
        <v/>
      </c>
      <c r="B16390" s="0" t="s">
        <v>21878</v>
      </c>
      <c r="E16390" s="0" t="inlineStr">
        <is>
          <t xml:space="preserve">Mazda</t>
        </is>
      </c>
      <c r="F16390" s="0" t="s">
        <v>13</v>
      </c>
      <c r="G16390" s="0" t="s">
        <v>49</v>
      </c>
      <c r="H16390" s="5">
        <v>86.084600</v>
      </c>
    </row>
    <row r="16391" spans="1:9">
      <c r="A16391" s="22" t="str">
        <f>HYPERLINK("https://app.vivvix.com/360/KMI/IntelliDrive/ApplUI/Pages/CreativePages/CustomReportCreativeDetail.aspx?App=23&amp;ReportView=4&amp;Qid=1711279&amp;Row=16383&amp;Col=1","No Title Assigned - #15276540100")</f>
        <v/>
      </c>
      <c r="B16391" s="0" t="s">
        <v>21879</v>
      </c>
      <c r="C16391" s="0" t="s">
        <v>21880</v>
      </c>
      <c r="D16391" s="0" t="s">
        <v>21880</v>
      </c>
      <c r="E16391" s="0" t="inlineStr">
        <is>
          <t xml:space="preserve">Mazda</t>
        </is>
      </c>
      <c r="F16391" s="0" t="s">
        <v>13</v>
      </c>
      <c r="G16391" s="0" t="s">
        <v>49</v>
      </c>
      <c r="H16391" s="5">
        <v>180.169700</v>
      </c>
    </row>
    <row r="16392" spans="1:9">
      <c r="A16392" s="22" t="str">
        <f>HYPERLINK("https://app.vivvix.com/360/KMI/IntelliDrive/ApplUI/Pages/CreativePages/CustomReportCreativeDetail.aspx?App=23&amp;ReportView=4&amp;Qid=1711279&amp;Row=16384&amp;Col=1","No Title Assigned - #15276540282")</f>
        <v/>
      </c>
      <c r="B16392" s="0" t="s">
        <v>21881</v>
      </c>
      <c r="C16392" s="0" t="s">
        <v>21882</v>
      </c>
      <c r="D16392" s="0" t="s">
        <v>21882</v>
      </c>
      <c r="E16392" s="0" t="inlineStr">
        <is>
          <t xml:space="preserve">Mazda</t>
        </is>
      </c>
      <c r="F16392" s="0" t="s">
        <v>13</v>
      </c>
      <c r="G16392" s="0" t="s">
        <v>49</v>
      </c>
      <c r="H16392" s="5">
        <v>310.789900</v>
      </c>
    </row>
    <row r="16393" spans="1:9">
      <c r="A16393" s="22" t="str">
        <f>HYPERLINK("https://app.vivvix.com/360/KMI/IntelliDrive/ApplUI/Pages/CreativePages/CustomReportCreativeDetail.aspx?App=23&amp;ReportView=4&amp;Qid=1711279&amp;Row=16385&amp;Col=1","No Title Assigned - #15276542247")</f>
        <v/>
      </c>
      <c r="B16393" s="0" t="s">
        <v>21883</v>
      </c>
      <c r="C16393" s="0" t="s">
        <v>21884</v>
      </c>
      <c r="D16393" s="0" t="s">
        <v>21884</v>
      </c>
      <c r="E16393" s="0" t="inlineStr">
        <is>
          <t xml:space="preserve">Mazda</t>
        </is>
      </c>
      <c r="F16393" s="0" t="s">
        <v>13</v>
      </c>
      <c r="G16393" s="0" t="s">
        <v>49</v>
      </c>
      <c r="H16393" s="5">
        <v>16.898300</v>
      </c>
    </row>
    <row r="16394" spans="1:9">
      <c r="A16394" s="22" t="str">
        <f>HYPERLINK("https://app.vivvix.com/360/KMI/IntelliDrive/ApplUI/Pages/CreativePages/CustomReportCreativeDetail.aspx?App=23&amp;ReportView=4&amp;Qid=1711279&amp;Row=16386&amp;Col=1","No Title Assigned - #15276542647")</f>
        <v/>
      </c>
      <c r="B16394" s="0" t="s">
        <v>21885</v>
      </c>
      <c r="C16394" s="0" t="s">
        <v>21886</v>
      </c>
      <c r="D16394" s="0" t="s">
        <v>21886</v>
      </c>
      <c r="E16394" s="0" t="inlineStr">
        <is>
          <t xml:space="preserve">Mazda</t>
        </is>
      </c>
      <c r="F16394" s="0" t="s">
        <v>21</v>
      </c>
      <c r="G16394" s="0" t="s">
        <v>22</v>
      </c>
      <c r="H16394" s="5">
        <v>772.880200</v>
      </c>
    </row>
    <row r="16395" spans="1:9">
      <c r="A16395" s="22" t="str">
        <f>HYPERLINK("https://app.vivvix.com/360/KMI/IntelliDrive/ApplUI/Pages/CreativePages/CustomReportCreativeDetail.aspx?App=23&amp;ReportView=4&amp;Qid=1711279&amp;Row=16387&amp;Col=1","No Title Assigned - #15276543391")</f>
        <v/>
      </c>
      <c r="B16395" s="0" t="s">
        <v>21887</v>
      </c>
      <c r="C16395" s="0" t="s">
        <v>21888</v>
      </c>
      <c r="D16395" s="0" t="s">
        <v>21888</v>
      </c>
      <c r="E16395" s="0" t="inlineStr">
        <is>
          <t xml:space="preserve">Mazda</t>
        </is>
      </c>
      <c r="F16395" s="0" t="inlineStr">
        <is>
          <t xml:space="preserve">Mazda</t>
        </is>
      </c>
      <c r="G16395" s="0" t="s">
        <v>210</v>
      </c>
      <c r="H16395" s="5">
        <v>480.690700</v>
      </c>
    </row>
    <row r="16396" spans="1:9">
      <c r="A16396" s="22" t="str">
        <f>HYPERLINK("https://app.vivvix.com/360/KMI/IntelliDrive/ApplUI/Pages/CreativePages/CustomReportCreativeDetail.aspx?App=23&amp;ReportView=4&amp;Qid=1711279&amp;Row=16388&amp;Col=1","No Title Assigned - #15276544415")</f>
        <v/>
      </c>
      <c r="B16396" s="0" t="s">
        <v>21889</v>
      </c>
      <c r="C16396" s="0" t="s">
        <v>21890</v>
      </c>
      <c r="D16396" s="0" t="s">
        <v>21890</v>
      </c>
      <c r="E16396" s="0" t="inlineStr">
        <is>
          <t xml:space="preserve">Mazda</t>
        </is>
      </c>
      <c r="F16396" s="0" t="s">
        <v>13</v>
      </c>
      <c r="G16396" s="0" t="s">
        <v>49</v>
      </c>
      <c r="H16396" s="5">
        <v>11.372600</v>
      </c>
    </row>
    <row r="16397" spans="1:9">
      <c r="A16397" s="22" t="str">
        <f>HYPERLINK("https://app.vivvix.com/360/KMI/IntelliDrive/ApplUI/Pages/CreativePages/CustomReportCreativeDetail.aspx?App=23&amp;ReportView=4&amp;Qid=1711279&amp;Row=16389&amp;Col=1","No Title Assigned - #15276544697")</f>
        <v/>
      </c>
      <c r="B16397" s="0" t="s">
        <v>21891</v>
      </c>
      <c r="C16397" s="0" t="s">
        <v>21892</v>
      </c>
      <c r="D16397" s="0" t="s">
        <v>21892</v>
      </c>
      <c r="E16397" s="0" t="inlineStr">
        <is>
          <t xml:space="preserve">Mazda</t>
        </is>
      </c>
      <c r="F16397" s="0" t="s">
        <v>13</v>
      </c>
      <c r="G16397" s="0" t="s">
        <v>49</v>
      </c>
      <c r="H16397" s="5">
        <v>6483.548100</v>
      </c>
    </row>
    <row r="16398" spans="1:9">
      <c r="A16398" s="22" t="str">
        <f>HYPERLINK("https://app.vivvix.com/360/KMI/IntelliDrive/ApplUI/Pages/CreativePages/CustomReportCreativeDetail.aspx?App=23&amp;ReportView=4&amp;Qid=1711279&amp;Row=16390&amp;Col=1","No Title Assigned - #15276545141")</f>
        <v/>
      </c>
      <c r="B16398" s="0" t="s">
        <v>21893</v>
      </c>
      <c r="E16398" s="0" t="inlineStr">
        <is>
          <t xml:space="preserve">Mazda</t>
        </is>
      </c>
      <c r="F16398" s="0" t="inlineStr">
        <is>
          <t xml:space="preserve">Mazda</t>
        </is>
      </c>
      <c r="G16398" s="0" t="s">
        <v>171</v>
      </c>
      <c r="H16398" s="5">
        <v>71.054300</v>
      </c>
    </row>
    <row r="16399" spans="1:9">
      <c r="A16399" s="22" t="str">
        <f>HYPERLINK("https://app.vivvix.com/360/KMI/IntelliDrive/ApplUI/Pages/CreativePages/CustomReportCreativeDetail.aspx?App=23&amp;ReportView=4&amp;Qid=1711279&amp;Row=16391&amp;Col=1","No Title Assigned - #15276545195")</f>
        <v/>
      </c>
      <c r="B16399" s="0" t="s">
        <v>21894</v>
      </c>
      <c r="E16399" s="0" t="inlineStr">
        <is>
          <t xml:space="preserve">Mazda</t>
        </is>
      </c>
      <c r="F16399" s="0" t="inlineStr">
        <is>
          <t xml:space="preserve">Mazda</t>
        </is>
      </c>
      <c r="G16399" s="0" t="s">
        <v>171</v>
      </c>
      <c r="H16399" s="5">
        <v>12860.030500</v>
      </c>
    </row>
    <row r="16400" spans="1:9">
      <c r="A16400" s="22" t="str">
        <f>HYPERLINK("https://app.vivvix.com/360/KMI/IntelliDrive/ApplUI/Pages/CreativePages/CustomReportCreativeDetail.aspx?App=23&amp;ReportView=4&amp;Qid=1711279&amp;Row=16392&amp;Col=1","No Title Assigned - #15276545196")</f>
        <v/>
      </c>
      <c r="B16400" s="0" t="s">
        <v>21895</v>
      </c>
      <c r="E16400" s="0" t="inlineStr">
        <is>
          <t xml:space="preserve">Mazda</t>
        </is>
      </c>
      <c r="F16400" s="0" t="inlineStr">
        <is>
          <t xml:space="preserve">Mazda</t>
        </is>
      </c>
      <c r="G16400" s="0" t="s">
        <v>171</v>
      </c>
      <c r="H16400" s="5">
        <v>124.813200</v>
      </c>
    </row>
    <row r="16401" spans="1:9">
      <c r="A16401" s="22" t="str">
        <f>HYPERLINK("https://app.vivvix.com/360/KMI/IntelliDrive/ApplUI/Pages/CreativePages/CustomReportCreativeDetail.aspx?App=23&amp;ReportView=4&amp;Qid=1711279&amp;Row=16393&amp;Col=1","No Title Assigned - #15276545696")</f>
        <v/>
      </c>
      <c r="B16401" s="0" t="s">
        <v>21896</v>
      </c>
      <c r="E16401" s="0" t="inlineStr">
        <is>
          <t xml:space="preserve">Mazda</t>
        </is>
      </c>
      <c r="F16401" s="0" t="inlineStr">
        <is>
          <t xml:space="preserve">Mazda</t>
        </is>
      </c>
      <c r="G16401" s="0" t="s">
        <v>171</v>
      </c>
      <c r="H16401" s="5">
        <v>143.011100</v>
      </c>
    </row>
    <row r="16402" spans="1:9">
      <c r="A16402" s="22" t="str">
        <f>HYPERLINK("https://app.vivvix.com/360/KMI/IntelliDrive/ApplUI/Pages/CreativePages/CustomReportCreativeDetail.aspx?App=23&amp;ReportView=4&amp;Qid=1711279&amp;Row=16394&amp;Col=1","No Title Assigned - #15276545802")</f>
        <v/>
      </c>
      <c r="B16402" s="0" t="s">
        <v>21897</v>
      </c>
      <c r="E16402" s="0" t="inlineStr">
        <is>
          <t xml:space="preserve">Mazda</t>
        </is>
      </c>
      <c r="F16402" s="0" t="inlineStr">
        <is>
          <t xml:space="preserve">Mazda</t>
        </is>
      </c>
      <c r="G16402" s="0" t="s">
        <v>171</v>
      </c>
      <c r="H16402" s="5">
        <v>80.400100</v>
      </c>
    </row>
    <row r="16403" spans="1:9">
      <c r="A16403" s="22" t="str">
        <f>HYPERLINK("https://app.vivvix.com/360/KMI/IntelliDrive/ApplUI/Pages/CreativePages/CustomReportCreativeDetail.aspx?App=23&amp;ReportView=4&amp;Qid=1711279&amp;Row=16395&amp;Col=1","No Title Assigned - #15276546202")</f>
        <v/>
      </c>
      <c r="B16403" s="0" t="s">
        <v>21898</v>
      </c>
      <c r="E16403" s="0" t="inlineStr">
        <is>
          <t xml:space="preserve">Mazda</t>
        </is>
      </c>
      <c r="F16403" s="0" t="inlineStr">
        <is>
          <t xml:space="preserve">Mazda</t>
        </is>
      </c>
      <c r="G16403" s="0" t="s">
        <v>171</v>
      </c>
      <c r="H16403" s="5">
        <v>5.675800</v>
      </c>
    </row>
    <row r="16404" spans="1:9">
      <c r="A16404" s="22" t="str">
        <f>HYPERLINK("https://app.vivvix.com/360/KMI/IntelliDrive/ApplUI/Pages/CreativePages/CustomReportCreativeDetail.aspx?App=23&amp;ReportView=4&amp;Qid=1711279&amp;Row=16396&amp;Col=1","No Title Assigned - #15276546433")</f>
        <v/>
      </c>
      <c r="B16404" s="0" t="s">
        <v>21899</v>
      </c>
      <c r="E16404" s="0" t="inlineStr">
        <is>
          <t xml:space="preserve">Mazda</t>
        </is>
      </c>
      <c r="F16404" s="0" t="inlineStr">
        <is>
          <t xml:space="preserve">Mazda</t>
        </is>
      </c>
      <c r="G16404" s="0" t="s">
        <v>171</v>
      </c>
      <c r="H16404" s="5">
        <v>146.868700</v>
      </c>
    </row>
    <row r="16405" spans="1:9">
      <c r="A16405" s="22" t="str">
        <f>HYPERLINK("https://app.vivvix.com/360/KMI/IntelliDrive/ApplUI/Pages/CreativePages/CustomReportCreativeDetail.aspx?App=23&amp;ReportView=4&amp;Qid=1711279&amp;Row=16397&amp;Col=1","No Title Assigned - #15276546919")</f>
        <v/>
      </c>
      <c r="B16405" s="0" t="s">
        <v>21900</v>
      </c>
      <c r="C16405" s="0" t="s">
        <v>21901</v>
      </c>
      <c r="D16405" s="0" t="s">
        <v>21901</v>
      </c>
      <c r="E16405" s="0" t="inlineStr">
        <is>
          <t xml:space="preserve">Mazda</t>
        </is>
      </c>
      <c r="F16405" s="0" t="inlineStr">
        <is>
          <t xml:space="preserve">Mazda</t>
        </is>
      </c>
      <c r="G16405" s="0" t="s">
        <v>171</v>
      </c>
      <c r="H16405" s="5">
        <v>45.616700</v>
      </c>
    </row>
    <row r="16406" spans="1:9">
      <c r="A16406" s="22" t="str">
        <f>HYPERLINK("https://app.vivvix.com/360/KMI/IntelliDrive/ApplUI/Pages/CreativePages/CustomReportCreativeDetail.aspx?App=23&amp;ReportView=4&amp;Qid=1711279&amp;Row=16398&amp;Col=1","No Title Assigned - #15276546924")</f>
        <v/>
      </c>
      <c r="B16406" s="0" t="s">
        <v>21902</v>
      </c>
      <c r="E16406" s="0" t="inlineStr">
        <is>
          <t xml:space="preserve">Mazda</t>
        </is>
      </c>
      <c r="F16406" s="0" t="inlineStr">
        <is>
          <t xml:space="preserve">Mazda</t>
        </is>
      </c>
      <c r="G16406" s="0" t="s">
        <v>171</v>
      </c>
      <c r="H16406" s="5">
        <v>45.616700</v>
      </c>
    </row>
    <row r="16407" spans="1:9">
      <c r="A16407" s="22" t="str">
        <f>HYPERLINK("https://app.vivvix.com/360/KMI/IntelliDrive/ApplUI/Pages/CreativePages/CustomReportCreativeDetail.aspx?App=23&amp;ReportView=4&amp;Qid=1711279&amp;Row=16399&amp;Col=1","No Title Assigned - #15276547231")</f>
        <v/>
      </c>
      <c r="B16407" s="0" t="s">
        <v>21903</v>
      </c>
      <c r="E16407" s="0" t="inlineStr">
        <is>
          <t xml:space="preserve">Mazda</t>
        </is>
      </c>
      <c r="F16407" s="0" t="inlineStr">
        <is>
          <t xml:space="preserve">Mazda</t>
        </is>
      </c>
      <c r="G16407" s="0" t="s">
        <v>171</v>
      </c>
      <c r="H16407" s="5">
        <v>34.794300</v>
      </c>
    </row>
    <row r="16408" spans="1:9">
      <c r="A16408" s="22" t="str">
        <f>HYPERLINK("https://app.vivvix.com/360/KMI/IntelliDrive/ApplUI/Pages/CreativePages/CustomReportCreativeDetail.aspx?App=23&amp;ReportView=4&amp;Qid=1711279&amp;Row=16400&amp;Col=1","No Title Assigned - #15276547499")</f>
        <v/>
      </c>
      <c r="B16408" s="0" t="s">
        <v>21904</v>
      </c>
      <c r="E16408" s="0" t="inlineStr">
        <is>
          <t xml:space="preserve">Mazda</t>
        </is>
      </c>
      <c r="F16408" s="0" t="s">
        <v>204</v>
      </c>
      <c r="G16408" s="0" t="s">
        <v>205</v>
      </c>
      <c r="H16408" s="5">
        <v>854.976000</v>
      </c>
    </row>
    <row r="16409" spans="1:9">
      <c r="A16409" s="22" t="str">
        <f>HYPERLINK("https://app.vivvix.com/360/KMI/IntelliDrive/ApplUI/Pages/CreativePages/CustomReportCreativeDetail.aspx?App=23&amp;ReportView=4&amp;Qid=1711279&amp;Row=16401&amp;Col=1","No Title Assigned - #15276547998")</f>
        <v/>
      </c>
      <c r="B16409" s="0" t="s">
        <v>21905</v>
      </c>
      <c r="E16409" s="0" t="inlineStr">
        <is>
          <t xml:space="preserve">Mazda</t>
        </is>
      </c>
      <c r="F16409" s="0" t="inlineStr">
        <is>
          <t xml:space="preserve">Mazda</t>
        </is>
      </c>
      <c r="G16409" s="0" t="s">
        <v>171</v>
      </c>
      <c r="H16409" s="5">
        <v>157.800600</v>
      </c>
    </row>
    <row r="16410" spans="1:9">
      <c r="A16410" s="22" t="str">
        <f>HYPERLINK("https://app.vivvix.com/360/KMI/IntelliDrive/ApplUI/Pages/CreativePages/CustomReportCreativeDetail.aspx?App=23&amp;ReportView=4&amp;Qid=1711279&amp;Row=16402&amp;Col=1","No Title Assigned - #15276548005")</f>
        <v/>
      </c>
      <c r="B16410" s="0" t="s">
        <v>21906</v>
      </c>
      <c r="E16410" s="0" t="inlineStr">
        <is>
          <t xml:space="preserve">Mazda</t>
        </is>
      </c>
      <c r="F16410" s="0" t="inlineStr">
        <is>
          <t xml:space="preserve">Mazda</t>
        </is>
      </c>
      <c r="G16410" s="0" t="s">
        <v>171</v>
      </c>
      <c r="H16410" s="5">
        <v>62.344800</v>
      </c>
    </row>
    <row r="16411" spans="1:9">
      <c r="A16411" s="22" t="str">
        <f>HYPERLINK("https://app.vivvix.com/360/KMI/IntelliDrive/ApplUI/Pages/CreativePages/CustomReportCreativeDetail.aspx?App=23&amp;ReportView=4&amp;Qid=1711279&amp;Row=16403&amp;Col=1","No Title Assigned - #15276548012")</f>
        <v/>
      </c>
      <c r="B16411" s="0" t="s">
        <v>21907</v>
      </c>
      <c r="E16411" s="0" t="inlineStr">
        <is>
          <t xml:space="preserve">Mazda</t>
        </is>
      </c>
      <c r="F16411" s="0" t="inlineStr">
        <is>
          <t xml:space="preserve">Mazda</t>
        </is>
      </c>
      <c r="G16411" s="0" t="s">
        <v>171</v>
      </c>
      <c r="H16411" s="5">
        <v>6.099900</v>
      </c>
    </row>
    <row r="16412" spans="1:9">
      <c r="A16412" s="22" t="str">
        <f>HYPERLINK("https://app.vivvix.com/360/KMI/IntelliDrive/ApplUI/Pages/CreativePages/CustomReportCreativeDetail.aspx?App=23&amp;ReportView=4&amp;Qid=1711279&amp;Row=16404&amp;Col=1","No Title Assigned - #15276548509")</f>
        <v/>
      </c>
      <c r="B16412" s="0" t="s">
        <v>21908</v>
      </c>
      <c r="E16412" s="0" t="inlineStr">
        <is>
          <t xml:space="preserve">Mazda</t>
        </is>
      </c>
      <c r="F16412" s="0" t="inlineStr">
        <is>
          <t xml:space="preserve">Mazda</t>
        </is>
      </c>
      <c r="G16412" s="0" t="s">
        <v>171</v>
      </c>
      <c r="H16412" s="5">
        <v>86.356400</v>
      </c>
    </row>
    <row r="16413" spans="1:9">
      <c r="A16413" s="22" t="str">
        <f>HYPERLINK("https://app.vivvix.com/360/KMI/IntelliDrive/ApplUI/Pages/CreativePages/CustomReportCreativeDetail.aspx?App=23&amp;ReportView=4&amp;Qid=1711279&amp;Row=16405&amp;Col=1","No Title Assigned - #15276548510")</f>
        <v/>
      </c>
      <c r="B16413" s="0" t="s">
        <v>21909</v>
      </c>
      <c r="E16413" s="0" t="inlineStr">
        <is>
          <t xml:space="preserve">Mazda</t>
        </is>
      </c>
      <c r="F16413" s="0" t="inlineStr">
        <is>
          <t xml:space="preserve">Mazda</t>
        </is>
      </c>
      <c r="G16413" s="0" t="s">
        <v>171</v>
      </c>
      <c r="H16413" s="5">
        <v>86.356400</v>
      </c>
    </row>
    <row r="16414" spans="1:9">
      <c r="A16414" s="22" t="str">
        <f>HYPERLINK("https://app.vivvix.com/360/KMI/IntelliDrive/ApplUI/Pages/CreativePages/CustomReportCreativeDetail.aspx?App=23&amp;ReportView=4&amp;Qid=1711279&amp;Row=16406&amp;Col=1","No Title Assigned - #15276548846")</f>
        <v/>
      </c>
      <c r="B16414" s="0" t="s">
        <v>21910</v>
      </c>
      <c r="E16414" s="0" t="inlineStr">
        <is>
          <t xml:space="preserve">Mazda</t>
        </is>
      </c>
      <c r="F16414" s="0" t="inlineStr">
        <is>
          <t xml:space="preserve">Mazda</t>
        </is>
      </c>
      <c r="G16414" s="0" t="s">
        <v>171</v>
      </c>
      <c r="H16414" s="5">
        <v>190.834500</v>
      </c>
    </row>
    <row r="16415" spans="1:9">
      <c r="A16415" s="22" t="str">
        <f>HYPERLINK("https://app.vivvix.com/360/KMI/IntelliDrive/ApplUI/Pages/CreativePages/CustomReportCreativeDetail.aspx?App=23&amp;ReportView=4&amp;Qid=1711279&amp;Row=16407&amp;Col=1","No Title Assigned - #15276548970")</f>
        <v/>
      </c>
      <c r="B16415" s="0" t="s">
        <v>21911</v>
      </c>
      <c r="E16415" s="0" t="inlineStr">
        <is>
          <t xml:space="preserve">Mazda</t>
        </is>
      </c>
      <c r="F16415" s="0" t="inlineStr">
        <is>
          <t xml:space="preserve">Mazda</t>
        </is>
      </c>
      <c r="G16415" s="0" t="s">
        <v>171</v>
      </c>
      <c r="H16415" s="5">
        <v>52.433700</v>
      </c>
    </row>
    <row r="16416" spans="1:9">
      <c r="A16416" s="22" t="str">
        <f>HYPERLINK("https://app.vivvix.com/360/KMI/IntelliDrive/ApplUI/Pages/CreativePages/CustomReportCreativeDetail.aspx?App=23&amp;ReportView=4&amp;Qid=1711279&amp;Row=16408&amp;Col=1","No Title Assigned - #15276549216")</f>
        <v/>
      </c>
      <c r="B16416" s="0" t="s">
        <v>21912</v>
      </c>
      <c r="E16416" s="0" t="inlineStr">
        <is>
          <t xml:space="preserve">Mazda</t>
        </is>
      </c>
      <c r="F16416" s="0" t="inlineStr">
        <is>
          <t xml:space="preserve">Mazda</t>
        </is>
      </c>
      <c r="G16416" s="0" t="s">
        <v>171</v>
      </c>
      <c r="H16416" s="5">
        <v>38.853700</v>
      </c>
    </row>
    <row r="16417" spans="1:9">
      <c r="A16417" s="22" t="str">
        <f>HYPERLINK("https://app.vivvix.com/360/KMI/IntelliDrive/ApplUI/Pages/CreativePages/CustomReportCreativeDetail.aspx?App=23&amp;ReportView=4&amp;Qid=1711279&amp;Row=16409&amp;Col=1","No Title Assigned - #15276549478")</f>
        <v/>
      </c>
      <c r="B16417" s="0" t="s">
        <v>21913</v>
      </c>
      <c r="E16417" s="0" t="inlineStr">
        <is>
          <t xml:space="preserve">Mazda</t>
        </is>
      </c>
      <c r="F16417" s="0" t="inlineStr">
        <is>
          <t xml:space="preserve">Mazda</t>
        </is>
      </c>
      <c r="G16417" s="0" t="s">
        <v>171</v>
      </c>
      <c r="H16417" s="5">
        <v>82.375500</v>
      </c>
    </row>
    <row r="16418" spans="1:9">
      <c r="A16418" s="22" t="str">
        <f>HYPERLINK("https://app.vivvix.com/360/KMI/IntelliDrive/ApplUI/Pages/CreativePages/CustomReportCreativeDetail.aspx?App=23&amp;ReportView=4&amp;Qid=1711279&amp;Row=16410&amp;Col=1","No Title Assigned - #15276549705")</f>
        <v/>
      </c>
      <c r="B16418" s="0" t="s">
        <v>21914</v>
      </c>
      <c r="E16418" s="0" t="inlineStr">
        <is>
          <t xml:space="preserve">Mazda</t>
        </is>
      </c>
      <c r="F16418" s="0" t="inlineStr">
        <is>
          <t xml:space="preserve">Mazda</t>
        </is>
      </c>
      <c r="G16418" s="0" t="s">
        <v>171</v>
      </c>
      <c r="H16418" s="5">
        <v>251.849900</v>
      </c>
    </row>
    <row r="16419" spans="1:9">
      <c r="A16419" s="22" t="str">
        <f>HYPERLINK("https://app.vivvix.com/360/KMI/IntelliDrive/ApplUI/Pages/CreativePages/CustomReportCreativeDetail.aspx?App=23&amp;ReportView=4&amp;Qid=1711279&amp;Row=16411&amp;Col=1","No Title Assigned - #15276549863")</f>
        <v/>
      </c>
      <c r="B16419" s="0" t="s">
        <v>21915</v>
      </c>
      <c r="E16419" s="0" t="inlineStr">
        <is>
          <t xml:space="preserve">Mazda</t>
        </is>
      </c>
      <c r="F16419" s="0" t="inlineStr">
        <is>
          <t xml:space="preserve">Mazda</t>
        </is>
      </c>
      <c r="G16419" s="0" t="s">
        <v>171</v>
      </c>
      <c r="H16419" s="5">
        <v>342.823100</v>
      </c>
    </row>
    <row r="16420" spans="1:9">
      <c r="A16420" s="22" t="str">
        <f>HYPERLINK("https://app.vivvix.com/360/KMI/IntelliDrive/ApplUI/Pages/CreativePages/CustomReportCreativeDetail.aspx?App=23&amp;ReportView=4&amp;Qid=1711279&amp;Row=16412&amp;Col=1","No Title Assigned - #15276549864")</f>
        <v/>
      </c>
      <c r="B16420" s="0" t="s">
        <v>21916</v>
      </c>
      <c r="E16420" s="0" t="inlineStr">
        <is>
          <t xml:space="preserve">Mazda</t>
        </is>
      </c>
      <c r="F16420" s="0" t="inlineStr">
        <is>
          <t xml:space="preserve">Mazda</t>
        </is>
      </c>
      <c r="G16420" s="0" t="s">
        <v>171</v>
      </c>
      <c r="H16420" s="5">
        <v>342.823100</v>
      </c>
    </row>
    <row r="16421" spans="1:9">
      <c r="A16421" s="22" t="str">
        <f>HYPERLINK("https://app.vivvix.com/360/KMI/IntelliDrive/ApplUI/Pages/CreativePages/CustomReportCreativeDetail.aspx?App=23&amp;ReportView=4&amp;Qid=1711279&amp;Row=16413&amp;Col=1","No Title Assigned - #15276549867")</f>
        <v/>
      </c>
      <c r="B16421" s="0" t="s">
        <v>21917</v>
      </c>
      <c r="E16421" s="0" t="inlineStr">
        <is>
          <t xml:space="preserve">Mazda</t>
        </is>
      </c>
      <c r="F16421" s="0" t="inlineStr">
        <is>
          <t xml:space="preserve">Mazda</t>
        </is>
      </c>
      <c r="G16421" s="0" t="s">
        <v>171</v>
      </c>
      <c r="H16421" s="5">
        <v>342.823100</v>
      </c>
    </row>
    <row r="16422" spans="1:9">
      <c r="A16422" s="22" t="str">
        <f>HYPERLINK("https://app.vivvix.com/360/KMI/IntelliDrive/ApplUI/Pages/CreativePages/CustomReportCreativeDetail.aspx?App=23&amp;ReportView=4&amp;Qid=1711279&amp;Row=16414&amp;Col=1","No Title Assigned - #15276550006")</f>
        <v/>
      </c>
      <c r="B16422" s="0" t="s">
        <v>21918</v>
      </c>
      <c r="E16422" s="0" t="inlineStr">
        <is>
          <t xml:space="preserve">Mazda</t>
        </is>
      </c>
      <c r="F16422" s="0" t="inlineStr">
        <is>
          <t xml:space="preserve">Mazda</t>
        </is>
      </c>
      <c r="G16422" s="0" t="s">
        <v>171</v>
      </c>
      <c r="H16422" s="5">
        <v>190.119400</v>
      </c>
    </row>
    <row r="16423" spans="1:9">
      <c r="A16423" s="22" t="str">
        <f>HYPERLINK("https://app.vivvix.com/360/KMI/IntelliDrive/ApplUI/Pages/CreativePages/CustomReportCreativeDetail.aspx?App=23&amp;ReportView=4&amp;Qid=1711279&amp;Row=16415&amp;Col=1","No Title Assigned - #15276550135")</f>
        <v/>
      </c>
      <c r="B16423" s="0" t="s">
        <v>21919</v>
      </c>
      <c r="E16423" s="0" t="inlineStr">
        <is>
          <t xml:space="preserve">Mazda</t>
        </is>
      </c>
      <c r="F16423" s="0" t="inlineStr">
        <is>
          <t xml:space="preserve">Mazda</t>
        </is>
      </c>
      <c r="G16423" s="0" t="s">
        <v>171</v>
      </c>
      <c r="H16423" s="5">
        <v>4.018500</v>
      </c>
    </row>
    <row r="16424" spans="1:9">
      <c r="A16424" s="22" t="str">
        <f>HYPERLINK("https://app.vivvix.com/360/KMI/IntelliDrive/ApplUI/Pages/CreativePages/CustomReportCreativeDetail.aspx?App=23&amp;ReportView=4&amp;Qid=1711279&amp;Row=16416&amp;Col=1","No Title Assigned - #15276550168")</f>
        <v/>
      </c>
      <c r="B16424" s="0" t="s">
        <v>21920</v>
      </c>
      <c r="E16424" s="0" t="inlineStr">
        <is>
          <t xml:space="preserve">Mazda</t>
        </is>
      </c>
      <c r="F16424" s="0" t="inlineStr">
        <is>
          <t xml:space="preserve">Mazda</t>
        </is>
      </c>
      <c r="G16424" s="0" t="s">
        <v>171</v>
      </c>
      <c r="H16424" s="5">
        <v>41.723100</v>
      </c>
    </row>
    <row r="16425" spans="1:9">
      <c r="A16425" s="22" t="str">
        <f>HYPERLINK("https://app.vivvix.com/360/KMI/IntelliDrive/ApplUI/Pages/CreativePages/CustomReportCreativeDetail.aspx?App=23&amp;ReportView=4&amp;Qid=1711279&amp;Row=16417&amp;Col=1","No Title Assigned - #15276550211")</f>
        <v/>
      </c>
      <c r="B16425" s="0" t="s">
        <v>21921</v>
      </c>
      <c r="E16425" s="0" t="inlineStr">
        <is>
          <t xml:space="preserve">Mazda</t>
        </is>
      </c>
      <c r="F16425" s="0" t="inlineStr">
        <is>
          <t xml:space="preserve">Mazda</t>
        </is>
      </c>
      <c r="G16425" s="0" t="s">
        <v>171</v>
      </c>
      <c r="H16425" s="5">
        <v>1484.839100</v>
      </c>
    </row>
    <row r="16426" spans="1:9">
      <c r="A16426" s="22" t="str">
        <f>HYPERLINK("https://app.vivvix.com/360/KMI/IntelliDrive/ApplUI/Pages/CreativePages/CustomReportCreativeDetail.aspx?App=23&amp;ReportView=4&amp;Qid=1711279&amp;Row=16418&amp;Col=1","No Title Assigned - #15276550505")</f>
        <v/>
      </c>
      <c r="B16426" s="0" t="s">
        <v>21922</v>
      </c>
      <c r="E16426" s="0" t="inlineStr">
        <is>
          <t xml:space="preserve">Mazda</t>
        </is>
      </c>
      <c r="F16426" s="0" t="inlineStr">
        <is>
          <t xml:space="preserve">Mazda</t>
        </is>
      </c>
      <c r="G16426" s="0" t="s">
        <v>171</v>
      </c>
      <c r="H16426" s="5">
        <v>607.200600</v>
      </c>
    </row>
    <row r="16427" spans="1:9">
      <c r="A16427" s="22" t="str">
        <f>HYPERLINK("https://app.vivvix.com/360/KMI/IntelliDrive/ApplUI/Pages/CreativePages/CustomReportCreativeDetail.aspx?App=23&amp;ReportView=4&amp;Qid=1711279&amp;Row=16419&amp;Col=1","No Title Assigned - #15276550758")</f>
        <v/>
      </c>
      <c r="B16427" s="0" t="s">
        <v>21923</v>
      </c>
      <c r="E16427" s="0" t="inlineStr">
        <is>
          <t xml:space="preserve">Mazda</t>
        </is>
      </c>
      <c r="F16427" s="0" t="inlineStr">
        <is>
          <t xml:space="preserve">Mazda</t>
        </is>
      </c>
      <c r="G16427" s="0" t="s">
        <v>171</v>
      </c>
      <c r="H16427" s="5">
        <v>50.181300</v>
      </c>
    </row>
    <row r="16428" spans="1:9">
      <c r="A16428" s="22" t="str">
        <f>HYPERLINK("https://app.vivvix.com/360/KMI/IntelliDrive/ApplUI/Pages/CreativePages/CustomReportCreativeDetail.aspx?App=23&amp;ReportView=4&amp;Qid=1711279&amp;Row=16420&amp;Col=1","No Title Assigned - #15276551111")</f>
        <v/>
      </c>
      <c r="B16428" s="0" t="s">
        <v>21924</v>
      </c>
      <c r="E16428" s="0" t="inlineStr">
        <is>
          <t xml:space="preserve">Mazda</t>
        </is>
      </c>
      <c r="F16428" s="0" t="inlineStr">
        <is>
          <t xml:space="preserve">Mazda</t>
        </is>
      </c>
      <c r="G16428" s="0" t="s">
        <v>171</v>
      </c>
      <c r="H16428" s="5">
        <v>58.989200</v>
      </c>
    </row>
    <row r="16429" spans="1:9">
      <c r="A16429" s="22" t="str">
        <f>HYPERLINK("https://app.vivvix.com/360/KMI/IntelliDrive/ApplUI/Pages/CreativePages/CustomReportCreativeDetail.aspx?App=23&amp;ReportView=4&amp;Qid=1711279&amp;Row=16421&amp;Col=1","No Title Assigned - #15276551121")</f>
        <v/>
      </c>
      <c r="B16429" s="0" t="s">
        <v>21925</v>
      </c>
      <c r="E16429" s="0" t="inlineStr">
        <is>
          <t xml:space="preserve">Mazda</t>
        </is>
      </c>
      <c r="F16429" s="0" t="inlineStr">
        <is>
          <t xml:space="preserve">Mazda</t>
        </is>
      </c>
      <c r="G16429" s="0" t="s">
        <v>171</v>
      </c>
      <c r="H16429" s="5">
        <v>82.375500</v>
      </c>
    </row>
    <row r="16430" spans="1:9">
      <c r="A16430" s="22" t="str">
        <f>HYPERLINK("https://app.vivvix.com/360/KMI/IntelliDrive/ApplUI/Pages/CreativePages/CustomReportCreativeDetail.aspx?App=23&amp;ReportView=4&amp;Qid=1711279&amp;Row=16422&amp;Col=1","No Title Assigned - #15276551955")</f>
        <v/>
      </c>
      <c r="B16430" s="0" t="s">
        <v>21926</v>
      </c>
      <c r="E16430" s="0" t="inlineStr">
        <is>
          <t xml:space="preserve">Mazda</t>
        </is>
      </c>
      <c r="F16430" s="0" t="inlineStr">
        <is>
          <t xml:space="preserve">Mazda</t>
        </is>
      </c>
      <c r="G16430" s="0" t="s">
        <v>171</v>
      </c>
      <c r="H16430" s="5">
        <v>20.040800</v>
      </c>
    </row>
    <row r="16431" spans="1:9">
      <c r="A16431" s="22" t="str">
        <f>HYPERLINK("https://app.vivvix.com/360/KMI/IntelliDrive/ApplUI/Pages/CreativePages/CustomReportCreativeDetail.aspx?App=23&amp;ReportView=4&amp;Qid=1711279&amp;Row=16423&amp;Col=1","No Title Assigned - #15276552159")</f>
        <v/>
      </c>
      <c r="B16431" s="0" t="s">
        <v>21927</v>
      </c>
      <c r="E16431" s="0" t="inlineStr">
        <is>
          <t xml:space="preserve">Mazda</t>
        </is>
      </c>
      <c r="F16431" s="0" t="inlineStr">
        <is>
          <t xml:space="preserve">Mazda</t>
        </is>
      </c>
      <c r="G16431" s="0" t="s">
        <v>171</v>
      </c>
      <c r="H16431" s="5">
        <v>82.375500</v>
      </c>
    </row>
    <row r="16432" spans="1:9">
      <c r="A16432" s="22" t="str">
        <f>HYPERLINK("https://app.vivvix.com/360/KMI/IntelliDrive/ApplUI/Pages/CreativePages/CustomReportCreativeDetail.aspx?App=23&amp;ReportView=4&amp;Qid=1711279&amp;Row=16424&amp;Col=1","No Title Assigned - #15276552267")</f>
        <v/>
      </c>
      <c r="B16432" s="0" t="s">
        <v>21928</v>
      </c>
      <c r="E16432" s="0" t="inlineStr">
        <is>
          <t xml:space="preserve">Mazda</t>
        </is>
      </c>
      <c r="F16432" s="0" t="inlineStr">
        <is>
          <t xml:space="preserve">Mazda</t>
        </is>
      </c>
      <c r="G16432" s="0" t="s">
        <v>171</v>
      </c>
      <c r="H16432" s="5">
        <v>2749.462400</v>
      </c>
    </row>
    <row r="16433" spans="1:9">
      <c r="A16433" s="22" t="str">
        <f>HYPERLINK("https://app.vivvix.com/360/KMI/IntelliDrive/ApplUI/Pages/CreativePages/CustomReportCreativeDetail.aspx?App=23&amp;ReportView=4&amp;Qid=1711279&amp;Row=16425&amp;Col=1","No Title Assigned - #15276552383")</f>
        <v/>
      </c>
      <c r="B16433" s="0" t="s">
        <v>21929</v>
      </c>
      <c r="E16433" s="0" t="inlineStr">
        <is>
          <t xml:space="preserve">Mazda</t>
        </is>
      </c>
      <c r="F16433" s="0" t="inlineStr">
        <is>
          <t xml:space="preserve">Mazda</t>
        </is>
      </c>
      <c r="G16433" s="0" t="s">
        <v>171</v>
      </c>
      <c r="H16433" s="5">
        <v>838.067800</v>
      </c>
    </row>
    <row r="16434" spans="1:9">
      <c r="A16434" s="22" t="str">
        <f>HYPERLINK("https://app.vivvix.com/360/KMI/IntelliDrive/ApplUI/Pages/CreativePages/CustomReportCreativeDetail.aspx?App=23&amp;ReportView=4&amp;Qid=1711279&amp;Row=16426&amp;Col=1","No Title Assigned - #15276552746")</f>
        <v/>
      </c>
      <c r="B16434" s="0" t="s">
        <v>21930</v>
      </c>
      <c r="E16434" s="0" t="inlineStr">
        <is>
          <t xml:space="preserve">Mazda</t>
        </is>
      </c>
      <c r="F16434" s="0" t="inlineStr">
        <is>
          <t xml:space="preserve">Mazda</t>
        </is>
      </c>
      <c r="G16434" s="0" t="s">
        <v>171</v>
      </c>
      <c r="H16434" s="5">
        <v>3.334400</v>
      </c>
    </row>
    <row r="16435" spans="1:9">
      <c r="A16435" s="22" t="str">
        <f>HYPERLINK("https://app.vivvix.com/360/KMI/IntelliDrive/ApplUI/Pages/CreativePages/CustomReportCreativeDetail.aspx?App=23&amp;ReportView=4&amp;Qid=1711279&amp;Row=16427&amp;Col=1","No Title Assigned - #15276553154")</f>
        <v/>
      </c>
      <c r="B16435" s="0" t="s">
        <v>21931</v>
      </c>
      <c r="E16435" s="0" t="inlineStr">
        <is>
          <t xml:space="preserve">Mazda</t>
        </is>
      </c>
      <c r="F16435" s="0" t="inlineStr">
        <is>
          <t xml:space="preserve">Mazda</t>
        </is>
      </c>
      <c r="G16435" s="0" t="s">
        <v>171</v>
      </c>
      <c r="H16435" s="5">
        <v>2.837900</v>
      </c>
    </row>
    <row r="16436" spans="1:9">
      <c r="A16436" s="22" t="str">
        <f>HYPERLINK("https://app.vivvix.com/360/KMI/IntelliDrive/ApplUI/Pages/CreativePages/CustomReportCreativeDetail.aspx?App=23&amp;ReportView=4&amp;Qid=1711279&amp;Row=16428&amp;Col=1","No Title Assigned - #15276553242")</f>
        <v/>
      </c>
      <c r="B16436" s="0" t="s">
        <v>21932</v>
      </c>
      <c r="E16436" s="0" t="inlineStr">
        <is>
          <t xml:space="preserve">Mazda</t>
        </is>
      </c>
      <c r="F16436" s="0" t="inlineStr">
        <is>
          <t xml:space="preserve">Mazda</t>
        </is>
      </c>
      <c r="G16436" s="0" t="s">
        <v>171</v>
      </c>
      <c r="H16436" s="5">
        <v>13.599000</v>
      </c>
    </row>
    <row r="16437" spans="1:9">
      <c r="A16437" s="22" t="str">
        <f>HYPERLINK("https://app.vivvix.com/360/KMI/IntelliDrive/ApplUI/Pages/CreativePages/CustomReportCreativeDetail.aspx?App=23&amp;ReportView=4&amp;Qid=1711279&amp;Row=16429&amp;Col=1","No Title Assigned - #15276553294")</f>
        <v/>
      </c>
      <c r="B16437" s="0" t="s">
        <v>21933</v>
      </c>
      <c r="E16437" s="0" t="inlineStr">
        <is>
          <t xml:space="preserve">Mazda</t>
        </is>
      </c>
      <c r="F16437" s="0" t="inlineStr">
        <is>
          <t xml:space="preserve">Mazda</t>
        </is>
      </c>
      <c r="G16437" s="0" t="s">
        <v>171</v>
      </c>
      <c r="H16437" s="5">
        <v>61.784100</v>
      </c>
    </row>
    <row r="16438" spans="1:9">
      <c r="A16438" s="22" t="str">
        <f>HYPERLINK("https://app.vivvix.com/360/KMI/IntelliDrive/ApplUI/Pages/CreativePages/CustomReportCreativeDetail.aspx?App=23&amp;ReportView=4&amp;Qid=1711279&amp;Row=16430&amp;Col=1","No Title Assigned - #15276554019")</f>
        <v/>
      </c>
      <c r="B16438" s="0" t="s">
        <v>21934</v>
      </c>
      <c r="E16438" s="0" t="inlineStr">
        <is>
          <t xml:space="preserve">Mazda</t>
        </is>
      </c>
      <c r="F16438" s="0" t="inlineStr">
        <is>
          <t xml:space="preserve">Mazda</t>
        </is>
      </c>
      <c r="G16438" s="0" t="s">
        <v>171</v>
      </c>
      <c r="H16438" s="5">
        <v>14.726800</v>
      </c>
    </row>
    <row r="16439" spans="1:9">
      <c r="A16439" s="22" t="str">
        <f>HYPERLINK("https://app.vivvix.com/360/KMI/IntelliDrive/ApplUI/Pages/CreativePages/CustomReportCreativeDetail.aspx?App=23&amp;ReportView=4&amp;Qid=1711279&amp;Row=16431&amp;Col=1","No Title Assigned - #15276554049")</f>
        <v/>
      </c>
      <c r="B16439" s="0" t="s">
        <v>21935</v>
      </c>
      <c r="E16439" s="0" t="inlineStr">
        <is>
          <t xml:space="preserve">Mazda</t>
        </is>
      </c>
      <c r="F16439" s="0" t="inlineStr">
        <is>
          <t xml:space="preserve">Mazda</t>
        </is>
      </c>
      <c r="G16439" s="0" t="s">
        <v>171</v>
      </c>
      <c r="H16439" s="5">
        <v>404.095100</v>
      </c>
    </row>
    <row r="16440" spans="1:9">
      <c r="A16440" s="22" t="str">
        <f>HYPERLINK("https://app.vivvix.com/360/KMI/IntelliDrive/ApplUI/Pages/CreativePages/CustomReportCreativeDetail.aspx?App=23&amp;ReportView=4&amp;Qid=1711279&amp;Row=16432&amp;Col=1","No Title Assigned - #15276554674")</f>
        <v/>
      </c>
      <c r="B16440" s="0" t="s">
        <v>21936</v>
      </c>
      <c r="E16440" s="0" t="inlineStr">
        <is>
          <t xml:space="preserve">Mazda</t>
        </is>
      </c>
      <c r="F16440" s="0" t="inlineStr">
        <is>
          <t xml:space="preserve">Mazda</t>
        </is>
      </c>
      <c r="G16440" s="0" t="s">
        <v>171</v>
      </c>
      <c r="H16440" s="5">
        <v>2454.687000</v>
      </c>
    </row>
    <row r="16441" spans="1:9">
      <c r="A16441" s="22" t="str">
        <f>HYPERLINK("https://app.vivvix.com/360/KMI/IntelliDrive/ApplUI/Pages/CreativePages/CustomReportCreativeDetail.aspx?App=23&amp;ReportView=4&amp;Qid=1711279&amp;Row=16433&amp;Col=1","No Title Assigned - #15276555978")</f>
        <v/>
      </c>
      <c r="B16441" s="0" t="s">
        <v>21937</v>
      </c>
      <c r="E16441" s="0" t="inlineStr">
        <is>
          <t xml:space="preserve">Mazda</t>
        </is>
      </c>
      <c r="F16441" s="0" t="inlineStr">
        <is>
          <t xml:space="preserve">Mazda</t>
        </is>
      </c>
      <c r="G16441" s="0" t="s">
        <v>171</v>
      </c>
      <c r="H16441" s="5">
        <v>258.201600</v>
      </c>
    </row>
    <row r="16442" spans="1:9">
      <c r="A16442" s="22" t="str">
        <f>HYPERLINK("https://app.vivvix.com/360/KMI/IntelliDrive/ApplUI/Pages/CreativePages/CustomReportCreativeDetail.aspx?App=23&amp;ReportView=4&amp;Qid=1711279&amp;Row=16434&amp;Col=1","No Title Assigned - #15276556006")</f>
        <v/>
      </c>
      <c r="B16442" s="0" t="s">
        <v>21938</v>
      </c>
      <c r="E16442" s="0" t="inlineStr">
        <is>
          <t xml:space="preserve">Mazda</t>
        </is>
      </c>
      <c r="F16442" s="0" t="inlineStr">
        <is>
          <t xml:space="preserve">Mazda</t>
        </is>
      </c>
      <c r="G16442" s="0" t="s">
        <v>171</v>
      </c>
      <c r="H16442" s="5">
        <v>973.291700</v>
      </c>
    </row>
    <row r="16443" spans="1:9">
      <c r="A16443" s="22" t="str">
        <f>HYPERLINK("https://app.vivvix.com/360/KMI/IntelliDrive/ApplUI/Pages/CreativePages/CustomReportCreativeDetail.aspx?App=23&amp;ReportView=4&amp;Qid=1711279&amp;Row=16435&amp;Col=1","No Title Assigned - #15276556140")</f>
        <v/>
      </c>
      <c r="B16443" s="0" t="s">
        <v>21939</v>
      </c>
      <c r="E16443" s="0" t="inlineStr">
        <is>
          <t xml:space="preserve">Mazda</t>
        </is>
      </c>
      <c r="F16443" s="0" t="inlineStr">
        <is>
          <t xml:space="preserve">Mazda</t>
        </is>
      </c>
      <c r="G16443" s="0" t="s">
        <v>171</v>
      </c>
      <c r="H16443" s="5">
        <v>218.094200</v>
      </c>
    </row>
    <row r="16444" spans="1:9">
      <c r="A16444" s="22" t="str">
        <f>HYPERLINK("https://app.vivvix.com/360/KMI/IntelliDrive/ApplUI/Pages/CreativePages/CustomReportCreativeDetail.aspx?App=23&amp;ReportView=4&amp;Qid=1711279&amp;Row=16436&amp;Col=1","No Title Assigned - #15276556331")</f>
        <v/>
      </c>
      <c r="B16444" s="0" t="s">
        <v>21940</v>
      </c>
      <c r="E16444" s="0" t="inlineStr">
        <is>
          <t xml:space="preserve">Mazda</t>
        </is>
      </c>
      <c r="F16444" s="0" t="inlineStr">
        <is>
          <t xml:space="preserve">Mazda</t>
        </is>
      </c>
      <c r="G16444" s="0" t="s">
        <v>171</v>
      </c>
      <c r="H16444" s="5">
        <v>106.896400</v>
      </c>
    </row>
    <row r="16445" spans="1:9">
      <c r="A16445" s="22" t="str">
        <f>HYPERLINK("https://app.vivvix.com/360/KMI/IntelliDrive/ApplUI/Pages/CreativePages/CustomReportCreativeDetail.aspx?App=23&amp;ReportView=4&amp;Qid=1711279&amp;Row=16437&amp;Col=1","No Title Assigned - #15276556382")</f>
        <v/>
      </c>
      <c r="B16445" s="0" t="s">
        <v>21941</v>
      </c>
      <c r="C16445" s="0" t="s">
        <v>21942</v>
      </c>
      <c r="D16445" s="0" t="s">
        <v>4335</v>
      </c>
      <c r="E16445" s="0" t="inlineStr">
        <is>
          <t xml:space="preserve">Mazda</t>
        </is>
      </c>
      <c r="F16445" s="0" t="s">
        <v>13</v>
      </c>
      <c r="G16445" s="0" t="s">
        <v>49</v>
      </c>
      <c r="H16445" s="5">
        <v>120.511900</v>
      </c>
    </row>
    <row r="16446" spans="1:9">
      <c r="A16446" s="22" t="str">
        <f>HYPERLINK("https://app.vivvix.com/360/KMI/IntelliDrive/ApplUI/Pages/CreativePages/CustomReportCreativeDetail.aspx?App=23&amp;ReportView=4&amp;Qid=1711279&amp;Row=16438&amp;Col=1","No Title Assigned - #15276556501")</f>
        <v/>
      </c>
      <c r="B16446" s="0" t="s">
        <v>21943</v>
      </c>
      <c r="E16446" s="0" t="inlineStr">
        <is>
          <t xml:space="preserve">Mazda</t>
        </is>
      </c>
      <c r="F16446" s="0" t="inlineStr">
        <is>
          <t xml:space="preserve">Mazda</t>
        </is>
      </c>
      <c r="G16446" s="0" t="s">
        <v>171</v>
      </c>
      <c r="H16446" s="5">
        <v>13.398000</v>
      </c>
    </row>
    <row r="16447" spans="1:9">
      <c r="A16447" s="22" t="str">
        <f>HYPERLINK("https://app.vivvix.com/360/KMI/IntelliDrive/ApplUI/Pages/CreativePages/CustomReportCreativeDetail.aspx?App=23&amp;ReportView=4&amp;Qid=1711279&amp;Row=16439&amp;Col=1","No Title Assigned - #15276556564")</f>
        <v/>
      </c>
      <c r="B16447" s="0" t="s">
        <v>21944</v>
      </c>
      <c r="E16447" s="0" t="inlineStr">
        <is>
          <t xml:space="preserve">Mazda</t>
        </is>
      </c>
      <c r="F16447" s="0" t="inlineStr">
        <is>
          <t xml:space="preserve">Mazda</t>
        </is>
      </c>
      <c r="G16447" s="0" t="s">
        <v>171</v>
      </c>
      <c r="H16447" s="5">
        <v>30.308600</v>
      </c>
    </row>
    <row r="16448" spans="1:9">
      <c r="A16448" s="22" t="str">
        <f>HYPERLINK("https://app.vivvix.com/360/KMI/IntelliDrive/ApplUI/Pages/CreativePages/CustomReportCreativeDetail.aspx?App=23&amp;ReportView=4&amp;Qid=1711279&amp;Row=16440&amp;Col=1","No Title Assigned - #15276556578")</f>
        <v/>
      </c>
      <c r="B16448" s="0" t="s">
        <v>21945</v>
      </c>
      <c r="E16448" s="0" t="inlineStr">
        <is>
          <t xml:space="preserve">Mazda</t>
        </is>
      </c>
      <c r="F16448" s="0" t="inlineStr">
        <is>
          <t xml:space="preserve">Mazda</t>
        </is>
      </c>
      <c r="G16448" s="0" t="s">
        <v>171</v>
      </c>
      <c r="H16448" s="5">
        <v>214.059200</v>
      </c>
    </row>
    <row r="16449" spans="1:9">
      <c r="A16449" s="22" t="str">
        <f>HYPERLINK("https://app.vivvix.com/360/KMI/IntelliDrive/ApplUI/Pages/CreativePages/CustomReportCreativeDetail.aspx?App=23&amp;ReportView=4&amp;Qid=1711279&amp;Row=16441&amp;Col=1","No Title Assigned - #15276556606")</f>
        <v/>
      </c>
      <c r="B16449" s="0" t="s">
        <v>21946</v>
      </c>
      <c r="E16449" s="0" t="inlineStr">
        <is>
          <t xml:space="preserve">Mazda</t>
        </is>
      </c>
      <c r="F16449" s="0" t="inlineStr">
        <is>
          <t xml:space="preserve">Mazda</t>
        </is>
      </c>
      <c r="G16449" s="0" t="s">
        <v>171</v>
      </c>
      <c r="H16449" s="5">
        <v>607.200600</v>
      </c>
    </row>
    <row r="16450" spans="1:9">
      <c r="A16450" s="22" t="str">
        <f>HYPERLINK("https://app.vivvix.com/360/KMI/IntelliDrive/ApplUI/Pages/CreativePages/CustomReportCreativeDetail.aspx?App=23&amp;ReportView=4&amp;Qid=1711279&amp;Row=16442&amp;Col=1","No Title Assigned - #15276556790")</f>
        <v/>
      </c>
      <c r="B16450" s="0" t="s">
        <v>21947</v>
      </c>
      <c r="E16450" s="0" t="inlineStr">
        <is>
          <t xml:space="preserve">Mazda</t>
        </is>
      </c>
      <c r="F16450" s="0" t="inlineStr">
        <is>
          <t xml:space="preserve">Mazda</t>
        </is>
      </c>
      <c r="G16450" s="0" t="s">
        <v>171</v>
      </c>
      <c r="H16450" s="5">
        <v>22421.132900</v>
      </c>
    </row>
    <row r="16451" spans="1:9">
      <c r="A16451" s="22" t="str">
        <f>HYPERLINK("https://app.vivvix.com/360/KMI/IntelliDrive/ApplUI/Pages/CreativePages/CustomReportCreativeDetail.aspx?App=23&amp;ReportView=4&amp;Qid=1711279&amp;Row=16443&amp;Col=1","No Title Assigned - #15276556943")</f>
        <v/>
      </c>
      <c r="B16451" s="0" t="s">
        <v>21948</v>
      </c>
      <c r="E16451" s="0" t="inlineStr">
        <is>
          <t xml:space="preserve">Mazda</t>
        </is>
      </c>
      <c r="F16451" s="0" t="inlineStr">
        <is>
          <t xml:space="preserve">Mazda</t>
        </is>
      </c>
      <c r="G16451" s="0" t="s">
        <v>171</v>
      </c>
      <c r="H16451" s="5">
        <v>86.296400</v>
      </c>
    </row>
    <row r="16452" spans="1:9">
      <c r="A16452" s="22" t="str">
        <f>HYPERLINK("https://app.vivvix.com/360/KMI/IntelliDrive/ApplUI/Pages/CreativePages/CustomReportCreativeDetail.aspx?App=23&amp;ReportView=4&amp;Qid=1711279&amp;Row=16444&amp;Col=1","No Title Assigned - #15276557338")</f>
        <v/>
      </c>
      <c r="B16452" s="0" t="s">
        <v>21949</v>
      </c>
      <c r="E16452" s="0" t="inlineStr">
        <is>
          <t xml:space="preserve">Mazda</t>
        </is>
      </c>
      <c r="F16452" s="0" t="inlineStr">
        <is>
          <t xml:space="preserve">Mazda</t>
        </is>
      </c>
      <c r="G16452" s="0" t="s">
        <v>171</v>
      </c>
      <c r="H16452" s="5">
        <v>34.181400</v>
      </c>
    </row>
    <row r="16453" spans="1:9">
      <c r="A16453" s="22" t="str">
        <f>HYPERLINK("https://app.vivvix.com/360/KMI/IntelliDrive/ApplUI/Pages/CreativePages/CustomReportCreativeDetail.aspx?App=23&amp;ReportView=4&amp;Qid=1711279&amp;Row=16445&amp;Col=1","No Title Assigned - #15276557344")</f>
        <v/>
      </c>
      <c r="B16453" s="0" t="s">
        <v>21950</v>
      </c>
      <c r="E16453" s="0" t="inlineStr">
        <is>
          <t xml:space="preserve">Mazda</t>
        </is>
      </c>
      <c r="F16453" s="0" t="inlineStr">
        <is>
          <t xml:space="preserve">Mazda</t>
        </is>
      </c>
      <c r="G16453" s="0" t="s">
        <v>171</v>
      </c>
      <c r="H16453" s="5">
        <v>147.411800</v>
      </c>
    </row>
    <row r="16454" spans="1:9">
      <c r="A16454" s="22" t="str">
        <f>HYPERLINK("https://app.vivvix.com/360/KMI/IntelliDrive/ApplUI/Pages/CreativePages/CustomReportCreativeDetail.aspx?App=23&amp;ReportView=4&amp;Qid=1711279&amp;Row=16446&amp;Col=1","No Title Assigned - #15276557419")</f>
        <v/>
      </c>
      <c r="B16454" s="0" t="s">
        <v>21951</v>
      </c>
      <c r="E16454" s="0" t="inlineStr">
        <is>
          <t xml:space="preserve">Mazda</t>
        </is>
      </c>
      <c r="F16454" s="0" t="inlineStr">
        <is>
          <t xml:space="preserve">Mazda</t>
        </is>
      </c>
      <c r="G16454" s="0" t="s">
        <v>171</v>
      </c>
      <c r="H16454" s="5">
        <v>886.819400</v>
      </c>
    </row>
    <row r="16455" spans="1:9">
      <c r="A16455" s="22" t="str">
        <f>HYPERLINK("https://app.vivvix.com/360/KMI/IntelliDrive/ApplUI/Pages/CreativePages/CustomReportCreativeDetail.aspx?App=23&amp;ReportView=4&amp;Qid=1711279&amp;Row=16447&amp;Col=1","No Title Assigned - #15276557472")</f>
        <v/>
      </c>
      <c r="B16455" s="0" t="s">
        <v>21952</v>
      </c>
      <c r="E16455" s="0" t="inlineStr">
        <is>
          <t xml:space="preserve">Mazda</t>
        </is>
      </c>
      <c r="F16455" s="0" t="inlineStr">
        <is>
          <t xml:space="preserve">Mazda</t>
        </is>
      </c>
      <c r="G16455" s="0" t="s">
        <v>171</v>
      </c>
      <c r="H16455" s="5">
        <v>36.292000</v>
      </c>
    </row>
    <row r="16456" spans="1:9">
      <c r="A16456" s="22" t="str">
        <f>HYPERLINK("https://app.vivvix.com/360/KMI/IntelliDrive/ApplUI/Pages/CreativePages/CustomReportCreativeDetail.aspx?App=23&amp;ReportView=4&amp;Qid=1711279&amp;Row=16448&amp;Col=1","No Title Assigned - #15276557472")</f>
        <v/>
      </c>
      <c r="B16456" s="0" t="s">
        <v>21952</v>
      </c>
      <c r="E16456" s="0" t="inlineStr">
        <is>
          <t xml:space="preserve">Mazda</t>
        </is>
      </c>
      <c r="F16456" s="0" t="inlineStr">
        <is>
          <t xml:space="preserve">Mazda</t>
        </is>
      </c>
      <c r="G16456" s="0" t="s">
        <v>171</v>
      </c>
      <c r="H16456" s="5">
        <v>4.377400</v>
      </c>
    </row>
    <row r="16457" spans="1:9">
      <c r="A16457" s="22" t="str">
        <f>HYPERLINK("https://app.vivvix.com/360/KMI/IntelliDrive/ApplUI/Pages/CreativePages/CustomReportCreativeDetail.aspx?App=23&amp;ReportView=4&amp;Qid=1711279&amp;Row=16449&amp;Col=1","No Title Assigned - #15276557623")</f>
        <v/>
      </c>
      <c r="B16457" s="0" t="s">
        <v>21953</v>
      </c>
      <c r="E16457" s="0" t="inlineStr">
        <is>
          <t xml:space="preserve">Mazda</t>
        </is>
      </c>
      <c r="F16457" s="0" t="inlineStr">
        <is>
          <t xml:space="preserve">Mazda</t>
        </is>
      </c>
      <c r="G16457" s="0" t="s">
        <v>171</v>
      </c>
      <c r="H16457" s="5">
        <v>303.074300</v>
      </c>
    </row>
    <row r="16458" spans="1:9">
      <c r="A16458" s="22" t="str">
        <f>HYPERLINK("https://app.vivvix.com/360/KMI/IntelliDrive/ApplUI/Pages/CreativePages/CustomReportCreativeDetail.aspx?App=23&amp;ReportView=4&amp;Qid=1711279&amp;Row=16450&amp;Col=1","No Title Assigned - #15276557888")</f>
        <v/>
      </c>
      <c r="B16458" s="0" t="s">
        <v>21954</v>
      </c>
      <c r="E16458" s="0" t="inlineStr">
        <is>
          <t xml:space="preserve">Mazda</t>
        </is>
      </c>
      <c r="F16458" s="0" t="inlineStr">
        <is>
          <t xml:space="preserve">Mazda</t>
        </is>
      </c>
      <c r="G16458" s="0" t="s">
        <v>171</v>
      </c>
      <c r="H16458" s="5">
        <v>850.893000</v>
      </c>
    </row>
    <row r="16459" spans="1:9">
      <c r="A16459" s="22" t="str">
        <f>HYPERLINK("https://app.vivvix.com/360/KMI/IntelliDrive/ApplUI/Pages/CreativePages/CustomReportCreativeDetail.aspx?App=23&amp;ReportView=4&amp;Qid=1711279&amp;Row=16451&amp;Col=1","No Title Assigned - #15276557897")</f>
        <v/>
      </c>
      <c r="B16459" s="0" t="s">
        <v>21955</v>
      </c>
      <c r="E16459" s="0" t="inlineStr">
        <is>
          <t xml:space="preserve">Mazda</t>
        </is>
      </c>
      <c r="F16459" s="0" t="inlineStr">
        <is>
          <t xml:space="preserve">Mazda</t>
        </is>
      </c>
      <c r="G16459" s="0" t="s">
        <v>171</v>
      </c>
      <c r="H16459" s="5">
        <v>209.106900</v>
      </c>
    </row>
    <row r="16460" spans="1:9">
      <c r="A16460" s="22" t="str">
        <f>HYPERLINK("https://app.vivvix.com/360/KMI/IntelliDrive/ApplUI/Pages/CreativePages/CustomReportCreativeDetail.aspx?App=23&amp;ReportView=4&amp;Qid=1711279&amp;Row=16452&amp;Col=1","No Title Assigned - #15276558010")</f>
        <v/>
      </c>
      <c r="B16460" s="0" t="s">
        <v>21956</v>
      </c>
      <c r="E16460" s="0" t="inlineStr">
        <is>
          <t xml:space="preserve">Mazda</t>
        </is>
      </c>
      <c r="F16460" s="0" t="inlineStr">
        <is>
          <t xml:space="preserve">Mazda</t>
        </is>
      </c>
      <c r="G16460" s="0" t="s">
        <v>171</v>
      </c>
      <c r="H16460" s="5">
        <v>3204.944100</v>
      </c>
    </row>
    <row r="16461" spans="1:9">
      <c r="A16461" s="22" t="str">
        <f>HYPERLINK("https://app.vivvix.com/360/KMI/IntelliDrive/ApplUI/Pages/CreativePages/CustomReportCreativeDetail.aspx?App=23&amp;ReportView=4&amp;Qid=1711279&amp;Row=16453&amp;Col=1","No Title Assigned - #15276558340")</f>
        <v/>
      </c>
      <c r="B16461" s="0" t="s">
        <v>21957</v>
      </c>
      <c r="E16461" s="0" t="inlineStr">
        <is>
          <t xml:space="preserve">Mazda</t>
        </is>
      </c>
      <c r="F16461" s="0" t="inlineStr">
        <is>
          <t xml:space="preserve">Mazda</t>
        </is>
      </c>
      <c r="G16461" s="0" t="s">
        <v>171</v>
      </c>
      <c r="H16461" s="5">
        <v>15.328400</v>
      </c>
    </row>
    <row r="16462" spans="1:9">
      <c r="A16462" s="22" t="str">
        <f>HYPERLINK("https://app.vivvix.com/360/KMI/IntelliDrive/ApplUI/Pages/CreativePages/CustomReportCreativeDetail.aspx?App=23&amp;ReportView=4&amp;Qid=1711279&amp;Row=16454&amp;Col=1","No Title Assigned - #15276558548")</f>
        <v/>
      </c>
      <c r="B16462" s="0" t="s">
        <v>21958</v>
      </c>
      <c r="E16462" s="0" t="inlineStr">
        <is>
          <t xml:space="preserve">Mazda</t>
        </is>
      </c>
      <c r="F16462" s="0" t="inlineStr">
        <is>
          <t xml:space="preserve">Mazda</t>
        </is>
      </c>
      <c r="G16462" s="0" t="s">
        <v>171</v>
      </c>
      <c r="H16462" s="5">
        <v>6.039000</v>
      </c>
    </row>
    <row r="16463" spans="1:9">
      <c r="A16463" s="22" t="str">
        <f>HYPERLINK("https://app.vivvix.com/360/KMI/IntelliDrive/ApplUI/Pages/CreativePages/CustomReportCreativeDetail.aspx?App=23&amp;ReportView=4&amp;Qid=1711279&amp;Row=16455&amp;Col=1","No Title Assigned - #15276558568")</f>
        <v/>
      </c>
      <c r="B16463" s="0" t="s">
        <v>21959</v>
      </c>
      <c r="E16463" s="0" t="inlineStr">
        <is>
          <t xml:space="preserve">Mazda</t>
        </is>
      </c>
      <c r="F16463" s="0" t="inlineStr">
        <is>
          <t xml:space="preserve">Mazda</t>
        </is>
      </c>
      <c r="G16463" s="0" t="s">
        <v>171</v>
      </c>
      <c r="H16463" s="5">
        <v>2735.647400</v>
      </c>
    </row>
    <row r="16464" spans="1:9">
      <c r="A16464" s="22" t="str">
        <f>HYPERLINK("https://app.vivvix.com/360/KMI/IntelliDrive/ApplUI/Pages/CreativePages/CustomReportCreativeDetail.aspx?App=23&amp;ReportView=4&amp;Qid=1711279&amp;Row=16456&amp;Col=1","No Title Assigned - #15276558674")</f>
        <v/>
      </c>
      <c r="B16464" s="0" t="s">
        <v>21960</v>
      </c>
      <c r="E16464" s="0" t="inlineStr">
        <is>
          <t xml:space="preserve">Mazda</t>
        </is>
      </c>
      <c r="F16464" s="0" t="inlineStr">
        <is>
          <t xml:space="preserve">Mazda</t>
        </is>
      </c>
      <c r="G16464" s="0" t="s">
        <v>171</v>
      </c>
      <c r="H16464" s="5">
        <v>3.283400</v>
      </c>
    </row>
    <row r="16465" spans="1:9">
      <c r="A16465" s="22" t="str">
        <f>HYPERLINK("https://app.vivvix.com/360/KMI/IntelliDrive/ApplUI/Pages/CreativePages/CustomReportCreativeDetail.aspx?App=23&amp;ReportView=4&amp;Qid=1711279&amp;Row=16457&amp;Col=1","No Title Assigned - #15276558675")</f>
        <v/>
      </c>
      <c r="B16465" s="0" t="s">
        <v>21961</v>
      </c>
      <c r="E16465" s="0" t="inlineStr">
        <is>
          <t xml:space="preserve">Mazda</t>
        </is>
      </c>
      <c r="F16465" s="0" t="inlineStr">
        <is>
          <t xml:space="preserve">Mazda</t>
        </is>
      </c>
      <c r="G16465" s="0" t="s">
        <v>171</v>
      </c>
      <c r="H16465" s="5">
        <v>1349.251700</v>
      </c>
    </row>
    <row r="16466" spans="1:9">
      <c r="A16466" s="22" t="str">
        <f>HYPERLINK("https://app.vivvix.com/360/KMI/IntelliDrive/ApplUI/Pages/CreativePages/CustomReportCreativeDetail.aspx?App=23&amp;ReportView=4&amp;Qid=1711279&amp;Row=16458&amp;Col=1","No Title Assigned - #15276558680")</f>
        <v/>
      </c>
      <c r="B16466" s="0" t="s">
        <v>21962</v>
      </c>
      <c r="E16466" s="0" t="inlineStr">
        <is>
          <t xml:space="preserve">Mazda</t>
        </is>
      </c>
      <c r="F16466" s="0" t="inlineStr">
        <is>
          <t xml:space="preserve">Mazda</t>
        </is>
      </c>
      <c r="G16466" s="0" t="s">
        <v>171</v>
      </c>
      <c r="H16466" s="5">
        <v>22.767200</v>
      </c>
    </row>
    <row r="16467" spans="1:9">
      <c r="A16467" s="22" t="str">
        <f>HYPERLINK("https://app.vivvix.com/360/KMI/IntelliDrive/ApplUI/Pages/CreativePages/CustomReportCreativeDetail.aspx?App=23&amp;ReportView=4&amp;Qid=1711279&amp;Row=16459&amp;Col=1","No Title Assigned - #15276558765")</f>
        <v/>
      </c>
      <c r="B16467" s="0" t="s">
        <v>21963</v>
      </c>
      <c r="E16467" s="0" t="inlineStr">
        <is>
          <t xml:space="preserve">Mazda</t>
        </is>
      </c>
      <c r="F16467" s="0" t="inlineStr">
        <is>
          <t xml:space="preserve">Mazda</t>
        </is>
      </c>
      <c r="G16467" s="0" t="s">
        <v>171</v>
      </c>
      <c r="H16467" s="5">
        <v>106.896400</v>
      </c>
    </row>
    <row r="16468" spans="1:9">
      <c r="A16468" s="22" t="str">
        <f>HYPERLINK("https://app.vivvix.com/360/KMI/IntelliDrive/ApplUI/Pages/CreativePages/CustomReportCreativeDetail.aspx?App=23&amp;ReportView=4&amp;Qid=1711279&amp;Row=16460&amp;Col=1","No Title Assigned - #15276558845")</f>
        <v/>
      </c>
      <c r="B16468" s="0" t="s">
        <v>21964</v>
      </c>
      <c r="E16468" s="0" t="inlineStr">
        <is>
          <t xml:space="preserve">Mazda</t>
        </is>
      </c>
      <c r="F16468" s="0" t="inlineStr">
        <is>
          <t xml:space="preserve">Mazda</t>
        </is>
      </c>
      <c r="G16468" s="0" t="s">
        <v>171</v>
      </c>
      <c r="H16468" s="5">
        <v>33.959300</v>
      </c>
    </row>
    <row r="16469" spans="1:9">
      <c r="A16469" s="22" t="str">
        <f>HYPERLINK("https://app.vivvix.com/360/KMI/IntelliDrive/ApplUI/Pages/CreativePages/CustomReportCreativeDetail.aspx?App=23&amp;ReportView=4&amp;Qid=1711279&amp;Row=16461&amp;Col=1","No Title Assigned - #15276558858")</f>
        <v/>
      </c>
      <c r="B16469" s="0" t="s">
        <v>21965</v>
      </c>
      <c r="E16469" s="0" t="inlineStr">
        <is>
          <t xml:space="preserve">Mazda</t>
        </is>
      </c>
      <c r="F16469" s="0" t="inlineStr">
        <is>
          <t xml:space="preserve">Mazda</t>
        </is>
      </c>
      <c r="G16469" s="0" t="s">
        <v>171</v>
      </c>
      <c r="H16469" s="5">
        <v>19.340600</v>
      </c>
    </row>
    <row r="16470" spans="1:9">
      <c r="A16470" s="22" t="str">
        <f>HYPERLINK("https://app.vivvix.com/360/KMI/IntelliDrive/ApplUI/Pages/CreativePages/CustomReportCreativeDetail.aspx?App=23&amp;ReportView=4&amp;Qid=1711279&amp;Row=16462&amp;Col=1","No Title Assigned - #15276558964")</f>
        <v/>
      </c>
      <c r="B16470" s="0" t="s">
        <v>21966</v>
      </c>
      <c r="E16470" s="0" t="inlineStr">
        <is>
          <t xml:space="preserve">Mazda</t>
        </is>
      </c>
      <c r="F16470" s="0" t="inlineStr">
        <is>
          <t xml:space="preserve">Mazda</t>
        </is>
      </c>
      <c r="G16470" s="0" t="s">
        <v>171</v>
      </c>
      <c r="H16470" s="5">
        <v>286.022200</v>
      </c>
    </row>
    <row r="16471" spans="1:9">
      <c r="A16471" s="22" t="str">
        <f>HYPERLINK("https://app.vivvix.com/360/KMI/IntelliDrive/ApplUI/Pages/CreativePages/CustomReportCreativeDetail.aspx?App=23&amp;ReportView=4&amp;Qid=1711279&amp;Row=16463&amp;Col=1","No Title Assigned - #15276558983")</f>
        <v/>
      </c>
      <c r="B16471" s="0" t="s">
        <v>21967</v>
      </c>
      <c r="E16471" s="0" t="inlineStr">
        <is>
          <t xml:space="preserve">Mazda</t>
        </is>
      </c>
      <c r="F16471" s="0" t="inlineStr">
        <is>
          <t xml:space="preserve">Mazda</t>
        </is>
      </c>
      <c r="G16471" s="0" t="s">
        <v>171</v>
      </c>
      <c r="H16471" s="5">
        <v>594.780600</v>
      </c>
    </row>
    <row r="16472" spans="1:9">
      <c r="A16472" s="22" t="str">
        <f>HYPERLINK("https://app.vivvix.com/360/KMI/IntelliDrive/ApplUI/Pages/CreativePages/CustomReportCreativeDetail.aspx?App=23&amp;ReportView=4&amp;Qid=1711279&amp;Row=16464&amp;Col=1","No Title Assigned - #15276559150")</f>
        <v/>
      </c>
      <c r="B16472" s="0" t="s">
        <v>21968</v>
      </c>
      <c r="E16472" s="0" t="inlineStr">
        <is>
          <t xml:space="preserve">Mazda</t>
        </is>
      </c>
      <c r="F16472" s="0" t="inlineStr">
        <is>
          <t xml:space="preserve">Mazda</t>
        </is>
      </c>
      <c r="G16472" s="0" t="s">
        <v>171</v>
      </c>
      <c r="H16472" s="5">
        <v>249.849200</v>
      </c>
    </row>
    <row r="16473" spans="1:9">
      <c r="A16473" s="22" t="str">
        <f>HYPERLINK("https://app.vivvix.com/360/KMI/IntelliDrive/ApplUI/Pages/CreativePages/CustomReportCreativeDetail.aspx?App=23&amp;ReportView=4&amp;Qid=1711279&amp;Row=16465&amp;Col=1","No Title Assigned - #15276559418")</f>
        <v/>
      </c>
      <c r="B16473" s="0" t="s">
        <v>21969</v>
      </c>
      <c r="E16473" s="0" t="inlineStr">
        <is>
          <t xml:space="preserve">Mazda</t>
        </is>
      </c>
      <c r="F16473" s="0" t="inlineStr">
        <is>
          <t xml:space="preserve">Mazda</t>
        </is>
      </c>
      <c r="G16473" s="0" t="s">
        <v>171</v>
      </c>
      <c r="H16473" s="5">
        <v>84.971300</v>
      </c>
    </row>
    <row r="16474" spans="1:9">
      <c r="A16474" s="22" t="str">
        <f>HYPERLINK("https://app.vivvix.com/360/KMI/IntelliDrive/ApplUI/Pages/CreativePages/CustomReportCreativeDetail.aspx?App=23&amp;ReportView=4&amp;Qid=1711279&amp;Row=16466&amp;Col=1","No Title Assigned - #15276559536")</f>
        <v/>
      </c>
      <c r="B16474" s="0" t="s">
        <v>21970</v>
      </c>
      <c r="E16474" s="0" t="inlineStr">
        <is>
          <t xml:space="preserve">Mazda</t>
        </is>
      </c>
      <c r="F16474" s="0" t="inlineStr">
        <is>
          <t xml:space="preserve">Mazda</t>
        </is>
      </c>
      <c r="G16474" s="0" t="s">
        <v>171</v>
      </c>
      <c r="H16474" s="5">
        <v>4098.010500</v>
      </c>
    </row>
    <row r="16475" spans="1:9">
      <c r="A16475" s="22" t="str">
        <f>HYPERLINK("https://app.vivvix.com/360/KMI/IntelliDrive/ApplUI/Pages/CreativePages/CustomReportCreativeDetail.aspx?App=23&amp;ReportView=4&amp;Qid=1711279&amp;Row=16467&amp;Col=1","No Title Assigned - #15276559574")</f>
        <v/>
      </c>
      <c r="B16475" s="0" t="s">
        <v>21971</v>
      </c>
      <c r="E16475" s="0" t="inlineStr">
        <is>
          <t xml:space="preserve">Mazda</t>
        </is>
      </c>
      <c r="F16475" s="0" t="inlineStr">
        <is>
          <t xml:space="preserve">Mazda</t>
        </is>
      </c>
      <c r="G16475" s="0" t="s">
        <v>171</v>
      </c>
      <c r="H16475" s="5">
        <v>14.106500</v>
      </c>
    </row>
    <row r="16476" spans="1:9">
      <c r="A16476" s="22" t="str">
        <f>HYPERLINK("https://app.vivvix.com/360/KMI/IntelliDrive/ApplUI/Pages/CreativePages/CustomReportCreativeDetail.aspx?App=23&amp;ReportView=4&amp;Qid=1711279&amp;Row=16468&amp;Col=1","No Title Assigned - #15276559683")</f>
        <v/>
      </c>
      <c r="B16476" s="0" t="s">
        <v>21972</v>
      </c>
      <c r="E16476" s="0" t="inlineStr">
        <is>
          <t xml:space="preserve">Mazda</t>
        </is>
      </c>
      <c r="F16476" s="0" t="inlineStr">
        <is>
          <t xml:space="preserve">Mazda</t>
        </is>
      </c>
      <c r="G16476" s="0" t="s">
        <v>171</v>
      </c>
      <c r="H16476" s="5">
        <v>143.887200</v>
      </c>
    </row>
    <row r="16477" spans="1:9">
      <c r="A16477" s="22" t="str">
        <f>HYPERLINK("https://app.vivvix.com/360/KMI/IntelliDrive/ApplUI/Pages/CreativePages/CustomReportCreativeDetail.aspx?App=23&amp;ReportView=4&amp;Qid=1711279&amp;Row=16469&amp;Col=1","No Title Assigned - #15276559700")</f>
        <v/>
      </c>
      <c r="B16477" s="0" t="s">
        <v>21973</v>
      </c>
      <c r="E16477" s="0" t="inlineStr">
        <is>
          <t xml:space="preserve">Mazda</t>
        </is>
      </c>
      <c r="F16477" s="0" t="inlineStr">
        <is>
          <t xml:space="preserve">Mazda</t>
        </is>
      </c>
      <c r="G16477" s="0" t="s">
        <v>171</v>
      </c>
      <c r="H16477" s="5">
        <v>860.121300</v>
      </c>
    </row>
    <row r="16478" spans="1:9">
      <c r="A16478" s="22" t="str">
        <f>HYPERLINK("https://app.vivvix.com/360/KMI/IntelliDrive/ApplUI/Pages/CreativePages/CustomReportCreativeDetail.aspx?App=23&amp;ReportView=4&amp;Qid=1711279&amp;Row=16470&amp;Col=1","No Title Assigned - #15276559771")</f>
        <v/>
      </c>
      <c r="B16478" s="0" t="s">
        <v>21974</v>
      </c>
      <c r="E16478" s="0" t="inlineStr">
        <is>
          <t xml:space="preserve">Mazda</t>
        </is>
      </c>
      <c r="F16478" s="0" t="inlineStr">
        <is>
          <t xml:space="preserve">Mazda</t>
        </is>
      </c>
      <c r="G16478" s="0" t="s">
        <v>171</v>
      </c>
      <c r="H16478" s="5">
        <v>1626.375100</v>
      </c>
    </row>
    <row r="16479" spans="1:9">
      <c r="A16479" s="22" t="str">
        <f>HYPERLINK("https://app.vivvix.com/360/KMI/IntelliDrive/ApplUI/Pages/CreativePages/CustomReportCreativeDetail.aspx?App=23&amp;ReportView=4&amp;Qid=1711279&amp;Row=16471&amp;Col=1","No Title Assigned - #15276559849")</f>
        <v/>
      </c>
      <c r="B16479" s="0" t="s">
        <v>21975</v>
      </c>
      <c r="E16479" s="0" t="inlineStr">
        <is>
          <t xml:space="preserve">Mazda</t>
        </is>
      </c>
      <c r="F16479" s="0" t="inlineStr">
        <is>
          <t xml:space="preserve">Mazda</t>
        </is>
      </c>
      <c r="G16479" s="0" t="s">
        <v>171</v>
      </c>
      <c r="H16479" s="5">
        <v>2.605700</v>
      </c>
    </row>
    <row r="16480" spans="1:9">
      <c r="A16480" s="22" t="str">
        <f>HYPERLINK("https://app.vivvix.com/360/KMI/IntelliDrive/ApplUI/Pages/CreativePages/CustomReportCreativeDetail.aspx?App=23&amp;ReportView=4&amp;Qid=1711279&amp;Row=16472&amp;Col=1","No Title Assigned - #15276559910")</f>
        <v/>
      </c>
      <c r="B16480" s="0" t="s">
        <v>21976</v>
      </c>
      <c r="E16480" s="0" t="inlineStr">
        <is>
          <t xml:space="preserve">Mazda</t>
        </is>
      </c>
      <c r="F16480" s="0" t="inlineStr">
        <is>
          <t xml:space="preserve">Mazda</t>
        </is>
      </c>
      <c r="G16480" s="0" t="s">
        <v>171</v>
      </c>
      <c r="H16480" s="5">
        <v>1214.401200</v>
      </c>
    </row>
    <row r="16481" spans="1:9">
      <c r="A16481" s="22" t="str">
        <f>HYPERLINK("https://app.vivvix.com/360/KMI/IntelliDrive/ApplUI/Pages/CreativePages/CustomReportCreativeDetail.aspx?App=23&amp;ReportView=4&amp;Qid=1711279&amp;Row=16473&amp;Col=1","No Title Assigned - #15276559950")</f>
        <v/>
      </c>
      <c r="B16481" s="0" t="s">
        <v>21977</v>
      </c>
      <c r="E16481" s="0" t="inlineStr">
        <is>
          <t xml:space="preserve">Mazda</t>
        </is>
      </c>
      <c r="F16481" s="0" t="inlineStr">
        <is>
          <t xml:space="preserve">Mazda</t>
        </is>
      </c>
      <c r="G16481" s="0" t="s">
        <v>171</v>
      </c>
      <c r="H16481" s="5">
        <v>168.500200</v>
      </c>
    </row>
    <row r="16482" spans="1:9">
      <c r="A16482" s="22" t="str">
        <f>HYPERLINK("https://app.vivvix.com/360/KMI/IntelliDrive/ApplUI/Pages/CreativePages/CustomReportCreativeDetail.aspx?App=23&amp;ReportView=4&amp;Qid=1711279&amp;Row=16474&amp;Col=1","No Title Assigned - #15276560183")</f>
        <v/>
      </c>
      <c r="B16482" s="0" t="s">
        <v>21978</v>
      </c>
      <c r="E16482" s="0" t="inlineStr">
        <is>
          <t xml:space="preserve">Mazda</t>
        </is>
      </c>
      <c r="F16482" s="0" t="inlineStr">
        <is>
          <t xml:space="preserve">Mazda</t>
        </is>
      </c>
      <c r="G16482" s="0" t="s">
        <v>171</v>
      </c>
      <c r="H16482" s="5">
        <v>54.657200</v>
      </c>
    </row>
    <row r="16483" spans="1:9">
      <c r="A16483" s="22" t="str">
        <f>HYPERLINK("https://app.vivvix.com/360/KMI/IntelliDrive/ApplUI/Pages/CreativePages/CustomReportCreativeDetail.aspx?App=23&amp;ReportView=4&amp;Qid=1711279&amp;Row=16475&amp;Col=1","No Title Assigned - #15276560514")</f>
        <v/>
      </c>
      <c r="B16483" s="0" t="s">
        <v>21979</v>
      </c>
      <c r="E16483" s="0" t="inlineStr">
        <is>
          <t xml:space="preserve">Mazda</t>
        </is>
      </c>
      <c r="F16483" s="0" t="inlineStr">
        <is>
          <t xml:space="preserve">Mazda</t>
        </is>
      </c>
      <c r="G16483" s="0" t="s">
        <v>171</v>
      </c>
      <c r="H16483" s="5">
        <v>255.305800</v>
      </c>
    </row>
    <row r="16484" spans="1:9">
      <c r="A16484" s="22" t="str">
        <f>HYPERLINK("https://app.vivvix.com/360/KMI/IntelliDrive/ApplUI/Pages/CreativePages/CustomReportCreativeDetail.aspx?App=23&amp;ReportView=4&amp;Qid=1711279&amp;Row=16476&amp;Col=1","No Title Assigned - #15276560587")</f>
        <v/>
      </c>
      <c r="B16484" s="0" t="s">
        <v>21980</v>
      </c>
      <c r="E16484" s="0" t="inlineStr">
        <is>
          <t xml:space="preserve">Mazda</t>
        </is>
      </c>
      <c r="F16484" s="0" t="inlineStr">
        <is>
          <t xml:space="preserve">Mazda</t>
        </is>
      </c>
      <c r="G16484" s="0" t="s">
        <v>171</v>
      </c>
      <c r="H16484" s="5">
        <v>188.400400</v>
      </c>
    </row>
    <row r="16485" spans="1:9">
      <c r="A16485" s="22" t="str">
        <f>HYPERLINK("https://app.vivvix.com/360/KMI/IntelliDrive/ApplUI/Pages/CreativePages/CustomReportCreativeDetail.aspx?App=23&amp;ReportView=4&amp;Qid=1711279&amp;Row=16477&amp;Col=1","No Title Assigned - #15276560621")</f>
        <v/>
      </c>
      <c r="B16485" s="0" t="s">
        <v>21981</v>
      </c>
      <c r="E16485" s="0" t="inlineStr">
        <is>
          <t xml:space="preserve">Mazda</t>
        </is>
      </c>
      <c r="F16485" s="0" t="inlineStr">
        <is>
          <t xml:space="preserve">Mazda</t>
        </is>
      </c>
      <c r="G16485" s="0" t="s">
        <v>171</v>
      </c>
      <c r="H16485" s="5">
        <v>5890.027800</v>
      </c>
    </row>
    <row r="16486" spans="1:9">
      <c r="A16486" s="22" t="str">
        <f>HYPERLINK("https://app.vivvix.com/360/KMI/IntelliDrive/ApplUI/Pages/CreativePages/CustomReportCreativeDetail.aspx?App=23&amp;ReportView=4&amp;Qid=1711279&amp;Row=16478&amp;Col=1","No Title Assigned - #15276560690")</f>
        <v/>
      </c>
      <c r="B16486" s="0" t="s">
        <v>21982</v>
      </c>
      <c r="E16486" s="0" t="inlineStr">
        <is>
          <t xml:space="preserve">Mazda</t>
        </is>
      </c>
      <c r="F16486" s="0" t="inlineStr">
        <is>
          <t xml:space="preserve">Mazda</t>
        </is>
      </c>
      <c r="G16486" s="0" t="s">
        <v>171</v>
      </c>
      <c r="H16486" s="5">
        <v>50.978200</v>
      </c>
    </row>
    <row r="16487" spans="1:9">
      <c r="A16487" s="22" t="str">
        <f>HYPERLINK("https://app.vivvix.com/360/KMI/IntelliDrive/ApplUI/Pages/CreativePages/CustomReportCreativeDetail.aspx?App=23&amp;ReportView=4&amp;Qid=1711279&amp;Row=16479&amp;Col=1","No Title Assigned - #15276560922")</f>
        <v/>
      </c>
      <c r="B16487" s="0" t="s">
        <v>21983</v>
      </c>
      <c r="C16487" s="0" t="s">
        <v>21984</v>
      </c>
      <c r="D16487" s="0" t="s">
        <v>21984</v>
      </c>
      <c r="E16487" s="0" t="inlineStr">
        <is>
          <t xml:space="preserve">Mazda</t>
        </is>
      </c>
      <c r="F16487" s="0" t="inlineStr">
        <is>
          <t xml:space="preserve">Mazda</t>
        </is>
      </c>
      <c r="G16487" s="0" t="s">
        <v>171</v>
      </c>
      <c r="H16487" s="5">
        <v>72.685200</v>
      </c>
    </row>
    <row r="16488" spans="1:9">
      <c r="A16488" s="22" t="str">
        <f>HYPERLINK("https://app.vivvix.com/360/KMI/IntelliDrive/ApplUI/Pages/CreativePages/CustomReportCreativeDetail.aspx?App=23&amp;ReportView=4&amp;Qid=1711279&amp;Row=16480&amp;Col=1","No Title Assigned - #15276560987")</f>
        <v/>
      </c>
      <c r="B16488" s="0" t="s">
        <v>21985</v>
      </c>
      <c r="E16488" s="0" t="inlineStr">
        <is>
          <t xml:space="preserve">Mazda</t>
        </is>
      </c>
      <c r="F16488" s="0" t="inlineStr">
        <is>
          <t xml:space="preserve">Mazda</t>
        </is>
      </c>
      <c r="G16488" s="0" t="s">
        <v>171</v>
      </c>
      <c r="H16488" s="5">
        <v>86.296400</v>
      </c>
    </row>
    <row r="16489" spans="1:9">
      <c r="A16489" s="22" t="str">
        <f>HYPERLINK("https://app.vivvix.com/360/KMI/IntelliDrive/ApplUI/Pages/CreativePages/CustomReportCreativeDetail.aspx?App=23&amp;ReportView=4&amp;Qid=1711279&amp;Row=16481&amp;Col=1","No Title Assigned - #15276561046")</f>
        <v/>
      </c>
      <c r="B16489" s="0" t="s">
        <v>21986</v>
      </c>
      <c r="E16489" s="0" t="inlineStr">
        <is>
          <t xml:space="preserve">Mazda</t>
        </is>
      </c>
      <c r="F16489" s="0" t="inlineStr">
        <is>
          <t xml:space="preserve">Mazda</t>
        </is>
      </c>
      <c r="G16489" s="0" t="s">
        <v>171</v>
      </c>
      <c r="H16489" s="5">
        <v>28.262500</v>
      </c>
    </row>
    <row r="16490" spans="1:9">
      <c r="A16490" s="22" t="str">
        <f>HYPERLINK("https://app.vivvix.com/360/KMI/IntelliDrive/ApplUI/Pages/CreativePages/CustomReportCreativeDetail.aspx?App=23&amp;ReportView=4&amp;Qid=1711279&amp;Row=16482&amp;Col=1","No Title Assigned - #15276561123")</f>
        <v/>
      </c>
      <c r="B16490" s="0" t="s">
        <v>21987</v>
      </c>
      <c r="E16490" s="0" t="inlineStr">
        <is>
          <t xml:space="preserve">Mazda</t>
        </is>
      </c>
      <c r="F16490" s="0" t="inlineStr">
        <is>
          <t xml:space="preserve">Mazda</t>
        </is>
      </c>
      <c r="G16490" s="0" t="s">
        <v>171</v>
      </c>
      <c r="H16490" s="5">
        <v>19.340600</v>
      </c>
    </row>
    <row r="16491" spans="1:9">
      <c r="A16491" s="22" t="str">
        <f>HYPERLINK("https://app.vivvix.com/360/KMI/IntelliDrive/ApplUI/Pages/CreativePages/CustomReportCreativeDetail.aspx?App=23&amp;ReportView=4&amp;Qid=1711279&amp;Row=16483&amp;Col=1","No Title Assigned - #15276561344")</f>
        <v/>
      </c>
      <c r="B16491" s="0" t="s">
        <v>21988</v>
      </c>
      <c r="E16491" s="0" t="inlineStr">
        <is>
          <t xml:space="preserve">Mazda</t>
        </is>
      </c>
      <c r="F16491" s="0" t="inlineStr">
        <is>
          <t xml:space="preserve">Mazda</t>
        </is>
      </c>
      <c r="G16491" s="0" t="s">
        <v>171</v>
      </c>
      <c r="H16491" s="5">
        <v>34.181400</v>
      </c>
    </row>
    <row r="16492" spans="1:9">
      <c r="A16492" s="22" t="str">
        <f>HYPERLINK("https://app.vivvix.com/360/KMI/IntelliDrive/ApplUI/Pages/CreativePages/CustomReportCreativeDetail.aspx?App=23&amp;ReportView=4&amp;Qid=1711279&amp;Row=16484&amp;Col=1","No Title Assigned - #15276561445")</f>
        <v/>
      </c>
      <c r="B16492" s="0" t="s">
        <v>21989</v>
      </c>
      <c r="E16492" s="0" t="inlineStr">
        <is>
          <t xml:space="preserve">Mazda</t>
        </is>
      </c>
      <c r="F16492" s="0" t="inlineStr">
        <is>
          <t xml:space="preserve">Mazda</t>
        </is>
      </c>
      <c r="G16492" s="0" t="s">
        <v>171</v>
      </c>
      <c r="H16492" s="5">
        <v>485.491900</v>
      </c>
    </row>
    <row r="16493" spans="1:9">
      <c r="A16493" s="22" t="str">
        <f>HYPERLINK("https://app.vivvix.com/360/KMI/IntelliDrive/ApplUI/Pages/CreativePages/CustomReportCreativeDetail.aspx?App=23&amp;ReportView=4&amp;Qid=1711279&amp;Row=16485&amp;Col=1","No Title Assigned - #15276561477")</f>
        <v/>
      </c>
      <c r="B16493" s="0" t="s">
        <v>21990</v>
      </c>
      <c r="E16493" s="0" t="inlineStr">
        <is>
          <t xml:space="preserve">Mazda</t>
        </is>
      </c>
      <c r="F16493" s="0" t="inlineStr">
        <is>
          <t xml:space="preserve">Mazda</t>
        </is>
      </c>
      <c r="G16493" s="0" t="s">
        <v>171</v>
      </c>
      <c r="H16493" s="5">
        <v>6.647800</v>
      </c>
    </row>
    <row r="16494" spans="1:9">
      <c r="A16494" s="22" t="str">
        <f>HYPERLINK("https://app.vivvix.com/360/KMI/IntelliDrive/ApplUI/Pages/CreativePages/CustomReportCreativeDetail.aspx?App=23&amp;ReportView=4&amp;Qid=1711279&amp;Row=16486&amp;Col=1","No Title Assigned - #15276561621")</f>
        <v/>
      </c>
      <c r="B16494" s="0" t="s">
        <v>21991</v>
      </c>
      <c r="E16494" s="0" t="inlineStr">
        <is>
          <t xml:space="preserve">Mazda</t>
        </is>
      </c>
      <c r="F16494" s="0" t="inlineStr">
        <is>
          <t xml:space="preserve">Mazda</t>
        </is>
      </c>
      <c r="G16494" s="0" t="s">
        <v>171</v>
      </c>
      <c r="H16494" s="5">
        <v>72.685200</v>
      </c>
    </row>
    <row r="16495" spans="1:9">
      <c r="A16495" s="22" t="str">
        <f>HYPERLINK("https://app.vivvix.com/360/KMI/IntelliDrive/ApplUI/Pages/CreativePages/CustomReportCreativeDetail.aspx?App=23&amp;ReportView=4&amp;Qid=1711279&amp;Row=16487&amp;Col=1","No Title Assigned - #15276561791")</f>
        <v/>
      </c>
      <c r="B16495" s="0" t="s">
        <v>21992</v>
      </c>
      <c r="E16495" s="0" t="inlineStr">
        <is>
          <t xml:space="preserve">Mazda</t>
        </is>
      </c>
      <c r="F16495" s="0" t="inlineStr">
        <is>
          <t xml:space="preserve">Mazda</t>
        </is>
      </c>
      <c r="G16495" s="0" t="s">
        <v>171</v>
      </c>
      <c r="H16495" s="5">
        <v>15.878300</v>
      </c>
    </row>
    <row r="16496" spans="1:9">
      <c r="A16496" s="22" t="str">
        <f>HYPERLINK("https://app.vivvix.com/360/KMI/IntelliDrive/ApplUI/Pages/CreativePages/CustomReportCreativeDetail.aspx?App=23&amp;ReportView=4&amp;Qid=1711279&amp;Row=16488&amp;Col=1","No Title Assigned - #15276562192")</f>
        <v/>
      </c>
      <c r="B16496" s="0" t="s">
        <v>21993</v>
      </c>
      <c r="E16496" s="0" t="inlineStr">
        <is>
          <t xml:space="preserve">Mazda</t>
        </is>
      </c>
      <c r="F16496" s="0" t="inlineStr">
        <is>
          <t xml:space="preserve">Mazda</t>
        </is>
      </c>
      <c r="G16496" s="0" t="s">
        <v>171</v>
      </c>
      <c r="H16496" s="5">
        <v>164.751000</v>
      </c>
    </row>
    <row r="16497" spans="1:9">
      <c r="A16497" s="22" t="str">
        <f>HYPERLINK("https://app.vivvix.com/360/KMI/IntelliDrive/ApplUI/Pages/CreativePages/CustomReportCreativeDetail.aspx?App=23&amp;ReportView=4&amp;Qid=1711279&amp;Row=16489&amp;Col=1","No Title Assigned - #15276562209")</f>
        <v/>
      </c>
      <c r="B16497" s="0" t="s">
        <v>21994</v>
      </c>
      <c r="E16497" s="0" t="inlineStr">
        <is>
          <t xml:space="preserve">Mazda</t>
        </is>
      </c>
      <c r="F16497" s="0" t="inlineStr">
        <is>
          <t xml:space="preserve">Mazda</t>
        </is>
      </c>
      <c r="G16497" s="0" t="s">
        <v>171</v>
      </c>
      <c r="H16497" s="5">
        <v>19.788400</v>
      </c>
    </row>
    <row r="16498" spans="1:9">
      <c r="A16498" s="22" t="str">
        <f>HYPERLINK("https://app.vivvix.com/360/KMI/IntelliDrive/ApplUI/Pages/CreativePages/CustomReportCreativeDetail.aspx?App=23&amp;ReportView=4&amp;Qid=1711279&amp;Row=16490&amp;Col=1","No Title Assigned - #15276562210")</f>
        <v/>
      </c>
      <c r="B16498" s="0" t="s">
        <v>21995</v>
      </c>
      <c r="E16498" s="0" t="inlineStr">
        <is>
          <t xml:space="preserve">Mazda</t>
        </is>
      </c>
      <c r="F16498" s="0" t="inlineStr">
        <is>
          <t xml:space="preserve">Mazda</t>
        </is>
      </c>
      <c r="G16498" s="0" t="s">
        <v>171</v>
      </c>
      <c r="H16498" s="5">
        <v>19.788400</v>
      </c>
    </row>
    <row r="16499" spans="1:9">
      <c r="A16499" s="22" t="str">
        <f>HYPERLINK("https://app.vivvix.com/360/KMI/IntelliDrive/ApplUI/Pages/CreativePages/CustomReportCreativeDetail.aspx?App=23&amp;ReportView=4&amp;Qid=1711279&amp;Row=16491&amp;Col=1","No Title Assigned - #15276562272")</f>
        <v/>
      </c>
      <c r="B16499" s="0" t="s">
        <v>21996</v>
      </c>
      <c r="E16499" s="0" t="inlineStr">
        <is>
          <t xml:space="preserve">Mazda</t>
        </is>
      </c>
      <c r="F16499" s="0" t="inlineStr">
        <is>
          <t xml:space="preserve">Mazda</t>
        </is>
      </c>
      <c r="G16499" s="0" t="s">
        <v>171</v>
      </c>
      <c r="H16499" s="5">
        <v>3.187600</v>
      </c>
    </row>
    <row r="16500" spans="1:9">
      <c r="A16500" s="22" t="str">
        <f>HYPERLINK("https://app.vivvix.com/360/KMI/IntelliDrive/ApplUI/Pages/CreativePages/CustomReportCreativeDetail.aspx?App=23&amp;ReportView=4&amp;Qid=1711279&amp;Row=16492&amp;Col=1","No Title Assigned - #15276562691")</f>
        <v/>
      </c>
      <c r="B16500" s="0" t="s">
        <v>21997</v>
      </c>
      <c r="E16500" s="0" t="inlineStr">
        <is>
          <t xml:space="preserve">Mazda</t>
        </is>
      </c>
      <c r="F16500" s="0" t="inlineStr">
        <is>
          <t xml:space="preserve">Mazda</t>
        </is>
      </c>
      <c r="G16500" s="0" t="s">
        <v>171</v>
      </c>
      <c r="H16500" s="5">
        <v>202.399900</v>
      </c>
    </row>
    <row r="16501" spans="1:9">
      <c r="A16501" s="22" t="str">
        <f>HYPERLINK("https://app.vivvix.com/360/KMI/IntelliDrive/ApplUI/Pages/CreativePages/CustomReportCreativeDetail.aspx?App=23&amp;ReportView=4&amp;Qid=1711279&amp;Row=16493&amp;Col=1","No Title Assigned - #15276562740")</f>
        <v/>
      </c>
      <c r="B16501" s="0" t="s">
        <v>21998</v>
      </c>
      <c r="E16501" s="0" t="inlineStr">
        <is>
          <t xml:space="preserve">Mazda</t>
        </is>
      </c>
      <c r="F16501" s="0" t="inlineStr">
        <is>
          <t xml:space="preserve">Mazda</t>
        </is>
      </c>
      <c r="G16501" s="0" t="s">
        <v>171</v>
      </c>
      <c r="H16501" s="5">
        <v>301.979600</v>
      </c>
    </row>
    <row r="16502" spans="1:9">
      <c r="A16502" s="22" t="str">
        <f>HYPERLINK("https://app.vivvix.com/360/KMI/IntelliDrive/ApplUI/Pages/CreativePages/CustomReportCreativeDetail.aspx?App=23&amp;ReportView=4&amp;Qid=1711279&amp;Row=16494&amp;Col=1","No Title Assigned - #15276562782")</f>
        <v/>
      </c>
      <c r="B16502" s="0" t="s">
        <v>21999</v>
      </c>
      <c r="E16502" s="0" t="inlineStr">
        <is>
          <t xml:space="preserve">Mazda</t>
        </is>
      </c>
      <c r="F16502" s="0" t="inlineStr">
        <is>
          <t xml:space="preserve">Mazda</t>
        </is>
      </c>
      <c r="G16502" s="0" t="s">
        <v>171</v>
      </c>
      <c r="H16502" s="5">
        <v>146.194000</v>
      </c>
    </row>
    <row r="16503" spans="1:9">
      <c r="A16503" s="22" t="str">
        <f>HYPERLINK("https://app.vivvix.com/360/KMI/IntelliDrive/ApplUI/Pages/CreativePages/CustomReportCreativeDetail.aspx?App=23&amp;ReportView=4&amp;Qid=1711279&amp;Row=16495&amp;Col=1","No Title Assigned - #15276562943")</f>
        <v/>
      </c>
      <c r="B16503" s="0" t="s">
        <v>22000</v>
      </c>
      <c r="E16503" s="0" t="inlineStr">
        <is>
          <t xml:space="preserve">Mazda</t>
        </is>
      </c>
      <c r="F16503" s="0" t="inlineStr">
        <is>
          <t xml:space="preserve">Mazda</t>
        </is>
      </c>
      <c r="G16503" s="0" t="s">
        <v>171</v>
      </c>
      <c r="H16503" s="5">
        <v>80.501000</v>
      </c>
    </row>
    <row r="16504" spans="1:9">
      <c r="A16504" s="22" t="str">
        <f>HYPERLINK("https://app.vivvix.com/360/KMI/IntelliDrive/ApplUI/Pages/CreativePages/CustomReportCreativeDetail.aspx?App=23&amp;ReportView=4&amp;Qid=1711279&amp;Row=16496&amp;Col=1","No Title Assigned - #15276563118")</f>
        <v/>
      </c>
      <c r="B16504" s="0" t="s">
        <v>22001</v>
      </c>
      <c r="C16504" s="0" t="s">
        <v>22002</v>
      </c>
      <c r="D16504" s="0" t="s">
        <v>8779</v>
      </c>
      <c r="E16504" s="0" t="inlineStr">
        <is>
          <t xml:space="preserve">Mazda</t>
        </is>
      </c>
      <c r="F16504" s="0" t="s">
        <v>13</v>
      </c>
      <c r="G16504" s="0" t="s">
        <v>49</v>
      </c>
      <c r="H16504" s="5">
        <v>33.115400</v>
      </c>
    </row>
    <row r="16505" spans="1:9">
      <c r="A16505" s="22" t="str">
        <f>HYPERLINK("https://app.vivvix.com/360/KMI/IntelliDrive/ApplUI/Pages/CreativePages/CustomReportCreativeDetail.aspx?App=23&amp;ReportView=4&amp;Qid=1711279&amp;Row=16497&amp;Col=1","No Title Assigned - #15276563308")</f>
        <v/>
      </c>
      <c r="B16505" s="0" t="s">
        <v>22003</v>
      </c>
      <c r="E16505" s="0" t="inlineStr">
        <is>
          <t xml:space="preserve">Mazda</t>
        </is>
      </c>
      <c r="F16505" s="0" t="inlineStr">
        <is>
          <t xml:space="preserve">Mazda</t>
        </is>
      </c>
      <c r="G16505" s="0" t="s">
        <v>171</v>
      </c>
      <c r="H16505" s="5">
        <v>139.935100</v>
      </c>
    </row>
    <row r="16506" spans="1:9">
      <c r="A16506" s="22" t="str">
        <f>HYPERLINK("https://app.vivvix.com/360/KMI/IntelliDrive/ApplUI/Pages/CreativePages/CustomReportCreativeDetail.aspx?App=23&amp;ReportView=4&amp;Qid=1711279&amp;Row=16498&amp;Col=1","No Title Assigned - #15276563421")</f>
        <v/>
      </c>
      <c r="B16506" s="0" t="s">
        <v>22004</v>
      </c>
      <c r="E16506" s="0" t="inlineStr">
        <is>
          <t xml:space="preserve">Mazda</t>
        </is>
      </c>
      <c r="F16506" s="0" t="inlineStr">
        <is>
          <t xml:space="preserve">Mazda</t>
        </is>
      </c>
      <c r="G16506" s="0" t="s">
        <v>171</v>
      </c>
      <c r="H16506" s="5">
        <v>2023.665100</v>
      </c>
    </row>
    <row r="16507" spans="1:9">
      <c r="A16507" s="22" t="str">
        <f>HYPERLINK("https://app.vivvix.com/360/KMI/IntelliDrive/ApplUI/Pages/CreativePages/CustomReportCreativeDetail.aspx?App=23&amp;ReportView=4&amp;Qid=1711279&amp;Row=16499&amp;Col=1","No Title Assigned - #15276563691")</f>
        <v/>
      </c>
      <c r="B16507" s="0" t="s">
        <v>22005</v>
      </c>
      <c r="E16507" s="0" t="inlineStr">
        <is>
          <t xml:space="preserve">Mazda</t>
        </is>
      </c>
      <c r="F16507" s="0" t="inlineStr">
        <is>
          <t xml:space="preserve">Mazda</t>
        </is>
      </c>
      <c r="G16507" s="0" t="s">
        <v>171</v>
      </c>
      <c r="H16507" s="5">
        <v>558.680200</v>
      </c>
    </row>
    <row r="16508" spans="1:9">
      <c r="A16508" s="22" t="str">
        <f>HYPERLINK("https://app.vivvix.com/360/KMI/IntelliDrive/ApplUI/Pages/CreativePages/CustomReportCreativeDetail.aspx?App=23&amp;ReportView=4&amp;Qid=1711279&amp;Row=16500&amp;Col=1","No Title Assigned - #15276563965")</f>
        <v/>
      </c>
      <c r="B16508" s="0" t="s">
        <v>22006</v>
      </c>
      <c r="E16508" s="0" t="inlineStr">
        <is>
          <t xml:space="preserve">Mazda</t>
        </is>
      </c>
      <c r="F16508" s="0" t="inlineStr">
        <is>
          <t xml:space="preserve">Mazda</t>
        </is>
      </c>
      <c r="G16508" s="0" t="s">
        <v>171</v>
      </c>
      <c r="H16508" s="5">
        <v>1042.940600</v>
      </c>
    </row>
    <row r="16509" spans="1:9">
      <c r="A16509" s="22" t="str">
        <f>HYPERLINK("https://app.vivvix.com/360/KMI/IntelliDrive/ApplUI/Pages/CreativePages/CustomReportCreativeDetail.aspx?App=23&amp;ReportView=4&amp;Qid=1711279&amp;Row=16501&amp;Col=1","No Title Assigned - #15276567193")</f>
        <v/>
      </c>
      <c r="B16509" s="0" t="s">
        <v>22007</v>
      </c>
      <c r="E16509" s="0" t="inlineStr">
        <is>
          <t xml:space="preserve">Mazda</t>
        </is>
      </c>
      <c r="F16509" s="0" t="inlineStr">
        <is>
          <t xml:space="preserve">Mazda</t>
        </is>
      </c>
      <c r="G16509" s="0" t="s">
        <v>171</v>
      </c>
      <c r="H16509" s="5">
        <v>109.333600</v>
      </c>
    </row>
    <row r="16510" spans="1:9">
      <c r="A16510" s="22" t="str">
        <f>HYPERLINK("https://app.vivvix.com/360/KMI/IntelliDrive/ApplUI/Pages/CreativePages/CustomReportCreativeDetail.aspx?App=23&amp;ReportView=4&amp;Qid=1711279&amp;Row=16502&amp;Col=1","No Title Assigned - #15276567193")</f>
        <v/>
      </c>
      <c r="B16510" s="0" t="s">
        <v>22007</v>
      </c>
      <c r="E16510" s="0" t="inlineStr">
        <is>
          <t xml:space="preserve">Mazda</t>
        </is>
      </c>
      <c r="F16510" s="0" t="inlineStr">
        <is>
          <t xml:space="preserve">Mazda</t>
        </is>
      </c>
      <c r="G16510" s="0" t="s">
        <v>171</v>
      </c>
      <c r="H16510" s="5">
        <v>273.902300</v>
      </c>
    </row>
    <row r="16511" spans="1:9">
      <c r="A16511" s="22" t="str">
        <f>HYPERLINK("https://app.vivvix.com/360/KMI/IntelliDrive/ApplUI/Pages/CreativePages/CustomReportCreativeDetail.aspx?App=23&amp;ReportView=4&amp;Qid=1711279&amp;Row=16503&amp;Col=1","No Title Assigned - #15276567558")</f>
        <v/>
      </c>
      <c r="B16511" s="0" t="s">
        <v>22008</v>
      </c>
      <c r="E16511" s="0" t="inlineStr">
        <is>
          <t xml:space="preserve">Mazda</t>
        </is>
      </c>
      <c r="F16511" s="0" t="inlineStr">
        <is>
          <t xml:space="preserve">Mazda</t>
        </is>
      </c>
      <c r="G16511" s="0" t="s">
        <v>171</v>
      </c>
      <c r="H16511" s="5">
        <v>11304.049800</v>
      </c>
    </row>
    <row r="16512" spans="1:9">
      <c r="A16512" s="22" t="str">
        <f>HYPERLINK("https://app.vivvix.com/360/KMI/IntelliDrive/ApplUI/Pages/CreativePages/CustomReportCreativeDetail.aspx?App=23&amp;ReportView=4&amp;Qid=1711279&amp;Row=16504&amp;Col=1","No Title Assigned - #15276567948")</f>
        <v/>
      </c>
      <c r="B16512" s="0" t="s">
        <v>22009</v>
      </c>
      <c r="E16512" s="0" t="inlineStr">
        <is>
          <t xml:space="preserve">Mazda</t>
        </is>
      </c>
      <c r="F16512" s="0" t="inlineStr">
        <is>
          <t xml:space="preserve">Mazda</t>
        </is>
      </c>
      <c r="G16512" s="0" t="s">
        <v>171</v>
      </c>
      <c r="H16512" s="5">
        <v>64.510100</v>
      </c>
    </row>
    <row r="16513" spans="1:9">
      <c r="A16513" s="22" t="str">
        <f>HYPERLINK("https://app.vivvix.com/360/KMI/IntelliDrive/ApplUI/Pages/CreativePages/CustomReportCreativeDetail.aspx?App=23&amp;ReportView=4&amp;Qid=1711279&amp;Row=16505&amp;Col=1","No Title Assigned - #15276568198")</f>
        <v/>
      </c>
      <c r="B16513" s="0" t="s">
        <v>22010</v>
      </c>
      <c r="E16513" s="0" t="inlineStr">
        <is>
          <t xml:space="preserve">Mazda</t>
        </is>
      </c>
      <c r="F16513" s="0" t="inlineStr">
        <is>
          <t xml:space="preserve">Mazda</t>
        </is>
      </c>
      <c r="G16513" s="0" t="s">
        <v>171</v>
      </c>
      <c r="H16513" s="5">
        <v>640.812400</v>
      </c>
    </row>
    <row r="16514" spans="1:9">
      <c r="A16514" s="22" t="str">
        <f>HYPERLINK("https://app.vivvix.com/360/KMI/IntelliDrive/ApplUI/Pages/CreativePages/CustomReportCreativeDetail.aspx?App=23&amp;ReportView=4&amp;Qid=1711279&amp;Row=16506&amp;Col=1","No Title Assigned - #15276584760")</f>
        <v/>
      </c>
      <c r="B16514" s="0" t="s">
        <v>22011</v>
      </c>
      <c r="C16514" s="0" t="s">
        <v>22012</v>
      </c>
      <c r="D16514" s="0" t="s">
        <v>4768</v>
      </c>
      <c r="E16514" s="0" t="inlineStr">
        <is>
          <t xml:space="preserve">Mazda</t>
        </is>
      </c>
      <c r="F16514" s="0" t="s">
        <v>13</v>
      </c>
      <c r="G16514" s="0" t="s">
        <v>49</v>
      </c>
      <c r="H16514" s="5">
        <v>527.834500</v>
      </c>
    </row>
    <row r="16515" spans="1:9">
      <c r="A16515" s="22" t="str">
        <f>HYPERLINK("https://app.vivvix.com/360/KMI/IntelliDrive/ApplUI/Pages/CreativePages/CustomReportCreativeDetail.aspx?App=23&amp;ReportView=4&amp;Qid=1711279&amp;Row=16507&amp;Col=1","No Title Assigned - #15276592130")</f>
        <v/>
      </c>
      <c r="B16515" s="0" t="s">
        <v>22013</v>
      </c>
      <c r="C16515" s="0" t="s">
        <v>22014</v>
      </c>
      <c r="D16515" s="0" t="s">
        <v>22014</v>
      </c>
      <c r="E16515" s="0" t="inlineStr">
        <is>
          <t xml:space="preserve">Mazda</t>
        </is>
      </c>
      <c r="F16515" s="0" t="s">
        <v>13</v>
      </c>
      <c r="G16515" s="0" t="s">
        <v>49</v>
      </c>
      <c r="H16515" s="5">
        <v>708.255500</v>
      </c>
    </row>
    <row r="16516" spans="1:9">
      <c r="A16516" s="22" t="str">
        <f>HYPERLINK("https://app.vivvix.com/360/KMI/IntelliDrive/ApplUI/Pages/CreativePages/CustomReportCreativeDetail.aspx?App=23&amp;ReportView=4&amp;Qid=1711279&amp;Row=16508&amp;Col=1","No Title Assigned - #15276600948")</f>
        <v/>
      </c>
      <c r="B16516" s="0" t="s">
        <v>22015</v>
      </c>
      <c r="C16516" s="0" t="s">
        <v>22016</v>
      </c>
      <c r="D16516" s="0" t="s">
        <v>18549</v>
      </c>
      <c r="E16516" s="0" t="inlineStr">
        <is>
          <t xml:space="preserve">Mazda</t>
        </is>
      </c>
      <c r="F16516" s="0" t="s">
        <v>13</v>
      </c>
      <c r="G16516" s="0" t="s">
        <v>49</v>
      </c>
      <c r="H16516" s="5">
        <v>271.179500</v>
      </c>
    </row>
    <row r="16517" spans="1:9">
      <c r="A16517" s="22" t="str">
        <f>HYPERLINK("https://app.vivvix.com/360/KMI/IntelliDrive/ApplUI/Pages/CreativePages/CustomReportCreativeDetail.aspx?App=23&amp;ReportView=4&amp;Qid=1711279&amp;Row=16509&amp;Col=1","No Title Assigned - #15276602440")</f>
        <v/>
      </c>
      <c r="B16517" s="0" t="s">
        <v>22017</v>
      </c>
      <c r="C16517" s="0" t="s">
        <v>22018</v>
      </c>
      <c r="D16517" s="0" t="s">
        <v>22018</v>
      </c>
      <c r="E16517" s="0" t="inlineStr">
        <is>
          <t xml:space="preserve">Mazda</t>
        </is>
      </c>
      <c r="F16517" s="0" t="s">
        <v>13</v>
      </c>
      <c r="G16517" s="0" t="s">
        <v>49</v>
      </c>
      <c r="H16517" s="5">
        <v>607.200600</v>
      </c>
    </row>
    <row r="16518" spans="1:9">
      <c r="A16518" s="22" t="str">
        <f>HYPERLINK("https://app.vivvix.com/360/KMI/IntelliDrive/ApplUI/Pages/CreativePages/CustomReportCreativeDetail.aspx?App=23&amp;ReportView=4&amp;Qid=1711279&amp;Row=16510&amp;Col=1","No Title Assigned - #15276603417")</f>
        <v/>
      </c>
      <c r="B16518" s="0" t="s">
        <v>22019</v>
      </c>
      <c r="C16518" s="0" t="s">
        <v>22020</v>
      </c>
      <c r="D16518" s="0" t="s">
        <v>22020</v>
      </c>
      <c r="E16518" s="0" t="inlineStr">
        <is>
          <t xml:space="preserve">Mazda</t>
        </is>
      </c>
      <c r="F16518" s="0" t="s">
        <v>13</v>
      </c>
      <c r="G16518" s="0" t="s">
        <v>49</v>
      </c>
      <c r="H16518" s="5">
        <v>250.951200</v>
      </c>
    </row>
    <row r="16519" spans="1:9">
      <c r="A16519" s="22" t="str">
        <f>HYPERLINK("https://app.vivvix.com/360/KMI/IntelliDrive/ApplUI/Pages/CreativePages/CustomReportCreativeDetail.aspx?App=23&amp;ReportView=4&amp;Qid=1711279&amp;Row=16511&amp;Col=1","No Title Assigned - #15276604256")</f>
        <v/>
      </c>
      <c r="B16519" s="0" t="s">
        <v>22021</v>
      </c>
      <c r="C16519" s="0" t="s">
        <v>22022</v>
      </c>
      <c r="D16519" s="0" t="s">
        <v>22022</v>
      </c>
      <c r="E16519" s="0" t="inlineStr">
        <is>
          <t xml:space="preserve">Mazda</t>
        </is>
      </c>
      <c r="F16519" s="0" t="s">
        <v>13</v>
      </c>
      <c r="G16519" s="0" t="s">
        <v>49</v>
      </c>
      <c r="H16519" s="5">
        <v>7370.611500</v>
      </c>
    </row>
    <row r="16520" spans="1:9">
      <c r="A16520" s="22" t="str">
        <f>HYPERLINK("https://app.vivvix.com/360/KMI/IntelliDrive/ApplUI/Pages/CreativePages/CustomReportCreativeDetail.aspx?App=23&amp;ReportView=4&amp;Qid=1711279&amp;Row=16512&amp;Col=1","No Title Assigned - #15276604362")</f>
        <v/>
      </c>
      <c r="B16520" s="0" t="s">
        <v>22023</v>
      </c>
      <c r="C16520" s="0" t="s">
        <v>22024</v>
      </c>
      <c r="D16520" s="0" t="s">
        <v>22024</v>
      </c>
      <c r="E16520" s="0" t="inlineStr">
        <is>
          <t xml:space="preserve">Mazda</t>
        </is>
      </c>
      <c r="F16520" s="0" t="s">
        <v>13</v>
      </c>
      <c r="G16520" s="0" t="s">
        <v>49</v>
      </c>
      <c r="H16520" s="5">
        <v>77.483300</v>
      </c>
    </row>
    <row r="16521" spans="1:9">
      <c r="A16521" s="22" t="str">
        <f>HYPERLINK("https://app.vivvix.com/360/KMI/IntelliDrive/ApplUI/Pages/CreativePages/CustomReportCreativeDetail.aspx?App=23&amp;ReportView=4&amp;Qid=1711279&amp;Row=16513&amp;Col=1","No Title Assigned - #15276604362")</f>
        <v/>
      </c>
      <c r="B16521" s="0" t="s">
        <v>22023</v>
      </c>
      <c r="E16521" s="0" t="inlineStr">
        <is>
          <t xml:space="preserve">Mazda</t>
        </is>
      </c>
      <c r="F16521" s="0" t="s">
        <v>13</v>
      </c>
      <c r="G16521" s="0" t="s">
        <v>49</v>
      </c>
      <c r="H16521" s="5">
        <v>529.186900</v>
      </c>
    </row>
    <row r="16522" spans="1:9">
      <c r="A16522" s="22" t="str">
        <f>HYPERLINK("https://app.vivvix.com/360/KMI/IntelliDrive/ApplUI/Pages/CreativePages/CustomReportCreativeDetail.aspx?App=23&amp;ReportView=4&amp;Qid=1711279&amp;Row=16514&amp;Col=1","No Title Assigned - #15276604391")</f>
        <v/>
      </c>
      <c r="B16522" s="0" t="s">
        <v>22025</v>
      </c>
      <c r="C16522" s="0" t="s">
        <v>22026</v>
      </c>
      <c r="D16522" s="0" t="s">
        <v>18149</v>
      </c>
      <c r="E16522" s="0" t="inlineStr">
        <is>
          <t xml:space="preserve">Mazda</t>
        </is>
      </c>
      <c r="F16522" s="0" t="s">
        <v>13</v>
      </c>
      <c r="G16522" s="0" t="s">
        <v>49</v>
      </c>
      <c r="H16522" s="5">
        <v>546.062400</v>
      </c>
    </row>
    <row r="16523" spans="1:9">
      <c r="A16523" s="22" t="str">
        <f>HYPERLINK("https://app.vivvix.com/360/KMI/IntelliDrive/ApplUI/Pages/CreativePages/CustomReportCreativeDetail.aspx?App=23&amp;ReportView=4&amp;Qid=1711279&amp;Row=16515&amp;Col=1","No Title Assigned - #15276604861")</f>
        <v/>
      </c>
      <c r="B16523" s="0" t="s">
        <v>22027</v>
      </c>
      <c r="C16523" s="0" t="s">
        <v>22028</v>
      </c>
      <c r="D16523" s="0" t="s">
        <v>11639</v>
      </c>
      <c r="E16523" s="0" t="inlineStr">
        <is>
          <t xml:space="preserve">Mazda</t>
        </is>
      </c>
      <c r="F16523" s="0" t="s">
        <v>13</v>
      </c>
      <c r="G16523" s="0" t="s">
        <v>49</v>
      </c>
      <c r="H16523" s="5">
        <v>246.716100</v>
      </c>
    </row>
    <row r="16524" spans="1:9">
      <c r="A16524" s="22" t="str">
        <f>HYPERLINK("https://app.vivvix.com/360/KMI/IntelliDrive/ApplUI/Pages/CreativePages/CustomReportCreativeDetail.aspx?App=23&amp;ReportView=4&amp;Qid=1711279&amp;Row=16516&amp;Col=1","No Title Assigned - #15276604916")</f>
        <v/>
      </c>
      <c r="B16524" s="0" t="s">
        <v>22029</v>
      </c>
      <c r="C16524" s="0" t="s">
        <v>22030</v>
      </c>
      <c r="D16524" s="0" t="s">
        <v>18549</v>
      </c>
      <c r="E16524" s="0" t="inlineStr">
        <is>
          <t xml:space="preserve">Mazda</t>
        </is>
      </c>
      <c r="F16524" s="0" t="s">
        <v>13</v>
      </c>
      <c r="G16524" s="0" t="s">
        <v>49</v>
      </c>
      <c r="H16524" s="5">
        <v>177.832100</v>
      </c>
    </row>
    <row r="16525" spans="1:9">
      <c r="A16525" s="22" t="str">
        <f>HYPERLINK("https://app.vivvix.com/360/KMI/IntelliDrive/ApplUI/Pages/CreativePages/CustomReportCreativeDetail.aspx?App=23&amp;ReportView=4&amp;Qid=1711279&amp;Row=16517&amp;Col=1","No Title Assigned - #15276605047")</f>
        <v/>
      </c>
      <c r="B16525" s="0" t="s">
        <v>22031</v>
      </c>
      <c r="C16525" s="0" t="s">
        <v>22032</v>
      </c>
      <c r="D16525" s="0" t="s">
        <v>10004</v>
      </c>
      <c r="E16525" s="0" t="inlineStr">
        <is>
          <t xml:space="preserve">Mazda</t>
        </is>
      </c>
      <c r="F16525" s="0" t="s">
        <v>13</v>
      </c>
      <c r="G16525" s="0" t="s">
        <v>49</v>
      </c>
      <c r="H16525" s="5">
        <v>517.123000</v>
      </c>
    </row>
    <row r="16526" spans="1:9">
      <c r="A16526" s="22" t="str">
        <f>HYPERLINK("https://app.vivvix.com/360/KMI/IntelliDrive/ApplUI/Pages/CreativePages/CustomReportCreativeDetail.aspx?App=23&amp;ReportView=4&amp;Qid=1711279&amp;Row=16518&amp;Col=1","No Title Assigned - #15276605059")</f>
        <v/>
      </c>
      <c r="B16526" s="0" t="s">
        <v>22033</v>
      </c>
      <c r="C16526" s="0" t="s">
        <v>22034</v>
      </c>
      <c r="D16526" s="0" t="s">
        <v>9364</v>
      </c>
      <c r="E16526" s="0" t="inlineStr">
        <is>
          <t xml:space="preserve">Mazda</t>
        </is>
      </c>
      <c r="F16526" s="0" t="s">
        <v>13</v>
      </c>
      <c r="G16526" s="0" t="s">
        <v>49</v>
      </c>
      <c r="H16526" s="5">
        <v>401.140300</v>
      </c>
    </row>
    <row r="16527" spans="1:9">
      <c r="A16527" s="22" t="str">
        <f>HYPERLINK("https://app.vivvix.com/360/KMI/IntelliDrive/ApplUI/Pages/CreativePages/CustomReportCreativeDetail.aspx?App=23&amp;ReportView=4&amp;Qid=1711279&amp;Row=16519&amp;Col=1","No Title Assigned - #15276605108")</f>
        <v/>
      </c>
      <c r="B16527" s="0" t="s">
        <v>22035</v>
      </c>
      <c r="C16527" s="0" t="s">
        <v>22036</v>
      </c>
      <c r="D16527" s="0" t="s">
        <v>22036</v>
      </c>
      <c r="E16527" s="0" t="inlineStr">
        <is>
          <t xml:space="preserve">Mazda</t>
        </is>
      </c>
      <c r="F16527" s="0" t="s">
        <v>13</v>
      </c>
      <c r="G16527" s="0" t="s">
        <v>49</v>
      </c>
      <c r="H16527" s="5">
        <v>47.212900</v>
      </c>
    </row>
    <row r="16528" spans="1:9">
      <c r="A16528" s="22" t="str">
        <f>HYPERLINK("https://app.vivvix.com/360/KMI/IntelliDrive/ApplUI/Pages/CreativePages/CustomReportCreativeDetail.aspx?App=23&amp;ReportView=4&amp;Qid=1711279&amp;Row=16520&amp;Col=1","No Title Assigned - #15276605153")</f>
        <v/>
      </c>
      <c r="B16528" s="0" t="s">
        <v>22037</v>
      </c>
      <c r="E16528" s="0" t="inlineStr">
        <is>
          <t xml:space="preserve">Mazda</t>
        </is>
      </c>
      <c r="F16528" s="0" t="inlineStr">
        <is>
          <t xml:space="preserve">Mazda</t>
        </is>
      </c>
      <c r="G16528" s="0" t="s">
        <v>210</v>
      </c>
      <c r="H16528" s="5">
        <v>418.757400</v>
      </c>
    </row>
    <row r="16529" spans="1:9">
      <c r="A16529" s="22" t="str">
        <f>HYPERLINK("https://app.vivvix.com/360/KMI/IntelliDrive/ApplUI/Pages/CreativePages/CustomReportCreativeDetail.aspx?App=23&amp;ReportView=4&amp;Qid=1711279&amp;Row=16521&amp;Col=1","No Title Assigned - #15276605278")</f>
        <v/>
      </c>
      <c r="B16529" s="0" t="s">
        <v>22038</v>
      </c>
      <c r="C16529" s="0" t="s">
        <v>22039</v>
      </c>
      <c r="D16529" s="0" t="s">
        <v>22039</v>
      </c>
      <c r="E16529" s="0" t="inlineStr">
        <is>
          <t xml:space="preserve">Mazda</t>
        </is>
      </c>
      <c r="F16529" s="0" t="s">
        <v>13</v>
      </c>
      <c r="G16529" s="0" t="s">
        <v>49</v>
      </c>
      <c r="H16529" s="5">
        <v>21.117100</v>
      </c>
    </row>
    <row r="16530" spans="1:9">
      <c r="A16530" s="22" t="str">
        <f>HYPERLINK("https://app.vivvix.com/360/KMI/IntelliDrive/ApplUI/Pages/CreativePages/CustomReportCreativeDetail.aspx?App=23&amp;ReportView=4&amp;Qid=1711279&amp;Row=16522&amp;Col=1","No Title Assigned - #15276605453")</f>
        <v/>
      </c>
      <c r="B16530" s="0" t="s">
        <v>22040</v>
      </c>
      <c r="E16530" s="0" t="inlineStr">
        <is>
          <t xml:space="preserve">Mazda</t>
        </is>
      </c>
      <c r="F16530" s="0" t="s">
        <v>13</v>
      </c>
      <c r="G16530" s="0" t="s">
        <v>49</v>
      </c>
      <c r="H16530" s="5">
        <v>56.365500</v>
      </c>
    </row>
    <row r="16531" spans="1:9">
      <c r="A16531" s="22" t="str">
        <f>HYPERLINK("https://app.vivvix.com/360/KMI/IntelliDrive/ApplUI/Pages/CreativePages/CustomReportCreativeDetail.aspx?App=23&amp;ReportView=4&amp;Qid=1711279&amp;Row=16523&amp;Col=1","No Title Assigned - #15276605457")</f>
        <v/>
      </c>
      <c r="B16531" s="0" t="s">
        <v>22041</v>
      </c>
      <c r="C16531" s="0" t="s">
        <v>22042</v>
      </c>
      <c r="D16531" s="0" t="s">
        <v>10371</v>
      </c>
      <c r="E16531" s="0" t="inlineStr">
        <is>
          <t xml:space="preserve">Mazda</t>
        </is>
      </c>
      <c r="F16531" s="0" t="s">
        <v>13</v>
      </c>
      <c r="G16531" s="0" t="s">
        <v>49</v>
      </c>
      <c r="H16531" s="5">
        <v>226.998000</v>
      </c>
    </row>
    <row r="16532" spans="1:9">
      <c r="A16532" s="22" t="str">
        <f>HYPERLINK("https://app.vivvix.com/360/KMI/IntelliDrive/ApplUI/Pages/CreativePages/CustomReportCreativeDetail.aspx?App=23&amp;ReportView=4&amp;Qid=1711279&amp;Row=16524&amp;Col=1","No Title Assigned - #15276605576")</f>
        <v/>
      </c>
      <c r="B16532" s="0" t="s">
        <v>22043</v>
      </c>
      <c r="C16532" s="0" t="s">
        <v>22044</v>
      </c>
      <c r="D16532" s="0" t="s">
        <v>22044</v>
      </c>
      <c r="E16532" s="0" t="inlineStr">
        <is>
          <t xml:space="preserve">Mazda</t>
        </is>
      </c>
      <c r="F16532" s="0" t="s">
        <v>13</v>
      </c>
      <c r="G16532" s="0" t="s">
        <v>49</v>
      </c>
      <c r="H16532" s="5">
        <v>56.137500</v>
      </c>
    </row>
    <row r="16533" spans="1:9">
      <c r="A16533" s="22" t="str">
        <f>HYPERLINK("https://app.vivvix.com/360/KMI/IntelliDrive/ApplUI/Pages/CreativePages/CustomReportCreativeDetail.aspx?App=23&amp;ReportView=4&amp;Qid=1711279&amp;Row=16525&amp;Col=1","No Title Assigned - #15276605657")</f>
        <v/>
      </c>
      <c r="B16533" s="0" t="s">
        <v>22045</v>
      </c>
      <c r="C16533" s="0" t="s">
        <v>22046</v>
      </c>
      <c r="D16533" s="0" t="s">
        <v>22046</v>
      </c>
      <c r="E16533" s="0" t="inlineStr">
        <is>
          <t xml:space="preserve">Mazda</t>
        </is>
      </c>
      <c r="F16533" s="0" t="s">
        <v>13</v>
      </c>
      <c r="G16533" s="0" t="s">
        <v>49</v>
      </c>
      <c r="H16533" s="5">
        <v>63.300000</v>
      </c>
    </row>
    <row r="16534" spans="1:9">
      <c r="A16534" s="22" t="str">
        <f>HYPERLINK("https://app.vivvix.com/360/KMI/IntelliDrive/ApplUI/Pages/CreativePages/CustomReportCreativeDetail.aspx?App=23&amp;ReportView=4&amp;Qid=1711279&amp;Row=16526&amp;Col=1","No Title Assigned - #15276605677")</f>
        <v/>
      </c>
      <c r="B16534" s="0" t="s">
        <v>22047</v>
      </c>
      <c r="C16534" s="0" t="s">
        <v>22048</v>
      </c>
      <c r="D16534" s="0" t="s">
        <v>22048</v>
      </c>
      <c r="E16534" s="0" t="inlineStr">
        <is>
          <t xml:space="preserve">Mazda</t>
        </is>
      </c>
      <c r="F16534" s="0" t="s">
        <v>13</v>
      </c>
      <c r="G16534" s="0" t="s">
        <v>49</v>
      </c>
      <c r="H16534" s="5">
        <v>11.227500</v>
      </c>
    </row>
    <row r="16535" spans="1:9">
      <c r="A16535" s="22" t="str">
        <f>HYPERLINK("https://app.vivvix.com/360/KMI/IntelliDrive/ApplUI/Pages/CreativePages/CustomReportCreativeDetail.aspx?App=23&amp;ReportView=4&amp;Qid=1711279&amp;Row=16527&amp;Col=1","No Title Assigned - #15276605777")</f>
        <v/>
      </c>
      <c r="B16535" s="0" t="s">
        <v>22049</v>
      </c>
      <c r="C16535" s="0" t="s">
        <v>22050</v>
      </c>
      <c r="D16535" s="0" t="s">
        <v>9167</v>
      </c>
      <c r="E16535" s="0" t="inlineStr">
        <is>
          <t xml:space="preserve">Mazda</t>
        </is>
      </c>
      <c r="F16535" s="0" t="s">
        <v>13</v>
      </c>
      <c r="G16535" s="0" t="s">
        <v>49</v>
      </c>
      <c r="H16535" s="5">
        <v>559.523300</v>
      </c>
    </row>
    <row r="16536" spans="1:9">
      <c r="A16536" s="22" t="str">
        <f>HYPERLINK("https://app.vivvix.com/360/KMI/IntelliDrive/ApplUI/Pages/CreativePages/CustomReportCreativeDetail.aspx?App=23&amp;ReportView=4&amp;Qid=1711279&amp;Row=16528&amp;Col=1","No Title Assigned - #15276605914")</f>
        <v/>
      </c>
      <c r="B16536" s="0" t="s">
        <v>22051</v>
      </c>
      <c r="C16536" s="0" t="s">
        <v>22052</v>
      </c>
      <c r="D16536" s="0" t="s">
        <v>22052</v>
      </c>
      <c r="E16536" s="0" t="inlineStr">
        <is>
          <t xml:space="preserve">Mazda</t>
        </is>
      </c>
      <c r="F16536" s="0" t="s">
        <v>13</v>
      </c>
      <c r="G16536" s="0" t="s">
        <v>49</v>
      </c>
      <c r="H16536" s="5">
        <v>309.933200</v>
      </c>
    </row>
    <row r="16537" spans="1:9">
      <c r="A16537" s="22" t="str">
        <f>HYPERLINK("https://app.vivvix.com/360/KMI/IntelliDrive/ApplUI/Pages/CreativePages/CustomReportCreativeDetail.aspx?App=23&amp;ReportView=4&amp;Qid=1711279&amp;Row=16529&amp;Col=1","No Title Assigned - #15276605944")</f>
        <v/>
      </c>
      <c r="B16537" s="0" t="s">
        <v>22053</v>
      </c>
      <c r="C16537" s="0" t="s">
        <v>22054</v>
      </c>
      <c r="D16537" s="0" t="s">
        <v>22054</v>
      </c>
      <c r="E16537" s="0" t="inlineStr">
        <is>
          <t xml:space="preserve">Mazda</t>
        </is>
      </c>
      <c r="F16537" s="0" t="s">
        <v>13</v>
      </c>
      <c r="G16537" s="0" t="s">
        <v>49</v>
      </c>
      <c r="H16537" s="5">
        <v>190.720400</v>
      </c>
    </row>
    <row r="16538" spans="1:9">
      <c r="A16538" s="22" t="str">
        <f>HYPERLINK("https://app.vivvix.com/360/KMI/IntelliDrive/ApplUI/Pages/CreativePages/CustomReportCreativeDetail.aspx?App=23&amp;ReportView=4&amp;Qid=1711279&amp;Row=16530&amp;Col=1","No Title Assigned - #15276605983")</f>
        <v/>
      </c>
      <c r="B16538" s="0" t="s">
        <v>22055</v>
      </c>
      <c r="C16538" s="0" t="s">
        <v>22056</v>
      </c>
      <c r="D16538" s="0" t="s">
        <v>5013</v>
      </c>
      <c r="E16538" s="0" t="inlineStr">
        <is>
          <t xml:space="preserve">Mazda</t>
        </is>
      </c>
      <c r="F16538" s="0" t="s">
        <v>13</v>
      </c>
      <c r="G16538" s="0" t="s">
        <v>49</v>
      </c>
      <c r="H16538" s="5">
        <v>247.808800</v>
      </c>
    </row>
    <row r="16539" spans="1:9">
      <c r="A16539" s="22" t="str">
        <f>HYPERLINK("https://app.vivvix.com/360/KMI/IntelliDrive/ApplUI/Pages/CreativePages/CustomReportCreativeDetail.aspx?App=23&amp;ReportView=4&amp;Qid=1711279&amp;Row=16531&amp;Col=1","No Title Assigned - #15276606127")</f>
        <v/>
      </c>
      <c r="B16539" s="0" t="s">
        <v>22057</v>
      </c>
      <c r="E16539" s="0" t="inlineStr">
        <is>
          <t xml:space="preserve">Mazda</t>
        </is>
      </c>
      <c r="F16539" s="0" t="s">
        <v>13</v>
      </c>
      <c r="G16539" s="0" t="s">
        <v>49</v>
      </c>
      <c r="H16539" s="5">
        <v>2225.419100</v>
      </c>
    </row>
    <row r="16540" spans="1:9">
      <c r="A16540" s="22" t="str">
        <f>HYPERLINK("https://app.vivvix.com/360/KMI/IntelliDrive/ApplUI/Pages/CreativePages/CustomReportCreativeDetail.aspx?App=23&amp;ReportView=4&amp;Qid=1711279&amp;Row=16532&amp;Col=1","No Title Assigned - #15276606339")</f>
        <v/>
      </c>
      <c r="B16540" s="0" t="s">
        <v>22058</v>
      </c>
      <c r="C16540" s="0" t="s">
        <v>22059</v>
      </c>
      <c r="D16540" s="0" t="s">
        <v>9167</v>
      </c>
      <c r="E16540" s="0" t="inlineStr">
        <is>
          <t xml:space="preserve">Mazda</t>
        </is>
      </c>
      <c r="F16540" s="0" t="s">
        <v>13</v>
      </c>
      <c r="G16540" s="0" t="s">
        <v>49</v>
      </c>
      <c r="H16540" s="5">
        <v>0.588400</v>
      </c>
    </row>
    <row r="16541" spans="1:9">
      <c r="A16541" s="22" t="str">
        <f>HYPERLINK("https://app.vivvix.com/360/KMI/IntelliDrive/ApplUI/Pages/CreativePages/CustomReportCreativeDetail.aspx?App=23&amp;ReportView=4&amp;Qid=1711279&amp;Row=16533&amp;Col=1","No Title Assigned - #15276606909")</f>
        <v/>
      </c>
      <c r="B16541" s="0" t="s">
        <v>22060</v>
      </c>
      <c r="C16541" s="0" t="s">
        <v>22061</v>
      </c>
      <c r="D16541" s="0" t="s">
        <v>10067</v>
      </c>
      <c r="E16541" s="0" t="inlineStr">
        <is>
          <t xml:space="preserve">Mazda</t>
        </is>
      </c>
      <c r="F16541" s="0" t="s">
        <v>13</v>
      </c>
      <c r="G16541" s="0" t="s">
        <v>49</v>
      </c>
      <c r="H16541" s="5">
        <v>1200.475300</v>
      </c>
    </row>
    <row r="16542" spans="1:9">
      <c r="A16542" s="22" t="str">
        <f>HYPERLINK("https://app.vivvix.com/360/KMI/IntelliDrive/ApplUI/Pages/CreativePages/CustomReportCreativeDetail.aspx?App=23&amp;ReportView=4&amp;Qid=1711279&amp;Row=16534&amp;Col=1","No Title Assigned - #15276610337")</f>
        <v/>
      </c>
      <c r="B16542" s="0" t="s">
        <v>22062</v>
      </c>
      <c r="C16542" s="0" t="s">
        <v>22063</v>
      </c>
      <c r="D16542" s="0" t="s">
        <v>22063</v>
      </c>
      <c r="E16542" s="0" t="inlineStr">
        <is>
          <t xml:space="preserve">Mazda</t>
        </is>
      </c>
      <c r="F16542" s="0" t="s">
        <v>13</v>
      </c>
      <c r="G16542" s="0" t="s">
        <v>49</v>
      </c>
      <c r="H16542" s="5">
        <v>30.793200</v>
      </c>
    </row>
    <row r="16543" spans="1:9">
      <c r="A16543" s="22" t="str">
        <f>HYPERLINK("https://app.vivvix.com/360/KMI/IntelliDrive/ApplUI/Pages/CreativePages/CustomReportCreativeDetail.aspx?App=23&amp;ReportView=4&amp;Qid=1711279&amp;Row=16535&amp;Col=1","No Title Assigned - #15276611243")</f>
        <v/>
      </c>
      <c r="B16543" s="0" t="s">
        <v>22064</v>
      </c>
      <c r="C16543" s="0" t="s">
        <v>22065</v>
      </c>
      <c r="D16543" s="0" t="s">
        <v>22065</v>
      </c>
      <c r="E16543" s="0" t="inlineStr">
        <is>
          <t xml:space="preserve">Mazda</t>
        </is>
      </c>
      <c r="F16543" s="0" t="s">
        <v>13</v>
      </c>
      <c r="G16543" s="0" t="s">
        <v>49</v>
      </c>
      <c r="H16543" s="5">
        <v>672.742000</v>
      </c>
    </row>
    <row r="16544" spans="1:9">
      <c r="A16544" s="22" t="str">
        <f>HYPERLINK("https://app.vivvix.com/360/KMI/IntelliDrive/ApplUI/Pages/CreativePages/CustomReportCreativeDetail.aspx?App=23&amp;ReportView=4&amp;Qid=1711279&amp;Row=16536&amp;Col=1","No Title Assigned - #15276611335")</f>
        <v/>
      </c>
      <c r="B16544" s="0" t="s">
        <v>22066</v>
      </c>
      <c r="C16544" s="0" t="s">
        <v>22067</v>
      </c>
      <c r="D16544" s="0" t="s">
        <v>10371</v>
      </c>
      <c r="E16544" s="0" t="inlineStr">
        <is>
          <t xml:space="preserve">Mazda</t>
        </is>
      </c>
      <c r="F16544" s="0" t="s">
        <v>13</v>
      </c>
      <c r="G16544" s="0" t="s">
        <v>49</v>
      </c>
      <c r="H16544" s="5">
        <v>41.926100</v>
      </c>
    </row>
    <row r="16545" spans="1:9">
      <c r="A16545" s="22" t="str">
        <f>HYPERLINK("https://app.vivvix.com/360/KMI/IntelliDrive/ApplUI/Pages/CreativePages/CustomReportCreativeDetail.aspx?App=23&amp;ReportView=4&amp;Qid=1711279&amp;Row=16537&amp;Col=1","No Title Assigned - #15276611661")</f>
        <v/>
      </c>
      <c r="B16545" s="0" t="s">
        <v>22068</v>
      </c>
      <c r="C16545" s="0" t="s">
        <v>22069</v>
      </c>
      <c r="D16545" s="0" t="s">
        <v>22069</v>
      </c>
      <c r="E16545" s="0" t="inlineStr">
        <is>
          <t xml:space="preserve">Mazda</t>
        </is>
      </c>
      <c r="F16545" s="0" t="s">
        <v>13</v>
      </c>
      <c r="G16545" s="0" t="s">
        <v>49</v>
      </c>
      <c r="H16545" s="5">
        <v>623.147700</v>
      </c>
    </row>
    <row r="16546" spans="1:9">
      <c r="A16546" s="22" t="str">
        <f>HYPERLINK("https://app.vivvix.com/360/KMI/IntelliDrive/ApplUI/Pages/CreativePages/CustomReportCreativeDetail.aspx?App=23&amp;ReportView=4&amp;Qid=1711279&amp;Row=16538&amp;Col=1","No Title Assigned - #15276611746")</f>
        <v/>
      </c>
      <c r="B16546" s="0" t="s">
        <v>22070</v>
      </c>
      <c r="C16546" s="0" t="s">
        <v>22071</v>
      </c>
      <c r="D16546" s="0" t="s">
        <v>22071</v>
      </c>
      <c r="E16546" s="0" t="inlineStr">
        <is>
          <t xml:space="preserve">Mazda</t>
        </is>
      </c>
      <c r="F16546" s="0" t="s">
        <v>13</v>
      </c>
      <c r="G16546" s="0" t="s">
        <v>49</v>
      </c>
      <c r="H16546" s="5">
        <v>54.542800</v>
      </c>
    </row>
    <row r="16547" spans="1:9">
      <c r="A16547" s="22" t="str">
        <f>HYPERLINK("https://app.vivvix.com/360/KMI/IntelliDrive/ApplUI/Pages/CreativePages/CustomReportCreativeDetail.aspx?App=23&amp;ReportView=4&amp;Qid=1711279&amp;Row=16539&amp;Col=1","No Title Assigned - #15276611858")</f>
        <v/>
      </c>
      <c r="B16547" s="0" t="s">
        <v>22072</v>
      </c>
      <c r="C16547" s="0" t="s">
        <v>22073</v>
      </c>
      <c r="D16547" s="0" t="s">
        <v>22073</v>
      </c>
      <c r="E16547" s="0" t="inlineStr">
        <is>
          <t xml:space="preserve">Mazda</t>
        </is>
      </c>
      <c r="F16547" s="0" t="s">
        <v>13</v>
      </c>
      <c r="G16547" s="0" t="s">
        <v>49</v>
      </c>
      <c r="H16547" s="5">
        <v>27489.988300</v>
      </c>
    </row>
    <row r="16548" spans="1:9">
      <c r="A16548" s="22" t="str">
        <f>HYPERLINK("https://app.vivvix.com/360/KMI/IntelliDrive/ApplUI/Pages/CreativePages/CustomReportCreativeDetail.aspx?App=23&amp;ReportView=4&amp;Qid=1711279&amp;Row=16540&amp;Col=1","No Title Assigned - #15276611959")</f>
        <v/>
      </c>
      <c r="B16548" s="0" t="s">
        <v>22074</v>
      </c>
      <c r="C16548" s="0" t="s">
        <v>22075</v>
      </c>
      <c r="D16548" s="0" t="s">
        <v>22075</v>
      </c>
      <c r="E16548" s="0" t="inlineStr">
        <is>
          <t xml:space="preserve">Mazda</t>
        </is>
      </c>
      <c r="F16548" s="0" t="s">
        <v>13</v>
      </c>
      <c r="G16548" s="0" t="s">
        <v>49</v>
      </c>
      <c r="H16548" s="5">
        <v>1.548600</v>
      </c>
    </row>
    <row r="16549" spans="1:9">
      <c r="A16549" s="22" t="str">
        <f>HYPERLINK("https://app.vivvix.com/360/KMI/IntelliDrive/ApplUI/Pages/CreativePages/CustomReportCreativeDetail.aspx?App=23&amp;ReportView=4&amp;Qid=1711279&amp;Row=16541&amp;Col=1","No Title Assigned - #15276611992")</f>
        <v/>
      </c>
      <c r="B16549" s="0" t="s">
        <v>22076</v>
      </c>
      <c r="C16549" s="0" t="s">
        <v>22077</v>
      </c>
      <c r="D16549" s="0" t="s">
        <v>22077</v>
      </c>
      <c r="E16549" s="0" t="inlineStr">
        <is>
          <t xml:space="preserve">Mazda</t>
        </is>
      </c>
      <c r="F16549" s="0" t="s">
        <v>13</v>
      </c>
      <c r="G16549" s="0" t="s">
        <v>49</v>
      </c>
      <c r="H16549" s="5">
        <v>11.103600</v>
      </c>
    </row>
    <row r="16550" spans="1:9">
      <c r="A16550" s="22" t="str">
        <f>HYPERLINK("https://app.vivvix.com/360/KMI/IntelliDrive/ApplUI/Pages/CreativePages/CustomReportCreativeDetail.aspx?App=23&amp;ReportView=4&amp;Qid=1711279&amp;Row=16542&amp;Col=1","No Title Assigned - #15276612032")</f>
        <v/>
      </c>
      <c r="B16550" s="0" t="s">
        <v>22078</v>
      </c>
      <c r="C16550" s="0" t="s">
        <v>22079</v>
      </c>
      <c r="D16550" s="0" t="s">
        <v>9800</v>
      </c>
      <c r="E16550" s="0" t="inlineStr">
        <is>
          <t xml:space="preserve">Mazda</t>
        </is>
      </c>
      <c r="F16550" s="0" t="s">
        <v>13</v>
      </c>
      <c r="G16550" s="0" t="s">
        <v>49</v>
      </c>
      <c r="H16550" s="5">
        <v>72.826500</v>
      </c>
    </row>
    <row r="16551" spans="1:9">
      <c r="A16551" s="22" t="str">
        <f>HYPERLINK("https://app.vivvix.com/360/KMI/IntelliDrive/ApplUI/Pages/CreativePages/CustomReportCreativeDetail.aspx?App=23&amp;ReportView=4&amp;Qid=1711279&amp;Row=16543&amp;Col=1","No Title Assigned - #15276612035")</f>
        <v/>
      </c>
      <c r="B16551" s="0" t="s">
        <v>22080</v>
      </c>
      <c r="C16551" s="0" t="s">
        <v>22081</v>
      </c>
      <c r="D16551" s="0" t="s">
        <v>4774</v>
      </c>
      <c r="E16551" s="0" t="inlineStr">
        <is>
          <t xml:space="preserve">Mazda</t>
        </is>
      </c>
      <c r="F16551" s="0" t="s">
        <v>13</v>
      </c>
      <c r="G16551" s="0" t="s">
        <v>49</v>
      </c>
      <c r="H16551" s="5">
        <v>177.832100</v>
      </c>
    </row>
    <row r="16552" spans="1:9">
      <c r="A16552" s="22" t="str">
        <f>HYPERLINK("https://app.vivvix.com/360/KMI/IntelliDrive/ApplUI/Pages/CreativePages/CustomReportCreativeDetail.aspx?App=23&amp;ReportView=4&amp;Qid=1711279&amp;Row=16544&amp;Col=1","No Title Assigned - #15276612064")</f>
        <v/>
      </c>
      <c r="B16552" s="0" t="s">
        <v>22082</v>
      </c>
      <c r="C16552" s="0" t="s">
        <v>22083</v>
      </c>
      <c r="D16552" s="0" t="s">
        <v>22083</v>
      </c>
      <c r="E16552" s="0" t="inlineStr">
        <is>
          <t xml:space="preserve">Mazda</t>
        </is>
      </c>
      <c r="F16552" s="0" t="s">
        <v>13</v>
      </c>
      <c r="G16552" s="0" t="s">
        <v>49</v>
      </c>
      <c r="H16552" s="5">
        <v>860.514700</v>
      </c>
    </row>
    <row r="16553" spans="1:9">
      <c r="A16553" s="22" t="str">
        <f>HYPERLINK("https://app.vivvix.com/360/KMI/IntelliDrive/ApplUI/Pages/CreativePages/CustomReportCreativeDetail.aspx?App=23&amp;ReportView=4&amp;Qid=1711279&amp;Row=16545&amp;Col=1","No Title Assigned - #15276612101")</f>
        <v/>
      </c>
      <c r="B16553" s="0" t="s">
        <v>22084</v>
      </c>
      <c r="C16553" s="0" t="s">
        <v>22085</v>
      </c>
      <c r="D16553" s="0" t="s">
        <v>10371</v>
      </c>
      <c r="E16553" s="0" t="inlineStr">
        <is>
          <t xml:space="preserve">Mazda</t>
        </is>
      </c>
      <c r="F16553" s="0" t="s">
        <v>13</v>
      </c>
      <c r="G16553" s="0" t="s">
        <v>49</v>
      </c>
      <c r="H16553" s="5">
        <v>363.124000</v>
      </c>
    </row>
    <row r="16554" spans="1:9">
      <c r="A16554" s="22" t="str">
        <f>HYPERLINK("https://app.vivvix.com/360/KMI/IntelliDrive/ApplUI/Pages/CreativePages/CustomReportCreativeDetail.aspx?App=23&amp;ReportView=4&amp;Qid=1711279&amp;Row=16546&amp;Col=1","No Title Assigned - #15276612192")</f>
        <v/>
      </c>
      <c r="B16554" s="0" t="s">
        <v>22086</v>
      </c>
      <c r="C16554" s="0" t="s">
        <v>22087</v>
      </c>
      <c r="D16554" s="0" t="s">
        <v>18157</v>
      </c>
      <c r="E16554" s="0" t="inlineStr">
        <is>
          <t xml:space="preserve">Mazda</t>
        </is>
      </c>
      <c r="F16554" s="0" t="s">
        <v>13</v>
      </c>
      <c r="G16554" s="0" t="s">
        <v>49</v>
      </c>
      <c r="H16554" s="5">
        <v>89.268200</v>
      </c>
    </row>
    <row r="16555" spans="1:9">
      <c r="A16555" s="22" t="str">
        <f>HYPERLINK("https://app.vivvix.com/360/KMI/IntelliDrive/ApplUI/Pages/CreativePages/CustomReportCreativeDetail.aspx?App=23&amp;ReportView=4&amp;Qid=1711279&amp;Row=16547&amp;Col=1","No Title Assigned - #15276612730")</f>
        <v/>
      </c>
      <c r="B16555" s="0" t="s">
        <v>22088</v>
      </c>
      <c r="C16555" s="0" t="s">
        <v>22089</v>
      </c>
      <c r="D16555" s="0" t="s">
        <v>22089</v>
      </c>
      <c r="E16555" s="0" t="inlineStr">
        <is>
          <t xml:space="preserve">Mazda</t>
        </is>
      </c>
      <c r="F16555" s="0" t="s">
        <v>13</v>
      </c>
      <c r="G16555" s="0" t="s">
        <v>49</v>
      </c>
      <c r="H16555" s="5">
        <v>40.845000</v>
      </c>
    </row>
    <row r="16556" spans="1:9">
      <c r="A16556" s="22" t="str">
        <f>HYPERLINK("https://app.vivvix.com/360/KMI/IntelliDrive/ApplUI/Pages/CreativePages/CustomReportCreativeDetail.aspx?App=23&amp;ReportView=4&amp;Qid=1711279&amp;Row=16548&amp;Col=1","No Title Assigned - #15276612731")</f>
        <v/>
      </c>
      <c r="B16556" s="0" t="s">
        <v>22090</v>
      </c>
      <c r="C16556" s="0" t="s">
        <v>22091</v>
      </c>
      <c r="D16556" s="0" t="s">
        <v>22091</v>
      </c>
      <c r="E16556" s="0" t="inlineStr">
        <is>
          <t xml:space="preserve">Mazda</t>
        </is>
      </c>
      <c r="F16556" s="0" t="s">
        <v>13</v>
      </c>
      <c r="G16556" s="0" t="s">
        <v>49</v>
      </c>
      <c r="H16556" s="5">
        <v>11.227500</v>
      </c>
    </row>
    <row r="16557" spans="1:9">
      <c r="A16557" s="22" t="str">
        <f>HYPERLINK("https://app.vivvix.com/360/KMI/IntelliDrive/ApplUI/Pages/CreativePages/CustomReportCreativeDetail.aspx?App=23&amp;ReportView=4&amp;Qid=1711279&amp;Row=16549&amp;Col=1","No Title Assigned - #15276612808")</f>
        <v/>
      </c>
      <c r="B16557" s="0" t="s">
        <v>22092</v>
      </c>
      <c r="C16557" s="0" t="s">
        <v>22093</v>
      </c>
      <c r="D16557" s="0" t="s">
        <v>22093</v>
      </c>
      <c r="E16557" s="0" t="inlineStr">
        <is>
          <t xml:space="preserve">Mazda</t>
        </is>
      </c>
      <c r="F16557" s="0" t="s">
        <v>13</v>
      </c>
      <c r="G16557" s="0" t="s">
        <v>49</v>
      </c>
      <c r="H16557" s="5">
        <v>22.455000</v>
      </c>
    </row>
    <row r="16558" spans="1:9">
      <c r="A16558" s="22" t="str">
        <f>HYPERLINK("https://app.vivvix.com/360/KMI/IntelliDrive/ApplUI/Pages/CreativePages/CustomReportCreativeDetail.aspx?App=23&amp;ReportView=4&amp;Qid=1711279&amp;Row=16550&amp;Col=1","No Title Assigned - #15276612864")</f>
        <v/>
      </c>
      <c r="B16558" s="0" t="s">
        <v>22094</v>
      </c>
      <c r="C16558" s="0" t="s">
        <v>22095</v>
      </c>
      <c r="D16558" s="0" t="s">
        <v>22095</v>
      </c>
      <c r="E16558" s="0" t="inlineStr">
        <is>
          <t xml:space="preserve">Mazda</t>
        </is>
      </c>
      <c r="F16558" s="0" t="s">
        <v>13</v>
      </c>
      <c r="G16558" s="0" t="s">
        <v>49</v>
      </c>
      <c r="H16558" s="5">
        <v>11.227500</v>
      </c>
    </row>
    <row r="16559" spans="1:9">
      <c r="A16559" s="22" t="str">
        <f>HYPERLINK("https://app.vivvix.com/360/KMI/IntelliDrive/ApplUI/Pages/CreativePages/CustomReportCreativeDetail.aspx?App=23&amp;ReportView=4&amp;Qid=1711279&amp;Row=16551&amp;Col=1","No Title Assigned - #15276612948")</f>
        <v/>
      </c>
      <c r="B16559" s="0" t="s">
        <v>22096</v>
      </c>
      <c r="C16559" s="0" t="s">
        <v>22097</v>
      </c>
      <c r="D16559" s="0" t="s">
        <v>22097</v>
      </c>
      <c r="E16559" s="0" t="inlineStr">
        <is>
          <t xml:space="preserve">Mazda</t>
        </is>
      </c>
      <c r="F16559" s="0" t="s">
        <v>13</v>
      </c>
      <c r="G16559" s="0" t="s">
        <v>49</v>
      </c>
      <c r="H16559" s="5">
        <v>228.147500</v>
      </c>
    </row>
    <row r="16560" spans="1:9">
      <c r="A16560" s="22" t="str">
        <f>HYPERLINK("https://app.vivvix.com/360/KMI/IntelliDrive/ApplUI/Pages/CreativePages/CustomReportCreativeDetail.aspx?App=23&amp;ReportView=4&amp;Qid=1711279&amp;Row=16552&amp;Col=1","No Title Assigned - #15276613070")</f>
        <v/>
      </c>
      <c r="B16560" s="0" t="s">
        <v>22098</v>
      </c>
      <c r="C16560" s="0" t="s">
        <v>22099</v>
      </c>
      <c r="D16560" s="0" t="s">
        <v>5013</v>
      </c>
      <c r="E16560" s="0" t="inlineStr">
        <is>
          <t xml:space="preserve">Mazda</t>
        </is>
      </c>
      <c r="F16560" s="0" t="s">
        <v>13</v>
      </c>
      <c r="G16560" s="0" t="s">
        <v>49</v>
      </c>
      <c r="H16560" s="5">
        <v>17.014000</v>
      </c>
    </row>
    <row r="16561" spans="1:9">
      <c r="A16561" s="22" t="str">
        <f>HYPERLINK("https://app.vivvix.com/360/KMI/IntelliDrive/ApplUI/Pages/CreativePages/CustomReportCreativeDetail.aspx?App=23&amp;ReportView=4&amp;Qid=1711279&amp;Row=16553&amp;Col=1","No Title Assigned - #15276613087")</f>
        <v/>
      </c>
      <c r="B16561" s="0" t="s">
        <v>22100</v>
      </c>
      <c r="C16561" s="0" t="s">
        <v>22101</v>
      </c>
      <c r="D16561" s="0" t="s">
        <v>22101</v>
      </c>
      <c r="E16561" s="0" t="inlineStr">
        <is>
          <t xml:space="preserve">Mazda</t>
        </is>
      </c>
      <c r="F16561" s="0" t="s">
        <v>13</v>
      </c>
      <c r="G16561" s="0" t="s">
        <v>49</v>
      </c>
      <c r="H16561" s="5">
        <v>265.767000</v>
      </c>
    </row>
    <row r="16562" spans="1:9">
      <c r="A16562" s="22" t="str">
        <f>HYPERLINK("https://app.vivvix.com/360/KMI/IntelliDrive/ApplUI/Pages/CreativePages/CustomReportCreativeDetail.aspx?App=23&amp;ReportView=4&amp;Qid=1711279&amp;Row=16554&amp;Col=1","No Title Assigned - #15276613279")</f>
        <v/>
      </c>
      <c r="B16562" s="0" t="s">
        <v>22102</v>
      </c>
      <c r="C16562" s="0" t="s">
        <v>22103</v>
      </c>
      <c r="D16562" s="0" t="s">
        <v>22103</v>
      </c>
      <c r="E16562" s="0" t="inlineStr">
        <is>
          <t xml:space="preserve">Mazda</t>
        </is>
      </c>
      <c r="F16562" s="0" t="s">
        <v>13</v>
      </c>
      <c r="G16562" s="0" t="s">
        <v>49</v>
      </c>
      <c r="H16562" s="5">
        <v>167.182600</v>
      </c>
    </row>
    <row r="16563" spans="1:9">
      <c r="A16563" s="22" t="str">
        <f>HYPERLINK("https://app.vivvix.com/360/KMI/IntelliDrive/ApplUI/Pages/CreativePages/CustomReportCreativeDetail.aspx?App=23&amp;ReportView=4&amp;Qid=1711279&amp;Row=16555&amp;Col=1","No Title Assigned - #15276613314")</f>
        <v/>
      </c>
      <c r="B16563" s="0" t="s">
        <v>22104</v>
      </c>
      <c r="C16563" s="0" t="s">
        <v>22105</v>
      </c>
      <c r="D16563" s="0" t="s">
        <v>8560</v>
      </c>
      <c r="E16563" s="0" t="inlineStr">
        <is>
          <t xml:space="preserve">Mazda</t>
        </is>
      </c>
      <c r="F16563" s="0" t="s">
        <v>13</v>
      </c>
      <c r="G16563" s="0" t="s">
        <v>49</v>
      </c>
      <c r="H16563" s="5">
        <v>40.072300</v>
      </c>
    </row>
    <row r="16564" spans="1:9">
      <c r="A16564" s="22" t="str">
        <f>HYPERLINK("https://app.vivvix.com/360/KMI/IntelliDrive/ApplUI/Pages/CreativePages/CustomReportCreativeDetail.aspx?App=23&amp;ReportView=4&amp;Qid=1711279&amp;Row=16556&amp;Col=1","No Title Assigned - #15276613479")</f>
        <v/>
      </c>
      <c r="B16564" s="0" t="s">
        <v>22106</v>
      </c>
      <c r="C16564" s="0" t="s">
        <v>22107</v>
      </c>
      <c r="D16564" s="0" t="s">
        <v>22107</v>
      </c>
      <c r="E16564" s="0" t="inlineStr">
        <is>
          <t xml:space="preserve">Mazda</t>
        </is>
      </c>
      <c r="F16564" s="0" t="s">
        <v>13</v>
      </c>
      <c r="G16564" s="0" t="s">
        <v>49</v>
      </c>
      <c r="H16564" s="5">
        <v>1021.491600</v>
      </c>
    </row>
    <row r="16565" spans="1:9">
      <c r="A16565" s="22" t="str">
        <f>HYPERLINK("https://app.vivvix.com/360/KMI/IntelliDrive/ApplUI/Pages/CreativePages/CustomReportCreativeDetail.aspx?App=23&amp;ReportView=4&amp;Qid=1711279&amp;Row=16557&amp;Col=1","No Title Assigned - #15276613498")</f>
        <v/>
      </c>
      <c r="B16565" s="0" t="s">
        <v>22108</v>
      </c>
      <c r="C16565" s="0" t="s">
        <v>22109</v>
      </c>
      <c r="D16565" s="0" t="s">
        <v>18549</v>
      </c>
      <c r="E16565" s="0" t="inlineStr">
        <is>
          <t xml:space="preserve">Mazda</t>
        </is>
      </c>
      <c r="F16565" s="0" t="s">
        <v>13</v>
      </c>
      <c r="G16565" s="0" t="s">
        <v>49</v>
      </c>
      <c r="H16565" s="5">
        <v>177.069800</v>
      </c>
    </row>
    <row r="16566" spans="1:9">
      <c r="A16566" s="22" t="str">
        <f>HYPERLINK("https://app.vivvix.com/360/KMI/IntelliDrive/ApplUI/Pages/CreativePages/CustomReportCreativeDetail.aspx?App=23&amp;ReportView=4&amp;Qid=1711279&amp;Row=16558&amp;Col=1","No Title Assigned - #15276613588")</f>
        <v/>
      </c>
      <c r="B16566" s="0" t="s">
        <v>22110</v>
      </c>
      <c r="C16566" s="0" t="s">
        <v>22111</v>
      </c>
      <c r="D16566" s="0" t="s">
        <v>10687</v>
      </c>
      <c r="E16566" s="0" t="inlineStr">
        <is>
          <t xml:space="preserve">Mazda</t>
        </is>
      </c>
      <c r="F16566" s="0" t="s">
        <v>13</v>
      </c>
      <c r="G16566" s="0" t="s">
        <v>49</v>
      </c>
      <c r="H16566" s="5">
        <v>1175.464600</v>
      </c>
    </row>
    <row r="16567" spans="1:9">
      <c r="A16567" s="22" t="str">
        <f>HYPERLINK("https://app.vivvix.com/360/KMI/IntelliDrive/ApplUI/Pages/CreativePages/CustomReportCreativeDetail.aspx?App=23&amp;ReportView=4&amp;Qid=1711279&amp;Row=16559&amp;Col=1","No Title Assigned - #15276613638")</f>
        <v/>
      </c>
      <c r="B16567" s="0" t="s">
        <v>22112</v>
      </c>
      <c r="C16567" s="0" t="s">
        <v>22113</v>
      </c>
      <c r="D16567" s="0" t="s">
        <v>10059</v>
      </c>
      <c r="E16567" s="0" t="inlineStr">
        <is>
          <t xml:space="preserve">Mazda</t>
        </is>
      </c>
      <c r="F16567" s="0" t="s">
        <v>13</v>
      </c>
      <c r="G16567" s="0" t="s">
        <v>49</v>
      </c>
      <c r="H16567" s="5">
        <v>2999.366600</v>
      </c>
    </row>
    <row r="16568" spans="1:9">
      <c r="A16568" s="22" t="str">
        <f>HYPERLINK("https://app.vivvix.com/360/KMI/IntelliDrive/ApplUI/Pages/CreativePages/CustomReportCreativeDetail.aspx?App=23&amp;ReportView=4&amp;Qid=1711279&amp;Row=16560&amp;Col=1","No Title Assigned - #15276614027")</f>
        <v/>
      </c>
      <c r="B16568" s="0" t="s">
        <v>22114</v>
      </c>
      <c r="C16568" s="0" t="s">
        <v>22115</v>
      </c>
      <c r="D16568" s="0" t="s">
        <v>10311</v>
      </c>
      <c r="E16568" s="0" t="inlineStr">
        <is>
          <t xml:space="preserve">Mazda</t>
        </is>
      </c>
      <c r="F16568" s="0" t="s">
        <v>13</v>
      </c>
      <c r="G16568" s="0" t="s">
        <v>49</v>
      </c>
      <c r="H16568" s="5">
        <v>62.950400</v>
      </c>
    </row>
    <row r="16569" spans="1:9">
      <c r="A16569" s="22" t="str">
        <f>HYPERLINK("https://app.vivvix.com/360/KMI/IntelliDrive/ApplUI/Pages/CreativePages/CustomReportCreativeDetail.aspx?App=23&amp;ReportView=4&amp;Qid=1711279&amp;Row=16561&amp;Col=1","No Title Assigned - #15276614311")</f>
        <v/>
      </c>
      <c r="B16569" s="0" t="s">
        <v>22116</v>
      </c>
      <c r="C16569" s="0" t="s">
        <v>22117</v>
      </c>
      <c r="D16569" s="0" t="s">
        <v>22117</v>
      </c>
      <c r="E16569" s="0" t="inlineStr">
        <is>
          <t xml:space="preserve">Mazda</t>
        </is>
      </c>
      <c r="F16569" s="0" t="s">
        <v>13</v>
      </c>
      <c r="G16569" s="0" t="s">
        <v>49</v>
      </c>
      <c r="H16569" s="5">
        <v>145.137000</v>
      </c>
    </row>
    <row r="16570" spans="1:9">
      <c r="A16570" s="22" t="str">
        <f>HYPERLINK("https://app.vivvix.com/360/KMI/IntelliDrive/ApplUI/Pages/CreativePages/CustomReportCreativeDetail.aspx?App=23&amp;ReportView=4&amp;Qid=1711279&amp;Row=16562&amp;Col=1","No Title Assigned - #15276614435")</f>
        <v/>
      </c>
      <c r="B16570" s="0" t="s">
        <v>22118</v>
      </c>
      <c r="C16570" s="0" t="s">
        <v>22119</v>
      </c>
      <c r="D16570" s="0" t="s">
        <v>22120</v>
      </c>
      <c r="E16570" s="0" t="inlineStr">
        <is>
          <t xml:space="preserve">Mazda</t>
        </is>
      </c>
      <c r="F16570" s="0" t="s">
        <v>13</v>
      </c>
      <c r="G16570" s="0" t="s">
        <v>49</v>
      </c>
      <c r="H16570" s="5">
        <v>102.160200</v>
      </c>
    </row>
    <row r="16571" spans="1:9">
      <c r="A16571" s="22" t="str">
        <f>HYPERLINK("https://app.vivvix.com/360/KMI/IntelliDrive/ApplUI/Pages/CreativePages/CustomReportCreativeDetail.aspx?App=23&amp;ReportView=4&amp;Qid=1711279&amp;Row=16563&amp;Col=1","No Title Assigned - #15276614464")</f>
        <v/>
      </c>
      <c r="B16571" s="0" t="s">
        <v>22121</v>
      </c>
      <c r="C16571" s="0" t="s">
        <v>22122</v>
      </c>
      <c r="D16571" s="0" t="s">
        <v>10311</v>
      </c>
      <c r="E16571" s="0" t="inlineStr">
        <is>
          <t xml:space="preserve">Mazda</t>
        </is>
      </c>
      <c r="F16571" s="0" t="s">
        <v>13</v>
      </c>
      <c r="G16571" s="0" t="s">
        <v>49</v>
      </c>
      <c r="H16571" s="5">
        <v>31.475200</v>
      </c>
    </row>
    <row r="16572" spans="1:9">
      <c r="A16572" s="22" t="str">
        <f>HYPERLINK("https://app.vivvix.com/360/KMI/IntelliDrive/ApplUI/Pages/CreativePages/CustomReportCreativeDetail.aspx?App=23&amp;ReportView=4&amp;Qid=1711279&amp;Row=16564&amp;Col=1","No Title Assigned - #15276614516")</f>
        <v/>
      </c>
      <c r="B16572" s="0" t="s">
        <v>22123</v>
      </c>
      <c r="C16572" s="0" t="s">
        <v>22124</v>
      </c>
      <c r="D16572" s="0" t="s">
        <v>4335</v>
      </c>
      <c r="E16572" s="0" t="inlineStr">
        <is>
          <t xml:space="preserve">Mazda</t>
        </is>
      </c>
      <c r="F16572" s="0" t="s">
        <v>13</v>
      </c>
      <c r="G16572" s="0" t="s">
        <v>49</v>
      </c>
      <c r="H16572" s="5">
        <v>6.386600</v>
      </c>
    </row>
    <row r="16573" spans="1:9">
      <c r="A16573" s="22" t="str">
        <f>HYPERLINK("https://app.vivvix.com/360/KMI/IntelliDrive/ApplUI/Pages/CreativePages/CustomReportCreativeDetail.aspx?App=23&amp;ReportView=4&amp;Qid=1711279&amp;Row=16565&amp;Col=1","No Title Assigned - #15276614607")</f>
        <v/>
      </c>
      <c r="B16573" s="0" t="s">
        <v>22125</v>
      </c>
      <c r="C16573" s="0" t="s">
        <v>22126</v>
      </c>
      <c r="D16573" s="0" t="s">
        <v>10006</v>
      </c>
      <c r="E16573" s="0" t="inlineStr">
        <is>
          <t xml:space="preserve">Mazda</t>
        </is>
      </c>
      <c r="F16573" s="0" t="s">
        <v>13</v>
      </c>
      <c r="G16573" s="0" t="s">
        <v>49</v>
      </c>
      <c r="H16573" s="5">
        <v>1597.094000</v>
      </c>
    </row>
    <row r="16574" spans="1:9">
      <c r="A16574" s="22" t="str">
        <f>HYPERLINK("https://app.vivvix.com/360/KMI/IntelliDrive/ApplUI/Pages/CreativePages/CustomReportCreativeDetail.aspx?App=23&amp;ReportView=4&amp;Qid=1711279&amp;Row=16566&amp;Col=1","No Title Assigned - #15276614614")</f>
        <v/>
      </c>
      <c r="B16574" s="0" t="s">
        <v>22127</v>
      </c>
      <c r="C16574" s="0" t="s">
        <v>22128</v>
      </c>
      <c r="D16574" s="0" t="s">
        <v>22128</v>
      </c>
      <c r="E16574" s="0" t="inlineStr">
        <is>
          <t xml:space="preserve">Mazda</t>
        </is>
      </c>
      <c r="F16574" s="0" t="s">
        <v>13</v>
      </c>
      <c r="G16574" s="0" t="s">
        <v>49</v>
      </c>
      <c r="H16574" s="5">
        <v>1440.734300</v>
      </c>
    </row>
    <row r="16575" spans="1:9">
      <c r="A16575" s="22" t="str">
        <f>HYPERLINK("https://app.vivvix.com/360/KMI/IntelliDrive/ApplUI/Pages/CreativePages/CustomReportCreativeDetail.aspx?App=23&amp;ReportView=4&amp;Qid=1711279&amp;Row=16567&amp;Col=1","No Title Assigned - #15276614660")</f>
        <v/>
      </c>
      <c r="B16575" s="0" t="s">
        <v>22129</v>
      </c>
      <c r="C16575" s="0" t="s">
        <v>22130</v>
      </c>
      <c r="D16575" s="0" t="s">
        <v>22130</v>
      </c>
      <c r="E16575" s="0" t="inlineStr">
        <is>
          <t xml:space="preserve">Mazda</t>
        </is>
      </c>
      <c r="F16575" s="0" t="s">
        <v>13</v>
      </c>
      <c r="G16575" s="0" t="s">
        <v>49</v>
      </c>
      <c r="H16575" s="5">
        <v>408.863700</v>
      </c>
    </row>
    <row r="16576" spans="1:9">
      <c r="A16576" s="22" t="str">
        <f>HYPERLINK("https://app.vivvix.com/360/KMI/IntelliDrive/ApplUI/Pages/CreativePages/CustomReportCreativeDetail.aspx?App=23&amp;ReportView=4&amp;Qid=1711279&amp;Row=16568&amp;Col=1","No Title Assigned - #15276614682")</f>
        <v/>
      </c>
      <c r="B16576" s="0" t="s">
        <v>22131</v>
      </c>
      <c r="C16576" s="0" t="s">
        <v>22132</v>
      </c>
      <c r="D16576" s="0" t="s">
        <v>14466</v>
      </c>
      <c r="E16576" s="0" t="inlineStr">
        <is>
          <t xml:space="preserve">Mazda</t>
        </is>
      </c>
      <c r="F16576" s="0" t="s">
        <v>13</v>
      </c>
      <c r="G16576" s="0" t="s">
        <v>49</v>
      </c>
      <c r="H16576" s="5">
        <v>290.004400</v>
      </c>
    </row>
    <row r="16577" spans="1:9">
      <c r="A16577" s="22" t="str">
        <f>HYPERLINK("https://app.vivvix.com/360/KMI/IntelliDrive/ApplUI/Pages/CreativePages/CustomReportCreativeDetail.aspx?App=23&amp;ReportView=4&amp;Qid=1711279&amp;Row=16569&amp;Col=1","No Title Assigned - #15276614937")</f>
        <v/>
      </c>
      <c r="B16577" s="0" t="s">
        <v>22133</v>
      </c>
      <c r="C16577" s="0" t="s">
        <v>22134</v>
      </c>
      <c r="D16577" s="0" t="s">
        <v>22134</v>
      </c>
      <c r="E16577" s="0" t="inlineStr">
        <is>
          <t xml:space="preserve">Mazda</t>
        </is>
      </c>
      <c r="F16577" s="0" t="s">
        <v>13</v>
      </c>
      <c r="G16577" s="0" t="s">
        <v>49</v>
      </c>
      <c r="H16577" s="5">
        <v>24962.548800</v>
      </c>
    </row>
    <row r="16578" spans="1:9">
      <c r="A16578" s="22" t="str">
        <f>HYPERLINK("https://app.vivvix.com/360/KMI/IntelliDrive/ApplUI/Pages/CreativePages/CustomReportCreativeDetail.aspx?App=23&amp;ReportView=4&amp;Qid=1711279&amp;Row=16570&amp;Col=1","No Title Assigned - #15276614943")</f>
        <v/>
      </c>
      <c r="B16578" s="0" t="s">
        <v>22135</v>
      </c>
      <c r="E16578" s="0" t="inlineStr">
        <is>
          <t xml:space="preserve">Mazda</t>
        </is>
      </c>
      <c r="F16578" s="0" t="s">
        <v>13</v>
      </c>
      <c r="G16578" s="0" t="s">
        <v>49</v>
      </c>
      <c r="H16578" s="5">
        <v>36.678000</v>
      </c>
    </row>
    <row r="16579" spans="1:9">
      <c r="A16579" s="22" t="str">
        <f>HYPERLINK("https://app.vivvix.com/360/KMI/IntelliDrive/ApplUI/Pages/CreativePages/CustomReportCreativeDetail.aspx?App=23&amp;ReportView=4&amp;Qid=1711279&amp;Row=16571&amp;Col=1","No Title Assigned - #15276615104")</f>
        <v/>
      </c>
      <c r="B16579" s="0" t="s">
        <v>22136</v>
      </c>
      <c r="C16579" s="0" t="s">
        <v>22137</v>
      </c>
      <c r="D16579" s="0" t="s">
        <v>22137</v>
      </c>
      <c r="E16579" s="0" t="inlineStr">
        <is>
          <t xml:space="preserve">Mazda</t>
        </is>
      </c>
      <c r="F16579" s="0" t="s">
        <v>13</v>
      </c>
      <c r="G16579" s="0" t="s">
        <v>49</v>
      </c>
      <c r="H16579" s="5">
        <v>142.311600</v>
      </c>
    </row>
    <row r="16580" spans="1:9">
      <c r="A16580" s="22" t="str">
        <f>HYPERLINK("https://app.vivvix.com/360/KMI/IntelliDrive/ApplUI/Pages/CreativePages/CustomReportCreativeDetail.aspx?App=23&amp;ReportView=4&amp;Qid=1711279&amp;Row=16572&amp;Col=1","No Title Assigned - #15276615164")</f>
        <v/>
      </c>
      <c r="B16580" s="0" t="s">
        <v>22138</v>
      </c>
      <c r="C16580" s="0" t="s">
        <v>22139</v>
      </c>
      <c r="D16580" s="0" t="s">
        <v>10004</v>
      </c>
      <c r="E16580" s="0" t="inlineStr">
        <is>
          <t xml:space="preserve">Mazda</t>
        </is>
      </c>
      <c r="F16580" s="0" t="s">
        <v>13</v>
      </c>
      <c r="G16580" s="0" t="s">
        <v>49</v>
      </c>
      <c r="H16580" s="5">
        <v>726.531000</v>
      </c>
    </row>
    <row r="16581" spans="1:9">
      <c r="A16581" s="22" t="str">
        <f>HYPERLINK("https://app.vivvix.com/360/KMI/IntelliDrive/ApplUI/Pages/CreativePages/CustomReportCreativeDetail.aspx?App=23&amp;ReportView=4&amp;Qid=1711279&amp;Row=16573&amp;Col=1","No Title Assigned - #15276615225")</f>
        <v/>
      </c>
      <c r="B16581" s="0" t="s">
        <v>22140</v>
      </c>
      <c r="C16581" s="0" t="s">
        <v>22141</v>
      </c>
      <c r="D16581" s="0" t="s">
        <v>22120</v>
      </c>
      <c r="E16581" s="0" t="inlineStr">
        <is>
          <t xml:space="preserve">Mazda</t>
        </is>
      </c>
      <c r="F16581" s="0" t="s">
        <v>13</v>
      </c>
      <c r="G16581" s="0" t="s">
        <v>49</v>
      </c>
      <c r="H16581" s="5">
        <v>122.492900</v>
      </c>
    </row>
    <row r="16582" spans="1:9">
      <c r="A16582" s="22" t="str">
        <f>HYPERLINK("https://app.vivvix.com/360/KMI/IntelliDrive/ApplUI/Pages/CreativePages/CustomReportCreativeDetail.aspx?App=23&amp;ReportView=4&amp;Qid=1711279&amp;Row=16574&amp;Col=1","No Title Assigned - #15276615649")</f>
        <v/>
      </c>
      <c r="B16582" s="0" t="s">
        <v>22142</v>
      </c>
      <c r="C16582" s="0" t="s">
        <v>22143</v>
      </c>
      <c r="D16582" s="0" t="s">
        <v>22143</v>
      </c>
      <c r="E16582" s="0" t="inlineStr">
        <is>
          <t xml:space="preserve">Mazda</t>
        </is>
      </c>
      <c r="F16582" s="0" t="s">
        <v>13</v>
      </c>
      <c r="G16582" s="0" t="s">
        <v>49</v>
      </c>
      <c r="H16582" s="5">
        <v>0.588400</v>
      </c>
    </row>
    <row r="16583" spans="1:9">
      <c r="A16583" s="22" t="str">
        <f>HYPERLINK("https://app.vivvix.com/360/KMI/IntelliDrive/ApplUI/Pages/CreativePages/CustomReportCreativeDetail.aspx?App=23&amp;ReportView=4&amp;Qid=1711279&amp;Row=16575&amp;Col=1","No Title Assigned - #15276615787")</f>
        <v/>
      </c>
      <c r="B16583" s="0" t="s">
        <v>22144</v>
      </c>
      <c r="C16583" s="0" t="s">
        <v>22145</v>
      </c>
      <c r="D16583" s="0" t="s">
        <v>4768</v>
      </c>
      <c r="E16583" s="0" t="inlineStr">
        <is>
          <t xml:space="preserve">Mazda</t>
        </is>
      </c>
      <c r="F16583" s="0" t="s">
        <v>13</v>
      </c>
      <c r="G16583" s="0" t="s">
        <v>49</v>
      </c>
      <c r="H16583" s="5">
        <v>103.082500</v>
      </c>
    </row>
    <row r="16584" spans="1:9">
      <c r="A16584" s="22" t="str">
        <f>HYPERLINK("https://app.vivvix.com/360/KMI/IntelliDrive/ApplUI/Pages/CreativePages/CustomReportCreativeDetail.aspx?App=23&amp;ReportView=4&amp;Qid=1711279&amp;Row=16576&amp;Col=1","No Title Assigned - #15276615897")</f>
        <v/>
      </c>
      <c r="B16584" s="0" t="s">
        <v>22146</v>
      </c>
      <c r="C16584" s="0" t="s">
        <v>22147</v>
      </c>
      <c r="D16584" s="0" t="s">
        <v>22147</v>
      </c>
      <c r="E16584" s="0" t="inlineStr">
        <is>
          <t xml:space="preserve">Mazda</t>
        </is>
      </c>
      <c r="F16584" s="0" t="s">
        <v>13</v>
      </c>
      <c r="G16584" s="0" t="s">
        <v>49</v>
      </c>
      <c r="H16584" s="5">
        <v>23.647900</v>
      </c>
    </row>
    <row r="16585" spans="1:9">
      <c r="A16585" s="22" t="str">
        <f>HYPERLINK("https://app.vivvix.com/360/KMI/IntelliDrive/ApplUI/Pages/CreativePages/CustomReportCreativeDetail.aspx?App=23&amp;ReportView=4&amp;Qid=1711279&amp;Row=16577&amp;Col=1","No Title Assigned - #15276616481")</f>
        <v/>
      </c>
      <c r="B16585" s="0" t="s">
        <v>22148</v>
      </c>
      <c r="C16585" s="0" t="s">
        <v>22149</v>
      </c>
      <c r="D16585" s="0" t="s">
        <v>22149</v>
      </c>
      <c r="E16585" s="0" t="inlineStr">
        <is>
          <t xml:space="preserve">Mazda</t>
        </is>
      </c>
      <c r="F16585" s="0" t="s">
        <v>13</v>
      </c>
      <c r="G16585" s="0" t="s">
        <v>49</v>
      </c>
      <c r="H16585" s="5">
        <v>40.072300</v>
      </c>
    </row>
    <row r="16586" spans="1:9">
      <c r="A16586" s="22" t="str">
        <f>HYPERLINK("https://app.vivvix.com/360/KMI/IntelliDrive/ApplUI/Pages/CreativePages/CustomReportCreativeDetail.aspx?App=23&amp;ReportView=4&amp;Qid=1711279&amp;Row=16578&amp;Col=1","No Title Assigned - #15276616637")</f>
        <v/>
      </c>
      <c r="B16586" s="0" t="s">
        <v>22150</v>
      </c>
      <c r="C16586" s="0" t="s">
        <v>22151</v>
      </c>
      <c r="D16586" s="0" t="s">
        <v>22151</v>
      </c>
      <c r="E16586" s="0" t="inlineStr">
        <is>
          <t xml:space="preserve">Mazda</t>
        </is>
      </c>
      <c r="F16586" s="0" t="s">
        <v>13</v>
      </c>
      <c r="G16586" s="0" t="s">
        <v>49</v>
      </c>
      <c r="H16586" s="5">
        <v>208.534200</v>
      </c>
    </row>
    <row r="16587" spans="1:9">
      <c r="A16587" s="22" t="str">
        <f>HYPERLINK("https://app.vivvix.com/360/KMI/IntelliDrive/ApplUI/Pages/CreativePages/CustomReportCreativeDetail.aspx?App=23&amp;ReportView=4&amp;Qid=1711279&amp;Row=16579&amp;Col=1","No Title Assigned - #15276617026")</f>
        <v/>
      </c>
      <c r="B16587" s="0" t="s">
        <v>22152</v>
      </c>
      <c r="C16587" s="0" t="s">
        <v>22153</v>
      </c>
      <c r="D16587" s="0" t="s">
        <v>22153</v>
      </c>
      <c r="E16587" s="0" t="inlineStr">
        <is>
          <t xml:space="preserve">Mazda</t>
        </is>
      </c>
      <c r="F16587" s="0" t="s">
        <v>13</v>
      </c>
      <c r="G16587" s="0" t="s">
        <v>49</v>
      </c>
      <c r="H16587" s="5">
        <v>2206.025000</v>
      </c>
    </row>
    <row r="16588" spans="1:9">
      <c r="A16588" s="22" t="str">
        <f>HYPERLINK("https://app.vivvix.com/360/KMI/IntelliDrive/ApplUI/Pages/CreativePages/CustomReportCreativeDetail.aspx?App=23&amp;ReportView=4&amp;Qid=1711279&amp;Row=16580&amp;Col=1","No Title Assigned - #15276617089")</f>
        <v/>
      </c>
      <c r="B16588" s="0" t="s">
        <v>22154</v>
      </c>
      <c r="C16588" s="0" t="s">
        <v>22155</v>
      </c>
      <c r="D16588" s="0" t="s">
        <v>4774</v>
      </c>
      <c r="E16588" s="0" t="inlineStr">
        <is>
          <t xml:space="preserve">Mazda</t>
        </is>
      </c>
      <c r="F16588" s="0" t="s">
        <v>13</v>
      </c>
      <c r="G16588" s="0" t="s">
        <v>49</v>
      </c>
      <c r="H16588" s="5">
        <v>559.523300</v>
      </c>
    </row>
    <row r="16589" spans="1:9">
      <c r="A16589" s="22" t="str">
        <f>HYPERLINK("https://app.vivvix.com/360/KMI/IntelliDrive/ApplUI/Pages/CreativePages/CustomReportCreativeDetail.aspx?App=23&amp;ReportView=4&amp;Qid=1711279&amp;Row=16581&amp;Col=1","No Title Assigned - #15276617171")</f>
        <v/>
      </c>
      <c r="B16589" s="0" t="s">
        <v>22156</v>
      </c>
      <c r="C16589" s="0" t="s">
        <v>22157</v>
      </c>
      <c r="D16589" s="0" t="s">
        <v>4774</v>
      </c>
      <c r="E16589" s="0" t="inlineStr">
        <is>
          <t xml:space="preserve">Mazda</t>
        </is>
      </c>
      <c r="F16589" s="0" t="s">
        <v>13</v>
      </c>
      <c r="G16589" s="0" t="s">
        <v>49</v>
      </c>
      <c r="H16589" s="5">
        <v>60.951200</v>
      </c>
    </row>
    <row r="16590" spans="1:9">
      <c r="A16590" s="22" t="str">
        <f>HYPERLINK("https://app.vivvix.com/360/KMI/IntelliDrive/ApplUI/Pages/CreativePages/CustomReportCreativeDetail.aspx?App=23&amp;ReportView=4&amp;Qid=1711279&amp;Row=16582&amp;Col=1","No Title Assigned - #15276617211")</f>
        <v/>
      </c>
      <c r="B16590" s="0" t="s">
        <v>22158</v>
      </c>
      <c r="C16590" s="0" t="s">
        <v>22159</v>
      </c>
      <c r="D16590" s="0" t="s">
        <v>4774</v>
      </c>
      <c r="E16590" s="0" t="inlineStr">
        <is>
          <t xml:space="preserve">Mazda</t>
        </is>
      </c>
      <c r="F16590" s="0" t="s">
        <v>13</v>
      </c>
      <c r="G16590" s="0" t="s">
        <v>49</v>
      </c>
      <c r="H16590" s="5">
        <v>6.557300</v>
      </c>
    </row>
    <row r="16591" spans="1:9">
      <c r="A16591" s="22" t="str">
        <f>HYPERLINK("https://app.vivvix.com/360/KMI/IntelliDrive/ApplUI/Pages/CreativePages/CustomReportCreativeDetail.aspx?App=23&amp;ReportView=4&amp;Qid=1711279&amp;Row=16583&amp;Col=1","No Title Assigned - #15276617244")</f>
        <v/>
      </c>
      <c r="B16591" s="0" t="s">
        <v>22160</v>
      </c>
      <c r="C16591" s="0" t="s">
        <v>22161</v>
      </c>
      <c r="D16591" s="0" t="s">
        <v>22161</v>
      </c>
      <c r="E16591" s="0" t="inlineStr">
        <is>
          <t xml:space="preserve">Mazda</t>
        </is>
      </c>
      <c r="F16591" s="0" t="s">
        <v>13</v>
      </c>
      <c r="G16591" s="0" t="s">
        <v>49</v>
      </c>
      <c r="H16591" s="5">
        <v>835.461500</v>
      </c>
    </row>
    <row r="16592" spans="1:9">
      <c r="A16592" s="22" t="str">
        <f>HYPERLINK("https://app.vivvix.com/360/KMI/IntelliDrive/ApplUI/Pages/CreativePages/CustomReportCreativeDetail.aspx?App=23&amp;ReportView=4&amp;Qid=1711279&amp;Row=16584&amp;Col=1","No Title Assigned - #15276617360")</f>
        <v/>
      </c>
      <c r="B16592" s="0" t="s">
        <v>22162</v>
      </c>
      <c r="C16592" s="0" t="s">
        <v>22163</v>
      </c>
      <c r="D16592" s="0" t="s">
        <v>22163</v>
      </c>
      <c r="E16592" s="0" t="inlineStr">
        <is>
          <t xml:space="preserve">Mazda</t>
        </is>
      </c>
      <c r="F16592" s="0" t="s">
        <v>13</v>
      </c>
      <c r="G16592" s="0" t="s">
        <v>49</v>
      </c>
      <c r="H16592" s="5">
        <v>8.504000</v>
      </c>
    </row>
    <row r="16593" spans="1:9">
      <c r="A16593" s="22" t="str">
        <f>HYPERLINK("https://app.vivvix.com/360/KMI/IntelliDrive/ApplUI/Pages/CreativePages/CustomReportCreativeDetail.aspx?App=23&amp;ReportView=4&amp;Qid=1711279&amp;Row=16585&amp;Col=1","No Title Assigned - #15276617558")</f>
        <v/>
      </c>
      <c r="B16593" s="0" t="s">
        <v>22164</v>
      </c>
      <c r="C16593" s="0" t="s">
        <v>22165</v>
      </c>
      <c r="D16593" s="0" t="s">
        <v>4335</v>
      </c>
      <c r="E16593" s="0" t="inlineStr">
        <is>
          <t xml:space="preserve">Mazda</t>
        </is>
      </c>
      <c r="F16593" s="0" t="s">
        <v>13</v>
      </c>
      <c r="G16593" s="0" t="s">
        <v>49</v>
      </c>
      <c r="H16593" s="5">
        <v>169.328300</v>
      </c>
    </row>
    <row r="16594" spans="1:9">
      <c r="A16594" s="22" t="str">
        <f>HYPERLINK("https://app.vivvix.com/360/KMI/IntelliDrive/ApplUI/Pages/CreativePages/CustomReportCreativeDetail.aspx?App=23&amp;ReportView=4&amp;Qid=1711279&amp;Row=16586&amp;Col=1","No Title Assigned - #15276617743")</f>
        <v/>
      </c>
      <c r="B16594" s="0" t="s">
        <v>22166</v>
      </c>
      <c r="E16594" s="0" t="inlineStr">
        <is>
          <t xml:space="preserve">Mazda</t>
        </is>
      </c>
      <c r="F16594" s="0" t="s">
        <v>13</v>
      </c>
      <c r="G16594" s="0" t="s">
        <v>49</v>
      </c>
      <c r="H16594" s="5">
        <v>21.750000</v>
      </c>
    </row>
    <row r="16595" spans="1:9">
      <c r="A16595" s="22" t="str">
        <f>HYPERLINK("https://app.vivvix.com/360/KMI/IntelliDrive/ApplUI/Pages/CreativePages/CustomReportCreativeDetail.aspx?App=23&amp;ReportView=4&amp;Qid=1711279&amp;Row=16587&amp;Col=1","No Title Assigned - #15276617761")</f>
        <v/>
      </c>
      <c r="B16595" s="0" t="s">
        <v>22167</v>
      </c>
      <c r="C16595" s="0" t="s">
        <v>22168</v>
      </c>
      <c r="D16595" s="0" t="s">
        <v>10089</v>
      </c>
      <c r="E16595" s="0" t="inlineStr">
        <is>
          <t xml:space="preserve">Mazda</t>
        </is>
      </c>
      <c r="F16595" s="0" t="s">
        <v>13</v>
      </c>
      <c r="G16595" s="0" t="s">
        <v>49</v>
      </c>
      <c r="H16595" s="5">
        <v>160.960800</v>
      </c>
    </row>
    <row r="16596" spans="1:9">
      <c r="A16596" s="22" t="str">
        <f>HYPERLINK("https://app.vivvix.com/360/KMI/IntelliDrive/ApplUI/Pages/CreativePages/CustomReportCreativeDetail.aspx?App=23&amp;ReportView=4&amp;Qid=1711279&amp;Row=16588&amp;Col=1","No Title Assigned - #15276617884")</f>
        <v/>
      </c>
      <c r="B16596" s="0" t="s">
        <v>22169</v>
      </c>
      <c r="C16596" s="0" t="s">
        <v>22170</v>
      </c>
      <c r="D16596" s="0" t="s">
        <v>22170</v>
      </c>
      <c r="E16596" s="0" t="inlineStr">
        <is>
          <t xml:space="preserve">Mazda</t>
        </is>
      </c>
      <c r="F16596" s="0" t="s">
        <v>13</v>
      </c>
      <c r="G16596" s="0" t="s">
        <v>49</v>
      </c>
      <c r="H16596" s="5">
        <v>11.227500</v>
      </c>
    </row>
    <row r="16597" spans="1:9">
      <c r="A16597" s="22" t="str">
        <f>HYPERLINK("https://app.vivvix.com/360/KMI/IntelliDrive/ApplUI/Pages/CreativePages/CustomReportCreativeDetail.aspx?App=23&amp;ReportView=4&amp;Qid=1711279&amp;Row=16589&amp;Col=1","No Title Assigned - #15276618092")</f>
        <v/>
      </c>
      <c r="B16597" s="0" t="s">
        <v>22171</v>
      </c>
      <c r="C16597" s="0" t="s">
        <v>22172</v>
      </c>
      <c r="D16597" s="0" t="s">
        <v>22172</v>
      </c>
      <c r="E16597" s="0" t="inlineStr">
        <is>
          <t xml:space="preserve">Mazda</t>
        </is>
      </c>
      <c r="F16597" s="0" t="s">
        <v>13</v>
      </c>
      <c r="G16597" s="0" t="s">
        <v>49</v>
      </c>
      <c r="H16597" s="5">
        <v>19.483000</v>
      </c>
    </row>
    <row r="16598" spans="1:9">
      <c r="A16598" s="22" t="str">
        <f>HYPERLINK("https://app.vivvix.com/360/KMI/IntelliDrive/ApplUI/Pages/CreativePages/CustomReportCreativeDetail.aspx?App=23&amp;ReportView=4&amp;Qid=1711279&amp;Row=16590&amp;Col=1","No Title Assigned - #15276618377")</f>
        <v/>
      </c>
      <c r="B16598" s="0" t="s">
        <v>22173</v>
      </c>
      <c r="C16598" s="0" t="s">
        <v>22174</v>
      </c>
      <c r="D16598" s="0" t="s">
        <v>22174</v>
      </c>
      <c r="E16598" s="0" t="inlineStr">
        <is>
          <t xml:space="preserve">Mazda</t>
        </is>
      </c>
      <c r="F16598" s="0" t="s">
        <v>13</v>
      </c>
      <c r="G16598" s="0" t="s">
        <v>49</v>
      </c>
      <c r="H16598" s="5">
        <v>15.240100</v>
      </c>
    </row>
    <row r="16599" spans="1:9">
      <c r="A16599" s="22" t="str">
        <f>HYPERLINK("https://app.vivvix.com/360/KMI/IntelliDrive/ApplUI/Pages/CreativePages/CustomReportCreativeDetail.aspx?App=23&amp;ReportView=4&amp;Qid=1711279&amp;Row=16591&amp;Col=1","No Title Assigned - #15276618405")</f>
        <v/>
      </c>
      <c r="B16599" s="0" t="s">
        <v>22175</v>
      </c>
      <c r="C16599" s="0" t="s">
        <v>22176</v>
      </c>
      <c r="D16599" s="0" t="s">
        <v>22176</v>
      </c>
      <c r="E16599" s="0" t="inlineStr">
        <is>
          <t xml:space="preserve">Mazda</t>
        </is>
      </c>
      <c r="F16599" s="0" t="s">
        <v>13</v>
      </c>
      <c r="G16599" s="0" t="s">
        <v>49</v>
      </c>
      <c r="H16599" s="5">
        <v>696.688900</v>
      </c>
    </row>
    <row r="16600" spans="1:9">
      <c r="A16600" s="22" t="str">
        <f>HYPERLINK("https://app.vivvix.com/360/KMI/IntelliDrive/ApplUI/Pages/CreativePages/CustomReportCreativeDetail.aspx?App=23&amp;ReportView=4&amp;Qid=1711279&amp;Row=16592&amp;Col=1","No Title Assigned - #15276618648")</f>
        <v/>
      </c>
      <c r="B16600" s="0" t="s">
        <v>22177</v>
      </c>
      <c r="C16600" s="0" t="s">
        <v>22178</v>
      </c>
      <c r="D16600" s="0" t="s">
        <v>5043</v>
      </c>
      <c r="E16600" s="0" t="inlineStr">
        <is>
          <t xml:space="preserve">Mazda</t>
        </is>
      </c>
      <c r="F16600" s="0" t="s">
        <v>13</v>
      </c>
      <c r="G16600" s="0" t="s">
        <v>49</v>
      </c>
      <c r="H16600" s="5">
        <v>29.837900</v>
      </c>
    </row>
    <row r="16601" spans="1:9">
      <c r="A16601" s="22" t="str">
        <f>HYPERLINK("https://app.vivvix.com/360/KMI/IntelliDrive/ApplUI/Pages/CreativePages/CustomReportCreativeDetail.aspx?App=23&amp;ReportView=4&amp;Qid=1711279&amp;Row=16593&amp;Col=1","No Title Assigned - #15276618688")</f>
        <v/>
      </c>
      <c r="B16601" s="0" t="s">
        <v>22179</v>
      </c>
      <c r="C16601" s="0" t="s">
        <v>22120</v>
      </c>
      <c r="D16601" s="0" t="s">
        <v>22120</v>
      </c>
      <c r="E16601" s="0" t="inlineStr">
        <is>
          <t xml:space="preserve">Mazda</t>
        </is>
      </c>
      <c r="F16601" s="0" t="s">
        <v>13</v>
      </c>
      <c r="G16601" s="0" t="s">
        <v>49</v>
      </c>
      <c r="H16601" s="5">
        <v>5652.163100</v>
      </c>
    </row>
    <row r="16602" spans="1:9">
      <c r="A16602" s="22" t="str">
        <f>HYPERLINK("https://app.vivvix.com/360/KMI/IntelliDrive/ApplUI/Pages/CreativePages/CustomReportCreativeDetail.aspx?App=23&amp;ReportView=4&amp;Qid=1711279&amp;Row=16594&amp;Col=1","No Title Assigned - #15276618688")</f>
        <v/>
      </c>
      <c r="B16602" s="0" t="s">
        <v>22179</v>
      </c>
      <c r="E16602" s="0" t="inlineStr">
        <is>
          <t xml:space="preserve">Mazda</t>
        </is>
      </c>
      <c r="F16602" s="0" t="s">
        <v>13</v>
      </c>
      <c r="G16602" s="0" t="s">
        <v>49</v>
      </c>
      <c r="H16602" s="5">
        <v>478.569900</v>
      </c>
    </row>
    <row r="16603" spans="1:9">
      <c r="A16603" s="22" t="str">
        <f>HYPERLINK("https://app.vivvix.com/360/KMI/IntelliDrive/ApplUI/Pages/CreativePages/CustomReportCreativeDetail.aspx?App=23&amp;ReportView=4&amp;Qid=1711279&amp;Row=16595&amp;Col=1","No Title Assigned - #15276618835")</f>
        <v/>
      </c>
      <c r="B16603" s="0" t="s">
        <v>22180</v>
      </c>
      <c r="C16603" s="0" t="s">
        <v>22181</v>
      </c>
      <c r="D16603" s="0" t="s">
        <v>22181</v>
      </c>
      <c r="E16603" s="0" t="inlineStr">
        <is>
          <t xml:space="preserve">Mazda</t>
        </is>
      </c>
      <c r="F16603" s="0" t="s">
        <v>13</v>
      </c>
      <c r="G16603" s="0" t="s">
        <v>49</v>
      </c>
      <c r="H16603" s="5">
        <v>157.666500</v>
      </c>
    </row>
    <row r="16604" spans="1:9">
      <c r="A16604" s="22" t="str">
        <f>HYPERLINK("https://app.vivvix.com/360/KMI/IntelliDrive/ApplUI/Pages/CreativePages/CustomReportCreativeDetail.aspx?App=23&amp;ReportView=4&amp;Qid=1711279&amp;Row=16596&amp;Col=1","No Title Assigned - #15276618864")</f>
        <v/>
      </c>
      <c r="B16604" s="0" t="s">
        <v>22182</v>
      </c>
      <c r="C16604" s="0" t="s">
        <v>22183</v>
      </c>
      <c r="D16604" s="0" t="s">
        <v>5013</v>
      </c>
      <c r="E16604" s="0" t="inlineStr">
        <is>
          <t xml:space="preserve">Mazda</t>
        </is>
      </c>
      <c r="F16604" s="0" t="s">
        <v>13</v>
      </c>
      <c r="G16604" s="0" t="s">
        <v>49</v>
      </c>
      <c r="H16604" s="5">
        <v>246.716100</v>
      </c>
    </row>
    <row r="16605" spans="1:9">
      <c r="A16605" s="22" t="str">
        <f>HYPERLINK("https://app.vivvix.com/360/KMI/IntelliDrive/ApplUI/Pages/CreativePages/CustomReportCreativeDetail.aspx?App=23&amp;ReportView=4&amp;Qid=1711279&amp;Row=16597&amp;Col=1","No Title Assigned - #15276619061")</f>
        <v/>
      </c>
      <c r="B16605" s="0" t="s">
        <v>22184</v>
      </c>
      <c r="C16605" s="0" t="s">
        <v>22185</v>
      </c>
      <c r="D16605" s="0" t="s">
        <v>22185</v>
      </c>
      <c r="E16605" s="0" t="inlineStr">
        <is>
          <t xml:space="preserve">Mazda</t>
        </is>
      </c>
      <c r="F16605" s="0" t="s">
        <v>13</v>
      </c>
      <c r="G16605" s="0" t="s">
        <v>49</v>
      </c>
      <c r="H16605" s="5">
        <v>47.540900</v>
      </c>
    </row>
    <row r="16606" spans="1:9">
      <c r="A16606" s="22" t="str">
        <f>HYPERLINK("https://app.vivvix.com/360/KMI/IntelliDrive/ApplUI/Pages/CreativePages/CustomReportCreativeDetail.aspx?App=23&amp;ReportView=4&amp;Qid=1711279&amp;Row=16598&amp;Col=1","No Title Assigned - #15276619307")</f>
        <v/>
      </c>
      <c r="B16606" s="0" t="s">
        <v>22186</v>
      </c>
      <c r="C16606" s="0" t="s">
        <v>22187</v>
      </c>
      <c r="D16606" s="0" t="s">
        <v>4335</v>
      </c>
      <c r="E16606" s="0" t="inlineStr">
        <is>
          <t xml:space="preserve">Mazda</t>
        </is>
      </c>
      <c r="F16606" s="0" t="s">
        <v>13</v>
      </c>
      <c r="G16606" s="0" t="s">
        <v>49</v>
      </c>
      <c r="H16606" s="5">
        <v>42.234200</v>
      </c>
    </row>
    <row r="16607" spans="1:9">
      <c r="A16607" s="22" t="str">
        <f>HYPERLINK("https://app.vivvix.com/360/KMI/IntelliDrive/ApplUI/Pages/CreativePages/CustomReportCreativeDetail.aspx?App=23&amp;ReportView=4&amp;Qid=1711279&amp;Row=16599&amp;Col=1","No Title Assigned - #15276619519")</f>
        <v/>
      </c>
      <c r="B16607" s="0" t="s">
        <v>22188</v>
      </c>
      <c r="E16607" s="0" t="inlineStr">
        <is>
          <t xml:space="preserve">Mazda</t>
        </is>
      </c>
      <c r="F16607" s="0" t="s">
        <v>13</v>
      </c>
      <c r="G16607" s="0" t="s">
        <v>49</v>
      </c>
      <c r="H16607" s="5">
        <v>110.476400</v>
      </c>
    </row>
    <row r="16608" spans="1:9">
      <c r="A16608" s="22" t="str">
        <f>HYPERLINK("https://app.vivvix.com/360/KMI/IntelliDrive/ApplUI/Pages/CreativePages/CustomReportCreativeDetail.aspx?App=23&amp;ReportView=4&amp;Qid=1711279&amp;Row=16600&amp;Col=1","No Title Assigned - #15276619533")</f>
        <v/>
      </c>
      <c r="B16608" s="0" t="s">
        <v>22189</v>
      </c>
      <c r="C16608" s="0" t="s">
        <v>22190</v>
      </c>
      <c r="D16608" s="0" t="s">
        <v>22190</v>
      </c>
      <c r="E16608" s="0" t="inlineStr">
        <is>
          <t xml:space="preserve">Mazda</t>
        </is>
      </c>
      <c r="F16608" s="0" t="s">
        <v>13</v>
      </c>
      <c r="G16608" s="0" t="s">
        <v>49</v>
      </c>
      <c r="H16608" s="5">
        <v>2018.226000</v>
      </c>
    </row>
    <row r="16609" spans="1:9">
      <c r="A16609" s="22" t="str">
        <f>HYPERLINK("https://app.vivvix.com/360/KMI/IntelliDrive/ApplUI/Pages/CreativePages/CustomReportCreativeDetail.aspx?App=23&amp;ReportView=4&amp;Qid=1711279&amp;Row=16601&amp;Col=1","No Title Assigned - #15276619586")</f>
        <v/>
      </c>
      <c r="B16609" s="0" t="s">
        <v>22191</v>
      </c>
      <c r="C16609" s="0" t="s">
        <v>22192</v>
      </c>
      <c r="D16609" s="0" t="s">
        <v>22192</v>
      </c>
      <c r="E16609" s="0" t="inlineStr">
        <is>
          <t xml:space="preserve">Mazda</t>
        </is>
      </c>
      <c r="F16609" s="0" t="s">
        <v>13</v>
      </c>
      <c r="G16609" s="0" t="s">
        <v>49</v>
      </c>
      <c r="H16609" s="5">
        <v>29501.027300</v>
      </c>
    </row>
    <row r="16610" spans="1:9">
      <c r="A16610" s="22" t="str">
        <f>HYPERLINK("https://app.vivvix.com/360/KMI/IntelliDrive/ApplUI/Pages/CreativePages/CustomReportCreativeDetail.aspx?App=23&amp;ReportView=4&amp;Qid=1711279&amp;Row=16602&amp;Col=1","No Title Assigned - #15276619849")</f>
        <v/>
      </c>
      <c r="B16610" s="0" t="s">
        <v>22193</v>
      </c>
      <c r="E16610" s="0" t="inlineStr">
        <is>
          <t xml:space="preserve">Mazda</t>
        </is>
      </c>
      <c r="F16610" s="0" t="s">
        <v>13</v>
      </c>
      <c r="G16610" s="0" t="s">
        <v>49</v>
      </c>
      <c r="H16610" s="5">
        <v>45.930000</v>
      </c>
    </row>
    <row r="16611" spans="1:9">
      <c r="A16611" s="22" t="str">
        <f>HYPERLINK("https://app.vivvix.com/360/KMI/IntelliDrive/ApplUI/Pages/CreativePages/CustomReportCreativeDetail.aspx?App=23&amp;ReportView=4&amp;Qid=1711279&amp;Row=16603&amp;Col=1","No Title Assigned - #15276620019")</f>
        <v/>
      </c>
      <c r="B16611" s="0" t="s">
        <v>22194</v>
      </c>
      <c r="C16611" s="0" t="s">
        <v>22195</v>
      </c>
      <c r="D16611" s="0" t="s">
        <v>21331</v>
      </c>
      <c r="E16611" s="0" t="inlineStr">
        <is>
          <t xml:space="preserve">Mazda</t>
        </is>
      </c>
      <c r="F16611" s="0" t="s">
        <v>13</v>
      </c>
      <c r="G16611" s="0" t="s">
        <v>49</v>
      </c>
      <c r="H16611" s="5">
        <v>458.773600</v>
      </c>
    </row>
    <row r="16612" spans="1:9">
      <c r="A16612" s="22" t="str">
        <f>HYPERLINK("https://app.vivvix.com/360/KMI/IntelliDrive/ApplUI/Pages/CreativePages/CustomReportCreativeDetail.aspx?App=23&amp;ReportView=4&amp;Qid=1711279&amp;Row=16604&amp;Col=1","No Title Assigned - #15276620214")</f>
        <v/>
      </c>
      <c r="B16612" s="0" t="s">
        <v>22196</v>
      </c>
      <c r="C16612" s="0" t="s">
        <v>22197</v>
      </c>
      <c r="D16612" s="0" t="s">
        <v>22197</v>
      </c>
      <c r="E16612" s="0" t="inlineStr">
        <is>
          <t xml:space="preserve">Mazda</t>
        </is>
      </c>
      <c r="F16612" s="0" t="s">
        <v>13</v>
      </c>
      <c r="G16612" s="0" t="s">
        <v>49</v>
      </c>
      <c r="H16612" s="5">
        <v>19.739800</v>
      </c>
    </row>
    <row r="16613" spans="1:9">
      <c r="A16613" s="22" t="str">
        <f>HYPERLINK("https://app.vivvix.com/360/KMI/IntelliDrive/ApplUI/Pages/CreativePages/CustomReportCreativeDetail.aspx?App=23&amp;ReportView=4&amp;Qid=1711279&amp;Row=16605&amp;Col=1","No Title Assigned - #15276620233")</f>
        <v/>
      </c>
      <c r="B16613" s="0" t="s">
        <v>22198</v>
      </c>
      <c r="C16613" s="0" t="s">
        <v>22199</v>
      </c>
      <c r="D16613" s="0" t="s">
        <v>22199</v>
      </c>
      <c r="E16613" s="0" t="inlineStr">
        <is>
          <t xml:space="preserve">Mazda</t>
        </is>
      </c>
      <c r="F16613" s="0" t="inlineStr">
        <is>
          <t xml:space="preserve">Mazda</t>
        </is>
      </c>
      <c r="G16613" s="0" t="s">
        <v>210</v>
      </c>
      <c r="H16613" s="5">
        <v>870.498300</v>
      </c>
    </row>
    <row r="16614" spans="1:9">
      <c r="A16614" s="22" t="str">
        <f>HYPERLINK("https://app.vivvix.com/360/KMI/IntelliDrive/ApplUI/Pages/CreativePages/CustomReportCreativeDetail.aspx?App=23&amp;ReportView=4&amp;Qid=1711279&amp;Row=16606&amp;Col=1","No Title Assigned - #15276620435")</f>
        <v/>
      </c>
      <c r="B16614" s="0" t="s">
        <v>22200</v>
      </c>
      <c r="C16614" s="0" t="s">
        <v>22201</v>
      </c>
      <c r="D16614" s="0" t="s">
        <v>22201</v>
      </c>
      <c r="E16614" s="0" t="inlineStr">
        <is>
          <t xml:space="preserve">Mazda</t>
        </is>
      </c>
      <c r="F16614" s="0" t="s">
        <v>13</v>
      </c>
      <c r="G16614" s="0" t="s">
        <v>49</v>
      </c>
      <c r="H16614" s="5">
        <v>372.574900</v>
      </c>
    </row>
    <row r="16615" spans="1:9">
      <c r="A16615" s="22" t="str">
        <f>HYPERLINK("https://app.vivvix.com/360/KMI/IntelliDrive/ApplUI/Pages/CreativePages/CustomReportCreativeDetail.aspx?App=23&amp;ReportView=4&amp;Qid=1711279&amp;Row=16607&amp;Col=1","No Title Assigned - #15276620446")</f>
        <v/>
      </c>
      <c r="B16615" s="0" t="s">
        <v>22202</v>
      </c>
      <c r="C16615" s="0" t="s">
        <v>22203</v>
      </c>
      <c r="D16615" s="0" t="s">
        <v>6183</v>
      </c>
      <c r="E16615" s="0" t="inlineStr">
        <is>
          <t xml:space="preserve">Mazda</t>
        </is>
      </c>
      <c r="F16615" s="0" t="s">
        <v>13</v>
      </c>
      <c r="G16615" s="0" t="s">
        <v>49</v>
      </c>
      <c r="H16615" s="5">
        <v>87.364500</v>
      </c>
    </row>
    <row r="16616" spans="1:9">
      <c r="A16616" s="22" t="str">
        <f>HYPERLINK("https://app.vivvix.com/360/KMI/IntelliDrive/ApplUI/Pages/CreativePages/CustomReportCreativeDetail.aspx?App=23&amp;ReportView=4&amp;Qid=1711279&amp;Row=16608&amp;Col=1","No Title Assigned - #15276620547")</f>
        <v/>
      </c>
      <c r="B16616" s="0" t="s">
        <v>22204</v>
      </c>
      <c r="C16616" s="0" t="s">
        <v>22205</v>
      </c>
      <c r="D16616" s="0" t="s">
        <v>22205</v>
      </c>
      <c r="E16616" s="0" t="inlineStr">
        <is>
          <t xml:space="preserve">Mazda</t>
        </is>
      </c>
      <c r="F16616" s="0" t="s">
        <v>13</v>
      </c>
      <c r="G16616" s="0" t="s">
        <v>49</v>
      </c>
      <c r="H16616" s="5">
        <v>33098.164100</v>
      </c>
    </row>
    <row r="16617" spans="1:9">
      <c r="A16617" s="22" t="str">
        <f>HYPERLINK("https://app.vivvix.com/360/KMI/IntelliDrive/ApplUI/Pages/CreativePages/CustomReportCreativeDetail.aspx?App=23&amp;ReportView=4&amp;Qid=1711279&amp;Row=16609&amp;Col=1","No Title Assigned - #15276620607")</f>
        <v/>
      </c>
      <c r="B16617" s="0" t="s">
        <v>22206</v>
      </c>
      <c r="C16617" s="0" t="s">
        <v>22207</v>
      </c>
      <c r="D16617" s="0" t="s">
        <v>22207</v>
      </c>
      <c r="E16617" s="0" t="inlineStr">
        <is>
          <t xml:space="preserve">Mazda</t>
        </is>
      </c>
      <c r="F16617" s="0" t="s">
        <v>13</v>
      </c>
      <c r="G16617" s="0" t="s">
        <v>49</v>
      </c>
      <c r="H16617" s="5">
        <v>41.926100</v>
      </c>
    </row>
    <row r="16618" spans="1:9">
      <c r="A16618" s="22" t="str">
        <f>HYPERLINK("https://app.vivvix.com/360/KMI/IntelliDrive/ApplUI/Pages/CreativePages/CustomReportCreativeDetail.aspx?App=23&amp;ReportView=4&amp;Qid=1711279&amp;Row=16610&amp;Col=1","No Title Assigned - #15276620616")</f>
        <v/>
      </c>
      <c r="B16618" s="0" t="s">
        <v>22208</v>
      </c>
      <c r="E16618" s="0" t="inlineStr">
        <is>
          <t xml:space="preserve">Mazda</t>
        </is>
      </c>
      <c r="F16618" s="0" t="s">
        <v>13</v>
      </c>
      <c r="G16618" s="0" t="s">
        <v>49</v>
      </c>
      <c r="H16618" s="5">
        <v>35.240000</v>
      </c>
    </row>
    <row r="16619" spans="1:9">
      <c r="A16619" s="22" t="str">
        <f>HYPERLINK("https://app.vivvix.com/360/KMI/IntelliDrive/ApplUI/Pages/CreativePages/CustomReportCreativeDetail.aspx?App=23&amp;ReportView=4&amp;Qid=1711279&amp;Row=16611&amp;Col=1","No Title Assigned - #15276620894")</f>
        <v/>
      </c>
      <c r="B16619" s="0" t="s">
        <v>22209</v>
      </c>
      <c r="C16619" s="0" t="s">
        <v>22210</v>
      </c>
      <c r="D16619" s="0" t="s">
        <v>22210</v>
      </c>
      <c r="E16619" s="0" t="inlineStr">
        <is>
          <t xml:space="preserve">Mazda</t>
        </is>
      </c>
      <c r="F16619" s="0" t="inlineStr">
        <is>
          <t xml:space="preserve">Mazda</t>
        </is>
      </c>
      <c r="G16619" s="0" t="s">
        <v>210</v>
      </c>
      <c r="H16619" s="5">
        <v>912.747700</v>
      </c>
    </row>
    <row r="16620" spans="1:9">
      <c r="A16620" s="22" t="str">
        <f>HYPERLINK("https://app.vivvix.com/360/KMI/IntelliDrive/ApplUI/Pages/CreativePages/CustomReportCreativeDetail.aspx?App=23&amp;ReportView=4&amp;Qid=1711279&amp;Row=16612&amp;Col=1","No Title Assigned - #15276621018")</f>
        <v/>
      </c>
      <c r="B16620" s="0" t="s">
        <v>22211</v>
      </c>
      <c r="C16620" s="0" t="s">
        <v>22212</v>
      </c>
      <c r="D16620" s="0" t="s">
        <v>22212</v>
      </c>
      <c r="E16620" s="0" t="inlineStr">
        <is>
          <t xml:space="preserve">Mazda</t>
        </is>
      </c>
      <c r="F16620" s="0" t="s">
        <v>13</v>
      </c>
      <c r="G16620" s="0" t="s">
        <v>49</v>
      </c>
      <c r="H16620" s="5">
        <v>2.942000</v>
      </c>
    </row>
    <row r="16621" spans="1:9">
      <c r="A16621" s="22" t="str">
        <f>HYPERLINK("https://app.vivvix.com/360/KMI/IntelliDrive/ApplUI/Pages/CreativePages/CustomReportCreativeDetail.aspx?App=23&amp;ReportView=4&amp;Qid=1711279&amp;Row=16613&amp;Col=1","No Title Assigned - #15276621063")</f>
        <v/>
      </c>
      <c r="B16621" s="0" t="s">
        <v>22213</v>
      </c>
      <c r="C16621" s="0" t="s">
        <v>22214</v>
      </c>
      <c r="D16621" s="0" t="s">
        <v>22214</v>
      </c>
      <c r="E16621" s="0" t="inlineStr">
        <is>
          <t xml:space="preserve">Mazda</t>
        </is>
      </c>
      <c r="F16621" s="0" t="inlineStr">
        <is>
          <t xml:space="preserve">Mazda</t>
        </is>
      </c>
      <c r="G16621" s="0" t="s">
        <v>210</v>
      </c>
      <c r="H16621" s="5">
        <v>873.354300</v>
      </c>
    </row>
    <row r="16622" spans="1:9">
      <c r="A16622" s="22" t="str">
        <f>HYPERLINK("https://app.vivvix.com/360/KMI/IntelliDrive/ApplUI/Pages/CreativePages/CustomReportCreativeDetail.aspx?App=23&amp;ReportView=4&amp;Qid=1711279&amp;Row=16614&amp;Col=1","No Title Assigned - #15276621086")</f>
        <v/>
      </c>
      <c r="B16622" s="0" t="s">
        <v>22215</v>
      </c>
      <c r="C16622" s="0" t="s">
        <v>22216</v>
      </c>
      <c r="D16622" s="0" t="s">
        <v>17743</v>
      </c>
      <c r="E16622" s="0" t="inlineStr">
        <is>
          <t xml:space="preserve">Mazda</t>
        </is>
      </c>
      <c r="F16622" s="0" t="s">
        <v>13</v>
      </c>
      <c r="G16622" s="0" t="s">
        <v>49</v>
      </c>
      <c r="H16622" s="5">
        <v>95.637200</v>
      </c>
    </row>
    <row r="16623" spans="1:9">
      <c r="A16623" s="22" t="str">
        <f>HYPERLINK("https://app.vivvix.com/360/KMI/IntelliDrive/ApplUI/Pages/CreativePages/CustomReportCreativeDetail.aspx?App=23&amp;ReportView=4&amp;Qid=1711279&amp;Row=16615&amp;Col=1","No Title Assigned - #15276621117")</f>
        <v/>
      </c>
      <c r="B16623" s="0" t="s">
        <v>22217</v>
      </c>
      <c r="C16623" s="0" t="s">
        <v>22218</v>
      </c>
      <c r="D16623" s="0" t="s">
        <v>15762</v>
      </c>
      <c r="E16623" s="0" t="inlineStr">
        <is>
          <t xml:space="preserve">Mazda</t>
        </is>
      </c>
      <c r="F16623" s="0" t="s">
        <v>13</v>
      </c>
      <c r="G16623" s="0" t="s">
        <v>49</v>
      </c>
      <c r="H16623" s="5">
        <v>95.637200</v>
      </c>
    </row>
    <row r="16624" spans="1:9">
      <c r="A16624" s="22" t="str">
        <f>HYPERLINK("https://app.vivvix.com/360/KMI/IntelliDrive/ApplUI/Pages/CreativePages/CustomReportCreativeDetail.aspx?App=23&amp;ReportView=4&amp;Qid=1711279&amp;Row=16616&amp;Col=1","No Title Assigned - #15276621169")</f>
        <v/>
      </c>
      <c r="B16624" s="0" t="s">
        <v>22219</v>
      </c>
      <c r="C16624" s="0" t="s">
        <v>22220</v>
      </c>
      <c r="D16624" s="0" t="s">
        <v>22220</v>
      </c>
      <c r="E16624" s="0" t="inlineStr">
        <is>
          <t xml:space="preserve">Mazda</t>
        </is>
      </c>
      <c r="F16624" s="0" t="s">
        <v>13</v>
      </c>
      <c r="G16624" s="0" t="s">
        <v>49</v>
      </c>
      <c r="H16624" s="5">
        <v>25.145400</v>
      </c>
    </row>
    <row r="16625" spans="1:9">
      <c r="A16625" s="22" t="str">
        <f>HYPERLINK("https://app.vivvix.com/360/KMI/IntelliDrive/ApplUI/Pages/CreativePages/CustomReportCreativeDetail.aspx?App=23&amp;ReportView=4&amp;Qid=1711279&amp;Row=16617&amp;Col=1","No Title Assigned - #15276621188")</f>
        <v/>
      </c>
      <c r="B16625" s="0" t="s">
        <v>22221</v>
      </c>
      <c r="E16625" s="0" t="inlineStr">
        <is>
          <t xml:space="preserve">Mazda</t>
        </is>
      </c>
      <c r="F16625" s="0" t="s">
        <v>13</v>
      </c>
      <c r="G16625" s="0" t="s">
        <v>49</v>
      </c>
      <c r="H16625" s="5">
        <v>10.405700</v>
      </c>
    </row>
    <row r="16626" spans="1:9">
      <c r="A16626" s="22" t="str">
        <f>HYPERLINK("https://app.vivvix.com/360/KMI/IntelliDrive/ApplUI/Pages/CreativePages/CustomReportCreativeDetail.aspx?App=23&amp;ReportView=4&amp;Qid=1711279&amp;Row=16618&amp;Col=1","No Title Assigned - #15276621302")</f>
        <v/>
      </c>
      <c r="B16626" s="0" t="s">
        <v>22222</v>
      </c>
      <c r="C16626" s="0" t="s">
        <v>22223</v>
      </c>
      <c r="D16626" s="0" t="s">
        <v>4335</v>
      </c>
      <c r="E16626" s="0" t="inlineStr">
        <is>
          <t xml:space="preserve">Mazda</t>
        </is>
      </c>
      <c r="F16626" s="0" t="s">
        <v>13</v>
      </c>
      <c r="G16626" s="0" t="s">
        <v>49</v>
      </c>
      <c r="H16626" s="5">
        <v>683.148200</v>
      </c>
    </row>
    <row r="16627" spans="1:9">
      <c r="A16627" s="22" t="str">
        <f>HYPERLINK("https://app.vivvix.com/360/KMI/IntelliDrive/ApplUI/Pages/CreativePages/CustomReportCreativeDetail.aspx?App=23&amp;ReportView=4&amp;Qid=1711279&amp;Row=16619&amp;Col=1","No Title Assigned - #15276621514")</f>
        <v/>
      </c>
      <c r="B16627" s="0" t="s">
        <v>22224</v>
      </c>
      <c r="C16627" s="0" t="s">
        <v>22225</v>
      </c>
      <c r="D16627" s="0" t="s">
        <v>22225</v>
      </c>
      <c r="E16627" s="0" t="inlineStr">
        <is>
          <t xml:space="preserve">Mazda</t>
        </is>
      </c>
      <c r="F16627" s="0" t="s">
        <v>13</v>
      </c>
      <c r="G16627" s="0" t="s">
        <v>49</v>
      </c>
      <c r="H16627" s="5">
        <v>64.998800</v>
      </c>
    </row>
    <row r="16628" spans="1:9">
      <c r="A16628" s="22" t="str">
        <f>HYPERLINK("https://app.vivvix.com/360/KMI/IntelliDrive/ApplUI/Pages/CreativePages/CustomReportCreativeDetail.aspx?App=23&amp;ReportView=4&amp;Qid=1711279&amp;Row=16620&amp;Col=1","No Title Assigned - #15276621552")</f>
        <v/>
      </c>
      <c r="B16628" s="0" t="s">
        <v>22226</v>
      </c>
      <c r="C16628" s="0" t="s">
        <v>22227</v>
      </c>
      <c r="D16628" s="0" t="s">
        <v>6044</v>
      </c>
      <c r="E16628" s="0" t="inlineStr">
        <is>
          <t xml:space="preserve">Mazda</t>
        </is>
      </c>
      <c r="F16628" s="0" t="s">
        <v>13</v>
      </c>
      <c r="G16628" s="0" t="s">
        <v>49</v>
      </c>
      <c r="H16628" s="5">
        <v>29.195200</v>
      </c>
    </row>
    <row r="16629" spans="1:9">
      <c r="A16629" s="22" t="str">
        <f>HYPERLINK("https://app.vivvix.com/360/KMI/IntelliDrive/ApplUI/Pages/CreativePages/CustomReportCreativeDetail.aspx?App=23&amp;ReportView=4&amp;Qid=1711279&amp;Row=16621&amp;Col=1","No Title Assigned - #15276621874")</f>
        <v/>
      </c>
      <c r="B16629" s="0" t="s">
        <v>22228</v>
      </c>
      <c r="C16629" s="0" t="s">
        <v>22229</v>
      </c>
      <c r="D16629" s="0" t="s">
        <v>10004</v>
      </c>
      <c r="E16629" s="0" t="inlineStr">
        <is>
          <t xml:space="preserve">Mazda</t>
        </is>
      </c>
      <c r="F16629" s="0" t="s">
        <v>13</v>
      </c>
      <c r="G16629" s="0" t="s">
        <v>49</v>
      </c>
      <c r="H16629" s="5">
        <v>113.498500</v>
      </c>
    </row>
    <row r="16630" spans="1:9">
      <c r="A16630" s="22" t="str">
        <f>HYPERLINK("https://app.vivvix.com/360/KMI/IntelliDrive/ApplUI/Pages/CreativePages/CustomReportCreativeDetail.aspx?App=23&amp;ReportView=4&amp;Qid=1711279&amp;Row=16622&amp;Col=1","No Title Assigned - #15276621881")</f>
        <v/>
      </c>
      <c r="B16630" s="0" t="s">
        <v>22230</v>
      </c>
      <c r="C16630" s="0" t="s">
        <v>22231</v>
      </c>
      <c r="D16630" s="0" t="s">
        <v>21214</v>
      </c>
      <c r="E16630" s="0" t="inlineStr">
        <is>
          <t xml:space="preserve">Mazda</t>
        </is>
      </c>
      <c r="F16630" s="0" t="s">
        <v>17</v>
      </c>
      <c r="G16630" s="0" t="s">
        <v>33</v>
      </c>
      <c r="H16630" s="5">
        <v>3.945000</v>
      </c>
    </row>
    <row r="16631" spans="1:9">
      <c r="A16631" s="22" t="str">
        <f>HYPERLINK("https://app.vivvix.com/360/KMI/IntelliDrive/ApplUI/Pages/CreativePages/CustomReportCreativeDetail.aspx?App=23&amp;ReportView=4&amp;Qid=1711279&amp;Row=16623&amp;Col=1","No Title Assigned - #15276621882")</f>
        <v/>
      </c>
      <c r="B16631" s="0" t="s">
        <v>22232</v>
      </c>
      <c r="C16631" s="0" t="s">
        <v>22233</v>
      </c>
      <c r="D16631" s="0" t="s">
        <v>22233</v>
      </c>
      <c r="E16631" s="0" t="inlineStr">
        <is>
          <t xml:space="preserve">Mazda</t>
        </is>
      </c>
      <c r="F16631" s="0" t="inlineStr">
        <is>
          <t xml:space="preserve">Mazda</t>
        </is>
      </c>
      <c r="G16631" s="0" t="s">
        <v>210</v>
      </c>
      <c r="H16631" s="5">
        <v>414.389600</v>
      </c>
    </row>
    <row r="16632" spans="1:9">
      <c r="A16632" s="22" t="str">
        <f>HYPERLINK("https://app.vivvix.com/360/KMI/IntelliDrive/ApplUI/Pages/CreativePages/CustomReportCreativeDetail.aspx?App=23&amp;ReportView=4&amp;Qid=1711279&amp;Row=16624&amp;Col=1","No Title Assigned - #15276621946")</f>
        <v/>
      </c>
      <c r="B16632" s="0" t="s">
        <v>22234</v>
      </c>
      <c r="C16632" s="0" t="s">
        <v>22235</v>
      </c>
      <c r="D16632" s="0" t="s">
        <v>5013</v>
      </c>
      <c r="E16632" s="0" t="inlineStr">
        <is>
          <t xml:space="preserve">Mazda</t>
        </is>
      </c>
      <c r="F16632" s="0" t="s">
        <v>13</v>
      </c>
      <c r="G16632" s="0" t="s">
        <v>49</v>
      </c>
      <c r="H16632" s="5">
        <v>92.271400</v>
      </c>
    </row>
    <row r="16633" spans="1:9">
      <c r="A16633" s="22" t="str">
        <f>HYPERLINK("https://app.vivvix.com/360/KMI/IntelliDrive/ApplUI/Pages/CreativePages/CustomReportCreativeDetail.aspx?App=23&amp;ReportView=4&amp;Qid=1711279&amp;Row=16625&amp;Col=1","No Title Assigned - #15276621978")</f>
        <v/>
      </c>
      <c r="B16633" s="0" t="s">
        <v>22236</v>
      </c>
      <c r="C16633" s="0" t="s">
        <v>22237</v>
      </c>
      <c r="D16633" s="0" t="s">
        <v>4774</v>
      </c>
      <c r="E16633" s="0" t="inlineStr">
        <is>
          <t xml:space="preserve">Mazda</t>
        </is>
      </c>
      <c r="F16633" s="0" t="s">
        <v>13</v>
      </c>
      <c r="G16633" s="0" t="s">
        <v>49</v>
      </c>
      <c r="H16633" s="5">
        <v>86.356400</v>
      </c>
    </row>
    <row r="16634" spans="1:9">
      <c r="A16634" s="22" t="str">
        <f>HYPERLINK("https://app.vivvix.com/360/KMI/IntelliDrive/ApplUI/Pages/CreativePages/CustomReportCreativeDetail.aspx?App=23&amp;ReportView=4&amp;Qid=1711279&amp;Row=16626&amp;Col=1","No Title Assigned - #15276622533")</f>
        <v/>
      </c>
      <c r="B16634" s="0" t="s">
        <v>22238</v>
      </c>
      <c r="C16634" s="0" t="s">
        <v>22239</v>
      </c>
      <c r="D16634" s="0" t="s">
        <v>22239</v>
      </c>
      <c r="E16634" s="0" t="inlineStr">
        <is>
          <t xml:space="preserve">Mazda</t>
        </is>
      </c>
      <c r="F16634" s="0" t="s">
        <v>13</v>
      </c>
      <c r="G16634" s="0" t="s">
        <v>49</v>
      </c>
      <c r="H16634" s="5">
        <v>69.864900</v>
      </c>
    </row>
    <row r="16635" spans="1:9">
      <c r="A16635" s="22" t="str">
        <f>HYPERLINK("https://app.vivvix.com/360/KMI/IntelliDrive/ApplUI/Pages/CreativePages/CustomReportCreativeDetail.aspx?App=23&amp;ReportView=4&amp;Qid=1711279&amp;Row=16627&amp;Col=1","No Title Assigned - #15276623062")</f>
        <v/>
      </c>
      <c r="B16635" s="0" t="s">
        <v>22240</v>
      </c>
      <c r="E16635" s="0" t="inlineStr">
        <is>
          <t xml:space="preserve">Mazda</t>
        </is>
      </c>
      <c r="F16635" s="0" t="inlineStr">
        <is>
          <t xml:space="preserve">Mazda</t>
        </is>
      </c>
      <c r="G16635" s="0" t="s">
        <v>171</v>
      </c>
      <c r="H16635" s="5">
        <v>258.201600</v>
      </c>
    </row>
    <row r="16636" spans="1:9">
      <c r="A16636" s="22" t="str">
        <f>HYPERLINK("https://app.vivvix.com/360/KMI/IntelliDrive/ApplUI/Pages/CreativePages/CustomReportCreativeDetail.aspx?App=23&amp;ReportView=4&amp;Qid=1711279&amp;Row=16628&amp;Col=1","No Title Assigned - #15276623246")</f>
        <v/>
      </c>
      <c r="B16636" s="0" t="s">
        <v>22241</v>
      </c>
      <c r="E16636" s="0" t="inlineStr">
        <is>
          <t xml:space="preserve">Mazda</t>
        </is>
      </c>
      <c r="F16636" s="0" t="inlineStr">
        <is>
          <t xml:space="preserve">Mazda</t>
        </is>
      </c>
      <c r="G16636" s="0" t="s">
        <v>171</v>
      </c>
      <c r="H16636" s="5">
        <v>81.588100</v>
      </c>
    </row>
    <row r="16637" spans="1:9">
      <c r="A16637" s="22" t="str">
        <f>HYPERLINK("https://app.vivvix.com/360/KMI/IntelliDrive/ApplUI/Pages/CreativePages/CustomReportCreativeDetail.aspx?App=23&amp;ReportView=4&amp;Qid=1711279&amp;Row=16629&amp;Col=1","No Title Assigned - #15276623321")</f>
        <v/>
      </c>
      <c r="B16637" s="0" t="s">
        <v>22242</v>
      </c>
      <c r="E16637" s="0" t="inlineStr">
        <is>
          <t xml:space="preserve">Mazda</t>
        </is>
      </c>
      <c r="F16637" s="0" t="inlineStr">
        <is>
          <t xml:space="preserve">Mazda</t>
        </is>
      </c>
      <c r="G16637" s="0" t="s">
        <v>171</v>
      </c>
      <c r="H16637" s="5">
        <v>419.287700</v>
      </c>
    </row>
    <row r="16638" spans="1:9">
      <c r="A16638" s="22" t="str">
        <f>HYPERLINK("https://app.vivvix.com/360/KMI/IntelliDrive/ApplUI/Pages/CreativePages/CustomReportCreativeDetail.aspx?App=23&amp;ReportView=4&amp;Qid=1711279&amp;Row=16630&amp;Col=1","No Title Assigned - #15276623770")</f>
        <v/>
      </c>
      <c r="B16638" s="0" t="s">
        <v>22243</v>
      </c>
      <c r="E16638" s="0" t="inlineStr">
        <is>
          <t xml:space="preserve">Mazda</t>
        </is>
      </c>
      <c r="F16638" s="0" t="inlineStr">
        <is>
          <t xml:space="preserve">Mazda</t>
        </is>
      </c>
      <c r="G16638" s="0" t="s">
        <v>171</v>
      </c>
      <c r="H16638" s="5">
        <v>16.780700</v>
      </c>
    </row>
    <row r="16639" spans="1:9">
      <c r="A16639" s="22" t="str">
        <f>HYPERLINK("https://app.vivvix.com/360/KMI/IntelliDrive/ApplUI/Pages/CreativePages/CustomReportCreativeDetail.aspx?App=23&amp;ReportView=4&amp;Qid=1711279&amp;Row=16631&amp;Col=1","No Title Assigned - #15276623904")</f>
        <v/>
      </c>
      <c r="B16639" s="0" t="s">
        <v>22244</v>
      </c>
      <c r="E16639" s="0" t="inlineStr">
        <is>
          <t xml:space="preserve">Mazda</t>
        </is>
      </c>
      <c r="F16639" s="0" t="inlineStr">
        <is>
          <t xml:space="preserve">Mazda</t>
        </is>
      </c>
      <c r="G16639" s="0" t="s">
        <v>171</v>
      </c>
      <c r="H16639" s="5">
        <v>266.605900</v>
      </c>
    </row>
    <row r="16640" spans="1:9">
      <c r="A16640" s="22" t="str">
        <f>HYPERLINK("https://app.vivvix.com/360/KMI/IntelliDrive/ApplUI/Pages/CreativePages/CustomReportCreativeDetail.aspx?App=23&amp;ReportView=4&amp;Qid=1711279&amp;Row=16632&amp;Col=1","No Title Assigned - #15276624099")</f>
        <v/>
      </c>
      <c r="B16640" s="0" t="s">
        <v>22245</v>
      </c>
      <c r="E16640" s="0" t="inlineStr">
        <is>
          <t xml:space="preserve">Mazda</t>
        </is>
      </c>
      <c r="F16640" s="0" t="inlineStr">
        <is>
          <t xml:space="preserve">Mazda</t>
        </is>
      </c>
      <c r="G16640" s="0" t="s">
        <v>171</v>
      </c>
      <c r="H16640" s="5">
        <v>16.780700</v>
      </c>
    </row>
    <row r="16641" spans="1:9">
      <c r="A16641" s="22" t="str">
        <f>HYPERLINK("https://app.vivvix.com/360/KMI/IntelliDrive/ApplUI/Pages/CreativePages/CustomReportCreativeDetail.aspx?App=23&amp;ReportView=4&amp;Qid=1711279&amp;Row=16633&amp;Col=1","No Title Assigned - #15276624112")</f>
        <v/>
      </c>
      <c r="B16641" s="0" t="s">
        <v>22246</v>
      </c>
      <c r="E16641" s="0" t="inlineStr">
        <is>
          <t xml:space="preserve">Mazda</t>
        </is>
      </c>
      <c r="F16641" s="0" t="inlineStr">
        <is>
          <t xml:space="preserve">Mazda</t>
        </is>
      </c>
      <c r="G16641" s="0" t="s">
        <v>171</v>
      </c>
      <c r="H16641" s="5">
        <v>13.599000</v>
      </c>
    </row>
    <row r="16642" spans="1:9">
      <c r="A16642" s="22" t="str">
        <f>HYPERLINK("https://app.vivvix.com/360/KMI/IntelliDrive/ApplUI/Pages/CreativePages/CustomReportCreativeDetail.aspx?App=23&amp;ReportView=4&amp;Qid=1711279&amp;Row=16634&amp;Col=1","No Title Assigned - #15276624382")</f>
        <v/>
      </c>
      <c r="B16642" s="0" t="s">
        <v>22247</v>
      </c>
      <c r="E16642" s="0" t="inlineStr">
        <is>
          <t xml:space="preserve">Mazda</t>
        </is>
      </c>
      <c r="F16642" s="0" t="inlineStr">
        <is>
          <t xml:space="preserve">Mazda</t>
        </is>
      </c>
      <c r="G16642" s="0" t="s">
        <v>171</v>
      </c>
      <c r="H16642" s="5">
        <v>11.281500</v>
      </c>
    </row>
    <row r="16643" spans="1:9">
      <c r="A16643" s="22" t="str">
        <f>HYPERLINK("https://app.vivvix.com/360/KMI/IntelliDrive/ApplUI/Pages/CreativePages/CustomReportCreativeDetail.aspx?App=23&amp;ReportView=4&amp;Qid=1711279&amp;Row=16635&amp;Col=1","No Title Assigned - #15276624841")</f>
        <v/>
      </c>
      <c r="B16643" s="0" t="s">
        <v>22248</v>
      </c>
      <c r="E16643" s="0" t="inlineStr">
        <is>
          <t xml:space="preserve">Mazda</t>
        </is>
      </c>
      <c r="F16643" s="0" t="inlineStr">
        <is>
          <t xml:space="preserve">Mazda</t>
        </is>
      </c>
      <c r="G16643" s="0" t="s">
        <v>171</v>
      </c>
      <c r="H16643" s="5">
        <v>23.660800</v>
      </c>
    </row>
    <row r="16644" spans="1:9">
      <c r="A16644" s="22" t="str">
        <f>HYPERLINK("https://app.vivvix.com/360/KMI/IntelliDrive/ApplUI/Pages/CreativePages/CustomReportCreativeDetail.aspx?App=23&amp;ReportView=4&amp;Qid=1711279&amp;Row=16636&amp;Col=1","No Title Assigned - #15276624901")</f>
        <v/>
      </c>
      <c r="B16644" s="0" t="s">
        <v>22249</v>
      </c>
      <c r="E16644" s="0" t="inlineStr">
        <is>
          <t xml:space="preserve">Mazda</t>
        </is>
      </c>
      <c r="F16644" s="0" t="inlineStr">
        <is>
          <t xml:space="preserve">Mazda</t>
        </is>
      </c>
      <c r="G16644" s="0" t="s">
        <v>171</v>
      </c>
      <c r="H16644" s="5">
        <v>1879.423500</v>
      </c>
    </row>
    <row r="16645" spans="1:9">
      <c r="A16645" s="22" t="str">
        <f>HYPERLINK("https://app.vivvix.com/360/KMI/IntelliDrive/ApplUI/Pages/CreativePages/CustomReportCreativeDetail.aspx?App=23&amp;ReportView=4&amp;Qid=1711279&amp;Row=16637&amp;Col=1","No Title Assigned - #15276625264")</f>
        <v/>
      </c>
      <c r="B16645" s="0" t="s">
        <v>22250</v>
      </c>
      <c r="C16645" s="0" t="s">
        <v>22251</v>
      </c>
      <c r="D16645" s="0" t="s">
        <v>4768</v>
      </c>
      <c r="E16645" s="0" t="inlineStr">
        <is>
          <t xml:space="preserve">Mazda</t>
        </is>
      </c>
      <c r="F16645" s="0" t="s">
        <v>13</v>
      </c>
      <c r="G16645" s="0" t="s">
        <v>49</v>
      </c>
      <c r="H16645" s="5">
        <v>14.256000</v>
      </c>
    </row>
    <row r="16646" spans="1:9">
      <c r="A16646" s="22" t="str">
        <f>HYPERLINK("https://app.vivvix.com/360/KMI/IntelliDrive/ApplUI/Pages/CreativePages/CustomReportCreativeDetail.aspx?App=23&amp;ReportView=4&amp;Qid=1711279&amp;Row=16638&amp;Col=1","No Title Assigned - #15276625748")</f>
        <v/>
      </c>
      <c r="B16646" s="0" t="s">
        <v>22252</v>
      </c>
      <c r="E16646" s="0" t="inlineStr">
        <is>
          <t xml:space="preserve">Mazda</t>
        </is>
      </c>
      <c r="F16646" s="0" t="inlineStr">
        <is>
          <t xml:space="preserve">Mazda</t>
        </is>
      </c>
      <c r="G16646" s="0" t="s">
        <v>171</v>
      </c>
      <c r="H16646" s="5">
        <v>35.527100</v>
      </c>
    </row>
    <row r="16647" spans="1:9">
      <c r="A16647" s="22" t="str">
        <f>HYPERLINK("https://app.vivvix.com/360/KMI/IntelliDrive/ApplUI/Pages/CreativePages/CustomReportCreativeDetail.aspx?App=23&amp;ReportView=4&amp;Qid=1711279&amp;Row=16639&amp;Col=1","No Title Assigned - #15276625918")</f>
        <v/>
      </c>
      <c r="B16647" s="0" t="s">
        <v>22253</v>
      </c>
      <c r="E16647" s="0" t="inlineStr">
        <is>
          <t xml:space="preserve">Mazda</t>
        </is>
      </c>
      <c r="F16647" s="0" t="inlineStr">
        <is>
          <t xml:space="preserve">Mazda</t>
        </is>
      </c>
      <c r="G16647" s="0" t="s">
        <v>171</v>
      </c>
      <c r="H16647" s="5">
        <v>167.655800</v>
      </c>
    </row>
    <row r="16648" spans="1:9">
      <c r="A16648" s="22" t="str">
        <f>HYPERLINK("https://app.vivvix.com/360/KMI/IntelliDrive/ApplUI/Pages/CreativePages/CustomReportCreativeDetail.aspx?App=23&amp;ReportView=4&amp;Qid=1711279&amp;Row=16640&amp;Col=1","No Title Assigned - #15276626057")</f>
        <v/>
      </c>
      <c r="B16648" s="0" t="s">
        <v>22254</v>
      </c>
      <c r="E16648" s="0" t="inlineStr">
        <is>
          <t xml:space="preserve">Mazda</t>
        </is>
      </c>
      <c r="F16648" s="0" t="inlineStr">
        <is>
          <t xml:space="preserve">Mazda</t>
        </is>
      </c>
      <c r="G16648" s="0" t="s">
        <v>171</v>
      </c>
      <c r="H16648" s="5">
        <v>600.739500</v>
      </c>
    </row>
    <row r="16649" spans="1:9">
      <c r="A16649" s="22" t="str">
        <f>HYPERLINK("https://app.vivvix.com/360/KMI/IntelliDrive/ApplUI/Pages/CreativePages/CustomReportCreativeDetail.aspx?App=23&amp;ReportView=4&amp;Qid=1711279&amp;Row=16641&amp;Col=1","No Title Assigned - #15276626847")</f>
        <v/>
      </c>
      <c r="B16649" s="0" t="s">
        <v>22255</v>
      </c>
      <c r="E16649" s="0" t="inlineStr">
        <is>
          <t xml:space="preserve">Mazda</t>
        </is>
      </c>
      <c r="F16649" s="0" t="inlineStr">
        <is>
          <t xml:space="preserve">Mazda</t>
        </is>
      </c>
      <c r="G16649" s="0" t="s">
        <v>171</v>
      </c>
      <c r="H16649" s="5">
        <v>121.051500</v>
      </c>
    </row>
    <row r="16650" spans="1:9">
      <c r="A16650" s="22" t="str">
        <f>HYPERLINK("https://app.vivvix.com/360/KMI/IntelliDrive/ApplUI/Pages/CreativePages/CustomReportCreativeDetail.aspx?App=23&amp;ReportView=4&amp;Qid=1711279&amp;Row=16642&amp;Col=1","No Title Assigned - #15276627008")</f>
        <v/>
      </c>
      <c r="B16650" s="0" t="s">
        <v>22256</v>
      </c>
      <c r="E16650" s="0" t="inlineStr">
        <is>
          <t xml:space="preserve">Mazda</t>
        </is>
      </c>
      <c r="F16650" s="0" t="inlineStr">
        <is>
          <t xml:space="preserve">Mazda</t>
        </is>
      </c>
      <c r="G16650" s="0" t="s">
        <v>171</v>
      </c>
      <c r="H16650" s="5">
        <v>75.308300</v>
      </c>
    </row>
    <row r="16651" spans="1:9">
      <c r="A16651" s="22" t="str">
        <f>HYPERLINK("https://app.vivvix.com/360/KMI/IntelliDrive/ApplUI/Pages/CreativePages/CustomReportCreativeDetail.aspx?App=23&amp;ReportView=4&amp;Qid=1711279&amp;Row=16643&amp;Col=1","No Title Assigned - #15276627072")</f>
        <v/>
      </c>
      <c r="B16651" s="0" t="s">
        <v>22257</v>
      </c>
      <c r="E16651" s="0" t="inlineStr">
        <is>
          <t xml:space="preserve">Mazda</t>
        </is>
      </c>
      <c r="F16651" s="0" t="inlineStr">
        <is>
          <t xml:space="preserve">Mazda</t>
        </is>
      </c>
      <c r="G16651" s="0" t="s">
        <v>171</v>
      </c>
      <c r="H16651" s="5">
        <v>299.301700</v>
      </c>
    </row>
    <row r="16652" spans="1:9">
      <c r="A16652" s="22" t="str">
        <f>HYPERLINK("https://app.vivvix.com/360/KMI/IntelliDrive/ApplUI/Pages/CreativePages/CustomReportCreativeDetail.aspx?App=23&amp;ReportView=4&amp;Qid=1711279&amp;Row=16644&amp;Col=1","No Title Assigned - #15276627143")</f>
        <v/>
      </c>
      <c r="B16652" s="0" t="s">
        <v>22258</v>
      </c>
      <c r="E16652" s="0" t="inlineStr">
        <is>
          <t xml:space="preserve">Mazda</t>
        </is>
      </c>
      <c r="F16652" s="0" t="inlineStr">
        <is>
          <t xml:space="preserve">Mazda</t>
        </is>
      </c>
      <c r="G16652" s="0" t="s">
        <v>171</v>
      </c>
      <c r="H16652" s="5">
        <v>423.025800</v>
      </c>
    </row>
    <row r="16653" spans="1:9">
      <c r="A16653" s="22" t="str">
        <f>HYPERLINK("https://app.vivvix.com/360/KMI/IntelliDrive/ApplUI/Pages/CreativePages/CustomReportCreativeDetail.aspx?App=23&amp;ReportView=4&amp;Qid=1711279&amp;Row=16645&amp;Col=1","No Title Assigned - #15276627152")</f>
        <v/>
      </c>
      <c r="B16653" s="0" t="s">
        <v>22259</v>
      </c>
      <c r="E16653" s="0" t="inlineStr">
        <is>
          <t xml:space="preserve">Mazda</t>
        </is>
      </c>
      <c r="F16653" s="0" t="inlineStr">
        <is>
          <t xml:space="preserve">Mazda</t>
        </is>
      </c>
      <c r="G16653" s="0" t="s">
        <v>171</v>
      </c>
      <c r="H16653" s="5">
        <v>411.522800</v>
      </c>
    </row>
    <row r="16654" spans="1:9">
      <c r="A16654" s="22" t="str">
        <f>HYPERLINK("https://app.vivvix.com/360/KMI/IntelliDrive/ApplUI/Pages/CreativePages/CustomReportCreativeDetail.aspx?App=23&amp;ReportView=4&amp;Qid=1711279&amp;Row=16646&amp;Col=1","No Title Assigned - #15276627342")</f>
        <v/>
      </c>
      <c r="B16654" s="0" t="s">
        <v>22260</v>
      </c>
      <c r="E16654" s="0" t="inlineStr">
        <is>
          <t xml:space="preserve">Mazda</t>
        </is>
      </c>
      <c r="F16654" s="0" t="inlineStr">
        <is>
          <t xml:space="preserve">Mazda</t>
        </is>
      </c>
      <c r="G16654" s="0" t="s">
        <v>171</v>
      </c>
      <c r="H16654" s="5">
        <v>607.200600</v>
      </c>
    </row>
    <row r="16655" spans="1:9">
      <c r="A16655" s="22" t="str">
        <f>HYPERLINK("https://app.vivvix.com/360/KMI/IntelliDrive/ApplUI/Pages/CreativePages/CustomReportCreativeDetail.aspx?App=23&amp;ReportView=4&amp;Qid=1711279&amp;Row=16647&amp;Col=1","No Title Assigned - #15276627365")</f>
        <v/>
      </c>
      <c r="B16655" s="0" t="s">
        <v>22261</v>
      </c>
      <c r="E16655" s="0" t="inlineStr">
        <is>
          <t xml:space="preserve">Mazda</t>
        </is>
      </c>
      <c r="F16655" s="0" t="inlineStr">
        <is>
          <t xml:space="preserve">Mazda</t>
        </is>
      </c>
      <c r="G16655" s="0" t="s">
        <v>171</v>
      </c>
      <c r="H16655" s="5">
        <v>14.106500</v>
      </c>
    </row>
    <row r="16656" spans="1:9">
      <c r="A16656" s="22" t="str">
        <f>HYPERLINK("https://app.vivvix.com/360/KMI/IntelliDrive/ApplUI/Pages/CreativePages/CustomReportCreativeDetail.aspx?App=23&amp;ReportView=4&amp;Qid=1711279&amp;Row=16648&amp;Col=1","No Title Assigned - #15276627584")</f>
        <v/>
      </c>
      <c r="B16656" s="0" t="s">
        <v>22262</v>
      </c>
      <c r="E16656" s="0" t="inlineStr">
        <is>
          <t xml:space="preserve">Mazda</t>
        </is>
      </c>
      <c r="F16656" s="0" t="inlineStr">
        <is>
          <t xml:space="preserve">Mazda</t>
        </is>
      </c>
      <c r="G16656" s="0" t="s">
        <v>171</v>
      </c>
      <c r="H16656" s="5">
        <v>124.924600</v>
      </c>
    </row>
    <row r="16657" spans="1:9">
      <c r="A16657" s="22" t="str">
        <f>HYPERLINK("https://app.vivvix.com/360/KMI/IntelliDrive/ApplUI/Pages/CreativePages/CustomReportCreativeDetail.aspx?App=23&amp;ReportView=4&amp;Qid=1711279&amp;Row=16649&amp;Col=1","No Title Assigned - #15276627654")</f>
        <v/>
      </c>
      <c r="B16657" s="0" t="s">
        <v>22263</v>
      </c>
      <c r="E16657" s="0" t="inlineStr">
        <is>
          <t xml:space="preserve">Mazda</t>
        </is>
      </c>
      <c r="F16657" s="0" t="inlineStr">
        <is>
          <t xml:space="preserve">Mazda</t>
        </is>
      </c>
      <c r="G16657" s="0" t="s">
        <v>171</v>
      </c>
      <c r="H16657" s="5">
        <v>386.081800</v>
      </c>
    </row>
    <row r="16658" spans="1:9">
      <c r="A16658" s="22" t="str">
        <f>HYPERLINK("https://app.vivvix.com/360/KMI/IntelliDrive/ApplUI/Pages/CreativePages/CustomReportCreativeDetail.aspx?App=23&amp;ReportView=4&amp;Qid=1711279&amp;Row=16650&amp;Col=1","No Title Assigned - #15276627723")</f>
        <v/>
      </c>
      <c r="B16658" s="0" t="s">
        <v>22264</v>
      </c>
      <c r="E16658" s="0" t="inlineStr">
        <is>
          <t xml:space="preserve">Mazda</t>
        </is>
      </c>
      <c r="F16658" s="0" t="inlineStr">
        <is>
          <t xml:space="preserve">Mazda</t>
        </is>
      </c>
      <c r="G16658" s="0" t="s">
        <v>171</v>
      </c>
      <c r="H16658" s="5">
        <v>97.030300</v>
      </c>
    </row>
    <row r="16659" spans="1:9">
      <c r="A16659" s="22" t="str">
        <f>HYPERLINK("https://app.vivvix.com/360/KMI/IntelliDrive/ApplUI/Pages/CreativePages/CustomReportCreativeDetail.aspx?App=23&amp;ReportView=4&amp;Qid=1711279&amp;Row=16651&amp;Col=1","No Title Assigned - #15276628521")</f>
        <v/>
      </c>
      <c r="B16659" s="0" t="s">
        <v>22265</v>
      </c>
      <c r="E16659" s="0" t="inlineStr">
        <is>
          <t xml:space="preserve">Mazda</t>
        </is>
      </c>
      <c r="F16659" s="0" t="inlineStr">
        <is>
          <t xml:space="preserve">Mazda</t>
        </is>
      </c>
      <c r="G16659" s="0" t="s">
        <v>171</v>
      </c>
      <c r="H16659" s="5">
        <v>118.248000</v>
      </c>
    </row>
    <row r="16660" spans="1:9">
      <c r="A16660" s="22" t="str">
        <f>HYPERLINK("https://app.vivvix.com/360/KMI/IntelliDrive/ApplUI/Pages/CreativePages/CustomReportCreativeDetail.aspx?App=23&amp;ReportView=4&amp;Qid=1711279&amp;Row=16652&amp;Col=1","No Title Assigned - #15276628726")</f>
        <v/>
      </c>
      <c r="B16660" s="0" t="s">
        <v>22266</v>
      </c>
      <c r="E16660" s="0" t="inlineStr">
        <is>
          <t xml:space="preserve">Mazda</t>
        </is>
      </c>
      <c r="F16660" s="0" t="inlineStr">
        <is>
          <t xml:space="preserve">Mazda</t>
        </is>
      </c>
      <c r="G16660" s="0" t="s">
        <v>171</v>
      </c>
      <c r="H16660" s="5">
        <v>16.416200</v>
      </c>
    </row>
    <row r="16661" spans="1:9">
      <c r="A16661" s="22" t="str">
        <f>HYPERLINK("https://app.vivvix.com/360/KMI/IntelliDrive/ApplUI/Pages/CreativePages/CustomReportCreativeDetail.aspx?App=23&amp;ReportView=4&amp;Qid=1711279&amp;Row=16653&amp;Col=1","No Title Assigned - #15276629008")</f>
        <v/>
      </c>
      <c r="B16661" s="0" t="s">
        <v>22267</v>
      </c>
      <c r="E16661" s="0" t="inlineStr">
        <is>
          <t xml:space="preserve">Mazda</t>
        </is>
      </c>
      <c r="F16661" s="0" t="inlineStr">
        <is>
          <t xml:space="preserve">Mazda</t>
        </is>
      </c>
      <c r="G16661" s="0" t="s">
        <v>171</v>
      </c>
      <c r="H16661" s="5">
        <v>58.005600</v>
      </c>
    </row>
    <row r="16662" spans="1:9">
      <c r="A16662" s="22" t="str">
        <f>HYPERLINK("https://app.vivvix.com/360/KMI/IntelliDrive/ApplUI/Pages/CreativePages/CustomReportCreativeDetail.aspx?App=23&amp;ReportView=4&amp;Qid=1711279&amp;Row=16654&amp;Col=1","No Title Assigned - #15276629103")</f>
        <v/>
      </c>
      <c r="B16662" s="0" t="s">
        <v>22268</v>
      </c>
      <c r="E16662" s="0" t="inlineStr">
        <is>
          <t xml:space="preserve">Mazda</t>
        </is>
      </c>
      <c r="F16662" s="0" t="inlineStr">
        <is>
          <t xml:space="preserve">Mazda</t>
        </is>
      </c>
      <c r="G16662" s="0" t="s">
        <v>171</v>
      </c>
      <c r="H16662" s="5">
        <v>837.264500</v>
      </c>
    </row>
    <row r="16663" spans="1:9">
      <c r="A16663" s="22" t="str">
        <f>HYPERLINK("https://app.vivvix.com/360/KMI/IntelliDrive/ApplUI/Pages/CreativePages/CustomReportCreativeDetail.aspx?App=23&amp;ReportView=4&amp;Qid=1711279&amp;Row=16655&amp;Col=1","No Title Assigned - #15276629125")</f>
        <v/>
      </c>
      <c r="B16663" s="0" t="s">
        <v>22269</v>
      </c>
      <c r="C16663" s="0" t="s">
        <v>22270</v>
      </c>
      <c r="D16663" s="0" t="s">
        <v>11469</v>
      </c>
      <c r="E16663" s="0" t="inlineStr">
        <is>
          <t xml:space="preserve">Mazda</t>
        </is>
      </c>
      <c r="F16663" s="0" t="s">
        <v>13</v>
      </c>
      <c r="G16663" s="0" t="s">
        <v>49</v>
      </c>
      <c r="H16663" s="5">
        <v>207.773700</v>
      </c>
    </row>
    <row r="16664" spans="1:9">
      <c r="A16664" s="22" t="str">
        <f>HYPERLINK("https://app.vivvix.com/360/KMI/IntelliDrive/ApplUI/Pages/CreativePages/CustomReportCreativeDetail.aspx?App=23&amp;ReportView=4&amp;Qid=1711279&amp;Row=16656&amp;Col=1","No Title Assigned - #15276629179")</f>
        <v/>
      </c>
      <c r="B16664" s="0" t="s">
        <v>22271</v>
      </c>
      <c r="E16664" s="0" t="inlineStr">
        <is>
          <t xml:space="preserve">Mazda</t>
        </is>
      </c>
      <c r="F16664" s="0" t="inlineStr">
        <is>
          <t xml:space="preserve">Mazda</t>
        </is>
      </c>
      <c r="G16664" s="0" t="s">
        <v>171</v>
      </c>
      <c r="H16664" s="5">
        <v>49.803000</v>
      </c>
    </row>
    <row r="16665" spans="1:9">
      <c r="A16665" s="22" t="str">
        <f>HYPERLINK("https://app.vivvix.com/360/KMI/IntelliDrive/ApplUI/Pages/CreativePages/CustomReportCreativeDetail.aspx?App=23&amp;ReportView=4&amp;Qid=1711279&amp;Row=16657&amp;Col=1","No Title Assigned - #15276629297")</f>
        <v/>
      </c>
      <c r="B16665" s="0" t="s">
        <v>22272</v>
      </c>
      <c r="E16665" s="0" t="inlineStr">
        <is>
          <t xml:space="preserve">Mazda</t>
        </is>
      </c>
      <c r="F16665" s="0" t="inlineStr">
        <is>
          <t xml:space="preserve">Mazda</t>
        </is>
      </c>
      <c r="G16665" s="0" t="s">
        <v>171</v>
      </c>
      <c r="H16665" s="5">
        <v>607.200600</v>
      </c>
    </row>
    <row r="16666" spans="1:9">
      <c r="A16666" s="22" t="str">
        <f>HYPERLINK("https://app.vivvix.com/360/KMI/IntelliDrive/ApplUI/Pages/CreativePages/CustomReportCreativeDetail.aspx?App=23&amp;ReportView=4&amp;Qid=1711279&amp;Row=16658&amp;Col=1","No Title Assigned - #15276629510")</f>
        <v/>
      </c>
      <c r="B16666" s="0" t="s">
        <v>22273</v>
      </c>
      <c r="C16666" s="0" t="s">
        <v>22274</v>
      </c>
      <c r="D16666" s="0" t="s">
        <v>22274</v>
      </c>
      <c r="E16666" s="0" t="inlineStr">
        <is>
          <t xml:space="preserve">Mazda</t>
        </is>
      </c>
      <c r="F16666" s="0" t="inlineStr">
        <is>
          <t xml:space="preserve">Mazda</t>
        </is>
      </c>
      <c r="G16666" s="0" t="s">
        <v>171</v>
      </c>
      <c r="H16666" s="5">
        <v>1931.504900</v>
      </c>
    </row>
    <row r="16667" spans="1:9">
      <c r="A16667" s="22" t="str">
        <f>HYPERLINK("https://app.vivvix.com/360/KMI/IntelliDrive/ApplUI/Pages/CreativePages/CustomReportCreativeDetail.aspx?App=23&amp;ReportView=4&amp;Qid=1711279&amp;Row=16659&amp;Col=1","No Title Assigned - #15276629553")</f>
        <v/>
      </c>
      <c r="B16667" s="0" t="s">
        <v>22275</v>
      </c>
      <c r="E16667" s="0" t="inlineStr">
        <is>
          <t xml:space="preserve">Mazda</t>
        </is>
      </c>
      <c r="F16667" s="0" t="inlineStr">
        <is>
          <t xml:space="preserve">Mazda</t>
        </is>
      </c>
      <c r="G16667" s="0" t="s">
        <v>171</v>
      </c>
      <c r="H16667" s="5">
        <v>99.923700</v>
      </c>
    </row>
    <row r="16668" spans="1:9">
      <c r="A16668" s="22" t="str">
        <f>HYPERLINK("https://app.vivvix.com/360/KMI/IntelliDrive/ApplUI/Pages/CreativePages/CustomReportCreativeDetail.aspx?App=23&amp;ReportView=4&amp;Qid=1711279&amp;Row=16660&amp;Col=1","No Title Assigned - #15276629631")</f>
        <v/>
      </c>
      <c r="B16668" s="0" t="s">
        <v>22276</v>
      </c>
      <c r="E16668" s="0" t="inlineStr">
        <is>
          <t xml:space="preserve">Mazda</t>
        </is>
      </c>
      <c r="F16668" s="0" t="inlineStr">
        <is>
          <t xml:space="preserve">Mazda</t>
        </is>
      </c>
      <c r="G16668" s="0" t="s">
        <v>171</v>
      </c>
      <c r="H16668" s="5">
        <v>922.140700</v>
      </c>
    </row>
    <row r="16669" spans="1:9">
      <c r="A16669" s="22" t="str">
        <f>HYPERLINK("https://app.vivvix.com/360/KMI/IntelliDrive/ApplUI/Pages/CreativePages/CustomReportCreativeDetail.aspx?App=23&amp;ReportView=4&amp;Qid=1711279&amp;Row=16661&amp;Col=1","No Title Assigned - #15276629852")</f>
        <v/>
      </c>
      <c r="B16669" s="0" t="s">
        <v>22277</v>
      </c>
      <c r="E16669" s="0" t="inlineStr">
        <is>
          <t xml:space="preserve">Mazda</t>
        </is>
      </c>
      <c r="F16669" s="0" t="inlineStr">
        <is>
          <t xml:space="preserve">Mazda</t>
        </is>
      </c>
      <c r="G16669" s="0" t="s">
        <v>171</v>
      </c>
      <c r="H16669" s="5">
        <v>12.199800</v>
      </c>
    </row>
    <row r="16670" spans="1:9">
      <c r="A16670" s="22" t="str">
        <f>HYPERLINK("https://app.vivvix.com/360/KMI/IntelliDrive/ApplUI/Pages/CreativePages/CustomReportCreativeDetail.aspx?App=23&amp;ReportView=4&amp;Qid=1711279&amp;Row=16662&amp;Col=1","No Title Assigned - #15276629910")</f>
        <v/>
      </c>
      <c r="B16670" s="0" t="s">
        <v>22278</v>
      </c>
      <c r="E16670" s="0" t="inlineStr">
        <is>
          <t xml:space="preserve">Mazda</t>
        </is>
      </c>
      <c r="F16670" s="0" t="inlineStr">
        <is>
          <t xml:space="preserve">Mazda</t>
        </is>
      </c>
      <c r="G16670" s="0" t="s">
        <v>171</v>
      </c>
      <c r="H16670" s="5">
        <v>91.575200</v>
      </c>
    </row>
    <row r="16671" spans="1:9">
      <c r="A16671" s="22" t="str">
        <f>HYPERLINK("https://app.vivvix.com/360/KMI/IntelliDrive/ApplUI/Pages/CreativePages/CustomReportCreativeDetail.aspx?App=23&amp;ReportView=4&amp;Qid=1711279&amp;Row=16663&amp;Col=1","No Title Assigned - #15276630260")</f>
        <v/>
      </c>
      <c r="B16671" s="0" t="s">
        <v>22279</v>
      </c>
      <c r="C16671" s="0" t="s">
        <v>22280</v>
      </c>
      <c r="D16671" s="0" t="s">
        <v>22280</v>
      </c>
      <c r="E16671" s="0" t="inlineStr">
        <is>
          <t xml:space="preserve">Mazda</t>
        </is>
      </c>
      <c r="F16671" s="0" t="inlineStr">
        <is>
          <t xml:space="preserve">Mazda</t>
        </is>
      </c>
      <c r="G16671" s="0" t="s">
        <v>171</v>
      </c>
      <c r="H16671" s="5">
        <v>48311.817900</v>
      </c>
    </row>
    <row r="16672" spans="1:9">
      <c r="A16672" s="22" t="str">
        <f>HYPERLINK("https://app.vivvix.com/360/KMI/IntelliDrive/ApplUI/Pages/CreativePages/CustomReportCreativeDetail.aspx?App=23&amp;ReportView=4&amp;Qid=1711279&amp;Row=16664&amp;Col=1","No Title Assigned - #15276630260")</f>
        <v/>
      </c>
      <c r="B16672" s="0" t="s">
        <v>22279</v>
      </c>
      <c r="E16672" s="0" t="inlineStr">
        <is>
          <t xml:space="preserve">Mazda</t>
        </is>
      </c>
      <c r="F16672" s="0" t="inlineStr">
        <is>
          <t xml:space="preserve">Mazda</t>
        </is>
      </c>
      <c r="G16672" s="0" t="s">
        <v>171</v>
      </c>
      <c r="H16672" s="5">
        <v>2178.534300</v>
      </c>
    </row>
    <row r="16673" spans="1:9">
      <c r="A16673" s="22" t="str">
        <f>HYPERLINK("https://app.vivvix.com/360/KMI/IntelliDrive/ApplUI/Pages/CreativePages/CustomReportCreativeDetail.aspx?App=23&amp;ReportView=4&amp;Qid=1711279&amp;Row=16665&amp;Col=1","No Title Assigned - #15276630330")</f>
        <v/>
      </c>
      <c r="B16673" s="0" t="s">
        <v>22281</v>
      </c>
      <c r="E16673" s="0" t="inlineStr">
        <is>
          <t xml:space="preserve">Mazda</t>
        </is>
      </c>
      <c r="F16673" s="0" t="inlineStr">
        <is>
          <t xml:space="preserve">Mazda</t>
        </is>
      </c>
      <c r="G16673" s="0" t="s">
        <v>171</v>
      </c>
      <c r="H16673" s="5">
        <v>120.713900</v>
      </c>
    </row>
    <row r="16674" spans="1:9">
      <c r="A16674" s="22" t="str">
        <f>HYPERLINK("https://app.vivvix.com/360/KMI/IntelliDrive/ApplUI/Pages/CreativePages/CustomReportCreativeDetail.aspx?App=23&amp;ReportView=4&amp;Qid=1711279&amp;Row=16666&amp;Col=1","No Title Assigned - #15276630451")</f>
        <v/>
      </c>
      <c r="B16674" s="0" t="s">
        <v>22282</v>
      </c>
      <c r="E16674" s="0" t="inlineStr">
        <is>
          <t xml:space="preserve">Mazda</t>
        </is>
      </c>
      <c r="F16674" s="0" t="inlineStr">
        <is>
          <t xml:space="preserve">Mazda</t>
        </is>
      </c>
      <c r="G16674" s="0" t="s">
        <v>171</v>
      </c>
      <c r="H16674" s="5">
        <v>133.371200</v>
      </c>
    </row>
    <row r="16675" spans="1:9">
      <c r="A16675" s="22" t="str">
        <f>HYPERLINK("https://app.vivvix.com/360/KMI/IntelliDrive/ApplUI/Pages/CreativePages/CustomReportCreativeDetail.aspx?App=23&amp;ReportView=4&amp;Qid=1711279&amp;Row=16667&amp;Col=1","No Title Assigned - #15276630748")</f>
        <v/>
      </c>
      <c r="B16675" s="0" t="s">
        <v>22283</v>
      </c>
      <c r="E16675" s="0" t="inlineStr">
        <is>
          <t xml:space="preserve">Mazda</t>
        </is>
      </c>
      <c r="F16675" s="0" t="inlineStr">
        <is>
          <t xml:space="preserve">Mazda</t>
        </is>
      </c>
      <c r="G16675" s="0" t="s">
        <v>171</v>
      </c>
      <c r="H16675" s="5">
        <v>10.020400</v>
      </c>
    </row>
    <row r="16676" spans="1:9">
      <c r="A16676" s="22" t="str">
        <f>HYPERLINK("https://app.vivvix.com/360/KMI/IntelliDrive/ApplUI/Pages/CreativePages/CustomReportCreativeDetail.aspx?App=23&amp;ReportView=4&amp;Qid=1711279&amp;Row=16668&amp;Col=1","No Title Assigned - #15276630818")</f>
        <v/>
      </c>
      <c r="B16676" s="0" t="s">
        <v>22284</v>
      </c>
      <c r="E16676" s="0" t="inlineStr">
        <is>
          <t xml:space="preserve">Mazda</t>
        </is>
      </c>
      <c r="F16676" s="0" t="inlineStr">
        <is>
          <t xml:space="preserve">Mazda</t>
        </is>
      </c>
      <c r="G16676" s="0" t="s">
        <v>171</v>
      </c>
      <c r="H16676" s="5">
        <v>0.796900</v>
      </c>
    </row>
    <row r="16677" spans="1:9">
      <c r="A16677" s="22" t="str">
        <f>HYPERLINK("https://app.vivvix.com/360/KMI/IntelliDrive/ApplUI/Pages/CreativePages/CustomReportCreativeDetail.aspx?App=23&amp;ReportView=4&amp;Qid=1711279&amp;Row=16669&amp;Col=1","No Title Assigned - #15276631146")</f>
        <v/>
      </c>
      <c r="B16677" s="0" t="s">
        <v>22285</v>
      </c>
      <c r="E16677" s="0" t="inlineStr">
        <is>
          <t xml:space="preserve">Mazda</t>
        </is>
      </c>
      <c r="F16677" s="0" t="inlineStr">
        <is>
          <t xml:space="preserve">Mazda</t>
        </is>
      </c>
      <c r="G16677" s="0" t="s">
        <v>171</v>
      </c>
      <c r="H16677" s="5">
        <v>72.826500</v>
      </c>
    </row>
    <row r="16678" spans="1:9">
      <c r="A16678" s="22" t="str">
        <f>HYPERLINK("https://app.vivvix.com/360/KMI/IntelliDrive/ApplUI/Pages/CreativePages/CustomReportCreativeDetail.aspx?App=23&amp;ReportView=4&amp;Qid=1711279&amp;Row=16670&amp;Col=1","No Title Assigned - #15276631331")</f>
        <v/>
      </c>
      <c r="B16678" s="0" t="s">
        <v>22286</v>
      </c>
      <c r="E16678" s="0" t="inlineStr">
        <is>
          <t xml:space="preserve">Mazda</t>
        </is>
      </c>
      <c r="F16678" s="0" t="inlineStr">
        <is>
          <t xml:space="preserve">Mazda</t>
        </is>
      </c>
      <c r="G16678" s="0" t="s">
        <v>171</v>
      </c>
      <c r="H16678" s="5">
        <v>14.106500</v>
      </c>
    </row>
    <row r="16679" spans="1:9">
      <c r="A16679" s="22" t="str">
        <f>HYPERLINK("https://app.vivvix.com/360/KMI/IntelliDrive/ApplUI/Pages/CreativePages/CustomReportCreativeDetail.aspx?App=23&amp;ReportView=4&amp;Qid=1711279&amp;Row=16671&amp;Col=1","No Title Assigned - #15276631361")</f>
        <v/>
      </c>
      <c r="B16679" s="0" t="s">
        <v>22287</v>
      </c>
      <c r="E16679" s="0" t="inlineStr">
        <is>
          <t xml:space="preserve">Mazda</t>
        </is>
      </c>
      <c r="F16679" s="0" t="inlineStr">
        <is>
          <t xml:space="preserve">Mazda</t>
        </is>
      </c>
      <c r="G16679" s="0" t="s">
        <v>171</v>
      </c>
      <c r="H16679" s="5">
        <v>80.400100</v>
      </c>
    </row>
    <row r="16680" spans="1:9">
      <c r="A16680" s="22" t="str">
        <f>HYPERLINK("https://app.vivvix.com/360/KMI/IntelliDrive/ApplUI/Pages/CreativePages/CustomReportCreativeDetail.aspx?App=23&amp;ReportView=4&amp;Qid=1711279&amp;Row=16672&amp;Col=1","No Title Assigned - #15276631465")</f>
        <v/>
      </c>
      <c r="B16680" s="0" t="s">
        <v>22288</v>
      </c>
      <c r="E16680" s="0" t="inlineStr">
        <is>
          <t xml:space="preserve">Mazda</t>
        </is>
      </c>
      <c r="F16680" s="0" t="inlineStr">
        <is>
          <t xml:space="preserve">Mazda</t>
        </is>
      </c>
      <c r="G16680" s="0" t="s">
        <v>171</v>
      </c>
      <c r="H16680" s="5">
        <v>2.837900</v>
      </c>
    </row>
    <row r="16681" spans="1:9">
      <c r="A16681" s="22" t="str">
        <f>HYPERLINK("https://app.vivvix.com/360/KMI/IntelliDrive/ApplUI/Pages/CreativePages/CustomReportCreativeDetail.aspx?App=23&amp;ReportView=4&amp;Qid=1711279&amp;Row=16673&amp;Col=1","No Title Assigned - #15276631538")</f>
        <v/>
      </c>
      <c r="B16681" s="0" t="s">
        <v>22289</v>
      </c>
      <c r="E16681" s="0" t="inlineStr">
        <is>
          <t xml:space="preserve">Mazda</t>
        </is>
      </c>
      <c r="F16681" s="0" t="inlineStr">
        <is>
          <t xml:space="preserve">Mazda</t>
        </is>
      </c>
      <c r="G16681" s="0" t="s">
        <v>171</v>
      </c>
      <c r="H16681" s="5">
        <v>72.685200</v>
      </c>
    </row>
    <row r="16682" spans="1:9">
      <c r="A16682" s="22" t="str">
        <f>HYPERLINK("https://app.vivvix.com/360/KMI/IntelliDrive/ApplUI/Pages/CreativePages/CustomReportCreativeDetail.aspx?App=23&amp;ReportView=4&amp;Qid=1711279&amp;Row=16674&amp;Col=1","No Title Assigned - #15276631691")</f>
        <v/>
      </c>
      <c r="B16682" s="0" t="s">
        <v>22290</v>
      </c>
      <c r="E16682" s="0" t="inlineStr">
        <is>
          <t xml:space="preserve">Mazda</t>
        </is>
      </c>
      <c r="F16682" s="0" t="inlineStr">
        <is>
          <t xml:space="preserve">Mazda</t>
        </is>
      </c>
      <c r="G16682" s="0" t="s">
        <v>171</v>
      </c>
      <c r="H16682" s="5">
        <v>99.923700</v>
      </c>
    </row>
    <row r="16683" spans="1:9">
      <c r="A16683" s="22" t="str">
        <f>HYPERLINK("https://app.vivvix.com/360/KMI/IntelliDrive/ApplUI/Pages/CreativePages/CustomReportCreativeDetail.aspx?App=23&amp;ReportView=4&amp;Qid=1711279&amp;Row=16675&amp;Col=1","No Title Assigned - #15276631937")</f>
        <v/>
      </c>
      <c r="B16683" s="0" t="s">
        <v>22291</v>
      </c>
      <c r="E16683" s="0" t="inlineStr">
        <is>
          <t xml:space="preserve">Mazda</t>
        </is>
      </c>
      <c r="F16683" s="0" t="inlineStr">
        <is>
          <t xml:space="preserve">Mazda</t>
        </is>
      </c>
      <c r="G16683" s="0" t="s">
        <v>171</v>
      </c>
      <c r="H16683" s="5">
        <v>11.281500</v>
      </c>
    </row>
    <row r="16684" spans="1:9">
      <c r="A16684" s="22" t="str">
        <f>HYPERLINK("https://app.vivvix.com/360/KMI/IntelliDrive/ApplUI/Pages/CreativePages/CustomReportCreativeDetail.aspx?App=23&amp;ReportView=4&amp;Qid=1711279&amp;Row=16676&amp;Col=1","No Title Assigned - #15276632065")</f>
        <v/>
      </c>
      <c r="B16684" s="0" t="s">
        <v>22292</v>
      </c>
      <c r="C16684" s="0" t="s">
        <v>22293</v>
      </c>
      <c r="D16684" s="0" t="s">
        <v>8779</v>
      </c>
      <c r="E16684" s="0" t="inlineStr">
        <is>
          <t xml:space="preserve">Mazda</t>
        </is>
      </c>
      <c r="F16684" s="0" t="s">
        <v>13</v>
      </c>
      <c r="G16684" s="0" t="s">
        <v>49</v>
      </c>
      <c r="H16684" s="5">
        <v>131.527400</v>
      </c>
    </row>
    <row r="16685" spans="1:9">
      <c r="A16685" s="22" t="str">
        <f>HYPERLINK("https://app.vivvix.com/360/KMI/IntelliDrive/ApplUI/Pages/CreativePages/CustomReportCreativeDetail.aspx?App=23&amp;ReportView=4&amp;Qid=1711279&amp;Row=16677&amp;Col=1","No Title Assigned - #15276632066")</f>
        <v/>
      </c>
      <c r="B16685" s="0" t="s">
        <v>22294</v>
      </c>
      <c r="C16685" s="0" t="s">
        <v>22295</v>
      </c>
      <c r="D16685" s="0" t="s">
        <v>6183</v>
      </c>
      <c r="E16685" s="0" t="inlineStr">
        <is>
          <t xml:space="preserve">Mazda</t>
        </is>
      </c>
      <c r="F16685" s="0" t="s">
        <v>13</v>
      </c>
      <c r="G16685" s="0" t="s">
        <v>49</v>
      </c>
      <c r="H16685" s="5">
        <v>131.527400</v>
      </c>
    </row>
    <row r="16686" spans="1:9">
      <c r="A16686" s="22" t="str">
        <f>HYPERLINK("https://app.vivvix.com/360/KMI/IntelliDrive/ApplUI/Pages/CreativePages/CustomReportCreativeDetail.aspx?App=23&amp;ReportView=4&amp;Qid=1711279&amp;Row=16678&amp;Col=1","No Title Assigned - #15276632298")</f>
        <v/>
      </c>
      <c r="B16686" s="0" t="s">
        <v>22296</v>
      </c>
      <c r="E16686" s="0" t="inlineStr">
        <is>
          <t xml:space="preserve">Mazda</t>
        </is>
      </c>
      <c r="F16686" s="0" t="inlineStr">
        <is>
          <t xml:space="preserve">Mazda</t>
        </is>
      </c>
      <c r="G16686" s="0" t="s">
        <v>171</v>
      </c>
      <c r="H16686" s="5">
        <v>14.106500</v>
      </c>
    </row>
    <row r="16687" spans="1:9">
      <c r="A16687" s="22" t="str">
        <f>HYPERLINK("https://app.vivvix.com/360/KMI/IntelliDrive/ApplUI/Pages/CreativePages/CustomReportCreativeDetail.aspx?App=23&amp;ReportView=4&amp;Qid=1711279&amp;Row=16679&amp;Col=1","No Title Assigned - #15276632418")</f>
        <v/>
      </c>
      <c r="B16687" s="0" t="s">
        <v>22297</v>
      </c>
      <c r="E16687" s="0" t="inlineStr">
        <is>
          <t xml:space="preserve">Mazda</t>
        </is>
      </c>
      <c r="F16687" s="0" t="inlineStr">
        <is>
          <t xml:space="preserve">Mazda</t>
        </is>
      </c>
      <c r="G16687" s="0" t="s">
        <v>171</v>
      </c>
      <c r="H16687" s="5">
        <v>342.823100</v>
      </c>
    </row>
    <row r="16688" spans="1:9">
      <c r="A16688" s="22" t="str">
        <f>HYPERLINK("https://app.vivvix.com/360/KMI/IntelliDrive/ApplUI/Pages/CreativePages/CustomReportCreativeDetail.aspx?App=23&amp;ReportView=4&amp;Qid=1711279&amp;Row=16680&amp;Col=1","No Title Assigned - #15276632902")</f>
        <v/>
      </c>
      <c r="B16688" s="0" t="s">
        <v>22298</v>
      </c>
      <c r="E16688" s="0" t="inlineStr">
        <is>
          <t xml:space="preserve">Mazda</t>
        </is>
      </c>
      <c r="F16688" s="0" t="inlineStr">
        <is>
          <t xml:space="preserve">Mazda</t>
        </is>
      </c>
      <c r="G16688" s="0" t="s">
        <v>171</v>
      </c>
      <c r="H16688" s="5">
        <v>1879.423500</v>
      </c>
    </row>
    <row r="16689" spans="1:9">
      <c r="A16689" s="22" t="str">
        <f>HYPERLINK("https://app.vivvix.com/360/KMI/IntelliDrive/ApplUI/Pages/CreativePages/CustomReportCreativeDetail.aspx?App=23&amp;ReportView=4&amp;Qid=1711279&amp;Row=16681&amp;Col=1","No Title Assigned - #15276633061")</f>
        <v/>
      </c>
      <c r="B16689" s="0" t="s">
        <v>22299</v>
      </c>
      <c r="E16689" s="0" t="inlineStr">
        <is>
          <t xml:space="preserve">Mazda</t>
        </is>
      </c>
      <c r="F16689" s="0" t="inlineStr">
        <is>
          <t xml:space="preserve">Mazda</t>
        </is>
      </c>
      <c r="G16689" s="0" t="s">
        <v>171</v>
      </c>
      <c r="H16689" s="5">
        <v>1346.424600</v>
      </c>
    </row>
    <row r="16690" spans="1:9">
      <c r="A16690" s="22" t="str">
        <f>HYPERLINK("https://app.vivvix.com/360/KMI/IntelliDrive/ApplUI/Pages/CreativePages/CustomReportCreativeDetail.aspx?App=23&amp;ReportView=4&amp;Qid=1711279&amp;Row=16682&amp;Col=1","No Title Assigned - #15276633073")</f>
        <v/>
      </c>
      <c r="B16690" s="0" t="s">
        <v>22300</v>
      </c>
      <c r="E16690" s="0" t="inlineStr">
        <is>
          <t xml:space="preserve">Mazda</t>
        </is>
      </c>
      <c r="F16690" s="0" t="inlineStr">
        <is>
          <t xml:space="preserve">Mazda</t>
        </is>
      </c>
      <c r="G16690" s="0" t="s">
        <v>171</v>
      </c>
      <c r="H16690" s="5">
        <v>2147.124900</v>
      </c>
    </row>
    <row r="16691" spans="1:9">
      <c r="A16691" s="22" t="str">
        <f>HYPERLINK("https://app.vivvix.com/360/KMI/IntelliDrive/ApplUI/Pages/CreativePages/CustomReportCreativeDetail.aspx?App=23&amp;ReportView=4&amp;Qid=1711279&amp;Row=16683&amp;Col=1","No Title Assigned - #15276633110")</f>
        <v/>
      </c>
      <c r="B16691" s="0" t="s">
        <v>22301</v>
      </c>
      <c r="E16691" s="0" t="inlineStr">
        <is>
          <t xml:space="preserve">Mazda</t>
        </is>
      </c>
      <c r="F16691" s="0" t="inlineStr">
        <is>
          <t xml:space="preserve">Mazda</t>
        </is>
      </c>
      <c r="G16691" s="0" t="s">
        <v>171</v>
      </c>
      <c r="H16691" s="5">
        <v>673.212300</v>
      </c>
    </row>
    <row r="16692" spans="1:9">
      <c r="A16692" s="22" t="str">
        <f>HYPERLINK("https://app.vivvix.com/360/KMI/IntelliDrive/ApplUI/Pages/CreativePages/CustomReportCreativeDetail.aspx?App=23&amp;ReportView=4&amp;Qid=1711279&amp;Row=16684&amp;Col=1","No Title Assigned - #15276633240")</f>
        <v/>
      </c>
      <c r="B16692" s="0" t="s">
        <v>22302</v>
      </c>
      <c r="E16692" s="0" t="inlineStr">
        <is>
          <t xml:space="preserve">Mazda</t>
        </is>
      </c>
      <c r="F16692" s="0" t="inlineStr">
        <is>
          <t xml:space="preserve">Mazda</t>
        </is>
      </c>
      <c r="G16692" s="0" t="s">
        <v>171</v>
      </c>
      <c r="H16692" s="5">
        <v>35.527100</v>
      </c>
    </row>
    <row r="16693" spans="1:9">
      <c r="A16693" s="22" t="str">
        <f>HYPERLINK("https://app.vivvix.com/360/KMI/IntelliDrive/ApplUI/Pages/CreativePages/CustomReportCreativeDetail.aspx?App=23&amp;ReportView=4&amp;Qid=1711279&amp;Row=16685&amp;Col=1","No Title Assigned - #15276633437")</f>
        <v/>
      </c>
      <c r="B16693" s="0" t="s">
        <v>22303</v>
      </c>
      <c r="E16693" s="0" t="inlineStr">
        <is>
          <t xml:space="preserve">Mazda</t>
        </is>
      </c>
      <c r="F16693" s="0" t="inlineStr">
        <is>
          <t xml:space="preserve">Mazda</t>
        </is>
      </c>
      <c r="G16693" s="0" t="s">
        <v>171</v>
      </c>
      <c r="H16693" s="5">
        <v>0.796900</v>
      </c>
    </row>
    <row r="16694" spans="1:9">
      <c r="A16694" s="22" t="str">
        <f>HYPERLINK("https://app.vivvix.com/360/KMI/IntelliDrive/ApplUI/Pages/CreativePages/CustomReportCreativeDetail.aspx?App=23&amp;ReportView=4&amp;Qid=1711279&amp;Row=16686&amp;Col=1","No Title Assigned - #15276633827")</f>
        <v/>
      </c>
      <c r="B16694" s="0" t="s">
        <v>22304</v>
      </c>
      <c r="E16694" s="0" t="inlineStr">
        <is>
          <t xml:space="preserve">Mazda</t>
        </is>
      </c>
      <c r="F16694" s="0" t="inlineStr">
        <is>
          <t xml:space="preserve">Mazda</t>
        </is>
      </c>
      <c r="G16694" s="0" t="s">
        <v>171</v>
      </c>
      <c r="H16694" s="5">
        <v>257.221800</v>
      </c>
    </row>
    <row r="16695" spans="1:9">
      <c r="A16695" s="22" t="str">
        <f>HYPERLINK("https://app.vivvix.com/360/KMI/IntelliDrive/ApplUI/Pages/CreativePages/CustomReportCreativeDetail.aspx?App=23&amp;ReportView=4&amp;Qid=1711279&amp;Row=16687&amp;Col=1","No Title Assigned - #15276634253")</f>
        <v/>
      </c>
      <c r="B16695" s="0" t="s">
        <v>22305</v>
      </c>
      <c r="E16695" s="0" t="inlineStr">
        <is>
          <t xml:space="preserve">Mazda</t>
        </is>
      </c>
      <c r="F16695" s="0" t="inlineStr">
        <is>
          <t xml:space="preserve">Mazda</t>
        </is>
      </c>
      <c r="G16695" s="0" t="s">
        <v>171</v>
      </c>
      <c r="H16695" s="5">
        <v>71.029500</v>
      </c>
    </row>
    <row r="16696" spans="1:9">
      <c r="A16696" s="22" t="str">
        <f>HYPERLINK("https://app.vivvix.com/360/KMI/IntelliDrive/ApplUI/Pages/CreativePages/CustomReportCreativeDetail.aspx?App=23&amp;ReportView=4&amp;Qid=1711279&amp;Row=16688&amp;Col=1","No Title Assigned - #15276634258")</f>
        <v/>
      </c>
      <c r="B16696" s="0" t="s">
        <v>22306</v>
      </c>
      <c r="E16696" s="0" t="inlineStr">
        <is>
          <t xml:space="preserve">Mazda</t>
        </is>
      </c>
      <c r="F16696" s="0" t="inlineStr">
        <is>
          <t xml:space="preserve">Mazda</t>
        </is>
      </c>
      <c r="G16696" s="0" t="s">
        <v>171</v>
      </c>
      <c r="H16696" s="5">
        <v>38.853700</v>
      </c>
    </row>
    <row r="16697" spans="1:9">
      <c r="A16697" s="22" t="str">
        <f>HYPERLINK("https://app.vivvix.com/360/KMI/IntelliDrive/ApplUI/Pages/CreativePages/CustomReportCreativeDetail.aspx?App=23&amp;ReportView=4&amp;Qid=1711279&amp;Row=16689&amp;Col=1","No Title Assigned - #15276634811")</f>
        <v/>
      </c>
      <c r="B16697" s="0" t="s">
        <v>22307</v>
      </c>
      <c r="E16697" s="0" t="inlineStr">
        <is>
          <t xml:space="preserve">Mazda</t>
        </is>
      </c>
      <c r="F16697" s="0" t="inlineStr">
        <is>
          <t xml:space="preserve">Mazda</t>
        </is>
      </c>
      <c r="G16697" s="0" t="s">
        <v>171</v>
      </c>
      <c r="H16697" s="5">
        <v>386.081800</v>
      </c>
    </row>
    <row r="16698" spans="1:9">
      <c r="A16698" s="22" t="str">
        <f>HYPERLINK("https://app.vivvix.com/360/KMI/IntelliDrive/ApplUI/Pages/CreativePages/CustomReportCreativeDetail.aspx?App=23&amp;ReportView=4&amp;Qid=1711279&amp;Row=16690&amp;Col=1","No Title Assigned - #15276634818")</f>
        <v/>
      </c>
      <c r="B16698" s="0" t="s">
        <v>22308</v>
      </c>
      <c r="E16698" s="0" t="inlineStr">
        <is>
          <t xml:space="preserve">Mazda</t>
        </is>
      </c>
      <c r="F16698" s="0" t="inlineStr">
        <is>
          <t xml:space="preserve">Mazda</t>
        </is>
      </c>
      <c r="G16698" s="0" t="s">
        <v>171</v>
      </c>
      <c r="H16698" s="5">
        <v>342.823100</v>
      </c>
    </row>
    <row r="16699" spans="1:9">
      <c r="A16699" s="22" t="str">
        <f>HYPERLINK("https://app.vivvix.com/360/KMI/IntelliDrive/ApplUI/Pages/CreativePages/CustomReportCreativeDetail.aspx?App=23&amp;ReportView=4&amp;Qid=1711279&amp;Row=16691&amp;Col=1","No Title Assigned - #15276635042")</f>
        <v/>
      </c>
      <c r="B16699" s="0" t="s">
        <v>22309</v>
      </c>
      <c r="E16699" s="0" t="inlineStr">
        <is>
          <t xml:space="preserve">Mazda</t>
        </is>
      </c>
      <c r="F16699" s="0" t="inlineStr">
        <is>
          <t xml:space="preserve">Mazda</t>
        </is>
      </c>
      <c r="G16699" s="0" t="s">
        <v>171</v>
      </c>
      <c r="H16699" s="5">
        <v>70.611400</v>
      </c>
    </row>
    <row r="16700" spans="1:9">
      <c r="A16700" s="22" t="str">
        <f>HYPERLINK("https://app.vivvix.com/360/KMI/IntelliDrive/ApplUI/Pages/CreativePages/CustomReportCreativeDetail.aspx?App=23&amp;ReportView=4&amp;Qid=1711279&amp;Row=16692&amp;Col=1","No Title Assigned - #15276635055")</f>
        <v/>
      </c>
      <c r="B16700" s="0" t="s">
        <v>22310</v>
      </c>
      <c r="E16700" s="0" t="inlineStr">
        <is>
          <t xml:space="preserve">Mazda</t>
        </is>
      </c>
      <c r="F16700" s="0" t="inlineStr">
        <is>
          <t xml:space="preserve">Mazda</t>
        </is>
      </c>
      <c r="G16700" s="0" t="s">
        <v>171</v>
      </c>
      <c r="H16700" s="5">
        <v>56.239700</v>
      </c>
    </row>
    <row r="16701" spans="1:9">
      <c r="A16701" s="22" t="str">
        <f>HYPERLINK("https://app.vivvix.com/360/KMI/IntelliDrive/ApplUI/Pages/CreativePages/CustomReportCreativeDetail.aspx?App=23&amp;ReportView=4&amp;Qid=1711279&amp;Row=16693&amp;Col=1","No Title Assigned - #15276635213")</f>
        <v/>
      </c>
      <c r="B16701" s="0" t="s">
        <v>22311</v>
      </c>
      <c r="E16701" s="0" t="inlineStr">
        <is>
          <t xml:space="preserve">Mazda</t>
        </is>
      </c>
      <c r="F16701" s="0" t="inlineStr">
        <is>
          <t xml:space="preserve">Mazda</t>
        </is>
      </c>
      <c r="G16701" s="0" t="s">
        <v>171</v>
      </c>
      <c r="H16701" s="5">
        <v>6.647800</v>
      </c>
    </row>
    <row r="16702" spans="1:9">
      <c r="A16702" s="22" t="str">
        <f>HYPERLINK("https://app.vivvix.com/360/KMI/IntelliDrive/ApplUI/Pages/CreativePages/CustomReportCreativeDetail.aspx?App=23&amp;ReportView=4&amp;Qid=1711279&amp;Row=16694&amp;Col=1","No Title Assigned - #15276635467")</f>
        <v/>
      </c>
      <c r="B16702" s="0" t="s">
        <v>22312</v>
      </c>
      <c r="E16702" s="0" t="inlineStr">
        <is>
          <t xml:space="preserve">Mazda</t>
        </is>
      </c>
      <c r="F16702" s="0" t="inlineStr">
        <is>
          <t xml:space="preserve">Mazda</t>
        </is>
      </c>
      <c r="G16702" s="0" t="s">
        <v>171</v>
      </c>
      <c r="H16702" s="5">
        <v>23.660800</v>
      </c>
    </row>
    <row r="16703" spans="1:9">
      <c r="A16703" s="22" t="str">
        <f>HYPERLINK("https://app.vivvix.com/360/KMI/IntelliDrive/ApplUI/Pages/CreativePages/CustomReportCreativeDetail.aspx?App=23&amp;ReportView=4&amp;Qid=1711279&amp;Row=16695&amp;Col=1","No Title Assigned - #15276635661")</f>
        <v/>
      </c>
      <c r="B16703" s="0" t="s">
        <v>22313</v>
      </c>
      <c r="E16703" s="0" t="inlineStr">
        <is>
          <t xml:space="preserve">Mazda</t>
        </is>
      </c>
      <c r="F16703" s="0" t="inlineStr">
        <is>
          <t xml:space="preserve">Mazda</t>
        </is>
      </c>
      <c r="G16703" s="0" t="s">
        <v>171</v>
      </c>
      <c r="H16703" s="5">
        <v>72.826500</v>
      </c>
    </row>
    <row r="16704" spans="1:9">
      <c r="A16704" s="22" t="str">
        <f>HYPERLINK("https://app.vivvix.com/360/KMI/IntelliDrive/ApplUI/Pages/CreativePages/CustomReportCreativeDetail.aspx?App=23&amp;ReportView=4&amp;Qid=1711279&amp;Row=16696&amp;Col=1","No Title Assigned - #15276637365")</f>
        <v/>
      </c>
      <c r="B16704" s="0" t="s">
        <v>22314</v>
      </c>
      <c r="E16704" s="0" t="inlineStr">
        <is>
          <t xml:space="preserve">Mazda</t>
        </is>
      </c>
      <c r="F16704" s="0" t="inlineStr">
        <is>
          <t xml:space="preserve">Mazda</t>
        </is>
      </c>
      <c r="G16704" s="0" t="s">
        <v>171</v>
      </c>
      <c r="H16704" s="5">
        <v>32.475100</v>
      </c>
    </row>
    <row r="16705" spans="1:9">
      <c r="A16705" s="22" t="str">
        <f>HYPERLINK("https://app.vivvix.com/360/KMI/IntelliDrive/ApplUI/Pages/CreativePages/CustomReportCreativeDetail.aspx?App=23&amp;ReportView=4&amp;Qid=1711279&amp;Row=16697&amp;Col=1","No Title Assigned - #15276637394")</f>
        <v/>
      </c>
      <c r="B16705" s="0" t="s">
        <v>22315</v>
      </c>
      <c r="E16705" s="0" t="inlineStr">
        <is>
          <t xml:space="preserve">Mazda</t>
        </is>
      </c>
      <c r="F16705" s="0" t="inlineStr">
        <is>
          <t xml:space="preserve">Mazda</t>
        </is>
      </c>
      <c r="G16705" s="0" t="s">
        <v>171</v>
      </c>
      <c r="H16705" s="5">
        <v>342.823100</v>
      </c>
    </row>
    <row r="16706" spans="1:9">
      <c r="A16706" s="22" t="str">
        <f>HYPERLINK("https://app.vivvix.com/360/KMI/IntelliDrive/ApplUI/Pages/CreativePages/CustomReportCreativeDetail.aspx?App=23&amp;ReportView=4&amp;Qid=1711279&amp;Row=16698&amp;Col=1","No Title Assigned - #15276637395")</f>
        <v/>
      </c>
      <c r="B16706" s="0" t="s">
        <v>22316</v>
      </c>
      <c r="E16706" s="0" t="inlineStr">
        <is>
          <t xml:space="preserve">Mazda</t>
        </is>
      </c>
      <c r="F16706" s="0" t="inlineStr">
        <is>
          <t xml:space="preserve">Mazda</t>
        </is>
      </c>
      <c r="G16706" s="0" t="s">
        <v>171</v>
      </c>
      <c r="H16706" s="5">
        <v>342.823100</v>
      </c>
    </row>
    <row r="16707" spans="1:9">
      <c r="A16707" s="22" t="str">
        <f>HYPERLINK("https://app.vivvix.com/360/KMI/IntelliDrive/ApplUI/Pages/CreativePages/CustomReportCreativeDetail.aspx?App=23&amp;ReportView=4&amp;Qid=1711279&amp;Row=16699&amp;Col=1","No Title Assigned - #15276637449")</f>
        <v/>
      </c>
      <c r="B16707" s="0" t="s">
        <v>22317</v>
      </c>
      <c r="E16707" s="0" t="inlineStr">
        <is>
          <t xml:space="preserve">Mazda</t>
        </is>
      </c>
      <c r="F16707" s="0" t="inlineStr">
        <is>
          <t xml:space="preserve">Mazda</t>
        </is>
      </c>
      <c r="G16707" s="0" t="s">
        <v>171</v>
      </c>
      <c r="H16707" s="5">
        <v>1299.400800</v>
      </c>
    </row>
    <row r="16708" spans="1:9">
      <c r="A16708" s="22" t="str">
        <f>HYPERLINK("https://app.vivvix.com/360/KMI/IntelliDrive/ApplUI/Pages/CreativePages/CustomReportCreativeDetail.aspx?App=23&amp;ReportView=4&amp;Qid=1711279&amp;Row=16700&amp;Col=1","No Title Assigned - #15276637465")</f>
        <v/>
      </c>
      <c r="B16708" s="0" t="s">
        <v>22318</v>
      </c>
      <c r="E16708" s="0" t="inlineStr">
        <is>
          <t xml:space="preserve">Mazda</t>
        </is>
      </c>
      <c r="F16708" s="0" t="inlineStr">
        <is>
          <t xml:space="preserve">Mazda</t>
        </is>
      </c>
      <c r="G16708" s="0" t="s">
        <v>171</v>
      </c>
      <c r="H16708" s="5">
        <v>4777.528300</v>
      </c>
    </row>
    <row r="16709" spans="1:9">
      <c r="A16709" s="22" t="str">
        <f>HYPERLINK("https://app.vivvix.com/360/KMI/IntelliDrive/ApplUI/Pages/CreativePages/CustomReportCreativeDetail.aspx?App=23&amp;ReportView=4&amp;Qid=1711279&amp;Row=16701&amp;Col=1","No Title Assigned - #15276637475")</f>
        <v/>
      </c>
      <c r="B16709" s="0" t="s">
        <v>22319</v>
      </c>
      <c r="E16709" s="0" t="inlineStr">
        <is>
          <t xml:space="preserve">Mazda</t>
        </is>
      </c>
      <c r="F16709" s="0" t="inlineStr">
        <is>
          <t xml:space="preserve">Mazda</t>
        </is>
      </c>
      <c r="G16709" s="0" t="s">
        <v>171</v>
      </c>
      <c r="H16709" s="5">
        <v>421.952600</v>
      </c>
    </row>
    <row r="16710" spans="1:9">
      <c r="A16710" s="22" t="str">
        <f>HYPERLINK("https://app.vivvix.com/360/KMI/IntelliDrive/ApplUI/Pages/CreativePages/CustomReportCreativeDetail.aspx?App=23&amp;ReportView=4&amp;Qid=1711279&amp;Row=16702&amp;Col=1","No Title Assigned - #15276637567")</f>
        <v/>
      </c>
      <c r="B16710" s="0" t="s">
        <v>22320</v>
      </c>
      <c r="E16710" s="0" t="inlineStr">
        <is>
          <t xml:space="preserve">Mazda</t>
        </is>
      </c>
      <c r="F16710" s="0" t="inlineStr">
        <is>
          <t xml:space="preserve">Mazda</t>
        </is>
      </c>
      <c r="G16710" s="0" t="s">
        <v>171</v>
      </c>
      <c r="H16710" s="5">
        <v>50.181300</v>
      </c>
    </row>
    <row r="16711" spans="1:9">
      <c r="A16711" s="22" t="str">
        <f>HYPERLINK("https://app.vivvix.com/360/KMI/IntelliDrive/ApplUI/Pages/CreativePages/CustomReportCreativeDetail.aspx?App=23&amp;ReportView=4&amp;Qid=1711279&amp;Row=16703&amp;Col=1","No Title Assigned - #15276637596")</f>
        <v/>
      </c>
      <c r="B16711" s="0" t="s">
        <v>22321</v>
      </c>
      <c r="E16711" s="0" t="inlineStr">
        <is>
          <t xml:space="preserve">Mazda</t>
        </is>
      </c>
      <c r="F16711" s="0" t="inlineStr">
        <is>
          <t xml:space="preserve">Mazda</t>
        </is>
      </c>
      <c r="G16711" s="0" t="s">
        <v>171</v>
      </c>
      <c r="H16711" s="5">
        <v>395.930400</v>
      </c>
    </row>
    <row r="16712" spans="1:9">
      <c r="A16712" s="22" t="str">
        <f>HYPERLINK("https://app.vivvix.com/360/KMI/IntelliDrive/ApplUI/Pages/CreativePages/CustomReportCreativeDetail.aspx?App=23&amp;ReportView=4&amp;Qid=1711279&amp;Row=16704&amp;Col=1","No Title Assigned - #15276637635")</f>
        <v/>
      </c>
      <c r="B16712" s="0" t="s">
        <v>22322</v>
      </c>
      <c r="E16712" s="0" t="inlineStr">
        <is>
          <t xml:space="preserve">Mazda</t>
        </is>
      </c>
      <c r="F16712" s="0" t="inlineStr">
        <is>
          <t xml:space="preserve">Mazda</t>
        </is>
      </c>
      <c r="G16712" s="0" t="s">
        <v>171</v>
      </c>
      <c r="H16712" s="5">
        <v>459.223000</v>
      </c>
    </row>
    <row r="16713" spans="1:9">
      <c r="A16713" s="22" t="str">
        <f>HYPERLINK("https://app.vivvix.com/360/KMI/IntelliDrive/ApplUI/Pages/CreativePages/CustomReportCreativeDetail.aspx?App=23&amp;ReportView=4&amp;Qid=1711279&amp;Row=16705&amp;Col=1","No Title Assigned - #15276637646")</f>
        <v/>
      </c>
      <c r="B16713" s="0" t="s">
        <v>22323</v>
      </c>
      <c r="E16713" s="0" t="inlineStr">
        <is>
          <t xml:space="preserve">Mazda</t>
        </is>
      </c>
      <c r="F16713" s="0" t="inlineStr">
        <is>
          <t xml:space="preserve">Mazda</t>
        </is>
      </c>
      <c r="G16713" s="0" t="s">
        <v>171</v>
      </c>
      <c r="H16713" s="5">
        <v>342.823100</v>
      </c>
    </row>
    <row r="16714" spans="1:9">
      <c r="A16714" s="22" t="str">
        <f>HYPERLINK("https://app.vivvix.com/360/KMI/IntelliDrive/ApplUI/Pages/CreativePages/CustomReportCreativeDetail.aspx?App=23&amp;ReportView=4&amp;Qid=1711279&amp;Row=16706&amp;Col=1","No Title Assigned - #15276637807")</f>
        <v/>
      </c>
      <c r="B16714" s="0" t="s">
        <v>22324</v>
      </c>
      <c r="C16714" s="0" t="s">
        <v>22325</v>
      </c>
      <c r="D16714" s="0" t="s">
        <v>22325</v>
      </c>
      <c r="E16714" s="0" t="inlineStr">
        <is>
          <t xml:space="preserve">Mazda</t>
        </is>
      </c>
      <c r="F16714" s="0" t="s">
        <v>13</v>
      </c>
      <c r="G16714" s="0" t="s">
        <v>49</v>
      </c>
      <c r="H16714" s="5">
        <v>131.527400</v>
      </c>
    </row>
    <row r="16715" spans="1:9">
      <c r="A16715" s="22" t="str">
        <f>HYPERLINK("https://app.vivvix.com/360/KMI/IntelliDrive/ApplUI/Pages/CreativePages/CustomReportCreativeDetail.aspx?App=23&amp;ReportView=4&amp;Qid=1711279&amp;Row=16707&amp;Col=1","No Title Assigned - #15276637832")</f>
        <v/>
      </c>
      <c r="B16715" s="0" t="s">
        <v>22326</v>
      </c>
      <c r="E16715" s="0" t="inlineStr">
        <is>
          <t xml:space="preserve">Mazda</t>
        </is>
      </c>
      <c r="F16715" s="0" t="inlineStr">
        <is>
          <t xml:space="preserve">Mazda</t>
        </is>
      </c>
      <c r="G16715" s="0" t="s">
        <v>171</v>
      </c>
      <c r="H16715" s="5">
        <v>97.580200</v>
      </c>
    </row>
    <row r="16716" spans="1:9">
      <c r="A16716" s="22" t="str">
        <f>HYPERLINK("https://app.vivvix.com/360/KMI/IntelliDrive/ApplUI/Pages/CreativePages/CustomReportCreativeDetail.aspx?App=23&amp;ReportView=4&amp;Qid=1711279&amp;Row=16708&amp;Col=1","No Title Assigned - #15276638043")</f>
        <v/>
      </c>
      <c r="B16716" s="0" t="s">
        <v>22327</v>
      </c>
      <c r="E16716" s="0" t="inlineStr">
        <is>
          <t xml:space="preserve">Mazda</t>
        </is>
      </c>
      <c r="F16716" s="0" t="inlineStr">
        <is>
          <t xml:space="preserve">Mazda</t>
        </is>
      </c>
      <c r="G16716" s="0" t="s">
        <v>171</v>
      </c>
      <c r="H16716" s="5">
        <v>540.156500</v>
      </c>
    </row>
    <row r="16717" spans="1:9">
      <c r="A16717" s="22" t="str">
        <f>HYPERLINK("https://app.vivvix.com/360/KMI/IntelliDrive/ApplUI/Pages/CreativePages/CustomReportCreativeDetail.aspx?App=23&amp;ReportView=4&amp;Qid=1711279&amp;Row=16709&amp;Col=1","No Title Assigned - #15276638123")</f>
        <v/>
      </c>
      <c r="B16717" s="0" t="s">
        <v>22328</v>
      </c>
      <c r="E16717" s="0" t="inlineStr">
        <is>
          <t xml:space="preserve">Mazda</t>
        </is>
      </c>
      <c r="F16717" s="0" t="inlineStr">
        <is>
          <t xml:space="preserve">Mazda</t>
        </is>
      </c>
      <c r="G16717" s="0" t="s">
        <v>171</v>
      </c>
      <c r="H16717" s="5">
        <v>2.605700</v>
      </c>
    </row>
    <row r="16718" spans="1:9">
      <c r="A16718" s="22" t="str">
        <f>HYPERLINK("https://app.vivvix.com/360/KMI/IntelliDrive/ApplUI/Pages/CreativePages/CustomReportCreativeDetail.aspx?App=23&amp;ReportView=4&amp;Qid=1711279&amp;Row=16710&amp;Col=1","No Title Assigned - #15276638322")</f>
        <v/>
      </c>
      <c r="B16718" s="0" t="s">
        <v>22329</v>
      </c>
      <c r="E16718" s="0" t="inlineStr">
        <is>
          <t xml:space="preserve">Mazda</t>
        </is>
      </c>
      <c r="F16718" s="0" t="inlineStr">
        <is>
          <t xml:space="preserve">Mazda</t>
        </is>
      </c>
      <c r="G16718" s="0" t="s">
        <v>171</v>
      </c>
      <c r="H16718" s="5">
        <v>36.858000</v>
      </c>
    </row>
    <row r="16719" spans="1:9">
      <c r="A16719" s="22" t="str">
        <f>HYPERLINK("https://app.vivvix.com/360/KMI/IntelliDrive/ApplUI/Pages/CreativePages/CustomReportCreativeDetail.aspx?App=23&amp;ReportView=4&amp;Qid=1711279&amp;Row=16711&amp;Col=1","No Title Assigned - #15276638421")</f>
        <v/>
      </c>
      <c r="B16719" s="0" t="s">
        <v>22330</v>
      </c>
      <c r="E16719" s="0" t="inlineStr">
        <is>
          <t xml:space="preserve">Mazda</t>
        </is>
      </c>
      <c r="F16719" s="0" t="inlineStr">
        <is>
          <t xml:space="preserve">Mazda</t>
        </is>
      </c>
      <c r="G16719" s="0" t="s">
        <v>171</v>
      </c>
      <c r="H16719" s="5">
        <v>16.608800</v>
      </c>
    </row>
    <row r="16720" spans="1:9">
      <c r="A16720" s="22" t="str">
        <f>HYPERLINK("https://app.vivvix.com/360/KMI/IntelliDrive/ApplUI/Pages/CreativePages/CustomReportCreativeDetail.aspx?App=23&amp;ReportView=4&amp;Qid=1711279&amp;Row=16712&amp;Col=1","No Title Assigned - #15276638561")</f>
        <v/>
      </c>
      <c r="B16720" s="0" t="s">
        <v>22331</v>
      </c>
      <c r="E16720" s="0" t="inlineStr">
        <is>
          <t xml:space="preserve">Mazda</t>
        </is>
      </c>
      <c r="F16720" s="0" t="inlineStr">
        <is>
          <t xml:space="preserve">Mazda</t>
        </is>
      </c>
      <c r="G16720" s="0" t="s">
        <v>171</v>
      </c>
      <c r="H16720" s="5">
        <v>313.419500</v>
      </c>
    </row>
    <row r="16721" spans="1:9">
      <c r="A16721" s="22" t="str">
        <f>HYPERLINK("https://app.vivvix.com/360/KMI/IntelliDrive/ApplUI/Pages/CreativePages/CustomReportCreativeDetail.aspx?App=23&amp;ReportView=4&amp;Qid=1711279&amp;Row=16713&amp;Col=1","No Title Assigned - #15276639645")</f>
        <v/>
      </c>
      <c r="B16721" s="0" t="s">
        <v>22332</v>
      </c>
      <c r="E16721" s="0" t="inlineStr">
        <is>
          <t xml:space="preserve">Mazda</t>
        </is>
      </c>
      <c r="F16721" s="0" t="inlineStr">
        <is>
          <t xml:space="preserve">Mazda</t>
        </is>
      </c>
      <c r="G16721" s="0" t="s">
        <v>171</v>
      </c>
      <c r="H16721" s="5">
        <v>150.616600</v>
      </c>
    </row>
    <row r="16722" spans="1:9">
      <c r="A16722" s="22" t="str">
        <f>HYPERLINK("https://app.vivvix.com/360/KMI/IntelliDrive/ApplUI/Pages/CreativePages/CustomReportCreativeDetail.aspx?App=23&amp;ReportView=4&amp;Qid=1711279&amp;Row=16714&amp;Col=1","No Title Assigned - #15276639668")</f>
        <v/>
      </c>
      <c r="B16722" s="0" t="s">
        <v>22333</v>
      </c>
      <c r="E16722" s="0" t="inlineStr">
        <is>
          <t xml:space="preserve">Mazda</t>
        </is>
      </c>
      <c r="F16722" s="0" t="inlineStr">
        <is>
          <t xml:space="preserve">Mazda</t>
        </is>
      </c>
      <c r="G16722" s="0" t="s">
        <v>171</v>
      </c>
      <c r="H16722" s="5">
        <v>386.081800</v>
      </c>
    </row>
    <row r="16723" spans="1:9">
      <c r="A16723" s="22" t="str">
        <f>HYPERLINK("https://app.vivvix.com/360/KMI/IntelliDrive/ApplUI/Pages/CreativePages/CustomReportCreativeDetail.aspx?App=23&amp;ReportView=4&amp;Qid=1711279&amp;Row=16715&amp;Col=1","No Title Assigned - #15276639852")</f>
        <v/>
      </c>
      <c r="B16723" s="0" t="s">
        <v>22334</v>
      </c>
      <c r="E16723" s="0" t="inlineStr">
        <is>
          <t xml:space="preserve">Mazda</t>
        </is>
      </c>
      <c r="F16723" s="0" t="inlineStr">
        <is>
          <t xml:space="preserve">Mazda</t>
        </is>
      </c>
      <c r="G16723" s="0" t="s">
        <v>171</v>
      </c>
      <c r="H16723" s="5">
        <v>209.445400</v>
      </c>
    </row>
    <row r="16724" spans="1:9">
      <c r="A16724" s="22" t="str">
        <f>HYPERLINK("https://app.vivvix.com/360/KMI/IntelliDrive/ApplUI/Pages/CreativePages/CustomReportCreativeDetail.aspx?App=23&amp;ReportView=4&amp;Qid=1711279&amp;Row=16716&amp;Col=1","No Title Assigned - #15276640177")</f>
        <v/>
      </c>
      <c r="B16724" s="0" t="s">
        <v>22335</v>
      </c>
      <c r="E16724" s="0" t="inlineStr">
        <is>
          <t xml:space="preserve">Mazda</t>
        </is>
      </c>
      <c r="F16724" s="0" t="inlineStr">
        <is>
          <t xml:space="preserve">Mazda</t>
        </is>
      </c>
      <c r="G16724" s="0" t="s">
        <v>171</v>
      </c>
      <c r="H16724" s="5">
        <v>30.263400</v>
      </c>
    </row>
    <row r="16725" spans="1:9">
      <c r="A16725" s="22" t="str">
        <f>HYPERLINK("https://app.vivvix.com/360/KMI/IntelliDrive/ApplUI/Pages/CreativePages/CustomReportCreativeDetail.aspx?App=23&amp;ReportView=4&amp;Qid=1711279&amp;Row=16717&amp;Col=1","No Title Assigned - #15276640178")</f>
        <v/>
      </c>
      <c r="B16725" s="0" t="s">
        <v>22336</v>
      </c>
      <c r="E16725" s="0" t="inlineStr">
        <is>
          <t xml:space="preserve">Mazda</t>
        </is>
      </c>
      <c r="F16725" s="0" t="inlineStr">
        <is>
          <t xml:space="preserve">Mazda</t>
        </is>
      </c>
      <c r="G16725" s="0" t="s">
        <v>171</v>
      </c>
      <c r="H16725" s="5">
        <v>121.053600</v>
      </c>
    </row>
    <row r="16726" spans="1:9">
      <c r="A16726" s="22" t="str">
        <f>HYPERLINK("https://app.vivvix.com/360/KMI/IntelliDrive/ApplUI/Pages/CreativePages/CustomReportCreativeDetail.aspx?App=23&amp;ReportView=4&amp;Qid=1711279&amp;Row=16718&amp;Col=1","No Title Assigned - #15276640429")</f>
        <v/>
      </c>
      <c r="B16726" s="0" t="s">
        <v>22337</v>
      </c>
      <c r="E16726" s="0" t="inlineStr">
        <is>
          <t xml:space="preserve">Mazda</t>
        </is>
      </c>
      <c r="F16726" s="0" t="inlineStr">
        <is>
          <t xml:space="preserve">Mazda</t>
        </is>
      </c>
      <c r="G16726" s="0" t="s">
        <v>171</v>
      </c>
      <c r="H16726" s="5">
        <v>346.833200</v>
      </c>
    </row>
    <row r="16727" spans="1:9">
      <c r="A16727" s="22" t="str">
        <f>HYPERLINK("https://app.vivvix.com/360/KMI/IntelliDrive/ApplUI/Pages/CreativePages/CustomReportCreativeDetail.aspx?App=23&amp;ReportView=4&amp;Qid=1711279&amp;Row=16719&amp;Col=1","No Title Assigned - #15276640533")</f>
        <v/>
      </c>
      <c r="B16727" s="0" t="s">
        <v>22338</v>
      </c>
      <c r="E16727" s="0" t="inlineStr">
        <is>
          <t xml:space="preserve">Mazda</t>
        </is>
      </c>
      <c r="F16727" s="0" t="inlineStr">
        <is>
          <t xml:space="preserve">Mazda</t>
        </is>
      </c>
      <c r="G16727" s="0" t="s">
        <v>171</v>
      </c>
      <c r="H16727" s="5">
        <v>36.292000</v>
      </c>
    </row>
    <row r="16728" spans="1:9">
      <c r="A16728" s="22" t="str">
        <f>HYPERLINK("https://app.vivvix.com/360/KMI/IntelliDrive/ApplUI/Pages/CreativePages/CustomReportCreativeDetail.aspx?App=23&amp;ReportView=4&amp;Qid=1711279&amp;Row=16720&amp;Col=1","No Title Assigned - #15276640624")</f>
        <v/>
      </c>
      <c r="B16728" s="0" t="s">
        <v>22339</v>
      </c>
      <c r="C16728" s="0" t="s">
        <v>22340</v>
      </c>
      <c r="D16728" s="0" t="s">
        <v>22340</v>
      </c>
      <c r="E16728" s="0" t="inlineStr">
        <is>
          <t xml:space="preserve">Mazda</t>
        </is>
      </c>
      <c r="F16728" s="0" t="inlineStr">
        <is>
          <t xml:space="preserve">Mazda</t>
        </is>
      </c>
      <c r="G16728" s="0" t="s">
        <v>171</v>
      </c>
      <c r="H16728" s="5">
        <v>539.381800</v>
      </c>
    </row>
    <row r="16729" spans="1:9">
      <c r="A16729" s="22" t="str">
        <f>HYPERLINK("https://app.vivvix.com/360/KMI/IntelliDrive/ApplUI/Pages/CreativePages/CustomReportCreativeDetail.aspx?App=23&amp;ReportView=4&amp;Qid=1711279&amp;Row=16721&amp;Col=1","No Title Assigned - #15276641421")</f>
        <v/>
      </c>
      <c r="B16729" s="0" t="s">
        <v>22341</v>
      </c>
      <c r="E16729" s="0" t="inlineStr">
        <is>
          <t xml:space="preserve">Mazda</t>
        </is>
      </c>
      <c r="F16729" s="0" t="inlineStr">
        <is>
          <t xml:space="preserve">Mazda</t>
        </is>
      </c>
      <c r="G16729" s="0" t="s">
        <v>171</v>
      </c>
      <c r="H16729" s="5">
        <v>161.002000</v>
      </c>
    </row>
    <row r="16730" spans="1:9">
      <c r="A16730" s="22" t="str">
        <f>HYPERLINK("https://app.vivvix.com/360/KMI/IntelliDrive/ApplUI/Pages/CreativePages/CustomReportCreativeDetail.aspx?App=23&amp;ReportView=4&amp;Qid=1711279&amp;Row=16722&amp;Col=1","No Title Assigned - #15276642341")</f>
        <v/>
      </c>
      <c r="B16730" s="0" t="s">
        <v>22342</v>
      </c>
      <c r="E16730" s="0" t="inlineStr">
        <is>
          <t xml:space="preserve">Mazda</t>
        </is>
      </c>
      <c r="F16730" s="0" t="inlineStr">
        <is>
          <t xml:space="preserve">Mazda</t>
        </is>
      </c>
      <c r="G16730" s="0" t="s">
        <v>171</v>
      </c>
      <c r="H16730" s="5">
        <v>3.334400</v>
      </c>
    </row>
    <row r="16731" spans="1:9">
      <c r="A16731" s="22" t="str">
        <f>HYPERLINK("https://app.vivvix.com/360/KMI/IntelliDrive/ApplUI/Pages/CreativePages/CustomReportCreativeDetail.aspx?App=23&amp;ReportView=4&amp;Qid=1711279&amp;Row=16723&amp;Col=1","No Title Assigned - #15276642515")</f>
        <v/>
      </c>
      <c r="B16731" s="0" t="s">
        <v>22343</v>
      </c>
      <c r="E16731" s="0" t="inlineStr">
        <is>
          <t xml:space="preserve">Mazda</t>
        </is>
      </c>
      <c r="F16731" s="0" t="inlineStr">
        <is>
          <t xml:space="preserve">Mazda</t>
        </is>
      </c>
      <c r="G16731" s="0" t="s">
        <v>171</v>
      </c>
      <c r="H16731" s="5">
        <v>2.837900</v>
      </c>
    </row>
    <row r="16732" spans="1:9">
      <c r="A16732" s="22" t="str">
        <f>HYPERLINK("https://app.vivvix.com/360/KMI/IntelliDrive/ApplUI/Pages/CreativePages/CustomReportCreativeDetail.aspx?App=23&amp;ReportView=4&amp;Qid=1711279&amp;Row=16724&amp;Col=1","No Title Assigned - #15276643287")</f>
        <v/>
      </c>
      <c r="B16732" s="0" t="s">
        <v>22344</v>
      </c>
      <c r="E16732" s="0" t="inlineStr">
        <is>
          <t xml:space="preserve">Mazda</t>
        </is>
      </c>
      <c r="F16732" s="0" t="inlineStr">
        <is>
          <t xml:space="preserve">Mazda</t>
        </is>
      </c>
      <c r="G16732" s="0" t="s">
        <v>171</v>
      </c>
      <c r="H16732" s="5">
        <v>1140.211200</v>
      </c>
    </row>
    <row r="16733" spans="1:9">
      <c r="A16733" s="22" t="str">
        <f>HYPERLINK("https://app.vivvix.com/360/KMI/IntelliDrive/ApplUI/Pages/CreativePages/CustomReportCreativeDetail.aspx?App=23&amp;ReportView=4&amp;Qid=1711279&amp;Row=16725&amp;Col=1","No Title Assigned - #15276654688")</f>
        <v/>
      </c>
      <c r="B16733" s="0" t="s">
        <v>22345</v>
      </c>
      <c r="E16733" s="0" t="inlineStr">
        <is>
          <t xml:space="preserve">Mazda</t>
        </is>
      </c>
      <c r="F16733" s="0" t="inlineStr">
        <is>
          <t xml:space="preserve">Mazda</t>
        </is>
      </c>
      <c r="G16733" s="0" t="s">
        <v>171</v>
      </c>
      <c r="H16733" s="5">
        <v>42650.008800</v>
      </c>
    </row>
    <row r="16734" spans="1:9">
      <c r="A16734" s="22" t="str">
        <f>HYPERLINK("https://app.vivvix.com/360/KMI/IntelliDrive/ApplUI/Pages/CreativePages/CustomReportCreativeDetail.aspx?App=23&amp;ReportView=4&amp;Qid=1711279&amp;Row=16726&amp;Col=1","No Title Assigned - #15276654688")</f>
        <v/>
      </c>
      <c r="B16734" s="0" t="s">
        <v>22345</v>
      </c>
      <c r="E16734" s="0" t="inlineStr">
        <is>
          <t xml:space="preserve">Mazda</t>
        </is>
      </c>
      <c r="F16734" s="0" t="inlineStr">
        <is>
          <t xml:space="preserve">Mazda</t>
        </is>
      </c>
      <c r="G16734" s="0" t="s">
        <v>171</v>
      </c>
      <c r="H16734" s="5">
        <v>12406.557600</v>
      </c>
    </row>
    <row r="16735" spans="1:9">
      <c r="A16735" s="22" t="str">
        <f>HYPERLINK("https://app.vivvix.com/360/KMI/IntelliDrive/ApplUI/Pages/CreativePages/CustomReportCreativeDetail.aspx?App=23&amp;ReportView=4&amp;Qid=1711279&amp;Row=16727&amp;Col=1","No Title Assigned - #15276654744")</f>
        <v/>
      </c>
      <c r="B16735" s="0" t="s">
        <v>22346</v>
      </c>
      <c r="E16735" s="0" t="inlineStr">
        <is>
          <t xml:space="preserve">Mazda</t>
        </is>
      </c>
      <c r="F16735" s="0" t="inlineStr">
        <is>
          <t xml:space="preserve">Mazda</t>
        </is>
      </c>
      <c r="G16735" s="0" t="s">
        <v>171</v>
      </c>
      <c r="H16735" s="5">
        <v>411.457200</v>
      </c>
    </row>
    <row r="16736" spans="1:9">
      <c r="A16736" s="22" t="str">
        <f>HYPERLINK("https://app.vivvix.com/360/KMI/IntelliDrive/ApplUI/Pages/CreativePages/CustomReportCreativeDetail.aspx?App=23&amp;ReportView=4&amp;Qid=1711279&amp;Row=16728&amp;Col=1","No Title Assigned - #15276654825")</f>
        <v/>
      </c>
      <c r="B16736" s="0" t="s">
        <v>22347</v>
      </c>
      <c r="E16736" s="0" t="inlineStr">
        <is>
          <t xml:space="preserve">Mazda</t>
        </is>
      </c>
      <c r="F16736" s="0" t="inlineStr">
        <is>
          <t xml:space="preserve">Mazda</t>
        </is>
      </c>
      <c r="G16736" s="0" t="s">
        <v>171</v>
      </c>
      <c r="H16736" s="5">
        <v>38296.628300</v>
      </c>
    </row>
    <row r="16737" spans="1:9">
      <c r="A16737" s="22" t="str">
        <f>HYPERLINK("https://app.vivvix.com/360/KMI/IntelliDrive/ApplUI/Pages/CreativePages/CustomReportCreativeDetail.aspx?App=23&amp;ReportView=4&amp;Qid=1711279&amp;Row=16729&amp;Col=1","No Title Assigned - #15276654825")</f>
        <v/>
      </c>
      <c r="B16737" s="0" t="s">
        <v>22347</v>
      </c>
      <c r="E16737" s="0" t="inlineStr">
        <is>
          <t xml:space="preserve">Mazda</t>
        </is>
      </c>
      <c r="F16737" s="0" t="inlineStr">
        <is>
          <t xml:space="preserve">Mazda</t>
        </is>
      </c>
      <c r="G16737" s="0" t="s">
        <v>171</v>
      </c>
      <c r="H16737" s="5">
        <v>35466.793600</v>
      </c>
    </row>
    <row r="16738" spans="1:9">
      <c r="A16738" s="22" t="str">
        <f>HYPERLINK("https://app.vivvix.com/360/KMI/IntelliDrive/ApplUI/Pages/CreativePages/CustomReportCreativeDetail.aspx?App=23&amp;ReportView=4&amp;Qid=1711279&amp;Row=16730&amp;Col=1","No Title Assigned - #15276654870")</f>
        <v/>
      </c>
      <c r="B16738" s="0" t="s">
        <v>22348</v>
      </c>
      <c r="E16738" s="0" t="inlineStr">
        <is>
          <t xml:space="preserve">Mazda</t>
        </is>
      </c>
      <c r="F16738" s="0" t="inlineStr">
        <is>
          <t xml:space="preserve">Mazda</t>
        </is>
      </c>
      <c r="G16738" s="0" t="s">
        <v>171</v>
      </c>
      <c r="H16738" s="5">
        <v>6913.924500</v>
      </c>
    </row>
    <row r="16739" spans="1:9">
      <c r="A16739" s="22" t="str">
        <f>HYPERLINK("https://app.vivvix.com/360/KMI/IntelliDrive/ApplUI/Pages/CreativePages/CustomReportCreativeDetail.aspx?App=23&amp;ReportView=4&amp;Qid=1711279&amp;Row=16731&amp;Col=1","No Title Assigned - #15276655059")</f>
        <v/>
      </c>
      <c r="B16739" s="0" t="s">
        <v>22349</v>
      </c>
      <c r="E16739" s="0" t="inlineStr">
        <is>
          <t xml:space="preserve">Mazda</t>
        </is>
      </c>
      <c r="F16739" s="0" t="inlineStr">
        <is>
          <t xml:space="preserve">Mazda</t>
        </is>
      </c>
      <c r="G16739" s="0" t="s">
        <v>171</v>
      </c>
      <c r="H16739" s="5">
        <v>1247918.520100</v>
      </c>
    </row>
    <row r="16740" spans="1:9">
      <c r="A16740" s="22" t="str">
        <f>HYPERLINK("https://app.vivvix.com/360/KMI/IntelliDrive/ApplUI/Pages/CreativePages/CustomReportCreativeDetail.aspx?App=23&amp;ReportView=4&amp;Qid=1711279&amp;Row=16732&amp;Col=1","No Title Assigned - #15276655059")</f>
        <v/>
      </c>
      <c r="B16740" s="0" t="s">
        <v>22349</v>
      </c>
      <c r="E16740" s="0" t="inlineStr">
        <is>
          <t xml:space="preserve">Mazda</t>
        </is>
      </c>
      <c r="F16740" s="0" t="inlineStr">
        <is>
          <t xml:space="preserve">Mazda</t>
        </is>
      </c>
      <c r="G16740" s="0" t="s">
        <v>171</v>
      </c>
      <c r="H16740" s="5">
        <v>1059000.582600</v>
      </c>
    </row>
    <row r="16741" spans="1:9">
      <c r="A16741" s="22" t="str">
        <f>HYPERLINK("https://app.vivvix.com/360/KMI/IntelliDrive/ApplUI/Pages/CreativePages/CustomReportCreativeDetail.aspx?App=23&amp;ReportView=4&amp;Qid=1711279&amp;Row=16733&amp;Col=1","No Title Assigned - #15276655358")</f>
        <v/>
      </c>
      <c r="B16741" s="0" t="s">
        <v>22350</v>
      </c>
      <c r="E16741" s="0" t="inlineStr">
        <is>
          <t xml:space="preserve">Mazda</t>
        </is>
      </c>
      <c r="F16741" s="0" t="inlineStr">
        <is>
          <t xml:space="preserve">Mazda</t>
        </is>
      </c>
      <c r="G16741" s="0" t="s">
        <v>171</v>
      </c>
      <c r="H16741" s="5">
        <v>125.812300</v>
      </c>
    </row>
    <row r="16742" spans="1:9">
      <c r="A16742" s="22" t="str">
        <f>HYPERLINK("https://app.vivvix.com/360/KMI/IntelliDrive/ApplUI/Pages/CreativePages/CustomReportCreativeDetail.aspx?App=23&amp;ReportView=4&amp;Qid=1711279&amp;Row=16734&amp;Col=1","No Title Assigned - #15276655609")</f>
        <v/>
      </c>
      <c r="B16742" s="0" t="s">
        <v>22351</v>
      </c>
      <c r="E16742" s="0" t="inlineStr">
        <is>
          <t xml:space="preserve">Mazda</t>
        </is>
      </c>
      <c r="F16742" s="0" t="inlineStr">
        <is>
          <t xml:space="preserve">Mazda</t>
        </is>
      </c>
      <c r="G16742" s="0" t="s">
        <v>171</v>
      </c>
      <c r="H16742" s="5">
        <v>167.223300</v>
      </c>
    </row>
    <row r="16743" spans="1:9">
      <c r="A16743" s="22" t="str">
        <f>HYPERLINK("https://app.vivvix.com/360/KMI/IntelliDrive/ApplUI/Pages/CreativePages/CustomReportCreativeDetail.aspx?App=23&amp;ReportView=4&amp;Qid=1711279&amp;Row=16735&amp;Col=1","No Title Assigned - #15276655745")</f>
        <v/>
      </c>
      <c r="B16743" s="0" t="s">
        <v>22352</v>
      </c>
      <c r="E16743" s="0" t="inlineStr">
        <is>
          <t xml:space="preserve">Mazda</t>
        </is>
      </c>
      <c r="F16743" s="0" t="inlineStr">
        <is>
          <t xml:space="preserve">Mazda</t>
        </is>
      </c>
      <c r="G16743" s="0" t="s">
        <v>171</v>
      </c>
      <c r="H16743" s="5">
        <v>86071.797200</v>
      </c>
    </row>
    <row r="16744" spans="1:9">
      <c r="A16744" s="22" t="str">
        <f>HYPERLINK("https://app.vivvix.com/360/KMI/IntelliDrive/ApplUI/Pages/CreativePages/CustomReportCreativeDetail.aspx?App=23&amp;ReportView=4&amp;Qid=1711279&amp;Row=16736&amp;Col=1","No Title Assigned - #15276655745")</f>
        <v/>
      </c>
      <c r="B16744" s="0" t="s">
        <v>22352</v>
      </c>
      <c r="E16744" s="0" t="inlineStr">
        <is>
          <t xml:space="preserve">Mazda</t>
        </is>
      </c>
      <c r="F16744" s="0" t="inlineStr">
        <is>
          <t xml:space="preserve">Mazda</t>
        </is>
      </c>
      <c r="G16744" s="0" t="s">
        <v>171</v>
      </c>
      <c r="H16744" s="5">
        <v>44948.156800</v>
      </c>
    </row>
    <row r="16745" spans="1:9">
      <c r="A16745" s="22" t="str">
        <f>HYPERLINK("https://app.vivvix.com/360/KMI/IntelliDrive/ApplUI/Pages/CreativePages/CustomReportCreativeDetail.aspx?App=23&amp;ReportView=4&amp;Qid=1711279&amp;Row=16737&amp;Col=1","No Title Assigned - #15276655800")</f>
        <v/>
      </c>
      <c r="B16745" s="0" t="s">
        <v>22353</v>
      </c>
      <c r="C16745" s="0" t="s">
        <v>22354</v>
      </c>
      <c r="D16745" s="0" t="s">
        <v>22354</v>
      </c>
      <c r="E16745" s="0" t="inlineStr">
        <is>
          <t xml:space="preserve">Mazda</t>
        </is>
      </c>
      <c r="F16745" s="0" t="inlineStr">
        <is>
          <t xml:space="preserve">Mazda</t>
        </is>
      </c>
      <c r="G16745" s="0" t="s">
        <v>171</v>
      </c>
      <c r="H16745" s="5">
        <v>47520.259800</v>
      </c>
    </row>
    <row r="16746" spans="1:9">
      <c r="A16746" s="22" t="str">
        <f>HYPERLINK("https://app.vivvix.com/360/KMI/IntelliDrive/ApplUI/Pages/CreativePages/CustomReportCreativeDetail.aspx?App=23&amp;ReportView=4&amp;Qid=1711279&amp;Row=16738&amp;Col=1","No Title Assigned - #15276655800")</f>
        <v/>
      </c>
      <c r="B16746" s="0" t="s">
        <v>22353</v>
      </c>
      <c r="E16746" s="0" t="inlineStr">
        <is>
          <t xml:space="preserve">Mazda</t>
        </is>
      </c>
      <c r="F16746" s="0" t="inlineStr">
        <is>
          <t xml:space="preserve">Mazda</t>
        </is>
      </c>
      <c r="G16746" s="0" t="s">
        <v>171</v>
      </c>
      <c r="H16746" s="5">
        <v>20082.702900</v>
      </c>
    </row>
    <row r="16747" spans="1:9">
      <c r="A16747" s="22" t="str">
        <f>HYPERLINK("https://app.vivvix.com/360/KMI/IntelliDrive/ApplUI/Pages/CreativePages/CustomReportCreativeDetail.aspx?App=23&amp;ReportView=4&amp;Qid=1711279&amp;Row=16739&amp;Col=1","No Title Assigned - #15276655825")</f>
        <v/>
      </c>
      <c r="B16747" s="0" t="s">
        <v>22355</v>
      </c>
      <c r="E16747" s="0" t="inlineStr">
        <is>
          <t xml:space="preserve">Mazda</t>
        </is>
      </c>
      <c r="F16747" s="0" t="inlineStr">
        <is>
          <t xml:space="preserve">Mazda</t>
        </is>
      </c>
      <c r="G16747" s="0" t="s">
        <v>171</v>
      </c>
      <c r="H16747" s="5">
        <v>58771.027600</v>
      </c>
    </row>
    <row r="16748" spans="1:9">
      <c r="A16748" s="22" t="str">
        <f>HYPERLINK("https://app.vivvix.com/360/KMI/IntelliDrive/ApplUI/Pages/CreativePages/CustomReportCreativeDetail.aspx?App=23&amp;ReportView=4&amp;Qid=1711279&amp;Row=16740&amp;Col=1","No Title Assigned - #15276655825")</f>
        <v/>
      </c>
      <c r="B16748" s="0" t="s">
        <v>22355</v>
      </c>
      <c r="E16748" s="0" t="inlineStr">
        <is>
          <t xml:space="preserve">Mazda</t>
        </is>
      </c>
      <c r="F16748" s="0" t="inlineStr">
        <is>
          <t xml:space="preserve">Mazda</t>
        </is>
      </c>
      <c r="G16748" s="0" t="s">
        <v>171</v>
      </c>
      <c r="H16748" s="5">
        <v>61710.309500</v>
      </c>
    </row>
    <row r="16749" spans="1:9">
      <c r="A16749" s="22" t="str">
        <f>HYPERLINK("https://app.vivvix.com/360/KMI/IntelliDrive/ApplUI/Pages/CreativePages/CustomReportCreativeDetail.aspx?App=23&amp;ReportView=4&amp;Qid=1711279&amp;Row=16741&amp;Col=1","No Title Assigned - #15276663461")</f>
        <v/>
      </c>
      <c r="B16749" s="0" t="s">
        <v>22356</v>
      </c>
      <c r="E16749" s="0" t="inlineStr">
        <is>
          <t xml:space="preserve">Mazda</t>
        </is>
      </c>
      <c r="F16749" s="0" t="inlineStr">
        <is>
          <t xml:space="preserve">Mazda</t>
        </is>
      </c>
      <c r="G16749" s="0" t="s">
        <v>171</v>
      </c>
      <c r="H16749" s="5">
        <v>36880.449900</v>
      </c>
    </row>
    <row r="16750" spans="1:9">
      <c r="A16750" s="22" t="str">
        <f>HYPERLINK("https://app.vivvix.com/360/KMI/IntelliDrive/ApplUI/Pages/CreativePages/CustomReportCreativeDetail.aspx?App=23&amp;ReportView=4&amp;Qid=1711279&amp;Row=16742&amp;Col=1","No Title Assigned - #15276663461")</f>
        <v/>
      </c>
      <c r="B16750" s="0" t="s">
        <v>22356</v>
      </c>
      <c r="E16750" s="0" t="inlineStr">
        <is>
          <t xml:space="preserve">Mazda</t>
        </is>
      </c>
      <c r="F16750" s="0" t="inlineStr">
        <is>
          <t xml:space="preserve">Mazda</t>
        </is>
      </c>
      <c r="G16750" s="0" t="s">
        <v>171</v>
      </c>
      <c r="H16750" s="5">
        <v>3215.708100</v>
      </c>
    </row>
    <row r="16751" spans="1:9">
      <c r="A16751" s="22" t="str">
        <f>HYPERLINK("https://app.vivvix.com/360/KMI/IntelliDrive/ApplUI/Pages/CreativePages/CustomReportCreativeDetail.aspx?App=23&amp;ReportView=4&amp;Qid=1711279&amp;Row=16743&amp;Col=1","No Title Assigned - #15276663551")</f>
        <v/>
      </c>
      <c r="B16751" s="0" t="s">
        <v>22357</v>
      </c>
      <c r="E16751" s="0" t="inlineStr">
        <is>
          <t xml:space="preserve">Mazda</t>
        </is>
      </c>
      <c r="F16751" s="0" t="inlineStr">
        <is>
          <t xml:space="preserve">Mazda</t>
        </is>
      </c>
      <c r="G16751" s="0" t="s">
        <v>171</v>
      </c>
      <c r="H16751" s="5">
        <v>386.081800</v>
      </c>
    </row>
    <row r="16752" spans="1:9">
      <c r="A16752" s="22" t="str">
        <f>HYPERLINK("https://app.vivvix.com/360/KMI/IntelliDrive/ApplUI/Pages/CreativePages/CustomReportCreativeDetail.aspx?App=23&amp;ReportView=4&amp;Qid=1711279&amp;Row=16744&amp;Col=1","No Title Assigned - #15276663641")</f>
        <v/>
      </c>
      <c r="B16752" s="0" t="s">
        <v>22358</v>
      </c>
      <c r="E16752" s="0" t="inlineStr">
        <is>
          <t xml:space="preserve">Mazda</t>
        </is>
      </c>
      <c r="F16752" s="0" t="inlineStr">
        <is>
          <t xml:space="preserve">Mazda</t>
        </is>
      </c>
      <c r="G16752" s="0" t="s">
        <v>171</v>
      </c>
      <c r="H16752" s="5">
        <v>9386.554200</v>
      </c>
    </row>
    <row r="16753" spans="1:9">
      <c r="A16753" s="22" t="str">
        <f>HYPERLINK("https://app.vivvix.com/360/KMI/IntelliDrive/ApplUI/Pages/CreativePages/CustomReportCreativeDetail.aspx?App=23&amp;ReportView=4&amp;Qid=1711279&amp;Row=16745&amp;Col=1","No Title Assigned - #15276663697")</f>
        <v/>
      </c>
      <c r="B16753" s="0" t="s">
        <v>22359</v>
      </c>
      <c r="E16753" s="0" t="inlineStr">
        <is>
          <t xml:space="preserve">Mazda</t>
        </is>
      </c>
      <c r="F16753" s="0" t="inlineStr">
        <is>
          <t xml:space="preserve">Mazda</t>
        </is>
      </c>
      <c r="G16753" s="0" t="s">
        <v>171</v>
      </c>
      <c r="H16753" s="5">
        <v>9988.520100</v>
      </c>
    </row>
    <row r="16754" spans="1:9">
      <c r="A16754" s="22" t="str">
        <f>HYPERLINK("https://app.vivvix.com/360/KMI/IntelliDrive/ApplUI/Pages/CreativePages/CustomReportCreativeDetail.aspx?App=23&amp;ReportView=4&amp;Qid=1711279&amp;Row=16746&amp;Col=1","No Title Assigned - #15276663697")</f>
        <v/>
      </c>
      <c r="B16754" s="0" t="s">
        <v>22359</v>
      </c>
      <c r="E16754" s="0" t="inlineStr">
        <is>
          <t xml:space="preserve">Mazda</t>
        </is>
      </c>
      <c r="F16754" s="0" t="inlineStr">
        <is>
          <t xml:space="preserve">Mazda</t>
        </is>
      </c>
      <c r="G16754" s="0" t="s">
        <v>171</v>
      </c>
      <c r="H16754" s="5">
        <v>482.883400</v>
      </c>
    </row>
    <row r="16755" spans="1:9">
      <c r="A16755" s="22" t="str">
        <f>HYPERLINK("https://app.vivvix.com/360/KMI/IntelliDrive/ApplUI/Pages/CreativePages/CustomReportCreativeDetail.aspx?App=23&amp;ReportView=4&amp;Qid=1711279&amp;Row=16747&amp;Col=1","No Title Assigned - #15276663750")</f>
        <v/>
      </c>
      <c r="B16755" s="0" t="s">
        <v>22360</v>
      </c>
      <c r="E16755" s="0" t="inlineStr">
        <is>
          <t xml:space="preserve">Mazda</t>
        </is>
      </c>
      <c r="F16755" s="0" t="inlineStr">
        <is>
          <t xml:space="preserve">Mazda</t>
        </is>
      </c>
      <c r="G16755" s="0" t="s">
        <v>171</v>
      </c>
      <c r="H16755" s="5">
        <v>1558.806300</v>
      </c>
    </row>
    <row r="16756" spans="1:9">
      <c r="A16756" s="22" t="str">
        <f>HYPERLINK("https://app.vivvix.com/360/KMI/IntelliDrive/ApplUI/Pages/CreativePages/CustomReportCreativeDetail.aspx?App=23&amp;ReportView=4&amp;Qid=1711279&amp;Row=16748&amp;Col=1","No Title Assigned - #15276663800")</f>
        <v/>
      </c>
      <c r="B16756" s="0" t="s">
        <v>22361</v>
      </c>
      <c r="C16756" s="0" t="s">
        <v>22362</v>
      </c>
      <c r="D16756" s="0" t="s">
        <v>22362</v>
      </c>
      <c r="E16756" s="0" t="inlineStr">
        <is>
          <t xml:space="preserve">Mazda</t>
        </is>
      </c>
      <c r="F16756" s="0" t="inlineStr">
        <is>
          <t xml:space="preserve">Mazda</t>
        </is>
      </c>
      <c r="G16756" s="0" t="s">
        <v>171</v>
      </c>
      <c r="H16756" s="5">
        <v>118145.270300</v>
      </c>
    </row>
    <row r="16757" spans="1:9">
      <c r="A16757" s="22" t="str">
        <f>HYPERLINK("https://app.vivvix.com/360/KMI/IntelliDrive/ApplUI/Pages/CreativePages/CustomReportCreativeDetail.aspx?App=23&amp;ReportView=4&amp;Qid=1711279&amp;Row=16749&amp;Col=1","No Title Assigned - #15276663800")</f>
        <v/>
      </c>
      <c r="B16757" s="0" t="s">
        <v>22361</v>
      </c>
      <c r="E16757" s="0" t="inlineStr">
        <is>
          <t xml:space="preserve">Mazda</t>
        </is>
      </c>
      <c r="F16757" s="0" t="inlineStr">
        <is>
          <t xml:space="preserve">Mazda</t>
        </is>
      </c>
      <c r="G16757" s="0" t="s">
        <v>171</v>
      </c>
      <c r="H16757" s="5">
        <v>29412.853800</v>
      </c>
    </row>
    <row r="16758" spans="1:9">
      <c r="A16758" s="22" t="str">
        <f>HYPERLINK("https://app.vivvix.com/360/KMI/IntelliDrive/ApplUI/Pages/CreativePages/CustomReportCreativeDetail.aspx?App=23&amp;ReportView=4&amp;Qid=1711279&amp;Row=16750&amp;Col=1","No Title Assigned - #15276663812")</f>
        <v/>
      </c>
      <c r="B16758" s="0" t="s">
        <v>22363</v>
      </c>
      <c r="E16758" s="0" t="inlineStr">
        <is>
          <t xml:space="preserve">Mazda</t>
        </is>
      </c>
      <c r="F16758" s="0" t="inlineStr">
        <is>
          <t xml:space="preserve">Mazda</t>
        </is>
      </c>
      <c r="G16758" s="0" t="s">
        <v>171</v>
      </c>
      <c r="H16758" s="5">
        <v>2.837900</v>
      </c>
    </row>
    <row r="16759" spans="1:9">
      <c r="A16759" s="22" t="str">
        <f>HYPERLINK("https://app.vivvix.com/360/KMI/IntelliDrive/ApplUI/Pages/CreativePages/CustomReportCreativeDetail.aspx?App=23&amp;ReportView=4&amp;Qid=1711279&amp;Row=16751&amp;Col=1","No Title Assigned - #15276663828")</f>
        <v/>
      </c>
      <c r="B16759" s="0" t="s">
        <v>22364</v>
      </c>
      <c r="E16759" s="0" t="inlineStr">
        <is>
          <t xml:space="preserve">Mazda</t>
        </is>
      </c>
      <c r="F16759" s="0" t="inlineStr">
        <is>
          <t xml:space="preserve">Mazda</t>
        </is>
      </c>
      <c r="G16759" s="0" t="s">
        <v>171</v>
      </c>
      <c r="H16759" s="5">
        <v>32206.976800</v>
      </c>
    </row>
    <row r="16760" spans="1:9">
      <c r="A16760" s="22" t="str">
        <f>HYPERLINK("https://app.vivvix.com/360/KMI/IntelliDrive/ApplUI/Pages/CreativePages/CustomReportCreativeDetail.aspx?App=23&amp;ReportView=4&amp;Qid=1711279&amp;Row=16752&amp;Col=1","No Title Assigned - #15276663828")</f>
        <v/>
      </c>
      <c r="B16760" s="0" t="s">
        <v>22364</v>
      </c>
      <c r="E16760" s="0" t="inlineStr">
        <is>
          <t xml:space="preserve">Mazda</t>
        </is>
      </c>
      <c r="F16760" s="0" t="inlineStr">
        <is>
          <t xml:space="preserve">Mazda</t>
        </is>
      </c>
      <c r="G16760" s="0" t="s">
        <v>171</v>
      </c>
      <c r="H16760" s="5">
        <v>631.542400</v>
      </c>
    </row>
    <row r="16761" spans="1:9">
      <c r="A16761" s="22" t="str">
        <f>HYPERLINK("https://app.vivvix.com/360/KMI/IntelliDrive/ApplUI/Pages/CreativePages/CustomReportCreativeDetail.aspx?App=23&amp;ReportView=4&amp;Qid=1711279&amp;Row=16753&amp;Col=1","No Title Assigned - #15276664150")</f>
        <v/>
      </c>
      <c r="B16761" s="0" t="s">
        <v>22365</v>
      </c>
      <c r="E16761" s="0" t="inlineStr">
        <is>
          <t xml:space="preserve">Mazda</t>
        </is>
      </c>
      <c r="F16761" s="0" t="inlineStr">
        <is>
          <t xml:space="preserve">Mazda</t>
        </is>
      </c>
      <c r="G16761" s="0" t="s">
        <v>171</v>
      </c>
      <c r="H16761" s="5">
        <v>11001.788500</v>
      </c>
    </row>
    <row r="16762" spans="1:9">
      <c r="A16762" s="22" t="str">
        <f>HYPERLINK("https://app.vivvix.com/360/KMI/IntelliDrive/ApplUI/Pages/CreativePages/CustomReportCreativeDetail.aspx?App=23&amp;ReportView=4&amp;Qid=1711279&amp;Row=16754&amp;Col=1","No Title Assigned - #15276665649")</f>
        <v/>
      </c>
      <c r="B16762" s="0" t="s">
        <v>22366</v>
      </c>
      <c r="C16762" s="0" t="s">
        <v>22367</v>
      </c>
      <c r="D16762" s="0" t="s">
        <v>8588</v>
      </c>
      <c r="E16762" s="0" t="inlineStr">
        <is>
          <t xml:space="preserve">Mazda</t>
        </is>
      </c>
      <c r="F16762" s="0" t="s">
        <v>13</v>
      </c>
      <c r="G16762" s="0" t="s">
        <v>49</v>
      </c>
      <c r="H16762" s="5">
        <v>437767.270600</v>
      </c>
    </row>
    <row r="16763" spans="1:9">
      <c r="A16763" s="22" t="str">
        <f>HYPERLINK("https://app.vivvix.com/360/KMI/IntelliDrive/ApplUI/Pages/CreativePages/CustomReportCreativeDetail.aspx?App=23&amp;ReportView=4&amp;Qid=1711279&amp;Row=16755&amp;Col=1","No Title Assigned - #15276665649")</f>
        <v/>
      </c>
      <c r="B16763" s="0" t="s">
        <v>22366</v>
      </c>
      <c r="E16763" s="0" t="inlineStr">
        <is>
          <t xml:space="preserve">Mazda</t>
        </is>
      </c>
      <c r="F16763" s="0" t="s">
        <v>13</v>
      </c>
      <c r="G16763" s="0" t="s">
        <v>49</v>
      </c>
      <c r="H16763" s="5">
        <v>272723.541200</v>
      </c>
    </row>
    <row r="16764" spans="1:9">
      <c r="A16764" s="22" t="str">
        <f>HYPERLINK("https://app.vivvix.com/360/KMI/IntelliDrive/ApplUI/Pages/CreativePages/CustomReportCreativeDetail.aspx?App=23&amp;ReportView=4&amp;Qid=1711279&amp;Row=16756&amp;Col=1","No Title Assigned - #15276665658")</f>
        <v/>
      </c>
      <c r="B16764" s="0" t="s">
        <v>22368</v>
      </c>
      <c r="C16764" s="0" t="s">
        <v>22369</v>
      </c>
      <c r="D16764" s="0" t="s">
        <v>5013</v>
      </c>
      <c r="E16764" s="0" t="inlineStr">
        <is>
          <t xml:space="preserve">Mazda</t>
        </is>
      </c>
      <c r="F16764" s="0" t="s">
        <v>13</v>
      </c>
      <c r="G16764" s="0" t="s">
        <v>49</v>
      </c>
      <c r="H16764" s="5">
        <v>12860.118700</v>
      </c>
    </row>
    <row r="16765" spans="1:9">
      <c r="A16765" s="22" t="str">
        <f>HYPERLINK("https://app.vivvix.com/360/KMI/IntelliDrive/ApplUI/Pages/CreativePages/CustomReportCreativeDetail.aspx?App=23&amp;ReportView=4&amp;Qid=1711279&amp;Row=16757&amp;Col=1","No Title Assigned - #15276665658")</f>
        <v/>
      </c>
      <c r="B16765" s="0" t="s">
        <v>22368</v>
      </c>
      <c r="E16765" s="0" t="inlineStr">
        <is>
          <t xml:space="preserve">Mazda</t>
        </is>
      </c>
      <c r="F16765" s="0" t="s">
        <v>13</v>
      </c>
      <c r="G16765" s="0" t="s">
        <v>49</v>
      </c>
      <c r="H16765" s="5">
        <v>4002.178400</v>
      </c>
    </row>
    <row r="16766" spans="1:9">
      <c r="A16766" s="22" t="str">
        <f>HYPERLINK("https://app.vivvix.com/360/KMI/IntelliDrive/ApplUI/Pages/CreativePages/CustomReportCreativeDetail.aspx?App=23&amp;ReportView=4&amp;Qid=1711279&amp;Row=16758&amp;Col=1","No Title Assigned - #15276665826")</f>
        <v/>
      </c>
      <c r="B16766" s="0" t="s">
        <v>22370</v>
      </c>
      <c r="C16766" s="0" t="s">
        <v>22371</v>
      </c>
      <c r="D16766" s="0" t="s">
        <v>22371</v>
      </c>
      <c r="E16766" s="0" t="inlineStr">
        <is>
          <t xml:space="preserve">Mazda</t>
        </is>
      </c>
      <c r="F16766" s="0" t="s">
        <v>13</v>
      </c>
      <c r="G16766" s="0" t="s">
        <v>49</v>
      </c>
      <c r="H16766" s="5">
        <v>489121.709600</v>
      </c>
    </row>
    <row r="16767" spans="1:9">
      <c r="A16767" s="22" t="str">
        <f>HYPERLINK("https://app.vivvix.com/360/KMI/IntelliDrive/ApplUI/Pages/CreativePages/CustomReportCreativeDetail.aspx?App=23&amp;ReportView=4&amp;Qid=1711279&amp;Row=16759&amp;Col=1","No Title Assigned - #15276665826")</f>
        <v/>
      </c>
      <c r="B16767" s="0" t="s">
        <v>22370</v>
      </c>
      <c r="E16767" s="0" t="inlineStr">
        <is>
          <t xml:space="preserve">Mazda</t>
        </is>
      </c>
      <c r="F16767" s="0" t="s">
        <v>13</v>
      </c>
      <c r="G16767" s="0" t="s">
        <v>49</v>
      </c>
      <c r="H16767" s="5">
        <v>428936.855500</v>
      </c>
    </row>
    <row r="16768" spans="1:9">
      <c r="A16768" s="22" t="str">
        <f>HYPERLINK("https://app.vivvix.com/360/KMI/IntelliDrive/ApplUI/Pages/CreativePages/CustomReportCreativeDetail.aspx?App=23&amp;ReportView=4&amp;Qid=1711279&amp;Row=16760&amp;Col=1","No Title Assigned - #15276665921")</f>
        <v/>
      </c>
      <c r="B16768" s="0" t="s">
        <v>22372</v>
      </c>
      <c r="C16768" s="0" t="s">
        <v>22373</v>
      </c>
      <c r="D16768" s="0" t="s">
        <v>22373</v>
      </c>
      <c r="E16768" s="0" t="inlineStr">
        <is>
          <t xml:space="preserve">Mazda</t>
        </is>
      </c>
      <c r="F16768" s="0" t="s">
        <v>13</v>
      </c>
      <c r="G16768" s="0" t="s">
        <v>49</v>
      </c>
      <c r="H16768" s="5">
        <v>883.294900</v>
      </c>
    </row>
    <row r="16769" spans="1:9">
      <c r="A16769" s="22" t="str">
        <f>HYPERLINK("https://app.vivvix.com/360/KMI/IntelliDrive/ApplUI/Pages/CreativePages/CustomReportCreativeDetail.aspx?App=23&amp;ReportView=4&amp;Qid=1711279&amp;Row=16761&amp;Col=1","No Title Assigned - #15276665921")</f>
        <v/>
      </c>
      <c r="B16769" s="0" t="s">
        <v>22372</v>
      </c>
      <c r="E16769" s="0" t="inlineStr">
        <is>
          <t xml:space="preserve">Mazda</t>
        </is>
      </c>
      <c r="F16769" s="0" t="s">
        <v>13</v>
      </c>
      <c r="G16769" s="0" t="s">
        <v>49</v>
      </c>
      <c r="H16769" s="5">
        <v>48.273100</v>
      </c>
    </row>
    <row r="16770" spans="1:9">
      <c r="A16770" s="22" t="str">
        <f>HYPERLINK("https://app.vivvix.com/360/KMI/IntelliDrive/ApplUI/Pages/CreativePages/CustomReportCreativeDetail.aspx?App=23&amp;ReportView=4&amp;Qid=1711279&amp;Row=16762&amp;Col=1","No Title Assigned - #15276666149")</f>
        <v/>
      </c>
      <c r="B16770" s="0" t="s">
        <v>22374</v>
      </c>
      <c r="C16770" s="0" t="s">
        <v>22375</v>
      </c>
      <c r="D16770" s="0" t="s">
        <v>22375</v>
      </c>
      <c r="E16770" s="0" t="inlineStr">
        <is>
          <t xml:space="preserve">Mazda</t>
        </is>
      </c>
      <c r="F16770" s="0" t="s">
        <v>13</v>
      </c>
      <c r="G16770" s="0" t="s">
        <v>49</v>
      </c>
      <c r="H16770" s="5">
        <v>208.504400</v>
      </c>
    </row>
    <row r="16771" spans="1:9">
      <c r="A16771" s="22" t="str">
        <f>HYPERLINK("https://app.vivvix.com/360/KMI/IntelliDrive/ApplUI/Pages/CreativePages/CustomReportCreativeDetail.aspx?App=23&amp;ReportView=4&amp;Qid=1711279&amp;Row=16763&amp;Col=1","No Title Assigned - #15276666215")</f>
        <v/>
      </c>
      <c r="B16771" s="0" t="s">
        <v>22376</v>
      </c>
      <c r="C16771" s="0" t="s">
        <v>22377</v>
      </c>
      <c r="D16771" s="0" t="s">
        <v>21331</v>
      </c>
      <c r="E16771" s="0" t="inlineStr">
        <is>
          <t xml:space="preserve">Mazda</t>
        </is>
      </c>
      <c r="F16771" s="0" t="s">
        <v>13</v>
      </c>
      <c r="G16771" s="0" t="s">
        <v>49</v>
      </c>
      <c r="H16771" s="5">
        <v>15391.879700</v>
      </c>
    </row>
    <row r="16772" spans="1:9">
      <c r="A16772" s="22" t="str">
        <f>HYPERLINK("https://app.vivvix.com/360/KMI/IntelliDrive/ApplUI/Pages/CreativePages/CustomReportCreativeDetail.aspx?App=23&amp;ReportView=4&amp;Qid=1711279&amp;Row=16764&amp;Col=1","No Title Assigned - #15276666215")</f>
        <v/>
      </c>
      <c r="B16772" s="0" t="s">
        <v>22376</v>
      </c>
      <c r="E16772" s="0" t="inlineStr">
        <is>
          <t xml:space="preserve">Mazda</t>
        </is>
      </c>
      <c r="F16772" s="0" t="s">
        <v>13</v>
      </c>
      <c r="G16772" s="0" t="s">
        <v>49</v>
      </c>
      <c r="H16772" s="5">
        <v>1259.562600</v>
      </c>
    </row>
    <row r="16773" spans="1:9">
      <c r="A16773" s="22" t="str">
        <f>HYPERLINK("https://app.vivvix.com/360/KMI/IntelliDrive/ApplUI/Pages/CreativePages/CustomReportCreativeDetail.aspx?App=23&amp;ReportView=4&amp;Qid=1711279&amp;Row=16765&amp;Col=1","No Title Assigned - #15276666224")</f>
        <v/>
      </c>
      <c r="B16773" s="0" t="s">
        <v>22378</v>
      </c>
      <c r="C16773" s="0" t="s">
        <v>22379</v>
      </c>
      <c r="D16773" s="0" t="s">
        <v>10311</v>
      </c>
      <c r="E16773" s="0" t="inlineStr">
        <is>
          <t xml:space="preserve">Mazda</t>
        </is>
      </c>
      <c r="F16773" s="0" t="s">
        <v>13</v>
      </c>
      <c r="G16773" s="0" t="s">
        <v>49</v>
      </c>
      <c r="H16773" s="5">
        <v>264.858400</v>
      </c>
    </row>
    <row r="16774" spans="1:9">
      <c r="A16774" s="22" t="str">
        <f>HYPERLINK("https://app.vivvix.com/360/KMI/IntelliDrive/ApplUI/Pages/CreativePages/CustomReportCreativeDetail.aspx?App=23&amp;ReportView=4&amp;Qid=1711279&amp;Row=16766&amp;Col=1","No Title Assigned - #15276666444")</f>
        <v/>
      </c>
      <c r="B16774" s="0" t="s">
        <v>22380</v>
      </c>
      <c r="C16774" s="0" t="s">
        <v>22381</v>
      </c>
      <c r="D16774" s="0" t="s">
        <v>8588</v>
      </c>
      <c r="E16774" s="0" t="inlineStr">
        <is>
          <t xml:space="preserve">Mazda</t>
        </is>
      </c>
      <c r="F16774" s="0" t="s">
        <v>13</v>
      </c>
      <c r="G16774" s="0" t="s">
        <v>49</v>
      </c>
      <c r="H16774" s="5">
        <v>165899.586700</v>
      </c>
    </row>
    <row r="16775" spans="1:9">
      <c r="A16775" s="22" t="str">
        <f>HYPERLINK("https://app.vivvix.com/360/KMI/IntelliDrive/ApplUI/Pages/CreativePages/CustomReportCreativeDetail.aspx?App=23&amp;ReportView=4&amp;Qid=1711279&amp;Row=16767&amp;Col=1","No Title Assigned - #15276666444")</f>
        <v/>
      </c>
      <c r="B16775" s="0" t="s">
        <v>22380</v>
      </c>
      <c r="E16775" s="0" t="inlineStr">
        <is>
          <t xml:space="preserve">Mazda</t>
        </is>
      </c>
      <c r="F16775" s="0" t="s">
        <v>13</v>
      </c>
      <c r="G16775" s="0" t="s">
        <v>49</v>
      </c>
      <c r="H16775" s="5">
        <v>327723.578400</v>
      </c>
    </row>
    <row r="16776" spans="1:9">
      <c r="A16776" s="22" t="str">
        <f>HYPERLINK("https://app.vivvix.com/360/KMI/IntelliDrive/ApplUI/Pages/CreativePages/CustomReportCreativeDetail.aspx?App=23&amp;ReportView=4&amp;Qid=1711279&amp;Row=16768&amp;Col=1","No Title Assigned - #15276666598")</f>
        <v/>
      </c>
      <c r="B16776" s="0" t="s">
        <v>22382</v>
      </c>
      <c r="C16776" s="0" t="s">
        <v>22383</v>
      </c>
      <c r="D16776" s="0" t="s">
        <v>10004</v>
      </c>
      <c r="E16776" s="0" t="inlineStr">
        <is>
          <t xml:space="preserve">Mazda</t>
        </is>
      </c>
      <c r="F16776" s="0" t="s">
        <v>13</v>
      </c>
      <c r="G16776" s="0" t="s">
        <v>49</v>
      </c>
      <c r="H16776" s="5">
        <v>33.115400</v>
      </c>
    </row>
    <row r="16777" spans="1:9">
      <c r="A16777" s="22" t="str">
        <f>HYPERLINK("https://app.vivvix.com/360/KMI/IntelliDrive/ApplUI/Pages/CreativePages/CustomReportCreativeDetail.aspx?App=23&amp;ReportView=4&amp;Qid=1711279&amp;Row=16769&amp;Col=1","No Title Assigned - #15276666786")</f>
        <v/>
      </c>
      <c r="B16777" s="0" t="s">
        <v>22384</v>
      </c>
      <c r="C16777" s="0" t="s">
        <v>22385</v>
      </c>
      <c r="D16777" s="0" t="s">
        <v>8962</v>
      </c>
      <c r="E16777" s="0" t="inlineStr">
        <is>
          <t xml:space="preserve">Mazda</t>
        </is>
      </c>
      <c r="F16777" s="0" t="s">
        <v>13</v>
      </c>
      <c r="G16777" s="0" t="s">
        <v>49</v>
      </c>
      <c r="H16777" s="5">
        <v>3234.603000</v>
      </c>
    </row>
    <row r="16778" spans="1:9">
      <c r="A16778" s="22" t="str">
        <f>HYPERLINK("https://app.vivvix.com/360/KMI/IntelliDrive/ApplUI/Pages/CreativePages/CustomReportCreativeDetail.aspx?App=23&amp;ReportView=4&amp;Qid=1711279&amp;Row=16770&amp;Col=1","No Title Assigned - #15276666786")</f>
        <v/>
      </c>
      <c r="B16778" s="0" t="s">
        <v>22384</v>
      </c>
      <c r="E16778" s="0" t="inlineStr">
        <is>
          <t xml:space="preserve">Mazda</t>
        </is>
      </c>
      <c r="F16778" s="0" t="s">
        <v>13</v>
      </c>
      <c r="G16778" s="0" t="s">
        <v>49</v>
      </c>
      <c r="H16778" s="5">
        <v>11531.158700</v>
      </c>
    </row>
    <row r="16779" spans="1:9">
      <c r="A16779" s="22" t="str">
        <f>HYPERLINK("https://app.vivvix.com/360/KMI/IntelliDrive/ApplUI/Pages/CreativePages/CustomReportCreativeDetail.aspx?App=23&amp;ReportView=4&amp;Qid=1711279&amp;Row=16771&amp;Col=1","No Title Assigned - #15276666882")</f>
        <v/>
      </c>
      <c r="B16779" s="0" t="s">
        <v>22386</v>
      </c>
      <c r="C16779" s="0" t="s">
        <v>22387</v>
      </c>
      <c r="D16779" s="0" t="s">
        <v>4335</v>
      </c>
      <c r="E16779" s="0" t="inlineStr">
        <is>
          <t xml:space="preserve">Mazda</t>
        </is>
      </c>
      <c r="F16779" s="0" t="s">
        <v>13</v>
      </c>
      <c r="G16779" s="0" t="s">
        <v>49</v>
      </c>
      <c r="H16779" s="5">
        <v>864.427000</v>
      </c>
    </row>
    <row r="16780" spans="1:9">
      <c r="A16780" s="22" t="str">
        <f>HYPERLINK("https://app.vivvix.com/360/KMI/IntelliDrive/ApplUI/Pages/CreativePages/CustomReportCreativeDetail.aspx?App=23&amp;ReportView=4&amp;Qid=1711279&amp;Row=16772&amp;Col=1","No Title Assigned - #15276666933")</f>
        <v/>
      </c>
      <c r="B16780" s="0" t="s">
        <v>22388</v>
      </c>
      <c r="C16780" s="0" t="s">
        <v>22389</v>
      </c>
      <c r="D16780" s="0" t="s">
        <v>4774</v>
      </c>
      <c r="E16780" s="0" t="inlineStr">
        <is>
          <t xml:space="preserve">Mazda</t>
        </is>
      </c>
      <c r="F16780" s="0" t="s">
        <v>13</v>
      </c>
      <c r="G16780" s="0" t="s">
        <v>49</v>
      </c>
      <c r="H16780" s="5">
        <v>156735.312900</v>
      </c>
    </row>
    <row r="16781" spans="1:9">
      <c r="A16781" s="22" t="str">
        <f>HYPERLINK("https://app.vivvix.com/360/KMI/IntelliDrive/ApplUI/Pages/CreativePages/CustomReportCreativeDetail.aspx?App=23&amp;ReportView=4&amp;Qid=1711279&amp;Row=16773&amp;Col=1","No Title Assigned - #15276666933")</f>
        <v/>
      </c>
      <c r="B16781" s="0" t="s">
        <v>22388</v>
      </c>
      <c r="E16781" s="0" t="inlineStr">
        <is>
          <t xml:space="preserve">Mazda</t>
        </is>
      </c>
      <c r="F16781" s="0" t="s">
        <v>13</v>
      </c>
      <c r="G16781" s="0" t="s">
        <v>49</v>
      </c>
      <c r="H16781" s="5">
        <v>4779.643000</v>
      </c>
    </row>
    <row r="16782" spans="1:9">
      <c r="A16782" s="22" t="str">
        <f>HYPERLINK("https://app.vivvix.com/360/KMI/IntelliDrive/ApplUI/Pages/CreativePages/CustomReportCreativeDetail.aspx?App=23&amp;ReportView=4&amp;Qid=1711279&amp;Row=16774&amp;Col=1","No Title Assigned - #15276666974")</f>
        <v/>
      </c>
      <c r="B16782" s="0" t="s">
        <v>22390</v>
      </c>
      <c r="C16782" s="0" t="s">
        <v>22391</v>
      </c>
      <c r="D16782" s="0" t="s">
        <v>10311</v>
      </c>
      <c r="E16782" s="0" t="inlineStr">
        <is>
          <t xml:space="preserve">Mazda</t>
        </is>
      </c>
      <c r="F16782" s="0" t="s">
        <v>13</v>
      </c>
      <c r="G16782" s="0" t="s">
        <v>49</v>
      </c>
      <c r="H16782" s="5">
        <v>751.999000</v>
      </c>
    </row>
    <row r="16783" spans="1:9">
      <c r="A16783" s="22" t="str">
        <f>HYPERLINK("https://app.vivvix.com/360/KMI/IntelliDrive/ApplUI/Pages/CreativePages/CustomReportCreativeDetail.aspx?App=23&amp;ReportView=4&amp;Qid=1711279&amp;Row=16775&amp;Col=1","No Title Assigned - #15276666982")</f>
        <v/>
      </c>
      <c r="B16783" s="0" t="s">
        <v>22392</v>
      </c>
      <c r="E16783" s="0" t="inlineStr">
        <is>
          <t xml:space="preserve">Mazda</t>
        </is>
      </c>
      <c r="F16783" s="0" t="inlineStr">
        <is>
          <t xml:space="preserve">Mazda</t>
        </is>
      </c>
      <c r="G16783" s="0" t="s">
        <v>171</v>
      </c>
      <c r="H16783" s="5">
        <v>31.925700</v>
      </c>
    </row>
    <row r="16784" spans="1:9">
      <c r="A16784" s="22" t="str">
        <f>HYPERLINK("https://app.vivvix.com/360/KMI/IntelliDrive/ApplUI/Pages/CreativePages/CustomReportCreativeDetail.aspx?App=23&amp;ReportView=4&amp;Qid=1711279&amp;Row=16776&amp;Col=1","No Title Assigned - #15276667136")</f>
        <v/>
      </c>
      <c r="B16784" s="0" t="s">
        <v>22393</v>
      </c>
      <c r="C16784" s="0" t="s">
        <v>22394</v>
      </c>
      <c r="D16784" s="0" t="s">
        <v>4335</v>
      </c>
      <c r="E16784" s="0" t="inlineStr">
        <is>
          <t xml:space="preserve">Mazda</t>
        </is>
      </c>
      <c r="F16784" s="0" t="s">
        <v>13</v>
      </c>
      <c r="G16784" s="0" t="s">
        <v>49</v>
      </c>
      <c r="H16784" s="5">
        <v>18214.685400</v>
      </c>
    </row>
    <row r="16785" spans="1:9">
      <c r="A16785" s="22" t="str">
        <f>HYPERLINK("https://app.vivvix.com/360/KMI/IntelliDrive/ApplUI/Pages/CreativePages/CustomReportCreativeDetail.aspx?App=23&amp;ReportView=4&amp;Qid=1711279&amp;Row=16777&amp;Col=1","No Title Assigned - #15276667264")</f>
        <v/>
      </c>
      <c r="B16785" s="0" t="s">
        <v>22395</v>
      </c>
      <c r="C16785" s="0" t="s">
        <v>22396</v>
      </c>
      <c r="D16785" s="0" t="s">
        <v>4774</v>
      </c>
      <c r="E16785" s="0" t="inlineStr">
        <is>
          <t xml:space="preserve">Mazda</t>
        </is>
      </c>
      <c r="F16785" s="0" t="s">
        <v>13</v>
      </c>
      <c r="G16785" s="0" t="s">
        <v>49</v>
      </c>
      <c r="H16785" s="5">
        <v>6813.016400</v>
      </c>
    </row>
    <row r="16786" spans="1:9">
      <c r="A16786" s="22" t="str">
        <f>HYPERLINK("https://app.vivvix.com/360/KMI/IntelliDrive/ApplUI/Pages/CreativePages/CustomReportCreativeDetail.aspx?App=23&amp;ReportView=4&amp;Qid=1711279&amp;Row=16778&amp;Col=1","No Title Assigned - #15276667264")</f>
        <v/>
      </c>
      <c r="B16786" s="0" t="s">
        <v>22395</v>
      </c>
      <c r="E16786" s="0" t="inlineStr">
        <is>
          <t xml:space="preserve">Mazda</t>
        </is>
      </c>
      <c r="F16786" s="0" t="s">
        <v>13</v>
      </c>
      <c r="G16786" s="0" t="s">
        <v>49</v>
      </c>
      <c r="H16786" s="5">
        <v>343.319200</v>
      </c>
    </row>
    <row r="16787" spans="1:9">
      <c r="A16787" s="22" t="str">
        <f>HYPERLINK("https://app.vivvix.com/360/KMI/IntelliDrive/ApplUI/Pages/CreativePages/CustomReportCreativeDetail.aspx?App=23&amp;ReportView=4&amp;Qid=1711279&amp;Row=16779&amp;Col=1","No Title Assigned - #15276667455")</f>
        <v/>
      </c>
      <c r="B16787" s="0" t="s">
        <v>22397</v>
      </c>
      <c r="C16787" s="0" t="s">
        <v>22398</v>
      </c>
      <c r="D16787" s="0" t="s">
        <v>9043</v>
      </c>
      <c r="E16787" s="0" t="inlineStr">
        <is>
          <t xml:space="preserve">Mazda</t>
        </is>
      </c>
      <c r="F16787" s="0" t="s">
        <v>13</v>
      </c>
      <c r="G16787" s="0" t="s">
        <v>49</v>
      </c>
      <c r="H16787" s="5">
        <v>284206.434000</v>
      </c>
    </row>
    <row r="16788" spans="1:9">
      <c r="A16788" s="22" t="str">
        <f>HYPERLINK("https://app.vivvix.com/360/KMI/IntelliDrive/ApplUI/Pages/CreativePages/CustomReportCreativeDetail.aspx?App=23&amp;ReportView=4&amp;Qid=1711279&amp;Row=16780&amp;Col=1","No Title Assigned - #15276667455")</f>
        <v/>
      </c>
      <c r="B16788" s="0" t="s">
        <v>22397</v>
      </c>
      <c r="E16788" s="0" t="inlineStr">
        <is>
          <t xml:space="preserve">Mazda</t>
        </is>
      </c>
      <c r="F16788" s="0" t="s">
        <v>13</v>
      </c>
      <c r="G16788" s="0" t="s">
        <v>49</v>
      </c>
      <c r="H16788" s="5">
        <v>3046.181500</v>
      </c>
    </row>
    <row r="16789" spans="1:9">
      <c r="A16789" s="22" t="str">
        <f>HYPERLINK("https://app.vivvix.com/360/KMI/IntelliDrive/ApplUI/Pages/CreativePages/CustomReportCreativeDetail.aspx?App=23&amp;ReportView=4&amp;Qid=1711279&amp;Row=16781&amp;Col=1","No Title Assigned - #15276668011")</f>
        <v/>
      </c>
      <c r="B16789" s="0" t="s">
        <v>22399</v>
      </c>
      <c r="C16789" s="0" t="s">
        <v>22400</v>
      </c>
      <c r="D16789" s="0" t="s">
        <v>22400</v>
      </c>
      <c r="E16789" s="0" t="inlineStr">
        <is>
          <t xml:space="preserve">Mazda</t>
        </is>
      </c>
      <c r="F16789" s="0" t="inlineStr">
        <is>
          <t xml:space="preserve">Mazda</t>
        </is>
      </c>
      <c r="G16789" s="0" t="s">
        <v>210</v>
      </c>
      <c r="H16789" s="5">
        <v>11422.527200</v>
      </c>
    </row>
    <row r="16790" spans="1:9">
      <c r="A16790" s="22" t="str">
        <f>HYPERLINK("https://app.vivvix.com/360/KMI/IntelliDrive/ApplUI/Pages/CreativePages/CustomReportCreativeDetail.aspx?App=23&amp;ReportView=4&amp;Qid=1711279&amp;Row=16782&amp;Col=1","No Title Assigned - #15276668825")</f>
        <v/>
      </c>
      <c r="B16790" s="0" t="s">
        <v>22401</v>
      </c>
      <c r="C16790" s="0" t="s">
        <v>22402</v>
      </c>
      <c r="D16790" s="0" t="s">
        <v>8453</v>
      </c>
      <c r="E16790" s="0" t="inlineStr">
        <is>
          <t xml:space="preserve">Mazda</t>
        </is>
      </c>
      <c r="F16790" s="0" t="s">
        <v>13</v>
      </c>
      <c r="G16790" s="0" t="s">
        <v>49</v>
      </c>
      <c r="H16790" s="5">
        <v>154.820500</v>
      </c>
    </row>
    <row r="16791" spans="1:9">
      <c r="A16791" s="22" t="str">
        <f>HYPERLINK("https://app.vivvix.com/360/KMI/IntelliDrive/ApplUI/Pages/CreativePages/CustomReportCreativeDetail.aspx?App=23&amp;ReportView=4&amp;Qid=1711279&amp;Row=16783&amp;Col=1","No Title Assigned - #15276669579")</f>
        <v/>
      </c>
      <c r="B16791" s="0" t="s">
        <v>22403</v>
      </c>
      <c r="C16791" s="0" t="s">
        <v>22404</v>
      </c>
      <c r="D16791" s="0" t="s">
        <v>22404</v>
      </c>
      <c r="E16791" s="0" t="inlineStr">
        <is>
          <t xml:space="preserve">Mazda</t>
        </is>
      </c>
      <c r="F16791" s="0" t="s">
        <v>13</v>
      </c>
      <c r="G16791" s="0" t="s">
        <v>49</v>
      </c>
      <c r="H16791" s="5">
        <v>4086.576900</v>
      </c>
    </row>
    <row r="16792" spans="1:9">
      <c r="A16792" s="22" t="str">
        <f>HYPERLINK("https://app.vivvix.com/360/KMI/IntelliDrive/ApplUI/Pages/CreativePages/CustomReportCreativeDetail.aspx?App=23&amp;ReportView=4&amp;Qid=1711279&amp;Row=16784&amp;Col=1","No Title Assigned - #15276670737")</f>
        <v/>
      </c>
      <c r="B16792" s="0" t="s">
        <v>22405</v>
      </c>
      <c r="C16792" s="0" t="s">
        <v>22406</v>
      </c>
      <c r="D16792" s="0" t="s">
        <v>22406</v>
      </c>
      <c r="E16792" s="0" t="inlineStr">
        <is>
          <t xml:space="preserve">Mazda</t>
        </is>
      </c>
      <c r="F16792" s="0" t="s">
        <v>13</v>
      </c>
      <c r="G16792" s="0" t="s">
        <v>49</v>
      </c>
      <c r="H16792" s="5">
        <v>4816.257100</v>
      </c>
    </row>
    <row r="16793" spans="1:9">
      <c r="A16793" s="22" t="str">
        <f>HYPERLINK("https://app.vivvix.com/360/KMI/IntelliDrive/ApplUI/Pages/CreativePages/CustomReportCreativeDetail.aspx?App=23&amp;ReportView=4&amp;Qid=1711279&amp;Row=16785&amp;Col=1","No Title Assigned - #15276672583")</f>
        <v/>
      </c>
      <c r="B16793" s="0" t="s">
        <v>22407</v>
      </c>
      <c r="C16793" s="0" t="s">
        <v>22408</v>
      </c>
      <c r="D16793" s="0" t="s">
        <v>22408</v>
      </c>
      <c r="E16793" s="0" t="inlineStr">
        <is>
          <t xml:space="preserve">Mazda</t>
        </is>
      </c>
      <c r="F16793" s="0" t="s">
        <v>13</v>
      </c>
      <c r="G16793" s="0" t="s">
        <v>49</v>
      </c>
      <c r="H16793" s="5">
        <v>618.368400</v>
      </c>
    </row>
    <row r="16794" spans="1:9">
      <c r="A16794" s="22" t="str">
        <f>HYPERLINK("https://app.vivvix.com/360/KMI/IntelliDrive/ApplUI/Pages/CreativePages/CustomReportCreativeDetail.aspx?App=23&amp;ReportView=4&amp;Qid=1711279&amp;Row=16786&amp;Col=1","No Title Assigned - #15276674466")</f>
        <v/>
      </c>
      <c r="B16794" s="0" t="s">
        <v>22409</v>
      </c>
      <c r="C16794" s="0" t="s">
        <v>22410</v>
      </c>
      <c r="D16794" s="0" t="s">
        <v>10371</v>
      </c>
      <c r="E16794" s="0" t="inlineStr">
        <is>
          <t xml:space="preserve">Mazda</t>
        </is>
      </c>
      <c r="F16794" s="0" t="s">
        <v>13</v>
      </c>
      <c r="G16794" s="0" t="s">
        <v>49</v>
      </c>
      <c r="H16794" s="5">
        <v>86.845900</v>
      </c>
    </row>
    <row r="16795" spans="1:9">
      <c r="A16795" s="22" t="str">
        <f>HYPERLINK("https://app.vivvix.com/360/KMI/IntelliDrive/ApplUI/Pages/CreativePages/CustomReportCreativeDetail.aspx?App=23&amp;ReportView=4&amp;Qid=1711279&amp;Row=16787&amp;Col=1","No Title Assigned - #15276674502")</f>
        <v/>
      </c>
      <c r="B16795" s="0" t="s">
        <v>22411</v>
      </c>
      <c r="C16795" s="0" t="s">
        <v>22412</v>
      </c>
      <c r="D16795" s="0" t="s">
        <v>22412</v>
      </c>
      <c r="E16795" s="0" t="inlineStr">
        <is>
          <t xml:space="preserve">Mazda</t>
        </is>
      </c>
      <c r="F16795" s="0" t="s">
        <v>13</v>
      </c>
      <c r="G16795" s="0" t="s">
        <v>49</v>
      </c>
      <c r="H16795" s="5">
        <v>75361.166900</v>
      </c>
    </row>
    <row r="16796" spans="1:9">
      <c r="A16796" s="22" t="str">
        <f>HYPERLINK("https://app.vivvix.com/360/KMI/IntelliDrive/ApplUI/Pages/CreativePages/CustomReportCreativeDetail.aspx?App=23&amp;ReportView=4&amp;Qid=1711279&amp;Row=16788&amp;Col=1","No Title Assigned - #15276676738")</f>
        <v/>
      </c>
      <c r="B16796" s="0" t="s">
        <v>22413</v>
      </c>
      <c r="C16796" s="0" t="s">
        <v>22414</v>
      </c>
      <c r="D16796" s="0" t="s">
        <v>22414</v>
      </c>
      <c r="E16796" s="0" t="inlineStr">
        <is>
          <t xml:space="preserve">Mazda</t>
        </is>
      </c>
      <c r="F16796" s="0" t="s">
        <v>13</v>
      </c>
      <c r="G16796" s="0" t="s">
        <v>49</v>
      </c>
      <c r="H16796" s="5">
        <v>228.277900</v>
      </c>
    </row>
    <row r="16797" spans="1:9">
      <c r="A16797" s="22" t="str">
        <f>HYPERLINK("https://app.vivvix.com/360/KMI/IntelliDrive/ApplUI/Pages/CreativePages/CustomReportCreativeDetail.aspx?App=23&amp;ReportView=4&amp;Qid=1711279&amp;Row=16789&amp;Col=1","No Title Assigned - #15276677417")</f>
        <v/>
      </c>
      <c r="B16797" s="0" t="s">
        <v>22415</v>
      </c>
      <c r="C16797" s="0" t="s">
        <v>22416</v>
      </c>
      <c r="D16797" s="0" t="s">
        <v>4335</v>
      </c>
      <c r="E16797" s="0" t="inlineStr">
        <is>
          <t xml:space="preserve">Mazda</t>
        </is>
      </c>
      <c r="F16797" s="0" t="s">
        <v>13</v>
      </c>
      <c r="G16797" s="0" t="s">
        <v>49</v>
      </c>
      <c r="H16797" s="5">
        <v>3563.645900</v>
      </c>
    </row>
    <row r="16798" spans="1:9">
      <c r="A16798" s="22" t="str">
        <f>HYPERLINK("https://app.vivvix.com/360/KMI/IntelliDrive/ApplUI/Pages/CreativePages/CustomReportCreativeDetail.aspx?App=23&amp;ReportView=4&amp;Qid=1711279&amp;Row=16790&amp;Col=1","No Title Assigned - #15276677417")</f>
        <v/>
      </c>
      <c r="B16798" s="0" t="s">
        <v>22415</v>
      </c>
      <c r="E16798" s="0" t="inlineStr">
        <is>
          <t xml:space="preserve">Mazda</t>
        </is>
      </c>
      <c r="F16798" s="0" t="s">
        <v>13</v>
      </c>
      <c r="G16798" s="0" t="s">
        <v>49</v>
      </c>
      <c r="H16798" s="5">
        <v>1088.806100</v>
      </c>
    </row>
    <row r="16799" spans="1:9">
      <c r="A16799" s="22" t="str">
        <f>HYPERLINK("https://app.vivvix.com/360/KMI/IntelliDrive/ApplUI/Pages/CreativePages/CustomReportCreativeDetail.aspx?App=23&amp;ReportView=4&amp;Qid=1711279&amp;Row=16791&amp;Col=1","No Title Assigned - #15276677971")</f>
        <v/>
      </c>
      <c r="B16799" s="0" t="s">
        <v>22417</v>
      </c>
      <c r="E16799" s="0" t="inlineStr">
        <is>
          <t xml:space="preserve">Mazda</t>
        </is>
      </c>
      <c r="F16799" s="0" t="s">
        <v>13</v>
      </c>
      <c r="G16799" s="0" t="s">
        <v>49</v>
      </c>
      <c r="H16799" s="5">
        <v>4275.654400</v>
      </c>
    </row>
    <row r="16800" spans="1:9">
      <c r="A16800" s="22" t="str">
        <f>HYPERLINK("https://app.vivvix.com/360/KMI/IntelliDrive/ApplUI/Pages/CreativePages/CustomReportCreativeDetail.aspx?App=23&amp;ReportView=4&amp;Qid=1711279&amp;Row=16792&amp;Col=1","No Title Assigned - #15276679602")</f>
        <v/>
      </c>
      <c r="B16800" s="0" t="s">
        <v>22418</v>
      </c>
      <c r="C16800" s="0" t="s">
        <v>22419</v>
      </c>
      <c r="D16800" s="0" t="s">
        <v>8560</v>
      </c>
      <c r="E16800" s="0" t="inlineStr">
        <is>
          <t xml:space="preserve">Mazda</t>
        </is>
      </c>
      <c r="F16800" s="0" t="s">
        <v>13</v>
      </c>
      <c r="G16800" s="0" t="s">
        <v>49</v>
      </c>
      <c r="H16800" s="5">
        <v>968.173500</v>
      </c>
    </row>
    <row r="16801" spans="1:9">
      <c r="A16801" s="22" t="str">
        <f>HYPERLINK("https://app.vivvix.com/360/KMI/IntelliDrive/ApplUI/Pages/CreativePages/CustomReportCreativeDetail.aspx?App=23&amp;ReportView=4&amp;Qid=1711279&amp;Row=16793&amp;Col=1","No Title Assigned - #15276679846")</f>
        <v/>
      </c>
      <c r="B16801" s="0" t="s">
        <v>22420</v>
      </c>
      <c r="C16801" s="0" t="s">
        <v>22421</v>
      </c>
      <c r="D16801" s="0" t="s">
        <v>22421</v>
      </c>
      <c r="E16801" s="0" t="inlineStr">
        <is>
          <t xml:space="preserve">Mazda</t>
        </is>
      </c>
      <c r="F16801" s="0" t="s">
        <v>13</v>
      </c>
      <c r="G16801" s="0" t="s">
        <v>49</v>
      </c>
      <c r="H16801" s="5">
        <v>2.734300</v>
      </c>
    </row>
    <row r="16802" spans="1:9">
      <c r="A16802" s="22" t="str">
        <f>HYPERLINK("https://app.vivvix.com/360/KMI/IntelliDrive/ApplUI/Pages/CreativePages/CustomReportCreativeDetail.aspx?App=23&amp;ReportView=4&amp;Qid=1711279&amp;Row=16794&amp;Col=1","No Title Assigned - #15276681817")</f>
        <v/>
      </c>
      <c r="B16802" s="0" t="s">
        <v>22422</v>
      </c>
      <c r="C16802" s="0" t="s">
        <v>22423</v>
      </c>
      <c r="D16802" s="0" t="s">
        <v>4768</v>
      </c>
      <c r="E16802" s="0" t="inlineStr">
        <is>
          <t xml:space="preserve">Mazda</t>
        </is>
      </c>
      <c r="F16802" s="0" t="s">
        <v>13</v>
      </c>
      <c r="G16802" s="0" t="s">
        <v>49</v>
      </c>
      <c r="H16802" s="5">
        <v>263.196700</v>
      </c>
    </row>
    <row r="16803" spans="1:9">
      <c r="A16803" s="22" t="str">
        <f>HYPERLINK("https://app.vivvix.com/360/KMI/IntelliDrive/ApplUI/Pages/CreativePages/CustomReportCreativeDetail.aspx?App=23&amp;ReportView=4&amp;Qid=1711279&amp;Row=16795&amp;Col=1","No Title Assigned - #15276682056")</f>
        <v/>
      </c>
      <c r="B16803" s="0" t="s">
        <v>22424</v>
      </c>
      <c r="C16803" s="0" t="s">
        <v>22425</v>
      </c>
      <c r="D16803" s="0" t="s">
        <v>22425</v>
      </c>
      <c r="E16803" s="0" t="inlineStr">
        <is>
          <t xml:space="preserve">Mazda</t>
        </is>
      </c>
      <c r="F16803" s="0" t="s">
        <v>13</v>
      </c>
      <c r="G16803" s="0" t="s">
        <v>49</v>
      </c>
      <c r="H16803" s="5">
        <v>11059.512900</v>
      </c>
    </row>
    <row r="16804" spans="1:9">
      <c r="A16804" s="22" t="str">
        <f>HYPERLINK("https://app.vivvix.com/360/KMI/IntelliDrive/ApplUI/Pages/CreativePages/CustomReportCreativeDetail.aspx?App=23&amp;ReportView=4&amp;Qid=1711279&amp;Row=16796&amp;Col=1","No Title Assigned - #15276682091")</f>
        <v/>
      </c>
      <c r="B16804" s="0" t="s">
        <v>22426</v>
      </c>
      <c r="C16804" s="0" t="s">
        <v>22427</v>
      </c>
      <c r="D16804" s="0" t="s">
        <v>22427</v>
      </c>
      <c r="E16804" s="0" t="inlineStr">
        <is>
          <t xml:space="preserve">Mazda</t>
        </is>
      </c>
      <c r="F16804" s="0" t="s">
        <v>13</v>
      </c>
      <c r="G16804" s="0" t="s">
        <v>49</v>
      </c>
      <c r="H16804" s="5">
        <v>8.507000</v>
      </c>
    </row>
    <row r="16805" spans="1:9">
      <c r="A16805" s="22" t="str">
        <f>HYPERLINK("https://app.vivvix.com/360/KMI/IntelliDrive/ApplUI/Pages/CreativePages/CustomReportCreativeDetail.aspx?App=23&amp;ReportView=4&amp;Qid=1711279&amp;Row=16797&amp;Col=1","No Title Assigned - #15276682244")</f>
        <v/>
      </c>
      <c r="B16805" s="0" t="s">
        <v>22428</v>
      </c>
      <c r="C16805" s="0" t="s">
        <v>22429</v>
      </c>
      <c r="D16805" s="0" t="s">
        <v>22429</v>
      </c>
      <c r="E16805" s="0" t="inlineStr">
        <is>
          <t xml:space="preserve">Mazda</t>
        </is>
      </c>
      <c r="F16805" s="0" t="s">
        <v>13</v>
      </c>
      <c r="G16805" s="0" t="s">
        <v>49</v>
      </c>
      <c r="H16805" s="5">
        <v>3232.441900</v>
      </c>
    </row>
    <row r="16806" spans="1:9">
      <c r="A16806" s="22" t="str">
        <f>HYPERLINK("https://app.vivvix.com/360/KMI/IntelliDrive/ApplUI/Pages/CreativePages/CustomReportCreativeDetail.aspx?App=23&amp;ReportView=4&amp;Qid=1711279&amp;Row=16798&amp;Col=1","No Title Assigned - #15276682884")</f>
        <v/>
      </c>
      <c r="B16806" s="0" t="s">
        <v>22430</v>
      </c>
      <c r="C16806" s="0" t="s">
        <v>22431</v>
      </c>
      <c r="D16806" s="0" t="s">
        <v>4774</v>
      </c>
      <c r="E16806" s="0" t="inlineStr">
        <is>
          <t xml:space="preserve">Mazda</t>
        </is>
      </c>
      <c r="F16806" s="0" t="s">
        <v>13</v>
      </c>
      <c r="G16806" s="0" t="s">
        <v>49</v>
      </c>
      <c r="H16806" s="5">
        <v>1265.308000</v>
      </c>
    </row>
    <row r="16807" spans="1:9">
      <c r="A16807" s="22" t="str">
        <f>HYPERLINK("https://app.vivvix.com/360/KMI/IntelliDrive/ApplUI/Pages/CreativePages/CustomReportCreativeDetail.aspx?App=23&amp;ReportView=4&amp;Qid=1711279&amp;Row=16799&amp;Col=1","No Title Assigned - #15276682962")</f>
        <v/>
      </c>
      <c r="B16807" s="0" t="s">
        <v>22432</v>
      </c>
      <c r="C16807" s="0" t="s">
        <v>22433</v>
      </c>
      <c r="D16807" s="0" t="s">
        <v>13101</v>
      </c>
      <c r="E16807" s="0" t="inlineStr">
        <is>
          <t xml:space="preserve">Mazda</t>
        </is>
      </c>
      <c r="F16807" s="0" t="s">
        <v>13</v>
      </c>
      <c r="G16807" s="0" t="s">
        <v>49</v>
      </c>
      <c r="H16807" s="5">
        <v>344.134100</v>
      </c>
    </row>
    <row r="16808" spans="1:9">
      <c r="A16808" s="22" t="str">
        <f>HYPERLINK("https://app.vivvix.com/360/KMI/IntelliDrive/ApplUI/Pages/CreativePages/CustomReportCreativeDetail.aspx?App=23&amp;ReportView=4&amp;Qid=1711279&amp;Row=16800&amp;Col=1","No Title Assigned - #15276683207")</f>
        <v/>
      </c>
      <c r="B16808" s="0" t="s">
        <v>22434</v>
      </c>
      <c r="C16808" s="0" t="s">
        <v>22435</v>
      </c>
      <c r="D16808" s="0" t="s">
        <v>22435</v>
      </c>
      <c r="E16808" s="0" t="inlineStr">
        <is>
          <t xml:space="preserve">Mazda</t>
        </is>
      </c>
      <c r="F16808" s="0" t="s">
        <v>13</v>
      </c>
      <c r="G16808" s="0" t="s">
        <v>49</v>
      </c>
      <c r="H16808" s="5">
        <v>22112.592100</v>
      </c>
    </row>
    <row r="16809" spans="1:9">
      <c r="A16809" s="22" t="str">
        <f>HYPERLINK("https://app.vivvix.com/360/KMI/IntelliDrive/ApplUI/Pages/CreativePages/CustomReportCreativeDetail.aspx?App=23&amp;ReportView=4&amp;Qid=1711279&amp;Row=16801&amp;Col=1","No Title Assigned - #15276683207")</f>
        <v/>
      </c>
      <c r="B16809" s="0" t="s">
        <v>22434</v>
      </c>
      <c r="E16809" s="0" t="inlineStr">
        <is>
          <t xml:space="preserve">Mazda</t>
        </is>
      </c>
      <c r="F16809" s="0" t="s">
        <v>13</v>
      </c>
      <c r="G16809" s="0" t="s">
        <v>49</v>
      </c>
      <c r="H16809" s="5">
        <v>5992.039000</v>
      </c>
    </row>
    <row r="16810" spans="1:9">
      <c r="A16810" s="22" t="str">
        <f>HYPERLINK("https://app.vivvix.com/360/KMI/IntelliDrive/ApplUI/Pages/CreativePages/CustomReportCreativeDetail.aspx?App=23&amp;ReportView=4&amp;Qid=1711279&amp;Row=16802&amp;Col=1","No Title Assigned - #15276684085")</f>
        <v/>
      </c>
      <c r="B16810" s="0" t="s">
        <v>22436</v>
      </c>
      <c r="E16810" s="0" t="inlineStr">
        <is>
          <t xml:space="preserve">Mazda</t>
        </is>
      </c>
      <c r="F16810" s="0" t="s">
        <v>13</v>
      </c>
      <c r="G16810" s="0" t="s">
        <v>49</v>
      </c>
      <c r="H16810" s="5">
        <v>529.011300</v>
      </c>
    </row>
    <row r="16811" spans="1:9">
      <c r="A16811" s="22" t="str">
        <f>HYPERLINK("https://app.vivvix.com/360/KMI/IntelliDrive/ApplUI/Pages/CreativePages/CustomReportCreativeDetail.aspx?App=23&amp;ReportView=4&amp;Qid=1711279&amp;Row=16803&amp;Col=1","No Title Assigned - #15276684087")</f>
        <v/>
      </c>
      <c r="B16811" s="0" t="s">
        <v>22437</v>
      </c>
      <c r="C16811" s="0" t="s">
        <v>22438</v>
      </c>
      <c r="D16811" s="0" t="s">
        <v>22438</v>
      </c>
      <c r="E16811" s="0" t="inlineStr">
        <is>
          <t xml:space="preserve">Mazda</t>
        </is>
      </c>
      <c r="F16811" s="0" t="s">
        <v>13</v>
      </c>
      <c r="G16811" s="0" t="s">
        <v>49</v>
      </c>
      <c r="H16811" s="5">
        <v>3626.019900</v>
      </c>
    </row>
    <row r="16812" spans="1:9">
      <c r="A16812" s="22" t="str">
        <f>HYPERLINK("https://app.vivvix.com/360/KMI/IntelliDrive/ApplUI/Pages/CreativePages/CustomReportCreativeDetail.aspx?App=23&amp;ReportView=4&amp;Qid=1711279&amp;Row=16804&amp;Col=1","No Title Assigned - #15276684353")</f>
        <v/>
      </c>
      <c r="B16812" s="0" t="s">
        <v>22439</v>
      </c>
      <c r="C16812" s="0" t="s">
        <v>22440</v>
      </c>
      <c r="D16812" s="0" t="s">
        <v>4774</v>
      </c>
      <c r="E16812" s="0" t="inlineStr">
        <is>
          <t xml:space="preserve">Mazda</t>
        </is>
      </c>
      <c r="F16812" s="0" t="s">
        <v>13</v>
      </c>
      <c r="G16812" s="0" t="s">
        <v>49</v>
      </c>
      <c r="H16812" s="5">
        <v>6160.428000</v>
      </c>
    </row>
    <row r="16813" spans="1:9">
      <c r="A16813" s="22" t="str">
        <f>HYPERLINK("https://app.vivvix.com/360/KMI/IntelliDrive/ApplUI/Pages/CreativePages/CustomReportCreativeDetail.aspx?App=23&amp;ReportView=4&amp;Qid=1711279&amp;Row=16805&amp;Col=1","No Title Assigned - #15276684353")</f>
        <v/>
      </c>
      <c r="B16813" s="0" t="s">
        <v>22439</v>
      </c>
      <c r="E16813" s="0" t="inlineStr">
        <is>
          <t xml:space="preserve">Mazda</t>
        </is>
      </c>
      <c r="F16813" s="0" t="s">
        <v>13</v>
      </c>
      <c r="G16813" s="0" t="s">
        <v>49</v>
      </c>
      <c r="H16813" s="5">
        <v>3357.279400</v>
      </c>
    </row>
    <row r="16814" spans="1:9">
      <c r="A16814" s="22" t="str">
        <f>HYPERLINK("https://app.vivvix.com/360/KMI/IntelliDrive/ApplUI/Pages/CreativePages/CustomReportCreativeDetail.aspx?App=23&amp;ReportView=4&amp;Qid=1711279&amp;Row=16806&amp;Col=1","No Title Assigned - #15276684551")</f>
        <v/>
      </c>
      <c r="B16814" s="0" t="s">
        <v>22441</v>
      </c>
      <c r="C16814" s="0" t="s">
        <v>22442</v>
      </c>
      <c r="D16814" s="0" t="s">
        <v>22442</v>
      </c>
      <c r="E16814" s="0" t="inlineStr">
        <is>
          <t xml:space="preserve">Mazda</t>
        </is>
      </c>
      <c r="F16814" s="0" t="s">
        <v>13</v>
      </c>
      <c r="G16814" s="0" t="s">
        <v>49</v>
      </c>
      <c r="H16814" s="5">
        <v>79878.638800</v>
      </c>
    </row>
    <row r="16815" spans="1:9">
      <c r="A16815" s="22" t="str">
        <f>HYPERLINK("https://app.vivvix.com/360/KMI/IntelliDrive/ApplUI/Pages/CreativePages/CustomReportCreativeDetail.aspx?App=23&amp;ReportView=4&amp;Qid=1711279&amp;Row=16807&amp;Col=1","No Title Assigned - #15276684604")</f>
        <v/>
      </c>
      <c r="B16815" s="0" t="s">
        <v>22443</v>
      </c>
      <c r="C16815" s="0" t="s">
        <v>22444</v>
      </c>
      <c r="D16815" s="0" t="s">
        <v>13101</v>
      </c>
      <c r="E16815" s="0" t="inlineStr">
        <is>
          <t xml:space="preserve">Mazda</t>
        </is>
      </c>
      <c r="F16815" s="0" t="s">
        <v>13</v>
      </c>
      <c r="G16815" s="0" t="s">
        <v>49</v>
      </c>
      <c r="H16815" s="5">
        <v>36173.878600</v>
      </c>
    </row>
    <row r="16816" spans="1:9">
      <c r="A16816" s="22" t="str">
        <f>HYPERLINK("https://app.vivvix.com/360/KMI/IntelliDrive/ApplUI/Pages/CreativePages/CustomReportCreativeDetail.aspx?App=23&amp;ReportView=4&amp;Qid=1711279&amp;Row=16808&amp;Col=1","No Title Assigned - #15276684604")</f>
        <v/>
      </c>
      <c r="B16816" s="0" t="s">
        <v>22443</v>
      </c>
      <c r="E16816" s="0" t="inlineStr">
        <is>
          <t xml:space="preserve">Mazda</t>
        </is>
      </c>
      <c r="F16816" s="0" t="s">
        <v>13</v>
      </c>
      <c r="G16816" s="0" t="s">
        <v>49</v>
      </c>
      <c r="H16816" s="5">
        <v>1065.276800</v>
      </c>
    </row>
    <row r="16817" spans="1:9">
      <c r="A16817" s="22" t="str">
        <f>HYPERLINK("https://app.vivvix.com/360/KMI/IntelliDrive/ApplUI/Pages/CreativePages/CustomReportCreativeDetail.aspx?App=23&amp;ReportView=4&amp;Qid=1711279&amp;Row=16809&amp;Col=1","No Title Assigned - #15276684714")</f>
        <v/>
      </c>
      <c r="B16817" s="0" t="s">
        <v>22445</v>
      </c>
      <c r="C16817" s="0" t="s">
        <v>22446</v>
      </c>
      <c r="D16817" s="0" t="s">
        <v>22446</v>
      </c>
      <c r="E16817" s="0" t="inlineStr">
        <is>
          <t xml:space="preserve">Mazda</t>
        </is>
      </c>
      <c r="F16817" s="0" t="s">
        <v>13</v>
      </c>
      <c r="G16817" s="0" t="s">
        <v>49</v>
      </c>
      <c r="H16817" s="5">
        <v>3.325800</v>
      </c>
    </row>
    <row r="16818" spans="1:9">
      <c r="A16818" s="22" t="str">
        <f>HYPERLINK("https://app.vivvix.com/360/KMI/IntelliDrive/ApplUI/Pages/CreativePages/CustomReportCreativeDetail.aspx?App=23&amp;ReportView=4&amp;Qid=1711279&amp;Row=16810&amp;Col=1","No Title Assigned - #15276684752")</f>
        <v/>
      </c>
      <c r="B16818" s="0" t="s">
        <v>22447</v>
      </c>
      <c r="E16818" s="0" t="inlineStr">
        <is>
          <t xml:space="preserve">Mazda</t>
        </is>
      </c>
      <c r="F16818" s="0" t="s">
        <v>13</v>
      </c>
      <c r="G16818" s="0" t="s">
        <v>49</v>
      </c>
      <c r="H16818" s="5">
        <v>106.875000</v>
      </c>
    </row>
    <row r="16819" spans="1:9">
      <c r="A16819" s="22" t="str">
        <f>HYPERLINK("https://app.vivvix.com/360/KMI/IntelliDrive/ApplUI/Pages/CreativePages/CustomReportCreativeDetail.aspx?App=23&amp;ReportView=4&amp;Qid=1711279&amp;Row=16811&amp;Col=1","No Title Assigned - #15276684993")</f>
        <v/>
      </c>
      <c r="B16819" s="0" t="s">
        <v>22448</v>
      </c>
      <c r="C16819" s="0" t="s">
        <v>22449</v>
      </c>
      <c r="D16819" s="0" t="s">
        <v>22449</v>
      </c>
      <c r="E16819" s="0" t="inlineStr">
        <is>
          <t xml:space="preserve">Mazda</t>
        </is>
      </c>
      <c r="F16819" s="0" t="s">
        <v>13</v>
      </c>
      <c r="G16819" s="0" t="s">
        <v>49</v>
      </c>
      <c r="H16819" s="5">
        <v>391.006500</v>
      </c>
    </row>
    <row r="16820" spans="1:9">
      <c r="A16820" s="22" t="str">
        <f>HYPERLINK("https://app.vivvix.com/360/KMI/IntelliDrive/ApplUI/Pages/CreativePages/CustomReportCreativeDetail.aspx?App=23&amp;ReportView=4&amp;Qid=1711279&amp;Row=16812&amp;Col=1","No Title Assigned - #15276685186")</f>
        <v/>
      </c>
      <c r="B16820" s="0" t="s">
        <v>22450</v>
      </c>
      <c r="C16820" s="0" t="s">
        <v>22451</v>
      </c>
      <c r="D16820" s="0" t="s">
        <v>22451</v>
      </c>
      <c r="E16820" s="0" t="inlineStr">
        <is>
          <t xml:space="preserve">Mazda</t>
        </is>
      </c>
      <c r="F16820" s="0" t="s">
        <v>13</v>
      </c>
      <c r="G16820" s="0" t="s">
        <v>49</v>
      </c>
      <c r="H16820" s="5">
        <v>2799.357700</v>
      </c>
    </row>
    <row r="16821" spans="1:9">
      <c r="A16821" s="22" t="str">
        <f>HYPERLINK("https://app.vivvix.com/360/KMI/IntelliDrive/ApplUI/Pages/CreativePages/CustomReportCreativeDetail.aspx?App=23&amp;ReportView=4&amp;Qid=1711279&amp;Row=16813&amp;Col=1","No Title Assigned - #15276685231")</f>
        <v/>
      </c>
      <c r="B16821" s="0" t="s">
        <v>22452</v>
      </c>
      <c r="C16821" s="0" t="s">
        <v>22453</v>
      </c>
      <c r="D16821" s="0" t="s">
        <v>22435</v>
      </c>
      <c r="E16821" s="0" t="inlineStr">
        <is>
          <t xml:space="preserve">Mazda</t>
        </is>
      </c>
      <c r="F16821" s="0" t="s">
        <v>13</v>
      </c>
      <c r="G16821" s="0" t="s">
        <v>49</v>
      </c>
      <c r="H16821" s="5">
        <v>7955.810700</v>
      </c>
    </row>
    <row r="16822" spans="1:9">
      <c r="A16822" s="22" t="str">
        <f>HYPERLINK("https://app.vivvix.com/360/KMI/IntelliDrive/ApplUI/Pages/CreativePages/CustomReportCreativeDetail.aspx?App=23&amp;ReportView=4&amp;Qid=1711279&amp;Row=16814&amp;Col=1","No Title Assigned - #15276685271")</f>
        <v/>
      </c>
      <c r="B16822" s="0" t="s">
        <v>22454</v>
      </c>
      <c r="C16822" s="0" t="s">
        <v>22455</v>
      </c>
      <c r="D16822" s="0" t="s">
        <v>9167</v>
      </c>
      <c r="E16822" s="0" t="inlineStr">
        <is>
          <t xml:space="preserve">Mazda</t>
        </is>
      </c>
      <c r="F16822" s="0" t="s">
        <v>13</v>
      </c>
      <c r="G16822" s="0" t="s">
        <v>49</v>
      </c>
      <c r="H16822" s="5">
        <v>33332.618500</v>
      </c>
    </row>
    <row r="16823" spans="1:9">
      <c r="A16823" s="22" t="str">
        <f>HYPERLINK("https://app.vivvix.com/360/KMI/IntelliDrive/ApplUI/Pages/CreativePages/CustomReportCreativeDetail.aspx?App=23&amp;ReportView=4&amp;Qid=1711279&amp;Row=16815&amp;Col=1","No Title Assigned - #15276685271")</f>
        <v/>
      </c>
      <c r="B16823" s="0" t="s">
        <v>22454</v>
      </c>
      <c r="E16823" s="0" t="inlineStr">
        <is>
          <t xml:space="preserve">Mazda</t>
        </is>
      </c>
      <c r="F16823" s="0" t="s">
        <v>13</v>
      </c>
      <c r="G16823" s="0" t="s">
        <v>49</v>
      </c>
      <c r="H16823" s="5">
        <v>18989.949600</v>
      </c>
    </row>
    <row r="16824" spans="1:9">
      <c r="A16824" s="22" t="str">
        <f>HYPERLINK("https://app.vivvix.com/360/KMI/IntelliDrive/ApplUI/Pages/CreativePages/CustomReportCreativeDetail.aspx?App=23&amp;ReportView=4&amp;Qid=1711279&amp;Row=16816&amp;Col=1","No Title Assigned - #15276685331")</f>
        <v/>
      </c>
      <c r="B16824" s="0" t="s">
        <v>22456</v>
      </c>
      <c r="C16824" s="0" t="s">
        <v>22457</v>
      </c>
      <c r="D16824" s="0" t="s">
        <v>22457</v>
      </c>
      <c r="E16824" s="0" t="inlineStr">
        <is>
          <t xml:space="preserve">Mazda</t>
        </is>
      </c>
      <c r="F16824" s="0" t="s">
        <v>13</v>
      </c>
      <c r="G16824" s="0" t="s">
        <v>49</v>
      </c>
      <c r="H16824" s="5">
        <v>8220.159500</v>
      </c>
    </row>
    <row r="16825" spans="1:9">
      <c r="A16825" s="22" t="str">
        <f>HYPERLINK("https://app.vivvix.com/360/KMI/IntelliDrive/ApplUI/Pages/CreativePages/CustomReportCreativeDetail.aspx?App=23&amp;ReportView=4&amp;Qid=1711279&amp;Row=16817&amp;Col=1","No Title Assigned - #15276685415")</f>
        <v/>
      </c>
      <c r="B16825" s="0" t="s">
        <v>22458</v>
      </c>
      <c r="C16825" s="0" t="s">
        <v>22459</v>
      </c>
      <c r="D16825" s="0" t="s">
        <v>22459</v>
      </c>
      <c r="E16825" s="0" t="inlineStr">
        <is>
          <t xml:space="preserve">Mazda</t>
        </is>
      </c>
      <c r="F16825" s="0" t="s">
        <v>13</v>
      </c>
      <c r="G16825" s="0" t="s">
        <v>49</v>
      </c>
      <c r="H16825" s="5">
        <v>438.507700</v>
      </c>
    </row>
    <row r="16826" spans="1:9">
      <c r="A16826" s="22" t="str">
        <f>HYPERLINK("https://app.vivvix.com/360/KMI/IntelliDrive/ApplUI/Pages/CreativePages/CustomReportCreativeDetail.aspx?App=23&amp;ReportView=4&amp;Qid=1711279&amp;Row=16818&amp;Col=1","No Title Assigned - #15276685519")</f>
        <v/>
      </c>
      <c r="B16826" s="0" t="s">
        <v>22460</v>
      </c>
      <c r="C16826" s="0" t="s">
        <v>22461</v>
      </c>
      <c r="D16826" s="0" t="s">
        <v>22461</v>
      </c>
      <c r="E16826" s="0" t="inlineStr">
        <is>
          <t xml:space="preserve">Mazda</t>
        </is>
      </c>
      <c r="F16826" s="0" t="inlineStr">
        <is>
          <t xml:space="preserve">Mazda</t>
        </is>
      </c>
      <c r="G16826" s="0" t="s">
        <v>210</v>
      </c>
      <c r="H16826" s="5">
        <v>489.199500</v>
      </c>
    </row>
    <row r="16827" spans="1:9">
      <c r="A16827" s="22" t="str">
        <f>HYPERLINK("https://app.vivvix.com/360/KMI/IntelliDrive/ApplUI/Pages/CreativePages/CustomReportCreativeDetail.aspx?App=23&amp;ReportView=4&amp;Qid=1711279&amp;Row=16819&amp;Col=1","No Title Assigned - #15276685542")</f>
        <v/>
      </c>
      <c r="B16827" s="0" t="s">
        <v>22462</v>
      </c>
      <c r="C16827" s="0" t="s">
        <v>22463</v>
      </c>
      <c r="D16827" s="0" t="s">
        <v>22463</v>
      </c>
      <c r="E16827" s="0" t="inlineStr">
        <is>
          <t xml:space="preserve">Mazda</t>
        </is>
      </c>
      <c r="F16827" s="0" t="s">
        <v>13</v>
      </c>
      <c r="G16827" s="0" t="s">
        <v>49</v>
      </c>
      <c r="H16827" s="5">
        <v>173.209800</v>
      </c>
    </row>
    <row r="16828" spans="1:9">
      <c r="A16828" s="22" t="str">
        <f>HYPERLINK("https://app.vivvix.com/360/KMI/IntelliDrive/ApplUI/Pages/CreativePages/CustomReportCreativeDetail.aspx?App=23&amp;ReportView=4&amp;Qid=1711279&amp;Row=16820&amp;Col=1","No Title Assigned - #15276685542")</f>
        <v/>
      </c>
      <c r="B16828" s="0" t="s">
        <v>22462</v>
      </c>
      <c r="E16828" s="0" t="inlineStr">
        <is>
          <t xml:space="preserve">Mazda</t>
        </is>
      </c>
      <c r="F16828" s="0" t="s">
        <v>13</v>
      </c>
      <c r="G16828" s="0" t="s">
        <v>49</v>
      </c>
      <c r="H16828" s="5">
        <v>1503.175300</v>
      </c>
    </row>
    <row r="16829" spans="1:9">
      <c r="A16829" s="22" t="str">
        <f>HYPERLINK("https://app.vivvix.com/360/KMI/IntelliDrive/ApplUI/Pages/CreativePages/CustomReportCreativeDetail.aspx?App=23&amp;ReportView=4&amp;Qid=1711279&amp;Row=16821&amp;Col=1","No Title Assigned - #15276685607")</f>
        <v/>
      </c>
      <c r="B16829" s="0" t="s">
        <v>22464</v>
      </c>
      <c r="C16829" s="0" t="s">
        <v>22465</v>
      </c>
      <c r="D16829" s="0" t="s">
        <v>22465</v>
      </c>
      <c r="E16829" s="0" t="inlineStr">
        <is>
          <t xml:space="preserve">Mazda</t>
        </is>
      </c>
      <c r="F16829" s="0" t="s">
        <v>13</v>
      </c>
      <c r="G16829" s="0" t="s">
        <v>49</v>
      </c>
      <c r="H16829" s="5">
        <v>150.960600</v>
      </c>
    </row>
    <row r="16830" spans="1:9">
      <c r="A16830" s="22" t="str">
        <f>HYPERLINK("https://app.vivvix.com/360/KMI/IntelliDrive/ApplUI/Pages/CreativePages/CustomReportCreativeDetail.aspx?App=23&amp;ReportView=4&amp;Qid=1711279&amp;Row=16822&amp;Col=1","No Title Assigned - #15276685699")</f>
        <v/>
      </c>
      <c r="B16830" s="0" t="s">
        <v>22466</v>
      </c>
      <c r="C16830" s="0" t="s">
        <v>22467</v>
      </c>
      <c r="D16830" s="0" t="s">
        <v>6183</v>
      </c>
      <c r="E16830" s="0" t="inlineStr">
        <is>
          <t xml:space="preserve">Mazda</t>
        </is>
      </c>
      <c r="F16830" s="0" t="s">
        <v>13</v>
      </c>
      <c r="G16830" s="0" t="s">
        <v>49</v>
      </c>
      <c r="H16830" s="5">
        <v>472929.002300</v>
      </c>
    </row>
    <row r="16831" spans="1:9">
      <c r="A16831" s="22" t="str">
        <f>HYPERLINK("https://app.vivvix.com/360/KMI/IntelliDrive/ApplUI/Pages/CreativePages/CustomReportCreativeDetail.aspx?App=23&amp;ReportView=4&amp;Qid=1711279&amp;Row=16823&amp;Col=1","No Title Assigned - #15276685699")</f>
        <v/>
      </c>
      <c r="B16831" s="0" t="s">
        <v>22466</v>
      </c>
      <c r="E16831" s="0" t="inlineStr">
        <is>
          <t xml:space="preserve">Mazda</t>
        </is>
      </c>
      <c r="F16831" s="0" t="s">
        <v>13</v>
      </c>
      <c r="G16831" s="0" t="s">
        <v>49</v>
      </c>
      <c r="H16831" s="5">
        <v>249158.809100</v>
      </c>
    </row>
    <row r="16832" spans="1:9">
      <c r="A16832" s="22" t="str">
        <f>HYPERLINK("https://app.vivvix.com/360/KMI/IntelliDrive/ApplUI/Pages/CreativePages/CustomReportCreativeDetail.aspx?App=23&amp;ReportView=4&amp;Qid=1711279&amp;Row=16824&amp;Col=1","No Title Assigned - #15276685711")</f>
        <v/>
      </c>
      <c r="B16832" s="0" t="s">
        <v>22468</v>
      </c>
      <c r="C16832" s="0" t="s">
        <v>22469</v>
      </c>
      <c r="D16832" s="0" t="s">
        <v>5013</v>
      </c>
      <c r="E16832" s="0" t="inlineStr">
        <is>
          <t xml:space="preserve">Mazda</t>
        </is>
      </c>
      <c r="F16832" s="0" t="s">
        <v>13</v>
      </c>
      <c r="G16832" s="0" t="s">
        <v>49</v>
      </c>
      <c r="H16832" s="5">
        <v>7295.897900</v>
      </c>
    </row>
    <row r="16833" spans="1:9">
      <c r="A16833" s="22" t="str">
        <f>HYPERLINK("https://app.vivvix.com/360/KMI/IntelliDrive/ApplUI/Pages/CreativePages/CustomReportCreativeDetail.aspx?App=23&amp;ReportView=4&amp;Qid=1711279&amp;Row=16825&amp;Col=1","No Title Assigned - #15276685854")</f>
        <v/>
      </c>
      <c r="B16833" s="0" t="s">
        <v>22470</v>
      </c>
      <c r="C16833" s="0" t="s">
        <v>22471</v>
      </c>
      <c r="D16833" s="0" t="s">
        <v>5013</v>
      </c>
      <c r="E16833" s="0" t="inlineStr">
        <is>
          <t xml:space="preserve">Mazda</t>
        </is>
      </c>
      <c r="F16833" s="0" t="s">
        <v>13</v>
      </c>
      <c r="G16833" s="0" t="s">
        <v>49</v>
      </c>
      <c r="H16833" s="5">
        <v>40717.213200</v>
      </c>
    </row>
    <row r="16834" spans="1:9">
      <c r="A16834" s="22" t="str">
        <f>HYPERLINK("https://app.vivvix.com/360/KMI/IntelliDrive/ApplUI/Pages/CreativePages/CustomReportCreativeDetail.aspx?App=23&amp;ReportView=4&amp;Qid=1711279&amp;Row=16826&amp;Col=1","No Title Assigned - #15276685854")</f>
        <v/>
      </c>
      <c r="B16834" s="0" t="s">
        <v>22470</v>
      </c>
      <c r="E16834" s="0" t="inlineStr">
        <is>
          <t xml:space="preserve">Mazda</t>
        </is>
      </c>
      <c r="F16834" s="0" t="s">
        <v>13</v>
      </c>
      <c r="G16834" s="0" t="s">
        <v>49</v>
      </c>
      <c r="H16834" s="5">
        <v>51260.748600</v>
      </c>
    </row>
    <row r="16835" spans="1:9">
      <c r="A16835" s="22" t="str">
        <f>HYPERLINK("https://app.vivvix.com/360/KMI/IntelliDrive/ApplUI/Pages/CreativePages/CustomReportCreativeDetail.aspx?App=23&amp;ReportView=4&amp;Qid=1711279&amp;Row=16827&amp;Col=1","No Title Assigned - #15276686082")</f>
        <v/>
      </c>
      <c r="B16835" s="0" t="s">
        <v>22472</v>
      </c>
      <c r="C16835" s="0" t="s">
        <v>22473</v>
      </c>
      <c r="D16835" s="0" t="s">
        <v>5013</v>
      </c>
      <c r="E16835" s="0" t="inlineStr">
        <is>
          <t xml:space="preserve">Mazda</t>
        </is>
      </c>
      <c r="F16835" s="0" t="s">
        <v>13</v>
      </c>
      <c r="G16835" s="0" t="s">
        <v>49</v>
      </c>
      <c r="H16835" s="5">
        <v>62.950400</v>
      </c>
    </row>
    <row r="16836" spans="1:9">
      <c r="A16836" s="22" t="str">
        <f>HYPERLINK("https://app.vivvix.com/360/KMI/IntelliDrive/ApplUI/Pages/CreativePages/CustomReportCreativeDetail.aspx?App=23&amp;ReportView=4&amp;Qid=1711279&amp;Row=16828&amp;Col=1","No Title Assigned - #15276686938")</f>
        <v/>
      </c>
      <c r="B16836" s="0" t="s">
        <v>22474</v>
      </c>
      <c r="C16836" s="0" t="s">
        <v>22475</v>
      </c>
      <c r="D16836" s="0" t="s">
        <v>22475</v>
      </c>
      <c r="E16836" s="0" t="inlineStr">
        <is>
          <t xml:space="preserve">Mazda</t>
        </is>
      </c>
      <c r="F16836" s="0" t="s">
        <v>13</v>
      </c>
      <c r="G16836" s="0" t="s">
        <v>49</v>
      </c>
      <c r="H16836" s="5">
        <v>3.808200</v>
      </c>
    </row>
    <row r="16837" spans="1:9">
      <c r="A16837" s="22" t="str">
        <f>HYPERLINK("https://app.vivvix.com/360/KMI/IntelliDrive/ApplUI/Pages/CreativePages/CustomReportCreativeDetail.aspx?App=23&amp;ReportView=4&amp;Qid=1711279&amp;Row=16829&amp;Col=1","No Title Assigned - #15276687271")</f>
        <v/>
      </c>
      <c r="B16837" s="0" t="s">
        <v>22476</v>
      </c>
      <c r="C16837" s="0" t="s">
        <v>22477</v>
      </c>
      <c r="D16837" s="0" t="s">
        <v>22435</v>
      </c>
      <c r="E16837" s="0" t="inlineStr">
        <is>
          <t xml:space="preserve">Mazda</t>
        </is>
      </c>
      <c r="F16837" s="0" t="s">
        <v>13</v>
      </c>
      <c r="G16837" s="0" t="s">
        <v>49</v>
      </c>
      <c r="H16837" s="5">
        <v>353.781400</v>
      </c>
    </row>
    <row r="16838" spans="1:9">
      <c r="A16838" s="22" t="str">
        <f>HYPERLINK("https://app.vivvix.com/360/KMI/IntelliDrive/ApplUI/Pages/CreativePages/CustomReportCreativeDetail.aspx?App=23&amp;ReportView=4&amp;Qid=1711279&amp;Row=16830&amp;Col=1","No Title Assigned - #15276687278")</f>
        <v/>
      </c>
      <c r="B16838" s="0" t="s">
        <v>22478</v>
      </c>
      <c r="C16838" s="0" t="s">
        <v>22479</v>
      </c>
      <c r="D16838" s="0" t="s">
        <v>4774</v>
      </c>
      <c r="E16838" s="0" t="inlineStr">
        <is>
          <t xml:space="preserve">Mazda</t>
        </is>
      </c>
      <c r="F16838" s="0" t="s">
        <v>13</v>
      </c>
      <c r="G16838" s="0" t="s">
        <v>49</v>
      </c>
      <c r="H16838" s="5">
        <v>791.152300</v>
      </c>
    </row>
    <row r="16839" spans="1:9">
      <c r="A16839" s="22" t="str">
        <f>HYPERLINK("https://app.vivvix.com/360/KMI/IntelliDrive/ApplUI/Pages/CreativePages/CustomReportCreativeDetail.aspx?App=23&amp;ReportView=4&amp;Qid=1711279&amp;Row=16831&amp;Col=1","No Title Assigned - #15276687285")</f>
        <v/>
      </c>
      <c r="B16839" s="0" t="s">
        <v>22480</v>
      </c>
      <c r="C16839" s="0" t="s">
        <v>22481</v>
      </c>
      <c r="D16839" s="0" t="s">
        <v>6183</v>
      </c>
      <c r="E16839" s="0" t="inlineStr">
        <is>
          <t xml:space="preserve">Mazda</t>
        </is>
      </c>
      <c r="F16839" s="0" t="s">
        <v>13</v>
      </c>
      <c r="G16839" s="0" t="s">
        <v>49</v>
      </c>
      <c r="H16839" s="5">
        <v>11914.415300</v>
      </c>
    </row>
    <row r="16840" spans="1:9">
      <c r="A16840" s="22" t="str">
        <f>HYPERLINK("https://app.vivvix.com/360/KMI/IntelliDrive/ApplUI/Pages/CreativePages/CustomReportCreativeDetail.aspx?App=23&amp;ReportView=4&amp;Qid=1711279&amp;Row=16832&amp;Col=1","No Title Assigned - #15276687285")</f>
        <v/>
      </c>
      <c r="B16840" s="0" t="s">
        <v>22480</v>
      </c>
      <c r="E16840" s="0" t="inlineStr">
        <is>
          <t xml:space="preserve">Mazda</t>
        </is>
      </c>
      <c r="F16840" s="0" t="s">
        <v>13</v>
      </c>
      <c r="G16840" s="0" t="s">
        <v>49</v>
      </c>
      <c r="H16840" s="5">
        <v>5240.327000</v>
      </c>
    </row>
    <row r="16841" spans="1:9">
      <c r="A16841" s="22" t="str">
        <f>HYPERLINK("https://app.vivvix.com/360/KMI/IntelliDrive/ApplUI/Pages/CreativePages/CustomReportCreativeDetail.aspx?App=23&amp;ReportView=4&amp;Qid=1711279&amp;Row=16833&amp;Col=1","No Title Assigned - #15276687526")</f>
        <v/>
      </c>
      <c r="B16841" s="0" t="s">
        <v>22482</v>
      </c>
      <c r="C16841" s="0" t="s">
        <v>22483</v>
      </c>
      <c r="D16841" s="0" t="s">
        <v>5013</v>
      </c>
      <c r="E16841" s="0" t="inlineStr">
        <is>
          <t xml:space="preserve">Mazda</t>
        </is>
      </c>
      <c r="F16841" s="0" t="s">
        <v>13</v>
      </c>
      <c r="G16841" s="0" t="s">
        <v>49</v>
      </c>
      <c r="H16841" s="5">
        <v>33.115400</v>
      </c>
    </row>
    <row r="16842" spans="1:9">
      <c r="A16842" s="22" t="str">
        <f>HYPERLINK("https://app.vivvix.com/360/KMI/IntelliDrive/ApplUI/Pages/CreativePages/CustomReportCreativeDetail.aspx?App=23&amp;ReportView=4&amp;Qid=1711279&amp;Row=16834&amp;Col=1","No Title Assigned - #15276687630")</f>
        <v/>
      </c>
      <c r="B16842" s="0" t="s">
        <v>22484</v>
      </c>
      <c r="C16842" s="0" t="s">
        <v>22485</v>
      </c>
      <c r="D16842" s="0" t="s">
        <v>22485</v>
      </c>
      <c r="E16842" s="0" t="inlineStr">
        <is>
          <t xml:space="preserve">Mazda</t>
        </is>
      </c>
      <c r="F16842" s="0" t="s">
        <v>13</v>
      </c>
      <c r="G16842" s="0" t="s">
        <v>49</v>
      </c>
      <c r="H16842" s="5">
        <v>467.274300</v>
      </c>
    </row>
    <row r="16843" spans="1:9">
      <c r="A16843" s="22" t="str">
        <f>HYPERLINK("https://app.vivvix.com/360/KMI/IntelliDrive/ApplUI/Pages/CreativePages/CustomReportCreativeDetail.aspx?App=23&amp;ReportView=4&amp;Qid=1711279&amp;Row=16835&amp;Col=1","No Title Assigned - #15276687843")</f>
        <v/>
      </c>
      <c r="B16843" s="0" t="s">
        <v>22486</v>
      </c>
      <c r="C16843" s="0" t="s">
        <v>22487</v>
      </c>
      <c r="D16843" s="0" t="s">
        <v>22487</v>
      </c>
      <c r="E16843" s="0" t="inlineStr">
        <is>
          <t xml:space="preserve">Mazda</t>
        </is>
      </c>
      <c r="F16843" s="0" t="s">
        <v>13</v>
      </c>
      <c r="G16843" s="0" t="s">
        <v>49</v>
      </c>
      <c r="H16843" s="5">
        <v>17592.699400</v>
      </c>
    </row>
    <row r="16844" spans="1:9">
      <c r="A16844" s="22" t="str">
        <f>HYPERLINK("https://app.vivvix.com/360/KMI/IntelliDrive/ApplUI/Pages/CreativePages/CustomReportCreativeDetail.aspx?App=23&amp;ReportView=4&amp;Qid=1711279&amp;Row=16836&amp;Col=1","No Title Assigned - #15276687843")</f>
        <v/>
      </c>
      <c r="B16844" s="0" t="s">
        <v>22486</v>
      </c>
      <c r="E16844" s="0" t="inlineStr">
        <is>
          <t xml:space="preserve">Mazda</t>
        </is>
      </c>
      <c r="F16844" s="0" t="s">
        <v>13</v>
      </c>
      <c r="G16844" s="0" t="s">
        <v>49</v>
      </c>
      <c r="H16844" s="5">
        <v>1355.115800</v>
      </c>
    </row>
    <row r="16845" spans="1:9">
      <c r="A16845" s="22" t="str">
        <f>HYPERLINK("https://app.vivvix.com/360/KMI/IntelliDrive/ApplUI/Pages/CreativePages/CustomReportCreativeDetail.aspx?App=23&amp;ReportView=4&amp;Qid=1711279&amp;Row=16837&amp;Col=1","No Title Assigned - #15276687882")</f>
        <v/>
      </c>
      <c r="B16845" s="0" t="s">
        <v>22488</v>
      </c>
      <c r="C16845" s="0" t="s">
        <v>22489</v>
      </c>
      <c r="D16845" s="0" t="s">
        <v>5013</v>
      </c>
      <c r="E16845" s="0" t="inlineStr">
        <is>
          <t xml:space="preserve">Mazda</t>
        </is>
      </c>
      <c r="F16845" s="0" t="s">
        <v>13</v>
      </c>
      <c r="G16845" s="0" t="s">
        <v>49</v>
      </c>
      <c r="H16845" s="5">
        <v>3492.984200</v>
      </c>
    </row>
    <row r="16846" spans="1:9">
      <c r="A16846" s="22" t="str">
        <f>HYPERLINK("https://app.vivvix.com/360/KMI/IntelliDrive/ApplUI/Pages/CreativePages/CustomReportCreativeDetail.aspx?App=23&amp;ReportView=4&amp;Qid=1711279&amp;Row=16838&amp;Col=1","No Title Assigned - #15276688055")</f>
        <v/>
      </c>
      <c r="B16846" s="0" t="s">
        <v>22490</v>
      </c>
      <c r="E16846" s="0" t="inlineStr">
        <is>
          <t xml:space="preserve">Mazda</t>
        </is>
      </c>
      <c r="F16846" s="0" t="s">
        <v>13</v>
      </c>
      <c r="G16846" s="0" t="s">
        <v>49</v>
      </c>
      <c r="H16846" s="5">
        <v>9096.715900</v>
      </c>
    </row>
    <row r="16847" spans="1:9">
      <c r="A16847" s="22" t="str">
        <f>HYPERLINK("https://app.vivvix.com/360/KMI/IntelliDrive/ApplUI/Pages/CreativePages/CustomReportCreativeDetail.aspx?App=23&amp;ReportView=4&amp;Qid=1711279&amp;Row=16839&amp;Col=1","No Title Assigned - #15276688055")</f>
        <v/>
      </c>
      <c r="B16847" s="0" t="s">
        <v>22490</v>
      </c>
      <c r="C16847" s="0" t="s">
        <v>22491</v>
      </c>
      <c r="D16847" s="0" t="s">
        <v>22491</v>
      </c>
      <c r="E16847" s="0" t="inlineStr">
        <is>
          <t xml:space="preserve">Mazda</t>
        </is>
      </c>
      <c r="F16847" s="0" t="s">
        <v>13</v>
      </c>
      <c r="G16847" s="0" t="s">
        <v>49</v>
      </c>
      <c r="H16847" s="5">
        <v>6684.982100</v>
      </c>
    </row>
    <row r="16848" spans="1:9">
      <c r="A16848" s="22" t="str">
        <f>HYPERLINK("https://app.vivvix.com/360/KMI/IntelliDrive/ApplUI/Pages/CreativePages/CustomReportCreativeDetail.aspx?App=23&amp;ReportView=4&amp;Qid=1711279&amp;Row=16840&amp;Col=1","No Title Assigned - #15276688354")</f>
        <v/>
      </c>
      <c r="B16848" s="0" t="s">
        <v>22492</v>
      </c>
      <c r="C16848" s="0" t="s">
        <v>22493</v>
      </c>
      <c r="D16848" s="0" t="s">
        <v>9047</v>
      </c>
      <c r="E16848" s="0" t="inlineStr">
        <is>
          <t xml:space="preserve">Mazda</t>
        </is>
      </c>
      <c r="F16848" s="0" t="s">
        <v>13</v>
      </c>
      <c r="G16848" s="0" t="s">
        <v>49</v>
      </c>
      <c r="H16848" s="5">
        <v>12903.122400</v>
      </c>
    </row>
    <row r="16849" spans="1:9">
      <c r="A16849" s="22" t="str">
        <f>HYPERLINK("https://app.vivvix.com/360/KMI/IntelliDrive/ApplUI/Pages/CreativePages/CustomReportCreativeDetail.aspx?App=23&amp;ReportView=4&amp;Qid=1711279&amp;Row=16841&amp;Col=1","No Title Assigned - #15276688392")</f>
        <v/>
      </c>
      <c r="B16849" s="0" t="s">
        <v>22494</v>
      </c>
      <c r="C16849" s="0" t="s">
        <v>22495</v>
      </c>
      <c r="D16849" s="0" t="s">
        <v>10004</v>
      </c>
      <c r="E16849" s="0" t="inlineStr">
        <is>
          <t xml:space="preserve">Mazda</t>
        </is>
      </c>
      <c r="F16849" s="0" t="s">
        <v>13</v>
      </c>
      <c r="G16849" s="0" t="s">
        <v>49</v>
      </c>
      <c r="H16849" s="5">
        <v>541991.109800</v>
      </c>
    </row>
    <row r="16850" spans="1:9">
      <c r="A16850" s="22" t="str">
        <f>HYPERLINK("https://app.vivvix.com/360/KMI/IntelliDrive/ApplUI/Pages/CreativePages/CustomReportCreativeDetail.aspx?App=23&amp;ReportView=4&amp;Qid=1711279&amp;Row=16842&amp;Col=1","No Title Assigned - #15276688392")</f>
        <v/>
      </c>
      <c r="B16850" s="0" t="s">
        <v>22494</v>
      </c>
      <c r="E16850" s="0" t="inlineStr">
        <is>
          <t xml:space="preserve">Mazda</t>
        </is>
      </c>
      <c r="F16850" s="0" t="s">
        <v>13</v>
      </c>
      <c r="G16850" s="0" t="s">
        <v>49</v>
      </c>
      <c r="H16850" s="5">
        <v>42201.861600</v>
      </c>
    </row>
    <row r="16851" spans="1:9">
      <c r="A16851" s="22" t="str">
        <f>HYPERLINK("https://app.vivvix.com/360/KMI/IntelliDrive/ApplUI/Pages/CreativePages/CustomReportCreativeDetail.aspx?App=23&amp;ReportView=4&amp;Qid=1711279&amp;Row=16843&amp;Col=1","No Title Assigned - #15276688408")</f>
        <v/>
      </c>
      <c r="B16851" s="0" t="s">
        <v>22496</v>
      </c>
      <c r="C16851" s="0" t="s">
        <v>22497</v>
      </c>
      <c r="D16851" s="0" t="s">
        <v>22497</v>
      </c>
      <c r="E16851" s="0" t="inlineStr">
        <is>
          <t xml:space="preserve">Mazda</t>
        </is>
      </c>
      <c r="F16851" s="0" t="s">
        <v>13</v>
      </c>
      <c r="G16851" s="0" t="s">
        <v>49</v>
      </c>
      <c r="H16851" s="5">
        <v>47.540900</v>
      </c>
    </row>
    <row r="16852" spans="1:9">
      <c r="A16852" s="22" t="str">
        <f>HYPERLINK("https://app.vivvix.com/360/KMI/IntelliDrive/ApplUI/Pages/CreativePages/CustomReportCreativeDetail.aspx?App=23&amp;ReportView=4&amp;Qid=1711279&amp;Row=16844&amp;Col=1","No Title Assigned - #15276688553")</f>
        <v/>
      </c>
      <c r="B16852" s="0" t="s">
        <v>22498</v>
      </c>
      <c r="C16852" s="0" t="s">
        <v>22499</v>
      </c>
      <c r="D16852" s="0" t="s">
        <v>4774</v>
      </c>
      <c r="E16852" s="0" t="inlineStr">
        <is>
          <t xml:space="preserve">Mazda</t>
        </is>
      </c>
      <c r="F16852" s="0" t="s">
        <v>13</v>
      </c>
      <c r="G16852" s="0" t="s">
        <v>49</v>
      </c>
      <c r="H16852" s="5">
        <v>31.475200</v>
      </c>
    </row>
    <row r="16853" spans="1:9">
      <c r="A16853" s="22" t="str">
        <f>HYPERLINK("https://app.vivvix.com/360/KMI/IntelliDrive/ApplUI/Pages/CreativePages/CustomReportCreativeDetail.aspx?App=23&amp;ReportView=4&amp;Qid=1711279&amp;Row=16845&amp;Col=1","No Title Assigned - #15276688635")</f>
        <v/>
      </c>
      <c r="B16853" s="0" t="s">
        <v>22500</v>
      </c>
      <c r="C16853" s="0" t="s">
        <v>22501</v>
      </c>
      <c r="D16853" s="0" t="s">
        <v>22501</v>
      </c>
      <c r="E16853" s="0" t="inlineStr">
        <is>
          <t xml:space="preserve">Mazda</t>
        </is>
      </c>
      <c r="F16853" s="0" t="s">
        <v>13</v>
      </c>
      <c r="G16853" s="0" t="s">
        <v>49</v>
      </c>
      <c r="H16853" s="5">
        <v>544.459900</v>
      </c>
    </row>
    <row r="16854" spans="1:9">
      <c r="A16854" s="22" t="str">
        <f>HYPERLINK("https://app.vivvix.com/360/KMI/IntelliDrive/ApplUI/Pages/CreativePages/CustomReportCreativeDetail.aspx?App=23&amp;ReportView=4&amp;Qid=1711279&amp;Row=16846&amp;Col=1","No Title Assigned - #15276688849")</f>
        <v/>
      </c>
      <c r="B16854" s="0" t="s">
        <v>22502</v>
      </c>
      <c r="C16854" s="0" t="s">
        <v>22503</v>
      </c>
      <c r="D16854" s="0" t="s">
        <v>11469</v>
      </c>
      <c r="E16854" s="0" t="inlineStr">
        <is>
          <t xml:space="preserve">Mazda</t>
        </is>
      </c>
      <c r="F16854" s="0" t="s">
        <v>13</v>
      </c>
      <c r="G16854" s="0" t="s">
        <v>49</v>
      </c>
      <c r="H16854" s="5">
        <v>431.593100</v>
      </c>
    </row>
    <row r="16855" spans="1:9">
      <c r="A16855" s="22" t="str">
        <f>HYPERLINK("https://app.vivvix.com/360/KMI/IntelliDrive/ApplUI/Pages/CreativePages/CustomReportCreativeDetail.aspx?App=23&amp;ReportView=4&amp;Qid=1711279&amp;Row=16847&amp;Col=1","No Title Assigned - #15276688864")</f>
        <v/>
      </c>
      <c r="B16855" s="0" t="s">
        <v>22504</v>
      </c>
      <c r="C16855" s="0" t="s">
        <v>22505</v>
      </c>
      <c r="D16855" s="0" t="s">
        <v>6183</v>
      </c>
      <c r="E16855" s="0" t="inlineStr">
        <is>
          <t xml:space="preserve">Mazda</t>
        </is>
      </c>
      <c r="F16855" s="0" t="s">
        <v>13</v>
      </c>
      <c r="G16855" s="0" t="s">
        <v>49</v>
      </c>
      <c r="H16855" s="5">
        <v>19224.632500</v>
      </c>
    </row>
    <row r="16856" spans="1:9">
      <c r="A16856" s="22" t="str">
        <f>HYPERLINK("https://app.vivvix.com/360/KMI/IntelliDrive/ApplUI/Pages/CreativePages/CustomReportCreativeDetail.aspx?App=23&amp;ReportView=4&amp;Qid=1711279&amp;Row=16848&amp;Col=1","No Title Assigned - #15276688864")</f>
        <v/>
      </c>
      <c r="B16856" s="0" t="s">
        <v>22504</v>
      </c>
      <c r="E16856" s="0" t="inlineStr">
        <is>
          <t xml:space="preserve">Mazda</t>
        </is>
      </c>
      <c r="F16856" s="0" t="s">
        <v>13</v>
      </c>
      <c r="G16856" s="0" t="s">
        <v>49</v>
      </c>
      <c r="H16856" s="5">
        <v>3102.124800</v>
      </c>
    </row>
    <row r="16857" spans="1:9">
      <c r="A16857" s="22" t="str">
        <f>HYPERLINK("https://app.vivvix.com/360/KMI/IntelliDrive/ApplUI/Pages/CreativePages/CustomReportCreativeDetail.aspx?App=23&amp;ReportView=4&amp;Qid=1711279&amp;Row=16849&amp;Col=1","No Title Assigned - #15276689264")</f>
        <v/>
      </c>
      <c r="B16857" s="0" t="s">
        <v>22506</v>
      </c>
      <c r="C16857" s="0" t="s">
        <v>22507</v>
      </c>
      <c r="D16857" s="0" t="s">
        <v>10004</v>
      </c>
      <c r="E16857" s="0" t="inlineStr">
        <is>
          <t xml:space="preserve">Mazda</t>
        </is>
      </c>
      <c r="F16857" s="0" t="s">
        <v>13</v>
      </c>
      <c r="G16857" s="0" t="s">
        <v>49</v>
      </c>
      <c r="H16857" s="5">
        <v>210.360400</v>
      </c>
    </row>
    <row r="16858" spans="1:9">
      <c r="A16858" s="22" t="str">
        <f>HYPERLINK("https://app.vivvix.com/360/KMI/IntelliDrive/ApplUI/Pages/CreativePages/CustomReportCreativeDetail.aspx?App=23&amp;ReportView=4&amp;Qid=1711279&amp;Row=16850&amp;Col=1","No Title Assigned - #15276689421")</f>
        <v/>
      </c>
      <c r="B16858" s="0" t="s">
        <v>22508</v>
      </c>
      <c r="C16858" s="0" t="s">
        <v>22509</v>
      </c>
      <c r="D16858" s="0" t="s">
        <v>10371</v>
      </c>
      <c r="E16858" s="0" t="inlineStr">
        <is>
          <t xml:space="preserve">Mazda</t>
        </is>
      </c>
      <c r="F16858" s="0" t="s">
        <v>13</v>
      </c>
      <c r="G16858" s="0" t="s">
        <v>49</v>
      </c>
      <c r="H16858" s="5">
        <v>91.103600</v>
      </c>
    </row>
    <row r="16859" spans="1:9">
      <c r="A16859" s="22" t="str">
        <f>HYPERLINK("https://app.vivvix.com/360/KMI/IntelliDrive/ApplUI/Pages/CreativePages/CustomReportCreativeDetail.aspx?App=23&amp;ReportView=4&amp;Qid=1711279&amp;Row=16851&amp;Col=1","No Title Assigned - #15276689559")</f>
        <v/>
      </c>
      <c r="B16859" s="0" t="s">
        <v>22510</v>
      </c>
      <c r="E16859" s="0" t="inlineStr">
        <is>
          <t xml:space="preserve">Mazda</t>
        </is>
      </c>
      <c r="F16859" s="0" t="s">
        <v>13</v>
      </c>
      <c r="G16859" s="0" t="s">
        <v>49</v>
      </c>
      <c r="H16859" s="5">
        <v>23916.239000</v>
      </c>
    </row>
    <row r="16860" spans="1:9">
      <c r="A16860" s="22" t="str">
        <f>HYPERLINK("https://app.vivvix.com/360/KMI/IntelliDrive/ApplUI/Pages/CreativePages/CustomReportCreativeDetail.aspx?App=23&amp;ReportView=4&amp;Qid=1711279&amp;Row=16852&amp;Col=1","No Title Assigned - #15276689559")</f>
        <v/>
      </c>
      <c r="B16860" s="0" t="s">
        <v>22510</v>
      </c>
      <c r="C16860" s="0" t="s">
        <v>22511</v>
      </c>
      <c r="D16860" s="0" t="s">
        <v>22511</v>
      </c>
      <c r="E16860" s="0" t="inlineStr">
        <is>
          <t xml:space="preserve">Mazda</t>
        </is>
      </c>
      <c r="F16860" s="0" t="s">
        <v>13</v>
      </c>
      <c r="G16860" s="0" t="s">
        <v>49</v>
      </c>
      <c r="H16860" s="5">
        <v>1072.786300</v>
      </c>
    </row>
    <row r="16861" spans="1:9">
      <c r="A16861" s="22" t="str">
        <f>HYPERLINK("https://app.vivvix.com/360/KMI/IntelliDrive/ApplUI/Pages/CreativePages/CustomReportCreativeDetail.aspx?App=23&amp;ReportView=4&amp;Qid=1711279&amp;Row=16853&amp;Col=1","No Title Assigned - #15276690145")</f>
        <v/>
      </c>
      <c r="B16861" s="0" t="s">
        <v>22512</v>
      </c>
      <c r="C16861" s="0" t="s">
        <v>22513</v>
      </c>
      <c r="D16861" s="0" t="s">
        <v>22513</v>
      </c>
      <c r="E16861" s="0" t="inlineStr">
        <is>
          <t xml:space="preserve">Mazda</t>
        </is>
      </c>
      <c r="F16861" s="0" t="inlineStr">
        <is>
          <t xml:space="preserve">Mazda</t>
        </is>
      </c>
      <c r="G16861" s="0" t="s">
        <v>210</v>
      </c>
      <c r="H16861" s="5">
        <v>599.724400</v>
      </c>
    </row>
    <row r="16862" spans="1:9">
      <c r="A16862" s="22" t="str">
        <f>HYPERLINK("https://app.vivvix.com/360/KMI/IntelliDrive/ApplUI/Pages/CreativePages/CustomReportCreativeDetail.aspx?App=23&amp;ReportView=4&amp;Qid=1711279&amp;Row=16854&amp;Col=1","No Title Assigned - #15276690305")</f>
        <v/>
      </c>
      <c r="B16862" s="0" t="s">
        <v>22514</v>
      </c>
      <c r="C16862" s="0" t="s">
        <v>22515</v>
      </c>
      <c r="D16862" s="0" t="s">
        <v>10371</v>
      </c>
      <c r="E16862" s="0" t="inlineStr">
        <is>
          <t xml:space="preserve">Mazda</t>
        </is>
      </c>
      <c r="F16862" s="0" t="s">
        <v>13</v>
      </c>
      <c r="G16862" s="0" t="s">
        <v>49</v>
      </c>
      <c r="H16862" s="5">
        <v>34.181400</v>
      </c>
    </row>
    <row r="16863" spans="1:9">
      <c r="A16863" s="22" t="str">
        <f>HYPERLINK("https://app.vivvix.com/360/KMI/IntelliDrive/ApplUI/Pages/CreativePages/CustomReportCreativeDetail.aspx?App=23&amp;ReportView=4&amp;Qid=1711279&amp;Row=16855&amp;Col=1","No Title Assigned - #15276690438")</f>
        <v/>
      </c>
      <c r="B16863" s="0" t="s">
        <v>22516</v>
      </c>
      <c r="C16863" s="0" t="s">
        <v>22517</v>
      </c>
      <c r="D16863" s="0" t="s">
        <v>22435</v>
      </c>
      <c r="E16863" s="0" t="inlineStr">
        <is>
          <t xml:space="preserve">Mazda</t>
        </is>
      </c>
      <c r="F16863" s="0" t="s">
        <v>13</v>
      </c>
      <c r="G16863" s="0" t="s">
        <v>49</v>
      </c>
      <c r="H16863" s="5">
        <v>18081.645100</v>
      </c>
    </row>
    <row r="16864" spans="1:9">
      <c r="A16864" s="22" t="str">
        <f>HYPERLINK("https://app.vivvix.com/360/KMI/IntelliDrive/ApplUI/Pages/CreativePages/CustomReportCreativeDetail.aspx?App=23&amp;ReportView=4&amp;Qid=1711279&amp;Row=16856&amp;Col=1","No Title Assigned - #15276690438")</f>
        <v/>
      </c>
      <c r="B16864" s="0" t="s">
        <v>22516</v>
      </c>
      <c r="E16864" s="0" t="inlineStr">
        <is>
          <t xml:space="preserve">Mazda</t>
        </is>
      </c>
      <c r="F16864" s="0" t="s">
        <v>13</v>
      </c>
      <c r="G16864" s="0" t="s">
        <v>49</v>
      </c>
      <c r="H16864" s="5">
        <v>24.290100</v>
      </c>
    </row>
    <row r="16865" spans="1:9">
      <c r="A16865" s="22" t="str">
        <f>HYPERLINK("https://app.vivvix.com/360/KMI/IntelliDrive/ApplUI/Pages/CreativePages/CustomReportCreativeDetail.aspx?App=23&amp;ReportView=4&amp;Qid=1711279&amp;Row=16857&amp;Col=1","No Title Assigned - #15276690582")</f>
        <v/>
      </c>
      <c r="B16865" s="0" t="s">
        <v>22518</v>
      </c>
      <c r="C16865" s="0" t="s">
        <v>22519</v>
      </c>
      <c r="D16865" s="0" t="s">
        <v>10004</v>
      </c>
      <c r="E16865" s="0" t="inlineStr">
        <is>
          <t xml:space="preserve">Mazda</t>
        </is>
      </c>
      <c r="F16865" s="0" t="s">
        <v>13</v>
      </c>
      <c r="G16865" s="0" t="s">
        <v>49</v>
      </c>
      <c r="H16865" s="5">
        <v>405.660700</v>
      </c>
    </row>
    <row r="16866" spans="1:9">
      <c r="A16866" s="22" t="str">
        <f>HYPERLINK("https://app.vivvix.com/360/KMI/IntelliDrive/ApplUI/Pages/CreativePages/CustomReportCreativeDetail.aspx?App=23&amp;ReportView=4&amp;Qid=1711279&amp;Row=16858&amp;Col=1","No Title Assigned - #15276690632")</f>
        <v/>
      </c>
      <c r="B16866" s="0" t="s">
        <v>22520</v>
      </c>
      <c r="C16866" s="0" t="s">
        <v>22521</v>
      </c>
      <c r="D16866" s="0" t="s">
        <v>22485</v>
      </c>
      <c r="E16866" s="0" t="inlineStr">
        <is>
          <t xml:space="preserve">Mazda</t>
        </is>
      </c>
      <c r="F16866" s="0" t="s">
        <v>13</v>
      </c>
      <c r="G16866" s="0" t="s">
        <v>49</v>
      </c>
      <c r="H16866" s="5">
        <v>152.690800</v>
      </c>
    </row>
    <row r="16867" spans="1:9">
      <c r="A16867" s="22" t="str">
        <f>HYPERLINK("https://app.vivvix.com/360/KMI/IntelliDrive/ApplUI/Pages/CreativePages/CustomReportCreativeDetail.aspx?App=23&amp;ReportView=4&amp;Qid=1711279&amp;Row=16859&amp;Col=1","No Title Assigned - #15276690640")</f>
        <v/>
      </c>
      <c r="B16867" s="0" t="s">
        <v>22522</v>
      </c>
      <c r="E16867" s="0" t="inlineStr">
        <is>
          <t xml:space="preserve">Mazda</t>
        </is>
      </c>
      <c r="F16867" s="0" t="s">
        <v>13</v>
      </c>
      <c r="G16867" s="0" t="s">
        <v>49</v>
      </c>
      <c r="H16867" s="5">
        <v>1704.006900</v>
      </c>
    </row>
    <row r="16868" spans="1:9">
      <c r="A16868" s="22" t="str">
        <f>HYPERLINK("https://app.vivvix.com/360/KMI/IntelliDrive/ApplUI/Pages/CreativePages/CustomReportCreativeDetail.aspx?App=23&amp;ReportView=4&amp;Qid=1711279&amp;Row=16860&amp;Col=1","No Title Assigned - #15276690640")</f>
        <v/>
      </c>
      <c r="B16868" s="0" t="s">
        <v>22522</v>
      </c>
      <c r="C16868" s="0" t="s">
        <v>22523</v>
      </c>
      <c r="D16868" s="0" t="s">
        <v>4335</v>
      </c>
      <c r="E16868" s="0" t="inlineStr">
        <is>
          <t xml:space="preserve">Mazda</t>
        </is>
      </c>
      <c r="F16868" s="0" t="s">
        <v>13</v>
      </c>
      <c r="G16868" s="0" t="s">
        <v>49</v>
      </c>
      <c r="H16868" s="5">
        <v>1176.126300</v>
      </c>
    </row>
    <row r="16869" spans="1:9">
      <c r="A16869" s="22" t="str">
        <f>HYPERLINK("https://app.vivvix.com/360/KMI/IntelliDrive/ApplUI/Pages/CreativePages/CustomReportCreativeDetail.aspx?App=23&amp;ReportView=4&amp;Qid=1711279&amp;Row=16861&amp;Col=1","No Title Assigned - #15276690647")</f>
        <v/>
      </c>
      <c r="B16869" s="0" t="s">
        <v>22524</v>
      </c>
      <c r="C16869" s="0" t="s">
        <v>22525</v>
      </c>
      <c r="D16869" s="0" t="s">
        <v>4774</v>
      </c>
      <c r="E16869" s="0" t="inlineStr">
        <is>
          <t xml:space="preserve">Mazda</t>
        </is>
      </c>
      <c r="F16869" s="0" t="s">
        <v>13</v>
      </c>
      <c r="G16869" s="0" t="s">
        <v>49</v>
      </c>
      <c r="H16869" s="5">
        <v>3733.027100</v>
      </c>
    </row>
    <row r="16870" spans="1:9">
      <c r="A16870" s="22" t="str">
        <f>HYPERLINK("https://app.vivvix.com/360/KMI/IntelliDrive/ApplUI/Pages/CreativePages/CustomReportCreativeDetail.aspx?App=23&amp;ReportView=4&amp;Qid=1711279&amp;Row=16862&amp;Col=1","No Title Assigned - #15276690647")</f>
        <v/>
      </c>
      <c r="B16870" s="0" t="s">
        <v>22524</v>
      </c>
      <c r="E16870" s="0" t="inlineStr">
        <is>
          <t xml:space="preserve">Mazda</t>
        </is>
      </c>
      <c r="F16870" s="0" t="s">
        <v>13</v>
      </c>
      <c r="G16870" s="0" t="s">
        <v>49</v>
      </c>
      <c r="H16870" s="5">
        <v>199.192800</v>
      </c>
    </row>
    <row r="16871" spans="1:9">
      <c r="A16871" s="22" t="str">
        <f>HYPERLINK("https://app.vivvix.com/360/KMI/IntelliDrive/ApplUI/Pages/CreativePages/CustomReportCreativeDetail.aspx?App=23&amp;ReportView=4&amp;Qid=1711279&amp;Row=16863&amp;Col=1","No Title Assigned - #15276690727")</f>
        <v/>
      </c>
      <c r="B16871" s="0" t="s">
        <v>22526</v>
      </c>
      <c r="C16871" s="0" t="s">
        <v>22527</v>
      </c>
      <c r="D16871" s="0" t="s">
        <v>22527</v>
      </c>
      <c r="E16871" s="0" t="inlineStr">
        <is>
          <t xml:space="preserve">Mazda</t>
        </is>
      </c>
      <c r="F16871" s="0" t="s">
        <v>13</v>
      </c>
      <c r="G16871" s="0" t="s">
        <v>49</v>
      </c>
      <c r="H16871" s="5">
        <v>72458.828400</v>
      </c>
    </row>
    <row r="16872" spans="1:9">
      <c r="A16872" s="22" t="str">
        <f>HYPERLINK("https://app.vivvix.com/360/KMI/IntelliDrive/ApplUI/Pages/CreativePages/CustomReportCreativeDetail.aspx?App=23&amp;ReportView=4&amp;Qid=1711279&amp;Row=16864&amp;Col=1","No Title Assigned - #15276690727")</f>
        <v/>
      </c>
      <c r="B16872" s="0" t="s">
        <v>22526</v>
      </c>
      <c r="E16872" s="0" t="inlineStr">
        <is>
          <t xml:space="preserve">Mazda</t>
        </is>
      </c>
      <c r="F16872" s="0" t="s">
        <v>13</v>
      </c>
      <c r="G16872" s="0" t="s">
        <v>49</v>
      </c>
      <c r="H16872" s="5">
        <v>65301.182300</v>
      </c>
    </row>
    <row r="16873" spans="1:9">
      <c r="A16873" s="22" t="str">
        <f>HYPERLINK("https://app.vivvix.com/360/KMI/IntelliDrive/ApplUI/Pages/CreativePages/CustomReportCreativeDetail.aspx?App=23&amp;ReportView=4&amp;Qid=1711279&amp;Row=16865&amp;Col=1","No Title Assigned - #15276690753")</f>
        <v/>
      </c>
      <c r="B16873" s="0" t="s">
        <v>22528</v>
      </c>
      <c r="C16873" s="0" t="s">
        <v>22529</v>
      </c>
      <c r="D16873" s="0" t="s">
        <v>22529</v>
      </c>
      <c r="E16873" s="0" t="inlineStr">
        <is>
          <t xml:space="preserve">Mazda</t>
        </is>
      </c>
      <c r="F16873" s="0" t="s">
        <v>13</v>
      </c>
      <c r="G16873" s="0" t="s">
        <v>49</v>
      </c>
      <c r="H16873" s="5">
        <v>3836.125100</v>
      </c>
    </row>
    <row r="16874" spans="1:9">
      <c r="A16874" s="22" t="str">
        <f>HYPERLINK("https://app.vivvix.com/360/KMI/IntelliDrive/ApplUI/Pages/CreativePages/CustomReportCreativeDetail.aspx?App=23&amp;ReportView=4&amp;Qid=1711279&amp;Row=16866&amp;Col=1","No Title Assigned - #15276690761")</f>
        <v/>
      </c>
      <c r="B16874" s="0" t="s">
        <v>22530</v>
      </c>
      <c r="C16874" s="0" t="s">
        <v>22531</v>
      </c>
      <c r="D16874" s="0" t="s">
        <v>4774</v>
      </c>
      <c r="E16874" s="0" t="inlineStr">
        <is>
          <t xml:space="preserve">Mazda</t>
        </is>
      </c>
      <c r="F16874" s="0" t="s">
        <v>13</v>
      </c>
      <c r="G16874" s="0" t="s">
        <v>49</v>
      </c>
      <c r="H16874" s="5">
        <v>559.083300</v>
      </c>
    </row>
    <row r="16875" spans="1:9">
      <c r="A16875" s="22" t="str">
        <f>HYPERLINK("https://app.vivvix.com/360/KMI/IntelliDrive/ApplUI/Pages/CreativePages/CustomReportCreativeDetail.aspx?App=23&amp;ReportView=4&amp;Qid=1711279&amp;Row=16867&amp;Col=1","No Title Assigned - #15276690764")</f>
        <v/>
      </c>
      <c r="B16875" s="0" t="s">
        <v>22532</v>
      </c>
      <c r="C16875" s="0" t="s">
        <v>22533</v>
      </c>
      <c r="D16875" s="0" t="s">
        <v>20566</v>
      </c>
      <c r="E16875" s="0" t="inlineStr">
        <is>
          <t xml:space="preserve">Mazda</t>
        </is>
      </c>
      <c r="F16875" s="0" t="s">
        <v>13</v>
      </c>
      <c r="G16875" s="0" t="s">
        <v>49</v>
      </c>
      <c r="H16875" s="5">
        <v>237.203200</v>
      </c>
    </row>
    <row r="16876" spans="1:9">
      <c r="A16876" s="22" t="str">
        <f>HYPERLINK("https://app.vivvix.com/360/KMI/IntelliDrive/ApplUI/Pages/CreativePages/CustomReportCreativeDetail.aspx?App=23&amp;ReportView=4&amp;Qid=1711279&amp;Row=16868&amp;Col=1","No Title Assigned - #15276690777")</f>
        <v/>
      </c>
      <c r="B16876" s="0" t="s">
        <v>22534</v>
      </c>
      <c r="C16876" s="0" t="s">
        <v>22535</v>
      </c>
      <c r="D16876" s="0" t="s">
        <v>4774</v>
      </c>
      <c r="E16876" s="0" t="inlineStr">
        <is>
          <t xml:space="preserve">Mazda</t>
        </is>
      </c>
      <c r="F16876" s="0" t="s">
        <v>13</v>
      </c>
      <c r="G16876" s="0" t="s">
        <v>49</v>
      </c>
      <c r="H16876" s="5">
        <v>585.297800</v>
      </c>
    </row>
    <row r="16877" spans="1:9">
      <c r="A16877" s="22" t="str">
        <f>HYPERLINK("https://app.vivvix.com/360/KMI/IntelliDrive/ApplUI/Pages/CreativePages/CustomReportCreativeDetail.aspx?App=23&amp;ReportView=4&amp;Qid=1711279&amp;Row=16869&amp;Col=1","No Title Assigned - #15276690777")</f>
        <v/>
      </c>
      <c r="B16877" s="0" t="s">
        <v>22534</v>
      </c>
      <c r="E16877" s="0" t="inlineStr">
        <is>
          <t xml:space="preserve">Mazda</t>
        </is>
      </c>
      <c r="F16877" s="0" t="s">
        <v>13</v>
      </c>
      <c r="G16877" s="0" t="s">
        <v>49</v>
      </c>
      <c r="H16877" s="5">
        <v>854.263700</v>
      </c>
    </row>
    <row r="16878" spans="1:9">
      <c r="A16878" s="22" t="str">
        <f>HYPERLINK("https://app.vivvix.com/360/KMI/IntelliDrive/ApplUI/Pages/CreativePages/CustomReportCreativeDetail.aspx?App=23&amp;ReportView=4&amp;Qid=1711279&amp;Row=16870&amp;Col=1","No Title Assigned - #15276690783")</f>
        <v/>
      </c>
      <c r="B16878" s="0" t="s">
        <v>22536</v>
      </c>
      <c r="C16878" s="0" t="s">
        <v>22537</v>
      </c>
      <c r="D16878" s="0" t="s">
        <v>4774</v>
      </c>
      <c r="E16878" s="0" t="inlineStr">
        <is>
          <t xml:space="preserve">Mazda</t>
        </is>
      </c>
      <c r="F16878" s="0" t="s">
        <v>13</v>
      </c>
      <c r="G16878" s="0" t="s">
        <v>49</v>
      </c>
      <c r="H16878" s="5">
        <v>1050.712800</v>
      </c>
    </row>
    <row r="16879" spans="1:9">
      <c r="A16879" s="22" t="str">
        <f>HYPERLINK("https://app.vivvix.com/360/KMI/IntelliDrive/ApplUI/Pages/CreativePages/CustomReportCreativeDetail.aspx?App=23&amp;ReportView=4&amp;Qid=1711279&amp;Row=16871&amp;Col=1","No Title Assigned - #15276690803")</f>
        <v/>
      </c>
      <c r="B16879" s="0" t="s">
        <v>22538</v>
      </c>
      <c r="E16879" s="0" t="inlineStr">
        <is>
          <t xml:space="preserve">Mazda</t>
        </is>
      </c>
      <c r="F16879" s="0" t="s">
        <v>13</v>
      </c>
      <c r="G16879" s="0" t="s">
        <v>49</v>
      </c>
      <c r="H16879" s="5">
        <v>15.879900</v>
      </c>
    </row>
    <row r="16880" spans="1:9">
      <c r="A16880" s="22" t="str">
        <f>HYPERLINK("https://app.vivvix.com/360/KMI/IntelliDrive/ApplUI/Pages/CreativePages/CustomReportCreativeDetail.aspx?App=23&amp;ReportView=4&amp;Qid=1711279&amp;Row=16872&amp;Col=1","No Title Assigned - #15276690816")</f>
        <v/>
      </c>
      <c r="B16880" s="0" t="s">
        <v>22539</v>
      </c>
      <c r="C16880" s="0" t="s">
        <v>22540</v>
      </c>
      <c r="D16880" s="0" t="s">
        <v>22540</v>
      </c>
      <c r="E16880" s="0" t="inlineStr">
        <is>
          <t xml:space="preserve">Mazda</t>
        </is>
      </c>
      <c r="F16880" s="0" t="s">
        <v>13</v>
      </c>
      <c r="G16880" s="0" t="s">
        <v>49</v>
      </c>
      <c r="H16880" s="5">
        <v>255.158900</v>
      </c>
    </row>
    <row r="16881" spans="1:9">
      <c r="A16881" s="22" t="str">
        <f>HYPERLINK("https://app.vivvix.com/360/KMI/IntelliDrive/ApplUI/Pages/CreativePages/CustomReportCreativeDetail.aspx?App=23&amp;ReportView=4&amp;Qid=1711279&amp;Row=16873&amp;Col=1","No Title Assigned - #15276690905")</f>
        <v/>
      </c>
      <c r="B16881" s="0" t="s">
        <v>22541</v>
      </c>
      <c r="C16881" s="0" t="s">
        <v>22542</v>
      </c>
      <c r="D16881" s="0" t="s">
        <v>22542</v>
      </c>
      <c r="E16881" s="0" t="inlineStr">
        <is>
          <t xml:space="preserve">Mazda</t>
        </is>
      </c>
      <c r="F16881" s="0" t="s">
        <v>13</v>
      </c>
      <c r="G16881" s="0" t="s">
        <v>49</v>
      </c>
      <c r="H16881" s="5">
        <v>12795.336100</v>
      </c>
    </row>
    <row r="16882" spans="1:9">
      <c r="A16882" s="22" t="str">
        <f>HYPERLINK("https://app.vivvix.com/360/KMI/IntelliDrive/ApplUI/Pages/CreativePages/CustomReportCreativeDetail.aspx?App=23&amp;ReportView=4&amp;Qid=1711279&amp;Row=16874&amp;Col=1","No Title Assigned - #15276690917")</f>
        <v/>
      </c>
      <c r="B16882" s="0" t="s">
        <v>22543</v>
      </c>
      <c r="C16882" s="0" t="s">
        <v>22544</v>
      </c>
      <c r="D16882" s="0" t="s">
        <v>22544</v>
      </c>
      <c r="E16882" s="0" t="inlineStr">
        <is>
          <t xml:space="preserve">Mazda</t>
        </is>
      </c>
      <c r="F16882" s="0" t="s">
        <v>13</v>
      </c>
      <c r="G16882" s="0" t="s">
        <v>49</v>
      </c>
      <c r="H16882" s="5">
        <v>26336.275300</v>
      </c>
    </row>
    <row r="16883" spans="1:9">
      <c r="A16883" s="22" t="str">
        <f>HYPERLINK("https://app.vivvix.com/360/KMI/IntelliDrive/ApplUI/Pages/CreativePages/CustomReportCreativeDetail.aspx?App=23&amp;ReportView=4&amp;Qid=1711279&amp;Row=16875&amp;Col=1","No Title Assigned - #15276690917")</f>
        <v/>
      </c>
      <c r="B16883" s="0" t="s">
        <v>22543</v>
      </c>
      <c r="E16883" s="0" t="inlineStr">
        <is>
          <t xml:space="preserve">Mazda</t>
        </is>
      </c>
      <c r="F16883" s="0" t="s">
        <v>13</v>
      </c>
      <c r="G16883" s="0" t="s">
        <v>49</v>
      </c>
      <c r="H16883" s="5">
        <v>38859.003100</v>
      </c>
    </row>
    <row r="16884" spans="1:9">
      <c r="A16884" s="22" t="str">
        <f>HYPERLINK("https://app.vivvix.com/360/KMI/IntelliDrive/ApplUI/Pages/CreativePages/CustomReportCreativeDetail.aspx?App=23&amp;ReportView=4&amp;Qid=1711279&amp;Row=16876&amp;Col=1","No Title Assigned - #15276690927")</f>
        <v/>
      </c>
      <c r="B16884" s="0" t="s">
        <v>22545</v>
      </c>
      <c r="E16884" s="0" t="inlineStr">
        <is>
          <t xml:space="preserve">Mazda</t>
        </is>
      </c>
      <c r="F16884" s="0" t="s">
        <v>13</v>
      </c>
      <c r="G16884" s="0" t="s">
        <v>49</v>
      </c>
      <c r="H16884" s="5">
        <v>4025.724600</v>
      </c>
    </row>
    <row r="16885" spans="1:9">
      <c r="A16885" s="22" t="str">
        <f>HYPERLINK("https://app.vivvix.com/360/KMI/IntelliDrive/ApplUI/Pages/CreativePages/CustomReportCreativeDetail.aspx?App=23&amp;ReportView=4&amp;Qid=1711279&amp;Row=16877&amp;Col=1","No Title Assigned - #15276690930")</f>
        <v/>
      </c>
      <c r="B16885" s="0" t="s">
        <v>22546</v>
      </c>
      <c r="C16885" s="0" t="s">
        <v>22547</v>
      </c>
      <c r="D16885" s="0" t="s">
        <v>14840</v>
      </c>
      <c r="E16885" s="0" t="inlineStr">
        <is>
          <t xml:space="preserve">Mazda</t>
        </is>
      </c>
      <c r="F16885" s="0" t="inlineStr">
        <is>
          <t xml:space="preserve">Mazda</t>
        </is>
      </c>
      <c r="G16885" s="0" t="s">
        <v>210</v>
      </c>
      <c r="H16885" s="5">
        <v>3358.559100</v>
      </c>
    </row>
    <row r="16886" spans="1:9">
      <c r="A16886" s="22" t="str">
        <f>HYPERLINK("https://app.vivvix.com/360/KMI/IntelliDrive/ApplUI/Pages/CreativePages/CustomReportCreativeDetail.aspx?App=23&amp;ReportView=4&amp;Qid=1711279&amp;Row=16878&amp;Col=1","No Title Assigned - #15276690930")</f>
        <v/>
      </c>
      <c r="B16886" s="0" t="s">
        <v>22546</v>
      </c>
      <c r="E16886" s="0" t="inlineStr">
        <is>
          <t xml:space="preserve">Mazda</t>
        </is>
      </c>
      <c r="F16886" s="0" t="inlineStr">
        <is>
          <t xml:space="preserve">Mazda</t>
        </is>
      </c>
      <c r="G16886" s="0" t="s">
        <v>210</v>
      </c>
      <c r="H16886" s="5">
        <v>6480.615700</v>
      </c>
    </row>
    <row r="16887" spans="1:9">
      <c r="A16887" s="22" t="str">
        <f>HYPERLINK("https://app.vivvix.com/360/KMI/IntelliDrive/ApplUI/Pages/CreativePages/CustomReportCreativeDetail.aspx?App=23&amp;ReportView=4&amp;Qid=1711279&amp;Row=16879&amp;Col=1","No Title Assigned - #15276691001")</f>
        <v/>
      </c>
      <c r="B16887" s="0" t="s">
        <v>22548</v>
      </c>
      <c r="C16887" s="0" t="s">
        <v>22549</v>
      </c>
      <c r="D16887" s="0" t="s">
        <v>22549</v>
      </c>
      <c r="E16887" s="0" t="inlineStr">
        <is>
          <t xml:space="preserve">Mazda</t>
        </is>
      </c>
      <c r="F16887" s="0" t="s">
        <v>13</v>
      </c>
      <c r="G16887" s="0" t="s">
        <v>49</v>
      </c>
      <c r="H16887" s="5">
        <v>2361.367200</v>
      </c>
    </row>
    <row r="16888" spans="1:9">
      <c r="A16888" s="22" t="str">
        <f>HYPERLINK("https://app.vivvix.com/360/KMI/IntelliDrive/ApplUI/Pages/CreativePages/CustomReportCreativeDetail.aspx?App=23&amp;ReportView=4&amp;Qid=1711279&amp;Row=16880&amp;Col=1","No Title Assigned - #15276691001")</f>
        <v/>
      </c>
      <c r="B16888" s="0" t="s">
        <v>22548</v>
      </c>
      <c r="E16888" s="0" t="inlineStr">
        <is>
          <t xml:space="preserve">Mazda</t>
        </is>
      </c>
      <c r="F16888" s="0" t="s">
        <v>13</v>
      </c>
      <c r="G16888" s="0" t="s">
        <v>49</v>
      </c>
      <c r="H16888" s="5">
        <v>273.316600</v>
      </c>
    </row>
    <row r="16889" spans="1:9">
      <c r="A16889" s="22" t="str">
        <f>HYPERLINK("https://app.vivvix.com/360/KMI/IntelliDrive/ApplUI/Pages/CreativePages/CustomReportCreativeDetail.aspx?App=23&amp;ReportView=4&amp;Qid=1711279&amp;Row=16881&amp;Col=1","No Title Assigned - #15276691023")</f>
        <v/>
      </c>
      <c r="B16889" s="0" t="s">
        <v>22550</v>
      </c>
      <c r="C16889" s="0" t="s">
        <v>22551</v>
      </c>
      <c r="D16889" s="0" t="s">
        <v>22551</v>
      </c>
      <c r="E16889" s="0" t="inlineStr">
        <is>
          <t xml:space="preserve">Mazda</t>
        </is>
      </c>
      <c r="F16889" s="0" t="s">
        <v>13</v>
      </c>
      <c r="G16889" s="0" t="s">
        <v>49</v>
      </c>
      <c r="H16889" s="5">
        <v>29.002800</v>
      </c>
    </row>
    <row r="16890" spans="1:9">
      <c r="A16890" s="22" t="str">
        <f>HYPERLINK("https://app.vivvix.com/360/KMI/IntelliDrive/ApplUI/Pages/CreativePages/CustomReportCreativeDetail.aspx?App=23&amp;ReportView=4&amp;Qid=1711279&amp;Row=16882&amp;Col=1","No Title Assigned - #15276691061")</f>
        <v/>
      </c>
      <c r="B16890" s="0" t="s">
        <v>22552</v>
      </c>
      <c r="C16890" s="0" t="s">
        <v>22553</v>
      </c>
      <c r="D16890" s="0" t="s">
        <v>4335</v>
      </c>
      <c r="E16890" s="0" t="inlineStr">
        <is>
          <t xml:space="preserve">Mazda</t>
        </is>
      </c>
      <c r="F16890" s="0" t="s">
        <v>13</v>
      </c>
      <c r="G16890" s="0" t="s">
        <v>49</v>
      </c>
      <c r="H16890" s="5">
        <v>7234.858600</v>
      </c>
    </row>
    <row r="16891" spans="1:9">
      <c r="A16891" s="22" t="str">
        <f>HYPERLINK("https://app.vivvix.com/360/KMI/IntelliDrive/ApplUI/Pages/CreativePages/CustomReportCreativeDetail.aspx?App=23&amp;ReportView=4&amp;Qid=1711279&amp;Row=16883&amp;Col=1","No Title Assigned - #15276691061")</f>
        <v/>
      </c>
      <c r="B16891" s="0" t="s">
        <v>22552</v>
      </c>
      <c r="E16891" s="0" t="inlineStr">
        <is>
          <t xml:space="preserve">Mazda</t>
        </is>
      </c>
      <c r="F16891" s="0" t="s">
        <v>13</v>
      </c>
      <c r="G16891" s="0" t="s">
        <v>49</v>
      </c>
      <c r="H16891" s="5">
        <v>1906.706800</v>
      </c>
    </row>
    <row r="16892" spans="1:9">
      <c r="A16892" s="22" t="str">
        <f>HYPERLINK("https://app.vivvix.com/360/KMI/IntelliDrive/ApplUI/Pages/CreativePages/CustomReportCreativeDetail.aspx?App=23&amp;ReportView=4&amp;Qid=1711279&amp;Row=16884&amp;Col=1","No Title Assigned - #15276691074")</f>
        <v/>
      </c>
      <c r="B16892" s="0" t="s">
        <v>22554</v>
      </c>
      <c r="C16892" s="0" t="s">
        <v>22555</v>
      </c>
      <c r="D16892" s="0" t="s">
        <v>22555</v>
      </c>
      <c r="E16892" s="0" t="inlineStr">
        <is>
          <t xml:space="preserve">Mazda</t>
        </is>
      </c>
      <c r="F16892" s="0" t="s">
        <v>13</v>
      </c>
      <c r="G16892" s="0" t="s">
        <v>49</v>
      </c>
      <c r="H16892" s="5">
        <v>282.495600</v>
      </c>
    </row>
    <row r="16893" spans="1:9">
      <c r="A16893" s="22" t="str">
        <f>HYPERLINK("https://app.vivvix.com/360/KMI/IntelliDrive/ApplUI/Pages/CreativePages/CustomReportCreativeDetail.aspx?App=23&amp;ReportView=4&amp;Qid=1711279&amp;Row=16885&amp;Col=1","No Title Assigned - #15276691074")</f>
        <v/>
      </c>
      <c r="B16893" s="0" t="s">
        <v>22554</v>
      </c>
      <c r="E16893" s="0" t="inlineStr">
        <is>
          <t xml:space="preserve">Mazda</t>
        </is>
      </c>
      <c r="F16893" s="0" t="s">
        <v>13</v>
      </c>
      <c r="G16893" s="0" t="s">
        <v>49</v>
      </c>
      <c r="H16893" s="5">
        <v>776.824500</v>
      </c>
    </row>
    <row r="16894" spans="1:9">
      <c r="A16894" s="22" t="str">
        <f>HYPERLINK("https://app.vivvix.com/360/KMI/IntelliDrive/ApplUI/Pages/CreativePages/CustomReportCreativeDetail.aspx?App=23&amp;ReportView=4&amp;Qid=1711279&amp;Row=16886&amp;Col=1","No Title Assigned - #15276691076")</f>
        <v/>
      </c>
      <c r="B16894" s="0" t="s">
        <v>22556</v>
      </c>
      <c r="C16894" s="0" t="s">
        <v>22557</v>
      </c>
      <c r="D16894" s="0" t="s">
        <v>5013</v>
      </c>
      <c r="E16894" s="0" t="inlineStr">
        <is>
          <t xml:space="preserve">Mazda</t>
        </is>
      </c>
      <c r="F16894" s="0" t="s">
        <v>13</v>
      </c>
      <c r="G16894" s="0" t="s">
        <v>49</v>
      </c>
      <c r="H16894" s="5">
        <v>84.722200</v>
      </c>
    </row>
    <row r="16895" spans="1:9">
      <c r="A16895" s="22" t="str">
        <f>HYPERLINK("https://app.vivvix.com/360/KMI/IntelliDrive/ApplUI/Pages/CreativePages/CustomReportCreativeDetail.aspx?App=23&amp;ReportView=4&amp;Qid=1711279&amp;Row=16887&amp;Col=1","No Title Assigned - #15276691088")</f>
        <v/>
      </c>
      <c r="B16895" s="0" t="s">
        <v>22558</v>
      </c>
      <c r="C16895" s="0" t="s">
        <v>22559</v>
      </c>
      <c r="D16895" s="0" t="s">
        <v>22559</v>
      </c>
      <c r="E16895" s="0" t="inlineStr">
        <is>
          <t xml:space="preserve">Mazda</t>
        </is>
      </c>
      <c r="F16895" s="0" t="s">
        <v>13</v>
      </c>
      <c r="G16895" s="0" t="s">
        <v>49</v>
      </c>
      <c r="H16895" s="5">
        <v>1445.393100</v>
      </c>
    </row>
    <row r="16896" spans="1:9">
      <c r="A16896" s="22" t="str">
        <f>HYPERLINK("https://app.vivvix.com/360/KMI/IntelliDrive/ApplUI/Pages/CreativePages/CustomReportCreativeDetail.aspx?App=23&amp;ReportView=4&amp;Qid=1711279&amp;Row=16888&amp;Col=1","No Title Assigned - #15276691088")</f>
        <v/>
      </c>
      <c r="B16896" s="0" t="s">
        <v>22558</v>
      </c>
      <c r="E16896" s="0" t="inlineStr">
        <is>
          <t xml:space="preserve">Mazda</t>
        </is>
      </c>
      <c r="F16896" s="0" t="s">
        <v>13</v>
      </c>
      <c r="G16896" s="0" t="s">
        <v>49</v>
      </c>
      <c r="H16896" s="5">
        <v>11.227500</v>
      </c>
    </row>
    <row r="16897" spans="1:9">
      <c r="A16897" s="22" t="str">
        <f>HYPERLINK("https://app.vivvix.com/360/KMI/IntelliDrive/ApplUI/Pages/CreativePages/CustomReportCreativeDetail.aspx?App=23&amp;ReportView=4&amp;Qid=1711279&amp;Row=16889&amp;Col=1","No Title Assigned - #15276691121")</f>
        <v/>
      </c>
      <c r="B16897" s="0" t="s">
        <v>22560</v>
      </c>
      <c r="C16897" s="0" t="s">
        <v>22561</v>
      </c>
      <c r="D16897" s="0" t="s">
        <v>13101</v>
      </c>
      <c r="E16897" s="0" t="inlineStr">
        <is>
          <t xml:space="preserve">Mazda</t>
        </is>
      </c>
      <c r="F16897" s="0" t="s">
        <v>13</v>
      </c>
      <c r="G16897" s="0" t="s">
        <v>49</v>
      </c>
      <c r="H16897" s="5">
        <v>4081.395100</v>
      </c>
    </row>
    <row r="16898" spans="1:9">
      <c r="A16898" s="22" t="str">
        <f>HYPERLINK("https://app.vivvix.com/360/KMI/IntelliDrive/ApplUI/Pages/CreativePages/CustomReportCreativeDetail.aspx?App=23&amp;ReportView=4&amp;Qid=1711279&amp;Row=16890&amp;Col=1","No Title Assigned - #15276691126")</f>
        <v/>
      </c>
      <c r="B16898" s="0" t="s">
        <v>22562</v>
      </c>
      <c r="C16898" s="0" t="s">
        <v>22563</v>
      </c>
      <c r="D16898" s="0" t="s">
        <v>4335</v>
      </c>
      <c r="E16898" s="0" t="inlineStr">
        <is>
          <t xml:space="preserve">Mazda</t>
        </is>
      </c>
      <c r="F16898" s="0" t="s">
        <v>13</v>
      </c>
      <c r="G16898" s="0" t="s">
        <v>49</v>
      </c>
      <c r="H16898" s="5">
        <v>14.257500</v>
      </c>
    </row>
    <row r="16899" spans="1:9">
      <c r="A16899" s="22" t="str">
        <f>HYPERLINK("https://app.vivvix.com/360/KMI/IntelliDrive/ApplUI/Pages/CreativePages/CustomReportCreativeDetail.aspx?App=23&amp;ReportView=4&amp;Qid=1711279&amp;Row=16891&amp;Col=1","No Title Assigned - #15276691127")</f>
        <v/>
      </c>
      <c r="B16899" s="0" t="s">
        <v>22564</v>
      </c>
      <c r="C16899" s="0" t="s">
        <v>22565</v>
      </c>
      <c r="D16899" s="0" t="s">
        <v>22565</v>
      </c>
      <c r="E16899" s="0" t="inlineStr">
        <is>
          <t xml:space="preserve">Mazda</t>
        </is>
      </c>
      <c r="F16899" s="0" t="inlineStr">
        <is>
          <t xml:space="preserve">Mazda</t>
        </is>
      </c>
      <c r="G16899" s="0" t="s">
        <v>210</v>
      </c>
      <c r="H16899" s="5">
        <v>623.391400</v>
      </c>
    </row>
    <row r="16900" spans="1:9">
      <c r="A16900" s="22" t="str">
        <f>HYPERLINK("https://app.vivvix.com/360/KMI/IntelliDrive/ApplUI/Pages/CreativePages/CustomReportCreativeDetail.aspx?App=23&amp;ReportView=4&amp;Qid=1711279&amp;Row=16892&amp;Col=1","No Title Assigned - #15276691138")</f>
        <v/>
      </c>
      <c r="B16900" s="0" t="s">
        <v>22566</v>
      </c>
      <c r="C16900" s="0" t="s">
        <v>22567</v>
      </c>
      <c r="D16900" s="0" t="s">
        <v>22567</v>
      </c>
      <c r="E16900" s="0" t="inlineStr">
        <is>
          <t xml:space="preserve">Mazda</t>
        </is>
      </c>
      <c r="F16900" s="0" t="s">
        <v>13</v>
      </c>
      <c r="G16900" s="0" t="s">
        <v>49</v>
      </c>
      <c r="H16900" s="5">
        <v>13.522300</v>
      </c>
    </row>
    <row r="16901" spans="1:9">
      <c r="A16901" s="22" t="str">
        <f>HYPERLINK("https://app.vivvix.com/360/KMI/IntelliDrive/ApplUI/Pages/CreativePages/CustomReportCreativeDetail.aspx?App=23&amp;ReportView=4&amp;Qid=1711279&amp;Row=16893&amp;Col=1","No Title Assigned - #15276691173")</f>
        <v/>
      </c>
      <c r="B16901" s="0" t="s">
        <v>22568</v>
      </c>
      <c r="C16901" s="0" t="s">
        <v>22569</v>
      </c>
      <c r="D16901" s="0" t="s">
        <v>22435</v>
      </c>
      <c r="E16901" s="0" t="inlineStr">
        <is>
          <t xml:space="preserve">Mazda</t>
        </is>
      </c>
      <c r="F16901" s="0" t="s">
        <v>13</v>
      </c>
      <c r="G16901" s="0" t="s">
        <v>49</v>
      </c>
      <c r="H16901" s="5">
        <v>3865.297500</v>
      </c>
    </row>
    <row r="16902" spans="1:9">
      <c r="A16902" s="22" t="str">
        <f>HYPERLINK("https://app.vivvix.com/360/KMI/IntelliDrive/ApplUI/Pages/CreativePages/CustomReportCreativeDetail.aspx?App=23&amp;ReportView=4&amp;Qid=1711279&amp;Row=16894&amp;Col=1","No Title Assigned - #15276691245")</f>
        <v/>
      </c>
      <c r="B16902" s="0" t="s">
        <v>22570</v>
      </c>
      <c r="C16902" s="0" t="s">
        <v>22571</v>
      </c>
      <c r="D16902" s="0" t="s">
        <v>5013</v>
      </c>
      <c r="E16902" s="0" t="inlineStr">
        <is>
          <t xml:space="preserve">Mazda</t>
        </is>
      </c>
      <c r="F16902" s="0" t="s">
        <v>13</v>
      </c>
      <c r="G16902" s="0" t="s">
        <v>49</v>
      </c>
      <c r="H16902" s="5">
        <v>142.311600</v>
      </c>
    </row>
    <row r="16903" spans="1:9">
      <c r="A16903" s="22" t="str">
        <f>HYPERLINK("https://app.vivvix.com/360/KMI/IntelliDrive/ApplUI/Pages/CreativePages/CustomReportCreativeDetail.aspx?App=23&amp;ReportView=4&amp;Qid=1711279&amp;Row=16895&amp;Col=1","No Title Assigned - #15276691284")</f>
        <v/>
      </c>
      <c r="B16903" s="0" t="s">
        <v>22572</v>
      </c>
      <c r="C16903" s="0" t="s">
        <v>22573</v>
      </c>
      <c r="D16903" s="0" t="s">
        <v>8962</v>
      </c>
      <c r="E16903" s="0" t="inlineStr">
        <is>
          <t xml:space="preserve">Mazda</t>
        </is>
      </c>
      <c r="F16903" s="0" t="s">
        <v>13</v>
      </c>
      <c r="G16903" s="0" t="s">
        <v>49</v>
      </c>
      <c r="H16903" s="5">
        <v>18367.672800</v>
      </c>
    </row>
    <row r="16904" spans="1:9">
      <c r="A16904" s="22" t="str">
        <f>HYPERLINK("https://app.vivvix.com/360/KMI/IntelliDrive/ApplUI/Pages/CreativePages/CustomReportCreativeDetail.aspx?App=23&amp;ReportView=4&amp;Qid=1711279&amp;Row=16896&amp;Col=1","No Title Assigned - #15276691284")</f>
        <v/>
      </c>
      <c r="B16904" s="0" t="s">
        <v>22572</v>
      </c>
      <c r="E16904" s="0" t="inlineStr">
        <is>
          <t xml:space="preserve">Mazda</t>
        </is>
      </c>
      <c r="F16904" s="0" t="s">
        <v>13</v>
      </c>
      <c r="G16904" s="0" t="s">
        <v>49</v>
      </c>
      <c r="H16904" s="5">
        <v>1018.567600</v>
      </c>
    </row>
    <row r="16905" spans="1:9">
      <c r="A16905" s="22" t="str">
        <f>HYPERLINK("https://app.vivvix.com/360/KMI/IntelliDrive/ApplUI/Pages/CreativePages/CustomReportCreativeDetail.aspx?App=23&amp;ReportView=4&amp;Qid=1711279&amp;Row=16897&amp;Col=1","No Title Assigned - #15276691379")</f>
        <v/>
      </c>
      <c r="B16905" s="0" t="s">
        <v>22574</v>
      </c>
      <c r="C16905" s="0" t="s">
        <v>22575</v>
      </c>
      <c r="D16905" s="0" t="s">
        <v>22575</v>
      </c>
      <c r="E16905" s="0" t="inlineStr">
        <is>
          <t xml:space="preserve">Mazda</t>
        </is>
      </c>
      <c r="F16905" s="0" t="s">
        <v>13</v>
      </c>
      <c r="G16905" s="0" t="s">
        <v>49</v>
      </c>
      <c r="H16905" s="5">
        <v>8247.413200</v>
      </c>
    </row>
    <row r="16906" spans="1:9">
      <c r="A16906" s="22" t="str">
        <f>HYPERLINK("https://app.vivvix.com/360/KMI/IntelliDrive/ApplUI/Pages/CreativePages/CustomReportCreativeDetail.aspx?App=23&amp;ReportView=4&amp;Qid=1711279&amp;Row=16898&amp;Col=1","No Title Assigned - #15276691379")</f>
        <v/>
      </c>
      <c r="B16906" s="0" t="s">
        <v>22574</v>
      </c>
      <c r="E16906" s="0" t="inlineStr">
        <is>
          <t xml:space="preserve">Mazda</t>
        </is>
      </c>
      <c r="F16906" s="0" t="s">
        <v>13</v>
      </c>
      <c r="G16906" s="0" t="s">
        <v>49</v>
      </c>
      <c r="H16906" s="5">
        <v>79146.002600</v>
      </c>
    </row>
    <row r="16907" spans="1:9">
      <c r="A16907" s="22" t="str">
        <f>HYPERLINK("https://app.vivvix.com/360/KMI/IntelliDrive/ApplUI/Pages/CreativePages/CustomReportCreativeDetail.aspx?App=23&amp;ReportView=4&amp;Qid=1711279&amp;Row=16899&amp;Col=1","No Title Assigned - #15276691386")</f>
        <v/>
      </c>
      <c r="B16907" s="0" t="s">
        <v>22576</v>
      </c>
      <c r="C16907" s="0" t="s">
        <v>22577</v>
      </c>
      <c r="D16907" s="0" t="s">
        <v>8588</v>
      </c>
      <c r="E16907" s="0" t="inlineStr">
        <is>
          <t xml:space="preserve">Mazda</t>
        </is>
      </c>
      <c r="F16907" s="0" t="s">
        <v>13</v>
      </c>
      <c r="G16907" s="0" t="s">
        <v>49</v>
      </c>
      <c r="H16907" s="5">
        <v>1110.131400</v>
      </c>
    </row>
    <row r="16908" spans="1:9">
      <c r="A16908" s="22" t="str">
        <f>HYPERLINK("https://app.vivvix.com/360/KMI/IntelliDrive/ApplUI/Pages/CreativePages/CustomReportCreativeDetail.aspx?App=23&amp;ReportView=4&amp;Qid=1711279&amp;Row=16900&amp;Col=1","No Title Assigned - #15276691386")</f>
        <v/>
      </c>
      <c r="B16908" s="0" t="s">
        <v>22576</v>
      </c>
      <c r="E16908" s="0" t="inlineStr">
        <is>
          <t xml:space="preserve">Mazda</t>
        </is>
      </c>
      <c r="F16908" s="0" t="s">
        <v>13</v>
      </c>
      <c r="G16908" s="0" t="s">
        <v>49</v>
      </c>
      <c r="H16908" s="5">
        <v>255.751200</v>
      </c>
    </row>
    <row r="16909" spans="1:9">
      <c r="A16909" s="22" t="str">
        <f>HYPERLINK("https://app.vivvix.com/360/KMI/IntelliDrive/ApplUI/Pages/CreativePages/CustomReportCreativeDetail.aspx?App=23&amp;ReportView=4&amp;Qid=1711279&amp;Row=16901&amp;Col=1","No Title Assigned - #15276691387")</f>
        <v/>
      </c>
      <c r="B16909" s="0" t="s">
        <v>22578</v>
      </c>
      <c r="C16909" s="0" t="s">
        <v>22579</v>
      </c>
      <c r="D16909" s="0" t="s">
        <v>5013</v>
      </c>
      <c r="E16909" s="0" t="inlineStr">
        <is>
          <t xml:space="preserve">Mazda</t>
        </is>
      </c>
      <c r="F16909" s="0" t="s">
        <v>13</v>
      </c>
      <c r="G16909" s="0" t="s">
        <v>49</v>
      </c>
      <c r="H16909" s="5">
        <v>1267.555400</v>
      </c>
    </row>
    <row r="16910" spans="1:9">
      <c r="A16910" s="22" t="str">
        <f>HYPERLINK("https://app.vivvix.com/360/KMI/IntelliDrive/ApplUI/Pages/CreativePages/CustomReportCreativeDetail.aspx?App=23&amp;ReportView=4&amp;Qid=1711279&amp;Row=16902&amp;Col=1","No Title Assigned - #15276691427")</f>
        <v/>
      </c>
      <c r="B16910" s="0" t="s">
        <v>22580</v>
      </c>
      <c r="E16910" s="0" t="inlineStr">
        <is>
          <t xml:space="preserve">Mazda</t>
        </is>
      </c>
      <c r="F16910" s="0" t="s">
        <v>13</v>
      </c>
      <c r="G16910" s="0" t="s">
        <v>49</v>
      </c>
      <c r="H16910" s="5">
        <v>31.909500</v>
      </c>
    </row>
    <row r="16911" spans="1:9">
      <c r="A16911" s="22" t="str">
        <f>HYPERLINK("https://app.vivvix.com/360/KMI/IntelliDrive/ApplUI/Pages/CreativePages/CustomReportCreativeDetail.aspx?App=23&amp;ReportView=4&amp;Qid=1711279&amp;Row=16903&amp;Col=1","No Title Assigned - #15276691428")</f>
        <v/>
      </c>
      <c r="B16911" s="0" t="s">
        <v>22581</v>
      </c>
      <c r="E16911" s="0" t="inlineStr">
        <is>
          <t xml:space="preserve">Mazda</t>
        </is>
      </c>
      <c r="F16911" s="0" t="s">
        <v>13</v>
      </c>
      <c r="G16911" s="0" t="s">
        <v>49</v>
      </c>
      <c r="H16911" s="5">
        <v>197.928000</v>
      </c>
    </row>
    <row r="16912" spans="1:9">
      <c r="A16912" s="22" t="str">
        <f>HYPERLINK("https://app.vivvix.com/360/KMI/IntelliDrive/ApplUI/Pages/CreativePages/CustomReportCreativeDetail.aspx?App=23&amp;ReportView=4&amp;Qid=1711279&amp;Row=16904&amp;Col=1","No Title Assigned - #15276691573")</f>
        <v/>
      </c>
      <c r="B16912" s="0" t="s">
        <v>22582</v>
      </c>
      <c r="C16912" s="0" t="s">
        <v>22583</v>
      </c>
      <c r="D16912" s="0" t="s">
        <v>22583</v>
      </c>
      <c r="E16912" s="0" t="inlineStr">
        <is>
          <t xml:space="preserve">Mazda</t>
        </is>
      </c>
      <c r="F16912" s="0" t="s">
        <v>13</v>
      </c>
      <c r="G16912" s="0" t="s">
        <v>49</v>
      </c>
      <c r="H16912" s="5">
        <v>0.588400</v>
      </c>
    </row>
    <row r="16913" spans="1:9">
      <c r="A16913" s="22" t="str">
        <f>HYPERLINK("https://app.vivvix.com/360/KMI/IntelliDrive/ApplUI/Pages/CreativePages/CustomReportCreativeDetail.aspx?App=23&amp;ReportView=4&amp;Qid=1711279&amp;Row=16905&amp;Col=1","No Title Assigned - #15276691590")</f>
        <v/>
      </c>
      <c r="B16913" s="0" t="s">
        <v>22584</v>
      </c>
      <c r="E16913" s="0" t="inlineStr">
        <is>
          <t xml:space="preserve">Mazda</t>
        </is>
      </c>
      <c r="F16913" s="0" t="s">
        <v>13</v>
      </c>
      <c r="G16913" s="0" t="s">
        <v>49</v>
      </c>
      <c r="H16913" s="5">
        <v>6.565100</v>
      </c>
    </row>
    <row r="16914" spans="1:9">
      <c r="A16914" s="22" t="str">
        <f>HYPERLINK("https://app.vivvix.com/360/KMI/IntelliDrive/ApplUI/Pages/CreativePages/CustomReportCreativeDetail.aspx?App=23&amp;ReportView=4&amp;Qid=1711279&amp;Row=16906&amp;Col=1","No Title Assigned - #15276691621")</f>
        <v/>
      </c>
      <c r="B16914" s="0" t="s">
        <v>22585</v>
      </c>
      <c r="C16914" s="0" t="s">
        <v>22586</v>
      </c>
      <c r="D16914" s="0" t="s">
        <v>22586</v>
      </c>
      <c r="E16914" s="0" t="inlineStr">
        <is>
          <t xml:space="preserve">Mazda</t>
        </is>
      </c>
      <c r="F16914" s="0" t="s">
        <v>13</v>
      </c>
      <c r="G16914" s="0" t="s">
        <v>49</v>
      </c>
      <c r="H16914" s="5">
        <v>11.719000</v>
      </c>
    </row>
    <row r="16915" spans="1:9">
      <c r="A16915" s="22" t="str">
        <f>HYPERLINK("https://app.vivvix.com/360/KMI/IntelliDrive/ApplUI/Pages/CreativePages/CustomReportCreativeDetail.aspx?App=23&amp;ReportView=4&amp;Qid=1711279&amp;Row=16907&amp;Col=1","No Title Assigned - #15276691652")</f>
        <v/>
      </c>
      <c r="B16915" s="0" t="s">
        <v>22587</v>
      </c>
      <c r="C16915" s="0" t="s">
        <v>22588</v>
      </c>
      <c r="D16915" s="0" t="s">
        <v>4774</v>
      </c>
      <c r="E16915" s="0" t="inlineStr">
        <is>
          <t xml:space="preserve">Mazda</t>
        </is>
      </c>
      <c r="F16915" s="0" t="s">
        <v>13</v>
      </c>
      <c r="G16915" s="0" t="s">
        <v>49</v>
      </c>
      <c r="H16915" s="5">
        <v>201.300300</v>
      </c>
    </row>
    <row r="16916" spans="1:9">
      <c r="A16916" s="22" t="str">
        <f>HYPERLINK("https://app.vivvix.com/360/KMI/IntelliDrive/ApplUI/Pages/CreativePages/CustomReportCreativeDetail.aspx?App=23&amp;ReportView=4&amp;Qid=1711279&amp;Row=16908&amp;Col=1","No Title Assigned - #15276691741")</f>
        <v/>
      </c>
      <c r="B16916" s="0" t="s">
        <v>22589</v>
      </c>
      <c r="C16916" s="0" t="s">
        <v>22590</v>
      </c>
      <c r="D16916" s="0" t="s">
        <v>5013</v>
      </c>
      <c r="E16916" s="0" t="inlineStr">
        <is>
          <t xml:space="preserve">Mazda</t>
        </is>
      </c>
      <c r="F16916" s="0" t="s">
        <v>13</v>
      </c>
      <c r="G16916" s="0" t="s">
        <v>49</v>
      </c>
      <c r="H16916" s="5">
        <v>422.485500</v>
      </c>
    </row>
    <row r="16917" spans="1:9">
      <c r="A16917" s="22" t="str">
        <f>HYPERLINK("https://app.vivvix.com/360/KMI/IntelliDrive/ApplUI/Pages/CreativePages/CustomReportCreativeDetail.aspx?App=23&amp;ReportView=4&amp;Qid=1711279&amp;Row=16909&amp;Col=1","No Title Assigned - #15276691760")</f>
        <v/>
      </c>
      <c r="B16917" s="0" t="s">
        <v>22591</v>
      </c>
      <c r="E16917" s="0" t="inlineStr">
        <is>
          <t xml:space="preserve">Mazda</t>
        </is>
      </c>
      <c r="F16917" s="0" t="s">
        <v>13</v>
      </c>
      <c r="G16917" s="0" t="s">
        <v>49</v>
      </c>
      <c r="H16917" s="5">
        <v>424.849500</v>
      </c>
    </row>
    <row r="16918" spans="1:9">
      <c r="A16918" s="22" t="str">
        <f>HYPERLINK("https://app.vivvix.com/360/KMI/IntelliDrive/ApplUI/Pages/CreativePages/CustomReportCreativeDetail.aspx?App=23&amp;ReportView=4&amp;Qid=1711279&amp;Row=16910&amp;Col=1","No Title Assigned - #15276691811")</f>
        <v/>
      </c>
      <c r="B16918" s="0" t="s">
        <v>22592</v>
      </c>
      <c r="C16918" s="0" t="s">
        <v>22593</v>
      </c>
      <c r="D16918" s="0" t="s">
        <v>22485</v>
      </c>
      <c r="E16918" s="0" t="inlineStr">
        <is>
          <t xml:space="preserve">Mazda</t>
        </is>
      </c>
      <c r="F16918" s="0" t="s">
        <v>13</v>
      </c>
      <c r="G16918" s="0" t="s">
        <v>49</v>
      </c>
      <c r="H16918" s="5">
        <v>133.902300</v>
      </c>
    </row>
    <row r="16919" spans="1:9">
      <c r="A16919" s="22" t="str">
        <f>HYPERLINK("https://app.vivvix.com/360/KMI/IntelliDrive/ApplUI/Pages/CreativePages/CustomReportCreativeDetail.aspx?App=23&amp;ReportView=4&amp;Qid=1711279&amp;Row=16911&amp;Col=1","No Title Assigned - #15276691845")</f>
        <v/>
      </c>
      <c r="B16919" s="0" t="s">
        <v>22594</v>
      </c>
      <c r="C16919" s="0" t="s">
        <v>22595</v>
      </c>
      <c r="D16919" s="0" t="s">
        <v>22595</v>
      </c>
      <c r="E16919" s="0" t="inlineStr">
        <is>
          <t xml:space="preserve">Mazda</t>
        </is>
      </c>
      <c r="F16919" s="0" t="inlineStr">
        <is>
          <t xml:space="preserve">Mazda</t>
        </is>
      </c>
      <c r="G16919" s="0" t="s">
        <v>210</v>
      </c>
      <c r="H16919" s="5">
        <v>2633.689400</v>
      </c>
    </row>
    <row r="16920" spans="1:9">
      <c r="A16920" s="22" t="str">
        <f>HYPERLINK("https://app.vivvix.com/360/KMI/IntelliDrive/ApplUI/Pages/CreativePages/CustomReportCreativeDetail.aspx?App=23&amp;ReportView=4&amp;Qid=1711279&amp;Row=16912&amp;Col=1","No Title Assigned - #15276691934")</f>
        <v/>
      </c>
      <c r="B16920" s="0" t="s">
        <v>22596</v>
      </c>
      <c r="C16920" s="0" t="s">
        <v>22597</v>
      </c>
      <c r="D16920" s="0" t="s">
        <v>22597</v>
      </c>
      <c r="E16920" s="0" t="inlineStr">
        <is>
          <t xml:space="preserve">Mazda</t>
        </is>
      </c>
      <c r="F16920" s="0" t="s">
        <v>13</v>
      </c>
      <c r="G16920" s="0" t="s">
        <v>49</v>
      </c>
      <c r="H16920" s="5">
        <v>73.364100</v>
      </c>
    </row>
    <row r="16921" spans="1:9">
      <c r="A16921" s="22" t="str">
        <f>HYPERLINK("https://app.vivvix.com/360/KMI/IntelliDrive/ApplUI/Pages/CreativePages/CustomReportCreativeDetail.aspx?App=23&amp;ReportView=4&amp;Qid=1711279&amp;Row=16913&amp;Col=1","No Title Assigned - #15276691956")</f>
        <v/>
      </c>
      <c r="B16921" s="0" t="s">
        <v>22598</v>
      </c>
      <c r="C16921" s="0" t="s">
        <v>22599</v>
      </c>
      <c r="D16921" s="0" t="s">
        <v>5013</v>
      </c>
      <c r="E16921" s="0" t="inlineStr">
        <is>
          <t xml:space="preserve">Mazda</t>
        </is>
      </c>
      <c r="F16921" s="0" t="s">
        <v>13</v>
      </c>
      <c r="G16921" s="0" t="s">
        <v>49</v>
      </c>
      <c r="H16921" s="5">
        <v>208.135800</v>
      </c>
    </row>
    <row r="16922" spans="1:9">
      <c r="A16922" s="22" t="str">
        <f>HYPERLINK("https://app.vivvix.com/360/KMI/IntelliDrive/ApplUI/Pages/CreativePages/CustomReportCreativeDetail.aspx?App=23&amp;ReportView=4&amp;Qid=1711279&amp;Row=16914&amp;Col=1","No Title Assigned - #15276692031")</f>
        <v/>
      </c>
      <c r="B16922" s="0" t="s">
        <v>22600</v>
      </c>
      <c r="E16922" s="0" t="inlineStr">
        <is>
          <t xml:space="preserve">Mazda</t>
        </is>
      </c>
      <c r="F16922" s="0" t="s">
        <v>13</v>
      </c>
      <c r="G16922" s="0" t="s">
        <v>49</v>
      </c>
      <c r="H16922" s="5">
        <v>4773.195700</v>
      </c>
    </row>
    <row r="16923" spans="1:9">
      <c r="A16923" s="22" t="str">
        <f>HYPERLINK("https://app.vivvix.com/360/KMI/IntelliDrive/ApplUI/Pages/CreativePages/CustomReportCreativeDetail.aspx?App=23&amp;ReportView=4&amp;Qid=1711279&amp;Row=16915&amp;Col=1","No Title Assigned - #15276692031")</f>
        <v/>
      </c>
      <c r="B16923" s="0" t="s">
        <v>22600</v>
      </c>
      <c r="C16923" s="0" t="s">
        <v>22601</v>
      </c>
      <c r="D16923" s="0" t="s">
        <v>22601</v>
      </c>
      <c r="E16923" s="0" t="inlineStr">
        <is>
          <t xml:space="preserve">Mazda</t>
        </is>
      </c>
      <c r="F16923" s="0" t="s">
        <v>13</v>
      </c>
      <c r="G16923" s="0" t="s">
        <v>49</v>
      </c>
      <c r="H16923" s="5">
        <v>3577.011600</v>
      </c>
    </row>
    <row r="16924" spans="1:9">
      <c r="A16924" s="22" t="str">
        <f>HYPERLINK("https://app.vivvix.com/360/KMI/IntelliDrive/ApplUI/Pages/CreativePages/CustomReportCreativeDetail.aspx?App=23&amp;ReportView=4&amp;Qid=1711279&amp;Row=16916&amp;Col=1","No Title Assigned - #15276692032")</f>
        <v/>
      </c>
      <c r="B16924" s="0" t="s">
        <v>22602</v>
      </c>
      <c r="E16924" s="0" t="inlineStr">
        <is>
          <t xml:space="preserve">Mazda</t>
        </is>
      </c>
      <c r="F16924" s="0" t="s">
        <v>13</v>
      </c>
      <c r="G16924" s="0" t="s">
        <v>49</v>
      </c>
      <c r="H16924" s="5">
        <v>3658.069800</v>
      </c>
    </row>
    <row r="16925" spans="1:9">
      <c r="A16925" s="22" t="str">
        <f>HYPERLINK("https://app.vivvix.com/360/KMI/IntelliDrive/ApplUI/Pages/CreativePages/CustomReportCreativeDetail.aspx?App=23&amp;ReportView=4&amp;Qid=1711279&amp;Row=16917&amp;Col=1","No Title Assigned - #15276692032")</f>
        <v/>
      </c>
      <c r="B16925" s="0" t="s">
        <v>22602</v>
      </c>
      <c r="C16925" s="0" t="s">
        <v>22603</v>
      </c>
      <c r="D16925" s="0" t="s">
        <v>22603</v>
      </c>
      <c r="E16925" s="0" t="inlineStr">
        <is>
          <t xml:space="preserve">Mazda</t>
        </is>
      </c>
      <c r="F16925" s="0" t="s">
        <v>13</v>
      </c>
      <c r="G16925" s="0" t="s">
        <v>49</v>
      </c>
      <c r="H16925" s="5">
        <v>442.999400</v>
      </c>
    </row>
    <row r="16926" spans="1:9">
      <c r="A16926" s="22" t="str">
        <f>HYPERLINK("https://app.vivvix.com/360/KMI/IntelliDrive/ApplUI/Pages/CreativePages/CustomReportCreativeDetail.aspx?App=23&amp;ReportView=4&amp;Qid=1711279&amp;Row=16918&amp;Col=1","No Title Assigned - #15276692043")</f>
        <v/>
      </c>
      <c r="B16926" s="0" t="s">
        <v>22604</v>
      </c>
      <c r="C16926" s="0" t="s">
        <v>22605</v>
      </c>
      <c r="D16926" s="0" t="s">
        <v>22605</v>
      </c>
      <c r="E16926" s="0" t="inlineStr">
        <is>
          <t xml:space="preserve">Mazda</t>
        </is>
      </c>
      <c r="F16926" s="0" t="s">
        <v>13</v>
      </c>
      <c r="G16926" s="0" t="s">
        <v>49</v>
      </c>
      <c r="H16926" s="5">
        <v>841.497100</v>
      </c>
    </row>
    <row r="16927" spans="1:9">
      <c r="A16927" s="22" t="str">
        <f>HYPERLINK("https://app.vivvix.com/360/KMI/IntelliDrive/ApplUI/Pages/CreativePages/CustomReportCreativeDetail.aspx?App=23&amp;ReportView=4&amp;Qid=1711279&amp;Row=16919&amp;Col=1","No Title Assigned - #15276692089")</f>
        <v/>
      </c>
      <c r="B16927" s="0" t="s">
        <v>22606</v>
      </c>
      <c r="C16927" s="0" t="s">
        <v>22607</v>
      </c>
      <c r="D16927" s="0" t="s">
        <v>11469</v>
      </c>
      <c r="E16927" s="0" t="inlineStr">
        <is>
          <t xml:space="preserve">Mazda</t>
        </is>
      </c>
      <c r="F16927" s="0" t="s">
        <v>13</v>
      </c>
      <c r="G16927" s="0" t="s">
        <v>49</v>
      </c>
      <c r="H16927" s="5">
        <v>248.831700</v>
      </c>
    </row>
    <row r="16928" spans="1:9">
      <c r="A16928" s="22" t="str">
        <f>HYPERLINK("https://app.vivvix.com/360/KMI/IntelliDrive/ApplUI/Pages/CreativePages/CustomReportCreativeDetail.aspx?App=23&amp;ReportView=4&amp;Qid=1711279&amp;Row=16920&amp;Col=1","No Title Assigned - #15276692099")</f>
        <v/>
      </c>
      <c r="B16928" s="0" t="s">
        <v>22608</v>
      </c>
      <c r="E16928" s="0" t="inlineStr">
        <is>
          <t xml:space="preserve">Mazda</t>
        </is>
      </c>
      <c r="F16928" s="0" t="s">
        <v>13</v>
      </c>
      <c r="G16928" s="0" t="s">
        <v>49</v>
      </c>
      <c r="H16928" s="5">
        <v>23355.765400</v>
      </c>
    </row>
    <row r="16929" spans="1:9">
      <c r="A16929" s="22" t="str">
        <f>HYPERLINK("https://app.vivvix.com/360/KMI/IntelliDrive/ApplUI/Pages/CreativePages/CustomReportCreativeDetail.aspx?App=23&amp;ReportView=4&amp;Qid=1711279&amp;Row=16921&amp;Col=1","No Title Assigned - #15276692099")</f>
        <v/>
      </c>
      <c r="B16929" s="0" t="s">
        <v>22608</v>
      </c>
      <c r="E16929" s="0" t="inlineStr">
        <is>
          <t xml:space="preserve">Mazda</t>
        </is>
      </c>
      <c r="F16929" s="0" t="s">
        <v>13</v>
      </c>
      <c r="G16929" s="0" t="s">
        <v>49</v>
      </c>
      <c r="H16929" s="5">
        <v>206.062800</v>
      </c>
    </row>
    <row r="16930" spans="1:9">
      <c r="A16930" s="22" t="str">
        <f>HYPERLINK("https://app.vivvix.com/360/KMI/IntelliDrive/ApplUI/Pages/CreativePages/CustomReportCreativeDetail.aspx?App=23&amp;ReportView=4&amp;Qid=1711279&amp;Row=16922&amp;Col=1","No Title Assigned - #15276692124")</f>
        <v/>
      </c>
      <c r="B16930" s="0" t="s">
        <v>22609</v>
      </c>
      <c r="C16930" s="0" t="s">
        <v>22610</v>
      </c>
      <c r="D16930" s="0" t="s">
        <v>4768</v>
      </c>
      <c r="E16930" s="0" t="inlineStr">
        <is>
          <t xml:space="preserve">Mazda</t>
        </is>
      </c>
      <c r="F16930" s="0" t="s">
        <v>13</v>
      </c>
      <c r="G16930" s="0" t="s">
        <v>49</v>
      </c>
      <c r="H16930" s="5">
        <v>3193.018800</v>
      </c>
    </row>
    <row r="16931" spans="1:9">
      <c r="A16931" s="22" t="str">
        <f>HYPERLINK("https://app.vivvix.com/360/KMI/IntelliDrive/ApplUI/Pages/CreativePages/CustomReportCreativeDetail.aspx?App=23&amp;ReportView=4&amp;Qid=1711279&amp;Row=16923&amp;Col=1","No Title Assigned - #15276692145")</f>
        <v/>
      </c>
      <c r="B16931" s="0" t="s">
        <v>22611</v>
      </c>
      <c r="C16931" s="0" t="s">
        <v>22612</v>
      </c>
      <c r="D16931" s="0" t="s">
        <v>6183</v>
      </c>
      <c r="E16931" s="0" t="inlineStr">
        <is>
          <t xml:space="preserve">Mazda</t>
        </is>
      </c>
      <c r="F16931" s="0" t="s">
        <v>13</v>
      </c>
      <c r="G16931" s="0" t="s">
        <v>49</v>
      </c>
      <c r="H16931" s="5">
        <v>42813.175500</v>
      </c>
    </row>
    <row r="16932" spans="1:9">
      <c r="A16932" s="22" t="str">
        <f>HYPERLINK("https://app.vivvix.com/360/KMI/IntelliDrive/ApplUI/Pages/CreativePages/CustomReportCreativeDetail.aspx?App=23&amp;ReportView=4&amp;Qid=1711279&amp;Row=16924&amp;Col=1","No Title Assigned - #15276692145")</f>
        <v/>
      </c>
      <c r="B16932" s="0" t="s">
        <v>22611</v>
      </c>
      <c r="E16932" s="0" t="inlineStr">
        <is>
          <t xml:space="preserve">Mazda</t>
        </is>
      </c>
      <c r="F16932" s="0" t="s">
        <v>13</v>
      </c>
      <c r="G16932" s="0" t="s">
        <v>49</v>
      </c>
      <c r="H16932" s="5">
        <v>5150.705600</v>
      </c>
    </row>
    <row r="16933" spans="1:9">
      <c r="A16933" s="22" t="str">
        <f>HYPERLINK("https://app.vivvix.com/360/KMI/IntelliDrive/ApplUI/Pages/CreativePages/CustomReportCreativeDetail.aspx?App=23&amp;ReportView=4&amp;Qid=1711279&amp;Row=16925&amp;Col=1","No Title Assigned - #15276692153")</f>
        <v/>
      </c>
      <c r="B16933" s="0" t="s">
        <v>22613</v>
      </c>
      <c r="C16933" s="0" t="s">
        <v>22614</v>
      </c>
      <c r="D16933" s="0" t="s">
        <v>21552</v>
      </c>
      <c r="E16933" s="0" t="inlineStr">
        <is>
          <t xml:space="preserve">Mazda</t>
        </is>
      </c>
      <c r="F16933" s="0" t="s">
        <v>13</v>
      </c>
      <c r="G16933" s="0" t="s">
        <v>49</v>
      </c>
      <c r="H16933" s="5">
        <v>604.296300</v>
      </c>
    </row>
    <row r="16934" spans="1:9">
      <c r="A16934" s="22" t="str">
        <f>HYPERLINK("https://app.vivvix.com/360/KMI/IntelliDrive/ApplUI/Pages/CreativePages/CustomReportCreativeDetail.aspx?App=23&amp;ReportView=4&amp;Qid=1711279&amp;Row=16926&amp;Col=1","No Title Assigned - #15276692183")</f>
        <v/>
      </c>
      <c r="B16934" s="0" t="s">
        <v>22615</v>
      </c>
      <c r="C16934" s="0" t="s">
        <v>22616</v>
      </c>
      <c r="D16934" s="0" t="s">
        <v>4335</v>
      </c>
      <c r="E16934" s="0" t="inlineStr">
        <is>
          <t xml:space="preserve">Mazda</t>
        </is>
      </c>
      <c r="F16934" s="0" t="s">
        <v>13</v>
      </c>
      <c r="G16934" s="0" t="s">
        <v>49</v>
      </c>
      <c r="H16934" s="5">
        <v>412.488000</v>
      </c>
    </row>
    <row r="16935" spans="1:9">
      <c r="A16935" s="22" t="str">
        <f>HYPERLINK("https://app.vivvix.com/360/KMI/IntelliDrive/ApplUI/Pages/CreativePages/CustomReportCreativeDetail.aspx?App=23&amp;ReportView=4&amp;Qid=1711279&amp;Row=16927&amp;Col=1","No Title Assigned - #15276692248")</f>
        <v/>
      </c>
      <c r="B16935" s="0" t="s">
        <v>22617</v>
      </c>
      <c r="C16935" s="0" t="s">
        <v>22618</v>
      </c>
      <c r="D16935" s="0" t="s">
        <v>22435</v>
      </c>
      <c r="E16935" s="0" t="inlineStr">
        <is>
          <t xml:space="preserve">Mazda</t>
        </is>
      </c>
      <c r="F16935" s="0" t="s">
        <v>13</v>
      </c>
      <c r="G16935" s="0" t="s">
        <v>49</v>
      </c>
      <c r="H16935" s="5">
        <v>722.324700</v>
      </c>
    </row>
    <row r="16936" spans="1:9">
      <c r="A16936" s="22" t="str">
        <f>HYPERLINK("https://app.vivvix.com/360/KMI/IntelliDrive/ApplUI/Pages/CreativePages/CustomReportCreativeDetail.aspx?App=23&amp;ReportView=4&amp;Qid=1711279&amp;Row=16928&amp;Col=1","No Title Assigned - #15276692261")</f>
        <v/>
      </c>
      <c r="B16936" s="0" t="s">
        <v>22619</v>
      </c>
      <c r="C16936" s="0" t="s">
        <v>22620</v>
      </c>
      <c r="D16936" s="0" t="s">
        <v>22620</v>
      </c>
      <c r="E16936" s="0" t="inlineStr">
        <is>
          <t xml:space="preserve">Mazda</t>
        </is>
      </c>
      <c r="F16936" s="0" t="s">
        <v>13</v>
      </c>
      <c r="G16936" s="0" t="s">
        <v>49</v>
      </c>
      <c r="H16936" s="5">
        <v>54.542800</v>
      </c>
    </row>
    <row r="16937" spans="1:9">
      <c r="A16937" s="22" t="str">
        <f>HYPERLINK("https://app.vivvix.com/360/KMI/IntelliDrive/ApplUI/Pages/CreativePages/CustomReportCreativeDetail.aspx?App=23&amp;ReportView=4&amp;Qid=1711279&amp;Row=16929&amp;Col=1","No Title Assigned - #15276692262")</f>
        <v/>
      </c>
      <c r="B16937" s="0" t="s">
        <v>22621</v>
      </c>
      <c r="E16937" s="0" t="inlineStr">
        <is>
          <t xml:space="preserve">Mazda</t>
        </is>
      </c>
      <c r="F16937" s="0" t="s">
        <v>13</v>
      </c>
      <c r="G16937" s="0" t="s">
        <v>49</v>
      </c>
      <c r="H16937" s="5">
        <v>498.853600</v>
      </c>
    </row>
    <row r="16938" spans="1:9">
      <c r="A16938" s="22" t="str">
        <f>HYPERLINK("https://app.vivvix.com/360/KMI/IntelliDrive/ApplUI/Pages/CreativePages/CustomReportCreativeDetail.aspx?App=23&amp;ReportView=4&amp;Qid=1711279&amp;Row=16930&amp;Col=1","No Title Assigned - #15276692379")</f>
        <v/>
      </c>
      <c r="B16938" s="0" t="s">
        <v>22622</v>
      </c>
      <c r="C16938" s="0" t="s">
        <v>22623</v>
      </c>
      <c r="D16938" s="0" t="s">
        <v>22623</v>
      </c>
      <c r="E16938" s="0" t="inlineStr">
        <is>
          <t xml:space="preserve">Mazda</t>
        </is>
      </c>
      <c r="F16938" s="0" t="s">
        <v>13</v>
      </c>
      <c r="G16938" s="0" t="s">
        <v>49</v>
      </c>
      <c r="H16938" s="5">
        <v>9999.032800</v>
      </c>
    </row>
    <row r="16939" spans="1:9">
      <c r="A16939" s="22" t="str">
        <f>HYPERLINK("https://app.vivvix.com/360/KMI/IntelliDrive/ApplUI/Pages/CreativePages/CustomReportCreativeDetail.aspx?App=23&amp;ReportView=4&amp;Qid=1711279&amp;Row=16931&amp;Col=1","No Title Assigned - #15276692379")</f>
        <v/>
      </c>
      <c r="B16939" s="0" t="s">
        <v>22622</v>
      </c>
      <c r="E16939" s="0" t="inlineStr">
        <is>
          <t xml:space="preserve">Mazda</t>
        </is>
      </c>
      <c r="F16939" s="0" t="s">
        <v>13</v>
      </c>
      <c r="G16939" s="0" t="s">
        <v>49</v>
      </c>
      <c r="H16939" s="5">
        <v>2544.393800</v>
      </c>
    </row>
    <row r="16940" spans="1:9">
      <c r="A16940" s="22" t="str">
        <f>HYPERLINK("https://app.vivvix.com/360/KMI/IntelliDrive/ApplUI/Pages/CreativePages/CustomReportCreativeDetail.aspx?App=23&amp;ReportView=4&amp;Qid=1711279&amp;Row=16932&amp;Col=1","No Title Assigned - #15276692391")</f>
        <v/>
      </c>
      <c r="B16940" s="0" t="s">
        <v>22624</v>
      </c>
      <c r="C16940" s="0" t="s">
        <v>22625</v>
      </c>
      <c r="D16940" s="0" t="s">
        <v>22625</v>
      </c>
      <c r="E16940" s="0" t="inlineStr">
        <is>
          <t xml:space="preserve">Mazda</t>
        </is>
      </c>
      <c r="F16940" s="0" t="s">
        <v>13</v>
      </c>
      <c r="G16940" s="0" t="s">
        <v>49</v>
      </c>
      <c r="H16940" s="5">
        <v>1275.804300</v>
      </c>
    </row>
    <row r="16941" spans="1:9">
      <c r="A16941" s="22" t="str">
        <f>HYPERLINK("https://app.vivvix.com/360/KMI/IntelliDrive/ApplUI/Pages/CreativePages/CustomReportCreativeDetail.aspx?App=23&amp;ReportView=4&amp;Qid=1711279&amp;Row=16933&amp;Col=1","No Title Assigned - #15276692418")</f>
        <v/>
      </c>
      <c r="B16941" s="0" t="s">
        <v>22626</v>
      </c>
      <c r="C16941" s="0" t="s">
        <v>22627</v>
      </c>
      <c r="D16941" s="0" t="s">
        <v>22627</v>
      </c>
      <c r="E16941" s="0" t="inlineStr">
        <is>
          <t xml:space="preserve">Mazda</t>
        </is>
      </c>
      <c r="F16941" s="0" t="s">
        <v>13</v>
      </c>
      <c r="G16941" s="0" t="s">
        <v>49</v>
      </c>
      <c r="H16941" s="5">
        <v>11.227500</v>
      </c>
    </row>
    <row r="16942" spans="1:9">
      <c r="A16942" s="22" t="str">
        <f>HYPERLINK("https://app.vivvix.com/360/KMI/IntelliDrive/ApplUI/Pages/CreativePages/CustomReportCreativeDetail.aspx?App=23&amp;ReportView=4&amp;Qid=1711279&amp;Row=16934&amp;Col=1","No Title Assigned - #15276692445")</f>
        <v/>
      </c>
      <c r="B16942" s="0" t="s">
        <v>22628</v>
      </c>
      <c r="C16942" s="0" t="s">
        <v>22629</v>
      </c>
      <c r="D16942" s="0" t="s">
        <v>6044</v>
      </c>
      <c r="E16942" s="0" t="inlineStr">
        <is>
          <t xml:space="preserve">Mazda</t>
        </is>
      </c>
      <c r="F16942" s="0" t="s">
        <v>13</v>
      </c>
      <c r="G16942" s="0" t="s">
        <v>49</v>
      </c>
      <c r="H16942" s="5">
        <v>2439.760800</v>
      </c>
    </row>
    <row r="16943" spans="1:9">
      <c r="A16943" s="22" t="str">
        <f>HYPERLINK("https://app.vivvix.com/360/KMI/IntelliDrive/ApplUI/Pages/CreativePages/CustomReportCreativeDetail.aspx?App=23&amp;ReportView=4&amp;Qid=1711279&amp;Row=16935&amp;Col=1","No Title Assigned - #15276692460")</f>
        <v/>
      </c>
      <c r="B16943" s="0" t="s">
        <v>22630</v>
      </c>
      <c r="E16943" s="0" t="inlineStr">
        <is>
          <t xml:space="preserve">Mazda</t>
        </is>
      </c>
      <c r="F16943" s="0" t="inlineStr">
        <is>
          <t xml:space="preserve">Mazda</t>
        </is>
      </c>
      <c r="G16943" s="0" t="s">
        <v>171</v>
      </c>
      <c r="H16943" s="5">
        <v>157.184300</v>
      </c>
    </row>
    <row r="16944" spans="1:9">
      <c r="A16944" s="22" t="str">
        <f>HYPERLINK("https://app.vivvix.com/360/KMI/IntelliDrive/ApplUI/Pages/CreativePages/CustomReportCreativeDetail.aspx?App=23&amp;ReportView=4&amp;Qid=1711279&amp;Row=16936&amp;Col=1","No Title Assigned - #15276692524")</f>
        <v/>
      </c>
      <c r="B16944" s="0" t="s">
        <v>22631</v>
      </c>
      <c r="C16944" s="0" t="s">
        <v>22632</v>
      </c>
      <c r="D16944" s="0" t="s">
        <v>22632</v>
      </c>
      <c r="E16944" s="0" t="inlineStr">
        <is>
          <t xml:space="preserve">Mazda</t>
        </is>
      </c>
      <c r="F16944" s="0" t="s">
        <v>13</v>
      </c>
      <c r="G16944" s="0" t="s">
        <v>49</v>
      </c>
      <c r="H16944" s="5">
        <v>21.846000</v>
      </c>
    </row>
    <row r="16945" spans="1:9">
      <c r="A16945" s="22" t="str">
        <f>HYPERLINK("https://app.vivvix.com/360/KMI/IntelliDrive/ApplUI/Pages/CreativePages/CustomReportCreativeDetail.aspx?App=23&amp;ReportView=4&amp;Qid=1711279&amp;Row=16937&amp;Col=1","No Title Assigned - #15276692555")</f>
        <v/>
      </c>
      <c r="B16945" s="0" t="s">
        <v>22633</v>
      </c>
      <c r="E16945" s="0" t="inlineStr">
        <is>
          <t xml:space="preserve">Mazda</t>
        </is>
      </c>
      <c r="F16945" s="0" t="inlineStr">
        <is>
          <t xml:space="preserve">Mazda</t>
        </is>
      </c>
      <c r="G16945" s="0" t="s">
        <v>171</v>
      </c>
      <c r="H16945" s="5">
        <v>606.935200</v>
      </c>
    </row>
    <row r="16946" spans="1:9">
      <c r="A16946" s="22" t="str">
        <f>HYPERLINK("https://app.vivvix.com/360/KMI/IntelliDrive/ApplUI/Pages/CreativePages/CustomReportCreativeDetail.aspx?App=23&amp;ReportView=4&amp;Qid=1711279&amp;Row=16938&amp;Col=1","No Title Assigned - #15276692565")</f>
        <v/>
      </c>
      <c r="B16946" s="0" t="s">
        <v>22634</v>
      </c>
      <c r="E16946" s="0" t="inlineStr">
        <is>
          <t xml:space="preserve">Mazda</t>
        </is>
      </c>
      <c r="F16946" s="0" t="inlineStr">
        <is>
          <t xml:space="preserve">Mazda</t>
        </is>
      </c>
      <c r="G16946" s="0" t="s">
        <v>171</v>
      </c>
      <c r="H16946" s="5">
        <v>148.879000</v>
      </c>
    </row>
    <row r="16947" spans="1:9">
      <c r="A16947" s="22" t="str">
        <f>HYPERLINK("https://app.vivvix.com/360/KMI/IntelliDrive/ApplUI/Pages/CreativePages/CustomReportCreativeDetail.aspx?App=23&amp;ReportView=4&amp;Qid=1711279&amp;Row=16939&amp;Col=1","No Title Assigned - #15276692566")</f>
        <v/>
      </c>
      <c r="B16947" s="0" t="s">
        <v>22635</v>
      </c>
      <c r="E16947" s="0" t="inlineStr">
        <is>
          <t xml:space="preserve">Mazda</t>
        </is>
      </c>
      <c r="F16947" s="0" t="inlineStr">
        <is>
          <t xml:space="preserve">Mazda</t>
        </is>
      </c>
      <c r="G16947" s="0" t="s">
        <v>171</v>
      </c>
      <c r="H16947" s="5">
        <v>267.791600</v>
      </c>
    </row>
    <row r="16948" spans="1:9">
      <c r="A16948" s="22" t="str">
        <f>HYPERLINK("https://app.vivvix.com/360/KMI/IntelliDrive/ApplUI/Pages/CreativePages/CustomReportCreativeDetail.aspx?App=23&amp;ReportView=4&amp;Qid=1711279&amp;Row=16940&amp;Col=1","No Title Assigned - #15276692570")</f>
        <v/>
      </c>
      <c r="B16948" s="0" t="s">
        <v>22636</v>
      </c>
      <c r="E16948" s="0" t="inlineStr">
        <is>
          <t xml:space="preserve">Mazda</t>
        </is>
      </c>
      <c r="F16948" s="0" t="inlineStr">
        <is>
          <t xml:space="preserve">Mazda</t>
        </is>
      </c>
      <c r="G16948" s="0" t="s">
        <v>171</v>
      </c>
      <c r="H16948" s="5">
        <v>1539.535400</v>
      </c>
    </row>
    <row r="16949" spans="1:9">
      <c r="A16949" s="22" t="str">
        <f>HYPERLINK("https://app.vivvix.com/360/KMI/IntelliDrive/ApplUI/Pages/CreativePages/CustomReportCreativeDetail.aspx?App=23&amp;ReportView=4&amp;Qid=1711279&amp;Row=16941&amp;Col=1","No Title Assigned - #15276692570")</f>
        <v/>
      </c>
      <c r="B16949" s="0" t="s">
        <v>22636</v>
      </c>
      <c r="E16949" s="0" t="inlineStr">
        <is>
          <t xml:space="preserve">Mazda</t>
        </is>
      </c>
      <c r="F16949" s="0" t="inlineStr">
        <is>
          <t xml:space="preserve">Mazda</t>
        </is>
      </c>
      <c r="G16949" s="0" t="s">
        <v>171</v>
      </c>
      <c r="H16949" s="5">
        <v>297.310900</v>
      </c>
    </row>
    <row r="16950" spans="1:9">
      <c r="A16950" s="22" t="str">
        <f>HYPERLINK("https://app.vivvix.com/360/KMI/IntelliDrive/ApplUI/Pages/CreativePages/CustomReportCreativeDetail.aspx?App=23&amp;ReportView=4&amp;Qid=1711279&amp;Row=16942&amp;Col=1","No Title Assigned - #15276692580")</f>
        <v/>
      </c>
      <c r="B16950" s="0" t="s">
        <v>22637</v>
      </c>
      <c r="C16950" s="0" t="s">
        <v>22638</v>
      </c>
      <c r="D16950" s="0" t="s">
        <v>22638</v>
      </c>
      <c r="E16950" s="0" t="inlineStr">
        <is>
          <t xml:space="preserve">Mazda</t>
        </is>
      </c>
      <c r="F16950" s="0" t="inlineStr">
        <is>
          <t xml:space="preserve">Mazda</t>
        </is>
      </c>
      <c r="G16950" s="0" t="s">
        <v>171</v>
      </c>
      <c r="H16950" s="5">
        <v>315.009900</v>
      </c>
    </row>
    <row r="16951" spans="1:9">
      <c r="A16951" s="22" t="str">
        <f>HYPERLINK("https://app.vivvix.com/360/KMI/IntelliDrive/ApplUI/Pages/CreativePages/CustomReportCreativeDetail.aspx?App=23&amp;ReportView=4&amp;Qid=1711279&amp;Row=16943&amp;Col=1","No Title Assigned - #15276692581")</f>
        <v/>
      </c>
      <c r="B16951" s="0" t="s">
        <v>22639</v>
      </c>
      <c r="E16951" s="0" t="inlineStr">
        <is>
          <t xml:space="preserve">Mazda</t>
        </is>
      </c>
      <c r="F16951" s="0" t="inlineStr">
        <is>
          <t xml:space="preserve">Mazda</t>
        </is>
      </c>
      <c r="G16951" s="0" t="s">
        <v>171</v>
      </c>
      <c r="H16951" s="5">
        <v>413.230400</v>
      </c>
    </row>
    <row r="16952" spans="1:9">
      <c r="A16952" s="22" t="str">
        <f>HYPERLINK("https://app.vivvix.com/360/KMI/IntelliDrive/ApplUI/Pages/CreativePages/CustomReportCreativeDetail.aspx?App=23&amp;ReportView=4&amp;Qid=1711279&amp;Row=16944&amp;Col=1","No Title Assigned - #15276692590")</f>
        <v/>
      </c>
      <c r="B16952" s="0" t="s">
        <v>22640</v>
      </c>
      <c r="E16952" s="0" t="inlineStr">
        <is>
          <t xml:space="preserve">Mazda</t>
        </is>
      </c>
      <c r="F16952" s="0" t="inlineStr">
        <is>
          <t xml:space="preserve">Mazda</t>
        </is>
      </c>
      <c r="G16952" s="0" t="s">
        <v>171</v>
      </c>
      <c r="H16952" s="5">
        <v>483.193500</v>
      </c>
    </row>
    <row r="16953" spans="1:9">
      <c r="A16953" s="22" t="str">
        <f>HYPERLINK("https://app.vivvix.com/360/KMI/IntelliDrive/ApplUI/Pages/CreativePages/CustomReportCreativeDetail.aspx?App=23&amp;ReportView=4&amp;Qid=1711279&amp;Row=16945&amp;Col=1","No Title Assigned - #15276692635")</f>
        <v/>
      </c>
      <c r="B16953" s="0" t="s">
        <v>22641</v>
      </c>
      <c r="E16953" s="0" t="inlineStr">
        <is>
          <t xml:space="preserve">Mazda</t>
        </is>
      </c>
      <c r="F16953" s="0" t="inlineStr">
        <is>
          <t xml:space="preserve">Mazda</t>
        </is>
      </c>
      <c r="G16953" s="0" t="s">
        <v>171</v>
      </c>
      <c r="H16953" s="5">
        <v>121.569600</v>
      </c>
    </row>
    <row r="16954" spans="1:9">
      <c r="A16954" s="22" t="str">
        <f>HYPERLINK("https://app.vivvix.com/360/KMI/IntelliDrive/ApplUI/Pages/CreativePages/CustomReportCreativeDetail.aspx?App=23&amp;ReportView=4&amp;Qid=1711279&amp;Row=16946&amp;Col=1","No Title Assigned - #15276692641")</f>
        <v/>
      </c>
      <c r="B16954" s="0" t="s">
        <v>22642</v>
      </c>
      <c r="E16954" s="0" t="inlineStr">
        <is>
          <t xml:space="preserve">Mazda</t>
        </is>
      </c>
      <c r="F16954" s="0" t="inlineStr">
        <is>
          <t xml:space="preserve">Mazda</t>
        </is>
      </c>
      <c r="G16954" s="0" t="s">
        <v>171</v>
      </c>
      <c r="H16954" s="5">
        <v>2697.479400</v>
      </c>
    </row>
    <row r="16955" spans="1:9">
      <c r="A16955" s="22" t="str">
        <f>HYPERLINK("https://app.vivvix.com/360/KMI/IntelliDrive/ApplUI/Pages/CreativePages/CustomReportCreativeDetail.aspx?App=23&amp;ReportView=4&amp;Qid=1711279&amp;Row=16947&amp;Col=1","No Title Assigned - #15276692652")</f>
        <v/>
      </c>
      <c r="B16955" s="0" t="s">
        <v>22643</v>
      </c>
      <c r="E16955" s="0" t="inlineStr">
        <is>
          <t xml:space="preserve">Mazda</t>
        </is>
      </c>
      <c r="F16955" s="0" t="inlineStr">
        <is>
          <t xml:space="preserve">Mazda</t>
        </is>
      </c>
      <c r="G16955" s="0" t="s">
        <v>171</v>
      </c>
      <c r="H16955" s="5">
        <v>640.594900</v>
      </c>
    </row>
    <row r="16956" spans="1:9">
      <c r="A16956" s="22" t="str">
        <f>HYPERLINK("https://app.vivvix.com/360/KMI/IntelliDrive/ApplUI/Pages/CreativePages/CustomReportCreativeDetail.aspx?App=23&amp;ReportView=4&amp;Qid=1711279&amp;Row=16948&amp;Col=1","No Title Assigned - #15276692670")</f>
        <v/>
      </c>
      <c r="B16956" s="0" t="s">
        <v>22644</v>
      </c>
      <c r="E16956" s="0" t="inlineStr">
        <is>
          <t xml:space="preserve">Mazda</t>
        </is>
      </c>
      <c r="F16956" s="0" t="inlineStr">
        <is>
          <t xml:space="preserve">Mazda</t>
        </is>
      </c>
      <c r="G16956" s="0" t="s">
        <v>171</v>
      </c>
      <c r="H16956" s="5">
        <v>2.390700</v>
      </c>
    </row>
    <row r="16957" spans="1:9">
      <c r="A16957" s="22" t="str">
        <f>HYPERLINK("https://app.vivvix.com/360/KMI/IntelliDrive/ApplUI/Pages/CreativePages/CustomReportCreativeDetail.aspx?App=23&amp;ReportView=4&amp;Qid=1711279&amp;Row=16949&amp;Col=1","No Title Assigned - #15276692670")</f>
        <v/>
      </c>
      <c r="B16957" s="0" t="s">
        <v>22644</v>
      </c>
      <c r="E16957" s="0" t="inlineStr">
        <is>
          <t xml:space="preserve">Mazda</t>
        </is>
      </c>
      <c r="F16957" s="0" t="inlineStr">
        <is>
          <t xml:space="preserve">Mazda</t>
        </is>
      </c>
      <c r="G16957" s="0" t="s">
        <v>171</v>
      </c>
      <c r="H16957" s="5">
        <v>100.427900</v>
      </c>
    </row>
    <row r="16958" spans="1:9">
      <c r="A16958" s="22" t="str">
        <f>HYPERLINK("https://app.vivvix.com/360/KMI/IntelliDrive/ApplUI/Pages/CreativePages/CustomReportCreativeDetail.aspx?App=23&amp;ReportView=4&amp;Qid=1711279&amp;Row=16950&amp;Col=1","No Title Assigned - #15276692673")</f>
        <v/>
      </c>
      <c r="B16958" s="0" t="s">
        <v>22645</v>
      </c>
      <c r="E16958" s="0" t="inlineStr">
        <is>
          <t xml:space="preserve">Mazda</t>
        </is>
      </c>
      <c r="F16958" s="0" t="inlineStr">
        <is>
          <t xml:space="preserve">Mazda</t>
        </is>
      </c>
      <c r="G16958" s="0" t="s">
        <v>171</v>
      </c>
      <c r="H16958" s="5">
        <v>503.699800</v>
      </c>
    </row>
    <row r="16959" spans="1:9">
      <c r="A16959" s="22" t="str">
        <f>HYPERLINK("https://app.vivvix.com/360/KMI/IntelliDrive/ApplUI/Pages/CreativePages/CustomReportCreativeDetail.aspx?App=23&amp;ReportView=4&amp;Qid=1711279&amp;Row=16951&amp;Col=1","No Title Assigned - #15276692746")</f>
        <v/>
      </c>
      <c r="B16959" s="0" t="s">
        <v>22646</v>
      </c>
      <c r="E16959" s="0" t="inlineStr">
        <is>
          <t xml:space="preserve">Mazda</t>
        </is>
      </c>
      <c r="F16959" s="0" t="inlineStr">
        <is>
          <t xml:space="preserve">Mazda</t>
        </is>
      </c>
      <c r="G16959" s="0" t="s">
        <v>171</v>
      </c>
      <c r="H16959" s="5">
        <v>351.798500</v>
      </c>
    </row>
    <row r="16960" spans="1:9">
      <c r="A16960" s="22" t="str">
        <f>HYPERLINK("https://app.vivvix.com/360/KMI/IntelliDrive/ApplUI/Pages/CreativePages/CustomReportCreativeDetail.aspx?App=23&amp;ReportView=4&amp;Qid=1711279&amp;Row=16952&amp;Col=1","No Title Assigned - #15276692764")</f>
        <v/>
      </c>
      <c r="B16960" s="0" t="s">
        <v>22647</v>
      </c>
      <c r="E16960" s="0" t="inlineStr">
        <is>
          <t xml:space="preserve">Mazda</t>
        </is>
      </c>
      <c r="F16960" s="0" t="inlineStr">
        <is>
          <t xml:space="preserve">Mazda</t>
        </is>
      </c>
      <c r="G16960" s="0" t="s">
        <v>171</v>
      </c>
      <c r="H16960" s="5">
        <v>468.478800</v>
      </c>
    </row>
    <row r="16961" spans="1:9">
      <c r="A16961" s="22" t="str">
        <f>HYPERLINK("https://app.vivvix.com/360/KMI/IntelliDrive/ApplUI/Pages/CreativePages/CustomReportCreativeDetail.aspx?App=23&amp;ReportView=4&amp;Qid=1711279&amp;Row=16953&amp;Col=1","No Title Assigned - #15276692766")</f>
        <v/>
      </c>
      <c r="B16961" s="0" t="s">
        <v>22648</v>
      </c>
      <c r="E16961" s="0" t="inlineStr">
        <is>
          <t xml:space="preserve">Mazda</t>
        </is>
      </c>
      <c r="F16961" s="0" t="inlineStr">
        <is>
          <t xml:space="preserve">Mazda</t>
        </is>
      </c>
      <c r="G16961" s="0" t="s">
        <v>171</v>
      </c>
      <c r="H16961" s="5">
        <v>405.218400</v>
      </c>
    </row>
    <row r="16962" spans="1:9">
      <c r="A16962" s="22" t="str">
        <f>HYPERLINK("https://app.vivvix.com/360/KMI/IntelliDrive/ApplUI/Pages/CreativePages/CustomReportCreativeDetail.aspx?App=23&amp;ReportView=4&amp;Qid=1711279&amp;Row=16954&amp;Col=1","No Title Assigned - #15276692767")</f>
        <v/>
      </c>
      <c r="B16962" s="0" t="s">
        <v>22649</v>
      </c>
      <c r="C16962" s="0" t="s">
        <v>22650</v>
      </c>
      <c r="D16962" s="0" t="s">
        <v>22650</v>
      </c>
      <c r="E16962" s="0" t="inlineStr">
        <is>
          <t xml:space="preserve">Mazda</t>
        </is>
      </c>
      <c r="F16962" s="0" t="inlineStr">
        <is>
          <t xml:space="preserve">Mazda</t>
        </is>
      </c>
      <c r="G16962" s="0" t="s">
        <v>171</v>
      </c>
      <c r="H16962" s="5">
        <v>28.262500</v>
      </c>
    </row>
    <row r="16963" spans="1:9">
      <c r="A16963" s="22" t="str">
        <f>HYPERLINK("https://app.vivvix.com/360/KMI/IntelliDrive/ApplUI/Pages/CreativePages/CustomReportCreativeDetail.aspx?App=23&amp;ReportView=4&amp;Qid=1711279&amp;Row=16955&amp;Col=1","No Title Assigned - #15276692778")</f>
        <v/>
      </c>
      <c r="B16963" s="0" t="s">
        <v>22651</v>
      </c>
      <c r="E16963" s="0" t="inlineStr">
        <is>
          <t xml:space="preserve">Mazda</t>
        </is>
      </c>
      <c r="F16963" s="0" t="inlineStr">
        <is>
          <t xml:space="preserve">Mazda</t>
        </is>
      </c>
      <c r="G16963" s="0" t="s">
        <v>171</v>
      </c>
      <c r="H16963" s="5">
        <v>3816.737500</v>
      </c>
    </row>
    <row r="16964" spans="1:9">
      <c r="A16964" s="22" t="str">
        <f>HYPERLINK("https://app.vivvix.com/360/KMI/IntelliDrive/ApplUI/Pages/CreativePages/CustomReportCreativeDetail.aspx?App=23&amp;ReportView=4&amp;Qid=1711279&amp;Row=16956&amp;Col=1","No Title Assigned - #15276692789")</f>
        <v/>
      </c>
      <c r="B16964" s="0" t="s">
        <v>22652</v>
      </c>
      <c r="E16964" s="0" t="inlineStr">
        <is>
          <t xml:space="preserve">Mazda</t>
        </is>
      </c>
      <c r="F16964" s="0" t="inlineStr">
        <is>
          <t xml:space="preserve">Mazda</t>
        </is>
      </c>
      <c r="G16964" s="0" t="s">
        <v>171</v>
      </c>
      <c r="H16964" s="5">
        <v>736.131300</v>
      </c>
    </row>
    <row r="16965" spans="1:9">
      <c r="A16965" s="22" t="str">
        <f>HYPERLINK("https://app.vivvix.com/360/KMI/IntelliDrive/ApplUI/Pages/CreativePages/CustomReportCreativeDetail.aspx?App=23&amp;ReportView=4&amp;Qid=1711279&amp;Row=16957&amp;Col=1","No Title Assigned - #15276692805")</f>
        <v/>
      </c>
      <c r="B16965" s="0" t="s">
        <v>22653</v>
      </c>
      <c r="E16965" s="0" t="inlineStr">
        <is>
          <t xml:space="preserve">Mazda</t>
        </is>
      </c>
      <c r="F16965" s="0" t="inlineStr">
        <is>
          <t xml:space="preserve">Mazda</t>
        </is>
      </c>
      <c r="G16965" s="0" t="s">
        <v>171</v>
      </c>
      <c r="H16965" s="5">
        <v>0.796900</v>
      </c>
    </row>
    <row r="16966" spans="1:9">
      <c r="A16966" s="22" t="str">
        <f>HYPERLINK("https://app.vivvix.com/360/KMI/IntelliDrive/ApplUI/Pages/CreativePages/CustomReportCreativeDetail.aspx?App=23&amp;ReportView=4&amp;Qid=1711279&amp;Row=16958&amp;Col=1","No Title Assigned - #15276692807")</f>
        <v/>
      </c>
      <c r="B16966" s="0" t="s">
        <v>22654</v>
      </c>
      <c r="E16966" s="0" t="inlineStr">
        <is>
          <t xml:space="preserve">Mazda</t>
        </is>
      </c>
      <c r="F16966" s="0" t="inlineStr">
        <is>
          <t xml:space="preserve">Mazda</t>
        </is>
      </c>
      <c r="G16966" s="0" t="s">
        <v>171</v>
      </c>
      <c r="H16966" s="5">
        <v>690.218500</v>
      </c>
    </row>
    <row r="16967" spans="1:9">
      <c r="A16967" s="22" t="str">
        <f>HYPERLINK("https://app.vivvix.com/360/KMI/IntelliDrive/ApplUI/Pages/CreativePages/CustomReportCreativeDetail.aspx?App=23&amp;ReportView=4&amp;Qid=1711279&amp;Row=16959&amp;Col=1","No Title Assigned - #15276692824")</f>
        <v/>
      </c>
      <c r="B16967" s="0" t="s">
        <v>22655</v>
      </c>
      <c r="E16967" s="0" t="inlineStr">
        <is>
          <t xml:space="preserve">Mazda</t>
        </is>
      </c>
      <c r="F16967" s="0" t="inlineStr">
        <is>
          <t xml:space="preserve">Mazda</t>
        </is>
      </c>
      <c r="G16967" s="0" t="s">
        <v>171</v>
      </c>
      <c r="H16967" s="5">
        <v>1008.492500</v>
      </c>
    </row>
    <row r="16968" spans="1:9">
      <c r="A16968" s="22" t="str">
        <f>HYPERLINK("https://app.vivvix.com/360/KMI/IntelliDrive/ApplUI/Pages/CreativePages/CustomReportCreativeDetail.aspx?App=23&amp;ReportView=4&amp;Qid=1711279&amp;Row=16960&amp;Col=1","No Title Assigned - #15276692833")</f>
        <v/>
      </c>
      <c r="B16968" s="0" t="s">
        <v>22656</v>
      </c>
      <c r="C16968" s="0" t="s">
        <v>22657</v>
      </c>
      <c r="D16968" s="0" t="s">
        <v>22657</v>
      </c>
      <c r="E16968" s="0" t="inlineStr">
        <is>
          <t xml:space="preserve">Mazda</t>
        </is>
      </c>
      <c r="F16968" s="0" t="inlineStr">
        <is>
          <t xml:space="preserve">Mazda</t>
        </is>
      </c>
      <c r="G16968" s="0" t="s">
        <v>171</v>
      </c>
      <c r="H16968" s="5">
        <v>455.803800</v>
      </c>
    </row>
    <row r="16969" spans="1:9">
      <c r="A16969" s="22" t="str">
        <f>HYPERLINK("https://app.vivvix.com/360/KMI/IntelliDrive/ApplUI/Pages/CreativePages/CustomReportCreativeDetail.aspx?App=23&amp;ReportView=4&amp;Qid=1711279&amp;Row=16961&amp;Col=1","No Title Assigned - #15276692850")</f>
        <v/>
      </c>
      <c r="B16969" s="0" t="s">
        <v>22658</v>
      </c>
      <c r="E16969" s="0" t="inlineStr">
        <is>
          <t xml:space="preserve">Mazda</t>
        </is>
      </c>
      <c r="F16969" s="0" t="inlineStr">
        <is>
          <t xml:space="preserve">Mazda</t>
        </is>
      </c>
      <c r="G16969" s="0" t="s">
        <v>171</v>
      </c>
      <c r="H16969" s="5">
        <v>75.308300</v>
      </c>
    </row>
    <row r="16970" spans="1:9">
      <c r="A16970" s="22" t="str">
        <f>HYPERLINK("https://app.vivvix.com/360/KMI/IntelliDrive/ApplUI/Pages/CreativePages/CustomReportCreativeDetail.aspx?App=23&amp;ReportView=4&amp;Qid=1711279&amp;Row=16962&amp;Col=1","No Title Assigned - #15276692855")</f>
        <v/>
      </c>
      <c r="B16970" s="0" t="s">
        <v>22659</v>
      </c>
      <c r="E16970" s="0" t="inlineStr">
        <is>
          <t xml:space="preserve">Mazda</t>
        </is>
      </c>
      <c r="F16970" s="0" t="inlineStr">
        <is>
          <t xml:space="preserve">Mazda</t>
        </is>
      </c>
      <c r="G16970" s="0" t="s">
        <v>171</v>
      </c>
      <c r="H16970" s="5">
        <v>72.685200</v>
      </c>
    </row>
    <row r="16971" spans="1:9">
      <c r="A16971" s="22" t="str">
        <f>HYPERLINK("https://app.vivvix.com/360/KMI/IntelliDrive/ApplUI/Pages/CreativePages/CustomReportCreativeDetail.aspx?App=23&amp;ReportView=4&amp;Qid=1711279&amp;Row=16963&amp;Col=1","No Title Assigned - #15276692889")</f>
        <v/>
      </c>
      <c r="B16971" s="0" t="s">
        <v>22660</v>
      </c>
      <c r="E16971" s="0" t="inlineStr">
        <is>
          <t xml:space="preserve">Mazda</t>
        </is>
      </c>
      <c r="F16971" s="0" t="inlineStr">
        <is>
          <t xml:space="preserve">Mazda</t>
        </is>
      </c>
      <c r="G16971" s="0" t="s">
        <v>171</v>
      </c>
      <c r="H16971" s="5">
        <v>4143.280400</v>
      </c>
    </row>
    <row r="16972" spans="1:9">
      <c r="A16972" s="22" t="str">
        <f>HYPERLINK("https://app.vivvix.com/360/KMI/IntelliDrive/ApplUI/Pages/CreativePages/CustomReportCreativeDetail.aspx?App=23&amp;ReportView=4&amp;Qid=1711279&amp;Row=16964&amp;Col=1","No Title Assigned - #15276692967")</f>
        <v/>
      </c>
      <c r="B16972" s="0" t="s">
        <v>22661</v>
      </c>
      <c r="E16972" s="0" t="inlineStr">
        <is>
          <t xml:space="preserve">Mazda</t>
        </is>
      </c>
      <c r="F16972" s="0" t="inlineStr">
        <is>
          <t xml:space="preserve">Mazda</t>
        </is>
      </c>
      <c r="G16972" s="0" t="s">
        <v>171</v>
      </c>
      <c r="H16972" s="5">
        <v>183.885000</v>
      </c>
    </row>
    <row r="16973" spans="1:9">
      <c r="A16973" s="22" t="str">
        <f>HYPERLINK("https://app.vivvix.com/360/KMI/IntelliDrive/ApplUI/Pages/CreativePages/CustomReportCreativeDetail.aspx?App=23&amp;ReportView=4&amp;Qid=1711279&amp;Row=16965&amp;Col=1","No Title Assigned - #15276692970")</f>
        <v/>
      </c>
      <c r="B16973" s="0" t="s">
        <v>22662</v>
      </c>
      <c r="E16973" s="0" t="inlineStr">
        <is>
          <t xml:space="preserve">Mazda</t>
        </is>
      </c>
      <c r="F16973" s="0" t="inlineStr">
        <is>
          <t xml:space="preserve">Mazda</t>
        </is>
      </c>
      <c r="G16973" s="0" t="s">
        <v>171</v>
      </c>
      <c r="H16973" s="5">
        <v>6.647800</v>
      </c>
    </row>
    <row r="16974" spans="1:9">
      <c r="A16974" s="22" t="str">
        <f>HYPERLINK("https://app.vivvix.com/360/KMI/IntelliDrive/ApplUI/Pages/CreativePages/CustomReportCreativeDetail.aspx?App=23&amp;ReportView=4&amp;Qid=1711279&amp;Row=16966&amp;Col=1","No Title Assigned - #15276693020")</f>
        <v/>
      </c>
      <c r="B16974" s="0" t="s">
        <v>22663</v>
      </c>
      <c r="E16974" s="0" t="inlineStr">
        <is>
          <t xml:space="preserve">Mazda</t>
        </is>
      </c>
      <c r="F16974" s="0" t="inlineStr">
        <is>
          <t xml:space="preserve">Mazda</t>
        </is>
      </c>
      <c r="G16974" s="0" t="s">
        <v>171</v>
      </c>
      <c r="H16974" s="5">
        <v>43.312300</v>
      </c>
    </row>
    <row r="16975" spans="1:9">
      <c r="A16975" s="22" t="str">
        <f>HYPERLINK("https://app.vivvix.com/360/KMI/IntelliDrive/ApplUI/Pages/CreativePages/CustomReportCreativeDetail.aspx?App=23&amp;ReportView=4&amp;Qid=1711279&amp;Row=16967&amp;Col=1","No Title Assigned - #15276693021")</f>
        <v/>
      </c>
      <c r="B16975" s="0" t="s">
        <v>22664</v>
      </c>
      <c r="E16975" s="0" t="inlineStr">
        <is>
          <t xml:space="preserve">Mazda</t>
        </is>
      </c>
      <c r="F16975" s="0" t="inlineStr">
        <is>
          <t xml:space="preserve">Mazda</t>
        </is>
      </c>
      <c r="G16975" s="0" t="s">
        <v>171</v>
      </c>
      <c r="H16975" s="5">
        <v>43.312300</v>
      </c>
    </row>
    <row r="16976" spans="1:9">
      <c r="A16976" s="22" t="str">
        <f>HYPERLINK("https://app.vivvix.com/360/KMI/IntelliDrive/ApplUI/Pages/CreativePages/CustomReportCreativeDetail.aspx?App=23&amp;ReportView=4&amp;Qid=1711279&amp;Row=16968&amp;Col=1","No Title Assigned - #15276693022")</f>
        <v/>
      </c>
      <c r="B16976" s="0" t="s">
        <v>22665</v>
      </c>
      <c r="E16976" s="0" t="inlineStr">
        <is>
          <t xml:space="preserve">Mazda</t>
        </is>
      </c>
      <c r="F16976" s="0" t="inlineStr">
        <is>
          <t xml:space="preserve">Mazda</t>
        </is>
      </c>
      <c r="G16976" s="0" t="s">
        <v>171</v>
      </c>
      <c r="H16976" s="5">
        <v>43.312300</v>
      </c>
    </row>
    <row r="16977" spans="1:9">
      <c r="A16977" s="22" t="str">
        <f>HYPERLINK("https://app.vivvix.com/360/KMI/IntelliDrive/ApplUI/Pages/CreativePages/CustomReportCreativeDetail.aspx?App=23&amp;ReportView=4&amp;Qid=1711279&amp;Row=16969&amp;Col=1","No Title Assigned - #15276693025")</f>
        <v/>
      </c>
      <c r="B16977" s="0" t="s">
        <v>22666</v>
      </c>
      <c r="E16977" s="0" t="inlineStr">
        <is>
          <t xml:space="preserve">Mazda</t>
        </is>
      </c>
      <c r="F16977" s="0" t="inlineStr">
        <is>
          <t xml:space="preserve">Mazda</t>
        </is>
      </c>
      <c r="G16977" s="0" t="s">
        <v>171</v>
      </c>
      <c r="H16977" s="5">
        <v>43.312300</v>
      </c>
    </row>
    <row r="16978" spans="1:9">
      <c r="A16978" s="22" t="str">
        <f>HYPERLINK("https://app.vivvix.com/360/KMI/IntelliDrive/ApplUI/Pages/CreativePages/CustomReportCreativeDetail.aspx?App=23&amp;ReportView=4&amp;Qid=1711279&amp;Row=16970&amp;Col=1","No Title Assigned - #15276693072")</f>
        <v/>
      </c>
      <c r="B16978" s="0" t="s">
        <v>22667</v>
      </c>
      <c r="E16978" s="0" t="inlineStr">
        <is>
          <t xml:space="preserve">Mazda</t>
        </is>
      </c>
      <c r="F16978" s="0" t="inlineStr">
        <is>
          <t xml:space="preserve">Mazda</t>
        </is>
      </c>
      <c r="G16978" s="0" t="s">
        <v>171</v>
      </c>
      <c r="H16978" s="5">
        <v>2.837900</v>
      </c>
    </row>
    <row r="16979" spans="1:9">
      <c r="A16979" s="22" t="str">
        <f>HYPERLINK("https://app.vivvix.com/360/KMI/IntelliDrive/ApplUI/Pages/CreativePages/CustomReportCreativeDetail.aspx?App=23&amp;ReportView=4&amp;Qid=1711279&amp;Row=16971&amp;Col=1","No Title Assigned - #15276693091")</f>
        <v/>
      </c>
      <c r="B16979" s="0" t="s">
        <v>22668</v>
      </c>
      <c r="C16979" s="0" t="s">
        <v>22669</v>
      </c>
      <c r="D16979" s="0" t="s">
        <v>9939</v>
      </c>
      <c r="E16979" s="0" t="inlineStr">
        <is>
          <t xml:space="preserve">Mazda</t>
        </is>
      </c>
      <c r="F16979" s="0" t="s">
        <v>13</v>
      </c>
      <c r="G16979" s="0" t="s">
        <v>49</v>
      </c>
      <c r="H16979" s="5">
        <v>13.114300</v>
      </c>
    </row>
    <row r="16980" spans="1:9">
      <c r="A16980" s="22" t="str">
        <f>HYPERLINK("https://app.vivvix.com/360/KMI/IntelliDrive/ApplUI/Pages/CreativePages/CustomReportCreativeDetail.aspx?App=23&amp;ReportView=4&amp;Qid=1711279&amp;Row=16972&amp;Col=1","No Title Assigned - #15276693099")</f>
        <v/>
      </c>
      <c r="B16980" s="0" t="s">
        <v>22670</v>
      </c>
      <c r="E16980" s="0" t="inlineStr">
        <is>
          <t xml:space="preserve">Mazda</t>
        </is>
      </c>
      <c r="F16980" s="0" t="inlineStr">
        <is>
          <t xml:space="preserve">Mazda</t>
        </is>
      </c>
      <c r="G16980" s="0" t="s">
        <v>171</v>
      </c>
      <c r="H16980" s="5">
        <v>214.503100</v>
      </c>
    </row>
    <row r="16981" spans="1:9">
      <c r="A16981" s="22" t="str">
        <f>HYPERLINK("https://app.vivvix.com/360/KMI/IntelliDrive/ApplUI/Pages/CreativePages/CustomReportCreativeDetail.aspx?App=23&amp;ReportView=4&amp;Qid=1711279&amp;Row=16973&amp;Col=1","No Title Assigned - #15276693101")</f>
        <v/>
      </c>
      <c r="B16981" s="0" t="s">
        <v>22671</v>
      </c>
      <c r="E16981" s="0" t="inlineStr">
        <is>
          <t xml:space="preserve">Mazda</t>
        </is>
      </c>
      <c r="F16981" s="0" t="inlineStr">
        <is>
          <t xml:space="preserve">Mazda</t>
        </is>
      </c>
      <c r="G16981" s="0" t="s">
        <v>171</v>
      </c>
      <c r="H16981" s="5">
        <v>288910.879400</v>
      </c>
    </row>
    <row r="16982" spans="1:9">
      <c r="A16982" s="22" t="str">
        <f>HYPERLINK("https://app.vivvix.com/360/KMI/IntelliDrive/ApplUI/Pages/CreativePages/CustomReportCreativeDetail.aspx?App=23&amp;ReportView=4&amp;Qid=1711279&amp;Row=16974&amp;Col=1","No Title Assigned - #15276693101")</f>
        <v/>
      </c>
      <c r="B16982" s="0" t="s">
        <v>22671</v>
      </c>
      <c r="E16982" s="0" t="inlineStr">
        <is>
          <t xml:space="preserve">Mazda</t>
        </is>
      </c>
      <c r="F16982" s="0" t="inlineStr">
        <is>
          <t xml:space="preserve">Mazda</t>
        </is>
      </c>
      <c r="G16982" s="0" t="s">
        <v>171</v>
      </c>
      <c r="H16982" s="5">
        <v>222.113100</v>
      </c>
    </row>
    <row r="16983" spans="1:9">
      <c r="A16983" s="22" t="str">
        <f>HYPERLINK("https://app.vivvix.com/360/KMI/IntelliDrive/ApplUI/Pages/CreativePages/CustomReportCreativeDetail.aspx?App=23&amp;ReportView=4&amp;Qid=1711279&amp;Row=16975&amp;Col=1","No Title Assigned - #15276693107")</f>
        <v/>
      </c>
      <c r="B16983" s="0" t="s">
        <v>22672</v>
      </c>
      <c r="E16983" s="0" t="inlineStr">
        <is>
          <t xml:space="preserve">Mazda</t>
        </is>
      </c>
      <c r="F16983" s="0" t="inlineStr">
        <is>
          <t xml:space="preserve">Mazda</t>
        </is>
      </c>
      <c r="G16983" s="0" t="s">
        <v>171</v>
      </c>
      <c r="H16983" s="5">
        <v>2434.379800</v>
      </c>
    </row>
    <row r="16984" spans="1:9">
      <c r="A16984" s="22" t="str">
        <f>HYPERLINK("https://app.vivvix.com/360/KMI/IntelliDrive/ApplUI/Pages/CreativePages/CustomReportCreativeDetail.aspx?App=23&amp;ReportView=4&amp;Qid=1711279&amp;Row=16976&amp;Col=1","No Title Assigned - #15276693135")</f>
        <v/>
      </c>
      <c r="B16984" s="0" t="s">
        <v>22673</v>
      </c>
      <c r="E16984" s="0" t="inlineStr">
        <is>
          <t xml:space="preserve">Mazda</t>
        </is>
      </c>
      <c r="F16984" s="0" t="inlineStr">
        <is>
          <t xml:space="preserve">Mazda</t>
        </is>
      </c>
      <c r="G16984" s="0" t="s">
        <v>171</v>
      </c>
      <c r="H16984" s="5">
        <v>1131.654700</v>
      </c>
    </row>
    <row r="16985" spans="1:9">
      <c r="A16985" s="22" t="str">
        <f>HYPERLINK("https://app.vivvix.com/360/KMI/IntelliDrive/ApplUI/Pages/CreativePages/CustomReportCreativeDetail.aspx?App=23&amp;ReportView=4&amp;Qid=1711279&amp;Row=16977&amp;Col=1","No Title Assigned - #15276693136")</f>
        <v/>
      </c>
      <c r="B16985" s="0" t="s">
        <v>22674</v>
      </c>
      <c r="E16985" s="0" t="inlineStr">
        <is>
          <t xml:space="preserve">Mazda</t>
        </is>
      </c>
      <c r="F16985" s="0" t="inlineStr">
        <is>
          <t xml:space="preserve">Mazda</t>
        </is>
      </c>
      <c r="G16985" s="0" t="s">
        <v>171</v>
      </c>
      <c r="H16985" s="5">
        <v>4385.567500</v>
      </c>
    </row>
    <row r="16986" spans="1:9">
      <c r="A16986" s="22" t="str">
        <f>HYPERLINK("https://app.vivvix.com/360/KMI/IntelliDrive/ApplUI/Pages/CreativePages/CustomReportCreativeDetail.aspx?App=23&amp;ReportView=4&amp;Qid=1711279&amp;Row=16978&amp;Col=1","No Title Assigned - #15276693136")</f>
        <v/>
      </c>
      <c r="B16986" s="0" t="s">
        <v>22674</v>
      </c>
      <c r="E16986" s="0" t="inlineStr">
        <is>
          <t xml:space="preserve">Mazda</t>
        </is>
      </c>
      <c r="F16986" s="0" t="inlineStr">
        <is>
          <t xml:space="preserve">Mazda</t>
        </is>
      </c>
      <c r="G16986" s="0" t="s">
        <v>171</v>
      </c>
      <c r="H16986" s="5">
        <v>3006.378000</v>
      </c>
    </row>
    <row r="16987" spans="1:9">
      <c r="A16987" s="22" t="str">
        <f>HYPERLINK("https://app.vivvix.com/360/KMI/IntelliDrive/ApplUI/Pages/CreativePages/CustomReportCreativeDetail.aspx?App=23&amp;ReportView=4&amp;Qid=1711279&amp;Row=16979&amp;Col=1","No Title Assigned - #15276693169")</f>
        <v/>
      </c>
      <c r="B16987" s="0" t="s">
        <v>22675</v>
      </c>
      <c r="E16987" s="0" t="inlineStr">
        <is>
          <t xml:space="preserve">Mazda</t>
        </is>
      </c>
      <c r="F16987" s="0" t="inlineStr">
        <is>
          <t xml:space="preserve">Mazda</t>
        </is>
      </c>
      <c r="G16987" s="0" t="s">
        <v>171</v>
      </c>
      <c r="H16987" s="5">
        <v>10.020400</v>
      </c>
    </row>
    <row r="16988" spans="1:9">
      <c r="A16988" s="22" t="str">
        <f>HYPERLINK("https://app.vivvix.com/360/KMI/IntelliDrive/ApplUI/Pages/CreativePages/CustomReportCreativeDetail.aspx?App=23&amp;ReportView=4&amp;Qid=1711279&amp;Row=16980&amp;Col=1","No Title Assigned - #15276693185")</f>
        <v/>
      </c>
      <c r="B16988" s="0" t="s">
        <v>22676</v>
      </c>
      <c r="E16988" s="0" t="inlineStr">
        <is>
          <t xml:space="preserve">Mazda</t>
        </is>
      </c>
      <c r="F16988" s="0" t="inlineStr">
        <is>
          <t xml:space="preserve">Mazda</t>
        </is>
      </c>
      <c r="G16988" s="0" t="s">
        <v>171</v>
      </c>
      <c r="H16988" s="5">
        <v>1015.183400</v>
      </c>
    </row>
    <row r="16989" spans="1:9">
      <c r="A16989" s="22" t="str">
        <f>HYPERLINK("https://app.vivvix.com/360/KMI/IntelliDrive/ApplUI/Pages/CreativePages/CustomReportCreativeDetail.aspx?App=23&amp;ReportView=4&amp;Qid=1711279&amp;Row=16981&amp;Col=1","No Title Assigned - #15276693251")</f>
        <v/>
      </c>
      <c r="B16989" s="0" t="s">
        <v>22677</v>
      </c>
      <c r="E16989" s="0" t="inlineStr">
        <is>
          <t xml:space="preserve">Mazda</t>
        </is>
      </c>
      <c r="F16989" s="0" t="inlineStr">
        <is>
          <t xml:space="preserve">Mazda</t>
        </is>
      </c>
      <c r="G16989" s="0" t="s">
        <v>171</v>
      </c>
      <c r="H16989" s="5">
        <v>34.201800</v>
      </c>
    </row>
    <row r="16990" spans="1:9">
      <c r="A16990" s="22" t="str">
        <f>HYPERLINK("https://app.vivvix.com/360/KMI/IntelliDrive/ApplUI/Pages/CreativePages/CustomReportCreativeDetail.aspx?App=23&amp;ReportView=4&amp;Qid=1711279&amp;Row=16982&amp;Col=1","No Title Assigned - #15276693252")</f>
        <v/>
      </c>
      <c r="B16990" s="0" t="s">
        <v>22678</v>
      </c>
      <c r="E16990" s="0" t="inlineStr">
        <is>
          <t xml:space="preserve">Mazda</t>
        </is>
      </c>
      <c r="F16990" s="0" t="inlineStr">
        <is>
          <t xml:space="preserve">Mazda</t>
        </is>
      </c>
      <c r="G16990" s="0" t="s">
        <v>171</v>
      </c>
      <c r="H16990" s="5">
        <v>1378.712900</v>
      </c>
    </row>
    <row r="16991" spans="1:9">
      <c r="A16991" s="22" t="str">
        <f>HYPERLINK("https://app.vivvix.com/360/KMI/IntelliDrive/ApplUI/Pages/CreativePages/CustomReportCreativeDetail.aspx?App=23&amp;ReportView=4&amp;Qid=1711279&amp;Row=16983&amp;Col=1","No Title Assigned - #15276693306")</f>
        <v/>
      </c>
      <c r="B16991" s="0" t="s">
        <v>22679</v>
      </c>
      <c r="E16991" s="0" t="inlineStr">
        <is>
          <t xml:space="preserve">Mazda</t>
        </is>
      </c>
      <c r="F16991" s="0" t="inlineStr">
        <is>
          <t xml:space="preserve">Mazda</t>
        </is>
      </c>
      <c r="G16991" s="0" t="s">
        <v>171</v>
      </c>
      <c r="H16991" s="5">
        <v>455.803800</v>
      </c>
    </row>
    <row r="16992" spans="1:9">
      <c r="A16992" s="22" t="str">
        <f>HYPERLINK("https://app.vivvix.com/360/KMI/IntelliDrive/ApplUI/Pages/CreativePages/CustomReportCreativeDetail.aspx?App=23&amp;ReportView=4&amp;Qid=1711279&amp;Row=16984&amp;Col=1","No Title Assigned - #15276693345")</f>
        <v/>
      </c>
      <c r="B16992" s="0" t="s">
        <v>22680</v>
      </c>
      <c r="E16992" s="0" t="inlineStr">
        <is>
          <t xml:space="preserve">Mazda</t>
        </is>
      </c>
      <c r="F16992" s="0" t="inlineStr">
        <is>
          <t xml:space="preserve">Mazda</t>
        </is>
      </c>
      <c r="G16992" s="0" t="s">
        <v>171</v>
      </c>
      <c r="H16992" s="5">
        <v>57.746200</v>
      </c>
    </row>
    <row r="16993" spans="1:9">
      <c r="A16993" s="22" t="str">
        <f>HYPERLINK("https://app.vivvix.com/360/KMI/IntelliDrive/ApplUI/Pages/CreativePages/CustomReportCreativeDetail.aspx?App=23&amp;ReportView=4&amp;Qid=1711279&amp;Row=16985&amp;Col=1","No Title Assigned - #15276693348")</f>
        <v/>
      </c>
      <c r="B16993" s="0" t="s">
        <v>22681</v>
      </c>
      <c r="E16993" s="0" t="inlineStr">
        <is>
          <t xml:space="preserve">Mazda</t>
        </is>
      </c>
      <c r="F16993" s="0" t="inlineStr">
        <is>
          <t xml:space="preserve">Mazda</t>
        </is>
      </c>
      <c r="G16993" s="0" t="s">
        <v>171</v>
      </c>
      <c r="H16993" s="5">
        <v>66.880800</v>
      </c>
    </row>
    <row r="16994" spans="1:9">
      <c r="A16994" s="22" t="str">
        <f>HYPERLINK("https://app.vivvix.com/360/KMI/IntelliDrive/ApplUI/Pages/CreativePages/CustomReportCreativeDetail.aspx?App=23&amp;ReportView=4&amp;Qid=1711279&amp;Row=16986&amp;Col=1","No Title Assigned - #15276693350")</f>
        <v/>
      </c>
      <c r="B16994" s="0" t="s">
        <v>22682</v>
      </c>
      <c r="E16994" s="0" t="inlineStr">
        <is>
          <t xml:space="preserve">Mazda</t>
        </is>
      </c>
      <c r="F16994" s="0" t="inlineStr">
        <is>
          <t xml:space="preserve">Mazda</t>
        </is>
      </c>
      <c r="G16994" s="0" t="s">
        <v>171</v>
      </c>
      <c r="H16994" s="5">
        <v>1383.241700</v>
      </c>
    </row>
    <row r="16995" spans="1:9">
      <c r="A16995" s="22" t="str">
        <f>HYPERLINK("https://app.vivvix.com/360/KMI/IntelliDrive/ApplUI/Pages/CreativePages/CustomReportCreativeDetail.aspx?App=23&amp;ReportView=4&amp;Qid=1711279&amp;Row=16987&amp;Col=1","No Title Assigned - #15276693380")</f>
        <v/>
      </c>
      <c r="B16995" s="0" t="s">
        <v>22683</v>
      </c>
      <c r="E16995" s="0" t="inlineStr">
        <is>
          <t xml:space="preserve">Mazda</t>
        </is>
      </c>
      <c r="F16995" s="0" t="inlineStr">
        <is>
          <t xml:space="preserve">Mazda</t>
        </is>
      </c>
      <c r="G16995" s="0" t="s">
        <v>171</v>
      </c>
      <c r="H16995" s="5">
        <v>252.610500</v>
      </c>
    </row>
    <row r="16996" spans="1:9">
      <c r="A16996" s="22" t="str">
        <f>HYPERLINK("https://app.vivvix.com/360/KMI/IntelliDrive/ApplUI/Pages/CreativePages/CustomReportCreativeDetail.aspx?App=23&amp;ReportView=4&amp;Qid=1711279&amp;Row=16988&amp;Col=1","No Title Assigned - #15276693382")</f>
        <v/>
      </c>
      <c r="B16996" s="0" t="s">
        <v>22684</v>
      </c>
      <c r="E16996" s="0" t="inlineStr">
        <is>
          <t xml:space="preserve">Mazda</t>
        </is>
      </c>
      <c r="F16996" s="0" t="inlineStr">
        <is>
          <t xml:space="preserve">Mazda</t>
        </is>
      </c>
      <c r="G16996" s="0" t="s">
        <v>171</v>
      </c>
      <c r="H16996" s="5">
        <v>102.544200</v>
      </c>
    </row>
    <row r="16997" spans="1:9">
      <c r="A16997" s="22" t="str">
        <f>HYPERLINK("https://app.vivvix.com/360/KMI/IntelliDrive/ApplUI/Pages/CreativePages/CustomReportCreativeDetail.aspx?App=23&amp;ReportView=4&amp;Qid=1711279&amp;Row=16989&amp;Col=1","No Title Assigned - #15276693387")</f>
        <v/>
      </c>
      <c r="B16997" s="0" t="s">
        <v>22685</v>
      </c>
      <c r="E16997" s="0" t="inlineStr">
        <is>
          <t xml:space="preserve">Mazda</t>
        </is>
      </c>
      <c r="F16997" s="0" t="inlineStr">
        <is>
          <t xml:space="preserve">Mazda</t>
        </is>
      </c>
      <c r="G16997" s="0" t="s">
        <v>171</v>
      </c>
      <c r="H16997" s="5">
        <v>23.660800</v>
      </c>
    </row>
    <row r="16998" spans="1:9">
      <c r="A16998" s="22" t="str">
        <f>HYPERLINK("https://app.vivvix.com/360/KMI/IntelliDrive/ApplUI/Pages/CreativePages/CustomReportCreativeDetail.aspx?App=23&amp;ReportView=4&amp;Qid=1711279&amp;Row=16990&amp;Col=1","No Title Assigned - #15276693446")</f>
        <v/>
      </c>
      <c r="B16998" s="0" t="s">
        <v>22686</v>
      </c>
      <c r="E16998" s="0" t="inlineStr">
        <is>
          <t xml:space="preserve">Mazda</t>
        </is>
      </c>
      <c r="F16998" s="0" t="inlineStr">
        <is>
          <t xml:space="preserve">Mazda</t>
        </is>
      </c>
      <c r="G16998" s="0" t="s">
        <v>171</v>
      </c>
      <c r="H16998" s="5">
        <v>1539.658400</v>
      </c>
    </row>
    <row r="16999" spans="1:9">
      <c r="A16999" s="22" t="str">
        <f>HYPERLINK("https://app.vivvix.com/360/KMI/IntelliDrive/ApplUI/Pages/CreativePages/CustomReportCreativeDetail.aspx?App=23&amp;ReportView=4&amp;Qid=1711279&amp;Row=16991&amp;Col=1","No Title Assigned - #15276693482")</f>
        <v/>
      </c>
      <c r="B16999" s="0" t="s">
        <v>22687</v>
      </c>
      <c r="E16999" s="0" t="inlineStr">
        <is>
          <t xml:space="preserve">Mazda</t>
        </is>
      </c>
      <c r="F16999" s="0" t="inlineStr">
        <is>
          <t xml:space="preserve">Mazda</t>
        </is>
      </c>
      <c r="G16999" s="0" t="s">
        <v>171</v>
      </c>
      <c r="H16999" s="5">
        <v>24273.276300</v>
      </c>
    </row>
    <row r="17000" spans="1:9">
      <c r="A17000" s="22" t="str">
        <f>HYPERLINK("https://app.vivvix.com/360/KMI/IntelliDrive/ApplUI/Pages/CreativePages/CustomReportCreativeDetail.aspx?App=23&amp;ReportView=4&amp;Qid=1711279&amp;Row=16992&amp;Col=1","No Title Assigned - #15276693482")</f>
        <v/>
      </c>
      <c r="B17000" s="0" t="s">
        <v>22687</v>
      </c>
      <c r="E17000" s="0" t="inlineStr">
        <is>
          <t xml:space="preserve">Mazda</t>
        </is>
      </c>
      <c r="F17000" s="0" t="inlineStr">
        <is>
          <t xml:space="preserve">Mazda</t>
        </is>
      </c>
      <c r="G17000" s="0" t="s">
        <v>171</v>
      </c>
      <c r="H17000" s="5">
        <v>306.051200</v>
      </c>
    </row>
    <row r="17001" spans="1:9">
      <c r="A17001" s="22" t="str">
        <f>HYPERLINK("https://app.vivvix.com/360/KMI/IntelliDrive/ApplUI/Pages/CreativePages/CustomReportCreativeDetail.aspx?App=23&amp;ReportView=4&amp;Qid=1711279&amp;Row=16993&amp;Col=1","No Title Assigned - #15276693492")</f>
        <v/>
      </c>
      <c r="B17001" s="0" t="s">
        <v>22688</v>
      </c>
      <c r="E17001" s="0" t="inlineStr">
        <is>
          <t xml:space="preserve">Mazda</t>
        </is>
      </c>
      <c r="F17001" s="0" t="inlineStr">
        <is>
          <t xml:space="preserve">Mazda</t>
        </is>
      </c>
      <c r="G17001" s="0" t="s">
        <v>171</v>
      </c>
      <c r="H17001" s="5">
        <v>46.335800</v>
      </c>
    </row>
    <row r="17002" spans="1:9">
      <c r="A17002" s="22" t="str">
        <f>HYPERLINK("https://app.vivvix.com/360/KMI/IntelliDrive/ApplUI/Pages/CreativePages/CustomReportCreativeDetail.aspx?App=23&amp;ReportView=4&amp;Qid=1711279&amp;Row=16994&amp;Col=1","No Title Assigned - #15276693492")</f>
        <v/>
      </c>
      <c r="B17002" s="0" t="s">
        <v>22688</v>
      </c>
      <c r="C17002" s="0" t="s">
        <v>22689</v>
      </c>
      <c r="D17002" s="0" t="s">
        <v>22689</v>
      </c>
      <c r="E17002" s="0" t="inlineStr">
        <is>
          <t xml:space="preserve">Mazda</t>
        </is>
      </c>
      <c r="F17002" s="0" t="inlineStr">
        <is>
          <t xml:space="preserve">Mazda</t>
        </is>
      </c>
      <c r="G17002" s="0" t="s">
        <v>171</v>
      </c>
      <c r="H17002" s="5">
        <v>36.636200</v>
      </c>
    </row>
    <row r="17003" spans="1:9">
      <c r="A17003" s="22" t="str">
        <f>HYPERLINK("https://app.vivvix.com/360/KMI/IntelliDrive/ApplUI/Pages/CreativePages/CustomReportCreativeDetail.aspx?App=23&amp;ReportView=4&amp;Qid=1711279&amp;Row=16995&amp;Col=1","No Title Assigned - #15276693500")</f>
        <v/>
      </c>
      <c r="B17003" s="0" t="s">
        <v>22690</v>
      </c>
      <c r="E17003" s="0" t="inlineStr">
        <is>
          <t xml:space="preserve">Mazda</t>
        </is>
      </c>
      <c r="F17003" s="0" t="inlineStr">
        <is>
          <t xml:space="preserve">Mazda</t>
        </is>
      </c>
      <c r="G17003" s="0" t="s">
        <v>171</v>
      </c>
      <c r="H17003" s="5">
        <v>7947.061800</v>
      </c>
    </row>
    <row r="17004" spans="1:9">
      <c r="A17004" s="22" t="str">
        <f>HYPERLINK("https://app.vivvix.com/360/KMI/IntelliDrive/ApplUI/Pages/CreativePages/CustomReportCreativeDetail.aspx?App=23&amp;ReportView=4&amp;Qid=1711279&amp;Row=16996&amp;Col=1","No Title Assigned - #15276693500")</f>
        <v/>
      </c>
      <c r="B17004" s="0" t="s">
        <v>22690</v>
      </c>
      <c r="E17004" s="0" t="inlineStr">
        <is>
          <t xml:space="preserve">Mazda</t>
        </is>
      </c>
      <c r="F17004" s="0" t="inlineStr">
        <is>
          <t xml:space="preserve">Mazda</t>
        </is>
      </c>
      <c r="G17004" s="0" t="s">
        <v>171</v>
      </c>
      <c r="H17004" s="5">
        <v>209.373100</v>
      </c>
    </row>
    <row r="17005" spans="1:9">
      <c r="A17005" s="22" t="str">
        <f>HYPERLINK("https://app.vivvix.com/360/KMI/IntelliDrive/ApplUI/Pages/CreativePages/CustomReportCreativeDetail.aspx?App=23&amp;ReportView=4&amp;Qid=1711279&amp;Row=16997&amp;Col=1","No Title Assigned - #15276693506")</f>
        <v/>
      </c>
      <c r="B17005" s="0" t="s">
        <v>22691</v>
      </c>
      <c r="E17005" s="0" t="inlineStr">
        <is>
          <t xml:space="preserve">Mazda</t>
        </is>
      </c>
      <c r="F17005" s="0" t="inlineStr">
        <is>
          <t xml:space="preserve">Mazda</t>
        </is>
      </c>
      <c r="G17005" s="0" t="s">
        <v>171</v>
      </c>
      <c r="H17005" s="5">
        <v>15.075500</v>
      </c>
    </row>
    <row r="17006" spans="1:9">
      <c r="A17006" s="22" t="str">
        <f>HYPERLINK("https://app.vivvix.com/360/KMI/IntelliDrive/ApplUI/Pages/CreativePages/CustomReportCreativeDetail.aspx?App=23&amp;ReportView=4&amp;Qid=1711279&amp;Row=16998&amp;Col=1","No Title Assigned - #15276693507")</f>
        <v/>
      </c>
      <c r="B17006" s="0" t="s">
        <v>22692</v>
      </c>
      <c r="E17006" s="0" t="inlineStr">
        <is>
          <t xml:space="preserve">Mazda</t>
        </is>
      </c>
      <c r="F17006" s="0" t="inlineStr">
        <is>
          <t xml:space="preserve">Mazda</t>
        </is>
      </c>
      <c r="G17006" s="0" t="s">
        <v>171</v>
      </c>
      <c r="H17006" s="5">
        <v>333.004400</v>
      </c>
    </row>
    <row r="17007" spans="1:9">
      <c r="A17007" s="22" t="str">
        <f>HYPERLINK("https://app.vivvix.com/360/KMI/IntelliDrive/ApplUI/Pages/CreativePages/CustomReportCreativeDetail.aspx?App=23&amp;ReportView=4&amp;Qid=1711279&amp;Row=16999&amp;Col=1","No Title Assigned - #15276693519")</f>
        <v/>
      </c>
      <c r="B17007" s="0" t="s">
        <v>22693</v>
      </c>
      <c r="E17007" s="0" t="inlineStr">
        <is>
          <t xml:space="preserve">Mazda</t>
        </is>
      </c>
      <c r="F17007" s="0" t="inlineStr">
        <is>
          <t xml:space="preserve">Mazda</t>
        </is>
      </c>
      <c r="G17007" s="0" t="s">
        <v>171</v>
      </c>
      <c r="H17007" s="5">
        <v>868.200500</v>
      </c>
    </row>
    <row r="17008" spans="1:9">
      <c r="A17008" s="22" t="str">
        <f>HYPERLINK("https://app.vivvix.com/360/KMI/IntelliDrive/ApplUI/Pages/CreativePages/CustomReportCreativeDetail.aspx?App=23&amp;ReportView=4&amp;Qid=1711279&amp;Row=17000&amp;Col=1","No Title Assigned - #15276693519")</f>
        <v/>
      </c>
      <c r="B17008" s="0" t="s">
        <v>22693</v>
      </c>
      <c r="E17008" s="0" t="inlineStr">
        <is>
          <t xml:space="preserve">Mazda</t>
        </is>
      </c>
      <c r="F17008" s="0" t="inlineStr">
        <is>
          <t xml:space="preserve">Mazda</t>
        </is>
      </c>
      <c r="G17008" s="0" t="s">
        <v>171</v>
      </c>
      <c r="H17008" s="5">
        <v>429.375600</v>
      </c>
    </row>
    <row r="17009" spans="1:9">
      <c r="A17009" s="22" t="str">
        <f>HYPERLINK("https://app.vivvix.com/360/KMI/IntelliDrive/ApplUI/Pages/CreativePages/CustomReportCreativeDetail.aspx?App=23&amp;ReportView=4&amp;Qid=1711279&amp;Row=17001&amp;Col=1","No Title Assigned - #15276693546")</f>
        <v/>
      </c>
      <c r="B17009" s="0" t="s">
        <v>22694</v>
      </c>
      <c r="E17009" s="0" t="inlineStr">
        <is>
          <t xml:space="preserve">Mazda</t>
        </is>
      </c>
      <c r="F17009" s="0" t="inlineStr">
        <is>
          <t xml:space="preserve">Mazda</t>
        </is>
      </c>
      <c r="G17009" s="0" t="s">
        <v>171</v>
      </c>
      <c r="H17009" s="5">
        <v>2191.126300</v>
      </c>
    </row>
    <row r="17010" spans="1:9">
      <c r="A17010" s="22" t="str">
        <f>HYPERLINK("https://app.vivvix.com/360/KMI/IntelliDrive/ApplUI/Pages/CreativePages/CustomReportCreativeDetail.aspx?App=23&amp;ReportView=4&amp;Qid=1711279&amp;Row=17002&amp;Col=1","No Title Assigned - #15276693553")</f>
        <v/>
      </c>
      <c r="B17010" s="0" t="s">
        <v>22695</v>
      </c>
      <c r="E17010" s="0" t="inlineStr">
        <is>
          <t xml:space="preserve">Mazda</t>
        </is>
      </c>
      <c r="F17010" s="0" t="inlineStr">
        <is>
          <t xml:space="preserve">Mazda</t>
        </is>
      </c>
      <c r="G17010" s="0" t="s">
        <v>171</v>
      </c>
      <c r="H17010" s="5">
        <v>245.481800</v>
      </c>
    </row>
    <row r="17011" spans="1:9">
      <c r="A17011" s="22" t="str">
        <f>HYPERLINK("https://app.vivvix.com/360/KMI/IntelliDrive/ApplUI/Pages/CreativePages/CustomReportCreativeDetail.aspx?App=23&amp;ReportView=4&amp;Qid=1711279&amp;Row=17003&amp;Col=1","No Title Assigned - #15276693586")</f>
        <v/>
      </c>
      <c r="B17011" s="0" t="s">
        <v>22696</v>
      </c>
      <c r="E17011" s="0" t="inlineStr">
        <is>
          <t xml:space="preserve">Mazda</t>
        </is>
      </c>
      <c r="F17011" s="0" t="inlineStr">
        <is>
          <t xml:space="preserve">Mazda</t>
        </is>
      </c>
      <c r="G17011" s="0" t="s">
        <v>171</v>
      </c>
      <c r="H17011" s="5">
        <v>4428.547400</v>
      </c>
    </row>
    <row r="17012" spans="1:9">
      <c r="A17012" s="22" t="str">
        <f>HYPERLINK("https://app.vivvix.com/360/KMI/IntelliDrive/ApplUI/Pages/CreativePages/CustomReportCreativeDetail.aspx?App=23&amp;ReportView=4&amp;Qid=1711279&amp;Row=17004&amp;Col=1","No Title Assigned - #15276693586")</f>
        <v/>
      </c>
      <c r="B17012" s="0" t="s">
        <v>22696</v>
      </c>
      <c r="E17012" s="0" t="inlineStr">
        <is>
          <t xml:space="preserve">Mazda</t>
        </is>
      </c>
      <c r="F17012" s="0" t="inlineStr">
        <is>
          <t xml:space="preserve">Mazda</t>
        </is>
      </c>
      <c r="G17012" s="0" t="s">
        <v>171</v>
      </c>
      <c r="H17012" s="5">
        <v>2743.955500</v>
      </c>
    </row>
    <row r="17013" spans="1:9">
      <c r="A17013" s="22" t="str">
        <f>HYPERLINK("https://app.vivvix.com/360/KMI/IntelliDrive/ApplUI/Pages/CreativePages/CustomReportCreativeDetail.aspx?App=23&amp;ReportView=4&amp;Qid=1711279&amp;Row=17005&amp;Col=1","No Title Assigned - #15276693651")</f>
        <v/>
      </c>
      <c r="B17013" s="0" t="s">
        <v>22697</v>
      </c>
      <c r="E17013" s="0" t="inlineStr">
        <is>
          <t xml:space="preserve">Mazda</t>
        </is>
      </c>
      <c r="F17013" s="0" t="inlineStr">
        <is>
          <t xml:space="preserve">Mazda</t>
        </is>
      </c>
      <c r="G17013" s="0" t="s">
        <v>171</v>
      </c>
      <c r="H17013" s="5">
        <v>1602.401700</v>
      </c>
    </row>
    <row r="17014" spans="1:9">
      <c r="A17014" s="22" t="str">
        <f>HYPERLINK("https://app.vivvix.com/360/KMI/IntelliDrive/ApplUI/Pages/CreativePages/CustomReportCreativeDetail.aspx?App=23&amp;ReportView=4&amp;Qid=1711279&amp;Row=17006&amp;Col=1","No Title Assigned - #15276693672")</f>
        <v/>
      </c>
      <c r="B17014" s="0" t="s">
        <v>22698</v>
      </c>
      <c r="E17014" s="0" t="inlineStr">
        <is>
          <t xml:space="preserve">Mazda</t>
        </is>
      </c>
      <c r="F17014" s="0" t="inlineStr">
        <is>
          <t xml:space="preserve">Mazda</t>
        </is>
      </c>
      <c r="G17014" s="0" t="s">
        <v>171</v>
      </c>
      <c r="H17014" s="5">
        <v>1711.216800</v>
      </c>
    </row>
    <row r="17015" spans="1:9">
      <c r="A17015" s="22" t="str">
        <f>HYPERLINK("https://app.vivvix.com/360/KMI/IntelliDrive/ApplUI/Pages/CreativePages/CustomReportCreativeDetail.aspx?App=23&amp;ReportView=4&amp;Qid=1711279&amp;Row=17007&amp;Col=1","No Title Assigned - #15276693704")</f>
        <v/>
      </c>
      <c r="B17015" s="0" t="s">
        <v>22699</v>
      </c>
      <c r="E17015" s="0" t="inlineStr">
        <is>
          <t xml:space="preserve">Mazda</t>
        </is>
      </c>
      <c r="F17015" s="0" t="inlineStr">
        <is>
          <t xml:space="preserve">Mazda</t>
        </is>
      </c>
      <c r="G17015" s="0" t="s">
        <v>171</v>
      </c>
      <c r="H17015" s="5">
        <v>16496.245800</v>
      </c>
    </row>
    <row r="17016" spans="1:9">
      <c r="A17016" s="22" t="str">
        <f>HYPERLINK("https://app.vivvix.com/360/KMI/IntelliDrive/ApplUI/Pages/CreativePages/CustomReportCreativeDetail.aspx?App=23&amp;ReportView=4&amp;Qid=1711279&amp;Row=17008&amp;Col=1","No Title Assigned - #15276693704")</f>
        <v/>
      </c>
      <c r="B17016" s="0" t="s">
        <v>22699</v>
      </c>
      <c r="E17016" s="0" t="inlineStr">
        <is>
          <t xml:space="preserve">Mazda</t>
        </is>
      </c>
      <c r="F17016" s="0" t="inlineStr">
        <is>
          <t xml:space="preserve">Mazda</t>
        </is>
      </c>
      <c r="G17016" s="0" t="s">
        <v>171</v>
      </c>
      <c r="H17016" s="5">
        <v>10.805100</v>
      </c>
    </row>
    <row r="17017" spans="1:9">
      <c r="A17017" s="22" t="str">
        <f>HYPERLINK("https://app.vivvix.com/360/KMI/IntelliDrive/ApplUI/Pages/CreativePages/CustomReportCreativeDetail.aspx?App=23&amp;ReportView=4&amp;Qid=1711279&amp;Row=17009&amp;Col=1","No Title Assigned - #15276693705")</f>
        <v/>
      </c>
      <c r="B17017" s="0" t="s">
        <v>22700</v>
      </c>
      <c r="E17017" s="0" t="inlineStr">
        <is>
          <t xml:space="preserve">Mazda</t>
        </is>
      </c>
      <c r="F17017" s="0" t="inlineStr">
        <is>
          <t xml:space="preserve">Mazda</t>
        </is>
      </c>
      <c r="G17017" s="0" t="s">
        <v>171</v>
      </c>
      <c r="H17017" s="5">
        <v>382.007300</v>
      </c>
    </row>
    <row r="17018" spans="1:9">
      <c r="A17018" s="22" t="str">
        <f>HYPERLINK("https://app.vivvix.com/360/KMI/IntelliDrive/ApplUI/Pages/CreativePages/CustomReportCreativeDetail.aspx?App=23&amp;ReportView=4&amp;Qid=1711279&amp;Row=17010&amp;Col=1","No Title Assigned - #15276693738")</f>
        <v/>
      </c>
      <c r="B17018" s="0" t="s">
        <v>22701</v>
      </c>
      <c r="E17018" s="0" t="inlineStr">
        <is>
          <t xml:space="preserve">Mazda</t>
        </is>
      </c>
      <c r="F17018" s="0" t="inlineStr">
        <is>
          <t xml:space="preserve">Mazda</t>
        </is>
      </c>
      <c r="G17018" s="0" t="s">
        <v>171</v>
      </c>
      <c r="H17018" s="5">
        <v>189.847800</v>
      </c>
    </row>
    <row r="17019" spans="1:9">
      <c r="A17019" s="22" t="str">
        <f>HYPERLINK("https://app.vivvix.com/360/KMI/IntelliDrive/ApplUI/Pages/CreativePages/CustomReportCreativeDetail.aspx?App=23&amp;ReportView=4&amp;Qid=1711279&amp;Row=17011&amp;Col=1","No Title Assigned - #15276693763")</f>
        <v/>
      </c>
      <c r="B17019" s="0" t="s">
        <v>22702</v>
      </c>
      <c r="E17019" s="0" t="inlineStr">
        <is>
          <t xml:space="preserve">Mazda</t>
        </is>
      </c>
      <c r="F17019" s="0" t="inlineStr">
        <is>
          <t xml:space="preserve">Mazda</t>
        </is>
      </c>
      <c r="G17019" s="0" t="s">
        <v>171</v>
      </c>
      <c r="H17019" s="5">
        <v>3.283400</v>
      </c>
    </row>
    <row r="17020" spans="1:9">
      <c r="A17020" s="22" t="str">
        <f>HYPERLINK("https://app.vivvix.com/360/KMI/IntelliDrive/ApplUI/Pages/CreativePages/CustomReportCreativeDetail.aspx?App=23&amp;ReportView=4&amp;Qid=1711279&amp;Row=17012&amp;Col=1","No Title Assigned - #15276693777")</f>
        <v/>
      </c>
      <c r="B17020" s="0" t="s">
        <v>22703</v>
      </c>
      <c r="E17020" s="0" t="inlineStr">
        <is>
          <t xml:space="preserve">Mazda</t>
        </is>
      </c>
      <c r="F17020" s="0" t="inlineStr">
        <is>
          <t xml:space="preserve">Mazda</t>
        </is>
      </c>
      <c r="G17020" s="0" t="s">
        <v>171</v>
      </c>
      <c r="H17020" s="5">
        <v>738.621300</v>
      </c>
    </row>
    <row r="17021" spans="1:9">
      <c r="A17021" s="22" t="str">
        <f>HYPERLINK("https://app.vivvix.com/360/KMI/IntelliDrive/ApplUI/Pages/CreativePages/CustomReportCreativeDetail.aspx?App=23&amp;ReportView=4&amp;Qid=1711279&amp;Row=17013&amp;Col=1","No Title Assigned - #15276693787")</f>
        <v/>
      </c>
      <c r="B17021" s="0" t="s">
        <v>22704</v>
      </c>
      <c r="E17021" s="0" t="inlineStr">
        <is>
          <t xml:space="preserve">Mazda</t>
        </is>
      </c>
      <c r="F17021" s="0" t="inlineStr">
        <is>
          <t xml:space="preserve">Mazda</t>
        </is>
      </c>
      <c r="G17021" s="0" t="s">
        <v>171</v>
      </c>
      <c r="H17021" s="5">
        <v>1271.693600</v>
      </c>
    </row>
    <row r="17022" spans="1:9">
      <c r="A17022" s="22" t="str">
        <f>HYPERLINK("https://app.vivvix.com/360/KMI/IntelliDrive/ApplUI/Pages/CreativePages/CustomReportCreativeDetail.aspx?App=23&amp;ReportView=4&amp;Qid=1711279&amp;Row=17014&amp;Col=1","No Title Assigned - #15276693788")</f>
        <v/>
      </c>
      <c r="B17022" s="0" t="s">
        <v>22705</v>
      </c>
      <c r="E17022" s="0" t="inlineStr">
        <is>
          <t xml:space="preserve">Mazda</t>
        </is>
      </c>
      <c r="F17022" s="0" t="inlineStr">
        <is>
          <t xml:space="preserve">Mazda</t>
        </is>
      </c>
      <c r="G17022" s="0" t="s">
        <v>171</v>
      </c>
      <c r="H17022" s="5">
        <v>7081.860500</v>
      </c>
    </row>
    <row r="17023" spans="1:9">
      <c r="A17023" s="22" t="str">
        <f>HYPERLINK("https://app.vivvix.com/360/KMI/IntelliDrive/ApplUI/Pages/CreativePages/CustomReportCreativeDetail.aspx?App=23&amp;ReportView=4&amp;Qid=1711279&amp;Row=17015&amp;Col=1","No Title Assigned - #15276693789")</f>
        <v/>
      </c>
      <c r="B17023" s="0" t="s">
        <v>22706</v>
      </c>
      <c r="E17023" s="0" t="inlineStr">
        <is>
          <t xml:space="preserve">Mazda</t>
        </is>
      </c>
      <c r="F17023" s="0" t="inlineStr">
        <is>
          <t xml:space="preserve">Mazda</t>
        </is>
      </c>
      <c r="G17023" s="0" t="s">
        <v>171</v>
      </c>
      <c r="H17023" s="5">
        <v>321.546800</v>
      </c>
    </row>
    <row r="17024" spans="1:9">
      <c r="A17024" s="22" t="str">
        <f>HYPERLINK("https://app.vivvix.com/360/KMI/IntelliDrive/ApplUI/Pages/CreativePages/CustomReportCreativeDetail.aspx?App=23&amp;ReportView=4&amp;Qid=1711279&amp;Row=17016&amp;Col=1","No Title Assigned - #15276693790")</f>
        <v/>
      </c>
      <c r="B17024" s="0" t="s">
        <v>22707</v>
      </c>
      <c r="E17024" s="0" t="inlineStr">
        <is>
          <t xml:space="preserve">Mazda</t>
        </is>
      </c>
      <c r="F17024" s="0" t="inlineStr">
        <is>
          <t xml:space="preserve">Mazda</t>
        </is>
      </c>
      <c r="G17024" s="0" t="s">
        <v>171</v>
      </c>
      <c r="H17024" s="5">
        <v>1650.583500</v>
      </c>
    </row>
    <row r="17025" spans="1:9">
      <c r="A17025" s="22" t="str">
        <f>HYPERLINK("https://app.vivvix.com/360/KMI/IntelliDrive/ApplUI/Pages/CreativePages/CustomReportCreativeDetail.aspx?App=23&amp;ReportView=4&amp;Qid=1711279&amp;Row=17017&amp;Col=1","No Title Assigned - #15276693813")</f>
        <v/>
      </c>
      <c r="B17025" s="0" t="s">
        <v>22708</v>
      </c>
      <c r="E17025" s="0" t="inlineStr">
        <is>
          <t xml:space="preserve">Mazda</t>
        </is>
      </c>
      <c r="F17025" s="0" t="inlineStr">
        <is>
          <t xml:space="preserve">Mazda</t>
        </is>
      </c>
      <c r="G17025" s="0" t="s">
        <v>171</v>
      </c>
      <c r="H17025" s="5">
        <v>233.794200</v>
      </c>
    </row>
    <row r="17026" spans="1:9">
      <c r="A17026" s="22" t="str">
        <f>HYPERLINK("https://app.vivvix.com/360/KMI/IntelliDrive/ApplUI/Pages/CreativePages/CustomReportCreativeDetail.aspx?App=23&amp;ReportView=4&amp;Qid=1711279&amp;Row=17018&amp;Col=1","No Title Assigned - #15276693814")</f>
        <v/>
      </c>
      <c r="B17026" s="0" t="s">
        <v>22709</v>
      </c>
      <c r="E17026" s="0" t="inlineStr">
        <is>
          <t xml:space="preserve">Mazda</t>
        </is>
      </c>
      <c r="F17026" s="0" t="inlineStr">
        <is>
          <t xml:space="preserve">Mazda</t>
        </is>
      </c>
      <c r="G17026" s="0" t="s">
        <v>171</v>
      </c>
      <c r="H17026" s="5">
        <v>12108.303300</v>
      </c>
    </row>
    <row r="17027" spans="1:9">
      <c r="A17027" s="22" t="str">
        <f>HYPERLINK("https://app.vivvix.com/360/KMI/IntelliDrive/ApplUI/Pages/CreativePages/CustomReportCreativeDetail.aspx?App=23&amp;ReportView=4&amp;Qid=1711279&amp;Row=17019&amp;Col=1","No Title Assigned - #15276693860")</f>
        <v/>
      </c>
      <c r="B17027" s="0" t="s">
        <v>22710</v>
      </c>
      <c r="E17027" s="0" t="inlineStr">
        <is>
          <t xml:space="preserve">Mazda</t>
        </is>
      </c>
      <c r="F17027" s="0" t="inlineStr">
        <is>
          <t xml:space="preserve">Mazda</t>
        </is>
      </c>
      <c r="G17027" s="0" t="s">
        <v>171</v>
      </c>
      <c r="H17027" s="5">
        <v>5258.226700</v>
      </c>
    </row>
    <row r="17028" spans="1:9">
      <c r="A17028" s="22" t="str">
        <f>HYPERLINK("https://app.vivvix.com/360/KMI/IntelliDrive/ApplUI/Pages/CreativePages/CustomReportCreativeDetail.aspx?App=23&amp;ReportView=4&amp;Qid=1711279&amp;Row=17020&amp;Col=1","No Title Assigned - #15276693860")</f>
        <v/>
      </c>
      <c r="B17028" s="0" t="s">
        <v>22710</v>
      </c>
      <c r="E17028" s="0" t="inlineStr">
        <is>
          <t xml:space="preserve">Mazda</t>
        </is>
      </c>
      <c r="F17028" s="0" t="inlineStr">
        <is>
          <t xml:space="preserve">Mazda</t>
        </is>
      </c>
      <c r="G17028" s="0" t="s">
        <v>171</v>
      </c>
      <c r="H17028" s="5">
        <v>103.611300</v>
      </c>
    </row>
    <row r="17029" spans="1:9">
      <c r="A17029" s="22" t="str">
        <f>HYPERLINK("https://app.vivvix.com/360/KMI/IntelliDrive/ApplUI/Pages/CreativePages/CustomReportCreativeDetail.aspx?App=23&amp;ReportView=4&amp;Qid=1711279&amp;Row=17021&amp;Col=1","No Title Assigned - #15276693862")</f>
        <v/>
      </c>
      <c r="B17029" s="0" t="s">
        <v>22711</v>
      </c>
      <c r="E17029" s="0" t="inlineStr">
        <is>
          <t xml:space="preserve">Mazda</t>
        </is>
      </c>
      <c r="F17029" s="0" t="inlineStr">
        <is>
          <t xml:space="preserve">Mazda</t>
        </is>
      </c>
      <c r="G17029" s="0" t="s">
        <v>171</v>
      </c>
      <c r="H17029" s="5">
        <v>6513.926700</v>
      </c>
    </row>
    <row r="17030" spans="1:9">
      <c r="A17030" s="22" t="str">
        <f>HYPERLINK("https://app.vivvix.com/360/KMI/IntelliDrive/ApplUI/Pages/CreativePages/CustomReportCreativeDetail.aspx?App=23&amp;ReportView=4&amp;Qid=1711279&amp;Row=17022&amp;Col=1","No Title Assigned - #15276693862")</f>
        <v/>
      </c>
      <c r="B17030" s="0" t="s">
        <v>22711</v>
      </c>
      <c r="E17030" s="0" t="inlineStr">
        <is>
          <t xml:space="preserve">Mazda</t>
        </is>
      </c>
      <c r="F17030" s="0" t="inlineStr">
        <is>
          <t xml:space="preserve">Mazda</t>
        </is>
      </c>
      <c r="G17030" s="0" t="s">
        <v>171</v>
      </c>
      <c r="H17030" s="5">
        <v>86.858300</v>
      </c>
    </row>
    <row r="17031" spans="1:9">
      <c r="A17031" s="22" t="str">
        <f>HYPERLINK("https://app.vivvix.com/360/KMI/IntelliDrive/ApplUI/Pages/CreativePages/CustomReportCreativeDetail.aspx?App=23&amp;ReportView=4&amp;Qid=1711279&amp;Row=17023&amp;Col=1","No Title Assigned - #15276693914")</f>
        <v/>
      </c>
      <c r="B17031" s="0" t="s">
        <v>22712</v>
      </c>
      <c r="E17031" s="0" t="inlineStr">
        <is>
          <t xml:space="preserve">Mazda</t>
        </is>
      </c>
      <c r="F17031" s="0" t="inlineStr">
        <is>
          <t xml:space="preserve">Mazda</t>
        </is>
      </c>
      <c r="G17031" s="0" t="s">
        <v>171</v>
      </c>
      <c r="H17031" s="5">
        <v>1125.000400</v>
      </c>
    </row>
    <row r="17032" spans="1:9">
      <c r="A17032" s="22" t="str">
        <f>HYPERLINK("https://app.vivvix.com/360/KMI/IntelliDrive/ApplUI/Pages/CreativePages/CustomReportCreativeDetail.aspx?App=23&amp;ReportView=4&amp;Qid=1711279&amp;Row=17024&amp;Col=1","No Title Assigned - #15276693919")</f>
        <v/>
      </c>
      <c r="B17032" s="0" t="s">
        <v>22713</v>
      </c>
      <c r="E17032" s="0" t="inlineStr">
        <is>
          <t xml:space="preserve">Mazda</t>
        </is>
      </c>
      <c r="F17032" s="0" t="inlineStr">
        <is>
          <t xml:space="preserve">Mazda</t>
        </is>
      </c>
      <c r="G17032" s="0" t="s">
        <v>171</v>
      </c>
      <c r="H17032" s="5">
        <v>2507.435700</v>
      </c>
    </row>
    <row r="17033" spans="1:9">
      <c r="A17033" s="22" t="str">
        <f>HYPERLINK("https://app.vivvix.com/360/KMI/IntelliDrive/ApplUI/Pages/CreativePages/CustomReportCreativeDetail.aspx?App=23&amp;ReportView=4&amp;Qid=1711279&amp;Row=17025&amp;Col=1","No Title Assigned - #15276693919")</f>
        <v/>
      </c>
      <c r="B17033" s="0" t="s">
        <v>22713</v>
      </c>
      <c r="E17033" s="0" t="inlineStr">
        <is>
          <t xml:space="preserve">Mazda</t>
        </is>
      </c>
      <c r="F17033" s="0" t="inlineStr">
        <is>
          <t xml:space="preserve">Mazda</t>
        </is>
      </c>
      <c r="G17033" s="0" t="s">
        <v>171</v>
      </c>
      <c r="H17033" s="5">
        <v>106.275000</v>
      </c>
    </row>
    <row r="17034" spans="1:9">
      <c r="A17034" s="22" t="str">
        <f>HYPERLINK("https://app.vivvix.com/360/KMI/IntelliDrive/ApplUI/Pages/CreativePages/CustomReportCreativeDetail.aspx?App=23&amp;ReportView=4&amp;Qid=1711279&amp;Row=17026&amp;Col=1","No Title Assigned - #15276693925")</f>
        <v/>
      </c>
      <c r="B17034" s="0" t="s">
        <v>22714</v>
      </c>
      <c r="E17034" s="0" t="inlineStr">
        <is>
          <t xml:space="preserve">Mazda</t>
        </is>
      </c>
      <c r="F17034" s="0" t="inlineStr">
        <is>
          <t xml:space="preserve">Mazda</t>
        </is>
      </c>
      <c r="G17034" s="0" t="s">
        <v>171</v>
      </c>
      <c r="H17034" s="5">
        <v>43909.734300</v>
      </c>
    </row>
    <row r="17035" spans="1:9">
      <c r="A17035" s="22" t="str">
        <f>HYPERLINK("https://app.vivvix.com/360/KMI/IntelliDrive/ApplUI/Pages/CreativePages/CustomReportCreativeDetail.aspx?App=23&amp;ReportView=4&amp;Qid=1711279&amp;Row=17027&amp;Col=1","No Title Assigned - #15276693925")</f>
        <v/>
      </c>
      <c r="B17035" s="0" t="s">
        <v>22714</v>
      </c>
      <c r="E17035" s="0" t="inlineStr">
        <is>
          <t xml:space="preserve">Mazda</t>
        </is>
      </c>
      <c r="F17035" s="0" t="inlineStr">
        <is>
          <t xml:space="preserve">Mazda</t>
        </is>
      </c>
      <c r="G17035" s="0" t="s">
        <v>171</v>
      </c>
      <c r="H17035" s="5">
        <v>2295.791800</v>
      </c>
    </row>
    <row r="17036" spans="1:9">
      <c r="A17036" s="22" t="str">
        <f>HYPERLINK("https://app.vivvix.com/360/KMI/IntelliDrive/ApplUI/Pages/CreativePages/CustomReportCreativeDetail.aspx?App=23&amp;ReportView=4&amp;Qid=1711279&amp;Row=17028&amp;Col=1","No Title Assigned - #15276693960")</f>
        <v/>
      </c>
      <c r="B17036" s="0" t="s">
        <v>22715</v>
      </c>
      <c r="E17036" s="0" t="inlineStr">
        <is>
          <t xml:space="preserve">Mazda</t>
        </is>
      </c>
      <c r="F17036" s="0" t="inlineStr">
        <is>
          <t xml:space="preserve">Mazda</t>
        </is>
      </c>
      <c r="G17036" s="0" t="s">
        <v>171</v>
      </c>
      <c r="H17036" s="5">
        <v>299.282700</v>
      </c>
    </row>
    <row r="17037" spans="1:9">
      <c r="A17037" s="22" t="str">
        <f>HYPERLINK("https://app.vivvix.com/360/KMI/IntelliDrive/ApplUI/Pages/CreativePages/CustomReportCreativeDetail.aspx?App=23&amp;ReportView=4&amp;Qid=1711279&amp;Row=17029&amp;Col=1","No Title Assigned - #15276693970")</f>
        <v/>
      </c>
      <c r="B17037" s="0" t="s">
        <v>22716</v>
      </c>
      <c r="E17037" s="0" t="inlineStr">
        <is>
          <t xml:space="preserve">Mazda</t>
        </is>
      </c>
      <c r="F17037" s="0" t="inlineStr">
        <is>
          <t xml:space="preserve">Mazda</t>
        </is>
      </c>
      <c r="G17037" s="0" t="s">
        <v>171</v>
      </c>
      <c r="H17037" s="5">
        <v>193.820300</v>
      </c>
    </row>
    <row r="17038" spans="1:9">
      <c r="A17038" s="22" t="str">
        <f>HYPERLINK("https://app.vivvix.com/360/KMI/IntelliDrive/ApplUI/Pages/CreativePages/CustomReportCreativeDetail.aspx?App=23&amp;ReportView=4&amp;Qid=1711279&amp;Row=17030&amp;Col=1","No Title Assigned - #15276693980")</f>
        <v/>
      </c>
      <c r="B17038" s="0" t="s">
        <v>22717</v>
      </c>
      <c r="E17038" s="0" t="inlineStr">
        <is>
          <t xml:space="preserve">Mazda</t>
        </is>
      </c>
      <c r="F17038" s="0" t="inlineStr">
        <is>
          <t xml:space="preserve">Mazda</t>
        </is>
      </c>
      <c r="G17038" s="0" t="s">
        <v>171</v>
      </c>
      <c r="H17038" s="5">
        <v>524.094200</v>
      </c>
    </row>
    <row r="17039" spans="1:9">
      <c r="A17039" s="22" t="str">
        <f>HYPERLINK("https://app.vivvix.com/360/KMI/IntelliDrive/ApplUI/Pages/CreativePages/CustomReportCreativeDetail.aspx?App=23&amp;ReportView=4&amp;Qid=1711279&amp;Row=17031&amp;Col=1","No Title Assigned - #15276693981")</f>
        <v/>
      </c>
      <c r="B17039" s="0" t="s">
        <v>22718</v>
      </c>
      <c r="E17039" s="0" t="inlineStr">
        <is>
          <t xml:space="preserve">Mazda</t>
        </is>
      </c>
      <c r="F17039" s="0" t="inlineStr">
        <is>
          <t xml:space="preserve">Mazda</t>
        </is>
      </c>
      <c r="G17039" s="0" t="s">
        <v>171</v>
      </c>
      <c r="H17039" s="5">
        <v>241.200300</v>
      </c>
    </row>
    <row r="17040" spans="1:9">
      <c r="A17040" s="22" t="str">
        <f>HYPERLINK("https://app.vivvix.com/360/KMI/IntelliDrive/ApplUI/Pages/CreativePages/CustomReportCreativeDetail.aspx?App=23&amp;ReportView=4&amp;Qid=1711279&amp;Row=17032&amp;Col=1","No Title Assigned - #15276694003")</f>
        <v/>
      </c>
      <c r="B17040" s="0" t="s">
        <v>22719</v>
      </c>
      <c r="C17040" s="0" t="s">
        <v>22720</v>
      </c>
      <c r="D17040" s="0" t="s">
        <v>6183</v>
      </c>
      <c r="E17040" s="0" t="inlineStr">
        <is>
          <t xml:space="preserve">Mazda</t>
        </is>
      </c>
      <c r="F17040" s="0" t="s">
        <v>13</v>
      </c>
      <c r="G17040" s="0" t="s">
        <v>49</v>
      </c>
      <c r="H17040" s="5">
        <v>31594.939200</v>
      </c>
    </row>
    <row r="17041" spans="1:9">
      <c r="A17041" s="22" t="str">
        <f>HYPERLINK("https://app.vivvix.com/360/KMI/IntelliDrive/ApplUI/Pages/CreativePages/CustomReportCreativeDetail.aspx?App=23&amp;ReportView=4&amp;Qid=1711279&amp;Row=17033&amp;Col=1","No Title Assigned - #15276694003")</f>
        <v/>
      </c>
      <c r="B17041" s="0" t="s">
        <v>22719</v>
      </c>
      <c r="E17041" s="0" t="inlineStr">
        <is>
          <t xml:space="preserve">Mazda</t>
        </is>
      </c>
      <c r="F17041" s="0" t="s">
        <v>13</v>
      </c>
      <c r="G17041" s="0" t="s">
        <v>49</v>
      </c>
      <c r="H17041" s="5">
        <v>59803.530500</v>
      </c>
    </row>
    <row r="17042" spans="1:9">
      <c r="A17042" s="22" t="str">
        <f>HYPERLINK("https://app.vivvix.com/360/KMI/IntelliDrive/ApplUI/Pages/CreativePages/CustomReportCreativeDetail.aspx?App=23&amp;ReportView=4&amp;Qid=1711279&amp;Row=17034&amp;Col=1","No Title Assigned - #15276694009")</f>
        <v/>
      </c>
      <c r="B17042" s="0" t="s">
        <v>22721</v>
      </c>
      <c r="E17042" s="0" t="inlineStr">
        <is>
          <t xml:space="preserve">Mazda</t>
        </is>
      </c>
      <c r="F17042" s="0" t="inlineStr">
        <is>
          <t xml:space="preserve">Mazda</t>
        </is>
      </c>
      <c r="G17042" s="0" t="s">
        <v>171</v>
      </c>
      <c r="H17042" s="5">
        <v>4.018500</v>
      </c>
    </row>
    <row r="17043" spans="1:9">
      <c r="A17043" s="22" t="str">
        <f>HYPERLINK("https://app.vivvix.com/360/KMI/IntelliDrive/ApplUI/Pages/CreativePages/CustomReportCreativeDetail.aspx?App=23&amp;ReportView=4&amp;Qid=1711279&amp;Row=17035&amp;Col=1","No Title Assigned - #15276694010")</f>
        <v/>
      </c>
      <c r="B17043" s="0" t="s">
        <v>22722</v>
      </c>
      <c r="C17043" s="0" t="s">
        <v>22723</v>
      </c>
      <c r="D17043" s="0" t="s">
        <v>22723</v>
      </c>
      <c r="E17043" s="0" t="inlineStr">
        <is>
          <t xml:space="preserve">Mazda</t>
        </is>
      </c>
      <c r="F17043" s="0" t="inlineStr">
        <is>
          <t xml:space="preserve">Mazda</t>
        </is>
      </c>
      <c r="G17043" s="0" t="s">
        <v>171</v>
      </c>
      <c r="H17043" s="5">
        <v>148.036800</v>
      </c>
    </row>
    <row r="17044" spans="1:9">
      <c r="A17044" s="22" t="str">
        <f>HYPERLINK("https://app.vivvix.com/360/KMI/IntelliDrive/ApplUI/Pages/CreativePages/CustomReportCreativeDetail.aspx?App=23&amp;ReportView=4&amp;Qid=1711279&amp;Row=17036&amp;Col=1","No Title Assigned - #15276694019")</f>
        <v/>
      </c>
      <c r="B17044" s="0" t="s">
        <v>22724</v>
      </c>
      <c r="E17044" s="0" t="inlineStr">
        <is>
          <t xml:space="preserve">Mazda</t>
        </is>
      </c>
      <c r="F17044" s="0" t="inlineStr">
        <is>
          <t xml:space="preserve">Mazda</t>
        </is>
      </c>
      <c r="G17044" s="0" t="s">
        <v>171</v>
      </c>
      <c r="H17044" s="5">
        <v>8.037000</v>
      </c>
    </row>
    <row r="17045" spans="1:9">
      <c r="A17045" s="22" t="str">
        <f>HYPERLINK("https://app.vivvix.com/360/KMI/IntelliDrive/ApplUI/Pages/CreativePages/CustomReportCreativeDetail.aspx?App=23&amp;ReportView=4&amp;Qid=1711279&amp;Row=17037&amp;Col=1","No Title Assigned - #15276694031")</f>
        <v/>
      </c>
      <c r="B17045" s="0" t="s">
        <v>22725</v>
      </c>
      <c r="C17045" s="0" t="s">
        <v>22726</v>
      </c>
      <c r="D17045" s="0" t="s">
        <v>22726</v>
      </c>
      <c r="E17045" s="0" t="inlineStr">
        <is>
          <t xml:space="preserve">Mazda</t>
        </is>
      </c>
      <c r="F17045" s="0" t="inlineStr">
        <is>
          <t xml:space="preserve">Mazda</t>
        </is>
      </c>
      <c r="G17045" s="0" t="s">
        <v>171</v>
      </c>
      <c r="H17045" s="5">
        <v>67.868000</v>
      </c>
    </row>
    <row r="17046" spans="1:9">
      <c r="A17046" s="22" t="str">
        <f>HYPERLINK("https://app.vivvix.com/360/KMI/IntelliDrive/ApplUI/Pages/CreativePages/CustomReportCreativeDetail.aspx?App=23&amp;ReportView=4&amp;Qid=1711279&amp;Row=17038&amp;Col=1","No Title Assigned - #15276694080")</f>
        <v/>
      </c>
      <c r="B17046" s="0" t="s">
        <v>22727</v>
      </c>
      <c r="E17046" s="0" t="inlineStr">
        <is>
          <t xml:space="preserve">Mazda</t>
        </is>
      </c>
      <c r="F17046" s="0" t="inlineStr">
        <is>
          <t xml:space="preserve">Mazda</t>
        </is>
      </c>
      <c r="G17046" s="0" t="s">
        <v>171</v>
      </c>
      <c r="H17046" s="5">
        <v>847.986600</v>
      </c>
    </row>
    <row r="17047" spans="1:9">
      <c r="A17047" s="22" t="str">
        <f>HYPERLINK("https://app.vivvix.com/360/KMI/IntelliDrive/ApplUI/Pages/CreativePages/CustomReportCreativeDetail.aspx?App=23&amp;ReportView=4&amp;Qid=1711279&amp;Row=17039&amp;Col=1","No Title Assigned - #15276694080")</f>
        <v/>
      </c>
      <c r="B17047" s="0" t="s">
        <v>22727</v>
      </c>
      <c r="E17047" s="0" t="inlineStr">
        <is>
          <t xml:space="preserve">Mazda</t>
        </is>
      </c>
      <c r="F17047" s="0" t="inlineStr">
        <is>
          <t xml:space="preserve">Mazda</t>
        </is>
      </c>
      <c r="G17047" s="0" t="s">
        <v>171</v>
      </c>
      <c r="H17047" s="5">
        <v>2625.135000</v>
      </c>
    </row>
    <row r="17048" spans="1:9">
      <c r="A17048" s="22" t="str">
        <f>HYPERLINK("https://app.vivvix.com/360/KMI/IntelliDrive/ApplUI/Pages/CreativePages/CustomReportCreativeDetail.aspx?App=23&amp;ReportView=4&amp;Qid=1711279&amp;Row=17040&amp;Col=1","No Title Assigned - #15276694161")</f>
        <v/>
      </c>
      <c r="B17048" s="0" t="s">
        <v>22728</v>
      </c>
      <c r="E17048" s="0" t="inlineStr">
        <is>
          <t xml:space="preserve">Mazda</t>
        </is>
      </c>
      <c r="F17048" s="0" t="inlineStr">
        <is>
          <t xml:space="preserve">Mazda</t>
        </is>
      </c>
      <c r="G17048" s="0" t="s">
        <v>171</v>
      </c>
      <c r="H17048" s="5">
        <v>25670.655700</v>
      </c>
    </row>
    <row r="17049" spans="1:9">
      <c r="A17049" s="22" t="str">
        <f>HYPERLINK("https://app.vivvix.com/360/KMI/IntelliDrive/ApplUI/Pages/CreativePages/CustomReportCreativeDetail.aspx?App=23&amp;ReportView=4&amp;Qid=1711279&amp;Row=17041&amp;Col=1","No Title Assigned - #15276694161")</f>
        <v/>
      </c>
      <c r="B17049" s="0" t="s">
        <v>22728</v>
      </c>
      <c r="E17049" s="0" t="inlineStr">
        <is>
          <t xml:space="preserve">Mazda</t>
        </is>
      </c>
      <c r="F17049" s="0" t="inlineStr">
        <is>
          <t xml:space="preserve">Mazda</t>
        </is>
      </c>
      <c r="G17049" s="0" t="s">
        <v>171</v>
      </c>
      <c r="H17049" s="5">
        <v>152594.034200</v>
      </c>
    </row>
    <row r="17050" spans="1:9">
      <c r="A17050" s="22" t="str">
        <f>HYPERLINK("https://app.vivvix.com/360/KMI/IntelliDrive/ApplUI/Pages/CreativePages/CustomReportCreativeDetail.aspx?App=23&amp;ReportView=4&amp;Qid=1711279&amp;Row=17042&amp;Col=1","No Title Assigned - #15276694207")</f>
        <v/>
      </c>
      <c r="B17050" s="0" t="s">
        <v>22729</v>
      </c>
      <c r="E17050" s="0" t="inlineStr">
        <is>
          <t xml:space="preserve">Mazda</t>
        </is>
      </c>
      <c r="F17050" s="0" t="inlineStr">
        <is>
          <t xml:space="preserve">Mazda</t>
        </is>
      </c>
      <c r="G17050" s="0" t="s">
        <v>171</v>
      </c>
      <c r="H17050" s="5">
        <v>173.124800</v>
      </c>
    </row>
    <row r="17051" spans="1:9">
      <c r="A17051" s="22" t="str">
        <f>HYPERLINK("https://app.vivvix.com/360/KMI/IntelliDrive/ApplUI/Pages/CreativePages/CustomReportCreativeDetail.aspx?App=23&amp;ReportView=4&amp;Qid=1711279&amp;Row=17043&amp;Col=1","No Title Assigned - #15276694228")</f>
        <v/>
      </c>
      <c r="B17051" s="0" t="s">
        <v>22730</v>
      </c>
      <c r="E17051" s="0" t="inlineStr">
        <is>
          <t xml:space="preserve">Mazda</t>
        </is>
      </c>
      <c r="F17051" s="0" t="inlineStr">
        <is>
          <t xml:space="preserve">Mazda</t>
        </is>
      </c>
      <c r="G17051" s="0" t="s">
        <v>171</v>
      </c>
      <c r="H17051" s="5">
        <v>5243.832300</v>
      </c>
    </row>
    <row r="17052" spans="1:9">
      <c r="A17052" s="22" t="str">
        <f>HYPERLINK("https://app.vivvix.com/360/KMI/IntelliDrive/ApplUI/Pages/CreativePages/CustomReportCreativeDetail.aspx?App=23&amp;ReportView=4&amp;Qid=1711279&amp;Row=17044&amp;Col=1","No Title Assigned - #15276694228")</f>
        <v/>
      </c>
      <c r="B17052" s="0" t="s">
        <v>22730</v>
      </c>
      <c r="E17052" s="0" t="inlineStr">
        <is>
          <t xml:space="preserve">Mazda</t>
        </is>
      </c>
      <c r="F17052" s="0" t="inlineStr">
        <is>
          <t xml:space="preserve">Mazda</t>
        </is>
      </c>
      <c r="G17052" s="0" t="s">
        <v>171</v>
      </c>
      <c r="H17052" s="5">
        <v>1759.096200</v>
      </c>
    </row>
    <row r="17053" spans="1:9">
      <c r="A17053" s="22" t="str">
        <f>HYPERLINK("https://app.vivvix.com/360/KMI/IntelliDrive/ApplUI/Pages/CreativePages/CustomReportCreativeDetail.aspx?App=23&amp;ReportView=4&amp;Qid=1711279&amp;Row=17045&amp;Col=1","No Title Assigned - #15276694284")</f>
        <v/>
      </c>
      <c r="B17053" s="0" t="s">
        <v>22731</v>
      </c>
      <c r="E17053" s="0" t="inlineStr">
        <is>
          <t xml:space="preserve">Mazda</t>
        </is>
      </c>
      <c r="F17053" s="0" t="inlineStr">
        <is>
          <t xml:space="preserve">Mazda</t>
        </is>
      </c>
      <c r="G17053" s="0" t="s">
        <v>171</v>
      </c>
      <c r="H17053" s="5">
        <v>138.274000</v>
      </c>
    </row>
    <row r="17054" spans="1:9">
      <c r="A17054" s="22" t="str">
        <f>HYPERLINK("https://app.vivvix.com/360/KMI/IntelliDrive/ApplUI/Pages/CreativePages/CustomReportCreativeDetail.aspx?App=23&amp;ReportView=4&amp;Qid=1711279&amp;Row=17046&amp;Col=1","No Title Assigned - #15276694362")</f>
        <v/>
      </c>
      <c r="B17054" s="0" t="s">
        <v>22732</v>
      </c>
      <c r="E17054" s="0" t="inlineStr">
        <is>
          <t xml:space="preserve">Mazda</t>
        </is>
      </c>
      <c r="F17054" s="0" t="inlineStr">
        <is>
          <t xml:space="preserve">Mazda</t>
        </is>
      </c>
      <c r="G17054" s="0" t="s">
        <v>171</v>
      </c>
      <c r="H17054" s="5">
        <v>983.883700</v>
      </c>
    </row>
    <row r="17055" spans="1:9">
      <c r="A17055" s="22" t="str">
        <f>HYPERLINK("https://app.vivvix.com/360/KMI/IntelliDrive/ApplUI/Pages/CreativePages/CustomReportCreativeDetail.aspx?App=23&amp;ReportView=4&amp;Qid=1711279&amp;Row=17047&amp;Col=1","No Title Assigned - #15276694363")</f>
        <v/>
      </c>
      <c r="B17055" s="0" t="s">
        <v>22733</v>
      </c>
      <c r="E17055" s="0" t="inlineStr">
        <is>
          <t xml:space="preserve">Mazda</t>
        </is>
      </c>
      <c r="F17055" s="0" t="inlineStr">
        <is>
          <t xml:space="preserve">Mazda</t>
        </is>
      </c>
      <c r="G17055" s="0" t="s">
        <v>171</v>
      </c>
      <c r="H17055" s="5">
        <v>4247.768900</v>
      </c>
    </row>
    <row r="17056" spans="1:9">
      <c r="A17056" s="22" t="str">
        <f>HYPERLINK("https://app.vivvix.com/360/KMI/IntelliDrive/ApplUI/Pages/CreativePages/CustomReportCreativeDetail.aspx?App=23&amp;ReportView=4&amp;Qid=1711279&amp;Row=17048&amp;Col=1","No Title Assigned - #15276694363")</f>
        <v/>
      </c>
      <c r="B17056" s="0" t="s">
        <v>22733</v>
      </c>
      <c r="E17056" s="0" t="inlineStr">
        <is>
          <t xml:space="preserve">Mazda</t>
        </is>
      </c>
      <c r="F17056" s="0" t="inlineStr">
        <is>
          <t xml:space="preserve">Mazda</t>
        </is>
      </c>
      <c r="G17056" s="0" t="s">
        <v>171</v>
      </c>
      <c r="H17056" s="5">
        <v>136.356000</v>
      </c>
    </row>
    <row r="17057" spans="1:9">
      <c r="A17057" s="22" t="str">
        <f>HYPERLINK("https://app.vivvix.com/360/KMI/IntelliDrive/ApplUI/Pages/CreativePages/CustomReportCreativeDetail.aspx?App=23&amp;ReportView=4&amp;Qid=1711279&amp;Row=17049&amp;Col=1","No Title Assigned - #15276694375")</f>
        <v/>
      </c>
      <c r="B17057" s="0" t="s">
        <v>22734</v>
      </c>
      <c r="E17057" s="0" t="inlineStr">
        <is>
          <t xml:space="preserve">Mazda</t>
        </is>
      </c>
      <c r="F17057" s="0" t="inlineStr">
        <is>
          <t xml:space="preserve">Mazda</t>
        </is>
      </c>
      <c r="G17057" s="0" t="s">
        <v>171</v>
      </c>
      <c r="H17057" s="5">
        <v>89545.504700</v>
      </c>
    </row>
    <row r="17058" spans="1:9">
      <c r="A17058" s="22" t="str">
        <f>HYPERLINK("https://app.vivvix.com/360/KMI/IntelliDrive/ApplUI/Pages/CreativePages/CustomReportCreativeDetail.aspx?App=23&amp;ReportView=4&amp;Qid=1711279&amp;Row=17050&amp;Col=1","No Title Assigned - #15276694375")</f>
        <v/>
      </c>
      <c r="B17058" s="0" t="s">
        <v>22734</v>
      </c>
      <c r="E17058" s="0" t="inlineStr">
        <is>
          <t xml:space="preserve">Mazda</t>
        </is>
      </c>
      <c r="F17058" s="0" t="inlineStr">
        <is>
          <t xml:space="preserve">Mazda</t>
        </is>
      </c>
      <c r="G17058" s="0" t="s">
        <v>171</v>
      </c>
      <c r="H17058" s="5">
        <v>971.832800</v>
      </c>
    </row>
    <row r="17059" spans="1:9">
      <c r="A17059" s="22" t="str">
        <f>HYPERLINK("https://app.vivvix.com/360/KMI/IntelliDrive/ApplUI/Pages/CreativePages/CustomReportCreativeDetail.aspx?App=23&amp;ReportView=4&amp;Qid=1711279&amp;Row=17051&amp;Col=1","No Title Assigned - #15276694383")</f>
        <v/>
      </c>
      <c r="B17059" s="0" t="s">
        <v>22735</v>
      </c>
      <c r="E17059" s="0" t="inlineStr">
        <is>
          <t xml:space="preserve">Mazda</t>
        </is>
      </c>
      <c r="F17059" s="0" t="inlineStr">
        <is>
          <t xml:space="preserve">Mazda</t>
        </is>
      </c>
      <c r="G17059" s="0" t="s">
        <v>171</v>
      </c>
      <c r="H17059" s="5">
        <v>29.156100</v>
      </c>
    </row>
    <row r="17060" spans="1:9">
      <c r="A17060" s="22" t="str">
        <f>HYPERLINK("https://app.vivvix.com/360/KMI/IntelliDrive/ApplUI/Pages/CreativePages/CustomReportCreativeDetail.aspx?App=23&amp;ReportView=4&amp;Qid=1711279&amp;Row=17052&amp;Col=1","No Title Assigned - #15276694410")</f>
        <v/>
      </c>
      <c r="B17060" s="0" t="s">
        <v>22736</v>
      </c>
      <c r="E17060" s="0" t="inlineStr">
        <is>
          <t xml:space="preserve">Mazda</t>
        </is>
      </c>
      <c r="F17060" s="0" t="inlineStr">
        <is>
          <t xml:space="preserve">Mazda</t>
        </is>
      </c>
      <c r="G17060" s="0" t="s">
        <v>171</v>
      </c>
      <c r="H17060" s="5">
        <v>94.040700</v>
      </c>
    </row>
    <row r="17061" spans="1:9">
      <c r="A17061" s="22" t="str">
        <f>HYPERLINK("https://app.vivvix.com/360/KMI/IntelliDrive/ApplUI/Pages/CreativePages/CustomReportCreativeDetail.aspx?App=23&amp;ReportView=4&amp;Qid=1711279&amp;Row=17053&amp;Col=1","No Title Assigned - #15276694481")</f>
        <v/>
      </c>
      <c r="B17061" s="0" t="s">
        <v>22737</v>
      </c>
      <c r="E17061" s="0" t="inlineStr">
        <is>
          <t xml:space="preserve">Mazda</t>
        </is>
      </c>
      <c r="F17061" s="0" t="inlineStr">
        <is>
          <t xml:space="preserve">Mazda</t>
        </is>
      </c>
      <c r="G17061" s="0" t="s">
        <v>171</v>
      </c>
      <c r="H17061" s="5">
        <v>6617.065300</v>
      </c>
    </row>
    <row r="17062" spans="1:9">
      <c r="A17062" s="22" t="str">
        <f>HYPERLINK("https://app.vivvix.com/360/KMI/IntelliDrive/ApplUI/Pages/CreativePages/CustomReportCreativeDetail.aspx?App=23&amp;ReportView=4&amp;Qid=1711279&amp;Row=17054&amp;Col=1","No Title Assigned - #15276694482")</f>
        <v/>
      </c>
      <c r="B17062" s="0" t="s">
        <v>22738</v>
      </c>
      <c r="E17062" s="0" t="inlineStr">
        <is>
          <t xml:space="preserve">Mazda</t>
        </is>
      </c>
      <c r="F17062" s="0" t="inlineStr">
        <is>
          <t xml:space="preserve">Mazda</t>
        </is>
      </c>
      <c r="G17062" s="0" t="s">
        <v>171</v>
      </c>
      <c r="H17062" s="5">
        <v>10302.876100</v>
      </c>
    </row>
    <row r="17063" spans="1:9">
      <c r="A17063" s="22" t="str">
        <f>HYPERLINK("https://app.vivvix.com/360/KMI/IntelliDrive/ApplUI/Pages/CreativePages/CustomReportCreativeDetail.aspx?App=23&amp;ReportView=4&amp;Qid=1711279&amp;Row=17055&amp;Col=1","No Title Assigned - #15276694482")</f>
        <v/>
      </c>
      <c r="B17063" s="0" t="s">
        <v>22738</v>
      </c>
      <c r="E17063" s="0" t="inlineStr">
        <is>
          <t xml:space="preserve">Mazda</t>
        </is>
      </c>
      <c r="F17063" s="0" t="inlineStr">
        <is>
          <t xml:space="preserve">Mazda</t>
        </is>
      </c>
      <c r="G17063" s="0" t="s">
        <v>171</v>
      </c>
      <c r="H17063" s="5">
        <v>316.897100</v>
      </c>
    </row>
    <row r="17064" spans="1:9">
      <c r="A17064" s="22" t="str">
        <f>HYPERLINK("https://app.vivvix.com/360/KMI/IntelliDrive/ApplUI/Pages/CreativePages/CustomReportCreativeDetail.aspx?App=23&amp;ReportView=4&amp;Qid=1711279&amp;Row=17056&amp;Col=1","No Title Assigned - #15276694499")</f>
        <v/>
      </c>
      <c r="B17064" s="0" t="s">
        <v>22739</v>
      </c>
      <c r="E17064" s="0" t="inlineStr">
        <is>
          <t xml:space="preserve">Mazda</t>
        </is>
      </c>
      <c r="F17064" s="0" t="inlineStr">
        <is>
          <t xml:space="preserve">Mazda</t>
        </is>
      </c>
      <c r="G17064" s="0" t="s">
        <v>171</v>
      </c>
      <c r="H17064" s="5">
        <v>5368.891700</v>
      </c>
    </row>
    <row r="17065" spans="1:9">
      <c r="A17065" s="22" t="str">
        <f>HYPERLINK("https://app.vivvix.com/360/KMI/IntelliDrive/ApplUI/Pages/CreativePages/CustomReportCreativeDetail.aspx?App=23&amp;ReportView=4&amp;Qid=1711279&amp;Row=17057&amp;Col=1","No Title Assigned - #15276694528")</f>
        <v/>
      </c>
      <c r="B17065" s="0" t="s">
        <v>22740</v>
      </c>
      <c r="E17065" s="0" t="inlineStr">
        <is>
          <t xml:space="preserve">Mazda</t>
        </is>
      </c>
      <c r="F17065" s="0" t="inlineStr">
        <is>
          <t xml:space="preserve">Mazda</t>
        </is>
      </c>
      <c r="G17065" s="0" t="s">
        <v>171</v>
      </c>
      <c r="H17065" s="5">
        <v>103.469300</v>
      </c>
    </row>
    <row r="17066" spans="1:9">
      <c r="A17066" s="22" t="str">
        <f>HYPERLINK("https://app.vivvix.com/360/KMI/IntelliDrive/ApplUI/Pages/CreativePages/CustomReportCreativeDetail.aspx?App=23&amp;ReportView=4&amp;Qid=1711279&amp;Row=17058&amp;Col=1","No Title Assigned - #15276694531")</f>
        <v/>
      </c>
      <c r="B17066" s="0" t="s">
        <v>22741</v>
      </c>
      <c r="E17066" s="0" t="inlineStr">
        <is>
          <t xml:space="preserve">Mazda</t>
        </is>
      </c>
      <c r="F17066" s="0" t="inlineStr">
        <is>
          <t xml:space="preserve">Mazda</t>
        </is>
      </c>
      <c r="G17066" s="0" t="s">
        <v>171</v>
      </c>
      <c r="H17066" s="5">
        <v>310.104600</v>
      </c>
    </row>
    <row r="17067" spans="1:9">
      <c r="A17067" s="22" t="str">
        <f>HYPERLINK("https://app.vivvix.com/360/KMI/IntelliDrive/ApplUI/Pages/CreativePages/CustomReportCreativeDetail.aspx?App=23&amp;ReportView=4&amp;Qid=1711279&amp;Row=17059&amp;Col=1","No Title Assigned - #15276694557")</f>
        <v/>
      </c>
      <c r="B17067" s="0" t="s">
        <v>22742</v>
      </c>
      <c r="E17067" s="0" t="inlineStr">
        <is>
          <t xml:space="preserve">Mazda</t>
        </is>
      </c>
      <c r="F17067" s="0" t="inlineStr">
        <is>
          <t xml:space="preserve">Mazda</t>
        </is>
      </c>
      <c r="G17067" s="0" t="s">
        <v>171</v>
      </c>
      <c r="H17067" s="5">
        <v>15.960200</v>
      </c>
    </row>
    <row r="17068" spans="1:9">
      <c r="A17068" s="22" t="str">
        <f>HYPERLINK("https://app.vivvix.com/360/KMI/IntelliDrive/ApplUI/Pages/CreativePages/CustomReportCreativeDetail.aspx?App=23&amp;ReportView=4&amp;Qid=1711279&amp;Row=17060&amp;Col=1","No Title Assigned - #15276694570")</f>
        <v/>
      </c>
      <c r="B17068" s="0" t="s">
        <v>22743</v>
      </c>
      <c r="E17068" s="0" t="inlineStr">
        <is>
          <t xml:space="preserve">Mazda</t>
        </is>
      </c>
      <c r="F17068" s="0" t="inlineStr">
        <is>
          <t xml:space="preserve">Mazda</t>
        </is>
      </c>
      <c r="G17068" s="0" t="s">
        <v>171</v>
      </c>
      <c r="H17068" s="5">
        <v>1848.169600</v>
      </c>
    </row>
    <row r="17069" spans="1:9">
      <c r="A17069" s="22" t="str">
        <f>HYPERLINK("https://app.vivvix.com/360/KMI/IntelliDrive/ApplUI/Pages/CreativePages/CustomReportCreativeDetail.aspx?App=23&amp;ReportView=4&amp;Qid=1711279&amp;Row=17061&amp;Col=1","No Title Assigned - #15276694594")</f>
        <v/>
      </c>
      <c r="B17069" s="0" t="s">
        <v>22744</v>
      </c>
      <c r="E17069" s="0" t="inlineStr">
        <is>
          <t xml:space="preserve">Mazda</t>
        </is>
      </c>
      <c r="F17069" s="0" t="inlineStr">
        <is>
          <t xml:space="preserve">Mazda</t>
        </is>
      </c>
      <c r="G17069" s="0" t="s">
        <v>171</v>
      </c>
      <c r="H17069" s="5">
        <v>201.403800</v>
      </c>
    </row>
    <row r="17070" spans="1:9">
      <c r="A17070" s="22" t="str">
        <f>HYPERLINK("https://app.vivvix.com/360/KMI/IntelliDrive/ApplUI/Pages/CreativePages/CustomReportCreativeDetail.aspx?App=23&amp;ReportView=4&amp;Qid=1711279&amp;Row=17062&amp;Col=1","No Title Assigned - #15276694595")</f>
        <v/>
      </c>
      <c r="B17070" s="0" t="s">
        <v>22745</v>
      </c>
      <c r="E17070" s="0" t="inlineStr">
        <is>
          <t xml:space="preserve">Mazda</t>
        </is>
      </c>
      <c r="F17070" s="0" t="inlineStr">
        <is>
          <t xml:space="preserve">Mazda</t>
        </is>
      </c>
      <c r="G17070" s="0" t="s">
        <v>171</v>
      </c>
      <c r="H17070" s="5">
        <v>201.403800</v>
      </c>
    </row>
    <row r="17071" spans="1:9">
      <c r="A17071" s="22" t="str">
        <f>HYPERLINK("https://app.vivvix.com/360/KMI/IntelliDrive/ApplUI/Pages/CreativePages/CustomReportCreativeDetail.aspx?App=23&amp;ReportView=4&amp;Qid=1711279&amp;Row=17063&amp;Col=1","No Title Assigned - #15276694618")</f>
        <v/>
      </c>
      <c r="B17071" s="0" t="s">
        <v>22746</v>
      </c>
      <c r="E17071" s="0" t="inlineStr">
        <is>
          <t xml:space="preserve">Mazda</t>
        </is>
      </c>
      <c r="F17071" s="0" t="inlineStr">
        <is>
          <t xml:space="preserve">Mazda</t>
        </is>
      </c>
      <c r="G17071" s="0" t="s">
        <v>171</v>
      </c>
      <c r="H17071" s="5">
        <v>281.086900</v>
      </c>
    </row>
    <row r="17072" spans="1:9">
      <c r="A17072" s="22" t="str">
        <f>HYPERLINK("https://app.vivvix.com/360/KMI/IntelliDrive/ApplUI/Pages/CreativePages/CustomReportCreativeDetail.aspx?App=23&amp;ReportView=4&amp;Qid=1711279&amp;Row=17064&amp;Col=1","No Title Assigned - #15276694662")</f>
        <v/>
      </c>
      <c r="B17072" s="0" t="s">
        <v>22747</v>
      </c>
      <c r="E17072" s="0" t="inlineStr">
        <is>
          <t xml:space="preserve">Mazda</t>
        </is>
      </c>
      <c r="F17072" s="0" t="inlineStr">
        <is>
          <t xml:space="preserve">Mazda</t>
        </is>
      </c>
      <c r="G17072" s="0" t="s">
        <v>171</v>
      </c>
      <c r="H17072" s="5">
        <v>1520.637200</v>
      </c>
    </row>
    <row r="17073" spans="1:9">
      <c r="A17073" s="22" t="str">
        <f>HYPERLINK("https://app.vivvix.com/360/KMI/IntelliDrive/ApplUI/Pages/CreativePages/CustomReportCreativeDetail.aspx?App=23&amp;ReportView=4&amp;Qid=1711279&amp;Row=17065&amp;Col=1","No Title Assigned - #15276694665")</f>
        <v/>
      </c>
      <c r="B17073" s="0" t="s">
        <v>22748</v>
      </c>
      <c r="E17073" s="0" t="inlineStr">
        <is>
          <t xml:space="preserve">Mazda</t>
        </is>
      </c>
      <c r="F17073" s="0" t="inlineStr">
        <is>
          <t xml:space="preserve">Mazda</t>
        </is>
      </c>
      <c r="G17073" s="0" t="s">
        <v>171</v>
      </c>
      <c r="H17073" s="5">
        <v>3991.102500</v>
      </c>
    </row>
    <row r="17074" spans="1:9">
      <c r="A17074" s="22" t="str">
        <f>HYPERLINK("https://app.vivvix.com/360/KMI/IntelliDrive/ApplUI/Pages/CreativePages/CustomReportCreativeDetail.aspx?App=23&amp;ReportView=4&amp;Qid=1711279&amp;Row=17066&amp;Col=1","No Title Assigned - #15276694681")</f>
        <v/>
      </c>
      <c r="B17074" s="0" t="s">
        <v>22749</v>
      </c>
      <c r="E17074" s="0" t="inlineStr">
        <is>
          <t xml:space="preserve">Mazda</t>
        </is>
      </c>
      <c r="F17074" s="0" t="inlineStr">
        <is>
          <t xml:space="preserve">Mazda</t>
        </is>
      </c>
      <c r="G17074" s="0" t="s">
        <v>171</v>
      </c>
      <c r="H17074" s="5">
        <v>255.297600</v>
      </c>
    </row>
    <row r="17075" spans="1:9">
      <c r="A17075" s="22" t="str">
        <f>HYPERLINK("https://app.vivvix.com/360/KMI/IntelliDrive/ApplUI/Pages/CreativePages/CustomReportCreativeDetail.aspx?App=23&amp;ReportView=4&amp;Qid=1711279&amp;Row=17067&amp;Col=1","No Title Assigned - #15276694712")</f>
        <v/>
      </c>
      <c r="B17075" s="0" t="s">
        <v>22750</v>
      </c>
      <c r="E17075" s="0" t="inlineStr">
        <is>
          <t xml:space="preserve">Mazda</t>
        </is>
      </c>
      <c r="F17075" s="0" t="inlineStr">
        <is>
          <t xml:space="preserve">Mazda</t>
        </is>
      </c>
      <c r="G17075" s="0" t="s">
        <v>171</v>
      </c>
      <c r="H17075" s="5">
        <v>2701.249300</v>
      </c>
    </row>
    <row r="17076" spans="1:9">
      <c r="A17076" s="22" t="str">
        <f>HYPERLINK("https://app.vivvix.com/360/KMI/IntelliDrive/ApplUI/Pages/CreativePages/CustomReportCreativeDetail.aspx?App=23&amp;ReportView=4&amp;Qid=1711279&amp;Row=17068&amp;Col=1","No Title Assigned - #15276694722")</f>
        <v/>
      </c>
      <c r="B17076" s="0" t="s">
        <v>22751</v>
      </c>
      <c r="C17076" s="0" t="s">
        <v>22752</v>
      </c>
      <c r="D17076" s="0" t="s">
        <v>22752</v>
      </c>
      <c r="E17076" s="0" t="inlineStr">
        <is>
          <t xml:space="preserve">Mazda</t>
        </is>
      </c>
      <c r="F17076" s="0" t="inlineStr">
        <is>
          <t xml:space="preserve">Mazda</t>
        </is>
      </c>
      <c r="G17076" s="0" t="s">
        <v>171</v>
      </c>
      <c r="H17076" s="5">
        <v>346.654100</v>
      </c>
    </row>
    <row r="17077" spans="1:9">
      <c r="A17077" s="22" t="str">
        <f>HYPERLINK("https://app.vivvix.com/360/KMI/IntelliDrive/ApplUI/Pages/CreativePages/CustomReportCreativeDetail.aspx?App=23&amp;ReportView=4&amp;Qid=1711279&amp;Row=17069&amp;Col=1","No Title Assigned - #15276694735")</f>
        <v/>
      </c>
      <c r="B17077" s="0" t="s">
        <v>22753</v>
      </c>
      <c r="E17077" s="0" t="inlineStr">
        <is>
          <t xml:space="preserve">Mazda</t>
        </is>
      </c>
      <c r="F17077" s="0" t="inlineStr">
        <is>
          <t xml:space="preserve">Mazda</t>
        </is>
      </c>
      <c r="G17077" s="0" t="s">
        <v>171</v>
      </c>
      <c r="H17077" s="5">
        <v>5.254700</v>
      </c>
    </row>
    <row r="17078" spans="1:9">
      <c r="A17078" s="22" t="str">
        <f>HYPERLINK("https://app.vivvix.com/360/KMI/IntelliDrive/ApplUI/Pages/CreativePages/CustomReportCreativeDetail.aspx?App=23&amp;ReportView=4&amp;Qid=1711279&amp;Row=17070&amp;Col=1","No Title Assigned - #15276694751")</f>
        <v/>
      </c>
      <c r="B17078" s="0" t="s">
        <v>22754</v>
      </c>
      <c r="E17078" s="0" t="inlineStr">
        <is>
          <t xml:space="preserve">Mazda</t>
        </is>
      </c>
      <c r="F17078" s="0" t="inlineStr">
        <is>
          <t xml:space="preserve">Mazda</t>
        </is>
      </c>
      <c r="G17078" s="0" t="s">
        <v>171</v>
      </c>
      <c r="H17078" s="5">
        <v>2375.079300</v>
      </c>
    </row>
    <row r="17079" spans="1:9">
      <c r="A17079" s="22" t="str">
        <f>HYPERLINK("https://app.vivvix.com/360/KMI/IntelliDrive/ApplUI/Pages/CreativePages/CustomReportCreativeDetail.aspx?App=23&amp;ReportView=4&amp;Qid=1711279&amp;Row=17071&amp;Col=1","No Title Assigned - #15276694751")</f>
        <v/>
      </c>
      <c r="B17079" s="0" t="s">
        <v>22754</v>
      </c>
      <c r="E17079" s="0" t="inlineStr">
        <is>
          <t xml:space="preserve">Mazda</t>
        </is>
      </c>
      <c r="F17079" s="0" t="inlineStr">
        <is>
          <t xml:space="preserve">Mazda</t>
        </is>
      </c>
      <c r="G17079" s="0" t="s">
        <v>171</v>
      </c>
      <c r="H17079" s="5">
        <v>255.155600</v>
      </c>
    </row>
    <row r="17080" spans="1:9">
      <c r="A17080" s="22" t="str">
        <f>HYPERLINK("https://app.vivvix.com/360/KMI/IntelliDrive/ApplUI/Pages/CreativePages/CustomReportCreativeDetail.aspx?App=23&amp;ReportView=4&amp;Qid=1711279&amp;Row=17072&amp;Col=1","No Title Assigned - #15276694798")</f>
        <v/>
      </c>
      <c r="B17080" s="0" t="s">
        <v>22755</v>
      </c>
      <c r="E17080" s="0" t="inlineStr">
        <is>
          <t xml:space="preserve">Mazda</t>
        </is>
      </c>
      <c r="F17080" s="0" t="inlineStr">
        <is>
          <t xml:space="preserve">Mazda</t>
        </is>
      </c>
      <c r="G17080" s="0" t="s">
        <v>171</v>
      </c>
      <c r="H17080" s="5">
        <v>60210.275700</v>
      </c>
    </row>
    <row r="17081" spans="1:9">
      <c r="A17081" s="22" t="str">
        <f>HYPERLINK("https://app.vivvix.com/360/KMI/IntelliDrive/ApplUI/Pages/CreativePages/CustomReportCreativeDetail.aspx?App=23&amp;ReportView=4&amp;Qid=1711279&amp;Row=17073&amp;Col=1","No Title Assigned - #15276694798")</f>
        <v/>
      </c>
      <c r="B17081" s="0" t="s">
        <v>22755</v>
      </c>
      <c r="E17081" s="0" t="inlineStr">
        <is>
          <t xml:space="preserve">Mazda</t>
        </is>
      </c>
      <c r="F17081" s="0" t="inlineStr">
        <is>
          <t xml:space="preserve">Mazda</t>
        </is>
      </c>
      <c r="G17081" s="0" t="s">
        <v>171</v>
      </c>
      <c r="H17081" s="5">
        <v>16860.818700</v>
      </c>
    </row>
    <row r="17082" spans="1:9">
      <c r="A17082" s="22" t="str">
        <f>HYPERLINK("https://app.vivvix.com/360/KMI/IntelliDrive/ApplUI/Pages/CreativePages/CustomReportCreativeDetail.aspx?App=23&amp;ReportView=4&amp;Qid=1711279&amp;Row=17074&amp;Col=1","No Title Assigned - #15276694808")</f>
        <v/>
      </c>
      <c r="B17082" s="0" t="s">
        <v>22756</v>
      </c>
      <c r="E17082" s="0" t="inlineStr">
        <is>
          <t xml:space="preserve">Mazda</t>
        </is>
      </c>
      <c r="F17082" s="0" t="inlineStr">
        <is>
          <t xml:space="preserve">Mazda</t>
        </is>
      </c>
      <c r="G17082" s="0" t="s">
        <v>171</v>
      </c>
      <c r="H17082" s="5">
        <v>19367.824800</v>
      </c>
    </row>
    <row r="17083" spans="1:9">
      <c r="A17083" s="22" t="str">
        <f>HYPERLINK("https://app.vivvix.com/360/KMI/IntelliDrive/ApplUI/Pages/CreativePages/CustomReportCreativeDetail.aspx?App=23&amp;ReportView=4&amp;Qid=1711279&amp;Row=17075&amp;Col=1","No Title Assigned - #15276694808")</f>
        <v/>
      </c>
      <c r="B17083" s="0" t="s">
        <v>22756</v>
      </c>
      <c r="E17083" s="0" t="inlineStr">
        <is>
          <t xml:space="preserve">Mazda</t>
        </is>
      </c>
      <c r="F17083" s="0" t="inlineStr">
        <is>
          <t xml:space="preserve">Mazda</t>
        </is>
      </c>
      <c r="G17083" s="0" t="s">
        <v>171</v>
      </c>
      <c r="H17083" s="5">
        <v>1506.942000</v>
      </c>
    </row>
    <row r="17084" spans="1:9">
      <c r="A17084" s="22" t="str">
        <f>HYPERLINK("https://app.vivvix.com/360/KMI/IntelliDrive/ApplUI/Pages/CreativePages/CustomReportCreativeDetail.aspx?App=23&amp;ReportView=4&amp;Qid=1711279&amp;Row=17076&amp;Col=1","No Title Assigned - #15276694827")</f>
        <v/>
      </c>
      <c r="B17084" s="0" t="s">
        <v>22757</v>
      </c>
      <c r="E17084" s="0" t="inlineStr">
        <is>
          <t xml:space="preserve">Mazda</t>
        </is>
      </c>
      <c r="F17084" s="0" t="inlineStr">
        <is>
          <t xml:space="preserve">Mazda</t>
        </is>
      </c>
      <c r="G17084" s="0" t="s">
        <v>171</v>
      </c>
      <c r="H17084" s="5">
        <v>227.977500</v>
      </c>
    </row>
    <row r="17085" spans="1:9">
      <c r="A17085" s="22" t="str">
        <f>HYPERLINK("https://app.vivvix.com/360/KMI/IntelliDrive/ApplUI/Pages/CreativePages/CustomReportCreativeDetail.aspx?App=23&amp;ReportView=4&amp;Qid=1711279&amp;Row=17077&amp;Col=1","No Title Assigned - #15276694847")</f>
        <v/>
      </c>
      <c r="B17085" s="0" t="s">
        <v>22758</v>
      </c>
      <c r="E17085" s="0" t="inlineStr">
        <is>
          <t xml:space="preserve">Mazda</t>
        </is>
      </c>
      <c r="F17085" s="0" t="inlineStr">
        <is>
          <t xml:space="preserve">Mazda</t>
        </is>
      </c>
      <c r="G17085" s="0" t="s">
        <v>171</v>
      </c>
      <c r="H17085" s="5">
        <v>131.259300</v>
      </c>
    </row>
    <row r="17086" spans="1:9">
      <c r="A17086" s="22" t="str">
        <f>HYPERLINK("https://app.vivvix.com/360/KMI/IntelliDrive/ApplUI/Pages/CreativePages/CustomReportCreativeDetail.aspx?App=23&amp;ReportView=4&amp;Qid=1711279&amp;Row=17078&amp;Col=1","No Title Assigned - #15276694850")</f>
        <v/>
      </c>
      <c r="B17086" s="0" t="s">
        <v>22759</v>
      </c>
      <c r="E17086" s="0" t="inlineStr">
        <is>
          <t xml:space="preserve">Mazda</t>
        </is>
      </c>
      <c r="F17086" s="0" t="inlineStr">
        <is>
          <t xml:space="preserve">Mazda</t>
        </is>
      </c>
      <c r="G17086" s="0" t="s">
        <v>171</v>
      </c>
      <c r="H17086" s="5">
        <v>16147.010500</v>
      </c>
    </row>
    <row r="17087" spans="1:9">
      <c r="A17087" s="22" t="str">
        <f>HYPERLINK("https://app.vivvix.com/360/KMI/IntelliDrive/ApplUI/Pages/CreativePages/CustomReportCreativeDetail.aspx?App=23&amp;ReportView=4&amp;Qid=1711279&amp;Row=17079&amp;Col=1","No Title Assigned - #15276694850")</f>
        <v/>
      </c>
      <c r="B17087" s="0" t="s">
        <v>22759</v>
      </c>
      <c r="E17087" s="0" t="inlineStr">
        <is>
          <t xml:space="preserve">Mazda</t>
        </is>
      </c>
      <c r="F17087" s="0" t="inlineStr">
        <is>
          <t xml:space="preserve">Mazda</t>
        </is>
      </c>
      <c r="G17087" s="0" t="s">
        <v>171</v>
      </c>
      <c r="H17087" s="5">
        <v>8297.478400</v>
      </c>
    </row>
    <row r="17088" spans="1:9">
      <c r="A17088" s="22" t="str">
        <f>HYPERLINK("https://app.vivvix.com/360/KMI/IntelliDrive/ApplUI/Pages/CreativePages/CustomReportCreativeDetail.aspx?App=23&amp;ReportView=4&amp;Qid=1711279&amp;Row=17080&amp;Col=1","No Title Assigned - #15276694871")</f>
        <v/>
      </c>
      <c r="B17088" s="0" t="s">
        <v>22760</v>
      </c>
      <c r="E17088" s="0" t="inlineStr">
        <is>
          <t xml:space="preserve">Mazda</t>
        </is>
      </c>
      <c r="F17088" s="0" t="inlineStr">
        <is>
          <t xml:space="preserve">Mazda</t>
        </is>
      </c>
      <c r="G17088" s="0" t="s">
        <v>171</v>
      </c>
      <c r="H17088" s="5">
        <v>918.446000</v>
      </c>
    </row>
    <row r="17089" spans="1:9">
      <c r="A17089" s="22" t="str">
        <f>HYPERLINK("https://app.vivvix.com/360/KMI/IntelliDrive/ApplUI/Pages/CreativePages/CustomReportCreativeDetail.aspx?App=23&amp;ReportView=4&amp;Qid=1711279&amp;Row=17081&amp;Col=1","No Title Assigned - #15276694947")</f>
        <v/>
      </c>
      <c r="B17089" s="0" t="s">
        <v>22761</v>
      </c>
      <c r="E17089" s="0" t="inlineStr">
        <is>
          <t xml:space="preserve">Mazda</t>
        </is>
      </c>
      <c r="F17089" s="0" t="inlineStr">
        <is>
          <t xml:space="preserve">Mazda</t>
        </is>
      </c>
      <c r="G17089" s="0" t="s">
        <v>171</v>
      </c>
      <c r="H17089" s="5">
        <v>607.200600</v>
      </c>
    </row>
    <row r="17090" spans="1:9">
      <c r="A17090" s="22" t="str">
        <f>HYPERLINK("https://app.vivvix.com/360/KMI/IntelliDrive/ApplUI/Pages/CreativePages/CustomReportCreativeDetail.aspx?App=23&amp;ReportView=4&amp;Qid=1711279&amp;Row=17082&amp;Col=1","No Title Assigned - #15276694960")</f>
        <v/>
      </c>
      <c r="B17090" s="0" t="s">
        <v>22762</v>
      </c>
      <c r="E17090" s="0" t="inlineStr">
        <is>
          <t xml:space="preserve">Mazda</t>
        </is>
      </c>
      <c r="F17090" s="0" t="inlineStr">
        <is>
          <t xml:space="preserve">Mazda</t>
        </is>
      </c>
      <c r="G17090" s="0" t="s">
        <v>171</v>
      </c>
      <c r="H17090" s="5">
        <v>8614.799100</v>
      </c>
    </row>
    <row r="17091" spans="1:9">
      <c r="A17091" s="22" t="str">
        <f>HYPERLINK("https://app.vivvix.com/360/KMI/IntelliDrive/ApplUI/Pages/CreativePages/CustomReportCreativeDetail.aspx?App=23&amp;ReportView=4&amp;Qid=1711279&amp;Row=17083&amp;Col=1","No Title Assigned - #15276694960")</f>
        <v/>
      </c>
      <c r="B17091" s="0" t="s">
        <v>22762</v>
      </c>
      <c r="E17091" s="0" t="inlineStr">
        <is>
          <t xml:space="preserve">Mazda</t>
        </is>
      </c>
      <c r="F17091" s="0" t="inlineStr">
        <is>
          <t xml:space="preserve">Mazda</t>
        </is>
      </c>
      <c r="G17091" s="0" t="s">
        <v>171</v>
      </c>
      <c r="H17091" s="5">
        <v>2466.862100</v>
      </c>
    </row>
    <row r="17092" spans="1:9">
      <c r="A17092" s="22" t="str">
        <f>HYPERLINK("https://app.vivvix.com/360/KMI/IntelliDrive/ApplUI/Pages/CreativePages/CustomReportCreativeDetail.aspx?App=23&amp;ReportView=4&amp;Qid=1711279&amp;Row=17084&amp;Col=1","No Title Assigned - #15276694980")</f>
        <v/>
      </c>
      <c r="B17092" s="0" t="s">
        <v>22763</v>
      </c>
      <c r="E17092" s="0" t="inlineStr">
        <is>
          <t xml:space="preserve">Mazda</t>
        </is>
      </c>
      <c r="F17092" s="0" t="inlineStr">
        <is>
          <t xml:space="preserve">Mazda</t>
        </is>
      </c>
      <c r="G17092" s="0" t="s">
        <v>171</v>
      </c>
      <c r="H17092" s="5">
        <v>37.172900</v>
      </c>
    </row>
    <row r="17093" spans="1:9">
      <c r="A17093" s="22" t="str">
        <f>HYPERLINK("https://app.vivvix.com/360/KMI/IntelliDrive/ApplUI/Pages/CreativePages/CustomReportCreativeDetail.aspx?App=23&amp;ReportView=4&amp;Qid=1711279&amp;Row=17085&amp;Col=1","No Title Assigned - #15276694997")</f>
        <v/>
      </c>
      <c r="B17093" s="0" t="s">
        <v>22764</v>
      </c>
      <c r="E17093" s="0" t="inlineStr">
        <is>
          <t xml:space="preserve">Mazda</t>
        </is>
      </c>
      <c r="F17093" s="0" t="inlineStr">
        <is>
          <t xml:space="preserve">Mazda</t>
        </is>
      </c>
      <c r="G17093" s="0" t="s">
        <v>171</v>
      </c>
      <c r="H17093" s="5">
        <v>1519.242000</v>
      </c>
    </row>
    <row r="17094" spans="1:9">
      <c r="A17094" s="22" t="str">
        <f>HYPERLINK("https://app.vivvix.com/360/KMI/IntelliDrive/ApplUI/Pages/CreativePages/CustomReportCreativeDetail.aspx?App=23&amp;ReportView=4&amp;Qid=1711279&amp;Row=17086&amp;Col=1","No Title Assigned - #15276695019")</f>
        <v/>
      </c>
      <c r="B17094" s="0" t="s">
        <v>22765</v>
      </c>
      <c r="C17094" s="0" t="s">
        <v>22766</v>
      </c>
      <c r="D17094" s="0" t="s">
        <v>22766</v>
      </c>
      <c r="E17094" s="0" t="inlineStr">
        <is>
          <t xml:space="preserve">Mazda</t>
        </is>
      </c>
      <c r="F17094" s="0" t="inlineStr">
        <is>
          <t xml:space="preserve">Mazda</t>
        </is>
      </c>
      <c r="G17094" s="0" t="s">
        <v>171</v>
      </c>
      <c r="H17094" s="5">
        <v>23.262600</v>
      </c>
    </row>
    <row r="17095" spans="1:9">
      <c r="A17095" s="22" t="str">
        <f>HYPERLINK("https://app.vivvix.com/360/KMI/IntelliDrive/ApplUI/Pages/CreativePages/CustomReportCreativeDetail.aspx?App=23&amp;ReportView=4&amp;Qid=1711279&amp;Row=17087&amp;Col=1","No Title Assigned - #15276695031")</f>
        <v/>
      </c>
      <c r="B17095" s="0" t="s">
        <v>22767</v>
      </c>
      <c r="E17095" s="0" t="inlineStr">
        <is>
          <t xml:space="preserve">Mazda</t>
        </is>
      </c>
      <c r="F17095" s="0" t="inlineStr">
        <is>
          <t xml:space="preserve">Mazda</t>
        </is>
      </c>
      <c r="G17095" s="0" t="s">
        <v>171</v>
      </c>
      <c r="H17095" s="5">
        <v>63.131000</v>
      </c>
    </row>
    <row r="17096" spans="1:9">
      <c r="A17096" s="22" t="str">
        <f>HYPERLINK("https://app.vivvix.com/360/KMI/IntelliDrive/ApplUI/Pages/CreativePages/CustomReportCreativeDetail.aspx?App=23&amp;ReportView=4&amp;Qid=1711279&amp;Row=17088&amp;Col=1","No Title Assigned - #15276695064")</f>
        <v/>
      </c>
      <c r="B17096" s="0" t="s">
        <v>22768</v>
      </c>
      <c r="E17096" s="0" t="inlineStr">
        <is>
          <t xml:space="preserve">Mazda</t>
        </is>
      </c>
      <c r="F17096" s="0" t="inlineStr">
        <is>
          <t xml:space="preserve">Mazda</t>
        </is>
      </c>
      <c r="G17096" s="0" t="s">
        <v>171</v>
      </c>
      <c r="H17096" s="5">
        <v>4955.257300</v>
      </c>
    </row>
    <row r="17097" spans="1:9">
      <c r="A17097" s="22" t="str">
        <f>HYPERLINK("https://app.vivvix.com/360/KMI/IntelliDrive/ApplUI/Pages/CreativePages/CustomReportCreativeDetail.aspx?App=23&amp;ReportView=4&amp;Qid=1711279&amp;Row=17089&amp;Col=1","No Title Assigned - #15276695064")</f>
        <v/>
      </c>
      <c r="B17097" s="0" t="s">
        <v>22768</v>
      </c>
      <c r="E17097" s="0" t="inlineStr">
        <is>
          <t xml:space="preserve">Mazda</t>
        </is>
      </c>
      <c r="F17097" s="0" t="inlineStr">
        <is>
          <t xml:space="preserve">Mazda</t>
        </is>
      </c>
      <c r="G17097" s="0" t="s">
        <v>171</v>
      </c>
      <c r="H17097" s="5">
        <v>310.833900</v>
      </c>
    </row>
    <row r="17098" spans="1:9">
      <c r="A17098" s="22" t="str">
        <f>HYPERLINK("https://app.vivvix.com/360/KMI/IntelliDrive/ApplUI/Pages/CreativePages/CustomReportCreativeDetail.aspx?App=23&amp;ReportView=4&amp;Qid=1711279&amp;Row=17090&amp;Col=1","No Title Assigned - #15276695099")</f>
        <v/>
      </c>
      <c r="B17098" s="0" t="s">
        <v>22769</v>
      </c>
      <c r="E17098" s="0" t="inlineStr">
        <is>
          <t xml:space="preserve">Mazda</t>
        </is>
      </c>
      <c r="F17098" s="0" t="inlineStr">
        <is>
          <t xml:space="preserve">Mazda</t>
        </is>
      </c>
      <c r="G17098" s="0" t="s">
        <v>171</v>
      </c>
      <c r="H17098" s="5">
        <v>2696.405900</v>
      </c>
    </row>
    <row r="17099" spans="1:9">
      <c r="A17099" s="22" t="str">
        <f>HYPERLINK("https://app.vivvix.com/360/KMI/IntelliDrive/ApplUI/Pages/CreativePages/CustomReportCreativeDetail.aspx?App=23&amp;ReportView=4&amp;Qid=1711279&amp;Row=17091&amp;Col=1","No Title Assigned - #15276695105")</f>
        <v/>
      </c>
      <c r="B17099" s="0" t="s">
        <v>22770</v>
      </c>
      <c r="C17099" s="0" t="s">
        <v>22771</v>
      </c>
      <c r="D17099" s="0" t="s">
        <v>22771</v>
      </c>
      <c r="E17099" s="0" t="inlineStr">
        <is>
          <t xml:space="preserve">Mazda</t>
        </is>
      </c>
      <c r="F17099" s="0" t="inlineStr">
        <is>
          <t xml:space="preserve">Mazda</t>
        </is>
      </c>
      <c r="G17099" s="0" t="s">
        <v>171</v>
      </c>
      <c r="H17099" s="5">
        <v>12.417500</v>
      </c>
    </row>
    <row r="17100" spans="1:9">
      <c r="A17100" s="22" t="str">
        <f>HYPERLINK("https://app.vivvix.com/360/KMI/IntelliDrive/ApplUI/Pages/CreativePages/CustomReportCreativeDetail.aspx?App=23&amp;ReportView=4&amp;Qid=1711279&amp;Row=17092&amp;Col=1","No Title Assigned - #15276695132")</f>
        <v/>
      </c>
      <c r="B17100" s="0" t="s">
        <v>22772</v>
      </c>
      <c r="C17100" s="0" t="s">
        <v>22773</v>
      </c>
      <c r="D17100" s="0" t="s">
        <v>22773</v>
      </c>
      <c r="E17100" s="0" t="inlineStr">
        <is>
          <t xml:space="preserve">Mazda</t>
        </is>
      </c>
      <c r="F17100" s="0" t="inlineStr">
        <is>
          <t xml:space="preserve">Mazda</t>
        </is>
      </c>
      <c r="G17100" s="0" t="s">
        <v>171</v>
      </c>
      <c r="H17100" s="5">
        <v>2381.251100</v>
      </c>
    </row>
    <row r="17101" spans="1:9">
      <c r="A17101" s="22" t="str">
        <f>HYPERLINK("https://app.vivvix.com/360/KMI/IntelliDrive/ApplUI/Pages/CreativePages/CustomReportCreativeDetail.aspx?App=23&amp;ReportView=4&amp;Qid=1711279&amp;Row=17093&amp;Col=1","No Title Assigned - #15276695140")</f>
        <v/>
      </c>
      <c r="B17101" s="0" t="s">
        <v>22774</v>
      </c>
      <c r="E17101" s="0" t="inlineStr">
        <is>
          <t xml:space="preserve">Mazda</t>
        </is>
      </c>
      <c r="F17101" s="0" t="inlineStr">
        <is>
          <t xml:space="preserve">Mazda</t>
        </is>
      </c>
      <c r="G17101" s="0" t="s">
        <v>171</v>
      </c>
      <c r="H17101" s="5">
        <v>3895.907500</v>
      </c>
    </row>
    <row r="17102" spans="1:9">
      <c r="A17102" s="22" t="str">
        <f>HYPERLINK("https://app.vivvix.com/360/KMI/IntelliDrive/ApplUI/Pages/CreativePages/CustomReportCreativeDetail.aspx?App=23&amp;ReportView=4&amp;Qid=1711279&amp;Row=17094&amp;Col=1","No Title Assigned - #15276695140")</f>
        <v/>
      </c>
      <c r="B17102" s="0" t="s">
        <v>22774</v>
      </c>
      <c r="E17102" s="0" t="inlineStr">
        <is>
          <t xml:space="preserve">Mazda</t>
        </is>
      </c>
      <c r="F17102" s="0" t="inlineStr">
        <is>
          <t xml:space="preserve">Mazda</t>
        </is>
      </c>
      <c r="G17102" s="0" t="s">
        <v>171</v>
      </c>
      <c r="H17102" s="5">
        <v>683.656800</v>
      </c>
    </row>
    <row r="17103" spans="1:9">
      <c r="A17103" s="22" t="str">
        <f>HYPERLINK("https://app.vivvix.com/360/KMI/IntelliDrive/ApplUI/Pages/CreativePages/CustomReportCreativeDetail.aspx?App=23&amp;ReportView=4&amp;Qid=1711279&amp;Row=17095&amp;Col=1","No Title Assigned - #15276695168")</f>
        <v/>
      </c>
      <c r="B17103" s="0" t="s">
        <v>22775</v>
      </c>
      <c r="E17103" s="0" t="inlineStr">
        <is>
          <t xml:space="preserve">Mazda</t>
        </is>
      </c>
      <c r="F17103" s="0" t="inlineStr">
        <is>
          <t xml:space="preserve">Mazda</t>
        </is>
      </c>
      <c r="G17103" s="0" t="s">
        <v>171</v>
      </c>
      <c r="H17103" s="5">
        <v>217.334400</v>
      </c>
    </row>
    <row r="17104" spans="1:9">
      <c r="A17104" s="22" t="str">
        <f>HYPERLINK("https://app.vivvix.com/360/KMI/IntelliDrive/ApplUI/Pages/CreativePages/CustomReportCreativeDetail.aspx?App=23&amp;ReportView=4&amp;Qid=1711279&amp;Row=17096&amp;Col=1","No Title Assigned - #15276695184")</f>
        <v/>
      </c>
      <c r="B17104" s="0" t="s">
        <v>22776</v>
      </c>
      <c r="E17104" s="0" t="inlineStr">
        <is>
          <t xml:space="preserve">Mazda</t>
        </is>
      </c>
      <c r="F17104" s="0" t="inlineStr">
        <is>
          <t xml:space="preserve">Mazda</t>
        </is>
      </c>
      <c r="G17104" s="0" t="s">
        <v>171</v>
      </c>
      <c r="H17104" s="5">
        <v>2452.756500</v>
      </c>
    </row>
    <row r="17105" spans="1:9">
      <c r="A17105" s="22" t="str">
        <f>HYPERLINK("https://app.vivvix.com/360/KMI/IntelliDrive/ApplUI/Pages/CreativePages/CustomReportCreativeDetail.aspx?App=23&amp;ReportView=4&amp;Qid=1711279&amp;Row=17097&amp;Col=1","No Title Assigned - #15276695184")</f>
        <v/>
      </c>
      <c r="B17105" s="0" t="s">
        <v>22776</v>
      </c>
      <c r="E17105" s="0" t="inlineStr">
        <is>
          <t xml:space="preserve">Mazda</t>
        </is>
      </c>
      <c r="F17105" s="0" t="inlineStr">
        <is>
          <t xml:space="preserve">Mazda</t>
        </is>
      </c>
      <c r="G17105" s="0" t="s">
        <v>171</v>
      </c>
      <c r="H17105" s="5">
        <v>547.127800</v>
      </c>
    </row>
    <row r="17106" spans="1:9">
      <c r="A17106" s="22" t="str">
        <f>HYPERLINK("https://app.vivvix.com/360/KMI/IntelliDrive/ApplUI/Pages/CreativePages/CustomReportCreativeDetail.aspx?App=23&amp;ReportView=4&amp;Qid=1711279&amp;Row=17098&amp;Col=1","No Title Assigned - #15276695192")</f>
        <v/>
      </c>
      <c r="B17106" s="0" t="s">
        <v>22777</v>
      </c>
      <c r="E17106" s="0" t="inlineStr">
        <is>
          <t xml:space="preserve">Mazda</t>
        </is>
      </c>
      <c r="F17106" s="0" t="inlineStr">
        <is>
          <t xml:space="preserve">Mazda</t>
        </is>
      </c>
      <c r="G17106" s="0" t="s">
        <v>171</v>
      </c>
      <c r="H17106" s="5">
        <v>80.400100</v>
      </c>
    </row>
    <row r="17107" spans="1:9">
      <c r="A17107" s="22" t="str">
        <f>HYPERLINK("https://app.vivvix.com/360/KMI/IntelliDrive/ApplUI/Pages/CreativePages/CustomReportCreativeDetail.aspx?App=23&amp;ReportView=4&amp;Qid=1711279&amp;Row=17099&amp;Col=1","No Title Assigned - #15276695232")</f>
        <v/>
      </c>
      <c r="B17107" s="0" t="s">
        <v>22778</v>
      </c>
      <c r="E17107" s="0" t="inlineStr">
        <is>
          <t xml:space="preserve">Mazda</t>
        </is>
      </c>
      <c r="F17107" s="0" t="inlineStr">
        <is>
          <t xml:space="preserve">Mazda</t>
        </is>
      </c>
      <c r="G17107" s="0" t="s">
        <v>171</v>
      </c>
      <c r="H17107" s="5">
        <v>56.851900</v>
      </c>
    </row>
    <row r="17108" spans="1:9">
      <c r="A17108" s="22" t="str">
        <f>HYPERLINK("https://app.vivvix.com/360/KMI/IntelliDrive/ApplUI/Pages/CreativePages/CustomReportCreativeDetail.aspx?App=23&amp;ReportView=4&amp;Qid=1711279&amp;Row=17100&amp;Col=1","No Title Assigned - #15276695273")</f>
        <v/>
      </c>
      <c r="B17108" s="0" t="s">
        <v>22779</v>
      </c>
      <c r="C17108" s="0" t="s">
        <v>22780</v>
      </c>
      <c r="D17108" s="0" t="s">
        <v>22780</v>
      </c>
      <c r="E17108" s="0" t="inlineStr">
        <is>
          <t xml:space="preserve">Mazda</t>
        </is>
      </c>
      <c r="F17108" s="0" t="inlineStr">
        <is>
          <t xml:space="preserve">Mazda</t>
        </is>
      </c>
      <c r="G17108" s="0" t="s">
        <v>171</v>
      </c>
      <c r="H17108" s="5">
        <v>35.527100</v>
      </c>
    </row>
    <row r="17109" spans="1:9">
      <c r="A17109" s="22" t="str">
        <f>HYPERLINK("https://app.vivvix.com/360/KMI/IntelliDrive/ApplUI/Pages/CreativePages/CustomReportCreativeDetail.aspx?App=23&amp;ReportView=4&amp;Qid=1711279&amp;Row=17101&amp;Col=1","No Title Assigned - #15276695302")</f>
        <v/>
      </c>
      <c r="B17109" s="0" t="s">
        <v>22781</v>
      </c>
      <c r="E17109" s="0" t="inlineStr">
        <is>
          <t xml:space="preserve">Mazda</t>
        </is>
      </c>
      <c r="F17109" s="0" t="inlineStr">
        <is>
          <t xml:space="preserve">Mazda</t>
        </is>
      </c>
      <c r="G17109" s="0" t="s">
        <v>171</v>
      </c>
      <c r="H17109" s="5">
        <v>1493.470300</v>
      </c>
    </row>
    <row r="17110" spans="1:9">
      <c r="A17110" s="22" t="str">
        <f>HYPERLINK("https://app.vivvix.com/360/KMI/IntelliDrive/ApplUI/Pages/CreativePages/CustomReportCreativeDetail.aspx?App=23&amp;ReportView=4&amp;Qid=1711279&amp;Row=17102&amp;Col=1","No Title Assigned - #15276695364")</f>
        <v/>
      </c>
      <c r="B17110" s="0" t="s">
        <v>22782</v>
      </c>
      <c r="E17110" s="0" t="inlineStr">
        <is>
          <t xml:space="preserve">Mazda</t>
        </is>
      </c>
      <c r="F17110" s="0" t="inlineStr">
        <is>
          <t xml:space="preserve">Mazda</t>
        </is>
      </c>
      <c r="G17110" s="0" t="s">
        <v>171</v>
      </c>
      <c r="H17110" s="5">
        <v>50.181300</v>
      </c>
    </row>
    <row r="17111" spans="1:9">
      <c r="A17111" s="22" t="str">
        <f>HYPERLINK("https://app.vivvix.com/360/KMI/IntelliDrive/ApplUI/Pages/CreativePages/CustomReportCreativeDetail.aspx?App=23&amp;ReportView=4&amp;Qid=1711279&amp;Row=17103&amp;Col=1","No Title Assigned - #15276695372")</f>
        <v/>
      </c>
      <c r="B17111" s="0" t="s">
        <v>22783</v>
      </c>
      <c r="E17111" s="0" t="inlineStr">
        <is>
          <t xml:space="preserve">Mazda</t>
        </is>
      </c>
      <c r="F17111" s="0" t="inlineStr">
        <is>
          <t xml:space="preserve">Mazda</t>
        </is>
      </c>
      <c r="G17111" s="0" t="s">
        <v>171</v>
      </c>
      <c r="H17111" s="5">
        <v>209807.930100</v>
      </c>
    </row>
    <row r="17112" spans="1:9">
      <c r="A17112" s="22" t="str">
        <f>HYPERLINK("https://app.vivvix.com/360/KMI/IntelliDrive/ApplUI/Pages/CreativePages/CustomReportCreativeDetail.aspx?App=23&amp;ReportView=4&amp;Qid=1711279&amp;Row=17104&amp;Col=1","No Title Assigned - #15276695372")</f>
        <v/>
      </c>
      <c r="B17112" s="0" t="s">
        <v>22783</v>
      </c>
      <c r="E17112" s="0" t="inlineStr">
        <is>
          <t xml:space="preserve">Mazda</t>
        </is>
      </c>
      <c r="F17112" s="0" t="inlineStr">
        <is>
          <t xml:space="preserve">Mazda</t>
        </is>
      </c>
      <c r="G17112" s="0" t="s">
        <v>171</v>
      </c>
      <c r="H17112" s="5">
        <v>17963.050600</v>
      </c>
    </row>
    <row r="17113" spans="1:9">
      <c r="A17113" s="22" t="str">
        <f>HYPERLINK("https://app.vivvix.com/360/KMI/IntelliDrive/ApplUI/Pages/CreativePages/CustomReportCreativeDetail.aspx?App=23&amp;ReportView=4&amp;Qid=1711279&amp;Row=17105&amp;Col=1","No Title Assigned - #15276695375")</f>
        <v/>
      </c>
      <c r="B17113" s="0" t="s">
        <v>22784</v>
      </c>
      <c r="E17113" s="0" t="inlineStr">
        <is>
          <t xml:space="preserve">Mazda</t>
        </is>
      </c>
      <c r="F17113" s="0" t="inlineStr">
        <is>
          <t xml:space="preserve">Mazda</t>
        </is>
      </c>
      <c r="G17113" s="0" t="s">
        <v>171</v>
      </c>
      <c r="H17113" s="5">
        <v>354.133300</v>
      </c>
    </row>
    <row r="17114" spans="1:9">
      <c r="A17114" s="22" t="str">
        <f>HYPERLINK("https://app.vivvix.com/360/KMI/IntelliDrive/ApplUI/Pages/CreativePages/CustomReportCreativeDetail.aspx?App=23&amp;ReportView=4&amp;Qid=1711279&amp;Row=17106&amp;Col=1","No Title Assigned - #15276695382")</f>
        <v/>
      </c>
      <c r="B17114" s="0" t="s">
        <v>22785</v>
      </c>
      <c r="E17114" s="0" t="inlineStr">
        <is>
          <t xml:space="preserve">Mazda</t>
        </is>
      </c>
      <c r="F17114" s="0" t="inlineStr">
        <is>
          <t xml:space="preserve">Mazda</t>
        </is>
      </c>
      <c r="G17114" s="0" t="s">
        <v>171</v>
      </c>
      <c r="H17114" s="5">
        <v>558.504300</v>
      </c>
    </row>
    <row r="17115" spans="1:9">
      <c r="A17115" s="22" t="str">
        <f>HYPERLINK("https://app.vivvix.com/360/KMI/IntelliDrive/ApplUI/Pages/CreativePages/CustomReportCreativeDetail.aspx?App=23&amp;ReportView=4&amp;Qid=1711279&amp;Row=17107&amp;Col=1","No Title Assigned - #15276695449")</f>
        <v/>
      </c>
      <c r="B17115" s="0" t="s">
        <v>22786</v>
      </c>
      <c r="E17115" s="0" t="inlineStr">
        <is>
          <t xml:space="preserve">Mazda</t>
        </is>
      </c>
      <c r="F17115" s="0" t="inlineStr">
        <is>
          <t xml:space="preserve">Mazda</t>
        </is>
      </c>
      <c r="G17115" s="0" t="s">
        <v>171</v>
      </c>
      <c r="H17115" s="5">
        <v>16.543400</v>
      </c>
    </row>
    <row r="17116" spans="1:9">
      <c r="A17116" s="22" t="str">
        <f>HYPERLINK("https://app.vivvix.com/360/KMI/IntelliDrive/ApplUI/Pages/CreativePages/CustomReportCreativeDetail.aspx?App=23&amp;ReportView=4&amp;Qid=1711279&amp;Row=17108&amp;Col=1","No Title Assigned - #15276695487")</f>
        <v/>
      </c>
      <c r="B17116" s="0" t="s">
        <v>22787</v>
      </c>
      <c r="E17116" s="0" t="inlineStr">
        <is>
          <t xml:space="preserve">Mazda</t>
        </is>
      </c>
      <c r="F17116" s="0" t="inlineStr">
        <is>
          <t xml:space="preserve">Mazda</t>
        </is>
      </c>
      <c r="G17116" s="0" t="s">
        <v>171</v>
      </c>
      <c r="H17116" s="5">
        <v>1193.815800</v>
      </c>
    </row>
    <row r="17117" spans="1:9">
      <c r="A17117" s="22" t="str">
        <f>HYPERLINK("https://app.vivvix.com/360/KMI/IntelliDrive/ApplUI/Pages/CreativePages/CustomReportCreativeDetail.aspx?App=23&amp;ReportView=4&amp;Qid=1711279&amp;Row=17109&amp;Col=1","No Title Assigned - #15276695551")</f>
        <v/>
      </c>
      <c r="B17117" s="0" t="s">
        <v>22788</v>
      </c>
      <c r="C17117" s="0" t="s">
        <v>22789</v>
      </c>
      <c r="D17117" s="0" t="s">
        <v>22789</v>
      </c>
      <c r="E17117" s="0" t="inlineStr">
        <is>
          <t xml:space="preserve">Mazda</t>
        </is>
      </c>
      <c r="F17117" s="0" t="inlineStr">
        <is>
          <t xml:space="preserve">Mazda</t>
        </is>
      </c>
      <c r="G17117" s="0" t="s">
        <v>171</v>
      </c>
      <c r="H17117" s="5">
        <v>1163.546900</v>
      </c>
    </row>
    <row r="17118" spans="1:9">
      <c r="A17118" s="22" t="str">
        <f>HYPERLINK("https://app.vivvix.com/360/KMI/IntelliDrive/ApplUI/Pages/CreativePages/CustomReportCreativeDetail.aspx?App=23&amp;ReportView=4&amp;Qid=1711279&amp;Row=17110&amp;Col=1","No Title Assigned - #15276695555")</f>
        <v/>
      </c>
      <c r="B17118" s="0" t="s">
        <v>22790</v>
      </c>
      <c r="E17118" s="0" t="inlineStr">
        <is>
          <t xml:space="preserve">Mazda</t>
        </is>
      </c>
      <c r="F17118" s="0" t="inlineStr">
        <is>
          <t xml:space="preserve">Mazda</t>
        </is>
      </c>
      <c r="G17118" s="0" t="s">
        <v>171</v>
      </c>
      <c r="H17118" s="5">
        <v>607.200600</v>
      </c>
    </row>
    <row r="17119" spans="1:9">
      <c r="A17119" s="22" t="str">
        <f>HYPERLINK("https://app.vivvix.com/360/KMI/IntelliDrive/ApplUI/Pages/CreativePages/CustomReportCreativeDetail.aspx?App=23&amp;ReportView=4&amp;Qid=1711279&amp;Row=17111&amp;Col=1","No Title Assigned - #15276695563")</f>
        <v/>
      </c>
      <c r="B17119" s="0" t="s">
        <v>22791</v>
      </c>
      <c r="E17119" s="0" t="inlineStr">
        <is>
          <t xml:space="preserve">Mazda</t>
        </is>
      </c>
      <c r="F17119" s="0" t="inlineStr">
        <is>
          <t xml:space="preserve">Mazda</t>
        </is>
      </c>
      <c r="G17119" s="0" t="s">
        <v>171</v>
      </c>
      <c r="H17119" s="5">
        <v>3579.464400</v>
      </c>
    </row>
    <row r="17120" spans="1:9">
      <c r="A17120" s="22" t="str">
        <f>HYPERLINK("https://app.vivvix.com/360/KMI/IntelliDrive/ApplUI/Pages/CreativePages/CustomReportCreativeDetail.aspx?App=23&amp;ReportView=4&amp;Qid=1711279&amp;Row=17112&amp;Col=1","No Title Assigned - #15276695578")</f>
        <v/>
      </c>
      <c r="B17120" s="0" t="s">
        <v>22792</v>
      </c>
      <c r="C17120" s="0" t="s">
        <v>22793</v>
      </c>
      <c r="D17120" s="0" t="s">
        <v>22793</v>
      </c>
      <c r="E17120" s="0" t="inlineStr">
        <is>
          <t xml:space="preserve">Mazda</t>
        </is>
      </c>
      <c r="F17120" s="0" t="inlineStr">
        <is>
          <t xml:space="preserve">Mazda</t>
        </is>
      </c>
      <c r="G17120" s="0" t="s">
        <v>171</v>
      </c>
      <c r="H17120" s="5">
        <v>9030.010900</v>
      </c>
    </row>
    <row r="17121" spans="1:9">
      <c r="A17121" s="22" t="str">
        <f>HYPERLINK("https://app.vivvix.com/360/KMI/IntelliDrive/ApplUI/Pages/CreativePages/CustomReportCreativeDetail.aspx?App=23&amp;ReportView=4&amp;Qid=1711279&amp;Row=17113&amp;Col=1","No Title Assigned - #15276695582")</f>
        <v/>
      </c>
      <c r="B17121" s="0" t="s">
        <v>22794</v>
      </c>
      <c r="E17121" s="0" t="inlineStr">
        <is>
          <t xml:space="preserve">Mazda</t>
        </is>
      </c>
      <c r="F17121" s="0" t="inlineStr">
        <is>
          <t xml:space="preserve">Mazda</t>
        </is>
      </c>
      <c r="G17121" s="0" t="s">
        <v>171</v>
      </c>
      <c r="H17121" s="5">
        <v>26.216700</v>
      </c>
    </row>
    <row r="17122" spans="1:9">
      <c r="A17122" s="22" t="str">
        <f>HYPERLINK("https://app.vivvix.com/360/KMI/IntelliDrive/ApplUI/Pages/CreativePages/CustomReportCreativeDetail.aspx?App=23&amp;ReportView=4&amp;Qid=1711279&amp;Row=17114&amp;Col=1","No Title Assigned - #15276695606")</f>
        <v/>
      </c>
      <c r="B17122" s="0" t="s">
        <v>22795</v>
      </c>
      <c r="E17122" s="0" t="inlineStr">
        <is>
          <t xml:space="preserve">Mazda</t>
        </is>
      </c>
      <c r="F17122" s="0" t="inlineStr">
        <is>
          <t xml:space="preserve">Mazda</t>
        </is>
      </c>
      <c r="G17122" s="0" t="s">
        <v>171</v>
      </c>
      <c r="H17122" s="5">
        <v>1061.659300</v>
      </c>
    </row>
    <row r="17123" spans="1:9">
      <c r="A17123" s="22" t="str">
        <f>HYPERLINK("https://app.vivvix.com/360/KMI/IntelliDrive/ApplUI/Pages/CreativePages/CustomReportCreativeDetail.aspx?App=23&amp;ReportView=4&amp;Qid=1711279&amp;Row=17115&amp;Col=1","No Title Assigned - #15276695629")</f>
        <v/>
      </c>
      <c r="B17123" s="0" t="s">
        <v>22796</v>
      </c>
      <c r="E17123" s="0" t="inlineStr">
        <is>
          <t xml:space="preserve">Mazda</t>
        </is>
      </c>
      <c r="F17123" s="0" t="inlineStr">
        <is>
          <t xml:space="preserve">Mazda</t>
        </is>
      </c>
      <c r="G17123" s="0" t="s">
        <v>171</v>
      </c>
      <c r="H17123" s="5">
        <v>1847.901500</v>
      </c>
    </row>
    <row r="17124" spans="1:9">
      <c r="A17124" s="22" t="str">
        <f>HYPERLINK("https://app.vivvix.com/360/KMI/IntelliDrive/ApplUI/Pages/CreativePages/CustomReportCreativeDetail.aspx?App=23&amp;ReportView=4&amp;Qid=1711279&amp;Row=17116&amp;Col=1","No Title Assigned - #15276695659")</f>
        <v/>
      </c>
      <c r="B17124" s="0" t="s">
        <v>22797</v>
      </c>
      <c r="E17124" s="0" t="inlineStr">
        <is>
          <t xml:space="preserve">Mazda</t>
        </is>
      </c>
      <c r="F17124" s="0" t="inlineStr">
        <is>
          <t xml:space="preserve">Mazda</t>
        </is>
      </c>
      <c r="G17124" s="0" t="s">
        <v>171</v>
      </c>
      <c r="H17124" s="5">
        <v>50.181300</v>
      </c>
    </row>
    <row r="17125" spans="1:9">
      <c r="A17125" s="22" t="str">
        <f>HYPERLINK("https://app.vivvix.com/360/KMI/IntelliDrive/ApplUI/Pages/CreativePages/CustomReportCreativeDetail.aspx?App=23&amp;ReportView=4&amp;Qid=1711279&amp;Row=17117&amp;Col=1","No Title Assigned - #15276695664")</f>
        <v/>
      </c>
      <c r="B17125" s="0" t="s">
        <v>22798</v>
      </c>
      <c r="E17125" s="0" t="inlineStr">
        <is>
          <t xml:space="preserve">Mazda</t>
        </is>
      </c>
      <c r="F17125" s="0" t="inlineStr">
        <is>
          <t xml:space="preserve">Mazda</t>
        </is>
      </c>
      <c r="G17125" s="0" t="s">
        <v>171</v>
      </c>
      <c r="H17125" s="5">
        <v>365.290600</v>
      </c>
    </row>
    <row r="17126" spans="1:9">
      <c r="A17126" s="22" t="str">
        <f>HYPERLINK("https://app.vivvix.com/360/KMI/IntelliDrive/ApplUI/Pages/CreativePages/CustomReportCreativeDetail.aspx?App=23&amp;ReportView=4&amp;Qid=1711279&amp;Row=17118&amp;Col=1","No Title Assigned - #15276695676")</f>
        <v/>
      </c>
      <c r="B17126" s="0" t="s">
        <v>22799</v>
      </c>
      <c r="E17126" s="0" t="inlineStr">
        <is>
          <t xml:space="preserve">Mazda</t>
        </is>
      </c>
      <c r="F17126" s="0" t="inlineStr">
        <is>
          <t xml:space="preserve">Mazda</t>
        </is>
      </c>
      <c r="G17126" s="0" t="s">
        <v>171</v>
      </c>
      <c r="H17126" s="5">
        <v>212.083600</v>
      </c>
    </row>
    <row r="17127" spans="1:9">
      <c r="A17127" s="22" t="str">
        <f>HYPERLINK("https://app.vivvix.com/360/KMI/IntelliDrive/ApplUI/Pages/CreativePages/CustomReportCreativeDetail.aspx?App=23&amp;ReportView=4&amp;Qid=1711279&amp;Row=17119&amp;Col=1","No Title Assigned - #15276695700")</f>
        <v/>
      </c>
      <c r="B17127" s="0" t="s">
        <v>22800</v>
      </c>
      <c r="E17127" s="0" t="inlineStr">
        <is>
          <t xml:space="preserve">Mazda</t>
        </is>
      </c>
      <c r="F17127" s="0" t="inlineStr">
        <is>
          <t xml:space="preserve">Mazda</t>
        </is>
      </c>
      <c r="G17127" s="0" t="s">
        <v>171</v>
      </c>
      <c r="H17127" s="5">
        <v>318.745600</v>
      </c>
    </row>
    <row r="17128" spans="1:9">
      <c r="A17128" s="22" t="str">
        <f>HYPERLINK("https://app.vivvix.com/360/KMI/IntelliDrive/ApplUI/Pages/CreativePages/CustomReportCreativeDetail.aspx?App=23&amp;ReportView=4&amp;Qid=1711279&amp;Row=17120&amp;Col=1","No Title Assigned - #15276695726")</f>
        <v/>
      </c>
      <c r="B17128" s="0" t="s">
        <v>22801</v>
      </c>
      <c r="E17128" s="0" t="inlineStr">
        <is>
          <t xml:space="preserve">Mazda</t>
        </is>
      </c>
      <c r="F17128" s="0" t="inlineStr">
        <is>
          <t xml:space="preserve">Mazda</t>
        </is>
      </c>
      <c r="G17128" s="0" t="s">
        <v>171</v>
      </c>
      <c r="H17128" s="5">
        <v>8128.121100</v>
      </c>
    </row>
    <row r="17129" spans="1:9">
      <c r="A17129" s="22" t="str">
        <f>HYPERLINK("https://app.vivvix.com/360/KMI/IntelliDrive/ApplUI/Pages/CreativePages/CustomReportCreativeDetail.aspx?App=23&amp;ReportView=4&amp;Qid=1711279&amp;Row=17121&amp;Col=1","No Title Assigned - #15276695771")</f>
        <v/>
      </c>
      <c r="B17129" s="0" t="s">
        <v>22802</v>
      </c>
      <c r="E17129" s="0" t="inlineStr">
        <is>
          <t xml:space="preserve">Mazda</t>
        </is>
      </c>
      <c r="F17129" s="0" t="inlineStr">
        <is>
          <t xml:space="preserve">Mazda</t>
        </is>
      </c>
      <c r="G17129" s="0" t="s">
        <v>171</v>
      </c>
      <c r="H17129" s="5">
        <v>57624.369200</v>
      </c>
    </row>
    <row r="17130" spans="1:9">
      <c r="A17130" s="22" t="str">
        <f>HYPERLINK("https://app.vivvix.com/360/KMI/IntelliDrive/ApplUI/Pages/CreativePages/CustomReportCreativeDetail.aspx?App=23&amp;ReportView=4&amp;Qid=1711279&amp;Row=17122&amp;Col=1","No Title Assigned - #15276695771")</f>
        <v/>
      </c>
      <c r="B17130" s="0" t="s">
        <v>22802</v>
      </c>
      <c r="E17130" s="0" t="inlineStr">
        <is>
          <t xml:space="preserve">Mazda</t>
        </is>
      </c>
      <c r="F17130" s="0" t="inlineStr">
        <is>
          <t xml:space="preserve">Mazda</t>
        </is>
      </c>
      <c r="G17130" s="0" t="s">
        <v>171</v>
      </c>
      <c r="H17130" s="5">
        <v>29050.104100</v>
      </c>
    </row>
    <row r="17131" spans="1:9">
      <c r="A17131" s="22" t="str">
        <f>HYPERLINK("https://app.vivvix.com/360/KMI/IntelliDrive/ApplUI/Pages/CreativePages/CustomReportCreativeDetail.aspx?App=23&amp;ReportView=4&amp;Qid=1711279&amp;Row=17123&amp;Col=1","No Title Assigned - #15276695772")</f>
        <v/>
      </c>
      <c r="B17131" s="0" t="s">
        <v>22803</v>
      </c>
      <c r="E17131" s="0" t="inlineStr">
        <is>
          <t xml:space="preserve">Mazda</t>
        </is>
      </c>
      <c r="F17131" s="0" t="inlineStr">
        <is>
          <t xml:space="preserve">Mazda</t>
        </is>
      </c>
      <c r="G17131" s="0" t="s">
        <v>171</v>
      </c>
      <c r="H17131" s="5">
        <v>15375.844500</v>
      </c>
    </row>
    <row r="17132" spans="1:9">
      <c r="A17132" s="22" t="str">
        <f>HYPERLINK("https://app.vivvix.com/360/KMI/IntelliDrive/ApplUI/Pages/CreativePages/CustomReportCreativeDetail.aspx?App=23&amp;ReportView=4&amp;Qid=1711279&amp;Row=17124&amp;Col=1","No Title Assigned - #15276695772")</f>
        <v/>
      </c>
      <c r="B17132" s="0" t="s">
        <v>22803</v>
      </c>
      <c r="E17132" s="0" t="inlineStr">
        <is>
          <t xml:space="preserve">Mazda</t>
        </is>
      </c>
      <c r="F17132" s="0" t="inlineStr">
        <is>
          <t xml:space="preserve">Mazda</t>
        </is>
      </c>
      <c r="G17132" s="0" t="s">
        <v>171</v>
      </c>
      <c r="H17132" s="5">
        <v>10346.046400</v>
      </c>
    </row>
    <row r="17133" spans="1:9">
      <c r="A17133" s="22" t="str">
        <f>HYPERLINK("https://app.vivvix.com/360/KMI/IntelliDrive/ApplUI/Pages/CreativePages/CustomReportCreativeDetail.aspx?App=23&amp;ReportView=4&amp;Qid=1711279&amp;Row=17125&amp;Col=1","No Title Assigned - #15276695781")</f>
        <v/>
      </c>
      <c r="B17133" s="0" t="s">
        <v>22804</v>
      </c>
      <c r="E17133" s="0" t="inlineStr">
        <is>
          <t xml:space="preserve">Mazda</t>
        </is>
      </c>
      <c r="F17133" s="0" t="inlineStr">
        <is>
          <t xml:space="preserve">Mazda</t>
        </is>
      </c>
      <c r="G17133" s="0" t="s">
        <v>171</v>
      </c>
      <c r="H17133" s="5">
        <v>42.014200</v>
      </c>
    </row>
    <row r="17134" spans="1:9">
      <c r="A17134" s="22" t="str">
        <f>HYPERLINK("https://app.vivvix.com/360/KMI/IntelliDrive/ApplUI/Pages/CreativePages/CustomReportCreativeDetail.aspx?App=23&amp;ReportView=4&amp;Qid=1711279&amp;Row=17126&amp;Col=1","No Title Assigned - #15276695783")</f>
        <v/>
      </c>
      <c r="B17134" s="0" t="s">
        <v>22805</v>
      </c>
      <c r="E17134" s="0" t="inlineStr">
        <is>
          <t xml:space="preserve">Mazda</t>
        </is>
      </c>
      <c r="F17134" s="0" t="inlineStr">
        <is>
          <t xml:space="preserve">Mazda</t>
        </is>
      </c>
      <c r="G17134" s="0" t="s">
        <v>171</v>
      </c>
      <c r="H17134" s="5">
        <v>3758.847000</v>
      </c>
    </row>
    <row r="17135" spans="1:9">
      <c r="A17135" s="22" t="str">
        <f>HYPERLINK("https://app.vivvix.com/360/KMI/IntelliDrive/ApplUI/Pages/CreativePages/CustomReportCreativeDetail.aspx?App=23&amp;ReportView=4&amp;Qid=1711279&amp;Row=17127&amp;Col=1","No Title Assigned - #15276695844")</f>
        <v/>
      </c>
      <c r="B17135" s="0" t="s">
        <v>22806</v>
      </c>
      <c r="E17135" s="0" t="inlineStr">
        <is>
          <t xml:space="preserve">Mazda</t>
        </is>
      </c>
      <c r="F17135" s="0" t="inlineStr">
        <is>
          <t xml:space="preserve">Mazda</t>
        </is>
      </c>
      <c r="G17135" s="0" t="s">
        <v>171</v>
      </c>
      <c r="H17135" s="5">
        <v>136.212000</v>
      </c>
    </row>
    <row r="17136" spans="1:9">
      <c r="A17136" s="22" t="str">
        <f>HYPERLINK("https://app.vivvix.com/360/KMI/IntelliDrive/ApplUI/Pages/CreativePages/CustomReportCreativeDetail.aspx?App=23&amp;ReportView=4&amp;Qid=1711279&amp;Row=17128&amp;Col=1","No Title Assigned - #15276695850")</f>
        <v/>
      </c>
      <c r="B17136" s="0" t="s">
        <v>22807</v>
      </c>
      <c r="E17136" s="0" t="inlineStr">
        <is>
          <t xml:space="preserve">Mazda</t>
        </is>
      </c>
      <c r="F17136" s="0" t="inlineStr">
        <is>
          <t xml:space="preserve">Mazda</t>
        </is>
      </c>
      <c r="G17136" s="0" t="s">
        <v>171</v>
      </c>
      <c r="H17136" s="5">
        <v>171.771900</v>
      </c>
    </row>
    <row r="17137" spans="1:9">
      <c r="A17137" s="22" t="str">
        <f>HYPERLINK("https://app.vivvix.com/360/KMI/IntelliDrive/ApplUI/Pages/CreativePages/CustomReportCreativeDetail.aspx?App=23&amp;ReportView=4&amp;Qid=1711279&amp;Row=17129&amp;Col=1","No Title Assigned - #15276695904")</f>
        <v/>
      </c>
      <c r="B17137" s="0" t="s">
        <v>22808</v>
      </c>
      <c r="E17137" s="0" t="inlineStr">
        <is>
          <t xml:space="preserve">Mazda</t>
        </is>
      </c>
      <c r="F17137" s="0" t="inlineStr">
        <is>
          <t xml:space="preserve">Mazda</t>
        </is>
      </c>
      <c r="G17137" s="0" t="s">
        <v>171</v>
      </c>
      <c r="H17137" s="5">
        <v>36.981100</v>
      </c>
    </row>
    <row r="17138" spans="1:9">
      <c r="A17138" s="22" t="str">
        <f>HYPERLINK("https://app.vivvix.com/360/KMI/IntelliDrive/ApplUI/Pages/CreativePages/CustomReportCreativeDetail.aspx?App=23&amp;ReportView=4&amp;Qid=1711279&amp;Row=17130&amp;Col=1","No Title Assigned - #15276695987")</f>
        <v/>
      </c>
      <c r="B17138" s="0" t="s">
        <v>22809</v>
      </c>
      <c r="E17138" s="0" t="inlineStr">
        <is>
          <t xml:space="preserve">Mazda</t>
        </is>
      </c>
      <c r="F17138" s="0" t="inlineStr">
        <is>
          <t xml:space="preserve">Mazda</t>
        </is>
      </c>
      <c r="G17138" s="0" t="s">
        <v>171</v>
      </c>
      <c r="H17138" s="5">
        <v>629.206500</v>
      </c>
    </row>
    <row r="17139" spans="1:9">
      <c r="A17139" s="22" t="str">
        <f>HYPERLINK("https://app.vivvix.com/360/KMI/IntelliDrive/ApplUI/Pages/CreativePages/CustomReportCreativeDetail.aspx?App=23&amp;ReportView=4&amp;Qid=1711279&amp;Row=17131&amp;Col=1","No Title Assigned - #15276695991")</f>
        <v/>
      </c>
      <c r="B17139" s="0" t="s">
        <v>22810</v>
      </c>
      <c r="C17139" s="0" t="s">
        <v>22811</v>
      </c>
      <c r="D17139" s="0" t="s">
        <v>22811</v>
      </c>
      <c r="E17139" s="0" t="inlineStr">
        <is>
          <t xml:space="preserve">Mazda</t>
        </is>
      </c>
      <c r="F17139" s="0" t="inlineStr">
        <is>
          <t xml:space="preserve">Mazda</t>
        </is>
      </c>
      <c r="G17139" s="0" t="s">
        <v>171</v>
      </c>
      <c r="H17139" s="5">
        <v>2355.124000</v>
      </c>
    </row>
    <row r="17140" spans="1:9">
      <c r="A17140" s="22" t="str">
        <f>HYPERLINK("https://app.vivvix.com/360/KMI/IntelliDrive/ApplUI/Pages/CreativePages/CustomReportCreativeDetail.aspx?App=23&amp;ReportView=4&amp;Qid=1711279&amp;Row=17132&amp;Col=1","No Title Assigned - #15276696002")</f>
        <v/>
      </c>
      <c r="B17140" s="0" t="s">
        <v>22812</v>
      </c>
      <c r="E17140" s="0" t="inlineStr">
        <is>
          <t xml:space="preserve">Mazda</t>
        </is>
      </c>
      <c r="F17140" s="0" t="inlineStr">
        <is>
          <t xml:space="preserve">Mazda</t>
        </is>
      </c>
      <c r="G17140" s="0" t="s">
        <v>171</v>
      </c>
      <c r="H17140" s="5">
        <v>297.652900</v>
      </c>
    </row>
    <row r="17141" spans="1:9">
      <c r="A17141" s="22" t="str">
        <f>HYPERLINK("https://app.vivvix.com/360/KMI/IntelliDrive/ApplUI/Pages/CreativePages/CustomReportCreativeDetail.aspx?App=23&amp;ReportView=4&amp;Qid=1711279&amp;Row=17133&amp;Col=1","No Title Assigned - #15276696007")</f>
        <v/>
      </c>
      <c r="B17141" s="0" t="s">
        <v>22813</v>
      </c>
      <c r="E17141" s="0" t="inlineStr">
        <is>
          <t xml:space="preserve">Mazda</t>
        </is>
      </c>
      <c r="F17141" s="0" t="inlineStr">
        <is>
          <t xml:space="preserve">Mazda</t>
        </is>
      </c>
      <c r="G17141" s="0" t="s">
        <v>171</v>
      </c>
      <c r="H17141" s="5">
        <v>524.570700</v>
      </c>
    </row>
    <row r="17142" spans="1:9">
      <c r="A17142" s="22" t="str">
        <f>HYPERLINK("https://app.vivvix.com/360/KMI/IntelliDrive/ApplUI/Pages/CreativePages/CustomReportCreativeDetail.aspx?App=23&amp;ReportView=4&amp;Qid=1711279&amp;Row=17134&amp;Col=1","No Title Assigned - #15276696007")</f>
        <v/>
      </c>
      <c r="B17142" s="0" t="s">
        <v>22813</v>
      </c>
      <c r="E17142" s="0" t="inlineStr">
        <is>
          <t xml:space="preserve">Mazda</t>
        </is>
      </c>
      <c r="F17142" s="0" t="inlineStr">
        <is>
          <t xml:space="preserve">Mazda</t>
        </is>
      </c>
      <c r="G17142" s="0" t="s">
        <v>171</v>
      </c>
      <c r="H17142" s="5">
        <v>2724.946300</v>
      </c>
    </row>
    <row r="17143" spans="1:9">
      <c r="A17143" s="22" t="str">
        <f>HYPERLINK("https://app.vivvix.com/360/KMI/IntelliDrive/ApplUI/Pages/CreativePages/CustomReportCreativeDetail.aspx?App=23&amp;ReportView=4&amp;Qid=1711279&amp;Row=17135&amp;Col=1","No Title Assigned - #15276696042")</f>
        <v/>
      </c>
      <c r="B17143" s="0" t="s">
        <v>22814</v>
      </c>
      <c r="E17143" s="0" t="inlineStr">
        <is>
          <t xml:space="preserve">Mazda</t>
        </is>
      </c>
      <c r="F17143" s="0" t="inlineStr">
        <is>
          <t xml:space="preserve">Mazda</t>
        </is>
      </c>
      <c r="G17143" s="0" t="s">
        <v>171</v>
      </c>
      <c r="H17143" s="5">
        <v>149.283500</v>
      </c>
    </row>
    <row r="17144" spans="1:9">
      <c r="A17144" s="22" t="str">
        <f>HYPERLINK("https://app.vivvix.com/360/KMI/IntelliDrive/ApplUI/Pages/CreativePages/CustomReportCreativeDetail.aspx?App=23&amp;ReportView=4&amp;Qid=1711279&amp;Row=17136&amp;Col=1","No Title Assigned - #15276696046")</f>
        <v/>
      </c>
      <c r="B17144" s="0" t="s">
        <v>22815</v>
      </c>
      <c r="E17144" s="0" t="inlineStr">
        <is>
          <t xml:space="preserve">Mazda</t>
        </is>
      </c>
      <c r="F17144" s="0" t="inlineStr">
        <is>
          <t xml:space="preserve">Mazda</t>
        </is>
      </c>
      <c r="G17144" s="0" t="s">
        <v>171</v>
      </c>
      <c r="H17144" s="5">
        <v>237.909400</v>
      </c>
    </row>
    <row r="17145" spans="1:9">
      <c r="A17145" s="22" t="str">
        <f>HYPERLINK("https://app.vivvix.com/360/KMI/IntelliDrive/ApplUI/Pages/CreativePages/CustomReportCreativeDetail.aspx?App=23&amp;ReportView=4&amp;Qid=1711279&amp;Row=17137&amp;Col=1","No Title Assigned - #15276696054")</f>
        <v/>
      </c>
      <c r="B17145" s="0" t="s">
        <v>22816</v>
      </c>
      <c r="E17145" s="0" t="inlineStr">
        <is>
          <t xml:space="preserve">Mazda</t>
        </is>
      </c>
      <c r="F17145" s="0" t="inlineStr">
        <is>
          <t xml:space="preserve">Mazda</t>
        </is>
      </c>
      <c r="G17145" s="0" t="s">
        <v>171</v>
      </c>
      <c r="H17145" s="5">
        <v>122.824000</v>
      </c>
    </row>
    <row r="17146" spans="1:9">
      <c r="A17146" s="22" t="str">
        <f>HYPERLINK("https://app.vivvix.com/360/KMI/IntelliDrive/ApplUI/Pages/CreativePages/CustomReportCreativeDetail.aspx?App=23&amp;ReportView=4&amp;Qid=1711279&amp;Row=17138&amp;Col=1","No Title Assigned - #15276696743")</f>
        <v/>
      </c>
      <c r="B17146" s="0" t="s">
        <v>22817</v>
      </c>
      <c r="E17146" s="0" t="inlineStr">
        <is>
          <t xml:space="preserve">Mazda</t>
        </is>
      </c>
      <c r="F17146" s="0" t="inlineStr">
        <is>
          <t xml:space="preserve">Mazda</t>
        </is>
      </c>
      <c r="G17146" s="0" t="s">
        <v>171</v>
      </c>
      <c r="H17146" s="5">
        <v>4733.571300</v>
      </c>
    </row>
    <row r="17147" spans="1:9">
      <c r="A17147" s="22" t="str">
        <f>HYPERLINK("https://app.vivvix.com/360/KMI/IntelliDrive/ApplUI/Pages/CreativePages/CustomReportCreativeDetail.aspx?App=23&amp;ReportView=4&amp;Qid=1711279&amp;Row=17139&amp;Col=1","No Title Assigned - #15276696751")</f>
        <v/>
      </c>
      <c r="B17147" s="0" t="s">
        <v>22818</v>
      </c>
      <c r="E17147" s="0" t="inlineStr">
        <is>
          <t xml:space="preserve">Mazda</t>
        </is>
      </c>
      <c r="F17147" s="0" t="inlineStr">
        <is>
          <t xml:space="preserve">Mazda</t>
        </is>
      </c>
      <c r="G17147" s="0" t="s">
        <v>171</v>
      </c>
      <c r="H17147" s="5">
        <v>7909.109900</v>
      </c>
    </row>
    <row r="17148" spans="1:9">
      <c r="A17148" s="22" t="str">
        <f>HYPERLINK("https://app.vivvix.com/360/KMI/IntelliDrive/ApplUI/Pages/CreativePages/CustomReportCreativeDetail.aspx?App=23&amp;ReportView=4&amp;Qid=1711279&amp;Row=17140&amp;Col=1","No Title Assigned - #15276696755")</f>
        <v/>
      </c>
      <c r="B17148" s="0" t="s">
        <v>22819</v>
      </c>
      <c r="E17148" s="0" t="inlineStr">
        <is>
          <t xml:space="preserve">Mazda</t>
        </is>
      </c>
      <c r="F17148" s="0" t="inlineStr">
        <is>
          <t xml:space="preserve">Mazda</t>
        </is>
      </c>
      <c r="G17148" s="0" t="s">
        <v>171</v>
      </c>
      <c r="H17148" s="5">
        <v>2042.771500</v>
      </c>
    </row>
    <row r="17149" spans="1:9">
      <c r="A17149" s="22" t="str">
        <f>HYPERLINK("https://app.vivvix.com/360/KMI/IntelliDrive/ApplUI/Pages/CreativePages/CustomReportCreativeDetail.aspx?App=23&amp;ReportView=4&amp;Qid=1711279&amp;Row=17141&amp;Col=1","No Title Assigned - #15276696755")</f>
        <v/>
      </c>
      <c r="B17149" s="0" t="s">
        <v>22819</v>
      </c>
      <c r="E17149" s="0" t="inlineStr">
        <is>
          <t xml:space="preserve">Mazda</t>
        </is>
      </c>
      <c r="F17149" s="0" t="inlineStr">
        <is>
          <t xml:space="preserve">Mazda</t>
        </is>
      </c>
      <c r="G17149" s="0" t="s">
        <v>171</v>
      </c>
      <c r="H17149" s="5">
        <v>14559.912700</v>
      </c>
    </row>
    <row r="17150" spans="1:9">
      <c r="A17150" s="22" t="str">
        <f>HYPERLINK("https://app.vivvix.com/360/KMI/IntelliDrive/ApplUI/Pages/CreativePages/CustomReportCreativeDetail.aspx?App=23&amp;ReportView=4&amp;Qid=1711279&amp;Row=17142&amp;Col=1","No Title Assigned - #15276696976")</f>
        <v/>
      </c>
      <c r="B17150" s="0" t="s">
        <v>22820</v>
      </c>
      <c r="E17150" s="0" t="inlineStr">
        <is>
          <t xml:space="preserve">Mazda</t>
        </is>
      </c>
      <c r="F17150" s="0" t="inlineStr">
        <is>
          <t xml:space="preserve">Mazda</t>
        </is>
      </c>
      <c r="G17150" s="0" t="s">
        <v>171</v>
      </c>
      <c r="H17150" s="5">
        <v>72.185900</v>
      </c>
    </row>
    <row r="17151" spans="1:9">
      <c r="A17151" s="22" t="str">
        <f>HYPERLINK("https://app.vivvix.com/360/KMI/IntelliDrive/ApplUI/Pages/CreativePages/CustomReportCreativeDetail.aspx?App=23&amp;ReportView=4&amp;Qid=1711279&amp;Row=17143&amp;Col=1","No Title Assigned - #15276697024")</f>
        <v/>
      </c>
      <c r="B17151" s="0" t="s">
        <v>22821</v>
      </c>
      <c r="E17151" s="0" t="inlineStr">
        <is>
          <t xml:space="preserve">Mazda</t>
        </is>
      </c>
      <c r="F17151" s="0" t="inlineStr">
        <is>
          <t xml:space="preserve">Mazda</t>
        </is>
      </c>
      <c r="G17151" s="0" t="s">
        <v>171</v>
      </c>
      <c r="H17151" s="5">
        <v>1223.432600</v>
      </c>
    </row>
    <row r="17152" spans="1:9">
      <c r="A17152" s="22" t="str">
        <f>HYPERLINK("https://app.vivvix.com/360/KMI/IntelliDrive/ApplUI/Pages/CreativePages/CustomReportCreativeDetail.aspx?App=23&amp;ReportView=4&amp;Qid=1711279&amp;Row=17144&amp;Col=1","No Title Assigned - #15276697515")</f>
        <v/>
      </c>
      <c r="B17152" s="0" t="s">
        <v>22822</v>
      </c>
      <c r="E17152" s="0" t="inlineStr">
        <is>
          <t xml:space="preserve">Mazda</t>
        </is>
      </c>
      <c r="F17152" s="0" t="inlineStr">
        <is>
          <t xml:space="preserve">Mazda</t>
        </is>
      </c>
      <c r="G17152" s="0" t="s">
        <v>171</v>
      </c>
      <c r="H17152" s="5">
        <v>17.108400</v>
      </c>
    </row>
    <row r="17153" spans="1:9">
      <c r="A17153" s="22" t="str">
        <f>HYPERLINK("https://app.vivvix.com/360/KMI/IntelliDrive/ApplUI/Pages/CreativePages/CustomReportCreativeDetail.aspx?App=23&amp;ReportView=4&amp;Qid=1711279&amp;Row=17145&amp;Col=1","No Title Assigned - #15276697516")</f>
        <v/>
      </c>
      <c r="B17153" s="0" t="s">
        <v>22823</v>
      </c>
      <c r="E17153" s="0" t="inlineStr">
        <is>
          <t xml:space="preserve">Mazda</t>
        </is>
      </c>
      <c r="F17153" s="0" t="inlineStr">
        <is>
          <t xml:space="preserve">Mazda</t>
        </is>
      </c>
      <c r="G17153" s="0" t="s">
        <v>171</v>
      </c>
      <c r="H17153" s="5">
        <v>102.650400</v>
      </c>
    </row>
    <row r="17154" spans="1:9">
      <c r="A17154" s="22" t="str">
        <f>HYPERLINK("https://app.vivvix.com/360/KMI/IntelliDrive/ApplUI/Pages/CreativePages/CustomReportCreativeDetail.aspx?App=23&amp;ReportView=4&amp;Qid=1711279&amp;Row=17146&amp;Col=1","No Title Assigned - #15276697695")</f>
        <v/>
      </c>
      <c r="B17154" s="0" t="s">
        <v>22824</v>
      </c>
      <c r="E17154" s="0" t="inlineStr">
        <is>
          <t xml:space="preserve">Mazda</t>
        </is>
      </c>
      <c r="F17154" s="0" t="inlineStr">
        <is>
          <t xml:space="preserve">Mazda</t>
        </is>
      </c>
      <c r="G17154" s="0" t="s">
        <v>171</v>
      </c>
      <c r="H17154" s="5">
        <v>34.216800</v>
      </c>
    </row>
    <row r="17155" spans="1:9">
      <c r="A17155" s="22" t="str">
        <f>HYPERLINK("https://app.vivvix.com/360/KMI/IntelliDrive/ApplUI/Pages/CreativePages/CustomReportCreativeDetail.aspx?App=23&amp;ReportView=4&amp;Qid=1711279&amp;Row=17147&amp;Col=1","No Title Assigned - #15276697703")</f>
        <v/>
      </c>
      <c r="B17155" s="0" t="s">
        <v>22825</v>
      </c>
      <c r="E17155" s="0" t="inlineStr">
        <is>
          <t xml:space="preserve">Mazda</t>
        </is>
      </c>
      <c r="F17155" s="0" t="inlineStr">
        <is>
          <t xml:space="preserve">Mazda</t>
        </is>
      </c>
      <c r="G17155" s="0" t="s">
        <v>171</v>
      </c>
      <c r="H17155" s="5">
        <v>17.108400</v>
      </c>
    </row>
    <row r="17156" spans="1:9">
      <c r="A17156" s="22" t="str">
        <f>HYPERLINK("https://app.vivvix.com/360/KMI/IntelliDrive/ApplUI/Pages/CreativePages/CustomReportCreativeDetail.aspx?App=23&amp;ReportView=4&amp;Qid=1711279&amp;Row=17148&amp;Col=1","No Title Assigned - #15276697716")</f>
        <v/>
      </c>
      <c r="B17156" s="0" t="s">
        <v>22826</v>
      </c>
      <c r="E17156" s="0" t="inlineStr">
        <is>
          <t xml:space="preserve">Mazda</t>
        </is>
      </c>
      <c r="F17156" s="0" t="inlineStr">
        <is>
          <t xml:space="preserve">Mazda</t>
        </is>
      </c>
      <c r="G17156" s="0" t="s">
        <v>171</v>
      </c>
      <c r="H17156" s="5">
        <v>52891.256000</v>
      </c>
    </row>
    <row r="17157" spans="1:9">
      <c r="A17157" s="22" t="str">
        <f>HYPERLINK("https://app.vivvix.com/360/KMI/IntelliDrive/ApplUI/Pages/CreativePages/CustomReportCreativeDetail.aspx?App=23&amp;ReportView=4&amp;Qid=1711279&amp;Row=17149&amp;Col=1","No Title Assigned - #15276697716")</f>
        <v/>
      </c>
      <c r="B17157" s="0" t="s">
        <v>22826</v>
      </c>
      <c r="E17157" s="0" t="inlineStr">
        <is>
          <t xml:space="preserve">Mazda</t>
        </is>
      </c>
      <c r="F17157" s="0" t="inlineStr">
        <is>
          <t xml:space="preserve">Mazda</t>
        </is>
      </c>
      <c r="G17157" s="0" t="s">
        <v>171</v>
      </c>
      <c r="H17157" s="5">
        <v>722.221200</v>
      </c>
    </row>
    <row r="17158" spans="1:9">
      <c r="A17158" s="22" t="str">
        <f>HYPERLINK("https://app.vivvix.com/360/KMI/IntelliDrive/ApplUI/Pages/CreativePages/CustomReportCreativeDetail.aspx?App=23&amp;ReportView=4&amp;Qid=1711279&amp;Row=17150&amp;Col=1","No Title Assigned - #15276698066")</f>
        <v/>
      </c>
      <c r="B17158" s="0" t="s">
        <v>22827</v>
      </c>
      <c r="E17158" s="0" t="inlineStr">
        <is>
          <t xml:space="preserve">Mazda</t>
        </is>
      </c>
      <c r="F17158" s="0" t="inlineStr">
        <is>
          <t xml:space="preserve">Mazda</t>
        </is>
      </c>
      <c r="G17158" s="0" t="s">
        <v>171</v>
      </c>
      <c r="H17158" s="5">
        <v>90.211000</v>
      </c>
    </row>
    <row r="17159" spans="1:9">
      <c r="A17159" s="22" t="str">
        <f>HYPERLINK("https://app.vivvix.com/360/KMI/IntelliDrive/ApplUI/Pages/CreativePages/CustomReportCreativeDetail.aspx?App=23&amp;ReportView=4&amp;Qid=1711279&amp;Row=17151&amp;Col=1","No Title Assigned - #15276698426")</f>
        <v/>
      </c>
      <c r="B17159" s="0" t="s">
        <v>22828</v>
      </c>
      <c r="E17159" s="0" t="inlineStr">
        <is>
          <t xml:space="preserve">Mazda</t>
        </is>
      </c>
      <c r="F17159" s="0" t="inlineStr">
        <is>
          <t xml:space="preserve">Mazda</t>
        </is>
      </c>
      <c r="G17159" s="0" t="s">
        <v>171</v>
      </c>
      <c r="H17159" s="5">
        <v>14.106500</v>
      </c>
    </row>
    <row r="17160" spans="1:9">
      <c r="A17160" s="22" t="str">
        <f>HYPERLINK("https://app.vivvix.com/360/KMI/IntelliDrive/ApplUI/Pages/CreativePages/CustomReportCreativeDetail.aspx?App=23&amp;ReportView=4&amp;Qid=1711279&amp;Row=17152&amp;Col=1","No Title Assigned - #15276698460")</f>
        <v/>
      </c>
      <c r="B17160" s="0" t="s">
        <v>22829</v>
      </c>
      <c r="C17160" s="0" t="s">
        <v>22830</v>
      </c>
      <c r="D17160" s="0" t="s">
        <v>22830</v>
      </c>
      <c r="E17160" s="0" t="inlineStr">
        <is>
          <t xml:space="preserve">Mazda</t>
        </is>
      </c>
      <c r="F17160" s="0" t="s">
        <v>13</v>
      </c>
      <c r="G17160" s="0" t="s">
        <v>49</v>
      </c>
      <c r="H17160" s="5">
        <v>35.373200</v>
      </c>
    </row>
    <row r="17161" spans="1:9">
      <c r="A17161" s="22" t="str">
        <f>HYPERLINK("https://app.vivvix.com/360/KMI/IntelliDrive/ApplUI/Pages/CreativePages/CustomReportCreativeDetail.aspx?App=23&amp;ReportView=4&amp;Qid=1711279&amp;Row=17153&amp;Col=1","No Title Assigned - #15276698564")</f>
        <v/>
      </c>
      <c r="B17161" s="0" t="s">
        <v>22831</v>
      </c>
      <c r="E17161" s="0" t="inlineStr">
        <is>
          <t xml:space="preserve">Mazda</t>
        </is>
      </c>
      <c r="F17161" s="0" t="inlineStr">
        <is>
          <t xml:space="preserve">Mazda</t>
        </is>
      </c>
      <c r="G17161" s="0" t="s">
        <v>171</v>
      </c>
      <c r="H17161" s="5">
        <v>2421.708100</v>
      </c>
    </row>
    <row r="17162" spans="1:9">
      <c r="A17162" s="22" t="str">
        <f>HYPERLINK("https://app.vivvix.com/360/KMI/IntelliDrive/ApplUI/Pages/CreativePages/CustomReportCreativeDetail.aspx?App=23&amp;ReportView=4&amp;Qid=1711279&amp;Row=17154&amp;Col=1","No Title Assigned - #15276698564")</f>
        <v/>
      </c>
      <c r="B17162" s="0" t="s">
        <v>22831</v>
      </c>
      <c r="E17162" s="0" t="inlineStr">
        <is>
          <t xml:space="preserve">Mazda</t>
        </is>
      </c>
      <c r="F17162" s="0" t="inlineStr">
        <is>
          <t xml:space="preserve">Mazda</t>
        </is>
      </c>
      <c r="G17162" s="0" t="s">
        <v>171</v>
      </c>
      <c r="H17162" s="5">
        <v>2610.839600</v>
      </c>
    </row>
    <row r="17163" spans="1:9">
      <c r="A17163" s="22" t="str">
        <f>HYPERLINK("https://app.vivvix.com/360/KMI/IntelliDrive/ApplUI/Pages/CreativePages/CustomReportCreativeDetail.aspx?App=23&amp;ReportView=4&amp;Qid=1711279&amp;Row=17155&amp;Col=1","No Title Assigned - #15276698712")</f>
        <v/>
      </c>
      <c r="B17163" s="0" t="s">
        <v>22832</v>
      </c>
      <c r="E17163" s="0" t="inlineStr">
        <is>
          <t xml:space="preserve">Mazda</t>
        </is>
      </c>
      <c r="F17163" s="0" t="inlineStr">
        <is>
          <t xml:space="preserve">Mazda</t>
        </is>
      </c>
      <c r="G17163" s="0" t="s">
        <v>171</v>
      </c>
      <c r="H17163" s="5">
        <v>821.389600</v>
      </c>
    </row>
    <row r="17164" spans="1:9">
      <c r="A17164" s="22" t="str">
        <f>HYPERLINK("https://app.vivvix.com/360/KMI/IntelliDrive/ApplUI/Pages/CreativePages/CustomReportCreativeDetail.aspx?App=23&amp;ReportView=4&amp;Qid=1711279&amp;Row=17156&amp;Col=1","No Title Assigned - #15276698725")</f>
        <v/>
      </c>
      <c r="B17164" s="0" t="s">
        <v>22833</v>
      </c>
      <c r="E17164" s="0" t="inlineStr">
        <is>
          <t xml:space="preserve">Mazda</t>
        </is>
      </c>
      <c r="F17164" s="0" t="inlineStr">
        <is>
          <t xml:space="preserve">Mazda</t>
        </is>
      </c>
      <c r="G17164" s="0" t="s">
        <v>171</v>
      </c>
      <c r="H17164" s="5">
        <v>395.298500</v>
      </c>
    </row>
    <row r="17165" spans="1:9">
      <c r="A17165" s="22" t="str">
        <f>HYPERLINK("https://app.vivvix.com/360/KMI/IntelliDrive/ApplUI/Pages/CreativePages/CustomReportCreativeDetail.aspx?App=23&amp;ReportView=4&amp;Qid=1711279&amp;Row=17157&amp;Col=1","No Title Assigned - #15276698726")</f>
        <v/>
      </c>
      <c r="B17165" s="0" t="s">
        <v>22834</v>
      </c>
      <c r="E17165" s="0" t="inlineStr">
        <is>
          <t xml:space="preserve">Mazda</t>
        </is>
      </c>
      <c r="F17165" s="0" t="inlineStr">
        <is>
          <t xml:space="preserve">Mazda</t>
        </is>
      </c>
      <c r="G17165" s="0" t="s">
        <v>171</v>
      </c>
      <c r="H17165" s="5">
        <v>1583.451100</v>
      </c>
    </row>
    <row r="17166" spans="1:9">
      <c r="A17166" s="22" t="str">
        <f>HYPERLINK("https://app.vivvix.com/360/KMI/IntelliDrive/ApplUI/Pages/CreativePages/CustomReportCreativeDetail.aspx?App=23&amp;ReportView=4&amp;Qid=1711279&amp;Row=17158&amp;Col=1","No Title Assigned - #15276698726")</f>
        <v/>
      </c>
      <c r="B17166" s="0" t="s">
        <v>22834</v>
      </c>
      <c r="E17166" s="0" t="inlineStr">
        <is>
          <t xml:space="preserve">Mazda</t>
        </is>
      </c>
      <c r="F17166" s="0" t="inlineStr">
        <is>
          <t xml:space="preserve">Mazda</t>
        </is>
      </c>
      <c r="G17166" s="0" t="s">
        <v>171</v>
      </c>
      <c r="H17166" s="5">
        <v>3037.229700</v>
      </c>
    </row>
    <row r="17167" spans="1:9">
      <c r="A17167" s="22" t="str">
        <f>HYPERLINK("https://app.vivvix.com/360/KMI/IntelliDrive/ApplUI/Pages/CreativePages/CustomReportCreativeDetail.aspx?App=23&amp;ReportView=4&amp;Qid=1711279&amp;Row=17159&amp;Col=1","No Title Assigned - #15276698736")</f>
        <v/>
      </c>
      <c r="B17167" s="0" t="s">
        <v>22835</v>
      </c>
      <c r="E17167" s="0" t="inlineStr">
        <is>
          <t xml:space="preserve">Mazda</t>
        </is>
      </c>
      <c r="F17167" s="0" t="inlineStr">
        <is>
          <t xml:space="preserve">Mazda</t>
        </is>
      </c>
      <c r="G17167" s="0" t="s">
        <v>171</v>
      </c>
      <c r="H17167" s="5">
        <v>9584.352700</v>
      </c>
    </row>
    <row r="17168" spans="1:9">
      <c r="A17168" s="22" t="str">
        <f>HYPERLINK("https://app.vivvix.com/360/KMI/IntelliDrive/ApplUI/Pages/CreativePages/CustomReportCreativeDetail.aspx?App=23&amp;ReportView=4&amp;Qid=1711279&amp;Row=17160&amp;Col=1","No Title Assigned - #15276698736")</f>
        <v/>
      </c>
      <c r="B17168" s="0" t="s">
        <v>22835</v>
      </c>
      <c r="E17168" s="0" t="inlineStr">
        <is>
          <t xml:space="preserve">Mazda</t>
        </is>
      </c>
      <c r="F17168" s="0" t="inlineStr">
        <is>
          <t xml:space="preserve">Mazda</t>
        </is>
      </c>
      <c r="G17168" s="0" t="s">
        <v>171</v>
      </c>
      <c r="H17168" s="5">
        <v>208.033600</v>
      </c>
    </row>
    <row r="17169" spans="1:9">
      <c r="A17169" s="22" t="str">
        <f>HYPERLINK("https://app.vivvix.com/360/KMI/IntelliDrive/ApplUI/Pages/CreativePages/CustomReportCreativeDetail.aspx?App=23&amp;ReportView=4&amp;Qid=1711279&amp;Row=17161&amp;Col=1","No Title Assigned - #15276698780")</f>
        <v/>
      </c>
      <c r="B17169" s="0" t="s">
        <v>22836</v>
      </c>
      <c r="E17169" s="0" t="inlineStr">
        <is>
          <t xml:space="preserve">Mazda</t>
        </is>
      </c>
      <c r="F17169" s="0" t="inlineStr">
        <is>
          <t xml:space="preserve">Mazda</t>
        </is>
      </c>
      <c r="G17169" s="0" t="s">
        <v>171</v>
      </c>
      <c r="H17169" s="5">
        <v>143.011100</v>
      </c>
    </row>
    <row r="17170" spans="1:9">
      <c r="A17170" s="22" t="str">
        <f>HYPERLINK("https://app.vivvix.com/360/KMI/IntelliDrive/ApplUI/Pages/CreativePages/CustomReportCreativeDetail.aspx?App=23&amp;ReportView=4&amp;Qid=1711279&amp;Row=17162&amp;Col=1","No Title Assigned - #15276698899")</f>
        <v/>
      </c>
      <c r="B17170" s="0" t="s">
        <v>22837</v>
      </c>
      <c r="E17170" s="0" t="inlineStr">
        <is>
          <t xml:space="preserve">Mazda</t>
        </is>
      </c>
      <c r="F17170" s="0" t="inlineStr">
        <is>
          <t xml:space="preserve">Mazda</t>
        </is>
      </c>
      <c r="G17170" s="0" t="s">
        <v>171</v>
      </c>
      <c r="H17170" s="5">
        <v>35.527100</v>
      </c>
    </row>
    <row r="17171" spans="1:9">
      <c r="A17171" s="22" t="str">
        <f>HYPERLINK("https://app.vivvix.com/360/KMI/IntelliDrive/ApplUI/Pages/CreativePages/CustomReportCreativeDetail.aspx?App=23&amp;ReportView=4&amp;Qid=1711279&amp;Row=17163&amp;Col=1","No Title Assigned - #15276698901")</f>
        <v/>
      </c>
      <c r="B17171" s="0" t="s">
        <v>22838</v>
      </c>
      <c r="C17171" s="0" t="s">
        <v>22839</v>
      </c>
      <c r="D17171" s="0" t="s">
        <v>22839</v>
      </c>
      <c r="E17171" s="0" t="inlineStr">
        <is>
          <t xml:space="preserve">Mazda</t>
        </is>
      </c>
      <c r="F17171" s="0" t="inlineStr">
        <is>
          <t xml:space="preserve">Mazda</t>
        </is>
      </c>
      <c r="G17171" s="0" t="s">
        <v>171</v>
      </c>
      <c r="H17171" s="5">
        <v>11802.195800</v>
      </c>
    </row>
    <row r="17172" spans="1:9">
      <c r="A17172" s="22" t="str">
        <f>HYPERLINK("https://app.vivvix.com/360/KMI/IntelliDrive/ApplUI/Pages/CreativePages/CustomReportCreativeDetail.aspx?App=23&amp;ReportView=4&amp;Qid=1711279&amp;Row=17164&amp;Col=1","No Title Assigned - #15276698901")</f>
        <v/>
      </c>
      <c r="B17172" s="0" t="s">
        <v>22838</v>
      </c>
      <c r="E17172" s="0" t="inlineStr">
        <is>
          <t xml:space="preserve">Mazda</t>
        </is>
      </c>
      <c r="F17172" s="0" t="inlineStr">
        <is>
          <t xml:space="preserve">Mazda</t>
        </is>
      </c>
      <c r="G17172" s="0" t="s">
        <v>171</v>
      </c>
      <c r="H17172" s="5">
        <v>3979.591000</v>
      </c>
    </row>
    <row r="17173" spans="1:9">
      <c r="A17173" s="22" t="str">
        <f>HYPERLINK("https://app.vivvix.com/360/KMI/IntelliDrive/ApplUI/Pages/CreativePages/CustomReportCreativeDetail.aspx?App=23&amp;ReportView=4&amp;Qid=1711279&amp;Row=17165&amp;Col=1","No Title Assigned - #15276699009")</f>
        <v/>
      </c>
      <c r="B17173" s="0" t="s">
        <v>22840</v>
      </c>
      <c r="E17173" s="0" t="inlineStr">
        <is>
          <t xml:space="preserve">Mazda</t>
        </is>
      </c>
      <c r="F17173" s="0" t="inlineStr">
        <is>
          <t xml:space="preserve">Mazda</t>
        </is>
      </c>
      <c r="G17173" s="0" t="s">
        <v>171</v>
      </c>
      <c r="H17173" s="5">
        <v>773.308600</v>
      </c>
    </row>
    <row r="17174" spans="1:9">
      <c r="A17174" s="22" t="str">
        <f>HYPERLINK("https://app.vivvix.com/360/KMI/IntelliDrive/ApplUI/Pages/CreativePages/CustomReportCreativeDetail.aspx?App=23&amp;ReportView=4&amp;Qid=1711279&amp;Row=17166&amp;Col=1","No Title Assigned - #15276699012")</f>
        <v/>
      </c>
      <c r="B17174" s="0" t="s">
        <v>22841</v>
      </c>
      <c r="E17174" s="0" t="inlineStr">
        <is>
          <t xml:space="preserve">Mazda</t>
        </is>
      </c>
      <c r="F17174" s="0" t="inlineStr">
        <is>
          <t xml:space="preserve">Mazda</t>
        </is>
      </c>
      <c r="G17174" s="0" t="s">
        <v>171</v>
      </c>
      <c r="H17174" s="5">
        <v>67.909300</v>
      </c>
    </row>
    <row r="17175" spans="1:9">
      <c r="A17175" s="22" t="str">
        <f>HYPERLINK("https://app.vivvix.com/360/KMI/IntelliDrive/ApplUI/Pages/CreativePages/CustomReportCreativeDetail.aspx?App=23&amp;ReportView=4&amp;Qid=1711279&amp;Row=17167&amp;Col=1","No Title Assigned - #15276699042")</f>
        <v/>
      </c>
      <c r="B17175" s="0" t="s">
        <v>22842</v>
      </c>
      <c r="E17175" s="0" t="inlineStr">
        <is>
          <t xml:space="preserve">Mazda</t>
        </is>
      </c>
      <c r="F17175" s="0" t="inlineStr">
        <is>
          <t xml:space="preserve">Mazda</t>
        </is>
      </c>
      <c r="G17175" s="0" t="s">
        <v>171</v>
      </c>
      <c r="H17175" s="5">
        <v>648.901300</v>
      </c>
    </row>
    <row r="17176" spans="1:9">
      <c r="A17176" s="22" t="str">
        <f>HYPERLINK("https://app.vivvix.com/360/KMI/IntelliDrive/ApplUI/Pages/CreativePages/CustomReportCreativeDetail.aspx?App=23&amp;ReportView=4&amp;Qid=1711279&amp;Row=17168&amp;Col=1","No Title Assigned - #15276699042")</f>
        <v/>
      </c>
      <c r="B17176" s="0" t="s">
        <v>22842</v>
      </c>
      <c r="E17176" s="0" t="inlineStr">
        <is>
          <t xml:space="preserve">Mazda</t>
        </is>
      </c>
      <c r="F17176" s="0" t="inlineStr">
        <is>
          <t xml:space="preserve">Mazda</t>
        </is>
      </c>
      <c r="G17176" s="0" t="s">
        <v>171</v>
      </c>
      <c r="H17176" s="5">
        <v>12.078000</v>
      </c>
    </row>
    <row r="17177" spans="1:9">
      <c r="A17177" s="22" t="str">
        <f>HYPERLINK("https://app.vivvix.com/360/KMI/IntelliDrive/ApplUI/Pages/CreativePages/CustomReportCreativeDetail.aspx?App=23&amp;ReportView=4&amp;Qid=1711279&amp;Row=17169&amp;Col=1","No Title Assigned - #15276699182")</f>
        <v/>
      </c>
      <c r="B17177" s="0" t="s">
        <v>22843</v>
      </c>
      <c r="E17177" s="0" t="inlineStr">
        <is>
          <t xml:space="preserve">Mazda</t>
        </is>
      </c>
      <c r="F17177" s="0" t="inlineStr">
        <is>
          <t xml:space="preserve">Mazda</t>
        </is>
      </c>
      <c r="G17177" s="0" t="s">
        <v>171</v>
      </c>
      <c r="H17177" s="5">
        <v>5136.212000</v>
      </c>
    </row>
    <row r="17178" spans="1:9">
      <c r="A17178" s="22" t="str">
        <f>HYPERLINK("https://app.vivvix.com/360/KMI/IntelliDrive/ApplUI/Pages/CreativePages/CustomReportCreativeDetail.aspx?App=23&amp;ReportView=4&amp;Qid=1711279&amp;Row=17170&amp;Col=1","No Title Assigned - #15276699207")</f>
        <v/>
      </c>
      <c r="B17178" s="0" t="s">
        <v>22844</v>
      </c>
      <c r="E17178" s="0" t="inlineStr">
        <is>
          <t xml:space="preserve">Mazda</t>
        </is>
      </c>
      <c r="F17178" s="0" t="inlineStr">
        <is>
          <t xml:space="preserve">Mazda</t>
        </is>
      </c>
      <c r="G17178" s="0" t="s">
        <v>171</v>
      </c>
      <c r="H17178" s="5">
        <v>0.796900</v>
      </c>
    </row>
    <row r="17179" spans="1:9">
      <c r="A17179" s="22" t="str">
        <f>HYPERLINK("https://app.vivvix.com/360/KMI/IntelliDrive/ApplUI/Pages/CreativePages/CustomReportCreativeDetail.aspx?App=23&amp;ReportView=4&amp;Qid=1711279&amp;Row=17171&amp;Col=1","No Title Assigned - #15276699239")</f>
        <v/>
      </c>
      <c r="B17179" s="0" t="s">
        <v>22845</v>
      </c>
      <c r="E17179" s="0" t="inlineStr">
        <is>
          <t xml:space="preserve">Mazda</t>
        </is>
      </c>
      <c r="F17179" s="0" t="inlineStr">
        <is>
          <t xml:space="preserve">Mazda</t>
        </is>
      </c>
      <c r="G17179" s="0" t="s">
        <v>171</v>
      </c>
      <c r="H17179" s="5">
        <v>867.532900</v>
      </c>
    </row>
    <row r="17180" spans="1:9">
      <c r="A17180" s="22" t="str">
        <f>HYPERLINK("https://app.vivvix.com/360/KMI/IntelliDrive/ApplUI/Pages/CreativePages/CustomReportCreativeDetail.aspx?App=23&amp;ReportView=4&amp;Qid=1711279&amp;Row=17172&amp;Col=1","No Title Assigned - #15276699267")</f>
        <v/>
      </c>
      <c r="B17180" s="0" t="s">
        <v>22846</v>
      </c>
      <c r="E17180" s="0" t="inlineStr">
        <is>
          <t xml:space="preserve">Mazda</t>
        </is>
      </c>
      <c r="F17180" s="0" t="inlineStr">
        <is>
          <t xml:space="preserve">Mazda</t>
        </is>
      </c>
      <c r="G17180" s="0" t="s">
        <v>171</v>
      </c>
      <c r="H17180" s="5">
        <v>534.167400</v>
      </c>
    </row>
    <row r="17181" spans="1:9">
      <c r="A17181" s="22" t="str">
        <f>HYPERLINK("https://app.vivvix.com/360/KMI/IntelliDrive/ApplUI/Pages/CreativePages/CustomReportCreativeDetail.aspx?App=23&amp;ReportView=4&amp;Qid=1711279&amp;Row=17173&amp;Col=1","No Title Assigned - #15276699328")</f>
        <v/>
      </c>
      <c r="B17181" s="0" t="s">
        <v>22847</v>
      </c>
      <c r="E17181" s="0" t="inlineStr">
        <is>
          <t xml:space="preserve">Mazda</t>
        </is>
      </c>
      <c r="F17181" s="0" t="inlineStr">
        <is>
          <t xml:space="preserve">Mazda</t>
        </is>
      </c>
      <c r="G17181" s="0" t="s">
        <v>171</v>
      </c>
      <c r="H17181" s="5">
        <v>446.029600</v>
      </c>
    </row>
    <row r="17182" spans="1:9">
      <c r="A17182" s="22" t="str">
        <f>HYPERLINK("https://app.vivvix.com/360/KMI/IntelliDrive/ApplUI/Pages/CreativePages/CustomReportCreativeDetail.aspx?App=23&amp;ReportView=4&amp;Qid=1711279&amp;Row=17174&amp;Col=1","No Title Assigned - #15276699406")</f>
        <v/>
      </c>
      <c r="B17182" s="0" t="s">
        <v>22848</v>
      </c>
      <c r="E17182" s="0" t="inlineStr">
        <is>
          <t xml:space="preserve">Mazda</t>
        </is>
      </c>
      <c r="F17182" s="0" t="inlineStr">
        <is>
          <t xml:space="preserve">Mazda</t>
        </is>
      </c>
      <c r="G17182" s="0" t="s">
        <v>171</v>
      </c>
      <c r="H17182" s="5">
        <v>220.150700</v>
      </c>
    </row>
    <row r="17183" spans="1:9">
      <c r="A17183" s="22" t="str">
        <f>HYPERLINK("https://app.vivvix.com/360/KMI/IntelliDrive/ApplUI/Pages/CreativePages/CustomReportCreativeDetail.aspx?App=23&amp;ReportView=4&amp;Qid=1711279&amp;Row=17175&amp;Col=1","No Title Assigned - #15276699432")</f>
        <v/>
      </c>
      <c r="B17183" s="0" t="s">
        <v>22849</v>
      </c>
      <c r="E17183" s="0" t="inlineStr">
        <is>
          <t xml:space="preserve">Mazda</t>
        </is>
      </c>
      <c r="F17183" s="0" t="inlineStr">
        <is>
          <t xml:space="preserve">Mazda</t>
        </is>
      </c>
      <c r="G17183" s="0" t="s">
        <v>171</v>
      </c>
      <c r="H17183" s="5">
        <v>370.689700</v>
      </c>
    </row>
    <row r="17184" spans="1:9">
      <c r="A17184" s="22" t="str">
        <f>HYPERLINK("https://app.vivvix.com/360/KMI/IntelliDrive/ApplUI/Pages/CreativePages/CustomReportCreativeDetail.aspx?App=23&amp;ReportView=4&amp;Qid=1711279&amp;Row=17176&amp;Col=1","No Title Assigned - #15276699455")</f>
        <v/>
      </c>
      <c r="B17184" s="0" t="s">
        <v>22850</v>
      </c>
      <c r="E17184" s="0" t="inlineStr">
        <is>
          <t xml:space="preserve">Mazda</t>
        </is>
      </c>
      <c r="F17184" s="0" t="inlineStr">
        <is>
          <t xml:space="preserve">Mazda</t>
        </is>
      </c>
      <c r="G17184" s="0" t="s">
        <v>171</v>
      </c>
      <c r="H17184" s="5">
        <v>37.345100</v>
      </c>
    </row>
    <row r="17185" spans="1:9">
      <c r="A17185" s="22" t="str">
        <f>HYPERLINK("https://app.vivvix.com/360/KMI/IntelliDrive/ApplUI/Pages/CreativePages/CustomReportCreativeDetail.aspx?App=23&amp;ReportView=4&amp;Qid=1711279&amp;Row=17177&amp;Col=1","No Title Assigned - #15276699532")</f>
        <v/>
      </c>
      <c r="B17185" s="0" t="s">
        <v>22851</v>
      </c>
      <c r="E17185" s="0" t="inlineStr">
        <is>
          <t xml:space="preserve">Mazda</t>
        </is>
      </c>
      <c r="F17185" s="0" t="inlineStr">
        <is>
          <t xml:space="preserve">Mazda</t>
        </is>
      </c>
      <c r="G17185" s="0" t="s">
        <v>171</v>
      </c>
      <c r="H17185" s="5">
        <v>312.322900</v>
      </c>
    </row>
    <row r="17186" spans="1:9">
      <c r="A17186" s="22" t="str">
        <f>HYPERLINK("https://app.vivvix.com/360/KMI/IntelliDrive/ApplUI/Pages/CreativePages/CustomReportCreativeDetail.aspx?App=23&amp;ReportView=4&amp;Qid=1711279&amp;Row=17178&amp;Col=1","No Title Assigned - #15276699711")</f>
        <v/>
      </c>
      <c r="B17186" s="0" t="s">
        <v>22852</v>
      </c>
      <c r="E17186" s="0" t="inlineStr">
        <is>
          <t xml:space="preserve">Mazda</t>
        </is>
      </c>
      <c r="F17186" s="0" t="inlineStr">
        <is>
          <t xml:space="preserve">Mazda</t>
        </is>
      </c>
      <c r="G17186" s="0" t="s">
        <v>171</v>
      </c>
      <c r="H17186" s="5">
        <v>419.324600</v>
      </c>
    </row>
    <row r="17187" spans="1:9">
      <c r="A17187" s="22" t="str">
        <f>HYPERLINK("https://app.vivvix.com/360/KMI/IntelliDrive/ApplUI/Pages/CreativePages/CustomReportCreativeDetail.aspx?App=23&amp;ReportView=4&amp;Qid=1711279&amp;Row=17179&amp;Col=1","No Title Assigned - #15276699735")</f>
        <v/>
      </c>
      <c r="B17187" s="0" t="s">
        <v>22853</v>
      </c>
      <c r="E17187" s="0" t="inlineStr">
        <is>
          <t xml:space="preserve">Mazda</t>
        </is>
      </c>
      <c r="F17187" s="0" t="inlineStr">
        <is>
          <t xml:space="preserve">Mazda</t>
        </is>
      </c>
      <c r="G17187" s="0" t="s">
        <v>171</v>
      </c>
      <c r="H17187" s="5">
        <v>9378.923700</v>
      </c>
    </row>
    <row r="17188" spans="1:9">
      <c r="A17188" s="22" t="str">
        <f>HYPERLINK("https://app.vivvix.com/360/KMI/IntelliDrive/ApplUI/Pages/CreativePages/CustomReportCreativeDetail.aspx?App=23&amp;ReportView=4&amp;Qid=1711279&amp;Row=17180&amp;Col=1","No Title Assigned - #15276699735")</f>
        <v/>
      </c>
      <c r="B17188" s="0" t="s">
        <v>22853</v>
      </c>
      <c r="E17188" s="0" t="inlineStr">
        <is>
          <t xml:space="preserve">Mazda</t>
        </is>
      </c>
      <c r="F17188" s="0" t="inlineStr">
        <is>
          <t xml:space="preserve">Mazda</t>
        </is>
      </c>
      <c r="G17188" s="0" t="s">
        <v>171</v>
      </c>
      <c r="H17188" s="5">
        <v>88.727400</v>
      </c>
    </row>
    <row r="17189" spans="1:9">
      <c r="A17189" s="22" t="str">
        <f>HYPERLINK("https://app.vivvix.com/360/KMI/IntelliDrive/ApplUI/Pages/CreativePages/CustomReportCreativeDetail.aspx?App=23&amp;ReportView=4&amp;Qid=1711279&amp;Row=17181&amp;Col=1","No Title Assigned - #15276699745")</f>
        <v/>
      </c>
      <c r="B17189" s="0" t="s">
        <v>22854</v>
      </c>
      <c r="E17189" s="0" t="inlineStr">
        <is>
          <t xml:space="preserve">Mazda</t>
        </is>
      </c>
      <c r="F17189" s="0" t="inlineStr">
        <is>
          <t xml:space="preserve">Mazda</t>
        </is>
      </c>
      <c r="G17189" s="0" t="s">
        <v>171</v>
      </c>
      <c r="H17189" s="5">
        <v>14.106500</v>
      </c>
    </row>
    <row r="17190" spans="1:9">
      <c r="A17190" s="22" t="str">
        <f>HYPERLINK("https://app.vivvix.com/360/KMI/IntelliDrive/ApplUI/Pages/CreativePages/CustomReportCreativeDetail.aspx?App=23&amp;ReportView=4&amp;Qid=1711279&amp;Row=17182&amp;Col=1","No Title Assigned - #15276699745")</f>
        <v/>
      </c>
      <c r="B17190" s="0" t="s">
        <v>22854</v>
      </c>
      <c r="E17190" s="0" t="inlineStr">
        <is>
          <t xml:space="preserve">Mazda</t>
        </is>
      </c>
      <c r="F17190" s="0" t="inlineStr">
        <is>
          <t xml:space="preserve">Mazda</t>
        </is>
      </c>
      <c r="G17190" s="0" t="s">
        <v>171</v>
      </c>
      <c r="H17190" s="5">
        <v>36.858000</v>
      </c>
    </row>
    <row r="17191" spans="1:9">
      <c r="A17191" s="22" t="str">
        <f>HYPERLINK("https://app.vivvix.com/360/KMI/IntelliDrive/ApplUI/Pages/CreativePages/CustomReportCreativeDetail.aspx?App=23&amp;ReportView=4&amp;Qid=1711279&amp;Row=17183&amp;Col=1","No Title Assigned - #15276699804")</f>
        <v/>
      </c>
      <c r="B17191" s="0" t="s">
        <v>22855</v>
      </c>
      <c r="E17191" s="0" t="inlineStr">
        <is>
          <t xml:space="preserve">Mazda</t>
        </is>
      </c>
      <c r="F17191" s="0" t="inlineStr">
        <is>
          <t xml:space="preserve">Mazda</t>
        </is>
      </c>
      <c r="G17191" s="0" t="s">
        <v>171</v>
      </c>
      <c r="H17191" s="5">
        <v>27.166800</v>
      </c>
    </row>
    <row r="17192" spans="1:9">
      <c r="A17192" s="22" t="str">
        <f>HYPERLINK("https://app.vivvix.com/360/KMI/IntelliDrive/ApplUI/Pages/CreativePages/CustomReportCreativeDetail.aspx?App=23&amp;ReportView=4&amp;Qid=1711279&amp;Row=17184&amp;Col=1","No Title Assigned - #15276699867")</f>
        <v/>
      </c>
      <c r="B17192" s="0" t="s">
        <v>22856</v>
      </c>
      <c r="E17192" s="0" t="inlineStr">
        <is>
          <t xml:space="preserve">Mazda</t>
        </is>
      </c>
      <c r="F17192" s="0" t="inlineStr">
        <is>
          <t xml:space="preserve">Mazda</t>
        </is>
      </c>
      <c r="G17192" s="0" t="s">
        <v>171</v>
      </c>
      <c r="H17192" s="5">
        <v>2008.986900</v>
      </c>
    </row>
    <row r="17193" spans="1:9">
      <c r="A17193" s="22" t="str">
        <f>HYPERLINK("https://app.vivvix.com/360/KMI/IntelliDrive/ApplUI/Pages/CreativePages/CustomReportCreativeDetail.aspx?App=23&amp;ReportView=4&amp;Qid=1711279&amp;Row=17185&amp;Col=1","No Title Assigned - #15276699867")</f>
        <v/>
      </c>
      <c r="B17193" s="0" t="s">
        <v>22856</v>
      </c>
      <c r="E17193" s="0" t="inlineStr">
        <is>
          <t xml:space="preserve">Mazda</t>
        </is>
      </c>
      <c r="F17193" s="0" t="inlineStr">
        <is>
          <t xml:space="preserve">Mazda</t>
        </is>
      </c>
      <c r="G17193" s="0" t="s">
        <v>171</v>
      </c>
      <c r="H17193" s="5">
        <v>233.380800</v>
      </c>
    </row>
    <row r="17194" spans="1:9">
      <c r="A17194" s="22" t="str">
        <f>HYPERLINK("https://app.vivvix.com/360/KMI/IntelliDrive/ApplUI/Pages/CreativePages/CustomReportCreativeDetail.aspx?App=23&amp;ReportView=4&amp;Qid=1711279&amp;Row=17186&amp;Col=1","No Title Assigned - #15276699905")</f>
        <v/>
      </c>
      <c r="B17194" s="0" t="s">
        <v>22857</v>
      </c>
      <c r="E17194" s="0" t="inlineStr">
        <is>
          <t xml:space="preserve">Mazda</t>
        </is>
      </c>
      <c r="F17194" s="0" t="inlineStr">
        <is>
          <t xml:space="preserve">Mazda</t>
        </is>
      </c>
      <c r="G17194" s="0" t="s">
        <v>171</v>
      </c>
      <c r="H17194" s="5">
        <v>4.018500</v>
      </c>
    </row>
    <row r="17195" spans="1:9">
      <c r="A17195" s="22" t="str">
        <f>HYPERLINK("https://app.vivvix.com/360/KMI/IntelliDrive/ApplUI/Pages/CreativePages/CustomReportCreativeDetail.aspx?App=23&amp;ReportView=4&amp;Qid=1711279&amp;Row=17187&amp;Col=1","No Title Assigned - #15276699936")</f>
        <v/>
      </c>
      <c r="B17195" s="0" t="s">
        <v>22858</v>
      </c>
      <c r="C17195" s="0" t="s">
        <v>22859</v>
      </c>
      <c r="D17195" s="0" t="s">
        <v>22859</v>
      </c>
      <c r="E17195" s="0" t="inlineStr">
        <is>
          <t xml:space="preserve">Mazda</t>
        </is>
      </c>
      <c r="F17195" s="0" t="inlineStr">
        <is>
          <t xml:space="preserve">Mazda</t>
        </is>
      </c>
      <c r="G17195" s="0" t="s">
        <v>171</v>
      </c>
      <c r="H17195" s="5">
        <v>11349.009100</v>
      </c>
    </row>
    <row r="17196" spans="1:9">
      <c r="A17196" s="22" t="str">
        <f>HYPERLINK("https://app.vivvix.com/360/KMI/IntelliDrive/ApplUI/Pages/CreativePages/CustomReportCreativeDetail.aspx?App=23&amp;ReportView=4&amp;Qid=1711279&amp;Row=17188&amp;Col=1","No Title Assigned - #15276699936")</f>
        <v/>
      </c>
      <c r="B17196" s="0" t="s">
        <v>22858</v>
      </c>
      <c r="E17196" s="0" t="inlineStr">
        <is>
          <t xml:space="preserve">Mazda</t>
        </is>
      </c>
      <c r="F17196" s="0" t="inlineStr">
        <is>
          <t xml:space="preserve">Mazda</t>
        </is>
      </c>
      <c r="G17196" s="0" t="s">
        <v>171</v>
      </c>
      <c r="H17196" s="5">
        <v>36.292000</v>
      </c>
    </row>
    <row r="17197" spans="1:9">
      <c r="A17197" s="22" t="str">
        <f>HYPERLINK("https://app.vivvix.com/360/KMI/IntelliDrive/ApplUI/Pages/CreativePages/CustomReportCreativeDetail.aspx?App=23&amp;ReportView=4&amp;Qid=1711279&amp;Row=17189&amp;Col=1","No Title Assigned - #15276699941")</f>
        <v/>
      </c>
      <c r="B17197" s="0" t="s">
        <v>22860</v>
      </c>
      <c r="E17197" s="0" t="inlineStr">
        <is>
          <t xml:space="preserve">Mazda</t>
        </is>
      </c>
      <c r="F17197" s="0" t="inlineStr">
        <is>
          <t xml:space="preserve">Mazda</t>
        </is>
      </c>
      <c r="G17197" s="0" t="s">
        <v>171</v>
      </c>
      <c r="H17197" s="5">
        <v>31.359300</v>
      </c>
    </row>
    <row r="17198" spans="1:9">
      <c r="A17198" s="22" t="str">
        <f>HYPERLINK("https://app.vivvix.com/360/KMI/IntelliDrive/ApplUI/Pages/CreativePages/CustomReportCreativeDetail.aspx?App=23&amp;ReportView=4&amp;Qid=1711279&amp;Row=17190&amp;Col=1","No Title Assigned - #15276699963")</f>
        <v/>
      </c>
      <c r="B17198" s="0" t="s">
        <v>22861</v>
      </c>
      <c r="C17198" s="0" t="s">
        <v>22862</v>
      </c>
      <c r="D17198" s="0" t="s">
        <v>22862</v>
      </c>
      <c r="E17198" s="0" t="inlineStr">
        <is>
          <t xml:space="preserve">Mazda</t>
        </is>
      </c>
      <c r="F17198" s="0" t="inlineStr">
        <is>
          <t xml:space="preserve">Mazda</t>
        </is>
      </c>
      <c r="G17198" s="0" t="s">
        <v>171</v>
      </c>
      <c r="H17198" s="5">
        <v>1534.730900</v>
      </c>
    </row>
    <row r="17199" spans="1:9">
      <c r="A17199" s="22" t="str">
        <f>HYPERLINK("https://app.vivvix.com/360/KMI/IntelliDrive/ApplUI/Pages/CreativePages/CustomReportCreativeDetail.aspx?App=23&amp;ReportView=4&amp;Qid=1711279&amp;Row=17191&amp;Col=1","No Title Assigned - #15276700009")</f>
        <v/>
      </c>
      <c r="B17199" s="0" t="s">
        <v>22863</v>
      </c>
      <c r="E17199" s="0" t="inlineStr">
        <is>
          <t xml:space="preserve">Mazda</t>
        </is>
      </c>
      <c r="F17199" s="0" t="inlineStr">
        <is>
          <t xml:space="preserve">Mazda</t>
        </is>
      </c>
      <c r="G17199" s="0" t="s">
        <v>171</v>
      </c>
      <c r="H17199" s="5">
        <v>81.588100</v>
      </c>
    </row>
    <row r="17200" spans="1:9">
      <c r="A17200" s="22" t="str">
        <f>HYPERLINK("https://app.vivvix.com/360/KMI/IntelliDrive/ApplUI/Pages/CreativePages/CustomReportCreativeDetail.aspx?App=23&amp;ReportView=4&amp;Qid=1711279&amp;Row=17192&amp;Col=1","No Title Assigned - #15276700043")</f>
        <v/>
      </c>
      <c r="B17200" s="0" t="s">
        <v>22864</v>
      </c>
      <c r="C17200" s="0" t="s">
        <v>22865</v>
      </c>
      <c r="D17200" s="0" t="s">
        <v>22865</v>
      </c>
      <c r="E17200" s="0" t="inlineStr">
        <is>
          <t xml:space="preserve">Mazda</t>
        </is>
      </c>
      <c r="F17200" s="0" t="inlineStr">
        <is>
          <t xml:space="preserve">Mazda</t>
        </is>
      </c>
      <c r="G17200" s="0" t="s">
        <v>171</v>
      </c>
      <c r="H17200" s="5">
        <v>108.075400</v>
      </c>
    </row>
    <row r="17201" spans="1:9">
      <c r="A17201" s="22" t="str">
        <f>HYPERLINK("https://app.vivvix.com/360/KMI/IntelliDrive/ApplUI/Pages/CreativePages/CustomReportCreativeDetail.aspx?App=23&amp;ReportView=4&amp;Qid=1711279&amp;Row=17193&amp;Col=1","No Title Assigned - #15276700049")</f>
        <v/>
      </c>
      <c r="B17201" s="0" t="s">
        <v>22866</v>
      </c>
      <c r="E17201" s="0" t="inlineStr">
        <is>
          <t xml:space="preserve">Mazda</t>
        </is>
      </c>
      <c r="F17201" s="0" t="inlineStr">
        <is>
          <t xml:space="preserve">Mazda</t>
        </is>
      </c>
      <c r="G17201" s="0" t="s">
        <v>171</v>
      </c>
      <c r="H17201" s="5">
        <v>516.932800</v>
      </c>
    </row>
    <row r="17202" spans="1:9">
      <c r="A17202" s="22" t="str">
        <f>HYPERLINK("https://app.vivvix.com/360/KMI/IntelliDrive/ApplUI/Pages/CreativePages/CustomReportCreativeDetail.aspx?App=23&amp;ReportView=4&amp;Qid=1711279&amp;Row=17194&amp;Col=1","No Title Assigned - #15276700154")</f>
        <v/>
      </c>
      <c r="B17202" s="0" t="s">
        <v>22867</v>
      </c>
      <c r="E17202" s="0" t="inlineStr">
        <is>
          <t xml:space="preserve">Mazda</t>
        </is>
      </c>
      <c r="F17202" s="0" t="inlineStr">
        <is>
          <t xml:space="preserve">Mazda</t>
        </is>
      </c>
      <c r="G17202" s="0" t="s">
        <v>171</v>
      </c>
      <c r="H17202" s="5">
        <v>75.888100</v>
      </c>
    </row>
    <row r="17203" spans="1:9">
      <c r="A17203" s="22" t="str">
        <f>HYPERLINK("https://app.vivvix.com/360/KMI/IntelliDrive/ApplUI/Pages/CreativePages/CustomReportCreativeDetail.aspx?App=23&amp;ReportView=4&amp;Qid=1711279&amp;Row=17195&amp;Col=1","No Title Assigned - #15276700185")</f>
        <v/>
      </c>
      <c r="B17203" s="0" t="s">
        <v>22868</v>
      </c>
      <c r="E17203" s="0" t="inlineStr">
        <is>
          <t xml:space="preserve">Mazda</t>
        </is>
      </c>
      <c r="F17203" s="0" t="inlineStr">
        <is>
          <t xml:space="preserve">Mazda</t>
        </is>
      </c>
      <c r="G17203" s="0" t="s">
        <v>171</v>
      </c>
      <c r="H17203" s="5">
        <v>102.544200</v>
      </c>
    </row>
    <row r="17204" spans="1:9">
      <c r="A17204" s="22" t="str">
        <f>HYPERLINK("https://app.vivvix.com/360/KMI/IntelliDrive/ApplUI/Pages/CreativePages/CustomReportCreativeDetail.aspx?App=23&amp;ReportView=4&amp;Qid=1711279&amp;Row=17196&amp;Col=1","No Title Assigned - #15276700219")</f>
        <v/>
      </c>
      <c r="B17204" s="0" t="s">
        <v>22869</v>
      </c>
      <c r="E17204" s="0" t="inlineStr">
        <is>
          <t xml:space="preserve">Mazda</t>
        </is>
      </c>
      <c r="F17204" s="0" t="inlineStr">
        <is>
          <t xml:space="preserve">Mazda</t>
        </is>
      </c>
      <c r="G17204" s="0" t="s">
        <v>171</v>
      </c>
      <c r="H17204" s="5">
        <v>415.369000</v>
      </c>
    </row>
    <row r="17205" spans="1:9">
      <c r="A17205" s="22" t="str">
        <f>HYPERLINK("https://app.vivvix.com/360/KMI/IntelliDrive/ApplUI/Pages/CreativePages/CustomReportCreativeDetail.aspx?App=23&amp;ReportView=4&amp;Qid=1711279&amp;Row=17197&amp;Col=1","No Title Assigned - #15276700225")</f>
        <v/>
      </c>
      <c r="B17205" s="0" t="s">
        <v>22870</v>
      </c>
      <c r="E17205" s="0" t="inlineStr">
        <is>
          <t xml:space="preserve">Mazda</t>
        </is>
      </c>
      <c r="F17205" s="0" t="inlineStr">
        <is>
          <t xml:space="preserve">Mazda</t>
        </is>
      </c>
      <c r="G17205" s="0" t="s">
        <v>171</v>
      </c>
      <c r="H17205" s="5">
        <v>104.279800</v>
      </c>
    </row>
    <row r="17206" spans="1:9">
      <c r="A17206" s="22" t="str">
        <f>HYPERLINK("https://app.vivvix.com/360/KMI/IntelliDrive/ApplUI/Pages/CreativePages/CustomReportCreativeDetail.aspx?App=23&amp;ReportView=4&amp;Qid=1711279&amp;Row=17198&amp;Col=1","No Title Assigned - #15276700276")</f>
        <v/>
      </c>
      <c r="B17206" s="0" t="s">
        <v>22871</v>
      </c>
      <c r="E17206" s="0" t="inlineStr">
        <is>
          <t xml:space="preserve">Mazda</t>
        </is>
      </c>
      <c r="F17206" s="0" t="inlineStr">
        <is>
          <t xml:space="preserve">Mazda</t>
        </is>
      </c>
      <c r="G17206" s="0" t="s">
        <v>171</v>
      </c>
      <c r="H17206" s="5">
        <v>167.539800</v>
      </c>
    </row>
    <row r="17207" spans="1:9">
      <c r="A17207" s="22" t="str">
        <f>HYPERLINK("https://app.vivvix.com/360/KMI/IntelliDrive/ApplUI/Pages/CreativePages/CustomReportCreativeDetail.aspx?App=23&amp;ReportView=4&amp;Qid=1711279&amp;Row=17199&amp;Col=1","No Title Assigned - #15276700400")</f>
        <v/>
      </c>
      <c r="B17207" s="0" t="s">
        <v>22872</v>
      </c>
      <c r="E17207" s="0" t="inlineStr">
        <is>
          <t xml:space="preserve">Mazda</t>
        </is>
      </c>
      <c r="F17207" s="0" t="inlineStr">
        <is>
          <t xml:space="preserve">Mazda</t>
        </is>
      </c>
      <c r="G17207" s="0" t="s">
        <v>171</v>
      </c>
      <c r="H17207" s="5">
        <v>102.544200</v>
      </c>
    </row>
    <row r="17208" spans="1:9">
      <c r="A17208" s="22" t="str">
        <f>HYPERLINK("https://app.vivvix.com/360/KMI/IntelliDrive/ApplUI/Pages/CreativePages/CustomReportCreativeDetail.aspx?App=23&amp;ReportView=4&amp;Qid=1711279&amp;Row=17200&amp;Col=1","No Title Assigned - #15276700445")</f>
        <v/>
      </c>
      <c r="B17208" s="0" t="s">
        <v>22873</v>
      </c>
      <c r="E17208" s="0" t="inlineStr">
        <is>
          <t xml:space="preserve">Mazda</t>
        </is>
      </c>
      <c r="F17208" s="0" t="inlineStr">
        <is>
          <t xml:space="preserve">Mazda</t>
        </is>
      </c>
      <c r="G17208" s="0" t="s">
        <v>171</v>
      </c>
      <c r="H17208" s="5">
        <v>44.875200</v>
      </c>
    </row>
    <row r="17209" spans="1:9">
      <c r="A17209" s="22" t="str">
        <f>HYPERLINK("https://app.vivvix.com/360/KMI/IntelliDrive/ApplUI/Pages/CreativePages/CustomReportCreativeDetail.aspx?App=23&amp;ReportView=4&amp;Qid=1711279&amp;Row=17201&amp;Col=1","No Title Assigned - #15276700455")</f>
        <v/>
      </c>
      <c r="B17209" s="0" t="s">
        <v>22874</v>
      </c>
      <c r="E17209" s="0" t="inlineStr">
        <is>
          <t xml:space="preserve">Mazda</t>
        </is>
      </c>
      <c r="F17209" s="0" t="inlineStr">
        <is>
          <t xml:space="preserve">Mazda</t>
        </is>
      </c>
      <c r="G17209" s="0" t="s">
        <v>171</v>
      </c>
      <c r="H17209" s="5">
        <v>85.488600</v>
      </c>
    </row>
    <row r="17210" spans="1:9">
      <c r="A17210" s="22" t="str">
        <f>HYPERLINK("https://app.vivvix.com/360/KMI/IntelliDrive/ApplUI/Pages/CreativePages/CustomReportCreativeDetail.aspx?App=23&amp;ReportView=4&amp;Qid=1711279&amp;Row=17202&amp;Col=1","No Title Assigned - #15276700513")</f>
        <v/>
      </c>
      <c r="B17210" s="0" t="s">
        <v>22875</v>
      </c>
      <c r="E17210" s="0" t="inlineStr">
        <is>
          <t xml:space="preserve">Mazda</t>
        </is>
      </c>
      <c r="F17210" s="0" t="inlineStr">
        <is>
          <t xml:space="preserve">Mazda</t>
        </is>
      </c>
      <c r="G17210" s="0" t="s">
        <v>171</v>
      </c>
      <c r="H17210" s="5">
        <v>103.393900</v>
      </c>
    </row>
    <row r="17211" spans="1:9">
      <c r="A17211" s="22" t="str">
        <f>HYPERLINK("https://app.vivvix.com/360/KMI/IntelliDrive/ApplUI/Pages/CreativePages/CustomReportCreativeDetail.aspx?App=23&amp;ReportView=4&amp;Qid=1711279&amp;Row=17203&amp;Col=1","No Title Assigned - #15276700539")</f>
        <v/>
      </c>
      <c r="B17211" s="0" t="s">
        <v>22876</v>
      </c>
      <c r="E17211" s="0" t="inlineStr">
        <is>
          <t xml:space="preserve">Mazda</t>
        </is>
      </c>
      <c r="F17211" s="0" t="inlineStr">
        <is>
          <t xml:space="preserve">Mazda</t>
        </is>
      </c>
      <c r="G17211" s="0" t="s">
        <v>171</v>
      </c>
      <c r="H17211" s="5">
        <v>132.402600</v>
      </c>
    </row>
    <row r="17212" spans="1:9">
      <c r="A17212" s="22" t="str">
        <f>HYPERLINK("https://app.vivvix.com/360/KMI/IntelliDrive/ApplUI/Pages/CreativePages/CustomReportCreativeDetail.aspx?App=23&amp;ReportView=4&amp;Qid=1711279&amp;Row=17204&amp;Col=1","No Title Assigned - #15276700584")</f>
        <v/>
      </c>
      <c r="B17212" s="0" t="s">
        <v>22877</v>
      </c>
      <c r="C17212" s="0" t="s">
        <v>22878</v>
      </c>
      <c r="D17212" s="0" t="s">
        <v>22878</v>
      </c>
      <c r="E17212" s="0" t="inlineStr">
        <is>
          <t xml:space="preserve">Mazda</t>
        </is>
      </c>
      <c r="F17212" s="0" t="inlineStr">
        <is>
          <t xml:space="preserve">Mazda</t>
        </is>
      </c>
      <c r="G17212" s="0" t="s">
        <v>171</v>
      </c>
      <c r="H17212" s="5">
        <v>94.708300</v>
      </c>
    </row>
    <row r="17213" spans="1:9">
      <c r="A17213" s="22" t="str">
        <f>HYPERLINK("https://app.vivvix.com/360/KMI/IntelliDrive/ApplUI/Pages/CreativePages/CustomReportCreativeDetail.aspx?App=23&amp;ReportView=4&amp;Qid=1711279&amp;Row=17205&amp;Col=1","No Title Assigned - #15276700584")</f>
        <v/>
      </c>
      <c r="B17213" s="0" t="s">
        <v>22877</v>
      </c>
      <c r="E17213" s="0" t="inlineStr">
        <is>
          <t xml:space="preserve">Mazda</t>
        </is>
      </c>
      <c r="F17213" s="0" t="inlineStr">
        <is>
          <t xml:space="preserve">Mazda</t>
        </is>
      </c>
      <c r="G17213" s="0" t="s">
        <v>171</v>
      </c>
      <c r="H17213" s="5">
        <v>2298.727600</v>
      </c>
    </row>
    <row r="17214" spans="1:9">
      <c r="A17214" s="22" t="str">
        <f>HYPERLINK("https://app.vivvix.com/360/KMI/IntelliDrive/ApplUI/Pages/CreativePages/CustomReportCreativeDetail.aspx?App=23&amp;ReportView=4&amp;Qid=1711279&amp;Row=17206&amp;Col=1","No Title Assigned - #15276700614")</f>
        <v/>
      </c>
      <c r="B17214" s="0" t="s">
        <v>22879</v>
      </c>
      <c r="E17214" s="0" t="inlineStr">
        <is>
          <t xml:space="preserve">Mazda</t>
        </is>
      </c>
      <c r="F17214" s="0" t="inlineStr">
        <is>
          <t xml:space="preserve">Mazda</t>
        </is>
      </c>
      <c r="G17214" s="0" t="s">
        <v>171</v>
      </c>
      <c r="H17214" s="5">
        <v>69.989400</v>
      </c>
    </row>
    <row r="17215" spans="1:9">
      <c r="A17215" s="22" t="str">
        <f>HYPERLINK("https://app.vivvix.com/360/KMI/IntelliDrive/ApplUI/Pages/CreativePages/CustomReportCreativeDetail.aspx?App=23&amp;ReportView=4&amp;Qid=1711279&amp;Row=17207&amp;Col=1","No Title Assigned - #15276700636")</f>
        <v/>
      </c>
      <c r="B17215" s="0" t="s">
        <v>22880</v>
      </c>
      <c r="E17215" s="0" t="inlineStr">
        <is>
          <t xml:space="preserve">Mazda</t>
        </is>
      </c>
      <c r="F17215" s="0" t="inlineStr">
        <is>
          <t xml:space="preserve">Mazda</t>
        </is>
      </c>
      <c r="G17215" s="0" t="s">
        <v>171</v>
      </c>
      <c r="H17215" s="5">
        <v>37.862900</v>
      </c>
    </row>
    <row r="17216" spans="1:9">
      <c r="A17216" s="22" t="str">
        <f>HYPERLINK("https://app.vivvix.com/360/KMI/IntelliDrive/ApplUI/Pages/CreativePages/CustomReportCreativeDetail.aspx?App=23&amp;ReportView=4&amp;Qid=1711279&amp;Row=17208&amp;Col=1","No Title Assigned - #15276700665")</f>
        <v/>
      </c>
      <c r="B17216" s="0" t="s">
        <v>22881</v>
      </c>
      <c r="E17216" s="0" t="inlineStr">
        <is>
          <t xml:space="preserve">Mazda</t>
        </is>
      </c>
      <c r="F17216" s="0" t="inlineStr">
        <is>
          <t xml:space="preserve">Mazda</t>
        </is>
      </c>
      <c r="G17216" s="0" t="s">
        <v>171</v>
      </c>
      <c r="H17216" s="5">
        <v>103.108500</v>
      </c>
    </row>
    <row r="17217" spans="1:9">
      <c r="A17217" s="22" t="str">
        <f>HYPERLINK("https://app.vivvix.com/360/KMI/IntelliDrive/ApplUI/Pages/CreativePages/CustomReportCreativeDetail.aspx?App=23&amp;ReportView=4&amp;Qid=1711279&amp;Row=17209&amp;Col=1","No Title Assigned - #15276700720")</f>
        <v/>
      </c>
      <c r="B17217" s="0" t="s">
        <v>22882</v>
      </c>
      <c r="E17217" s="0" t="inlineStr">
        <is>
          <t xml:space="preserve">Mazda</t>
        </is>
      </c>
      <c r="F17217" s="0" t="inlineStr">
        <is>
          <t xml:space="preserve">Mazda</t>
        </is>
      </c>
      <c r="G17217" s="0" t="s">
        <v>171</v>
      </c>
      <c r="H17217" s="5">
        <v>1476.740500</v>
      </c>
    </row>
    <row r="17218" spans="1:9">
      <c r="A17218" s="22" t="str">
        <f>HYPERLINK("https://app.vivvix.com/360/KMI/IntelliDrive/ApplUI/Pages/CreativePages/CustomReportCreativeDetail.aspx?App=23&amp;ReportView=4&amp;Qid=1711279&amp;Row=17210&amp;Col=1","No Title Assigned - #15276700774")</f>
        <v/>
      </c>
      <c r="B17218" s="0" t="s">
        <v>22883</v>
      </c>
      <c r="E17218" s="0" t="inlineStr">
        <is>
          <t xml:space="preserve">Mazda</t>
        </is>
      </c>
      <c r="F17218" s="0" t="inlineStr">
        <is>
          <t xml:space="preserve">Mazda</t>
        </is>
      </c>
      <c r="G17218" s="0" t="s">
        <v>171</v>
      </c>
      <c r="H17218" s="5">
        <v>295.491600</v>
      </c>
    </row>
    <row r="17219" spans="1:9">
      <c r="A17219" s="22" t="str">
        <f>HYPERLINK("https://app.vivvix.com/360/KMI/IntelliDrive/ApplUI/Pages/CreativePages/CustomReportCreativeDetail.aspx?App=23&amp;ReportView=4&amp;Qid=1711279&amp;Row=17211&amp;Col=1","No Title Assigned - #15276700862")</f>
        <v/>
      </c>
      <c r="B17219" s="0" t="s">
        <v>22884</v>
      </c>
      <c r="C17219" s="0" t="s">
        <v>22885</v>
      </c>
      <c r="D17219" s="0" t="s">
        <v>22885</v>
      </c>
      <c r="E17219" s="0" t="inlineStr">
        <is>
          <t xml:space="preserve">Mazda</t>
        </is>
      </c>
      <c r="F17219" s="0" t="s">
        <v>13</v>
      </c>
      <c r="G17219" s="0" t="s">
        <v>49</v>
      </c>
      <c r="H17219" s="5">
        <v>14.291200</v>
      </c>
    </row>
    <row r="17220" spans="1:9">
      <c r="A17220" s="22" t="str">
        <f>HYPERLINK("https://app.vivvix.com/360/KMI/IntelliDrive/ApplUI/Pages/CreativePages/CustomReportCreativeDetail.aspx?App=23&amp;ReportView=4&amp;Qid=1711279&amp;Row=17212&amp;Col=1","No Title Assigned - #15276700880")</f>
        <v/>
      </c>
      <c r="B17220" s="0" t="s">
        <v>22886</v>
      </c>
      <c r="E17220" s="0" t="inlineStr">
        <is>
          <t xml:space="preserve">Mazda</t>
        </is>
      </c>
      <c r="F17220" s="0" t="inlineStr">
        <is>
          <t xml:space="preserve">Mazda</t>
        </is>
      </c>
      <c r="G17220" s="0" t="s">
        <v>171</v>
      </c>
      <c r="H17220" s="5">
        <v>168.500200</v>
      </c>
    </row>
    <row r="17221" spans="1:9">
      <c r="A17221" s="22" t="str">
        <f>HYPERLINK("https://app.vivvix.com/360/KMI/IntelliDrive/ApplUI/Pages/CreativePages/CustomReportCreativeDetail.aspx?App=23&amp;ReportView=4&amp;Qid=1711279&amp;Row=17213&amp;Col=1","No Title Assigned - #15276700977")</f>
        <v/>
      </c>
      <c r="B17221" s="0" t="s">
        <v>22887</v>
      </c>
      <c r="E17221" s="0" t="inlineStr">
        <is>
          <t xml:space="preserve">Mazda</t>
        </is>
      </c>
      <c r="F17221" s="0" t="inlineStr">
        <is>
          <t xml:space="preserve">Mazda</t>
        </is>
      </c>
      <c r="G17221" s="0" t="s">
        <v>171</v>
      </c>
      <c r="H17221" s="5">
        <v>327.117400</v>
      </c>
    </row>
    <row r="17222" spans="1:9">
      <c r="A17222" s="22" t="str">
        <f>HYPERLINK("https://app.vivvix.com/360/KMI/IntelliDrive/ApplUI/Pages/CreativePages/CustomReportCreativeDetail.aspx?App=23&amp;ReportView=4&amp;Qid=1711279&amp;Row=17214&amp;Col=1","No Title Assigned - #15276701007")</f>
        <v/>
      </c>
      <c r="B17222" s="0" t="s">
        <v>22888</v>
      </c>
      <c r="E17222" s="0" t="inlineStr">
        <is>
          <t xml:space="preserve">Mazda</t>
        </is>
      </c>
      <c r="F17222" s="0" t="inlineStr">
        <is>
          <t xml:space="preserve">Mazda</t>
        </is>
      </c>
      <c r="G17222" s="0" t="s">
        <v>171</v>
      </c>
      <c r="H17222" s="5">
        <v>6.099900</v>
      </c>
    </row>
    <row r="17223" spans="1:9">
      <c r="A17223" s="22" t="str">
        <f>HYPERLINK("https://app.vivvix.com/360/KMI/IntelliDrive/ApplUI/Pages/CreativePages/CustomReportCreativeDetail.aspx?App=23&amp;ReportView=4&amp;Qid=1711279&amp;Row=17215&amp;Col=1","No Title Assigned - #15276701009")</f>
        <v/>
      </c>
      <c r="B17223" s="0" t="s">
        <v>22889</v>
      </c>
      <c r="E17223" s="0" t="inlineStr">
        <is>
          <t xml:space="preserve">Mazda</t>
        </is>
      </c>
      <c r="F17223" s="0" t="inlineStr">
        <is>
          <t xml:space="preserve">Mazda</t>
        </is>
      </c>
      <c r="G17223" s="0" t="s">
        <v>171</v>
      </c>
      <c r="H17223" s="5">
        <v>1191.318600</v>
      </c>
    </row>
    <row r="17224" spans="1:9">
      <c r="A17224" s="22" t="str">
        <f>HYPERLINK("https://app.vivvix.com/360/KMI/IntelliDrive/ApplUI/Pages/CreativePages/CustomReportCreativeDetail.aspx?App=23&amp;ReportView=4&amp;Qid=1711279&amp;Row=17216&amp;Col=1","No Title Assigned - #15276701056")</f>
        <v/>
      </c>
      <c r="B17224" s="0" t="s">
        <v>22890</v>
      </c>
      <c r="E17224" s="0" t="inlineStr">
        <is>
          <t xml:space="preserve">Mazda</t>
        </is>
      </c>
      <c r="F17224" s="0" t="inlineStr">
        <is>
          <t xml:space="preserve">Mazda</t>
        </is>
      </c>
      <c r="G17224" s="0" t="s">
        <v>171</v>
      </c>
      <c r="H17224" s="5">
        <v>70.752200</v>
      </c>
    </row>
    <row r="17225" spans="1:9">
      <c r="A17225" s="22" t="str">
        <f>HYPERLINK("https://app.vivvix.com/360/KMI/IntelliDrive/ApplUI/Pages/CreativePages/CustomReportCreativeDetail.aspx?App=23&amp;ReportView=4&amp;Qid=1711279&amp;Row=17217&amp;Col=1","No Title Assigned - #15276701143")</f>
        <v/>
      </c>
      <c r="B17225" s="0" t="s">
        <v>22891</v>
      </c>
      <c r="C17225" s="0" t="s">
        <v>22892</v>
      </c>
      <c r="D17225" s="0" t="s">
        <v>22892</v>
      </c>
      <c r="E17225" s="0" t="inlineStr">
        <is>
          <t xml:space="preserve">Mazda</t>
        </is>
      </c>
      <c r="F17225" s="0" t="inlineStr">
        <is>
          <t xml:space="preserve">Mazda</t>
        </is>
      </c>
      <c r="G17225" s="0" t="s">
        <v>171</v>
      </c>
      <c r="H17225" s="5">
        <v>80.400100</v>
      </c>
    </row>
    <row r="17226" spans="1:9">
      <c r="A17226" s="22" t="str">
        <f>HYPERLINK("https://app.vivvix.com/360/KMI/IntelliDrive/ApplUI/Pages/CreativePages/CustomReportCreativeDetail.aspx?App=23&amp;ReportView=4&amp;Qid=1711279&amp;Row=17218&amp;Col=1","No Title Assigned - #15276701150")</f>
        <v/>
      </c>
      <c r="B17226" s="0" t="s">
        <v>22893</v>
      </c>
      <c r="C17226" s="0" t="s">
        <v>22894</v>
      </c>
      <c r="D17226" s="0" t="s">
        <v>22894</v>
      </c>
      <c r="E17226" s="0" t="inlineStr">
        <is>
          <t xml:space="preserve">Mazda</t>
        </is>
      </c>
      <c r="F17226" s="0" t="inlineStr">
        <is>
          <t xml:space="preserve">Mazda</t>
        </is>
      </c>
      <c r="G17226" s="0" t="s">
        <v>171</v>
      </c>
      <c r="H17226" s="5">
        <v>101.458900</v>
      </c>
    </row>
    <row r="17227" spans="1:9">
      <c r="A17227" s="22" t="str">
        <f>HYPERLINK("https://app.vivvix.com/360/KMI/IntelliDrive/ApplUI/Pages/CreativePages/CustomReportCreativeDetail.aspx?App=23&amp;ReportView=4&amp;Qid=1711279&amp;Row=17219&amp;Col=1","No Title Assigned - #15276701187")</f>
        <v/>
      </c>
      <c r="B17227" s="0" t="s">
        <v>22895</v>
      </c>
      <c r="C17227" s="0" t="s">
        <v>22896</v>
      </c>
      <c r="D17227" s="0" t="s">
        <v>22896</v>
      </c>
      <c r="E17227" s="0" t="inlineStr">
        <is>
          <t xml:space="preserve">Mazda</t>
        </is>
      </c>
      <c r="F17227" s="0" t="inlineStr">
        <is>
          <t xml:space="preserve">Mazda</t>
        </is>
      </c>
      <c r="G17227" s="0" t="s">
        <v>171</v>
      </c>
      <c r="H17227" s="5">
        <v>727.902700</v>
      </c>
    </row>
    <row r="17228" spans="1:9">
      <c r="A17228" s="22" t="str">
        <f>HYPERLINK("https://app.vivvix.com/360/KMI/IntelliDrive/ApplUI/Pages/CreativePages/CustomReportCreativeDetail.aspx?App=23&amp;ReportView=4&amp;Qid=1711279&amp;Row=17220&amp;Col=1","No Title Assigned - #15276701189")</f>
        <v/>
      </c>
      <c r="B17228" s="0" t="s">
        <v>22897</v>
      </c>
      <c r="E17228" s="0" t="inlineStr">
        <is>
          <t xml:space="preserve">Mazda</t>
        </is>
      </c>
      <c r="F17228" s="0" t="inlineStr">
        <is>
          <t xml:space="preserve">Mazda</t>
        </is>
      </c>
      <c r="G17228" s="0" t="s">
        <v>171</v>
      </c>
      <c r="H17228" s="5">
        <v>344.024400</v>
      </c>
    </row>
    <row r="17229" spans="1:9">
      <c r="A17229" s="22" t="str">
        <f>HYPERLINK("https://app.vivvix.com/360/KMI/IntelliDrive/ApplUI/Pages/CreativePages/CustomReportCreativeDetail.aspx?App=23&amp;ReportView=4&amp;Qid=1711279&amp;Row=17221&amp;Col=1","No Title Assigned - #15276701214")</f>
        <v/>
      </c>
      <c r="B17229" s="0" t="s">
        <v>22898</v>
      </c>
      <c r="E17229" s="0" t="inlineStr">
        <is>
          <t xml:space="preserve">Mazda</t>
        </is>
      </c>
      <c r="F17229" s="0" t="inlineStr">
        <is>
          <t xml:space="preserve">Mazda</t>
        </is>
      </c>
      <c r="G17229" s="0" t="s">
        <v>171</v>
      </c>
      <c r="H17229" s="5">
        <v>2622.287300</v>
      </c>
    </row>
    <row r="17230" spans="1:9">
      <c r="A17230" s="22" t="str">
        <f>HYPERLINK("https://app.vivvix.com/360/KMI/IntelliDrive/ApplUI/Pages/CreativePages/CustomReportCreativeDetail.aspx?App=23&amp;ReportView=4&amp;Qid=1711279&amp;Row=17222&amp;Col=1","No Title Assigned - #15276701241")</f>
        <v/>
      </c>
      <c r="B17230" s="0" t="s">
        <v>22899</v>
      </c>
      <c r="E17230" s="0" t="inlineStr">
        <is>
          <t xml:space="preserve">Mazda</t>
        </is>
      </c>
      <c r="F17230" s="0" t="inlineStr">
        <is>
          <t xml:space="preserve">Mazda</t>
        </is>
      </c>
      <c r="G17230" s="0" t="s">
        <v>171</v>
      </c>
      <c r="H17230" s="5">
        <v>163.150200</v>
      </c>
    </row>
    <row r="17231" spans="1:9">
      <c r="A17231" s="22" t="str">
        <f>HYPERLINK("https://app.vivvix.com/360/KMI/IntelliDrive/ApplUI/Pages/CreativePages/CustomReportCreativeDetail.aspx?App=23&amp;ReportView=4&amp;Qid=1711279&amp;Row=17223&amp;Col=1","No Title Assigned - #15276701270")</f>
        <v/>
      </c>
      <c r="B17231" s="0" t="s">
        <v>22900</v>
      </c>
      <c r="E17231" s="0" t="inlineStr">
        <is>
          <t xml:space="preserve">Mazda</t>
        </is>
      </c>
      <c r="F17231" s="0" t="inlineStr">
        <is>
          <t xml:space="preserve">Mazda</t>
        </is>
      </c>
      <c r="G17231" s="0" t="s">
        <v>171</v>
      </c>
      <c r="H17231" s="5">
        <v>70.353200</v>
      </c>
    </row>
    <row r="17232" spans="1:9">
      <c r="A17232" s="22" t="str">
        <f>HYPERLINK("https://app.vivvix.com/360/KMI/IntelliDrive/ApplUI/Pages/CreativePages/CustomReportCreativeDetail.aspx?App=23&amp;ReportView=4&amp;Qid=1711279&amp;Row=17224&amp;Col=1","No Title Assigned - #15276701289")</f>
        <v/>
      </c>
      <c r="B17232" s="0" t="s">
        <v>22901</v>
      </c>
      <c r="E17232" s="0" t="inlineStr">
        <is>
          <t xml:space="preserve">Mazda</t>
        </is>
      </c>
      <c r="F17232" s="0" t="inlineStr">
        <is>
          <t xml:space="preserve">Mazda</t>
        </is>
      </c>
      <c r="G17232" s="0" t="s">
        <v>171</v>
      </c>
      <c r="H17232" s="5">
        <v>67.909300</v>
      </c>
    </row>
    <row r="17233" spans="1:9">
      <c r="A17233" s="22" t="str">
        <f>HYPERLINK("https://app.vivvix.com/360/KMI/IntelliDrive/ApplUI/Pages/CreativePages/CustomReportCreativeDetail.aspx?App=23&amp;ReportView=4&amp;Qid=1711279&amp;Row=17225&amp;Col=1","No Title Assigned - #15276701330")</f>
        <v/>
      </c>
      <c r="B17233" s="0" t="s">
        <v>22902</v>
      </c>
      <c r="E17233" s="0" t="inlineStr">
        <is>
          <t xml:space="preserve">Mazda</t>
        </is>
      </c>
      <c r="F17233" s="0" t="inlineStr">
        <is>
          <t xml:space="preserve">Mazda</t>
        </is>
      </c>
      <c r="G17233" s="0" t="s">
        <v>171</v>
      </c>
      <c r="H17233" s="5">
        <v>73.320400</v>
      </c>
    </row>
    <row r="17234" spans="1:9">
      <c r="A17234" s="22" t="str">
        <f>HYPERLINK("https://app.vivvix.com/360/KMI/IntelliDrive/ApplUI/Pages/CreativePages/CustomReportCreativeDetail.aspx?App=23&amp;ReportView=4&amp;Qid=1711279&amp;Row=17226&amp;Col=1","No Title Assigned - #15276701397")</f>
        <v/>
      </c>
      <c r="B17234" s="0" t="s">
        <v>22903</v>
      </c>
      <c r="E17234" s="0" t="inlineStr">
        <is>
          <t xml:space="preserve">Mazda</t>
        </is>
      </c>
      <c r="F17234" s="0" t="inlineStr">
        <is>
          <t xml:space="preserve">Mazda</t>
        </is>
      </c>
      <c r="G17234" s="0" t="s">
        <v>171</v>
      </c>
      <c r="H17234" s="5">
        <v>294.701500</v>
      </c>
    </row>
    <row r="17235" spans="1:9">
      <c r="A17235" s="22" t="str">
        <f>HYPERLINK("https://app.vivvix.com/360/KMI/IntelliDrive/ApplUI/Pages/CreativePages/CustomReportCreativeDetail.aspx?App=23&amp;ReportView=4&amp;Qid=1711279&amp;Row=17227&amp;Col=1","No Title Assigned - #15276701412")</f>
        <v/>
      </c>
      <c r="B17235" s="0" t="s">
        <v>22904</v>
      </c>
      <c r="E17235" s="0" t="inlineStr">
        <is>
          <t xml:space="preserve">Mazda</t>
        </is>
      </c>
      <c r="F17235" s="0" t="inlineStr">
        <is>
          <t xml:space="preserve">Mazda</t>
        </is>
      </c>
      <c r="G17235" s="0" t="s">
        <v>171</v>
      </c>
      <c r="H17235" s="5">
        <v>50.181300</v>
      </c>
    </row>
    <row r="17236" spans="1:9">
      <c r="A17236" s="22" t="str">
        <f>HYPERLINK("https://app.vivvix.com/360/KMI/IntelliDrive/ApplUI/Pages/CreativePages/CustomReportCreativeDetail.aspx?App=23&amp;ReportView=4&amp;Qid=1711279&amp;Row=17228&amp;Col=1","No Title Assigned - #15276701464")</f>
        <v/>
      </c>
      <c r="B17236" s="0" t="s">
        <v>22905</v>
      </c>
      <c r="E17236" s="0" t="inlineStr">
        <is>
          <t xml:space="preserve">Mazda</t>
        </is>
      </c>
      <c r="F17236" s="0" t="inlineStr">
        <is>
          <t xml:space="preserve">Mazda</t>
        </is>
      </c>
      <c r="G17236" s="0" t="s">
        <v>171</v>
      </c>
      <c r="H17236" s="5">
        <v>83.995900</v>
      </c>
    </row>
    <row r="17237" spans="1:9">
      <c r="A17237" s="22" t="str">
        <f>HYPERLINK("https://app.vivvix.com/360/KMI/IntelliDrive/ApplUI/Pages/CreativePages/CustomReportCreativeDetail.aspx?App=23&amp;ReportView=4&amp;Qid=1711279&amp;Row=17229&amp;Col=1","No Title Assigned - #15276701536")</f>
        <v/>
      </c>
      <c r="B17237" s="0" t="s">
        <v>22906</v>
      </c>
      <c r="C17237" s="0" t="s">
        <v>22907</v>
      </c>
      <c r="D17237" s="0" t="s">
        <v>22907</v>
      </c>
      <c r="E17237" s="0" t="inlineStr">
        <is>
          <t xml:space="preserve">Mazda</t>
        </is>
      </c>
      <c r="F17237" s="0" t="inlineStr">
        <is>
          <t xml:space="preserve">Mazda</t>
        </is>
      </c>
      <c r="G17237" s="0" t="s">
        <v>171</v>
      </c>
      <c r="H17237" s="5">
        <v>459.633600</v>
      </c>
    </row>
    <row r="17238" spans="1:9">
      <c r="A17238" s="22" t="str">
        <f>HYPERLINK("https://app.vivvix.com/360/KMI/IntelliDrive/ApplUI/Pages/CreativePages/CustomReportCreativeDetail.aspx?App=23&amp;ReportView=4&amp;Qid=1711279&amp;Row=17230&amp;Col=1","No Title Assigned - #15276701544")</f>
        <v/>
      </c>
      <c r="B17238" s="0" t="s">
        <v>22908</v>
      </c>
      <c r="E17238" s="0" t="inlineStr">
        <is>
          <t xml:space="preserve">Mazda</t>
        </is>
      </c>
      <c r="F17238" s="0" t="inlineStr">
        <is>
          <t xml:space="preserve">Mazda</t>
        </is>
      </c>
      <c r="G17238" s="0" t="s">
        <v>171</v>
      </c>
      <c r="H17238" s="5">
        <v>30.263400</v>
      </c>
    </row>
    <row r="17239" spans="1:9">
      <c r="A17239" s="22" t="str">
        <f>HYPERLINK("https://app.vivvix.com/360/KMI/IntelliDrive/ApplUI/Pages/CreativePages/CustomReportCreativeDetail.aspx?App=23&amp;ReportView=4&amp;Qid=1711279&amp;Row=17231&amp;Col=1","No Title Assigned - #15276701553")</f>
        <v/>
      </c>
      <c r="B17239" s="0" t="s">
        <v>22909</v>
      </c>
      <c r="E17239" s="0" t="inlineStr">
        <is>
          <t xml:space="preserve">Mazda</t>
        </is>
      </c>
      <c r="F17239" s="0" t="inlineStr">
        <is>
          <t xml:space="preserve">Mazda</t>
        </is>
      </c>
      <c r="G17239" s="0" t="s">
        <v>171</v>
      </c>
      <c r="H17239" s="5">
        <v>541.964100</v>
      </c>
    </row>
    <row r="17240" spans="1:9">
      <c r="A17240" s="22" t="str">
        <f>HYPERLINK("https://app.vivvix.com/360/KMI/IntelliDrive/ApplUI/Pages/CreativePages/CustomReportCreativeDetail.aspx?App=23&amp;ReportView=4&amp;Qid=1711279&amp;Row=17232&amp;Col=1","No Title Assigned - #15276701604")</f>
        <v/>
      </c>
      <c r="B17240" s="0" t="s">
        <v>22910</v>
      </c>
      <c r="E17240" s="0" t="inlineStr">
        <is>
          <t xml:space="preserve">Mazda</t>
        </is>
      </c>
      <c r="F17240" s="0" t="inlineStr">
        <is>
          <t xml:space="preserve">Mazda</t>
        </is>
      </c>
      <c r="G17240" s="0" t="s">
        <v>171</v>
      </c>
      <c r="H17240" s="5">
        <v>116.842700</v>
      </c>
    </row>
    <row r="17241" spans="1:9">
      <c r="A17241" s="22" t="str">
        <f>HYPERLINK("https://app.vivvix.com/360/KMI/IntelliDrive/ApplUI/Pages/CreativePages/CustomReportCreativeDetail.aspx?App=23&amp;ReportView=4&amp;Qid=1711279&amp;Row=17233&amp;Col=1","No Title Assigned - #15276701608")</f>
        <v/>
      </c>
      <c r="B17241" s="0" t="s">
        <v>22911</v>
      </c>
      <c r="E17241" s="0" t="inlineStr">
        <is>
          <t xml:space="preserve">Mazda</t>
        </is>
      </c>
      <c r="F17241" s="0" t="inlineStr">
        <is>
          <t xml:space="preserve">Mazda</t>
        </is>
      </c>
      <c r="G17241" s="0" t="s">
        <v>171</v>
      </c>
      <c r="H17241" s="5">
        <v>13.599000</v>
      </c>
    </row>
    <row r="17242" spans="1:9">
      <c r="A17242" s="22" t="str">
        <f>HYPERLINK("https://app.vivvix.com/360/KMI/IntelliDrive/ApplUI/Pages/CreativePages/CustomReportCreativeDetail.aspx?App=23&amp;ReportView=4&amp;Qid=1711279&amp;Row=17234&amp;Col=1","No Title Assigned - #15276701729")</f>
        <v/>
      </c>
      <c r="B17242" s="0" t="s">
        <v>22912</v>
      </c>
      <c r="E17242" s="0" t="inlineStr">
        <is>
          <t xml:space="preserve">Mazda</t>
        </is>
      </c>
      <c r="F17242" s="0" t="inlineStr">
        <is>
          <t xml:space="preserve">Mazda</t>
        </is>
      </c>
      <c r="G17242" s="0" t="s">
        <v>171</v>
      </c>
      <c r="H17242" s="5">
        <v>1074.397500</v>
      </c>
    </row>
    <row r="17243" spans="1:9">
      <c r="A17243" s="22" t="str">
        <f>HYPERLINK("https://app.vivvix.com/360/KMI/IntelliDrive/ApplUI/Pages/CreativePages/CustomReportCreativeDetail.aspx?App=23&amp;ReportView=4&amp;Qid=1711279&amp;Row=17235&amp;Col=1","No Title Assigned - #15276701730")</f>
        <v/>
      </c>
      <c r="B17243" s="0" t="s">
        <v>22913</v>
      </c>
      <c r="E17243" s="0" t="inlineStr">
        <is>
          <t xml:space="preserve">Mazda</t>
        </is>
      </c>
      <c r="F17243" s="0" t="inlineStr">
        <is>
          <t xml:space="preserve">Mazda</t>
        </is>
      </c>
      <c r="G17243" s="0" t="s">
        <v>171</v>
      </c>
      <c r="H17243" s="5">
        <v>14.519800</v>
      </c>
    </row>
    <row r="17244" spans="1:9">
      <c r="A17244" s="22" t="str">
        <f>HYPERLINK("https://app.vivvix.com/360/KMI/IntelliDrive/ApplUI/Pages/CreativePages/CustomReportCreativeDetail.aspx?App=23&amp;ReportView=4&amp;Qid=1711279&amp;Row=17236&amp;Col=1","No Title Assigned - #15276701736")</f>
        <v/>
      </c>
      <c r="B17244" s="0" t="s">
        <v>22914</v>
      </c>
      <c r="E17244" s="0" t="inlineStr">
        <is>
          <t xml:space="preserve">Mazda</t>
        </is>
      </c>
      <c r="F17244" s="0" t="inlineStr">
        <is>
          <t xml:space="preserve">Mazda</t>
        </is>
      </c>
      <c r="G17244" s="0" t="s">
        <v>171</v>
      </c>
      <c r="H17244" s="5">
        <v>186.780400</v>
      </c>
    </row>
    <row r="17245" spans="1:9">
      <c r="A17245" s="22" t="str">
        <f>HYPERLINK("https://app.vivvix.com/360/KMI/IntelliDrive/ApplUI/Pages/CreativePages/CustomReportCreativeDetail.aspx?App=23&amp;ReportView=4&amp;Qid=1711279&amp;Row=17237&amp;Col=1","No Title Assigned - #15276701770")</f>
        <v/>
      </c>
      <c r="B17245" s="0" t="s">
        <v>22915</v>
      </c>
      <c r="C17245" s="0" t="s">
        <v>22916</v>
      </c>
      <c r="D17245" s="0" t="s">
        <v>22916</v>
      </c>
      <c r="E17245" s="0" t="inlineStr">
        <is>
          <t xml:space="preserve">Mazda</t>
        </is>
      </c>
      <c r="F17245" s="0" t="s">
        <v>13</v>
      </c>
      <c r="G17245" s="0" t="s">
        <v>49</v>
      </c>
      <c r="H17245" s="5">
        <v>129.773900</v>
      </c>
    </row>
    <row r="17246" spans="1:9">
      <c r="A17246" s="22" t="str">
        <f>HYPERLINK("https://app.vivvix.com/360/KMI/IntelliDrive/ApplUI/Pages/CreativePages/CustomReportCreativeDetail.aspx?App=23&amp;ReportView=4&amp;Qid=1711279&amp;Row=17238&amp;Col=1","No Title Assigned - #15276701772")</f>
        <v/>
      </c>
      <c r="B17246" s="0" t="s">
        <v>22917</v>
      </c>
      <c r="E17246" s="0" t="inlineStr">
        <is>
          <t xml:space="preserve">Mazda</t>
        </is>
      </c>
      <c r="F17246" s="0" t="inlineStr">
        <is>
          <t xml:space="preserve">Mazda</t>
        </is>
      </c>
      <c r="G17246" s="0" t="s">
        <v>171</v>
      </c>
      <c r="H17246" s="5">
        <v>455.156800</v>
      </c>
    </row>
    <row r="17247" spans="1:9">
      <c r="A17247" s="22" t="str">
        <f>HYPERLINK("https://app.vivvix.com/360/KMI/IntelliDrive/ApplUI/Pages/CreativePages/CustomReportCreativeDetail.aspx?App=23&amp;ReportView=4&amp;Qid=1711279&amp;Row=17239&amp;Col=1","No Title Assigned - #15276701773")</f>
        <v/>
      </c>
      <c r="B17247" s="0" t="s">
        <v>22918</v>
      </c>
      <c r="E17247" s="0" t="inlineStr">
        <is>
          <t xml:space="preserve">Mazda</t>
        </is>
      </c>
      <c r="F17247" s="0" t="inlineStr">
        <is>
          <t xml:space="preserve">Mazda</t>
        </is>
      </c>
      <c r="G17247" s="0" t="s">
        <v>171</v>
      </c>
      <c r="H17247" s="5">
        <v>180.169700</v>
      </c>
    </row>
    <row r="17248" spans="1:9">
      <c r="A17248" s="22" t="str">
        <f>HYPERLINK("https://app.vivvix.com/360/KMI/IntelliDrive/ApplUI/Pages/CreativePages/CustomReportCreativeDetail.aspx?App=23&amp;ReportView=4&amp;Qid=1711279&amp;Row=17240&amp;Col=1","No Title Assigned - #15276701774")</f>
        <v/>
      </c>
      <c r="B17248" s="0" t="s">
        <v>22919</v>
      </c>
      <c r="E17248" s="0" t="inlineStr">
        <is>
          <t xml:space="preserve">Mazda</t>
        </is>
      </c>
      <c r="F17248" s="0" t="inlineStr">
        <is>
          <t xml:space="preserve">Mazda</t>
        </is>
      </c>
      <c r="G17248" s="0" t="s">
        <v>171</v>
      </c>
      <c r="H17248" s="5">
        <v>0.796900</v>
      </c>
    </row>
    <row r="17249" spans="1:9">
      <c r="A17249" s="22" t="str">
        <f>HYPERLINK("https://app.vivvix.com/360/KMI/IntelliDrive/ApplUI/Pages/CreativePages/CustomReportCreativeDetail.aspx?App=23&amp;ReportView=4&amp;Qid=1711279&amp;Row=17241&amp;Col=1","No Title Assigned - #15276701807")</f>
        <v/>
      </c>
      <c r="B17249" s="0" t="s">
        <v>22920</v>
      </c>
      <c r="E17249" s="0" t="inlineStr">
        <is>
          <t xml:space="preserve">Mazda</t>
        </is>
      </c>
      <c r="F17249" s="0" t="inlineStr">
        <is>
          <t xml:space="preserve">Mazda</t>
        </is>
      </c>
      <c r="G17249" s="0" t="s">
        <v>171</v>
      </c>
      <c r="H17249" s="5">
        <v>715.447100</v>
      </c>
    </row>
    <row r="17250" spans="1:9">
      <c r="A17250" s="22" t="str">
        <f>HYPERLINK("https://app.vivvix.com/360/KMI/IntelliDrive/ApplUI/Pages/CreativePages/CustomReportCreativeDetail.aspx?App=23&amp;ReportView=4&amp;Qid=1711279&amp;Row=17242&amp;Col=1","No Title Assigned - #15276701811")</f>
        <v/>
      </c>
      <c r="B17250" s="0" t="s">
        <v>22921</v>
      </c>
      <c r="E17250" s="0" t="inlineStr">
        <is>
          <t xml:space="preserve">Mazda</t>
        </is>
      </c>
      <c r="F17250" s="0" t="inlineStr">
        <is>
          <t xml:space="preserve">Mazda</t>
        </is>
      </c>
      <c r="G17250" s="0" t="s">
        <v>171</v>
      </c>
      <c r="H17250" s="5">
        <v>29.158800</v>
      </c>
    </row>
    <row r="17251" spans="1:9">
      <c r="A17251" s="22" t="str">
        <f>HYPERLINK("https://app.vivvix.com/360/KMI/IntelliDrive/ApplUI/Pages/CreativePages/CustomReportCreativeDetail.aspx?App=23&amp;ReportView=4&amp;Qid=1711279&amp;Row=17243&amp;Col=1","No Title Assigned - #15276701878")</f>
        <v/>
      </c>
      <c r="B17251" s="0" t="s">
        <v>22922</v>
      </c>
      <c r="E17251" s="0" t="inlineStr">
        <is>
          <t xml:space="preserve">Mazda</t>
        </is>
      </c>
      <c r="F17251" s="0" t="inlineStr">
        <is>
          <t xml:space="preserve">Mazda</t>
        </is>
      </c>
      <c r="G17251" s="0" t="s">
        <v>171</v>
      </c>
      <c r="H17251" s="5">
        <v>34.181400</v>
      </c>
    </row>
    <row r="17252" spans="1:9">
      <c r="A17252" s="22" t="str">
        <f>HYPERLINK("https://app.vivvix.com/360/KMI/IntelliDrive/ApplUI/Pages/CreativePages/CustomReportCreativeDetail.aspx?App=23&amp;ReportView=4&amp;Qid=1711279&amp;Row=17244&amp;Col=1","No Title Assigned - #15276701892")</f>
        <v/>
      </c>
      <c r="B17252" s="0" t="s">
        <v>22923</v>
      </c>
      <c r="E17252" s="0" t="inlineStr">
        <is>
          <t xml:space="preserve">Mazda</t>
        </is>
      </c>
      <c r="F17252" s="0" t="inlineStr">
        <is>
          <t xml:space="preserve">Mazda</t>
        </is>
      </c>
      <c r="G17252" s="0" t="s">
        <v>171</v>
      </c>
      <c r="H17252" s="5">
        <v>11.281500</v>
      </c>
    </row>
    <row r="17253" spans="1:9">
      <c r="A17253" s="22" t="str">
        <f>HYPERLINK("https://app.vivvix.com/360/KMI/IntelliDrive/ApplUI/Pages/CreativePages/CustomReportCreativeDetail.aspx?App=23&amp;ReportView=4&amp;Qid=1711279&amp;Row=17245&amp;Col=1","No Title Assigned - #15276701894")</f>
        <v/>
      </c>
      <c r="B17253" s="0" t="s">
        <v>22924</v>
      </c>
      <c r="E17253" s="0" t="inlineStr">
        <is>
          <t xml:space="preserve">Mazda</t>
        </is>
      </c>
      <c r="F17253" s="0" t="inlineStr">
        <is>
          <t xml:space="preserve">Mazda</t>
        </is>
      </c>
      <c r="G17253" s="0" t="s">
        <v>171</v>
      </c>
      <c r="H17253" s="5">
        <v>438.255100</v>
      </c>
    </row>
    <row r="17254" spans="1:9">
      <c r="A17254" s="22" t="str">
        <f>HYPERLINK("https://app.vivvix.com/360/KMI/IntelliDrive/ApplUI/Pages/CreativePages/CustomReportCreativeDetail.aspx?App=23&amp;ReportView=4&amp;Qid=1711279&amp;Row=17246&amp;Col=1","No Title Assigned - #15276701897")</f>
        <v/>
      </c>
      <c r="B17254" s="0" t="s">
        <v>22925</v>
      </c>
      <c r="E17254" s="0" t="inlineStr">
        <is>
          <t xml:space="preserve">Mazda</t>
        </is>
      </c>
      <c r="F17254" s="0" t="inlineStr">
        <is>
          <t xml:space="preserve">Mazda</t>
        </is>
      </c>
      <c r="G17254" s="0" t="s">
        <v>171</v>
      </c>
      <c r="H17254" s="5">
        <v>0.796900</v>
      </c>
    </row>
    <row r="17255" spans="1:9">
      <c r="A17255" s="22" t="str">
        <f>HYPERLINK("https://app.vivvix.com/360/KMI/IntelliDrive/ApplUI/Pages/CreativePages/CustomReportCreativeDetail.aspx?App=23&amp;ReportView=4&amp;Qid=1711279&amp;Row=17247&amp;Col=1","No Title Assigned - #15276701911")</f>
        <v/>
      </c>
      <c r="B17255" s="0" t="s">
        <v>22926</v>
      </c>
      <c r="E17255" s="0" t="inlineStr">
        <is>
          <t xml:space="preserve">Mazda</t>
        </is>
      </c>
      <c r="F17255" s="0" t="inlineStr">
        <is>
          <t xml:space="preserve">Mazda</t>
        </is>
      </c>
      <c r="G17255" s="0" t="s">
        <v>171</v>
      </c>
      <c r="H17255" s="5">
        <v>83.995900</v>
      </c>
    </row>
    <row r="17256" spans="1:9">
      <c r="A17256" s="22" t="str">
        <f>HYPERLINK("https://app.vivvix.com/360/KMI/IntelliDrive/ApplUI/Pages/CreativePages/CustomReportCreativeDetail.aspx?App=23&amp;ReportView=4&amp;Qid=1711279&amp;Row=17248&amp;Col=1","No Title Assigned - #15276701911")</f>
        <v/>
      </c>
      <c r="B17256" s="0" t="s">
        <v>22926</v>
      </c>
      <c r="E17256" s="0" t="inlineStr">
        <is>
          <t xml:space="preserve">Mazda</t>
        </is>
      </c>
      <c r="F17256" s="0" t="inlineStr">
        <is>
          <t xml:space="preserve">Mazda</t>
        </is>
      </c>
      <c r="G17256" s="0" t="s">
        <v>171</v>
      </c>
      <c r="H17256" s="5">
        <v>815.682500</v>
      </c>
    </row>
    <row r="17257" spans="1:9">
      <c r="A17257" s="22" t="str">
        <f>HYPERLINK("https://app.vivvix.com/360/KMI/IntelliDrive/ApplUI/Pages/CreativePages/CustomReportCreativeDetail.aspx?App=23&amp;ReportView=4&amp;Qid=1711279&amp;Row=17249&amp;Col=1","No Title Assigned - #15276701934")</f>
        <v/>
      </c>
      <c r="B17257" s="0" t="s">
        <v>22927</v>
      </c>
      <c r="C17257" s="0" t="s">
        <v>22928</v>
      </c>
      <c r="D17257" s="0" t="s">
        <v>22928</v>
      </c>
      <c r="E17257" s="0" t="inlineStr">
        <is>
          <t xml:space="preserve">Mazda</t>
        </is>
      </c>
      <c r="F17257" s="0" t="inlineStr">
        <is>
          <t xml:space="preserve">Mazda</t>
        </is>
      </c>
      <c r="G17257" s="0" t="s">
        <v>171</v>
      </c>
      <c r="H17257" s="5">
        <v>183.054900</v>
      </c>
    </row>
    <row r="17258" spans="1:9">
      <c r="A17258" s="22" t="str">
        <f>HYPERLINK("https://app.vivvix.com/360/KMI/IntelliDrive/ApplUI/Pages/CreativePages/CustomReportCreativeDetail.aspx?App=23&amp;ReportView=4&amp;Qid=1711279&amp;Row=17250&amp;Col=1","No Title Assigned - #15276701934")</f>
        <v/>
      </c>
      <c r="B17258" s="0" t="s">
        <v>22927</v>
      </c>
      <c r="E17258" s="0" t="inlineStr">
        <is>
          <t xml:space="preserve">Mazda</t>
        </is>
      </c>
      <c r="F17258" s="0" t="inlineStr">
        <is>
          <t xml:space="preserve">Mazda</t>
        </is>
      </c>
      <c r="G17258" s="0" t="s">
        <v>171</v>
      </c>
      <c r="H17258" s="5">
        <v>874.512000</v>
      </c>
    </row>
    <row r="17259" spans="1:9">
      <c r="A17259" s="22" t="str">
        <f>HYPERLINK("https://app.vivvix.com/360/KMI/IntelliDrive/ApplUI/Pages/CreativePages/CustomReportCreativeDetail.aspx?App=23&amp;ReportView=4&amp;Qid=1711279&amp;Row=17251&amp;Col=1","No Title Assigned - #15276701968")</f>
        <v/>
      </c>
      <c r="B17259" s="0" t="s">
        <v>22929</v>
      </c>
      <c r="E17259" s="0" t="inlineStr">
        <is>
          <t xml:space="preserve">Mazda</t>
        </is>
      </c>
      <c r="F17259" s="0" t="inlineStr">
        <is>
          <t xml:space="preserve">Mazda</t>
        </is>
      </c>
      <c r="G17259" s="0" t="s">
        <v>171</v>
      </c>
      <c r="H17259" s="5">
        <v>146.728200</v>
      </c>
    </row>
    <row r="17260" spans="1:9">
      <c r="A17260" s="22" t="str">
        <f>HYPERLINK("https://app.vivvix.com/360/KMI/IntelliDrive/ApplUI/Pages/CreativePages/CustomReportCreativeDetail.aspx?App=23&amp;ReportView=4&amp;Qid=1711279&amp;Row=17252&amp;Col=1","No Title Assigned - #15276701985")</f>
        <v/>
      </c>
      <c r="B17260" s="0" t="s">
        <v>22930</v>
      </c>
      <c r="E17260" s="0" t="inlineStr">
        <is>
          <t xml:space="preserve">Mazda</t>
        </is>
      </c>
      <c r="F17260" s="0" t="inlineStr">
        <is>
          <t xml:space="preserve">Mazda</t>
        </is>
      </c>
      <c r="G17260" s="0" t="s">
        <v>171</v>
      </c>
      <c r="H17260" s="5">
        <v>125.456200</v>
      </c>
    </row>
    <row r="17261" spans="1:9">
      <c r="A17261" s="22" t="str">
        <f>HYPERLINK("https://app.vivvix.com/360/KMI/IntelliDrive/ApplUI/Pages/CreativePages/CustomReportCreativeDetail.aspx?App=23&amp;ReportView=4&amp;Qid=1711279&amp;Row=17253&amp;Col=1","No Title Assigned - #15276701996")</f>
        <v/>
      </c>
      <c r="B17261" s="0" t="s">
        <v>22931</v>
      </c>
      <c r="E17261" s="0" t="inlineStr">
        <is>
          <t xml:space="preserve">Mazda</t>
        </is>
      </c>
      <c r="F17261" s="0" t="inlineStr">
        <is>
          <t xml:space="preserve">Mazda</t>
        </is>
      </c>
      <c r="G17261" s="0" t="s">
        <v>171</v>
      </c>
      <c r="H17261" s="5">
        <v>147.993500</v>
      </c>
    </row>
    <row r="17262" spans="1:9">
      <c r="A17262" s="22" t="str">
        <f>HYPERLINK("https://app.vivvix.com/360/KMI/IntelliDrive/ApplUI/Pages/CreativePages/CustomReportCreativeDetail.aspx?App=23&amp;ReportView=4&amp;Qid=1711279&amp;Row=17254&amp;Col=1","No Title Assigned - #15276701999")</f>
        <v/>
      </c>
      <c r="B17262" s="0" t="s">
        <v>22932</v>
      </c>
      <c r="E17262" s="0" t="inlineStr">
        <is>
          <t xml:space="preserve">Mazda</t>
        </is>
      </c>
      <c r="F17262" s="0" t="inlineStr">
        <is>
          <t xml:space="preserve">Mazda</t>
        </is>
      </c>
      <c r="G17262" s="0" t="s">
        <v>171</v>
      </c>
      <c r="H17262" s="5">
        <v>1017.278100</v>
      </c>
    </row>
    <row r="17263" spans="1:9">
      <c r="A17263" s="22" t="str">
        <f>HYPERLINK("https://app.vivvix.com/360/KMI/IntelliDrive/ApplUI/Pages/CreativePages/CustomReportCreativeDetail.aspx?App=23&amp;ReportView=4&amp;Qid=1711279&amp;Row=17255&amp;Col=1","No Title Assigned - #15276702029")</f>
        <v/>
      </c>
      <c r="B17263" s="0" t="s">
        <v>22933</v>
      </c>
      <c r="E17263" s="0" t="inlineStr">
        <is>
          <t xml:space="preserve">Mazda</t>
        </is>
      </c>
      <c r="F17263" s="0" t="inlineStr">
        <is>
          <t xml:space="preserve">Mazda</t>
        </is>
      </c>
      <c r="G17263" s="0" t="s">
        <v>171</v>
      </c>
      <c r="H17263" s="5">
        <v>37.588900</v>
      </c>
    </row>
    <row r="17264" spans="1:9">
      <c r="A17264" s="22" t="str">
        <f>HYPERLINK("https://app.vivvix.com/360/KMI/IntelliDrive/ApplUI/Pages/CreativePages/CustomReportCreativeDetail.aspx?App=23&amp;ReportView=4&amp;Qid=1711279&amp;Row=17256&amp;Col=1","No Title Assigned - #15276702029")</f>
        <v/>
      </c>
      <c r="B17264" s="0" t="s">
        <v>22933</v>
      </c>
      <c r="E17264" s="0" t="inlineStr">
        <is>
          <t xml:space="preserve">Mazda</t>
        </is>
      </c>
      <c r="F17264" s="0" t="inlineStr">
        <is>
          <t xml:space="preserve">Mazda</t>
        </is>
      </c>
      <c r="G17264" s="0" t="s">
        <v>171</v>
      </c>
      <c r="H17264" s="5">
        <v>140.951600</v>
      </c>
    </row>
    <row r="17265" spans="1:9">
      <c r="A17265" s="22" t="str">
        <f>HYPERLINK("https://app.vivvix.com/360/KMI/IntelliDrive/ApplUI/Pages/CreativePages/CustomReportCreativeDetail.aspx?App=23&amp;ReportView=4&amp;Qid=1711279&amp;Row=17257&amp;Col=1","No Title Assigned - #15276702162")</f>
        <v/>
      </c>
      <c r="B17265" s="0" t="s">
        <v>22934</v>
      </c>
      <c r="E17265" s="0" t="inlineStr">
        <is>
          <t xml:space="preserve">Mazda</t>
        </is>
      </c>
      <c r="F17265" s="0" t="inlineStr">
        <is>
          <t xml:space="preserve">Mazda</t>
        </is>
      </c>
      <c r="G17265" s="0" t="s">
        <v>171</v>
      </c>
      <c r="H17265" s="5">
        <v>43.527300</v>
      </c>
    </row>
    <row r="17266" spans="1:9">
      <c r="A17266" s="22" t="str">
        <f>HYPERLINK("https://app.vivvix.com/360/KMI/IntelliDrive/ApplUI/Pages/CreativePages/CustomReportCreativeDetail.aspx?App=23&amp;ReportView=4&amp;Qid=1711279&amp;Row=17258&amp;Col=1","No Title Assigned - #15276702253")</f>
        <v/>
      </c>
      <c r="B17266" s="0" t="s">
        <v>22935</v>
      </c>
      <c r="E17266" s="0" t="inlineStr">
        <is>
          <t xml:space="preserve">Mazda</t>
        </is>
      </c>
      <c r="F17266" s="0" t="inlineStr">
        <is>
          <t xml:space="preserve">Mazda</t>
        </is>
      </c>
      <c r="G17266" s="0" t="s">
        <v>171</v>
      </c>
      <c r="H17266" s="5">
        <v>72.906900</v>
      </c>
    </row>
    <row r="17267" spans="1:9">
      <c r="A17267" s="22" t="str">
        <f>HYPERLINK("https://app.vivvix.com/360/KMI/IntelliDrive/ApplUI/Pages/CreativePages/CustomReportCreativeDetail.aspx?App=23&amp;ReportView=4&amp;Qid=1711279&amp;Row=17259&amp;Col=1","No Title Assigned - #15276702253")</f>
        <v/>
      </c>
      <c r="B17267" s="0" t="s">
        <v>22935</v>
      </c>
      <c r="E17267" s="0" t="inlineStr">
        <is>
          <t xml:space="preserve">Mazda</t>
        </is>
      </c>
      <c r="F17267" s="0" t="inlineStr">
        <is>
          <t xml:space="preserve">Mazda</t>
        </is>
      </c>
      <c r="G17267" s="0" t="s">
        <v>171</v>
      </c>
      <c r="H17267" s="5">
        <v>433.092900</v>
      </c>
    </row>
    <row r="17268" spans="1:9">
      <c r="A17268" s="22" t="str">
        <f>HYPERLINK("https://app.vivvix.com/360/KMI/IntelliDrive/ApplUI/Pages/CreativePages/CustomReportCreativeDetail.aspx?App=23&amp;ReportView=4&amp;Qid=1711279&amp;Row=17260&amp;Col=1","No Title Assigned - #15276702254")</f>
        <v/>
      </c>
      <c r="B17268" s="0" t="s">
        <v>22936</v>
      </c>
      <c r="E17268" s="0" t="inlineStr">
        <is>
          <t xml:space="preserve">Mazda</t>
        </is>
      </c>
      <c r="F17268" s="0" t="inlineStr">
        <is>
          <t xml:space="preserve">Mazda</t>
        </is>
      </c>
      <c r="G17268" s="0" t="s">
        <v>171</v>
      </c>
      <c r="H17268" s="5">
        <v>51.400100</v>
      </c>
    </row>
    <row r="17269" spans="1:9">
      <c r="A17269" s="22" t="str">
        <f>HYPERLINK("https://app.vivvix.com/360/KMI/IntelliDrive/ApplUI/Pages/CreativePages/CustomReportCreativeDetail.aspx?App=23&amp;ReportView=4&amp;Qid=1711279&amp;Row=17261&amp;Col=1","No Title Assigned - #15276702274")</f>
        <v/>
      </c>
      <c r="B17269" s="0" t="s">
        <v>22937</v>
      </c>
      <c r="E17269" s="0" t="inlineStr">
        <is>
          <t xml:space="preserve">Mazda</t>
        </is>
      </c>
      <c r="F17269" s="0" t="inlineStr">
        <is>
          <t xml:space="preserve">Mazda</t>
        </is>
      </c>
      <c r="G17269" s="0" t="s">
        <v>171</v>
      </c>
      <c r="H17269" s="5">
        <v>81.278100</v>
      </c>
    </row>
    <row r="17270" spans="1:9">
      <c r="A17270" s="22" t="str">
        <f>HYPERLINK("https://app.vivvix.com/360/KMI/IntelliDrive/ApplUI/Pages/CreativePages/CustomReportCreativeDetail.aspx?App=23&amp;ReportView=4&amp;Qid=1711279&amp;Row=17262&amp;Col=1","No Title Assigned - #15276702418")</f>
        <v/>
      </c>
      <c r="B17270" s="0" t="s">
        <v>22938</v>
      </c>
      <c r="E17270" s="0" t="inlineStr">
        <is>
          <t xml:space="preserve">Mazda</t>
        </is>
      </c>
      <c r="F17270" s="0" t="inlineStr">
        <is>
          <t xml:space="preserve">Mazda</t>
        </is>
      </c>
      <c r="G17270" s="0" t="s">
        <v>171</v>
      </c>
      <c r="H17270" s="5">
        <v>253.699000</v>
      </c>
    </row>
    <row r="17271" spans="1:9">
      <c r="A17271" s="22" t="str">
        <f>HYPERLINK("https://app.vivvix.com/360/KMI/IntelliDrive/ApplUI/Pages/CreativePages/CustomReportCreativeDetail.aspx?App=23&amp;ReportView=4&amp;Qid=1711279&amp;Row=17263&amp;Col=1","No Title Assigned - #15276702425")</f>
        <v/>
      </c>
      <c r="B17271" s="0" t="s">
        <v>22939</v>
      </c>
      <c r="E17271" s="0" t="inlineStr">
        <is>
          <t xml:space="preserve">Mazda</t>
        </is>
      </c>
      <c r="F17271" s="0" t="inlineStr">
        <is>
          <t xml:space="preserve">Mazda</t>
        </is>
      </c>
      <c r="G17271" s="0" t="s">
        <v>171</v>
      </c>
      <c r="H17271" s="5">
        <v>70.596000</v>
      </c>
    </row>
    <row r="17272" spans="1:9">
      <c r="A17272" s="22" t="str">
        <f>HYPERLINK("https://app.vivvix.com/360/KMI/IntelliDrive/ApplUI/Pages/CreativePages/CustomReportCreativeDetail.aspx?App=23&amp;ReportView=4&amp;Qid=1711279&amp;Row=17264&amp;Col=1","No Title Assigned - #15276702426")</f>
        <v/>
      </c>
      <c r="B17272" s="0" t="s">
        <v>22940</v>
      </c>
      <c r="E17272" s="0" t="inlineStr">
        <is>
          <t xml:space="preserve">Mazda</t>
        </is>
      </c>
      <c r="F17272" s="0" t="inlineStr">
        <is>
          <t xml:space="preserve">Mazda</t>
        </is>
      </c>
      <c r="G17272" s="0" t="s">
        <v>171</v>
      </c>
      <c r="H17272" s="5">
        <v>284864.238300</v>
      </c>
    </row>
    <row r="17273" spans="1:9">
      <c r="A17273" s="22" t="str">
        <f>HYPERLINK("https://app.vivvix.com/360/KMI/IntelliDrive/ApplUI/Pages/CreativePages/CustomReportCreativeDetail.aspx?App=23&amp;ReportView=4&amp;Qid=1711279&amp;Row=17265&amp;Col=1","No Title Assigned - #15276702518")</f>
        <v/>
      </c>
      <c r="B17273" s="0" t="s">
        <v>22941</v>
      </c>
      <c r="E17273" s="0" t="inlineStr">
        <is>
          <t xml:space="preserve">Mazda</t>
        </is>
      </c>
      <c r="F17273" s="0" t="inlineStr">
        <is>
          <t xml:space="preserve">Mazda</t>
        </is>
      </c>
      <c r="G17273" s="0" t="s">
        <v>171</v>
      </c>
      <c r="H17273" s="5">
        <v>59389.433700</v>
      </c>
    </row>
    <row r="17274" spans="1:9">
      <c r="A17274" s="22" t="str">
        <f>HYPERLINK("https://app.vivvix.com/360/KMI/IntelliDrive/ApplUI/Pages/CreativePages/CustomReportCreativeDetail.aspx?App=23&amp;ReportView=4&amp;Qid=1711279&amp;Row=17266&amp;Col=1","No Title Assigned - #15276702545")</f>
        <v/>
      </c>
      <c r="B17274" s="0" t="s">
        <v>22942</v>
      </c>
      <c r="E17274" s="0" t="inlineStr">
        <is>
          <t xml:space="preserve">Mazda</t>
        </is>
      </c>
      <c r="F17274" s="0" t="inlineStr">
        <is>
          <t xml:space="preserve">Mazda</t>
        </is>
      </c>
      <c r="G17274" s="0" t="s">
        <v>171</v>
      </c>
      <c r="H17274" s="5">
        <v>621.850200</v>
      </c>
    </row>
    <row r="17275" spans="1:9">
      <c r="A17275" s="22" t="str">
        <f>HYPERLINK("https://app.vivvix.com/360/KMI/IntelliDrive/ApplUI/Pages/CreativePages/CustomReportCreativeDetail.aspx?App=23&amp;ReportView=4&amp;Qid=1711279&amp;Row=17267&amp;Col=1","No Title Assigned - #15276702558")</f>
        <v/>
      </c>
      <c r="B17275" s="0" t="s">
        <v>22943</v>
      </c>
      <c r="E17275" s="0" t="inlineStr">
        <is>
          <t xml:space="preserve">Mazda</t>
        </is>
      </c>
      <c r="F17275" s="0" t="inlineStr">
        <is>
          <t xml:space="preserve">Mazda</t>
        </is>
      </c>
      <c r="G17275" s="0" t="s">
        <v>171</v>
      </c>
      <c r="H17275" s="5">
        <v>14.106500</v>
      </c>
    </row>
    <row r="17276" spans="1:9">
      <c r="A17276" s="22" t="str">
        <f>HYPERLINK("https://app.vivvix.com/360/KMI/IntelliDrive/ApplUI/Pages/CreativePages/CustomReportCreativeDetail.aspx?App=23&amp;ReportView=4&amp;Qid=1711279&amp;Row=17268&amp;Col=1","No Title Assigned - #15276702619")</f>
        <v/>
      </c>
      <c r="B17276" s="0" t="s">
        <v>22944</v>
      </c>
      <c r="E17276" s="0" t="inlineStr">
        <is>
          <t xml:space="preserve">Mazda</t>
        </is>
      </c>
      <c r="F17276" s="0" t="inlineStr">
        <is>
          <t xml:space="preserve">Mazda</t>
        </is>
      </c>
      <c r="G17276" s="0" t="s">
        <v>171</v>
      </c>
      <c r="H17276" s="5">
        <v>96.923600</v>
      </c>
    </row>
    <row r="17277" spans="1:9">
      <c r="A17277" s="22" t="str">
        <f>HYPERLINK("https://app.vivvix.com/360/KMI/IntelliDrive/ApplUI/Pages/CreativePages/CustomReportCreativeDetail.aspx?App=23&amp;ReportView=4&amp;Qid=1711279&amp;Row=17269&amp;Col=1","No Title Assigned - #15276702700")</f>
        <v/>
      </c>
      <c r="B17277" s="0" t="s">
        <v>22945</v>
      </c>
      <c r="C17277" s="0" t="s">
        <v>22946</v>
      </c>
      <c r="D17277" s="0" t="s">
        <v>22946</v>
      </c>
      <c r="E17277" s="0" t="inlineStr">
        <is>
          <t xml:space="preserve">Mazda</t>
        </is>
      </c>
      <c r="F17277" s="0" t="inlineStr">
        <is>
          <t xml:space="preserve">Mazda</t>
        </is>
      </c>
      <c r="G17277" s="0" t="s">
        <v>171</v>
      </c>
      <c r="H17277" s="5">
        <v>655.694200</v>
      </c>
    </row>
    <row r="17278" spans="1:9">
      <c r="A17278" s="22" t="str">
        <f>HYPERLINK("https://app.vivvix.com/360/KMI/IntelliDrive/ApplUI/Pages/CreativePages/CustomReportCreativeDetail.aspx?App=23&amp;ReportView=4&amp;Qid=1711279&amp;Row=17270&amp;Col=1","No Title Assigned - #15276702750")</f>
        <v/>
      </c>
      <c r="B17278" s="0" t="s">
        <v>22947</v>
      </c>
      <c r="E17278" s="0" t="inlineStr">
        <is>
          <t xml:space="preserve">Mazda</t>
        </is>
      </c>
      <c r="F17278" s="0" t="inlineStr">
        <is>
          <t xml:space="preserve">Mazda</t>
        </is>
      </c>
      <c r="G17278" s="0" t="s">
        <v>171</v>
      </c>
      <c r="H17278" s="5">
        <v>6846.109300</v>
      </c>
    </row>
    <row r="17279" spans="1:9">
      <c r="A17279" s="22" t="str">
        <f>HYPERLINK("https://app.vivvix.com/360/KMI/IntelliDrive/ApplUI/Pages/CreativePages/CustomReportCreativeDetail.aspx?App=23&amp;ReportView=4&amp;Qid=1711279&amp;Row=17271&amp;Col=1","No Title Assigned - #15276702754")</f>
        <v/>
      </c>
      <c r="B17279" s="0" t="s">
        <v>22948</v>
      </c>
      <c r="E17279" s="0" t="inlineStr">
        <is>
          <t xml:space="preserve">Mazda</t>
        </is>
      </c>
      <c r="F17279" s="0" t="inlineStr">
        <is>
          <t xml:space="preserve">Mazda</t>
        </is>
      </c>
      <c r="G17279" s="0" t="s">
        <v>171</v>
      </c>
      <c r="H17279" s="5">
        <v>157.800600</v>
      </c>
    </row>
    <row r="17280" spans="1:9">
      <c r="A17280" s="22" t="str">
        <f>HYPERLINK("https://app.vivvix.com/360/KMI/IntelliDrive/ApplUI/Pages/CreativePages/CustomReportCreativeDetail.aspx?App=23&amp;ReportView=4&amp;Qid=1711279&amp;Row=17272&amp;Col=1","No Title Assigned - #15276702827")</f>
        <v/>
      </c>
      <c r="B17280" s="0" t="s">
        <v>22949</v>
      </c>
      <c r="E17280" s="0" t="inlineStr">
        <is>
          <t xml:space="preserve">Mazda</t>
        </is>
      </c>
      <c r="F17280" s="0" t="inlineStr">
        <is>
          <t xml:space="preserve">Mazda</t>
        </is>
      </c>
      <c r="G17280" s="0" t="s">
        <v>171</v>
      </c>
      <c r="H17280" s="5">
        <v>1029.337000</v>
      </c>
    </row>
    <row r="17281" spans="1:9">
      <c r="A17281" s="22" t="str">
        <f>HYPERLINK("https://app.vivvix.com/360/KMI/IntelliDrive/ApplUI/Pages/CreativePages/CustomReportCreativeDetail.aspx?App=23&amp;ReportView=4&amp;Qid=1711279&amp;Row=17273&amp;Col=1","No Title Assigned - #15276702847")</f>
        <v/>
      </c>
      <c r="B17281" s="0" t="s">
        <v>22950</v>
      </c>
      <c r="E17281" s="0" t="inlineStr">
        <is>
          <t xml:space="preserve">Mazda</t>
        </is>
      </c>
      <c r="F17281" s="0" t="inlineStr">
        <is>
          <t xml:space="preserve">Mazda</t>
        </is>
      </c>
      <c r="G17281" s="0" t="s">
        <v>171</v>
      </c>
      <c r="H17281" s="5">
        <v>915.852300</v>
      </c>
    </row>
    <row r="17282" spans="1:9">
      <c r="A17282" s="22" t="str">
        <f>HYPERLINK("https://app.vivvix.com/360/KMI/IntelliDrive/ApplUI/Pages/CreativePages/CustomReportCreativeDetail.aspx?App=23&amp;ReportView=4&amp;Qid=1711279&amp;Row=17274&amp;Col=1","No Title Assigned - #15276702919")</f>
        <v/>
      </c>
      <c r="B17282" s="0" t="s">
        <v>22951</v>
      </c>
      <c r="C17282" s="0" t="s">
        <v>22952</v>
      </c>
      <c r="D17282" s="0" t="s">
        <v>22952</v>
      </c>
      <c r="E17282" s="0" t="inlineStr">
        <is>
          <t xml:space="preserve">Mazda</t>
        </is>
      </c>
      <c r="F17282" s="0" t="inlineStr">
        <is>
          <t xml:space="preserve">Mazda</t>
        </is>
      </c>
      <c r="G17282" s="0" t="s">
        <v>171</v>
      </c>
      <c r="H17282" s="5">
        <v>13249.805800</v>
      </c>
    </row>
    <row r="17283" spans="1:9">
      <c r="A17283" s="22" t="str">
        <f>HYPERLINK("https://app.vivvix.com/360/KMI/IntelliDrive/ApplUI/Pages/CreativePages/CustomReportCreativeDetail.aspx?App=23&amp;ReportView=4&amp;Qid=1711279&amp;Row=17275&amp;Col=1","No Title Assigned - #15276703100")</f>
        <v/>
      </c>
      <c r="B17283" s="0" t="s">
        <v>22953</v>
      </c>
      <c r="E17283" s="0" t="inlineStr">
        <is>
          <t xml:space="preserve">Mazda</t>
        </is>
      </c>
      <c r="F17283" s="0" t="inlineStr">
        <is>
          <t xml:space="preserve">Mazda</t>
        </is>
      </c>
      <c r="G17283" s="0" t="s">
        <v>171</v>
      </c>
      <c r="H17283" s="5">
        <v>226.913300</v>
      </c>
    </row>
    <row r="17284" spans="1:9">
      <c r="A17284" s="22" t="str">
        <f>HYPERLINK("https://app.vivvix.com/360/KMI/IntelliDrive/ApplUI/Pages/CreativePages/CustomReportCreativeDetail.aspx?App=23&amp;ReportView=4&amp;Qid=1711279&amp;Row=17276&amp;Col=1","No Title Assigned - #15276703105")</f>
        <v/>
      </c>
      <c r="B17284" s="0" t="s">
        <v>22954</v>
      </c>
      <c r="E17284" s="0" t="inlineStr">
        <is>
          <t xml:space="preserve">Mazda</t>
        </is>
      </c>
      <c r="F17284" s="0" t="inlineStr">
        <is>
          <t xml:space="preserve">Mazda</t>
        </is>
      </c>
      <c r="G17284" s="0" t="s">
        <v>171</v>
      </c>
      <c r="H17284" s="5">
        <v>206.927000</v>
      </c>
    </row>
    <row r="17285" spans="1:9">
      <c r="A17285" s="22" t="str">
        <f>HYPERLINK("https://app.vivvix.com/360/KMI/IntelliDrive/ApplUI/Pages/CreativePages/CustomReportCreativeDetail.aspx?App=23&amp;ReportView=4&amp;Qid=1711279&amp;Row=17277&amp;Col=1","No Title Assigned - #15276703113")</f>
        <v/>
      </c>
      <c r="B17285" s="0" t="s">
        <v>22955</v>
      </c>
      <c r="E17285" s="0" t="inlineStr">
        <is>
          <t xml:space="preserve">Mazda</t>
        </is>
      </c>
      <c r="F17285" s="0" t="inlineStr">
        <is>
          <t xml:space="preserve">Mazda</t>
        </is>
      </c>
      <c r="G17285" s="0" t="s">
        <v>171</v>
      </c>
      <c r="H17285" s="5">
        <v>34.181400</v>
      </c>
    </row>
    <row r="17286" spans="1:9">
      <c r="A17286" s="22" t="str">
        <f>HYPERLINK("https://app.vivvix.com/360/KMI/IntelliDrive/ApplUI/Pages/CreativePages/CustomReportCreativeDetail.aspx?App=23&amp;ReportView=4&amp;Qid=1711279&amp;Row=17278&amp;Col=1","No Title Assigned - #15276703198")</f>
        <v/>
      </c>
      <c r="B17286" s="0" t="s">
        <v>22956</v>
      </c>
      <c r="E17286" s="0" t="inlineStr">
        <is>
          <t xml:space="preserve">Mazda</t>
        </is>
      </c>
      <c r="F17286" s="0" t="inlineStr">
        <is>
          <t xml:space="preserve">Mazda</t>
        </is>
      </c>
      <c r="G17286" s="0" t="s">
        <v>171</v>
      </c>
      <c r="H17286" s="5">
        <v>219.657100</v>
      </c>
    </row>
    <row r="17287" spans="1:9">
      <c r="A17287" s="22" t="str">
        <f>HYPERLINK("https://app.vivvix.com/360/KMI/IntelliDrive/ApplUI/Pages/CreativePages/CustomReportCreativeDetail.aspx?App=23&amp;ReportView=4&amp;Qid=1711279&amp;Row=17279&amp;Col=1","No Title Assigned - #15276703254")</f>
        <v/>
      </c>
      <c r="B17287" s="0" t="s">
        <v>22957</v>
      </c>
      <c r="E17287" s="0" t="inlineStr">
        <is>
          <t xml:space="preserve">Mazda</t>
        </is>
      </c>
      <c r="F17287" s="0" t="inlineStr">
        <is>
          <t xml:space="preserve">Mazda</t>
        </is>
      </c>
      <c r="G17287" s="0" t="s">
        <v>171</v>
      </c>
      <c r="H17287" s="5">
        <v>368.632500</v>
      </c>
    </row>
    <row r="17288" spans="1:9">
      <c r="A17288" s="22" t="str">
        <f>HYPERLINK("https://app.vivvix.com/360/KMI/IntelliDrive/ApplUI/Pages/CreativePages/CustomReportCreativeDetail.aspx?App=23&amp;ReportView=4&amp;Qid=1711279&amp;Row=17280&amp;Col=1","No Title Assigned - #15276703310")</f>
        <v/>
      </c>
      <c r="B17288" s="0" t="s">
        <v>22958</v>
      </c>
      <c r="E17288" s="0" t="inlineStr">
        <is>
          <t xml:space="preserve">Mazda</t>
        </is>
      </c>
      <c r="F17288" s="0" t="inlineStr">
        <is>
          <t xml:space="preserve">Mazda</t>
        </is>
      </c>
      <c r="G17288" s="0" t="s">
        <v>171</v>
      </c>
      <c r="H17288" s="5">
        <v>309.623400</v>
      </c>
    </row>
    <row r="17289" spans="1:9">
      <c r="A17289" s="22" t="str">
        <f>HYPERLINK("https://app.vivvix.com/360/KMI/IntelliDrive/ApplUI/Pages/CreativePages/CustomReportCreativeDetail.aspx?App=23&amp;ReportView=4&amp;Qid=1711279&amp;Row=17281&amp;Col=1","No Title Assigned - #15276703385")</f>
        <v/>
      </c>
      <c r="B17289" s="0" t="s">
        <v>22959</v>
      </c>
      <c r="E17289" s="0" t="inlineStr">
        <is>
          <t xml:space="preserve">Mazda</t>
        </is>
      </c>
      <c r="F17289" s="0" t="inlineStr">
        <is>
          <t xml:space="preserve">Mazda</t>
        </is>
      </c>
      <c r="G17289" s="0" t="s">
        <v>171</v>
      </c>
      <c r="H17289" s="5">
        <v>672.384800</v>
      </c>
    </row>
    <row r="17290" spans="1:9">
      <c r="A17290" s="22" t="str">
        <f>HYPERLINK("https://app.vivvix.com/360/KMI/IntelliDrive/ApplUI/Pages/CreativePages/CustomReportCreativeDetail.aspx?App=23&amp;ReportView=4&amp;Qid=1711279&amp;Row=17282&amp;Col=1","No Title Assigned - #15276703385")</f>
        <v/>
      </c>
      <c r="B17290" s="0" t="s">
        <v>22959</v>
      </c>
      <c r="E17290" s="0" t="inlineStr">
        <is>
          <t xml:space="preserve">Mazda</t>
        </is>
      </c>
      <c r="F17290" s="0" t="inlineStr">
        <is>
          <t xml:space="preserve">Mazda</t>
        </is>
      </c>
      <c r="G17290" s="0" t="s">
        <v>171</v>
      </c>
      <c r="H17290" s="5">
        <v>1002.229500</v>
      </c>
    </row>
    <row r="17291" spans="1:9">
      <c r="A17291" s="22" t="str">
        <f>HYPERLINK("https://app.vivvix.com/360/KMI/IntelliDrive/ApplUI/Pages/CreativePages/CustomReportCreativeDetail.aspx?App=23&amp;ReportView=4&amp;Qid=1711279&amp;Row=17283&amp;Col=1","No Title Assigned - #15276703410")</f>
        <v/>
      </c>
      <c r="B17291" s="0" t="s">
        <v>22960</v>
      </c>
      <c r="E17291" s="0" t="inlineStr">
        <is>
          <t xml:space="preserve">Mazda</t>
        </is>
      </c>
      <c r="F17291" s="0" t="inlineStr">
        <is>
          <t xml:space="preserve">Mazda</t>
        </is>
      </c>
      <c r="G17291" s="0" t="s">
        <v>171</v>
      </c>
      <c r="H17291" s="5">
        <v>70.527100</v>
      </c>
    </row>
    <row r="17292" spans="1:9">
      <c r="A17292" s="22" t="str">
        <f>HYPERLINK("https://app.vivvix.com/360/KMI/IntelliDrive/ApplUI/Pages/CreativePages/CustomReportCreativeDetail.aspx?App=23&amp;ReportView=4&amp;Qid=1711279&amp;Row=17284&amp;Col=1","No Title Assigned - #15276703557")</f>
        <v/>
      </c>
      <c r="B17292" s="0" t="s">
        <v>22961</v>
      </c>
      <c r="E17292" s="0" t="inlineStr">
        <is>
          <t xml:space="preserve">Mazda</t>
        </is>
      </c>
      <c r="F17292" s="0" t="inlineStr">
        <is>
          <t xml:space="preserve">Mazda</t>
        </is>
      </c>
      <c r="G17292" s="0" t="s">
        <v>171</v>
      </c>
      <c r="H17292" s="5">
        <v>5.254700</v>
      </c>
    </row>
    <row r="17293" spans="1:9">
      <c r="A17293" s="22" t="str">
        <f>HYPERLINK("https://app.vivvix.com/360/KMI/IntelliDrive/ApplUI/Pages/CreativePages/CustomReportCreativeDetail.aspx?App=23&amp;ReportView=4&amp;Qid=1711279&amp;Row=17285&amp;Col=1","No Title Assigned - #15276703558")</f>
        <v/>
      </c>
      <c r="B17293" s="0" t="s">
        <v>22962</v>
      </c>
      <c r="E17293" s="0" t="inlineStr">
        <is>
          <t xml:space="preserve">Mazda</t>
        </is>
      </c>
      <c r="F17293" s="0" t="inlineStr">
        <is>
          <t xml:space="preserve">Mazda</t>
        </is>
      </c>
      <c r="G17293" s="0" t="s">
        <v>171</v>
      </c>
      <c r="H17293" s="5">
        <v>79957.986400</v>
      </c>
    </row>
    <row r="17294" spans="1:9">
      <c r="A17294" s="22" t="str">
        <f>HYPERLINK("https://app.vivvix.com/360/KMI/IntelliDrive/ApplUI/Pages/CreativePages/CustomReportCreativeDetail.aspx?App=23&amp;ReportView=4&amp;Qid=1711279&amp;Row=17286&amp;Col=1","No Title Assigned - #15276703605")</f>
        <v/>
      </c>
      <c r="B17294" s="0" t="s">
        <v>22963</v>
      </c>
      <c r="E17294" s="0" t="inlineStr">
        <is>
          <t xml:space="preserve">Mazda</t>
        </is>
      </c>
      <c r="F17294" s="0" t="inlineStr">
        <is>
          <t xml:space="preserve">Mazda</t>
        </is>
      </c>
      <c r="G17294" s="0" t="s">
        <v>171</v>
      </c>
      <c r="H17294" s="5">
        <v>418.989300</v>
      </c>
    </row>
    <row r="17295" spans="1:9">
      <c r="A17295" s="22" t="str">
        <f>HYPERLINK("https://app.vivvix.com/360/KMI/IntelliDrive/ApplUI/Pages/CreativePages/CustomReportCreativeDetail.aspx?App=23&amp;ReportView=4&amp;Qid=1711279&amp;Row=17287&amp;Col=1","No Title Assigned - #15276703613")</f>
        <v/>
      </c>
      <c r="B17295" s="0" t="s">
        <v>22964</v>
      </c>
      <c r="E17295" s="0" t="inlineStr">
        <is>
          <t xml:space="preserve">Mazda</t>
        </is>
      </c>
      <c r="F17295" s="0" t="inlineStr">
        <is>
          <t xml:space="preserve">Mazda</t>
        </is>
      </c>
      <c r="G17295" s="0" t="s">
        <v>171</v>
      </c>
      <c r="H17295" s="5">
        <v>3758.847000</v>
      </c>
    </row>
    <row r="17296" spans="1:9">
      <c r="A17296" s="22" t="str">
        <f>HYPERLINK("https://app.vivvix.com/360/KMI/IntelliDrive/ApplUI/Pages/CreativePages/CustomReportCreativeDetail.aspx?App=23&amp;ReportView=4&amp;Qid=1711279&amp;Row=17288&amp;Col=1","No Title Assigned - #15276703619")</f>
        <v/>
      </c>
      <c r="B17296" s="0" t="s">
        <v>22965</v>
      </c>
      <c r="C17296" s="0" t="s">
        <v>22966</v>
      </c>
      <c r="D17296" s="0" t="s">
        <v>22966</v>
      </c>
      <c r="E17296" s="0" t="inlineStr">
        <is>
          <t xml:space="preserve">Mazda</t>
        </is>
      </c>
      <c r="F17296" s="0" t="s">
        <v>13</v>
      </c>
      <c r="G17296" s="0" t="s">
        <v>49</v>
      </c>
      <c r="H17296" s="5">
        <v>42158.489300</v>
      </c>
    </row>
    <row r="17297" spans="1:9">
      <c r="A17297" s="22" t="str">
        <f>HYPERLINK("https://app.vivvix.com/360/KMI/IntelliDrive/ApplUI/Pages/CreativePages/CustomReportCreativeDetail.aspx?App=23&amp;ReportView=4&amp;Qid=1711279&amp;Row=17289&amp;Col=1","No Title Assigned - #15276703657")</f>
        <v/>
      </c>
      <c r="B17297" s="0" t="s">
        <v>22967</v>
      </c>
      <c r="E17297" s="0" t="inlineStr">
        <is>
          <t xml:space="preserve">Mazda</t>
        </is>
      </c>
      <c r="F17297" s="0" t="inlineStr">
        <is>
          <t xml:space="preserve">Mazda</t>
        </is>
      </c>
      <c r="G17297" s="0" t="s">
        <v>171</v>
      </c>
      <c r="H17297" s="5">
        <v>6.051600</v>
      </c>
    </row>
    <row r="17298" spans="1:9">
      <c r="A17298" s="22" t="str">
        <f>HYPERLINK("https://app.vivvix.com/360/KMI/IntelliDrive/ApplUI/Pages/CreativePages/CustomReportCreativeDetail.aspx?App=23&amp;ReportView=4&amp;Qid=1711279&amp;Row=17290&amp;Col=1","No Title Assigned - #15276703681")</f>
        <v/>
      </c>
      <c r="B17298" s="0" t="s">
        <v>22968</v>
      </c>
      <c r="E17298" s="0" t="inlineStr">
        <is>
          <t xml:space="preserve">Mazda</t>
        </is>
      </c>
      <c r="F17298" s="0" t="inlineStr">
        <is>
          <t xml:space="preserve">Mazda</t>
        </is>
      </c>
      <c r="G17298" s="0" t="s">
        <v>171</v>
      </c>
      <c r="H17298" s="5">
        <v>862.851400</v>
      </c>
    </row>
    <row r="17299" spans="1:9">
      <c r="A17299" s="22" t="str">
        <f>HYPERLINK("https://app.vivvix.com/360/KMI/IntelliDrive/ApplUI/Pages/CreativePages/CustomReportCreativeDetail.aspx?App=23&amp;ReportView=4&amp;Qid=1711279&amp;Row=17291&amp;Col=1","No Title Assigned - #15276703681")</f>
        <v/>
      </c>
      <c r="B17299" s="0" t="s">
        <v>22968</v>
      </c>
      <c r="E17299" s="0" t="inlineStr">
        <is>
          <t xml:space="preserve">Mazda</t>
        </is>
      </c>
      <c r="F17299" s="0" t="inlineStr">
        <is>
          <t xml:space="preserve">Mazda</t>
        </is>
      </c>
      <c r="G17299" s="0" t="s">
        <v>171</v>
      </c>
      <c r="H17299" s="5">
        <v>36.292000</v>
      </c>
    </row>
    <row r="17300" spans="1:9">
      <c r="A17300" s="22" t="str">
        <f>HYPERLINK("https://app.vivvix.com/360/KMI/IntelliDrive/ApplUI/Pages/CreativePages/CustomReportCreativeDetail.aspx?App=23&amp;ReportView=4&amp;Qid=1711279&amp;Row=17292&amp;Col=1","No Title Assigned - #15276703740")</f>
        <v/>
      </c>
      <c r="B17300" s="0" t="s">
        <v>22969</v>
      </c>
      <c r="E17300" s="0" t="inlineStr">
        <is>
          <t xml:space="preserve">Mazda</t>
        </is>
      </c>
      <c r="F17300" s="0" t="inlineStr">
        <is>
          <t xml:space="preserve">Mazda</t>
        </is>
      </c>
      <c r="G17300" s="0" t="s">
        <v>171</v>
      </c>
      <c r="H17300" s="5">
        <v>183.054900</v>
      </c>
    </row>
    <row r="17301" spans="1:9">
      <c r="A17301" s="22" t="str">
        <f>HYPERLINK("https://app.vivvix.com/360/KMI/IntelliDrive/ApplUI/Pages/CreativePages/CustomReportCreativeDetail.aspx?App=23&amp;ReportView=4&amp;Qid=1711279&amp;Row=17293&amp;Col=1","No Title Assigned - #15276703775")</f>
        <v/>
      </c>
      <c r="B17301" s="0" t="s">
        <v>22970</v>
      </c>
      <c r="E17301" s="0" t="inlineStr">
        <is>
          <t xml:space="preserve">Mazda</t>
        </is>
      </c>
      <c r="F17301" s="0" t="inlineStr">
        <is>
          <t xml:space="preserve">Mazda</t>
        </is>
      </c>
      <c r="G17301" s="0" t="s">
        <v>171</v>
      </c>
      <c r="H17301" s="5">
        <v>205.088400</v>
      </c>
    </row>
    <row r="17302" spans="1:9">
      <c r="A17302" s="22" t="str">
        <f>HYPERLINK("https://app.vivvix.com/360/KMI/IntelliDrive/ApplUI/Pages/CreativePages/CustomReportCreativeDetail.aspx?App=23&amp;ReportView=4&amp;Qid=1711279&amp;Row=17294&amp;Col=1","No Title Assigned - #15276703791")</f>
        <v/>
      </c>
      <c r="B17302" s="0" t="s">
        <v>22971</v>
      </c>
      <c r="E17302" s="0" t="inlineStr">
        <is>
          <t xml:space="preserve">Mazda</t>
        </is>
      </c>
      <c r="F17302" s="0" t="inlineStr">
        <is>
          <t xml:space="preserve">Mazda</t>
        </is>
      </c>
      <c r="G17302" s="0" t="s">
        <v>171</v>
      </c>
      <c r="H17302" s="5">
        <v>846.849200</v>
      </c>
    </row>
    <row r="17303" spans="1:9">
      <c r="A17303" s="22" t="str">
        <f>HYPERLINK("https://app.vivvix.com/360/KMI/IntelliDrive/ApplUI/Pages/CreativePages/CustomReportCreativeDetail.aspx?App=23&amp;ReportView=4&amp;Qid=1711279&amp;Row=17295&amp;Col=1","No Title Assigned - #15276703801")</f>
        <v/>
      </c>
      <c r="B17303" s="0" t="s">
        <v>22972</v>
      </c>
      <c r="E17303" s="0" t="inlineStr">
        <is>
          <t xml:space="preserve">Mazda</t>
        </is>
      </c>
      <c r="F17303" s="0" t="inlineStr">
        <is>
          <t xml:space="preserve">Mazda</t>
        </is>
      </c>
      <c r="G17303" s="0" t="s">
        <v>171</v>
      </c>
      <c r="H17303" s="5">
        <v>1672.173600</v>
      </c>
    </row>
    <row r="17304" spans="1:9">
      <c r="A17304" s="22" t="str">
        <f>HYPERLINK("https://app.vivvix.com/360/KMI/IntelliDrive/ApplUI/Pages/CreativePages/CustomReportCreativeDetail.aspx?App=23&amp;ReportView=4&amp;Qid=1711279&amp;Row=17296&amp;Col=1","No Title Assigned - #15276703801")</f>
        <v/>
      </c>
      <c r="B17304" s="0" t="s">
        <v>22972</v>
      </c>
      <c r="E17304" s="0" t="inlineStr">
        <is>
          <t xml:space="preserve">Mazda</t>
        </is>
      </c>
      <c r="F17304" s="0" t="inlineStr">
        <is>
          <t xml:space="preserve">Mazda</t>
        </is>
      </c>
      <c r="G17304" s="0" t="s">
        <v>171</v>
      </c>
      <c r="H17304" s="5">
        <v>28561.672000</v>
      </c>
    </row>
    <row r="17305" spans="1:9">
      <c r="A17305" s="22" t="str">
        <f>HYPERLINK("https://app.vivvix.com/360/KMI/IntelliDrive/ApplUI/Pages/CreativePages/CustomReportCreativeDetail.aspx?App=23&amp;ReportView=4&amp;Qid=1711279&amp;Row=17297&amp;Col=1","No Title Assigned - #15276703834")</f>
        <v/>
      </c>
      <c r="B17305" s="0" t="s">
        <v>22973</v>
      </c>
      <c r="E17305" s="0" t="inlineStr">
        <is>
          <t xml:space="preserve">Mazda</t>
        </is>
      </c>
      <c r="F17305" s="0" t="inlineStr">
        <is>
          <t xml:space="preserve">Mazda</t>
        </is>
      </c>
      <c r="G17305" s="0" t="s">
        <v>171</v>
      </c>
      <c r="H17305" s="5">
        <v>107.981400</v>
      </c>
    </row>
    <row r="17306" spans="1:9">
      <c r="A17306" s="22" t="str">
        <f>HYPERLINK("https://app.vivvix.com/360/KMI/IntelliDrive/ApplUI/Pages/CreativePages/CustomReportCreativeDetail.aspx?App=23&amp;ReportView=4&amp;Qid=1711279&amp;Row=17298&amp;Col=1","No Title Assigned - #15276703835")</f>
        <v/>
      </c>
      <c r="B17306" s="0" t="s">
        <v>22974</v>
      </c>
      <c r="E17306" s="0" t="inlineStr">
        <is>
          <t xml:space="preserve">Mazda</t>
        </is>
      </c>
      <c r="F17306" s="0" t="inlineStr">
        <is>
          <t xml:space="preserve">Mazda</t>
        </is>
      </c>
      <c r="G17306" s="0" t="s">
        <v>171</v>
      </c>
      <c r="H17306" s="5">
        <v>1082.487400</v>
      </c>
    </row>
    <row r="17307" spans="1:9">
      <c r="A17307" s="22" t="str">
        <f>HYPERLINK("https://app.vivvix.com/360/KMI/IntelliDrive/ApplUI/Pages/CreativePages/CustomReportCreativeDetail.aspx?App=23&amp;ReportView=4&amp;Qid=1711279&amp;Row=17299&amp;Col=1","No Title Assigned - #15276703843")</f>
        <v/>
      </c>
      <c r="B17307" s="0" t="s">
        <v>22975</v>
      </c>
      <c r="E17307" s="0" t="inlineStr">
        <is>
          <t xml:space="preserve">Mazda</t>
        </is>
      </c>
      <c r="F17307" s="0" t="inlineStr">
        <is>
          <t xml:space="preserve">Mazda</t>
        </is>
      </c>
      <c r="G17307" s="0" t="s">
        <v>171</v>
      </c>
      <c r="H17307" s="5">
        <v>215.940500</v>
      </c>
    </row>
    <row r="17308" spans="1:9">
      <c r="A17308" s="22" t="str">
        <f>HYPERLINK("https://app.vivvix.com/360/KMI/IntelliDrive/ApplUI/Pages/CreativePages/CustomReportCreativeDetail.aspx?App=23&amp;ReportView=4&amp;Qid=1711279&amp;Row=17300&amp;Col=1","No Title Assigned - #15276703844")</f>
        <v/>
      </c>
      <c r="B17308" s="0" t="s">
        <v>22976</v>
      </c>
      <c r="E17308" s="0" t="inlineStr">
        <is>
          <t xml:space="preserve">Mazda</t>
        </is>
      </c>
      <c r="F17308" s="0" t="inlineStr">
        <is>
          <t xml:space="preserve">Mazda</t>
        </is>
      </c>
      <c r="G17308" s="0" t="s">
        <v>171</v>
      </c>
      <c r="H17308" s="5">
        <v>80.400100</v>
      </c>
    </row>
    <row r="17309" spans="1:9">
      <c r="A17309" s="22" t="str">
        <f>HYPERLINK("https://app.vivvix.com/360/KMI/IntelliDrive/ApplUI/Pages/CreativePages/CustomReportCreativeDetail.aspx?App=23&amp;ReportView=4&amp;Qid=1711279&amp;Row=17301&amp;Col=1","No Title Assigned - #15276703863")</f>
        <v/>
      </c>
      <c r="B17309" s="0" t="s">
        <v>22977</v>
      </c>
      <c r="E17309" s="0" t="inlineStr">
        <is>
          <t xml:space="preserve">Mazda</t>
        </is>
      </c>
      <c r="F17309" s="0" t="inlineStr">
        <is>
          <t xml:space="preserve">Mazda</t>
        </is>
      </c>
      <c r="G17309" s="0" t="s">
        <v>171</v>
      </c>
      <c r="H17309" s="5">
        <v>9162.455400</v>
      </c>
    </row>
    <row r="17310" spans="1:9">
      <c r="A17310" s="22" t="str">
        <f>HYPERLINK("https://app.vivvix.com/360/KMI/IntelliDrive/ApplUI/Pages/CreativePages/CustomReportCreativeDetail.aspx?App=23&amp;ReportView=4&amp;Qid=1711279&amp;Row=17302&amp;Col=1","No Title Assigned - #15276703864")</f>
        <v/>
      </c>
      <c r="B17310" s="0" t="s">
        <v>22978</v>
      </c>
      <c r="E17310" s="0" t="inlineStr">
        <is>
          <t xml:space="preserve">Mazda</t>
        </is>
      </c>
      <c r="F17310" s="0" t="inlineStr">
        <is>
          <t xml:space="preserve">Mazda</t>
        </is>
      </c>
      <c r="G17310" s="0" t="s">
        <v>171</v>
      </c>
      <c r="H17310" s="5">
        <v>1214.401200</v>
      </c>
    </row>
    <row r="17311" spans="1:9">
      <c r="A17311" s="22" t="str">
        <f>HYPERLINK("https://app.vivvix.com/360/KMI/IntelliDrive/ApplUI/Pages/CreativePages/CustomReportCreativeDetail.aspx?App=23&amp;ReportView=4&amp;Qid=1711279&amp;Row=17303&amp;Col=1","No Title Assigned - #15276703934")</f>
        <v/>
      </c>
      <c r="B17311" s="0" t="s">
        <v>22979</v>
      </c>
      <c r="E17311" s="0" t="inlineStr">
        <is>
          <t xml:space="preserve">Mazda</t>
        </is>
      </c>
      <c r="F17311" s="0" t="inlineStr">
        <is>
          <t xml:space="preserve">Mazda</t>
        </is>
      </c>
      <c r="G17311" s="0" t="s">
        <v>171</v>
      </c>
      <c r="H17311" s="5">
        <v>6.647800</v>
      </c>
    </row>
    <row r="17312" spans="1:9">
      <c r="A17312" s="22" t="str">
        <f>HYPERLINK("https://app.vivvix.com/360/KMI/IntelliDrive/ApplUI/Pages/CreativePages/CustomReportCreativeDetail.aspx?App=23&amp;ReportView=4&amp;Qid=1711279&amp;Row=17304&amp;Col=1","No Title Assigned - #15276703941")</f>
        <v/>
      </c>
      <c r="B17312" s="0" t="s">
        <v>22980</v>
      </c>
      <c r="E17312" s="0" t="inlineStr">
        <is>
          <t xml:space="preserve">Mazda</t>
        </is>
      </c>
      <c r="F17312" s="0" t="inlineStr">
        <is>
          <t xml:space="preserve">Mazda</t>
        </is>
      </c>
      <c r="G17312" s="0" t="s">
        <v>171</v>
      </c>
      <c r="H17312" s="5">
        <v>561.328200</v>
      </c>
    </row>
    <row r="17313" spans="1:9">
      <c r="A17313" s="22" t="str">
        <f>HYPERLINK("https://app.vivvix.com/360/KMI/IntelliDrive/ApplUI/Pages/CreativePages/CustomReportCreativeDetail.aspx?App=23&amp;ReportView=4&amp;Qid=1711279&amp;Row=17305&amp;Col=1","No Title Assigned - #15276704049")</f>
        <v/>
      </c>
      <c r="B17313" s="0" t="s">
        <v>22981</v>
      </c>
      <c r="E17313" s="0" t="inlineStr">
        <is>
          <t xml:space="preserve">Mazda</t>
        </is>
      </c>
      <c r="F17313" s="0" t="inlineStr">
        <is>
          <t xml:space="preserve">Mazda</t>
        </is>
      </c>
      <c r="G17313" s="0" t="s">
        <v>171</v>
      </c>
      <c r="H17313" s="5">
        <v>143.553700</v>
      </c>
    </row>
    <row r="17314" spans="1:9">
      <c r="A17314" s="22" t="str">
        <f>HYPERLINK("https://app.vivvix.com/360/KMI/IntelliDrive/ApplUI/Pages/CreativePages/CustomReportCreativeDetail.aspx?App=23&amp;ReportView=4&amp;Qid=1711279&amp;Row=17306&amp;Col=1","No Title Assigned - #15276704096")</f>
        <v/>
      </c>
      <c r="B17314" s="0" t="s">
        <v>22982</v>
      </c>
      <c r="E17314" s="0" t="inlineStr">
        <is>
          <t xml:space="preserve">Mazda</t>
        </is>
      </c>
      <c r="F17314" s="0" t="inlineStr">
        <is>
          <t xml:space="preserve">Mazda</t>
        </is>
      </c>
      <c r="G17314" s="0" t="s">
        <v>171</v>
      </c>
      <c r="H17314" s="5">
        <v>0.796900</v>
      </c>
    </row>
    <row r="17315" spans="1:9">
      <c r="A17315" s="22" t="str">
        <f>HYPERLINK("https://app.vivvix.com/360/KMI/IntelliDrive/ApplUI/Pages/CreativePages/CustomReportCreativeDetail.aspx?App=23&amp;ReportView=4&amp;Qid=1711279&amp;Row=17307&amp;Col=1","No Title Assigned - #15276704113")</f>
        <v/>
      </c>
      <c r="B17315" s="0" t="s">
        <v>22983</v>
      </c>
      <c r="E17315" s="0" t="inlineStr">
        <is>
          <t xml:space="preserve">Mazda</t>
        </is>
      </c>
      <c r="F17315" s="0" t="inlineStr">
        <is>
          <t xml:space="preserve">Mazda</t>
        </is>
      </c>
      <c r="G17315" s="0" t="s">
        <v>171</v>
      </c>
      <c r="H17315" s="5">
        <v>118.596000</v>
      </c>
    </row>
    <row r="17316" spans="1:9">
      <c r="A17316" s="22" t="str">
        <f>HYPERLINK("https://app.vivvix.com/360/KMI/IntelliDrive/ApplUI/Pages/CreativePages/CustomReportCreativeDetail.aspx?App=23&amp;ReportView=4&amp;Qid=1711279&amp;Row=17308&amp;Col=1","No Title Assigned - #15276704117")</f>
        <v/>
      </c>
      <c r="B17316" s="0" t="s">
        <v>22984</v>
      </c>
      <c r="E17316" s="0" t="inlineStr">
        <is>
          <t xml:space="preserve">Mazda</t>
        </is>
      </c>
      <c r="F17316" s="0" t="inlineStr">
        <is>
          <t xml:space="preserve">Mazda</t>
        </is>
      </c>
      <c r="G17316" s="0" t="s">
        <v>171</v>
      </c>
      <c r="H17316" s="5">
        <v>10.003800</v>
      </c>
    </row>
    <row r="17317" spans="1:9">
      <c r="A17317" s="22" t="str">
        <f>HYPERLINK("https://app.vivvix.com/360/KMI/IntelliDrive/ApplUI/Pages/CreativePages/CustomReportCreativeDetail.aspx?App=23&amp;ReportView=4&amp;Qid=1711279&amp;Row=17309&amp;Col=1","No Title Assigned - #15276704142")</f>
        <v/>
      </c>
      <c r="B17317" s="0" t="s">
        <v>22985</v>
      </c>
      <c r="E17317" s="0" t="inlineStr">
        <is>
          <t xml:space="preserve">Mazda</t>
        </is>
      </c>
      <c r="F17317" s="0" t="inlineStr">
        <is>
          <t xml:space="preserve">Mazda</t>
        </is>
      </c>
      <c r="G17317" s="0" t="s">
        <v>171</v>
      </c>
      <c r="H17317" s="5">
        <v>27.166800</v>
      </c>
    </row>
    <row r="17318" spans="1:9">
      <c r="A17318" s="22" t="str">
        <f>HYPERLINK("https://app.vivvix.com/360/KMI/IntelliDrive/ApplUI/Pages/CreativePages/CustomReportCreativeDetail.aspx?App=23&amp;ReportView=4&amp;Qid=1711279&amp;Row=17310&amp;Col=1","No Title Assigned - #15276704156")</f>
        <v/>
      </c>
      <c r="B17318" s="0" t="s">
        <v>22986</v>
      </c>
      <c r="E17318" s="0" t="inlineStr">
        <is>
          <t xml:space="preserve">Mazda</t>
        </is>
      </c>
      <c r="F17318" s="0" t="inlineStr">
        <is>
          <t xml:space="preserve">Mazda</t>
        </is>
      </c>
      <c r="G17318" s="0" t="s">
        <v>171</v>
      </c>
      <c r="H17318" s="5">
        <v>75.308300</v>
      </c>
    </row>
    <row r="17319" spans="1:9">
      <c r="A17319" s="22" t="str">
        <f>HYPERLINK("https://app.vivvix.com/360/KMI/IntelliDrive/ApplUI/Pages/CreativePages/CustomReportCreativeDetail.aspx?App=23&amp;ReportView=4&amp;Qid=1711279&amp;Row=17311&amp;Col=1","No Title Assigned - #15276704190")</f>
        <v/>
      </c>
      <c r="B17319" s="0" t="s">
        <v>22987</v>
      </c>
      <c r="E17319" s="0" t="inlineStr">
        <is>
          <t xml:space="preserve">Mazda</t>
        </is>
      </c>
      <c r="F17319" s="0" t="inlineStr">
        <is>
          <t xml:space="preserve">Mazda</t>
        </is>
      </c>
      <c r="G17319" s="0" t="s">
        <v>171</v>
      </c>
      <c r="H17319" s="5">
        <v>84.209300</v>
      </c>
    </row>
    <row r="17320" spans="1:9">
      <c r="A17320" s="22" t="str">
        <f>HYPERLINK("https://app.vivvix.com/360/KMI/IntelliDrive/ApplUI/Pages/CreativePages/CustomReportCreativeDetail.aspx?App=23&amp;ReportView=4&amp;Qid=1711279&amp;Row=17312&amp;Col=1","No Title Assigned - #15276704203")</f>
        <v/>
      </c>
      <c r="B17320" s="0" t="s">
        <v>22988</v>
      </c>
      <c r="E17320" s="0" t="inlineStr">
        <is>
          <t xml:space="preserve">Mazda</t>
        </is>
      </c>
      <c r="F17320" s="0" t="inlineStr">
        <is>
          <t xml:space="preserve">Mazda</t>
        </is>
      </c>
      <c r="G17320" s="0" t="s">
        <v>171</v>
      </c>
      <c r="H17320" s="5">
        <v>6770.274100</v>
      </c>
    </row>
    <row r="17321" spans="1:9">
      <c r="A17321" s="22" t="str">
        <f>HYPERLINK("https://app.vivvix.com/360/KMI/IntelliDrive/ApplUI/Pages/CreativePages/CustomReportCreativeDetail.aspx?App=23&amp;ReportView=4&amp;Qid=1711279&amp;Row=17313&amp;Col=1","No Title Assigned - #15276704207")</f>
        <v/>
      </c>
      <c r="B17321" s="0" t="s">
        <v>22989</v>
      </c>
      <c r="E17321" s="0" t="inlineStr">
        <is>
          <t xml:space="preserve">Mazda</t>
        </is>
      </c>
      <c r="F17321" s="0" t="inlineStr">
        <is>
          <t xml:space="preserve">Mazda</t>
        </is>
      </c>
      <c r="G17321" s="0" t="s">
        <v>171</v>
      </c>
      <c r="H17321" s="5">
        <v>381.768300</v>
      </c>
    </row>
    <row r="17322" spans="1:9">
      <c r="A17322" s="22" t="str">
        <f>HYPERLINK("https://app.vivvix.com/360/KMI/IntelliDrive/ApplUI/Pages/CreativePages/CustomReportCreativeDetail.aspx?App=23&amp;ReportView=4&amp;Qid=1711279&amp;Row=17314&amp;Col=1","No Title Assigned - #15276704264")</f>
        <v/>
      </c>
      <c r="B17322" s="0" t="s">
        <v>22990</v>
      </c>
      <c r="E17322" s="0" t="inlineStr">
        <is>
          <t xml:space="preserve">Mazda</t>
        </is>
      </c>
      <c r="F17322" s="0" t="inlineStr">
        <is>
          <t xml:space="preserve">Mazda</t>
        </is>
      </c>
      <c r="G17322" s="0" t="s">
        <v>171</v>
      </c>
      <c r="H17322" s="5">
        <v>2.837900</v>
      </c>
    </row>
    <row r="17323" spans="1:9">
      <c r="A17323" s="22" t="str">
        <f>HYPERLINK("https://app.vivvix.com/360/KMI/IntelliDrive/ApplUI/Pages/CreativePages/CustomReportCreativeDetail.aspx?App=23&amp;ReportView=4&amp;Qid=1711279&amp;Row=17315&amp;Col=1","No Title Assigned - #15276704265")</f>
        <v/>
      </c>
      <c r="B17323" s="0" t="s">
        <v>22991</v>
      </c>
      <c r="C17323" s="0" t="s">
        <v>22992</v>
      </c>
      <c r="D17323" s="0" t="s">
        <v>22992</v>
      </c>
      <c r="E17323" s="0" t="inlineStr">
        <is>
          <t xml:space="preserve">Mazda</t>
        </is>
      </c>
      <c r="F17323" s="0" t="inlineStr">
        <is>
          <t xml:space="preserve">Mazda</t>
        </is>
      </c>
      <c r="G17323" s="0" t="s">
        <v>171</v>
      </c>
      <c r="H17323" s="5">
        <v>978.446100</v>
      </c>
    </row>
    <row r="17324" spans="1:9">
      <c r="A17324" s="22" t="str">
        <f>HYPERLINK("https://app.vivvix.com/360/KMI/IntelliDrive/ApplUI/Pages/CreativePages/CustomReportCreativeDetail.aspx?App=23&amp;ReportView=4&amp;Qid=1711279&amp;Row=17316&amp;Col=1","No Title Assigned - #15276704268")</f>
        <v/>
      </c>
      <c r="B17324" s="0" t="s">
        <v>22993</v>
      </c>
      <c r="E17324" s="0" t="inlineStr">
        <is>
          <t xml:space="preserve">Mazda</t>
        </is>
      </c>
      <c r="F17324" s="0" t="inlineStr">
        <is>
          <t xml:space="preserve">Mazda</t>
        </is>
      </c>
      <c r="G17324" s="0" t="s">
        <v>171</v>
      </c>
      <c r="H17324" s="5">
        <v>98.866100</v>
      </c>
    </row>
    <row r="17325" spans="1:9">
      <c r="A17325" s="22" t="str">
        <f>HYPERLINK("https://app.vivvix.com/360/KMI/IntelliDrive/ApplUI/Pages/CreativePages/CustomReportCreativeDetail.aspx?App=23&amp;ReportView=4&amp;Qid=1711279&amp;Row=17317&amp;Col=1","No Title Assigned - #15276704376")</f>
        <v/>
      </c>
      <c r="B17325" s="0" t="s">
        <v>22994</v>
      </c>
      <c r="C17325" s="0" t="s">
        <v>22995</v>
      </c>
      <c r="D17325" s="0" t="s">
        <v>22995</v>
      </c>
      <c r="E17325" s="0" t="inlineStr">
        <is>
          <t xml:space="preserve">Mazda</t>
        </is>
      </c>
      <c r="F17325" s="0" t="inlineStr">
        <is>
          <t xml:space="preserve">Mazda</t>
        </is>
      </c>
      <c r="G17325" s="0" t="s">
        <v>171</v>
      </c>
      <c r="H17325" s="5">
        <v>2427.355700</v>
      </c>
    </row>
    <row r="17326" spans="1:9">
      <c r="A17326" s="22" t="str">
        <f>HYPERLINK("https://app.vivvix.com/360/KMI/IntelliDrive/ApplUI/Pages/CreativePages/CustomReportCreativeDetail.aspx?App=23&amp;ReportView=4&amp;Qid=1711279&amp;Row=17318&amp;Col=1","No Title Assigned - #15276704376")</f>
        <v/>
      </c>
      <c r="B17326" s="0" t="s">
        <v>22994</v>
      </c>
      <c r="E17326" s="0" t="inlineStr">
        <is>
          <t xml:space="preserve">Mazda</t>
        </is>
      </c>
      <c r="F17326" s="0" t="inlineStr">
        <is>
          <t xml:space="preserve">Mazda</t>
        </is>
      </c>
      <c r="G17326" s="0" t="s">
        <v>171</v>
      </c>
      <c r="H17326" s="5">
        <v>1906.846700</v>
      </c>
    </row>
    <row r="17327" spans="1:9">
      <c r="A17327" s="22" t="str">
        <f>HYPERLINK("https://app.vivvix.com/360/KMI/IntelliDrive/ApplUI/Pages/CreativePages/CustomReportCreativeDetail.aspx?App=23&amp;ReportView=4&amp;Qid=1711279&amp;Row=17319&amp;Col=1","No Title Assigned - #15276704379")</f>
        <v/>
      </c>
      <c r="B17327" s="0" t="s">
        <v>22996</v>
      </c>
      <c r="E17327" s="0" t="inlineStr">
        <is>
          <t xml:space="preserve">Mazda</t>
        </is>
      </c>
      <c r="F17327" s="0" t="inlineStr">
        <is>
          <t xml:space="preserve">Mazda</t>
        </is>
      </c>
      <c r="G17327" s="0" t="s">
        <v>171</v>
      </c>
      <c r="H17327" s="5">
        <v>1631.161400</v>
      </c>
    </row>
    <row r="17328" spans="1:9">
      <c r="A17328" s="22" t="str">
        <f>HYPERLINK("https://app.vivvix.com/360/KMI/IntelliDrive/ApplUI/Pages/CreativePages/CustomReportCreativeDetail.aspx?App=23&amp;ReportView=4&amp;Qid=1711279&amp;Row=17320&amp;Col=1","No Title Assigned - #15276704384")</f>
        <v/>
      </c>
      <c r="B17328" s="0" t="s">
        <v>22997</v>
      </c>
      <c r="E17328" s="0" t="inlineStr">
        <is>
          <t xml:space="preserve">Mazda</t>
        </is>
      </c>
      <c r="F17328" s="0" t="inlineStr">
        <is>
          <t xml:space="preserve">Mazda</t>
        </is>
      </c>
      <c r="G17328" s="0" t="s">
        <v>171</v>
      </c>
      <c r="H17328" s="5">
        <v>76.228600</v>
      </c>
    </row>
    <row r="17329" spans="1:9">
      <c r="A17329" s="22" t="str">
        <f>HYPERLINK("https://app.vivvix.com/360/KMI/IntelliDrive/ApplUI/Pages/CreativePages/CustomReportCreativeDetail.aspx?App=23&amp;ReportView=4&amp;Qid=1711279&amp;Row=17321&amp;Col=1","No Title Assigned - #15276704404")</f>
        <v/>
      </c>
      <c r="B17329" s="0" t="s">
        <v>22998</v>
      </c>
      <c r="E17329" s="0" t="inlineStr">
        <is>
          <t xml:space="preserve">Mazda</t>
        </is>
      </c>
      <c r="F17329" s="0" t="inlineStr">
        <is>
          <t xml:space="preserve">Mazda</t>
        </is>
      </c>
      <c r="G17329" s="0" t="s">
        <v>171</v>
      </c>
      <c r="H17329" s="5">
        <v>22.767200</v>
      </c>
    </row>
    <row r="17330" spans="1:9">
      <c r="A17330" s="22" t="str">
        <f>HYPERLINK("https://app.vivvix.com/360/KMI/IntelliDrive/ApplUI/Pages/CreativePages/CustomReportCreativeDetail.aspx?App=23&amp;ReportView=4&amp;Qid=1711279&amp;Row=17322&amp;Col=1","No Title Assigned - #15276704411")</f>
        <v/>
      </c>
      <c r="B17330" s="0" t="s">
        <v>22999</v>
      </c>
      <c r="E17330" s="0" t="inlineStr">
        <is>
          <t xml:space="preserve">Mazda</t>
        </is>
      </c>
      <c r="F17330" s="0" t="inlineStr">
        <is>
          <t xml:space="preserve">Mazda</t>
        </is>
      </c>
      <c r="G17330" s="0" t="s">
        <v>171</v>
      </c>
      <c r="H17330" s="5">
        <v>231.470200</v>
      </c>
    </row>
    <row r="17331" spans="1:9">
      <c r="A17331" s="22" t="str">
        <f>HYPERLINK("https://app.vivvix.com/360/KMI/IntelliDrive/ApplUI/Pages/CreativePages/CustomReportCreativeDetail.aspx?App=23&amp;ReportView=4&amp;Qid=1711279&amp;Row=17323&amp;Col=1","No Title Assigned - #15276704455")</f>
        <v/>
      </c>
      <c r="B17331" s="0" t="s">
        <v>23000</v>
      </c>
      <c r="E17331" s="0" t="inlineStr">
        <is>
          <t xml:space="preserve">Mazda</t>
        </is>
      </c>
      <c r="F17331" s="0" t="inlineStr">
        <is>
          <t xml:space="preserve">Mazda</t>
        </is>
      </c>
      <c r="G17331" s="0" t="s">
        <v>171</v>
      </c>
      <c r="H17331" s="5">
        <v>183.560300</v>
      </c>
    </row>
    <row r="17332" spans="1:9">
      <c r="A17332" s="22" t="str">
        <f>HYPERLINK("https://app.vivvix.com/360/KMI/IntelliDrive/ApplUI/Pages/CreativePages/CustomReportCreativeDetail.aspx?App=23&amp;ReportView=4&amp;Qid=1711279&amp;Row=17324&amp;Col=1","No Title Assigned - #15276704512")</f>
        <v/>
      </c>
      <c r="B17332" s="0" t="s">
        <v>23001</v>
      </c>
      <c r="E17332" s="0" t="inlineStr">
        <is>
          <t xml:space="preserve">Mazda</t>
        </is>
      </c>
      <c r="F17332" s="0" t="inlineStr">
        <is>
          <t xml:space="preserve">Mazda</t>
        </is>
      </c>
      <c r="G17332" s="0" t="s">
        <v>171</v>
      </c>
      <c r="H17332" s="5">
        <v>33.959300</v>
      </c>
    </row>
    <row r="17333" spans="1:9">
      <c r="A17333" s="22" t="str">
        <f>HYPERLINK("https://app.vivvix.com/360/KMI/IntelliDrive/ApplUI/Pages/CreativePages/CustomReportCreativeDetail.aspx?App=23&amp;ReportView=4&amp;Qid=1711279&amp;Row=17325&amp;Col=1","No Title Assigned - #15276704547")</f>
        <v/>
      </c>
      <c r="B17333" s="0" t="s">
        <v>23002</v>
      </c>
      <c r="E17333" s="0" t="inlineStr">
        <is>
          <t xml:space="preserve">Mazda</t>
        </is>
      </c>
      <c r="F17333" s="0" t="inlineStr">
        <is>
          <t xml:space="preserve">Mazda</t>
        </is>
      </c>
      <c r="G17333" s="0" t="s">
        <v>171</v>
      </c>
      <c r="H17333" s="5">
        <v>6538.101100</v>
      </c>
    </row>
    <row r="17334" spans="1:9">
      <c r="A17334" s="22" t="str">
        <f>HYPERLINK("https://app.vivvix.com/360/KMI/IntelliDrive/ApplUI/Pages/CreativePages/CustomReportCreativeDetail.aspx?App=23&amp;ReportView=4&amp;Qid=1711279&amp;Row=17326&amp;Col=1","No Title Assigned - #15276704547")</f>
        <v/>
      </c>
      <c r="B17334" s="0" t="s">
        <v>23002</v>
      </c>
      <c r="E17334" s="0" t="inlineStr">
        <is>
          <t xml:space="preserve">Mazda</t>
        </is>
      </c>
      <c r="F17334" s="0" t="inlineStr">
        <is>
          <t xml:space="preserve">Mazda</t>
        </is>
      </c>
      <c r="G17334" s="0" t="s">
        <v>171</v>
      </c>
      <c r="H17334" s="5">
        <v>30.233800</v>
      </c>
    </row>
    <row r="17335" spans="1:9">
      <c r="A17335" s="22" t="str">
        <f>HYPERLINK("https://app.vivvix.com/360/KMI/IntelliDrive/ApplUI/Pages/CreativePages/CustomReportCreativeDetail.aspx?App=23&amp;ReportView=4&amp;Qid=1711279&amp;Row=17327&amp;Col=1","No Title Assigned - #15276704589")</f>
        <v/>
      </c>
      <c r="B17335" s="0" t="s">
        <v>23003</v>
      </c>
      <c r="E17335" s="0" t="inlineStr">
        <is>
          <t xml:space="preserve">Mazda</t>
        </is>
      </c>
      <c r="F17335" s="0" t="inlineStr">
        <is>
          <t xml:space="preserve">Mazda</t>
        </is>
      </c>
      <c r="G17335" s="0" t="s">
        <v>171</v>
      </c>
      <c r="H17335" s="5">
        <v>81.894100</v>
      </c>
    </row>
    <row r="17336" spans="1:9">
      <c r="A17336" s="22" t="str">
        <f>HYPERLINK("https://app.vivvix.com/360/KMI/IntelliDrive/ApplUI/Pages/CreativePages/CustomReportCreativeDetail.aspx?App=23&amp;ReportView=4&amp;Qid=1711279&amp;Row=17328&amp;Col=1","No Title Assigned - #15276704599")</f>
        <v/>
      </c>
      <c r="B17336" s="0" t="s">
        <v>23004</v>
      </c>
      <c r="C17336" s="0" t="s">
        <v>23005</v>
      </c>
      <c r="D17336" s="0" t="s">
        <v>23005</v>
      </c>
      <c r="E17336" s="0" t="inlineStr">
        <is>
          <t xml:space="preserve">Mazda</t>
        </is>
      </c>
      <c r="F17336" s="0" t="inlineStr">
        <is>
          <t xml:space="preserve">Mazda</t>
        </is>
      </c>
      <c r="G17336" s="0" t="s">
        <v>171</v>
      </c>
      <c r="H17336" s="5">
        <v>958.720500</v>
      </c>
    </row>
    <row r="17337" spans="1:9">
      <c r="A17337" s="22" t="str">
        <f>HYPERLINK("https://app.vivvix.com/360/KMI/IntelliDrive/ApplUI/Pages/CreativePages/CustomReportCreativeDetail.aspx?App=23&amp;ReportView=4&amp;Qid=1711279&amp;Row=17329&amp;Col=1","No Title Assigned - #15276704599")</f>
        <v/>
      </c>
      <c r="B17337" s="0" t="s">
        <v>23004</v>
      </c>
      <c r="E17337" s="0" t="inlineStr">
        <is>
          <t xml:space="preserve">Mazda</t>
        </is>
      </c>
      <c r="F17337" s="0" t="inlineStr">
        <is>
          <t xml:space="preserve">Mazda</t>
        </is>
      </c>
      <c r="G17337" s="0" t="s">
        <v>171</v>
      </c>
      <c r="H17337" s="5">
        <v>60.618700</v>
      </c>
    </row>
    <row r="17338" spans="1:9">
      <c r="A17338" s="22" t="str">
        <f>HYPERLINK("https://app.vivvix.com/360/KMI/IntelliDrive/ApplUI/Pages/CreativePages/CustomReportCreativeDetail.aspx?App=23&amp;ReportView=4&amp;Qid=1711279&amp;Row=17330&amp;Col=1","No Title Assigned - #15276704627")</f>
        <v/>
      </c>
      <c r="B17338" s="0" t="s">
        <v>23006</v>
      </c>
      <c r="E17338" s="0" t="inlineStr">
        <is>
          <t xml:space="preserve">Mazda</t>
        </is>
      </c>
      <c r="F17338" s="0" t="inlineStr">
        <is>
          <t xml:space="preserve">Mazda</t>
        </is>
      </c>
      <c r="G17338" s="0" t="s">
        <v>171</v>
      </c>
      <c r="H17338" s="5">
        <v>339.514600</v>
      </c>
    </row>
    <row r="17339" spans="1:9">
      <c r="A17339" s="22" t="str">
        <f>HYPERLINK("https://app.vivvix.com/360/KMI/IntelliDrive/ApplUI/Pages/CreativePages/CustomReportCreativeDetail.aspx?App=23&amp;ReportView=4&amp;Qid=1711279&amp;Row=17331&amp;Col=1","No Title Assigned - #15276704664")</f>
        <v/>
      </c>
      <c r="B17339" s="0" t="s">
        <v>23007</v>
      </c>
      <c r="E17339" s="0" t="inlineStr">
        <is>
          <t xml:space="preserve">Mazda</t>
        </is>
      </c>
      <c r="F17339" s="0" t="inlineStr">
        <is>
          <t xml:space="preserve">Mazda</t>
        </is>
      </c>
      <c r="G17339" s="0" t="s">
        <v>171</v>
      </c>
      <c r="H17339" s="5">
        <v>207.987500</v>
      </c>
    </row>
    <row r="17340" spans="1:9">
      <c r="A17340" s="22" t="str">
        <f>HYPERLINK("https://app.vivvix.com/360/KMI/IntelliDrive/ApplUI/Pages/CreativePages/CustomReportCreativeDetail.aspx?App=23&amp;ReportView=4&amp;Qid=1711279&amp;Row=17332&amp;Col=1","No Title Assigned - #15276704709")</f>
        <v/>
      </c>
      <c r="B17340" s="0" t="s">
        <v>23008</v>
      </c>
      <c r="C17340" s="0" t="s">
        <v>23009</v>
      </c>
      <c r="D17340" s="0" t="s">
        <v>23009</v>
      </c>
      <c r="E17340" s="0" t="inlineStr">
        <is>
          <t xml:space="preserve">Mazda</t>
        </is>
      </c>
      <c r="F17340" s="0" t="inlineStr">
        <is>
          <t xml:space="preserve">Mazda</t>
        </is>
      </c>
      <c r="G17340" s="0" t="s">
        <v>171</v>
      </c>
      <c r="H17340" s="5">
        <v>1879.423500</v>
      </c>
    </row>
    <row r="17341" spans="1:9">
      <c r="A17341" s="22" t="str">
        <f>HYPERLINK("https://app.vivvix.com/360/KMI/IntelliDrive/ApplUI/Pages/CreativePages/CustomReportCreativeDetail.aspx?App=23&amp;ReportView=4&amp;Qid=1711279&amp;Row=17333&amp;Col=1","No Title Assigned - #15276704769")</f>
        <v/>
      </c>
      <c r="B17341" s="0" t="s">
        <v>23010</v>
      </c>
      <c r="C17341" s="0" t="s">
        <v>23011</v>
      </c>
      <c r="D17341" s="0" t="s">
        <v>23011</v>
      </c>
      <c r="E17341" s="0" t="inlineStr">
        <is>
          <t xml:space="preserve">Mazda</t>
        </is>
      </c>
      <c r="F17341" s="0" t="inlineStr">
        <is>
          <t xml:space="preserve">Mazda</t>
        </is>
      </c>
      <c r="G17341" s="0" t="s">
        <v>210</v>
      </c>
      <c r="H17341" s="5">
        <v>442.301600</v>
      </c>
    </row>
    <row r="17342" spans="1:9">
      <c r="A17342" s="22" t="str">
        <f>HYPERLINK("https://app.vivvix.com/360/KMI/IntelliDrive/ApplUI/Pages/CreativePages/CustomReportCreativeDetail.aspx?App=23&amp;ReportView=4&amp;Qid=1711279&amp;Row=17334&amp;Col=1","No Title Assigned - #15276704770")</f>
        <v/>
      </c>
      <c r="B17342" s="0" t="s">
        <v>23012</v>
      </c>
      <c r="C17342" s="0" t="s">
        <v>23013</v>
      </c>
      <c r="D17342" s="0" t="s">
        <v>4768</v>
      </c>
      <c r="E17342" s="0" t="inlineStr">
        <is>
          <t xml:space="preserve">Mazda</t>
        </is>
      </c>
      <c r="F17342" s="0" t="s">
        <v>13</v>
      </c>
      <c r="G17342" s="0" t="s">
        <v>49</v>
      </c>
      <c r="H17342" s="5">
        <v>33.115400</v>
      </c>
    </row>
    <row r="17343" spans="1:9">
      <c r="A17343" s="22" t="str">
        <f>HYPERLINK("https://app.vivvix.com/360/KMI/IntelliDrive/ApplUI/Pages/CreativePages/CustomReportCreativeDetail.aspx?App=23&amp;ReportView=4&amp;Qid=1711279&amp;Row=17335&amp;Col=1","No Title Assigned - #15276704870")</f>
        <v/>
      </c>
      <c r="B17343" s="0" t="s">
        <v>23014</v>
      </c>
      <c r="E17343" s="0" t="inlineStr">
        <is>
          <t xml:space="preserve">Mazda</t>
        </is>
      </c>
      <c r="F17343" s="0" t="inlineStr">
        <is>
          <t xml:space="preserve">Mazda</t>
        </is>
      </c>
      <c r="G17343" s="0" t="s">
        <v>171</v>
      </c>
      <c r="H17343" s="5">
        <v>888.573400</v>
      </c>
    </row>
    <row r="17344" spans="1:9">
      <c r="A17344" s="22" t="str">
        <f>HYPERLINK("https://app.vivvix.com/360/KMI/IntelliDrive/ApplUI/Pages/CreativePages/CustomReportCreativeDetail.aspx?App=23&amp;ReportView=4&amp;Qid=1711279&amp;Row=17336&amp;Col=1","No Title Assigned - #15276704934")</f>
        <v/>
      </c>
      <c r="B17344" s="0" t="s">
        <v>23015</v>
      </c>
      <c r="E17344" s="0" t="inlineStr">
        <is>
          <t xml:space="preserve">Mazda</t>
        </is>
      </c>
      <c r="F17344" s="0" t="inlineStr">
        <is>
          <t xml:space="preserve">Mazda</t>
        </is>
      </c>
      <c r="G17344" s="0" t="s">
        <v>171</v>
      </c>
      <c r="H17344" s="5">
        <v>3587.851100</v>
      </c>
    </row>
    <row r="17345" spans="1:9">
      <c r="A17345" s="22" t="str">
        <f>HYPERLINK("https://app.vivvix.com/360/KMI/IntelliDrive/ApplUI/Pages/CreativePages/CustomReportCreativeDetail.aspx?App=23&amp;ReportView=4&amp;Qid=1711279&amp;Row=17337&amp;Col=1","No Title Assigned - #15276704934")</f>
        <v/>
      </c>
      <c r="B17345" s="0" t="s">
        <v>23015</v>
      </c>
      <c r="E17345" s="0" t="inlineStr">
        <is>
          <t xml:space="preserve">Mazda</t>
        </is>
      </c>
      <c r="F17345" s="0" t="inlineStr">
        <is>
          <t xml:space="preserve">Mazda</t>
        </is>
      </c>
      <c r="G17345" s="0" t="s">
        <v>171</v>
      </c>
      <c r="H17345" s="5">
        <v>1696.405200</v>
      </c>
    </row>
    <row r="17346" spans="1:9">
      <c r="A17346" s="22" t="str">
        <f>HYPERLINK("https://app.vivvix.com/360/KMI/IntelliDrive/ApplUI/Pages/CreativePages/CustomReportCreativeDetail.aspx?App=23&amp;ReportView=4&amp;Qid=1711279&amp;Row=17338&amp;Col=1","No Title Assigned - #15276704948")</f>
        <v/>
      </c>
      <c r="B17346" s="0" t="s">
        <v>23016</v>
      </c>
      <c r="E17346" s="0" t="inlineStr">
        <is>
          <t xml:space="preserve">Mazda</t>
        </is>
      </c>
      <c r="F17346" s="0" t="inlineStr">
        <is>
          <t xml:space="preserve">Mazda</t>
        </is>
      </c>
      <c r="G17346" s="0" t="s">
        <v>171</v>
      </c>
      <c r="H17346" s="5">
        <v>104.291900</v>
      </c>
    </row>
    <row r="17347" spans="1:9">
      <c r="A17347" s="22" t="str">
        <f>HYPERLINK("https://app.vivvix.com/360/KMI/IntelliDrive/ApplUI/Pages/CreativePages/CustomReportCreativeDetail.aspx?App=23&amp;ReportView=4&amp;Qid=1711279&amp;Row=17339&amp;Col=1","No Title Assigned - #15276704992")</f>
        <v/>
      </c>
      <c r="B17347" s="0" t="s">
        <v>23017</v>
      </c>
      <c r="E17347" s="0" t="inlineStr">
        <is>
          <t xml:space="preserve">Mazda</t>
        </is>
      </c>
      <c r="F17347" s="0" t="inlineStr">
        <is>
          <t xml:space="preserve">Mazda</t>
        </is>
      </c>
      <c r="G17347" s="0" t="s">
        <v>171</v>
      </c>
      <c r="H17347" s="5">
        <v>27.166800</v>
      </c>
    </row>
    <row r="17348" spans="1:9">
      <c r="A17348" s="22" t="str">
        <f>HYPERLINK("https://app.vivvix.com/360/KMI/IntelliDrive/ApplUI/Pages/CreativePages/CustomReportCreativeDetail.aspx?App=23&amp;ReportView=4&amp;Qid=1711279&amp;Row=17340&amp;Col=1","No Title Assigned - #15276705138")</f>
        <v/>
      </c>
      <c r="B17348" s="0" t="s">
        <v>23018</v>
      </c>
      <c r="E17348" s="0" t="inlineStr">
        <is>
          <t xml:space="preserve">Mazda</t>
        </is>
      </c>
      <c r="F17348" s="0" t="inlineStr">
        <is>
          <t xml:space="preserve">Mazda</t>
        </is>
      </c>
      <c r="G17348" s="0" t="s">
        <v>171</v>
      </c>
      <c r="H17348" s="5">
        <v>42.250900</v>
      </c>
    </row>
    <row r="17349" spans="1:9">
      <c r="A17349" s="22" t="str">
        <f>HYPERLINK("https://app.vivvix.com/360/KMI/IntelliDrive/ApplUI/Pages/CreativePages/CustomReportCreativeDetail.aspx?App=23&amp;ReportView=4&amp;Qid=1711279&amp;Row=17341&amp;Col=1","No Title Assigned - #15276705288")</f>
        <v/>
      </c>
      <c r="B17349" s="0" t="s">
        <v>23019</v>
      </c>
      <c r="E17349" s="0" t="inlineStr">
        <is>
          <t xml:space="preserve">Mazda</t>
        </is>
      </c>
      <c r="F17349" s="0" t="inlineStr">
        <is>
          <t xml:space="preserve">Mazda</t>
        </is>
      </c>
      <c r="G17349" s="0" t="s">
        <v>171</v>
      </c>
      <c r="H17349" s="5">
        <v>14893.329100</v>
      </c>
    </row>
    <row r="17350" spans="1:9">
      <c r="A17350" s="22" t="str">
        <f>HYPERLINK("https://app.vivvix.com/360/KMI/IntelliDrive/ApplUI/Pages/CreativePages/CustomReportCreativeDetail.aspx?App=23&amp;ReportView=4&amp;Qid=1711279&amp;Row=17342&amp;Col=1","No Title Assigned - #15276705310")</f>
        <v/>
      </c>
      <c r="B17350" s="0" t="s">
        <v>23020</v>
      </c>
      <c r="E17350" s="0" t="inlineStr">
        <is>
          <t xml:space="preserve">Mazda</t>
        </is>
      </c>
      <c r="F17350" s="0" t="inlineStr">
        <is>
          <t xml:space="preserve">Mazda</t>
        </is>
      </c>
      <c r="G17350" s="0" t="s">
        <v>171</v>
      </c>
      <c r="H17350" s="5">
        <v>252.549400</v>
      </c>
    </row>
    <row r="17351" spans="1:9">
      <c r="A17351" s="22" t="str">
        <f>HYPERLINK("https://app.vivvix.com/360/KMI/IntelliDrive/ApplUI/Pages/CreativePages/CustomReportCreativeDetail.aspx?App=23&amp;ReportView=4&amp;Qid=1711279&amp;Row=17343&amp;Col=1","No Title Assigned - #15276705412")</f>
        <v/>
      </c>
      <c r="B17351" s="0" t="s">
        <v>23021</v>
      </c>
      <c r="E17351" s="0" t="inlineStr">
        <is>
          <t xml:space="preserve">Mazda</t>
        </is>
      </c>
      <c r="F17351" s="0" t="inlineStr">
        <is>
          <t xml:space="preserve">Mazda</t>
        </is>
      </c>
      <c r="G17351" s="0" t="s">
        <v>171</v>
      </c>
      <c r="H17351" s="5">
        <v>9205.661400</v>
      </c>
    </row>
    <row r="17352" spans="1:9">
      <c r="A17352" s="22" t="str">
        <f>HYPERLINK("https://app.vivvix.com/360/KMI/IntelliDrive/ApplUI/Pages/CreativePages/CustomReportCreativeDetail.aspx?App=23&amp;ReportView=4&amp;Qid=1711279&amp;Row=17344&amp;Col=1","No Title Assigned - #15276705412")</f>
        <v/>
      </c>
      <c r="B17352" s="0" t="s">
        <v>23021</v>
      </c>
      <c r="E17352" s="0" t="inlineStr">
        <is>
          <t xml:space="preserve">Mazda</t>
        </is>
      </c>
      <c r="F17352" s="0" t="inlineStr">
        <is>
          <t xml:space="preserve">Mazda</t>
        </is>
      </c>
      <c r="G17352" s="0" t="s">
        <v>171</v>
      </c>
      <c r="H17352" s="5">
        <v>788.215900</v>
      </c>
    </row>
    <row r="17353" spans="1:9">
      <c r="A17353" s="22" t="str">
        <f>HYPERLINK("https://app.vivvix.com/360/KMI/IntelliDrive/ApplUI/Pages/CreativePages/CustomReportCreativeDetail.aspx?App=23&amp;ReportView=4&amp;Qid=1711279&amp;Row=17345&amp;Col=1","No Title Assigned - #15276705437")</f>
        <v/>
      </c>
      <c r="B17353" s="0" t="s">
        <v>23022</v>
      </c>
      <c r="E17353" s="0" t="inlineStr">
        <is>
          <t xml:space="preserve">Mazda</t>
        </is>
      </c>
      <c r="F17353" s="0" t="inlineStr">
        <is>
          <t xml:space="preserve">Mazda</t>
        </is>
      </c>
      <c r="G17353" s="0" t="s">
        <v>171</v>
      </c>
      <c r="H17353" s="5">
        <v>143.011100</v>
      </c>
    </row>
    <row r="17354" spans="1:9">
      <c r="A17354" s="22" t="str">
        <f>HYPERLINK("https://app.vivvix.com/360/KMI/IntelliDrive/ApplUI/Pages/CreativePages/CustomReportCreativeDetail.aspx?App=23&amp;ReportView=4&amp;Qid=1711279&amp;Row=17346&amp;Col=1","No Title Assigned - #15276705444")</f>
        <v/>
      </c>
      <c r="B17354" s="0" t="s">
        <v>23023</v>
      </c>
      <c r="E17354" s="0" t="inlineStr">
        <is>
          <t xml:space="preserve">Mazda</t>
        </is>
      </c>
      <c r="F17354" s="0" t="inlineStr">
        <is>
          <t xml:space="preserve">Mazda</t>
        </is>
      </c>
      <c r="G17354" s="0" t="s">
        <v>171</v>
      </c>
      <c r="H17354" s="5">
        <v>32901.760000</v>
      </c>
    </row>
    <row r="17355" spans="1:9">
      <c r="A17355" s="22" t="str">
        <f>HYPERLINK("https://app.vivvix.com/360/KMI/IntelliDrive/ApplUI/Pages/CreativePages/CustomReportCreativeDetail.aspx?App=23&amp;ReportView=4&amp;Qid=1711279&amp;Row=17347&amp;Col=1","No Title Assigned - #15276705954")</f>
        <v/>
      </c>
      <c r="B17355" s="0" t="s">
        <v>23024</v>
      </c>
      <c r="E17355" s="0" t="inlineStr">
        <is>
          <t xml:space="preserve">Mazda</t>
        </is>
      </c>
      <c r="F17355" s="0" t="inlineStr">
        <is>
          <t xml:space="preserve">Mazda</t>
        </is>
      </c>
      <c r="G17355" s="0" t="s">
        <v>171</v>
      </c>
      <c r="H17355" s="5">
        <v>33.959300</v>
      </c>
    </row>
    <row r="17356" spans="1:9">
      <c r="A17356" s="22" t="str">
        <f>HYPERLINK("https://app.vivvix.com/360/KMI/IntelliDrive/ApplUI/Pages/CreativePages/CustomReportCreativeDetail.aspx?App=23&amp;ReportView=4&amp;Qid=1711279&amp;Row=17348&amp;Col=1","No Title Assigned - #15276706670")</f>
        <v/>
      </c>
      <c r="B17356" s="0" t="s">
        <v>23025</v>
      </c>
      <c r="E17356" s="0" t="inlineStr">
        <is>
          <t xml:space="preserve">Mazda</t>
        </is>
      </c>
      <c r="F17356" s="0" t="inlineStr">
        <is>
          <t xml:space="preserve">Mazda</t>
        </is>
      </c>
      <c r="G17356" s="0" t="s">
        <v>171</v>
      </c>
      <c r="H17356" s="5">
        <v>70.844100</v>
      </c>
    </row>
    <row r="17357" spans="1:9">
      <c r="A17357" s="22" t="str">
        <f>HYPERLINK("https://app.vivvix.com/360/KMI/IntelliDrive/ApplUI/Pages/CreativePages/CustomReportCreativeDetail.aspx?App=23&amp;ReportView=4&amp;Qid=1711279&amp;Row=17349&amp;Col=1","No Title Assigned - #15276706671")</f>
        <v/>
      </c>
      <c r="B17357" s="0" t="s">
        <v>23026</v>
      </c>
      <c r="E17357" s="0" t="inlineStr">
        <is>
          <t xml:space="preserve">Mazda</t>
        </is>
      </c>
      <c r="F17357" s="0" t="inlineStr">
        <is>
          <t xml:space="preserve">Mazda</t>
        </is>
      </c>
      <c r="G17357" s="0" t="s">
        <v>171</v>
      </c>
      <c r="H17357" s="5">
        <v>1639.574100</v>
      </c>
    </row>
    <row r="17358" spans="1:9">
      <c r="A17358" s="22" t="str">
        <f>HYPERLINK("https://app.vivvix.com/360/KMI/IntelliDrive/ApplUI/Pages/CreativePages/CustomReportCreativeDetail.aspx?App=23&amp;ReportView=4&amp;Qid=1711279&amp;Row=17350&amp;Col=1","No Title Assigned - #15276706671")</f>
        <v/>
      </c>
      <c r="B17358" s="0" t="s">
        <v>23026</v>
      </c>
      <c r="C17358" s="0" t="s">
        <v>23027</v>
      </c>
      <c r="D17358" s="0" t="s">
        <v>23027</v>
      </c>
      <c r="E17358" s="0" t="inlineStr">
        <is>
          <t xml:space="preserve">Mazda</t>
        </is>
      </c>
      <c r="F17358" s="0" t="inlineStr">
        <is>
          <t xml:space="preserve">Mazda</t>
        </is>
      </c>
      <c r="G17358" s="0" t="s">
        <v>171</v>
      </c>
      <c r="H17358" s="5">
        <v>163.727100</v>
      </c>
    </row>
    <row r="17359" spans="1:9">
      <c r="A17359" s="22" t="str">
        <f>HYPERLINK("https://app.vivvix.com/360/KMI/IntelliDrive/ApplUI/Pages/CreativePages/CustomReportCreativeDetail.aspx?App=23&amp;ReportView=4&amp;Qid=1711279&amp;Row=17351&amp;Col=1","No Title Assigned - #15276706861")</f>
        <v/>
      </c>
      <c r="B17359" s="0" t="s">
        <v>23028</v>
      </c>
      <c r="E17359" s="0" t="inlineStr">
        <is>
          <t xml:space="preserve">Mazda</t>
        </is>
      </c>
      <c r="F17359" s="0" t="inlineStr">
        <is>
          <t xml:space="preserve">Mazda</t>
        </is>
      </c>
      <c r="G17359" s="0" t="s">
        <v>171</v>
      </c>
      <c r="H17359" s="5">
        <v>605.451300</v>
      </c>
    </row>
    <row r="17360" spans="1:9">
      <c r="A17360" s="22" t="str">
        <f>HYPERLINK("https://app.vivvix.com/360/KMI/IntelliDrive/ApplUI/Pages/CreativePages/CustomReportCreativeDetail.aspx?App=23&amp;ReportView=4&amp;Qid=1711279&amp;Row=17352&amp;Col=1","No Title Assigned - #15276707604")</f>
        <v/>
      </c>
      <c r="B17360" s="0" t="s">
        <v>23029</v>
      </c>
      <c r="C17360" s="0" t="s">
        <v>23030</v>
      </c>
      <c r="D17360" s="0" t="s">
        <v>23030</v>
      </c>
      <c r="E17360" s="0" t="inlineStr">
        <is>
          <t xml:space="preserve">Mazda</t>
        </is>
      </c>
      <c r="F17360" s="0" t="s">
        <v>13</v>
      </c>
      <c r="G17360" s="0" t="s">
        <v>49</v>
      </c>
      <c r="H17360" s="5">
        <v>22.412900</v>
      </c>
    </row>
    <row r="17361" spans="1:9">
      <c r="A17361" s="22" t="str">
        <f>HYPERLINK("https://app.vivvix.com/360/KMI/IntelliDrive/ApplUI/Pages/CreativePages/CustomReportCreativeDetail.aspx?App=23&amp;ReportView=4&amp;Qid=1711279&amp;Row=17353&amp;Col=1","No Title Assigned - #15276707789")</f>
        <v/>
      </c>
      <c r="B17361" s="0" t="s">
        <v>23031</v>
      </c>
      <c r="E17361" s="0" t="inlineStr">
        <is>
          <t xml:space="preserve">Mazda</t>
        </is>
      </c>
      <c r="F17361" s="0" t="inlineStr">
        <is>
          <t xml:space="preserve">Mazda</t>
        </is>
      </c>
      <c r="G17361" s="0" t="s">
        <v>171</v>
      </c>
      <c r="H17361" s="5">
        <v>311.921000</v>
      </c>
    </row>
    <row r="17362" spans="1:9">
      <c r="A17362" s="22" t="str">
        <f>HYPERLINK("https://app.vivvix.com/360/KMI/IntelliDrive/ApplUI/Pages/CreativePages/CustomReportCreativeDetail.aspx?App=23&amp;ReportView=4&amp;Qid=1711279&amp;Row=17354&amp;Col=1","No Title Assigned - #15276708184")</f>
        <v/>
      </c>
      <c r="B17362" s="0" t="s">
        <v>23032</v>
      </c>
      <c r="E17362" s="0" t="inlineStr">
        <is>
          <t xml:space="preserve">Mazda</t>
        </is>
      </c>
      <c r="F17362" s="0" t="inlineStr">
        <is>
          <t xml:space="preserve">Mazda</t>
        </is>
      </c>
      <c r="G17362" s="0" t="s">
        <v>171</v>
      </c>
      <c r="H17362" s="5">
        <v>354.297900</v>
      </c>
    </row>
    <row r="17363" spans="1:9">
      <c r="A17363" s="22" t="str">
        <f>HYPERLINK("https://app.vivvix.com/360/KMI/IntelliDrive/ApplUI/Pages/CreativePages/CustomReportCreativeDetail.aspx?App=23&amp;ReportView=4&amp;Qid=1711279&amp;Row=17355&amp;Col=1","No Title Assigned - #15276708525")</f>
        <v/>
      </c>
      <c r="B17363" s="0" t="s">
        <v>23033</v>
      </c>
      <c r="E17363" s="0" t="inlineStr">
        <is>
          <t xml:space="preserve">Mazda</t>
        </is>
      </c>
      <c r="F17363" s="0" t="inlineStr">
        <is>
          <t xml:space="preserve">Mazda</t>
        </is>
      </c>
      <c r="G17363" s="0" t="s">
        <v>171</v>
      </c>
      <c r="H17363" s="5">
        <v>1494.015100</v>
      </c>
    </row>
    <row r="17364" spans="1:9">
      <c r="A17364" s="22" t="str">
        <f>HYPERLINK("https://app.vivvix.com/360/KMI/IntelliDrive/ApplUI/Pages/CreativePages/CustomReportCreativeDetail.aspx?App=23&amp;ReportView=4&amp;Qid=1711279&amp;Row=17356&amp;Col=1","No Title Assigned - #15276708525")</f>
        <v/>
      </c>
      <c r="B17364" s="0" t="s">
        <v>23033</v>
      </c>
      <c r="E17364" s="0" t="inlineStr">
        <is>
          <t xml:space="preserve">Mazda</t>
        </is>
      </c>
      <c r="F17364" s="0" t="inlineStr">
        <is>
          <t xml:space="preserve">Mazda</t>
        </is>
      </c>
      <c r="G17364" s="0" t="s">
        <v>171</v>
      </c>
      <c r="H17364" s="5">
        <v>820.955900</v>
      </c>
    </row>
    <row r="17365" spans="1:9">
      <c r="A17365" s="22" t="str">
        <f>HYPERLINK("https://app.vivvix.com/360/KMI/IntelliDrive/ApplUI/Pages/CreativePages/CustomReportCreativeDetail.aspx?App=23&amp;ReportView=4&amp;Qid=1711279&amp;Row=17357&amp;Col=1","No Title Assigned - #15276708577")</f>
        <v/>
      </c>
      <c r="B17365" s="0" t="s">
        <v>23034</v>
      </c>
      <c r="E17365" s="0" t="inlineStr">
        <is>
          <t xml:space="preserve">Mazda</t>
        </is>
      </c>
      <c r="F17365" s="0" t="inlineStr">
        <is>
          <t xml:space="preserve">Mazda</t>
        </is>
      </c>
      <c r="G17365" s="0" t="s">
        <v>171</v>
      </c>
      <c r="H17365" s="5">
        <v>42.993000</v>
      </c>
    </row>
    <row r="17366" spans="1:9">
      <c r="A17366" s="22" t="str">
        <f>HYPERLINK("https://app.vivvix.com/360/KMI/IntelliDrive/ApplUI/Pages/CreativePages/CustomReportCreativeDetail.aspx?App=23&amp;ReportView=4&amp;Qid=1711279&amp;Row=17358&amp;Col=1","No Title Assigned - #15276708928")</f>
        <v/>
      </c>
      <c r="B17366" s="0" t="s">
        <v>23035</v>
      </c>
      <c r="E17366" s="0" t="inlineStr">
        <is>
          <t xml:space="preserve">Mazda</t>
        </is>
      </c>
      <c r="F17366" s="0" t="inlineStr">
        <is>
          <t xml:space="preserve">Mazda</t>
        </is>
      </c>
      <c r="G17366" s="0" t="s">
        <v>171</v>
      </c>
      <c r="H17366" s="5">
        <v>15.960200</v>
      </c>
    </row>
    <row r="17367" spans="1:9">
      <c r="A17367" s="22" t="str">
        <f>HYPERLINK("https://app.vivvix.com/360/KMI/IntelliDrive/ApplUI/Pages/CreativePages/CustomReportCreativeDetail.aspx?App=23&amp;ReportView=4&amp;Qid=1711279&amp;Row=17359&amp;Col=1","No Title Assigned - #15276709487")</f>
        <v/>
      </c>
      <c r="B17367" s="0" t="s">
        <v>23036</v>
      </c>
      <c r="E17367" s="0" t="inlineStr">
        <is>
          <t xml:space="preserve">Mazda</t>
        </is>
      </c>
      <c r="F17367" s="0" t="inlineStr">
        <is>
          <t xml:space="preserve">Mazda</t>
        </is>
      </c>
      <c r="G17367" s="0" t="s">
        <v>171</v>
      </c>
      <c r="H17367" s="5">
        <v>263.702800</v>
      </c>
    </row>
    <row r="17368" spans="1:9">
      <c r="A17368" s="22" t="str">
        <f>HYPERLINK("https://app.vivvix.com/360/KMI/IntelliDrive/ApplUI/Pages/CreativePages/CustomReportCreativeDetail.aspx?App=23&amp;ReportView=4&amp;Qid=1711279&amp;Row=17360&amp;Col=1","No Title Assigned - #15276709780")</f>
        <v/>
      </c>
      <c r="B17368" s="0" t="s">
        <v>23037</v>
      </c>
      <c r="E17368" s="0" t="inlineStr">
        <is>
          <t xml:space="preserve">Mazda</t>
        </is>
      </c>
      <c r="F17368" s="0" t="inlineStr">
        <is>
          <t xml:space="preserve">Mazda</t>
        </is>
      </c>
      <c r="G17368" s="0" t="s">
        <v>171</v>
      </c>
      <c r="H17368" s="5">
        <v>878.379300</v>
      </c>
    </row>
    <row r="17369" spans="1:9">
      <c r="A17369" s="22" t="str">
        <f>HYPERLINK("https://app.vivvix.com/360/KMI/IntelliDrive/ApplUI/Pages/CreativePages/CustomReportCreativeDetail.aspx?App=23&amp;ReportView=4&amp;Qid=1711279&amp;Row=17361&amp;Col=1","No Title Assigned - #15276710244")</f>
        <v/>
      </c>
      <c r="B17369" s="0" t="s">
        <v>23038</v>
      </c>
      <c r="E17369" s="0" t="inlineStr">
        <is>
          <t xml:space="preserve">Mazda</t>
        </is>
      </c>
      <c r="F17369" s="0" t="inlineStr">
        <is>
          <t xml:space="preserve">Mazda</t>
        </is>
      </c>
      <c r="G17369" s="0" t="s">
        <v>171</v>
      </c>
      <c r="H17369" s="5">
        <v>19470.434700</v>
      </c>
    </row>
    <row r="17370" spans="1:9">
      <c r="A17370" s="22" t="str">
        <f>HYPERLINK("https://app.vivvix.com/360/KMI/IntelliDrive/ApplUI/Pages/CreativePages/CustomReportCreativeDetail.aspx?App=23&amp;ReportView=4&amp;Qid=1711279&amp;Row=17362&amp;Col=1","No Title Assigned - #15276710578")</f>
        <v/>
      </c>
      <c r="B17370" s="0" t="s">
        <v>23039</v>
      </c>
      <c r="E17370" s="0" t="inlineStr">
        <is>
          <t xml:space="preserve">Mazda</t>
        </is>
      </c>
      <c r="F17370" s="0" t="inlineStr">
        <is>
          <t xml:space="preserve">Mazda</t>
        </is>
      </c>
      <c r="G17370" s="0" t="s">
        <v>171</v>
      </c>
      <c r="H17370" s="5">
        <v>139.440100</v>
      </c>
    </row>
    <row r="17371" spans="1:9">
      <c r="A17371" s="22" t="str">
        <f>HYPERLINK("https://app.vivvix.com/360/KMI/IntelliDrive/ApplUI/Pages/CreativePages/CustomReportCreativeDetail.aspx?App=23&amp;ReportView=4&amp;Qid=1711279&amp;Row=17363&amp;Col=1","No Title Assigned - #15276710933")</f>
        <v/>
      </c>
      <c r="B17371" s="0" t="s">
        <v>23040</v>
      </c>
      <c r="E17371" s="0" t="inlineStr">
        <is>
          <t xml:space="preserve">Mazda</t>
        </is>
      </c>
      <c r="F17371" s="0" t="inlineStr">
        <is>
          <t xml:space="preserve">Mazda</t>
        </is>
      </c>
      <c r="G17371" s="0" t="s">
        <v>171</v>
      </c>
      <c r="H17371" s="5">
        <v>953.797000</v>
      </c>
    </row>
    <row r="17372" spans="1:9">
      <c r="A17372" s="22" t="str">
        <f>HYPERLINK("https://app.vivvix.com/360/KMI/IntelliDrive/ApplUI/Pages/CreativePages/CustomReportCreativeDetail.aspx?App=23&amp;ReportView=4&amp;Qid=1711279&amp;Row=17364&amp;Col=1","No Title Assigned - #15276710933")</f>
        <v/>
      </c>
      <c r="B17372" s="0" t="s">
        <v>23040</v>
      </c>
      <c r="E17372" s="0" t="inlineStr">
        <is>
          <t xml:space="preserve">Mazda</t>
        </is>
      </c>
      <c r="F17372" s="0" t="inlineStr">
        <is>
          <t xml:space="preserve">Mazda</t>
        </is>
      </c>
      <c r="G17372" s="0" t="s">
        <v>171</v>
      </c>
      <c r="H17372" s="5">
        <v>933.820600</v>
      </c>
    </row>
    <row r="17373" spans="1:9">
      <c r="A17373" s="22" t="str">
        <f>HYPERLINK("https://app.vivvix.com/360/KMI/IntelliDrive/ApplUI/Pages/CreativePages/CustomReportCreativeDetail.aspx?App=23&amp;ReportView=4&amp;Qid=1711279&amp;Row=17365&amp;Col=1","No Title Assigned - #15276711081")</f>
        <v/>
      </c>
      <c r="B17373" s="0" t="s">
        <v>23041</v>
      </c>
      <c r="E17373" s="0" t="inlineStr">
        <is>
          <t xml:space="preserve">Mazda</t>
        </is>
      </c>
      <c r="F17373" s="0" t="inlineStr">
        <is>
          <t xml:space="preserve">Mazda</t>
        </is>
      </c>
      <c r="G17373" s="0" t="s">
        <v>171</v>
      </c>
      <c r="H17373" s="5">
        <v>437.401600</v>
      </c>
    </row>
    <row r="17374" spans="1:9">
      <c r="A17374" s="22" t="str">
        <f>HYPERLINK("https://app.vivvix.com/360/KMI/IntelliDrive/ApplUI/Pages/CreativePages/CustomReportCreativeDetail.aspx?App=23&amp;ReportView=4&amp;Qid=1711279&amp;Row=17366&amp;Col=1","No Title Assigned - #15276711405")</f>
        <v/>
      </c>
      <c r="B17374" s="0" t="s">
        <v>23042</v>
      </c>
      <c r="E17374" s="0" t="inlineStr">
        <is>
          <t xml:space="preserve">Mazda</t>
        </is>
      </c>
      <c r="F17374" s="0" t="inlineStr">
        <is>
          <t xml:space="preserve">Mazda</t>
        </is>
      </c>
      <c r="G17374" s="0" t="s">
        <v>171</v>
      </c>
      <c r="H17374" s="5">
        <v>3077.140800</v>
      </c>
    </row>
    <row r="17375" spans="1:9">
      <c r="A17375" s="22" t="str">
        <f>HYPERLINK("https://app.vivvix.com/360/KMI/IntelliDrive/ApplUI/Pages/CreativePages/CustomReportCreativeDetail.aspx?App=23&amp;ReportView=4&amp;Qid=1711279&amp;Row=17367&amp;Col=1","No Title Assigned - #15276711405")</f>
        <v/>
      </c>
      <c r="B17375" s="0" t="s">
        <v>23042</v>
      </c>
      <c r="E17375" s="0" t="inlineStr">
        <is>
          <t xml:space="preserve">Mazda</t>
        </is>
      </c>
      <c r="F17375" s="0" t="inlineStr">
        <is>
          <t xml:space="preserve">Mazda</t>
        </is>
      </c>
      <c r="G17375" s="0" t="s">
        <v>171</v>
      </c>
      <c r="H17375" s="5">
        <v>886.240500</v>
      </c>
    </row>
    <row r="17376" spans="1:9">
      <c r="A17376" s="22" t="str">
        <f>HYPERLINK("https://app.vivvix.com/360/KMI/IntelliDrive/ApplUI/Pages/CreativePages/CustomReportCreativeDetail.aspx?App=23&amp;ReportView=4&amp;Qid=1711279&amp;Row=17368&amp;Col=1","No Title Assigned - #15276711472")</f>
        <v/>
      </c>
      <c r="B17376" s="0" t="s">
        <v>23043</v>
      </c>
      <c r="E17376" s="0" t="inlineStr">
        <is>
          <t xml:space="preserve">Mazda</t>
        </is>
      </c>
      <c r="F17376" s="0" t="inlineStr">
        <is>
          <t xml:space="preserve">Mazda</t>
        </is>
      </c>
      <c r="G17376" s="0" t="s">
        <v>171</v>
      </c>
      <c r="H17376" s="5">
        <v>1092.547000</v>
      </c>
    </row>
    <row r="17377" spans="1:9">
      <c r="A17377" s="22" t="str">
        <f>HYPERLINK("https://app.vivvix.com/360/KMI/IntelliDrive/ApplUI/Pages/CreativePages/CustomReportCreativeDetail.aspx?App=23&amp;ReportView=4&amp;Qid=1711279&amp;Row=17369&amp;Col=1","No Title Assigned - #15276711527")</f>
        <v/>
      </c>
      <c r="B17377" s="0" t="s">
        <v>23044</v>
      </c>
      <c r="E17377" s="0" t="inlineStr">
        <is>
          <t xml:space="preserve">Mazda</t>
        </is>
      </c>
      <c r="F17377" s="0" t="inlineStr">
        <is>
          <t xml:space="preserve">Mazda</t>
        </is>
      </c>
      <c r="G17377" s="0" t="s">
        <v>171</v>
      </c>
      <c r="H17377" s="5">
        <v>408.267300</v>
      </c>
    </row>
    <row r="17378" spans="1:9">
      <c r="A17378" s="22" t="str">
        <f>HYPERLINK("https://app.vivvix.com/360/KMI/IntelliDrive/ApplUI/Pages/CreativePages/CustomReportCreativeDetail.aspx?App=23&amp;ReportView=4&amp;Qid=1711279&amp;Row=17370&amp;Col=1","No Title Assigned - #15276711875")</f>
        <v/>
      </c>
      <c r="B17378" s="0" t="s">
        <v>23045</v>
      </c>
      <c r="E17378" s="0" t="inlineStr">
        <is>
          <t xml:space="preserve">Mazda</t>
        </is>
      </c>
      <c r="F17378" s="0" t="inlineStr">
        <is>
          <t xml:space="preserve">Mazda</t>
        </is>
      </c>
      <c r="G17378" s="0" t="s">
        <v>171</v>
      </c>
      <c r="H17378" s="5">
        <v>81693.958500</v>
      </c>
    </row>
    <row r="17379" spans="1:9">
      <c r="A17379" s="22" t="str">
        <f>HYPERLINK("https://app.vivvix.com/360/KMI/IntelliDrive/ApplUI/Pages/CreativePages/CustomReportCreativeDetail.aspx?App=23&amp;ReportView=4&amp;Qid=1711279&amp;Row=17371&amp;Col=1","No Title Assigned - #15276711875")</f>
        <v/>
      </c>
      <c r="B17379" s="0" t="s">
        <v>23045</v>
      </c>
      <c r="E17379" s="0" t="inlineStr">
        <is>
          <t xml:space="preserve">Mazda</t>
        </is>
      </c>
      <c r="F17379" s="0" t="inlineStr">
        <is>
          <t xml:space="preserve">Mazda</t>
        </is>
      </c>
      <c r="G17379" s="0" t="s">
        <v>171</v>
      </c>
      <c r="H17379" s="5">
        <v>32746.781300</v>
      </c>
    </row>
    <row r="17380" spans="1:9">
      <c r="A17380" s="22" t="str">
        <f>HYPERLINK("https://app.vivvix.com/360/KMI/IntelliDrive/ApplUI/Pages/CreativePages/CustomReportCreativeDetail.aspx?App=23&amp;ReportView=4&amp;Qid=1711279&amp;Row=17372&amp;Col=1","No Title Assigned - #15276711980")</f>
        <v/>
      </c>
      <c r="B17380" s="0" t="s">
        <v>23046</v>
      </c>
      <c r="E17380" s="0" t="inlineStr">
        <is>
          <t xml:space="preserve">Mazda</t>
        </is>
      </c>
      <c r="F17380" s="0" t="s">
        <v>204</v>
      </c>
      <c r="G17380" s="0" t="s">
        <v>205</v>
      </c>
      <c r="H17380" s="5">
        <v>558.701500</v>
      </c>
    </row>
    <row r="17381" spans="1:9">
      <c r="A17381" s="22" t="str">
        <f>HYPERLINK("https://app.vivvix.com/360/KMI/IntelliDrive/ApplUI/Pages/CreativePages/CustomReportCreativeDetail.aspx?App=23&amp;ReportView=4&amp;Qid=1711279&amp;Row=17373&amp;Col=1","No Title Assigned - #15276712630")</f>
        <v/>
      </c>
      <c r="B17381" s="0" t="s">
        <v>23047</v>
      </c>
      <c r="E17381" s="0" t="inlineStr">
        <is>
          <t xml:space="preserve">Mazda</t>
        </is>
      </c>
      <c r="F17381" s="0" t="inlineStr">
        <is>
          <t xml:space="preserve">Mazda</t>
        </is>
      </c>
      <c r="G17381" s="0" t="s">
        <v>171</v>
      </c>
      <c r="H17381" s="5">
        <v>35.913100</v>
      </c>
    </row>
    <row r="17382" spans="1:9">
      <c r="A17382" s="22" t="str">
        <f>HYPERLINK("https://app.vivvix.com/360/KMI/IntelliDrive/ApplUI/Pages/CreativePages/CustomReportCreativeDetail.aspx?App=23&amp;ReportView=4&amp;Qid=1711279&amp;Row=17374&amp;Col=1","No Title Assigned - #15276714158")</f>
        <v/>
      </c>
      <c r="B17382" s="0" t="s">
        <v>23048</v>
      </c>
      <c r="E17382" s="0" t="inlineStr">
        <is>
          <t xml:space="preserve">Mazda</t>
        </is>
      </c>
      <c r="F17382" s="0" t="inlineStr">
        <is>
          <t xml:space="preserve">Mazda</t>
        </is>
      </c>
      <c r="G17382" s="0" t="s">
        <v>171</v>
      </c>
      <c r="H17382" s="5">
        <v>1016.190100</v>
      </c>
    </row>
    <row r="17383" spans="1:9">
      <c r="A17383" s="22" t="str">
        <f>HYPERLINK("https://app.vivvix.com/360/KMI/IntelliDrive/ApplUI/Pages/CreativePages/CustomReportCreativeDetail.aspx?App=23&amp;ReportView=4&amp;Qid=1711279&amp;Row=17375&amp;Col=1","No Title Assigned - #15276714194")</f>
        <v/>
      </c>
      <c r="B17383" s="0" t="s">
        <v>23049</v>
      </c>
      <c r="E17383" s="0" t="inlineStr">
        <is>
          <t xml:space="preserve">Mazda</t>
        </is>
      </c>
      <c r="F17383" s="0" t="inlineStr">
        <is>
          <t xml:space="preserve">Mazda</t>
        </is>
      </c>
      <c r="G17383" s="0" t="s">
        <v>171</v>
      </c>
      <c r="H17383" s="5">
        <v>69982.481500</v>
      </c>
    </row>
    <row r="17384" spans="1:9">
      <c r="A17384" s="22" t="str">
        <f>HYPERLINK("https://app.vivvix.com/360/KMI/IntelliDrive/ApplUI/Pages/CreativePages/CustomReportCreativeDetail.aspx?App=23&amp;ReportView=4&amp;Qid=1711279&amp;Row=17376&amp;Col=1","No Title Assigned - #15276714661")</f>
        <v/>
      </c>
      <c r="B17384" s="0" t="s">
        <v>23050</v>
      </c>
      <c r="E17384" s="0" t="inlineStr">
        <is>
          <t xml:space="preserve">Mazda</t>
        </is>
      </c>
      <c r="F17384" s="0" t="inlineStr">
        <is>
          <t xml:space="preserve">Mazda</t>
        </is>
      </c>
      <c r="G17384" s="0" t="s">
        <v>171</v>
      </c>
      <c r="H17384" s="5">
        <v>84.633300</v>
      </c>
    </row>
    <row r="17385" spans="1:9">
      <c r="A17385" s="22" t="str">
        <f>HYPERLINK("https://app.vivvix.com/360/KMI/IntelliDrive/ApplUI/Pages/CreativePages/CustomReportCreativeDetail.aspx?App=23&amp;ReportView=4&amp;Qid=1711279&amp;Row=17377&amp;Col=1","No Title Assigned - #15276714727")</f>
        <v/>
      </c>
      <c r="B17385" s="0" t="s">
        <v>23051</v>
      </c>
      <c r="E17385" s="0" t="inlineStr">
        <is>
          <t xml:space="preserve">Mazda</t>
        </is>
      </c>
      <c r="F17385" s="0" t="inlineStr">
        <is>
          <t xml:space="preserve">Mazda</t>
        </is>
      </c>
      <c r="G17385" s="0" t="s">
        <v>171</v>
      </c>
      <c r="H17385" s="5">
        <v>317.111300</v>
      </c>
    </row>
    <row r="17386" spans="1:9">
      <c r="A17386" s="22" t="str">
        <f>HYPERLINK("https://app.vivvix.com/360/KMI/IntelliDrive/ApplUI/Pages/CreativePages/CustomReportCreativeDetail.aspx?App=23&amp;ReportView=4&amp;Qid=1711279&amp;Row=17378&amp;Col=1","No Title Assigned - #15276715317")</f>
        <v/>
      </c>
      <c r="B17386" s="0" t="s">
        <v>23052</v>
      </c>
      <c r="E17386" s="0" t="inlineStr">
        <is>
          <t xml:space="preserve">Mazda</t>
        </is>
      </c>
      <c r="F17386" s="0" t="inlineStr">
        <is>
          <t xml:space="preserve">Mazda</t>
        </is>
      </c>
      <c r="G17386" s="0" t="s">
        <v>171</v>
      </c>
      <c r="H17386" s="5">
        <v>6419.559200</v>
      </c>
    </row>
    <row r="17387" spans="1:9">
      <c r="A17387" s="22" t="str">
        <f>HYPERLINK("https://app.vivvix.com/360/KMI/IntelliDrive/ApplUI/Pages/CreativePages/CustomReportCreativeDetail.aspx?App=23&amp;ReportView=4&amp;Qid=1711279&amp;Row=17379&amp;Col=1","No Title Assigned - #15276715317")</f>
        <v/>
      </c>
      <c r="B17387" s="0" t="s">
        <v>23052</v>
      </c>
      <c r="E17387" s="0" t="inlineStr">
        <is>
          <t xml:space="preserve">Mazda</t>
        </is>
      </c>
      <c r="F17387" s="0" t="inlineStr">
        <is>
          <t xml:space="preserve">Mazda</t>
        </is>
      </c>
      <c r="G17387" s="0" t="s">
        <v>171</v>
      </c>
      <c r="H17387" s="5">
        <v>19329.039600</v>
      </c>
    </row>
    <row r="17388" spans="1:9">
      <c r="A17388" s="22" t="str">
        <f>HYPERLINK("https://app.vivvix.com/360/KMI/IntelliDrive/ApplUI/Pages/CreativePages/CustomReportCreativeDetail.aspx?App=23&amp;ReportView=4&amp;Qid=1711279&amp;Row=17380&amp;Col=1","No Title Assigned - #15276721368")</f>
        <v/>
      </c>
      <c r="B17388" s="0" t="s">
        <v>23053</v>
      </c>
      <c r="E17388" s="0" t="inlineStr">
        <is>
          <t xml:space="preserve">Mazda</t>
        </is>
      </c>
      <c r="F17388" s="0" t="inlineStr">
        <is>
          <t xml:space="preserve">Mazda</t>
        </is>
      </c>
      <c r="G17388" s="0" t="s">
        <v>171</v>
      </c>
      <c r="H17388" s="5">
        <v>86.296400</v>
      </c>
    </row>
    <row r="17389" spans="1:9">
      <c r="A17389" s="22" t="str">
        <f>HYPERLINK("https://app.vivvix.com/360/KMI/IntelliDrive/ApplUI/Pages/CreativePages/CustomReportCreativeDetail.aspx?App=23&amp;ReportView=4&amp;Qid=1711279&amp;Row=17381&amp;Col=1","No Title Assigned - #15276735223")</f>
        <v/>
      </c>
      <c r="B17389" s="0" t="s">
        <v>23054</v>
      </c>
      <c r="E17389" s="0" t="inlineStr">
        <is>
          <t xml:space="preserve">Mazda</t>
        </is>
      </c>
      <c r="F17389" s="0" t="inlineStr">
        <is>
          <t xml:space="preserve">Mazda</t>
        </is>
      </c>
      <c r="G17389" s="0" t="s">
        <v>171</v>
      </c>
      <c r="H17389" s="5">
        <v>424.115500</v>
      </c>
    </row>
    <row r="17390" spans="1:9">
      <c r="A17390" s="22" t="str">
        <f>HYPERLINK("https://app.vivvix.com/360/KMI/IntelliDrive/ApplUI/Pages/CreativePages/CustomReportCreativeDetail.aspx?App=23&amp;ReportView=4&amp;Qid=1711279&amp;Row=17382&amp;Col=1","No Title Assigned - #15276736254")</f>
        <v/>
      </c>
      <c r="B17390" s="0" t="s">
        <v>23055</v>
      </c>
      <c r="C17390" s="0" t="s">
        <v>23056</v>
      </c>
      <c r="D17390" s="0" t="s">
        <v>22540</v>
      </c>
      <c r="E17390" s="0" t="inlineStr">
        <is>
          <t xml:space="preserve">Mazda</t>
        </is>
      </c>
      <c r="F17390" s="0" t="s">
        <v>13</v>
      </c>
      <c r="G17390" s="0" t="s">
        <v>49</v>
      </c>
      <c r="H17390" s="5">
        <v>6.978500</v>
      </c>
    </row>
    <row r="17391" spans="1:9">
      <c r="A17391" s="22" t="str">
        <f>HYPERLINK("https://app.vivvix.com/360/KMI/IntelliDrive/ApplUI/Pages/CreativePages/CustomReportCreativeDetail.aspx?App=23&amp;ReportView=4&amp;Qid=1711279&amp;Row=17383&amp;Col=1","No Title Assigned - #15276739170")</f>
        <v/>
      </c>
      <c r="B17391" s="0" t="s">
        <v>23057</v>
      </c>
      <c r="E17391" s="0" t="inlineStr">
        <is>
          <t xml:space="preserve">Mazda</t>
        </is>
      </c>
      <c r="F17391" s="0" t="inlineStr">
        <is>
          <t xml:space="preserve">Mazda</t>
        </is>
      </c>
      <c r="G17391" s="0" t="s">
        <v>171</v>
      </c>
      <c r="H17391" s="5">
        <v>558.680200</v>
      </c>
    </row>
    <row r="17392" spans="1:9">
      <c r="A17392" s="22" t="str">
        <f>HYPERLINK("https://app.vivvix.com/360/KMI/IntelliDrive/ApplUI/Pages/CreativePages/CustomReportCreativeDetail.aspx?App=23&amp;ReportView=4&amp;Qid=1711279&amp;Row=17384&amp;Col=1","No Title Assigned - #15276739655")</f>
        <v/>
      </c>
      <c r="B17392" s="0" t="s">
        <v>23058</v>
      </c>
      <c r="C17392" s="0" t="s">
        <v>23059</v>
      </c>
      <c r="D17392" s="0" t="s">
        <v>10704</v>
      </c>
      <c r="E17392" s="0" t="inlineStr">
        <is>
          <t xml:space="preserve">Mazda</t>
        </is>
      </c>
      <c r="F17392" s="0" t="s">
        <v>13</v>
      </c>
      <c r="G17392" s="0" t="s">
        <v>49</v>
      </c>
      <c r="H17392" s="5">
        <v>432.168800</v>
      </c>
    </row>
    <row r="17393" spans="1:9">
      <c r="A17393" s="22" t="str">
        <f>HYPERLINK("https://app.vivvix.com/360/KMI/IntelliDrive/ApplUI/Pages/CreativePages/CustomReportCreativeDetail.aspx?App=23&amp;ReportView=4&amp;Qid=1711279&amp;Row=17385&amp;Col=1","No Title Assigned - #15276739938")</f>
        <v/>
      </c>
      <c r="B17393" s="0" t="s">
        <v>23060</v>
      </c>
      <c r="C17393" s="0" t="s">
        <v>23061</v>
      </c>
      <c r="D17393" s="0" t="s">
        <v>23061</v>
      </c>
      <c r="E17393" s="0" t="inlineStr">
        <is>
          <t xml:space="preserve">Mazda</t>
        </is>
      </c>
      <c r="F17393" s="0" t="s">
        <v>13</v>
      </c>
      <c r="G17393" s="0" t="s">
        <v>49</v>
      </c>
      <c r="H17393" s="5">
        <v>228.331500</v>
      </c>
    </row>
    <row r="17394" spans="1:9">
      <c r="A17394" s="22" t="str">
        <f>HYPERLINK("https://app.vivvix.com/360/KMI/IntelliDrive/ApplUI/Pages/CreativePages/CustomReportCreativeDetail.aspx?App=23&amp;ReportView=4&amp;Qid=1711279&amp;Row=17386&amp;Col=1","No Title Assigned - #15276741840")</f>
        <v/>
      </c>
      <c r="B17394" s="0" t="s">
        <v>23062</v>
      </c>
      <c r="C17394" s="0" t="s">
        <v>23063</v>
      </c>
      <c r="D17394" s="0" t="s">
        <v>6183</v>
      </c>
      <c r="E17394" s="0" t="inlineStr">
        <is>
          <t xml:space="preserve">Mazda</t>
        </is>
      </c>
      <c r="F17394" s="0" t="s">
        <v>13</v>
      </c>
      <c r="G17394" s="0" t="s">
        <v>49</v>
      </c>
      <c r="H17394" s="5">
        <v>1759.126100</v>
      </c>
    </row>
    <row r="17395" spans="1:9">
      <c r="A17395" s="22" t="str">
        <f>HYPERLINK("https://app.vivvix.com/360/KMI/IntelliDrive/ApplUI/Pages/CreativePages/CustomReportCreativeDetail.aspx?App=23&amp;ReportView=4&amp;Qid=1711279&amp;Row=17387&amp;Col=1","No Title Assigned - #15276741840")</f>
        <v/>
      </c>
      <c r="B17395" s="0" t="s">
        <v>23062</v>
      </c>
      <c r="E17395" s="0" t="inlineStr">
        <is>
          <t xml:space="preserve">Mazda</t>
        </is>
      </c>
      <c r="F17395" s="0" t="s">
        <v>13</v>
      </c>
      <c r="G17395" s="0" t="s">
        <v>49</v>
      </c>
      <c r="H17395" s="5">
        <v>3234.956200</v>
      </c>
    </row>
    <row r="17396" spans="1:9">
      <c r="A17396" s="22" t="str">
        <f>HYPERLINK("https://app.vivvix.com/360/KMI/IntelliDrive/ApplUI/Pages/CreativePages/CustomReportCreativeDetail.aspx?App=23&amp;ReportView=4&amp;Qid=1711279&amp;Row=17388&amp;Col=1","No Title Assigned - #15276742058")</f>
        <v/>
      </c>
      <c r="B17396" s="0" t="s">
        <v>23064</v>
      </c>
      <c r="E17396" s="0" t="inlineStr">
        <is>
          <t xml:space="preserve">Mazda</t>
        </is>
      </c>
      <c r="F17396" s="0" t="s">
        <v>13</v>
      </c>
      <c r="G17396" s="0" t="s">
        <v>49</v>
      </c>
      <c r="H17396" s="5">
        <v>21.117100</v>
      </c>
    </row>
    <row r="17397" spans="1:9">
      <c r="A17397" s="22" t="str">
        <f>HYPERLINK("https://app.vivvix.com/360/KMI/IntelliDrive/ApplUI/Pages/CreativePages/CustomReportCreativeDetail.aspx?App=23&amp;ReportView=4&amp;Qid=1711279&amp;Row=17389&amp;Col=1","No Title Assigned - #15276744327")</f>
        <v/>
      </c>
      <c r="B17397" s="0" t="s">
        <v>23065</v>
      </c>
      <c r="C17397" s="0" t="s">
        <v>23066</v>
      </c>
      <c r="D17397" s="0" t="s">
        <v>8588</v>
      </c>
      <c r="E17397" s="0" t="inlineStr">
        <is>
          <t xml:space="preserve">Mazda</t>
        </is>
      </c>
      <c r="F17397" s="0" t="s">
        <v>13</v>
      </c>
      <c r="G17397" s="0" t="s">
        <v>49</v>
      </c>
      <c r="H17397" s="5">
        <v>170.907000</v>
      </c>
    </row>
    <row r="17398" spans="1:9">
      <c r="A17398" s="22" t="str">
        <f>HYPERLINK("https://app.vivvix.com/360/KMI/IntelliDrive/ApplUI/Pages/CreativePages/CustomReportCreativeDetail.aspx?App=23&amp;ReportView=4&amp;Qid=1711279&amp;Row=17390&amp;Col=1","No Title Assigned - #15276747525")</f>
        <v/>
      </c>
      <c r="B17398" s="0" t="s">
        <v>23067</v>
      </c>
      <c r="C17398" s="0" t="s">
        <v>23068</v>
      </c>
      <c r="D17398" s="0" t="s">
        <v>19730</v>
      </c>
      <c r="E17398" s="0" t="inlineStr">
        <is>
          <t xml:space="preserve">Mazda</t>
        </is>
      </c>
      <c r="F17398" s="0" t="s">
        <v>13</v>
      </c>
      <c r="G17398" s="0" t="s">
        <v>49</v>
      </c>
      <c r="H17398" s="5">
        <v>31.475200</v>
      </c>
    </row>
    <row r="17399" spans="1:9">
      <c r="A17399" s="22" t="str">
        <f>HYPERLINK("https://app.vivvix.com/360/KMI/IntelliDrive/ApplUI/Pages/CreativePages/CustomReportCreativeDetail.aspx?App=23&amp;ReportView=4&amp;Qid=1711279&amp;Row=17391&amp;Col=1","No Title Assigned - #15276748627")</f>
        <v/>
      </c>
      <c r="B17399" s="0" t="s">
        <v>23069</v>
      </c>
      <c r="C17399" s="0" t="s">
        <v>23070</v>
      </c>
      <c r="D17399" s="0" t="s">
        <v>23070</v>
      </c>
      <c r="E17399" s="0" t="inlineStr">
        <is>
          <t xml:space="preserve">Mazda</t>
        </is>
      </c>
      <c r="F17399" s="0" t="s">
        <v>13</v>
      </c>
      <c r="G17399" s="0" t="s">
        <v>49</v>
      </c>
      <c r="H17399" s="5">
        <v>6702.768900</v>
      </c>
    </row>
    <row r="17400" spans="1:9">
      <c r="A17400" s="22" t="str">
        <f>HYPERLINK("https://app.vivvix.com/360/KMI/IntelliDrive/ApplUI/Pages/CreativePages/CustomReportCreativeDetail.aspx?App=23&amp;ReportView=4&amp;Qid=1711279&amp;Row=17392&amp;Col=1","No Title Assigned - #15276748627")</f>
        <v/>
      </c>
      <c r="B17400" s="0" t="s">
        <v>23069</v>
      </c>
      <c r="E17400" s="0" t="inlineStr">
        <is>
          <t xml:space="preserve">Mazda</t>
        </is>
      </c>
      <c r="F17400" s="0" t="s">
        <v>13</v>
      </c>
      <c r="G17400" s="0" t="s">
        <v>49</v>
      </c>
      <c r="H17400" s="5">
        <v>8422.839600</v>
      </c>
    </row>
    <row r="17401" spans="1:9">
      <c r="A17401" s="22" t="str">
        <f>HYPERLINK("https://app.vivvix.com/360/KMI/IntelliDrive/ApplUI/Pages/CreativePages/CustomReportCreativeDetail.aspx?App=23&amp;ReportView=4&amp;Qid=1711279&amp;Row=17393&amp;Col=1","No Title Assigned - #15276749790")</f>
        <v/>
      </c>
      <c r="B17401" s="0" t="s">
        <v>23071</v>
      </c>
      <c r="C17401" s="0" t="s">
        <v>23072</v>
      </c>
      <c r="D17401" s="0" t="s">
        <v>23072</v>
      </c>
      <c r="E17401" s="0" t="inlineStr">
        <is>
          <t xml:space="preserve">Mazda</t>
        </is>
      </c>
      <c r="F17401" s="0" t="s">
        <v>13</v>
      </c>
      <c r="G17401" s="0" t="s">
        <v>49</v>
      </c>
      <c r="H17401" s="5">
        <v>9856.577000</v>
      </c>
    </row>
    <row r="17402" spans="1:9">
      <c r="A17402" s="22" t="str">
        <f>HYPERLINK("https://app.vivvix.com/360/KMI/IntelliDrive/ApplUI/Pages/CreativePages/CustomReportCreativeDetail.aspx?App=23&amp;ReportView=4&amp;Qid=1711279&amp;Row=17394&amp;Col=1","No Title Assigned - #15276751699")</f>
        <v/>
      </c>
      <c r="B17402" s="0" t="s">
        <v>23073</v>
      </c>
      <c r="E17402" s="0" t="inlineStr">
        <is>
          <t xml:space="preserve">Mazda</t>
        </is>
      </c>
      <c r="F17402" s="0" t="s">
        <v>13</v>
      </c>
      <c r="G17402" s="0" t="s">
        <v>49</v>
      </c>
      <c r="H17402" s="5">
        <v>185.785400</v>
      </c>
    </row>
    <row r="17403" spans="1:9">
      <c r="A17403" s="22" t="str">
        <f>HYPERLINK("https://app.vivvix.com/360/KMI/IntelliDrive/ApplUI/Pages/CreativePages/CustomReportCreativeDetail.aspx?App=23&amp;ReportView=4&amp;Qid=1711279&amp;Row=17395&amp;Col=1","No Title Assigned - #15276751699")</f>
        <v/>
      </c>
      <c r="B17403" s="0" t="s">
        <v>23073</v>
      </c>
      <c r="C17403" s="0" t="s">
        <v>23074</v>
      </c>
      <c r="D17403" s="0" t="s">
        <v>23074</v>
      </c>
      <c r="E17403" s="0" t="inlineStr">
        <is>
          <t xml:space="preserve">Mazda</t>
        </is>
      </c>
      <c r="F17403" s="0" t="s">
        <v>13</v>
      </c>
      <c r="G17403" s="0" t="s">
        <v>49</v>
      </c>
      <c r="H17403" s="5">
        <v>17181.867700</v>
      </c>
    </row>
    <row r="17404" spans="1:9">
      <c r="A17404" s="22" t="str">
        <f>HYPERLINK("https://app.vivvix.com/360/KMI/IntelliDrive/ApplUI/Pages/CreativePages/CustomReportCreativeDetail.aspx?App=23&amp;ReportView=4&amp;Qid=1711279&amp;Row=17396&amp;Col=1","No Title Assigned - #15276751700")</f>
        <v/>
      </c>
      <c r="B17404" s="0" t="s">
        <v>23075</v>
      </c>
      <c r="C17404" s="0" t="s">
        <v>23076</v>
      </c>
      <c r="D17404" s="0" t="s">
        <v>23076</v>
      </c>
      <c r="E17404" s="0" t="inlineStr">
        <is>
          <t xml:space="preserve">Mazda</t>
        </is>
      </c>
      <c r="F17404" s="0" t="s">
        <v>13</v>
      </c>
      <c r="G17404" s="0" t="s">
        <v>49</v>
      </c>
      <c r="H17404" s="5">
        <v>13293.391600</v>
      </c>
    </row>
    <row r="17405" spans="1:9">
      <c r="A17405" s="22" t="str">
        <f>HYPERLINK("https://app.vivvix.com/360/KMI/IntelliDrive/ApplUI/Pages/CreativePages/CustomReportCreativeDetail.aspx?App=23&amp;ReportView=4&amp;Qid=1711279&amp;Row=17397&amp;Col=1","No Title Assigned - #15276754070")</f>
        <v/>
      </c>
      <c r="B17405" s="0" t="s">
        <v>23077</v>
      </c>
      <c r="C17405" s="0" t="s">
        <v>23078</v>
      </c>
      <c r="D17405" s="0" t="s">
        <v>23078</v>
      </c>
      <c r="E17405" s="0" t="inlineStr">
        <is>
          <t xml:space="preserve">Mazda</t>
        </is>
      </c>
      <c r="F17405" s="0" t="s">
        <v>13</v>
      </c>
      <c r="G17405" s="0" t="s">
        <v>49</v>
      </c>
      <c r="H17405" s="5">
        <v>82713.123500</v>
      </c>
    </row>
    <row r="17406" spans="1:9">
      <c r="A17406" s="22" t="str">
        <f>HYPERLINK("https://app.vivvix.com/360/KMI/IntelliDrive/ApplUI/Pages/CreativePages/CustomReportCreativeDetail.aspx?App=23&amp;ReportView=4&amp;Qid=1711279&amp;Row=17398&amp;Col=1","No Title Assigned - #15276754575")</f>
        <v/>
      </c>
      <c r="B17406" s="0" t="s">
        <v>23079</v>
      </c>
      <c r="C17406" s="0" t="s">
        <v>23080</v>
      </c>
      <c r="D17406" s="0" t="s">
        <v>23080</v>
      </c>
      <c r="E17406" s="0" t="inlineStr">
        <is>
          <t xml:space="preserve">Mazda</t>
        </is>
      </c>
      <c r="F17406" s="0" t="s">
        <v>13</v>
      </c>
      <c r="G17406" s="0" t="s">
        <v>49</v>
      </c>
      <c r="H17406" s="5">
        <v>5651.059300</v>
      </c>
    </row>
    <row r="17407" spans="1:9">
      <c r="A17407" s="22" t="str">
        <f>HYPERLINK("https://app.vivvix.com/360/KMI/IntelliDrive/ApplUI/Pages/CreativePages/CustomReportCreativeDetail.aspx?App=23&amp;ReportView=4&amp;Qid=1711279&amp;Row=17399&amp;Col=1","No Title Assigned - #15276756115")</f>
        <v/>
      </c>
      <c r="B17407" s="0" t="s">
        <v>23081</v>
      </c>
      <c r="C17407" s="0" t="s">
        <v>23082</v>
      </c>
      <c r="D17407" s="0" t="s">
        <v>23082</v>
      </c>
      <c r="E17407" s="0" t="inlineStr">
        <is>
          <t xml:space="preserve">Mazda</t>
        </is>
      </c>
      <c r="F17407" s="0" t="s">
        <v>13</v>
      </c>
      <c r="G17407" s="0" t="s">
        <v>49</v>
      </c>
      <c r="H17407" s="5">
        <v>159224.745100</v>
      </c>
    </row>
    <row r="17408" spans="1:9">
      <c r="A17408" s="22" t="str">
        <f>HYPERLINK("https://app.vivvix.com/360/KMI/IntelliDrive/ApplUI/Pages/CreativePages/CustomReportCreativeDetail.aspx?App=23&amp;ReportView=4&amp;Qid=1711279&amp;Row=17400&amp;Col=1","No Title Assigned - #15276757519")</f>
        <v/>
      </c>
      <c r="B17408" s="0" t="s">
        <v>23083</v>
      </c>
      <c r="C17408" s="0" t="s">
        <v>23084</v>
      </c>
      <c r="D17408" s="0" t="s">
        <v>23084</v>
      </c>
      <c r="E17408" s="0" t="inlineStr">
        <is>
          <t xml:space="preserve">Mazda</t>
        </is>
      </c>
      <c r="F17408" s="0" t="s">
        <v>13</v>
      </c>
      <c r="G17408" s="0" t="s">
        <v>49</v>
      </c>
      <c r="H17408" s="5">
        <v>1908.128400</v>
      </c>
    </row>
    <row r="17409" spans="1:9">
      <c r="A17409" s="22" t="str">
        <f>HYPERLINK("https://app.vivvix.com/360/KMI/IntelliDrive/ApplUI/Pages/CreativePages/CustomReportCreativeDetail.aspx?App=23&amp;ReportView=4&amp;Qid=1711279&amp;Row=17401&amp;Col=1","No Title Assigned - #15276757657")</f>
        <v/>
      </c>
      <c r="B17409" s="0" t="s">
        <v>23085</v>
      </c>
      <c r="C17409" s="0" t="s">
        <v>23086</v>
      </c>
      <c r="D17409" s="0" t="s">
        <v>23086</v>
      </c>
      <c r="E17409" s="0" t="inlineStr">
        <is>
          <t xml:space="preserve">Mazda</t>
        </is>
      </c>
      <c r="F17409" s="0" t="s">
        <v>13</v>
      </c>
      <c r="G17409" s="0" t="s">
        <v>49</v>
      </c>
      <c r="H17409" s="5">
        <v>375.076500</v>
      </c>
    </row>
    <row r="17410" spans="1:9">
      <c r="A17410" s="22" t="str">
        <f>HYPERLINK("https://app.vivvix.com/360/KMI/IntelliDrive/ApplUI/Pages/CreativePages/CustomReportCreativeDetail.aspx?App=23&amp;ReportView=4&amp;Qid=1711279&amp;Row=17402&amp;Col=1","No Title Assigned - #15276757830")</f>
        <v/>
      </c>
      <c r="B17410" s="0" t="s">
        <v>23087</v>
      </c>
      <c r="C17410" s="0" t="s">
        <v>23088</v>
      </c>
      <c r="D17410" s="0" t="s">
        <v>23088</v>
      </c>
      <c r="E17410" s="0" t="inlineStr">
        <is>
          <t xml:space="preserve">Mazda</t>
        </is>
      </c>
      <c r="F17410" s="0" t="s">
        <v>13</v>
      </c>
      <c r="G17410" s="0" t="s">
        <v>49</v>
      </c>
      <c r="H17410" s="5">
        <v>9.850600</v>
      </c>
    </row>
    <row r="17411" spans="1:9">
      <c r="A17411" s="22" t="str">
        <f>HYPERLINK("https://app.vivvix.com/360/KMI/IntelliDrive/ApplUI/Pages/CreativePages/CustomReportCreativeDetail.aspx?App=23&amp;ReportView=4&amp;Qid=1711279&amp;Row=17403&amp;Col=1","No Title Assigned - #15276757968")</f>
        <v/>
      </c>
      <c r="B17411" s="0" t="s">
        <v>23089</v>
      </c>
      <c r="C17411" s="0" t="s">
        <v>23090</v>
      </c>
      <c r="D17411" s="0" t="s">
        <v>23090</v>
      </c>
      <c r="E17411" s="0" t="inlineStr">
        <is>
          <t xml:space="preserve">Mazda</t>
        </is>
      </c>
      <c r="F17411" s="0" t="s">
        <v>13</v>
      </c>
      <c r="G17411" s="0" t="s">
        <v>49</v>
      </c>
      <c r="H17411" s="5">
        <v>768.586800</v>
      </c>
    </row>
    <row r="17412" spans="1:9">
      <c r="A17412" s="22" t="str">
        <f>HYPERLINK("https://app.vivvix.com/360/KMI/IntelliDrive/ApplUI/Pages/CreativePages/CustomReportCreativeDetail.aspx?App=23&amp;ReportView=4&amp;Qid=1711279&amp;Row=17404&amp;Col=1","No Title Assigned - #15276758684")</f>
        <v/>
      </c>
      <c r="B17412" s="0" t="s">
        <v>23091</v>
      </c>
      <c r="C17412" s="0" t="s">
        <v>23092</v>
      </c>
      <c r="D17412" s="0" t="s">
        <v>23092</v>
      </c>
      <c r="E17412" s="0" t="inlineStr">
        <is>
          <t xml:space="preserve">Mazda</t>
        </is>
      </c>
      <c r="F17412" s="0" t="s">
        <v>13</v>
      </c>
      <c r="G17412" s="0" t="s">
        <v>49</v>
      </c>
      <c r="H17412" s="5">
        <v>7.145600</v>
      </c>
    </row>
    <row r="17413" spans="1:9">
      <c r="A17413" s="22" t="str">
        <f>HYPERLINK("https://app.vivvix.com/360/KMI/IntelliDrive/ApplUI/Pages/CreativePages/CustomReportCreativeDetail.aspx?App=23&amp;ReportView=4&amp;Qid=1711279&amp;Row=17405&amp;Col=1","No Title Assigned - #15276758766")</f>
        <v/>
      </c>
      <c r="B17413" s="0" t="s">
        <v>23093</v>
      </c>
      <c r="C17413" s="0" t="s">
        <v>23094</v>
      </c>
      <c r="D17413" s="0" t="s">
        <v>23094</v>
      </c>
      <c r="E17413" s="0" t="inlineStr">
        <is>
          <t xml:space="preserve">Mazda</t>
        </is>
      </c>
      <c r="F17413" s="0" t="s">
        <v>13</v>
      </c>
      <c r="G17413" s="0" t="s">
        <v>49</v>
      </c>
      <c r="H17413" s="5">
        <v>672.742000</v>
      </c>
    </row>
    <row r="17414" spans="1:9">
      <c r="A17414" s="22" t="str">
        <f>HYPERLINK("https://app.vivvix.com/360/KMI/IntelliDrive/ApplUI/Pages/CreativePages/CustomReportCreativeDetail.aspx?App=23&amp;ReportView=4&amp;Qid=1711279&amp;Row=17406&amp;Col=1","No Title Assigned - #15276758936")</f>
        <v/>
      </c>
      <c r="B17414" s="0" t="s">
        <v>23095</v>
      </c>
      <c r="C17414" s="0" t="s">
        <v>23096</v>
      </c>
      <c r="D17414" s="0" t="s">
        <v>23096</v>
      </c>
      <c r="E17414" s="0" t="inlineStr">
        <is>
          <t xml:space="preserve">Mazda</t>
        </is>
      </c>
      <c r="F17414" s="0" t="s">
        <v>13</v>
      </c>
      <c r="G17414" s="0" t="s">
        <v>49</v>
      </c>
      <c r="H17414" s="5">
        <v>167.182600</v>
      </c>
    </row>
    <row r="17415" spans="1:9">
      <c r="A17415" s="22" t="str">
        <f>HYPERLINK("https://app.vivvix.com/360/KMI/IntelliDrive/ApplUI/Pages/CreativePages/CustomReportCreativeDetail.aspx?App=23&amp;ReportView=4&amp;Qid=1711279&amp;Row=17407&amp;Col=1","No Title Assigned - #15276759866")</f>
        <v/>
      </c>
      <c r="B17415" s="0" t="s">
        <v>23097</v>
      </c>
      <c r="C17415" s="0" t="s">
        <v>23098</v>
      </c>
      <c r="D17415" s="0" t="s">
        <v>23098</v>
      </c>
      <c r="E17415" s="0" t="inlineStr">
        <is>
          <t xml:space="preserve">Mazda</t>
        </is>
      </c>
      <c r="F17415" s="0" t="s">
        <v>13</v>
      </c>
      <c r="G17415" s="0" t="s">
        <v>49</v>
      </c>
      <c r="H17415" s="5">
        <v>640.867400</v>
      </c>
    </row>
    <row r="17416" spans="1:9">
      <c r="A17416" s="22" t="str">
        <f>HYPERLINK("https://app.vivvix.com/360/KMI/IntelliDrive/ApplUI/Pages/CreativePages/CustomReportCreativeDetail.aspx?App=23&amp;ReportView=4&amp;Qid=1711279&amp;Row=17408&amp;Col=1","No Title Assigned - #15276760706")</f>
        <v/>
      </c>
      <c r="B17416" s="0" t="s">
        <v>23099</v>
      </c>
      <c r="C17416" s="0" t="s">
        <v>23100</v>
      </c>
      <c r="D17416" s="0" t="s">
        <v>23100</v>
      </c>
      <c r="E17416" s="0" t="inlineStr">
        <is>
          <t xml:space="preserve">Mazda</t>
        </is>
      </c>
      <c r="F17416" s="0" t="s">
        <v>13</v>
      </c>
      <c r="G17416" s="0" t="s">
        <v>49</v>
      </c>
      <c r="H17416" s="5">
        <v>128.097800</v>
      </c>
    </row>
    <row r="17417" spans="1:9">
      <c r="A17417" s="22" t="str">
        <f>HYPERLINK("https://app.vivvix.com/360/KMI/IntelliDrive/ApplUI/Pages/CreativePages/CustomReportCreativeDetail.aspx?App=23&amp;ReportView=4&amp;Qid=1711279&amp;Row=17409&amp;Col=1","No Title Assigned - #15276760749")</f>
        <v/>
      </c>
      <c r="B17417" s="0" t="s">
        <v>23101</v>
      </c>
      <c r="C17417" s="0" t="s">
        <v>23102</v>
      </c>
      <c r="D17417" s="0" t="s">
        <v>23102</v>
      </c>
      <c r="E17417" s="0" t="inlineStr">
        <is>
          <t xml:space="preserve">Mazda</t>
        </is>
      </c>
      <c r="F17417" s="0" t="s">
        <v>13</v>
      </c>
      <c r="G17417" s="0" t="s">
        <v>49</v>
      </c>
      <c r="H17417" s="5">
        <v>3053.378900</v>
      </c>
    </row>
    <row r="17418" spans="1:9">
      <c r="A17418" s="22" t="str">
        <f>HYPERLINK("https://app.vivvix.com/360/KMI/IntelliDrive/ApplUI/Pages/CreativePages/CustomReportCreativeDetail.aspx?App=23&amp;ReportView=4&amp;Qid=1711279&amp;Row=17410&amp;Col=1","No Title Assigned - #15276761086")</f>
        <v/>
      </c>
      <c r="B17418" s="0" t="s">
        <v>23103</v>
      </c>
      <c r="C17418" s="0" t="s">
        <v>23104</v>
      </c>
      <c r="D17418" s="0" t="s">
        <v>23104</v>
      </c>
      <c r="E17418" s="0" t="inlineStr">
        <is>
          <t xml:space="preserve">Mazda</t>
        </is>
      </c>
      <c r="F17418" s="0" t="s">
        <v>13</v>
      </c>
      <c r="G17418" s="0" t="s">
        <v>49</v>
      </c>
      <c r="H17418" s="5">
        <v>63205.851100</v>
      </c>
    </row>
    <row r="17419" spans="1:9">
      <c r="A17419" s="22" t="str">
        <f>HYPERLINK("https://app.vivvix.com/360/KMI/IntelliDrive/ApplUI/Pages/CreativePages/CustomReportCreativeDetail.aspx?App=23&amp;ReportView=4&amp;Qid=1711279&amp;Row=17411&amp;Col=1","No Title Assigned - #15276761229")</f>
        <v/>
      </c>
      <c r="B17419" s="0" t="s">
        <v>23105</v>
      </c>
      <c r="C17419" s="0" t="s">
        <v>23106</v>
      </c>
      <c r="D17419" s="0" t="s">
        <v>23106</v>
      </c>
      <c r="E17419" s="0" t="inlineStr">
        <is>
          <t xml:space="preserve">Mazda</t>
        </is>
      </c>
      <c r="F17419" s="0" t="s">
        <v>13</v>
      </c>
      <c r="G17419" s="0" t="s">
        <v>49</v>
      </c>
      <c r="H17419" s="5">
        <v>721720.042500</v>
      </c>
    </row>
    <row r="17420" spans="1:9">
      <c r="A17420" s="22" t="str">
        <f>HYPERLINK("https://app.vivvix.com/360/KMI/IntelliDrive/ApplUI/Pages/CreativePages/CustomReportCreativeDetail.aspx?App=23&amp;ReportView=4&amp;Qid=1711279&amp;Row=17412&amp;Col=1","No Title Assigned - #15276761468")</f>
        <v/>
      </c>
      <c r="B17420" s="0" t="s">
        <v>23107</v>
      </c>
      <c r="C17420" s="0" t="s">
        <v>23108</v>
      </c>
      <c r="D17420" s="0" t="s">
        <v>23108</v>
      </c>
      <c r="E17420" s="0" t="inlineStr">
        <is>
          <t xml:space="preserve">Mazda</t>
        </is>
      </c>
      <c r="F17420" s="0" t="s">
        <v>13</v>
      </c>
      <c r="G17420" s="0" t="s">
        <v>49</v>
      </c>
      <c r="H17420" s="5">
        <v>766.345300</v>
      </c>
    </row>
    <row r="17421" spans="1:9">
      <c r="A17421" s="22" t="str">
        <f>HYPERLINK("https://app.vivvix.com/360/KMI/IntelliDrive/ApplUI/Pages/CreativePages/CustomReportCreativeDetail.aspx?App=23&amp;ReportView=4&amp;Qid=1711279&amp;Row=17413&amp;Col=1","No Title Assigned - #15276761867")</f>
        <v/>
      </c>
      <c r="B17421" s="0" t="s">
        <v>23109</v>
      </c>
      <c r="C17421" s="0" t="s">
        <v>23110</v>
      </c>
      <c r="D17421" s="0" t="s">
        <v>12373</v>
      </c>
      <c r="E17421" s="0" t="inlineStr">
        <is>
          <t xml:space="preserve">Mazda</t>
        </is>
      </c>
      <c r="F17421" s="0" t="s">
        <v>13</v>
      </c>
      <c r="G17421" s="0" t="s">
        <v>49</v>
      </c>
      <c r="H17421" s="5">
        <v>1275.679800</v>
      </c>
    </row>
    <row r="17422" spans="1:9">
      <c r="A17422" s="22" t="str">
        <f>HYPERLINK("https://app.vivvix.com/360/KMI/IntelliDrive/ApplUI/Pages/CreativePages/CustomReportCreativeDetail.aspx?App=23&amp;ReportView=4&amp;Qid=1711279&amp;Row=17414&amp;Col=1","No Title Assigned - #15276762204")</f>
        <v/>
      </c>
      <c r="B17422" s="0" t="s">
        <v>23111</v>
      </c>
      <c r="C17422" s="0" t="s">
        <v>23112</v>
      </c>
      <c r="D17422" s="0" t="s">
        <v>23112</v>
      </c>
      <c r="E17422" s="0" t="inlineStr">
        <is>
          <t xml:space="preserve">Mazda</t>
        </is>
      </c>
      <c r="F17422" s="0" t="s">
        <v>13</v>
      </c>
      <c r="G17422" s="0" t="s">
        <v>49</v>
      </c>
      <c r="H17422" s="5">
        <v>24.290100</v>
      </c>
    </row>
    <row r="17423" spans="1:9">
      <c r="A17423" s="22" t="str">
        <f>HYPERLINK("https://app.vivvix.com/360/KMI/IntelliDrive/ApplUI/Pages/CreativePages/CustomReportCreativeDetail.aspx?App=23&amp;ReportView=4&amp;Qid=1711279&amp;Row=17415&amp;Col=1","No Title Assigned - #15276763668")</f>
        <v/>
      </c>
      <c r="B17423" s="0" t="s">
        <v>23113</v>
      </c>
      <c r="C17423" s="0" t="s">
        <v>23114</v>
      </c>
      <c r="D17423" s="0" t="s">
        <v>23114</v>
      </c>
      <c r="E17423" s="0" t="inlineStr">
        <is>
          <t xml:space="preserve">Mazda</t>
        </is>
      </c>
      <c r="F17423" s="0" t="s">
        <v>13</v>
      </c>
      <c r="G17423" s="0" t="s">
        <v>49</v>
      </c>
      <c r="H17423" s="5">
        <v>39450.132600</v>
      </c>
    </row>
    <row r="17424" spans="1:9">
      <c r="A17424" s="22" t="str">
        <f>HYPERLINK("https://app.vivvix.com/360/KMI/IntelliDrive/ApplUI/Pages/CreativePages/CustomReportCreativeDetail.aspx?App=23&amp;ReportView=4&amp;Qid=1711279&amp;Row=17416&amp;Col=1","No Title Assigned - #15276763727")</f>
        <v/>
      </c>
      <c r="B17424" s="0" t="s">
        <v>23115</v>
      </c>
      <c r="C17424" s="0" t="s">
        <v>23116</v>
      </c>
      <c r="D17424" s="0" t="s">
        <v>23116</v>
      </c>
      <c r="E17424" s="0" t="inlineStr">
        <is>
          <t xml:space="preserve">Mazda</t>
        </is>
      </c>
      <c r="F17424" s="0" t="inlineStr">
        <is>
          <t xml:space="preserve">Mazda</t>
        </is>
      </c>
      <c r="G17424" s="0" t="s">
        <v>210</v>
      </c>
      <c r="H17424" s="5">
        <v>631.878800</v>
      </c>
    </row>
    <row r="17425" spans="1:9">
      <c r="A17425" s="22" t="str">
        <f>HYPERLINK("https://app.vivvix.com/360/KMI/IntelliDrive/ApplUI/Pages/CreativePages/CustomReportCreativeDetail.aspx?App=23&amp;ReportView=4&amp;Qid=1711279&amp;Row=17417&amp;Col=1","No Title Assigned - #15276763971")</f>
        <v/>
      </c>
      <c r="B17425" s="0" t="s">
        <v>23117</v>
      </c>
      <c r="C17425" s="0" t="s">
        <v>23118</v>
      </c>
      <c r="D17425" s="0" t="s">
        <v>23118</v>
      </c>
      <c r="E17425" s="0" t="inlineStr">
        <is>
          <t xml:space="preserve">Mazda</t>
        </is>
      </c>
      <c r="F17425" s="0" t="s">
        <v>13</v>
      </c>
      <c r="G17425" s="0" t="s">
        <v>49</v>
      </c>
      <c r="H17425" s="5">
        <v>18501.501300</v>
      </c>
    </row>
    <row r="17426" spans="1:9">
      <c r="A17426" s="22" t="str">
        <f>HYPERLINK("https://app.vivvix.com/360/KMI/IntelliDrive/ApplUI/Pages/CreativePages/CustomReportCreativeDetail.aspx?App=23&amp;ReportView=4&amp;Qid=1711279&amp;Row=17418&amp;Col=1","No Title Assigned - #15276764325")</f>
        <v/>
      </c>
      <c r="B17426" s="0" t="s">
        <v>23119</v>
      </c>
      <c r="C17426" s="0" t="s">
        <v>23120</v>
      </c>
      <c r="D17426" s="0" t="s">
        <v>23120</v>
      </c>
      <c r="E17426" s="0" t="inlineStr">
        <is>
          <t xml:space="preserve">Mazda</t>
        </is>
      </c>
      <c r="F17426" s="0" t="s">
        <v>13</v>
      </c>
      <c r="G17426" s="0" t="s">
        <v>49</v>
      </c>
      <c r="H17426" s="5">
        <v>41743.086600</v>
      </c>
    </row>
    <row r="17427" spans="1:9">
      <c r="A17427" s="22" t="str">
        <f>HYPERLINK("https://app.vivvix.com/360/KMI/IntelliDrive/ApplUI/Pages/CreativePages/CustomReportCreativeDetail.aspx?App=23&amp;ReportView=4&amp;Qid=1711279&amp;Row=17419&amp;Col=1","No Title Assigned - #15276764740")</f>
        <v/>
      </c>
      <c r="B17427" s="0" t="s">
        <v>23121</v>
      </c>
      <c r="C17427" s="0" t="s">
        <v>23122</v>
      </c>
      <c r="D17427" s="0" t="s">
        <v>23122</v>
      </c>
      <c r="E17427" s="0" t="inlineStr">
        <is>
          <t xml:space="preserve">Mazda</t>
        </is>
      </c>
      <c r="F17427" s="0" t="s">
        <v>13</v>
      </c>
      <c r="G17427" s="0" t="s">
        <v>49</v>
      </c>
      <c r="H17427" s="5">
        <v>93576.709200</v>
      </c>
    </row>
    <row r="17428" spans="1:9">
      <c r="A17428" s="22" t="str">
        <f>HYPERLINK("https://app.vivvix.com/360/KMI/IntelliDrive/ApplUI/Pages/CreativePages/CustomReportCreativeDetail.aspx?App=23&amp;ReportView=4&amp;Qid=1711279&amp;Row=17420&amp;Col=1","No Title Assigned - #15276765061")</f>
        <v/>
      </c>
      <c r="B17428" s="0" t="s">
        <v>23123</v>
      </c>
      <c r="C17428" s="0" t="s">
        <v>23124</v>
      </c>
      <c r="D17428" s="0" t="s">
        <v>23124</v>
      </c>
      <c r="E17428" s="0" t="inlineStr">
        <is>
          <t xml:space="preserve">Mazda</t>
        </is>
      </c>
      <c r="F17428" s="0" t="s">
        <v>13</v>
      </c>
      <c r="G17428" s="0" t="s">
        <v>49</v>
      </c>
      <c r="H17428" s="5">
        <v>13992.106200</v>
      </c>
    </row>
    <row r="17429" spans="1:9">
      <c r="A17429" s="22" t="str">
        <f>HYPERLINK("https://app.vivvix.com/360/KMI/IntelliDrive/ApplUI/Pages/CreativePages/CustomReportCreativeDetail.aspx?App=23&amp;ReportView=4&amp;Qid=1711279&amp;Row=17421&amp;Col=1","No Title Assigned - #15276765138")</f>
        <v/>
      </c>
      <c r="B17429" s="0" t="s">
        <v>23125</v>
      </c>
      <c r="C17429" s="0" t="s">
        <v>23126</v>
      </c>
      <c r="D17429" s="0" t="s">
        <v>23126</v>
      </c>
      <c r="E17429" s="0" t="inlineStr">
        <is>
          <t xml:space="preserve">Mazda</t>
        </is>
      </c>
      <c r="F17429" s="0" t="s">
        <v>13</v>
      </c>
      <c r="G17429" s="0" t="s">
        <v>49</v>
      </c>
      <c r="H17429" s="5">
        <v>2739.936100</v>
      </c>
    </row>
    <row r="17430" spans="1:9">
      <c r="A17430" s="22" t="str">
        <f>HYPERLINK("https://app.vivvix.com/360/KMI/IntelliDrive/ApplUI/Pages/CreativePages/CustomReportCreativeDetail.aspx?App=23&amp;ReportView=4&amp;Qid=1711279&amp;Row=17422&amp;Col=1","No Title Assigned - #15276766441")</f>
        <v/>
      </c>
      <c r="B17430" s="0" t="s">
        <v>23127</v>
      </c>
      <c r="C17430" s="0" t="s">
        <v>23128</v>
      </c>
      <c r="D17430" s="0" t="s">
        <v>23128</v>
      </c>
      <c r="E17430" s="0" t="inlineStr">
        <is>
          <t xml:space="preserve">Mazda</t>
        </is>
      </c>
      <c r="F17430" s="0" t="s">
        <v>13</v>
      </c>
      <c r="G17430" s="0" t="s">
        <v>49</v>
      </c>
      <c r="H17430" s="5">
        <v>189842.254800</v>
      </c>
    </row>
    <row r="17431" spans="1:9">
      <c r="A17431" s="22" t="str">
        <f>HYPERLINK("https://app.vivvix.com/360/KMI/IntelliDrive/ApplUI/Pages/CreativePages/CustomReportCreativeDetail.aspx?App=23&amp;ReportView=4&amp;Qid=1711279&amp;Row=17423&amp;Col=1","No Title Assigned - #15276766521")</f>
        <v/>
      </c>
      <c r="B17431" s="0" t="s">
        <v>23129</v>
      </c>
      <c r="C17431" s="0" t="s">
        <v>23130</v>
      </c>
      <c r="D17431" s="0" t="s">
        <v>23130</v>
      </c>
      <c r="E17431" s="0" t="inlineStr">
        <is>
          <t xml:space="preserve">Mazda</t>
        </is>
      </c>
      <c r="F17431" s="0" t="s">
        <v>13</v>
      </c>
      <c r="G17431" s="0" t="s">
        <v>49</v>
      </c>
      <c r="H17431" s="5">
        <v>1071.136800</v>
      </c>
    </row>
    <row r="17432" spans="1:9">
      <c r="A17432" s="22" t="str">
        <f>HYPERLINK("https://app.vivvix.com/360/KMI/IntelliDrive/ApplUI/Pages/CreativePages/CustomReportCreativeDetail.aspx?App=23&amp;ReportView=4&amp;Qid=1711279&amp;Row=17424&amp;Col=1","No Title Assigned - #15276766623")</f>
        <v/>
      </c>
      <c r="B17432" s="0" t="s">
        <v>23131</v>
      </c>
      <c r="C17432" s="0" t="s">
        <v>23132</v>
      </c>
      <c r="D17432" s="0" t="s">
        <v>23132</v>
      </c>
      <c r="E17432" s="0" t="inlineStr">
        <is>
          <t xml:space="preserve">Mazda</t>
        </is>
      </c>
      <c r="F17432" s="0" t="s">
        <v>13</v>
      </c>
      <c r="G17432" s="0" t="s">
        <v>49</v>
      </c>
      <c r="H17432" s="5">
        <v>21111.374800</v>
      </c>
    </row>
    <row r="17433" spans="1:9">
      <c r="A17433" s="22" t="str">
        <f>HYPERLINK("https://app.vivvix.com/360/KMI/IntelliDrive/ApplUI/Pages/CreativePages/CustomReportCreativeDetail.aspx?App=23&amp;ReportView=4&amp;Qid=1711279&amp;Row=17425&amp;Col=1","No Title Assigned - #15276766875")</f>
        <v/>
      </c>
      <c r="B17433" s="0" t="s">
        <v>23133</v>
      </c>
      <c r="C17433" s="0" t="s">
        <v>23134</v>
      </c>
      <c r="D17433" s="0" t="s">
        <v>23134</v>
      </c>
      <c r="E17433" s="0" t="inlineStr">
        <is>
          <t xml:space="preserve">Mazda</t>
        </is>
      </c>
      <c r="F17433" s="0" t="inlineStr">
        <is>
          <t xml:space="preserve">Mazda</t>
        </is>
      </c>
      <c r="G17433" s="0" t="s">
        <v>171</v>
      </c>
      <c r="H17433" s="5">
        <v>1364.979300</v>
      </c>
    </row>
    <row r="17434" spans="1:9">
      <c r="A17434" s="22" t="str">
        <f>HYPERLINK("https://app.vivvix.com/360/KMI/IntelliDrive/ApplUI/Pages/CreativePages/CustomReportCreativeDetail.aspx?App=23&amp;ReportView=4&amp;Qid=1711279&amp;Row=17426&amp;Col=1","No Title Assigned - #15276766875")</f>
        <v/>
      </c>
      <c r="B17434" s="0" t="s">
        <v>23133</v>
      </c>
      <c r="E17434" s="0" t="inlineStr">
        <is>
          <t xml:space="preserve">Mazda</t>
        </is>
      </c>
      <c r="F17434" s="0" t="inlineStr">
        <is>
          <t xml:space="preserve">Mazda</t>
        </is>
      </c>
      <c r="G17434" s="0" t="s">
        <v>171</v>
      </c>
      <c r="H17434" s="5">
        <v>2618.171700</v>
      </c>
    </row>
    <row r="17435" spans="1:9">
      <c r="A17435" s="22" t="str">
        <f>HYPERLINK("https://app.vivvix.com/360/KMI/IntelliDrive/ApplUI/Pages/CreativePages/CustomReportCreativeDetail.aspx?App=23&amp;ReportView=4&amp;Qid=1711279&amp;Row=17427&amp;Col=1","No Title Assigned - #15276766888")</f>
        <v/>
      </c>
      <c r="B17435" s="0" t="s">
        <v>23135</v>
      </c>
      <c r="E17435" s="0" t="inlineStr">
        <is>
          <t xml:space="preserve">Mazda</t>
        </is>
      </c>
      <c r="F17435" s="0" t="inlineStr">
        <is>
          <t xml:space="preserve">Mazda</t>
        </is>
      </c>
      <c r="G17435" s="0" t="s">
        <v>171</v>
      </c>
      <c r="H17435" s="5">
        <v>844.088500</v>
      </c>
    </row>
    <row r="17436" spans="1:9">
      <c r="A17436" s="22" t="str">
        <f>HYPERLINK("https://app.vivvix.com/360/KMI/IntelliDrive/ApplUI/Pages/CreativePages/CustomReportCreativeDetail.aspx?App=23&amp;ReportView=4&amp;Qid=1711279&amp;Row=17428&amp;Col=1","No Title Assigned - #15276767000")</f>
        <v/>
      </c>
      <c r="B17436" s="0" t="s">
        <v>23136</v>
      </c>
      <c r="E17436" s="0" t="inlineStr">
        <is>
          <t xml:space="preserve">Mazda</t>
        </is>
      </c>
      <c r="F17436" s="0" t="inlineStr">
        <is>
          <t xml:space="preserve">Mazda</t>
        </is>
      </c>
      <c r="G17436" s="0" t="s">
        <v>171</v>
      </c>
      <c r="H17436" s="5">
        <v>14214.622000</v>
      </c>
    </row>
    <row r="17437" spans="1:9">
      <c r="A17437" s="22" t="str">
        <f>HYPERLINK("https://app.vivvix.com/360/KMI/IntelliDrive/ApplUI/Pages/CreativePages/CustomReportCreativeDetail.aspx?App=23&amp;ReportView=4&amp;Qid=1711279&amp;Row=17429&amp;Col=1","No Title Assigned - #15276767050")</f>
        <v/>
      </c>
      <c r="B17437" s="0" t="s">
        <v>23137</v>
      </c>
      <c r="E17437" s="0" t="inlineStr">
        <is>
          <t xml:space="preserve">Mazda</t>
        </is>
      </c>
      <c r="F17437" s="0" t="inlineStr">
        <is>
          <t xml:space="preserve">Mazda</t>
        </is>
      </c>
      <c r="G17437" s="0" t="s">
        <v>171</v>
      </c>
      <c r="H17437" s="5">
        <v>214299.867700</v>
      </c>
    </row>
    <row r="17438" spans="1:9">
      <c r="A17438" s="22" t="str">
        <f>HYPERLINK("https://app.vivvix.com/360/KMI/IntelliDrive/ApplUI/Pages/CreativePages/CustomReportCreativeDetail.aspx?App=23&amp;ReportView=4&amp;Qid=1711279&amp;Row=17430&amp;Col=1","No Title Assigned - #15276767155")</f>
        <v/>
      </c>
      <c r="B17438" s="0" t="s">
        <v>23138</v>
      </c>
      <c r="E17438" s="0" t="inlineStr">
        <is>
          <t xml:space="preserve">Mazda</t>
        </is>
      </c>
      <c r="F17438" s="0" t="inlineStr">
        <is>
          <t xml:space="preserve">Mazda</t>
        </is>
      </c>
      <c r="G17438" s="0" t="s">
        <v>171</v>
      </c>
      <c r="H17438" s="5">
        <v>42316.771100</v>
      </c>
    </row>
    <row r="17439" spans="1:9">
      <c r="A17439" s="22" t="str">
        <f>HYPERLINK("https://app.vivvix.com/360/KMI/IntelliDrive/ApplUI/Pages/CreativePages/CustomReportCreativeDetail.aspx?App=23&amp;ReportView=4&amp;Qid=1711279&amp;Row=17431&amp;Col=1","No Title Assigned - #15276767605")</f>
        <v/>
      </c>
      <c r="B17439" s="0" t="s">
        <v>23139</v>
      </c>
      <c r="E17439" s="0" t="inlineStr">
        <is>
          <t xml:space="preserve">Mazda</t>
        </is>
      </c>
      <c r="F17439" s="0" t="inlineStr">
        <is>
          <t xml:space="preserve">Mazda</t>
        </is>
      </c>
      <c r="G17439" s="0" t="s">
        <v>171</v>
      </c>
      <c r="H17439" s="5">
        <v>16795.717900</v>
      </c>
    </row>
    <row r="17440" spans="1:9">
      <c r="A17440" s="22" t="str">
        <f>HYPERLINK("https://app.vivvix.com/360/KMI/IntelliDrive/ApplUI/Pages/CreativePages/CustomReportCreativeDetail.aspx?App=23&amp;ReportView=4&amp;Qid=1711279&amp;Row=17432&amp;Col=1","No Title Assigned - #15276768064")</f>
        <v/>
      </c>
      <c r="B17440" s="0" t="s">
        <v>23140</v>
      </c>
      <c r="C17440" s="0" t="s">
        <v>23141</v>
      </c>
      <c r="D17440" s="0" t="s">
        <v>23141</v>
      </c>
      <c r="E17440" s="0" t="inlineStr">
        <is>
          <t xml:space="preserve">Mazda</t>
        </is>
      </c>
      <c r="F17440" s="0" t="s">
        <v>13</v>
      </c>
      <c r="G17440" s="0" t="s">
        <v>49</v>
      </c>
      <c r="H17440" s="5">
        <v>1397.742800</v>
      </c>
    </row>
    <row r="17441" spans="1:9">
      <c r="A17441" s="22" t="str">
        <f>HYPERLINK("https://app.vivvix.com/360/KMI/IntelliDrive/ApplUI/Pages/CreativePages/CustomReportCreativeDetail.aspx?App=23&amp;ReportView=4&amp;Qid=1711279&amp;Row=17433&amp;Col=1","No Title Assigned - #15276768137")</f>
        <v/>
      </c>
      <c r="B17441" s="0" t="s">
        <v>23142</v>
      </c>
      <c r="C17441" s="0" t="s">
        <v>23143</v>
      </c>
      <c r="D17441" s="0" t="s">
        <v>23143</v>
      </c>
      <c r="E17441" s="0" t="inlineStr">
        <is>
          <t xml:space="preserve">Mazda</t>
        </is>
      </c>
      <c r="F17441" s="0" t="s">
        <v>13</v>
      </c>
      <c r="G17441" s="0" t="s">
        <v>49</v>
      </c>
      <c r="H17441" s="5">
        <v>60.316300</v>
      </c>
    </row>
    <row r="17442" spans="1:9">
      <c r="A17442" s="22" t="str">
        <f>HYPERLINK("https://app.vivvix.com/360/KMI/IntelliDrive/ApplUI/Pages/CreativePages/CustomReportCreativeDetail.aspx?App=23&amp;ReportView=4&amp;Qid=1711279&amp;Row=17434&amp;Col=1","No Title Assigned - #15276768378")</f>
        <v/>
      </c>
      <c r="B17442" s="0" t="s">
        <v>23144</v>
      </c>
      <c r="C17442" s="0" t="s">
        <v>23145</v>
      </c>
      <c r="D17442" s="0" t="s">
        <v>23145</v>
      </c>
      <c r="E17442" s="0" t="inlineStr">
        <is>
          <t xml:space="preserve">Mazda</t>
        </is>
      </c>
      <c r="F17442" s="0" t="s">
        <v>13</v>
      </c>
      <c r="G17442" s="0" t="s">
        <v>49</v>
      </c>
      <c r="H17442" s="5">
        <v>4311.752400</v>
      </c>
    </row>
    <row r="17443" spans="1:9">
      <c r="A17443" s="22" t="str">
        <f>HYPERLINK("https://app.vivvix.com/360/KMI/IntelliDrive/ApplUI/Pages/CreativePages/CustomReportCreativeDetail.aspx?App=23&amp;ReportView=4&amp;Qid=1711279&amp;Row=17435&amp;Col=1","No Title Assigned - #15276768513")</f>
        <v/>
      </c>
      <c r="B17443" s="0" t="s">
        <v>23146</v>
      </c>
      <c r="C17443" s="0" t="s">
        <v>23147</v>
      </c>
      <c r="D17443" s="0" t="s">
        <v>23147</v>
      </c>
      <c r="E17443" s="0" t="inlineStr">
        <is>
          <t xml:space="preserve">Mazda</t>
        </is>
      </c>
      <c r="F17443" s="0" t="s">
        <v>13</v>
      </c>
      <c r="G17443" s="0" t="s">
        <v>49</v>
      </c>
      <c r="H17443" s="5">
        <v>1587.834000</v>
      </c>
    </row>
    <row r="17444" spans="1:9">
      <c r="A17444" s="22" t="str">
        <f>HYPERLINK("https://app.vivvix.com/360/KMI/IntelliDrive/ApplUI/Pages/CreativePages/CustomReportCreativeDetail.aspx?App=23&amp;ReportView=4&amp;Qid=1711279&amp;Row=17436&amp;Col=1","No Title Assigned - #15276768523")</f>
        <v/>
      </c>
      <c r="B17444" s="0" t="s">
        <v>23148</v>
      </c>
      <c r="C17444" s="0" t="s">
        <v>23149</v>
      </c>
      <c r="D17444" s="0" t="s">
        <v>23149</v>
      </c>
      <c r="E17444" s="0" t="inlineStr">
        <is>
          <t xml:space="preserve">Mazda</t>
        </is>
      </c>
      <c r="F17444" s="0" t="s">
        <v>13</v>
      </c>
      <c r="G17444" s="0" t="s">
        <v>49</v>
      </c>
      <c r="H17444" s="5">
        <v>2018.226000</v>
      </c>
    </row>
    <row r="17445" spans="1:9">
      <c r="A17445" s="22" t="str">
        <f>HYPERLINK("https://app.vivvix.com/360/KMI/IntelliDrive/ApplUI/Pages/CreativePages/CustomReportCreativeDetail.aspx?App=23&amp;ReportView=4&amp;Qid=1711279&amp;Row=17437&amp;Col=1","No Title Assigned - #15276768703")</f>
        <v/>
      </c>
      <c r="B17445" s="0" t="s">
        <v>23150</v>
      </c>
      <c r="C17445" s="0" t="s">
        <v>23151</v>
      </c>
      <c r="D17445" s="0" t="s">
        <v>22485</v>
      </c>
      <c r="E17445" s="0" t="inlineStr">
        <is>
          <t xml:space="preserve">Mazda</t>
        </is>
      </c>
      <c r="F17445" s="0" t="s">
        <v>13</v>
      </c>
      <c r="G17445" s="0" t="s">
        <v>49</v>
      </c>
      <c r="H17445" s="5">
        <v>160.539900</v>
      </c>
    </row>
    <row r="17446" spans="1:9">
      <c r="A17446" s="22" t="str">
        <f>HYPERLINK("https://app.vivvix.com/360/KMI/IntelliDrive/ApplUI/Pages/CreativePages/CustomReportCreativeDetail.aspx?App=23&amp;ReportView=4&amp;Qid=1711279&amp;Row=17438&amp;Col=1","No Title Assigned - #15276770150")</f>
        <v/>
      </c>
      <c r="B17446" s="0" t="s">
        <v>23152</v>
      </c>
      <c r="C17446" s="0" t="s">
        <v>23153</v>
      </c>
      <c r="D17446" s="0" t="s">
        <v>23153</v>
      </c>
      <c r="E17446" s="0" t="inlineStr">
        <is>
          <t xml:space="preserve">Mazda</t>
        </is>
      </c>
      <c r="F17446" s="0" t="s">
        <v>13</v>
      </c>
      <c r="G17446" s="0" t="s">
        <v>49</v>
      </c>
      <c r="H17446" s="5">
        <v>1501.385700</v>
      </c>
    </row>
    <row r="17447" spans="1:9">
      <c r="A17447" s="22" t="str">
        <f>HYPERLINK("https://app.vivvix.com/360/KMI/IntelliDrive/ApplUI/Pages/CreativePages/CustomReportCreativeDetail.aspx?App=23&amp;ReportView=4&amp;Qid=1711279&amp;Row=17439&amp;Col=1","No Title Assigned - #15276770314")</f>
        <v/>
      </c>
      <c r="B17447" s="0" t="s">
        <v>23154</v>
      </c>
      <c r="C17447" s="0" t="s">
        <v>23155</v>
      </c>
      <c r="D17447" s="0" t="s">
        <v>11639</v>
      </c>
      <c r="E17447" s="0" t="inlineStr">
        <is>
          <t xml:space="preserve">Mazda</t>
        </is>
      </c>
      <c r="F17447" s="0" t="s">
        <v>13</v>
      </c>
      <c r="G17447" s="0" t="s">
        <v>49</v>
      </c>
      <c r="H17447" s="5">
        <v>185.127900</v>
      </c>
    </row>
    <row r="17448" spans="1:9">
      <c r="A17448" s="22" t="str">
        <f>HYPERLINK("https://app.vivvix.com/360/KMI/IntelliDrive/ApplUI/Pages/CreativePages/CustomReportCreativeDetail.aspx?App=23&amp;ReportView=4&amp;Qid=1711279&amp;Row=17440&amp;Col=1","No Title Assigned - #15276771530")</f>
        <v/>
      </c>
      <c r="B17448" s="0" t="s">
        <v>23156</v>
      </c>
      <c r="E17448" s="0" t="inlineStr">
        <is>
          <t xml:space="preserve">Mazda</t>
        </is>
      </c>
      <c r="F17448" s="0" t="s">
        <v>204</v>
      </c>
      <c r="G17448" s="0" t="s">
        <v>205</v>
      </c>
      <c r="H17448" s="5">
        <v>558.701500</v>
      </c>
    </row>
    <row r="17449" spans="1:9">
      <c r="A17449" s="22" t="str">
        <f>HYPERLINK("https://app.vivvix.com/360/KMI/IntelliDrive/ApplUI/Pages/CreativePages/CustomReportCreativeDetail.aspx?App=23&amp;ReportView=4&amp;Qid=1711279&amp;Row=17441&amp;Col=1","No Title Assigned - #15276771557")</f>
        <v/>
      </c>
      <c r="B17449" s="0" t="s">
        <v>23157</v>
      </c>
      <c r="E17449" s="0" t="inlineStr">
        <is>
          <t xml:space="preserve">Mazda</t>
        </is>
      </c>
      <c r="F17449" s="0" t="inlineStr">
        <is>
          <t xml:space="preserve">Mazda</t>
        </is>
      </c>
      <c r="G17449" s="0" t="s">
        <v>171</v>
      </c>
      <c r="H17449" s="5">
        <v>2914.888500</v>
      </c>
    </row>
    <row r="17450" spans="1:9">
      <c r="A17450" s="22" t="str">
        <f>HYPERLINK("https://app.vivvix.com/360/KMI/IntelliDrive/ApplUI/Pages/CreativePages/CustomReportCreativeDetail.aspx?App=23&amp;ReportView=4&amp;Qid=1711279&amp;Row=17442&amp;Col=1","No Title Assigned - #15276771675")</f>
        <v/>
      </c>
      <c r="B17450" s="0" t="s">
        <v>23158</v>
      </c>
      <c r="E17450" s="0" t="inlineStr">
        <is>
          <t xml:space="preserve">Mazda</t>
        </is>
      </c>
      <c r="F17450" s="0" t="inlineStr">
        <is>
          <t xml:space="preserve">Mazda</t>
        </is>
      </c>
      <c r="G17450" s="0" t="s">
        <v>171</v>
      </c>
      <c r="H17450" s="5">
        <v>696.222600</v>
      </c>
    </row>
    <row r="17451" spans="1:9">
      <c r="A17451" s="22" t="str">
        <f>HYPERLINK("https://app.vivvix.com/360/KMI/IntelliDrive/ApplUI/Pages/CreativePages/CustomReportCreativeDetail.aspx?App=23&amp;ReportView=4&amp;Qid=1711279&amp;Row=17443&amp;Col=1","No Title Assigned - #15276771714")</f>
        <v/>
      </c>
      <c r="B17451" s="0" t="s">
        <v>23159</v>
      </c>
      <c r="E17451" s="0" t="inlineStr">
        <is>
          <t xml:space="preserve">Mazda</t>
        </is>
      </c>
      <c r="F17451" s="0" t="inlineStr">
        <is>
          <t xml:space="preserve">Mazda</t>
        </is>
      </c>
      <c r="G17451" s="0" t="s">
        <v>171</v>
      </c>
      <c r="H17451" s="5">
        <v>5588.084000</v>
      </c>
    </row>
    <row r="17452" spans="1:9">
      <c r="A17452" s="22" t="str">
        <f>HYPERLINK("https://app.vivvix.com/360/KMI/IntelliDrive/ApplUI/Pages/CreativePages/CustomReportCreativeDetail.aspx?App=23&amp;ReportView=4&amp;Qid=1711279&amp;Row=17444&amp;Col=1","No Title Assigned - #15276771716")</f>
        <v/>
      </c>
      <c r="B17452" s="0" t="s">
        <v>23160</v>
      </c>
      <c r="E17452" s="0" t="inlineStr">
        <is>
          <t xml:space="preserve">Mazda</t>
        </is>
      </c>
      <c r="F17452" s="0" t="inlineStr">
        <is>
          <t xml:space="preserve">Mazda</t>
        </is>
      </c>
      <c r="G17452" s="0" t="s">
        <v>171</v>
      </c>
      <c r="H17452" s="5">
        <v>208.129600</v>
      </c>
    </row>
    <row r="17453" spans="1:9">
      <c r="A17453" s="22" t="str">
        <f>HYPERLINK("https://app.vivvix.com/360/KMI/IntelliDrive/ApplUI/Pages/CreativePages/CustomReportCreativeDetail.aspx?App=23&amp;ReportView=4&amp;Qid=1711279&amp;Row=17445&amp;Col=1","No Title Assigned - #15276771752")</f>
        <v/>
      </c>
      <c r="B17453" s="0" t="s">
        <v>23161</v>
      </c>
      <c r="E17453" s="0" t="inlineStr">
        <is>
          <t xml:space="preserve">Mazda</t>
        </is>
      </c>
      <c r="F17453" s="0" t="inlineStr">
        <is>
          <t xml:space="preserve">Mazda</t>
        </is>
      </c>
      <c r="G17453" s="0" t="s">
        <v>171</v>
      </c>
      <c r="H17453" s="5">
        <v>41.041900</v>
      </c>
    </row>
    <row r="17454" spans="1:9">
      <c r="A17454" s="22" t="str">
        <f>HYPERLINK("https://app.vivvix.com/360/KMI/IntelliDrive/ApplUI/Pages/CreativePages/CustomReportCreativeDetail.aspx?App=23&amp;ReportView=4&amp;Qid=1711279&amp;Row=17446&amp;Col=1","No Title Assigned - #15276771844")</f>
        <v/>
      </c>
      <c r="B17454" s="0" t="s">
        <v>23162</v>
      </c>
      <c r="E17454" s="0" t="inlineStr">
        <is>
          <t xml:space="preserve">Mazda</t>
        </is>
      </c>
      <c r="F17454" s="0" t="inlineStr">
        <is>
          <t xml:space="preserve">Mazda</t>
        </is>
      </c>
      <c r="G17454" s="0" t="s">
        <v>171</v>
      </c>
      <c r="H17454" s="5">
        <v>395.545300</v>
      </c>
    </row>
    <row r="17455" spans="1:9">
      <c r="A17455" s="22" t="str">
        <f>HYPERLINK("https://app.vivvix.com/360/KMI/IntelliDrive/ApplUI/Pages/CreativePages/CustomReportCreativeDetail.aspx?App=23&amp;ReportView=4&amp;Qid=1711279&amp;Row=17447&amp;Col=1","No Title Assigned - #15276771876")</f>
        <v/>
      </c>
      <c r="B17455" s="0" t="s">
        <v>23163</v>
      </c>
      <c r="E17455" s="0" t="inlineStr">
        <is>
          <t xml:space="preserve">Mazda</t>
        </is>
      </c>
      <c r="F17455" s="0" t="inlineStr">
        <is>
          <t xml:space="preserve">Mazda</t>
        </is>
      </c>
      <c r="G17455" s="0" t="s">
        <v>171</v>
      </c>
      <c r="H17455" s="5">
        <v>87.175400</v>
      </c>
    </row>
    <row r="17456" spans="1:9">
      <c r="A17456" s="22" t="str">
        <f>HYPERLINK("https://app.vivvix.com/360/KMI/IntelliDrive/ApplUI/Pages/CreativePages/CustomReportCreativeDetail.aspx?App=23&amp;ReportView=4&amp;Qid=1711279&amp;Row=17448&amp;Col=1","No Title Assigned - #15276771909")</f>
        <v/>
      </c>
      <c r="B17456" s="0" t="s">
        <v>23164</v>
      </c>
      <c r="E17456" s="0" t="inlineStr">
        <is>
          <t xml:space="preserve">Mazda</t>
        </is>
      </c>
      <c r="F17456" s="0" t="inlineStr">
        <is>
          <t xml:space="preserve">Mazda</t>
        </is>
      </c>
      <c r="G17456" s="0" t="s">
        <v>171</v>
      </c>
      <c r="H17456" s="5">
        <v>49.121100</v>
      </c>
    </row>
    <row r="17457" spans="1:9">
      <c r="A17457" s="22" t="str">
        <f>HYPERLINK("https://app.vivvix.com/360/KMI/IntelliDrive/ApplUI/Pages/CreativePages/CustomReportCreativeDetail.aspx?App=23&amp;ReportView=4&amp;Qid=1711279&amp;Row=17449&amp;Col=1","No Title Assigned - #15276771925")</f>
        <v/>
      </c>
      <c r="B17457" s="0" t="s">
        <v>23165</v>
      </c>
      <c r="C17457" s="0" t="s">
        <v>23166</v>
      </c>
      <c r="D17457" s="0" t="s">
        <v>23166</v>
      </c>
      <c r="E17457" s="0" t="inlineStr">
        <is>
          <t xml:space="preserve">Mazda</t>
        </is>
      </c>
      <c r="F17457" s="0" t="inlineStr">
        <is>
          <t xml:space="preserve">Mazda</t>
        </is>
      </c>
      <c r="G17457" s="0" t="s">
        <v>171</v>
      </c>
      <c r="H17457" s="5">
        <v>124.186000</v>
      </c>
    </row>
    <row r="17458" spans="1:9">
      <c r="A17458" s="22" t="str">
        <f>HYPERLINK("https://app.vivvix.com/360/KMI/IntelliDrive/ApplUI/Pages/CreativePages/CustomReportCreativeDetail.aspx?App=23&amp;ReportView=4&amp;Qid=1711279&amp;Row=17450&amp;Col=1","No Title Assigned - #15276771943")</f>
        <v/>
      </c>
      <c r="B17458" s="0" t="s">
        <v>23167</v>
      </c>
      <c r="E17458" s="0" t="inlineStr">
        <is>
          <t xml:space="preserve">Mazda</t>
        </is>
      </c>
      <c r="F17458" s="0" t="inlineStr">
        <is>
          <t xml:space="preserve">Mazda</t>
        </is>
      </c>
      <c r="G17458" s="0" t="s">
        <v>171</v>
      </c>
      <c r="H17458" s="5">
        <v>1011.567800</v>
      </c>
    </row>
    <row r="17459" spans="1:9">
      <c r="A17459" s="22" t="str">
        <f>HYPERLINK("https://app.vivvix.com/360/KMI/IntelliDrive/ApplUI/Pages/CreativePages/CustomReportCreativeDetail.aspx?App=23&amp;ReportView=4&amp;Qid=1711279&amp;Row=17451&amp;Col=1","No Title Assigned - #15276771960")</f>
        <v/>
      </c>
      <c r="B17459" s="0" t="s">
        <v>23168</v>
      </c>
      <c r="E17459" s="0" t="inlineStr">
        <is>
          <t xml:space="preserve">Mazda</t>
        </is>
      </c>
      <c r="F17459" s="0" t="inlineStr">
        <is>
          <t xml:space="preserve">Mazda</t>
        </is>
      </c>
      <c r="G17459" s="0" t="s">
        <v>171</v>
      </c>
      <c r="H17459" s="5">
        <v>10.020400</v>
      </c>
    </row>
    <row r="17460" spans="1:9">
      <c r="A17460" s="22" t="str">
        <f>HYPERLINK("https://app.vivvix.com/360/KMI/IntelliDrive/ApplUI/Pages/CreativePages/CustomReportCreativeDetail.aspx?App=23&amp;ReportView=4&amp;Qid=1711279&amp;Row=17452&amp;Col=1","No Title Assigned - #15276771984")</f>
        <v/>
      </c>
      <c r="B17460" s="0" t="s">
        <v>23169</v>
      </c>
      <c r="E17460" s="0" t="inlineStr">
        <is>
          <t xml:space="preserve">Mazda</t>
        </is>
      </c>
      <c r="F17460" s="0" t="inlineStr">
        <is>
          <t xml:space="preserve">Mazda</t>
        </is>
      </c>
      <c r="G17460" s="0" t="s">
        <v>171</v>
      </c>
      <c r="H17460" s="5">
        <v>1107.019900</v>
      </c>
    </row>
    <row r="17461" spans="1:9">
      <c r="A17461" s="22" t="str">
        <f>HYPERLINK("https://app.vivvix.com/360/KMI/IntelliDrive/ApplUI/Pages/CreativePages/CustomReportCreativeDetail.aspx?App=23&amp;ReportView=4&amp;Qid=1711279&amp;Row=17453&amp;Col=1","No Title Assigned - #15276772025")</f>
        <v/>
      </c>
      <c r="B17461" s="0" t="s">
        <v>23170</v>
      </c>
      <c r="E17461" s="0" t="inlineStr">
        <is>
          <t xml:space="preserve">Mazda</t>
        </is>
      </c>
      <c r="F17461" s="0" t="inlineStr">
        <is>
          <t xml:space="preserve">Mazda</t>
        </is>
      </c>
      <c r="G17461" s="0" t="s">
        <v>171</v>
      </c>
      <c r="H17461" s="5">
        <v>263.493000</v>
      </c>
    </row>
    <row r="17462" spans="1:9">
      <c r="A17462" s="22" t="str">
        <f>HYPERLINK("https://app.vivvix.com/360/KMI/IntelliDrive/ApplUI/Pages/CreativePages/CustomReportCreativeDetail.aspx?App=23&amp;ReportView=4&amp;Qid=1711279&amp;Row=17454&amp;Col=1","No Title Assigned - #15276772092")</f>
        <v/>
      </c>
      <c r="B17462" s="0" t="s">
        <v>23171</v>
      </c>
      <c r="E17462" s="0" t="inlineStr">
        <is>
          <t xml:space="preserve">Mazda</t>
        </is>
      </c>
      <c r="F17462" s="0" t="inlineStr">
        <is>
          <t xml:space="preserve">Mazda</t>
        </is>
      </c>
      <c r="G17462" s="0" t="s">
        <v>171</v>
      </c>
      <c r="H17462" s="5">
        <v>4852.674900</v>
      </c>
    </row>
    <row r="17463" spans="1:9">
      <c r="A17463" s="22" t="str">
        <f>HYPERLINK("https://app.vivvix.com/360/KMI/IntelliDrive/ApplUI/Pages/CreativePages/CustomReportCreativeDetail.aspx?App=23&amp;ReportView=4&amp;Qid=1711279&amp;Row=17455&amp;Col=1","No Title Assigned - #15276772257")</f>
        <v/>
      </c>
      <c r="B17463" s="0" t="s">
        <v>23172</v>
      </c>
      <c r="E17463" s="0" t="inlineStr">
        <is>
          <t xml:space="preserve">Mazda</t>
        </is>
      </c>
      <c r="F17463" s="0" t="inlineStr">
        <is>
          <t xml:space="preserve">Mazda</t>
        </is>
      </c>
      <c r="G17463" s="0" t="s">
        <v>171</v>
      </c>
      <c r="H17463" s="5">
        <v>75061.788600</v>
      </c>
    </row>
    <row r="17464" spans="1:9">
      <c r="A17464" s="22" t="str">
        <f>HYPERLINK("https://app.vivvix.com/360/KMI/IntelliDrive/ApplUI/Pages/CreativePages/CustomReportCreativeDetail.aspx?App=23&amp;ReportView=4&amp;Qid=1711279&amp;Row=17456&amp;Col=1","No Title Assigned - #15276772357")</f>
        <v/>
      </c>
      <c r="B17464" s="0" t="s">
        <v>23173</v>
      </c>
      <c r="E17464" s="0" t="inlineStr">
        <is>
          <t xml:space="preserve">Mazda</t>
        </is>
      </c>
      <c r="F17464" s="0" t="inlineStr">
        <is>
          <t xml:space="preserve">Mazda</t>
        </is>
      </c>
      <c r="G17464" s="0" t="s">
        <v>171</v>
      </c>
      <c r="H17464" s="5">
        <v>37.962100</v>
      </c>
    </row>
    <row r="17465" spans="1:9">
      <c r="A17465" s="22" t="str">
        <f>HYPERLINK("https://app.vivvix.com/360/KMI/IntelliDrive/ApplUI/Pages/CreativePages/CustomReportCreativeDetail.aspx?App=23&amp;ReportView=4&amp;Qid=1711279&amp;Row=17457&amp;Col=1","No Title Assigned - #15276772484")</f>
        <v/>
      </c>
      <c r="B17465" s="0" t="s">
        <v>23174</v>
      </c>
      <c r="E17465" s="0" t="inlineStr">
        <is>
          <t xml:space="preserve">Mazda</t>
        </is>
      </c>
      <c r="F17465" s="0" t="inlineStr">
        <is>
          <t xml:space="preserve">Mazda</t>
        </is>
      </c>
      <c r="G17465" s="0" t="s">
        <v>171</v>
      </c>
      <c r="H17465" s="5">
        <v>1572.262000</v>
      </c>
    </row>
    <row r="17466" spans="1:9">
      <c r="A17466" s="22" t="str">
        <f>HYPERLINK("https://app.vivvix.com/360/KMI/IntelliDrive/ApplUI/Pages/CreativePages/CustomReportCreativeDetail.aspx?App=23&amp;ReportView=4&amp;Qid=1711279&amp;Row=17458&amp;Col=1","No Title Assigned - #15276772988")</f>
        <v/>
      </c>
      <c r="B17466" s="0" t="s">
        <v>23175</v>
      </c>
      <c r="E17466" s="0" t="inlineStr">
        <is>
          <t xml:space="preserve">Mazda</t>
        </is>
      </c>
      <c r="F17466" s="0" t="inlineStr">
        <is>
          <t xml:space="preserve">Mazda</t>
        </is>
      </c>
      <c r="G17466" s="0" t="s">
        <v>171</v>
      </c>
      <c r="H17466" s="5">
        <v>283.705700</v>
      </c>
    </row>
    <row r="17467" spans="1:9">
      <c r="A17467" s="22" t="str">
        <f>HYPERLINK("https://app.vivvix.com/360/KMI/IntelliDrive/ApplUI/Pages/CreativePages/CustomReportCreativeDetail.aspx?App=23&amp;ReportView=4&amp;Qid=1711279&amp;Row=17459&amp;Col=1","No Title Assigned - #15276772993")</f>
        <v/>
      </c>
      <c r="B17467" s="0" t="s">
        <v>23176</v>
      </c>
      <c r="E17467" s="0" t="inlineStr">
        <is>
          <t xml:space="preserve">Mazda</t>
        </is>
      </c>
      <c r="F17467" s="0" t="inlineStr">
        <is>
          <t xml:space="preserve">Mazda</t>
        </is>
      </c>
      <c r="G17467" s="0" t="s">
        <v>171</v>
      </c>
      <c r="H17467" s="5">
        <v>30.061200</v>
      </c>
    </row>
    <row r="17468" spans="1:9">
      <c r="A17468" s="22" t="str">
        <f>HYPERLINK("https://app.vivvix.com/360/KMI/IntelliDrive/ApplUI/Pages/CreativePages/CustomReportCreativeDetail.aspx?App=23&amp;ReportView=4&amp;Qid=1711279&amp;Row=17460&amp;Col=1","No Title Assigned - #15276772994")</f>
        <v/>
      </c>
      <c r="B17468" s="0" t="s">
        <v>23177</v>
      </c>
      <c r="E17468" s="0" t="inlineStr">
        <is>
          <t xml:space="preserve">Mazda</t>
        </is>
      </c>
      <c r="F17468" s="0" t="inlineStr">
        <is>
          <t xml:space="preserve">Mazda</t>
        </is>
      </c>
      <c r="G17468" s="0" t="s">
        <v>171</v>
      </c>
      <c r="H17468" s="5">
        <v>111.522500</v>
      </c>
    </row>
    <row r="17469" spans="1:9">
      <c r="A17469" s="22" t="str">
        <f>HYPERLINK("https://app.vivvix.com/360/KMI/IntelliDrive/ApplUI/Pages/CreativePages/CustomReportCreativeDetail.aspx?App=23&amp;ReportView=4&amp;Qid=1711279&amp;Row=17461&amp;Col=1","No Title Assigned - #15276773163")</f>
        <v/>
      </c>
      <c r="B17469" s="0" t="s">
        <v>23178</v>
      </c>
      <c r="E17469" s="0" t="inlineStr">
        <is>
          <t xml:space="preserve">Mazda</t>
        </is>
      </c>
      <c r="F17469" s="0" t="inlineStr">
        <is>
          <t xml:space="preserve">Mazda</t>
        </is>
      </c>
      <c r="G17469" s="0" t="s">
        <v>171</v>
      </c>
      <c r="H17469" s="5">
        <v>1547.381800</v>
      </c>
    </row>
    <row r="17470" spans="1:9">
      <c r="A17470" s="22" t="str">
        <f>HYPERLINK("https://app.vivvix.com/360/KMI/IntelliDrive/ApplUI/Pages/CreativePages/CustomReportCreativeDetail.aspx?App=23&amp;ReportView=4&amp;Qid=1711279&amp;Row=17462&amp;Col=1","No Title Assigned - #15276773163")</f>
        <v/>
      </c>
      <c r="B17470" s="0" t="s">
        <v>23178</v>
      </c>
      <c r="E17470" s="0" t="inlineStr">
        <is>
          <t xml:space="preserve">Mazda</t>
        </is>
      </c>
      <c r="F17470" s="0" t="inlineStr">
        <is>
          <t xml:space="preserve">Mazda</t>
        </is>
      </c>
      <c r="G17470" s="0" t="s">
        <v>171</v>
      </c>
      <c r="H17470" s="5">
        <v>45.783500</v>
      </c>
    </row>
    <row r="17471" spans="1:9">
      <c r="A17471" s="22" t="str">
        <f>HYPERLINK("https://app.vivvix.com/360/KMI/IntelliDrive/ApplUI/Pages/CreativePages/CustomReportCreativeDetail.aspx?App=23&amp;ReportView=4&amp;Qid=1711279&amp;Row=17463&amp;Col=1","No Title Assigned - #15276773209")</f>
        <v/>
      </c>
      <c r="B17471" s="0" t="s">
        <v>23179</v>
      </c>
      <c r="E17471" s="0" t="inlineStr">
        <is>
          <t xml:space="preserve">Mazda</t>
        </is>
      </c>
      <c r="F17471" s="0" t="inlineStr">
        <is>
          <t xml:space="preserve">Mazda</t>
        </is>
      </c>
      <c r="G17471" s="0" t="s">
        <v>171</v>
      </c>
      <c r="H17471" s="5">
        <v>160.728000</v>
      </c>
    </row>
    <row r="17472" spans="1:9">
      <c r="A17472" s="22" t="str">
        <f>HYPERLINK("https://app.vivvix.com/360/KMI/IntelliDrive/ApplUI/Pages/CreativePages/CustomReportCreativeDetail.aspx?App=23&amp;ReportView=4&amp;Qid=1711279&amp;Row=17464&amp;Col=1","No Title Assigned - #15276773284")</f>
        <v/>
      </c>
      <c r="B17472" s="0" t="s">
        <v>23180</v>
      </c>
      <c r="E17472" s="0" t="inlineStr">
        <is>
          <t xml:space="preserve">Mazda</t>
        </is>
      </c>
      <c r="F17472" s="0" t="inlineStr">
        <is>
          <t xml:space="preserve">Mazda</t>
        </is>
      </c>
      <c r="G17472" s="0" t="s">
        <v>171</v>
      </c>
      <c r="H17472" s="5">
        <v>685.646200</v>
      </c>
    </row>
    <row r="17473" spans="1:9">
      <c r="A17473" s="22" t="str">
        <f>HYPERLINK("https://app.vivvix.com/360/KMI/IntelliDrive/ApplUI/Pages/CreativePages/CustomReportCreativeDetail.aspx?App=23&amp;ReportView=4&amp;Qid=1711279&amp;Row=17465&amp;Col=1","No Title Assigned - #15276773321")</f>
        <v/>
      </c>
      <c r="B17473" s="0" t="s">
        <v>23181</v>
      </c>
      <c r="E17473" s="0" t="inlineStr">
        <is>
          <t xml:space="preserve">Mazda</t>
        </is>
      </c>
      <c r="F17473" s="0" t="inlineStr">
        <is>
          <t xml:space="preserve">Mazda</t>
        </is>
      </c>
      <c r="G17473" s="0" t="s">
        <v>171</v>
      </c>
      <c r="H17473" s="5">
        <v>159.206500</v>
      </c>
    </row>
    <row r="17474" spans="1:9">
      <c r="A17474" s="22" t="str">
        <f>HYPERLINK("https://app.vivvix.com/360/KMI/IntelliDrive/ApplUI/Pages/CreativePages/CustomReportCreativeDetail.aspx?App=23&amp;ReportView=4&amp;Qid=1711279&amp;Row=17466&amp;Col=1","No Title Assigned - #15276773373")</f>
        <v/>
      </c>
      <c r="B17474" s="0" t="s">
        <v>23182</v>
      </c>
      <c r="E17474" s="0" t="inlineStr">
        <is>
          <t xml:space="preserve">Mazda</t>
        </is>
      </c>
      <c r="F17474" s="0" t="inlineStr">
        <is>
          <t xml:space="preserve">Mazda</t>
        </is>
      </c>
      <c r="G17474" s="0" t="s">
        <v>171</v>
      </c>
      <c r="H17474" s="5">
        <v>2785.412700</v>
      </c>
    </row>
    <row r="17475" spans="1:9">
      <c r="A17475" s="22" t="str">
        <f>HYPERLINK("https://app.vivvix.com/360/KMI/IntelliDrive/ApplUI/Pages/CreativePages/CustomReportCreativeDetail.aspx?App=23&amp;ReportView=4&amp;Qid=1711279&amp;Row=17467&amp;Col=1","No Title Assigned - #15276773389")</f>
        <v/>
      </c>
      <c r="B17475" s="0" t="s">
        <v>23183</v>
      </c>
      <c r="E17475" s="0" t="inlineStr">
        <is>
          <t xml:space="preserve">Mazda</t>
        </is>
      </c>
      <c r="F17475" s="0" t="inlineStr">
        <is>
          <t xml:space="preserve">Mazda</t>
        </is>
      </c>
      <c r="G17475" s="0" t="s">
        <v>171</v>
      </c>
      <c r="H17475" s="5">
        <v>36.851700</v>
      </c>
    </row>
    <row r="17476" spans="1:9">
      <c r="A17476" s="22" t="str">
        <f>HYPERLINK("https://app.vivvix.com/360/KMI/IntelliDrive/ApplUI/Pages/CreativePages/CustomReportCreativeDetail.aspx?App=23&amp;ReportView=4&amp;Qid=1711279&amp;Row=17468&amp;Col=1","No Title Assigned - #15276773421")</f>
        <v/>
      </c>
      <c r="B17476" s="0" t="s">
        <v>23184</v>
      </c>
      <c r="C17476" s="0" t="s">
        <v>23185</v>
      </c>
      <c r="D17476" s="0" t="s">
        <v>23185</v>
      </c>
      <c r="E17476" s="0" t="inlineStr">
        <is>
          <t xml:space="preserve">Mazda</t>
        </is>
      </c>
      <c r="F17476" s="0" t="inlineStr">
        <is>
          <t xml:space="preserve">Mazda</t>
        </is>
      </c>
      <c r="G17476" s="0" t="s">
        <v>171</v>
      </c>
      <c r="H17476" s="5">
        <v>234.421400</v>
      </c>
    </row>
    <row r="17477" spans="1:9">
      <c r="A17477" s="22" t="str">
        <f>HYPERLINK("https://app.vivvix.com/360/KMI/IntelliDrive/ApplUI/Pages/CreativePages/CustomReportCreativeDetail.aspx?App=23&amp;ReportView=4&amp;Qid=1711279&amp;Row=17469&amp;Col=1","No Title Assigned - #15276773484")</f>
        <v/>
      </c>
      <c r="B17477" s="0" t="s">
        <v>23186</v>
      </c>
      <c r="E17477" s="0" t="inlineStr">
        <is>
          <t xml:space="preserve">Mazda</t>
        </is>
      </c>
      <c r="F17477" s="0" t="inlineStr">
        <is>
          <t xml:space="preserve">Mazda</t>
        </is>
      </c>
      <c r="G17477" s="0" t="s">
        <v>171</v>
      </c>
      <c r="H17477" s="5">
        <v>91.138000</v>
      </c>
    </row>
    <row r="17478" spans="1:9">
      <c r="A17478" s="22" t="str">
        <f>HYPERLINK("https://app.vivvix.com/360/KMI/IntelliDrive/ApplUI/Pages/CreativePages/CustomReportCreativeDetail.aspx?App=23&amp;ReportView=4&amp;Qid=1711279&amp;Row=17470&amp;Col=1","No Title Assigned - #15276773563")</f>
        <v/>
      </c>
      <c r="B17478" s="0" t="s">
        <v>23187</v>
      </c>
      <c r="C17478" s="0" t="s">
        <v>23188</v>
      </c>
      <c r="D17478" s="0" t="s">
        <v>23188</v>
      </c>
      <c r="E17478" s="0" t="inlineStr">
        <is>
          <t xml:space="preserve">Mazda</t>
        </is>
      </c>
      <c r="F17478" s="0" t="inlineStr">
        <is>
          <t xml:space="preserve">Mazda</t>
        </is>
      </c>
      <c r="G17478" s="0" t="s">
        <v>171</v>
      </c>
      <c r="H17478" s="5">
        <v>181.072500</v>
      </c>
    </row>
    <row r="17479" spans="1:9">
      <c r="A17479" s="22" t="str">
        <f>HYPERLINK("https://app.vivvix.com/360/KMI/IntelliDrive/ApplUI/Pages/CreativePages/CustomReportCreativeDetail.aspx?App=23&amp;ReportView=4&amp;Qid=1711279&amp;Row=17471&amp;Col=1","No Title Assigned - #15276773597")</f>
        <v/>
      </c>
      <c r="B17479" s="0" t="s">
        <v>23189</v>
      </c>
      <c r="E17479" s="0" t="inlineStr">
        <is>
          <t xml:space="preserve">Mazda</t>
        </is>
      </c>
      <c r="F17479" s="0" t="inlineStr">
        <is>
          <t xml:space="preserve">Mazda</t>
        </is>
      </c>
      <c r="G17479" s="0" t="s">
        <v>171</v>
      </c>
      <c r="H17479" s="5">
        <v>38.241800</v>
      </c>
    </row>
    <row r="17480" spans="1:9">
      <c r="A17480" s="22" t="str">
        <f>HYPERLINK("https://app.vivvix.com/360/KMI/IntelliDrive/ApplUI/Pages/CreativePages/CustomReportCreativeDetail.aspx?App=23&amp;ReportView=4&amp;Qid=1711279&amp;Row=17472&amp;Col=1","No Title Assigned - #15276773763")</f>
        <v/>
      </c>
      <c r="B17480" s="0" t="s">
        <v>23190</v>
      </c>
      <c r="E17480" s="0" t="inlineStr">
        <is>
          <t xml:space="preserve">Mazda</t>
        </is>
      </c>
      <c r="F17480" s="0" t="inlineStr">
        <is>
          <t xml:space="preserve">Mazda</t>
        </is>
      </c>
      <c r="G17480" s="0" t="s">
        <v>171</v>
      </c>
      <c r="H17480" s="5">
        <v>48744.075300</v>
      </c>
    </row>
    <row r="17481" spans="1:9">
      <c r="A17481" s="22" t="str">
        <f>HYPERLINK("https://app.vivvix.com/360/KMI/IntelliDrive/ApplUI/Pages/CreativePages/CustomReportCreativeDetail.aspx?App=23&amp;ReportView=4&amp;Qid=1711279&amp;Row=17473&amp;Col=1","No Title Assigned - #15276773800")</f>
        <v/>
      </c>
      <c r="B17481" s="0" t="s">
        <v>23191</v>
      </c>
      <c r="E17481" s="0" t="inlineStr">
        <is>
          <t xml:space="preserve">Mazda</t>
        </is>
      </c>
      <c r="F17481" s="0" t="inlineStr">
        <is>
          <t xml:space="preserve">Mazda</t>
        </is>
      </c>
      <c r="G17481" s="0" t="s">
        <v>171</v>
      </c>
      <c r="H17481" s="5">
        <v>0.796900</v>
      </c>
    </row>
    <row r="17482" spans="1:9">
      <c r="A17482" s="22" t="str">
        <f>HYPERLINK("https://app.vivvix.com/360/KMI/IntelliDrive/ApplUI/Pages/CreativePages/CustomReportCreativeDetail.aspx?App=23&amp;ReportView=4&amp;Qid=1711279&amp;Row=17474&amp;Col=1","No Title Assigned - #15276773924")</f>
        <v/>
      </c>
      <c r="B17482" s="0" t="s">
        <v>23192</v>
      </c>
      <c r="E17482" s="0" t="inlineStr">
        <is>
          <t xml:space="preserve">Mazda</t>
        </is>
      </c>
      <c r="F17482" s="0" t="inlineStr">
        <is>
          <t xml:space="preserve">Mazda</t>
        </is>
      </c>
      <c r="G17482" s="0" t="s">
        <v>171</v>
      </c>
      <c r="H17482" s="5">
        <v>22893.516200</v>
      </c>
    </row>
    <row r="17483" spans="1:9">
      <c r="A17483" s="22" t="str">
        <f>HYPERLINK("https://app.vivvix.com/360/KMI/IntelliDrive/ApplUI/Pages/CreativePages/CustomReportCreativeDetail.aspx?App=23&amp;ReportView=4&amp;Qid=1711279&amp;Row=17475&amp;Col=1","No Title Assigned - #15276773924")</f>
        <v/>
      </c>
      <c r="B17483" s="0" t="s">
        <v>23192</v>
      </c>
      <c r="C17483" s="0" t="s">
        <v>23193</v>
      </c>
      <c r="D17483" s="0" t="s">
        <v>23193</v>
      </c>
      <c r="E17483" s="0" t="inlineStr">
        <is>
          <t xml:space="preserve">Mazda</t>
        </is>
      </c>
      <c r="F17483" s="0" t="inlineStr">
        <is>
          <t xml:space="preserve">Mazda</t>
        </is>
      </c>
      <c r="G17483" s="0" t="s">
        <v>171</v>
      </c>
      <c r="H17483" s="5">
        <v>2392.502600</v>
      </c>
    </row>
    <row r="17484" spans="1:9">
      <c r="A17484" s="22" t="str">
        <f>HYPERLINK("https://app.vivvix.com/360/KMI/IntelliDrive/ApplUI/Pages/CreativePages/CustomReportCreativeDetail.aspx?App=23&amp;ReportView=4&amp;Qid=1711279&amp;Row=17476&amp;Col=1","No Title Assigned - #15276773928")</f>
        <v/>
      </c>
      <c r="B17484" s="0" t="s">
        <v>23194</v>
      </c>
      <c r="E17484" s="0" t="inlineStr">
        <is>
          <t xml:space="preserve">Mazda</t>
        </is>
      </c>
      <c r="F17484" s="0" t="inlineStr">
        <is>
          <t xml:space="preserve">Mazda</t>
        </is>
      </c>
      <c r="G17484" s="0" t="s">
        <v>171</v>
      </c>
      <c r="H17484" s="5">
        <v>443.061000</v>
      </c>
    </row>
    <row r="17485" spans="1:9">
      <c r="A17485" s="22" t="str">
        <f>HYPERLINK("https://app.vivvix.com/360/KMI/IntelliDrive/ApplUI/Pages/CreativePages/CustomReportCreativeDetail.aspx?App=23&amp;ReportView=4&amp;Qid=1711279&amp;Row=17477&amp;Col=1","No Title Assigned - #15276773976")</f>
        <v/>
      </c>
      <c r="B17485" s="0" t="s">
        <v>23195</v>
      </c>
      <c r="E17485" s="0" t="inlineStr">
        <is>
          <t xml:space="preserve">Mazda</t>
        </is>
      </c>
      <c r="F17485" s="0" t="inlineStr">
        <is>
          <t xml:space="preserve">Mazda</t>
        </is>
      </c>
      <c r="G17485" s="0" t="s">
        <v>171</v>
      </c>
      <c r="H17485" s="5">
        <v>81.500400</v>
      </c>
    </row>
    <row r="17486" spans="1:9">
      <c r="A17486" s="22" t="str">
        <f>HYPERLINK("https://app.vivvix.com/360/KMI/IntelliDrive/ApplUI/Pages/CreativePages/CustomReportCreativeDetail.aspx?App=23&amp;ReportView=4&amp;Qid=1711279&amp;Row=17478&amp;Col=1","No Title Assigned - #15276774149")</f>
        <v/>
      </c>
      <c r="B17486" s="0" t="s">
        <v>23196</v>
      </c>
      <c r="E17486" s="0" t="inlineStr">
        <is>
          <t xml:space="preserve">Mazda</t>
        </is>
      </c>
      <c r="F17486" s="0" t="inlineStr">
        <is>
          <t xml:space="preserve">Mazda</t>
        </is>
      </c>
      <c r="G17486" s="0" t="s">
        <v>171</v>
      </c>
      <c r="H17486" s="5">
        <v>16.416200</v>
      </c>
    </row>
    <row r="17487" spans="1:9">
      <c r="A17487" s="22" t="str">
        <f>HYPERLINK("https://app.vivvix.com/360/KMI/IntelliDrive/ApplUI/Pages/CreativePages/CustomReportCreativeDetail.aspx?App=23&amp;ReportView=4&amp;Qid=1711279&amp;Row=17479&amp;Col=1","No Title Assigned - #15276774158")</f>
        <v/>
      </c>
      <c r="B17487" s="0" t="s">
        <v>23197</v>
      </c>
      <c r="E17487" s="0" t="inlineStr">
        <is>
          <t xml:space="preserve">Mazda</t>
        </is>
      </c>
      <c r="F17487" s="0" t="inlineStr">
        <is>
          <t xml:space="preserve">Mazda</t>
        </is>
      </c>
      <c r="G17487" s="0" t="s">
        <v>171</v>
      </c>
      <c r="H17487" s="5">
        <v>18.596500</v>
      </c>
    </row>
    <row r="17488" spans="1:9">
      <c r="A17488" s="22" t="str">
        <f>HYPERLINK("https://app.vivvix.com/360/KMI/IntelliDrive/ApplUI/Pages/CreativePages/CustomReportCreativeDetail.aspx?App=23&amp;ReportView=4&amp;Qid=1711279&amp;Row=17480&amp;Col=1","No Title Assigned - #15276774161")</f>
        <v/>
      </c>
      <c r="B17488" s="0" t="s">
        <v>23198</v>
      </c>
      <c r="C17488" s="0" t="s">
        <v>23199</v>
      </c>
      <c r="D17488" s="0" t="s">
        <v>23199</v>
      </c>
      <c r="E17488" s="0" t="inlineStr">
        <is>
          <t xml:space="preserve">Mazda</t>
        </is>
      </c>
      <c r="F17488" s="0" t="s">
        <v>13</v>
      </c>
      <c r="G17488" s="0" t="s">
        <v>49</v>
      </c>
      <c r="H17488" s="5">
        <v>56.392100</v>
      </c>
    </row>
    <row r="17489" spans="1:9">
      <c r="A17489" s="22" t="str">
        <f>HYPERLINK("https://app.vivvix.com/360/KMI/IntelliDrive/ApplUI/Pages/CreativePages/CustomReportCreativeDetail.aspx?App=23&amp;ReportView=4&amp;Qid=1711279&amp;Row=17481&amp;Col=1","No Title Assigned - #15276774287")</f>
        <v/>
      </c>
      <c r="B17489" s="0" t="s">
        <v>23200</v>
      </c>
      <c r="E17489" s="0" t="inlineStr">
        <is>
          <t xml:space="preserve">Mazda</t>
        </is>
      </c>
      <c r="F17489" s="0" t="inlineStr">
        <is>
          <t xml:space="preserve">Mazda</t>
        </is>
      </c>
      <c r="G17489" s="0" t="s">
        <v>171</v>
      </c>
      <c r="H17489" s="5">
        <v>1640.281600</v>
      </c>
    </row>
    <row r="17490" spans="1:9">
      <c r="A17490" s="22" t="str">
        <f>HYPERLINK("https://app.vivvix.com/360/KMI/IntelliDrive/ApplUI/Pages/CreativePages/CustomReportCreativeDetail.aspx?App=23&amp;ReportView=4&amp;Qid=1711279&amp;Row=17482&amp;Col=1","No Title Assigned - #15276774391")</f>
        <v/>
      </c>
      <c r="B17490" s="0" t="s">
        <v>23201</v>
      </c>
      <c r="E17490" s="0" t="inlineStr">
        <is>
          <t xml:space="preserve">Mazda</t>
        </is>
      </c>
      <c r="F17490" s="0" t="inlineStr">
        <is>
          <t xml:space="preserve">Mazda</t>
        </is>
      </c>
      <c r="G17490" s="0" t="s">
        <v>171</v>
      </c>
      <c r="H17490" s="5">
        <v>27.198000</v>
      </c>
    </row>
    <row r="17491" spans="1:9">
      <c r="A17491" s="22" t="str">
        <f>HYPERLINK("https://app.vivvix.com/360/KMI/IntelliDrive/ApplUI/Pages/CreativePages/CustomReportCreativeDetail.aspx?App=23&amp;ReportView=4&amp;Qid=1711279&amp;Row=17483&amp;Col=1","No Title Assigned - #15276774483")</f>
        <v/>
      </c>
      <c r="B17491" s="0" t="s">
        <v>23202</v>
      </c>
      <c r="E17491" s="0" t="inlineStr">
        <is>
          <t xml:space="preserve">Mazda</t>
        </is>
      </c>
      <c r="F17491" s="0" t="inlineStr">
        <is>
          <t xml:space="preserve">Mazda</t>
        </is>
      </c>
      <c r="G17491" s="0" t="s">
        <v>171</v>
      </c>
      <c r="H17491" s="5">
        <v>31299.703700</v>
      </c>
    </row>
    <row r="17492" spans="1:9">
      <c r="A17492" s="22" t="str">
        <f>HYPERLINK("https://app.vivvix.com/360/KMI/IntelliDrive/ApplUI/Pages/CreativePages/CustomReportCreativeDetail.aspx?App=23&amp;ReportView=4&amp;Qid=1711279&amp;Row=17484&amp;Col=1","No Title Assigned - #15276774616")</f>
        <v/>
      </c>
      <c r="B17492" s="0" t="s">
        <v>23203</v>
      </c>
      <c r="E17492" s="0" t="inlineStr">
        <is>
          <t xml:space="preserve">Mazda</t>
        </is>
      </c>
      <c r="F17492" s="0" t="inlineStr">
        <is>
          <t xml:space="preserve">Mazda</t>
        </is>
      </c>
      <c r="G17492" s="0" t="s">
        <v>171</v>
      </c>
      <c r="H17492" s="5">
        <v>1133.885300</v>
      </c>
    </row>
    <row r="17493" spans="1:9">
      <c r="A17493" s="22" t="str">
        <f>HYPERLINK("https://app.vivvix.com/360/KMI/IntelliDrive/ApplUI/Pages/CreativePages/CustomReportCreativeDetail.aspx?App=23&amp;ReportView=4&amp;Qid=1711279&amp;Row=17485&amp;Col=1","No Title Assigned - #15276774624")</f>
        <v/>
      </c>
      <c r="B17493" s="0" t="s">
        <v>23204</v>
      </c>
      <c r="E17493" s="0" t="inlineStr">
        <is>
          <t xml:space="preserve">Mazda</t>
        </is>
      </c>
      <c r="F17493" s="0" t="inlineStr">
        <is>
          <t xml:space="preserve">Mazda</t>
        </is>
      </c>
      <c r="G17493" s="0" t="s">
        <v>171</v>
      </c>
      <c r="H17493" s="5">
        <v>1806.731600</v>
      </c>
    </row>
    <row r="17494" spans="1:9">
      <c r="A17494" s="22" t="str">
        <f>HYPERLINK("https://app.vivvix.com/360/KMI/IntelliDrive/ApplUI/Pages/CreativePages/CustomReportCreativeDetail.aspx?App=23&amp;ReportView=4&amp;Qid=1711279&amp;Row=17486&amp;Col=1","No Title Assigned - #15276774749")</f>
        <v/>
      </c>
      <c r="B17494" s="0" t="s">
        <v>23205</v>
      </c>
      <c r="E17494" s="0" t="inlineStr">
        <is>
          <t xml:space="preserve">Mazda</t>
        </is>
      </c>
      <c r="F17494" s="0" t="inlineStr">
        <is>
          <t xml:space="preserve">Mazda</t>
        </is>
      </c>
      <c r="G17494" s="0" t="s">
        <v>171</v>
      </c>
      <c r="H17494" s="5">
        <v>66508.729600</v>
      </c>
    </row>
    <row r="17495" spans="1:9">
      <c r="A17495" s="22" t="str">
        <f>HYPERLINK("https://app.vivvix.com/360/KMI/IntelliDrive/ApplUI/Pages/CreativePages/CustomReportCreativeDetail.aspx?App=23&amp;ReportView=4&amp;Qid=1711279&amp;Row=17487&amp;Col=1","No Title Assigned - #15276774749")</f>
        <v/>
      </c>
      <c r="B17495" s="0" t="s">
        <v>23205</v>
      </c>
      <c r="E17495" s="0" t="inlineStr">
        <is>
          <t xml:space="preserve">Mazda</t>
        </is>
      </c>
      <c r="F17495" s="0" t="inlineStr">
        <is>
          <t xml:space="preserve">Mazda</t>
        </is>
      </c>
      <c r="G17495" s="0" t="s">
        <v>171</v>
      </c>
      <c r="H17495" s="5">
        <v>42.534900</v>
      </c>
    </row>
    <row r="17496" spans="1:9">
      <c r="A17496" s="22" t="str">
        <f>HYPERLINK("https://app.vivvix.com/360/KMI/IntelliDrive/ApplUI/Pages/CreativePages/CustomReportCreativeDetail.aspx?App=23&amp;ReportView=4&amp;Qid=1711279&amp;Row=17488&amp;Col=1","No Title Assigned - #15276775155")</f>
        <v/>
      </c>
      <c r="B17496" s="0" t="s">
        <v>23206</v>
      </c>
      <c r="E17496" s="0" t="inlineStr">
        <is>
          <t xml:space="preserve">Mazda</t>
        </is>
      </c>
      <c r="F17496" s="0" t="inlineStr">
        <is>
          <t xml:space="preserve">Mazda</t>
        </is>
      </c>
      <c r="G17496" s="0" t="s">
        <v>171</v>
      </c>
      <c r="H17496" s="5">
        <v>386.081800</v>
      </c>
    </row>
    <row r="17497" spans="1:9">
      <c r="A17497" s="22" t="str">
        <f>HYPERLINK("https://app.vivvix.com/360/KMI/IntelliDrive/ApplUI/Pages/CreativePages/CustomReportCreativeDetail.aspx?App=23&amp;ReportView=4&amp;Qid=1711279&amp;Row=17489&amp;Col=1","No Title Assigned - #15276775161")</f>
        <v/>
      </c>
      <c r="B17497" s="0" t="s">
        <v>23207</v>
      </c>
      <c r="E17497" s="0" t="inlineStr">
        <is>
          <t xml:space="preserve">Mazda</t>
        </is>
      </c>
      <c r="F17497" s="0" t="inlineStr">
        <is>
          <t xml:space="preserve">Mazda</t>
        </is>
      </c>
      <c r="G17497" s="0" t="s">
        <v>171</v>
      </c>
      <c r="H17497" s="5">
        <v>95572.598000</v>
      </c>
    </row>
    <row r="17498" spans="1:9">
      <c r="A17498" s="22" t="str">
        <f>HYPERLINK("https://app.vivvix.com/360/KMI/IntelliDrive/ApplUI/Pages/CreativePages/CustomReportCreativeDetail.aspx?App=23&amp;ReportView=4&amp;Qid=1711279&amp;Row=17490&amp;Col=1","No Title Assigned - #15276775199")</f>
        <v/>
      </c>
      <c r="B17498" s="0" t="s">
        <v>23208</v>
      </c>
      <c r="E17498" s="0" t="inlineStr">
        <is>
          <t xml:space="preserve">Mazda</t>
        </is>
      </c>
      <c r="F17498" s="0" t="inlineStr">
        <is>
          <t xml:space="preserve">Mazda</t>
        </is>
      </c>
      <c r="G17498" s="0" t="s">
        <v>171</v>
      </c>
      <c r="H17498" s="5">
        <v>10.020400</v>
      </c>
    </row>
    <row r="17499" spans="1:9">
      <c r="A17499" s="22" t="str">
        <f>HYPERLINK("https://app.vivvix.com/360/KMI/IntelliDrive/ApplUI/Pages/CreativePages/CustomReportCreativeDetail.aspx?App=23&amp;ReportView=4&amp;Qid=1711279&amp;Row=17491&amp;Col=1","No Title Assigned - #15276775231")</f>
        <v/>
      </c>
      <c r="B17499" s="0" t="s">
        <v>23209</v>
      </c>
      <c r="E17499" s="0" t="inlineStr">
        <is>
          <t xml:space="preserve">Mazda</t>
        </is>
      </c>
      <c r="F17499" s="0" t="inlineStr">
        <is>
          <t xml:space="preserve">Mazda</t>
        </is>
      </c>
      <c r="G17499" s="0" t="s">
        <v>171</v>
      </c>
      <c r="H17499" s="5">
        <v>206.925800</v>
      </c>
    </row>
    <row r="17500" spans="1:9">
      <c r="A17500" s="22" t="str">
        <f>HYPERLINK("https://app.vivvix.com/360/KMI/IntelliDrive/ApplUI/Pages/CreativePages/CustomReportCreativeDetail.aspx?App=23&amp;ReportView=4&amp;Qid=1711279&amp;Row=17492&amp;Col=1","No Title Assigned - #15276775286")</f>
        <v/>
      </c>
      <c r="B17500" s="0" t="s">
        <v>23210</v>
      </c>
      <c r="E17500" s="0" t="inlineStr">
        <is>
          <t xml:space="preserve">Mazda</t>
        </is>
      </c>
      <c r="F17500" s="0" t="inlineStr">
        <is>
          <t xml:space="preserve">Mazda</t>
        </is>
      </c>
      <c r="G17500" s="0" t="s">
        <v>171</v>
      </c>
      <c r="H17500" s="5">
        <v>220.029500</v>
      </c>
    </row>
    <row r="17501" spans="1:9">
      <c r="A17501" s="22" t="str">
        <f>HYPERLINK("https://app.vivvix.com/360/KMI/IntelliDrive/ApplUI/Pages/CreativePages/CustomReportCreativeDetail.aspx?App=23&amp;ReportView=4&amp;Qid=1711279&amp;Row=17493&amp;Col=1","No Title Assigned - #15276775334")</f>
        <v/>
      </c>
      <c r="B17501" s="0" t="s">
        <v>23211</v>
      </c>
      <c r="E17501" s="0" t="inlineStr">
        <is>
          <t xml:space="preserve">Mazda</t>
        </is>
      </c>
      <c r="F17501" s="0" t="inlineStr">
        <is>
          <t xml:space="preserve">Mazda</t>
        </is>
      </c>
      <c r="G17501" s="0" t="s">
        <v>171</v>
      </c>
      <c r="H17501" s="5">
        <v>0.796900</v>
      </c>
    </row>
    <row r="17502" spans="1:9">
      <c r="A17502" s="22" t="str">
        <f>HYPERLINK("https://app.vivvix.com/360/KMI/IntelliDrive/ApplUI/Pages/CreativePages/CustomReportCreativeDetail.aspx?App=23&amp;ReportView=4&amp;Qid=1711279&amp;Row=17494&amp;Col=1","No Title Assigned - #15276775415")</f>
        <v/>
      </c>
      <c r="B17502" s="0" t="s">
        <v>23212</v>
      </c>
      <c r="E17502" s="0" t="inlineStr">
        <is>
          <t xml:space="preserve">Mazda</t>
        </is>
      </c>
      <c r="F17502" s="0" t="inlineStr">
        <is>
          <t xml:space="preserve">Mazda</t>
        </is>
      </c>
      <c r="G17502" s="0" t="s">
        <v>171</v>
      </c>
      <c r="H17502" s="5">
        <v>514.443600</v>
      </c>
    </row>
    <row r="17503" spans="1:9">
      <c r="A17503" s="22" t="str">
        <f>HYPERLINK("https://app.vivvix.com/360/KMI/IntelliDrive/ApplUI/Pages/CreativePages/CustomReportCreativeDetail.aspx?App=23&amp;ReportView=4&amp;Qid=1711279&amp;Row=17495&amp;Col=1","No Title Assigned - #15276775449")</f>
        <v/>
      </c>
      <c r="B17503" s="0" t="s">
        <v>23213</v>
      </c>
      <c r="E17503" s="0" t="inlineStr">
        <is>
          <t xml:space="preserve">Mazda</t>
        </is>
      </c>
      <c r="F17503" s="0" t="inlineStr">
        <is>
          <t xml:space="preserve">Mazda</t>
        </is>
      </c>
      <c r="G17503" s="0" t="s">
        <v>171</v>
      </c>
      <c r="H17503" s="5">
        <v>82099.929700</v>
      </c>
    </row>
    <row r="17504" spans="1:9">
      <c r="A17504" s="22" t="str">
        <f>HYPERLINK("https://app.vivvix.com/360/KMI/IntelliDrive/ApplUI/Pages/CreativePages/CustomReportCreativeDetail.aspx?App=23&amp;ReportView=4&amp;Qid=1711279&amp;Row=17496&amp;Col=1","No Title Assigned - #15276775556")</f>
        <v/>
      </c>
      <c r="B17504" s="0" t="s">
        <v>23214</v>
      </c>
      <c r="E17504" s="0" t="inlineStr">
        <is>
          <t xml:space="preserve">Mazda</t>
        </is>
      </c>
      <c r="F17504" s="0" t="inlineStr">
        <is>
          <t xml:space="preserve">Mazda</t>
        </is>
      </c>
      <c r="G17504" s="0" t="s">
        <v>171</v>
      </c>
      <c r="H17504" s="5">
        <v>25.391700</v>
      </c>
    </row>
    <row r="17505" spans="1:9">
      <c r="A17505" s="22" t="str">
        <f>HYPERLINK("https://app.vivvix.com/360/KMI/IntelliDrive/ApplUI/Pages/CreativePages/CustomReportCreativeDetail.aspx?App=23&amp;ReportView=4&amp;Qid=1711279&amp;Row=17497&amp;Col=1","No Title Assigned - #15276775676")</f>
        <v/>
      </c>
      <c r="B17505" s="0" t="s">
        <v>23215</v>
      </c>
      <c r="E17505" s="0" t="inlineStr">
        <is>
          <t xml:space="preserve">Mazda</t>
        </is>
      </c>
      <c r="F17505" s="0" t="inlineStr">
        <is>
          <t xml:space="preserve">Mazda</t>
        </is>
      </c>
      <c r="G17505" s="0" t="s">
        <v>171</v>
      </c>
      <c r="H17505" s="5">
        <v>121.051500</v>
      </c>
    </row>
    <row r="17506" spans="1:9">
      <c r="A17506" s="22" t="str">
        <f>HYPERLINK("https://app.vivvix.com/360/KMI/IntelliDrive/ApplUI/Pages/CreativePages/CustomReportCreativeDetail.aspx?App=23&amp;ReportView=4&amp;Qid=1711279&amp;Row=17498&amp;Col=1","No Title Assigned - #15276775775")</f>
        <v/>
      </c>
      <c r="B17506" s="0" t="s">
        <v>23216</v>
      </c>
      <c r="E17506" s="0" t="inlineStr">
        <is>
          <t xml:space="preserve">Mazda</t>
        </is>
      </c>
      <c r="F17506" s="0" t="inlineStr">
        <is>
          <t xml:space="preserve">Mazda</t>
        </is>
      </c>
      <c r="G17506" s="0" t="s">
        <v>171</v>
      </c>
      <c r="H17506" s="5">
        <v>109.383300</v>
      </c>
    </row>
    <row r="17507" spans="1:9">
      <c r="A17507" s="22" t="str">
        <f>HYPERLINK("https://app.vivvix.com/360/KMI/IntelliDrive/ApplUI/Pages/CreativePages/CustomReportCreativeDetail.aspx?App=23&amp;ReportView=4&amp;Qid=1711279&amp;Row=17499&amp;Col=1","No Title Assigned - #15276776050")</f>
        <v/>
      </c>
      <c r="B17507" s="0" t="s">
        <v>23217</v>
      </c>
      <c r="E17507" s="0" t="inlineStr">
        <is>
          <t xml:space="preserve">Mazda</t>
        </is>
      </c>
      <c r="F17507" s="0" t="inlineStr">
        <is>
          <t xml:space="preserve">Mazda</t>
        </is>
      </c>
      <c r="G17507" s="0" t="s">
        <v>171</v>
      </c>
      <c r="H17507" s="5">
        <v>4793.508300</v>
      </c>
    </row>
    <row r="17508" spans="1:9">
      <c r="A17508" s="22" t="str">
        <f>HYPERLINK("https://app.vivvix.com/360/KMI/IntelliDrive/ApplUI/Pages/CreativePages/CustomReportCreativeDetail.aspx?App=23&amp;ReportView=4&amp;Qid=1711279&amp;Row=17500&amp;Col=1","No Title Assigned - #15276776050")</f>
        <v/>
      </c>
      <c r="B17508" s="0" t="s">
        <v>23217</v>
      </c>
      <c r="E17508" s="0" t="inlineStr">
        <is>
          <t xml:space="preserve">Mazda</t>
        </is>
      </c>
      <c r="F17508" s="0" t="inlineStr">
        <is>
          <t xml:space="preserve">Mazda</t>
        </is>
      </c>
      <c r="G17508" s="0" t="s">
        <v>171</v>
      </c>
      <c r="H17508" s="5">
        <v>148.887000</v>
      </c>
    </row>
    <row r="17509" spans="1:9">
      <c r="A17509" s="22" t="str">
        <f>HYPERLINK("https://app.vivvix.com/360/KMI/IntelliDrive/ApplUI/Pages/CreativePages/CustomReportCreativeDetail.aspx?App=23&amp;ReportView=4&amp;Qid=1711279&amp;Row=17501&amp;Col=1","No Title Assigned - #15276776268")</f>
        <v/>
      </c>
      <c r="B17509" s="0" t="s">
        <v>23218</v>
      </c>
      <c r="E17509" s="0" t="inlineStr">
        <is>
          <t xml:space="preserve">Mazda</t>
        </is>
      </c>
      <c r="F17509" s="0" t="inlineStr">
        <is>
          <t xml:space="preserve">Mazda</t>
        </is>
      </c>
      <c r="G17509" s="0" t="s">
        <v>171</v>
      </c>
      <c r="H17509" s="5">
        <v>49.541700</v>
      </c>
    </row>
    <row r="17510" spans="1:9">
      <c r="A17510" s="22" t="str">
        <f>HYPERLINK("https://app.vivvix.com/360/KMI/IntelliDrive/ApplUI/Pages/CreativePages/CustomReportCreativeDetail.aspx?App=23&amp;ReportView=4&amp;Qid=1711279&amp;Row=17502&amp;Col=1","No Title Assigned - #15276776452")</f>
        <v/>
      </c>
      <c r="B17510" s="0" t="s">
        <v>23219</v>
      </c>
      <c r="E17510" s="0" t="inlineStr">
        <is>
          <t xml:space="preserve">Mazda</t>
        </is>
      </c>
      <c r="F17510" s="0" t="inlineStr">
        <is>
          <t xml:space="preserve">Mazda</t>
        </is>
      </c>
      <c r="G17510" s="0" t="s">
        <v>171</v>
      </c>
      <c r="H17510" s="5">
        <v>18131.408500</v>
      </c>
    </row>
    <row r="17511" spans="1:9">
      <c r="A17511" s="22" t="str">
        <f>HYPERLINK("https://app.vivvix.com/360/KMI/IntelliDrive/ApplUI/Pages/CreativePages/CustomReportCreativeDetail.aspx?App=23&amp;ReportView=4&amp;Qid=1711279&amp;Row=17503&amp;Col=1","No Title Assigned - #15276776521")</f>
        <v/>
      </c>
      <c r="B17511" s="0" t="s">
        <v>23220</v>
      </c>
      <c r="E17511" s="0" t="inlineStr">
        <is>
          <t xml:space="preserve">Mazda</t>
        </is>
      </c>
      <c r="F17511" s="0" t="inlineStr">
        <is>
          <t xml:space="preserve">Mazda</t>
        </is>
      </c>
      <c r="G17511" s="0" t="s">
        <v>171</v>
      </c>
      <c r="H17511" s="5">
        <v>24818.987300</v>
      </c>
    </row>
    <row r="17512" spans="1:9">
      <c r="A17512" s="22" t="str">
        <f>HYPERLINK("https://app.vivvix.com/360/KMI/IntelliDrive/ApplUI/Pages/CreativePages/CustomReportCreativeDetail.aspx?App=23&amp;ReportView=4&amp;Qid=1711279&amp;Row=17504&amp;Col=1","No Title Assigned - #15276776642")</f>
        <v/>
      </c>
      <c r="B17512" s="0" t="s">
        <v>23221</v>
      </c>
      <c r="E17512" s="0" t="inlineStr">
        <is>
          <t xml:space="preserve">Mazda</t>
        </is>
      </c>
      <c r="F17512" s="0" t="inlineStr">
        <is>
          <t xml:space="preserve">Mazda</t>
        </is>
      </c>
      <c r="G17512" s="0" t="s">
        <v>171</v>
      </c>
      <c r="H17512" s="5">
        <v>2705.547500</v>
      </c>
    </row>
    <row r="17513" spans="1:9">
      <c r="A17513" s="22" t="str">
        <f>HYPERLINK("https://app.vivvix.com/360/KMI/IntelliDrive/ApplUI/Pages/CreativePages/CustomReportCreativeDetail.aspx?App=23&amp;ReportView=4&amp;Qid=1711279&amp;Row=17505&amp;Col=1","No Title Assigned - #15276776700")</f>
        <v/>
      </c>
      <c r="B17513" s="0" t="s">
        <v>23222</v>
      </c>
      <c r="E17513" s="0" t="inlineStr">
        <is>
          <t xml:space="preserve">Mazda</t>
        </is>
      </c>
      <c r="F17513" s="0" t="inlineStr">
        <is>
          <t xml:space="preserve">Mazda</t>
        </is>
      </c>
      <c r="G17513" s="0" t="s">
        <v>171</v>
      </c>
      <c r="H17513" s="5">
        <v>342.823100</v>
      </c>
    </row>
    <row r="17514" spans="1:9">
      <c r="A17514" s="22" t="str">
        <f>HYPERLINK("https://app.vivvix.com/360/KMI/IntelliDrive/ApplUI/Pages/CreativePages/CustomReportCreativeDetail.aspx?App=23&amp;ReportView=4&amp;Qid=1711279&amp;Row=17506&amp;Col=1","No Title Assigned - #15276776770")</f>
        <v/>
      </c>
      <c r="B17514" s="0" t="s">
        <v>23223</v>
      </c>
      <c r="E17514" s="0" t="inlineStr">
        <is>
          <t xml:space="preserve">Mazda</t>
        </is>
      </c>
      <c r="F17514" s="0" t="inlineStr">
        <is>
          <t xml:space="preserve">Mazda</t>
        </is>
      </c>
      <c r="G17514" s="0" t="s">
        <v>171</v>
      </c>
      <c r="H17514" s="5">
        <v>16020.857000</v>
      </c>
    </row>
    <row r="17515" spans="1:9">
      <c r="A17515" s="22" t="str">
        <f>HYPERLINK("https://app.vivvix.com/360/KMI/IntelliDrive/ApplUI/Pages/CreativePages/CustomReportCreativeDetail.aspx?App=23&amp;ReportView=4&amp;Qid=1711279&amp;Row=17507&amp;Col=1","No Title Assigned - #15276777137")</f>
        <v/>
      </c>
      <c r="B17515" s="0" t="s">
        <v>23224</v>
      </c>
      <c r="E17515" s="0" t="inlineStr">
        <is>
          <t xml:space="preserve">Mazda</t>
        </is>
      </c>
      <c r="F17515" s="0" t="inlineStr">
        <is>
          <t xml:space="preserve">Mazda</t>
        </is>
      </c>
      <c r="G17515" s="0" t="s">
        <v>171</v>
      </c>
      <c r="H17515" s="5">
        <v>13.224400</v>
      </c>
    </row>
    <row r="17516" spans="1:9">
      <c r="A17516" s="22" t="str">
        <f>HYPERLINK("https://app.vivvix.com/360/KMI/IntelliDrive/ApplUI/Pages/CreativePages/CustomReportCreativeDetail.aspx?App=23&amp;ReportView=4&amp;Qid=1711279&amp;Row=17508&amp;Col=1","No Title Assigned - #15276777361")</f>
        <v/>
      </c>
      <c r="B17516" s="0" t="s">
        <v>23225</v>
      </c>
      <c r="E17516" s="0" t="inlineStr">
        <is>
          <t xml:space="preserve">Mazda</t>
        </is>
      </c>
      <c r="F17516" s="0" t="inlineStr">
        <is>
          <t xml:space="preserve">Mazda</t>
        </is>
      </c>
      <c r="G17516" s="0" t="s">
        <v>171</v>
      </c>
      <c r="H17516" s="5">
        <v>26.216700</v>
      </c>
    </row>
    <row r="17517" spans="1:9">
      <c r="A17517" s="22" t="str">
        <f>HYPERLINK("https://app.vivvix.com/360/KMI/IntelliDrive/ApplUI/Pages/CreativePages/CustomReportCreativeDetail.aspx?App=23&amp;ReportView=4&amp;Qid=1711279&amp;Row=17509&amp;Col=1","No Title Assigned - #15276777420")</f>
        <v/>
      </c>
      <c r="B17517" s="0" t="s">
        <v>23226</v>
      </c>
      <c r="E17517" s="0" t="inlineStr">
        <is>
          <t xml:space="preserve">Mazda</t>
        </is>
      </c>
      <c r="F17517" s="0" t="inlineStr">
        <is>
          <t xml:space="preserve">Mazda</t>
        </is>
      </c>
      <c r="G17517" s="0" t="s">
        <v>171</v>
      </c>
      <c r="H17517" s="5">
        <v>4521.532600</v>
      </c>
    </row>
    <row r="17518" spans="1:9">
      <c r="A17518" s="22" t="str">
        <f>HYPERLINK("https://app.vivvix.com/360/KMI/IntelliDrive/ApplUI/Pages/CreativePages/CustomReportCreativeDetail.aspx?App=23&amp;ReportView=4&amp;Qid=1711279&amp;Row=17510&amp;Col=1","No Title Assigned - #15276777420")</f>
        <v/>
      </c>
      <c r="B17518" s="0" t="s">
        <v>23226</v>
      </c>
      <c r="E17518" s="0" t="inlineStr">
        <is>
          <t xml:space="preserve">Mazda</t>
        </is>
      </c>
      <c r="F17518" s="0" t="inlineStr">
        <is>
          <t xml:space="preserve">Mazda</t>
        </is>
      </c>
      <c r="G17518" s="0" t="s">
        <v>171</v>
      </c>
      <c r="H17518" s="5">
        <v>47542.966300</v>
      </c>
    </row>
    <row r="17519" spans="1:9">
      <c r="A17519" s="22" t="str">
        <f>HYPERLINK("https://app.vivvix.com/360/KMI/IntelliDrive/ApplUI/Pages/CreativePages/CustomReportCreativeDetail.aspx?App=23&amp;ReportView=4&amp;Qid=1711279&amp;Row=17511&amp;Col=1","No Title Assigned - #15276777623")</f>
        <v/>
      </c>
      <c r="B17519" s="0" t="s">
        <v>23227</v>
      </c>
      <c r="E17519" s="0" t="inlineStr">
        <is>
          <t xml:space="preserve">Mazda</t>
        </is>
      </c>
      <c r="F17519" s="0" t="inlineStr">
        <is>
          <t xml:space="preserve">Mazda</t>
        </is>
      </c>
      <c r="G17519" s="0" t="s">
        <v>171</v>
      </c>
      <c r="H17519" s="5">
        <v>63.203500</v>
      </c>
    </row>
    <row r="17520" spans="1:9">
      <c r="A17520" s="22" t="str">
        <f>HYPERLINK("https://app.vivvix.com/360/KMI/IntelliDrive/ApplUI/Pages/CreativePages/CustomReportCreativeDetail.aspx?App=23&amp;ReportView=4&amp;Qid=1711279&amp;Row=17512&amp;Col=1","No Title Assigned - #15276777689")</f>
        <v/>
      </c>
      <c r="B17520" s="0" t="s">
        <v>23228</v>
      </c>
      <c r="E17520" s="0" t="inlineStr">
        <is>
          <t xml:space="preserve">Mazda</t>
        </is>
      </c>
      <c r="F17520" s="0" t="inlineStr">
        <is>
          <t xml:space="preserve">Mazda</t>
        </is>
      </c>
      <c r="G17520" s="0" t="s">
        <v>171</v>
      </c>
      <c r="H17520" s="5">
        <v>86.331800</v>
      </c>
    </row>
    <row r="17521" spans="1:9">
      <c r="A17521" s="22" t="str">
        <f>HYPERLINK("https://app.vivvix.com/360/KMI/IntelliDrive/ApplUI/Pages/CreativePages/CustomReportCreativeDetail.aspx?App=23&amp;ReportView=4&amp;Qid=1711279&amp;Row=17513&amp;Col=1","No Title Assigned - #15276778199")</f>
        <v/>
      </c>
      <c r="B17521" s="0" t="s">
        <v>23229</v>
      </c>
      <c r="E17521" s="0" t="inlineStr">
        <is>
          <t xml:space="preserve">Mazda</t>
        </is>
      </c>
      <c r="F17521" s="0" t="inlineStr">
        <is>
          <t xml:space="preserve">Mazda</t>
        </is>
      </c>
      <c r="G17521" s="0" t="s">
        <v>171</v>
      </c>
      <c r="H17521" s="5">
        <v>292.568900</v>
      </c>
    </row>
    <row r="17522" spans="1:9">
      <c r="A17522" s="22" t="str">
        <f>HYPERLINK("https://app.vivvix.com/360/KMI/IntelliDrive/ApplUI/Pages/CreativePages/CustomReportCreativeDetail.aspx?App=23&amp;ReportView=4&amp;Qid=1711279&amp;Row=17514&amp;Col=1","No Title Assigned - #15276778217")</f>
        <v/>
      </c>
      <c r="B17522" s="0" t="s">
        <v>23230</v>
      </c>
      <c r="C17522" s="0" t="s">
        <v>23231</v>
      </c>
      <c r="D17522" s="0" t="s">
        <v>23231</v>
      </c>
      <c r="E17522" s="0" t="inlineStr">
        <is>
          <t xml:space="preserve">Mazda</t>
        </is>
      </c>
      <c r="F17522" s="0" t="inlineStr">
        <is>
          <t xml:space="preserve">Mazda</t>
        </is>
      </c>
      <c r="G17522" s="0" t="s">
        <v>171</v>
      </c>
      <c r="H17522" s="5">
        <v>747.985900</v>
      </c>
    </row>
    <row r="17523" spans="1:9">
      <c r="A17523" s="22" t="str">
        <f>HYPERLINK("https://app.vivvix.com/360/KMI/IntelliDrive/ApplUI/Pages/CreativePages/CustomReportCreativeDetail.aspx?App=23&amp;ReportView=4&amp;Qid=1711279&amp;Row=17515&amp;Col=1","No Title Assigned - #15276778256")</f>
        <v/>
      </c>
      <c r="B17523" s="0" t="s">
        <v>23232</v>
      </c>
      <c r="E17523" s="0" t="inlineStr">
        <is>
          <t xml:space="preserve">Mazda</t>
        </is>
      </c>
      <c r="F17523" s="0" t="inlineStr">
        <is>
          <t xml:space="preserve">Mazda</t>
        </is>
      </c>
      <c r="G17523" s="0" t="s">
        <v>171</v>
      </c>
      <c r="H17523" s="5">
        <v>137.785200</v>
      </c>
    </row>
    <row r="17524" spans="1:9">
      <c r="A17524" s="22" t="str">
        <f>HYPERLINK("https://app.vivvix.com/360/KMI/IntelliDrive/ApplUI/Pages/CreativePages/CustomReportCreativeDetail.aspx?App=23&amp;ReportView=4&amp;Qid=1711279&amp;Row=17516&amp;Col=1","No Title Assigned - #15276778320")</f>
        <v/>
      </c>
      <c r="B17524" s="0" t="s">
        <v>23233</v>
      </c>
      <c r="E17524" s="0" t="inlineStr">
        <is>
          <t xml:space="preserve">Mazda</t>
        </is>
      </c>
      <c r="F17524" s="0" t="inlineStr">
        <is>
          <t xml:space="preserve">Mazda</t>
        </is>
      </c>
      <c r="G17524" s="0" t="s">
        <v>171</v>
      </c>
      <c r="H17524" s="5">
        <v>386.081800</v>
      </c>
    </row>
    <row r="17525" spans="1:9">
      <c r="A17525" s="22" t="str">
        <f>HYPERLINK("https://app.vivvix.com/360/KMI/IntelliDrive/ApplUI/Pages/CreativePages/CustomReportCreativeDetail.aspx?App=23&amp;ReportView=4&amp;Qid=1711279&amp;Row=17517&amp;Col=1","No Title Assigned - #15276779596")</f>
        <v/>
      </c>
      <c r="B17525" s="0" t="s">
        <v>23234</v>
      </c>
      <c r="E17525" s="0" t="inlineStr">
        <is>
          <t xml:space="preserve">Mazda</t>
        </is>
      </c>
      <c r="F17525" s="0" t="inlineStr">
        <is>
          <t xml:space="preserve">Mazda</t>
        </is>
      </c>
      <c r="G17525" s="0" t="s">
        <v>171</v>
      </c>
      <c r="H17525" s="5">
        <v>111643.295800</v>
      </c>
    </row>
    <row r="17526" spans="1:9">
      <c r="A17526" s="22" t="str">
        <f>HYPERLINK("https://app.vivvix.com/360/KMI/IntelliDrive/ApplUI/Pages/CreativePages/CustomReportCreativeDetail.aspx?App=23&amp;ReportView=4&amp;Qid=1711279&amp;Row=17518&amp;Col=1","No Title Assigned - #15276779632")</f>
        <v/>
      </c>
      <c r="B17526" s="0" t="s">
        <v>23235</v>
      </c>
      <c r="E17526" s="0" t="inlineStr">
        <is>
          <t xml:space="preserve">Mazda</t>
        </is>
      </c>
      <c r="F17526" s="0" t="inlineStr">
        <is>
          <t xml:space="preserve">Mazda</t>
        </is>
      </c>
      <c r="G17526" s="0" t="s">
        <v>171</v>
      </c>
      <c r="H17526" s="5">
        <v>1735.679600</v>
      </c>
    </row>
    <row r="17527" spans="1:9">
      <c r="A17527" s="22" t="str">
        <f>HYPERLINK("https://app.vivvix.com/360/KMI/IntelliDrive/ApplUI/Pages/CreativePages/CustomReportCreativeDetail.aspx?App=23&amp;ReportView=4&amp;Qid=1711279&amp;Row=17519&amp;Col=1","No Title Assigned - #15276779632")</f>
        <v/>
      </c>
      <c r="B17527" s="0" t="s">
        <v>23235</v>
      </c>
      <c r="E17527" s="0" t="inlineStr">
        <is>
          <t xml:space="preserve">Mazda</t>
        </is>
      </c>
      <c r="F17527" s="0" t="inlineStr">
        <is>
          <t xml:space="preserve">Mazda</t>
        </is>
      </c>
      <c r="G17527" s="0" t="s">
        <v>171</v>
      </c>
      <c r="H17527" s="5">
        <v>954.833600</v>
      </c>
    </row>
    <row r="17528" spans="1:9">
      <c r="A17528" s="22" t="str">
        <f>HYPERLINK("https://app.vivvix.com/360/KMI/IntelliDrive/ApplUI/Pages/CreativePages/CustomReportCreativeDetail.aspx?App=23&amp;ReportView=4&amp;Qid=1711279&amp;Row=17520&amp;Col=1","No Title Assigned - #15276779715")</f>
        <v/>
      </c>
      <c r="B17528" s="0" t="s">
        <v>23236</v>
      </c>
      <c r="E17528" s="0" t="inlineStr">
        <is>
          <t xml:space="preserve">Mazda</t>
        </is>
      </c>
      <c r="F17528" s="0" t="inlineStr">
        <is>
          <t xml:space="preserve">Mazda</t>
        </is>
      </c>
      <c r="G17528" s="0" t="s">
        <v>171</v>
      </c>
      <c r="H17528" s="5">
        <v>400.187000</v>
      </c>
    </row>
    <row r="17529" spans="1:9">
      <c r="A17529" s="22" t="str">
        <f>HYPERLINK("https://app.vivvix.com/360/KMI/IntelliDrive/ApplUI/Pages/CreativePages/CustomReportCreativeDetail.aspx?App=23&amp;ReportView=4&amp;Qid=1711279&amp;Row=17521&amp;Col=1","No Title Assigned - #15276779799")</f>
        <v/>
      </c>
      <c r="B17529" s="0" t="s">
        <v>23237</v>
      </c>
      <c r="E17529" s="0" t="inlineStr">
        <is>
          <t xml:space="preserve">Mazda</t>
        </is>
      </c>
      <c r="F17529" s="0" t="inlineStr">
        <is>
          <t xml:space="preserve">Mazda</t>
        </is>
      </c>
      <c r="G17529" s="0" t="s">
        <v>171</v>
      </c>
      <c r="H17529" s="5">
        <v>1547.542400</v>
      </c>
    </row>
    <row r="17530" spans="1:9">
      <c r="A17530" s="22" t="str">
        <f>HYPERLINK("https://app.vivvix.com/360/KMI/IntelliDrive/ApplUI/Pages/CreativePages/CustomReportCreativeDetail.aspx?App=23&amp;ReportView=4&amp;Qid=1711279&amp;Row=17522&amp;Col=1","No Title Assigned - #15276779848")</f>
        <v/>
      </c>
      <c r="B17530" s="0" t="s">
        <v>23238</v>
      </c>
      <c r="C17530" s="0" t="s">
        <v>23239</v>
      </c>
      <c r="D17530" s="0" t="s">
        <v>23239</v>
      </c>
      <c r="E17530" s="0" t="inlineStr">
        <is>
          <t xml:space="preserve">Mazda</t>
        </is>
      </c>
      <c r="F17530" s="0" t="s">
        <v>13</v>
      </c>
      <c r="G17530" s="0" t="s">
        <v>49</v>
      </c>
      <c r="H17530" s="5">
        <v>15.110500</v>
      </c>
    </row>
    <row r="17531" spans="1:9">
      <c r="A17531" s="22" t="str">
        <f>HYPERLINK("https://app.vivvix.com/360/KMI/IntelliDrive/ApplUI/Pages/CreativePages/CustomReportCreativeDetail.aspx?App=23&amp;ReportView=4&amp;Qid=1711279&amp;Row=17523&amp;Col=1","No Title Assigned - #15276779894")</f>
        <v/>
      </c>
      <c r="B17531" s="0" t="s">
        <v>23240</v>
      </c>
      <c r="E17531" s="0" t="inlineStr">
        <is>
          <t xml:space="preserve">Mazda</t>
        </is>
      </c>
      <c r="F17531" s="0" t="inlineStr">
        <is>
          <t xml:space="preserve">Mazda</t>
        </is>
      </c>
      <c r="G17531" s="0" t="s">
        <v>171</v>
      </c>
      <c r="H17531" s="5">
        <v>242.635100</v>
      </c>
    </row>
    <row r="17532" spans="1:9">
      <c r="A17532" s="22" t="str">
        <f>HYPERLINK("https://app.vivvix.com/360/KMI/IntelliDrive/ApplUI/Pages/CreativePages/CustomReportCreativeDetail.aspx?App=23&amp;ReportView=4&amp;Qid=1711279&amp;Row=17524&amp;Col=1","No Title Assigned - #15276779981")</f>
        <v/>
      </c>
      <c r="B17532" s="0" t="s">
        <v>23241</v>
      </c>
      <c r="E17532" s="0" t="inlineStr">
        <is>
          <t xml:space="preserve">Mazda</t>
        </is>
      </c>
      <c r="F17532" s="0" t="inlineStr">
        <is>
          <t xml:space="preserve">Mazda</t>
        </is>
      </c>
      <c r="G17532" s="0" t="s">
        <v>171</v>
      </c>
      <c r="H17532" s="5">
        <v>7827.642000</v>
      </c>
    </row>
    <row r="17533" spans="1:9">
      <c r="A17533" s="22" t="str">
        <f>HYPERLINK("https://app.vivvix.com/360/KMI/IntelliDrive/ApplUI/Pages/CreativePages/CustomReportCreativeDetail.aspx?App=23&amp;ReportView=4&amp;Qid=1711279&amp;Row=17525&amp;Col=1","No Title Assigned - #15276780033")</f>
        <v/>
      </c>
      <c r="B17533" s="0" t="s">
        <v>23242</v>
      </c>
      <c r="E17533" s="0" t="inlineStr">
        <is>
          <t xml:space="preserve">Mazda</t>
        </is>
      </c>
      <c r="F17533" s="0" t="inlineStr">
        <is>
          <t xml:space="preserve">Mazda</t>
        </is>
      </c>
      <c r="G17533" s="0" t="s">
        <v>171</v>
      </c>
      <c r="H17533" s="5">
        <v>266.689200</v>
      </c>
    </row>
    <row r="17534" spans="1:9">
      <c r="A17534" s="22" t="str">
        <f>HYPERLINK("https://app.vivvix.com/360/KMI/IntelliDrive/ApplUI/Pages/CreativePages/CustomReportCreativeDetail.aspx?App=23&amp;ReportView=4&amp;Qid=1711279&amp;Row=17526&amp;Col=1","No Title Assigned - #15276780096")</f>
        <v/>
      </c>
      <c r="B17534" s="0" t="s">
        <v>23243</v>
      </c>
      <c r="E17534" s="0" t="inlineStr">
        <is>
          <t xml:space="preserve">Mazda</t>
        </is>
      </c>
      <c r="F17534" s="0" t="inlineStr">
        <is>
          <t xml:space="preserve">Mazda</t>
        </is>
      </c>
      <c r="G17534" s="0" t="s">
        <v>171</v>
      </c>
      <c r="H17534" s="5">
        <v>125.759200</v>
      </c>
    </row>
    <row r="17535" spans="1:9">
      <c r="A17535" s="22" t="str">
        <f>HYPERLINK("https://app.vivvix.com/360/KMI/IntelliDrive/ApplUI/Pages/CreativePages/CustomReportCreativeDetail.aspx?App=23&amp;ReportView=4&amp;Qid=1711279&amp;Row=17527&amp;Col=1","No Title Assigned - #15276780119")</f>
        <v/>
      </c>
      <c r="B17535" s="0" t="s">
        <v>23244</v>
      </c>
      <c r="E17535" s="0" t="inlineStr">
        <is>
          <t xml:space="preserve">Mazda</t>
        </is>
      </c>
      <c r="F17535" s="0" t="inlineStr">
        <is>
          <t xml:space="preserve">Mazda</t>
        </is>
      </c>
      <c r="G17535" s="0" t="s">
        <v>171</v>
      </c>
      <c r="H17535" s="5">
        <v>1151.279000</v>
      </c>
    </row>
    <row r="17536" spans="1:9">
      <c r="A17536" s="22" t="str">
        <f>HYPERLINK("https://app.vivvix.com/360/KMI/IntelliDrive/ApplUI/Pages/CreativePages/CustomReportCreativeDetail.aspx?App=23&amp;ReportView=4&amp;Qid=1711279&amp;Row=17528&amp;Col=1","No Title Assigned - #15276780246")</f>
        <v/>
      </c>
      <c r="B17536" s="0" t="s">
        <v>23245</v>
      </c>
      <c r="E17536" s="0" t="inlineStr">
        <is>
          <t xml:space="preserve">Mazda</t>
        </is>
      </c>
      <c r="F17536" s="0" t="inlineStr">
        <is>
          <t xml:space="preserve">Mazda</t>
        </is>
      </c>
      <c r="G17536" s="0" t="s">
        <v>171</v>
      </c>
      <c r="H17536" s="5">
        <v>673.212300</v>
      </c>
    </row>
    <row r="17537" spans="1:9">
      <c r="A17537" s="22" t="str">
        <f>HYPERLINK("https://app.vivvix.com/360/KMI/IntelliDrive/ApplUI/Pages/CreativePages/CustomReportCreativeDetail.aspx?App=23&amp;ReportView=4&amp;Qid=1711279&amp;Row=17529&amp;Col=1","No Title Assigned - #15276780263")</f>
        <v/>
      </c>
      <c r="B17537" s="0" t="s">
        <v>23246</v>
      </c>
      <c r="E17537" s="0" t="inlineStr">
        <is>
          <t xml:space="preserve">Mazda</t>
        </is>
      </c>
      <c r="F17537" s="0" t="inlineStr">
        <is>
          <t xml:space="preserve">Mazda</t>
        </is>
      </c>
      <c r="G17537" s="0" t="s">
        <v>171</v>
      </c>
      <c r="H17537" s="5">
        <v>200.518600</v>
      </c>
    </row>
    <row r="17538" spans="1:9">
      <c r="A17538" s="22" t="str">
        <f>HYPERLINK("https://app.vivvix.com/360/KMI/IntelliDrive/ApplUI/Pages/CreativePages/CustomReportCreativeDetail.aspx?App=23&amp;ReportView=4&amp;Qid=1711279&amp;Row=17530&amp;Col=1","No Title Assigned - #15276780319")</f>
        <v/>
      </c>
      <c r="B17538" s="0" t="s">
        <v>23247</v>
      </c>
      <c r="E17538" s="0" t="inlineStr">
        <is>
          <t xml:space="preserve">Mazda</t>
        </is>
      </c>
      <c r="F17538" s="0" t="inlineStr">
        <is>
          <t xml:space="preserve">Mazda</t>
        </is>
      </c>
      <c r="G17538" s="0" t="s">
        <v>171</v>
      </c>
      <c r="H17538" s="5">
        <v>22959.987000</v>
      </c>
    </row>
    <row r="17539" spans="1:9">
      <c r="A17539" s="22" t="str">
        <f>HYPERLINK("https://app.vivvix.com/360/KMI/IntelliDrive/ApplUI/Pages/CreativePages/CustomReportCreativeDetail.aspx?App=23&amp;ReportView=4&amp;Qid=1711279&amp;Row=17531&amp;Col=1","No Title Assigned - #15276780538")</f>
        <v/>
      </c>
      <c r="B17539" s="0" t="s">
        <v>23248</v>
      </c>
      <c r="E17539" s="0" t="inlineStr">
        <is>
          <t xml:space="preserve">Mazda</t>
        </is>
      </c>
      <c r="F17539" s="0" t="inlineStr">
        <is>
          <t xml:space="preserve">Mazda</t>
        </is>
      </c>
      <c r="G17539" s="0" t="s">
        <v>171</v>
      </c>
      <c r="H17539" s="5">
        <v>1254.282200</v>
      </c>
    </row>
    <row r="17540" spans="1:9">
      <c r="A17540" s="22" t="str">
        <f>HYPERLINK("https://app.vivvix.com/360/KMI/IntelliDrive/ApplUI/Pages/CreativePages/CustomReportCreativeDetail.aspx?App=23&amp;ReportView=4&amp;Qid=1711279&amp;Row=17532&amp;Col=1","No Title Assigned - #15276780549")</f>
        <v/>
      </c>
      <c r="B17540" s="0" t="s">
        <v>23249</v>
      </c>
      <c r="E17540" s="0" t="inlineStr">
        <is>
          <t xml:space="preserve">Mazda</t>
        </is>
      </c>
      <c r="F17540" s="0" t="inlineStr">
        <is>
          <t xml:space="preserve">Mazda</t>
        </is>
      </c>
      <c r="G17540" s="0" t="s">
        <v>171</v>
      </c>
      <c r="H17540" s="5">
        <v>381.750500</v>
      </c>
    </row>
    <row r="17541" spans="1:9">
      <c r="A17541" s="22" t="str">
        <f>HYPERLINK("https://app.vivvix.com/360/KMI/IntelliDrive/ApplUI/Pages/CreativePages/CustomReportCreativeDetail.aspx?App=23&amp;ReportView=4&amp;Qid=1711279&amp;Row=17533&amp;Col=1","No Title Assigned - #15276780802")</f>
        <v/>
      </c>
      <c r="B17541" s="0" t="s">
        <v>23250</v>
      </c>
      <c r="E17541" s="0" t="inlineStr">
        <is>
          <t xml:space="preserve">Mazda</t>
        </is>
      </c>
      <c r="F17541" s="0" t="inlineStr">
        <is>
          <t xml:space="preserve">Mazda</t>
        </is>
      </c>
      <c r="G17541" s="0" t="s">
        <v>171</v>
      </c>
      <c r="H17541" s="5">
        <v>357.648700</v>
      </c>
    </row>
    <row r="17542" spans="1:9">
      <c r="A17542" s="22" t="str">
        <f>HYPERLINK("https://app.vivvix.com/360/KMI/IntelliDrive/ApplUI/Pages/CreativePages/CustomReportCreativeDetail.aspx?App=23&amp;ReportView=4&amp;Qid=1711279&amp;Row=17534&amp;Col=1","No Title Assigned - #15276780890")</f>
        <v/>
      </c>
      <c r="B17542" s="0" t="s">
        <v>23251</v>
      </c>
      <c r="E17542" s="0" t="inlineStr">
        <is>
          <t xml:space="preserve">Mazda</t>
        </is>
      </c>
      <c r="F17542" s="0" t="inlineStr">
        <is>
          <t xml:space="preserve">Mazda</t>
        </is>
      </c>
      <c r="G17542" s="0" t="s">
        <v>171</v>
      </c>
      <c r="H17542" s="5">
        <v>12.199800</v>
      </c>
    </row>
    <row r="17543" spans="1:9">
      <c r="A17543" s="22" t="str">
        <f>HYPERLINK("https://app.vivvix.com/360/KMI/IntelliDrive/ApplUI/Pages/CreativePages/CustomReportCreativeDetail.aspx?App=23&amp;ReportView=4&amp;Qid=1711279&amp;Row=17535&amp;Col=1","No Title Assigned - #15276780921")</f>
        <v/>
      </c>
      <c r="B17543" s="0" t="s">
        <v>23252</v>
      </c>
      <c r="E17543" s="0" t="inlineStr">
        <is>
          <t xml:space="preserve">Mazda</t>
        </is>
      </c>
      <c r="F17543" s="0" t="inlineStr">
        <is>
          <t xml:space="preserve">Mazda</t>
        </is>
      </c>
      <c r="G17543" s="0" t="s">
        <v>171</v>
      </c>
      <c r="H17543" s="5">
        <v>240.132700</v>
      </c>
    </row>
    <row r="17544" spans="1:9">
      <c r="A17544" s="22" t="str">
        <f>HYPERLINK("https://app.vivvix.com/360/KMI/IntelliDrive/ApplUI/Pages/CreativePages/CustomReportCreativeDetail.aspx?App=23&amp;ReportView=4&amp;Qid=1711279&amp;Row=17536&amp;Col=1","No Title Assigned - #15276780933")</f>
        <v/>
      </c>
      <c r="B17544" s="0" t="s">
        <v>23253</v>
      </c>
      <c r="E17544" s="0" t="inlineStr">
        <is>
          <t xml:space="preserve">Mazda</t>
        </is>
      </c>
      <c r="F17544" s="0" t="inlineStr">
        <is>
          <t xml:space="preserve">Mazda</t>
        </is>
      </c>
      <c r="G17544" s="0" t="s">
        <v>171</v>
      </c>
      <c r="H17544" s="5">
        <v>94.651500</v>
      </c>
    </row>
    <row r="17545" spans="1:9">
      <c r="A17545" s="22" t="str">
        <f>HYPERLINK("https://app.vivvix.com/360/KMI/IntelliDrive/ApplUI/Pages/CreativePages/CustomReportCreativeDetail.aspx?App=23&amp;ReportView=4&amp;Qid=1711279&amp;Row=17537&amp;Col=1","No Title Assigned - #15276780985")</f>
        <v/>
      </c>
      <c r="B17545" s="0" t="s">
        <v>23254</v>
      </c>
      <c r="E17545" s="0" t="inlineStr">
        <is>
          <t xml:space="preserve">Mazda</t>
        </is>
      </c>
      <c r="F17545" s="0" t="inlineStr">
        <is>
          <t xml:space="preserve">Mazda</t>
        </is>
      </c>
      <c r="G17545" s="0" t="s">
        <v>171</v>
      </c>
      <c r="H17545" s="5">
        <v>899.949700</v>
      </c>
    </row>
    <row r="17546" spans="1:9">
      <c r="A17546" s="22" t="str">
        <f>HYPERLINK("https://app.vivvix.com/360/KMI/IntelliDrive/ApplUI/Pages/CreativePages/CustomReportCreativeDetail.aspx?App=23&amp;ReportView=4&amp;Qid=1711279&amp;Row=17538&amp;Col=1","No Title Assigned - #15276781056")</f>
        <v/>
      </c>
      <c r="B17546" s="0" t="s">
        <v>23255</v>
      </c>
      <c r="E17546" s="0" t="inlineStr">
        <is>
          <t xml:space="preserve">Mazda</t>
        </is>
      </c>
      <c r="F17546" s="0" t="inlineStr">
        <is>
          <t xml:space="preserve">Mazda</t>
        </is>
      </c>
      <c r="G17546" s="0" t="s">
        <v>171</v>
      </c>
      <c r="H17546" s="5">
        <v>222.404100</v>
      </c>
    </row>
    <row r="17547" spans="1:9">
      <c r="A17547" s="22" t="str">
        <f>HYPERLINK("https://app.vivvix.com/360/KMI/IntelliDrive/ApplUI/Pages/CreativePages/CustomReportCreativeDetail.aspx?App=23&amp;ReportView=4&amp;Qid=1711279&amp;Row=17539&amp;Col=1","No Title Assigned - #15276781152")</f>
        <v/>
      </c>
      <c r="B17547" s="0" t="s">
        <v>23256</v>
      </c>
      <c r="E17547" s="0" t="inlineStr">
        <is>
          <t xml:space="preserve">Mazda</t>
        </is>
      </c>
      <c r="F17547" s="0" t="inlineStr">
        <is>
          <t xml:space="preserve">Mazda</t>
        </is>
      </c>
      <c r="G17547" s="0" t="s">
        <v>171</v>
      </c>
      <c r="H17547" s="5">
        <v>80.501000</v>
      </c>
    </row>
    <row r="17548" spans="1:9">
      <c r="A17548" s="22" t="str">
        <f>HYPERLINK("https://app.vivvix.com/360/KMI/IntelliDrive/ApplUI/Pages/CreativePages/CustomReportCreativeDetail.aspx?App=23&amp;ReportView=4&amp;Qid=1711279&amp;Row=17540&amp;Col=1","No Title Assigned - #15276781228")</f>
        <v/>
      </c>
      <c r="B17548" s="0" t="s">
        <v>23257</v>
      </c>
      <c r="E17548" s="0" t="inlineStr">
        <is>
          <t xml:space="preserve">Mazda</t>
        </is>
      </c>
      <c r="F17548" s="0" t="inlineStr">
        <is>
          <t xml:space="preserve">Mazda</t>
        </is>
      </c>
      <c r="G17548" s="0" t="s">
        <v>171</v>
      </c>
      <c r="H17548" s="5">
        <v>9772.303900</v>
      </c>
    </row>
    <row r="17549" spans="1:9">
      <c r="A17549" s="22" t="str">
        <f>HYPERLINK("https://app.vivvix.com/360/KMI/IntelliDrive/ApplUI/Pages/CreativePages/CustomReportCreativeDetail.aspx?App=23&amp;ReportView=4&amp;Qid=1711279&amp;Row=17541&amp;Col=1","No Title Assigned - #15276781344")</f>
        <v/>
      </c>
      <c r="B17549" s="0" t="s">
        <v>23258</v>
      </c>
      <c r="E17549" s="0" t="inlineStr">
        <is>
          <t xml:space="preserve">Mazda</t>
        </is>
      </c>
      <c r="F17549" s="0" t="inlineStr">
        <is>
          <t xml:space="preserve">Mazda</t>
        </is>
      </c>
      <c r="G17549" s="0" t="s">
        <v>171</v>
      </c>
      <c r="H17549" s="5">
        <v>0.796900</v>
      </c>
    </row>
    <row r="17550" spans="1:9">
      <c r="A17550" s="22" t="str">
        <f>HYPERLINK("https://app.vivvix.com/360/KMI/IntelliDrive/ApplUI/Pages/CreativePages/CustomReportCreativeDetail.aspx?App=23&amp;ReportView=4&amp;Qid=1711279&amp;Row=17542&amp;Col=1","No Title Assigned - #15276781369")</f>
        <v/>
      </c>
      <c r="B17550" s="0" t="s">
        <v>23259</v>
      </c>
      <c r="E17550" s="0" t="inlineStr">
        <is>
          <t xml:space="preserve">Mazda</t>
        </is>
      </c>
      <c r="F17550" s="0" t="inlineStr">
        <is>
          <t xml:space="preserve">Mazda</t>
        </is>
      </c>
      <c r="G17550" s="0" t="s">
        <v>171</v>
      </c>
      <c r="H17550" s="5">
        <v>1076.960800</v>
      </c>
    </row>
    <row r="17551" spans="1:9">
      <c r="A17551" s="22" t="str">
        <f>HYPERLINK("https://app.vivvix.com/360/KMI/IntelliDrive/ApplUI/Pages/CreativePages/CustomReportCreativeDetail.aspx?App=23&amp;ReportView=4&amp;Qid=1711279&amp;Row=17543&amp;Col=1","No Title Assigned - #15276781379")</f>
        <v/>
      </c>
      <c r="B17551" s="0" t="s">
        <v>23260</v>
      </c>
      <c r="E17551" s="0" t="inlineStr">
        <is>
          <t xml:space="preserve">Mazda</t>
        </is>
      </c>
      <c r="F17551" s="0" t="inlineStr">
        <is>
          <t xml:space="preserve">Mazda</t>
        </is>
      </c>
      <c r="G17551" s="0" t="s">
        <v>171</v>
      </c>
      <c r="H17551" s="5">
        <v>91.233400</v>
      </c>
    </row>
    <row r="17552" spans="1:9">
      <c r="A17552" s="22" t="str">
        <f>HYPERLINK("https://app.vivvix.com/360/KMI/IntelliDrive/ApplUI/Pages/CreativePages/CustomReportCreativeDetail.aspx?App=23&amp;ReportView=4&amp;Qid=1711279&amp;Row=17544&amp;Col=1","No Title Assigned - #15276781379")</f>
        <v/>
      </c>
      <c r="B17552" s="0" t="s">
        <v>23260</v>
      </c>
      <c r="E17552" s="0" t="inlineStr">
        <is>
          <t xml:space="preserve">Mazda</t>
        </is>
      </c>
      <c r="F17552" s="0" t="inlineStr">
        <is>
          <t xml:space="preserve">Mazda</t>
        </is>
      </c>
      <c r="G17552" s="0" t="s">
        <v>171</v>
      </c>
      <c r="H17552" s="5">
        <v>16.780700</v>
      </c>
    </row>
    <row r="17553" spans="1:9">
      <c r="A17553" s="22" t="str">
        <f>HYPERLINK("https://app.vivvix.com/360/KMI/IntelliDrive/ApplUI/Pages/CreativePages/CustomReportCreativeDetail.aspx?App=23&amp;ReportView=4&amp;Qid=1711279&amp;Row=17545&amp;Col=1","No Title Assigned - #15276781419")</f>
        <v/>
      </c>
      <c r="B17553" s="0" t="s">
        <v>23261</v>
      </c>
      <c r="E17553" s="0" t="inlineStr">
        <is>
          <t xml:space="preserve">Mazda</t>
        </is>
      </c>
      <c r="F17553" s="0" t="inlineStr">
        <is>
          <t xml:space="preserve">Mazda</t>
        </is>
      </c>
      <c r="G17553" s="0" t="s">
        <v>171</v>
      </c>
      <c r="H17553" s="5">
        <v>160.800200</v>
      </c>
    </row>
    <row r="17554" spans="1:9">
      <c r="A17554" s="22" t="str">
        <f>HYPERLINK("https://app.vivvix.com/360/KMI/IntelliDrive/ApplUI/Pages/CreativePages/CustomReportCreativeDetail.aspx?App=23&amp;ReportView=4&amp;Qid=1711279&amp;Row=17546&amp;Col=1","No Title Assigned - #15276781441")</f>
        <v/>
      </c>
      <c r="B17554" s="0" t="s">
        <v>23262</v>
      </c>
      <c r="E17554" s="0" t="inlineStr">
        <is>
          <t xml:space="preserve">Mazda</t>
        </is>
      </c>
      <c r="F17554" s="0" t="inlineStr">
        <is>
          <t xml:space="preserve">Mazda</t>
        </is>
      </c>
      <c r="G17554" s="0" t="s">
        <v>171</v>
      </c>
      <c r="H17554" s="5">
        <v>0.796900</v>
      </c>
    </row>
    <row r="17555" spans="1:9">
      <c r="A17555" s="22" t="str">
        <f>HYPERLINK("https://app.vivvix.com/360/KMI/IntelliDrive/ApplUI/Pages/CreativePages/CustomReportCreativeDetail.aspx?App=23&amp;ReportView=4&amp;Qid=1711279&amp;Row=17547&amp;Col=1","No Title Assigned - #15276781457")</f>
        <v/>
      </c>
      <c r="B17555" s="0" t="s">
        <v>23263</v>
      </c>
      <c r="E17555" s="0" t="inlineStr">
        <is>
          <t xml:space="preserve">Mazda</t>
        </is>
      </c>
      <c r="F17555" s="0" t="inlineStr">
        <is>
          <t xml:space="preserve">Mazda</t>
        </is>
      </c>
      <c r="G17555" s="0" t="s">
        <v>171</v>
      </c>
      <c r="H17555" s="5">
        <v>9194.063200</v>
      </c>
    </row>
    <row r="17556" spans="1:9">
      <c r="A17556" s="22" t="str">
        <f>HYPERLINK("https://app.vivvix.com/360/KMI/IntelliDrive/ApplUI/Pages/CreativePages/CustomReportCreativeDetail.aspx?App=23&amp;ReportView=4&amp;Qid=1711279&amp;Row=17548&amp;Col=1","No Title Assigned - #15276781469")</f>
        <v/>
      </c>
      <c r="B17556" s="0" t="s">
        <v>23264</v>
      </c>
      <c r="E17556" s="0" t="inlineStr">
        <is>
          <t xml:space="preserve">Mazda</t>
        </is>
      </c>
      <c r="F17556" s="0" t="inlineStr">
        <is>
          <t xml:space="preserve">Mazda</t>
        </is>
      </c>
      <c r="G17556" s="0" t="s">
        <v>171</v>
      </c>
      <c r="H17556" s="5">
        <v>3688.979700</v>
      </c>
    </row>
    <row r="17557" spans="1:9">
      <c r="A17557" s="22" t="str">
        <f>HYPERLINK("https://app.vivvix.com/360/KMI/IntelliDrive/ApplUI/Pages/CreativePages/CustomReportCreativeDetail.aspx?App=23&amp;ReportView=4&amp;Qid=1711279&amp;Row=17549&amp;Col=1","No Title Assigned - #15276781528")</f>
        <v/>
      </c>
      <c r="B17557" s="0" t="s">
        <v>23265</v>
      </c>
      <c r="E17557" s="0" t="inlineStr">
        <is>
          <t xml:space="preserve">Mazda</t>
        </is>
      </c>
      <c r="F17557" s="0" t="inlineStr">
        <is>
          <t xml:space="preserve">Mazda</t>
        </is>
      </c>
      <c r="G17557" s="0" t="s">
        <v>171</v>
      </c>
      <c r="H17557" s="5">
        <v>3401.966700</v>
      </c>
    </row>
    <row r="17558" spans="1:9">
      <c r="A17558" s="22" t="str">
        <f>HYPERLINK("https://app.vivvix.com/360/KMI/IntelliDrive/ApplUI/Pages/CreativePages/CustomReportCreativeDetail.aspx?App=23&amp;ReportView=4&amp;Qid=1711279&amp;Row=17550&amp;Col=1","No Title Assigned - #15276781528")</f>
        <v/>
      </c>
      <c r="B17558" s="0" t="s">
        <v>23265</v>
      </c>
      <c r="E17558" s="0" t="inlineStr">
        <is>
          <t xml:space="preserve">Mazda</t>
        </is>
      </c>
      <c r="F17558" s="0" t="inlineStr">
        <is>
          <t xml:space="preserve">Mazda</t>
        </is>
      </c>
      <c r="G17558" s="0" t="s">
        <v>171</v>
      </c>
      <c r="H17558" s="5">
        <v>1.593800</v>
      </c>
    </row>
    <row r="17559" spans="1:9">
      <c r="A17559" s="22" t="str">
        <f>HYPERLINK("https://app.vivvix.com/360/KMI/IntelliDrive/ApplUI/Pages/CreativePages/CustomReportCreativeDetail.aspx?App=23&amp;ReportView=4&amp;Qid=1711279&amp;Row=17551&amp;Col=1","No Title Assigned - #15276781559")</f>
        <v/>
      </c>
      <c r="B17559" s="0" t="s">
        <v>23266</v>
      </c>
      <c r="E17559" s="0" t="inlineStr">
        <is>
          <t xml:space="preserve">Mazda</t>
        </is>
      </c>
      <c r="F17559" s="0" t="inlineStr">
        <is>
          <t xml:space="preserve">Mazda</t>
        </is>
      </c>
      <c r="G17559" s="0" t="s">
        <v>171</v>
      </c>
      <c r="H17559" s="5">
        <v>1748.382400</v>
      </c>
    </row>
    <row r="17560" spans="1:9">
      <c r="A17560" s="22" t="str">
        <f>HYPERLINK("https://app.vivvix.com/360/KMI/IntelliDrive/ApplUI/Pages/CreativePages/CustomReportCreativeDetail.aspx?App=23&amp;ReportView=4&amp;Qid=1711279&amp;Row=17552&amp;Col=1","No Title Assigned - #15276781572")</f>
        <v/>
      </c>
      <c r="B17560" s="0" t="s">
        <v>23267</v>
      </c>
      <c r="E17560" s="0" t="inlineStr">
        <is>
          <t xml:space="preserve">Mazda</t>
        </is>
      </c>
      <c r="F17560" s="0" t="inlineStr">
        <is>
          <t xml:space="preserve">Mazda</t>
        </is>
      </c>
      <c r="G17560" s="0" t="s">
        <v>171</v>
      </c>
      <c r="H17560" s="5">
        <v>435.862400</v>
      </c>
    </row>
    <row r="17561" spans="1:9">
      <c r="A17561" s="22" t="str">
        <f>HYPERLINK("https://app.vivvix.com/360/KMI/IntelliDrive/ApplUI/Pages/CreativePages/CustomReportCreativeDetail.aspx?App=23&amp;ReportView=4&amp;Qid=1711279&amp;Row=17553&amp;Col=1","No Title Assigned - #15276781616")</f>
        <v/>
      </c>
      <c r="B17561" s="0" t="s">
        <v>23268</v>
      </c>
      <c r="C17561" s="0" t="s">
        <v>23269</v>
      </c>
      <c r="D17561" s="0" t="s">
        <v>23269</v>
      </c>
      <c r="E17561" s="0" t="inlineStr">
        <is>
          <t xml:space="preserve">Mazda</t>
        </is>
      </c>
      <c r="F17561" s="0" t="inlineStr">
        <is>
          <t xml:space="preserve">Mazda</t>
        </is>
      </c>
      <c r="G17561" s="0" t="s">
        <v>171</v>
      </c>
      <c r="H17561" s="5">
        <v>95.376000</v>
      </c>
    </row>
    <row r="17562" spans="1:9">
      <c r="A17562" s="22" t="str">
        <f>HYPERLINK("https://app.vivvix.com/360/KMI/IntelliDrive/ApplUI/Pages/CreativePages/CustomReportCreativeDetail.aspx?App=23&amp;ReportView=4&amp;Qid=1711279&amp;Row=17554&amp;Col=1","No Title Assigned - #15276781623")</f>
        <v/>
      </c>
      <c r="B17562" s="0" t="s">
        <v>23270</v>
      </c>
      <c r="E17562" s="0" t="inlineStr">
        <is>
          <t xml:space="preserve">Mazda</t>
        </is>
      </c>
      <c r="F17562" s="0" t="inlineStr">
        <is>
          <t xml:space="preserve">Mazda</t>
        </is>
      </c>
      <c r="G17562" s="0" t="s">
        <v>171</v>
      </c>
      <c r="H17562" s="5">
        <v>6.647800</v>
      </c>
    </row>
    <row r="17563" spans="1:9">
      <c r="A17563" s="22" t="str">
        <f>HYPERLINK("https://app.vivvix.com/360/KMI/IntelliDrive/ApplUI/Pages/CreativePages/CustomReportCreativeDetail.aspx?App=23&amp;ReportView=4&amp;Qid=1711279&amp;Row=17555&amp;Col=1","No Title Assigned - #15276781624")</f>
        <v/>
      </c>
      <c r="B17563" s="0" t="s">
        <v>23271</v>
      </c>
      <c r="E17563" s="0" t="inlineStr">
        <is>
          <t xml:space="preserve">Mazda</t>
        </is>
      </c>
      <c r="F17563" s="0" t="inlineStr">
        <is>
          <t xml:space="preserve">Mazda</t>
        </is>
      </c>
      <c r="G17563" s="0" t="s">
        <v>171</v>
      </c>
      <c r="H17563" s="5">
        <v>2763.389100</v>
      </c>
    </row>
    <row r="17564" spans="1:9">
      <c r="A17564" s="22" t="str">
        <f>HYPERLINK("https://app.vivvix.com/360/KMI/IntelliDrive/ApplUI/Pages/CreativePages/CustomReportCreativeDetail.aspx?App=23&amp;ReportView=4&amp;Qid=1711279&amp;Row=17556&amp;Col=1","No Title Assigned - #15276781630")</f>
        <v/>
      </c>
      <c r="B17564" s="0" t="s">
        <v>23272</v>
      </c>
      <c r="E17564" s="0" t="inlineStr">
        <is>
          <t xml:space="preserve">Mazda</t>
        </is>
      </c>
      <c r="F17564" s="0" t="inlineStr">
        <is>
          <t xml:space="preserve">Mazda</t>
        </is>
      </c>
      <c r="G17564" s="0" t="s">
        <v>171</v>
      </c>
      <c r="H17564" s="5">
        <v>271.301600</v>
      </c>
    </row>
    <row r="17565" spans="1:9">
      <c r="A17565" s="22" t="str">
        <f>HYPERLINK("https://app.vivvix.com/360/KMI/IntelliDrive/ApplUI/Pages/CreativePages/CustomReportCreativeDetail.aspx?App=23&amp;ReportView=4&amp;Qid=1711279&amp;Row=17557&amp;Col=1","No Title Assigned - #15276781636")</f>
        <v/>
      </c>
      <c r="B17565" s="0" t="s">
        <v>23273</v>
      </c>
      <c r="E17565" s="0" t="inlineStr">
        <is>
          <t xml:space="preserve">Mazda</t>
        </is>
      </c>
      <c r="F17565" s="0" t="inlineStr">
        <is>
          <t xml:space="preserve">Mazda</t>
        </is>
      </c>
      <c r="G17565" s="0" t="s">
        <v>171</v>
      </c>
      <c r="H17565" s="5">
        <v>31.160400</v>
      </c>
    </row>
    <row r="17566" spans="1:9">
      <c r="A17566" s="22" t="str">
        <f>HYPERLINK("https://app.vivvix.com/360/KMI/IntelliDrive/ApplUI/Pages/CreativePages/CustomReportCreativeDetail.aspx?App=23&amp;ReportView=4&amp;Qid=1711279&amp;Row=17558&amp;Col=1","No Title Assigned - #15276781738")</f>
        <v/>
      </c>
      <c r="B17566" s="0" t="s">
        <v>23274</v>
      </c>
      <c r="E17566" s="0" t="inlineStr">
        <is>
          <t xml:space="preserve">Mazda</t>
        </is>
      </c>
      <c r="F17566" s="0" t="inlineStr">
        <is>
          <t xml:space="preserve">Mazda</t>
        </is>
      </c>
      <c r="G17566" s="0" t="s">
        <v>171</v>
      </c>
      <c r="H17566" s="5">
        <v>326.053400</v>
      </c>
    </row>
    <row r="17567" spans="1:9">
      <c r="A17567" s="22" t="str">
        <f>HYPERLINK("https://app.vivvix.com/360/KMI/IntelliDrive/ApplUI/Pages/CreativePages/CustomReportCreativeDetail.aspx?App=23&amp;ReportView=4&amp;Qid=1711279&amp;Row=17559&amp;Col=1","No Title Assigned - #15276781745")</f>
        <v/>
      </c>
      <c r="B17567" s="0" t="s">
        <v>23275</v>
      </c>
      <c r="E17567" s="0" t="inlineStr">
        <is>
          <t xml:space="preserve">Mazda</t>
        </is>
      </c>
      <c r="F17567" s="0" t="s">
        <v>13</v>
      </c>
      <c r="G17567" s="0" t="s">
        <v>49</v>
      </c>
      <c r="H17567" s="5">
        <v>631.909500</v>
      </c>
    </row>
    <row r="17568" spans="1:9">
      <c r="A17568" s="22" t="str">
        <f>HYPERLINK("https://app.vivvix.com/360/KMI/IntelliDrive/ApplUI/Pages/CreativePages/CustomReportCreativeDetail.aspx?App=23&amp;ReportView=4&amp;Qid=1711279&amp;Row=17560&amp;Col=1","No Title Assigned - #15276781913")</f>
        <v/>
      </c>
      <c r="B17568" s="0" t="s">
        <v>23276</v>
      </c>
      <c r="E17568" s="0" t="inlineStr">
        <is>
          <t xml:space="preserve">Mazda</t>
        </is>
      </c>
      <c r="F17568" s="0" t="inlineStr">
        <is>
          <t xml:space="preserve">Mazda</t>
        </is>
      </c>
      <c r="G17568" s="0" t="s">
        <v>171</v>
      </c>
      <c r="H17568" s="5">
        <v>35.527100</v>
      </c>
    </row>
    <row r="17569" spans="1:9">
      <c r="A17569" s="22" t="str">
        <f>HYPERLINK("https://app.vivvix.com/360/KMI/IntelliDrive/ApplUI/Pages/CreativePages/CustomReportCreativeDetail.aspx?App=23&amp;ReportView=4&amp;Qid=1711279&amp;Row=17561&amp;Col=1","No Title Assigned - #15276782013")</f>
        <v/>
      </c>
      <c r="B17569" s="0" t="s">
        <v>23277</v>
      </c>
      <c r="E17569" s="0" t="inlineStr">
        <is>
          <t xml:space="preserve">Mazda</t>
        </is>
      </c>
      <c r="F17569" s="0" t="inlineStr">
        <is>
          <t xml:space="preserve">Mazda</t>
        </is>
      </c>
      <c r="G17569" s="0" t="s">
        <v>171</v>
      </c>
      <c r="H17569" s="5">
        <v>13.599000</v>
      </c>
    </row>
    <row r="17570" spans="1:9">
      <c r="A17570" s="22" t="str">
        <f>HYPERLINK("https://app.vivvix.com/360/KMI/IntelliDrive/ApplUI/Pages/CreativePages/CustomReportCreativeDetail.aspx?App=23&amp;ReportView=4&amp;Qid=1711279&amp;Row=17562&amp;Col=1","No Title Assigned - #15276782066")</f>
        <v/>
      </c>
      <c r="B17570" s="0" t="s">
        <v>23278</v>
      </c>
      <c r="E17570" s="0" t="inlineStr">
        <is>
          <t xml:space="preserve">Mazda</t>
        </is>
      </c>
      <c r="F17570" s="0" t="inlineStr">
        <is>
          <t xml:space="preserve">Mazda</t>
        </is>
      </c>
      <c r="G17570" s="0" t="s">
        <v>171</v>
      </c>
      <c r="H17570" s="5">
        <v>902.749300</v>
      </c>
    </row>
    <row r="17571" spans="1:9">
      <c r="A17571" s="22" t="str">
        <f>HYPERLINK("https://app.vivvix.com/360/KMI/IntelliDrive/ApplUI/Pages/CreativePages/CustomReportCreativeDetail.aspx?App=23&amp;ReportView=4&amp;Qid=1711279&amp;Row=17563&amp;Col=1","No Title Assigned - #15276782089")</f>
        <v/>
      </c>
      <c r="B17571" s="0" t="s">
        <v>23279</v>
      </c>
      <c r="E17571" s="0" t="inlineStr">
        <is>
          <t xml:space="preserve">Mazda</t>
        </is>
      </c>
      <c r="F17571" s="0" t="inlineStr">
        <is>
          <t xml:space="preserve">Mazda</t>
        </is>
      </c>
      <c r="G17571" s="0" t="s">
        <v>171</v>
      </c>
      <c r="H17571" s="5">
        <v>2.605700</v>
      </c>
    </row>
    <row r="17572" spans="1:9">
      <c r="A17572" s="22" t="str">
        <f>HYPERLINK("https://app.vivvix.com/360/KMI/IntelliDrive/ApplUI/Pages/CreativePages/CustomReportCreativeDetail.aspx?App=23&amp;ReportView=4&amp;Qid=1711279&amp;Row=17564&amp;Col=1","No Title Assigned - #15276782124")</f>
        <v/>
      </c>
      <c r="B17572" s="0" t="s">
        <v>23280</v>
      </c>
      <c r="E17572" s="0" t="inlineStr">
        <is>
          <t xml:space="preserve">Mazda</t>
        </is>
      </c>
      <c r="F17572" s="0" t="inlineStr">
        <is>
          <t xml:space="preserve">Mazda</t>
        </is>
      </c>
      <c r="G17572" s="0" t="s">
        <v>171</v>
      </c>
      <c r="H17572" s="5">
        <v>810.787400</v>
      </c>
    </row>
    <row r="17573" spans="1:9">
      <c r="A17573" s="22" t="str">
        <f>HYPERLINK("https://app.vivvix.com/360/KMI/IntelliDrive/ApplUI/Pages/CreativePages/CustomReportCreativeDetail.aspx?App=23&amp;ReportView=4&amp;Qid=1711279&amp;Row=17565&amp;Col=1","No Title Assigned - #15276782526")</f>
        <v/>
      </c>
      <c r="B17573" s="0" t="s">
        <v>23281</v>
      </c>
      <c r="E17573" s="0" t="inlineStr">
        <is>
          <t xml:space="preserve">Mazda</t>
        </is>
      </c>
      <c r="F17573" s="0" t="inlineStr">
        <is>
          <t xml:space="preserve">Mazda</t>
        </is>
      </c>
      <c r="G17573" s="0" t="s">
        <v>171</v>
      </c>
      <c r="H17573" s="5">
        <v>133.758500</v>
      </c>
    </row>
    <row r="17574" spans="1:9">
      <c r="A17574" s="22" t="str">
        <f>HYPERLINK("https://app.vivvix.com/360/KMI/IntelliDrive/ApplUI/Pages/CreativePages/CustomReportCreativeDetail.aspx?App=23&amp;ReportView=4&amp;Qid=1711279&amp;Row=17566&amp;Col=1","No Title Assigned - #15276782580")</f>
        <v/>
      </c>
      <c r="B17574" s="0" t="s">
        <v>23282</v>
      </c>
      <c r="E17574" s="0" t="inlineStr">
        <is>
          <t xml:space="preserve">Mazda</t>
        </is>
      </c>
      <c r="F17574" s="0" t="inlineStr">
        <is>
          <t xml:space="preserve">Mazda</t>
        </is>
      </c>
      <c r="G17574" s="0" t="s">
        <v>171</v>
      </c>
      <c r="H17574" s="5">
        <v>406.838500</v>
      </c>
    </row>
    <row r="17575" spans="1:9">
      <c r="A17575" s="22" t="str">
        <f>HYPERLINK("https://app.vivvix.com/360/KMI/IntelliDrive/ApplUI/Pages/CreativePages/CustomReportCreativeDetail.aspx?App=23&amp;ReportView=4&amp;Qid=1711279&amp;Row=17567&amp;Col=1","No Title Assigned - #15276782792")</f>
        <v/>
      </c>
      <c r="B17575" s="0" t="s">
        <v>23283</v>
      </c>
      <c r="E17575" s="0" t="inlineStr">
        <is>
          <t xml:space="preserve">Mazda</t>
        </is>
      </c>
      <c r="F17575" s="0" t="inlineStr">
        <is>
          <t xml:space="preserve">Mazda</t>
        </is>
      </c>
      <c r="G17575" s="0" t="s">
        <v>171</v>
      </c>
      <c r="H17575" s="5">
        <v>122.281100</v>
      </c>
    </row>
    <row r="17576" spans="1:9">
      <c r="A17576" s="22" t="str">
        <f>HYPERLINK("https://app.vivvix.com/360/KMI/IntelliDrive/ApplUI/Pages/CreativePages/CustomReportCreativeDetail.aspx?App=23&amp;ReportView=4&amp;Qid=1711279&amp;Row=17568&amp;Col=1","No Title Assigned - #15276782886")</f>
        <v/>
      </c>
      <c r="B17576" s="0" t="s">
        <v>23284</v>
      </c>
      <c r="C17576" s="0" t="s">
        <v>23285</v>
      </c>
      <c r="D17576" s="0" t="s">
        <v>23285</v>
      </c>
      <c r="E17576" s="0" t="inlineStr">
        <is>
          <t xml:space="preserve">Mazda</t>
        </is>
      </c>
      <c r="F17576" s="0" t="s">
        <v>13</v>
      </c>
      <c r="G17576" s="0" t="s">
        <v>49</v>
      </c>
      <c r="H17576" s="5">
        <v>3113.849100</v>
      </c>
    </row>
    <row r="17577" spans="1:9">
      <c r="A17577" s="22" t="str">
        <f>HYPERLINK("https://app.vivvix.com/360/KMI/IntelliDrive/ApplUI/Pages/CreativePages/CustomReportCreativeDetail.aspx?App=23&amp;ReportView=4&amp;Qid=1711279&amp;Row=17569&amp;Col=1","No Title Assigned - #15276783103")</f>
        <v/>
      </c>
      <c r="B17577" s="0" t="s">
        <v>23286</v>
      </c>
      <c r="E17577" s="0" t="inlineStr">
        <is>
          <t xml:space="preserve">Mazda</t>
        </is>
      </c>
      <c r="F17577" s="0" t="inlineStr">
        <is>
          <t xml:space="preserve">Mazda</t>
        </is>
      </c>
      <c r="G17577" s="0" t="s">
        <v>171</v>
      </c>
      <c r="H17577" s="5">
        <v>282.620200</v>
      </c>
    </row>
    <row r="17578" spans="1:9">
      <c r="A17578" s="22" t="str">
        <f>HYPERLINK("https://app.vivvix.com/360/KMI/IntelliDrive/ApplUI/Pages/CreativePages/CustomReportCreativeDetail.aspx?App=23&amp;ReportView=4&amp;Qid=1711279&amp;Row=17570&amp;Col=1","No Title Assigned - #15276783138")</f>
        <v/>
      </c>
      <c r="B17578" s="0" t="s">
        <v>23287</v>
      </c>
      <c r="E17578" s="0" t="inlineStr">
        <is>
          <t xml:space="preserve">Mazda</t>
        </is>
      </c>
      <c r="F17578" s="0" t="inlineStr">
        <is>
          <t xml:space="preserve">Mazda</t>
        </is>
      </c>
      <c r="G17578" s="0" t="s">
        <v>171</v>
      </c>
      <c r="H17578" s="5">
        <v>6459.808300</v>
      </c>
    </row>
    <row r="17579" spans="1:9">
      <c r="A17579" s="22" t="str">
        <f>HYPERLINK("https://app.vivvix.com/360/KMI/IntelliDrive/ApplUI/Pages/CreativePages/CustomReportCreativeDetail.aspx?App=23&amp;ReportView=4&amp;Qid=1711279&amp;Row=17571&amp;Col=1","No Title Assigned - #15276783138")</f>
        <v/>
      </c>
      <c r="B17579" s="0" t="s">
        <v>23287</v>
      </c>
      <c r="E17579" s="0" t="inlineStr">
        <is>
          <t xml:space="preserve">Mazda</t>
        </is>
      </c>
      <c r="F17579" s="0" t="inlineStr">
        <is>
          <t xml:space="preserve">Mazda</t>
        </is>
      </c>
      <c r="G17579" s="0" t="s">
        <v>171</v>
      </c>
      <c r="H17579" s="5">
        <v>777.211800</v>
      </c>
    </row>
    <row r="17580" spans="1:9">
      <c r="A17580" s="22" t="str">
        <f>HYPERLINK("https://app.vivvix.com/360/KMI/IntelliDrive/ApplUI/Pages/CreativePages/CustomReportCreativeDetail.aspx?App=23&amp;ReportView=4&amp;Qid=1711279&amp;Row=17572&amp;Col=1","No Title Assigned - #15276784171")</f>
        <v/>
      </c>
      <c r="B17580" s="0" t="s">
        <v>23288</v>
      </c>
      <c r="E17580" s="0" t="inlineStr">
        <is>
          <t xml:space="preserve">Mazda</t>
        </is>
      </c>
      <c r="F17580" s="0" t="inlineStr">
        <is>
          <t xml:space="preserve">Mazda</t>
        </is>
      </c>
      <c r="G17580" s="0" t="s">
        <v>171</v>
      </c>
      <c r="H17580" s="5">
        <v>1011.528000</v>
      </c>
    </row>
    <row r="17581" spans="1:9">
      <c r="A17581" s="22" t="str">
        <f>HYPERLINK("https://app.vivvix.com/360/KMI/IntelliDrive/ApplUI/Pages/CreativePages/CustomReportCreativeDetail.aspx?App=23&amp;ReportView=4&amp;Qid=1711279&amp;Row=17573&amp;Col=1","No Title Assigned - #15276784619")</f>
        <v/>
      </c>
      <c r="B17581" s="0" t="s">
        <v>23289</v>
      </c>
      <c r="E17581" s="0" t="inlineStr">
        <is>
          <t xml:space="preserve">Mazda</t>
        </is>
      </c>
      <c r="F17581" s="0" t="inlineStr">
        <is>
          <t xml:space="preserve">Mazda</t>
        </is>
      </c>
      <c r="G17581" s="0" t="s">
        <v>171</v>
      </c>
      <c r="H17581" s="5">
        <v>1891.876000</v>
      </c>
    </row>
    <row r="17582" spans="1:9">
      <c r="A17582" s="22" t="str">
        <f>HYPERLINK("https://app.vivvix.com/360/KMI/IntelliDrive/ApplUI/Pages/CreativePages/CustomReportCreativeDetail.aspx?App=23&amp;ReportView=4&amp;Qid=1711279&amp;Row=17574&amp;Col=1","No Title Assigned - #15276784632")</f>
        <v/>
      </c>
      <c r="B17582" s="0" t="s">
        <v>23290</v>
      </c>
      <c r="E17582" s="0" t="inlineStr">
        <is>
          <t xml:space="preserve">Mazda</t>
        </is>
      </c>
      <c r="F17582" s="0" t="inlineStr">
        <is>
          <t xml:space="preserve">Mazda</t>
        </is>
      </c>
      <c r="G17582" s="0" t="s">
        <v>171</v>
      </c>
      <c r="H17582" s="5">
        <v>7356.603800</v>
      </c>
    </row>
    <row r="17583" spans="1:9">
      <c r="A17583" s="22" t="str">
        <f>HYPERLINK("https://app.vivvix.com/360/KMI/IntelliDrive/ApplUI/Pages/CreativePages/CustomReportCreativeDetail.aspx?App=23&amp;ReportView=4&amp;Qid=1711279&amp;Row=17575&amp;Col=1","No Title Assigned - #15276787810")</f>
        <v/>
      </c>
      <c r="B17583" s="0" t="s">
        <v>23291</v>
      </c>
      <c r="E17583" s="0" t="inlineStr">
        <is>
          <t xml:space="preserve">Mazda</t>
        </is>
      </c>
      <c r="F17583" s="0" t="inlineStr">
        <is>
          <t xml:space="preserve">Mazda</t>
        </is>
      </c>
      <c r="G17583" s="0" t="s">
        <v>171</v>
      </c>
      <c r="H17583" s="5">
        <v>237.103500</v>
      </c>
    </row>
    <row r="17584" spans="1:9">
      <c r="A17584" s="22" t="str">
        <f>HYPERLINK("https://app.vivvix.com/360/KMI/IntelliDrive/ApplUI/Pages/CreativePages/CustomReportCreativeDetail.aspx?App=23&amp;ReportView=4&amp;Qid=1711279&amp;Row=17576&amp;Col=1","No Title Assigned - #15276789799")</f>
        <v/>
      </c>
      <c r="B17584" s="0" t="s">
        <v>23292</v>
      </c>
      <c r="E17584" s="0" t="inlineStr">
        <is>
          <t xml:space="preserve">Mazda</t>
        </is>
      </c>
      <c r="F17584" s="0" t="inlineStr">
        <is>
          <t xml:space="preserve">Mazda</t>
        </is>
      </c>
      <c r="G17584" s="0" t="s">
        <v>171</v>
      </c>
      <c r="H17584" s="5">
        <v>27.437500</v>
      </c>
    </row>
    <row r="17585" spans="1:9">
      <c r="A17585" s="22" t="str">
        <f>HYPERLINK("https://app.vivvix.com/360/KMI/IntelliDrive/ApplUI/Pages/CreativePages/CustomReportCreativeDetail.aspx?App=23&amp;ReportView=4&amp;Qid=1711279&amp;Row=17577&amp;Col=1","No Title Assigned - #15276792062")</f>
        <v/>
      </c>
      <c r="B17585" s="0" t="s">
        <v>23293</v>
      </c>
      <c r="E17585" s="0" t="inlineStr">
        <is>
          <t xml:space="preserve">Mazda</t>
        </is>
      </c>
      <c r="F17585" s="0" t="inlineStr">
        <is>
          <t xml:space="preserve">Mazda</t>
        </is>
      </c>
      <c r="G17585" s="0" t="s">
        <v>171</v>
      </c>
      <c r="H17585" s="5">
        <v>2504.585400</v>
      </c>
    </row>
    <row r="17586" spans="1:9">
      <c r="A17586" s="22" t="str">
        <f>HYPERLINK("https://app.vivvix.com/360/KMI/IntelliDrive/ApplUI/Pages/CreativePages/CustomReportCreativeDetail.aspx?App=23&amp;ReportView=4&amp;Qid=1711279&amp;Row=17578&amp;Col=1","No Title Assigned - #15276792290")</f>
        <v/>
      </c>
      <c r="B17586" s="0" t="s">
        <v>23294</v>
      </c>
      <c r="E17586" s="0" t="inlineStr">
        <is>
          <t xml:space="preserve">Mazda</t>
        </is>
      </c>
      <c r="F17586" s="0" t="inlineStr">
        <is>
          <t xml:space="preserve">Mazda</t>
        </is>
      </c>
      <c r="G17586" s="0" t="s">
        <v>171</v>
      </c>
      <c r="H17586" s="5">
        <v>3368.250400</v>
      </c>
    </row>
    <row r="17587" spans="1:9">
      <c r="A17587" s="22" t="str">
        <f>HYPERLINK("https://app.vivvix.com/360/KMI/IntelliDrive/ApplUI/Pages/CreativePages/CustomReportCreativeDetail.aspx?App=23&amp;ReportView=4&amp;Qid=1711279&amp;Row=17579&amp;Col=1","No Title Assigned - #15276794970")</f>
        <v/>
      </c>
      <c r="B17587" s="0" t="s">
        <v>23295</v>
      </c>
      <c r="E17587" s="0" t="inlineStr">
        <is>
          <t xml:space="preserve">Mazda</t>
        </is>
      </c>
      <c r="F17587" s="0" t="inlineStr">
        <is>
          <t xml:space="preserve">Mazda</t>
        </is>
      </c>
      <c r="G17587" s="0" t="s">
        <v>171</v>
      </c>
      <c r="H17587" s="5">
        <v>129.479500</v>
      </c>
    </row>
    <row r="17588" spans="1:9">
      <c r="A17588" s="22" t="str">
        <f>HYPERLINK("https://app.vivvix.com/360/KMI/IntelliDrive/ApplUI/Pages/CreativePages/CustomReportCreativeDetail.aspx?App=23&amp;ReportView=4&amp;Qid=1711279&amp;Row=17580&amp;Col=1","No Title Assigned - #15276803769")</f>
        <v/>
      </c>
      <c r="B17588" s="0" t="s">
        <v>23296</v>
      </c>
      <c r="E17588" s="0" t="inlineStr">
        <is>
          <t xml:space="preserve">Mazda</t>
        </is>
      </c>
      <c r="F17588" s="0" t="inlineStr">
        <is>
          <t xml:space="preserve">Mazda</t>
        </is>
      </c>
      <c r="G17588" s="0" t="s">
        <v>171</v>
      </c>
      <c r="H17588" s="5">
        <v>16.416200</v>
      </c>
    </row>
    <row r="17589" spans="1:9">
      <c r="A17589" s="22" t="str">
        <f>HYPERLINK("https://app.vivvix.com/360/KMI/IntelliDrive/ApplUI/Pages/CreativePages/CustomReportCreativeDetail.aspx?App=23&amp;ReportView=4&amp;Qid=1711279&amp;Row=17581&amp;Col=1","No Title Assigned - #15276822596")</f>
        <v/>
      </c>
      <c r="B17589" s="0" t="s">
        <v>23297</v>
      </c>
      <c r="C17589" s="0" t="s">
        <v>23298</v>
      </c>
      <c r="D17589" s="0" t="s">
        <v>22966</v>
      </c>
      <c r="E17589" s="0" t="inlineStr">
        <is>
          <t xml:space="preserve">Mazda</t>
        </is>
      </c>
      <c r="F17589" s="0" t="s">
        <v>13</v>
      </c>
      <c r="G17589" s="0" t="s">
        <v>49</v>
      </c>
      <c r="H17589" s="5">
        <v>2957.377500</v>
      </c>
    </row>
    <row r="17590" spans="1:9">
      <c r="A17590" s="22" t="str">
        <f>HYPERLINK("https://app.vivvix.com/360/KMI/IntelliDrive/ApplUI/Pages/CreativePages/CustomReportCreativeDetail.aspx?App=23&amp;ReportView=4&amp;Qid=1711279&amp;Row=17582&amp;Col=1","No Title Assigned - #15276822596")</f>
        <v/>
      </c>
      <c r="B17590" s="0" t="s">
        <v>23297</v>
      </c>
      <c r="E17590" s="0" t="inlineStr">
        <is>
          <t xml:space="preserve">Mazda</t>
        </is>
      </c>
      <c r="F17590" s="0" t="s">
        <v>13</v>
      </c>
      <c r="G17590" s="0" t="s">
        <v>49</v>
      </c>
      <c r="H17590" s="5">
        <v>40364.687800</v>
      </c>
    </row>
    <row r="17591" spans="1:9">
      <c r="A17591" s="22" t="str">
        <f>HYPERLINK("https://app.vivvix.com/360/KMI/IntelliDrive/ApplUI/Pages/CreativePages/CustomReportCreativeDetail.aspx?App=23&amp;ReportView=4&amp;Qid=1711279&amp;Row=17583&amp;Col=1","No Title Assigned - #15276823339")</f>
        <v/>
      </c>
      <c r="B17591" s="0" t="s">
        <v>23299</v>
      </c>
      <c r="C17591" s="0" t="s">
        <v>23300</v>
      </c>
      <c r="D17591" s="0" t="s">
        <v>23300</v>
      </c>
      <c r="E17591" s="0" t="inlineStr">
        <is>
          <t xml:space="preserve">Mazda</t>
        </is>
      </c>
      <c r="F17591" s="0" t="s">
        <v>13</v>
      </c>
      <c r="G17591" s="0" t="s">
        <v>49</v>
      </c>
      <c r="H17591" s="5">
        <v>6105.305000</v>
      </c>
    </row>
    <row r="17592" spans="1:9">
      <c r="A17592" s="22" t="str">
        <f>HYPERLINK("https://app.vivvix.com/360/KMI/IntelliDrive/ApplUI/Pages/CreativePages/CustomReportCreativeDetail.aspx?App=23&amp;ReportView=4&amp;Qid=1711279&amp;Row=17584&amp;Col=1","No Title Assigned - #15276823442")</f>
        <v/>
      </c>
      <c r="B17592" s="0" t="s">
        <v>23301</v>
      </c>
      <c r="C17592" s="0" t="s">
        <v>23302</v>
      </c>
      <c r="D17592" s="0" t="s">
        <v>23302</v>
      </c>
      <c r="E17592" s="0" t="inlineStr">
        <is>
          <t xml:space="preserve">Mazda</t>
        </is>
      </c>
      <c r="F17592" s="0" t="s">
        <v>13</v>
      </c>
      <c r="G17592" s="0" t="s">
        <v>49</v>
      </c>
      <c r="H17592" s="5">
        <v>25536.676600</v>
      </c>
    </row>
    <row r="17593" spans="1:9">
      <c r="A17593" s="22" t="str">
        <f>HYPERLINK("https://app.vivvix.com/360/KMI/IntelliDrive/ApplUI/Pages/CreativePages/CustomReportCreativeDetail.aspx?App=23&amp;ReportView=4&amp;Qid=1711279&amp;Row=17585&amp;Col=1","No Title Assigned - #15276824011")</f>
        <v/>
      </c>
      <c r="B17593" s="0" t="s">
        <v>23303</v>
      </c>
      <c r="C17593" s="0" t="s">
        <v>23304</v>
      </c>
      <c r="D17593" s="0" t="s">
        <v>23304</v>
      </c>
      <c r="E17593" s="0" t="inlineStr">
        <is>
          <t xml:space="preserve">Mazda</t>
        </is>
      </c>
      <c r="F17593" s="0" t="s">
        <v>13</v>
      </c>
      <c r="G17593" s="0" t="s">
        <v>49</v>
      </c>
      <c r="H17593" s="5">
        <v>44957.741300</v>
      </c>
    </row>
    <row r="17594" spans="1:9">
      <c r="A17594" s="22" t="str">
        <f>HYPERLINK("https://app.vivvix.com/360/KMI/IntelliDrive/ApplUI/Pages/CreativePages/CustomReportCreativeDetail.aspx?App=23&amp;ReportView=4&amp;Qid=1711279&amp;Row=17586&amp;Col=1","No Title Assigned - #15276824248")</f>
        <v/>
      </c>
      <c r="B17594" s="0" t="s">
        <v>23305</v>
      </c>
      <c r="C17594" s="0" t="s">
        <v>23306</v>
      </c>
      <c r="D17594" s="0" t="s">
        <v>23306</v>
      </c>
      <c r="E17594" s="0" t="inlineStr">
        <is>
          <t xml:space="preserve">Mazda</t>
        </is>
      </c>
      <c r="F17594" s="0" t="s">
        <v>13</v>
      </c>
      <c r="G17594" s="0" t="s">
        <v>49</v>
      </c>
      <c r="H17594" s="5">
        <v>120.187000</v>
      </c>
    </row>
    <row r="17595" spans="1:9">
      <c r="A17595" s="22" t="str">
        <f>HYPERLINK("https://app.vivvix.com/360/KMI/IntelliDrive/ApplUI/Pages/CreativePages/CustomReportCreativeDetail.aspx?App=23&amp;ReportView=4&amp;Qid=1711279&amp;Row=17587&amp;Col=1","No Title Assigned - #15276824994")</f>
        <v/>
      </c>
      <c r="B17595" s="0" t="s">
        <v>23307</v>
      </c>
      <c r="C17595" s="0" t="s">
        <v>23308</v>
      </c>
      <c r="D17595" s="0" t="s">
        <v>23308</v>
      </c>
      <c r="E17595" s="0" t="inlineStr">
        <is>
          <t xml:space="preserve">Mazda</t>
        </is>
      </c>
      <c r="F17595" s="0" t="s">
        <v>13</v>
      </c>
      <c r="G17595" s="0" t="s">
        <v>49</v>
      </c>
      <c r="H17595" s="5">
        <v>190.720400</v>
      </c>
    </row>
    <row r="17596" spans="1:9">
      <c r="A17596" s="22" t="str">
        <f>HYPERLINK("https://app.vivvix.com/360/KMI/IntelliDrive/ApplUI/Pages/CreativePages/CustomReportCreativeDetail.aspx?App=23&amp;ReportView=4&amp;Qid=1711279&amp;Row=17588&amp;Col=1","No Title Assigned - #15276826612")</f>
        <v/>
      </c>
      <c r="B17596" s="0" t="s">
        <v>23309</v>
      </c>
      <c r="C17596" s="0" t="s">
        <v>23310</v>
      </c>
      <c r="D17596" s="0" t="s">
        <v>23310</v>
      </c>
      <c r="E17596" s="0" t="inlineStr">
        <is>
          <t xml:space="preserve">Mazda</t>
        </is>
      </c>
      <c r="F17596" s="0" t="s">
        <v>13</v>
      </c>
      <c r="G17596" s="0" t="s">
        <v>49</v>
      </c>
      <c r="H17596" s="5">
        <v>190.720400</v>
      </c>
    </row>
    <row r="17597" spans="1:9">
      <c r="A17597" s="22" t="str">
        <f>HYPERLINK("https://app.vivvix.com/360/KMI/IntelliDrive/ApplUI/Pages/CreativePages/CustomReportCreativeDetail.aspx?App=23&amp;ReportView=4&amp;Qid=1711279&amp;Row=17589&amp;Col=1","No Title Assigned - #15276827162")</f>
        <v/>
      </c>
      <c r="B17597" s="0" t="s">
        <v>23311</v>
      </c>
      <c r="C17597" s="0" t="s">
        <v>23312</v>
      </c>
      <c r="D17597" s="0" t="s">
        <v>6183</v>
      </c>
      <c r="E17597" s="0" t="inlineStr">
        <is>
          <t xml:space="preserve">Mazda</t>
        </is>
      </c>
      <c r="F17597" s="0" t="s">
        <v>13</v>
      </c>
      <c r="G17597" s="0" t="s">
        <v>49</v>
      </c>
      <c r="H17597" s="5">
        <v>196.205200</v>
      </c>
    </row>
    <row r="17598" spans="1:9">
      <c r="A17598" s="22" t="str">
        <f>HYPERLINK("https://app.vivvix.com/360/KMI/IntelliDrive/ApplUI/Pages/CreativePages/CustomReportCreativeDetail.aspx?App=23&amp;ReportView=4&amp;Qid=1711279&amp;Row=17590&amp;Col=1","No Title Assigned - #15276827363")</f>
        <v/>
      </c>
      <c r="B17598" s="0" t="s">
        <v>23313</v>
      </c>
      <c r="C17598" s="0" t="s">
        <v>23314</v>
      </c>
      <c r="D17598" s="0" t="s">
        <v>23314</v>
      </c>
      <c r="E17598" s="0" t="inlineStr">
        <is>
          <t xml:space="preserve">Mazda</t>
        </is>
      </c>
      <c r="F17598" s="0" t="s">
        <v>13</v>
      </c>
      <c r="G17598" s="0" t="s">
        <v>49</v>
      </c>
      <c r="H17598" s="5">
        <v>3939.345300</v>
      </c>
    </row>
    <row r="17599" spans="1:9">
      <c r="A17599" s="22" t="str">
        <f>HYPERLINK("https://app.vivvix.com/360/KMI/IntelliDrive/ApplUI/Pages/CreativePages/CustomReportCreativeDetail.aspx?App=23&amp;ReportView=4&amp;Qid=1711279&amp;Row=17591&amp;Col=1","No Title Assigned - #15276827815")</f>
        <v/>
      </c>
      <c r="B17599" s="0" t="s">
        <v>23315</v>
      </c>
      <c r="C17599" s="0" t="s">
        <v>23316</v>
      </c>
      <c r="D17599" s="0" t="s">
        <v>23316</v>
      </c>
      <c r="E17599" s="0" t="inlineStr">
        <is>
          <t xml:space="preserve">Mazda</t>
        </is>
      </c>
      <c r="F17599" s="0" t="s">
        <v>13</v>
      </c>
      <c r="G17599" s="0" t="s">
        <v>49</v>
      </c>
      <c r="H17599" s="5">
        <v>380.738700</v>
      </c>
    </row>
    <row r="17600" spans="1:9">
      <c r="A17600" s="22" t="str">
        <f>HYPERLINK("https://app.vivvix.com/360/KMI/IntelliDrive/ApplUI/Pages/CreativePages/CustomReportCreativeDetail.aspx?App=23&amp;ReportView=4&amp;Qid=1711279&amp;Row=17592&amp;Col=1","No Title Assigned - #15276830586")</f>
        <v/>
      </c>
      <c r="B17600" s="0" t="s">
        <v>23317</v>
      </c>
      <c r="C17600" s="0" t="s">
        <v>23318</v>
      </c>
      <c r="D17600" s="0" t="s">
        <v>23318</v>
      </c>
      <c r="E17600" s="0" t="inlineStr">
        <is>
          <t xml:space="preserve">Mazda</t>
        </is>
      </c>
      <c r="F17600" s="0" t="s">
        <v>13</v>
      </c>
      <c r="G17600" s="0" t="s">
        <v>49</v>
      </c>
      <c r="H17600" s="5">
        <v>66480.401400</v>
      </c>
    </row>
    <row r="17601" spans="1:9">
      <c r="A17601" s="22" t="str">
        <f>HYPERLINK("https://app.vivvix.com/360/KMI/IntelliDrive/ApplUI/Pages/CreativePages/CustomReportCreativeDetail.aspx?App=23&amp;ReportView=4&amp;Qid=1711279&amp;Row=17593&amp;Col=1","No Title Assigned - #15276834013")</f>
        <v/>
      </c>
      <c r="B17601" s="0" t="s">
        <v>23319</v>
      </c>
      <c r="C17601" s="0" t="s">
        <v>23320</v>
      </c>
      <c r="D17601" s="0" t="s">
        <v>23320</v>
      </c>
      <c r="E17601" s="0" t="inlineStr">
        <is>
          <t xml:space="preserve">Mazda</t>
        </is>
      </c>
      <c r="F17601" s="0" t="s">
        <v>13</v>
      </c>
      <c r="G17601" s="0" t="s">
        <v>49</v>
      </c>
      <c r="H17601" s="5">
        <v>77.483300</v>
      </c>
    </row>
    <row r="17602" spans="1:9">
      <c r="A17602" s="22" t="str">
        <f>HYPERLINK("https://app.vivvix.com/360/KMI/IntelliDrive/ApplUI/Pages/CreativePages/CustomReportCreativeDetail.aspx?App=23&amp;ReportView=4&amp;Qid=1711279&amp;Row=17594&amp;Col=1","No Title Assigned - #15276834616")</f>
        <v/>
      </c>
      <c r="B17602" s="0" t="s">
        <v>23321</v>
      </c>
      <c r="C17602" s="0" t="s">
        <v>23322</v>
      </c>
      <c r="D17602" s="0" t="s">
        <v>9047</v>
      </c>
      <c r="E17602" s="0" t="inlineStr">
        <is>
          <t xml:space="preserve">Mazda</t>
        </is>
      </c>
      <c r="F17602" s="0" t="s">
        <v>13</v>
      </c>
      <c r="G17602" s="0" t="s">
        <v>49</v>
      </c>
      <c r="H17602" s="5">
        <v>6.565100</v>
      </c>
    </row>
    <row r="17603" spans="1:9">
      <c r="A17603" s="22" t="str">
        <f>HYPERLINK("https://app.vivvix.com/360/KMI/IntelliDrive/ApplUI/Pages/CreativePages/CustomReportCreativeDetail.aspx?App=23&amp;ReportView=4&amp;Qid=1711279&amp;Row=17595&amp;Col=1","No Title Assigned - #15276834733")</f>
        <v/>
      </c>
      <c r="B17603" s="0" t="s">
        <v>23323</v>
      </c>
      <c r="C17603" s="0" t="s">
        <v>23324</v>
      </c>
      <c r="D17603" s="0" t="s">
        <v>23324</v>
      </c>
      <c r="E17603" s="0" t="inlineStr">
        <is>
          <t xml:space="preserve">Mazda</t>
        </is>
      </c>
      <c r="F17603" s="0" t="s">
        <v>13</v>
      </c>
      <c r="G17603" s="0" t="s">
        <v>49</v>
      </c>
      <c r="H17603" s="5">
        <v>2126.870700</v>
      </c>
    </row>
    <row r="17604" spans="1:9">
      <c r="A17604" s="22" t="str">
        <f>HYPERLINK("https://app.vivvix.com/360/KMI/IntelliDrive/ApplUI/Pages/CreativePages/CustomReportCreativeDetail.aspx?App=23&amp;ReportView=4&amp;Qid=1711279&amp;Row=17596&amp;Col=1","No Title Assigned - #15276835945")</f>
        <v/>
      </c>
      <c r="B17604" s="0" t="s">
        <v>23325</v>
      </c>
      <c r="C17604" s="0" t="s">
        <v>23326</v>
      </c>
      <c r="D17604" s="0" t="s">
        <v>10311</v>
      </c>
      <c r="E17604" s="0" t="inlineStr">
        <is>
          <t xml:space="preserve">Mazda</t>
        </is>
      </c>
      <c r="F17604" s="0" t="s">
        <v>13</v>
      </c>
      <c r="G17604" s="0" t="s">
        <v>49</v>
      </c>
      <c r="H17604" s="5">
        <v>158.141200</v>
      </c>
    </row>
    <row r="17605" spans="1:9">
      <c r="A17605" s="22" t="str">
        <f>HYPERLINK("https://app.vivvix.com/360/KMI/IntelliDrive/ApplUI/Pages/CreativePages/CustomReportCreativeDetail.aspx?App=23&amp;ReportView=4&amp;Qid=1711279&amp;Row=17597&amp;Col=1","No Title Assigned - #15276836233")</f>
        <v/>
      </c>
      <c r="B17605" s="0" t="s">
        <v>23327</v>
      </c>
      <c r="C17605" s="0" t="s">
        <v>23328</v>
      </c>
      <c r="D17605" s="0" t="s">
        <v>23328</v>
      </c>
      <c r="E17605" s="0" t="inlineStr">
        <is>
          <t xml:space="preserve">Mazda</t>
        </is>
      </c>
      <c r="F17605" s="0" t="s">
        <v>13</v>
      </c>
      <c r="G17605" s="0" t="s">
        <v>49</v>
      </c>
      <c r="H17605" s="5">
        <v>145.653000</v>
      </c>
    </row>
    <row r="17606" spans="1:9">
      <c r="A17606" s="22" t="str">
        <f>HYPERLINK("https://app.vivvix.com/360/KMI/IntelliDrive/ApplUI/Pages/CreativePages/CustomReportCreativeDetail.aspx?App=23&amp;ReportView=4&amp;Qid=1711279&amp;Row=17598&amp;Col=1","No Title Assigned - #15276836234")</f>
        <v/>
      </c>
      <c r="B17606" s="0" t="s">
        <v>23329</v>
      </c>
      <c r="C17606" s="0" t="s">
        <v>23330</v>
      </c>
      <c r="D17606" s="0" t="s">
        <v>23330</v>
      </c>
      <c r="E17606" s="0" t="inlineStr">
        <is>
          <t xml:space="preserve">Mazda</t>
        </is>
      </c>
      <c r="F17606" s="0" t="s">
        <v>13</v>
      </c>
      <c r="G17606" s="0" t="s">
        <v>49</v>
      </c>
      <c r="H17606" s="5">
        <v>72.826500</v>
      </c>
    </row>
    <row r="17607" spans="1:9">
      <c r="A17607" s="22" t="str">
        <f>HYPERLINK("https://app.vivvix.com/360/KMI/IntelliDrive/ApplUI/Pages/CreativePages/CustomReportCreativeDetail.aspx?App=23&amp;ReportView=4&amp;Qid=1711279&amp;Row=17599&amp;Col=1","No Title Assigned - #15276836505")</f>
        <v/>
      </c>
      <c r="B17607" s="0" t="s">
        <v>23331</v>
      </c>
      <c r="C17607" s="0" t="s">
        <v>23332</v>
      </c>
      <c r="D17607" s="0" t="s">
        <v>23332</v>
      </c>
      <c r="E17607" s="0" t="inlineStr">
        <is>
          <t xml:space="preserve">Mazda</t>
        </is>
      </c>
      <c r="F17607" s="0" t="s">
        <v>13</v>
      </c>
      <c r="G17607" s="0" t="s">
        <v>49</v>
      </c>
      <c r="H17607" s="5">
        <v>721.306000</v>
      </c>
    </row>
    <row r="17608" spans="1:9">
      <c r="A17608" s="22" t="str">
        <f>HYPERLINK("https://app.vivvix.com/360/KMI/IntelliDrive/ApplUI/Pages/CreativePages/CustomReportCreativeDetail.aspx?App=23&amp;ReportView=4&amp;Qid=1711279&amp;Row=17600&amp;Col=1","No Title Assigned - #15276836746")</f>
        <v/>
      </c>
      <c r="B17608" s="0" t="s">
        <v>23333</v>
      </c>
      <c r="C17608" s="0" t="s">
        <v>23334</v>
      </c>
      <c r="D17608" s="0" t="s">
        <v>23334</v>
      </c>
      <c r="E17608" s="0" t="inlineStr">
        <is>
          <t xml:space="preserve">Mazda</t>
        </is>
      </c>
      <c r="F17608" s="0" t="s">
        <v>13</v>
      </c>
      <c r="G17608" s="0" t="s">
        <v>49</v>
      </c>
      <c r="H17608" s="5">
        <v>72.826500</v>
      </c>
    </row>
    <row r="17609" spans="1:9">
      <c r="A17609" s="22" t="str">
        <f>HYPERLINK("https://app.vivvix.com/360/KMI/IntelliDrive/ApplUI/Pages/CreativePages/CustomReportCreativeDetail.aspx?App=23&amp;ReportView=4&amp;Qid=1711279&amp;Row=17601&amp;Col=1","No Title Assigned - #15276836755")</f>
        <v/>
      </c>
      <c r="B17609" s="0" t="s">
        <v>23335</v>
      </c>
      <c r="C17609" s="0" t="s">
        <v>23336</v>
      </c>
      <c r="D17609" s="0" t="s">
        <v>10371</v>
      </c>
      <c r="E17609" s="0" t="inlineStr">
        <is>
          <t xml:space="preserve">Mazda</t>
        </is>
      </c>
      <c r="F17609" s="0" t="s">
        <v>13</v>
      </c>
      <c r="G17609" s="0" t="s">
        <v>49</v>
      </c>
      <c r="H17609" s="5">
        <v>72.384600</v>
      </c>
    </row>
    <row r="17610" spans="1:9">
      <c r="A17610" s="22" t="str">
        <f>HYPERLINK("https://app.vivvix.com/360/KMI/IntelliDrive/ApplUI/Pages/CreativePages/CustomReportCreativeDetail.aspx?App=23&amp;ReportView=4&amp;Qid=1711279&amp;Row=17602&amp;Col=1","No Title Assigned - #15276836783")</f>
        <v/>
      </c>
      <c r="B17610" s="0" t="s">
        <v>23337</v>
      </c>
      <c r="C17610" s="0" t="s">
        <v>23338</v>
      </c>
      <c r="D17610" s="0" t="s">
        <v>23338</v>
      </c>
      <c r="E17610" s="0" t="inlineStr">
        <is>
          <t xml:space="preserve">Mazda</t>
        </is>
      </c>
      <c r="F17610" s="0" t="s">
        <v>13</v>
      </c>
      <c r="G17610" s="0" t="s">
        <v>49</v>
      </c>
      <c r="H17610" s="5">
        <v>180.372300</v>
      </c>
    </row>
    <row r="17611" spans="1:9">
      <c r="A17611" s="22" t="str">
        <f>HYPERLINK("https://app.vivvix.com/360/KMI/IntelliDrive/ApplUI/Pages/CreativePages/CustomReportCreativeDetail.aspx?App=23&amp;ReportView=4&amp;Qid=1711279&amp;Row=17603&amp;Col=1","No Title Assigned - #15276836838")</f>
        <v/>
      </c>
      <c r="B17611" s="0" t="s">
        <v>23339</v>
      </c>
      <c r="C17611" s="0" t="s">
        <v>23340</v>
      </c>
      <c r="D17611" s="0" t="s">
        <v>23340</v>
      </c>
      <c r="E17611" s="0" t="inlineStr">
        <is>
          <t xml:space="preserve">Mazda</t>
        </is>
      </c>
      <c r="F17611" s="0" t="s">
        <v>13</v>
      </c>
      <c r="G17611" s="0" t="s">
        <v>49</v>
      </c>
      <c r="H17611" s="5">
        <v>114.743500</v>
      </c>
    </row>
    <row r="17612" spans="1:9">
      <c r="A17612" s="22" t="str">
        <f>HYPERLINK("https://app.vivvix.com/360/KMI/IntelliDrive/ApplUI/Pages/CreativePages/CustomReportCreativeDetail.aspx?App=23&amp;ReportView=4&amp;Qid=1711279&amp;Row=17604&amp;Col=1","No Title Assigned - #15276837377")</f>
        <v/>
      </c>
      <c r="B17612" s="0" t="s">
        <v>23341</v>
      </c>
      <c r="C17612" s="0" t="s">
        <v>23342</v>
      </c>
      <c r="D17612" s="0" t="s">
        <v>23342</v>
      </c>
      <c r="E17612" s="0" t="inlineStr">
        <is>
          <t xml:space="preserve">Mazda</t>
        </is>
      </c>
      <c r="F17612" s="0" t="s">
        <v>13</v>
      </c>
      <c r="G17612" s="0" t="s">
        <v>49</v>
      </c>
      <c r="H17612" s="5">
        <v>3787.867300</v>
      </c>
    </row>
    <row r="17613" spans="1:9">
      <c r="A17613" s="22" t="str">
        <f>HYPERLINK("https://app.vivvix.com/360/KMI/IntelliDrive/ApplUI/Pages/CreativePages/CustomReportCreativeDetail.aspx?App=23&amp;ReportView=4&amp;Qid=1711279&amp;Row=17605&amp;Col=1","No Title Assigned - #15276837487")</f>
        <v/>
      </c>
      <c r="B17613" s="0" t="s">
        <v>23343</v>
      </c>
      <c r="C17613" s="0" t="s">
        <v>23344</v>
      </c>
      <c r="D17613" s="0" t="s">
        <v>23344</v>
      </c>
      <c r="E17613" s="0" t="inlineStr">
        <is>
          <t xml:space="preserve">Mazda</t>
        </is>
      </c>
      <c r="F17613" s="0" t="s">
        <v>13</v>
      </c>
      <c r="G17613" s="0" t="s">
        <v>49</v>
      </c>
      <c r="H17613" s="5">
        <v>24.030800</v>
      </c>
    </row>
    <row r="17614" spans="1:9">
      <c r="A17614" s="22" t="str">
        <f>HYPERLINK("https://app.vivvix.com/360/KMI/IntelliDrive/ApplUI/Pages/CreativePages/CustomReportCreativeDetail.aspx?App=23&amp;ReportView=4&amp;Qid=1711279&amp;Row=17606&amp;Col=1","No Title Assigned - #15276837625")</f>
        <v/>
      </c>
      <c r="B17614" s="0" t="s">
        <v>23345</v>
      </c>
      <c r="C17614" s="0" t="s">
        <v>23346</v>
      </c>
      <c r="D17614" s="0" t="s">
        <v>23346</v>
      </c>
      <c r="E17614" s="0" t="inlineStr">
        <is>
          <t xml:space="preserve">Mazda</t>
        </is>
      </c>
      <c r="F17614" s="0" t="s">
        <v>13</v>
      </c>
      <c r="G17614" s="0" t="s">
        <v>49</v>
      </c>
      <c r="H17614" s="5">
        <v>353.781400</v>
      </c>
    </row>
    <row r="17615" spans="1:9">
      <c r="A17615" s="22" t="str">
        <f>HYPERLINK("https://app.vivvix.com/360/KMI/IntelliDrive/ApplUI/Pages/CreativePages/CustomReportCreativeDetail.aspx?App=23&amp;ReportView=4&amp;Qid=1711279&amp;Row=17607&amp;Col=1","No Title Assigned - #15276837977")</f>
        <v/>
      </c>
      <c r="B17615" s="0" t="s">
        <v>23347</v>
      </c>
      <c r="C17615" s="0" t="s">
        <v>23348</v>
      </c>
      <c r="D17615" s="0" t="s">
        <v>23348</v>
      </c>
      <c r="E17615" s="0" t="inlineStr">
        <is>
          <t xml:space="preserve">Mazda</t>
        </is>
      </c>
      <c r="F17615" s="0" t="s">
        <v>13</v>
      </c>
      <c r="G17615" s="0" t="s">
        <v>49</v>
      </c>
      <c r="H17615" s="5">
        <v>110.583600</v>
      </c>
    </row>
    <row r="17616" spans="1:9">
      <c r="A17616" s="22" t="str">
        <f>HYPERLINK("https://app.vivvix.com/360/KMI/IntelliDrive/ApplUI/Pages/CreativePages/CustomReportCreativeDetail.aspx?App=23&amp;ReportView=4&amp;Qid=1711279&amp;Row=17608&amp;Col=1","No Title Assigned - #15276838092")</f>
        <v/>
      </c>
      <c r="B17616" s="0" t="s">
        <v>23349</v>
      </c>
      <c r="C17616" s="0" t="s">
        <v>23350</v>
      </c>
      <c r="D17616" s="0" t="s">
        <v>23350</v>
      </c>
      <c r="E17616" s="0" t="inlineStr">
        <is>
          <t xml:space="preserve">Mazda</t>
        </is>
      </c>
      <c r="F17616" s="0" t="s">
        <v>13</v>
      </c>
      <c r="G17616" s="0" t="s">
        <v>49</v>
      </c>
      <c r="H17616" s="5">
        <v>165209.761300</v>
      </c>
    </row>
    <row r="17617" spans="1:9">
      <c r="A17617" s="22" t="str">
        <f>HYPERLINK("https://app.vivvix.com/360/KMI/IntelliDrive/ApplUI/Pages/CreativePages/CustomReportCreativeDetail.aspx?App=23&amp;ReportView=4&amp;Qid=1711279&amp;Row=17609&amp;Col=1","No Title Assigned - #15276840398")</f>
        <v/>
      </c>
      <c r="B17617" s="0" t="s">
        <v>23351</v>
      </c>
      <c r="C17617" s="0" t="s">
        <v>23352</v>
      </c>
      <c r="D17617" s="0" t="s">
        <v>23352</v>
      </c>
      <c r="E17617" s="0" t="inlineStr">
        <is>
          <t xml:space="preserve">Mazda</t>
        </is>
      </c>
      <c r="F17617" s="0" t="s">
        <v>13</v>
      </c>
      <c r="G17617" s="0" t="s">
        <v>49</v>
      </c>
      <c r="H17617" s="5">
        <v>194.764400</v>
      </c>
    </row>
    <row r="17618" spans="1:9">
      <c r="A17618" s="22" t="str">
        <f>HYPERLINK("https://app.vivvix.com/360/KMI/IntelliDrive/ApplUI/Pages/CreativePages/CustomReportCreativeDetail.aspx?App=23&amp;ReportView=4&amp;Qid=1711279&amp;Row=17610&amp;Col=1","No Title Assigned - #15276840485")</f>
        <v/>
      </c>
      <c r="B17618" s="0" t="s">
        <v>23353</v>
      </c>
      <c r="C17618" s="0" t="s">
        <v>23354</v>
      </c>
      <c r="D17618" s="0" t="s">
        <v>11469</v>
      </c>
      <c r="E17618" s="0" t="inlineStr">
        <is>
          <t xml:space="preserve">Mazda</t>
        </is>
      </c>
      <c r="F17618" s="0" t="s">
        <v>13</v>
      </c>
      <c r="G17618" s="0" t="s">
        <v>49</v>
      </c>
      <c r="H17618" s="5">
        <v>213.750000</v>
      </c>
    </row>
    <row r="17619" spans="1:9">
      <c r="A17619" s="22" t="str">
        <f>HYPERLINK("https://app.vivvix.com/360/KMI/IntelliDrive/ApplUI/Pages/CreativePages/CustomReportCreativeDetail.aspx?App=23&amp;ReportView=4&amp;Qid=1711279&amp;Row=17611&amp;Col=1","No Title Assigned - #15276840954")</f>
        <v/>
      </c>
      <c r="B17619" s="0" t="s">
        <v>23355</v>
      </c>
      <c r="C17619" s="0" t="s">
        <v>23356</v>
      </c>
      <c r="D17619" s="0" t="s">
        <v>22583</v>
      </c>
      <c r="E17619" s="0" t="inlineStr">
        <is>
          <t xml:space="preserve">Mazda</t>
        </is>
      </c>
      <c r="F17619" s="0" t="s">
        <v>13</v>
      </c>
      <c r="G17619" s="0" t="s">
        <v>49</v>
      </c>
      <c r="H17619" s="5">
        <v>96.779900</v>
      </c>
    </row>
    <row r="17620" spans="1:9">
      <c r="A17620" s="22" t="str">
        <f>HYPERLINK("https://app.vivvix.com/360/KMI/IntelliDrive/ApplUI/Pages/CreativePages/CustomReportCreativeDetail.aspx?App=23&amp;ReportView=4&amp;Qid=1711279&amp;Row=17612&amp;Col=1","No Title Assigned - #15276841512")</f>
        <v/>
      </c>
      <c r="B17620" s="0" t="s">
        <v>23357</v>
      </c>
      <c r="C17620" s="0" t="s">
        <v>23358</v>
      </c>
      <c r="D17620" s="0" t="s">
        <v>6183</v>
      </c>
      <c r="E17620" s="0" t="inlineStr">
        <is>
          <t xml:space="preserve">Mazda</t>
        </is>
      </c>
      <c r="F17620" s="0" t="s">
        <v>13</v>
      </c>
      <c r="G17620" s="0" t="s">
        <v>49</v>
      </c>
      <c r="H17620" s="5">
        <v>8.807700</v>
      </c>
    </row>
    <row r="17621" spans="1:9">
      <c r="A17621" s="22" t="str">
        <f>HYPERLINK("https://app.vivvix.com/360/KMI/IntelliDrive/ApplUI/Pages/CreativePages/CustomReportCreativeDetail.aspx?App=23&amp;ReportView=4&amp;Qid=1711279&amp;Row=17613&amp;Col=1","No Title Assigned - #15276841586")</f>
        <v/>
      </c>
      <c r="B17621" s="0" t="s">
        <v>23359</v>
      </c>
      <c r="C17621" s="0" t="s">
        <v>23360</v>
      </c>
      <c r="D17621" s="0" t="s">
        <v>23360</v>
      </c>
      <c r="E17621" s="0" t="inlineStr">
        <is>
          <t xml:space="preserve">Mazda</t>
        </is>
      </c>
      <c r="F17621" s="0" t="s">
        <v>13</v>
      </c>
      <c r="G17621" s="0" t="s">
        <v>49</v>
      </c>
      <c r="H17621" s="5">
        <v>349.435700</v>
      </c>
    </row>
    <row r="17622" spans="1:9">
      <c r="A17622" s="22" t="str">
        <f>HYPERLINK("https://app.vivvix.com/360/KMI/IntelliDrive/ApplUI/Pages/CreativePages/CustomReportCreativeDetail.aspx?App=23&amp;ReportView=4&amp;Qid=1711279&amp;Row=17614&amp;Col=1","No Title Assigned - #15276842678")</f>
        <v/>
      </c>
      <c r="B17622" s="0" t="s">
        <v>23361</v>
      </c>
      <c r="C17622" s="0" t="s">
        <v>23362</v>
      </c>
      <c r="D17622" s="0" t="s">
        <v>23362</v>
      </c>
      <c r="E17622" s="0" t="inlineStr">
        <is>
          <t xml:space="preserve">Mazda</t>
        </is>
      </c>
      <c r="F17622" s="0" t="s">
        <v>13</v>
      </c>
      <c r="G17622" s="0" t="s">
        <v>49</v>
      </c>
      <c r="H17622" s="5">
        <v>14.124100</v>
      </c>
    </row>
    <row r="17623" spans="1:9">
      <c r="A17623" s="22" t="str">
        <f>HYPERLINK("https://app.vivvix.com/360/KMI/IntelliDrive/ApplUI/Pages/CreativePages/CustomReportCreativeDetail.aspx?App=23&amp;ReportView=4&amp;Qid=1711279&amp;Row=17615&amp;Col=1","No Title Assigned - #15276843616")</f>
        <v/>
      </c>
      <c r="B17623" s="0" t="s">
        <v>23363</v>
      </c>
      <c r="C17623" s="0" t="s">
        <v>23364</v>
      </c>
      <c r="D17623" s="0" t="s">
        <v>23364</v>
      </c>
      <c r="E17623" s="0" t="inlineStr">
        <is>
          <t xml:space="preserve">Mazda</t>
        </is>
      </c>
      <c r="F17623" s="0" t="s">
        <v>13</v>
      </c>
      <c r="G17623" s="0" t="s">
        <v>49</v>
      </c>
      <c r="H17623" s="5">
        <v>220.672500</v>
      </c>
    </row>
    <row r="17624" spans="1:9">
      <c r="A17624" s="22" t="str">
        <f>HYPERLINK("https://app.vivvix.com/360/KMI/IntelliDrive/ApplUI/Pages/CreativePages/CustomReportCreativeDetail.aspx?App=23&amp;ReportView=4&amp;Qid=1711279&amp;Row=17616&amp;Col=1","No Title Assigned - #15276843702")</f>
        <v/>
      </c>
      <c r="B17624" s="0" t="s">
        <v>23365</v>
      </c>
      <c r="C17624" s="0" t="s">
        <v>23366</v>
      </c>
      <c r="D17624" s="0" t="s">
        <v>23366</v>
      </c>
      <c r="E17624" s="0" t="inlineStr">
        <is>
          <t xml:space="preserve">Mazda</t>
        </is>
      </c>
      <c r="F17624" s="0" t="s">
        <v>13</v>
      </c>
      <c r="G17624" s="0" t="s">
        <v>49</v>
      </c>
      <c r="H17624" s="5">
        <v>5099.007800</v>
      </c>
    </row>
    <row r="17625" spans="1:9">
      <c r="A17625" s="22" t="str">
        <f>HYPERLINK("https://app.vivvix.com/360/KMI/IntelliDrive/ApplUI/Pages/CreativePages/CustomReportCreativeDetail.aspx?App=23&amp;ReportView=4&amp;Qid=1711279&amp;Row=17617&amp;Col=1","No Title Assigned - #15276843731")</f>
        <v/>
      </c>
      <c r="B17625" s="0" t="s">
        <v>23367</v>
      </c>
      <c r="C17625" s="0" t="s">
        <v>23368</v>
      </c>
      <c r="D17625" s="0" t="s">
        <v>23368</v>
      </c>
      <c r="E17625" s="0" t="inlineStr">
        <is>
          <t xml:space="preserve">Mazda</t>
        </is>
      </c>
      <c r="F17625" s="0" t="s">
        <v>13</v>
      </c>
      <c r="G17625" s="0" t="s">
        <v>49</v>
      </c>
      <c r="H17625" s="5">
        <v>2792.561600</v>
      </c>
    </row>
    <row r="17626" spans="1:9">
      <c r="A17626" s="22" t="str">
        <f>HYPERLINK("https://app.vivvix.com/360/KMI/IntelliDrive/ApplUI/Pages/CreativePages/CustomReportCreativeDetail.aspx?App=23&amp;ReportView=4&amp;Qid=1711279&amp;Row=17618&amp;Col=1","No Title Assigned - #15276844064")</f>
        <v/>
      </c>
      <c r="B17626" s="0" t="s">
        <v>23369</v>
      </c>
      <c r="C17626" s="0" t="s">
        <v>23370</v>
      </c>
      <c r="D17626" s="0" t="s">
        <v>23370</v>
      </c>
      <c r="E17626" s="0" t="inlineStr">
        <is>
          <t xml:space="preserve">Mazda</t>
        </is>
      </c>
      <c r="F17626" s="0" t="s">
        <v>13</v>
      </c>
      <c r="G17626" s="0" t="s">
        <v>49</v>
      </c>
      <c r="H17626" s="5">
        <v>23.660800</v>
      </c>
    </row>
    <row r="17627" spans="1:9">
      <c r="A17627" s="22" t="str">
        <f>HYPERLINK("https://app.vivvix.com/360/KMI/IntelliDrive/ApplUI/Pages/CreativePages/CustomReportCreativeDetail.aspx?App=23&amp;ReportView=4&amp;Qid=1711279&amp;Row=17619&amp;Col=1","No Title Assigned - #15276844269")</f>
        <v/>
      </c>
      <c r="B17627" s="0" t="s">
        <v>23371</v>
      </c>
      <c r="C17627" s="0" t="s">
        <v>23372</v>
      </c>
      <c r="D17627" s="0" t="s">
        <v>23372</v>
      </c>
      <c r="E17627" s="0" t="inlineStr">
        <is>
          <t xml:space="preserve">Mazda</t>
        </is>
      </c>
      <c r="F17627" s="0" t="s">
        <v>13</v>
      </c>
      <c r="G17627" s="0" t="s">
        <v>49</v>
      </c>
      <c r="H17627" s="5">
        <v>22.577300</v>
      </c>
    </row>
    <row r="17628" spans="1:9">
      <c r="A17628" s="22" t="str">
        <f>HYPERLINK("https://app.vivvix.com/360/KMI/IntelliDrive/ApplUI/Pages/CreativePages/CustomReportCreativeDetail.aspx?App=23&amp;ReportView=4&amp;Qid=1711279&amp;Row=17620&amp;Col=1","No Title Assigned - #15276844774")</f>
        <v/>
      </c>
      <c r="B17628" s="0" t="s">
        <v>23373</v>
      </c>
      <c r="C17628" s="0" t="s">
        <v>23374</v>
      </c>
      <c r="D17628" s="0" t="s">
        <v>23374</v>
      </c>
      <c r="E17628" s="0" t="inlineStr">
        <is>
          <t xml:space="preserve">Mazda</t>
        </is>
      </c>
      <c r="F17628" s="0" t="s">
        <v>13</v>
      </c>
      <c r="G17628" s="0" t="s">
        <v>49</v>
      </c>
      <c r="H17628" s="5">
        <v>227.347700</v>
      </c>
    </row>
    <row r="17629" spans="1:9">
      <c r="A17629" s="22" t="str">
        <f>HYPERLINK("https://app.vivvix.com/360/KMI/IntelliDrive/ApplUI/Pages/CreativePages/CustomReportCreativeDetail.aspx?App=23&amp;ReportView=4&amp;Qid=1711279&amp;Row=17621&amp;Col=1","No Title Assigned - #15276845439")</f>
        <v/>
      </c>
      <c r="B17629" s="0" t="s">
        <v>23375</v>
      </c>
      <c r="C17629" s="0" t="s">
        <v>23376</v>
      </c>
      <c r="D17629" s="0" t="s">
        <v>23376</v>
      </c>
      <c r="E17629" s="0" t="inlineStr">
        <is>
          <t xml:space="preserve">Mazda</t>
        </is>
      </c>
      <c r="F17629" s="0" t="s">
        <v>28</v>
      </c>
      <c r="G17629" s="0" t="s">
        <v>29</v>
      </c>
      <c r="H17629" s="5">
        <v>850.556300</v>
      </c>
    </row>
    <row r="17630" spans="1:9">
      <c r="A17630" s="22" t="str">
        <f>HYPERLINK("https://app.vivvix.com/360/KMI/IntelliDrive/ApplUI/Pages/CreativePages/CustomReportCreativeDetail.aspx?App=23&amp;ReportView=4&amp;Qid=1711279&amp;Row=17622&amp;Col=1","No Title Assigned - #15276845515")</f>
        <v/>
      </c>
      <c r="B17630" s="0" t="s">
        <v>23377</v>
      </c>
      <c r="C17630" s="0" t="s">
        <v>23378</v>
      </c>
      <c r="D17630" s="0" t="s">
        <v>10101</v>
      </c>
      <c r="E17630" s="0" t="inlineStr">
        <is>
          <t xml:space="preserve">Mazda</t>
        </is>
      </c>
      <c r="F17630" s="0" t="s">
        <v>13</v>
      </c>
      <c r="G17630" s="0" t="s">
        <v>49</v>
      </c>
      <c r="H17630" s="5">
        <v>8.507000</v>
      </c>
    </row>
    <row r="17631" spans="1:9">
      <c r="A17631" s="22" t="str">
        <f>HYPERLINK("https://app.vivvix.com/360/KMI/IntelliDrive/ApplUI/Pages/CreativePages/CustomReportCreativeDetail.aspx?App=23&amp;ReportView=4&amp;Qid=1711279&amp;Row=17623&amp;Col=1","No Title Assigned - #15276845875")</f>
        <v/>
      </c>
      <c r="B17631" s="0" t="s">
        <v>23379</v>
      </c>
      <c r="C17631" s="0" t="s">
        <v>23380</v>
      </c>
      <c r="D17631" s="0" t="s">
        <v>23380</v>
      </c>
      <c r="E17631" s="0" t="inlineStr">
        <is>
          <t xml:space="preserve">Mazda</t>
        </is>
      </c>
      <c r="F17631" s="0" t="s">
        <v>13</v>
      </c>
      <c r="G17631" s="0" t="s">
        <v>49</v>
      </c>
      <c r="H17631" s="5">
        <v>8317.624000</v>
      </c>
    </row>
    <row r="17632" spans="1:9">
      <c r="A17632" s="22" t="str">
        <f>HYPERLINK("https://app.vivvix.com/360/KMI/IntelliDrive/ApplUI/Pages/CreativePages/CustomReportCreativeDetail.aspx?App=23&amp;ReportView=4&amp;Qid=1711279&amp;Row=17624&amp;Col=1","No Title Assigned - #15276846021")</f>
        <v/>
      </c>
      <c r="B17632" s="0" t="s">
        <v>23381</v>
      </c>
      <c r="C17632" s="0" t="s">
        <v>23382</v>
      </c>
      <c r="D17632" s="0" t="s">
        <v>6183</v>
      </c>
      <c r="E17632" s="0" t="inlineStr">
        <is>
          <t xml:space="preserve">Mazda</t>
        </is>
      </c>
      <c r="F17632" s="0" t="s">
        <v>13</v>
      </c>
      <c r="G17632" s="0" t="s">
        <v>49</v>
      </c>
      <c r="H17632" s="5">
        <v>153.730600</v>
      </c>
    </row>
    <row r="17633" spans="1:9">
      <c r="A17633" s="22" t="str">
        <f>HYPERLINK("https://app.vivvix.com/360/KMI/IntelliDrive/ApplUI/Pages/CreativePages/CustomReportCreativeDetail.aspx?App=23&amp;ReportView=4&amp;Qid=1711279&amp;Row=17625&amp;Col=1","No Title Assigned - #15276846370")</f>
        <v/>
      </c>
      <c r="B17633" s="0" t="s">
        <v>23383</v>
      </c>
      <c r="C17633" s="0" t="s">
        <v>23384</v>
      </c>
      <c r="D17633" s="0" t="s">
        <v>4774</v>
      </c>
      <c r="E17633" s="0" t="inlineStr">
        <is>
          <t xml:space="preserve">Mazda</t>
        </is>
      </c>
      <c r="F17633" s="0" t="s">
        <v>13</v>
      </c>
      <c r="G17633" s="0" t="s">
        <v>49</v>
      </c>
      <c r="H17633" s="5">
        <v>21.117100</v>
      </c>
    </row>
    <row r="17634" spans="1:9">
      <c r="A17634" s="22" t="str">
        <f>HYPERLINK("https://app.vivvix.com/360/KMI/IntelliDrive/ApplUI/Pages/CreativePages/CustomReportCreativeDetail.aspx?App=23&amp;ReportView=4&amp;Qid=1711279&amp;Row=17626&amp;Col=1","No Title Assigned - #15276846712")</f>
        <v/>
      </c>
      <c r="B17634" s="0" t="s">
        <v>23385</v>
      </c>
      <c r="C17634" s="0" t="s">
        <v>23386</v>
      </c>
      <c r="D17634" s="0" t="s">
        <v>4335</v>
      </c>
      <c r="E17634" s="0" t="inlineStr">
        <is>
          <t xml:space="preserve">Mazda</t>
        </is>
      </c>
      <c r="F17634" s="0" t="s">
        <v>13</v>
      </c>
      <c r="G17634" s="0" t="s">
        <v>49</v>
      </c>
      <c r="H17634" s="5">
        <v>72.826500</v>
      </c>
    </row>
    <row r="17635" spans="1:9">
      <c r="A17635" s="22" t="str">
        <f>HYPERLINK("https://app.vivvix.com/360/KMI/IntelliDrive/ApplUI/Pages/CreativePages/CustomReportCreativeDetail.aspx?App=23&amp;ReportView=4&amp;Qid=1711279&amp;Row=17627&amp;Col=1","No Title Assigned - #15276846715")</f>
        <v/>
      </c>
      <c r="B17635" s="0" t="s">
        <v>23387</v>
      </c>
      <c r="C17635" s="0" t="s">
        <v>23388</v>
      </c>
      <c r="D17635" s="0" t="s">
        <v>4938</v>
      </c>
      <c r="E17635" s="0" t="inlineStr">
        <is>
          <t xml:space="preserve">Mazda</t>
        </is>
      </c>
      <c r="F17635" s="0" t="s">
        <v>13</v>
      </c>
      <c r="G17635" s="0" t="s">
        <v>49</v>
      </c>
      <c r="H17635" s="5">
        <v>72.826500</v>
      </c>
    </row>
    <row r="17636" spans="1:9">
      <c r="A17636" s="22" t="str">
        <f>HYPERLINK("https://app.vivvix.com/360/KMI/IntelliDrive/ApplUI/Pages/CreativePages/CustomReportCreativeDetail.aspx?App=23&amp;ReportView=4&amp;Qid=1711279&amp;Row=17628&amp;Col=1","No Title Assigned - #15276848238")</f>
        <v/>
      </c>
      <c r="B17636" s="0" t="s">
        <v>23389</v>
      </c>
      <c r="C17636" s="0" t="s">
        <v>23390</v>
      </c>
      <c r="D17636" s="0" t="s">
        <v>23390</v>
      </c>
      <c r="E17636" s="0" t="inlineStr">
        <is>
          <t xml:space="preserve">Mazda</t>
        </is>
      </c>
      <c r="F17636" s="0" t="s">
        <v>28</v>
      </c>
      <c r="G17636" s="0" t="s">
        <v>29</v>
      </c>
      <c r="H17636" s="5">
        <v>7837.896800</v>
      </c>
    </row>
    <row r="17637" spans="1:9">
      <c r="A17637" s="22" t="str">
        <f>HYPERLINK("https://app.vivvix.com/360/KMI/IntelliDrive/ApplUI/Pages/CreativePages/CustomReportCreativeDetail.aspx?App=23&amp;ReportView=4&amp;Qid=1711279&amp;Row=17629&amp;Col=1","No Title Assigned - #15276850736")</f>
        <v/>
      </c>
      <c r="B17637" s="0" t="s">
        <v>23391</v>
      </c>
      <c r="C17637" s="0" t="s">
        <v>23392</v>
      </c>
      <c r="D17637" s="0" t="s">
        <v>23392</v>
      </c>
      <c r="E17637" s="0" t="inlineStr">
        <is>
          <t xml:space="preserve">Mazda</t>
        </is>
      </c>
      <c r="F17637" s="0" t="inlineStr">
        <is>
          <t xml:space="preserve">Mazda</t>
        </is>
      </c>
      <c r="G17637" s="0" t="s">
        <v>210</v>
      </c>
      <c r="H17637" s="5">
        <v>903.193800</v>
      </c>
    </row>
    <row r="17638" spans="1:9">
      <c r="A17638" s="22" t="str">
        <f>HYPERLINK("https://app.vivvix.com/360/KMI/IntelliDrive/ApplUI/Pages/CreativePages/CustomReportCreativeDetail.aspx?App=23&amp;ReportView=4&amp;Qid=1711279&amp;Row=17630&amp;Col=1","No Title Assigned - #15276851332")</f>
        <v/>
      </c>
      <c r="B17638" s="0" t="s">
        <v>23393</v>
      </c>
      <c r="C17638" s="0" t="s">
        <v>23394</v>
      </c>
      <c r="D17638" s="0" t="s">
        <v>23394</v>
      </c>
      <c r="E17638" s="0" t="inlineStr">
        <is>
          <t xml:space="preserve">Mazda</t>
        </is>
      </c>
      <c r="F17638" s="0" t="s">
        <v>13</v>
      </c>
      <c r="G17638" s="0" t="s">
        <v>49</v>
      </c>
      <c r="H17638" s="5">
        <v>226.009200</v>
      </c>
    </row>
    <row r="17639" spans="1:9">
      <c r="A17639" s="22" t="str">
        <f>HYPERLINK("https://app.vivvix.com/360/KMI/IntelliDrive/ApplUI/Pages/CreativePages/CustomReportCreativeDetail.aspx?App=23&amp;ReportView=4&amp;Qid=1711279&amp;Row=17631&amp;Col=1","No Title Assigned - #15276852769")</f>
        <v/>
      </c>
      <c r="B17639" s="0" t="s">
        <v>23395</v>
      </c>
      <c r="E17639" s="0" t="inlineStr">
        <is>
          <t xml:space="preserve">Mazda</t>
        </is>
      </c>
      <c r="F17639" s="0" t="inlineStr">
        <is>
          <t xml:space="preserve">Mazda</t>
        </is>
      </c>
      <c r="G17639" s="0" t="s">
        <v>171</v>
      </c>
      <c r="H17639" s="5">
        <v>342.823100</v>
      </c>
    </row>
    <row r="17640" spans="1:9">
      <c r="A17640" s="22" t="str">
        <f>HYPERLINK("https://app.vivvix.com/360/KMI/IntelliDrive/ApplUI/Pages/CreativePages/CustomReportCreativeDetail.aspx?App=23&amp;ReportView=4&amp;Qid=1711279&amp;Row=17632&amp;Col=1","No Title Assigned - #15276853055")</f>
        <v/>
      </c>
      <c r="B17640" s="0" t="s">
        <v>23396</v>
      </c>
      <c r="E17640" s="0" t="inlineStr">
        <is>
          <t xml:space="preserve">Mazda</t>
        </is>
      </c>
      <c r="F17640" s="0" t="inlineStr">
        <is>
          <t xml:space="preserve">Mazda</t>
        </is>
      </c>
      <c r="G17640" s="0" t="s">
        <v>171</v>
      </c>
      <c r="H17640" s="5">
        <v>353.200500</v>
      </c>
    </row>
    <row r="17641" spans="1:9">
      <c r="A17641" s="22" t="str">
        <f>HYPERLINK("https://app.vivvix.com/360/KMI/IntelliDrive/ApplUI/Pages/CreativePages/CustomReportCreativeDetail.aspx?App=23&amp;ReportView=4&amp;Qid=1711279&amp;Row=17633&amp;Col=1","No Title Assigned - #15276853093")</f>
        <v/>
      </c>
      <c r="B17641" s="0" t="s">
        <v>23397</v>
      </c>
      <c r="C17641" s="0" t="s">
        <v>23398</v>
      </c>
      <c r="D17641" s="0" t="s">
        <v>23398</v>
      </c>
      <c r="E17641" s="0" t="inlineStr">
        <is>
          <t xml:space="preserve">Mazda</t>
        </is>
      </c>
      <c r="F17641" s="0" t="s">
        <v>13</v>
      </c>
      <c r="G17641" s="0" t="s">
        <v>49</v>
      </c>
      <c r="H17641" s="5">
        <v>12483.287600</v>
      </c>
    </row>
    <row r="17642" spans="1:9">
      <c r="A17642" s="22" t="str">
        <f>HYPERLINK("https://app.vivvix.com/360/KMI/IntelliDrive/ApplUI/Pages/CreativePages/CustomReportCreativeDetail.aspx?App=23&amp;ReportView=4&amp;Qid=1711279&amp;Row=17634&amp;Col=1","No Title Assigned - #15276854148")</f>
        <v/>
      </c>
      <c r="B17642" s="0" t="s">
        <v>23399</v>
      </c>
      <c r="C17642" s="0" t="s">
        <v>23400</v>
      </c>
      <c r="D17642" s="0" t="s">
        <v>10004</v>
      </c>
      <c r="E17642" s="0" t="inlineStr">
        <is>
          <t xml:space="preserve">Mazda</t>
        </is>
      </c>
      <c r="F17642" s="0" t="s">
        <v>13</v>
      </c>
      <c r="G17642" s="0" t="s">
        <v>49</v>
      </c>
      <c r="H17642" s="5">
        <v>1121.087700</v>
      </c>
    </row>
    <row r="17643" spans="1:9">
      <c r="A17643" s="22" t="str">
        <f>HYPERLINK("https://app.vivvix.com/360/KMI/IntelliDrive/ApplUI/Pages/CreativePages/CustomReportCreativeDetail.aspx?App=23&amp;ReportView=4&amp;Qid=1711279&amp;Row=17635&amp;Col=1","No Title Assigned - #15276854184")</f>
        <v/>
      </c>
      <c r="B17643" s="0" t="s">
        <v>23401</v>
      </c>
      <c r="C17643" s="0" t="s">
        <v>23402</v>
      </c>
      <c r="D17643" s="0" t="s">
        <v>23402</v>
      </c>
      <c r="E17643" s="0" t="inlineStr">
        <is>
          <t xml:space="preserve">Mazda</t>
        </is>
      </c>
      <c r="F17643" s="0" t="s">
        <v>13</v>
      </c>
      <c r="G17643" s="0" t="s">
        <v>49</v>
      </c>
      <c r="H17643" s="5">
        <v>572.161200</v>
      </c>
    </row>
    <row r="17644" spans="1:9">
      <c r="A17644" s="22" t="str">
        <f>HYPERLINK("https://app.vivvix.com/360/KMI/IntelliDrive/ApplUI/Pages/CreativePages/CustomReportCreativeDetail.aspx?App=23&amp;ReportView=4&amp;Qid=1711279&amp;Row=17636&amp;Col=1","No Title Assigned - #15276854597")</f>
        <v/>
      </c>
      <c r="B17644" s="0" t="s">
        <v>23403</v>
      </c>
      <c r="C17644" s="0" t="s">
        <v>23404</v>
      </c>
      <c r="D17644" s="0" t="s">
        <v>4335</v>
      </c>
      <c r="E17644" s="0" t="inlineStr">
        <is>
          <t xml:space="preserve">Mazda</t>
        </is>
      </c>
      <c r="F17644" s="0" t="s">
        <v>13</v>
      </c>
      <c r="G17644" s="0" t="s">
        <v>49</v>
      </c>
      <c r="H17644" s="5">
        <v>6.565100</v>
      </c>
    </row>
    <row r="17645" spans="1:9">
      <c r="A17645" s="22" t="str">
        <f>HYPERLINK("https://app.vivvix.com/360/KMI/IntelliDrive/ApplUI/Pages/CreativePages/CustomReportCreativeDetail.aspx?App=23&amp;ReportView=4&amp;Qid=1711279&amp;Row=17637&amp;Col=1","No Title Assigned - #15276855292")</f>
        <v/>
      </c>
      <c r="B17645" s="0" t="s">
        <v>23405</v>
      </c>
      <c r="E17645" s="0" t="inlineStr">
        <is>
          <t xml:space="preserve">Mazda</t>
        </is>
      </c>
      <c r="F17645" s="0" t="inlineStr">
        <is>
          <t xml:space="preserve">Mazda</t>
        </is>
      </c>
      <c r="G17645" s="0" t="s">
        <v>171</v>
      </c>
      <c r="H17645" s="5">
        <v>38.241800</v>
      </c>
    </row>
    <row r="17646" spans="1:9">
      <c r="A17646" s="22" t="str">
        <f>HYPERLINK("https://app.vivvix.com/360/KMI/IntelliDrive/ApplUI/Pages/CreativePages/CustomReportCreativeDetail.aspx?App=23&amp;ReportView=4&amp;Qid=1711279&amp;Row=17638&amp;Col=1","No Title Assigned - #15276855501")</f>
        <v/>
      </c>
      <c r="B17646" s="0" t="s">
        <v>23406</v>
      </c>
      <c r="E17646" s="0" t="inlineStr">
        <is>
          <t xml:space="preserve">Mazda</t>
        </is>
      </c>
      <c r="F17646" s="0" t="inlineStr">
        <is>
          <t xml:space="preserve">Mazda</t>
        </is>
      </c>
      <c r="G17646" s="0" t="s">
        <v>171</v>
      </c>
      <c r="H17646" s="5">
        <v>288.206200</v>
      </c>
    </row>
    <row r="17647" spans="1:9">
      <c r="A17647" s="22" t="str">
        <f>HYPERLINK("https://app.vivvix.com/360/KMI/IntelliDrive/ApplUI/Pages/CreativePages/CustomReportCreativeDetail.aspx?App=23&amp;ReportView=4&amp;Qid=1711279&amp;Row=17639&amp;Col=1","No Title Assigned - #15276855716")</f>
        <v/>
      </c>
      <c r="B17647" s="0" t="s">
        <v>23407</v>
      </c>
      <c r="E17647" s="0" t="inlineStr">
        <is>
          <t xml:space="preserve">Mazda</t>
        </is>
      </c>
      <c r="F17647" s="0" t="inlineStr">
        <is>
          <t xml:space="preserve">Mazda</t>
        </is>
      </c>
      <c r="G17647" s="0" t="s">
        <v>171</v>
      </c>
      <c r="H17647" s="5">
        <v>85.309600</v>
      </c>
    </row>
    <row r="17648" spans="1:9">
      <c r="A17648" s="22" t="str">
        <f>HYPERLINK("https://app.vivvix.com/360/KMI/IntelliDrive/ApplUI/Pages/CreativePages/CustomReportCreativeDetail.aspx?App=23&amp;ReportView=4&amp;Qid=1711279&amp;Row=17640&amp;Col=1","No Title Assigned - #15276855749")</f>
        <v/>
      </c>
      <c r="B17648" s="0" t="s">
        <v>23408</v>
      </c>
      <c r="E17648" s="0" t="inlineStr">
        <is>
          <t xml:space="preserve">Mazda</t>
        </is>
      </c>
      <c r="F17648" s="0" t="inlineStr">
        <is>
          <t xml:space="preserve">Mazda</t>
        </is>
      </c>
      <c r="G17648" s="0" t="s">
        <v>171</v>
      </c>
      <c r="H17648" s="5">
        <v>2.390700</v>
      </c>
    </row>
    <row r="17649" spans="1:9">
      <c r="A17649" s="22" t="str">
        <f>HYPERLINK("https://app.vivvix.com/360/KMI/IntelliDrive/ApplUI/Pages/CreativePages/CustomReportCreativeDetail.aspx?App=23&amp;ReportView=4&amp;Qid=1711279&amp;Row=17641&amp;Col=1","No Title Assigned - #15276856067")</f>
        <v/>
      </c>
      <c r="B17649" s="0" t="s">
        <v>23409</v>
      </c>
      <c r="E17649" s="0" t="inlineStr">
        <is>
          <t xml:space="preserve">Mazda</t>
        </is>
      </c>
      <c r="F17649" s="0" t="inlineStr">
        <is>
          <t xml:space="preserve">Mazda</t>
        </is>
      </c>
      <c r="G17649" s="0" t="s">
        <v>171</v>
      </c>
      <c r="H17649" s="5">
        <v>394.879400</v>
      </c>
    </row>
    <row r="17650" spans="1:9">
      <c r="A17650" s="22" t="str">
        <f>HYPERLINK("https://app.vivvix.com/360/KMI/IntelliDrive/ApplUI/Pages/CreativePages/CustomReportCreativeDetail.aspx?App=23&amp;ReportView=4&amp;Qid=1711279&amp;Row=17642&amp;Col=1","No Title Assigned - #15276856579")</f>
        <v/>
      </c>
      <c r="B17650" s="0" t="s">
        <v>23410</v>
      </c>
      <c r="C17650" s="0" t="s">
        <v>23411</v>
      </c>
      <c r="D17650" s="0" t="s">
        <v>23411</v>
      </c>
      <c r="E17650" s="0" t="inlineStr">
        <is>
          <t xml:space="preserve">Mazda</t>
        </is>
      </c>
      <c r="F17650" s="0" t="inlineStr">
        <is>
          <t xml:space="preserve">Mazda</t>
        </is>
      </c>
      <c r="G17650" s="0" t="s">
        <v>171</v>
      </c>
      <c r="H17650" s="5">
        <v>46.683600</v>
      </c>
    </row>
    <row r="17651" spans="1:9">
      <c r="A17651" s="22" t="str">
        <f>HYPERLINK("https://app.vivvix.com/360/KMI/IntelliDrive/ApplUI/Pages/CreativePages/CustomReportCreativeDetail.aspx?App=23&amp;ReportView=4&amp;Qid=1711279&amp;Row=17643&amp;Col=1","No Title Assigned - #15276856926")</f>
        <v/>
      </c>
      <c r="B17651" s="0" t="s">
        <v>23412</v>
      </c>
      <c r="E17651" s="0" t="inlineStr">
        <is>
          <t xml:space="preserve">Mazda</t>
        </is>
      </c>
      <c r="F17651" s="0" t="inlineStr">
        <is>
          <t xml:space="preserve">Mazda</t>
        </is>
      </c>
      <c r="G17651" s="0" t="s">
        <v>171</v>
      </c>
      <c r="H17651" s="5">
        <v>26305.060200</v>
      </c>
    </row>
    <row r="17652" spans="1:9">
      <c r="A17652" s="22" t="str">
        <f>HYPERLINK("https://app.vivvix.com/360/KMI/IntelliDrive/ApplUI/Pages/CreativePages/CustomReportCreativeDetail.aspx?App=23&amp;ReportView=4&amp;Qid=1711279&amp;Row=17644&amp;Col=1","No Title Assigned - #15276856926")</f>
        <v/>
      </c>
      <c r="B17652" s="0" t="s">
        <v>23412</v>
      </c>
      <c r="E17652" s="0" t="inlineStr">
        <is>
          <t xml:space="preserve">Mazda</t>
        </is>
      </c>
      <c r="F17652" s="0" t="inlineStr">
        <is>
          <t xml:space="preserve">Mazda</t>
        </is>
      </c>
      <c r="G17652" s="0" t="s">
        <v>171</v>
      </c>
      <c r="H17652" s="5">
        <v>39144.782500</v>
      </c>
    </row>
    <row r="17653" spans="1:9">
      <c r="A17653" s="22" t="str">
        <f>HYPERLINK("https://app.vivvix.com/360/KMI/IntelliDrive/ApplUI/Pages/CreativePages/CustomReportCreativeDetail.aspx?App=23&amp;ReportView=4&amp;Qid=1711279&amp;Row=17645&amp;Col=1","No Title Assigned - #15276857376")</f>
        <v/>
      </c>
      <c r="B17653" s="0" t="s">
        <v>23413</v>
      </c>
      <c r="E17653" s="0" t="inlineStr">
        <is>
          <t xml:space="preserve">Mazda</t>
        </is>
      </c>
      <c r="F17653" s="0" t="inlineStr">
        <is>
          <t xml:space="preserve">Mazda</t>
        </is>
      </c>
      <c r="G17653" s="0" t="s">
        <v>171</v>
      </c>
      <c r="H17653" s="5">
        <v>352.086200</v>
      </c>
    </row>
    <row r="17654" spans="1:9">
      <c r="A17654" s="22" t="str">
        <f>HYPERLINK("https://app.vivvix.com/360/KMI/IntelliDrive/ApplUI/Pages/CreativePages/CustomReportCreativeDetail.aspx?App=23&amp;ReportView=4&amp;Qid=1711279&amp;Row=17646&amp;Col=1","No Title Assigned - #15276857376")</f>
        <v/>
      </c>
      <c r="B17654" s="0" t="s">
        <v>23413</v>
      </c>
      <c r="E17654" s="0" t="inlineStr">
        <is>
          <t xml:space="preserve">Mazda</t>
        </is>
      </c>
      <c r="F17654" s="0" t="inlineStr">
        <is>
          <t xml:space="preserve">Mazda</t>
        </is>
      </c>
      <c r="G17654" s="0" t="s">
        <v>171</v>
      </c>
      <c r="H17654" s="5">
        <v>24.302300</v>
      </c>
    </row>
    <row r="17655" spans="1:9">
      <c r="A17655" s="22" t="str">
        <f>HYPERLINK("https://app.vivvix.com/360/KMI/IntelliDrive/ApplUI/Pages/CreativePages/CustomReportCreativeDetail.aspx?App=23&amp;ReportView=4&amp;Qid=1711279&amp;Row=17647&amp;Col=1","No Title Assigned - #15276857445")</f>
        <v/>
      </c>
      <c r="B17655" s="0" t="s">
        <v>23414</v>
      </c>
      <c r="E17655" s="0" t="inlineStr">
        <is>
          <t xml:space="preserve">Mazda</t>
        </is>
      </c>
      <c r="F17655" s="0" t="inlineStr">
        <is>
          <t xml:space="preserve">Mazda</t>
        </is>
      </c>
      <c r="G17655" s="0" t="s">
        <v>171</v>
      </c>
      <c r="H17655" s="5">
        <v>36.867100</v>
      </c>
    </row>
    <row r="17656" spans="1:9">
      <c r="A17656" s="22" t="str">
        <f>HYPERLINK("https://app.vivvix.com/360/KMI/IntelliDrive/ApplUI/Pages/CreativePages/CustomReportCreativeDetail.aspx?App=23&amp;ReportView=4&amp;Qid=1711279&amp;Row=17648&amp;Col=1","No Title Assigned - #15276857774")</f>
        <v/>
      </c>
      <c r="B17656" s="0" t="s">
        <v>23415</v>
      </c>
      <c r="E17656" s="0" t="inlineStr">
        <is>
          <t xml:space="preserve">Mazda</t>
        </is>
      </c>
      <c r="F17656" s="0" t="inlineStr">
        <is>
          <t xml:space="preserve">Mazda</t>
        </is>
      </c>
      <c r="G17656" s="0" t="s">
        <v>171</v>
      </c>
      <c r="H17656" s="5">
        <v>211.849200</v>
      </c>
    </row>
    <row r="17657" spans="1:9">
      <c r="A17657" s="22" t="str">
        <f>HYPERLINK("https://app.vivvix.com/360/KMI/IntelliDrive/ApplUI/Pages/CreativePages/CustomReportCreativeDetail.aspx?App=23&amp;ReportView=4&amp;Qid=1711279&amp;Row=17649&amp;Col=1","No Title Assigned - #15276857936")</f>
        <v/>
      </c>
      <c r="B17657" s="0" t="s">
        <v>23416</v>
      </c>
      <c r="E17657" s="0" t="inlineStr">
        <is>
          <t xml:space="preserve">Mazda</t>
        </is>
      </c>
      <c r="F17657" s="0" t="inlineStr">
        <is>
          <t xml:space="preserve">Mazda</t>
        </is>
      </c>
      <c r="G17657" s="0" t="s">
        <v>171</v>
      </c>
      <c r="H17657" s="5">
        <v>1407.907800</v>
      </c>
    </row>
    <row r="17658" spans="1:9">
      <c r="A17658" s="22" t="str">
        <f>HYPERLINK("https://app.vivvix.com/360/KMI/IntelliDrive/ApplUI/Pages/CreativePages/CustomReportCreativeDetail.aspx?App=23&amp;ReportView=4&amp;Qid=1711279&amp;Row=17650&amp;Col=1","No Title Assigned - #15276858214")</f>
        <v/>
      </c>
      <c r="B17658" s="0" t="s">
        <v>23417</v>
      </c>
      <c r="E17658" s="0" t="inlineStr">
        <is>
          <t xml:space="preserve">Mazda</t>
        </is>
      </c>
      <c r="F17658" s="0" t="inlineStr">
        <is>
          <t xml:space="preserve">Mazda</t>
        </is>
      </c>
      <c r="G17658" s="0" t="s">
        <v>171</v>
      </c>
      <c r="H17658" s="5">
        <v>8564.030000</v>
      </c>
    </row>
    <row r="17659" spans="1:9">
      <c r="A17659" s="22" t="str">
        <f>HYPERLINK("https://app.vivvix.com/360/KMI/IntelliDrive/ApplUI/Pages/CreativePages/CustomReportCreativeDetail.aspx?App=23&amp;ReportView=4&amp;Qid=1711279&amp;Row=17651&amp;Col=1","No Title Assigned - #15276858429")</f>
        <v/>
      </c>
      <c r="B17659" s="0" t="s">
        <v>23418</v>
      </c>
      <c r="E17659" s="0" t="inlineStr">
        <is>
          <t xml:space="preserve">Mazda</t>
        </is>
      </c>
      <c r="F17659" s="0" t="inlineStr">
        <is>
          <t xml:space="preserve">Mazda</t>
        </is>
      </c>
      <c r="G17659" s="0" t="s">
        <v>171</v>
      </c>
      <c r="H17659" s="5">
        <v>220.314500</v>
      </c>
    </row>
    <row r="17660" spans="1:9">
      <c r="A17660" s="22" t="str">
        <f>HYPERLINK("https://app.vivvix.com/360/KMI/IntelliDrive/ApplUI/Pages/CreativePages/CustomReportCreativeDetail.aspx?App=23&amp;ReportView=4&amp;Qid=1711279&amp;Row=17652&amp;Col=1","No Title Assigned - #15276858818")</f>
        <v/>
      </c>
      <c r="B17660" s="0" t="s">
        <v>23419</v>
      </c>
      <c r="E17660" s="0" t="inlineStr">
        <is>
          <t xml:space="preserve">Mazda</t>
        </is>
      </c>
      <c r="F17660" s="0" t="inlineStr">
        <is>
          <t xml:space="preserve">Mazda</t>
        </is>
      </c>
      <c r="G17660" s="0" t="s">
        <v>171</v>
      </c>
      <c r="H17660" s="5">
        <v>1028.469300</v>
      </c>
    </row>
    <row r="17661" spans="1:9">
      <c r="A17661" s="22" t="str">
        <f>HYPERLINK("https://app.vivvix.com/360/KMI/IntelliDrive/ApplUI/Pages/CreativePages/CustomReportCreativeDetail.aspx?App=23&amp;ReportView=4&amp;Qid=1711279&amp;Row=17653&amp;Col=1","No Title Assigned - #15276859129")</f>
        <v/>
      </c>
      <c r="B17661" s="0" t="s">
        <v>23420</v>
      </c>
      <c r="E17661" s="0" t="inlineStr">
        <is>
          <t xml:space="preserve">Mazda</t>
        </is>
      </c>
      <c r="F17661" s="0" t="inlineStr">
        <is>
          <t xml:space="preserve">Mazda</t>
        </is>
      </c>
      <c r="G17661" s="0" t="s">
        <v>171</v>
      </c>
      <c r="H17661" s="5">
        <v>877.544000</v>
      </c>
    </row>
    <row r="17662" spans="1:9">
      <c r="A17662" s="22" t="str">
        <f>HYPERLINK("https://app.vivvix.com/360/KMI/IntelliDrive/ApplUI/Pages/CreativePages/CustomReportCreativeDetail.aspx?App=23&amp;ReportView=4&amp;Qid=1711279&amp;Row=17654&amp;Col=1","No Title Assigned - #15276859249")</f>
        <v/>
      </c>
      <c r="B17662" s="0" t="s">
        <v>23421</v>
      </c>
      <c r="E17662" s="0" t="inlineStr">
        <is>
          <t xml:space="preserve">Mazda</t>
        </is>
      </c>
      <c r="F17662" s="0" t="inlineStr">
        <is>
          <t xml:space="preserve">Mazda</t>
        </is>
      </c>
      <c r="G17662" s="0" t="s">
        <v>171</v>
      </c>
      <c r="H17662" s="5">
        <v>575.315400</v>
      </c>
    </row>
    <row r="17663" spans="1:9">
      <c r="A17663" s="22" t="str">
        <f>HYPERLINK("https://app.vivvix.com/360/KMI/IntelliDrive/ApplUI/Pages/CreativePages/CustomReportCreativeDetail.aspx?App=23&amp;ReportView=4&amp;Qid=1711279&amp;Row=17655&amp;Col=1","No Title Assigned - #15276859476")</f>
        <v/>
      </c>
      <c r="B17663" s="0" t="s">
        <v>23422</v>
      </c>
      <c r="E17663" s="0" t="inlineStr">
        <is>
          <t xml:space="preserve">Mazda</t>
        </is>
      </c>
      <c r="F17663" s="0" t="inlineStr">
        <is>
          <t xml:space="preserve">Mazda</t>
        </is>
      </c>
      <c r="G17663" s="0" t="s">
        <v>171</v>
      </c>
      <c r="H17663" s="5">
        <v>390.473100</v>
      </c>
    </row>
    <row r="17664" spans="1:9">
      <c r="A17664" s="22" t="str">
        <f>HYPERLINK("https://app.vivvix.com/360/KMI/IntelliDrive/ApplUI/Pages/CreativePages/CustomReportCreativeDetail.aspx?App=23&amp;ReportView=4&amp;Qid=1711279&amp;Row=17656&amp;Col=1","No Title Assigned - #15276859535")</f>
        <v/>
      </c>
      <c r="B17664" s="0" t="s">
        <v>23423</v>
      </c>
      <c r="E17664" s="0" t="inlineStr">
        <is>
          <t xml:space="preserve">Mazda</t>
        </is>
      </c>
      <c r="F17664" s="0" t="inlineStr">
        <is>
          <t xml:space="preserve">Mazda</t>
        </is>
      </c>
      <c r="G17664" s="0" t="s">
        <v>171</v>
      </c>
      <c r="H17664" s="5">
        <v>8050.592800</v>
      </c>
    </row>
    <row r="17665" spans="1:9">
      <c r="A17665" s="22" t="str">
        <f>HYPERLINK("https://app.vivvix.com/360/KMI/IntelliDrive/ApplUI/Pages/CreativePages/CustomReportCreativeDetail.aspx?App=23&amp;ReportView=4&amp;Qid=1711279&amp;Row=17657&amp;Col=1","No Title Assigned - #15276859535")</f>
        <v/>
      </c>
      <c r="B17665" s="0" t="s">
        <v>23423</v>
      </c>
      <c r="E17665" s="0" t="inlineStr">
        <is>
          <t xml:space="preserve">Mazda</t>
        </is>
      </c>
      <c r="F17665" s="0" t="inlineStr">
        <is>
          <t xml:space="preserve">Mazda</t>
        </is>
      </c>
      <c r="G17665" s="0" t="s">
        <v>171</v>
      </c>
      <c r="H17665" s="5">
        <v>477.698300</v>
      </c>
    </row>
    <row r="17666" spans="1:9">
      <c r="A17666" s="22" t="str">
        <f>HYPERLINK("https://app.vivvix.com/360/KMI/IntelliDrive/ApplUI/Pages/CreativePages/CustomReportCreativeDetail.aspx?App=23&amp;ReportView=4&amp;Qid=1711279&amp;Row=17658&amp;Col=1","No Title Assigned - #15276859954")</f>
        <v/>
      </c>
      <c r="B17666" s="0" t="s">
        <v>23424</v>
      </c>
      <c r="E17666" s="0" t="inlineStr">
        <is>
          <t xml:space="preserve">Mazda</t>
        </is>
      </c>
      <c r="F17666" s="0" t="inlineStr">
        <is>
          <t xml:space="preserve">Mazda</t>
        </is>
      </c>
      <c r="G17666" s="0" t="s">
        <v>171</v>
      </c>
      <c r="H17666" s="5">
        <v>7665.831600</v>
      </c>
    </row>
    <row r="17667" spans="1:9">
      <c r="A17667" s="22" t="str">
        <f>HYPERLINK("https://app.vivvix.com/360/KMI/IntelliDrive/ApplUI/Pages/CreativePages/CustomReportCreativeDetail.aspx?App=23&amp;ReportView=4&amp;Qid=1711279&amp;Row=17659&amp;Col=1","No Title Assigned - #15276861783")</f>
        <v/>
      </c>
      <c r="B17667" s="0" t="s">
        <v>23425</v>
      </c>
      <c r="E17667" s="0" t="inlineStr">
        <is>
          <t xml:space="preserve">Mazda</t>
        </is>
      </c>
      <c r="F17667" s="0" t="inlineStr">
        <is>
          <t xml:space="preserve">Mazda</t>
        </is>
      </c>
      <c r="G17667" s="0" t="s">
        <v>171</v>
      </c>
      <c r="H17667" s="5">
        <v>4848.949200</v>
      </c>
    </row>
    <row r="17668" spans="1:9">
      <c r="A17668" s="22" t="str">
        <f>HYPERLINK("https://app.vivvix.com/360/KMI/IntelliDrive/ApplUI/Pages/CreativePages/CustomReportCreativeDetail.aspx?App=23&amp;ReportView=4&amp;Qid=1711279&amp;Row=17660&amp;Col=1","No Title Assigned - #15276861799")</f>
        <v/>
      </c>
      <c r="B17668" s="0" t="s">
        <v>23426</v>
      </c>
      <c r="E17668" s="0" t="inlineStr">
        <is>
          <t xml:space="preserve">Mazda</t>
        </is>
      </c>
      <c r="F17668" s="0" t="inlineStr">
        <is>
          <t xml:space="preserve">Mazda</t>
        </is>
      </c>
      <c r="G17668" s="0" t="s">
        <v>171</v>
      </c>
      <c r="H17668" s="5">
        <v>4029.139300</v>
      </c>
    </row>
    <row r="17669" spans="1:9">
      <c r="A17669" s="22" t="str">
        <f>HYPERLINK("https://app.vivvix.com/360/KMI/IntelliDrive/ApplUI/Pages/CreativePages/CustomReportCreativeDetail.aspx?App=23&amp;ReportView=4&amp;Qid=1711279&amp;Row=17661&amp;Col=1","No Title Assigned - #15276862085")</f>
        <v/>
      </c>
      <c r="B17669" s="0" t="s">
        <v>23427</v>
      </c>
      <c r="E17669" s="0" t="inlineStr">
        <is>
          <t xml:space="preserve">Mazda</t>
        </is>
      </c>
      <c r="F17669" s="0" t="inlineStr">
        <is>
          <t xml:space="preserve">Mazda</t>
        </is>
      </c>
      <c r="G17669" s="0" t="s">
        <v>171</v>
      </c>
      <c r="H17669" s="5">
        <v>104141.326300</v>
      </c>
    </row>
    <row r="17670" spans="1:9">
      <c r="A17670" s="22" t="str">
        <f>HYPERLINK("https://app.vivvix.com/360/KMI/IntelliDrive/ApplUI/Pages/CreativePages/CustomReportCreativeDetail.aspx?App=23&amp;ReportView=4&amp;Qid=1711279&amp;Row=17662&amp;Col=1","No Title Assigned - #15276863541")</f>
        <v/>
      </c>
      <c r="B17670" s="0" t="s">
        <v>23428</v>
      </c>
      <c r="E17670" s="0" t="inlineStr">
        <is>
          <t xml:space="preserve">Mazda</t>
        </is>
      </c>
      <c r="F17670" s="0" t="inlineStr">
        <is>
          <t xml:space="preserve">Mazda</t>
        </is>
      </c>
      <c r="G17670" s="0" t="s">
        <v>171</v>
      </c>
      <c r="H17670" s="5">
        <v>47.880600</v>
      </c>
    </row>
    <row r="17671" spans="1:9">
      <c r="A17671" s="22" t="str">
        <f>HYPERLINK("https://app.vivvix.com/360/KMI/IntelliDrive/ApplUI/Pages/CreativePages/CustomReportCreativeDetail.aspx?App=23&amp;ReportView=4&amp;Qid=1711279&amp;Row=17663&amp;Col=1","No Title Assigned - #15276864006")</f>
        <v/>
      </c>
      <c r="B17671" s="0" t="s">
        <v>23429</v>
      </c>
      <c r="E17671" s="0" t="inlineStr">
        <is>
          <t xml:space="preserve">Mazda</t>
        </is>
      </c>
      <c r="F17671" s="0" t="inlineStr">
        <is>
          <t xml:space="preserve">Mazda</t>
        </is>
      </c>
      <c r="G17671" s="0" t="s">
        <v>171</v>
      </c>
      <c r="H17671" s="5">
        <v>36.956400</v>
      </c>
    </row>
    <row r="17672" spans="1:9">
      <c r="A17672" s="22" t="str">
        <f>HYPERLINK("https://app.vivvix.com/360/KMI/IntelliDrive/ApplUI/Pages/CreativePages/CustomReportCreativeDetail.aspx?App=23&amp;ReportView=4&amp;Qid=1711279&amp;Row=17664&amp;Col=1","No Title Assigned - #15276866623")</f>
        <v/>
      </c>
      <c r="B17672" s="0" t="s">
        <v>23430</v>
      </c>
      <c r="E17672" s="0" t="inlineStr">
        <is>
          <t xml:space="preserve">Mazda</t>
        </is>
      </c>
      <c r="F17672" s="0" t="inlineStr">
        <is>
          <t xml:space="preserve">Mazda</t>
        </is>
      </c>
      <c r="G17672" s="0" t="s">
        <v>171</v>
      </c>
      <c r="H17672" s="5">
        <v>85.469500</v>
      </c>
    </row>
    <row r="17673" spans="1:9">
      <c r="A17673" s="22" t="str">
        <f>HYPERLINK("https://app.vivvix.com/360/KMI/IntelliDrive/ApplUI/Pages/CreativePages/CustomReportCreativeDetail.aspx?App=23&amp;ReportView=4&amp;Qid=1711279&amp;Row=17665&amp;Col=1","No Title Assigned - #15276867053")</f>
        <v/>
      </c>
      <c r="B17673" s="0" t="s">
        <v>23431</v>
      </c>
      <c r="E17673" s="0" t="inlineStr">
        <is>
          <t xml:space="preserve">Mazda</t>
        </is>
      </c>
      <c r="F17673" s="0" t="inlineStr">
        <is>
          <t xml:space="preserve">Mazda</t>
        </is>
      </c>
      <c r="G17673" s="0" t="s">
        <v>171</v>
      </c>
      <c r="H17673" s="5">
        <v>225.856800</v>
      </c>
    </row>
    <row r="17674" spans="1:9">
      <c r="A17674" s="22" t="str">
        <f>HYPERLINK("https://app.vivvix.com/360/KMI/IntelliDrive/ApplUI/Pages/CreativePages/CustomReportCreativeDetail.aspx?App=23&amp;ReportView=4&amp;Qid=1711279&amp;Row=17666&amp;Col=1","No Title Assigned - #15276867367")</f>
        <v/>
      </c>
      <c r="B17674" s="0" t="s">
        <v>23432</v>
      </c>
      <c r="E17674" s="0" t="inlineStr">
        <is>
          <t xml:space="preserve">Mazda</t>
        </is>
      </c>
      <c r="F17674" s="0" t="inlineStr">
        <is>
          <t xml:space="preserve">Mazda</t>
        </is>
      </c>
      <c r="G17674" s="0" t="s">
        <v>171</v>
      </c>
      <c r="H17674" s="5">
        <v>507.410900</v>
      </c>
    </row>
    <row r="17675" spans="1:9">
      <c r="A17675" s="22" t="str">
        <f>HYPERLINK("https://app.vivvix.com/360/KMI/IntelliDrive/ApplUI/Pages/CreativePages/CustomReportCreativeDetail.aspx?App=23&amp;ReportView=4&amp;Qid=1711279&amp;Row=17667&amp;Col=1","No Title Assigned - #15276870794")</f>
        <v/>
      </c>
      <c r="B17675" s="0" t="s">
        <v>23433</v>
      </c>
      <c r="E17675" s="0" t="inlineStr">
        <is>
          <t xml:space="preserve">Mazda</t>
        </is>
      </c>
      <c r="F17675" s="0" t="inlineStr">
        <is>
          <t xml:space="preserve">Mazda</t>
        </is>
      </c>
      <c r="G17675" s="0" t="s">
        <v>171</v>
      </c>
      <c r="H17675" s="5">
        <v>1946.881500</v>
      </c>
    </row>
    <row r="17676" spans="1:9">
      <c r="A17676" s="22" t="str">
        <f>HYPERLINK("https://app.vivvix.com/360/KMI/IntelliDrive/ApplUI/Pages/CreativePages/CustomReportCreativeDetail.aspx?App=23&amp;ReportView=4&amp;Qid=1711279&amp;Row=17668&amp;Col=1","No Title Assigned - #15276884560")</f>
        <v/>
      </c>
      <c r="B17676" s="0" t="s">
        <v>23434</v>
      </c>
      <c r="C17676" s="0" t="s">
        <v>23435</v>
      </c>
      <c r="D17676" s="0" t="s">
        <v>23435</v>
      </c>
      <c r="E17676" s="0" t="inlineStr">
        <is>
          <t xml:space="preserve">Mazda</t>
        </is>
      </c>
      <c r="F17676" s="0" t="s">
        <v>13</v>
      </c>
      <c r="G17676" s="0" t="s">
        <v>49</v>
      </c>
      <c r="H17676" s="5">
        <v>2390.795000</v>
      </c>
    </row>
    <row r="17677" spans="1:9">
      <c r="A17677" s="22" t="str">
        <f>HYPERLINK("https://app.vivvix.com/360/KMI/IntelliDrive/ApplUI/Pages/CreativePages/CustomReportCreativeDetail.aspx?App=23&amp;ReportView=4&amp;Qid=1711279&amp;Row=17669&amp;Col=1","No Title Assigned - #15276887071")</f>
        <v/>
      </c>
      <c r="B17677" s="0" t="s">
        <v>23436</v>
      </c>
      <c r="C17677" s="0" t="s">
        <v>23437</v>
      </c>
      <c r="D17677" s="0" t="s">
        <v>22475</v>
      </c>
      <c r="E17677" s="0" t="inlineStr">
        <is>
          <t xml:space="preserve">Mazda</t>
        </is>
      </c>
      <c r="F17677" s="0" t="s">
        <v>13</v>
      </c>
      <c r="G17677" s="0" t="s">
        <v>49</v>
      </c>
      <c r="H17677" s="5">
        <v>22.973400</v>
      </c>
    </row>
    <row r="17678" spans="1:9">
      <c r="A17678" s="22" t="str">
        <f>HYPERLINK("https://app.vivvix.com/360/KMI/IntelliDrive/ApplUI/Pages/CreativePages/CustomReportCreativeDetail.aspx?App=23&amp;ReportView=4&amp;Qid=1711279&amp;Row=17670&amp;Col=1","No Title Assigned - #15276890213")</f>
        <v/>
      </c>
      <c r="B17678" s="0" t="s">
        <v>23438</v>
      </c>
      <c r="C17678" s="0" t="s">
        <v>23439</v>
      </c>
      <c r="D17678" s="0" t="s">
        <v>12367</v>
      </c>
      <c r="E17678" s="0" t="inlineStr">
        <is>
          <t xml:space="preserve">Mazda</t>
        </is>
      </c>
      <c r="F17678" s="0" t="s">
        <v>13</v>
      </c>
      <c r="G17678" s="0" t="s">
        <v>49</v>
      </c>
      <c r="H17678" s="5">
        <v>32.506400</v>
      </c>
    </row>
    <row r="17679" spans="1:9">
      <c r="A17679" s="22" t="str">
        <f>HYPERLINK("https://app.vivvix.com/360/KMI/IntelliDrive/ApplUI/Pages/CreativePages/CustomReportCreativeDetail.aspx?App=23&amp;ReportView=4&amp;Qid=1711279&amp;Row=17671&amp;Col=1","No Title Assigned - #15276892686")</f>
        <v/>
      </c>
      <c r="B17679" s="0" t="s">
        <v>23440</v>
      </c>
      <c r="C17679" s="0" t="s">
        <v>23441</v>
      </c>
      <c r="D17679" s="0" t="s">
        <v>23441</v>
      </c>
      <c r="E17679" s="0" t="inlineStr">
        <is>
          <t xml:space="preserve">Mazda</t>
        </is>
      </c>
      <c r="F17679" s="0" t="s">
        <v>13</v>
      </c>
      <c r="G17679" s="0" t="s">
        <v>49</v>
      </c>
      <c r="H17679" s="5">
        <v>4419.819200</v>
      </c>
    </row>
    <row r="17680" spans="1:9">
      <c r="A17680" s="22" t="str">
        <f>HYPERLINK("https://app.vivvix.com/360/KMI/IntelliDrive/ApplUI/Pages/CreativePages/CustomReportCreativeDetail.aspx?App=23&amp;ReportView=4&amp;Qid=1711279&amp;Row=17672&amp;Col=1","No Title Assigned - #15276892773")</f>
        <v/>
      </c>
      <c r="B17680" s="0" t="s">
        <v>23442</v>
      </c>
      <c r="C17680" s="0" t="s">
        <v>23443</v>
      </c>
      <c r="D17680" s="0" t="s">
        <v>23443</v>
      </c>
      <c r="E17680" s="0" t="inlineStr">
        <is>
          <t xml:space="preserve">Mazda</t>
        </is>
      </c>
      <c r="F17680" s="0" t="inlineStr">
        <is>
          <t xml:space="preserve">Mazda</t>
        </is>
      </c>
      <c r="G17680" s="0" t="s">
        <v>210</v>
      </c>
      <c r="H17680" s="5">
        <v>1322.689500</v>
      </c>
    </row>
    <row r="17681" spans="1:9">
      <c r="A17681" s="22" t="str">
        <f>HYPERLINK("https://app.vivvix.com/360/KMI/IntelliDrive/ApplUI/Pages/CreativePages/CustomReportCreativeDetail.aspx?App=23&amp;ReportView=4&amp;Qid=1711279&amp;Row=17673&amp;Col=1","No Title Assigned - #15276893488")</f>
        <v/>
      </c>
      <c r="B17681" s="0" t="s">
        <v>23444</v>
      </c>
      <c r="C17681" s="0" t="s">
        <v>23445</v>
      </c>
      <c r="D17681" s="0" t="s">
        <v>21675</v>
      </c>
      <c r="E17681" s="0" t="inlineStr">
        <is>
          <t xml:space="preserve">Mazda</t>
        </is>
      </c>
      <c r="F17681" s="0" t="s">
        <v>13</v>
      </c>
      <c r="G17681" s="0" t="s">
        <v>49</v>
      </c>
      <c r="H17681" s="5">
        <v>7.145500</v>
      </c>
    </row>
    <row r="17682" spans="1:9">
      <c r="A17682" s="22" t="str">
        <f>HYPERLINK("https://app.vivvix.com/360/KMI/IntelliDrive/ApplUI/Pages/CreativePages/CustomReportCreativeDetail.aspx?App=23&amp;ReportView=4&amp;Qid=1711279&amp;Row=17674&amp;Col=1","No Title Assigned - #15276893540")</f>
        <v/>
      </c>
      <c r="B17682" s="0" t="s">
        <v>23446</v>
      </c>
      <c r="C17682" s="0" t="s">
        <v>23447</v>
      </c>
      <c r="D17682" s="0" t="s">
        <v>23447</v>
      </c>
      <c r="E17682" s="0" t="inlineStr">
        <is>
          <t xml:space="preserve">Mazda</t>
        </is>
      </c>
      <c r="F17682" s="0" t="s">
        <v>13</v>
      </c>
      <c r="G17682" s="0" t="s">
        <v>49</v>
      </c>
      <c r="H17682" s="5">
        <v>647.804600</v>
      </c>
    </row>
    <row r="17683" spans="1:9">
      <c r="A17683" s="22" t="str">
        <f>HYPERLINK("https://app.vivvix.com/360/KMI/IntelliDrive/ApplUI/Pages/CreativePages/CustomReportCreativeDetail.aspx?App=23&amp;ReportView=4&amp;Qid=1711279&amp;Row=17675&amp;Col=1","No Title Assigned - #15276896591")</f>
        <v/>
      </c>
      <c r="B17683" s="0" t="s">
        <v>23448</v>
      </c>
      <c r="C17683" s="0" t="s">
        <v>23449</v>
      </c>
      <c r="D17683" s="0" t="s">
        <v>23449</v>
      </c>
      <c r="E17683" s="0" t="inlineStr">
        <is>
          <t xml:space="preserve">Mazda</t>
        </is>
      </c>
      <c r="F17683" s="0" t="s">
        <v>13</v>
      </c>
      <c r="G17683" s="0" t="s">
        <v>49</v>
      </c>
      <c r="H17683" s="5">
        <v>442.624000</v>
      </c>
    </row>
    <row r="17684" spans="1:9">
      <c r="A17684" s="22" t="str">
        <f>HYPERLINK("https://app.vivvix.com/360/KMI/IntelliDrive/ApplUI/Pages/CreativePages/CustomReportCreativeDetail.aspx?App=23&amp;ReportView=4&amp;Qid=1711279&amp;Row=17676&amp;Col=1","No Title Assigned - #15276896915")</f>
        <v/>
      </c>
      <c r="B17684" s="0" t="s">
        <v>23450</v>
      </c>
      <c r="C17684" s="0" t="s">
        <v>23451</v>
      </c>
      <c r="D17684" s="0" t="s">
        <v>23451</v>
      </c>
      <c r="E17684" s="0" t="inlineStr">
        <is>
          <t xml:space="preserve">Mazda</t>
        </is>
      </c>
      <c r="F17684" s="0" t="s">
        <v>13</v>
      </c>
      <c r="G17684" s="0" t="s">
        <v>49</v>
      </c>
      <c r="H17684" s="5">
        <v>2799.357700</v>
      </c>
    </row>
    <row r="17685" spans="1:9">
      <c r="A17685" s="22" t="str">
        <f>HYPERLINK("https://app.vivvix.com/360/KMI/IntelliDrive/ApplUI/Pages/CreativePages/CustomReportCreativeDetail.aspx?App=23&amp;ReportView=4&amp;Qid=1711279&amp;Row=17677&amp;Col=1","No Title Assigned - #15276897183")</f>
        <v/>
      </c>
      <c r="B17685" s="0" t="s">
        <v>23452</v>
      </c>
      <c r="C17685" s="0" t="s">
        <v>23453</v>
      </c>
      <c r="D17685" s="0" t="s">
        <v>23453</v>
      </c>
      <c r="E17685" s="0" t="inlineStr">
        <is>
          <t xml:space="preserve">Mazda</t>
        </is>
      </c>
      <c r="F17685" s="0" t="s">
        <v>13</v>
      </c>
      <c r="G17685" s="0" t="s">
        <v>49</v>
      </c>
      <c r="H17685" s="5">
        <v>190.720400</v>
      </c>
    </row>
    <row r="17686" spans="1:9">
      <c r="A17686" s="22" t="str">
        <f>HYPERLINK("https://app.vivvix.com/360/KMI/IntelliDrive/ApplUI/Pages/CreativePages/CustomReportCreativeDetail.aspx?App=23&amp;ReportView=4&amp;Qid=1711279&amp;Row=17678&amp;Col=1","No Title Assigned - #15276899424")</f>
        <v/>
      </c>
      <c r="B17686" s="0" t="s">
        <v>23454</v>
      </c>
      <c r="C17686" s="0" t="s">
        <v>23455</v>
      </c>
      <c r="D17686" s="0" t="s">
        <v>23455</v>
      </c>
      <c r="E17686" s="0" t="inlineStr">
        <is>
          <t xml:space="preserve">Mazda</t>
        </is>
      </c>
      <c r="F17686" s="0" t="s">
        <v>13</v>
      </c>
      <c r="G17686" s="0" t="s">
        <v>49</v>
      </c>
      <c r="H17686" s="5">
        <v>59.624000</v>
      </c>
    </row>
    <row r="17687" spans="1:9">
      <c r="A17687" s="22" t="str">
        <f>HYPERLINK("https://app.vivvix.com/360/KMI/IntelliDrive/ApplUI/Pages/CreativePages/CustomReportCreativeDetail.aspx?App=23&amp;ReportView=4&amp;Qid=1711279&amp;Row=17679&amp;Col=1","No Title Assigned - #15276904749")</f>
        <v/>
      </c>
      <c r="B17687" s="0" t="s">
        <v>23456</v>
      </c>
      <c r="C17687" s="0" t="s">
        <v>23457</v>
      </c>
      <c r="D17687" s="0" t="s">
        <v>21675</v>
      </c>
      <c r="E17687" s="0" t="inlineStr">
        <is>
          <t xml:space="preserve">Mazda</t>
        </is>
      </c>
      <c r="F17687" s="0" t="s">
        <v>13</v>
      </c>
      <c r="G17687" s="0" t="s">
        <v>49</v>
      </c>
      <c r="H17687" s="5">
        <v>529.186900</v>
      </c>
    </row>
    <row r="17688" spans="1:9">
      <c r="A17688" s="22" t="str">
        <f>HYPERLINK("https://app.vivvix.com/360/KMI/IntelliDrive/ApplUI/Pages/CreativePages/CustomReportCreativeDetail.aspx?App=23&amp;ReportView=4&amp;Qid=1711279&amp;Row=17680&amp;Col=1","No Title Assigned - #15276905726")</f>
        <v/>
      </c>
      <c r="B17688" s="0" t="s">
        <v>23458</v>
      </c>
      <c r="C17688" s="0" t="s">
        <v>23459</v>
      </c>
      <c r="D17688" s="0" t="s">
        <v>23459</v>
      </c>
      <c r="E17688" s="0" t="inlineStr">
        <is>
          <t xml:space="preserve">Mazda</t>
        </is>
      </c>
      <c r="F17688" s="0" t="s">
        <v>13</v>
      </c>
      <c r="G17688" s="0" t="s">
        <v>49</v>
      </c>
      <c r="H17688" s="5">
        <v>41.904600</v>
      </c>
    </row>
    <row r="17689" spans="1:9">
      <c r="A17689" s="22" t="str">
        <f>HYPERLINK("https://app.vivvix.com/360/KMI/IntelliDrive/ApplUI/Pages/CreativePages/CustomReportCreativeDetail.aspx?App=23&amp;ReportView=4&amp;Qid=1711279&amp;Row=17681&amp;Col=1","No Title Assigned - #15276908140")</f>
        <v/>
      </c>
      <c r="B17689" s="0" t="s">
        <v>23460</v>
      </c>
      <c r="C17689" s="0" t="s">
        <v>23461</v>
      </c>
      <c r="D17689" s="0" t="s">
        <v>23461</v>
      </c>
      <c r="E17689" s="0" t="inlineStr">
        <is>
          <t xml:space="preserve">Mazda</t>
        </is>
      </c>
      <c r="F17689" s="0" t="s">
        <v>13</v>
      </c>
      <c r="G17689" s="0" t="s">
        <v>49</v>
      </c>
      <c r="H17689" s="5">
        <v>7001.351100</v>
      </c>
    </row>
    <row r="17690" spans="1:9">
      <c r="A17690" s="22" t="str">
        <f>HYPERLINK("https://app.vivvix.com/360/KMI/IntelliDrive/ApplUI/Pages/CreativePages/CustomReportCreativeDetail.aspx?App=23&amp;ReportView=4&amp;Qid=1711279&amp;Row=17682&amp;Col=1","No Title Assigned - #15276910451")</f>
        <v/>
      </c>
      <c r="B17690" s="0" t="s">
        <v>23462</v>
      </c>
      <c r="C17690" s="0" t="s">
        <v>23463</v>
      </c>
      <c r="D17690" s="0" t="s">
        <v>23463</v>
      </c>
      <c r="E17690" s="0" t="inlineStr">
        <is>
          <t xml:space="preserve">Mazda</t>
        </is>
      </c>
      <c r="F17690" s="0" t="s">
        <v>13</v>
      </c>
      <c r="G17690" s="0" t="s">
        <v>49</v>
      </c>
      <c r="H17690" s="5">
        <v>13661.861800</v>
      </c>
    </row>
    <row r="17691" spans="1:9">
      <c r="A17691" s="22" t="str">
        <f>HYPERLINK("https://app.vivvix.com/360/KMI/IntelliDrive/ApplUI/Pages/CreativePages/CustomReportCreativeDetail.aspx?App=23&amp;ReportView=4&amp;Qid=1711279&amp;Row=17683&amp;Col=1","No Title Assigned - #15276913440")</f>
        <v/>
      </c>
      <c r="B17691" s="0" t="s">
        <v>23464</v>
      </c>
      <c r="C17691" s="0" t="s">
        <v>23465</v>
      </c>
      <c r="D17691" s="0" t="s">
        <v>4774</v>
      </c>
      <c r="E17691" s="0" t="inlineStr">
        <is>
          <t xml:space="preserve">Mazda</t>
        </is>
      </c>
      <c r="F17691" s="0" t="s">
        <v>13</v>
      </c>
      <c r="G17691" s="0" t="s">
        <v>49</v>
      </c>
      <c r="H17691" s="5">
        <v>585.506500</v>
      </c>
    </row>
    <row r="17692" spans="1:9">
      <c r="A17692" s="22" t="str">
        <f>HYPERLINK("https://app.vivvix.com/360/KMI/IntelliDrive/ApplUI/Pages/CreativePages/CustomReportCreativeDetail.aspx?App=23&amp;ReportView=4&amp;Qid=1711279&amp;Row=17684&amp;Col=1","No Title Assigned - #15276914888")</f>
        <v/>
      </c>
      <c r="B17692" s="0" t="s">
        <v>23466</v>
      </c>
      <c r="E17692" s="0" t="inlineStr">
        <is>
          <t xml:space="preserve">Mazda</t>
        </is>
      </c>
      <c r="F17692" s="0" t="inlineStr">
        <is>
          <t xml:space="preserve">Mazda</t>
        </is>
      </c>
      <c r="G17692" s="0" t="s">
        <v>171</v>
      </c>
      <c r="H17692" s="5">
        <v>1813.965600</v>
      </c>
    </row>
    <row r="17693" spans="1:9">
      <c r="A17693" s="22" t="str">
        <f>HYPERLINK("https://app.vivvix.com/360/KMI/IntelliDrive/ApplUI/Pages/CreativePages/CustomReportCreativeDetail.aspx?App=23&amp;ReportView=4&amp;Qid=1711279&amp;Row=17685&amp;Col=1","No Title Assigned - #15276915075")</f>
        <v/>
      </c>
      <c r="B17693" s="0" t="s">
        <v>23467</v>
      </c>
      <c r="E17693" s="0" t="inlineStr">
        <is>
          <t xml:space="preserve">Mazda</t>
        </is>
      </c>
      <c r="F17693" s="0" t="inlineStr">
        <is>
          <t xml:space="preserve">Mazda</t>
        </is>
      </c>
      <c r="G17693" s="0" t="s">
        <v>171</v>
      </c>
      <c r="H17693" s="5">
        <v>0.796900</v>
      </c>
    </row>
    <row r="17694" spans="1:9">
      <c r="A17694" s="22" t="str">
        <f>HYPERLINK("https://app.vivvix.com/360/KMI/IntelliDrive/ApplUI/Pages/CreativePages/CustomReportCreativeDetail.aspx?App=23&amp;ReportView=4&amp;Qid=1711279&amp;Row=17686&amp;Col=1","No Title Assigned - #15276916783")</f>
        <v/>
      </c>
      <c r="B17694" s="0" t="s">
        <v>23468</v>
      </c>
      <c r="E17694" s="0" t="inlineStr">
        <is>
          <t xml:space="preserve">Mazda</t>
        </is>
      </c>
      <c r="F17694" s="0" t="inlineStr">
        <is>
          <t xml:space="preserve">Mazda</t>
        </is>
      </c>
      <c r="G17694" s="0" t="s">
        <v>171</v>
      </c>
      <c r="H17694" s="5">
        <v>18.596500</v>
      </c>
    </row>
    <row r="17695" spans="1:9">
      <c r="A17695" s="22" t="str">
        <f>HYPERLINK("https://app.vivvix.com/360/KMI/IntelliDrive/ApplUI/Pages/CreativePages/CustomReportCreativeDetail.aspx?App=23&amp;ReportView=4&amp;Qid=1711279&amp;Row=17687&amp;Col=1","No Title Assigned - #15276917700")</f>
        <v/>
      </c>
      <c r="B17695" s="0" t="s">
        <v>23469</v>
      </c>
      <c r="E17695" s="0" t="inlineStr">
        <is>
          <t xml:space="preserve">Mazda</t>
        </is>
      </c>
      <c r="F17695" s="0" t="inlineStr">
        <is>
          <t xml:space="preserve">Mazda</t>
        </is>
      </c>
      <c r="G17695" s="0" t="s">
        <v>171</v>
      </c>
      <c r="H17695" s="5">
        <v>45.673400</v>
      </c>
    </row>
    <row r="17696" spans="1:9">
      <c r="A17696" s="22" t="str">
        <f>HYPERLINK("https://app.vivvix.com/360/KMI/IntelliDrive/ApplUI/Pages/CreativePages/CustomReportCreativeDetail.aspx?App=23&amp;ReportView=4&amp;Qid=1711279&amp;Row=17688&amp;Col=1","No Title Assigned - #15276918405")</f>
        <v/>
      </c>
      <c r="B17696" s="0" t="s">
        <v>23470</v>
      </c>
      <c r="E17696" s="0" t="inlineStr">
        <is>
          <t xml:space="preserve">Mazda</t>
        </is>
      </c>
      <c r="F17696" s="0" t="inlineStr">
        <is>
          <t xml:space="preserve">Mazda</t>
        </is>
      </c>
      <c r="G17696" s="0" t="s">
        <v>171</v>
      </c>
      <c r="H17696" s="5">
        <v>4733.571300</v>
      </c>
    </row>
    <row r="17697" spans="1:9">
      <c r="A17697" s="22" t="str">
        <f>HYPERLINK("https://app.vivvix.com/360/KMI/IntelliDrive/ApplUI/Pages/CreativePages/CustomReportCreativeDetail.aspx?App=23&amp;ReportView=4&amp;Qid=1711279&amp;Row=17689&amp;Col=1","No Title Assigned - #15276918645")</f>
        <v/>
      </c>
      <c r="B17697" s="0" t="s">
        <v>23471</v>
      </c>
      <c r="E17697" s="0" t="inlineStr">
        <is>
          <t xml:space="preserve">Mazda</t>
        </is>
      </c>
      <c r="F17697" s="0" t="inlineStr">
        <is>
          <t xml:space="preserve">Mazda</t>
        </is>
      </c>
      <c r="G17697" s="0" t="s">
        <v>171</v>
      </c>
      <c r="H17697" s="5">
        <v>4733.571300</v>
      </c>
    </row>
    <row r="17698" spans="1:9">
      <c r="A17698" s="22" t="str">
        <f>HYPERLINK("https://app.vivvix.com/360/KMI/IntelliDrive/ApplUI/Pages/CreativePages/CustomReportCreativeDetail.aspx?App=23&amp;ReportView=4&amp;Qid=1711279&amp;Row=17690&amp;Col=1","No Title Assigned - #15276920412")</f>
        <v/>
      </c>
      <c r="B17698" s="0" t="s">
        <v>23472</v>
      </c>
      <c r="E17698" s="0" t="inlineStr">
        <is>
          <t xml:space="preserve">Mazda</t>
        </is>
      </c>
      <c r="F17698" s="0" t="inlineStr">
        <is>
          <t xml:space="preserve">Mazda</t>
        </is>
      </c>
      <c r="G17698" s="0" t="s">
        <v>171</v>
      </c>
      <c r="H17698" s="5">
        <v>190.834500</v>
      </c>
    </row>
    <row r="17699" spans="1:9">
      <c r="A17699" s="22" t="str">
        <f>HYPERLINK("https://app.vivvix.com/360/KMI/IntelliDrive/ApplUI/Pages/CreativePages/CustomReportCreativeDetail.aspx?App=23&amp;ReportView=4&amp;Qid=1711279&amp;Row=17691&amp;Col=1","No Title Assigned - #15276920414")</f>
        <v/>
      </c>
      <c r="B17699" s="0" t="s">
        <v>23473</v>
      </c>
      <c r="E17699" s="0" t="inlineStr">
        <is>
          <t xml:space="preserve">Mazda</t>
        </is>
      </c>
      <c r="F17699" s="0" t="inlineStr">
        <is>
          <t xml:space="preserve">Mazda</t>
        </is>
      </c>
      <c r="G17699" s="0" t="s">
        <v>171</v>
      </c>
      <c r="H17699" s="5">
        <v>411.149000</v>
      </c>
    </row>
    <row r="17700" spans="1:9">
      <c r="A17700" s="22" t="str">
        <f>HYPERLINK("https://app.vivvix.com/360/KMI/IntelliDrive/ApplUI/Pages/CreativePages/CustomReportCreativeDetail.aspx?App=23&amp;ReportView=4&amp;Qid=1711279&amp;Row=17692&amp;Col=1","No Title Assigned - #15276920475")</f>
        <v/>
      </c>
      <c r="B17700" s="0" t="s">
        <v>23474</v>
      </c>
      <c r="E17700" s="0" t="inlineStr">
        <is>
          <t xml:space="preserve">Mazda</t>
        </is>
      </c>
      <c r="F17700" s="0" t="inlineStr">
        <is>
          <t xml:space="preserve">Mazda</t>
        </is>
      </c>
      <c r="G17700" s="0" t="s">
        <v>171</v>
      </c>
      <c r="H17700" s="5">
        <v>1133.885300</v>
      </c>
    </row>
    <row r="17701" spans="1:9">
      <c r="A17701" s="22" t="str">
        <f>HYPERLINK("https://app.vivvix.com/360/KMI/IntelliDrive/ApplUI/Pages/CreativePages/CustomReportCreativeDetail.aspx?App=23&amp;ReportView=4&amp;Qid=1711279&amp;Row=17693&amp;Col=1","No Title Assigned - #15276920491")</f>
        <v/>
      </c>
      <c r="B17701" s="0" t="s">
        <v>23475</v>
      </c>
      <c r="E17701" s="0" t="inlineStr">
        <is>
          <t xml:space="preserve">Mazda</t>
        </is>
      </c>
      <c r="F17701" s="0" t="inlineStr">
        <is>
          <t xml:space="preserve">Mazda</t>
        </is>
      </c>
      <c r="G17701" s="0" t="s">
        <v>171</v>
      </c>
      <c r="H17701" s="5">
        <v>36.858000</v>
      </c>
    </row>
    <row r="17702" spans="1:9">
      <c r="A17702" s="22" t="str">
        <f>HYPERLINK("https://app.vivvix.com/360/KMI/IntelliDrive/ApplUI/Pages/CreativePages/CustomReportCreativeDetail.aspx?App=23&amp;ReportView=4&amp;Qid=1711279&amp;Row=17694&amp;Col=1","No Title Assigned - #15276920631")</f>
        <v/>
      </c>
      <c r="B17702" s="0" t="s">
        <v>23476</v>
      </c>
      <c r="E17702" s="0" t="inlineStr">
        <is>
          <t xml:space="preserve">Mazda</t>
        </is>
      </c>
      <c r="F17702" s="0" t="inlineStr">
        <is>
          <t xml:space="preserve">Mazda</t>
        </is>
      </c>
      <c r="G17702" s="0" t="s">
        <v>171</v>
      </c>
      <c r="H17702" s="5">
        <v>15.960200</v>
      </c>
    </row>
    <row r="17703" spans="1:9">
      <c r="A17703" s="22" t="str">
        <f>HYPERLINK("https://app.vivvix.com/360/KMI/IntelliDrive/ApplUI/Pages/CreativePages/CustomReportCreativeDetail.aspx?App=23&amp;ReportView=4&amp;Qid=1711279&amp;Row=17695&amp;Col=1","No Title Assigned - #15276921254")</f>
        <v/>
      </c>
      <c r="B17703" s="0" t="s">
        <v>23477</v>
      </c>
      <c r="E17703" s="0" t="inlineStr">
        <is>
          <t xml:space="preserve">Mazda</t>
        </is>
      </c>
      <c r="F17703" s="0" t="inlineStr">
        <is>
          <t xml:space="preserve">Mazda</t>
        </is>
      </c>
      <c r="G17703" s="0" t="s">
        <v>171</v>
      </c>
      <c r="H17703" s="5">
        <v>63.547600</v>
      </c>
    </row>
    <row r="17704" spans="1:9">
      <c r="A17704" s="22" t="str">
        <f>HYPERLINK("https://app.vivvix.com/360/KMI/IntelliDrive/ApplUI/Pages/CreativePages/CustomReportCreativeDetail.aspx?App=23&amp;ReportView=4&amp;Qid=1711279&amp;Row=17696&amp;Col=1","No Title Assigned - #15276921306")</f>
        <v/>
      </c>
      <c r="B17704" s="0" t="s">
        <v>23478</v>
      </c>
      <c r="E17704" s="0" t="inlineStr">
        <is>
          <t xml:space="preserve">Mazda</t>
        </is>
      </c>
      <c r="F17704" s="0" t="inlineStr">
        <is>
          <t xml:space="preserve">Mazda</t>
        </is>
      </c>
      <c r="G17704" s="0" t="s">
        <v>171</v>
      </c>
      <c r="H17704" s="5">
        <v>22036.070600</v>
      </c>
    </row>
    <row r="17705" spans="1:9">
      <c r="A17705" s="22" t="str">
        <f>HYPERLINK("https://app.vivvix.com/360/KMI/IntelliDrive/ApplUI/Pages/CreativePages/CustomReportCreativeDetail.aspx?App=23&amp;ReportView=4&amp;Qid=1711279&amp;Row=17697&amp;Col=1","No Title Assigned - #15276921857")</f>
        <v/>
      </c>
      <c r="B17705" s="0" t="s">
        <v>23479</v>
      </c>
      <c r="E17705" s="0" t="inlineStr">
        <is>
          <t xml:space="preserve">Mazda</t>
        </is>
      </c>
      <c r="F17705" s="0" t="inlineStr">
        <is>
          <t xml:space="preserve">Mazda</t>
        </is>
      </c>
      <c r="G17705" s="0" t="s">
        <v>171</v>
      </c>
      <c r="H17705" s="5">
        <v>342.823100</v>
      </c>
    </row>
    <row r="17706" spans="1:9">
      <c r="A17706" s="22" t="str">
        <f>HYPERLINK("https://app.vivvix.com/360/KMI/IntelliDrive/ApplUI/Pages/CreativePages/CustomReportCreativeDetail.aspx?App=23&amp;ReportView=4&amp;Qid=1711279&amp;Row=17698&amp;Col=1","No Title Assigned - #15276922240")</f>
        <v/>
      </c>
      <c r="B17706" s="0" t="s">
        <v>23480</v>
      </c>
      <c r="E17706" s="0" t="inlineStr">
        <is>
          <t xml:space="preserve">Mazda</t>
        </is>
      </c>
      <c r="F17706" s="0" t="inlineStr">
        <is>
          <t xml:space="preserve">Mazda</t>
        </is>
      </c>
      <c r="G17706" s="0" t="s">
        <v>171</v>
      </c>
      <c r="H17706" s="5">
        <v>521.040700</v>
      </c>
    </row>
    <row r="17707" spans="1:9">
      <c r="A17707" s="22" t="str">
        <f>HYPERLINK("https://app.vivvix.com/360/KMI/IntelliDrive/ApplUI/Pages/CreativePages/CustomReportCreativeDetail.aspx?App=23&amp;ReportView=4&amp;Qid=1711279&amp;Row=17699&amp;Col=1","No Title Assigned - #15276922770")</f>
        <v/>
      </c>
      <c r="B17707" s="0" t="s">
        <v>23481</v>
      </c>
      <c r="E17707" s="0" t="inlineStr">
        <is>
          <t xml:space="preserve">Mazda</t>
        </is>
      </c>
      <c r="F17707" s="0" t="inlineStr">
        <is>
          <t xml:space="preserve">Mazda</t>
        </is>
      </c>
      <c r="G17707" s="0" t="s">
        <v>171</v>
      </c>
      <c r="H17707" s="5">
        <v>36711.468500</v>
      </c>
    </row>
    <row r="17708" spans="1:9">
      <c r="A17708" s="22" t="str">
        <f>HYPERLINK("https://app.vivvix.com/360/KMI/IntelliDrive/ApplUI/Pages/CreativePages/CustomReportCreativeDetail.aspx?App=23&amp;ReportView=4&amp;Qid=1711279&amp;Row=17700&amp;Col=1","No Title Assigned - #15276922770")</f>
        <v/>
      </c>
      <c r="B17708" s="0" t="s">
        <v>23481</v>
      </c>
      <c r="E17708" s="0" t="inlineStr">
        <is>
          <t xml:space="preserve">Mazda</t>
        </is>
      </c>
      <c r="F17708" s="0" t="inlineStr">
        <is>
          <t xml:space="preserve">Mazda</t>
        </is>
      </c>
      <c r="G17708" s="0" t="s">
        <v>171</v>
      </c>
      <c r="H17708" s="5">
        <v>88068.114800</v>
      </c>
    </row>
    <row r="17709" spans="1:9">
      <c r="A17709" s="22" t="str">
        <f>HYPERLINK("https://app.vivvix.com/360/KMI/IntelliDrive/ApplUI/Pages/CreativePages/CustomReportCreativeDetail.aspx?App=23&amp;ReportView=4&amp;Qid=1711279&amp;Row=17701&amp;Col=1","No Title Assigned - #15276923496")</f>
        <v/>
      </c>
      <c r="B17709" s="0" t="s">
        <v>23482</v>
      </c>
      <c r="E17709" s="0" t="inlineStr">
        <is>
          <t xml:space="preserve">Mazda</t>
        </is>
      </c>
      <c r="F17709" s="0" t="inlineStr">
        <is>
          <t xml:space="preserve">Mazda</t>
        </is>
      </c>
      <c r="G17709" s="0" t="s">
        <v>171</v>
      </c>
      <c r="H17709" s="5">
        <v>64.457100</v>
      </c>
    </row>
    <row r="17710" spans="1:9">
      <c r="A17710" s="22" t="str">
        <f>HYPERLINK("https://app.vivvix.com/360/KMI/IntelliDrive/ApplUI/Pages/CreativePages/CustomReportCreativeDetail.aspx?App=23&amp;ReportView=4&amp;Qid=1711279&amp;Row=17702&amp;Col=1","No Title Assigned - #15276923496")</f>
        <v/>
      </c>
      <c r="B17710" s="0" t="s">
        <v>23482</v>
      </c>
      <c r="E17710" s="0" t="inlineStr">
        <is>
          <t xml:space="preserve">Mazda</t>
        </is>
      </c>
      <c r="F17710" s="0" t="inlineStr">
        <is>
          <t xml:space="preserve">Mazda</t>
        </is>
      </c>
      <c r="G17710" s="0" t="s">
        <v>171</v>
      </c>
      <c r="H17710" s="5">
        <v>2266.885500</v>
      </c>
    </row>
    <row r="17711" spans="1:9">
      <c r="A17711" s="22" t="str">
        <f>HYPERLINK("https://app.vivvix.com/360/KMI/IntelliDrive/ApplUI/Pages/CreativePages/CustomReportCreativeDetail.aspx?App=23&amp;ReportView=4&amp;Qid=1711279&amp;Row=17703&amp;Col=1","No Title Assigned - #15276924432")</f>
        <v/>
      </c>
      <c r="B17711" s="0" t="s">
        <v>23483</v>
      </c>
      <c r="E17711" s="0" t="inlineStr">
        <is>
          <t xml:space="preserve">Mazda</t>
        </is>
      </c>
      <c r="F17711" s="0" t="inlineStr">
        <is>
          <t xml:space="preserve">Mazda</t>
        </is>
      </c>
      <c r="G17711" s="0" t="s">
        <v>171</v>
      </c>
      <c r="H17711" s="5">
        <v>10208.085300</v>
      </c>
    </row>
    <row r="17712" spans="1:9">
      <c r="A17712" s="22" t="str">
        <f>HYPERLINK("https://app.vivvix.com/360/KMI/IntelliDrive/ApplUI/Pages/CreativePages/CustomReportCreativeDetail.aspx?App=23&amp;ReportView=4&amp;Qid=1711279&amp;Row=17704&amp;Col=1","No Title Assigned - #15276931974")</f>
        <v/>
      </c>
      <c r="B17712" s="0" t="s">
        <v>23484</v>
      </c>
      <c r="E17712" s="0" t="inlineStr">
        <is>
          <t xml:space="preserve">Mazda</t>
        </is>
      </c>
      <c r="F17712" s="0" t="inlineStr">
        <is>
          <t xml:space="preserve">Mazda</t>
        </is>
      </c>
      <c r="G17712" s="0" t="s">
        <v>171</v>
      </c>
      <c r="H17712" s="5">
        <v>23.660800</v>
      </c>
    </row>
    <row r="17713" spans="1:9">
      <c r="A17713" s="22" t="str">
        <f>HYPERLINK("https://app.vivvix.com/360/KMI/IntelliDrive/ApplUI/Pages/CreativePages/CustomReportCreativeDetail.aspx?App=23&amp;ReportView=4&amp;Qid=1711279&amp;Row=17705&amp;Col=1","No Title Assigned - #15276931999")</f>
        <v/>
      </c>
      <c r="B17713" s="0" t="s">
        <v>23485</v>
      </c>
      <c r="E17713" s="0" t="inlineStr">
        <is>
          <t xml:space="preserve">Mazda</t>
        </is>
      </c>
      <c r="F17713" s="0" t="inlineStr">
        <is>
          <t xml:space="preserve">Mazda</t>
        </is>
      </c>
      <c r="G17713" s="0" t="s">
        <v>171</v>
      </c>
      <c r="H17713" s="5">
        <v>142.012500</v>
      </c>
    </row>
    <row r="17714" spans="1:9">
      <c r="A17714" s="22" t="str">
        <f>HYPERLINK("https://app.vivvix.com/360/KMI/IntelliDrive/ApplUI/Pages/CreativePages/CustomReportCreativeDetail.aspx?App=23&amp;ReportView=4&amp;Qid=1711279&amp;Row=17706&amp;Col=1","No Title Assigned - #15276967317")</f>
        <v/>
      </c>
      <c r="B17714" s="0" t="s">
        <v>23486</v>
      </c>
      <c r="C17714" s="0" t="s">
        <v>23487</v>
      </c>
      <c r="D17714" s="0" t="s">
        <v>23487</v>
      </c>
      <c r="E17714" s="0" t="inlineStr">
        <is>
          <t xml:space="preserve">Mazda</t>
        </is>
      </c>
      <c r="F17714" s="0" t="s">
        <v>13</v>
      </c>
      <c r="G17714" s="0" t="s">
        <v>49</v>
      </c>
      <c r="H17714" s="5">
        <v>385.418400</v>
      </c>
    </row>
    <row r="17715" spans="1:9">
      <c r="A17715" s="22" t="str">
        <f>HYPERLINK("https://app.vivvix.com/360/KMI/IntelliDrive/ApplUI/Pages/CreativePages/CustomReportCreativeDetail.aspx?App=23&amp;ReportView=4&amp;Qid=1711279&amp;Row=17707&amp;Col=1","No Title Assigned - #15276968885")</f>
        <v/>
      </c>
      <c r="B17715" s="0" t="s">
        <v>23488</v>
      </c>
      <c r="C17715" s="0" t="s">
        <v>23489</v>
      </c>
      <c r="D17715" s="0" t="s">
        <v>23489</v>
      </c>
      <c r="E17715" s="0" t="inlineStr">
        <is>
          <t xml:space="preserve">Mazda</t>
        </is>
      </c>
      <c r="F17715" s="0" t="s">
        <v>13</v>
      </c>
      <c r="G17715" s="0" t="s">
        <v>49</v>
      </c>
      <c r="H17715" s="5">
        <v>672.742000</v>
      </c>
    </row>
    <row r="17716" spans="1:9">
      <c r="A17716" s="22" t="str">
        <f>HYPERLINK("https://app.vivvix.com/360/KMI/IntelliDrive/ApplUI/Pages/CreativePages/CustomReportCreativeDetail.aspx?App=23&amp;ReportView=4&amp;Qid=1711279&amp;Row=17708&amp;Col=1","No Title Assigned - #15276972093")</f>
        <v/>
      </c>
      <c r="B17716" s="0" t="s">
        <v>23490</v>
      </c>
      <c r="C17716" s="0" t="s">
        <v>23491</v>
      </c>
      <c r="D17716" s="0" t="s">
        <v>23491</v>
      </c>
      <c r="E17716" s="0" t="inlineStr">
        <is>
          <t xml:space="preserve">Mazda</t>
        </is>
      </c>
      <c r="F17716" s="0" t="s">
        <v>13</v>
      </c>
      <c r="G17716" s="0" t="s">
        <v>49</v>
      </c>
      <c r="H17716" s="5">
        <v>13215.262200</v>
      </c>
    </row>
    <row r="17717" spans="1:9">
      <c r="A17717" s="22" t="str">
        <f>HYPERLINK("https://app.vivvix.com/360/KMI/IntelliDrive/ApplUI/Pages/CreativePages/CustomReportCreativeDetail.aspx?App=23&amp;ReportView=4&amp;Qid=1711279&amp;Row=17709&amp;Col=1","No Title Assigned - #15276973754")</f>
        <v/>
      </c>
      <c r="B17717" s="0" t="s">
        <v>23492</v>
      </c>
      <c r="C17717" s="0" t="s">
        <v>23493</v>
      </c>
      <c r="D17717" s="0" t="s">
        <v>23493</v>
      </c>
      <c r="E17717" s="0" t="inlineStr">
        <is>
          <t xml:space="preserve">Mazda</t>
        </is>
      </c>
      <c r="F17717" s="0" t="s">
        <v>13</v>
      </c>
      <c r="G17717" s="0" t="s">
        <v>49</v>
      </c>
      <c r="H17717" s="5">
        <v>7.036400</v>
      </c>
    </row>
    <row r="17718" spans="1:9">
      <c r="A17718" s="22" t="str">
        <f>HYPERLINK("https://app.vivvix.com/360/KMI/IntelliDrive/ApplUI/Pages/CreativePages/CustomReportCreativeDetail.aspx?App=23&amp;ReportView=4&amp;Qid=1711279&amp;Row=17710&amp;Col=1","No Title Assigned - #15276976159")</f>
        <v/>
      </c>
      <c r="B17718" s="0" t="s">
        <v>23494</v>
      </c>
      <c r="E17718" s="0" t="inlineStr">
        <is>
          <t xml:space="preserve">Mazda</t>
        </is>
      </c>
      <c r="F17718" s="0" t="inlineStr">
        <is>
          <t xml:space="preserve">Mazda</t>
        </is>
      </c>
      <c r="G17718" s="0" t="s">
        <v>171</v>
      </c>
      <c r="H17718" s="5">
        <v>866.743900</v>
      </c>
    </row>
    <row r="17719" spans="1:9">
      <c r="A17719" s="22" t="str">
        <f>HYPERLINK("https://app.vivvix.com/360/KMI/IntelliDrive/ApplUI/Pages/CreativePages/CustomReportCreativeDetail.aspx?App=23&amp;ReportView=4&amp;Qid=1711279&amp;Row=17711&amp;Col=1","No Title Assigned - #15276976359")</f>
        <v/>
      </c>
      <c r="B17719" s="0" t="s">
        <v>23495</v>
      </c>
      <c r="C17719" s="0" t="s">
        <v>23496</v>
      </c>
      <c r="D17719" s="0" t="s">
        <v>23496</v>
      </c>
      <c r="E17719" s="0" t="inlineStr">
        <is>
          <t xml:space="preserve">Mazda</t>
        </is>
      </c>
      <c r="F17719" s="0" t="inlineStr">
        <is>
          <t xml:space="preserve">Mazda</t>
        </is>
      </c>
      <c r="G17719" s="0" t="s">
        <v>171</v>
      </c>
      <c r="H17719" s="5">
        <v>330.498400</v>
      </c>
    </row>
    <row r="17720" spans="1:9">
      <c r="A17720" s="22" t="str">
        <f>HYPERLINK("https://app.vivvix.com/360/KMI/IntelliDrive/ApplUI/Pages/CreativePages/CustomReportCreativeDetail.aspx?App=23&amp;ReportView=4&amp;Qid=1711279&amp;Row=17712&amp;Col=1","No Title Assigned - #15276977539")</f>
        <v/>
      </c>
      <c r="B17720" s="0" t="s">
        <v>23497</v>
      </c>
      <c r="E17720" s="0" t="inlineStr">
        <is>
          <t xml:space="preserve">Mazda</t>
        </is>
      </c>
      <c r="F17720" s="0" t="inlineStr">
        <is>
          <t xml:space="preserve">Mazda</t>
        </is>
      </c>
      <c r="G17720" s="0" t="s">
        <v>171</v>
      </c>
      <c r="H17720" s="5">
        <v>458.401800</v>
      </c>
    </row>
    <row r="17721" spans="1:9">
      <c r="A17721" s="22" t="str">
        <f>HYPERLINK("https://app.vivvix.com/360/KMI/IntelliDrive/ApplUI/Pages/CreativePages/CustomReportCreativeDetail.aspx?App=23&amp;ReportView=4&amp;Qid=1711279&amp;Row=17713&amp;Col=1","No Title Assigned - #15276977724")</f>
        <v/>
      </c>
      <c r="B17721" s="0" t="s">
        <v>23498</v>
      </c>
      <c r="E17721" s="0" t="inlineStr">
        <is>
          <t xml:space="preserve">Mazda</t>
        </is>
      </c>
      <c r="F17721" s="0" t="inlineStr">
        <is>
          <t xml:space="preserve">Mazda</t>
        </is>
      </c>
      <c r="G17721" s="0" t="s">
        <v>171</v>
      </c>
      <c r="H17721" s="5">
        <v>3.228900</v>
      </c>
    </row>
    <row r="17722" spans="1:9">
      <c r="A17722" s="22" t="str">
        <f>HYPERLINK("https://app.vivvix.com/360/KMI/IntelliDrive/ApplUI/Pages/CreativePages/CustomReportCreativeDetail.aspx?App=23&amp;ReportView=4&amp;Qid=1711279&amp;Row=17714&amp;Col=1","No Title Assigned - #15276977847")</f>
        <v/>
      </c>
      <c r="B17722" s="0" t="s">
        <v>23499</v>
      </c>
      <c r="E17722" s="0" t="inlineStr">
        <is>
          <t xml:space="preserve">Mazda</t>
        </is>
      </c>
      <c r="F17722" s="0" t="inlineStr">
        <is>
          <t xml:space="preserve">Mazda</t>
        </is>
      </c>
      <c r="G17722" s="0" t="s">
        <v>171</v>
      </c>
      <c r="H17722" s="5">
        <v>455.376600</v>
      </c>
    </row>
    <row r="17723" spans="1:9">
      <c r="A17723" s="22" t="str">
        <f>HYPERLINK("https://app.vivvix.com/360/KMI/IntelliDrive/ApplUI/Pages/CreativePages/CustomReportCreativeDetail.aspx?App=23&amp;ReportView=4&amp;Qid=1711279&amp;Row=17715&amp;Col=1","No Title Assigned - #15276978564")</f>
        <v/>
      </c>
      <c r="B17723" s="0" t="s">
        <v>23500</v>
      </c>
      <c r="E17723" s="0" t="inlineStr">
        <is>
          <t xml:space="preserve">Mazda</t>
        </is>
      </c>
      <c r="F17723" s="0" t="inlineStr">
        <is>
          <t xml:space="preserve">Mazda</t>
        </is>
      </c>
      <c r="G17723" s="0" t="s">
        <v>171</v>
      </c>
      <c r="H17723" s="5">
        <v>8598.945800</v>
      </c>
    </row>
    <row r="17724" spans="1:9">
      <c r="A17724" s="22" t="str">
        <f>HYPERLINK("https://app.vivvix.com/360/KMI/IntelliDrive/ApplUI/Pages/CreativePages/CustomReportCreativeDetail.aspx?App=23&amp;ReportView=4&amp;Qid=1711279&amp;Row=17716&amp;Col=1","No Title Assigned - #15276978620")</f>
        <v/>
      </c>
      <c r="B17724" s="0" t="s">
        <v>23501</v>
      </c>
      <c r="E17724" s="0" t="inlineStr">
        <is>
          <t xml:space="preserve">Mazda</t>
        </is>
      </c>
      <c r="F17724" s="0" t="inlineStr">
        <is>
          <t xml:space="preserve">Mazda</t>
        </is>
      </c>
      <c r="G17724" s="0" t="s">
        <v>171</v>
      </c>
      <c r="H17724" s="5">
        <v>16.608800</v>
      </c>
    </row>
    <row r="17725" spans="1:9">
      <c r="A17725" s="22" t="str">
        <f>HYPERLINK("https://app.vivvix.com/360/KMI/IntelliDrive/ApplUI/Pages/CreativePages/CustomReportCreativeDetail.aspx?App=23&amp;ReportView=4&amp;Qid=1711279&amp;Row=17717&amp;Col=1","No Title Assigned - #15276978847")</f>
        <v/>
      </c>
      <c r="B17725" s="0" t="s">
        <v>23502</v>
      </c>
      <c r="C17725" s="0" t="s">
        <v>23503</v>
      </c>
      <c r="D17725" s="0" t="s">
        <v>23503</v>
      </c>
      <c r="E17725" s="0" t="inlineStr">
        <is>
          <t xml:space="preserve">Mazda</t>
        </is>
      </c>
      <c r="F17725" s="0" t="s">
        <v>13</v>
      </c>
      <c r="G17725" s="0" t="s">
        <v>49</v>
      </c>
      <c r="H17725" s="5">
        <v>445.838800</v>
      </c>
    </row>
    <row r="17726" spans="1:9">
      <c r="A17726" s="22" t="str">
        <f>HYPERLINK("https://app.vivvix.com/360/KMI/IntelliDrive/ApplUI/Pages/CreativePages/CustomReportCreativeDetail.aspx?App=23&amp;ReportView=4&amp;Qid=1711279&amp;Row=17718&amp;Col=1","No Title Assigned - #15276978863")</f>
        <v/>
      </c>
      <c r="B17726" s="0" t="s">
        <v>23504</v>
      </c>
      <c r="E17726" s="0" t="inlineStr">
        <is>
          <t xml:space="preserve">Mazda</t>
        </is>
      </c>
      <c r="F17726" s="0" t="inlineStr">
        <is>
          <t xml:space="preserve">Mazda</t>
        </is>
      </c>
      <c r="G17726" s="0" t="s">
        <v>171</v>
      </c>
      <c r="H17726" s="5">
        <v>47.880600</v>
      </c>
    </row>
    <row r="17727" spans="1:9">
      <c r="A17727" s="22" t="str">
        <f>HYPERLINK("https://app.vivvix.com/360/KMI/IntelliDrive/ApplUI/Pages/CreativePages/CustomReportCreativeDetail.aspx?App=23&amp;ReportView=4&amp;Qid=1711279&amp;Row=17719&amp;Col=1","No Title Assigned - #15276978922")</f>
        <v/>
      </c>
      <c r="B17727" s="0" t="s">
        <v>23505</v>
      </c>
      <c r="E17727" s="0" t="inlineStr">
        <is>
          <t xml:space="preserve">Mazda</t>
        </is>
      </c>
      <c r="F17727" s="0" t="inlineStr">
        <is>
          <t xml:space="preserve">Mazda</t>
        </is>
      </c>
      <c r="G17727" s="0" t="s">
        <v>171</v>
      </c>
      <c r="H17727" s="5">
        <v>61.784100</v>
      </c>
    </row>
    <row r="17728" spans="1:9">
      <c r="A17728" s="22" t="str">
        <f>HYPERLINK("https://app.vivvix.com/360/KMI/IntelliDrive/ApplUI/Pages/CreativePages/CustomReportCreativeDetail.aspx?App=23&amp;ReportView=4&amp;Qid=1711279&amp;Row=17720&amp;Col=1","No Title Assigned - #15276979062")</f>
        <v/>
      </c>
      <c r="B17728" s="0" t="s">
        <v>23506</v>
      </c>
      <c r="E17728" s="0" t="inlineStr">
        <is>
          <t xml:space="preserve">Mazda</t>
        </is>
      </c>
      <c r="F17728" s="0" t="inlineStr">
        <is>
          <t xml:space="preserve">Mazda</t>
        </is>
      </c>
      <c r="G17728" s="0" t="s">
        <v>171</v>
      </c>
      <c r="H17728" s="5">
        <v>22.202100</v>
      </c>
    </row>
    <row r="17729" spans="1:9">
      <c r="A17729" s="22" t="str">
        <f>HYPERLINK("https://app.vivvix.com/360/KMI/IntelliDrive/ApplUI/Pages/CreativePages/CustomReportCreativeDetail.aspx?App=23&amp;ReportView=4&amp;Qid=1711279&amp;Row=17721&amp;Col=1","No Title Assigned - #15276979347")</f>
        <v/>
      </c>
      <c r="B17729" s="0" t="s">
        <v>23507</v>
      </c>
      <c r="E17729" s="0" t="inlineStr">
        <is>
          <t xml:space="preserve">Mazda</t>
        </is>
      </c>
      <c r="F17729" s="0" t="inlineStr">
        <is>
          <t xml:space="preserve">Mazda</t>
        </is>
      </c>
      <c r="G17729" s="0" t="s">
        <v>171</v>
      </c>
      <c r="H17729" s="5">
        <v>24689.284200</v>
      </c>
    </row>
    <row r="17730" spans="1:9">
      <c r="A17730" s="22" t="str">
        <f>HYPERLINK("https://app.vivvix.com/360/KMI/IntelliDrive/ApplUI/Pages/CreativePages/CustomReportCreativeDetail.aspx?App=23&amp;ReportView=4&amp;Qid=1711279&amp;Row=17722&amp;Col=1","No Title Assigned - #15276980359")</f>
        <v/>
      </c>
      <c r="B17730" s="0" t="s">
        <v>23508</v>
      </c>
      <c r="E17730" s="0" t="inlineStr">
        <is>
          <t xml:space="preserve">Mazda</t>
        </is>
      </c>
      <c r="F17730" s="0" t="inlineStr">
        <is>
          <t xml:space="preserve">Mazda</t>
        </is>
      </c>
      <c r="G17730" s="0" t="s">
        <v>171</v>
      </c>
      <c r="H17730" s="5">
        <v>1228.967200</v>
      </c>
    </row>
    <row r="17731" spans="1:9">
      <c r="A17731" s="22" t="str">
        <f>HYPERLINK("https://app.vivvix.com/360/KMI/IntelliDrive/ApplUI/Pages/CreativePages/CustomReportCreativeDetail.aspx?App=23&amp;ReportView=4&amp;Qid=1711279&amp;Row=17723&amp;Col=1","No Title Assigned - #15276980359")</f>
        <v/>
      </c>
      <c r="B17731" s="0" t="s">
        <v>23508</v>
      </c>
      <c r="E17731" s="0" t="inlineStr">
        <is>
          <t xml:space="preserve">Mazda</t>
        </is>
      </c>
      <c r="F17731" s="0" t="inlineStr">
        <is>
          <t xml:space="preserve">Mazda</t>
        </is>
      </c>
      <c r="G17731" s="0" t="s">
        <v>171</v>
      </c>
      <c r="H17731" s="5">
        <v>36.292000</v>
      </c>
    </row>
    <row r="17732" spans="1:9">
      <c r="A17732" s="22" t="str">
        <f>HYPERLINK("https://app.vivvix.com/360/KMI/IntelliDrive/ApplUI/Pages/CreativePages/CustomReportCreativeDetail.aspx?App=23&amp;ReportView=4&amp;Qid=1711279&amp;Row=17724&amp;Col=1","No Title Assigned - #15276981125")</f>
        <v/>
      </c>
      <c r="B17732" s="0" t="s">
        <v>23509</v>
      </c>
      <c r="E17732" s="0" t="inlineStr">
        <is>
          <t xml:space="preserve">Mazda</t>
        </is>
      </c>
      <c r="F17732" s="0" t="inlineStr">
        <is>
          <t xml:space="preserve">Mazda</t>
        </is>
      </c>
      <c r="G17732" s="0" t="s">
        <v>171</v>
      </c>
      <c r="H17732" s="5">
        <v>7932.376900</v>
      </c>
    </row>
    <row r="17733" spans="1:9">
      <c r="A17733" s="22" t="str">
        <f>HYPERLINK("https://app.vivvix.com/360/KMI/IntelliDrive/ApplUI/Pages/CreativePages/CustomReportCreativeDetail.aspx?App=23&amp;ReportView=4&amp;Qid=1711279&amp;Row=17725&amp;Col=1","No Title Assigned - #15276981179")</f>
        <v/>
      </c>
      <c r="B17733" s="0" t="s">
        <v>23510</v>
      </c>
      <c r="E17733" s="0" t="inlineStr">
        <is>
          <t xml:space="preserve">Mazda</t>
        </is>
      </c>
      <c r="F17733" s="0" t="inlineStr">
        <is>
          <t xml:space="preserve">Mazda</t>
        </is>
      </c>
      <c r="G17733" s="0" t="s">
        <v>171</v>
      </c>
      <c r="H17733" s="5">
        <v>216.444600</v>
      </c>
    </row>
    <row r="17734" spans="1:9">
      <c r="A17734" s="22" t="str">
        <f>HYPERLINK("https://app.vivvix.com/360/KMI/IntelliDrive/ApplUI/Pages/CreativePages/CustomReportCreativeDetail.aspx?App=23&amp;ReportView=4&amp;Qid=1711279&amp;Row=17726&amp;Col=1","No Title Assigned - #15276985460")</f>
        <v/>
      </c>
      <c r="B17734" s="0" t="s">
        <v>23511</v>
      </c>
      <c r="E17734" s="0" t="inlineStr">
        <is>
          <t xml:space="preserve">Mazda</t>
        </is>
      </c>
      <c r="F17734" s="0" t="inlineStr">
        <is>
          <t xml:space="preserve">Mazda</t>
        </is>
      </c>
      <c r="G17734" s="0" t="s">
        <v>171</v>
      </c>
      <c r="H17734" s="5">
        <v>0.796900</v>
      </c>
    </row>
    <row r="17735" spans="1:9">
      <c r="A17735" s="22" t="str">
        <f>HYPERLINK("https://app.vivvix.com/360/KMI/IntelliDrive/ApplUI/Pages/CreativePages/CustomReportCreativeDetail.aspx?App=23&amp;ReportView=4&amp;Qid=1711279&amp;Row=17727&amp;Col=1","No Title Assigned - #15276985555")</f>
        <v/>
      </c>
      <c r="B17735" s="0" t="s">
        <v>23512</v>
      </c>
      <c r="E17735" s="0" t="inlineStr">
        <is>
          <t xml:space="preserve">Mazda</t>
        </is>
      </c>
      <c r="F17735" s="0" t="inlineStr">
        <is>
          <t xml:space="preserve">Mazda</t>
        </is>
      </c>
      <c r="G17735" s="0" t="s">
        <v>171</v>
      </c>
      <c r="H17735" s="5">
        <v>43.312300</v>
      </c>
    </row>
    <row r="17736" spans="1:9">
      <c r="A17736" s="22" t="str">
        <f>HYPERLINK("https://app.vivvix.com/360/KMI/IntelliDrive/ApplUI/Pages/CreativePages/CustomReportCreativeDetail.aspx?App=23&amp;ReportView=4&amp;Qid=1711279&amp;Row=17728&amp;Col=1","No Title Assigned - #15276986617")</f>
        <v/>
      </c>
      <c r="B17736" s="0" t="s">
        <v>23513</v>
      </c>
      <c r="E17736" s="0" t="inlineStr">
        <is>
          <t xml:space="preserve">Mazda</t>
        </is>
      </c>
      <c r="F17736" s="0" t="inlineStr">
        <is>
          <t xml:space="preserve">Mazda</t>
        </is>
      </c>
      <c r="G17736" s="0" t="s">
        <v>171</v>
      </c>
      <c r="H17736" s="5">
        <v>15.960200</v>
      </c>
    </row>
    <row r="17737" spans="1:9">
      <c r="A17737" s="22" t="str">
        <f>HYPERLINK("https://app.vivvix.com/360/KMI/IntelliDrive/ApplUI/Pages/CreativePages/CustomReportCreativeDetail.aspx?App=23&amp;ReportView=4&amp;Qid=1711279&amp;Row=17729&amp;Col=1","No Title Assigned - #15276986638")</f>
        <v/>
      </c>
      <c r="B17737" s="0" t="s">
        <v>23514</v>
      </c>
      <c r="E17737" s="0" t="inlineStr">
        <is>
          <t xml:space="preserve">Mazda</t>
        </is>
      </c>
      <c r="F17737" s="0" t="inlineStr">
        <is>
          <t xml:space="preserve">Mazda</t>
        </is>
      </c>
      <c r="G17737" s="0" t="s">
        <v>171</v>
      </c>
      <c r="H17737" s="5">
        <v>20008.699200</v>
      </c>
    </row>
    <row r="17738" spans="1:9">
      <c r="A17738" s="22" t="str">
        <f>HYPERLINK("https://app.vivvix.com/360/KMI/IntelliDrive/ApplUI/Pages/CreativePages/CustomReportCreativeDetail.aspx?App=23&amp;ReportView=4&amp;Qid=1711279&amp;Row=17730&amp;Col=1","No Title Assigned - #15276988071")</f>
        <v/>
      </c>
      <c r="B17738" s="0" t="s">
        <v>23515</v>
      </c>
      <c r="E17738" s="0" t="inlineStr">
        <is>
          <t xml:space="preserve">Mazda</t>
        </is>
      </c>
      <c r="F17738" s="0" t="inlineStr">
        <is>
          <t xml:space="preserve">Mazda</t>
        </is>
      </c>
      <c r="G17738" s="0" t="s">
        <v>171</v>
      </c>
      <c r="H17738" s="5">
        <v>5859.342800</v>
      </c>
    </row>
    <row r="17739" spans="1:9">
      <c r="A17739" s="22" t="str">
        <f>HYPERLINK("https://app.vivvix.com/360/KMI/IntelliDrive/ApplUI/Pages/CreativePages/CustomReportCreativeDetail.aspx?App=23&amp;ReportView=4&amp;Qid=1711279&amp;Row=17731&amp;Col=1","No Title Assigned - #15276989262")</f>
        <v/>
      </c>
      <c r="B17739" s="0" t="s">
        <v>23516</v>
      </c>
      <c r="E17739" s="0" t="inlineStr">
        <is>
          <t xml:space="preserve">Mazda</t>
        </is>
      </c>
      <c r="F17739" s="0" t="inlineStr">
        <is>
          <t xml:space="preserve">Mazda</t>
        </is>
      </c>
      <c r="G17739" s="0" t="s">
        <v>171</v>
      </c>
      <c r="H17739" s="5">
        <v>342.823100</v>
      </c>
    </row>
    <row r="17740" spans="1:9">
      <c r="A17740" s="22" t="str">
        <f>HYPERLINK("https://app.vivvix.com/360/KMI/IntelliDrive/ApplUI/Pages/CreativePages/CustomReportCreativeDetail.aspx?App=23&amp;ReportView=4&amp;Qid=1711279&amp;Row=17732&amp;Col=1","No Title Assigned - #15276990145")</f>
        <v/>
      </c>
      <c r="B17740" s="0" t="s">
        <v>23517</v>
      </c>
      <c r="E17740" s="0" t="inlineStr">
        <is>
          <t xml:space="preserve">Mazda</t>
        </is>
      </c>
      <c r="F17740" s="0" t="inlineStr">
        <is>
          <t xml:space="preserve">Mazda</t>
        </is>
      </c>
      <c r="G17740" s="0" t="s">
        <v>171</v>
      </c>
      <c r="H17740" s="5">
        <v>141.860400</v>
      </c>
    </row>
    <row r="17741" spans="1:9">
      <c r="A17741" s="22" t="str">
        <f>HYPERLINK("https://app.vivvix.com/360/KMI/IntelliDrive/ApplUI/Pages/CreativePages/CustomReportCreativeDetail.aspx?App=23&amp;ReportView=4&amp;Qid=1711279&amp;Row=17733&amp;Col=1","No Title Assigned - #15276993507")</f>
        <v/>
      </c>
      <c r="B17741" s="0" t="s">
        <v>23518</v>
      </c>
      <c r="E17741" s="0" t="inlineStr">
        <is>
          <t xml:space="preserve">Mazda</t>
        </is>
      </c>
      <c r="F17741" s="0" t="inlineStr">
        <is>
          <t xml:space="preserve">Mazda</t>
        </is>
      </c>
      <c r="G17741" s="0" t="s">
        <v>171</v>
      </c>
      <c r="H17741" s="5">
        <v>129.479500</v>
      </c>
    </row>
    <row r="17742" spans="1:9">
      <c r="A17742" s="22" t="str">
        <f>HYPERLINK("https://app.vivvix.com/360/KMI/IntelliDrive/ApplUI/Pages/CreativePages/CustomReportCreativeDetail.aspx?App=23&amp;ReportView=4&amp;Qid=1711279&amp;Row=17734&amp;Col=1","No Title Assigned - #15276997272")</f>
        <v/>
      </c>
      <c r="B17742" s="0" t="s">
        <v>23519</v>
      </c>
      <c r="E17742" s="0" t="inlineStr">
        <is>
          <t xml:space="preserve">Mazda</t>
        </is>
      </c>
      <c r="F17742" s="0" t="inlineStr">
        <is>
          <t xml:space="preserve">Mazda</t>
        </is>
      </c>
      <c r="G17742" s="0" t="s">
        <v>171</v>
      </c>
      <c r="H17742" s="5">
        <v>2516.154500</v>
      </c>
    </row>
    <row r="17743" spans="1:9">
      <c r="A17743" s="22" t="str">
        <f>HYPERLINK("https://app.vivvix.com/360/KMI/IntelliDrive/ApplUI/Pages/CreativePages/CustomReportCreativeDetail.aspx?App=23&amp;ReportView=4&amp;Qid=1711279&amp;Row=17735&amp;Col=1","No Title Assigned - #15277000191")</f>
        <v/>
      </c>
      <c r="B17743" s="0" t="s">
        <v>23520</v>
      </c>
      <c r="E17743" s="0" t="inlineStr">
        <is>
          <t xml:space="preserve">Mazda</t>
        </is>
      </c>
      <c r="F17743" s="0" t="inlineStr">
        <is>
          <t xml:space="preserve">Mazda</t>
        </is>
      </c>
      <c r="G17743" s="0" t="s">
        <v>171</v>
      </c>
      <c r="H17743" s="5">
        <v>1095.369100</v>
      </c>
    </row>
    <row r="17744" spans="1:9">
      <c r="A17744" s="22" t="str">
        <f>HYPERLINK("https://app.vivvix.com/360/KMI/IntelliDrive/ApplUI/Pages/CreativePages/CustomReportCreativeDetail.aspx?App=23&amp;ReportView=4&amp;Qid=1711279&amp;Row=17736&amp;Col=1","No Title Assigned - #15277017307")</f>
        <v/>
      </c>
      <c r="B17744" s="0" t="s">
        <v>23521</v>
      </c>
      <c r="C17744" s="0" t="s">
        <v>23522</v>
      </c>
      <c r="D17744" s="0" t="s">
        <v>21067</v>
      </c>
      <c r="E17744" s="0" t="inlineStr">
        <is>
          <t xml:space="preserve">Mazda</t>
        </is>
      </c>
      <c r="F17744" s="0" t="s">
        <v>13</v>
      </c>
      <c r="G17744" s="0" t="s">
        <v>49</v>
      </c>
      <c r="H17744" s="5">
        <v>798.746500</v>
      </c>
    </row>
    <row r="17745" spans="1:9">
      <c r="A17745" s="22" t="str">
        <f>HYPERLINK("https://app.vivvix.com/360/KMI/IntelliDrive/ApplUI/Pages/CreativePages/CustomReportCreativeDetail.aspx?App=23&amp;ReportView=4&amp;Qid=1711279&amp;Row=17737&amp;Col=1","No Title Assigned - #15277041701")</f>
        <v/>
      </c>
      <c r="B17745" s="0" t="s">
        <v>23523</v>
      </c>
      <c r="C17745" s="0" t="s">
        <v>23524</v>
      </c>
      <c r="D17745" s="0" t="s">
        <v>23524</v>
      </c>
      <c r="E17745" s="0" t="inlineStr">
        <is>
          <t xml:space="preserve">Mazda</t>
        </is>
      </c>
      <c r="F17745" s="0" t="s">
        <v>13</v>
      </c>
      <c r="G17745" s="0" t="s">
        <v>49</v>
      </c>
      <c r="H17745" s="5">
        <v>55500.849100</v>
      </c>
    </row>
    <row r="17746" spans="1:9">
      <c r="A17746" s="22" t="str">
        <f>HYPERLINK("https://app.vivvix.com/360/KMI/IntelliDrive/ApplUI/Pages/CreativePages/CustomReportCreativeDetail.aspx?App=23&amp;ReportView=4&amp;Qid=1711279&amp;Row=17738&amp;Col=1","No Title Assigned - #15277044123")</f>
        <v/>
      </c>
      <c r="B17746" s="0" t="s">
        <v>23525</v>
      </c>
      <c r="C17746" s="0" t="s">
        <v>23526</v>
      </c>
      <c r="D17746" s="0" t="s">
        <v>23526</v>
      </c>
      <c r="E17746" s="0" t="inlineStr">
        <is>
          <t xml:space="preserve">Mazda</t>
        </is>
      </c>
      <c r="F17746" s="0" t="s">
        <v>115</v>
      </c>
      <c r="G17746" s="0" t="s">
        <v>365</v>
      </c>
    </row>
    <row r="17747" spans="1:9">
      <c r="A17747" s="22" t="str">
        <f>HYPERLINK("https://app.vivvix.com/360/KMI/IntelliDrive/ApplUI/Pages/CreativePages/CustomReportCreativeDetail.aspx?App=23&amp;ReportView=4&amp;Qid=1711279&amp;Row=17739&amp;Col=1","No Title Assigned - #15277045576")</f>
        <v/>
      </c>
      <c r="B17747" s="0" t="s">
        <v>23527</v>
      </c>
      <c r="E17747" s="0" t="inlineStr">
        <is>
          <t xml:space="preserve">Mazda</t>
        </is>
      </c>
      <c r="F17747" s="0" t="s">
        <v>13</v>
      </c>
      <c r="G17747" s="0" t="s">
        <v>49</v>
      </c>
      <c r="H17747" s="5">
        <v>649.176600</v>
      </c>
    </row>
    <row r="17748" spans="1:9">
      <c r="A17748" s="22" t="str">
        <f>HYPERLINK("https://app.vivvix.com/360/KMI/IntelliDrive/ApplUI/Pages/CreativePages/CustomReportCreativeDetail.aspx?App=23&amp;ReportView=4&amp;Qid=1711279&amp;Row=17740&amp;Col=1","No Title Assigned - #15277047610")</f>
        <v/>
      </c>
      <c r="B17748" s="0" t="s">
        <v>23528</v>
      </c>
      <c r="E17748" s="0" t="inlineStr">
        <is>
          <t xml:space="preserve">Mazda</t>
        </is>
      </c>
      <c r="F17748" s="0" t="inlineStr">
        <is>
          <t xml:space="preserve">Mazda</t>
        </is>
      </c>
      <c r="G17748" s="0" t="s">
        <v>171</v>
      </c>
      <c r="H17748" s="5">
        <v>349.885900</v>
      </c>
    </row>
    <row r="17749" spans="1:9">
      <c r="A17749" s="22" t="str">
        <f>HYPERLINK("https://app.vivvix.com/360/KMI/IntelliDrive/ApplUI/Pages/CreativePages/CustomReportCreativeDetail.aspx?App=23&amp;ReportView=4&amp;Qid=1711279&amp;Row=17741&amp;Col=1","No Title Assigned - #15277047684")</f>
        <v/>
      </c>
      <c r="B17749" s="0" t="s">
        <v>23529</v>
      </c>
      <c r="E17749" s="0" t="inlineStr">
        <is>
          <t xml:space="preserve">Mazda</t>
        </is>
      </c>
      <c r="F17749" s="0" t="inlineStr">
        <is>
          <t xml:space="preserve">Mazda</t>
        </is>
      </c>
      <c r="G17749" s="0" t="s">
        <v>171</v>
      </c>
      <c r="H17749" s="5">
        <v>7088.298400</v>
      </c>
    </row>
    <row r="17750" spans="1:9">
      <c r="A17750" s="22" t="str">
        <f>HYPERLINK("https://app.vivvix.com/360/KMI/IntelliDrive/ApplUI/Pages/CreativePages/CustomReportCreativeDetail.aspx?App=23&amp;ReportView=4&amp;Qid=1711279&amp;Row=17742&amp;Col=1","No Title Assigned - #15277047684")</f>
        <v/>
      </c>
      <c r="B17750" s="0" t="s">
        <v>23529</v>
      </c>
      <c r="E17750" s="0" t="inlineStr">
        <is>
          <t xml:space="preserve">Mazda</t>
        </is>
      </c>
      <c r="F17750" s="0" t="inlineStr">
        <is>
          <t xml:space="preserve">Mazda</t>
        </is>
      </c>
      <c r="G17750" s="0" t="s">
        <v>171</v>
      </c>
      <c r="H17750" s="5">
        <v>1356.740700</v>
      </c>
    </row>
    <row r="17751" spans="1:9">
      <c r="A17751" s="22" t="str">
        <f>HYPERLINK("https://app.vivvix.com/360/KMI/IntelliDrive/ApplUI/Pages/CreativePages/CustomReportCreativeDetail.aspx?App=23&amp;ReportView=4&amp;Qid=1711279&amp;Row=17743&amp;Col=1","No Title Assigned - #15277047747")</f>
        <v/>
      </c>
      <c r="B17751" s="0" t="s">
        <v>23530</v>
      </c>
      <c r="E17751" s="0" t="inlineStr">
        <is>
          <t xml:space="preserve">Mazda</t>
        </is>
      </c>
      <c r="F17751" s="0" t="inlineStr">
        <is>
          <t xml:space="preserve">Mazda</t>
        </is>
      </c>
      <c r="G17751" s="0" t="s">
        <v>171</v>
      </c>
      <c r="H17751" s="5">
        <v>745.431200</v>
      </c>
    </row>
    <row r="17752" spans="1:9">
      <c r="A17752" s="22" t="str">
        <f>HYPERLINK("https://app.vivvix.com/360/KMI/IntelliDrive/ApplUI/Pages/CreativePages/CustomReportCreativeDetail.aspx?App=23&amp;ReportView=4&amp;Qid=1711279&amp;Row=17744&amp;Col=1","No Title Assigned - #15277054173")</f>
        <v/>
      </c>
      <c r="B17752" s="0" t="s">
        <v>23531</v>
      </c>
      <c r="E17752" s="0" t="inlineStr">
        <is>
          <t xml:space="preserve">Mazda</t>
        </is>
      </c>
      <c r="F17752" s="0" t="inlineStr">
        <is>
          <t xml:space="preserve">Mazda</t>
        </is>
      </c>
      <c r="G17752" s="0" t="s">
        <v>171</v>
      </c>
      <c r="H17752" s="5">
        <v>3379.262800</v>
      </c>
    </row>
    <row r="17753" spans="1:9">
      <c r="A17753" s="22" t="str">
        <f>HYPERLINK("https://app.vivvix.com/360/KMI/IntelliDrive/ApplUI/Pages/CreativePages/CustomReportCreativeDetail.aspx?App=23&amp;ReportView=4&amp;Qid=1711279&amp;Row=17745&amp;Col=1","No Title Assigned - #15277054482")</f>
        <v/>
      </c>
      <c r="B17753" s="0" t="s">
        <v>23532</v>
      </c>
      <c r="E17753" s="0" t="inlineStr">
        <is>
          <t xml:space="preserve">Mazda</t>
        </is>
      </c>
      <c r="F17753" s="0" t="inlineStr">
        <is>
          <t xml:space="preserve">Mazda</t>
        </is>
      </c>
      <c r="G17753" s="0" t="s">
        <v>171</v>
      </c>
      <c r="H17753" s="5">
        <v>3247.828800</v>
      </c>
    </row>
    <row r="17754" spans="1:9">
      <c r="A17754" s="22" t="str">
        <f>HYPERLINK("https://app.vivvix.com/360/KMI/IntelliDrive/ApplUI/Pages/CreativePages/CustomReportCreativeDetail.aspx?App=23&amp;ReportView=4&amp;Qid=1711279&amp;Row=17746&amp;Col=1","No Title Assigned - #15277054483")</f>
        <v/>
      </c>
      <c r="B17754" s="0" t="s">
        <v>23533</v>
      </c>
      <c r="E17754" s="0" t="inlineStr">
        <is>
          <t xml:space="preserve">Mazda</t>
        </is>
      </c>
      <c r="F17754" s="0" t="inlineStr">
        <is>
          <t xml:space="preserve">Mazda</t>
        </is>
      </c>
      <c r="G17754" s="0" t="s">
        <v>171</v>
      </c>
      <c r="H17754" s="5">
        <v>907.375400</v>
      </c>
    </row>
    <row r="17755" spans="1:9">
      <c r="A17755" s="22" t="str">
        <f>HYPERLINK("https://app.vivvix.com/360/KMI/IntelliDrive/ApplUI/Pages/CreativePages/CustomReportCreativeDetail.aspx?App=23&amp;ReportView=4&amp;Qid=1711279&amp;Row=17747&amp;Col=1","No Title Assigned - #15277055520")</f>
        <v/>
      </c>
      <c r="B17755" s="0" t="s">
        <v>23534</v>
      </c>
      <c r="E17755" s="0" t="inlineStr">
        <is>
          <t xml:space="preserve">Mazda</t>
        </is>
      </c>
      <c r="F17755" s="0" t="inlineStr">
        <is>
          <t xml:space="preserve">Mazda</t>
        </is>
      </c>
      <c r="G17755" s="0" t="s">
        <v>171</v>
      </c>
      <c r="H17755" s="5">
        <v>13509.094300</v>
      </c>
    </row>
    <row r="17756" spans="1:9">
      <c r="A17756" s="22" t="str">
        <f>HYPERLINK("https://app.vivvix.com/360/KMI/IntelliDrive/ApplUI/Pages/CreativePages/CustomReportCreativeDetail.aspx?App=23&amp;ReportView=4&amp;Qid=1711279&amp;Row=17748&amp;Col=1","No Title Assigned - #15277056931")</f>
        <v/>
      </c>
      <c r="B17756" s="0" t="s">
        <v>23535</v>
      </c>
      <c r="E17756" s="0" t="inlineStr">
        <is>
          <t xml:space="preserve">Mazda</t>
        </is>
      </c>
      <c r="F17756" s="0" t="inlineStr">
        <is>
          <t xml:space="preserve">Mazda</t>
        </is>
      </c>
      <c r="G17756" s="0" t="s">
        <v>171</v>
      </c>
      <c r="H17756" s="5">
        <v>882.440100</v>
      </c>
    </row>
    <row r="17757" spans="1:9">
      <c r="A17757" s="22" t="str">
        <f>HYPERLINK("https://app.vivvix.com/360/KMI/IntelliDrive/ApplUI/Pages/CreativePages/CustomReportCreativeDetail.aspx?App=23&amp;ReportView=4&amp;Qid=1711279&amp;Row=17749&amp;Col=1","No Title Assigned - #15277058373")</f>
        <v/>
      </c>
      <c r="B17757" s="0" t="s">
        <v>23536</v>
      </c>
      <c r="E17757" s="0" t="inlineStr">
        <is>
          <t xml:space="preserve">Mazda</t>
        </is>
      </c>
      <c r="F17757" s="0" t="inlineStr">
        <is>
          <t xml:space="preserve">Mazda</t>
        </is>
      </c>
      <c r="G17757" s="0" t="s">
        <v>171</v>
      </c>
      <c r="H17757" s="5">
        <v>78415.529300</v>
      </c>
    </row>
    <row r="17758" spans="1:9">
      <c r="A17758" s="22" t="str">
        <f>HYPERLINK("https://app.vivvix.com/360/KMI/IntelliDrive/ApplUI/Pages/CreativePages/CustomReportCreativeDetail.aspx?App=23&amp;ReportView=4&amp;Qid=1711279&amp;Row=17750&amp;Col=1","No Title Assigned - #15277059128")</f>
        <v/>
      </c>
      <c r="B17758" s="0" t="s">
        <v>23537</v>
      </c>
      <c r="E17758" s="0" t="inlineStr">
        <is>
          <t xml:space="preserve">Mazda</t>
        </is>
      </c>
      <c r="F17758" s="0" t="inlineStr">
        <is>
          <t xml:space="preserve">Mazda</t>
        </is>
      </c>
      <c r="G17758" s="0" t="s">
        <v>171</v>
      </c>
      <c r="H17758" s="5">
        <v>4348.332300</v>
      </c>
    </row>
    <row r="17759" spans="1:9">
      <c r="A17759" s="22" t="str">
        <f>HYPERLINK("https://app.vivvix.com/360/KMI/IntelliDrive/ApplUI/Pages/CreativePages/CustomReportCreativeDetail.aspx?App=23&amp;ReportView=4&amp;Qid=1711279&amp;Row=17751&amp;Col=1","No Title Assigned - #15277059153")</f>
        <v/>
      </c>
      <c r="B17759" s="0" t="s">
        <v>23538</v>
      </c>
      <c r="C17759" s="0" t="s">
        <v>23539</v>
      </c>
      <c r="D17759" s="0" t="s">
        <v>23539</v>
      </c>
      <c r="E17759" s="0" t="inlineStr">
        <is>
          <t xml:space="preserve">Mazda</t>
        </is>
      </c>
      <c r="F17759" s="0" t="s">
        <v>56</v>
      </c>
      <c r="G17759" s="0" t="s">
        <v>57</v>
      </c>
      <c r="H17759" s="5">
        <v>718.830300</v>
      </c>
    </row>
    <row r="17760" spans="1:9">
      <c r="A17760" s="22" t="str">
        <f>HYPERLINK("https://app.vivvix.com/360/KMI/IntelliDrive/ApplUI/Pages/CreativePages/CustomReportCreativeDetail.aspx?App=23&amp;ReportView=4&amp;Qid=1711279&amp;Row=17752&amp;Col=1","No Title Assigned - #15277059217")</f>
        <v/>
      </c>
      <c r="B17760" s="0" t="s">
        <v>23540</v>
      </c>
      <c r="E17760" s="0" t="inlineStr">
        <is>
          <t xml:space="preserve">Mazda</t>
        </is>
      </c>
      <c r="F17760" s="0" t="inlineStr">
        <is>
          <t xml:space="preserve">Mazda</t>
        </is>
      </c>
      <c r="G17760" s="0" t="s">
        <v>171</v>
      </c>
      <c r="H17760" s="5">
        <v>840.073000</v>
      </c>
    </row>
    <row r="17761" spans="1:9">
      <c r="A17761" s="22" t="str">
        <f>HYPERLINK("https://app.vivvix.com/360/KMI/IntelliDrive/ApplUI/Pages/CreativePages/CustomReportCreativeDetail.aspx?App=23&amp;ReportView=4&amp;Qid=1711279&amp;Row=17753&amp;Col=1","No Title Assigned - #15277059217")</f>
        <v/>
      </c>
      <c r="B17761" s="0" t="s">
        <v>23540</v>
      </c>
      <c r="E17761" s="0" t="inlineStr">
        <is>
          <t xml:space="preserve">Mazda</t>
        </is>
      </c>
      <c r="F17761" s="0" t="inlineStr">
        <is>
          <t xml:space="preserve">Mazda</t>
        </is>
      </c>
      <c r="G17761" s="0" t="s">
        <v>171</v>
      </c>
      <c r="H17761" s="5">
        <v>1249.383000</v>
      </c>
    </row>
    <row r="17762" spans="1:9">
      <c r="A17762" s="22" t="str">
        <f>HYPERLINK("https://app.vivvix.com/360/KMI/IntelliDrive/ApplUI/Pages/CreativePages/CustomReportCreativeDetail.aspx?App=23&amp;ReportView=4&amp;Qid=1711279&amp;Row=17754&amp;Col=1","No Title Assigned - #15277060025")</f>
        <v/>
      </c>
      <c r="B17762" s="0" t="s">
        <v>23541</v>
      </c>
      <c r="C17762" s="0" t="s">
        <v>23542</v>
      </c>
      <c r="D17762" s="0" t="s">
        <v>23542</v>
      </c>
      <c r="E17762" s="0" t="inlineStr">
        <is>
          <t xml:space="preserve">Mazda</t>
        </is>
      </c>
      <c r="F17762" s="0" t="s">
        <v>13</v>
      </c>
      <c r="G17762" s="0" t="s">
        <v>49</v>
      </c>
      <c r="H17762" s="5">
        <v>7.145600</v>
      </c>
    </row>
    <row r="17763" spans="1:9">
      <c r="A17763" s="22" t="str">
        <f>HYPERLINK("https://app.vivvix.com/360/KMI/IntelliDrive/ApplUI/Pages/CreativePages/CustomReportCreativeDetail.aspx?App=23&amp;ReportView=4&amp;Qid=1711279&amp;Row=17755&amp;Col=1","No Title Assigned - #15277060352")</f>
        <v/>
      </c>
      <c r="B17763" s="0" t="s">
        <v>23543</v>
      </c>
      <c r="E17763" s="0" t="inlineStr">
        <is>
          <t xml:space="preserve">Mazda</t>
        </is>
      </c>
      <c r="F17763" s="0" t="inlineStr">
        <is>
          <t xml:space="preserve">Mazda</t>
        </is>
      </c>
      <c r="G17763" s="0" t="s">
        <v>171</v>
      </c>
      <c r="H17763" s="5">
        <v>5691.350800</v>
      </c>
    </row>
    <row r="17764" spans="1:9">
      <c r="A17764" s="22" t="str">
        <f>HYPERLINK("https://app.vivvix.com/360/KMI/IntelliDrive/ApplUI/Pages/CreativePages/CustomReportCreativeDetail.aspx?App=23&amp;ReportView=4&amp;Qid=1711279&amp;Row=17756&amp;Col=1","No Title Assigned - #15277060432")</f>
        <v/>
      </c>
      <c r="B17764" s="0" t="s">
        <v>23544</v>
      </c>
      <c r="E17764" s="0" t="inlineStr">
        <is>
          <t xml:space="preserve">Mazda</t>
        </is>
      </c>
      <c r="F17764" s="0" t="inlineStr">
        <is>
          <t xml:space="preserve">Mazda</t>
        </is>
      </c>
      <c r="G17764" s="0" t="s">
        <v>171</v>
      </c>
      <c r="H17764" s="5">
        <v>47.321600</v>
      </c>
    </row>
    <row r="17765" spans="1:9">
      <c r="A17765" s="22" t="str">
        <f>HYPERLINK("https://app.vivvix.com/360/KMI/IntelliDrive/ApplUI/Pages/CreativePages/CustomReportCreativeDetail.aspx?App=23&amp;ReportView=4&amp;Qid=1711279&amp;Row=17757&amp;Col=1","No Title Assigned - #15277063526")</f>
        <v/>
      </c>
      <c r="B17765" s="0" t="s">
        <v>23545</v>
      </c>
      <c r="E17765" s="0" t="inlineStr">
        <is>
          <t xml:space="preserve">Mazda</t>
        </is>
      </c>
      <c r="F17765" s="0" t="inlineStr">
        <is>
          <t xml:space="preserve">Mazda</t>
        </is>
      </c>
      <c r="G17765" s="0" t="s">
        <v>171</v>
      </c>
      <c r="H17765" s="5">
        <v>62923.492200</v>
      </c>
    </row>
    <row r="17766" spans="1:9">
      <c r="A17766" s="22" t="str">
        <f>HYPERLINK("https://app.vivvix.com/360/KMI/IntelliDrive/ApplUI/Pages/CreativePages/CustomReportCreativeDetail.aspx?App=23&amp;ReportView=4&amp;Qid=1711279&amp;Row=17758&amp;Col=1","No Title Assigned - #15277065011")</f>
        <v/>
      </c>
      <c r="B17766" s="0" t="s">
        <v>23546</v>
      </c>
      <c r="E17766" s="0" t="inlineStr">
        <is>
          <t xml:space="preserve">Mazda</t>
        </is>
      </c>
      <c r="F17766" s="0" t="inlineStr">
        <is>
          <t xml:space="preserve">Mazda</t>
        </is>
      </c>
      <c r="G17766" s="0" t="s">
        <v>171</v>
      </c>
      <c r="H17766" s="5">
        <v>1713.201100</v>
      </c>
    </row>
    <row r="17767" spans="1:9">
      <c r="A17767" s="22" t="str">
        <f>HYPERLINK("https://app.vivvix.com/360/KMI/IntelliDrive/ApplUI/Pages/CreativePages/CustomReportCreativeDetail.aspx?App=23&amp;ReportView=4&amp;Qid=1711279&amp;Row=17759&amp;Col=1","No Title Assigned - #15277065100")</f>
        <v/>
      </c>
      <c r="B17767" s="0" t="s">
        <v>23547</v>
      </c>
      <c r="E17767" s="0" t="inlineStr">
        <is>
          <t xml:space="preserve">Mazda</t>
        </is>
      </c>
      <c r="F17767" s="0" t="inlineStr">
        <is>
          <t xml:space="preserve">Mazda</t>
        </is>
      </c>
      <c r="G17767" s="0" t="s">
        <v>171</v>
      </c>
      <c r="H17767" s="5">
        <v>67.365800</v>
      </c>
    </row>
    <row r="17768" spans="1:9">
      <c r="A17768" s="22" t="str">
        <f>HYPERLINK("https://app.vivvix.com/360/KMI/IntelliDrive/ApplUI/Pages/CreativePages/CustomReportCreativeDetail.aspx?App=23&amp;ReportView=4&amp;Qid=1711279&amp;Row=17760&amp;Col=1","No Title Assigned - #15277065297")</f>
        <v/>
      </c>
      <c r="B17768" s="0" t="s">
        <v>23548</v>
      </c>
      <c r="E17768" s="0" t="inlineStr">
        <is>
          <t xml:space="preserve">Mazda</t>
        </is>
      </c>
      <c r="F17768" s="0" t="inlineStr">
        <is>
          <t xml:space="preserve">Mazda</t>
        </is>
      </c>
      <c r="G17768" s="0" t="s">
        <v>171</v>
      </c>
      <c r="H17768" s="5">
        <v>1159.625000</v>
      </c>
    </row>
    <row r="17769" spans="1:9">
      <c r="A17769" s="22" t="str">
        <f>HYPERLINK("https://app.vivvix.com/360/KMI/IntelliDrive/ApplUI/Pages/CreativePages/CustomReportCreativeDetail.aspx?App=23&amp;ReportView=4&amp;Qid=1711279&amp;Row=17761&amp;Col=1","No Title Assigned - #15277066110")</f>
        <v/>
      </c>
      <c r="B17769" s="0" t="s">
        <v>23549</v>
      </c>
      <c r="E17769" s="0" t="inlineStr">
        <is>
          <t xml:space="preserve">Mazda</t>
        </is>
      </c>
      <c r="F17769" s="0" t="inlineStr">
        <is>
          <t xml:space="preserve">Mazda</t>
        </is>
      </c>
      <c r="G17769" s="0" t="s">
        <v>171</v>
      </c>
      <c r="H17769" s="5">
        <v>201.869700</v>
      </c>
    </row>
    <row r="17770" spans="1:9">
      <c r="A17770" s="22" t="str">
        <f>HYPERLINK("https://app.vivvix.com/360/KMI/IntelliDrive/ApplUI/Pages/CreativePages/CustomReportCreativeDetail.aspx?App=23&amp;ReportView=4&amp;Qid=1711279&amp;Row=17762&amp;Col=1","No Title Assigned - #15277066181")</f>
        <v/>
      </c>
      <c r="B17770" s="0" t="s">
        <v>23550</v>
      </c>
      <c r="E17770" s="0" t="inlineStr">
        <is>
          <t xml:space="preserve">Mazda</t>
        </is>
      </c>
      <c r="F17770" s="0" t="inlineStr">
        <is>
          <t xml:space="preserve">Mazda</t>
        </is>
      </c>
      <c r="G17770" s="0" t="s">
        <v>171</v>
      </c>
      <c r="H17770" s="5">
        <v>112.766700</v>
      </c>
    </row>
    <row r="17771" spans="1:9">
      <c r="A17771" s="22" t="str">
        <f>HYPERLINK("https://app.vivvix.com/360/KMI/IntelliDrive/ApplUI/Pages/CreativePages/CustomReportCreativeDetail.aspx?App=23&amp;ReportView=4&amp;Qid=1711279&amp;Row=17763&amp;Col=1","No Title Assigned - #15277066560")</f>
        <v/>
      </c>
      <c r="B17771" s="0" t="s">
        <v>23551</v>
      </c>
      <c r="E17771" s="0" t="inlineStr">
        <is>
          <t xml:space="preserve">Mazda</t>
        </is>
      </c>
      <c r="F17771" s="0" t="inlineStr">
        <is>
          <t xml:space="preserve">Mazda</t>
        </is>
      </c>
      <c r="G17771" s="0" t="s">
        <v>171</v>
      </c>
      <c r="H17771" s="5">
        <v>415.439600</v>
      </c>
    </row>
    <row r="17772" spans="1:9">
      <c r="A17772" s="22" t="str">
        <f>HYPERLINK("https://app.vivvix.com/360/KMI/IntelliDrive/ApplUI/Pages/CreativePages/CustomReportCreativeDetail.aspx?App=23&amp;ReportView=4&amp;Qid=1711279&amp;Row=17764&amp;Col=1","No Title Assigned - #15277066560")</f>
        <v/>
      </c>
      <c r="B17772" s="0" t="s">
        <v>23551</v>
      </c>
      <c r="E17772" s="0" t="inlineStr">
        <is>
          <t xml:space="preserve">Mazda</t>
        </is>
      </c>
      <c r="F17772" s="0" t="inlineStr">
        <is>
          <t xml:space="preserve">Mazda</t>
        </is>
      </c>
      <c r="G17772" s="0" t="s">
        <v>171</v>
      </c>
      <c r="H17772" s="5">
        <v>2447.180100</v>
      </c>
    </row>
    <row r="17773" spans="1:9">
      <c r="A17773" s="22" t="str">
        <f>HYPERLINK("https://app.vivvix.com/360/KMI/IntelliDrive/ApplUI/Pages/CreativePages/CustomReportCreativeDetail.aspx?App=23&amp;ReportView=4&amp;Qid=1711279&amp;Row=17765&amp;Col=1","No Title Assigned - #15277067296")</f>
        <v/>
      </c>
      <c r="B17773" s="0" t="s">
        <v>23552</v>
      </c>
      <c r="E17773" s="0" t="inlineStr">
        <is>
          <t xml:space="preserve">Mazda</t>
        </is>
      </c>
      <c r="F17773" s="0" t="inlineStr">
        <is>
          <t xml:space="preserve">Mazda</t>
        </is>
      </c>
      <c r="G17773" s="0" t="s">
        <v>171</v>
      </c>
      <c r="H17773" s="5">
        <v>491.682200</v>
      </c>
    </row>
    <row r="17774" spans="1:9">
      <c r="A17774" s="22" t="str">
        <f>HYPERLINK("https://app.vivvix.com/360/KMI/IntelliDrive/ApplUI/Pages/CreativePages/CustomReportCreativeDetail.aspx?App=23&amp;ReportView=4&amp;Qid=1711279&amp;Row=17766&amp;Col=1","No Title Assigned - #15277067668")</f>
        <v/>
      </c>
      <c r="B17774" s="0" t="s">
        <v>23553</v>
      </c>
      <c r="C17774" s="0" t="s">
        <v>23554</v>
      </c>
      <c r="D17774" s="0" t="s">
        <v>6183</v>
      </c>
      <c r="E17774" s="0" t="inlineStr">
        <is>
          <t xml:space="preserve">Mazda</t>
        </is>
      </c>
      <c r="F17774" s="0" t="s">
        <v>13</v>
      </c>
      <c r="G17774" s="0" t="s">
        <v>49</v>
      </c>
      <c r="H17774" s="5">
        <v>399.344200</v>
      </c>
    </row>
    <row r="17775" spans="1:9">
      <c r="A17775" s="22" t="str">
        <f>HYPERLINK("https://app.vivvix.com/360/KMI/IntelliDrive/ApplUI/Pages/CreativePages/CustomReportCreativeDetail.aspx?App=23&amp;ReportView=4&amp;Qid=1711279&amp;Row=17767&amp;Col=1","No Title Assigned - #15277067849")</f>
        <v/>
      </c>
      <c r="B17775" s="0" t="s">
        <v>23555</v>
      </c>
      <c r="E17775" s="0" t="inlineStr">
        <is>
          <t xml:space="preserve">Mazda</t>
        </is>
      </c>
      <c r="F17775" s="0" t="inlineStr">
        <is>
          <t xml:space="preserve">Mazda</t>
        </is>
      </c>
      <c r="G17775" s="0" t="s">
        <v>171</v>
      </c>
      <c r="H17775" s="5">
        <v>5560.760400</v>
      </c>
    </row>
    <row r="17776" spans="1:9">
      <c r="A17776" s="22" t="str">
        <f>HYPERLINK("https://app.vivvix.com/360/KMI/IntelliDrive/ApplUI/Pages/CreativePages/CustomReportCreativeDetail.aspx?App=23&amp;ReportView=4&amp;Qid=1711279&amp;Row=17768&amp;Col=1","No Title Assigned - #15277067994")</f>
        <v/>
      </c>
      <c r="B17776" s="0" t="s">
        <v>23556</v>
      </c>
      <c r="E17776" s="0" t="inlineStr">
        <is>
          <t xml:space="preserve">Mazda</t>
        </is>
      </c>
      <c r="F17776" s="0" t="inlineStr">
        <is>
          <t xml:space="preserve">Mazda</t>
        </is>
      </c>
      <c r="G17776" s="0" t="s">
        <v>171</v>
      </c>
      <c r="H17776" s="5">
        <v>685.646200</v>
      </c>
    </row>
    <row r="17777" spans="1:9">
      <c r="A17777" s="22" t="str">
        <f>HYPERLINK("https://app.vivvix.com/360/KMI/IntelliDrive/ApplUI/Pages/CreativePages/CustomReportCreativeDetail.aspx?App=23&amp;ReportView=4&amp;Qid=1711279&amp;Row=17769&amp;Col=1","No Title Assigned - #15277068045")</f>
        <v/>
      </c>
      <c r="B17777" s="0" t="s">
        <v>23557</v>
      </c>
      <c r="E17777" s="0" t="inlineStr">
        <is>
          <t xml:space="preserve">Mazda</t>
        </is>
      </c>
      <c r="F17777" s="0" t="inlineStr">
        <is>
          <t xml:space="preserve">Mazda</t>
        </is>
      </c>
      <c r="G17777" s="0" t="s">
        <v>171</v>
      </c>
      <c r="H17777" s="5">
        <v>1012.529700</v>
      </c>
    </row>
    <row r="17778" spans="1:9">
      <c r="A17778" s="22" t="str">
        <f>HYPERLINK("https://app.vivvix.com/360/KMI/IntelliDrive/ApplUI/Pages/CreativePages/CustomReportCreativeDetail.aspx?App=23&amp;ReportView=4&amp;Qid=1711279&amp;Row=17770&amp;Col=1","No Title Assigned - #15277068252")</f>
        <v/>
      </c>
      <c r="B17778" s="0" t="s">
        <v>23558</v>
      </c>
      <c r="E17778" s="0" t="inlineStr">
        <is>
          <t xml:space="preserve">Mazda</t>
        </is>
      </c>
      <c r="F17778" s="0" t="inlineStr">
        <is>
          <t xml:space="preserve">Mazda</t>
        </is>
      </c>
      <c r="G17778" s="0" t="s">
        <v>171</v>
      </c>
      <c r="H17778" s="5">
        <v>100.696200</v>
      </c>
    </row>
    <row r="17779" spans="1:9">
      <c r="A17779" s="22" t="str">
        <f>HYPERLINK("https://app.vivvix.com/360/KMI/IntelliDrive/ApplUI/Pages/CreativePages/CustomReportCreativeDetail.aspx?App=23&amp;ReportView=4&amp;Qid=1711279&amp;Row=17771&amp;Col=1","No Title Assigned - #15277068580")</f>
        <v/>
      </c>
      <c r="B17779" s="0" t="s">
        <v>23559</v>
      </c>
      <c r="C17779" s="0" t="s">
        <v>23560</v>
      </c>
      <c r="D17779" s="0" t="s">
        <v>23560</v>
      </c>
      <c r="E17779" s="0" t="inlineStr">
        <is>
          <t xml:space="preserve">Mazda</t>
        </is>
      </c>
      <c r="F17779" s="0" t="inlineStr">
        <is>
          <t xml:space="preserve">Mazda</t>
        </is>
      </c>
      <c r="G17779" s="0" t="s">
        <v>171</v>
      </c>
      <c r="H17779" s="5">
        <v>64.035900</v>
      </c>
    </row>
    <row r="17780" spans="1:9">
      <c r="A17780" s="22" t="str">
        <f>HYPERLINK("https://app.vivvix.com/360/KMI/IntelliDrive/ApplUI/Pages/CreativePages/CustomReportCreativeDetail.aspx?App=23&amp;ReportView=4&amp;Qid=1711279&amp;Row=17772&amp;Col=1","No Title Assigned - #15277068786")</f>
        <v/>
      </c>
      <c r="B17780" s="0" t="s">
        <v>23561</v>
      </c>
      <c r="E17780" s="0" t="inlineStr">
        <is>
          <t xml:space="preserve">Mazda</t>
        </is>
      </c>
      <c r="F17780" s="0" t="inlineStr">
        <is>
          <t xml:space="preserve">Mazda</t>
        </is>
      </c>
      <c r="G17780" s="0" t="s">
        <v>171</v>
      </c>
      <c r="H17780" s="5">
        <v>4995.928100</v>
      </c>
    </row>
    <row r="17781" spans="1:9">
      <c r="A17781" s="22" t="str">
        <f>HYPERLINK("https://app.vivvix.com/360/KMI/IntelliDrive/ApplUI/Pages/CreativePages/CustomReportCreativeDetail.aspx?App=23&amp;ReportView=4&amp;Qid=1711279&amp;Row=17773&amp;Col=1","No Title Assigned - #15277068786")</f>
        <v/>
      </c>
      <c r="B17781" s="0" t="s">
        <v>23561</v>
      </c>
      <c r="E17781" s="0" t="inlineStr">
        <is>
          <t xml:space="preserve">Mazda</t>
        </is>
      </c>
      <c r="F17781" s="0" t="inlineStr">
        <is>
          <t xml:space="preserve">Mazda</t>
        </is>
      </c>
      <c r="G17781" s="0" t="s">
        <v>171</v>
      </c>
      <c r="H17781" s="5">
        <v>275.045000</v>
      </c>
    </row>
    <row r="17782" spans="1:9">
      <c r="A17782" s="22" t="str">
        <f>HYPERLINK("https://app.vivvix.com/360/KMI/IntelliDrive/ApplUI/Pages/CreativePages/CustomReportCreativeDetail.aspx?App=23&amp;ReportView=4&amp;Qid=1711279&amp;Row=17774&amp;Col=1","No Title Assigned - #15277068812")</f>
        <v/>
      </c>
      <c r="B17782" s="0" t="s">
        <v>23562</v>
      </c>
      <c r="E17782" s="0" t="inlineStr">
        <is>
          <t xml:space="preserve">Mazda</t>
        </is>
      </c>
      <c r="F17782" s="0" t="inlineStr">
        <is>
          <t xml:space="preserve">Mazda</t>
        </is>
      </c>
      <c r="G17782" s="0" t="s">
        <v>171</v>
      </c>
      <c r="H17782" s="5">
        <v>190.834500</v>
      </c>
    </row>
    <row r="17783" spans="1:9">
      <c r="A17783" s="22" t="str">
        <f>HYPERLINK("https://app.vivvix.com/360/KMI/IntelliDrive/ApplUI/Pages/CreativePages/CustomReportCreativeDetail.aspx?App=23&amp;ReportView=4&amp;Qid=1711279&amp;Row=17775&amp;Col=1","No Title Assigned - #15277068958")</f>
        <v/>
      </c>
      <c r="B17783" s="0" t="s">
        <v>23563</v>
      </c>
      <c r="E17783" s="0" t="inlineStr">
        <is>
          <t xml:space="preserve">Mazda</t>
        </is>
      </c>
      <c r="F17783" s="0" t="inlineStr">
        <is>
          <t xml:space="preserve">Mazda</t>
        </is>
      </c>
      <c r="G17783" s="0" t="s">
        <v>171</v>
      </c>
      <c r="H17783" s="5">
        <v>60.617200</v>
      </c>
    </row>
    <row r="17784" spans="1:9">
      <c r="A17784" s="22" t="str">
        <f>HYPERLINK("https://app.vivvix.com/360/KMI/IntelliDrive/ApplUI/Pages/CreativePages/CustomReportCreativeDetail.aspx?App=23&amp;ReportView=4&amp;Qid=1711279&amp;Row=17776&amp;Col=1","No Title Assigned - #15277069091")</f>
        <v/>
      </c>
      <c r="B17784" s="0" t="s">
        <v>23564</v>
      </c>
      <c r="C17784" s="0" t="s">
        <v>23565</v>
      </c>
      <c r="D17784" s="0" t="s">
        <v>23565</v>
      </c>
      <c r="E17784" s="0" t="inlineStr">
        <is>
          <t xml:space="preserve">Mazda</t>
        </is>
      </c>
      <c r="F17784" s="0" t="inlineStr">
        <is>
          <t xml:space="preserve">Mazda</t>
        </is>
      </c>
      <c r="G17784" s="0" t="s">
        <v>171</v>
      </c>
      <c r="H17784" s="5">
        <v>1682.702800</v>
      </c>
    </row>
    <row r="17785" spans="1:9">
      <c r="A17785" s="22" t="str">
        <f>HYPERLINK("https://app.vivvix.com/360/KMI/IntelliDrive/ApplUI/Pages/CreativePages/CustomReportCreativeDetail.aspx?App=23&amp;ReportView=4&amp;Qid=1711279&amp;Row=17777&amp;Col=1","No Title Assigned - #15277069306")</f>
        <v/>
      </c>
      <c r="B17785" s="0" t="s">
        <v>23566</v>
      </c>
      <c r="E17785" s="0" t="inlineStr">
        <is>
          <t xml:space="preserve">Mazda</t>
        </is>
      </c>
      <c r="F17785" s="0" t="inlineStr">
        <is>
          <t xml:space="preserve">Mazda</t>
        </is>
      </c>
      <c r="G17785" s="0" t="s">
        <v>171</v>
      </c>
      <c r="H17785" s="5">
        <v>0.796900</v>
      </c>
    </row>
    <row r="17786" spans="1:9">
      <c r="A17786" s="22" t="str">
        <f>HYPERLINK("https://app.vivvix.com/360/KMI/IntelliDrive/ApplUI/Pages/CreativePages/CustomReportCreativeDetail.aspx?App=23&amp;ReportView=4&amp;Qid=1711279&amp;Row=17778&amp;Col=1","No Title Assigned - #15277069839")</f>
        <v/>
      </c>
      <c r="B17786" s="0" t="s">
        <v>23567</v>
      </c>
      <c r="E17786" s="0" t="inlineStr">
        <is>
          <t xml:space="preserve">Mazda</t>
        </is>
      </c>
      <c r="F17786" s="0" t="inlineStr">
        <is>
          <t xml:space="preserve">Mazda</t>
        </is>
      </c>
      <c r="G17786" s="0" t="s">
        <v>171</v>
      </c>
      <c r="H17786" s="5">
        <v>40.534800</v>
      </c>
    </row>
    <row r="17787" spans="1:9">
      <c r="A17787" s="22" t="str">
        <f>HYPERLINK("https://app.vivvix.com/360/KMI/IntelliDrive/ApplUI/Pages/CreativePages/CustomReportCreativeDetail.aspx?App=23&amp;ReportView=4&amp;Qid=1711279&amp;Row=17779&amp;Col=1","No Title Assigned - #15277069862")</f>
        <v/>
      </c>
      <c r="B17787" s="0" t="s">
        <v>23568</v>
      </c>
      <c r="E17787" s="0" t="inlineStr">
        <is>
          <t xml:space="preserve">Mazda</t>
        </is>
      </c>
      <c r="F17787" s="0" t="inlineStr">
        <is>
          <t xml:space="preserve">Mazda</t>
        </is>
      </c>
      <c r="G17787" s="0" t="s">
        <v>171</v>
      </c>
      <c r="H17787" s="5">
        <v>16.417000</v>
      </c>
    </row>
    <row r="17788" spans="1:9">
      <c r="A17788" s="22" t="str">
        <f>HYPERLINK("https://app.vivvix.com/360/KMI/IntelliDrive/ApplUI/Pages/CreativePages/CustomReportCreativeDetail.aspx?App=23&amp;ReportView=4&amp;Qid=1711279&amp;Row=17780&amp;Col=1","No Title Assigned - #15277070378")</f>
        <v/>
      </c>
      <c r="B17788" s="0" t="s">
        <v>23569</v>
      </c>
      <c r="E17788" s="0" t="inlineStr">
        <is>
          <t xml:space="preserve">Mazda</t>
        </is>
      </c>
      <c r="F17788" s="0" t="inlineStr">
        <is>
          <t xml:space="preserve">Mazda</t>
        </is>
      </c>
      <c r="G17788" s="0" t="s">
        <v>171</v>
      </c>
      <c r="H17788" s="5">
        <v>90.915100</v>
      </c>
    </row>
    <row r="17789" spans="1:9">
      <c r="A17789" s="22" t="str">
        <f>HYPERLINK("https://app.vivvix.com/360/KMI/IntelliDrive/ApplUI/Pages/CreativePages/CustomReportCreativeDetail.aspx?App=23&amp;ReportView=4&amp;Qid=1711279&amp;Row=17781&amp;Col=1","No Title Assigned - #15277070572")</f>
        <v/>
      </c>
      <c r="B17789" s="0" t="s">
        <v>23570</v>
      </c>
      <c r="E17789" s="0" t="inlineStr">
        <is>
          <t xml:space="preserve">Mazda</t>
        </is>
      </c>
      <c r="F17789" s="0" t="inlineStr">
        <is>
          <t xml:space="preserve">Mazda</t>
        </is>
      </c>
      <c r="G17789" s="0" t="s">
        <v>171</v>
      </c>
      <c r="H17789" s="5">
        <v>735.937700</v>
      </c>
    </row>
    <row r="17790" spans="1:9">
      <c r="A17790" s="22" t="str">
        <f>HYPERLINK("https://app.vivvix.com/360/KMI/IntelliDrive/ApplUI/Pages/CreativePages/CustomReportCreativeDetail.aspx?App=23&amp;ReportView=4&amp;Qid=1711279&amp;Row=17782&amp;Col=1","No Title Assigned - #15277070572")</f>
        <v/>
      </c>
      <c r="B17790" s="0" t="s">
        <v>23570</v>
      </c>
      <c r="E17790" s="0" t="inlineStr">
        <is>
          <t xml:space="preserve">Mazda</t>
        </is>
      </c>
      <c r="F17790" s="0" t="inlineStr">
        <is>
          <t xml:space="preserve">Mazda</t>
        </is>
      </c>
      <c r="G17790" s="0" t="s">
        <v>171</v>
      </c>
      <c r="H17790" s="5">
        <v>306.339700</v>
      </c>
    </row>
    <row r="17791" spans="1:9">
      <c r="A17791" s="22" t="str">
        <f>HYPERLINK("https://app.vivvix.com/360/KMI/IntelliDrive/ApplUI/Pages/CreativePages/CustomReportCreativeDetail.aspx?App=23&amp;ReportView=4&amp;Qid=1711279&amp;Row=17783&amp;Col=1","No Title Assigned - #15277070721")</f>
        <v/>
      </c>
      <c r="B17791" s="0" t="s">
        <v>23571</v>
      </c>
      <c r="E17791" s="0" t="inlineStr">
        <is>
          <t xml:space="preserve">Mazda</t>
        </is>
      </c>
      <c r="F17791" s="0" t="inlineStr">
        <is>
          <t xml:space="preserve">Mazda</t>
        </is>
      </c>
      <c r="G17791" s="0" t="s">
        <v>171</v>
      </c>
      <c r="H17791" s="5">
        <v>22.563000</v>
      </c>
    </row>
    <row r="17792" spans="1:9">
      <c r="A17792" s="22" t="str">
        <f>HYPERLINK("https://app.vivvix.com/360/KMI/IntelliDrive/ApplUI/Pages/CreativePages/CustomReportCreativeDetail.aspx?App=23&amp;ReportView=4&amp;Qid=1711279&amp;Row=17784&amp;Col=1","No Title Assigned - #15277071627")</f>
        <v/>
      </c>
      <c r="B17792" s="0" t="s">
        <v>23572</v>
      </c>
      <c r="E17792" s="0" t="inlineStr">
        <is>
          <t xml:space="preserve">Mazda</t>
        </is>
      </c>
      <c r="F17792" s="0" t="inlineStr">
        <is>
          <t xml:space="preserve">Mazda</t>
        </is>
      </c>
      <c r="G17792" s="0" t="s">
        <v>171</v>
      </c>
      <c r="H17792" s="5">
        <v>62.406600</v>
      </c>
    </row>
    <row r="17793" spans="1:9">
      <c r="A17793" s="22" t="str">
        <f>HYPERLINK("https://app.vivvix.com/360/KMI/IntelliDrive/ApplUI/Pages/CreativePages/CustomReportCreativeDetail.aspx?App=23&amp;ReportView=4&amp;Qid=1711279&amp;Row=17785&amp;Col=1","No Title Assigned - #15277071785")</f>
        <v/>
      </c>
      <c r="B17793" s="0" t="s">
        <v>23573</v>
      </c>
      <c r="E17793" s="0" t="inlineStr">
        <is>
          <t xml:space="preserve">Mazda</t>
        </is>
      </c>
      <c r="F17793" s="0" t="inlineStr">
        <is>
          <t xml:space="preserve">Mazda</t>
        </is>
      </c>
      <c r="G17793" s="0" t="s">
        <v>171</v>
      </c>
      <c r="H17793" s="5">
        <v>732.772400</v>
      </c>
    </row>
    <row r="17794" spans="1:9">
      <c r="A17794" s="22" t="str">
        <f>HYPERLINK("https://app.vivvix.com/360/KMI/IntelliDrive/ApplUI/Pages/CreativePages/CustomReportCreativeDetail.aspx?App=23&amp;ReportView=4&amp;Qid=1711279&amp;Row=17786&amp;Col=1","No Title Assigned - #15277072263")</f>
        <v/>
      </c>
      <c r="B17794" s="0" t="s">
        <v>23574</v>
      </c>
      <c r="C17794" s="0" t="s">
        <v>23575</v>
      </c>
      <c r="D17794" s="0" t="s">
        <v>23575</v>
      </c>
      <c r="E17794" s="0" t="inlineStr">
        <is>
          <t xml:space="preserve">Mazda</t>
        </is>
      </c>
      <c r="F17794" s="0" t="s">
        <v>21</v>
      </c>
      <c r="G17794" s="0" t="s">
        <v>22</v>
      </c>
    </row>
    <row r="17795" spans="1:9">
      <c r="A17795" s="22" t="str">
        <f>HYPERLINK("https://app.vivvix.com/360/KMI/IntelliDrive/ApplUI/Pages/CreativePages/CustomReportCreativeDetail.aspx?App=23&amp;ReportView=4&amp;Qid=1711279&amp;Row=17787&amp;Col=1","No Title Assigned - #15277072540")</f>
        <v/>
      </c>
      <c r="B17795" s="0" t="s">
        <v>23576</v>
      </c>
      <c r="E17795" s="0" t="inlineStr">
        <is>
          <t xml:space="preserve">Mazda</t>
        </is>
      </c>
      <c r="F17795" s="0" t="inlineStr">
        <is>
          <t xml:space="preserve">Mazda</t>
        </is>
      </c>
      <c r="G17795" s="0" t="s">
        <v>171</v>
      </c>
      <c r="H17795" s="5">
        <v>685.646200</v>
      </c>
    </row>
    <row r="17796" spans="1:9">
      <c r="A17796" s="22" t="str">
        <f>HYPERLINK("https://app.vivvix.com/360/KMI/IntelliDrive/ApplUI/Pages/CreativePages/CustomReportCreativeDetail.aspx?App=23&amp;ReportView=4&amp;Qid=1711279&amp;Row=17788&amp;Col=1","No Title Assigned - #15277073270")</f>
        <v/>
      </c>
      <c r="B17796" s="0" t="s">
        <v>23577</v>
      </c>
      <c r="E17796" s="0" t="inlineStr">
        <is>
          <t xml:space="preserve">Mazda</t>
        </is>
      </c>
      <c r="F17796" s="0" t="inlineStr">
        <is>
          <t xml:space="preserve">Mazda</t>
        </is>
      </c>
      <c r="G17796" s="0" t="s">
        <v>171</v>
      </c>
      <c r="H17796" s="5">
        <v>22.829700</v>
      </c>
    </row>
    <row r="17797" spans="1:9">
      <c r="A17797" s="22" t="str">
        <f>HYPERLINK("https://app.vivvix.com/360/KMI/IntelliDrive/ApplUI/Pages/CreativePages/CustomReportCreativeDetail.aspx?App=23&amp;ReportView=4&amp;Qid=1711279&amp;Row=17789&amp;Col=1","No Title Assigned - #15277073316")</f>
        <v/>
      </c>
      <c r="B17797" s="0" t="s">
        <v>23578</v>
      </c>
      <c r="E17797" s="0" t="inlineStr">
        <is>
          <t xml:space="preserve">Mazda</t>
        </is>
      </c>
      <c r="F17797" s="0" t="inlineStr">
        <is>
          <t xml:space="preserve">Mazda</t>
        </is>
      </c>
      <c r="G17797" s="0" t="s">
        <v>171</v>
      </c>
      <c r="H17797" s="5">
        <v>2311.320000</v>
      </c>
    </row>
    <row r="17798" spans="1:9">
      <c r="A17798" s="22" t="str">
        <f>HYPERLINK("https://app.vivvix.com/360/KMI/IntelliDrive/ApplUI/Pages/CreativePages/CustomReportCreativeDetail.aspx?App=23&amp;ReportView=4&amp;Qid=1711279&amp;Row=17790&amp;Col=1","No Title Assigned - #15277073694")</f>
        <v/>
      </c>
      <c r="B17798" s="0" t="s">
        <v>23579</v>
      </c>
      <c r="E17798" s="0" t="inlineStr">
        <is>
          <t xml:space="preserve">Mazda</t>
        </is>
      </c>
      <c r="F17798" s="0" t="inlineStr">
        <is>
          <t xml:space="preserve">Mazda</t>
        </is>
      </c>
      <c r="G17798" s="0" t="s">
        <v>171</v>
      </c>
      <c r="H17798" s="5">
        <v>412.014700</v>
      </c>
    </row>
    <row r="17799" spans="1:9">
      <c r="A17799" s="22" t="str">
        <f>HYPERLINK("https://app.vivvix.com/360/KMI/IntelliDrive/ApplUI/Pages/CreativePages/CustomReportCreativeDetail.aspx?App=23&amp;ReportView=4&amp;Qid=1711279&amp;Row=17791&amp;Col=1","No Title Assigned - #15277073805")</f>
        <v/>
      </c>
      <c r="B17799" s="0" t="s">
        <v>23580</v>
      </c>
      <c r="E17799" s="0" t="inlineStr">
        <is>
          <t xml:space="preserve">Mazda</t>
        </is>
      </c>
      <c r="F17799" s="0" t="inlineStr">
        <is>
          <t xml:space="preserve">Mazda</t>
        </is>
      </c>
      <c r="G17799" s="0" t="s">
        <v>171</v>
      </c>
      <c r="H17799" s="5">
        <v>231.165600</v>
      </c>
    </row>
    <row r="17800" spans="1:9">
      <c r="A17800" s="22" t="str">
        <f>HYPERLINK("https://app.vivvix.com/360/KMI/IntelliDrive/ApplUI/Pages/CreativePages/CustomReportCreativeDetail.aspx?App=23&amp;ReportView=4&amp;Qid=1711279&amp;Row=17792&amp;Col=1","No Title Assigned - #15277073812")</f>
        <v/>
      </c>
      <c r="B17800" s="0" t="s">
        <v>23581</v>
      </c>
      <c r="E17800" s="0" t="inlineStr">
        <is>
          <t xml:space="preserve">Mazda</t>
        </is>
      </c>
      <c r="F17800" s="0" t="inlineStr">
        <is>
          <t xml:space="preserve">Mazda</t>
        </is>
      </c>
      <c r="G17800" s="0" t="s">
        <v>171</v>
      </c>
      <c r="H17800" s="5">
        <v>69.204600</v>
      </c>
    </row>
    <row r="17801" spans="1:9">
      <c r="A17801" s="22" t="str">
        <f>HYPERLINK("https://app.vivvix.com/360/KMI/IntelliDrive/ApplUI/Pages/CreativePages/CustomReportCreativeDetail.aspx?App=23&amp;ReportView=4&amp;Qid=1711279&amp;Row=17793&amp;Col=1","No Title Assigned - #15277073862")</f>
        <v/>
      </c>
      <c r="B17801" s="0" t="s">
        <v>23582</v>
      </c>
      <c r="E17801" s="0" t="inlineStr">
        <is>
          <t xml:space="preserve">Mazda</t>
        </is>
      </c>
      <c r="F17801" s="0" t="inlineStr">
        <is>
          <t xml:space="preserve">Mazda</t>
        </is>
      </c>
      <c r="G17801" s="0" t="s">
        <v>171</v>
      </c>
      <c r="H17801" s="5">
        <v>917.195400</v>
      </c>
    </row>
    <row r="17802" spans="1:9">
      <c r="A17802" s="22" t="str">
        <f>HYPERLINK("https://app.vivvix.com/360/KMI/IntelliDrive/ApplUI/Pages/CreativePages/CustomReportCreativeDetail.aspx?App=23&amp;ReportView=4&amp;Qid=1711279&amp;Row=17794&amp;Col=1","No Title Assigned - #15277074047")</f>
        <v/>
      </c>
      <c r="B17802" s="0" t="s">
        <v>23583</v>
      </c>
      <c r="E17802" s="0" t="inlineStr">
        <is>
          <t xml:space="preserve">Mazda</t>
        </is>
      </c>
      <c r="F17802" s="0" t="inlineStr">
        <is>
          <t xml:space="preserve">Mazda</t>
        </is>
      </c>
      <c r="G17802" s="0" t="s">
        <v>171</v>
      </c>
      <c r="H17802" s="5">
        <v>93.611400</v>
      </c>
    </row>
    <row r="17803" spans="1:9">
      <c r="A17803" s="22" t="str">
        <f>HYPERLINK("https://app.vivvix.com/360/KMI/IntelliDrive/ApplUI/Pages/CreativePages/CustomReportCreativeDetail.aspx?App=23&amp;ReportView=4&amp;Qid=1711279&amp;Row=17795&amp;Col=1","No Title Assigned - #15277074189")</f>
        <v/>
      </c>
      <c r="B17803" s="0" t="s">
        <v>23584</v>
      </c>
      <c r="E17803" s="0" t="inlineStr">
        <is>
          <t xml:space="preserve">Mazda</t>
        </is>
      </c>
      <c r="F17803" s="0" t="inlineStr">
        <is>
          <t xml:space="preserve">Mazda</t>
        </is>
      </c>
      <c r="G17803" s="0" t="s">
        <v>171</v>
      </c>
      <c r="H17803" s="5">
        <v>808.115000</v>
      </c>
    </row>
    <row r="17804" spans="1:9">
      <c r="A17804" s="22" t="str">
        <f>HYPERLINK("https://app.vivvix.com/360/KMI/IntelliDrive/ApplUI/Pages/CreativePages/CustomReportCreativeDetail.aspx?App=23&amp;ReportView=4&amp;Qid=1711279&amp;Row=17796&amp;Col=1","No Title Assigned - #15277074189")</f>
        <v/>
      </c>
      <c r="B17804" s="0" t="s">
        <v>23584</v>
      </c>
      <c r="E17804" s="0" t="inlineStr">
        <is>
          <t xml:space="preserve">Mazda</t>
        </is>
      </c>
      <c r="F17804" s="0" t="inlineStr">
        <is>
          <t xml:space="preserve">Mazda</t>
        </is>
      </c>
      <c r="G17804" s="0" t="s">
        <v>171</v>
      </c>
      <c r="H17804" s="5">
        <v>22.829700</v>
      </c>
    </row>
    <row r="17805" spans="1:9">
      <c r="A17805" s="22" t="str">
        <f>HYPERLINK("https://app.vivvix.com/360/KMI/IntelliDrive/ApplUI/Pages/CreativePages/CustomReportCreativeDetail.aspx?App=23&amp;ReportView=4&amp;Qid=1711279&amp;Row=17797&amp;Col=1","No Title Assigned - #15277074192")</f>
        <v/>
      </c>
      <c r="B17805" s="0" t="s">
        <v>23585</v>
      </c>
      <c r="E17805" s="0" t="inlineStr">
        <is>
          <t xml:space="preserve">Mazda</t>
        </is>
      </c>
      <c r="F17805" s="0" t="inlineStr">
        <is>
          <t xml:space="preserve">Mazda</t>
        </is>
      </c>
      <c r="G17805" s="0" t="s">
        <v>171</v>
      </c>
      <c r="H17805" s="5">
        <v>56.242200</v>
      </c>
    </row>
    <row r="17806" spans="1:9">
      <c r="A17806" s="22" t="str">
        <f>HYPERLINK("https://app.vivvix.com/360/KMI/IntelliDrive/ApplUI/Pages/CreativePages/CustomReportCreativeDetail.aspx?App=23&amp;ReportView=4&amp;Qid=1711279&amp;Row=17798&amp;Col=1","No Title Assigned - #15277074495")</f>
        <v/>
      </c>
      <c r="B17806" s="0" t="s">
        <v>23586</v>
      </c>
      <c r="E17806" s="0" t="inlineStr">
        <is>
          <t xml:space="preserve">Mazda</t>
        </is>
      </c>
      <c r="F17806" s="0" t="inlineStr">
        <is>
          <t xml:space="preserve">Mazda</t>
        </is>
      </c>
      <c r="G17806" s="0" t="s">
        <v>171</v>
      </c>
      <c r="H17806" s="5">
        <v>18.127800</v>
      </c>
    </row>
    <row r="17807" spans="1:9">
      <c r="A17807" s="22" t="str">
        <f>HYPERLINK("https://app.vivvix.com/360/KMI/IntelliDrive/ApplUI/Pages/CreativePages/CustomReportCreativeDetail.aspx?App=23&amp;ReportView=4&amp;Qid=1711279&amp;Row=17799&amp;Col=1","No Title Assigned - #15277075088")</f>
        <v/>
      </c>
      <c r="B17807" s="0" t="s">
        <v>23587</v>
      </c>
      <c r="E17807" s="0" t="inlineStr">
        <is>
          <t xml:space="preserve">Mazda</t>
        </is>
      </c>
      <c r="F17807" s="0" t="inlineStr">
        <is>
          <t xml:space="preserve">Mazda</t>
        </is>
      </c>
      <c r="G17807" s="0" t="s">
        <v>171</v>
      </c>
      <c r="H17807" s="5">
        <v>2.605700</v>
      </c>
    </row>
    <row r="17808" spans="1:9">
      <c r="A17808" s="22" t="str">
        <f>HYPERLINK("https://app.vivvix.com/360/KMI/IntelliDrive/ApplUI/Pages/CreativePages/CustomReportCreativeDetail.aspx?App=23&amp;ReportView=4&amp;Qid=1711279&amp;Row=17800&amp;Col=1","No Title Assigned - #15277075394")</f>
        <v/>
      </c>
      <c r="B17808" s="0" t="s">
        <v>23588</v>
      </c>
      <c r="E17808" s="0" t="inlineStr">
        <is>
          <t xml:space="preserve">Mazda</t>
        </is>
      </c>
      <c r="F17808" s="0" t="inlineStr">
        <is>
          <t xml:space="preserve">Mazda</t>
        </is>
      </c>
      <c r="G17808" s="0" t="s">
        <v>171</v>
      </c>
      <c r="H17808" s="5">
        <v>60.617200</v>
      </c>
    </row>
    <row r="17809" spans="1:9">
      <c r="A17809" s="22" t="str">
        <f>HYPERLINK("https://app.vivvix.com/360/KMI/IntelliDrive/ApplUI/Pages/CreativePages/CustomReportCreativeDetail.aspx?App=23&amp;ReportView=4&amp;Qid=1711279&amp;Row=17801&amp;Col=1","No Title Assigned - #15277075508")</f>
        <v/>
      </c>
      <c r="B17809" s="0" t="s">
        <v>23589</v>
      </c>
      <c r="E17809" s="0" t="inlineStr">
        <is>
          <t xml:space="preserve">Mazda</t>
        </is>
      </c>
      <c r="F17809" s="0" t="inlineStr">
        <is>
          <t xml:space="preserve">Mazda</t>
        </is>
      </c>
      <c r="G17809" s="0" t="s">
        <v>171</v>
      </c>
      <c r="H17809" s="5">
        <v>105.518600</v>
      </c>
    </row>
    <row r="17810" spans="1:9">
      <c r="A17810" s="22" t="str">
        <f>HYPERLINK("https://app.vivvix.com/360/KMI/IntelliDrive/ApplUI/Pages/CreativePages/CustomReportCreativeDetail.aspx?App=23&amp;ReportView=4&amp;Qid=1711279&amp;Row=17802&amp;Col=1","No Title Assigned - #15277075679")</f>
        <v/>
      </c>
      <c r="B17810" s="0" t="s">
        <v>23590</v>
      </c>
      <c r="E17810" s="0" t="inlineStr">
        <is>
          <t xml:space="preserve">Mazda</t>
        </is>
      </c>
      <c r="F17810" s="0" t="inlineStr">
        <is>
          <t xml:space="preserve">Mazda</t>
        </is>
      </c>
      <c r="G17810" s="0" t="s">
        <v>171</v>
      </c>
      <c r="H17810" s="5">
        <v>1205.472700</v>
      </c>
    </row>
    <row r="17811" spans="1:9">
      <c r="A17811" s="22" t="str">
        <f>HYPERLINK("https://app.vivvix.com/360/KMI/IntelliDrive/ApplUI/Pages/CreativePages/CustomReportCreativeDetail.aspx?App=23&amp;ReportView=4&amp;Qid=1711279&amp;Row=17803&amp;Col=1","No Title Assigned - #15277075679")</f>
        <v/>
      </c>
      <c r="B17811" s="0" t="s">
        <v>23590</v>
      </c>
      <c r="E17811" s="0" t="inlineStr">
        <is>
          <t xml:space="preserve">Mazda</t>
        </is>
      </c>
      <c r="F17811" s="0" t="inlineStr">
        <is>
          <t xml:space="preserve">Mazda</t>
        </is>
      </c>
      <c r="G17811" s="0" t="s">
        <v>171</v>
      </c>
      <c r="H17811" s="5">
        <v>3856.846000</v>
      </c>
    </row>
    <row r="17812" spans="1:9">
      <c r="A17812" s="22" t="str">
        <f>HYPERLINK("https://app.vivvix.com/360/KMI/IntelliDrive/ApplUI/Pages/CreativePages/CustomReportCreativeDetail.aspx?App=23&amp;ReportView=4&amp;Qid=1711279&amp;Row=17804&amp;Col=1","No Title Assigned - #15277075699")</f>
        <v/>
      </c>
      <c r="B17812" s="0" t="s">
        <v>23591</v>
      </c>
      <c r="E17812" s="0" t="inlineStr">
        <is>
          <t xml:space="preserve">Mazda</t>
        </is>
      </c>
      <c r="F17812" s="0" t="inlineStr">
        <is>
          <t xml:space="preserve">Mazda</t>
        </is>
      </c>
      <c r="G17812" s="0" t="s">
        <v>171</v>
      </c>
      <c r="H17812" s="5">
        <v>30.151000</v>
      </c>
    </row>
    <row r="17813" spans="1:9">
      <c r="A17813" s="22" t="str">
        <f>HYPERLINK("https://app.vivvix.com/360/KMI/IntelliDrive/ApplUI/Pages/CreativePages/CustomReportCreativeDetail.aspx?App=23&amp;ReportView=4&amp;Qid=1711279&amp;Row=17805&amp;Col=1","No Title Assigned - #15277075912")</f>
        <v/>
      </c>
      <c r="B17813" s="0" t="s">
        <v>23592</v>
      </c>
      <c r="E17813" s="0" t="inlineStr">
        <is>
          <t xml:space="preserve">Mazda</t>
        </is>
      </c>
      <c r="F17813" s="0" t="inlineStr">
        <is>
          <t xml:space="preserve">Mazda</t>
        </is>
      </c>
      <c r="G17813" s="0" t="s">
        <v>171</v>
      </c>
      <c r="H17813" s="5">
        <v>23.015600</v>
      </c>
    </row>
    <row r="17814" spans="1:9">
      <c r="A17814" s="22" t="str">
        <f>HYPERLINK("https://app.vivvix.com/360/KMI/IntelliDrive/ApplUI/Pages/CreativePages/CustomReportCreativeDetail.aspx?App=23&amp;ReportView=4&amp;Qid=1711279&amp;Row=17806&amp;Col=1","No Title Assigned - #15277075912")</f>
        <v/>
      </c>
      <c r="B17814" s="0" t="s">
        <v>23592</v>
      </c>
      <c r="E17814" s="0" t="inlineStr">
        <is>
          <t xml:space="preserve">Mazda</t>
        </is>
      </c>
      <c r="F17814" s="0" t="inlineStr">
        <is>
          <t xml:space="preserve">Mazda</t>
        </is>
      </c>
      <c r="G17814" s="0" t="s">
        <v>171</v>
      </c>
      <c r="H17814" s="5">
        <v>10.020400</v>
      </c>
    </row>
    <row r="17815" spans="1:9">
      <c r="A17815" s="22" t="str">
        <f>HYPERLINK("https://app.vivvix.com/360/KMI/IntelliDrive/ApplUI/Pages/CreativePages/CustomReportCreativeDetail.aspx?App=23&amp;ReportView=4&amp;Qid=1711279&amp;Row=17807&amp;Col=1","No Title Assigned - #15277077495")</f>
        <v/>
      </c>
      <c r="B17815" s="0" t="s">
        <v>23593</v>
      </c>
      <c r="E17815" s="0" t="inlineStr">
        <is>
          <t xml:space="preserve">Mazda</t>
        </is>
      </c>
      <c r="F17815" s="0" t="inlineStr">
        <is>
          <t xml:space="preserve">Mazda</t>
        </is>
      </c>
      <c r="G17815" s="0" t="s">
        <v>171</v>
      </c>
      <c r="H17815" s="5">
        <v>351.721800</v>
      </c>
    </row>
    <row r="17816" spans="1:9">
      <c r="A17816" s="22" t="str">
        <f>HYPERLINK("https://app.vivvix.com/360/KMI/IntelliDrive/ApplUI/Pages/CreativePages/CustomReportCreativeDetail.aspx?App=23&amp;ReportView=4&amp;Qid=1711279&amp;Row=17808&amp;Col=1","No Title Assigned - #15277080044")</f>
        <v/>
      </c>
      <c r="B17816" s="0" t="s">
        <v>23594</v>
      </c>
      <c r="E17816" s="0" t="inlineStr">
        <is>
          <t xml:space="preserve">Mazda</t>
        </is>
      </c>
      <c r="F17816" s="0" t="inlineStr">
        <is>
          <t xml:space="preserve">Mazda</t>
        </is>
      </c>
      <c r="G17816" s="0" t="s">
        <v>171</v>
      </c>
      <c r="H17816" s="5">
        <v>16404.336000</v>
      </c>
    </row>
    <row r="17817" spans="1:9">
      <c r="A17817" s="22" t="str">
        <f>HYPERLINK("https://app.vivvix.com/360/KMI/IntelliDrive/ApplUI/Pages/CreativePages/CustomReportCreativeDetail.aspx?App=23&amp;ReportView=4&amp;Qid=1711279&amp;Row=17809&amp;Col=1","No Title Assigned - #15277084277")</f>
        <v/>
      </c>
      <c r="B17817" s="0" t="s">
        <v>23595</v>
      </c>
      <c r="E17817" s="0" t="inlineStr">
        <is>
          <t xml:space="preserve">Mazda</t>
        </is>
      </c>
      <c r="F17817" s="0" t="inlineStr">
        <is>
          <t xml:space="preserve">Mazda</t>
        </is>
      </c>
      <c r="G17817" s="0" t="s">
        <v>171</v>
      </c>
      <c r="H17817" s="5">
        <v>1269.825300</v>
      </c>
    </row>
    <row r="17818" spans="1:9">
      <c r="A17818" s="22" t="str">
        <f>HYPERLINK("https://app.vivvix.com/360/KMI/IntelliDrive/ApplUI/Pages/CreativePages/CustomReportCreativeDetail.aspx?App=23&amp;ReportView=4&amp;Qid=1711279&amp;Row=17810&amp;Col=1","No Title Assigned - #15277085627")</f>
        <v/>
      </c>
      <c r="B17818" s="0" t="s">
        <v>23596</v>
      </c>
      <c r="E17818" s="0" t="inlineStr">
        <is>
          <t xml:space="preserve">Mazda</t>
        </is>
      </c>
      <c r="F17818" s="0" t="inlineStr">
        <is>
          <t xml:space="preserve">Mazda</t>
        </is>
      </c>
      <c r="G17818" s="0" t="s">
        <v>171</v>
      </c>
      <c r="H17818" s="5">
        <v>2312.055300</v>
      </c>
    </row>
    <row r="17819" spans="1:9">
      <c r="A17819" s="22" t="str">
        <f>HYPERLINK("https://app.vivvix.com/360/KMI/IntelliDrive/ApplUI/Pages/CreativePages/CustomReportCreativeDetail.aspx?App=23&amp;ReportView=4&amp;Qid=1711279&amp;Row=17811&amp;Col=1","No Title Assigned - #15277120918")</f>
        <v/>
      </c>
      <c r="B17819" s="0" t="s">
        <v>23597</v>
      </c>
      <c r="E17819" s="0" t="inlineStr">
        <is>
          <t xml:space="preserve">Mazda</t>
        </is>
      </c>
      <c r="F17819" s="0" t="inlineStr">
        <is>
          <t xml:space="preserve">Mazda</t>
        </is>
      </c>
      <c r="G17819" s="0" t="s">
        <v>171</v>
      </c>
      <c r="H17819" s="5">
        <v>355.169000</v>
      </c>
    </row>
    <row r="17820" spans="1:9">
      <c r="A17820" s="22" t="str">
        <f>HYPERLINK("https://app.vivvix.com/360/KMI/IntelliDrive/ApplUI/Pages/CreativePages/CustomReportCreativeDetail.aspx?App=23&amp;ReportView=4&amp;Qid=1711279&amp;Row=17812&amp;Col=1","No Title Assigned - #15277124803")</f>
        <v/>
      </c>
      <c r="B17820" s="0" t="s">
        <v>23598</v>
      </c>
      <c r="E17820" s="0" t="inlineStr">
        <is>
          <t xml:space="preserve">Mazda</t>
        </is>
      </c>
      <c r="F17820" s="0" t="inlineStr">
        <is>
          <t xml:space="preserve">Mazda</t>
        </is>
      </c>
      <c r="G17820" s="0" t="s">
        <v>171</v>
      </c>
      <c r="H17820" s="5">
        <v>20101.117600</v>
      </c>
    </row>
    <row r="17821" spans="1:9">
      <c r="A17821" s="22" t="str">
        <f>HYPERLINK("https://app.vivvix.com/360/KMI/IntelliDrive/ApplUI/Pages/CreativePages/CustomReportCreativeDetail.aspx?App=23&amp;ReportView=4&amp;Qid=1711279&amp;Row=17813&amp;Col=1","No Title Assigned - #15277129767")</f>
        <v/>
      </c>
      <c r="B17821" s="0" t="s">
        <v>23599</v>
      </c>
      <c r="C17821" s="0" t="s">
        <v>23600</v>
      </c>
      <c r="D17821" s="0" t="s">
        <v>23600</v>
      </c>
      <c r="E17821" s="0" t="inlineStr">
        <is>
          <t xml:space="preserve">Mazda</t>
        </is>
      </c>
      <c r="F17821" s="0" t="inlineStr">
        <is>
          <t xml:space="preserve">Mazda</t>
        </is>
      </c>
      <c r="G17821" s="0" t="s">
        <v>210</v>
      </c>
      <c r="H17821" s="5">
        <v>411.217900</v>
      </c>
    </row>
    <row r="17822" spans="1:9">
      <c r="A17822" s="22" t="str">
        <f>HYPERLINK("https://app.vivvix.com/360/KMI/IntelliDrive/ApplUI/Pages/CreativePages/CustomReportCreativeDetail.aspx?App=23&amp;ReportView=4&amp;Qid=1711279&amp;Row=17814&amp;Col=1","No Title Assigned - #15277131964")</f>
        <v/>
      </c>
      <c r="B17822" s="0" t="s">
        <v>23601</v>
      </c>
      <c r="E17822" s="0" t="inlineStr">
        <is>
          <t xml:space="preserve">Mazda</t>
        </is>
      </c>
      <c r="F17822" s="0" t="inlineStr">
        <is>
          <t xml:space="preserve">Mazda</t>
        </is>
      </c>
      <c r="G17822" s="0" t="s">
        <v>171</v>
      </c>
      <c r="H17822" s="5">
        <v>673.091900</v>
      </c>
    </row>
    <row r="17823" spans="1:9">
      <c r="A17823" s="22" t="str">
        <f>HYPERLINK("https://app.vivvix.com/360/KMI/IntelliDrive/ApplUI/Pages/CreativePages/CustomReportCreativeDetail.aspx?App=23&amp;ReportView=4&amp;Qid=1711279&amp;Row=17815&amp;Col=1","No Title Assigned - #15277132747")</f>
        <v/>
      </c>
      <c r="B17823" s="0" t="s">
        <v>23602</v>
      </c>
      <c r="E17823" s="0" t="inlineStr">
        <is>
          <t xml:space="preserve">Mazda</t>
        </is>
      </c>
      <c r="F17823" s="0" t="inlineStr">
        <is>
          <t xml:space="preserve">Mazda</t>
        </is>
      </c>
      <c r="G17823" s="0" t="s">
        <v>171</v>
      </c>
      <c r="H17823" s="5">
        <v>29.550600</v>
      </c>
    </row>
    <row r="17824" spans="1:9">
      <c r="A17824" s="22" t="str">
        <f>HYPERLINK("https://app.vivvix.com/360/KMI/IntelliDrive/ApplUI/Pages/CreativePages/CustomReportCreativeDetail.aspx?App=23&amp;ReportView=4&amp;Qid=1711279&amp;Row=17816&amp;Col=1","No Title Assigned - #15277135829")</f>
        <v/>
      </c>
      <c r="B17824" s="0" t="s">
        <v>23603</v>
      </c>
      <c r="E17824" s="0" t="inlineStr">
        <is>
          <t xml:space="preserve">Mazda</t>
        </is>
      </c>
      <c r="F17824" s="0" t="inlineStr">
        <is>
          <t xml:space="preserve">Mazda</t>
        </is>
      </c>
      <c r="G17824" s="0" t="s">
        <v>171</v>
      </c>
      <c r="H17824" s="5">
        <v>8202.168000</v>
      </c>
    </row>
    <row r="17825" spans="1:9">
      <c r="A17825" s="22" t="str">
        <f>HYPERLINK("https://app.vivvix.com/360/KMI/IntelliDrive/ApplUI/Pages/CreativePages/CustomReportCreativeDetail.aspx?App=23&amp;ReportView=4&amp;Qid=1711279&amp;Row=17817&amp;Col=1","No Title Assigned - #15277138167")</f>
        <v/>
      </c>
      <c r="B17825" s="0" t="s">
        <v>23604</v>
      </c>
      <c r="E17825" s="0" t="inlineStr">
        <is>
          <t xml:space="preserve">Mazda</t>
        </is>
      </c>
      <c r="F17825" s="0" t="inlineStr">
        <is>
          <t xml:space="preserve">Mazda</t>
        </is>
      </c>
      <c r="G17825" s="0" t="s">
        <v>171</v>
      </c>
      <c r="H17825" s="5">
        <v>8158.244000</v>
      </c>
    </row>
    <row r="17826" spans="1:9">
      <c r="A17826" s="22" t="str">
        <f>HYPERLINK("https://app.vivvix.com/360/KMI/IntelliDrive/ApplUI/Pages/CreativePages/CustomReportCreativeDetail.aspx?App=23&amp;ReportView=4&amp;Qid=1711279&amp;Row=17818&amp;Col=1","No Title Assigned - #15277138176")</f>
        <v/>
      </c>
      <c r="B17826" s="0" t="s">
        <v>23605</v>
      </c>
      <c r="E17826" s="0" t="inlineStr">
        <is>
          <t xml:space="preserve">Mazda</t>
        </is>
      </c>
      <c r="F17826" s="0" t="inlineStr">
        <is>
          <t xml:space="preserve">Mazda</t>
        </is>
      </c>
      <c r="G17826" s="0" t="s">
        <v>171</v>
      </c>
      <c r="H17826" s="5">
        <v>10010.910300</v>
      </c>
    </row>
    <row r="17827" spans="1:9">
      <c r="A17827" s="22" t="str">
        <f>HYPERLINK("https://app.vivvix.com/360/KMI/IntelliDrive/ApplUI/Pages/CreativePages/CustomReportCreativeDetail.aspx?App=23&amp;ReportView=4&amp;Qid=1711279&amp;Row=17819&amp;Col=1","No Title Assigned - #15277139115")</f>
        <v/>
      </c>
      <c r="B17827" s="0" t="s">
        <v>23606</v>
      </c>
      <c r="E17827" s="0" t="inlineStr">
        <is>
          <t xml:space="preserve">Mazda</t>
        </is>
      </c>
      <c r="F17827" s="0" t="inlineStr">
        <is>
          <t xml:space="preserve">Mazda</t>
        </is>
      </c>
      <c r="G17827" s="0" t="s">
        <v>171</v>
      </c>
      <c r="H17827" s="5">
        <v>117.389900</v>
      </c>
    </row>
    <row r="17828" spans="1:9">
      <c r="A17828" s="22" t="str">
        <f>HYPERLINK("https://app.vivvix.com/360/KMI/IntelliDrive/ApplUI/Pages/CreativePages/CustomReportCreativeDetail.aspx?App=23&amp;ReportView=4&amp;Qid=1711279&amp;Row=17820&amp;Col=1","No Title Assigned - #15277139890")</f>
        <v/>
      </c>
      <c r="B17828" s="0" t="s">
        <v>23607</v>
      </c>
      <c r="E17828" s="0" t="inlineStr">
        <is>
          <t xml:space="preserve">Mazda</t>
        </is>
      </c>
      <c r="F17828" s="0" t="inlineStr">
        <is>
          <t xml:space="preserve">Mazda</t>
        </is>
      </c>
      <c r="G17828" s="0" t="s">
        <v>171</v>
      </c>
      <c r="H17828" s="5">
        <v>212.483300</v>
      </c>
    </row>
    <row r="17829" spans="1:9">
      <c r="A17829" s="22" t="str">
        <f>HYPERLINK("https://app.vivvix.com/360/KMI/IntelliDrive/ApplUI/Pages/CreativePages/CustomReportCreativeDetail.aspx?App=23&amp;ReportView=4&amp;Qid=1711279&amp;Row=17821&amp;Col=1","No Title Assigned - #15277139891")</f>
        <v/>
      </c>
      <c r="B17829" s="0" t="s">
        <v>23608</v>
      </c>
      <c r="E17829" s="0" t="inlineStr">
        <is>
          <t xml:space="preserve">Mazda</t>
        </is>
      </c>
      <c r="F17829" s="0" t="inlineStr">
        <is>
          <t xml:space="preserve">Mazda</t>
        </is>
      </c>
      <c r="G17829" s="0" t="s">
        <v>171</v>
      </c>
      <c r="H17829" s="5">
        <v>212.483300</v>
      </c>
    </row>
    <row r="17830" spans="1:9">
      <c r="A17830" s="22" t="str">
        <f>HYPERLINK("https://app.vivvix.com/360/KMI/IntelliDrive/ApplUI/Pages/CreativePages/CustomReportCreativeDetail.aspx?App=23&amp;ReportView=4&amp;Qid=1711279&amp;Row=17822&amp;Col=1","No Title Assigned - #15277140130")</f>
        <v/>
      </c>
      <c r="B17830" s="0" t="s">
        <v>23609</v>
      </c>
      <c r="E17830" s="0" t="inlineStr">
        <is>
          <t xml:space="preserve">Mazda</t>
        </is>
      </c>
      <c r="F17830" s="0" t="inlineStr">
        <is>
          <t xml:space="preserve">Mazda</t>
        </is>
      </c>
      <c r="G17830" s="0" t="s">
        <v>171</v>
      </c>
      <c r="H17830" s="5">
        <v>9183.963000</v>
      </c>
    </row>
    <row r="17831" spans="1:9">
      <c r="A17831" s="22" t="str">
        <f>HYPERLINK("https://app.vivvix.com/360/KMI/IntelliDrive/ApplUI/Pages/CreativePages/CustomReportCreativeDetail.aspx?App=23&amp;ReportView=4&amp;Qid=1711279&amp;Row=17823&amp;Col=1","No Title Assigned - #15277157923")</f>
        <v/>
      </c>
      <c r="B17831" s="0" t="s">
        <v>23610</v>
      </c>
      <c r="E17831" s="0" t="inlineStr">
        <is>
          <t xml:space="preserve">Mazda</t>
        </is>
      </c>
      <c r="F17831" s="0" t="inlineStr">
        <is>
          <t xml:space="preserve">Mazda</t>
        </is>
      </c>
      <c r="G17831" s="0" t="s">
        <v>171</v>
      </c>
      <c r="H17831" s="5">
        <v>536.240400</v>
      </c>
    </row>
    <row r="17832" spans="1:9">
      <c r="A17832" s="22" t="str">
        <f>HYPERLINK("https://app.vivvix.com/360/KMI/IntelliDrive/ApplUI/Pages/CreativePages/CustomReportCreativeDetail.aspx?App=23&amp;ReportView=4&amp;Qid=1711279&amp;Row=17824&amp;Col=1","No Title Assigned - #15277157984")</f>
        <v/>
      </c>
      <c r="B17832" s="0" t="s">
        <v>23611</v>
      </c>
      <c r="E17832" s="0" t="inlineStr">
        <is>
          <t xml:space="preserve">Mazda</t>
        </is>
      </c>
      <c r="F17832" s="0" t="inlineStr">
        <is>
          <t xml:space="preserve">Mazda</t>
        </is>
      </c>
      <c r="G17832" s="0" t="s">
        <v>171</v>
      </c>
      <c r="H17832" s="5">
        <v>342.823100</v>
      </c>
    </row>
    <row r="17833" spans="1:9">
      <c r="A17833" s="22" t="str">
        <f>HYPERLINK("https://app.vivvix.com/360/KMI/IntelliDrive/ApplUI/Pages/CreativePages/CustomReportCreativeDetail.aspx?App=23&amp;ReportView=4&amp;Qid=1711279&amp;Row=17825&amp;Col=1","No Title Assigned - #15277158057")</f>
        <v/>
      </c>
      <c r="B17833" s="0" t="s">
        <v>23612</v>
      </c>
      <c r="E17833" s="0" t="inlineStr">
        <is>
          <t xml:space="preserve">Mazda</t>
        </is>
      </c>
      <c r="F17833" s="0" t="inlineStr">
        <is>
          <t xml:space="preserve">Mazda</t>
        </is>
      </c>
      <c r="G17833" s="0" t="s">
        <v>171</v>
      </c>
      <c r="H17833" s="5">
        <v>43.312300</v>
      </c>
    </row>
    <row r="17834" spans="1:9">
      <c r="A17834" s="22" t="str">
        <f>HYPERLINK("https://app.vivvix.com/360/KMI/IntelliDrive/ApplUI/Pages/CreativePages/CustomReportCreativeDetail.aspx?App=23&amp;ReportView=4&amp;Qid=1711279&amp;Row=17826&amp;Col=1","No Title Assigned - #15277158058")</f>
        <v/>
      </c>
      <c r="B17834" s="0" t="s">
        <v>23613</v>
      </c>
      <c r="E17834" s="0" t="inlineStr">
        <is>
          <t xml:space="preserve">Mazda</t>
        </is>
      </c>
      <c r="F17834" s="0" t="inlineStr">
        <is>
          <t xml:space="preserve">Mazda</t>
        </is>
      </c>
      <c r="G17834" s="0" t="s">
        <v>171</v>
      </c>
      <c r="H17834" s="5">
        <v>43.312300</v>
      </c>
    </row>
    <row r="17835" spans="1:9">
      <c r="A17835" s="22" t="str">
        <f>HYPERLINK("https://app.vivvix.com/360/KMI/IntelliDrive/ApplUI/Pages/CreativePages/CustomReportCreativeDetail.aspx?App=23&amp;ReportView=4&amp;Qid=1711279&amp;Row=17827&amp;Col=1","No Title Assigned - #15277158180")</f>
        <v/>
      </c>
      <c r="B17835" s="0" t="s">
        <v>23614</v>
      </c>
      <c r="E17835" s="0" t="inlineStr">
        <is>
          <t xml:space="preserve">Mazda</t>
        </is>
      </c>
      <c r="F17835" s="0" t="inlineStr">
        <is>
          <t xml:space="preserve">Mazda</t>
        </is>
      </c>
      <c r="G17835" s="0" t="s">
        <v>171</v>
      </c>
      <c r="H17835" s="5">
        <v>52.433400</v>
      </c>
    </row>
    <row r="17836" spans="1:9">
      <c r="A17836" s="22" t="str">
        <f>HYPERLINK("https://app.vivvix.com/360/KMI/IntelliDrive/ApplUI/Pages/CreativePages/CustomReportCreativeDetail.aspx?App=23&amp;ReportView=4&amp;Qid=1711279&amp;Row=17828&amp;Col=1","No Title Assigned - #15277158351")</f>
        <v/>
      </c>
      <c r="B17836" s="0" t="s">
        <v>23615</v>
      </c>
      <c r="E17836" s="0" t="inlineStr">
        <is>
          <t xml:space="preserve">Mazda</t>
        </is>
      </c>
      <c r="F17836" s="0" t="inlineStr">
        <is>
          <t xml:space="preserve">Mazda</t>
        </is>
      </c>
      <c r="G17836" s="0" t="s">
        <v>171</v>
      </c>
      <c r="H17836" s="5">
        <v>217.140500</v>
      </c>
    </row>
    <row r="17837" spans="1:9">
      <c r="A17837" s="22" t="str">
        <f>HYPERLINK("https://app.vivvix.com/360/KMI/IntelliDrive/ApplUI/Pages/CreativePages/CustomReportCreativeDetail.aspx?App=23&amp;ReportView=4&amp;Qid=1711279&amp;Row=17829&amp;Col=1","No Title Assigned - #15277158574")</f>
        <v/>
      </c>
      <c r="B17837" s="0" t="s">
        <v>23616</v>
      </c>
      <c r="E17837" s="0" t="inlineStr">
        <is>
          <t xml:space="preserve">Mazda</t>
        </is>
      </c>
      <c r="F17837" s="0" t="inlineStr">
        <is>
          <t xml:space="preserve">Mazda</t>
        </is>
      </c>
      <c r="G17837" s="0" t="s">
        <v>171</v>
      </c>
      <c r="H17837" s="5">
        <v>6.647800</v>
      </c>
    </row>
    <row r="17838" spans="1:9">
      <c r="A17838" s="22" t="str">
        <f>HYPERLINK("https://app.vivvix.com/360/KMI/IntelliDrive/ApplUI/Pages/CreativePages/CustomReportCreativeDetail.aspx?App=23&amp;ReportView=4&amp;Qid=1711279&amp;Row=17830&amp;Col=1","No Title Assigned - #15277158633")</f>
        <v/>
      </c>
      <c r="B17838" s="0" t="s">
        <v>23617</v>
      </c>
      <c r="E17838" s="0" t="inlineStr">
        <is>
          <t xml:space="preserve">Mazda</t>
        </is>
      </c>
      <c r="F17838" s="0" t="inlineStr">
        <is>
          <t xml:space="preserve">Mazda</t>
        </is>
      </c>
      <c r="G17838" s="0" t="s">
        <v>171</v>
      </c>
      <c r="H17838" s="5">
        <v>11.631300</v>
      </c>
    </row>
    <row r="17839" spans="1:9">
      <c r="A17839" s="22" t="str">
        <f>HYPERLINK("https://app.vivvix.com/360/KMI/IntelliDrive/ApplUI/Pages/CreativePages/CustomReportCreativeDetail.aspx?App=23&amp;ReportView=4&amp;Qid=1711279&amp;Row=17831&amp;Col=1","No Title Assigned - #15277159155")</f>
        <v/>
      </c>
      <c r="B17839" s="0" t="s">
        <v>23618</v>
      </c>
      <c r="E17839" s="0" t="inlineStr">
        <is>
          <t xml:space="preserve">Mazda</t>
        </is>
      </c>
      <c r="F17839" s="0" t="inlineStr">
        <is>
          <t xml:space="preserve">Mazda</t>
        </is>
      </c>
      <c r="G17839" s="0" t="s">
        <v>171</v>
      </c>
      <c r="H17839" s="5">
        <v>688.838500</v>
      </c>
    </row>
    <row r="17840" spans="1:9">
      <c r="A17840" s="22" t="str">
        <f>HYPERLINK("https://app.vivvix.com/360/KMI/IntelliDrive/ApplUI/Pages/CreativePages/CustomReportCreativeDetail.aspx?App=23&amp;ReportView=4&amp;Qid=1711279&amp;Row=17832&amp;Col=1","No Title Assigned - #15277159171")</f>
        <v/>
      </c>
      <c r="B17840" s="0" t="s">
        <v>23619</v>
      </c>
      <c r="E17840" s="0" t="inlineStr">
        <is>
          <t xml:space="preserve">Mazda</t>
        </is>
      </c>
      <c r="F17840" s="0" t="inlineStr">
        <is>
          <t xml:space="preserve">Mazda</t>
        </is>
      </c>
      <c r="G17840" s="0" t="s">
        <v>171</v>
      </c>
      <c r="H17840" s="5">
        <v>17764.305300</v>
      </c>
    </row>
    <row r="17841" spans="1:9">
      <c r="A17841" s="22" t="str">
        <f>HYPERLINK("https://app.vivvix.com/360/KMI/IntelliDrive/ApplUI/Pages/CreativePages/CustomReportCreativeDetail.aspx?App=23&amp;ReportView=4&amp;Qid=1711279&amp;Row=17833&amp;Col=1","No Title Assigned - #15277159171")</f>
        <v/>
      </c>
      <c r="B17841" s="0" t="s">
        <v>23619</v>
      </c>
      <c r="E17841" s="0" t="inlineStr">
        <is>
          <t xml:space="preserve">Mazda</t>
        </is>
      </c>
      <c r="F17841" s="0" t="inlineStr">
        <is>
          <t xml:space="preserve">Mazda</t>
        </is>
      </c>
      <c r="G17841" s="0" t="s">
        <v>171</v>
      </c>
      <c r="H17841" s="5">
        <v>3140.266800</v>
      </c>
    </row>
    <row r="17842" spans="1:9">
      <c r="A17842" s="22" t="str">
        <f>HYPERLINK("https://app.vivvix.com/360/KMI/IntelliDrive/ApplUI/Pages/CreativePages/CustomReportCreativeDetail.aspx?App=23&amp;ReportView=4&amp;Qid=1711279&amp;Row=17834&amp;Col=1","No Title Assigned - #15277159307")</f>
        <v/>
      </c>
      <c r="B17842" s="0" t="s">
        <v>23620</v>
      </c>
      <c r="E17842" s="0" t="inlineStr">
        <is>
          <t xml:space="preserve">Mazda</t>
        </is>
      </c>
      <c r="F17842" s="0" t="inlineStr">
        <is>
          <t xml:space="preserve">Mazda</t>
        </is>
      </c>
      <c r="G17842" s="0" t="s">
        <v>171</v>
      </c>
      <c r="H17842" s="5">
        <v>16.416200</v>
      </c>
    </row>
    <row r="17843" spans="1:9">
      <c r="A17843" s="22" t="str">
        <f>HYPERLINK("https://app.vivvix.com/360/KMI/IntelliDrive/ApplUI/Pages/CreativePages/CustomReportCreativeDetail.aspx?App=23&amp;ReportView=4&amp;Qid=1711279&amp;Row=17835&amp;Col=1","No Title Assigned - #15277159437")</f>
        <v/>
      </c>
      <c r="B17843" s="0" t="s">
        <v>23621</v>
      </c>
      <c r="E17843" s="0" t="inlineStr">
        <is>
          <t xml:space="preserve">Mazda</t>
        </is>
      </c>
      <c r="F17843" s="0" t="inlineStr">
        <is>
          <t xml:space="preserve">Mazda</t>
        </is>
      </c>
      <c r="G17843" s="0" t="s">
        <v>171</v>
      </c>
      <c r="H17843" s="5">
        <v>6853.360100</v>
      </c>
    </row>
    <row r="17844" spans="1:9">
      <c r="A17844" s="22" t="str">
        <f>HYPERLINK("https://app.vivvix.com/360/KMI/IntelliDrive/ApplUI/Pages/CreativePages/CustomReportCreativeDetail.aspx?App=23&amp;ReportView=4&amp;Qid=1711279&amp;Row=17836&amp;Col=1","No Title Assigned - #15277159437")</f>
        <v/>
      </c>
      <c r="B17844" s="0" t="s">
        <v>23621</v>
      </c>
      <c r="E17844" s="0" t="inlineStr">
        <is>
          <t xml:space="preserve">Mazda</t>
        </is>
      </c>
      <c r="F17844" s="0" t="inlineStr">
        <is>
          <t xml:space="preserve">Mazda</t>
        </is>
      </c>
      <c r="G17844" s="0" t="s">
        <v>171</v>
      </c>
      <c r="H17844" s="5">
        <v>9007.868200</v>
      </c>
    </row>
    <row r="17845" spans="1:9">
      <c r="A17845" s="22" t="str">
        <f>HYPERLINK("https://app.vivvix.com/360/KMI/IntelliDrive/ApplUI/Pages/CreativePages/CustomReportCreativeDetail.aspx?App=23&amp;ReportView=4&amp;Qid=1711279&amp;Row=17837&amp;Col=1","No Title Assigned - #15277159488")</f>
        <v/>
      </c>
      <c r="B17845" s="0" t="s">
        <v>23622</v>
      </c>
      <c r="C17845" s="0" t="s">
        <v>23623</v>
      </c>
      <c r="D17845" s="0" t="s">
        <v>23623</v>
      </c>
      <c r="E17845" s="0" t="inlineStr">
        <is>
          <t xml:space="preserve">Mazda</t>
        </is>
      </c>
      <c r="F17845" s="0" t="inlineStr">
        <is>
          <t xml:space="preserve">Mazda</t>
        </is>
      </c>
      <c r="G17845" s="0" t="s">
        <v>171</v>
      </c>
      <c r="H17845" s="5">
        <v>423.138600</v>
      </c>
    </row>
    <row r="17846" spans="1:9">
      <c r="A17846" s="22" t="str">
        <f>HYPERLINK("https://app.vivvix.com/360/KMI/IntelliDrive/ApplUI/Pages/CreativePages/CustomReportCreativeDetail.aspx?App=23&amp;ReportView=4&amp;Qid=1711279&amp;Row=17838&amp;Col=1","No Title Assigned - #15277160380")</f>
        <v/>
      </c>
      <c r="B17846" s="0" t="s">
        <v>23624</v>
      </c>
      <c r="E17846" s="0" t="inlineStr">
        <is>
          <t xml:space="preserve">Mazda</t>
        </is>
      </c>
      <c r="F17846" s="0" t="inlineStr">
        <is>
          <t xml:space="preserve">Mazda</t>
        </is>
      </c>
      <c r="G17846" s="0" t="s">
        <v>171</v>
      </c>
      <c r="H17846" s="5">
        <v>506.992800</v>
      </c>
    </row>
    <row r="17847" spans="1:9">
      <c r="A17847" s="22" t="str">
        <f>HYPERLINK("https://app.vivvix.com/360/KMI/IntelliDrive/ApplUI/Pages/CreativePages/CustomReportCreativeDetail.aspx?App=23&amp;ReportView=4&amp;Qid=1711279&amp;Row=17839&amp;Col=1","No Title Assigned - #15277160382")</f>
        <v/>
      </c>
      <c r="B17847" s="0" t="s">
        <v>23625</v>
      </c>
      <c r="E17847" s="0" t="inlineStr">
        <is>
          <t xml:space="preserve">Mazda</t>
        </is>
      </c>
      <c r="F17847" s="0" t="inlineStr">
        <is>
          <t xml:space="preserve">Mazda</t>
        </is>
      </c>
      <c r="G17847" s="0" t="s">
        <v>171</v>
      </c>
      <c r="H17847" s="5">
        <v>25041.188900</v>
      </c>
    </row>
    <row r="17848" spans="1:9">
      <c r="A17848" s="22" t="str">
        <f>HYPERLINK("https://app.vivvix.com/360/KMI/IntelliDrive/ApplUI/Pages/CreativePages/CustomReportCreativeDetail.aspx?App=23&amp;ReportView=4&amp;Qid=1711279&amp;Row=17840&amp;Col=1","No Title Assigned - #15277160382")</f>
        <v/>
      </c>
      <c r="B17848" s="0" t="s">
        <v>23625</v>
      </c>
      <c r="E17848" s="0" t="inlineStr">
        <is>
          <t xml:space="preserve">Mazda</t>
        </is>
      </c>
      <c r="F17848" s="0" t="inlineStr">
        <is>
          <t xml:space="preserve">Mazda</t>
        </is>
      </c>
      <c r="G17848" s="0" t="s">
        <v>171</v>
      </c>
      <c r="H17848" s="5">
        <v>1287.713100</v>
      </c>
    </row>
    <row r="17849" spans="1:9">
      <c r="A17849" s="22" t="str">
        <f>HYPERLINK("https://app.vivvix.com/360/KMI/IntelliDrive/ApplUI/Pages/CreativePages/CustomReportCreativeDetail.aspx?App=23&amp;ReportView=4&amp;Qid=1711279&amp;Row=17841&amp;Col=1","No Title Assigned - #15277160383")</f>
        <v/>
      </c>
      <c r="B17849" s="0" t="s">
        <v>23626</v>
      </c>
      <c r="E17849" s="0" t="inlineStr">
        <is>
          <t xml:space="preserve">Mazda</t>
        </is>
      </c>
      <c r="F17849" s="0" t="inlineStr">
        <is>
          <t xml:space="preserve">Mazda</t>
        </is>
      </c>
      <c r="G17849" s="0" t="s">
        <v>171</v>
      </c>
      <c r="H17849" s="5">
        <v>506.992800</v>
      </c>
    </row>
    <row r="17850" spans="1:9">
      <c r="A17850" s="22" t="str">
        <f>HYPERLINK("https://app.vivvix.com/360/KMI/IntelliDrive/ApplUI/Pages/CreativePages/CustomReportCreativeDetail.aspx?App=23&amp;ReportView=4&amp;Qid=1711279&amp;Row=17842&amp;Col=1","No Title Assigned - #15277160506")</f>
        <v/>
      </c>
      <c r="B17850" s="0" t="s">
        <v>23627</v>
      </c>
      <c r="E17850" s="0" t="inlineStr">
        <is>
          <t xml:space="preserve">Mazda</t>
        </is>
      </c>
      <c r="F17850" s="0" t="inlineStr">
        <is>
          <t xml:space="preserve">Mazda</t>
        </is>
      </c>
      <c r="G17850" s="0" t="s">
        <v>171</v>
      </c>
      <c r="H17850" s="5">
        <v>15.927600</v>
      </c>
    </row>
    <row r="17851" spans="1:9">
      <c r="A17851" s="22" t="str">
        <f>HYPERLINK("https://app.vivvix.com/360/KMI/IntelliDrive/ApplUI/Pages/CreativePages/CustomReportCreativeDetail.aspx?App=23&amp;ReportView=4&amp;Qid=1711279&amp;Row=17843&amp;Col=1","No Title Assigned - #15277160506")</f>
        <v/>
      </c>
      <c r="B17851" s="0" t="s">
        <v>23627</v>
      </c>
      <c r="E17851" s="0" t="inlineStr">
        <is>
          <t xml:space="preserve">Mazda</t>
        </is>
      </c>
      <c r="F17851" s="0" t="inlineStr">
        <is>
          <t xml:space="preserve">Mazda</t>
        </is>
      </c>
      <c r="G17851" s="0" t="s">
        <v>171</v>
      </c>
      <c r="H17851" s="5">
        <v>221.148000</v>
      </c>
    </row>
    <row r="17852" spans="1:9">
      <c r="A17852" s="22" t="str">
        <f>HYPERLINK("https://app.vivvix.com/360/KMI/IntelliDrive/ApplUI/Pages/CreativePages/CustomReportCreativeDetail.aspx?App=23&amp;ReportView=4&amp;Qid=1711279&amp;Row=17844&amp;Col=1","No Title Assigned - #15277160824")</f>
        <v/>
      </c>
      <c r="B17852" s="0" t="s">
        <v>23628</v>
      </c>
      <c r="E17852" s="0" t="inlineStr">
        <is>
          <t xml:space="preserve">Mazda</t>
        </is>
      </c>
      <c r="F17852" s="0" t="inlineStr">
        <is>
          <t xml:space="preserve">Mazda</t>
        </is>
      </c>
      <c r="G17852" s="0" t="s">
        <v>171</v>
      </c>
      <c r="H17852" s="5">
        <v>2127.934200</v>
      </c>
    </row>
    <row r="17853" spans="1:9">
      <c r="A17853" s="22" t="str">
        <f>HYPERLINK("https://app.vivvix.com/360/KMI/IntelliDrive/ApplUI/Pages/CreativePages/CustomReportCreativeDetail.aspx?App=23&amp;ReportView=4&amp;Qid=1711279&amp;Row=17845&amp;Col=1","No Title Assigned - #15277160834")</f>
        <v/>
      </c>
      <c r="B17853" s="0" t="s">
        <v>23629</v>
      </c>
      <c r="E17853" s="0" t="inlineStr">
        <is>
          <t xml:space="preserve">Mazda</t>
        </is>
      </c>
      <c r="F17853" s="0" t="inlineStr">
        <is>
          <t xml:space="preserve">Mazda</t>
        </is>
      </c>
      <c r="G17853" s="0" t="s">
        <v>171</v>
      </c>
      <c r="H17853" s="5">
        <v>163.322400</v>
      </c>
    </row>
    <row r="17854" spans="1:9">
      <c r="A17854" s="22" t="str">
        <f>HYPERLINK("https://app.vivvix.com/360/KMI/IntelliDrive/ApplUI/Pages/CreativePages/CustomReportCreativeDetail.aspx?App=23&amp;ReportView=4&amp;Qid=1711279&amp;Row=17846&amp;Col=1","No Title Assigned - #15277160912")</f>
        <v/>
      </c>
      <c r="B17854" s="0" t="s">
        <v>23630</v>
      </c>
      <c r="E17854" s="0" t="inlineStr">
        <is>
          <t xml:space="preserve">Mazda</t>
        </is>
      </c>
      <c r="F17854" s="0" t="inlineStr">
        <is>
          <t xml:space="preserve">Mazda</t>
        </is>
      </c>
      <c r="G17854" s="0" t="s">
        <v>171</v>
      </c>
      <c r="H17854" s="5">
        <v>58.005600</v>
      </c>
    </row>
    <row r="17855" spans="1:9">
      <c r="A17855" s="22" t="str">
        <f>HYPERLINK("https://app.vivvix.com/360/KMI/IntelliDrive/ApplUI/Pages/CreativePages/CustomReportCreativeDetail.aspx?App=23&amp;ReportView=4&amp;Qid=1711279&amp;Row=17847&amp;Col=1","No Title Assigned - #15277161000")</f>
        <v/>
      </c>
      <c r="B17855" s="0" t="s">
        <v>23631</v>
      </c>
      <c r="E17855" s="0" t="inlineStr">
        <is>
          <t xml:space="preserve">Mazda</t>
        </is>
      </c>
      <c r="F17855" s="0" t="inlineStr">
        <is>
          <t xml:space="preserve">Mazda</t>
        </is>
      </c>
      <c r="G17855" s="0" t="s">
        <v>171</v>
      </c>
      <c r="H17855" s="5">
        <v>32.685500</v>
      </c>
    </row>
    <row r="17856" spans="1:9">
      <c r="A17856" s="22" t="str">
        <f>HYPERLINK("https://app.vivvix.com/360/KMI/IntelliDrive/ApplUI/Pages/CreativePages/CustomReportCreativeDetail.aspx?App=23&amp;ReportView=4&amp;Qid=1711279&amp;Row=17848&amp;Col=1","No Title Assigned - #15277161107")</f>
        <v/>
      </c>
      <c r="B17856" s="0" t="s">
        <v>23632</v>
      </c>
      <c r="E17856" s="0" t="inlineStr">
        <is>
          <t xml:space="preserve">Mazda</t>
        </is>
      </c>
      <c r="F17856" s="0" t="inlineStr">
        <is>
          <t xml:space="preserve">Mazda</t>
        </is>
      </c>
      <c r="G17856" s="0" t="s">
        <v>171</v>
      </c>
      <c r="H17856" s="5">
        <v>13.224400</v>
      </c>
    </row>
    <row r="17857" spans="1:9">
      <c r="A17857" s="22" t="str">
        <f>HYPERLINK("https://app.vivvix.com/360/KMI/IntelliDrive/ApplUI/Pages/CreativePages/CustomReportCreativeDetail.aspx?App=23&amp;ReportView=4&amp;Qid=1711279&amp;Row=17849&amp;Col=1","No Title Assigned - #15277161273")</f>
        <v/>
      </c>
      <c r="B17857" s="0" t="s">
        <v>23633</v>
      </c>
      <c r="E17857" s="0" t="inlineStr">
        <is>
          <t xml:space="preserve">Mazda</t>
        </is>
      </c>
      <c r="F17857" s="0" t="inlineStr">
        <is>
          <t xml:space="preserve">Mazda</t>
        </is>
      </c>
      <c r="G17857" s="0" t="s">
        <v>171</v>
      </c>
      <c r="H17857" s="5">
        <v>466.685400</v>
      </c>
    </row>
    <row r="17858" spans="1:9">
      <c r="A17858" s="22" t="str">
        <f>HYPERLINK("https://app.vivvix.com/360/KMI/IntelliDrive/ApplUI/Pages/CreativePages/CustomReportCreativeDetail.aspx?App=23&amp;ReportView=4&amp;Qid=1711279&amp;Row=17850&amp;Col=1","No Title Assigned - #15277161525")</f>
        <v/>
      </c>
      <c r="B17858" s="0" t="s">
        <v>23634</v>
      </c>
      <c r="E17858" s="0" t="inlineStr">
        <is>
          <t xml:space="preserve">Mazda</t>
        </is>
      </c>
      <c r="F17858" s="0" t="inlineStr">
        <is>
          <t xml:space="preserve">Mazda</t>
        </is>
      </c>
      <c r="G17858" s="0" t="s">
        <v>171</v>
      </c>
      <c r="H17858" s="5">
        <v>16.780700</v>
      </c>
    </row>
    <row r="17859" spans="1:9">
      <c r="A17859" s="22" t="str">
        <f>HYPERLINK("https://app.vivvix.com/360/KMI/IntelliDrive/ApplUI/Pages/CreativePages/CustomReportCreativeDetail.aspx?App=23&amp;ReportView=4&amp;Qid=1711279&amp;Row=17851&amp;Col=1","No Title Assigned - #15277161575")</f>
        <v/>
      </c>
      <c r="B17859" s="0" t="s">
        <v>23635</v>
      </c>
      <c r="E17859" s="0" t="inlineStr">
        <is>
          <t xml:space="preserve">Mazda</t>
        </is>
      </c>
      <c r="F17859" s="0" t="inlineStr">
        <is>
          <t xml:space="preserve">Mazda</t>
        </is>
      </c>
      <c r="G17859" s="0" t="s">
        <v>171</v>
      </c>
      <c r="H17859" s="5">
        <v>216.801000</v>
      </c>
    </row>
    <row r="17860" spans="1:9">
      <c r="A17860" s="22" t="str">
        <f>HYPERLINK("https://app.vivvix.com/360/KMI/IntelliDrive/ApplUI/Pages/CreativePages/CustomReportCreativeDetail.aspx?App=23&amp;ReportView=4&amp;Qid=1711279&amp;Row=17852&amp;Col=1","No Title Assigned - #15277161600")</f>
        <v/>
      </c>
      <c r="B17860" s="0" t="s">
        <v>23636</v>
      </c>
      <c r="E17860" s="0" t="inlineStr">
        <is>
          <t xml:space="preserve">Mazda</t>
        </is>
      </c>
      <c r="F17860" s="0" t="inlineStr">
        <is>
          <t xml:space="preserve">Mazda</t>
        </is>
      </c>
      <c r="G17860" s="0" t="s">
        <v>171</v>
      </c>
      <c r="H17860" s="5">
        <v>17.402600</v>
      </c>
    </row>
    <row r="17861" spans="1:9">
      <c r="A17861" s="22" t="str">
        <f>HYPERLINK("https://app.vivvix.com/360/KMI/IntelliDrive/ApplUI/Pages/CreativePages/CustomReportCreativeDetail.aspx?App=23&amp;ReportView=4&amp;Qid=1711279&amp;Row=17853&amp;Col=1","No Title Assigned - #15277161612")</f>
        <v/>
      </c>
      <c r="B17861" s="0" t="s">
        <v>23637</v>
      </c>
      <c r="E17861" s="0" t="inlineStr">
        <is>
          <t xml:space="preserve">Mazda</t>
        </is>
      </c>
      <c r="F17861" s="0" t="inlineStr">
        <is>
          <t xml:space="preserve">Mazda</t>
        </is>
      </c>
      <c r="G17861" s="0" t="s">
        <v>171</v>
      </c>
      <c r="H17861" s="5">
        <v>11.281500</v>
      </c>
    </row>
    <row r="17862" spans="1:9">
      <c r="A17862" s="22" t="str">
        <f>HYPERLINK("https://app.vivvix.com/360/KMI/IntelliDrive/ApplUI/Pages/CreativePages/CustomReportCreativeDetail.aspx?App=23&amp;ReportView=4&amp;Qid=1711279&amp;Row=17854&amp;Col=1","No Title Assigned - #15277161983")</f>
        <v/>
      </c>
      <c r="B17862" s="0" t="s">
        <v>23638</v>
      </c>
      <c r="E17862" s="0" t="inlineStr">
        <is>
          <t xml:space="preserve">Mazda</t>
        </is>
      </c>
      <c r="F17862" s="0" t="inlineStr">
        <is>
          <t xml:space="preserve">Mazda</t>
        </is>
      </c>
      <c r="G17862" s="0" t="s">
        <v>171</v>
      </c>
      <c r="H17862" s="5">
        <v>690.218500</v>
      </c>
    </row>
    <row r="17863" spans="1:9">
      <c r="A17863" s="22" t="str">
        <f>HYPERLINK("https://app.vivvix.com/360/KMI/IntelliDrive/ApplUI/Pages/CreativePages/CustomReportCreativeDetail.aspx?App=23&amp;ReportView=4&amp;Qid=1711279&amp;Row=17855&amp;Col=1","No Title Assigned - #15277162002")</f>
        <v/>
      </c>
      <c r="B17863" s="0" t="s">
        <v>23639</v>
      </c>
      <c r="E17863" s="0" t="inlineStr">
        <is>
          <t xml:space="preserve">Mazda</t>
        </is>
      </c>
      <c r="F17863" s="0" t="inlineStr">
        <is>
          <t xml:space="preserve">Mazda</t>
        </is>
      </c>
      <c r="G17863" s="0" t="s">
        <v>171</v>
      </c>
      <c r="H17863" s="5">
        <v>212.483300</v>
      </c>
    </row>
    <row r="17864" spans="1:9">
      <c r="A17864" s="22" t="str">
        <f>HYPERLINK("https://app.vivvix.com/360/KMI/IntelliDrive/ApplUI/Pages/CreativePages/CustomReportCreativeDetail.aspx?App=23&amp;ReportView=4&amp;Qid=1711279&amp;Row=17856&amp;Col=1","No Title Assigned - #15277162041")</f>
        <v/>
      </c>
      <c r="B17864" s="0" t="s">
        <v>23640</v>
      </c>
      <c r="E17864" s="0" t="inlineStr">
        <is>
          <t xml:space="preserve">Mazda</t>
        </is>
      </c>
      <c r="F17864" s="0" t="inlineStr">
        <is>
          <t xml:space="preserve">Mazda</t>
        </is>
      </c>
      <c r="G17864" s="0" t="s">
        <v>171</v>
      </c>
      <c r="H17864" s="5">
        <v>134.954200</v>
      </c>
    </row>
    <row r="17865" spans="1:9">
      <c r="A17865" s="22" t="str">
        <f>HYPERLINK("https://app.vivvix.com/360/KMI/IntelliDrive/ApplUI/Pages/CreativePages/CustomReportCreativeDetail.aspx?App=23&amp;ReportView=4&amp;Qid=1711279&amp;Row=17857&amp;Col=1","No Title Assigned - #15277162314")</f>
        <v/>
      </c>
      <c r="B17865" s="0" t="s">
        <v>23641</v>
      </c>
      <c r="E17865" s="0" t="inlineStr">
        <is>
          <t xml:space="preserve">Mazda</t>
        </is>
      </c>
      <c r="F17865" s="0" t="inlineStr">
        <is>
          <t xml:space="preserve">Mazda</t>
        </is>
      </c>
      <c r="G17865" s="0" t="s">
        <v>171</v>
      </c>
      <c r="H17865" s="5">
        <v>1764.271900</v>
      </c>
    </row>
    <row r="17866" spans="1:9">
      <c r="A17866" s="22" t="str">
        <f>HYPERLINK("https://app.vivvix.com/360/KMI/IntelliDrive/ApplUI/Pages/CreativePages/CustomReportCreativeDetail.aspx?App=23&amp;ReportView=4&amp;Qid=1711279&amp;Row=17858&amp;Col=1","No Title Assigned - #15277162398")</f>
        <v/>
      </c>
      <c r="B17866" s="0" t="s">
        <v>23642</v>
      </c>
      <c r="E17866" s="0" t="inlineStr">
        <is>
          <t xml:space="preserve">Mazda</t>
        </is>
      </c>
      <c r="F17866" s="0" t="inlineStr">
        <is>
          <t xml:space="preserve">Mazda</t>
        </is>
      </c>
      <c r="G17866" s="0" t="s">
        <v>171</v>
      </c>
      <c r="H17866" s="5">
        <v>220.618700</v>
      </c>
    </row>
    <row r="17867" spans="1:9">
      <c r="A17867" s="22" t="str">
        <f>HYPERLINK("https://app.vivvix.com/360/KMI/IntelliDrive/ApplUI/Pages/CreativePages/CustomReportCreativeDetail.aspx?App=23&amp;ReportView=4&amp;Qid=1711279&amp;Row=17859&amp;Col=1","No Title Assigned - #15277162537")</f>
        <v/>
      </c>
      <c r="B17867" s="0" t="s">
        <v>23643</v>
      </c>
      <c r="E17867" s="0" t="inlineStr">
        <is>
          <t xml:space="preserve">Mazda</t>
        </is>
      </c>
      <c r="F17867" s="0" t="inlineStr">
        <is>
          <t xml:space="preserve">Mazda</t>
        </is>
      </c>
      <c r="G17867" s="0" t="s">
        <v>171</v>
      </c>
      <c r="H17867" s="5">
        <v>23.015600</v>
      </c>
    </row>
    <row r="17868" spans="1:9">
      <c r="A17868" s="22" t="str">
        <f>HYPERLINK("https://app.vivvix.com/360/KMI/IntelliDrive/ApplUI/Pages/CreativePages/CustomReportCreativeDetail.aspx?App=23&amp;ReportView=4&amp;Qid=1711279&amp;Row=17860&amp;Col=1","No Title Assigned - #15277163514")</f>
        <v/>
      </c>
      <c r="B17868" s="0" t="s">
        <v>23644</v>
      </c>
      <c r="E17868" s="0" t="inlineStr">
        <is>
          <t xml:space="preserve">Mazda</t>
        </is>
      </c>
      <c r="F17868" s="0" t="inlineStr">
        <is>
          <t xml:space="preserve">Mazda</t>
        </is>
      </c>
      <c r="G17868" s="0" t="s">
        <v>171</v>
      </c>
      <c r="H17868" s="5">
        <v>282.986400</v>
      </c>
    </row>
    <row r="17869" spans="1:9">
      <c r="A17869" s="22" t="str">
        <f>HYPERLINK("https://app.vivvix.com/360/KMI/IntelliDrive/ApplUI/Pages/CreativePages/CustomReportCreativeDetail.aspx?App=23&amp;ReportView=4&amp;Qid=1711279&amp;Row=17861&amp;Col=1","No Title Assigned - #15277163553")</f>
        <v/>
      </c>
      <c r="B17869" s="0" t="s">
        <v>23645</v>
      </c>
      <c r="E17869" s="0" t="inlineStr">
        <is>
          <t xml:space="preserve">Mazda</t>
        </is>
      </c>
      <c r="F17869" s="0" t="inlineStr">
        <is>
          <t xml:space="preserve">Mazda</t>
        </is>
      </c>
      <c r="G17869" s="0" t="s">
        <v>171</v>
      </c>
      <c r="H17869" s="5">
        <v>127.739500</v>
      </c>
    </row>
    <row r="17870" spans="1:9">
      <c r="A17870" s="22" t="str">
        <f>HYPERLINK("https://app.vivvix.com/360/KMI/IntelliDrive/ApplUI/Pages/CreativePages/CustomReportCreativeDetail.aspx?App=23&amp;ReportView=4&amp;Qid=1711279&amp;Row=17862&amp;Col=1","No Title Assigned - #15277163588")</f>
        <v/>
      </c>
      <c r="B17870" s="0" t="s">
        <v>23646</v>
      </c>
      <c r="E17870" s="0" t="inlineStr">
        <is>
          <t xml:space="preserve">Mazda</t>
        </is>
      </c>
      <c r="F17870" s="0" t="inlineStr">
        <is>
          <t xml:space="preserve">Mazda</t>
        </is>
      </c>
      <c r="G17870" s="0" t="s">
        <v>171</v>
      </c>
      <c r="H17870" s="5">
        <v>203.550900</v>
      </c>
    </row>
    <row r="17871" spans="1:9">
      <c r="A17871" s="22" t="str">
        <f>HYPERLINK("https://app.vivvix.com/360/KMI/IntelliDrive/ApplUI/Pages/CreativePages/CustomReportCreativeDetail.aspx?App=23&amp;ReportView=4&amp;Qid=1711279&amp;Row=17863&amp;Col=1","No Title Assigned - #15277163610")</f>
        <v/>
      </c>
      <c r="B17871" s="0" t="s">
        <v>23647</v>
      </c>
      <c r="E17871" s="0" t="inlineStr">
        <is>
          <t xml:space="preserve">Mazda</t>
        </is>
      </c>
      <c r="F17871" s="0" t="inlineStr">
        <is>
          <t xml:space="preserve">Mazda</t>
        </is>
      </c>
      <c r="G17871" s="0" t="s">
        <v>171</v>
      </c>
      <c r="H17871" s="5">
        <v>763.998000</v>
      </c>
    </row>
    <row r="17872" spans="1:9">
      <c r="A17872" s="22" t="str">
        <f>HYPERLINK("https://app.vivvix.com/360/KMI/IntelliDrive/ApplUI/Pages/CreativePages/CustomReportCreativeDetail.aspx?App=23&amp;ReportView=4&amp;Qid=1711279&amp;Row=17864&amp;Col=1","No Title Assigned - #15277163773")</f>
        <v/>
      </c>
      <c r="B17872" s="0" t="s">
        <v>23648</v>
      </c>
      <c r="E17872" s="0" t="inlineStr">
        <is>
          <t xml:space="preserve">Mazda</t>
        </is>
      </c>
      <c r="F17872" s="0" t="inlineStr">
        <is>
          <t xml:space="preserve">Mazda</t>
        </is>
      </c>
      <c r="G17872" s="0" t="s">
        <v>171</v>
      </c>
      <c r="H17872" s="5">
        <v>4559.937100</v>
      </c>
    </row>
    <row r="17873" spans="1:9">
      <c r="A17873" s="22" t="str">
        <f>HYPERLINK("https://app.vivvix.com/360/KMI/IntelliDrive/ApplUI/Pages/CreativePages/CustomReportCreativeDetail.aspx?App=23&amp;ReportView=4&amp;Qid=1711279&amp;Row=17865&amp;Col=1","No Title Assigned - #15277163867")</f>
        <v/>
      </c>
      <c r="B17873" s="0" t="s">
        <v>23649</v>
      </c>
      <c r="E17873" s="0" t="inlineStr">
        <is>
          <t xml:space="preserve">Mazda</t>
        </is>
      </c>
      <c r="F17873" s="0" t="inlineStr">
        <is>
          <t xml:space="preserve">Mazda</t>
        </is>
      </c>
      <c r="G17873" s="0" t="s">
        <v>171</v>
      </c>
      <c r="H17873" s="5">
        <v>1879.423500</v>
      </c>
    </row>
    <row r="17874" spans="1:9">
      <c r="A17874" s="22" t="str">
        <f>HYPERLINK("https://app.vivvix.com/360/KMI/IntelliDrive/ApplUI/Pages/CreativePages/CustomReportCreativeDetail.aspx?App=23&amp;ReportView=4&amp;Qid=1711279&amp;Row=17866&amp;Col=1","No Title Assigned - #15277164092")</f>
        <v/>
      </c>
      <c r="B17874" s="0" t="s">
        <v>23650</v>
      </c>
      <c r="E17874" s="0" t="inlineStr">
        <is>
          <t xml:space="preserve">Mazda</t>
        </is>
      </c>
      <c r="F17874" s="0" t="inlineStr">
        <is>
          <t xml:space="preserve">Mazda</t>
        </is>
      </c>
      <c r="G17874" s="0" t="s">
        <v>171</v>
      </c>
      <c r="H17874" s="5">
        <v>167.282100</v>
      </c>
    </row>
    <row r="17875" spans="1:9">
      <c r="A17875" s="22" t="str">
        <f>HYPERLINK("https://app.vivvix.com/360/KMI/IntelliDrive/ApplUI/Pages/CreativePages/CustomReportCreativeDetail.aspx?App=23&amp;ReportView=4&amp;Qid=1711279&amp;Row=17867&amp;Col=1","No Title Assigned - #15277164233")</f>
        <v/>
      </c>
      <c r="B17875" s="0" t="s">
        <v>23651</v>
      </c>
      <c r="C17875" s="0" t="s">
        <v>23652</v>
      </c>
      <c r="D17875" s="0" t="s">
        <v>23652</v>
      </c>
      <c r="E17875" s="0" t="inlineStr">
        <is>
          <t xml:space="preserve">Mazda</t>
        </is>
      </c>
      <c r="F17875" s="0" t="s">
        <v>13</v>
      </c>
      <c r="G17875" s="0" t="s">
        <v>49</v>
      </c>
      <c r="H17875" s="5">
        <v>431.229300</v>
      </c>
    </row>
    <row r="17876" spans="1:9">
      <c r="A17876" s="22" t="str">
        <f>HYPERLINK("https://app.vivvix.com/360/KMI/IntelliDrive/ApplUI/Pages/CreativePages/CustomReportCreativeDetail.aspx?App=23&amp;ReportView=4&amp;Qid=1711279&amp;Row=17868&amp;Col=1","No Title Assigned - #15277164329")</f>
        <v/>
      </c>
      <c r="B17876" s="0" t="s">
        <v>23653</v>
      </c>
      <c r="C17876" s="0" t="s">
        <v>23654</v>
      </c>
      <c r="D17876" s="0" t="s">
        <v>23654</v>
      </c>
      <c r="E17876" s="0" t="inlineStr">
        <is>
          <t xml:space="preserve">Mazda</t>
        </is>
      </c>
      <c r="F17876" s="0" t="inlineStr">
        <is>
          <t xml:space="preserve">Mazda</t>
        </is>
      </c>
      <c r="G17876" s="0" t="s">
        <v>171</v>
      </c>
      <c r="H17876" s="5">
        <v>30.163900</v>
      </c>
    </row>
    <row r="17877" spans="1:9">
      <c r="A17877" s="22" t="str">
        <f>HYPERLINK("https://app.vivvix.com/360/KMI/IntelliDrive/ApplUI/Pages/CreativePages/CustomReportCreativeDetail.aspx?App=23&amp;ReportView=4&amp;Qid=1711279&amp;Row=17869&amp;Col=1","No Title Assigned - #15277164437")</f>
        <v/>
      </c>
      <c r="B17877" s="0" t="s">
        <v>23655</v>
      </c>
      <c r="E17877" s="0" t="inlineStr">
        <is>
          <t xml:space="preserve">Mazda</t>
        </is>
      </c>
      <c r="F17877" s="0" t="inlineStr">
        <is>
          <t xml:space="preserve">Mazda</t>
        </is>
      </c>
      <c r="G17877" s="0" t="s">
        <v>171</v>
      </c>
      <c r="H17877" s="5">
        <v>132.964700</v>
      </c>
    </row>
    <row r="17878" spans="1:9">
      <c r="A17878" s="22" t="str">
        <f>HYPERLINK("https://app.vivvix.com/360/KMI/IntelliDrive/ApplUI/Pages/CreativePages/CustomReportCreativeDetail.aspx?App=23&amp;ReportView=4&amp;Qid=1711279&amp;Row=17870&amp;Col=1","No Title Assigned - #15277164746")</f>
        <v/>
      </c>
      <c r="B17878" s="0" t="s">
        <v>23656</v>
      </c>
      <c r="E17878" s="0" t="inlineStr">
        <is>
          <t xml:space="preserve">Mazda</t>
        </is>
      </c>
      <c r="F17878" s="0" t="inlineStr">
        <is>
          <t xml:space="preserve">Mazda</t>
        </is>
      </c>
      <c r="G17878" s="0" t="s">
        <v>171</v>
      </c>
      <c r="H17878" s="5">
        <v>271.185700</v>
      </c>
    </row>
    <row r="17879" spans="1:9">
      <c r="A17879" s="22" t="str">
        <f>HYPERLINK("https://app.vivvix.com/360/KMI/IntelliDrive/ApplUI/Pages/CreativePages/CustomReportCreativeDetail.aspx?App=23&amp;ReportView=4&amp;Qid=1711279&amp;Row=17871&amp;Col=1","No Title Assigned - #15277164746")</f>
        <v/>
      </c>
      <c r="B17879" s="0" t="s">
        <v>23656</v>
      </c>
      <c r="E17879" s="0" t="inlineStr">
        <is>
          <t xml:space="preserve">Mazda</t>
        </is>
      </c>
      <c r="F17879" s="0" t="inlineStr">
        <is>
          <t xml:space="preserve">Mazda</t>
        </is>
      </c>
      <c r="G17879" s="0" t="s">
        <v>171</v>
      </c>
      <c r="H17879" s="5">
        <v>405.244200</v>
      </c>
    </row>
    <row r="17880" spans="1:9">
      <c r="A17880" s="22" t="str">
        <f>HYPERLINK("https://app.vivvix.com/360/KMI/IntelliDrive/ApplUI/Pages/CreativePages/CustomReportCreativeDetail.aspx?App=23&amp;ReportView=4&amp;Qid=1711279&amp;Row=17872&amp;Col=1","No Title Assigned - #15277164879")</f>
        <v/>
      </c>
      <c r="B17880" s="0" t="s">
        <v>23657</v>
      </c>
      <c r="E17880" s="0" t="inlineStr">
        <is>
          <t xml:space="preserve">Mazda</t>
        </is>
      </c>
      <c r="F17880" s="0" t="inlineStr">
        <is>
          <t xml:space="preserve">Mazda</t>
        </is>
      </c>
      <c r="G17880" s="0" t="s">
        <v>171</v>
      </c>
      <c r="H17880" s="5">
        <v>13253.724500</v>
      </c>
    </row>
    <row r="17881" spans="1:9">
      <c r="A17881" s="22" t="str">
        <f>HYPERLINK("https://app.vivvix.com/360/KMI/IntelliDrive/ApplUI/Pages/CreativePages/CustomReportCreativeDetail.aspx?App=23&amp;ReportView=4&amp;Qid=1711279&amp;Row=17873&amp;Col=1","No Title Assigned - #15277165143")</f>
        <v/>
      </c>
      <c r="B17881" s="0" t="s">
        <v>23658</v>
      </c>
      <c r="E17881" s="0" t="inlineStr">
        <is>
          <t xml:space="preserve">Mazda</t>
        </is>
      </c>
      <c r="F17881" s="0" t="inlineStr">
        <is>
          <t xml:space="preserve">Mazda</t>
        </is>
      </c>
      <c r="G17881" s="0" t="s">
        <v>171</v>
      </c>
      <c r="H17881" s="5">
        <v>18.127800</v>
      </c>
    </row>
    <row r="17882" spans="1:9">
      <c r="A17882" s="22" t="str">
        <f>HYPERLINK("https://app.vivvix.com/360/KMI/IntelliDrive/ApplUI/Pages/CreativePages/CustomReportCreativeDetail.aspx?App=23&amp;ReportView=4&amp;Qid=1711279&amp;Row=17874&amp;Col=1","No Title Assigned - #15277165144")</f>
        <v/>
      </c>
      <c r="B17882" s="0" t="s">
        <v>23659</v>
      </c>
      <c r="E17882" s="0" t="inlineStr">
        <is>
          <t xml:space="preserve">Mazda</t>
        </is>
      </c>
      <c r="F17882" s="0" t="inlineStr">
        <is>
          <t xml:space="preserve">Mazda</t>
        </is>
      </c>
      <c r="G17882" s="0" t="s">
        <v>171</v>
      </c>
      <c r="H17882" s="5">
        <v>2029.700200</v>
      </c>
    </row>
    <row r="17883" spans="1:9">
      <c r="A17883" s="22" t="str">
        <f>HYPERLINK("https://app.vivvix.com/360/KMI/IntelliDrive/ApplUI/Pages/CreativePages/CustomReportCreativeDetail.aspx?App=23&amp;ReportView=4&amp;Qid=1711279&amp;Row=17875&amp;Col=1","No Title Assigned - #15277165144")</f>
        <v/>
      </c>
      <c r="B17883" s="0" t="s">
        <v>23659</v>
      </c>
      <c r="E17883" s="0" t="inlineStr">
        <is>
          <t xml:space="preserve">Mazda</t>
        </is>
      </c>
      <c r="F17883" s="0" t="inlineStr">
        <is>
          <t xml:space="preserve">Mazda</t>
        </is>
      </c>
      <c r="G17883" s="0" t="s">
        <v>171</v>
      </c>
      <c r="H17883" s="5">
        <v>395.298500</v>
      </c>
    </row>
    <row r="17884" spans="1:9">
      <c r="A17884" s="22" t="str">
        <f>HYPERLINK("https://app.vivvix.com/360/KMI/IntelliDrive/ApplUI/Pages/CreativePages/CustomReportCreativeDetail.aspx?App=23&amp;ReportView=4&amp;Qid=1711279&amp;Row=17876&amp;Col=1","No Title Assigned - #15277165170")</f>
        <v/>
      </c>
      <c r="B17884" s="0" t="s">
        <v>23660</v>
      </c>
      <c r="C17884" s="0" t="s">
        <v>23661</v>
      </c>
      <c r="D17884" s="0" t="s">
        <v>23661</v>
      </c>
      <c r="E17884" s="0" t="inlineStr">
        <is>
          <t xml:space="preserve">Mazda</t>
        </is>
      </c>
      <c r="F17884" s="0" t="inlineStr">
        <is>
          <t xml:space="preserve">Mazda</t>
        </is>
      </c>
      <c r="G17884" s="0" t="s">
        <v>171</v>
      </c>
      <c r="H17884" s="5">
        <v>832.118400</v>
      </c>
    </row>
    <row r="17885" spans="1:9">
      <c r="A17885" s="22" t="str">
        <f>HYPERLINK("https://app.vivvix.com/360/KMI/IntelliDrive/ApplUI/Pages/CreativePages/CustomReportCreativeDetail.aspx?App=23&amp;ReportView=4&amp;Qid=1711279&amp;Row=17877&amp;Col=1","No Title Assigned - #15277165170")</f>
        <v/>
      </c>
      <c r="B17885" s="0" t="s">
        <v>23660</v>
      </c>
      <c r="E17885" s="0" t="inlineStr">
        <is>
          <t xml:space="preserve">Mazda</t>
        </is>
      </c>
      <c r="F17885" s="0" t="inlineStr">
        <is>
          <t xml:space="preserve">Mazda</t>
        </is>
      </c>
      <c r="G17885" s="0" t="s">
        <v>171</v>
      </c>
      <c r="H17885" s="5">
        <v>7599.348300</v>
      </c>
    </row>
    <row r="17886" spans="1:9">
      <c r="A17886" s="22" t="str">
        <f>HYPERLINK("https://app.vivvix.com/360/KMI/IntelliDrive/ApplUI/Pages/CreativePages/CustomReportCreativeDetail.aspx?App=23&amp;ReportView=4&amp;Qid=1711279&amp;Row=17878&amp;Col=1","No Title Assigned - #15277166028")</f>
        <v/>
      </c>
      <c r="B17886" s="0" t="s">
        <v>23662</v>
      </c>
      <c r="C17886" s="0" t="s">
        <v>23663</v>
      </c>
      <c r="D17886" s="0" t="s">
        <v>4774</v>
      </c>
      <c r="E17886" s="0" t="inlineStr">
        <is>
          <t xml:space="preserve">Mazda</t>
        </is>
      </c>
      <c r="F17886" s="0" t="s">
        <v>13</v>
      </c>
      <c r="G17886" s="0" t="s">
        <v>49</v>
      </c>
      <c r="H17886" s="5">
        <v>6.978500</v>
      </c>
    </row>
    <row r="17887" spans="1:9">
      <c r="A17887" s="22" t="str">
        <f>HYPERLINK("https://app.vivvix.com/360/KMI/IntelliDrive/ApplUI/Pages/CreativePages/CustomReportCreativeDetail.aspx?App=23&amp;ReportView=4&amp;Qid=1711279&amp;Row=17879&amp;Col=1","No Title Assigned - #15277166684")</f>
        <v/>
      </c>
      <c r="B17887" s="0" t="s">
        <v>23664</v>
      </c>
      <c r="E17887" s="0" t="inlineStr">
        <is>
          <t xml:space="preserve">Mazda</t>
        </is>
      </c>
      <c r="F17887" s="0" t="inlineStr">
        <is>
          <t xml:space="preserve">Mazda</t>
        </is>
      </c>
      <c r="G17887" s="0" t="s">
        <v>171</v>
      </c>
      <c r="H17887" s="5">
        <v>42.319500</v>
      </c>
    </row>
    <row r="17888" spans="1:9">
      <c r="A17888" s="22" t="str">
        <f>HYPERLINK("https://app.vivvix.com/360/KMI/IntelliDrive/ApplUI/Pages/CreativePages/CustomReportCreativeDetail.aspx?App=23&amp;ReportView=4&amp;Qid=1711279&amp;Row=17880&amp;Col=1","No Title Assigned - #15277167051")</f>
        <v/>
      </c>
      <c r="B17888" s="0" t="s">
        <v>23665</v>
      </c>
      <c r="C17888" s="0" t="s">
        <v>23666</v>
      </c>
      <c r="D17888" s="0" t="s">
        <v>23666</v>
      </c>
      <c r="E17888" s="0" t="inlineStr">
        <is>
          <t xml:space="preserve">Mazda</t>
        </is>
      </c>
      <c r="F17888" s="0" t="inlineStr">
        <is>
          <t xml:space="preserve">Mazda</t>
        </is>
      </c>
      <c r="G17888" s="0" t="s">
        <v>171</v>
      </c>
      <c r="H17888" s="5">
        <v>368.701500</v>
      </c>
    </row>
    <row r="17889" spans="1:9">
      <c r="A17889" s="22" t="str">
        <f>HYPERLINK("https://app.vivvix.com/360/KMI/IntelliDrive/ApplUI/Pages/CreativePages/CustomReportCreativeDetail.aspx?App=23&amp;ReportView=4&amp;Qid=1711279&amp;Row=17881&amp;Col=1","No Title Assigned - #15277167051")</f>
        <v/>
      </c>
      <c r="B17889" s="0" t="s">
        <v>23665</v>
      </c>
      <c r="E17889" s="0" t="inlineStr">
        <is>
          <t xml:space="preserve">Mazda</t>
        </is>
      </c>
      <c r="F17889" s="0" t="inlineStr">
        <is>
          <t xml:space="preserve">Mazda</t>
        </is>
      </c>
      <c r="G17889" s="0" t="s">
        <v>171</v>
      </c>
      <c r="H17889" s="5">
        <v>30.233800</v>
      </c>
    </row>
    <row r="17890" spans="1:9">
      <c r="A17890" s="22" t="str">
        <f>HYPERLINK("https://app.vivvix.com/360/KMI/IntelliDrive/ApplUI/Pages/CreativePages/CustomReportCreativeDetail.aspx?App=23&amp;ReportView=4&amp;Qid=1711279&amp;Row=17882&amp;Col=1","No Title Assigned - #15277167107")</f>
        <v/>
      </c>
      <c r="B17890" s="0" t="s">
        <v>23667</v>
      </c>
      <c r="E17890" s="0" t="inlineStr">
        <is>
          <t xml:space="preserve">Mazda</t>
        </is>
      </c>
      <c r="F17890" s="0" t="inlineStr">
        <is>
          <t xml:space="preserve">Mazda</t>
        </is>
      </c>
      <c r="G17890" s="0" t="s">
        <v>171</v>
      </c>
      <c r="H17890" s="5">
        <v>250.146500</v>
      </c>
    </row>
    <row r="17891" spans="1:9">
      <c r="A17891" s="22" t="str">
        <f>HYPERLINK("https://app.vivvix.com/360/KMI/IntelliDrive/ApplUI/Pages/CreativePages/CustomReportCreativeDetail.aspx?App=23&amp;ReportView=4&amp;Qid=1711279&amp;Row=17883&amp;Col=1","No Title Assigned - #15277167137")</f>
        <v/>
      </c>
      <c r="B17891" s="0" t="s">
        <v>23668</v>
      </c>
      <c r="E17891" s="0" t="inlineStr">
        <is>
          <t xml:space="preserve">Mazda</t>
        </is>
      </c>
      <c r="F17891" s="0" t="inlineStr">
        <is>
          <t xml:space="preserve">Mazda</t>
        </is>
      </c>
      <c r="G17891" s="0" t="s">
        <v>171</v>
      </c>
      <c r="H17891" s="5">
        <v>1879.423500</v>
      </c>
    </row>
    <row r="17892" spans="1:9">
      <c r="A17892" s="22" t="str">
        <f>HYPERLINK("https://app.vivvix.com/360/KMI/IntelliDrive/ApplUI/Pages/CreativePages/CustomReportCreativeDetail.aspx?App=23&amp;ReportView=4&amp;Qid=1711279&amp;Row=17884&amp;Col=1","No Title Assigned - #15277167245")</f>
        <v/>
      </c>
      <c r="B17892" s="0" t="s">
        <v>23669</v>
      </c>
      <c r="E17892" s="0" t="inlineStr">
        <is>
          <t xml:space="preserve">Mazda</t>
        </is>
      </c>
      <c r="F17892" s="0" t="inlineStr">
        <is>
          <t xml:space="preserve">Mazda</t>
        </is>
      </c>
      <c r="G17892" s="0" t="s">
        <v>171</v>
      </c>
      <c r="H17892" s="5">
        <v>2540.514000</v>
      </c>
    </row>
    <row r="17893" spans="1:9">
      <c r="A17893" s="22" t="str">
        <f>HYPERLINK("https://app.vivvix.com/360/KMI/IntelliDrive/ApplUI/Pages/CreativePages/CustomReportCreativeDetail.aspx?App=23&amp;ReportView=4&amp;Qid=1711279&amp;Row=17885&amp;Col=1","No Title Assigned - #15277167278")</f>
        <v/>
      </c>
      <c r="B17893" s="0" t="s">
        <v>23670</v>
      </c>
      <c r="E17893" s="0" t="inlineStr">
        <is>
          <t xml:space="preserve">Mazda</t>
        </is>
      </c>
      <c r="F17893" s="0" t="inlineStr">
        <is>
          <t xml:space="preserve">Mazda</t>
        </is>
      </c>
      <c r="G17893" s="0" t="s">
        <v>171</v>
      </c>
      <c r="H17893" s="5">
        <v>286.022200</v>
      </c>
    </row>
    <row r="17894" spans="1:9">
      <c r="A17894" s="22" t="str">
        <f>HYPERLINK("https://app.vivvix.com/360/KMI/IntelliDrive/ApplUI/Pages/CreativePages/CustomReportCreativeDetail.aspx?App=23&amp;ReportView=4&amp;Qid=1711279&amp;Row=17886&amp;Col=1","No Title Assigned - #15277168841")</f>
        <v/>
      </c>
      <c r="B17894" s="0" t="s">
        <v>23671</v>
      </c>
      <c r="C17894" s="0" t="s">
        <v>23672</v>
      </c>
      <c r="D17894" s="0" t="s">
        <v>23672</v>
      </c>
      <c r="E17894" s="0" t="inlineStr">
        <is>
          <t xml:space="preserve">Mazda</t>
        </is>
      </c>
      <c r="F17894" s="0" t="inlineStr">
        <is>
          <t xml:space="preserve">Mazda</t>
        </is>
      </c>
      <c r="G17894" s="0" t="s">
        <v>210</v>
      </c>
      <c r="H17894" s="5">
        <v>622.821100</v>
      </c>
    </row>
    <row r="17895" spans="1:9">
      <c r="A17895" s="22" t="str">
        <f>HYPERLINK("https://app.vivvix.com/360/KMI/IntelliDrive/ApplUI/Pages/CreativePages/CustomReportCreativeDetail.aspx?App=23&amp;ReportView=4&amp;Qid=1711279&amp;Row=17887&amp;Col=1","No Title Assigned - #15277170023")</f>
        <v/>
      </c>
      <c r="B17895" s="0" t="s">
        <v>23673</v>
      </c>
      <c r="C17895" s="0" t="s">
        <v>23674</v>
      </c>
      <c r="D17895" s="0" t="s">
        <v>20040</v>
      </c>
      <c r="E17895" s="0" t="inlineStr">
        <is>
          <t xml:space="preserve">Mazda</t>
        </is>
      </c>
      <c r="F17895" s="0" t="s">
        <v>13</v>
      </c>
      <c r="G17895" s="0" t="s">
        <v>49</v>
      </c>
      <c r="H17895" s="5">
        <v>290.339700</v>
      </c>
    </row>
    <row r="17896" spans="1:9">
      <c r="A17896" s="22" t="str">
        <f>HYPERLINK("https://app.vivvix.com/360/KMI/IntelliDrive/ApplUI/Pages/CreativePages/CustomReportCreativeDetail.aspx?App=23&amp;ReportView=4&amp;Qid=1711279&amp;Row=17888&amp;Col=1","No Title Assigned - #15277170179")</f>
        <v/>
      </c>
      <c r="B17896" s="0" t="s">
        <v>23675</v>
      </c>
      <c r="C17896" s="0" t="s">
        <v>23676</v>
      </c>
      <c r="D17896" s="0" t="s">
        <v>4335</v>
      </c>
      <c r="E17896" s="0" t="inlineStr">
        <is>
          <t xml:space="preserve">Mazda</t>
        </is>
      </c>
      <c r="F17896" s="0" t="s">
        <v>13</v>
      </c>
      <c r="G17896" s="0" t="s">
        <v>49</v>
      </c>
      <c r="H17896" s="5">
        <v>377.874200</v>
      </c>
    </row>
    <row r="17897" spans="1:9">
      <c r="A17897" s="22" t="str">
        <f>HYPERLINK("https://app.vivvix.com/360/KMI/IntelliDrive/ApplUI/Pages/CreativePages/CustomReportCreativeDetail.aspx?App=23&amp;ReportView=4&amp;Qid=1711279&amp;Row=17889&amp;Col=1","No Title Assigned - #15277170962")</f>
        <v/>
      </c>
      <c r="B17897" s="0" t="s">
        <v>23677</v>
      </c>
      <c r="C17897" s="0" t="s">
        <v>23678</v>
      </c>
      <c r="D17897" s="0" t="s">
        <v>23678</v>
      </c>
      <c r="E17897" s="0" t="inlineStr">
        <is>
          <t xml:space="preserve">Mazda</t>
        </is>
      </c>
      <c r="F17897" s="0" t="s">
        <v>13</v>
      </c>
      <c r="G17897" s="0" t="s">
        <v>49</v>
      </c>
      <c r="H17897" s="5">
        <v>31.909500</v>
      </c>
    </row>
    <row r="17898" spans="1:9">
      <c r="A17898" s="22" t="str">
        <f>HYPERLINK("https://app.vivvix.com/360/KMI/IntelliDrive/ApplUI/Pages/CreativePages/CustomReportCreativeDetail.aspx?App=23&amp;ReportView=4&amp;Qid=1711279&amp;Row=17890&amp;Col=1","No Title Assigned - #15277171398")</f>
        <v/>
      </c>
      <c r="B17898" s="0" t="s">
        <v>23679</v>
      </c>
      <c r="C17898" s="0" t="s">
        <v>23680</v>
      </c>
      <c r="D17898" s="0" t="s">
        <v>23680</v>
      </c>
      <c r="E17898" s="0" t="inlineStr">
        <is>
          <t xml:space="preserve">Mazda</t>
        </is>
      </c>
      <c r="F17898" s="0" t="s">
        <v>13</v>
      </c>
      <c r="G17898" s="0" t="s">
        <v>49</v>
      </c>
      <c r="H17898" s="5">
        <v>854.538200</v>
      </c>
    </row>
    <row r="17899" spans="1:9">
      <c r="A17899" s="22" t="str">
        <f>HYPERLINK("https://app.vivvix.com/360/KMI/IntelliDrive/ApplUI/Pages/CreativePages/CustomReportCreativeDetail.aspx?App=23&amp;ReportView=4&amp;Qid=1711279&amp;Row=17891&amp;Col=1","No Title Assigned - #15277171512")</f>
        <v/>
      </c>
      <c r="B17899" s="0" t="s">
        <v>23681</v>
      </c>
      <c r="C17899" s="0" t="s">
        <v>23682</v>
      </c>
      <c r="D17899" s="0" t="s">
        <v>19918</v>
      </c>
      <c r="E17899" s="0" t="inlineStr">
        <is>
          <t xml:space="preserve">Mazda</t>
        </is>
      </c>
      <c r="F17899" s="0" t="inlineStr">
        <is>
          <t xml:space="preserve">Mazda</t>
        </is>
      </c>
      <c r="G17899" s="0" t="s">
        <v>210</v>
      </c>
      <c r="H17899" s="5">
        <v>449.206300</v>
      </c>
    </row>
    <row r="17900" spans="1:9">
      <c r="A17900" s="22" t="str">
        <f>HYPERLINK("https://app.vivvix.com/360/KMI/IntelliDrive/ApplUI/Pages/CreativePages/CustomReportCreativeDetail.aspx?App=23&amp;ReportView=4&amp;Qid=1711279&amp;Row=17892&amp;Col=1","No Title Assigned - #15277174974")</f>
        <v/>
      </c>
      <c r="B17900" s="0" t="s">
        <v>23683</v>
      </c>
      <c r="E17900" s="0" t="inlineStr">
        <is>
          <t xml:space="preserve">Mazda</t>
        </is>
      </c>
      <c r="F17900" s="0" t="s">
        <v>13</v>
      </c>
      <c r="G17900" s="0" t="s">
        <v>49</v>
      </c>
      <c r="H17900" s="5">
        <v>2006.653600</v>
      </c>
    </row>
    <row r="17901" spans="1:9">
      <c r="A17901" s="22" t="str">
        <f>HYPERLINK("https://app.vivvix.com/360/KMI/IntelliDrive/ApplUI/Pages/CreativePages/CustomReportCreativeDetail.aspx?App=23&amp;ReportView=4&amp;Qid=1711279&amp;Row=17893&amp;Col=1","No Title Assigned - #15277174974")</f>
        <v/>
      </c>
      <c r="B17901" s="0" t="s">
        <v>23683</v>
      </c>
      <c r="C17901" s="0" t="s">
        <v>23684</v>
      </c>
      <c r="D17901" s="0" t="s">
        <v>23684</v>
      </c>
      <c r="E17901" s="0" t="inlineStr">
        <is>
          <t xml:space="preserve">Mazda</t>
        </is>
      </c>
      <c r="F17901" s="0" t="s">
        <v>13</v>
      </c>
      <c r="G17901" s="0" t="s">
        <v>49</v>
      </c>
      <c r="H17901" s="5">
        <v>394.172100</v>
      </c>
    </row>
    <row r="17902" spans="1:9">
      <c r="A17902" s="22" t="str">
        <f>HYPERLINK("https://app.vivvix.com/360/KMI/IntelliDrive/ApplUI/Pages/CreativePages/CustomReportCreativeDetail.aspx?App=23&amp;ReportView=4&amp;Qid=1711279&amp;Row=17894&amp;Col=1","No Title Assigned - #15277175721")</f>
        <v/>
      </c>
      <c r="B17902" s="0" t="s">
        <v>23685</v>
      </c>
      <c r="C17902" s="0" t="s">
        <v>23686</v>
      </c>
      <c r="D17902" s="0" t="s">
        <v>23686</v>
      </c>
      <c r="E17902" s="0" t="inlineStr">
        <is>
          <t xml:space="preserve">Mazda</t>
        </is>
      </c>
      <c r="F17902" s="0" t="s">
        <v>13</v>
      </c>
      <c r="G17902" s="0" t="s">
        <v>49</v>
      </c>
      <c r="H17902" s="5">
        <v>39.251000</v>
      </c>
    </row>
    <row r="17903" spans="1:9">
      <c r="A17903" s="22" t="str">
        <f>HYPERLINK("https://app.vivvix.com/360/KMI/IntelliDrive/ApplUI/Pages/CreativePages/CustomReportCreativeDetail.aspx?App=23&amp;ReportView=4&amp;Qid=1711279&amp;Row=17895&amp;Col=1","No Title Assigned - #15277175807")</f>
        <v/>
      </c>
      <c r="B17903" s="0" t="s">
        <v>23687</v>
      </c>
      <c r="C17903" s="0" t="s">
        <v>23688</v>
      </c>
      <c r="D17903" s="0" t="s">
        <v>10004</v>
      </c>
      <c r="E17903" s="0" t="inlineStr">
        <is>
          <t xml:space="preserve">Mazda</t>
        </is>
      </c>
      <c r="F17903" s="0" t="s">
        <v>13</v>
      </c>
      <c r="G17903" s="0" t="s">
        <v>49</v>
      </c>
      <c r="H17903" s="5">
        <v>31.909500</v>
      </c>
    </row>
    <row r="17904" spans="1:9">
      <c r="A17904" s="22" t="str">
        <f>HYPERLINK("https://app.vivvix.com/360/KMI/IntelliDrive/ApplUI/Pages/CreativePages/CustomReportCreativeDetail.aspx?App=23&amp;ReportView=4&amp;Qid=1711279&amp;Row=17896&amp;Col=1","No Title Assigned - #15277178775")</f>
        <v/>
      </c>
      <c r="B17904" s="0" t="s">
        <v>23689</v>
      </c>
      <c r="C17904" s="0" t="s">
        <v>23690</v>
      </c>
      <c r="D17904" s="0" t="s">
        <v>4452</v>
      </c>
      <c r="E17904" s="0" t="inlineStr">
        <is>
          <t xml:space="preserve">Mazda</t>
        </is>
      </c>
      <c r="F17904" s="0" t="s">
        <v>369</v>
      </c>
      <c r="G17904" s="0" t="s">
        <v>370</v>
      </c>
      <c r="H17904" s="5">
        <v>15.350500</v>
      </c>
    </row>
    <row r="17905" spans="1:9">
      <c r="A17905" s="22" t="str">
        <f>HYPERLINK("https://app.vivvix.com/360/KMI/IntelliDrive/ApplUI/Pages/CreativePages/CustomReportCreativeDetail.aspx?App=23&amp;ReportView=4&amp;Qid=1711279&amp;Row=17897&amp;Col=1","No Title Assigned - #15277185064")</f>
        <v/>
      </c>
      <c r="B17905" s="0" t="s">
        <v>23691</v>
      </c>
      <c r="C17905" s="0" t="s">
        <v>23692</v>
      </c>
      <c r="D17905" s="0" t="s">
        <v>23692</v>
      </c>
      <c r="E17905" s="0" t="inlineStr">
        <is>
          <t xml:space="preserve">Mazda</t>
        </is>
      </c>
      <c r="F17905" s="0" t="s">
        <v>13</v>
      </c>
      <c r="G17905" s="0" t="s">
        <v>49</v>
      </c>
      <c r="H17905" s="5">
        <v>1440.734300</v>
      </c>
    </row>
    <row r="17906" spans="1:9">
      <c r="A17906" s="22" t="str">
        <f>HYPERLINK("https://app.vivvix.com/360/KMI/IntelliDrive/ApplUI/Pages/CreativePages/CustomReportCreativeDetail.aspx?App=23&amp;ReportView=4&amp;Qid=1711279&amp;Row=17898&amp;Col=1","No Title Assigned - #15277185238")</f>
        <v/>
      </c>
      <c r="B17906" s="0" t="s">
        <v>23693</v>
      </c>
      <c r="C17906" s="0" t="s">
        <v>23694</v>
      </c>
      <c r="D17906" s="0" t="s">
        <v>23694</v>
      </c>
      <c r="E17906" s="0" t="inlineStr">
        <is>
          <t xml:space="preserve">Mazda</t>
        </is>
      </c>
      <c r="F17906" s="0" t="s">
        <v>13</v>
      </c>
      <c r="G17906" s="0" t="s">
        <v>49</v>
      </c>
      <c r="H17906" s="5">
        <v>848.633600</v>
      </c>
    </row>
    <row r="17907" spans="1:9">
      <c r="A17907" s="22" t="str">
        <f>HYPERLINK("https://app.vivvix.com/360/KMI/IntelliDrive/ApplUI/Pages/CreativePages/CustomReportCreativeDetail.aspx?App=23&amp;ReportView=4&amp;Qid=1711279&amp;Row=17899&amp;Col=1","No Title Assigned - #15277188118")</f>
        <v/>
      </c>
      <c r="B17907" s="0" t="s">
        <v>23695</v>
      </c>
      <c r="C17907" s="0" t="s">
        <v>23696</v>
      </c>
      <c r="D17907" s="0" t="s">
        <v>23696</v>
      </c>
      <c r="E17907" s="0" t="inlineStr">
        <is>
          <t xml:space="preserve">Mazda</t>
        </is>
      </c>
      <c r="F17907" s="0" t="s">
        <v>13</v>
      </c>
      <c r="G17907" s="0" t="s">
        <v>49</v>
      </c>
      <c r="H17907" s="5">
        <v>73.588700</v>
      </c>
    </row>
    <row r="17908" spans="1:9">
      <c r="A17908" s="22" t="str">
        <f>HYPERLINK("https://app.vivvix.com/360/KMI/IntelliDrive/ApplUI/Pages/CreativePages/CustomReportCreativeDetail.aspx?App=23&amp;ReportView=4&amp;Qid=1711279&amp;Row=17900&amp;Col=1","No Title Assigned - #15277189403")</f>
        <v/>
      </c>
      <c r="B17908" s="0" t="s">
        <v>23697</v>
      </c>
      <c r="C17908" s="0" t="s">
        <v>23698</v>
      </c>
      <c r="D17908" s="0" t="s">
        <v>23698</v>
      </c>
      <c r="E17908" s="0" t="inlineStr">
        <is>
          <t xml:space="preserve">Mazda</t>
        </is>
      </c>
      <c r="F17908" s="0" t="s">
        <v>13</v>
      </c>
      <c r="G17908" s="0" t="s">
        <v>49</v>
      </c>
      <c r="H17908" s="5">
        <v>892.403300</v>
      </c>
    </row>
    <row r="17909" spans="1:9">
      <c r="A17909" s="22" t="str">
        <f>HYPERLINK("https://app.vivvix.com/360/KMI/IntelliDrive/ApplUI/Pages/CreativePages/CustomReportCreativeDetail.aspx?App=23&amp;ReportView=4&amp;Qid=1711279&amp;Row=17901&amp;Col=1","No Title Assigned - #15277189934")</f>
        <v/>
      </c>
      <c r="B17909" s="0" t="s">
        <v>23699</v>
      </c>
      <c r="C17909" s="0" t="s">
        <v>23700</v>
      </c>
      <c r="D17909" s="0" t="s">
        <v>23700</v>
      </c>
      <c r="E17909" s="0" t="inlineStr">
        <is>
          <t xml:space="preserve">Mazda</t>
        </is>
      </c>
      <c r="F17909" s="0" t="s">
        <v>13</v>
      </c>
      <c r="G17909" s="0" t="s">
        <v>49</v>
      </c>
      <c r="H17909" s="5">
        <v>3415.540400</v>
      </c>
    </row>
    <row r="17910" spans="1:9">
      <c r="A17910" s="22" t="str">
        <f>HYPERLINK("https://app.vivvix.com/360/KMI/IntelliDrive/ApplUI/Pages/CreativePages/CustomReportCreativeDetail.aspx?App=23&amp;ReportView=4&amp;Qid=1711279&amp;Row=17902&amp;Col=1","No Title Assigned - #15277189984")</f>
        <v/>
      </c>
      <c r="B17910" s="0" t="s">
        <v>23701</v>
      </c>
      <c r="C17910" s="0" t="s">
        <v>23702</v>
      </c>
      <c r="D17910" s="0" t="s">
        <v>23702</v>
      </c>
      <c r="E17910" s="0" t="inlineStr">
        <is>
          <t xml:space="preserve">Mazda</t>
        </is>
      </c>
      <c r="F17910" s="0" t="s">
        <v>13</v>
      </c>
      <c r="G17910" s="0" t="s">
        <v>49</v>
      </c>
      <c r="H17910" s="5">
        <v>65.632300</v>
      </c>
    </row>
    <row r="17911" spans="1:9">
      <c r="A17911" s="22" t="str">
        <f>HYPERLINK("https://app.vivvix.com/360/KMI/IntelliDrive/ApplUI/Pages/CreativePages/CustomReportCreativeDetail.aspx?App=23&amp;ReportView=4&amp;Qid=1711279&amp;Row=17903&amp;Col=1","No Title Assigned - #15277189984")</f>
        <v/>
      </c>
      <c r="B17911" s="0" t="s">
        <v>23701</v>
      </c>
      <c r="C17911" s="0" t="s">
        <v>23703</v>
      </c>
      <c r="D17911" s="0" t="s">
        <v>23703</v>
      </c>
      <c r="E17911" s="0" t="inlineStr">
        <is>
          <t xml:space="preserve">Mazda</t>
        </is>
      </c>
      <c r="F17911" s="0" t="s">
        <v>13</v>
      </c>
      <c r="G17911" s="0" t="s">
        <v>49</v>
      </c>
      <c r="H17911" s="5">
        <v>8.131000</v>
      </c>
    </row>
    <row r="17912" spans="1:9">
      <c r="A17912" s="22" t="str">
        <f>HYPERLINK("https://app.vivvix.com/360/KMI/IntelliDrive/ApplUI/Pages/CreativePages/CustomReportCreativeDetail.aspx?App=23&amp;ReportView=4&amp;Qid=1711279&amp;Row=17904&amp;Col=1","No Title Assigned - #15277191036")</f>
        <v/>
      </c>
      <c r="B17912" s="0" t="s">
        <v>23704</v>
      </c>
      <c r="C17912" s="0" t="s">
        <v>23705</v>
      </c>
      <c r="D17912" s="0" t="s">
        <v>23705</v>
      </c>
      <c r="E17912" s="0" t="inlineStr">
        <is>
          <t xml:space="preserve">Mazda</t>
        </is>
      </c>
      <c r="F17912" s="0" t="s">
        <v>13</v>
      </c>
      <c r="G17912" s="0" t="s">
        <v>49</v>
      </c>
      <c r="H17912" s="5">
        <v>2059.360800</v>
      </c>
    </row>
    <row r="17913" spans="1:9">
      <c r="A17913" s="22" t="str">
        <f>HYPERLINK("https://app.vivvix.com/360/KMI/IntelliDrive/ApplUI/Pages/CreativePages/CustomReportCreativeDetail.aspx?App=23&amp;ReportView=4&amp;Qid=1711279&amp;Row=17905&amp;Col=1","No Title Assigned - #15277191313")</f>
        <v/>
      </c>
      <c r="B17913" s="0" t="s">
        <v>23706</v>
      </c>
      <c r="C17913" s="0" t="s">
        <v>23707</v>
      </c>
      <c r="D17913" s="0" t="s">
        <v>23707</v>
      </c>
      <c r="E17913" s="0" t="inlineStr">
        <is>
          <t xml:space="preserve">Mazda</t>
        </is>
      </c>
      <c r="F17913" s="0" t="s">
        <v>13</v>
      </c>
      <c r="G17913" s="0" t="s">
        <v>49</v>
      </c>
      <c r="H17913" s="5">
        <v>417.276200</v>
      </c>
    </row>
    <row r="17914" spans="1:9">
      <c r="A17914" s="22" t="str">
        <f>HYPERLINK("https://app.vivvix.com/360/KMI/IntelliDrive/ApplUI/Pages/CreativePages/CustomReportCreativeDetail.aspx?App=23&amp;ReportView=4&amp;Qid=1711279&amp;Row=17906&amp;Col=1","No Title Assigned - #15277192386")</f>
        <v/>
      </c>
      <c r="B17914" s="0" t="s">
        <v>23708</v>
      </c>
      <c r="E17914" s="0" t="inlineStr">
        <is>
          <t xml:space="preserve">Mazda</t>
        </is>
      </c>
      <c r="F17914" s="0" t="inlineStr">
        <is>
          <t xml:space="preserve">Mazda</t>
        </is>
      </c>
      <c r="G17914" s="0" t="s">
        <v>171</v>
      </c>
      <c r="H17914" s="5">
        <v>96.179300</v>
      </c>
    </row>
    <row r="17915" spans="1:9">
      <c r="A17915" s="22" t="str">
        <f>HYPERLINK("https://app.vivvix.com/360/KMI/IntelliDrive/ApplUI/Pages/CreativePages/CustomReportCreativeDetail.aspx?App=23&amp;ReportView=4&amp;Qid=1711279&amp;Row=17907&amp;Col=1","No Title Assigned - #15277195259")</f>
        <v/>
      </c>
      <c r="B17915" s="0" t="s">
        <v>23709</v>
      </c>
      <c r="E17915" s="0" t="inlineStr">
        <is>
          <t xml:space="preserve">Mazda</t>
        </is>
      </c>
      <c r="F17915" s="0" t="inlineStr">
        <is>
          <t xml:space="preserve">Mazda</t>
        </is>
      </c>
      <c r="G17915" s="0" t="s">
        <v>171</v>
      </c>
      <c r="H17915" s="5">
        <v>2001.734600</v>
      </c>
    </row>
    <row r="17916" spans="1:9">
      <c r="A17916" s="22" t="str">
        <f>HYPERLINK("https://app.vivvix.com/360/KMI/IntelliDrive/ApplUI/Pages/CreativePages/CustomReportCreativeDetail.aspx?App=23&amp;ReportView=4&amp;Qid=1711279&amp;Row=17908&amp;Col=1","No Title Assigned - #15277196424")</f>
        <v/>
      </c>
      <c r="B17916" s="0" t="s">
        <v>23710</v>
      </c>
      <c r="E17916" s="0" t="inlineStr">
        <is>
          <t xml:space="preserve">Mazda</t>
        </is>
      </c>
      <c r="F17916" s="0" t="inlineStr">
        <is>
          <t xml:space="preserve">Mazda</t>
        </is>
      </c>
      <c r="G17916" s="0" t="s">
        <v>171</v>
      </c>
      <c r="H17916" s="5">
        <v>228.210300</v>
      </c>
    </row>
    <row r="17917" spans="1:9">
      <c r="A17917" s="22" t="str">
        <f>HYPERLINK("https://app.vivvix.com/360/KMI/IntelliDrive/ApplUI/Pages/CreativePages/CustomReportCreativeDetail.aspx?App=23&amp;ReportView=4&amp;Qid=1711279&amp;Row=17909&amp;Col=1","No Title Assigned - #15277196947")</f>
        <v/>
      </c>
      <c r="B17917" s="0" t="s">
        <v>23711</v>
      </c>
      <c r="E17917" s="0" t="inlineStr">
        <is>
          <t xml:space="preserve">Mazda</t>
        </is>
      </c>
      <c r="F17917" s="0" t="inlineStr">
        <is>
          <t xml:space="preserve">Mazda</t>
        </is>
      </c>
      <c r="G17917" s="0" t="s">
        <v>171</v>
      </c>
      <c r="H17917" s="5">
        <v>19887.717000</v>
      </c>
    </row>
    <row r="17918" spans="1:9">
      <c r="A17918" s="22" t="str">
        <f>HYPERLINK("https://app.vivvix.com/360/KMI/IntelliDrive/ApplUI/Pages/CreativePages/CustomReportCreativeDetail.aspx?App=23&amp;ReportView=4&amp;Qid=1711279&amp;Row=17910&amp;Col=1","No Title Assigned - #15277197238")</f>
        <v/>
      </c>
      <c r="B17918" s="0" t="s">
        <v>23712</v>
      </c>
      <c r="E17918" s="0" t="inlineStr">
        <is>
          <t xml:space="preserve">Mazda</t>
        </is>
      </c>
      <c r="F17918" s="0" t="inlineStr">
        <is>
          <t xml:space="preserve">Mazda</t>
        </is>
      </c>
      <c r="G17918" s="0" t="s">
        <v>171</v>
      </c>
      <c r="H17918" s="5">
        <v>113.126100</v>
      </c>
    </row>
    <row r="17919" spans="1:9">
      <c r="A17919" s="22" t="str">
        <f>HYPERLINK("https://app.vivvix.com/360/KMI/IntelliDrive/ApplUI/Pages/CreativePages/CustomReportCreativeDetail.aspx?App=23&amp;ReportView=4&amp;Qid=1711279&amp;Row=17911&amp;Col=1","No Title Assigned - #15277197413")</f>
        <v/>
      </c>
      <c r="B17919" s="0" t="s">
        <v>23713</v>
      </c>
      <c r="E17919" s="0" t="inlineStr">
        <is>
          <t xml:space="preserve">Mazda</t>
        </is>
      </c>
      <c r="F17919" s="0" t="inlineStr">
        <is>
          <t xml:space="preserve">Mazda</t>
        </is>
      </c>
      <c r="G17919" s="0" t="s">
        <v>171</v>
      </c>
      <c r="H17919" s="5">
        <v>544.966500</v>
      </c>
    </row>
    <row r="17920" spans="1:9">
      <c r="A17920" s="22" t="str">
        <f>HYPERLINK("https://app.vivvix.com/360/KMI/IntelliDrive/ApplUI/Pages/CreativePages/CustomReportCreativeDetail.aspx?App=23&amp;ReportView=4&amp;Qid=1711279&amp;Row=17912&amp;Col=1","No Title Assigned - #15277197975")</f>
        <v/>
      </c>
      <c r="B17920" s="0" t="s">
        <v>23714</v>
      </c>
      <c r="C17920" s="0" t="s">
        <v>23715</v>
      </c>
      <c r="D17920" s="0" t="s">
        <v>10004</v>
      </c>
      <c r="E17920" s="0" t="inlineStr">
        <is>
          <t xml:space="preserve">Mazda</t>
        </is>
      </c>
      <c r="F17920" s="0" t="s">
        <v>13</v>
      </c>
      <c r="G17920" s="0" t="s">
        <v>49</v>
      </c>
      <c r="H17920" s="5">
        <v>78.825300</v>
      </c>
    </row>
    <row r="17921" spans="1:9">
      <c r="A17921" s="22" t="str">
        <f>HYPERLINK("https://app.vivvix.com/360/KMI/IntelliDrive/ApplUI/Pages/CreativePages/CustomReportCreativeDetail.aspx?App=23&amp;ReportView=4&amp;Qid=1711279&amp;Row=17913&amp;Col=1","No Title Assigned - #15277198050")</f>
        <v/>
      </c>
      <c r="B17921" s="0" t="s">
        <v>23716</v>
      </c>
      <c r="E17921" s="0" t="inlineStr">
        <is>
          <t xml:space="preserve">Mazda</t>
        </is>
      </c>
      <c r="F17921" s="0" t="inlineStr">
        <is>
          <t xml:space="preserve">Mazda</t>
        </is>
      </c>
      <c r="G17921" s="0" t="s">
        <v>171</v>
      </c>
      <c r="H17921" s="5">
        <v>125.566400</v>
      </c>
    </row>
    <row r="17922" spans="1:9">
      <c r="A17922" s="22" t="str">
        <f>HYPERLINK("https://app.vivvix.com/360/KMI/IntelliDrive/ApplUI/Pages/CreativePages/CustomReportCreativeDetail.aspx?App=23&amp;ReportView=4&amp;Qid=1711279&amp;Row=17914&amp;Col=1","No Title Assigned - #15277199117")</f>
        <v/>
      </c>
      <c r="B17922" s="0" t="s">
        <v>23717</v>
      </c>
      <c r="E17922" s="0" t="inlineStr">
        <is>
          <t xml:space="preserve">Mazda</t>
        </is>
      </c>
      <c r="F17922" s="0" t="inlineStr">
        <is>
          <t xml:space="preserve">Mazda</t>
        </is>
      </c>
      <c r="G17922" s="0" t="s">
        <v>171</v>
      </c>
      <c r="H17922" s="5">
        <v>1001.742000</v>
      </c>
    </row>
    <row r="17923" spans="1:9">
      <c r="A17923" s="22" t="str">
        <f>HYPERLINK("https://app.vivvix.com/360/KMI/IntelliDrive/ApplUI/Pages/CreativePages/CustomReportCreativeDetail.aspx?App=23&amp;ReportView=4&amp;Qid=1711279&amp;Row=17915&amp;Col=1","No Title Assigned - #15277201518")</f>
        <v/>
      </c>
      <c r="B17923" s="0" t="s">
        <v>23718</v>
      </c>
      <c r="E17923" s="0" t="inlineStr">
        <is>
          <t xml:space="preserve">Mazda</t>
        </is>
      </c>
      <c r="F17923" s="0" t="inlineStr">
        <is>
          <t xml:space="preserve">Mazda</t>
        </is>
      </c>
      <c r="G17923" s="0" t="s">
        <v>171</v>
      </c>
      <c r="H17923" s="5">
        <v>239.269800</v>
      </c>
    </row>
    <row r="17924" spans="1:9">
      <c r="A17924" s="22" t="str">
        <f>HYPERLINK("https://app.vivvix.com/360/KMI/IntelliDrive/ApplUI/Pages/CreativePages/CustomReportCreativeDetail.aspx?App=23&amp;ReportView=4&amp;Qid=1711279&amp;Row=17916&amp;Col=1","No Title Assigned - #15277201639")</f>
        <v/>
      </c>
      <c r="B17924" s="0" t="s">
        <v>23719</v>
      </c>
      <c r="E17924" s="0" t="inlineStr">
        <is>
          <t xml:space="preserve">Mazda</t>
        </is>
      </c>
      <c r="F17924" s="0" t="inlineStr">
        <is>
          <t xml:space="preserve">Mazda</t>
        </is>
      </c>
      <c r="G17924" s="0" t="s">
        <v>171</v>
      </c>
      <c r="H17924" s="5">
        <v>3069.153000</v>
      </c>
    </row>
    <row r="17925" spans="1:9">
      <c r="A17925" s="22" t="str">
        <f>HYPERLINK("https://app.vivvix.com/360/KMI/IntelliDrive/ApplUI/Pages/CreativePages/CustomReportCreativeDetail.aspx?App=23&amp;ReportView=4&amp;Qid=1711279&amp;Row=17917&amp;Col=1","No Title Assigned - #15277201667")</f>
        <v/>
      </c>
      <c r="B17925" s="0" t="s">
        <v>23720</v>
      </c>
      <c r="E17925" s="0" t="inlineStr">
        <is>
          <t xml:space="preserve">Mazda</t>
        </is>
      </c>
      <c r="F17925" s="0" t="inlineStr">
        <is>
          <t xml:space="preserve">Mazda</t>
        </is>
      </c>
      <c r="G17925" s="0" t="s">
        <v>171</v>
      </c>
      <c r="H17925" s="5">
        <v>1328.775600</v>
      </c>
    </row>
    <row r="17926" spans="1:9">
      <c r="A17926" s="22" t="str">
        <f>HYPERLINK("https://app.vivvix.com/360/KMI/IntelliDrive/ApplUI/Pages/CreativePages/CustomReportCreativeDetail.aspx?App=23&amp;ReportView=4&amp;Qid=1711279&amp;Row=17918&amp;Col=1","No Title Assigned - #15277201922")</f>
        <v/>
      </c>
      <c r="B17926" s="0" t="s">
        <v>23721</v>
      </c>
      <c r="E17926" s="0" t="inlineStr">
        <is>
          <t xml:space="preserve">Mazda</t>
        </is>
      </c>
      <c r="F17926" s="0" t="inlineStr">
        <is>
          <t xml:space="preserve">Mazda</t>
        </is>
      </c>
      <c r="G17926" s="0" t="s">
        <v>171</v>
      </c>
      <c r="H17926" s="5">
        <v>594.638700</v>
      </c>
    </row>
    <row r="17927" spans="1:9">
      <c r="A17927" s="22" t="str">
        <f>HYPERLINK("https://app.vivvix.com/360/KMI/IntelliDrive/ApplUI/Pages/CreativePages/CustomReportCreativeDetail.aspx?App=23&amp;ReportView=4&amp;Qid=1711279&amp;Row=17919&amp;Col=1","No Title Assigned - #15277202073")</f>
        <v/>
      </c>
      <c r="B17927" s="0" t="s">
        <v>23722</v>
      </c>
      <c r="E17927" s="0" t="inlineStr">
        <is>
          <t xml:space="preserve">Mazda</t>
        </is>
      </c>
      <c r="F17927" s="0" t="inlineStr">
        <is>
          <t xml:space="preserve">Mazda</t>
        </is>
      </c>
      <c r="G17927" s="0" t="s">
        <v>171</v>
      </c>
      <c r="H17927" s="5">
        <v>269.690300</v>
      </c>
    </row>
    <row r="17928" spans="1:9">
      <c r="A17928" s="22" t="str">
        <f>HYPERLINK("https://app.vivvix.com/360/KMI/IntelliDrive/ApplUI/Pages/CreativePages/CustomReportCreativeDetail.aspx?App=23&amp;ReportView=4&amp;Qid=1711279&amp;Row=17920&amp;Col=1","No Title Assigned - #15277202510")</f>
        <v/>
      </c>
      <c r="B17928" s="0" t="s">
        <v>23723</v>
      </c>
      <c r="C17928" s="0" t="s">
        <v>23724</v>
      </c>
      <c r="D17928" s="0" t="s">
        <v>23724</v>
      </c>
      <c r="E17928" s="0" t="inlineStr">
        <is>
          <t xml:space="preserve">Mazda</t>
        </is>
      </c>
      <c r="F17928" s="0" t="s">
        <v>369</v>
      </c>
      <c r="G17928" s="0" t="s">
        <v>370</v>
      </c>
    </row>
    <row r="17929" spans="1:9">
      <c r="A17929" s="22" t="str">
        <f>HYPERLINK("https://app.vivvix.com/360/KMI/IntelliDrive/ApplUI/Pages/CreativePages/CustomReportCreativeDetail.aspx?App=23&amp;ReportView=4&amp;Qid=1711279&amp;Row=17921&amp;Col=1","No Title Assigned - #15277202667")</f>
        <v/>
      </c>
      <c r="B17929" s="0" t="s">
        <v>23725</v>
      </c>
      <c r="E17929" s="0" t="inlineStr">
        <is>
          <t xml:space="preserve">Mazda</t>
        </is>
      </c>
      <c r="F17929" s="0" t="inlineStr">
        <is>
          <t xml:space="preserve">Mazda</t>
        </is>
      </c>
      <c r="G17929" s="0" t="s">
        <v>171</v>
      </c>
      <c r="H17929" s="5">
        <v>167.132500</v>
      </c>
    </row>
    <row r="17930" spans="1:9">
      <c r="A17930" s="22" t="str">
        <f>HYPERLINK("https://app.vivvix.com/360/KMI/IntelliDrive/ApplUI/Pages/CreativePages/CustomReportCreativeDetail.aspx?App=23&amp;ReportView=4&amp;Qid=1711279&amp;Row=17922&amp;Col=1","No Title Assigned - #15277202721")</f>
        <v/>
      </c>
      <c r="B17930" s="0" t="s">
        <v>23726</v>
      </c>
      <c r="E17930" s="0" t="inlineStr">
        <is>
          <t xml:space="preserve">Mazda</t>
        </is>
      </c>
      <c r="F17930" s="0" t="inlineStr">
        <is>
          <t xml:space="preserve">Mazda</t>
        </is>
      </c>
      <c r="G17930" s="0" t="s">
        <v>171</v>
      </c>
      <c r="H17930" s="5">
        <v>430.255800</v>
      </c>
    </row>
    <row r="17931" spans="1:9">
      <c r="A17931" s="22" t="str">
        <f>HYPERLINK("https://app.vivvix.com/360/KMI/IntelliDrive/ApplUI/Pages/CreativePages/CustomReportCreativeDetail.aspx?App=23&amp;ReportView=4&amp;Qid=1711279&amp;Row=17923&amp;Col=1","No Title Assigned - #15277202721")</f>
        <v/>
      </c>
      <c r="B17931" s="0" t="s">
        <v>23726</v>
      </c>
      <c r="E17931" s="0" t="inlineStr">
        <is>
          <t xml:space="preserve">Mazda</t>
        </is>
      </c>
      <c r="F17931" s="0" t="inlineStr">
        <is>
          <t xml:space="preserve">Mazda</t>
        </is>
      </c>
      <c r="G17931" s="0" t="s">
        <v>171</v>
      </c>
      <c r="H17931" s="5">
        <v>24.302300</v>
      </c>
    </row>
    <row r="17932" spans="1:9">
      <c r="A17932" s="22" t="str">
        <f>HYPERLINK("https://app.vivvix.com/360/KMI/IntelliDrive/ApplUI/Pages/CreativePages/CustomReportCreativeDetail.aspx?App=23&amp;ReportView=4&amp;Qid=1711279&amp;Row=17924&amp;Col=1","No Title Assigned - #15277203096")</f>
        <v/>
      </c>
      <c r="B17932" s="0" t="s">
        <v>23727</v>
      </c>
      <c r="E17932" s="0" t="inlineStr">
        <is>
          <t xml:space="preserve">Mazda</t>
        </is>
      </c>
      <c r="F17932" s="0" t="inlineStr">
        <is>
          <t xml:space="preserve">Mazda</t>
        </is>
      </c>
      <c r="G17932" s="0" t="s">
        <v>171</v>
      </c>
      <c r="H17932" s="5">
        <v>659.969700</v>
      </c>
    </row>
    <row r="17933" spans="1:9">
      <c r="A17933" s="22" t="str">
        <f>HYPERLINK("https://app.vivvix.com/360/KMI/IntelliDrive/ApplUI/Pages/CreativePages/CustomReportCreativeDetail.aspx?App=23&amp;ReportView=4&amp;Qid=1711279&amp;Row=17925&amp;Col=1","No Title Assigned - #15277203952")</f>
        <v/>
      </c>
      <c r="B17933" s="0" t="s">
        <v>23728</v>
      </c>
      <c r="E17933" s="0" t="inlineStr">
        <is>
          <t xml:space="preserve">Mazda</t>
        </is>
      </c>
      <c r="F17933" s="0" t="inlineStr">
        <is>
          <t xml:space="preserve">Mazda</t>
        </is>
      </c>
      <c r="G17933" s="0" t="s">
        <v>171</v>
      </c>
      <c r="H17933" s="5">
        <v>3949.530600</v>
      </c>
    </row>
    <row r="17934" spans="1:9">
      <c r="A17934" s="22" t="str">
        <f>HYPERLINK("https://app.vivvix.com/360/KMI/IntelliDrive/ApplUI/Pages/CreativePages/CustomReportCreativeDetail.aspx?App=23&amp;ReportView=4&amp;Qid=1711279&amp;Row=17926&amp;Col=1","No Title Assigned - #15277203969")</f>
        <v/>
      </c>
      <c r="B17934" s="0" t="s">
        <v>23729</v>
      </c>
      <c r="E17934" s="0" t="inlineStr">
        <is>
          <t xml:space="preserve">Mazda</t>
        </is>
      </c>
      <c r="F17934" s="0" t="inlineStr">
        <is>
          <t xml:space="preserve">Mazda</t>
        </is>
      </c>
      <c r="G17934" s="0" t="s">
        <v>171</v>
      </c>
      <c r="H17934" s="5">
        <v>106.981500</v>
      </c>
    </row>
    <row r="17935" spans="1:9">
      <c r="A17935" s="22" t="str">
        <f>HYPERLINK("https://app.vivvix.com/360/KMI/IntelliDrive/ApplUI/Pages/CreativePages/CustomReportCreativeDetail.aspx?App=23&amp;ReportView=4&amp;Qid=1711279&amp;Row=17927&amp;Col=1","No Title Assigned - #15277204549")</f>
        <v/>
      </c>
      <c r="B17935" s="0" t="s">
        <v>23730</v>
      </c>
      <c r="C17935" s="0" t="s">
        <v>23731</v>
      </c>
      <c r="D17935" s="0" t="s">
        <v>5013</v>
      </c>
      <c r="E17935" s="0" t="inlineStr">
        <is>
          <t xml:space="preserve">Mazda</t>
        </is>
      </c>
      <c r="F17935" s="0" t="s">
        <v>13</v>
      </c>
      <c r="G17935" s="0" t="s">
        <v>49</v>
      </c>
      <c r="H17935" s="5">
        <v>395.508800</v>
      </c>
    </row>
    <row r="17936" spans="1:9">
      <c r="A17936" s="22" t="str">
        <f>HYPERLINK("https://app.vivvix.com/360/KMI/IntelliDrive/ApplUI/Pages/CreativePages/CustomReportCreativeDetail.aspx?App=23&amp;ReportView=4&amp;Qid=1711279&amp;Row=17928&amp;Col=1","No Title Assigned - #15277205549")</f>
        <v/>
      </c>
      <c r="B17936" s="0" t="s">
        <v>23732</v>
      </c>
      <c r="E17936" s="0" t="inlineStr">
        <is>
          <t xml:space="preserve">Mazda</t>
        </is>
      </c>
      <c r="F17936" s="0" t="inlineStr">
        <is>
          <t xml:space="preserve">Mazda</t>
        </is>
      </c>
      <c r="G17936" s="0" t="s">
        <v>171</v>
      </c>
      <c r="H17936" s="5">
        <v>1378.892700</v>
      </c>
    </row>
    <row r="17937" spans="1:9">
      <c r="A17937" s="22" t="str">
        <f>HYPERLINK("https://app.vivvix.com/360/KMI/IntelliDrive/ApplUI/Pages/CreativePages/CustomReportCreativeDetail.aspx?App=23&amp;ReportView=4&amp;Qid=1711279&amp;Row=17929&amp;Col=1","No Title Assigned - #15277205986")</f>
        <v/>
      </c>
      <c r="B17937" s="0" t="s">
        <v>23733</v>
      </c>
      <c r="E17937" s="0" t="inlineStr">
        <is>
          <t xml:space="preserve">Mazda</t>
        </is>
      </c>
      <c r="F17937" s="0" t="inlineStr">
        <is>
          <t xml:space="preserve">Mazda</t>
        </is>
      </c>
      <c r="G17937" s="0" t="s">
        <v>171</v>
      </c>
      <c r="H17937" s="5">
        <v>20.742300</v>
      </c>
    </row>
    <row r="17938" spans="1:9">
      <c r="A17938" s="22" t="str">
        <f>HYPERLINK("https://app.vivvix.com/360/KMI/IntelliDrive/ApplUI/Pages/CreativePages/CustomReportCreativeDetail.aspx?App=23&amp;ReportView=4&amp;Qid=1711279&amp;Row=17930&amp;Col=1","No Title Assigned - #15277205987")</f>
        <v/>
      </c>
      <c r="B17938" s="0" t="s">
        <v>23734</v>
      </c>
      <c r="E17938" s="0" t="inlineStr">
        <is>
          <t xml:space="preserve">Mazda</t>
        </is>
      </c>
      <c r="F17938" s="0" t="inlineStr">
        <is>
          <t xml:space="preserve">Mazda</t>
        </is>
      </c>
      <c r="G17938" s="0" t="s">
        <v>171</v>
      </c>
      <c r="H17938" s="5">
        <v>9768.615700</v>
      </c>
    </row>
    <row r="17939" spans="1:9">
      <c r="A17939" s="22" t="str">
        <f>HYPERLINK("https://app.vivvix.com/360/KMI/IntelliDrive/ApplUI/Pages/CreativePages/CustomReportCreativeDetail.aspx?App=23&amp;ReportView=4&amp;Qid=1711279&amp;Row=17931&amp;Col=1","No Title Assigned - #15277205988")</f>
        <v/>
      </c>
      <c r="B17939" s="0" t="s">
        <v>23735</v>
      </c>
      <c r="E17939" s="0" t="inlineStr">
        <is>
          <t xml:space="preserve">Mazda</t>
        </is>
      </c>
      <c r="F17939" s="0" t="inlineStr">
        <is>
          <t xml:space="preserve">Mazda</t>
        </is>
      </c>
      <c r="G17939" s="0" t="s">
        <v>171</v>
      </c>
      <c r="H17939" s="5">
        <v>674.204600</v>
      </c>
    </row>
    <row r="17940" spans="1:9">
      <c r="A17940" s="22" t="str">
        <f>HYPERLINK("https://app.vivvix.com/360/KMI/IntelliDrive/ApplUI/Pages/CreativePages/CustomReportCreativeDetail.aspx?App=23&amp;ReportView=4&amp;Qid=1711279&amp;Row=17932&amp;Col=1","No Title Assigned - #15277206823")</f>
        <v/>
      </c>
      <c r="B17940" s="0" t="s">
        <v>23736</v>
      </c>
      <c r="E17940" s="0" t="inlineStr">
        <is>
          <t xml:space="preserve">Mazda</t>
        </is>
      </c>
      <c r="F17940" s="0" t="inlineStr">
        <is>
          <t xml:space="preserve">Mazda</t>
        </is>
      </c>
      <c r="G17940" s="0" t="s">
        <v>171</v>
      </c>
      <c r="H17940" s="5">
        <v>22.829700</v>
      </c>
    </row>
    <row r="17941" spans="1:9">
      <c r="A17941" s="22" t="str">
        <f>HYPERLINK("https://app.vivvix.com/360/KMI/IntelliDrive/ApplUI/Pages/CreativePages/CustomReportCreativeDetail.aspx?App=23&amp;ReportView=4&amp;Qid=1711279&amp;Row=17933&amp;Col=1","No Title Assigned - #15277206966")</f>
        <v/>
      </c>
      <c r="B17941" s="0" t="s">
        <v>23737</v>
      </c>
      <c r="E17941" s="0" t="inlineStr">
        <is>
          <t xml:space="preserve">Mazda</t>
        </is>
      </c>
      <c r="F17941" s="0" t="inlineStr">
        <is>
          <t xml:space="preserve">Mazda</t>
        </is>
      </c>
      <c r="G17941" s="0" t="s">
        <v>171</v>
      </c>
      <c r="H17941" s="5">
        <v>578.182900</v>
      </c>
    </row>
    <row r="17942" spans="1:9">
      <c r="A17942" s="22" t="str">
        <f>HYPERLINK("https://app.vivvix.com/360/KMI/IntelliDrive/ApplUI/Pages/CreativePages/CustomReportCreativeDetail.aspx?App=23&amp;ReportView=4&amp;Qid=1711279&amp;Row=17934&amp;Col=1","No Title Assigned - #15277207095")</f>
        <v/>
      </c>
      <c r="B17942" s="0" t="s">
        <v>23738</v>
      </c>
      <c r="E17942" s="0" t="inlineStr">
        <is>
          <t xml:space="preserve">Mazda</t>
        </is>
      </c>
      <c r="F17942" s="0" t="inlineStr">
        <is>
          <t xml:space="preserve">Mazda</t>
        </is>
      </c>
      <c r="G17942" s="0" t="s">
        <v>171</v>
      </c>
      <c r="H17942" s="5">
        <v>659.173200</v>
      </c>
    </row>
    <row r="17943" spans="1:9">
      <c r="A17943" s="22" t="str">
        <f>HYPERLINK("https://app.vivvix.com/360/KMI/IntelliDrive/ApplUI/Pages/CreativePages/CustomReportCreativeDetail.aspx?App=23&amp;ReportView=4&amp;Qid=1711279&amp;Row=17935&amp;Col=1","No Title Assigned - #15277208030")</f>
        <v/>
      </c>
      <c r="B17943" s="0" t="s">
        <v>23739</v>
      </c>
      <c r="E17943" s="0" t="inlineStr">
        <is>
          <t xml:space="preserve">Mazda</t>
        </is>
      </c>
      <c r="F17943" s="0" t="inlineStr">
        <is>
          <t xml:space="preserve">Mazda</t>
        </is>
      </c>
      <c r="G17943" s="0" t="s">
        <v>171</v>
      </c>
      <c r="H17943" s="5">
        <v>242.466000</v>
      </c>
    </row>
    <row r="17944" spans="1:9">
      <c r="A17944" s="22" t="str">
        <f>HYPERLINK("https://app.vivvix.com/360/KMI/IntelliDrive/ApplUI/Pages/CreativePages/CustomReportCreativeDetail.aspx?App=23&amp;ReportView=4&amp;Qid=1711279&amp;Row=17936&amp;Col=1","No Title Assigned - #15277208039")</f>
        <v/>
      </c>
      <c r="B17944" s="0" t="s">
        <v>23740</v>
      </c>
      <c r="E17944" s="0" t="inlineStr">
        <is>
          <t xml:space="preserve">Mazda</t>
        </is>
      </c>
      <c r="F17944" s="0" t="inlineStr">
        <is>
          <t xml:space="preserve">Mazda</t>
        </is>
      </c>
      <c r="G17944" s="0" t="s">
        <v>171</v>
      </c>
      <c r="H17944" s="5">
        <v>1145.560900</v>
      </c>
    </row>
    <row r="17945" spans="1:9">
      <c r="A17945" s="22" t="str">
        <f>HYPERLINK("https://app.vivvix.com/360/KMI/IntelliDrive/ApplUI/Pages/CreativePages/CustomReportCreativeDetail.aspx?App=23&amp;ReportView=4&amp;Qid=1711279&amp;Row=17937&amp;Col=1","No Title Assigned - #15277209530")</f>
        <v/>
      </c>
      <c r="B17945" s="0" t="s">
        <v>23741</v>
      </c>
      <c r="C17945" s="0" t="s">
        <v>23742</v>
      </c>
      <c r="D17945" s="0" t="s">
        <v>23742</v>
      </c>
      <c r="E17945" s="0" t="inlineStr">
        <is>
          <t xml:space="preserve">Mazda</t>
        </is>
      </c>
      <c r="F17945" s="0" t="inlineStr">
        <is>
          <t xml:space="preserve">Mazda</t>
        </is>
      </c>
      <c r="G17945" s="0" t="s">
        <v>171</v>
      </c>
      <c r="H17945" s="5">
        <v>23.107200</v>
      </c>
    </row>
    <row r="17946" spans="1:9">
      <c r="A17946" s="22" t="str">
        <f>HYPERLINK("https://app.vivvix.com/360/KMI/IntelliDrive/ApplUI/Pages/CreativePages/CustomReportCreativeDetail.aspx?App=23&amp;ReportView=4&amp;Qid=1711279&amp;Row=17938&amp;Col=1","No Title Assigned - #15277209569")</f>
        <v/>
      </c>
      <c r="B17946" s="0" t="s">
        <v>23743</v>
      </c>
      <c r="E17946" s="0" t="inlineStr">
        <is>
          <t xml:space="preserve">Mazda</t>
        </is>
      </c>
      <c r="F17946" s="0" t="inlineStr">
        <is>
          <t xml:space="preserve">Mazda</t>
        </is>
      </c>
      <c r="G17946" s="0" t="s">
        <v>171</v>
      </c>
      <c r="H17946" s="5">
        <v>72650.255000</v>
      </c>
    </row>
    <row r="17947" spans="1:9">
      <c r="A17947" s="22" t="str">
        <f>HYPERLINK("https://app.vivvix.com/360/KMI/IntelliDrive/ApplUI/Pages/CreativePages/CustomReportCreativeDetail.aspx?App=23&amp;ReportView=4&amp;Qid=1711279&amp;Row=17939&amp;Col=1","No Title Assigned - #15277209638")</f>
        <v/>
      </c>
      <c r="B17947" s="0" t="s">
        <v>23744</v>
      </c>
      <c r="E17947" s="0" t="inlineStr">
        <is>
          <t xml:space="preserve">Mazda</t>
        </is>
      </c>
      <c r="F17947" s="0" t="inlineStr">
        <is>
          <t xml:space="preserve">Mazda</t>
        </is>
      </c>
      <c r="G17947" s="0" t="s">
        <v>171</v>
      </c>
      <c r="H17947" s="5">
        <v>395.930400</v>
      </c>
    </row>
    <row r="17948" spans="1:9">
      <c r="A17948" s="22" t="str">
        <f>HYPERLINK("https://app.vivvix.com/360/KMI/IntelliDrive/ApplUI/Pages/CreativePages/CustomReportCreativeDetail.aspx?App=23&amp;ReportView=4&amp;Qid=1711279&amp;Row=17940&amp;Col=1","No Title Assigned - #15277209839")</f>
        <v/>
      </c>
      <c r="B17948" s="0" t="s">
        <v>23745</v>
      </c>
      <c r="E17948" s="0" t="inlineStr">
        <is>
          <t xml:space="preserve">Mazda</t>
        </is>
      </c>
      <c r="F17948" s="0" t="inlineStr">
        <is>
          <t xml:space="preserve">Mazda</t>
        </is>
      </c>
      <c r="G17948" s="0" t="s">
        <v>171</v>
      </c>
      <c r="H17948" s="5">
        <v>30.213000</v>
      </c>
    </row>
    <row r="17949" spans="1:9">
      <c r="A17949" s="22" t="str">
        <f>HYPERLINK("https://app.vivvix.com/360/KMI/IntelliDrive/ApplUI/Pages/CreativePages/CustomReportCreativeDetail.aspx?App=23&amp;ReportView=4&amp;Qid=1711279&amp;Row=17941&amp;Col=1","No Title Assigned - #15277210220")</f>
        <v/>
      </c>
      <c r="B17949" s="0" t="s">
        <v>23746</v>
      </c>
      <c r="E17949" s="0" t="inlineStr">
        <is>
          <t xml:space="preserve">Mazda</t>
        </is>
      </c>
      <c r="F17949" s="0" t="inlineStr">
        <is>
          <t xml:space="preserve">Mazda</t>
        </is>
      </c>
      <c r="G17949" s="0" t="s">
        <v>171</v>
      </c>
      <c r="H17949" s="5">
        <v>3.334400</v>
      </c>
    </row>
    <row r="17950" spans="1:9">
      <c r="A17950" s="22" t="str">
        <f>HYPERLINK("https://app.vivvix.com/360/KMI/IntelliDrive/ApplUI/Pages/CreativePages/CustomReportCreativeDetail.aspx?App=23&amp;ReportView=4&amp;Qid=1711279&amp;Row=17942&amp;Col=1","No Title Assigned - #15277210226")</f>
        <v/>
      </c>
      <c r="B17950" s="0" t="s">
        <v>23747</v>
      </c>
      <c r="E17950" s="0" t="inlineStr">
        <is>
          <t xml:space="preserve">Mazda</t>
        </is>
      </c>
      <c r="F17950" s="0" t="inlineStr">
        <is>
          <t xml:space="preserve">Mazda</t>
        </is>
      </c>
      <c r="G17950" s="0" t="s">
        <v>171</v>
      </c>
      <c r="H17950" s="5">
        <v>110.574000</v>
      </c>
    </row>
    <row r="17951" spans="1:9">
      <c r="A17951" s="22" t="str">
        <f>HYPERLINK("https://app.vivvix.com/360/KMI/IntelliDrive/ApplUI/Pages/CreativePages/CustomReportCreativeDetail.aspx?App=23&amp;ReportView=4&amp;Qid=1711279&amp;Row=17943&amp;Col=1","No Title Assigned - #15277210226")</f>
        <v/>
      </c>
      <c r="B17951" s="0" t="s">
        <v>23747</v>
      </c>
      <c r="E17951" s="0" t="inlineStr">
        <is>
          <t xml:space="preserve">Mazda</t>
        </is>
      </c>
      <c r="F17951" s="0" t="inlineStr">
        <is>
          <t xml:space="preserve">Mazda</t>
        </is>
      </c>
      <c r="G17951" s="0" t="s">
        <v>171</v>
      </c>
      <c r="H17951" s="5">
        <v>31.855200</v>
      </c>
    </row>
    <row r="17952" spans="1:9">
      <c r="A17952" s="22" t="str">
        <f>HYPERLINK("https://app.vivvix.com/360/KMI/IntelliDrive/ApplUI/Pages/CreativePages/CustomReportCreativeDetail.aspx?App=23&amp;ReportView=4&amp;Qid=1711279&amp;Row=17944&amp;Col=1","No Title Assigned - #15277210435")</f>
        <v/>
      </c>
      <c r="B17952" s="0" t="s">
        <v>23748</v>
      </c>
      <c r="E17952" s="0" t="inlineStr">
        <is>
          <t xml:space="preserve">Mazda</t>
        </is>
      </c>
      <c r="F17952" s="0" t="inlineStr">
        <is>
          <t xml:space="preserve">Mazda</t>
        </is>
      </c>
      <c r="G17952" s="0" t="s">
        <v>171</v>
      </c>
      <c r="H17952" s="5">
        <v>208.863000</v>
      </c>
    </row>
    <row r="17953" spans="1:9">
      <c r="A17953" s="22" t="str">
        <f>HYPERLINK("https://app.vivvix.com/360/KMI/IntelliDrive/ApplUI/Pages/CreativePages/CustomReportCreativeDetail.aspx?App=23&amp;ReportView=4&amp;Qid=1711279&amp;Row=17945&amp;Col=1","No Title Assigned - #15277210435")</f>
        <v/>
      </c>
      <c r="B17953" s="0" t="s">
        <v>23748</v>
      </c>
      <c r="E17953" s="0" t="inlineStr">
        <is>
          <t xml:space="preserve">Mazda</t>
        </is>
      </c>
      <c r="F17953" s="0" t="inlineStr">
        <is>
          <t xml:space="preserve">Mazda</t>
        </is>
      </c>
      <c r="G17953" s="0" t="s">
        <v>171</v>
      </c>
      <c r="H17953" s="5">
        <v>865.564300</v>
      </c>
    </row>
    <row r="17954" spans="1:9">
      <c r="A17954" s="22" t="str">
        <f>HYPERLINK("https://app.vivvix.com/360/KMI/IntelliDrive/ApplUI/Pages/CreativePages/CustomReportCreativeDetail.aspx?App=23&amp;ReportView=4&amp;Qid=1711279&amp;Row=17946&amp;Col=1","No Title Assigned - #15277210672")</f>
        <v/>
      </c>
      <c r="B17954" s="0" t="s">
        <v>23749</v>
      </c>
      <c r="E17954" s="0" t="inlineStr">
        <is>
          <t xml:space="preserve">Mazda</t>
        </is>
      </c>
      <c r="F17954" s="0" t="inlineStr">
        <is>
          <t xml:space="preserve">Mazda</t>
        </is>
      </c>
      <c r="G17954" s="0" t="s">
        <v>171</v>
      </c>
      <c r="H17954" s="5">
        <v>244.120600</v>
      </c>
    </row>
    <row r="17955" spans="1:9">
      <c r="A17955" s="22" t="str">
        <f>HYPERLINK("https://app.vivvix.com/360/KMI/IntelliDrive/ApplUI/Pages/CreativePages/CustomReportCreativeDetail.aspx?App=23&amp;ReportView=4&amp;Qid=1711279&amp;Row=17947&amp;Col=1","No Title Assigned - #15277210755")</f>
        <v/>
      </c>
      <c r="B17955" s="0" t="s">
        <v>23750</v>
      </c>
      <c r="C17955" s="0" t="s">
        <v>23751</v>
      </c>
      <c r="D17955" s="0" t="s">
        <v>5013</v>
      </c>
      <c r="E17955" s="0" t="inlineStr">
        <is>
          <t xml:space="preserve">Mazda</t>
        </is>
      </c>
      <c r="F17955" s="0" t="s">
        <v>13</v>
      </c>
      <c r="G17955" s="0" t="s">
        <v>49</v>
      </c>
      <c r="H17955" s="5">
        <v>109.663900</v>
      </c>
    </row>
    <row r="17956" spans="1:9">
      <c r="A17956" s="22" t="str">
        <f>HYPERLINK("https://app.vivvix.com/360/KMI/IntelliDrive/ApplUI/Pages/CreativePages/CustomReportCreativeDetail.aspx?App=23&amp;ReportView=4&amp;Qid=1711279&amp;Row=17948&amp;Col=1","No Title Assigned - #15277210755")</f>
        <v/>
      </c>
      <c r="B17956" s="0" t="s">
        <v>23750</v>
      </c>
      <c r="E17956" s="0" t="inlineStr">
        <is>
          <t xml:space="preserve">Mazda</t>
        </is>
      </c>
      <c r="F17956" s="0" t="s">
        <v>13</v>
      </c>
      <c r="G17956" s="0" t="s">
        <v>49</v>
      </c>
      <c r="H17956" s="5">
        <v>51.654400</v>
      </c>
    </row>
    <row r="17957" spans="1:9">
      <c r="A17957" s="22" t="str">
        <f>HYPERLINK("https://app.vivvix.com/360/KMI/IntelliDrive/ApplUI/Pages/CreativePages/CustomReportCreativeDetail.aspx?App=23&amp;ReportView=4&amp;Qid=1711279&amp;Row=17949&amp;Col=1","No Title Assigned - #15277211228")</f>
        <v/>
      </c>
      <c r="B17957" s="0" t="s">
        <v>23752</v>
      </c>
      <c r="E17957" s="0" t="inlineStr">
        <is>
          <t xml:space="preserve">Mazda</t>
        </is>
      </c>
      <c r="F17957" s="0" t="inlineStr">
        <is>
          <t xml:space="preserve">Mazda</t>
        </is>
      </c>
      <c r="G17957" s="0" t="s">
        <v>171</v>
      </c>
      <c r="H17957" s="5">
        <v>13639.502500</v>
      </c>
    </row>
    <row r="17958" spans="1:9">
      <c r="A17958" s="22" t="str">
        <f>HYPERLINK("https://app.vivvix.com/360/KMI/IntelliDrive/ApplUI/Pages/CreativePages/CustomReportCreativeDetail.aspx?App=23&amp;ReportView=4&amp;Qid=1711279&amp;Row=17950&amp;Col=1","No Title Assigned - #15277211232")</f>
        <v/>
      </c>
      <c r="B17958" s="0" t="s">
        <v>23753</v>
      </c>
      <c r="E17958" s="0" t="inlineStr">
        <is>
          <t xml:space="preserve">Mazda</t>
        </is>
      </c>
      <c r="F17958" s="0" t="inlineStr">
        <is>
          <t xml:space="preserve">Mazda</t>
        </is>
      </c>
      <c r="G17958" s="0" t="s">
        <v>171</v>
      </c>
      <c r="H17958" s="5">
        <v>164.377000</v>
      </c>
    </row>
    <row r="17959" spans="1:9">
      <c r="A17959" s="22" t="str">
        <f>HYPERLINK("https://app.vivvix.com/360/KMI/IntelliDrive/ApplUI/Pages/CreativePages/CustomReportCreativeDetail.aspx?App=23&amp;ReportView=4&amp;Qid=1711279&amp;Row=17951&amp;Col=1","No Title Assigned - #15277211232")</f>
        <v/>
      </c>
      <c r="B17959" s="0" t="s">
        <v>23753</v>
      </c>
      <c r="E17959" s="0" t="inlineStr">
        <is>
          <t xml:space="preserve">Mazda</t>
        </is>
      </c>
      <c r="F17959" s="0" t="inlineStr">
        <is>
          <t xml:space="preserve">Mazda</t>
        </is>
      </c>
      <c r="G17959" s="0" t="s">
        <v>171</v>
      </c>
      <c r="H17959" s="5">
        <v>920.809200</v>
      </c>
    </row>
    <row r="17960" spans="1:9">
      <c r="A17960" s="22" t="str">
        <f>HYPERLINK("https://app.vivvix.com/360/KMI/IntelliDrive/ApplUI/Pages/CreativePages/CustomReportCreativeDetail.aspx?App=23&amp;ReportView=4&amp;Qid=1711279&amp;Row=17952&amp;Col=1","No Title Assigned - #15277211275")</f>
        <v/>
      </c>
      <c r="B17960" s="0" t="s">
        <v>23754</v>
      </c>
      <c r="E17960" s="0" t="inlineStr">
        <is>
          <t xml:space="preserve">Mazda</t>
        </is>
      </c>
      <c r="F17960" s="0" t="inlineStr">
        <is>
          <t xml:space="preserve">Mazda</t>
        </is>
      </c>
      <c r="G17960" s="0" t="s">
        <v>171</v>
      </c>
      <c r="H17960" s="5">
        <v>13.295600</v>
      </c>
    </row>
    <row r="17961" spans="1:9">
      <c r="A17961" s="22" t="str">
        <f>HYPERLINK("https://app.vivvix.com/360/KMI/IntelliDrive/ApplUI/Pages/CreativePages/CustomReportCreativeDetail.aspx?App=23&amp;ReportView=4&amp;Qid=1711279&amp;Row=17953&amp;Col=1","No Title Assigned - #15277211554")</f>
        <v/>
      </c>
      <c r="B17961" s="0" t="s">
        <v>23755</v>
      </c>
      <c r="E17961" s="0" t="inlineStr">
        <is>
          <t xml:space="preserve">Mazda</t>
        </is>
      </c>
      <c r="F17961" s="0" t="inlineStr">
        <is>
          <t xml:space="preserve">Mazda</t>
        </is>
      </c>
      <c r="G17961" s="0" t="s">
        <v>171</v>
      </c>
      <c r="H17961" s="5">
        <v>25629.828100</v>
      </c>
    </row>
    <row r="17962" spans="1:9">
      <c r="A17962" s="22" t="str">
        <f>HYPERLINK("https://app.vivvix.com/360/KMI/IntelliDrive/ApplUI/Pages/CreativePages/CustomReportCreativeDetail.aspx?App=23&amp;ReportView=4&amp;Qid=1711279&amp;Row=17954&amp;Col=1","No Title Assigned - #15277211829")</f>
        <v/>
      </c>
      <c r="B17962" s="0" t="s">
        <v>23756</v>
      </c>
      <c r="E17962" s="0" t="inlineStr">
        <is>
          <t xml:space="preserve">Mazda</t>
        </is>
      </c>
      <c r="F17962" s="0" t="inlineStr">
        <is>
          <t xml:space="preserve">Mazda</t>
        </is>
      </c>
      <c r="G17962" s="0" t="s">
        <v>171</v>
      </c>
      <c r="H17962" s="5">
        <v>530.460500</v>
      </c>
    </row>
    <row r="17963" spans="1:9">
      <c r="A17963" s="22" t="str">
        <f>HYPERLINK("https://app.vivvix.com/360/KMI/IntelliDrive/ApplUI/Pages/CreativePages/CustomReportCreativeDetail.aspx?App=23&amp;ReportView=4&amp;Qid=1711279&amp;Row=17955&amp;Col=1","No Title Assigned - #15277211883")</f>
        <v/>
      </c>
      <c r="B17963" s="0" t="s">
        <v>23757</v>
      </c>
      <c r="E17963" s="0" t="inlineStr">
        <is>
          <t xml:space="preserve">Mazda</t>
        </is>
      </c>
      <c r="F17963" s="0" t="inlineStr">
        <is>
          <t xml:space="preserve">Mazda</t>
        </is>
      </c>
      <c r="G17963" s="0" t="s">
        <v>171</v>
      </c>
      <c r="H17963" s="5">
        <v>896.090700</v>
      </c>
    </row>
    <row r="17964" spans="1:9">
      <c r="A17964" s="22" t="str">
        <f>HYPERLINK("https://app.vivvix.com/360/KMI/IntelliDrive/ApplUI/Pages/CreativePages/CustomReportCreativeDetail.aspx?App=23&amp;ReportView=4&amp;Qid=1711279&amp;Row=17956&amp;Col=1","No Title Assigned - #15277211950")</f>
        <v/>
      </c>
      <c r="B17964" s="0" t="s">
        <v>23758</v>
      </c>
      <c r="E17964" s="0" t="inlineStr">
        <is>
          <t xml:space="preserve">Mazda</t>
        </is>
      </c>
      <c r="F17964" s="0" t="inlineStr">
        <is>
          <t xml:space="preserve">Mazda</t>
        </is>
      </c>
      <c r="G17964" s="0" t="s">
        <v>171</v>
      </c>
      <c r="H17964" s="5">
        <v>6166.286900</v>
      </c>
    </row>
    <row r="17965" spans="1:9">
      <c r="A17965" s="22" t="str">
        <f>HYPERLINK("https://app.vivvix.com/360/KMI/IntelliDrive/ApplUI/Pages/CreativePages/CustomReportCreativeDetail.aspx?App=23&amp;ReportView=4&amp;Qid=1711279&amp;Row=17957&amp;Col=1","No Title Assigned - #15277213562")</f>
        <v/>
      </c>
      <c r="B17965" s="0" t="s">
        <v>23759</v>
      </c>
      <c r="E17965" s="0" t="inlineStr">
        <is>
          <t xml:space="preserve">Mazda</t>
        </is>
      </c>
      <c r="F17965" s="0" t="inlineStr">
        <is>
          <t xml:space="preserve">Mazda</t>
        </is>
      </c>
      <c r="G17965" s="0" t="s">
        <v>171</v>
      </c>
      <c r="H17965" s="5">
        <v>158.783000</v>
      </c>
    </row>
    <row r="17966" spans="1:9">
      <c r="A17966" s="22" t="str">
        <f>HYPERLINK("https://app.vivvix.com/360/KMI/IntelliDrive/ApplUI/Pages/CreativePages/CustomReportCreativeDetail.aspx?App=23&amp;ReportView=4&amp;Qid=1711279&amp;Row=17958&amp;Col=1","No Title Assigned - #15277214651")</f>
        <v/>
      </c>
      <c r="B17966" s="0" t="s">
        <v>23760</v>
      </c>
      <c r="E17966" s="0" t="inlineStr">
        <is>
          <t xml:space="preserve">Mazda</t>
        </is>
      </c>
      <c r="F17966" s="0" t="inlineStr">
        <is>
          <t xml:space="preserve">Mazda</t>
        </is>
      </c>
      <c r="G17966" s="0" t="s">
        <v>171</v>
      </c>
      <c r="H17966" s="5">
        <v>195762.912200</v>
      </c>
    </row>
    <row r="17967" spans="1:9">
      <c r="A17967" s="22" t="str">
        <f>HYPERLINK("https://app.vivvix.com/360/KMI/IntelliDrive/ApplUI/Pages/CreativePages/CustomReportCreativeDetail.aspx?App=23&amp;ReportView=4&amp;Qid=1711279&amp;Row=17959&amp;Col=1","No Title Assigned - #15277215029")</f>
        <v/>
      </c>
      <c r="B17967" s="0" t="s">
        <v>23761</v>
      </c>
      <c r="E17967" s="0" t="inlineStr">
        <is>
          <t xml:space="preserve">Mazda</t>
        </is>
      </c>
      <c r="F17967" s="0" t="inlineStr">
        <is>
          <t xml:space="preserve">Mazda</t>
        </is>
      </c>
      <c r="G17967" s="0" t="s">
        <v>171</v>
      </c>
      <c r="H17967" s="5">
        <v>860.517900</v>
      </c>
    </row>
    <row r="17968" spans="1:9">
      <c r="A17968" s="22" t="str">
        <f>HYPERLINK("https://app.vivvix.com/360/KMI/IntelliDrive/ApplUI/Pages/CreativePages/CustomReportCreativeDetail.aspx?App=23&amp;ReportView=4&amp;Qid=1711279&amp;Row=17960&amp;Col=1","No Title Assigned - #15277215358")</f>
        <v/>
      </c>
      <c r="B17968" s="0" t="s">
        <v>23762</v>
      </c>
      <c r="E17968" s="0" t="inlineStr">
        <is>
          <t xml:space="preserve">Mazda</t>
        </is>
      </c>
      <c r="F17968" s="0" t="inlineStr">
        <is>
          <t xml:space="preserve">Mazda</t>
        </is>
      </c>
      <c r="G17968" s="0" t="s">
        <v>171</v>
      </c>
      <c r="H17968" s="5">
        <v>174.462800</v>
      </c>
    </row>
    <row r="17969" spans="1:9">
      <c r="A17969" s="22" t="str">
        <f>HYPERLINK("https://app.vivvix.com/360/KMI/IntelliDrive/ApplUI/Pages/CreativePages/CustomReportCreativeDetail.aspx?App=23&amp;ReportView=4&amp;Qid=1711279&amp;Row=17961&amp;Col=1","No Title Assigned - #15277215469")</f>
        <v/>
      </c>
      <c r="B17969" s="0" t="s">
        <v>23763</v>
      </c>
      <c r="E17969" s="0" t="inlineStr">
        <is>
          <t xml:space="preserve">Mazda</t>
        </is>
      </c>
      <c r="F17969" s="0" t="inlineStr">
        <is>
          <t xml:space="preserve">Mazda</t>
        </is>
      </c>
      <c r="G17969" s="0" t="s">
        <v>171</v>
      </c>
      <c r="H17969" s="5">
        <v>1286.109000</v>
      </c>
    </row>
    <row r="17970" spans="1:9">
      <c r="A17970" s="22" t="str">
        <f>HYPERLINK("https://app.vivvix.com/360/KMI/IntelliDrive/ApplUI/Pages/CreativePages/CustomReportCreativeDetail.aspx?App=23&amp;ReportView=4&amp;Qid=1711279&amp;Row=17962&amp;Col=1","No Title Assigned - #15277215964")</f>
        <v/>
      </c>
      <c r="B17970" s="0" t="s">
        <v>23764</v>
      </c>
      <c r="E17970" s="0" t="inlineStr">
        <is>
          <t xml:space="preserve">Mazda</t>
        </is>
      </c>
      <c r="F17970" s="0" t="inlineStr">
        <is>
          <t xml:space="preserve">Mazda</t>
        </is>
      </c>
      <c r="G17970" s="0" t="s">
        <v>171</v>
      </c>
      <c r="H17970" s="5">
        <v>659.543900</v>
      </c>
    </row>
    <row r="17971" spans="1:9">
      <c r="A17971" s="22" t="str">
        <f>HYPERLINK("https://app.vivvix.com/360/KMI/IntelliDrive/ApplUI/Pages/CreativePages/CustomReportCreativeDetail.aspx?App=23&amp;ReportView=4&amp;Qid=1711279&amp;Row=17963&amp;Col=1","No Title Assigned - #15277216141")</f>
        <v/>
      </c>
      <c r="B17971" s="0" t="s">
        <v>23765</v>
      </c>
      <c r="E17971" s="0" t="inlineStr">
        <is>
          <t xml:space="preserve">Mazda</t>
        </is>
      </c>
      <c r="F17971" s="0" t="inlineStr">
        <is>
          <t xml:space="preserve">Mazda</t>
        </is>
      </c>
      <c r="G17971" s="0" t="s">
        <v>171</v>
      </c>
      <c r="H17971" s="5">
        <v>33.794100</v>
      </c>
    </row>
    <row r="17972" spans="1:9">
      <c r="A17972" s="22" t="str">
        <f>HYPERLINK("https://app.vivvix.com/360/KMI/IntelliDrive/ApplUI/Pages/CreativePages/CustomReportCreativeDetail.aspx?App=23&amp;ReportView=4&amp;Qid=1711279&amp;Row=17964&amp;Col=1","No Title Assigned - #15277216184")</f>
        <v/>
      </c>
      <c r="B17972" s="0" t="s">
        <v>23766</v>
      </c>
      <c r="E17972" s="0" t="inlineStr">
        <is>
          <t xml:space="preserve">Mazda</t>
        </is>
      </c>
      <c r="F17972" s="0" t="inlineStr">
        <is>
          <t xml:space="preserve">Mazda</t>
        </is>
      </c>
      <c r="G17972" s="0" t="s">
        <v>171</v>
      </c>
      <c r="H17972" s="5">
        <v>559.870000</v>
      </c>
    </row>
    <row r="17973" spans="1:9">
      <c r="A17973" s="22" t="str">
        <f>HYPERLINK("https://app.vivvix.com/360/KMI/IntelliDrive/ApplUI/Pages/CreativePages/CustomReportCreativeDetail.aspx?App=23&amp;ReportView=4&amp;Qid=1711279&amp;Row=17965&amp;Col=1","No Title Assigned - #15277216536")</f>
        <v/>
      </c>
      <c r="B17973" s="0" t="s">
        <v>23767</v>
      </c>
      <c r="E17973" s="0" t="inlineStr">
        <is>
          <t xml:space="preserve">Mazda</t>
        </is>
      </c>
      <c r="F17973" s="0" t="inlineStr">
        <is>
          <t xml:space="preserve">Mazda</t>
        </is>
      </c>
      <c r="G17973" s="0" t="s">
        <v>171</v>
      </c>
      <c r="H17973" s="5">
        <v>74713.423000</v>
      </c>
    </row>
    <row r="17974" spans="1:9">
      <c r="A17974" s="22" t="str">
        <f>HYPERLINK("https://app.vivvix.com/360/KMI/IntelliDrive/ApplUI/Pages/CreativePages/CustomReportCreativeDetail.aspx?App=23&amp;ReportView=4&amp;Qid=1711279&amp;Row=17966&amp;Col=1","No Title Assigned - #15277216536")</f>
        <v/>
      </c>
      <c r="B17974" s="0" t="s">
        <v>23767</v>
      </c>
      <c r="E17974" s="0" t="inlineStr">
        <is>
          <t xml:space="preserve">Mazda</t>
        </is>
      </c>
      <c r="F17974" s="0" t="inlineStr">
        <is>
          <t xml:space="preserve">Mazda</t>
        </is>
      </c>
      <c r="G17974" s="0" t="s">
        <v>171</v>
      </c>
      <c r="H17974" s="5">
        <v>403.880700</v>
      </c>
    </row>
    <row r="17975" spans="1:9">
      <c r="A17975" s="22" t="str">
        <f>HYPERLINK("https://app.vivvix.com/360/KMI/IntelliDrive/ApplUI/Pages/CreativePages/CustomReportCreativeDetail.aspx?App=23&amp;ReportView=4&amp;Qid=1711279&amp;Row=17967&amp;Col=1","No Title Assigned - #15277216567")</f>
        <v/>
      </c>
      <c r="B17975" s="0" t="s">
        <v>23768</v>
      </c>
      <c r="E17975" s="0" t="inlineStr">
        <is>
          <t xml:space="preserve">Mazda</t>
        </is>
      </c>
      <c r="F17975" s="0" t="inlineStr">
        <is>
          <t xml:space="preserve">Mazda</t>
        </is>
      </c>
      <c r="G17975" s="0" t="s">
        <v>171</v>
      </c>
      <c r="H17975" s="5">
        <v>61.796500</v>
      </c>
    </row>
    <row r="17976" spans="1:9">
      <c r="A17976" s="22" t="str">
        <f>HYPERLINK("https://app.vivvix.com/360/KMI/IntelliDrive/ApplUI/Pages/CreativePages/CustomReportCreativeDetail.aspx?App=23&amp;ReportView=4&amp;Qid=1711279&amp;Row=17968&amp;Col=1","No Title Assigned - #15277216569")</f>
        <v/>
      </c>
      <c r="B17976" s="0" t="s">
        <v>23769</v>
      </c>
      <c r="E17976" s="0" t="inlineStr">
        <is>
          <t xml:space="preserve">Mazda</t>
        </is>
      </c>
      <c r="F17976" s="0" t="inlineStr">
        <is>
          <t xml:space="preserve">Mazda</t>
        </is>
      </c>
      <c r="G17976" s="0" t="s">
        <v>171</v>
      </c>
      <c r="H17976" s="5">
        <v>99.298300</v>
      </c>
    </row>
    <row r="17977" spans="1:9">
      <c r="A17977" s="22" t="str">
        <f>HYPERLINK("https://app.vivvix.com/360/KMI/IntelliDrive/ApplUI/Pages/CreativePages/CustomReportCreativeDetail.aspx?App=23&amp;ReportView=4&amp;Qid=1711279&amp;Row=17969&amp;Col=1","No Title Assigned - #15277216836")</f>
        <v/>
      </c>
      <c r="B17977" s="0" t="s">
        <v>23770</v>
      </c>
      <c r="E17977" s="0" t="inlineStr">
        <is>
          <t xml:space="preserve">Mazda</t>
        </is>
      </c>
      <c r="F17977" s="0" t="inlineStr">
        <is>
          <t xml:space="preserve">Mazda</t>
        </is>
      </c>
      <c r="G17977" s="0" t="s">
        <v>171</v>
      </c>
      <c r="H17977" s="5">
        <v>79428.046900</v>
      </c>
    </row>
    <row r="17978" spans="1:9">
      <c r="A17978" s="22" t="str">
        <f>HYPERLINK("https://app.vivvix.com/360/KMI/IntelliDrive/ApplUI/Pages/CreativePages/CustomReportCreativeDetail.aspx?App=23&amp;ReportView=4&amp;Qid=1711279&amp;Row=17970&amp;Col=1","No Title Assigned - #15277216953")</f>
        <v/>
      </c>
      <c r="B17978" s="0" t="s">
        <v>23771</v>
      </c>
      <c r="E17978" s="0" t="inlineStr">
        <is>
          <t xml:space="preserve">Mazda</t>
        </is>
      </c>
      <c r="F17978" s="0" t="inlineStr">
        <is>
          <t xml:space="preserve">Mazda</t>
        </is>
      </c>
      <c r="G17978" s="0" t="s">
        <v>171</v>
      </c>
      <c r="H17978" s="5">
        <v>612.483400</v>
      </c>
    </row>
    <row r="17979" spans="1:9">
      <c r="A17979" s="22" t="str">
        <f>HYPERLINK("https://app.vivvix.com/360/KMI/IntelliDrive/ApplUI/Pages/CreativePages/CustomReportCreativeDetail.aspx?App=23&amp;ReportView=4&amp;Qid=1711279&amp;Row=17971&amp;Col=1","No Title Assigned - #15277218326")</f>
        <v/>
      </c>
      <c r="B17979" s="0" t="s">
        <v>23772</v>
      </c>
      <c r="E17979" s="0" t="inlineStr">
        <is>
          <t xml:space="preserve">Mazda</t>
        </is>
      </c>
      <c r="F17979" s="0" t="inlineStr">
        <is>
          <t xml:space="preserve">Mazda</t>
        </is>
      </c>
      <c r="G17979" s="0" t="s">
        <v>171</v>
      </c>
      <c r="H17979" s="5">
        <v>3906.068200</v>
      </c>
    </row>
    <row r="17980" spans="1:9">
      <c r="A17980" s="22" t="str">
        <f>HYPERLINK("https://app.vivvix.com/360/KMI/IntelliDrive/ApplUI/Pages/CreativePages/CustomReportCreativeDetail.aspx?App=23&amp;ReportView=4&amp;Qid=1711279&amp;Row=17972&amp;Col=1","No Title Assigned - #15277219078")</f>
        <v/>
      </c>
      <c r="B17980" s="0" t="s">
        <v>23773</v>
      </c>
      <c r="C17980" s="0" t="s">
        <v>23774</v>
      </c>
      <c r="D17980" s="0" t="s">
        <v>23774</v>
      </c>
      <c r="E17980" s="0" t="inlineStr">
        <is>
          <t xml:space="preserve">Mazda</t>
        </is>
      </c>
      <c r="F17980" s="0" t="s">
        <v>13</v>
      </c>
      <c r="G17980" s="0" t="s">
        <v>49</v>
      </c>
      <c r="H17980" s="5">
        <v>11.820200</v>
      </c>
    </row>
    <row r="17981" spans="1:9">
      <c r="A17981" s="22" t="str">
        <f>HYPERLINK("https://app.vivvix.com/360/KMI/IntelliDrive/ApplUI/Pages/CreativePages/CustomReportCreativeDetail.aspx?App=23&amp;ReportView=4&amp;Qid=1711279&amp;Row=17973&amp;Col=1","No Title Assigned - #15277219078")</f>
        <v/>
      </c>
      <c r="B17981" s="0" t="s">
        <v>23773</v>
      </c>
      <c r="E17981" s="0" t="inlineStr">
        <is>
          <t xml:space="preserve">Mazda</t>
        </is>
      </c>
      <c r="F17981" s="0" t="s">
        <v>13</v>
      </c>
      <c r="G17981" s="0" t="s">
        <v>49</v>
      </c>
      <c r="H17981" s="5">
        <v>51.654400</v>
      </c>
    </row>
    <row r="17982" spans="1:9">
      <c r="A17982" s="22" t="str">
        <f>HYPERLINK("https://app.vivvix.com/360/KMI/IntelliDrive/ApplUI/Pages/CreativePages/CustomReportCreativeDetail.aspx?App=23&amp;ReportView=4&amp;Qid=1711279&amp;Row=17974&amp;Col=1","No Title Assigned - #15277219356")</f>
        <v/>
      </c>
      <c r="B17982" s="0" t="s">
        <v>23775</v>
      </c>
      <c r="E17982" s="0" t="inlineStr">
        <is>
          <t xml:space="preserve">Mazda</t>
        </is>
      </c>
      <c r="F17982" s="0" t="inlineStr">
        <is>
          <t xml:space="preserve">Mazda</t>
        </is>
      </c>
      <c r="G17982" s="0" t="s">
        <v>171</v>
      </c>
      <c r="H17982" s="5">
        <v>96.613200</v>
      </c>
    </row>
    <row r="17983" spans="1:9">
      <c r="A17983" s="22" t="str">
        <f>HYPERLINK("https://app.vivvix.com/360/KMI/IntelliDrive/ApplUI/Pages/CreativePages/CustomReportCreativeDetail.aspx?App=23&amp;ReportView=4&amp;Qid=1711279&amp;Row=17975&amp;Col=1","No Title Assigned - #15277219363")</f>
        <v/>
      </c>
      <c r="B17983" s="0" t="s">
        <v>23776</v>
      </c>
      <c r="E17983" s="0" t="inlineStr">
        <is>
          <t xml:space="preserve">Mazda</t>
        </is>
      </c>
      <c r="F17983" s="0" t="inlineStr">
        <is>
          <t xml:space="preserve">Mazda</t>
        </is>
      </c>
      <c r="G17983" s="0" t="s">
        <v>171</v>
      </c>
      <c r="H17983" s="5">
        <v>20289.653800</v>
      </c>
    </row>
    <row r="17984" spans="1:9">
      <c r="A17984" s="22" t="str">
        <f>HYPERLINK("https://app.vivvix.com/360/KMI/IntelliDrive/ApplUI/Pages/CreativePages/CustomReportCreativeDetail.aspx?App=23&amp;ReportView=4&amp;Qid=1711279&amp;Row=17976&amp;Col=1","No Title Assigned - #15277219625")</f>
        <v/>
      </c>
      <c r="B17984" s="0" t="s">
        <v>23777</v>
      </c>
      <c r="E17984" s="0" t="inlineStr">
        <is>
          <t xml:space="preserve">Mazda</t>
        </is>
      </c>
      <c r="F17984" s="0" t="inlineStr">
        <is>
          <t xml:space="preserve">Mazda</t>
        </is>
      </c>
      <c r="G17984" s="0" t="s">
        <v>171</v>
      </c>
      <c r="H17984" s="5">
        <v>30839.161700</v>
      </c>
    </row>
    <row r="17985" spans="1:9">
      <c r="A17985" s="22" t="str">
        <f>HYPERLINK("https://app.vivvix.com/360/KMI/IntelliDrive/ApplUI/Pages/CreativePages/CustomReportCreativeDetail.aspx?App=23&amp;ReportView=4&amp;Qid=1711279&amp;Row=17977&amp;Col=1","No Title Assigned - #15277219938")</f>
        <v/>
      </c>
      <c r="B17985" s="0" t="s">
        <v>23778</v>
      </c>
      <c r="E17985" s="0" t="inlineStr">
        <is>
          <t xml:space="preserve">Mazda</t>
        </is>
      </c>
      <c r="F17985" s="0" t="inlineStr">
        <is>
          <t xml:space="preserve">Mazda</t>
        </is>
      </c>
      <c r="G17985" s="0" t="s">
        <v>171</v>
      </c>
      <c r="H17985" s="5">
        <v>57720.193200</v>
      </c>
    </row>
    <row r="17986" spans="1:9">
      <c r="A17986" s="22" t="str">
        <f>HYPERLINK("https://app.vivvix.com/360/KMI/IntelliDrive/ApplUI/Pages/CreativePages/CustomReportCreativeDetail.aspx?App=23&amp;ReportView=4&amp;Qid=1711279&amp;Row=17978&amp;Col=1","No Title Assigned - #15277220052")</f>
        <v/>
      </c>
      <c r="B17986" s="0" t="s">
        <v>23779</v>
      </c>
      <c r="C17986" s="0" t="s">
        <v>23780</v>
      </c>
      <c r="D17986" s="0" t="s">
        <v>4774</v>
      </c>
      <c r="E17986" s="0" t="inlineStr">
        <is>
          <t xml:space="preserve">Mazda</t>
        </is>
      </c>
      <c r="F17986" s="0" t="s">
        <v>13</v>
      </c>
      <c r="G17986" s="0" t="s">
        <v>49</v>
      </c>
      <c r="H17986" s="5">
        <v>28.995800</v>
      </c>
    </row>
    <row r="17987" spans="1:9">
      <c r="A17987" s="22" t="str">
        <f>HYPERLINK("https://app.vivvix.com/360/KMI/IntelliDrive/ApplUI/Pages/CreativePages/CustomReportCreativeDetail.aspx?App=23&amp;ReportView=4&amp;Qid=1711279&amp;Row=17979&amp;Col=1","No Title Assigned - #15277220209")</f>
        <v/>
      </c>
      <c r="B17987" s="0" t="s">
        <v>23781</v>
      </c>
      <c r="E17987" s="0" t="inlineStr">
        <is>
          <t xml:space="preserve">Mazda</t>
        </is>
      </c>
      <c r="F17987" s="0" t="inlineStr">
        <is>
          <t xml:space="preserve">Mazda</t>
        </is>
      </c>
      <c r="G17987" s="0" t="s">
        <v>171</v>
      </c>
      <c r="H17987" s="5">
        <v>3.629100</v>
      </c>
    </row>
    <row r="17988" spans="1:9">
      <c r="A17988" s="22" t="str">
        <f>HYPERLINK("https://app.vivvix.com/360/KMI/IntelliDrive/ApplUI/Pages/CreativePages/CustomReportCreativeDetail.aspx?App=23&amp;ReportView=4&amp;Qid=1711279&amp;Row=17980&amp;Col=1","No Title Assigned - #15277220241")</f>
        <v/>
      </c>
      <c r="B17988" s="0" t="s">
        <v>23782</v>
      </c>
      <c r="E17988" s="0" t="inlineStr">
        <is>
          <t xml:space="preserve">Mazda</t>
        </is>
      </c>
      <c r="F17988" s="0" t="inlineStr">
        <is>
          <t xml:space="preserve">Mazda</t>
        </is>
      </c>
      <c r="G17988" s="0" t="s">
        <v>171</v>
      </c>
      <c r="H17988" s="5">
        <v>2615.484300</v>
      </c>
    </row>
    <row r="17989" spans="1:9">
      <c r="A17989" s="22" t="str">
        <f>HYPERLINK("https://app.vivvix.com/360/KMI/IntelliDrive/ApplUI/Pages/CreativePages/CustomReportCreativeDetail.aspx?App=23&amp;ReportView=4&amp;Qid=1711279&amp;Row=17981&amp;Col=1","No Title Assigned - #15277220241")</f>
        <v/>
      </c>
      <c r="B17989" s="0" t="s">
        <v>23782</v>
      </c>
      <c r="E17989" s="0" t="inlineStr">
        <is>
          <t xml:space="preserve">Mazda</t>
        </is>
      </c>
      <c r="F17989" s="0" t="inlineStr">
        <is>
          <t xml:space="preserve">Mazda</t>
        </is>
      </c>
      <c r="G17989" s="0" t="s">
        <v>171</v>
      </c>
      <c r="H17989" s="5">
        <v>388.264200</v>
      </c>
    </row>
    <row r="17990" spans="1:9">
      <c r="A17990" s="22" t="str">
        <f>HYPERLINK("https://app.vivvix.com/360/KMI/IntelliDrive/ApplUI/Pages/CreativePages/CustomReportCreativeDetail.aspx?App=23&amp;ReportView=4&amp;Qid=1711279&amp;Row=17982&amp;Col=1","No Title Assigned - #15277220245")</f>
        <v/>
      </c>
      <c r="B17990" s="0" t="s">
        <v>23783</v>
      </c>
      <c r="E17990" s="0" t="inlineStr">
        <is>
          <t xml:space="preserve">Mazda</t>
        </is>
      </c>
      <c r="F17990" s="0" t="inlineStr">
        <is>
          <t xml:space="preserve">Mazda</t>
        </is>
      </c>
      <c r="G17990" s="0" t="s">
        <v>171</v>
      </c>
      <c r="H17990" s="5">
        <v>67.122800</v>
      </c>
    </row>
    <row r="17991" spans="1:9">
      <c r="A17991" s="22" t="str">
        <f>HYPERLINK("https://app.vivvix.com/360/KMI/IntelliDrive/ApplUI/Pages/CreativePages/CustomReportCreativeDetail.aspx?App=23&amp;ReportView=4&amp;Qid=1711279&amp;Row=17983&amp;Col=1","No Title Assigned - #15277220904")</f>
        <v/>
      </c>
      <c r="B17991" s="0" t="s">
        <v>23784</v>
      </c>
      <c r="E17991" s="0" t="inlineStr">
        <is>
          <t xml:space="preserve">Mazda</t>
        </is>
      </c>
      <c r="F17991" s="0" t="inlineStr">
        <is>
          <t xml:space="preserve">Mazda</t>
        </is>
      </c>
      <c r="G17991" s="0" t="s">
        <v>171</v>
      </c>
      <c r="H17991" s="5">
        <v>183.054900</v>
      </c>
    </row>
    <row r="17992" spans="1:9">
      <c r="A17992" s="22" t="str">
        <f>HYPERLINK("https://app.vivvix.com/360/KMI/IntelliDrive/ApplUI/Pages/CreativePages/CustomReportCreativeDetail.aspx?App=23&amp;ReportView=4&amp;Qid=1711279&amp;Row=17984&amp;Col=1","No Title Assigned - #15277221382")</f>
        <v/>
      </c>
      <c r="B17992" s="0" t="s">
        <v>23785</v>
      </c>
      <c r="E17992" s="0" t="inlineStr">
        <is>
          <t xml:space="preserve">Mazda</t>
        </is>
      </c>
      <c r="F17992" s="0" t="inlineStr">
        <is>
          <t xml:space="preserve">Mazda</t>
        </is>
      </c>
      <c r="G17992" s="0" t="s">
        <v>171</v>
      </c>
      <c r="H17992" s="5">
        <v>1805.775800</v>
      </c>
    </row>
    <row r="17993" spans="1:9">
      <c r="A17993" s="22" t="str">
        <f>HYPERLINK("https://app.vivvix.com/360/KMI/IntelliDrive/ApplUI/Pages/CreativePages/CustomReportCreativeDetail.aspx?App=23&amp;ReportView=4&amp;Qid=1711279&amp;Row=17985&amp;Col=1","No Title Assigned - #15277221397")</f>
        <v/>
      </c>
      <c r="B17993" s="0" t="s">
        <v>23786</v>
      </c>
      <c r="E17993" s="0" t="inlineStr">
        <is>
          <t xml:space="preserve">Mazda</t>
        </is>
      </c>
      <c r="F17993" s="0" t="inlineStr">
        <is>
          <t xml:space="preserve">Mazda</t>
        </is>
      </c>
      <c r="G17993" s="0" t="s">
        <v>171</v>
      </c>
      <c r="H17993" s="5">
        <v>593.785000</v>
      </c>
    </row>
    <row r="17994" spans="1:9">
      <c r="A17994" s="22" t="str">
        <f>HYPERLINK("https://app.vivvix.com/360/KMI/IntelliDrive/ApplUI/Pages/CreativePages/CustomReportCreativeDetail.aspx?App=23&amp;ReportView=4&amp;Qid=1711279&amp;Row=17986&amp;Col=1","No Title Assigned - #15277221819")</f>
        <v/>
      </c>
      <c r="B17994" s="0" t="s">
        <v>23787</v>
      </c>
      <c r="E17994" s="0" t="inlineStr">
        <is>
          <t xml:space="preserve">Mazda</t>
        </is>
      </c>
      <c r="F17994" s="0" t="inlineStr">
        <is>
          <t xml:space="preserve">Mazda</t>
        </is>
      </c>
      <c r="G17994" s="0" t="s">
        <v>171</v>
      </c>
      <c r="H17994" s="5">
        <v>70.752200</v>
      </c>
    </row>
    <row r="17995" spans="1:9">
      <c r="A17995" s="22" t="str">
        <f>HYPERLINK("https://app.vivvix.com/360/KMI/IntelliDrive/ApplUI/Pages/CreativePages/CustomReportCreativeDetail.aspx?App=23&amp;ReportView=4&amp;Qid=1711279&amp;Row=17987&amp;Col=1","No Title Assigned - #15277221907")</f>
        <v/>
      </c>
      <c r="B17995" s="0" t="s">
        <v>23788</v>
      </c>
      <c r="E17995" s="0" t="inlineStr">
        <is>
          <t xml:space="preserve">Mazda</t>
        </is>
      </c>
      <c r="F17995" s="0" t="inlineStr">
        <is>
          <t xml:space="preserve">Mazda</t>
        </is>
      </c>
      <c r="G17995" s="0" t="s">
        <v>171</v>
      </c>
      <c r="H17995" s="5">
        <v>255.305800</v>
      </c>
    </row>
    <row r="17996" spans="1:9">
      <c r="A17996" s="22" t="str">
        <f>HYPERLINK("https://app.vivvix.com/360/KMI/IntelliDrive/ApplUI/Pages/CreativePages/CustomReportCreativeDetail.aspx?App=23&amp;ReportView=4&amp;Qid=1711279&amp;Row=17988&amp;Col=1","No Title Assigned - #15277221964")</f>
        <v/>
      </c>
      <c r="B17996" s="0" t="s">
        <v>23789</v>
      </c>
      <c r="E17996" s="0" t="inlineStr">
        <is>
          <t xml:space="preserve">Mazda</t>
        </is>
      </c>
      <c r="F17996" s="0" t="inlineStr">
        <is>
          <t xml:space="preserve">Mazda</t>
        </is>
      </c>
      <c r="G17996" s="0" t="s">
        <v>171</v>
      </c>
      <c r="H17996" s="5">
        <v>981.930100</v>
      </c>
    </row>
    <row r="17997" spans="1:9">
      <c r="A17997" s="22" t="str">
        <f>HYPERLINK("https://app.vivvix.com/360/KMI/IntelliDrive/ApplUI/Pages/CreativePages/CustomReportCreativeDetail.aspx?App=23&amp;ReportView=4&amp;Qid=1711279&amp;Row=17989&amp;Col=1","No Title Assigned - #15277222051")</f>
        <v/>
      </c>
      <c r="B17997" s="0" t="s">
        <v>23790</v>
      </c>
      <c r="E17997" s="0" t="inlineStr">
        <is>
          <t xml:space="preserve">Mazda</t>
        </is>
      </c>
      <c r="F17997" s="0" t="inlineStr">
        <is>
          <t xml:space="preserve">Mazda</t>
        </is>
      </c>
      <c r="G17997" s="0" t="s">
        <v>171</v>
      </c>
      <c r="H17997" s="5">
        <v>2987.499300</v>
      </c>
    </row>
    <row r="17998" spans="1:9">
      <c r="A17998" s="22" t="str">
        <f>HYPERLINK("https://app.vivvix.com/360/KMI/IntelliDrive/ApplUI/Pages/CreativePages/CustomReportCreativeDetail.aspx?App=23&amp;ReportView=4&amp;Qid=1711279&amp;Row=17990&amp;Col=1","No Title Assigned - #15277222162")</f>
        <v/>
      </c>
      <c r="B17998" s="0" t="s">
        <v>23791</v>
      </c>
      <c r="C17998" s="0" t="s">
        <v>23792</v>
      </c>
      <c r="D17998" s="0" t="s">
        <v>23792</v>
      </c>
      <c r="E17998" s="0" t="inlineStr">
        <is>
          <t xml:space="preserve">Mazda</t>
        </is>
      </c>
      <c r="F17998" s="0" t="inlineStr">
        <is>
          <t xml:space="preserve">Mazda</t>
        </is>
      </c>
      <c r="G17998" s="0" t="s">
        <v>171</v>
      </c>
      <c r="H17998" s="5">
        <v>292.486200</v>
      </c>
    </row>
    <row r="17999" spans="1:9">
      <c r="A17999" s="22" t="str">
        <f>HYPERLINK("https://app.vivvix.com/360/KMI/IntelliDrive/ApplUI/Pages/CreativePages/CustomReportCreativeDetail.aspx?App=23&amp;ReportView=4&amp;Qid=1711279&amp;Row=17991&amp;Col=1","No Title Assigned - #15277222549")</f>
        <v/>
      </c>
      <c r="B17999" s="0" t="s">
        <v>23793</v>
      </c>
      <c r="E17999" s="0" t="inlineStr">
        <is>
          <t xml:space="preserve">Mazda</t>
        </is>
      </c>
      <c r="F17999" s="0" t="inlineStr">
        <is>
          <t xml:space="preserve">Mazda</t>
        </is>
      </c>
      <c r="G17999" s="0" t="s">
        <v>171</v>
      </c>
      <c r="H17999" s="5">
        <v>311.129500</v>
      </c>
    </row>
    <row r="18000" spans="1:9">
      <c r="A18000" s="22" t="str">
        <f>HYPERLINK("https://app.vivvix.com/360/KMI/IntelliDrive/ApplUI/Pages/CreativePages/CustomReportCreativeDetail.aspx?App=23&amp;ReportView=4&amp;Qid=1711279&amp;Row=17992&amp;Col=1","No Title Assigned - #15277222775")</f>
        <v/>
      </c>
      <c r="B18000" s="0" t="s">
        <v>23794</v>
      </c>
      <c r="E18000" s="0" t="inlineStr">
        <is>
          <t xml:space="preserve">Mazda</t>
        </is>
      </c>
      <c r="F18000" s="0" t="inlineStr">
        <is>
          <t xml:space="preserve">Mazda</t>
        </is>
      </c>
      <c r="G18000" s="0" t="s">
        <v>171</v>
      </c>
      <c r="H18000" s="5">
        <v>1881.669100</v>
      </c>
    </row>
    <row r="18001" spans="1:9">
      <c r="A18001" s="22" t="str">
        <f>HYPERLINK("https://app.vivvix.com/360/KMI/IntelliDrive/ApplUI/Pages/CreativePages/CustomReportCreativeDetail.aspx?App=23&amp;ReportView=4&amp;Qid=1711279&amp;Row=17993&amp;Col=1","No Title Assigned - #15277222831")</f>
        <v/>
      </c>
      <c r="B18001" s="0" t="s">
        <v>23795</v>
      </c>
      <c r="E18001" s="0" t="inlineStr">
        <is>
          <t xml:space="preserve">Mazda</t>
        </is>
      </c>
      <c r="F18001" s="0" t="inlineStr">
        <is>
          <t xml:space="preserve">Mazda</t>
        </is>
      </c>
      <c r="G18001" s="0" t="s">
        <v>171</v>
      </c>
      <c r="H18001" s="5">
        <v>131.599100</v>
      </c>
    </row>
    <row r="18002" spans="1:9">
      <c r="A18002" s="22" t="str">
        <f>HYPERLINK("https://app.vivvix.com/360/KMI/IntelliDrive/ApplUI/Pages/CreativePages/CustomReportCreativeDetail.aspx?App=23&amp;ReportView=4&amp;Qid=1711279&amp;Row=17994&amp;Col=1","No Title Assigned - #15277223277")</f>
        <v/>
      </c>
      <c r="B18002" s="0" t="s">
        <v>23796</v>
      </c>
      <c r="E18002" s="0" t="inlineStr">
        <is>
          <t xml:space="preserve">Mazda</t>
        </is>
      </c>
      <c r="F18002" s="0" t="inlineStr">
        <is>
          <t xml:space="preserve">Mazda</t>
        </is>
      </c>
      <c r="G18002" s="0" t="s">
        <v>171</v>
      </c>
      <c r="H18002" s="5">
        <v>1879.423500</v>
      </c>
    </row>
    <row r="18003" spans="1:9">
      <c r="A18003" s="22" t="str">
        <f>HYPERLINK("https://app.vivvix.com/360/KMI/IntelliDrive/ApplUI/Pages/CreativePages/CustomReportCreativeDetail.aspx?App=23&amp;ReportView=4&amp;Qid=1711279&amp;Row=17995&amp;Col=1","No Title Assigned - #15277223384")</f>
        <v/>
      </c>
      <c r="B18003" s="0" t="s">
        <v>23797</v>
      </c>
      <c r="E18003" s="0" t="inlineStr">
        <is>
          <t xml:space="preserve">Mazda</t>
        </is>
      </c>
      <c r="F18003" s="0" t="inlineStr">
        <is>
          <t xml:space="preserve">Mazda</t>
        </is>
      </c>
      <c r="G18003" s="0" t="s">
        <v>171</v>
      </c>
      <c r="H18003" s="5">
        <v>167.132500</v>
      </c>
    </row>
    <row r="18004" spans="1:9">
      <c r="A18004" s="22" t="str">
        <f>HYPERLINK("https://app.vivvix.com/360/KMI/IntelliDrive/ApplUI/Pages/CreativePages/CustomReportCreativeDetail.aspx?App=23&amp;ReportView=4&amp;Qid=1711279&amp;Row=17996&amp;Col=1","No Title Assigned - #15277230510")</f>
        <v/>
      </c>
      <c r="B18004" s="0" t="s">
        <v>23798</v>
      </c>
      <c r="E18004" s="0" t="inlineStr">
        <is>
          <t xml:space="preserve">Mazda</t>
        </is>
      </c>
      <c r="F18004" s="0" t="inlineStr">
        <is>
          <t xml:space="preserve">Mazda</t>
        </is>
      </c>
      <c r="G18004" s="0" t="s">
        <v>171</v>
      </c>
      <c r="H18004" s="5">
        <v>181.792800</v>
      </c>
    </row>
    <row r="18005" spans="1:9">
      <c r="A18005" s="22" t="str">
        <f>HYPERLINK("https://app.vivvix.com/360/KMI/IntelliDrive/ApplUI/Pages/CreativePages/CustomReportCreativeDetail.aspx?App=23&amp;ReportView=4&amp;Qid=1711279&amp;Row=17997&amp;Col=1","No Title Assigned - #15277230664")</f>
        <v/>
      </c>
      <c r="B18005" s="0" t="s">
        <v>23799</v>
      </c>
      <c r="C18005" s="0" t="s">
        <v>23800</v>
      </c>
      <c r="D18005" s="0" t="s">
        <v>23800</v>
      </c>
      <c r="E18005" s="0" t="inlineStr">
        <is>
          <t xml:space="preserve">Mazda</t>
        </is>
      </c>
      <c r="F18005" s="0" t="inlineStr">
        <is>
          <t xml:space="preserve">Mazda</t>
        </is>
      </c>
      <c r="G18005" s="0" t="s">
        <v>171</v>
      </c>
      <c r="H18005" s="5">
        <v>114.755400</v>
      </c>
    </row>
    <row r="18006" spans="1:9">
      <c r="A18006" s="22" t="str">
        <f>HYPERLINK("https://app.vivvix.com/360/KMI/IntelliDrive/ApplUI/Pages/CreativePages/CustomReportCreativeDetail.aspx?App=23&amp;ReportView=4&amp;Qid=1711279&amp;Row=17998&amp;Col=1","No Title Assigned - #15277230679")</f>
        <v/>
      </c>
      <c r="B18006" s="0" t="s">
        <v>23801</v>
      </c>
      <c r="E18006" s="0" t="inlineStr">
        <is>
          <t xml:space="preserve">Mazda</t>
        </is>
      </c>
      <c r="F18006" s="0" t="inlineStr">
        <is>
          <t xml:space="preserve">Mazda</t>
        </is>
      </c>
      <c r="G18006" s="0" t="s">
        <v>171</v>
      </c>
      <c r="H18006" s="5">
        <v>1906.044600</v>
      </c>
    </row>
    <row r="18007" spans="1:9">
      <c r="A18007" s="22" t="str">
        <f>HYPERLINK("https://app.vivvix.com/360/KMI/IntelliDrive/ApplUI/Pages/CreativePages/CustomReportCreativeDetail.aspx?App=23&amp;ReportView=4&amp;Qid=1711279&amp;Row=17999&amp;Col=1","No Title Assigned - #15277231832")</f>
        <v/>
      </c>
      <c r="B18007" s="0" t="s">
        <v>23802</v>
      </c>
      <c r="C18007" s="0" t="s">
        <v>23803</v>
      </c>
      <c r="D18007" s="0" t="s">
        <v>23803</v>
      </c>
      <c r="E18007" s="0" t="inlineStr">
        <is>
          <t xml:space="preserve">Mazda</t>
        </is>
      </c>
      <c r="F18007" s="0" t="inlineStr">
        <is>
          <t xml:space="preserve">Mazda</t>
        </is>
      </c>
      <c r="G18007" s="0" t="s">
        <v>171</v>
      </c>
      <c r="H18007" s="5">
        <v>398.039700</v>
      </c>
    </row>
    <row r="18008" spans="1:9">
      <c r="A18008" s="22" t="str">
        <f>HYPERLINK("https://app.vivvix.com/360/KMI/IntelliDrive/ApplUI/Pages/CreativePages/CustomReportCreativeDetail.aspx?App=23&amp;ReportView=4&amp;Qid=1711279&amp;Row=18000&amp;Col=1","No Title Assigned - #15277234280")</f>
        <v/>
      </c>
      <c r="B18008" s="0" t="s">
        <v>23804</v>
      </c>
      <c r="E18008" s="0" t="inlineStr">
        <is>
          <t xml:space="preserve">Mazda</t>
        </is>
      </c>
      <c r="F18008" s="0" t="inlineStr">
        <is>
          <t xml:space="preserve">Mazda</t>
        </is>
      </c>
      <c r="G18008" s="0" t="s">
        <v>171</v>
      </c>
      <c r="H18008" s="5">
        <v>7126.399400</v>
      </c>
    </row>
    <row r="18009" spans="1:9">
      <c r="A18009" s="22" t="str">
        <f>HYPERLINK("https://app.vivvix.com/360/KMI/IntelliDrive/ApplUI/Pages/CreativePages/CustomReportCreativeDetail.aspx?App=23&amp;ReportView=4&amp;Qid=1711279&amp;Row=18001&amp;Col=1","No Title Assigned - #15277234280")</f>
        <v/>
      </c>
      <c r="B18009" s="0" t="s">
        <v>23804</v>
      </c>
      <c r="E18009" s="0" t="inlineStr">
        <is>
          <t xml:space="preserve">Mazda</t>
        </is>
      </c>
      <c r="F18009" s="0" t="inlineStr">
        <is>
          <t xml:space="preserve">Mazda</t>
        </is>
      </c>
      <c r="G18009" s="0" t="s">
        <v>171</v>
      </c>
      <c r="H18009" s="5">
        <v>409.715600</v>
      </c>
    </row>
    <row r="18010" spans="1:9">
      <c r="A18010" s="22" t="str">
        <f>HYPERLINK("https://app.vivvix.com/360/KMI/IntelliDrive/ApplUI/Pages/CreativePages/CustomReportCreativeDetail.aspx?App=23&amp;ReportView=4&amp;Qid=1711279&amp;Row=18002&amp;Col=1","No Title Assigned - #15277234612")</f>
        <v/>
      </c>
      <c r="B18010" s="0" t="s">
        <v>23805</v>
      </c>
      <c r="E18010" s="0" t="inlineStr">
        <is>
          <t xml:space="preserve">Mazda</t>
        </is>
      </c>
      <c r="F18010" s="0" t="inlineStr">
        <is>
          <t xml:space="preserve">Mazda</t>
        </is>
      </c>
      <c r="G18010" s="0" t="s">
        <v>171</v>
      </c>
      <c r="H18010" s="5">
        <v>63.421500</v>
      </c>
    </row>
    <row r="18011" spans="1:9">
      <c r="A18011" s="22" t="str">
        <f>HYPERLINK("https://app.vivvix.com/360/KMI/IntelliDrive/ApplUI/Pages/CreativePages/CustomReportCreativeDetail.aspx?App=23&amp;ReportView=4&amp;Qid=1711279&amp;Row=18003&amp;Col=1","No Title Assigned - #15277234690")</f>
        <v/>
      </c>
      <c r="B18011" s="0" t="s">
        <v>23806</v>
      </c>
      <c r="E18011" s="0" t="inlineStr">
        <is>
          <t xml:space="preserve">Mazda</t>
        </is>
      </c>
      <c r="F18011" s="0" t="inlineStr">
        <is>
          <t xml:space="preserve">Mazda</t>
        </is>
      </c>
      <c r="G18011" s="0" t="s">
        <v>171</v>
      </c>
      <c r="H18011" s="5">
        <v>86.858300</v>
      </c>
    </row>
    <row r="18012" spans="1:9">
      <c r="A18012" s="22" t="str">
        <f>HYPERLINK("https://app.vivvix.com/360/KMI/IntelliDrive/ApplUI/Pages/CreativePages/CustomReportCreativeDetail.aspx?App=23&amp;ReportView=4&amp;Qid=1711279&amp;Row=18004&amp;Col=1","No Title Assigned - #15277235625")</f>
        <v/>
      </c>
      <c r="B18012" s="0" t="s">
        <v>23807</v>
      </c>
      <c r="E18012" s="0" t="inlineStr">
        <is>
          <t xml:space="preserve">Mazda</t>
        </is>
      </c>
      <c r="F18012" s="0" t="inlineStr">
        <is>
          <t xml:space="preserve">Mazda</t>
        </is>
      </c>
      <c r="G18012" s="0" t="s">
        <v>171</v>
      </c>
      <c r="H18012" s="5">
        <v>8.701300</v>
      </c>
    </row>
    <row r="18013" spans="1:9">
      <c r="A18013" s="22" t="str">
        <f>HYPERLINK("https://app.vivvix.com/360/KMI/IntelliDrive/ApplUI/Pages/CreativePages/CustomReportCreativeDetail.aspx?App=23&amp;ReportView=4&amp;Qid=1711279&amp;Row=18005&amp;Col=1","No Title Assigned - #15277236372")</f>
        <v/>
      </c>
      <c r="B18013" s="0" t="s">
        <v>23808</v>
      </c>
      <c r="E18013" s="0" t="inlineStr">
        <is>
          <t xml:space="preserve">Mazda</t>
        </is>
      </c>
      <c r="F18013" s="0" t="inlineStr">
        <is>
          <t xml:space="preserve">Mazda</t>
        </is>
      </c>
      <c r="G18013" s="0" t="s">
        <v>171</v>
      </c>
      <c r="H18013" s="5">
        <v>5962.989100</v>
      </c>
    </row>
    <row r="18014" spans="1:9">
      <c r="A18014" s="22" t="str">
        <f>HYPERLINK("https://app.vivvix.com/360/KMI/IntelliDrive/ApplUI/Pages/CreativePages/CustomReportCreativeDetail.aspx?App=23&amp;ReportView=4&amp;Qid=1711279&amp;Row=18006&amp;Col=1","No Title Assigned - #15277236372")</f>
        <v/>
      </c>
      <c r="B18014" s="0" t="s">
        <v>23808</v>
      </c>
      <c r="E18014" s="0" t="inlineStr">
        <is>
          <t xml:space="preserve">Mazda</t>
        </is>
      </c>
      <c r="F18014" s="0" t="inlineStr">
        <is>
          <t xml:space="preserve">Mazda</t>
        </is>
      </c>
      <c r="G18014" s="0" t="s">
        <v>171</v>
      </c>
      <c r="H18014" s="5">
        <v>8.559600</v>
      </c>
    </row>
    <row r="18015" spans="1:9">
      <c r="A18015" s="22" t="str">
        <f>HYPERLINK("https://app.vivvix.com/360/KMI/IntelliDrive/ApplUI/Pages/CreativePages/CustomReportCreativeDetail.aspx?App=23&amp;ReportView=4&amp;Qid=1711279&amp;Row=18007&amp;Col=1","No Title Assigned - #15277237363")</f>
        <v/>
      </c>
      <c r="B18015" s="0" t="s">
        <v>23809</v>
      </c>
      <c r="E18015" s="0" t="inlineStr">
        <is>
          <t xml:space="preserve">Mazda</t>
        </is>
      </c>
      <c r="F18015" s="0" t="inlineStr">
        <is>
          <t xml:space="preserve">Mazda</t>
        </is>
      </c>
      <c r="G18015" s="0" t="s">
        <v>171</v>
      </c>
      <c r="H18015" s="5">
        <v>1021.491600</v>
      </c>
    </row>
    <row r="18016" spans="1:9">
      <c r="A18016" s="22" t="str">
        <f>HYPERLINK("https://app.vivvix.com/360/KMI/IntelliDrive/ApplUI/Pages/CreativePages/CustomReportCreativeDetail.aspx?App=23&amp;ReportView=4&amp;Qid=1711279&amp;Row=18008&amp;Col=1","No Title Assigned - #15277237693")</f>
        <v/>
      </c>
      <c r="B18016" s="0" t="s">
        <v>23810</v>
      </c>
      <c r="E18016" s="0" t="inlineStr">
        <is>
          <t xml:space="preserve">Mazda</t>
        </is>
      </c>
      <c r="F18016" s="0" t="inlineStr">
        <is>
          <t xml:space="preserve">Mazda</t>
        </is>
      </c>
      <c r="G18016" s="0" t="s">
        <v>171</v>
      </c>
      <c r="H18016" s="5">
        <v>15379.479900</v>
      </c>
    </row>
    <row r="18017" spans="1:9">
      <c r="A18017" s="22" t="str">
        <f>HYPERLINK("https://app.vivvix.com/360/KMI/IntelliDrive/ApplUI/Pages/CreativePages/CustomReportCreativeDetail.aspx?App=23&amp;ReportView=4&amp;Qid=1711279&amp;Row=18009&amp;Col=1","No Title Assigned - #15277237886")</f>
        <v/>
      </c>
      <c r="B18017" s="0" t="s">
        <v>23811</v>
      </c>
      <c r="E18017" s="0" t="inlineStr">
        <is>
          <t xml:space="preserve">Mazda</t>
        </is>
      </c>
      <c r="F18017" s="0" t="inlineStr">
        <is>
          <t xml:space="preserve">Mazda</t>
        </is>
      </c>
      <c r="G18017" s="0" t="s">
        <v>171</v>
      </c>
      <c r="H18017" s="5">
        <v>342.823100</v>
      </c>
    </row>
    <row r="18018" spans="1:9">
      <c r="A18018" s="22" t="str">
        <f>HYPERLINK("https://app.vivvix.com/360/KMI/IntelliDrive/ApplUI/Pages/CreativePages/CustomReportCreativeDetail.aspx?App=23&amp;ReportView=4&amp;Qid=1711279&amp;Row=18010&amp;Col=1","No Title Assigned - #15277238730")</f>
        <v/>
      </c>
      <c r="B18018" s="0" t="s">
        <v>23812</v>
      </c>
      <c r="E18018" s="0" t="inlineStr">
        <is>
          <t xml:space="preserve">Mazda</t>
        </is>
      </c>
      <c r="F18018" s="0" t="inlineStr">
        <is>
          <t xml:space="preserve">Mazda</t>
        </is>
      </c>
      <c r="G18018" s="0" t="s">
        <v>171</v>
      </c>
      <c r="H18018" s="5">
        <v>68.489100</v>
      </c>
    </row>
    <row r="18019" spans="1:9">
      <c r="A18019" s="22" t="str">
        <f>HYPERLINK("https://app.vivvix.com/360/KMI/IntelliDrive/ApplUI/Pages/CreativePages/CustomReportCreativeDetail.aspx?App=23&amp;ReportView=4&amp;Qid=1711279&amp;Row=18011&amp;Col=1","No Title Assigned - #15277239101")</f>
        <v/>
      </c>
      <c r="B18019" s="0" t="s">
        <v>23813</v>
      </c>
      <c r="E18019" s="0" t="inlineStr">
        <is>
          <t xml:space="preserve">Mazda</t>
        </is>
      </c>
      <c r="F18019" s="0" t="inlineStr">
        <is>
          <t xml:space="preserve">Mazda</t>
        </is>
      </c>
      <c r="G18019" s="0" t="s">
        <v>171</v>
      </c>
      <c r="H18019" s="5">
        <v>765.292200</v>
      </c>
    </row>
    <row r="18020" spans="1:9">
      <c r="A18020" s="22" t="str">
        <f>HYPERLINK("https://app.vivvix.com/360/KMI/IntelliDrive/ApplUI/Pages/CreativePages/CustomReportCreativeDetail.aspx?App=23&amp;ReportView=4&amp;Qid=1711279&amp;Row=18012&amp;Col=1","No Title Assigned - #15277239101")</f>
        <v/>
      </c>
      <c r="B18020" s="0" t="s">
        <v>23813</v>
      </c>
      <c r="E18020" s="0" t="inlineStr">
        <is>
          <t xml:space="preserve">Mazda</t>
        </is>
      </c>
      <c r="F18020" s="0" t="inlineStr">
        <is>
          <t xml:space="preserve">Mazda</t>
        </is>
      </c>
      <c r="G18020" s="0" t="s">
        <v>171</v>
      </c>
      <c r="H18020" s="5">
        <v>9.851700</v>
      </c>
    </row>
    <row r="18021" spans="1:9">
      <c r="A18021" s="22" t="str">
        <f>HYPERLINK("https://app.vivvix.com/360/KMI/IntelliDrive/ApplUI/Pages/CreativePages/CustomReportCreativeDetail.aspx?App=23&amp;ReportView=4&amp;Qid=1711279&amp;Row=18013&amp;Col=1","No Title Assigned - #15277239568")</f>
        <v/>
      </c>
      <c r="B18021" s="0" t="s">
        <v>23814</v>
      </c>
      <c r="E18021" s="0" t="inlineStr">
        <is>
          <t xml:space="preserve">Mazda</t>
        </is>
      </c>
      <c r="F18021" s="0" t="inlineStr">
        <is>
          <t xml:space="preserve">Mazda</t>
        </is>
      </c>
      <c r="G18021" s="0" t="s">
        <v>171</v>
      </c>
      <c r="H18021" s="5">
        <v>237.052900</v>
      </c>
    </row>
    <row r="18022" spans="1:9">
      <c r="A18022" s="22" t="str">
        <f>HYPERLINK("https://app.vivvix.com/360/KMI/IntelliDrive/ApplUI/Pages/CreativePages/CustomReportCreativeDetail.aspx?App=23&amp;ReportView=4&amp;Qid=1711279&amp;Row=18014&amp;Col=1","No Title Assigned - #15277242048")</f>
        <v/>
      </c>
      <c r="B18022" s="0" t="s">
        <v>23815</v>
      </c>
      <c r="C18022" s="0" t="s">
        <v>23816</v>
      </c>
      <c r="D18022" s="0" t="s">
        <v>23816</v>
      </c>
      <c r="E18022" s="0" t="inlineStr">
        <is>
          <t xml:space="preserve">Mazda</t>
        </is>
      </c>
      <c r="F18022" s="0" t="s">
        <v>13</v>
      </c>
      <c r="G18022" s="0" t="s">
        <v>49</v>
      </c>
      <c r="H18022" s="5">
        <v>97.183500</v>
      </c>
    </row>
    <row r="18023" spans="1:9">
      <c r="A18023" s="22" t="str">
        <f>HYPERLINK("https://app.vivvix.com/360/KMI/IntelliDrive/ApplUI/Pages/CreativePages/CustomReportCreativeDetail.aspx?App=23&amp;ReportView=4&amp;Qid=1711279&amp;Row=18015&amp;Col=1","No Title Assigned - #15277242493")</f>
        <v/>
      </c>
      <c r="B18023" s="0" t="s">
        <v>23817</v>
      </c>
      <c r="C18023" s="0" t="s">
        <v>23818</v>
      </c>
      <c r="D18023" s="0" t="s">
        <v>21329</v>
      </c>
      <c r="E18023" s="0" t="inlineStr">
        <is>
          <t xml:space="preserve">Mazda</t>
        </is>
      </c>
      <c r="F18023" s="0" t="s">
        <v>13</v>
      </c>
      <c r="G18023" s="0" t="s">
        <v>49</v>
      </c>
      <c r="H18023" s="5">
        <v>203.386100</v>
      </c>
    </row>
    <row r="18024" spans="1:9">
      <c r="A18024" s="22" t="str">
        <f>HYPERLINK("https://app.vivvix.com/360/KMI/IntelliDrive/ApplUI/Pages/CreativePages/CustomReportCreativeDetail.aspx?App=23&amp;ReportView=4&amp;Qid=1711279&amp;Row=18016&amp;Col=1","No Title Assigned - #15277242597")</f>
        <v/>
      </c>
      <c r="B18024" s="0" t="s">
        <v>23819</v>
      </c>
      <c r="C18024" s="0" t="s">
        <v>23820</v>
      </c>
      <c r="D18024" s="0" t="s">
        <v>5013</v>
      </c>
      <c r="E18024" s="0" t="inlineStr">
        <is>
          <t xml:space="preserve">Mazda</t>
        </is>
      </c>
      <c r="F18024" s="0" t="s">
        <v>13</v>
      </c>
      <c r="G18024" s="0" t="s">
        <v>49</v>
      </c>
      <c r="H18024" s="5">
        <v>17.014000</v>
      </c>
    </row>
    <row r="18025" spans="1:9">
      <c r="A18025" s="22" t="str">
        <f>HYPERLINK("https://app.vivvix.com/360/KMI/IntelliDrive/ApplUI/Pages/CreativePages/CustomReportCreativeDetail.aspx?App=23&amp;ReportView=4&amp;Qid=1711279&amp;Row=18017&amp;Col=1","No Title Assigned - #15277245523")</f>
        <v/>
      </c>
      <c r="B18025" s="0" t="s">
        <v>23821</v>
      </c>
      <c r="C18025" s="0" t="s">
        <v>23822</v>
      </c>
      <c r="D18025" s="0" t="s">
        <v>23822</v>
      </c>
      <c r="E18025" s="0" t="inlineStr">
        <is>
          <t xml:space="preserve">Mazda</t>
        </is>
      </c>
      <c r="F18025" s="0" t="s">
        <v>13</v>
      </c>
      <c r="G18025" s="0" t="s">
        <v>49</v>
      </c>
      <c r="H18025" s="5">
        <v>13055.646700</v>
      </c>
    </row>
    <row r="18026" spans="1:9">
      <c r="A18026" s="22" t="str">
        <f>HYPERLINK("https://app.vivvix.com/360/KMI/IntelliDrive/ApplUI/Pages/CreativePages/CustomReportCreativeDetail.aspx?App=23&amp;ReportView=4&amp;Qid=1711279&amp;Row=18018&amp;Col=1","No Title Assigned - #15277245634")</f>
        <v/>
      </c>
      <c r="B18026" s="0" t="s">
        <v>23823</v>
      </c>
      <c r="C18026" s="0" t="s">
        <v>23824</v>
      </c>
      <c r="D18026" s="0" t="s">
        <v>23824</v>
      </c>
      <c r="E18026" s="0" t="inlineStr">
        <is>
          <t xml:space="preserve">Mazda</t>
        </is>
      </c>
      <c r="F18026" s="0" t="inlineStr">
        <is>
          <t xml:space="preserve">Mazda</t>
        </is>
      </c>
      <c r="G18026" s="0" t="s">
        <v>210</v>
      </c>
      <c r="H18026" s="5">
        <v>263.008100</v>
      </c>
    </row>
    <row r="18027" spans="1:9">
      <c r="A18027" s="22" t="str">
        <f>HYPERLINK("https://app.vivvix.com/360/KMI/IntelliDrive/ApplUI/Pages/CreativePages/CustomReportCreativeDetail.aspx?App=23&amp;ReportView=4&amp;Qid=1711279&amp;Row=18019&amp;Col=1","No Title Assigned - #15277246995")</f>
        <v/>
      </c>
      <c r="B18027" s="0" t="s">
        <v>23825</v>
      </c>
      <c r="C18027" s="0" t="s">
        <v>23826</v>
      </c>
      <c r="D18027" s="0" t="s">
        <v>23826</v>
      </c>
      <c r="E18027" s="0" t="inlineStr">
        <is>
          <t xml:space="preserve">Mazda</t>
        </is>
      </c>
      <c r="F18027" s="0" t="s">
        <v>13</v>
      </c>
      <c r="G18027" s="0" t="s">
        <v>49</v>
      </c>
      <c r="H18027" s="5">
        <v>1076.933700</v>
      </c>
    </row>
    <row r="18028" spans="1:9">
      <c r="A18028" s="22" t="str">
        <f>HYPERLINK("https://app.vivvix.com/360/KMI/IntelliDrive/ApplUI/Pages/CreativePages/CustomReportCreativeDetail.aspx?App=23&amp;ReportView=4&amp;Qid=1711279&amp;Row=18020&amp;Col=1","No Title Assigned - #15277247510")</f>
        <v/>
      </c>
      <c r="B18028" s="0" t="s">
        <v>23827</v>
      </c>
      <c r="C18028" s="0" t="s">
        <v>23828</v>
      </c>
      <c r="D18028" s="0" t="s">
        <v>23828</v>
      </c>
      <c r="E18028" s="0" t="inlineStr">
        <is>
          <t xml:space="preserve">Mazda</t>
        </is>
      </c>
      <c r="F18028" s="0" t="s">
        <v>13</v>
      </c>
      <c r="G18028" s="0" t="s">
        <v>49</v>
      </c>
      <c r="H18028" s="5">
        <v>581.182900</v>
      </c>
    </row>
    <row r="18029" spans="1:9">
      <c r="A18029" s="22" t="str">
        <f>HYPERLINK("https://app.vivvix.com/360/KMI/IntelliDrive/ApplUI/Pages/CreativePages/CustomReportCreativeDetail.aspx?App=23&amp;ReportView=4&amp;Qid=1711279&amp;Row=18021&amp;Col=1","No Title Assigned - #15277247989")</f>
        <v/>
      </c>
      <c r="B18029" s="0" t="s">
        <v>23829</v>
      </c>
      <c r="C18029" s="0" t="s">
        <v>23830</v>
      </c>
      <c r="D18029" s="0" t="s">
        <v>8560</v>
      </c>
      <c r="E18029" s="0" t="inlineStr">
        <is>
          <t xml:space="preserve">Mazda</t>
        </is>
      </c>
      <c r="F18029" s="0" t="s">
        <v>13</v>
      </c>
      <c r="G18029" s="0" t="s">
        <v>49</v>
      </c>
      <c r="H18029" s="5">
        <v>69.545900</v>
      </c>
    </row>
    <row r="18030" spans="1:9">
      <c r="A18030" s="22" t="str">
        <f>HYPERLINK("https://app.vivvix.com/360/KMI/IntelliDrive/ApplUI/Pages/CreativePages/CustomReportCreativeDetail.aspx?App=23&amp;ReportView=4&amp;Qid=1711279&amp;Row=18022&amp;Col=1","No Title Assigned - #15277248080")</f>
        <v/>
      </c>
      <c r="B18030" s="0" t="s">
        <v>23831</v>
      </c>
      <c r="C18030" s="0" t="s">
        <v>23832</v>
      </c>
      <c r="D18030" s="0" t="s">
        <v>23832</v>
      </c>
      <c r="E18030" s="0" t="inlineStr">
        <is>
          <t xml:space="preserve">Mazda</t>
        </is>
      </c>
      <c r="F18030" s="0" t="s">
        <v>13</v>
      </c>
      <c r="G18030" s="0" t="s">
        <v>49</v>
      </c>
      <c r="H18030" s="5">
        <v>208.182000</v>
      </c>
    </row>
    <row r="18031" spans="1:9">
      <c r="A18031" s="22" t="str">
        <f>HYPERLINK("https://app.vivvix.com/360/KMI/IntelliDrive/ApplUI/Pages/CreativePages/CustomReportCreativeDetail.aspx?App=23&amp;ReportView=4&amp;Qid=1711279&amp;Row=18023&amp;Col=1","No Title Assigned - #15277248544")</f>
        <v/>
      </c>
      <c r="B18031" s="0" t="s">
        <v>23833</v>
      </c>
      <c r="C18031" s="0" t="s">
        <v>23834</v>
      </c>
      <c r="D18031" s="0" t="s">
        <v>6183</v>
      </c>
      <c r="E18031" s="0" t="inlineStr">
        <is>
          <t xml:space="preserve">Mazda</t>
        </is>
      </c>
      <c r="F18031" s="0" t="s">
        <v>13</v>
      </c>
      <c r="G18031" s="0" t="s">
        <v>49</v>
      </c>
      <c r="H18031" s="5">
        <v>16.898300</v>
      </c>
    </row>
    <row r="18032" spans="1:9">
      <c r="A18032" s="22" t="str">
        <f>HYPERLINK("https://app.vivvix.com/360/KMI/IntelliDrive/ApplUI/Pages/CreativePages/CustomReportCreativeDetail.aspx?App=23&amp;ReportView=4&amp;Qid=1711279&amp;Row=18024&amp;Col=1","No Title Assigned - #15277248825")</f>
        <v/>
      </c>
      <c r="B18032" s="0" t="s">
        <v>23835</v>
      </c>
      <c r="C18032" s="0" t="s">
        <v>23836</v>
      </c>
      <c r="D18032" s="0" t="s">
        <v>23836</v>
      </c>
      <c r="E18032" s="0" t="inlineStr">
        <is>
          <t xml:space="preserve">Mazda</t>
        </is>
      </c>
      <c r="F18032" s="0" t="s">
        <v>13</v>
      </c>
      <c r="G18032" s="0" t="s">
        <v>49</v>
      </c>
      <c r="H18032" s="5">
        <v>119.280800</v>
      </c>
    </row>
    <row r="18033" spans="1:9">
      <c r="A18033" s="22" t="str">
        <f>HYPERLINK("https://app.vivvix.com/360/KMI/IntelliDrive/ApplUI/Pages/CreativePages/CustomReportCreativeDetail.aspx?App=23&amp;ReportView=4&amp;Qid=1711279&amp;Row=18025&amp;Col=1","No Title Assigned - #15277249171")</f>
        <v/>
      </c>
      <c r="B18033" s="0" t="s">
        <v>23837</v>
      </c>
      <c r="C18033" s="0" t="s">
        <v>23838</v>
      </c>
      <c r="D18033" s="0" t="s">
        <v>23838</v>
      </c>
      <c r="E18033" s="0" t="inlineStr">
        <is>
          <t xml:space="preserve">Mazda</t>
        </is>
      </c>
      <c r="F18033" s="0" t="s">
        <v>13</v>
      </c>
      <c r="G18033" s="0" t="s">
        <v>49</v>
      </c>
      <c r="H18033" s="5">
        <v>3606.312900</v>
      </c>
    </row>
    <row r="18034" spans="1:9">
      <c r="A18034" s="22" t="str">
        <f>HYPERLINK("https://app.vivvix.com/360/KMI/IntelliDrive/ApplUI/Pages/CreativePages/CustomReportCreativeDetail.aspx?App=23&amp;ReportView=4&amp;Qid=1711279&amp;Row=18026&amp;Col=1","No Title Assigned - #15277250168")</f>
        <v/>
      </c>
      <c r="B18034" s="0" t="s">
        <v>23839</v>
      </c>
      <c r="C18034" s="0" t="s">
        <v>23840</v>
      </c>
      <c r="D18034" s="0" t="s">
        <v>4768</v>
      </c>
      <c r="E18034" s="0" t="inlineStr">
        <is>
          <t xml:space="preserve">Mazda</t>
        </is>
      </c>
      <c r="F18034" s="0" t="s">
        <v>13</v>
      </c>
      <c r="G18034" s="0" t="s">
        <v>49</v>
      </c>
      <c r="H18034" s="5">
        <v>364.187400</v>
      </c>
    </row>
    <row r="18035" spans="1:9">
      <c r="A18035" s="22" t="str">
        <f>HYPERLINK("https://app.vivvix.com/360/KMI/IntelliDrive/ApplUI/Pages/CreativePages/CustomReportCreativeDetail.aspx?App=23&amp;ReportView=4&amp;Qid=1711279&amp;Row=18027&amp;Col=1","No Title Assigned - #15277250482")</f>
        <v/>
      </c>
      <c r="B18035" s="0" t="s">
        <v>23841</v>
      </c>
      <c r="C18035" s="0" t="s">
        <v>23842</v>
      </c>
      <c r="D18035" s="0" t="s">
        <v>23842</v>
      </c>
      <c r="E18035" s="0" t="inlineStr">
        <is>
          <t xml:space="preserve">Mazda</t>
        </is>
      </c>
      <c r="F18035" s="0" t="s">
        <v>13</v>
      </c>
      <c r="G18035" s="0" t="s">
        <v>49</v>
      </c>
      <c r="H18035" s="5">
        <v>28.884500</v>
      </c>
    </row>
    <row r="18036" spans="1:9">
      <c r="A18036" s="22" t="str">
        <f>HYPERLINK("https://app.vivvix.com/360/KMI/IntelliDrive/ApplUI/Pages/CreativePages/CustomReportCreativeDetail.aspx?App=23&amp;ReportView=4&amp;Qid=1711279&amp;Row=18028&amp;Col=1","No Title Assigned - #15277251031")</f>
        <v/>
      </c>
      <c r="B18036" s="0" t="s">
        <v>23843</v>
      </c>
      <c r="C18036" s="0" t="s">
        <v>23844</v>
      </c>
      <c r="D18036" s="0" t="s">
        <v>23844</v>
      </c>
      <c r="E18036" s="0" t="inlineStr">
        <is>
          <t xml:space="preserve">Mazda</t>
        </is>
      </c>
      <c r="F18036" s="0" t="s">
        <v>13</v>
      </c>
      <c r="G18036" s="0" t="s">
        <v>49</v>
      </c>
      <c r="H18036" s="5">
        <v>3250.903000</v>
      </c>
    </row>
    <row r="18037" spans="1:9">
      <c r="A18037" s="22" t="str">
        <f>HYPERLINK("https://app.vivvix.com/360/KMI/IntelliDrive/ApplUI/Pages/CreativePages/CustomReportCreativeDetail.aspx?App=23&amp;ReportView=4&amp;Qid=1711279&amp;Row=18029&amp;Col=1","No Title Assigned - #15277253509")</f>
        <v/>
      </c>
      <c r="B18037" s="0" t="s">
        <v>23845</v>
      </c>
      <c r="C18037" s="0" t="s">
        <v>23846</v>
      </c>
      <c r="D18037" s="0" t="s">
        <v>11469</v>
      </c>
      <c r="E18037" s="0" t="inlineStr">
        <is>
          <t xml:space="preserve">Mazda</t>
        </is>
      </c>
      <c r="F18037" s="0" t="s">
        <v>13</v>
      </c>
      <c r="G18037" s="0" t="s">
        <v>49</v>
      </c>
      <c r="H18037" s="5">
        <v>147.501800</v>
      </c>
    </row>
    <row r="18038" spans="1:9">
      <c r="A18038" s="22" t="str">
        <f>HYPERLINK("https://app.vivvix.com/360/KMI/IntelliDrive/ApplUI/Pages/CreativePages/CustomReportCreativeDetail.aspx?App=23&amp;ReportView=4&amp;Qid=1711279&amp;Row=18030&amp;Col=1","No Title Assigned - #15277253911")</f>
        <v/>
      </c>
      <c r="B18038" s="0" t="s">
        <v>23847</v>
      </c>
      <c r="C18038" s="0" t="s">
        <v>23848</v>
      </c>
      <c r="D18038" s="0" t="s">
        <v>20040</v>
      </c>
      <c r="E18038" s="0" t="inlineStr">
        <is>
          <t xml:space="preserve">Mazda</t>
        </is>
      </c>
      <c r="F18038" s="0" t="s">
        <v>13</v>
      </c>
      <c r="G18038" s="0" t="s">
        <v>49</v>
      </c>
      <c r="H18038" s="5">
        <v>15.887200</v>
      </c>
    </row>
    <row r="18039" spans="1:9">
      <c r="A18039" s="22" t="str">
        <f>HYPERLINK("https://app.vivvix.com/360/KMI/IntelliDrive/ApplUI/Pages/CreativePages/CustomReportCreativeDetail.aspx?App=23&amp;ReportView=4&amp;Qid=1711279&amp;Row=18031&amp;Col=1","No Title Assigned - #15277254490")</f>
        <v/>
      </c>
      <c r="B18039" s="0" t="s">
        <v>23849</v>
      </c>
      <c r="E18039" s="0" t="inlineStr">
        <is>
          <t xml:space="preserve">Mazda</t>
        </is>
      </c>
      <c r="F18039" s="0" t="inlineStr">
        <is>
          <t xml:space="preserve">Mazda</t>
        </is>
      </c>
      <c r="G18039" s="0" t="s">
        <v>171</v>
      </c>
      <c r="H18039" s="5">
        <v>172.063400</v>
      </c>
    </row>
    <row r="18040" spans="1:9">
      <c r="A18040" s="22" t="str">
        <f>HYPERLINK("https://app.vivvix.com/360/KMI/IntelliDrive/ApplUI/Pages/CreativePages/CustomReportCreativeDetail.aspx?App=23&amp;ReportView=4&amp;Qid=1711279&amp;Row=18032&amp;Col=1","No Title Assigned - #15277254558")</f>
        <v/>
      </c>
      <c r="B18040" s="0" t="s">
        <v>23850</v>
      </c>
      <c r="E18040" s="0" t="inlineStr">
        <is>
          <t xml:space="preserve">Mazda</t>
        </is>
      </c>
      <c r="F18040" s="0" t="inlineStr">
        <is>
          <t xml:space="preserve">Mazda</t>
        </is>
      </c>
      <c r="G18040" s="0" t="s">
        <v>171</v>
      </c>
      <c r="H18040" s="5">
        <v>190.834500</v>
      </c>
    </row>
    <row r="18041" spans="1:9">
      <c r="A18041" s="22" t="str">
        <f>HYPERLINK("https://app.vivvix.com/360/KMI/IntelliDrive/ApplUI/Pages/CreativePages/CustomReportCreativeDetail.aspx?App=23&amp;ReportView=4&amp;Qid=1711279&amp;Row=18033&amp;Col=1","No Title Assigned - #15277254581")</f>
        <v/>
      </c>
      <c r="B18041" s="0" t="s">
        <v>23851</v>
      </c>
      <c r="E18041" s="0" t="inlineStr">
        <is>
          <t xml:space="preserve">Mazda</t>
        </is>
      </c>
      <c r="F18041" s="0" t="inlineStr">
        <is>
          <t xml:space="preserve">Mazda</t>
        </is>
      </c>
      <c r="G18041" s="0" t="s">
        <v>171</v>
      </c>
      <c r="H18041" s="5">
        <v>31.920400</v>
      </c>
    </row>
    <row r="18042" spans="1:9">
      <c r="A18042" s="22" t="str">
        <f>HYPERLINK("https://app.vivvix.com/360/KMI/IntelliDrive/ApplUI/Pages/CreativePages/CustomReportCreativeDetail.aspx?App=23&amp;ReportView=4&amp;Qid=1711279&amp;Row=18034&amp;Col=1","No Title Assigned - #15277255516")</f>
        <v/>
      </c>
      <c r="B18042" s="0" t="s">
        <v>23852</v>
      </c>
      <c r="C18042" s="0" t="s">
        <v>23853</v>
      </c>
      <c r="D18042" s="0" t="s">
        <v>23853</v>
      </c>
      <c r="E18042" s="0" t="inlineStr">
        <is>
          <t xml:space="preserve">Mazda</t>
        </is>
      </c>
      <c r="F18042" s="0" t="s">
        <v>13</v>
      </c>
      <c r="G18042" s="0" t="s">
        <v>49</v>
      </c>
      <c r="H18042" s="5">
        <v>5.156100</v>
      </c>
    </row>
    <row r="18043" spans="1:9">
      <c r="A18043" s="22" t="str">
        <f>HYPERLINK("https://app.vivvix.com/360/KMI/IntelliDrive/ApplUI/Pages/CreativePages/CustomReportCreativeDetail.aspx?App=23&amp;ReportView=4&amp;Qid=1711279&amp;Row=18035&amp;Col=1","No Title Assigned - #15277256157")</f>
        <v/>
      </c>
      <c r="B18043" s="0" t="s">
        <v>23854</v>
      </c>
      <c r="C18043" s="0" t="s">
        <v>23855</v>
      </c>
      <c r="D18043" s="0" t="s">
        <v>5013</v>
      </c>
      <c r="E18043" s="0" t="inlineStr">
        <is>
          <t xml:space="preserve">Mazda</t>
        </is>
      </c>
      <c r="F18043" s="0" t="s">
        <v>13</v>
      </c>
      <c r="G18043" s="0" t="s">
        <v>49</v>
      </c>
      <c r="H18043" s="5">
        <v>932.294900</v>
      </c>
    </row>
    <row r="18044" spans="1:9">
      <c r="A18044" s="22" t="str">
        <f>HYPERLINK("https://app.vivvix.com/360/KMI/IntelliDrive/ApplUI/Pages/CreativePages/CustomReportCreativeDetail.aspx?App=23&amp;ReportView=4&amp;Qid=1711279&amp;Row=18036&amp;Col=1","No Title Assigned - #15277256248")</f>
        <v/>
      </c>
      <c r="B18044" s="0" t="s">
        <v>23856</v>
      </c>
      <c r="C18044" s="0" t="s">
        <v>23857</v>
      </c>
      <c r="D18044" s="0" t="s">
        <v>23857</v>
      </c>
      <c r="E18044" s="0" t="inlineStr">
        <is>
          <t xml:space="preserve">Mazda</t>
        </is>
      </c>
      <c r="F18044" s="0" t="s">
        <v>13</v>
      </c>
      <c r="G18044" s="0" t="s">
        <v>49</v>
      </c>
      <c r="H18044" s="5">
        <v>23862.259600</v>
      </c>
    </row>
    <row r="18045" spans="1:9">
      <c r="A18045" s="22" t="str">
        <f>HYPERLINK("https://app.vivvix.com/360/KMI/IntelliDrive/ApplUI/Pages/CreativePages/CustomReportCreativeDetail.aspx?App=23&amp;ReportView=4&amp;Qid=1711279&amp;Row=18037&amp;Col=1","No Title Assigned - #15277256499")</f>
        <v/>
      </c>
      <c r="B18045" s="0" t="s">
        <v>23858</v>
      </c>
      <c r="C18045" s="0" t="s">
        <v>23859</v>
      </c>
      <c r="D18045" s="0" t="s">
        <v>23859</v>
      </c>
      <c r="E18045" s="0" t="inlineStr">
        <is>
          <t xml:space="preserve">Mazda</t>
        </is>
      </c>
      <c r="F18045" s="0" t="s">
        <v>13</v>
      </c>
      <c r="G18045" s="0" t="s">
        <v>49</v>
      </c>
      <c r="H18045" s="5">
        <v>1345.555700</v>
      </c>
    </row>
    <row r="18046" spans="1:9">
      <c r="A18046" s="22" t="str">
        <f>HYPERLINK("https://app.vivvix.com/360/KMI/IntelliDrive/ApplUI/Pages/CreativePages/CustomReportCreativeDetail.aspx?App=23&amp;ReportView=4&amp;Qid=1711279&amp;Row=18038&amp;Col=1","No Title Assigned - #15277256499")</f>
        <v/>
      </c>
      <c r="B18046" s="0" t="s">
        <v>23858</v>
      </c>
      <c r="E18046" s="0" t="inlineStr">
        <is>
          <t xml:space="preserve">Mazda</t>
        </is>
      </c>
      <c r="F18046" s="0" t="s">
        <v>13</v>
      </c>
      <c r="G18046" s="0" t="s">
        <v>49</v>
      </c>
      <c r="H18046" s="5">
        <v>1727.497000</v>
      </c>
    </row>
    <row r="18047" spans="1:9">
      <c r="A18047" s="22" t="str">
        <f>HYPERLINK("https://app.vivvix.com/360/KMI/IntelliDrive/ApplUI/Pages/CreativePages/CustomReportCreativeDetail.aspx?App=23&amp;ReportView=4&amp;Qid=1711279&amp;Row=18039&amp;Col=1","No Title Assigned - #15277256849")</f>
        <v/>
      </c>
      <c r="B18047" s="0" t="s">
        <v>23860</v>
      </c>
      <c r="C18047" s="0" t="s">
        <v>23861</v>
      </c>
      <c r="D18047" s="0" t="s">
        <v>10371</v>
      </c>
      <c r="E18047" s="0" t="inlineStr">
        <is>
          <t xml:space="preserve">Mazda</t>
        </is>
      </c>
      <c r="F18047" s="0" t="s">
        <v>13</v>
      </c>
      <c r="G18047" s="0" t="s">
        <v>49</v>
      </c>
      <c r="H18047" s="5">
        <v>84.456400</v>
      </c>
    </row>
    <row r="18048" spans="1:9">
      <c r="A18048" s="22" t="str">
        <f>HYPERLINK("https://app.vivvix.com/360/KMI/IntelliDrive/ApplUI/Pages/CreativePages/CustomReportCreativeDetail.aspx?App=23&amp;ReportView=4&amp;Qid=1711279&amp;Row=18040&amp;Col=1","No Title Assigned - #15277257075")</f>
        <v/>
      </c>
      <c r="B18048" s="0" t="s">
        <v>23862</v>
      </c>
      <c r="C18048" s="0" t="s">
        <v>23863</v>
      </c>
      <c r="D18048" s="0" t="s">
        <v>5013</v>
      </c>
      <c r="E18048" s="0" t="inlineStr">
        <is>
          <t xml:space="preserve">Mazda</t>
        </is>
      </c>
      <c r="F18048" s="0" t="s">
        <v>13</v>
      </c>
      <c r="G18048" s="0" t="s">
        <v>49</v>
      </c>
      <c r="H18048" s="5">
        <v>262.199100</v>
      </c>
    </row>
    <row r="18049" spans="1:9">
      <c r="A18049" s="22" t="str">
        <f>HYPERLINK("https://app.vivvix.com/360/KMI/IntelliDrive/ApplUI/Pages/CreativePages/CustomReportCreativeDetail.aspx?App=23&amp;ReportView=4&amp;Qid=1711279&amp;Row=18041&amp;Col=1","No Title Assigned - #15277257402")</f>
        <v/>
      </c>
      <c r="B18049" s="0" t="s">
        <v>23864</v>
      </c>
      <c r="C18049" s="0" t="s">
        <v>23865</v>
      </c>
      <c r="D18049" s="0" t="s">
        <v>23865</v>
      </c>
      <c r="E18049" s="0" t="inlineStr">
        <is>
          <t xml:space="preserve">Mazda</t>
        </is>
      </c>
      <c r="F18049" s="0" t="inlineStr">
        <is>
          <t xml:space="preserve">Mazda</t>
        </is>
      </c>
      <c r="G18049" s="0" t="s">
        <v>210</v>
      </c>
      <c r="H18049" s="5">
        <v>156.066200</v>
      </c>
    </row>
    <row r="18050" spans="1:9">
      <c r="A18050" s="22" t="str">
        <f>HYPERLINK("https://app.vivvix.com/360/KMI/IntelliDrive/ApplUI/Pages/CreativePages/CustomReportCreativeDetail.aspx?App=23&amp;ReportView=4&amp;Qid=1711279&amp;Row=18042&amp;Col=1","No Title Assigned - #15277258251")</f>
        <v/>
      </c>
      <c r="B18050" s="0" t="s">
        <v>23866</v>
      </c>
      <c r="C18050" s="0" t="s">
        <v>23867</v>
      </c>
      <c r="D18050" s="0" t="s">
        <v>10311</v>
      </c>
      <c r="E18050" s="0" t="inlineStr">
        <is>
          <t xml:space="preserve">Mazda</t>
        </is>
      </c>
      <c r="F18050" s="0" t="s">
        <v>13</v>
      </c>
      <c r="G18050" s="0" t="s">
        <v>49</v>
      </c>
      <c r="H18050" s="5">
        <v>3.193300</v>
      </c>
    </row>
    <row r="18051" spans="1:9">
      <c r="A18051" s="22" t="str">
        <f>HYPERLINK("https://app.vivvix.com/360/KMI/IntelliDrive/ApplUI/Pages/CreativePages/CustomReportCreativeDetail.aspx?App=23&amp;ReportView=4&amp;Qid=1711279&amp;Row=18043&amp;Col=1","No Title Assigned - #15277258504")</f>
        <v/>
      </c>
      <c r="B18051" s="0" t="s">
        <v>23868</v>
      </c>
      <c r="C18051" s="0" t="s">
        <v>23869</v>
      </c>
      <c r="D18051" s="0" t="s">
        <v>23869</v>
      </c>
      <c r="E18051" s="0" t="inlineStr">
        <is>
          <t xml:space="preserve">Mazda</t>
        </is>
      </c>
      <c r="F18051" s="0" t="s">
        <v>13</v>
      </c>
      <c r="G18051" s="0" t="s">
        <v>49</v>
      </c>
      <c r="H18051" s="5">
        <v>268.770200</v>
      </c>
    </row>
    <row r="18052" spans="1:9">
      <c r="A18052" s="22" t="str">
        <f>HYPERLINK("https://app.vivvix.com/360/KMI/IntelliDrive/ApplUI/Pages/CreativePages/CustomReportCreativeDetail.aspx?App=23&amp;ReportView=4&amp;Qid=1711279&amp;Row=18044&amp;Col=1","No Title Assigned - #15277258882")</f>
        <v/>
      </c>
      <c r="B18052" s="0" t="s">
        <v>23870</v>
      </c>
      <c r="E18052" s="0" t="inlineStr">
        <is>
          <t xml:space="preserve">Mazda</t>
        </is>
      </c>
      <c r="F18052" s="0" t="s">
        <v>13</v>
      </c>
      <c r="G18052" s="0" t="s">
        <v>49</v>
      </c>
      <c r="H18052" s="5">
        <v>615.917600</v>
      </c>
    </row>
    <row r="18053" spans="1:9">
      <c r="A18053" s="22" t="str">
        <f>HYPERLINK("https://app.vivvix.com/360/KMI/IntelliDrive/ApplUI/Pages/CreativePages/CustomReportCreativeDetail.aspx?App=23&amp;ReportView=4&amp;Qid=1711279&amp;Row=18045&amp;Col=1","No Title Assigned - #15277258882")</f>
        <v/>
      </c>
      <c r="B18053" s="0" t="s">
        <v>23870</v>
      </c>
      <c r="C18053" s="0" t="s">
        <v>23871</v>
      </c>
      <c r="D18053" s="0" t="s">
        <v>23871</v>
      </c>
      <c r="E18053" s="0" t="inlineStr">
        <is>
          <t xml:space="preserve">Mazda</t>
        </is>
      </c>
      <c r="F18053" s="0" t="s">
        <v>13</v>
      </c>
      <c r="G18053" s="0" t="s">
        <v>49</v>
      </c>
      <c r="H18053" s="5">
        <v>930.254000</v>
      </c>
    </row>
    <row r="18054" spans="1:9">
      <c r="A18054" s="22" t="str">
        <f>HYPERLINK("https://app.vivvix.com/360/KMI/IntelliDrive/ApplUI/Pages/CreativePages/CustomReportCreativeDetail.aspx?App=23&amp;ReportView=4&amp;Qid=1711279&amp;Row=18046&amp;Col=1","No Title Assigned - #15277259047")</f>
        <v/>
      </c>
      <c r="B18054" s="0" t="s">
        <v>23872</v>
      </c>
      <c r="C18054" s="0" t="s">
        <v>23873</v>
      </c>
      <c r="D18054" s="0" t="s">
        <v>23873</v>
      </c>
      <c r="E18054" s="0" t="inlineStr">
        <is>
          <t xml:space="preserve">Mazda</t>
        </is>
      </c>
      <c r="F18054" s="0" t="s">
        <v>13</v>
      </c>
      <c r="G18054" s="0" t="s">
        <v>49</v>
      </c>
      <c r="H18054" s="5">
        <v>167.182600</v>
      </c>
    </row>
    <row r="18055" spans="1:9">
      <c r="A18055" s="22" t="str">
        <f>HYPERLINK("https://app.vivvix.com/360/KMI/IntelliDrive/ApplUI/Pages/CreativePages/CustomReportCreativeDetail.aspx?App=23&amp;ReportView=4&amp;Qid=1711279&amp;Row=18047&amp;Col=1","No Title Assigned - #15277259048")</f>
        <v/>
      </c>
      <c r="B18055" s="0" t="s">
        <v>23874</v>
      </c>
      <c r="C18055" s="0" t="s">
        <v>23875</v>
      </c>
      <c r="D18055" s="0" t="s">
        <v>23875</v>
      </c>
      <c r="E18055" s="0" t="inlineStr">
        <is>
          <t xml:space="preserve">Mazda</t>
        </is>
      </c>
      <c r="F18055" s="0" t="s">
        <v>13</v>
      </c>
      <c r="G18055" s="0" t="s">
        <v>49</v>
      </c>
      <c r="H18055" s="5">
        <v>167.182600</v>
      </c>
    </row>
    <row r="18056" spans="1:9">
      <c r="A18056" s="22" t="str">
        <f>HYPERLINK("https://app.vivvix.com/360/KMI/IntelliDrive/ApplUI/Pages/CreativePages/CustomReportCreativeDetail.aspx?App=23&amp;ReportView=4&amp;Qid=1711279&amp;Row=18048&amp;Col=1","No Title Assigned - #15277259182")</f>
        <v/>
      </c>
      <c r="B18056" s="0" t="s">
        <v>23876</v>
      </c>
      <c r="E18056" s="0" t="inlineStr">
        <is>
          <t xml:space="preserve">Mazda</t>
        </is>
      </c>
      <c r="F18056" s="0" t="s">
        <v>204</v>
      </c>
      <c r="G18056" s="0" t="s">
        <v>205</v>
      </c>
      <c r="H18056" s="5">
        <v>1030.001000</v>
      </c>
    </row>
    <row r="18057" spans="1:9">
      <c r="A18057" s="22" t="str">
        <f>HYPERLINK("https://app.vivvix.com/360/KMI/IntelliDrive/ApplUI/Pages/CreativePages/CustomReportCreativeDetail.aspx?App=23&amp;ReportView=4&amp;Qid=1711279&amp;Row=18049&amp;Col=1","No Title Assigned - #15277259273")</f>
        <v/>
      </c>
      <c r="B18057" s="0" t="s">
        <v>23877</v>
      </c>
      <c r="C18057" s="0" t="s">
        <v>23878</v>
      </c>
      <c r="D18057" s="0" t="s">
        <v>10004</v>
      </c>
      <c r="E18057" s="0" t="inlineStr">
        <is>
          <t xml:space="preserve">Mazda</t>
        </is>
      </c>
      <c r="F18057" s="0" t="s">
        <v>13</v>
      </c>
      <c r="G18057" s="0" t="s">
        <v>49</v>
      </c>
      <c r="H18057" s="5">
        <v>75.963700</v>
      </c>
    </row>
    <row r="18058" spans="1:9">
      <c r="A18058" s="22" t="str">
        <f>HYPERLINK("https://app.vivvix.com/360/KMI/IntelliDrive/ApplUI/Pages/CreativePages/CustomReportCreativeDetail.aspx?App=23&amp;ReportView=4&amp;Qid=1711279&amp;Row=18050&amp;Col=1","No Title Assigned - #15277259607")</f>
        <v/>
      </c>
      <c r="B18058" s="0" t="s">
        <v>23879</v>
      </c>
      <c r="C18058" s="0" t="s">
        <v>23880</v>
      </c>
      <c r="D18058" s="0" t="s">
        <v>23880</v>
      </c>
      <c r="E18058" s="0" t="inlineStr">
        <is>
          <t xml:space="preserve">Mazda</t>
        </is>
      </c>
      <c r="F18058" s="0" t="s">
        <v>13</v>
      </c>
      <c r="G18058" s="0" t="s">
        <v>49</v>
      </c>
      <c r="H18058" s="5">
        <v>672.742000</v>
      </c>
    </row>
    <row r="18059" spans="1:9">
      <c r="A18059" s="22" t="str">
        <f>HYPERLINK("https://app.vivvix.com/360/KMI/IntelliDrive/ApplUI/Pages/CreativePages/CustomReportCreativeDetail.aspx?App=23&amp;ReportView=4&amp;Qid=1711279&amp;Row=18051&amp;Col=1","No Title Assigned - #15277259994")</f>
        <v/>
      </c>
      <c r="B18059" s="0" t="s">
        <v>23881</v>
      </c>
      <c r="C18059" s="0" t="s">
        <v>23882</v>
      </c>
      <c r="D18059" s="0" t="s">
        <v>23882</v>
      </c>
      <c r="E18059" s="0" t="inlineStr">
        <is>
          <t xml:space="preserve">Mazda</t>
        </is>
      </c>
      <c r="F18059" s="0" t="s">
        <v>13</v>
      </c>
      <c r="G18059" s="0" t="s">
        <v>49</v>
      </c>
      <c r="H18059" s="5">
        <v>476.516300</v>
      </c>
    </row>
    <row r="18060" spans="1:9">
      <c r="A18060" s="22" t="str">
        <f>HYPERLINK("https://app.vivvix.com/360/KMI/IntelliDrive/ApplUI/Pages/CreativePages/CustomReportCreativeDetail.aspx?App=23&amp;ReportView=4&amp;Qid=1711279&amp;Row=18052&amp;Col=1","No Title Assigned - #15277260069")</f>
        <v/>
      </c>
      <c r="B18060" s="0" t="s">
        <v>23883</v>
      </c>
      <c r="C18060" s="0" t="s">
        <v>23884</v>
      </c>
      <c r="D18060" s="0" t="s">
        <v>23884</v>
      </c>
      <c r="E18060" s="0" t="inlineStr">
        <is>
          <t xml:space="preserve">Mazda</t>
        </is>
      </c>
      <c r="F18060" s="0" t="s">
        <v>13</v>
      </c>
      <c r="G18060" s="0" t="s">
        <v>49</v>
      </c>
      <c r="H18060" s="5">
        <v>385.927500</v>
      </c>
    </row>
    <row r="18061" spans="1:9">
      <c r="A18061" s="22" t="str">
        <f>HYPERLINK("https://app.vivvix.com/360/KMI/IntelliDrive/ApplUI/Pages/CreativePages/CustomReportCreativeDetail.aspx?App=23&amp;ReportView=4&amp;Qid=1711279&amp;Row=18053&amp;Col=1","No Title Assigned - #15277260137")</f>
        <v/>
      </c>
      <c r="B18061" s="0" t="s">
        <v>23885</v>
      </c>
      <c r="C18061" s="0" t="s">
        <v>23886</v>
      </c>
      <c r="D18061" s="0" t="s">
        <v>23886</v>
      </c>
      <c r="E18061" s="0" t="inlineStr">
        <is>
          <t xml:space="preserve">Mazda</t>
        </is>
      </c>
      <c r="F18061" s="0" t="s">
        <v>13</v>
      </c>
      <c r="G18061" s="0" t="s">
        <v>49</v>
      </c>
      <c r="H18061" s="5">
        <v>10.438500</v>
      </c>
    </row>
    <row r="18062" spans="1:9">
      <c r="A18062" s="22" t="str">
        <f>HYPERLINK("https://app.vivvix.com/360/KMI/IntelliDrive/ApplUI/Pages/CreativePages/CustomReportCreativeDetail.aspx?App=23&amp;ReportView=4&amp;Qid=1711279&amp;Row=18054&amp;Col=1","No Title Assigned - #15277260515")</f>
        <v/>
      </c>
      <c r="B18062" s="0" t="s">
        <v>23887</v>
      </c>
      <c r="C18062" s="0" t="s">
        <v>23888</v>
      </c>
      <c r="D18062" s="0" t="s">
        <v>5013</v>
      </c>
      <c r="E18062" s="0" t="inlineStr">
        <is>
          <t xml:space="preserve">Mazda</t>
        </is>
      </c>
      <c r="F18062" s="0" t="s">
        <v>13</v>
      </c>
      <c r="G18062" s="0" t="s">
        <v>49</v>
      </c>
      <c r="H18062" s="5">
        <v>1045.368100</v>
      </c>
    </row>
    <row r="18063" spans="1:9">
      <c r="A18063" s="22" t="str">
        <f>HYPERLINK("https://app.vivvix.com/360/KMI/IntelliDrive/ApplUI/Pages/CreativePages/CustomReportCreativeDetail.aspx?App=23&amp;ReportView=4&amp;Qid=1711279&amp;Row=18055&amp;Col=1","No Title Assigned - #15277260515")</f>
        <v/>
      </c>
      <c r="B18063" s="0" t="s">
        <v>23887</v>
      </c>
      <c r="E18063" s="0" t="inlineStr">
        <is>
          <t xml:space="preserve">Mazda</t>
        </is>
      </c>
      <c r="F18063" s="0" t="s">
        <v>13</v>
      </c>
      <c r="G18063" s="0" t="s">
        <v>49</v>
      </c>
      <c r="H18063" s="5">
        <v>65.632300</v>
      </c>
    </row>
    <row r="18064" spans="1:9">
      <c r="A18064" s="22" t="str">
        <f>HYPERLINK("https://app.vivvix.com/360/KMI/IntelliDrive/ApplUI/Pages/CreativePages/CustomReportCreativeDetail.aspx?App=23&amp;ReportView=4&amp;Qid=1711279&amp;Row=18056&amp;Col=1","No Title Assigned - #15277261131")</f>
        <v/>
      </c>
      <c r="B18064" s="0" t="s">
        <v>23889</v>
      </c>
      <c r="C18064" s="0" t="s">
        <v>23890</v>
      </c>
      <c r="D18064" s="0" t="s">
        <v>23890</v>
      </c>
      <c r="E18064" s="0" t="inlineStr">
        <is>
          <t xml:space="preserve">Mazda</t>
        </is>
      </c>
      <c r="F18064" s="0" t="s">
        <v>13</v>
      </c>
      <c r="G18064" s="0" t="s">
        <v>49</v>
      </c>
      <c r="H18064" s="5">
        <v>559.523300</v>
      </c>
    </row>
    <row r="18065" spans="1:9">
      <c r="A18065" s="22" t="str">
        <f>HYPERLINK("https://app.vivvix.com/360/KMI/IntelliDrive/ApplUI/Pages/CreativePages/CustomReportCreativeDetail.aspx?App=23&amp;ReportView=4&amp;Qid=1711279&amp;Row=18057&amp;Col=1","No Title Assigned - #15277261540")</f>
        <v/>
      </c>
      <c r="B18065" s="0" t="s">
        <v>23891</v>
      </c>
      <c r="C18065" s="0" t="s">
        <v>23892</v>
      </c>
      <c r="D18065" s="0" t="s">
        <v>10004</v>
      </c>
      <c r="E18065" s="0" t="inlineStr">
        <is>
          <t xml:space="preserve">Mazda</t>
        </is>
      </c>
      <c r="F18065" s="0" t="s">
        <v>13</v>
      </c>
      <c r="G18065" s="0" t="s">
        <v>49</v>
      </c>
      <c r="H18065" s="5">
        <v>342.566300</v>
      </c>
    </row>
    <row r="18066" spans="1:9">
      <c r="A18066" s="22" t="str">
        <f>HYPERLINK("https://app.vivvix.com/360/KMI/IntelliDrive/ApplUI/Pages/CreativePages/CustomReportCreativeDetail.aspx?App=23&amp;ReportView=4&amp;Qid=1711279&amp;Row=18058&amp;Col=1","No Title Assigned - #15277262523")</f>
        <v/>
      </c>
      <c r="B18066" s="0" t="s">
        <v>23893</v>
      </c>
      <c r="C18066" s="0" t="s">
        <v>23894</v>
      </c>
      <c r="D18066" s="0" t="s">
        <v>23894</v>
      </c>
      <c r="E18066" s="0" t="inlineStr">
        <is>
          <t xml:space="preserve">Mazda</t>
        </is>
      </c>
      <c r="F18066" s="0" t="s">
        <v>13</v>
      </c>
      <c r="G18066" s="0" t="s">
        <v>49</v>
      </c>
      <c r="H18066" s="5">
        <v>501.902400</v>
      </c>
    </row>
    <row r="18067" spans="1:9">
      <c r="A18067" s="22" t="str">
        <f>HYPERLINK("https://app.vivvix.com/360/KMI/IntelliDrive/ApplUI/Pages/CreativePages/CustomReportCreativeDetail.aspx?App=23&amp;ReportView=4&amp;Qid=1711279&amp;Row=18059&amp;Col=1","No Title Assigned - #15277262938")</f>
        <v/>
      </c>
      <c r="B18067" s="0" t="s">
        <v>23895</v>
      </c>
      <c r="E18067" s="0" t="inlineStr">
        <is>
          <t xml:space="preserve">Mazda</t>
        </is>
      </c>
      <c r="F18067" s="0" t="s">
        <v>13</v>
      </c>
      <c r="G18067" s="0" t="s">
        <v>49</v>
      </c>
      <c r="H18067" s="5">
        <v>102.160200</v>
      </c>
    </row>
    <row r="18068" spans="1:9">
      <c r="A18068" s="22" t="str">
        <f>HYPERLINK("https://app.vivvix.com/360/KMI/IntelliDrive/ApplUI/Pages/CreativePages/CustomReportCreativeDetail.aspx?App=23&amp;ReportView=4&amp;Qid=1711279&amp;Row=18060&amp;Col=1","No Title Assigned - #15277263222")</f>
        <v/>
      </c>
      <c r="B18068" s="0" t="s">
        <v>23896</v>
      </c>
      <c r="C18068" s="0" t="s">
        <v>23897</v>
      </c>
      <c r="D18068" s="0" t="s">
        <v>10004</v>
      </c>
      <c r="E18068" s="0" t="inlineStr">
        <is>
          <t xml:space="preserve">Mazda</t>
        </is>
      </c>
      <c r="F18068" s="0" t="s">
        <v>13</v>
      </c>
      <c r="G18068" s="0" t="s">
        <v>49</v>
      </c>
      <c r="H18068" s="5">
        <v>142.277100</v>
      </c>
    </row>
    <row r="18069" spans="1:9">
      <c r="A18069" s="22" t="str">
        <f>HYPERLINK("https://app.vivvix.com/360/KMI/IntelliDrive/ApplUI/Pages/CreativePages/CustomReportCreativeDetail.aspx?App=23&amp;ReportView=4&amp;Qid=1711279&amp;Row=18061&amp;Col=1","No Title Assigned - #15277264091")</f>
        <v/>
      </c>
      <c r="B18069" s="0" t="s">
        <v>23898</v>
      </c>
      <c r="C18069" s="0" t="s">
        <v>23899</v>
      </c>
      <c r="D18069" s="0" t="s">
        <v>10311</v>
      </c>
      <c r="E18069" s="0" t="inlineStr">
        <is>
          <t xml:space="preserve">Mazda</t>
        </is>
      </c>
      <c r="F18069" s="0" t="s">
        <v>13</v>
      </c>
      <c r="G18069" s="0" t="s">
        <v>49</v>
      </c>
      <c r="H18069" s="5">
        <v>41.539400</v>
      </c>
    </row>
    <row r="18070" spans="1:9">
      <c r="A18070" s="22" t="str">
        <f>HYPERLINK("https://app.vivvix.com/360/KMI/IntelliDrive/ApplUI/Pages/CreativePages/CustomReportCreativeDetail.aspx?App=23&amp;ReportView=4&amp;Qid=1711279&amp;Row=18062&amp;Col=1","No Title Assigned - #15277264842")</f>
        <v/>
      </c>
      <c r="B18070" s="0" t="s">
        <v>23900</v>
      </c>
      <c r="C18070" s="0" t="s">
        <v>23901</v>
      </c>
      <c r="D18070" s="0" t="s">
        <v>8930</v>
      </c>
      <c r="E18070" s="0" t="inlineStr">
        <is>
          <t xml:space="preserve">Mazda</t>
        </is>
      </c>
      <c r="F18070" s="0" t="s">
        <v>13</v>
      </c>
      <c r="G18070" s="0" t="s">
        <v>49</v>
      </c>
      <c r="H18070" s="5">
        <v>0.588400</v>
      </c>
    </row>
    <row r="18071" spans="1:9">
      <c r="A18071" s="22" t="str">
        <f>HYPERLINK("https://app.vivvix.com/360/KMI/IntelliDrive/ApplUI/Pages/CreativePages/CustomReportCreativeDetail.aspx?App=23&amp;ReportView=4&amp;Qid=1711279&amp;Row=18063&amp;Col=1","No Title Assigned - #15277265060")</f>
        <v/>
      </c>
      <c r="B18071" s="0" t="s">
        <v>23902</v>
      </c>
      <c r="C18071" s="0" t="s">
        <v>23903</v>
      </c>
      <c r="D18071" s="0" t="s">
        <v>22120</v>
      </c>
      <c r="E18071" s="0" t="inlineStr">
        <is>
          <t xml:space="preserve">Mazda</t>
        </is>
      </c>
      <c r="F18071" s="0" t="s">
        <v>13</v>
      </c>
      <c r="G18071" s="0" t="s">
        <v>49</v>
      </c>
      <c r="H18071" s="5">
        <v>585.799500</v>
      </c>
    </row>
    <row r="18072" spans="1:9">
      <c r="A18072" s="22" t="str">
        <f>HYPERLINK("https://app.vivvix.com/360/KMI/IntelliDrive/ApplUI/Pages/CreativePages/CustomReportCreativeDetail.aspx?App=23&amp;ReportView=4&amp;Qid=1711279&amp;Row=18064&amp;Col=1","No Title Assigned - #15277265323")</f>
        <v/>
      </c>
      <c r="B18072" s="0" t="s">
        <v>23904</v>
      </c>
      <c r="C18072" s="0" t="s">
        <v>23905</v>
      </c>
      <c r="D18072" s="0" t="s">
        <v>23905</v>
      </c>
      <c r="E18072" s="0" t="inlineStr">
        <is>
          <t xml:space="preserve">Mazda</t>
        </is>
      </c>
      <c r="F18072" s="0" t="s">
        <v>13</v>
      </c>
      <c r="G18072" s="0" t="s">
        <v>49</v>
      </c>
      <c r="H18072" s="5">
        <v>924.920700</v>
      </c>
    </row>
    <row r="18073" spans="1:9">
      <c r="A18073" s="22" t="str">
        <f>HYPERLINK("https://app.vivvix.com/360/KMI/IntelliDrive/ApplUI/Pages/CreativePages/CustomReportCreativeDetail.aspx?App=23&amp;ReportView=4&amp;Qid=1711279&amp;Row=18065&amp;Col=1","No Title Assigned - #15277265628")</f>
        <v/>
      </c>
      <c r="B18073" s="0" t="s">
        <v>23906</v>
      </c>
      <c r="C18073" s="0" t="s">
        <v>23907</v>
      </c>
      <c r="D18073" s="0" t="s">
        <v>5013</v>
      </c>
      <c r="E18073" s="0" t="inlineStr">
        <is>
          <t xml:space="preserve">Mazda</t>
        </is>
      </c>
      <c r="F18073" s="0" t="s">
        <v>13</v>
      </c>
      <c r="G18073" s="0" t="s">
        <v>49</v>
      </c>
      <c r="H18073" s="5">
        <v>142.311600</v>
      </c>
    </row>
    <row r="18074" spans="1:9">
      <c r="A18074" s="22" t="str">
        <f>HYPERLINK("https://app.vivvix.com/360/KMI/IntelliDrive/ApplUI/Pages/CreativePages/CustomReportCreativeDetail.aspx?App=23&amp;ReportView=4&amp;Qid=1711279&amp;Row=18066&amp;Col=1","No Title Assigned - #15277265886")</f>
        <v/>
      </c>
      <c r="B18074" s="0" t="s">
        <v>23908</v>
      </c>
      <c r="C18074" s="0" t="s">
        <v>23909</v>
      </c>
      <c r="D18074" s="0" t="s">
        <v>23909</v>
      </c>
      <c r="E18074" s="0" t="inlineStr">
        <is>
          <t xml:space="preserve">Mazda</t>
        </is>
      </c>
      <c r="F18074" s="0" t="s">
        <v>13</v>
      </c>
      <c r="G18074" s="0" t="s">
        <v>49</v>
      </c>
      <c r="H18074" s="5">
        <v>960.523400</v>
      </c>
    </row>
    <row r="18075" spans="1:9">
      <c r="A18075" s="22" t="str">
        <f>HYPERLINK("https://app.vivvix.com/360/KMI/IntelliDrive/ApplUI/Pages/CreativePages/CustomReportCreativeDetail.aspx?App=23&amp;ReportView=4&amp;Qid=1711279&amp;Row=18067&amp;Col=1","No Title Assigned - #15277265929")</f>
        <v/>
      </c>
      <c r="B18075" s="0" t="s">
        <v>23910</v>
      </c>
      <c r="C18075" s="0" t="s">
        <v>23911</v>
      </c>
      <c r="D18075" s="0" t="s">
        <v>23911</v>
      </c>
      <c r="E18075" s="0" t="inlineStr">
        <is>
          <t xml:space="preserve">Mazda</t>
        </is>
      </c>
      <c r="F18075" s="0" t="s">
        <v>13</v>
      </c>
      <c r="G18075" s="0" t="s">
        <v>49</v>
      </c>
      <c r="H18075" s="5">
        <v>16.665400</v>
      </c>
    </row>
    <row r="18076" spans="1:9">
      <c r="A18076" s="22" t="str">
        <f>HYPERLINK("https://app.vivvix.com/360/KMI/IntelliDrive/ApplUI/Pages/CreativePages/CustomReportCreativeDetail.aspx?App=23&amp;ReportView=4&amp;Qid=1711279&amp;Row=18068&amp;Col=1","No Title Assigned - #15277266031")</f>
        <v/>
      </c>
      <c r="B18076" s="0" t="s">
        <v>23912</v>
      </c>
      <c r="C18076" s="0" t="s">
        <v>23913</v>
      </c>
      <c r="D18076" s="0" t="s">
        <v>22540</v>
      </c>
      <c r="E18076" s="0" t="inlineStr">
        <is>
          <t xml:space="preserve">Mazda</t>
        </is>
      </c>
      <c r="F18076" s="0" t="s">
        <v>13</v>
      </c>
      <c r="G18076" s="0" t="s">
        <v>49</v>
      </c>
      <c r="H18076" s="5">
        <v>123.904400</v>
      </c>
    </row>
    <row r="18077" spans="1:9">
      <c r="A18077" s="22" t="str">
        <f>HYPERLINK("https://app.vivvix.com/360/KMI/IntelliDrive/ApplUI/Pages/CreativePages/CustomReportCreativeDetail.aspx?App=23&amp;ReportView=4&amp;Qid=1711279&amp;Row=18069&amp;Col=1","No Title Assigned - #15277266479")</f>
        <v/>
      </c>
      <c r="B18077" s="0" t="s">
        <v>23914</v>
      </c>
      <c r="C18077" s="0" t="s">
        <v>23915</v>
      </c>
      <c r="D18077" s="0" t="s">
        <v>23915</v>
      </c>
      <c r="E18077" s="0" t="inlineStr">
        <is>
          <t xml:space="preserve">Mazda</t>
        </is>
      </c>
      <c r="F18077" s="0" t="s">
        <v>13</v>
      </c>
      <c r="G18077" s="0" t="s">
        <v>49</v>
      </c>
      <c r="H18077" s="5">
        <v>7068.444000</v>
      </c>
    </row>
    <row r="18078" spans="1:9">
      <c r="A18078" s="22" t="str">
        <f>HYPERLINK("https://app.vivvix.com/360/KMI/IntelliDrive/ApplUI/Pages/CreativePages/CustomReportCreativeDetail.aspx?App=23&amp;ReportView=4&amp;Qid=1711279&amp;Row=18070&amp;Col=1","No Title Assigned - #15277266622")</f>
        <v/>
      </c>
      <c r="B18078" s="0" t="s">
        <v>23916</v>
      </c>
      <c r="C18078" s="0" t="s">
        <v>23917</v>
      </c>
      <c r="D18078" s="0" t="s">
        <v>6183</v>
      </c>
      <c r="E18078" s="0" t="inlineStr">
        <is>
          <t xml:space="preserve">Mazda</t>
        </is>
      </c>
      <c r="F18078" s="0" t="s">
        <v>13</v>
      </c>
      <c r="G18078" s="0" t="s">
        <v>49</v>
      </c>
      <c r="H18078" s="5">
        <v>12084.896500</v>
      </c>
    </row>
    <row r="18079" spans="1:9">
      <c r="A18079" s="22" t="str">
        <f>HYPERLINK("https://app.vivvix.com/360/KMI/IntelliDrive/ApplUI/Pages/CreativePages/CustomReportCreativeDetail.aspx?App=23&amp;ReportView=4&amp;Qid=1711279&amp;Row=18071&amp;Col=1","No Title Assigned - #15277266622")</f>
        <v/>
      </c>
      <c r="B18079" s="0" t="s">
        <v>23916</v>
      </c>
      <c r="E18079" s="0" t="inlineStr">
        <is>
          <t xml:space="preserve">Mazda</t>
        </is>
      </c>
      <c r="F18079" s="0" t="s">
        <v>13</v>
      </c>
      <c r="G18079" s="0" t="s">
        <v>49</v>
      </c>
      <c r="H18079" s="5">
        <v>2490.635900</v>
      </c>
    </row>
    <row r="18080" spans="1:9">
      <c r="A18080" s="22" t="str">
        <f>HYPERLINK("https://app.vivvix.com/360/KMI/IntelliDrive/ApplUI/Pages/CreativePages/CustomReportCreativeDetail.aspx?App=23&amp;ReportView=4&amp;Qid=1711279&amp;Row=18072&amp;Col=1","No Title Assigned - #15277266880")</f>
        <v/>
      </c>
      <c r="B18080" s="0" t="s">
        <v>23918</v>
      </c>
      <c r="E18080" s="0" t="inlineStr">
        <is>
          <t xml:space="preserve">Mazda</t>
        </is>
      </c>
      <c r="F18080" s="0" t="inlineStr">
        <is>
          <t xml:space="preserve">Mazda</t>
        </is>
      </c>
      <c r="G18080" s="0" t="s">
        <v>171</v>
      </c>
      <c r="H18080" s="5">
        <v>419.844900</v>
      </c>
    </row>
    <row r="18081" spans="1:9">
      <c r="A18081" s="22" t="str">
        <f>HYPERLINK("https://app.vivvix.com/360/KMI/IntelliDrive/ApplUI/Pages/CreativePages/CustomReportCreativeDetail.aspx?App=23&amp;ReportView=4&amp;Qid=1711279&amp;Row=18073&amp;Col=1","No Title Assigned - #15277267007")</f>
        <v/>
      </c>
      <c r="B18081" s="0" t="s">
        <v>23919</v>
      </c>
      <c r="E18081" s="0" t="inlineStr">
        <is>
          <t xml:space="preserve">Mazda</t>
        </is>
      </c>
      <c r="F18081" s="0" t="inlineStr">
        <is>
          <t xml:space="preserve">Mazda</t>
        </is>
      </c>
      <c r="G18081" s="0" t="s">
        <v>171</v>
      </c>
      <c r="H18081" s="5">
        <v>14446.167400</v>
      </c>
    </row>
    <row r="18082" spans="1:9">
      <c r="A18082" s="22" t="str">
        <f>HYPERLINK("https://app.vivvix.com/360/KMI/IntelliDrive/ApplUI/Pages/CreativePages/CustomReportCreativeDetail.aspx?App=23&amp;ReportView=4&amp;Qid=1711279&amp;Row=18074&amp;Col=1","No Title Assigned - #15277267014")</f>
        <v/>
      </c>
      <c r="B18082" s="0" t="s">
        <v>23920</v>
      </c>
      <c r="E18082" s="0" t="inlineStr">
        <is>
          <t xml:space="preserve">Mazda</t>
        </is>
      </c>
      <c r="F18082" s="0" t="inlineStr">
        <is>
          <t xml:space="preserve">Mazda</t>
        </is>
      </c>
      <c r="G18082" s="0" t="s">
        <v>171</v>
      </c>
      <c r="H18082" s="5">
        <v>5856.733600</v>
      </c>
    </row>
    <row r="18083" spans="1:9">
      <c r="A18083" s="22" t="str">
        <f>HYPERLINK("https://app.vivvix.com/360/KMI/IntelliDrive/ApplUI/Pages/CreativePages/CustomReportCreativeDetail.aspx?App=23&amp;ReportView=4&amp;Qid=1711279&amp;Row=18075&amp;Col=1","No Title Assigned - #15277267014")</f>
        <v/>
      </c>
      <c r="B18083" s="0" t="s">
        <v>23920</v>
      </c>
      <c r="E18083" s="0" t="inlineStr">
        <is>
          <t xml:space="preserve">Mazda</t>
        </is>
      </c>
      <c r="F18083" s="0" t="inlineStr">
        <is>
          <t xml:space="preserve">Mazda</t>
        </is>
      </c>
      <c r="G18083" s="0" t="s">
        <v>171</v>
      </c>
      <c r="H18083" s="5">
        <v>2384.719800</v>
      </c>
    </row>
    <row r="18084" spans="1:9">
      <c r="A18084" s="22" t="str">
        <f>HYPERLINK("https://app.vivvix.com/360/KMI/IntelliDrive/ApplUI/Pages/CreativePages/CustomReportCreativeDetail.aspx?App=23&amp;ReportView=4&amp;Qid=1711279&amp;Row=18076&amp;Col=1","No Title Assigned - #15277268007")</f>
        <v/>
      </c>
      <c r="B18084" s="0" t="s">
        <v>23921</v>
      </c>
      <c r="E18084" s="0" t="inlineStr">
        <is>
          <t xml:space="preserve">Mazda</t>
        </is>
      </c>
      <c r="F18084" s="0" t="inlineStr">
        <is>
          <t xml:space="preserve">Mazda</t>
        </is>
      </c>
      <c r="G18084" s="0" t="s">
        <v>171</v>
      </c>
      <c r="H18084" s="5">
        <v>335.200200</v>
      </c>
    </row>
    <row r="18085" spans="1:9">
      <c r="A18085" s="22" t="str">
        <f>HYPERLINK("https://app.vivvix.com/360/KMI/IntelliDrive/ApplUI/Pages/CreativePages/CustomReportCreativeDetail.aspx?App=23&amp;ReportView=4&amp;Qid=1711279&amp;Row=18077&amp;Col=1","No Title Assigned - #15277268125")</f>
        <v/>
      </c>
      <c r="B18085" s="0" t="s">
        <v>23922</v>
      </c>
      <c r="E18085" s="0" t="inlineStr">
        <is>
          <t xml:space="preserve">Mazda</t>
        </is>
      </c>
      <c r="F18085" s="0" t="inlineStr">
        <is>
          <t xml:space="preserve">Mazda</t>
        </is>
      </c>
      <c r="G18085" s="0" t="s">
        <v>171</v>
      </c>
      <c r="H18085" s="5">
        <v>1115.924200</v>
      </c>
    </row>
    <row r="18086" spans="1:9">
      <c r="A18086" s="22" t="str">
        <f>HYPERLINK("https://app.vivvix.com/360/KMI/IntelliDrive/ApplUI/Pages/CreativePages/CustomReportCreativeDetail.aspx?App=23&amp;ReportView=4&amp;Qid=1711279&amp;Row=18078&amp;Col=1","No Title Assigned - #15277268138")</f>
        <v/>
      </c>
      <c r="B18086" s="0" t="s">
        <v>23923</v>
      </c>
      <c r="C18086" s="0" t="s">
        <v>23924</v>
      </c>
      <c r="D18086" s="0" t="s">
        <v>23924</v>
      </c>
      <c r="E18086" s="0" t="inlineStr">
        <is>
          <t xml:space="preserve">Mazda</t>
        </is>
      </c>
      <c r="F18086" s="0" t="inlineStr">
        <is>
          <t xml:space="preserve">Mazda</t>
        </is>
      </c>
      <c r="G18086" s="0" t="s">
        <v>171</v>
      </c>
      <c r="H18086" s="5">
        <v>241.322800</v>
      </c>
    </row>
    <row r="18087" spans="1:9">
      <c r="A18087" s="22" t="str">
        <f>HYPERLINK("https://app.vivvix.com/360/KMI/IntelliDrive/ApplUI/Pages/CreativePages/CustomReportCreativeDetail.aspx?App=23&amp;ReportView=4&amp;Qid=1711279&amp;Row=18079&amp;Col=1","No Title Assigned - #15277268152")</f>
        <v/>
      </c>
      <c r="B18087" s="0" t="s">
        <v>23925</v>
      </c>
      <c r="E18087" s="0" t="inlineStr">
        <is>
          <t xml:space="preserve">Mazda</t>
        </is>
      </c>
      <c r="F18087" s="0" t="inlineStr">
        <is>
          <t xml:space="preserve">Mazda</t>
        </is>
      </c>
      <c r="G18087" s="0" t="s">
        <v>171</v>
      </c>
      <c r="H18087" s="5">
        <v>224.569400</v>
      </c>
    </row>
    <row r="18088" spans="1:9">
      <c r="A18088" s="22" t="str">
        <f>HYPERLINK("https://app.vivvix.com/360/KMI/IntelliDrive/ApplUI/Pages/CreativePages/CustomReportCreativeDetail.aspx?App=23&amp;ReportView=4&amp;Qid=1711279&amp;Row=18080&amp;Col=1","No Title Assigned - #15277268522")</f>
        <v/>
      </c>
      <c r="B18088" s="0" t="s">
        <v>23926</v>
      </c>
      <c r="E18088" s="0" t="inlineStr">
        <is>
          <t xml:space="preserve">Mazda</t>
        </is>
      </c>
      <c r="F18088" s="0" t="inlineStr">
        <is>
          <t xml:space="preserve">Mazda</t>
        </is>
      </c>
      <c r="G18088" s="0" t="s">
        <v>171</v>
      </c>
      <c r="H18088" s="5">
        <v>380.201200</v>
      </c>
    </row>
    <row r="18089" spans="1:9">
      <c r="A18089" s="22" t="str">
        <f>HYPERLINK("https://app.vivvix.com/360/KMI/IntelliDrive/ApplUI/Pages/CreativePages/CustomReportCreativeDetail.aspx?App=23&amp;ReportView=4&amp;Qid=1711279&amp;Row=18081&amp;Col=1","No Title Assigned - #15277269314")</f>
        <v/>
      </c>
      <c r="B18089" s="0" t="s">
        <v>23927</v>
      </c>
      <c r="E18089" s="0" t="inlineStr">
        <is>
          <t xml:space="preserve">Mazda</t>
        </is>
      </c>
      <c r="F18089" s="0" t="inlineStr">
        <is>
          <t xml:space="preserve">Mazda</t>
        </is>
      </c>
      <c r="G18089" s="0" t="s">
        <v>171</v>
      </c>
      <c r="H18089" s="5">
        <v>1857.309400</v>
      </c>
    </row>
    <row r="18090" spans="1:9">
      <c r="A18090" s="22" t="str">
        <f>HYPERLINK("https://app.vivvix.com/360/KMI/IntelliDrive/ApplUI/Pages/CreativePages/CustomReportCreativeDetail.aspx?App=23&amp;ReportView=4&amp;Qid=1711279&amp;Row=18082&amp;Col=1","No Title Assigned - #15277269594")</f>
        <v/>
      </c>
      <c r="B18090" s="0" t="s">
        <v>23928</v>
      </c>
      <c r="E18090" s="0" t="inlineStr">
        <is>
          <t xml:space="preserve">Mazda</t>
        </is>
      </c>
      <c r="F18090" s="0" t="inlineStr">
        <is>
          <t xml:space="preserve">Mazda</t>
        </is>
      </c>
      <c r="G18090" s="0" t="s">
        <v>171</v>
      </c>
      <c r="H18090" s="5">
        <v>18.346800</v>
      </c>
    </row>
    <row r="18091" spans="1:9">
      <c r="A18091" s="22" t="str">
        <f>HYPERLINK("https://app.vivvix.com/360/KMI/IntelliDrive/ApplUI/Pages/CreativePages/CustomReportCreativeDetail.aspx?App=23&amp;ReportView=4&amp;Qid=1711279&amp;Row=18083&amp;Col=1","No Title Assigned - #15277270700")</f>
        <v/>
      </c>
      <c r="B18091" s="0" t="s">
        <v>23929</v>
      </c>
      <c r="E18091" s="0" t="inlineStr">
        <is>
          <t xml:space="preserve">Mazda</t>
        </is>
      </c>
      <c r="F18091" s="0" t="inlineStr">
        <is>
          <t xml:space="preserve">Mazda</t>
        </is>
      </c>
      <c r="G18091" s="0" t="s">
        <v>171</v>
      </c>
      <c r="H18091" s="5">
        <v>456.512400</v>
      </c>
    </row>
    <row r="18092" spans="1:9">
      <c r="A18092" s="22" t="str">
        <f>HYPERLINK("https://app.vivvix.com/360/KMI/IntelliDrive/ApplUI/Pages/CreativePages/CustomReportCreativeDetail.aspx?App=23&amp;ReportView=4&amp;Qid=1711279&amp;Row=18084&amp;Col=1","No Title Assigned - #15277271559")</f>
        <v/>
      </c>
      <c r="B18092" s="0" t="s">
        <v>23930</v>
      </c>
      <c r="E18092" s="0" t="inlineStr">
        <is>
          <t xml:space="preserve">Mazda</t>
        </is>
      </c>
      <c r="F18092" s="0" t="inlineStr">
        <is>
          <t xml:space="preserve">Mazda</t>
        </is>
      </c>
      <c r="G18092" s="0" t="s">
        <v>171</v>
      </c>
      <c r="H18092" s="5">
        <v>1080.602000</v>
      </c>
    </row>
    <row r="18093" spans="1:9">
      <c r="A18093" s="22" t="str">
        <f>HYPERLINK("https://app.vivvix.com/360/KMI/IntelliDrive/ApplUI/Pages/CreativePages/CustomReportCreativeDetail.aspx?App=23&amp;ReportView=4&amp;Qid=1711279&amp;Row=18085&amp;Col=1","No Title Assigned - #15277271594")</f>
        <v/>
      </c>
      <c r="B18093" s="0" t="s">
        <v>23931</v>
      </c>
      <c r="E18093" s="0" t="inlineStr">
        <is>
          <t xml:space="preserve">Mazda</t>
        </is>
      </c>
      <c r="F18093" s="0" t="inlineStr">
        <is>
          <t xml:space="preserve">Mazda</t>
        </is>
      </c>
      <c r="G18093" s="0" t="s">
        <v>171</v>
      </c>
      <c r="H18093" s="5">
        <v>1267.974100</v>
      </c>
    </row>
    <row r="18094" spans="1:9">
      <c r="A18094" s="22" t="str">
        <f>HYPERLINK("https://app.vivvix.com/360/KMI/IntelliDrive/ApplUI/Pages/CreativePages/CustomReportCreativeDetail.aspx?App=23&amp;ReportView=4&amp;Qid=1711279&amp;Row=18086&amp;Col=1","No Title Assigned - #15277271594")</f>
        <v/>
      </c>
      <c r="B18094" s="0" t="s">
        <v>23931</v>
      </c>
      <c r="E18094" s="0" t="inlineStr">
        <is>
          <t xml:space="preserve">Mazda</t>
        </is>
      </c>
      <c r="F18094" s="0" t="inlineStr">
        <is>
          <t xml:space="preserve">Mazda</t>
        </is>
      </c>
      <c r="G18094" s="0" t="s">
        <v>171</v>
      </c>
      <c r="H18094" s="5">
        <v>930.426500</v>
      </c>
    </row>
    <row r="18095" spans="1:9">
      <c r="A18095" s="22" t="str">
        <f>HYPERLINK("https://app.vivvix.com/360/KMI/IntelliDrive/ApplUI/Pages/CreativePages/CustomReportCreativeDetail.aspx?App=23&amp;ReportView=4&amp;Qid=1711279&amp;Row=18087&amp;Col=1","No Title Assigned - #15277272036")</f>
        <v/>
      </c>
      <c r="B18095" s="0" t="s">
        <v>23932</v>
      </c>
      <c r="C18095" s="0" t="s">
        <v>23933</v>
      </c>
      <c r="D18095" s="0" t="s">
        <v>23933</v>
      </c>
      <c r="E18095" s="0" t="inlineStr">
        <is>
          <t xml:space="preserve">Mazda</t>
        </is>
      </c>
      <c r="F18095" s="0" t="inlineStr">
        <is>
          <t xml:space="preserve">Mazda</t>
        </is>
      </c>
      <c r="G18095" s="0" t="s">
        <v>171</v>
      </c>
      <c r="H18095" s="5">
        <v>28.213000</v>
      </c>
    </row>
    <row r="18096" spans="1:9">
      <c r="A18096" s="22" t="str">
        <f>HYPERLINK("https://app.vivvix.com/360/KMI/IntelliDrive/ApplUI/Pages/CreativePages/CustomReportCreativeDetail.aspx?App=23&amp;ReportView=4&amp;Qid=1711279&amp;Row=18088&amp;Col=1","No Title Assigned - #15277272132")</f>
        <v/>
      </c>
      <c r="B18096" s="0" t="s">
        <v>23934</v>
      </c>
      <c r="C18096" s="0" t="s">
        <v>23935</v>
      </c>
      <c r="D18096" s="0" t="s">
        <v>23935</v>
      </c>
      <c r="E18096" s="0" t="inlineStr">
        <is>
          <t xml:space="preserve">Mazda</t>
        </is>
      </c>
      <c r="F18096" s="0" t="inlineStr">
        <is>
          <t xml:space="preserve">Mazda</t>
        </is>
      </c>
      <c r="G18096" s="0" t="s">
        <v>171</v>
      </c>
      <c r="H18096" s="5">
        <v>237.139500</v>
      </c>
    </row>
    <row r="18097" spans="1:9">
      <c r="A18097" s="22" t="str">
        <f>HYPERLINK("https://app.vivvix.com/360/KMI/IntelliDrive/ApplUI/Pages/CreativePages/CustomReportCreativeDetail.aspx?App=23&amp;ReportView=4&amp;Qid=1711279&amp;Row=18089&amp;Col=1","No Title Assigned - #15277272186")</f>
        <v/>
      </c>
      <c r="B18097" s="0" t="s">
        <v>23936</v>
      </c>
      <c r="E18097" s="0" t="inlineStr">
        <is>
          <t xml:space="preserve">Mazda</t>
        </is>
      </c>
      <c r="F18097" s="0" t="inlineStr">
        <is>
          <t xml:space="preserve">Mazda</t>
        </is>
      </c>
      <c r="G18097" s="0" t="s">
        <v>171</v>
      </c>
      <c r="H18097" s="5">
        <v>75.506600</v>
      </c>
    </row>
    <row r="18098" spans="1:9">
      <c r="A18098" s="22" t="str">
        <f>HYPERLINK("https://app.vivvix.com/360/KMI/IntelliDrive/ApplUI/Pages/CreativePages/CustomReportCreativeDetail.aspx?App=23&amp;ReportView=4&amp;Qid=1711279&amp;Row=18090&amp;Col=1","No Title Assigned - #15277272238")</f>
        <v/>
      </c>
      <c r="B18098" s="0" t="s">
        <v>23937</v>
      </c>
      <c r="C18098" s="0" t="s">
        <v>23938</v>
      </c>
      <c r="D18098" s="0" t="s">
        <v>23938</v>
      </c>
      <c r="E18098" s="0" t="inlineStr">
        <is>
          <t xml:space="preserve">Mazda</t>
        </is>
      </c>
      <c r="F18098" s="0" t="inlineStr">
        <is>
          <t xml:space="preserve">Mazda</t>
        </is>
      </c>
      <c r="G18098" s="0" t="s">
        <v>171</v>
      </c>
      <c r="H18098" s="5">
        <v>310.953900</v>
      </c>
    </row>
    <row r="18099" spans="1:9">
      <c r="A18099" s="22" t="str">
        <f>HYPERLINK("https://app.vivvix.com/360/KMI/IntelliDrive/ApplUI/Pages/CreativePages/CustomReportCreativeDetail.aspx?App=23&amp;ReportView=4&amp;Qid=1711279&amp;Row=18091&amp;Col=1","No Title Assigned - #15277272259")</f>
        <v/>
      </c>
      <c r="B18099" s="0" t="s">
        <v>23939</v>
      </c>
      <c r="E18099" s="0" t="inlineStr">
        <is>
          <t xml:space="preserve">Mazda</t>
        </is>
      </c>
      <c r="F18099" s="0" t="inlineStr">
        <is>
          <t xml:space="preserve">Mazda</t>
        </is>
      </c>
      <c r="G18099" s="0" t="s">
        <v>171</v>
      </c>
      <c r="H18099" s="5">
        <v>12571.661400</v>
      </c>
    </row>
    <row r="18100" spans="1:9">
      <c r="A18100" s="22" t="str">
        <f>HYPERLINK("https://app.vivvix.com/360/KMI/IntelliDrive/ApplUI/Pages/CreativePages/CustomReportCreativeDetail.aspx?App=23&amp;ReportView=4&amp;Qid=1711279&amp;Row=18092&amp;Col=1","No Title Assigned - #15277272407")</f>
        <v/>
      </c>
      <c r="B18100" s="0" t="s">
        <v>23940</v>
      </c>
      <c r="E18100" s="0" t="inlineStr">
        <is>
          <t xml:space="preserve">Mazda</t>
        </is>
      </c>
      <c r="F18100" s="0" t="inlineStr">
        <is>
          <t xml:space="preserve">Mazda</t>
        </is>
      </c>
      <c r="G18100" s="0" t="s">
        <v>171</v>
      </c>
      <c r="H18100" s="5">
        <v>224.557200</v>
      </c>
    </row>
    <row r="18101" spans="1:9">
      <c r="A18101" s="22" t="str">
        <f>HYPERLINK("https://app.vivvix.com/360/KMI/IntelliDrive/ApplUI/Pages/CreativePages/CustomReportCreativeDetail.aspx?App=23&amp;ReportView=4&amp;Qid=1711279&amp;Row=18093&amp;Col=1","No Title Assigned - #15277272844")</f>
        <v/>
      </c>
      <c r="B18101" s="0" t="s">
        <v>23941</v>
      </c>
      <c r="E18101" s="0" t="inlineStr">
        <is>
          <t xml:space="preserve">Mazda</t>
        </is>
      </c>
      <c r="F18101" s="0" t="inlineStr">
        <is>
          <t xml:space="preserve">Mazda</t>
        </is>
      </c>
      <c r="G18101" s="0" t="s">
        <v>171</v>
      </c>
      <c r="H18101" s="5">
        <v>67.370300</v>
      </c>
    </row>
    <row r="18102" spans="1:9">
      <c r="A18102" s="22" t="str">
        <f>HYPERLINK("https://app.vivvix.com/360/KMI/IntelliDrive/ApplUI/Pages/CreativePages/CustomReportCreativeDetail.aspx?App=23&amp;ReportView=4&amp;Qid=1711279&amp;Row=18094&amp;Col=1","No Title Assigned - #15277272916")</f>
        <v/>
      </c>
      <c r="B18102" s="0" t="s">
        <v>23942</v>
      </c>
      <c r="C18102" s="0" t="s">
        <v>23943</v>
      </c>
      <c r="D18102" s="0" t="s">
        <v>23943</v>
      </c>
      <c r="E18102" s="0" t="inlineStr">
        <is>
          <t xml:space="preserve">Mazda</t>
        </is>
      </c>
      <c r="F18102" s="0" t="inlineStr">
        <is>
          <t xml:space="preserve">Mazda</t>
        </is>
      </c>
      <c r="G18102" s="0" t="s">
        <v>171</v>
      </c>
      <c r="H18102" s="5">
        <v>1559.311700</v>
      </c>
    </row>
    <row r="18103" spans="1:9">
      <c r="A18103" s="22" t="str">
        <f>HYPERLINK("https://app.vivvix.com/360/KMI/IntelliDrive/ApplUI/Pages/CreativePages/CustomReportCreativeDetail.aspx?App=23&amp;ReportView=4&amp;Qid=1711279&amp;Row=18095&amp;Col=1","No Title Assigned - #15277272936")</f>
        <v/>
      </c>
      <c r="B18103" s="0" t="s">
        <v>23944</v>
      </c>
      <c r="E18103" s="0" t="inlineStr">
        <is>
          <t xml:space="preserve">Mazda</t>
        </is>
      </c>
      <c r="F18103" s="0" t="inlineStr">
        <is>
          <t xml:space="preserve">Mazda</t>
        </is>
      </c>
      <c r="G18103" s="0" t="s">
        <v>171</v>
      </c>
      <c r="H18103" s="5">
        <v>122.993000</v>
      </c>
    </row>
    <row r="18104" spans="1:9">
      <c r="A18104" s="22" t="str">
        <f>HYPERLINK("https://app.vivvix.com/360/KMI/IntelliDrive/ApplUI/Pages/CreativePages/CustomReportCreativeDetail.aspx?App=23&amp;ReportView=4&amp;Qid=1711279&amp;Row=18096&amp;Col=1","No Title Assigned - #15277273476")</f>
        <v/>
      </c>
      <c r="B18104" s="0" t="s">
        <v>23945</v>
      </c>
      <c r="E18104" s="0" t="inlineStr">
        <is>
          <t xml:space="preserve">Mazda</t>
        </is>
      </c>
      <c r="F18104" s="0" t="inlineStr">
        <is>
          <t xml:space="preserve">Mazda</t>
        </is>
      </c>
      <c r="G18104" s="0" t="s">
        <v>171</v>
      </c>
      <c r="H18104" s="5">
        <v>55.582400</v>
      </c>
    </row>
    <row r="18105" spans="1:9">
      <c r="A18105" s="22" t="str">
        <f>HYPERLINK("https://app.vivvix.com/360/KMI/IntelliDrive/ApplUI/Pages/CreativePages/CustomReportCreativeDetail.aspx?App=23&amp;ReportView=4&amp;Qid=1711279&amp;Row=18097&amp;Col=1","No Title Assigned - #15277273749")</f>
        <v/>
      </c>
      <c r="B18105" s="0" t="s">
        <v>23946</v>
      </c>
      <c r="E18105" s="0" t="inlineStr">
        <is>
          <t xml:space="preserve">Mazda</t>
        </is>
      </c>
      <c r="F18105" s="0" t="inlineStr">
        <is>
          <t xml:space="preserve">Mazda</t>
        </is>
      </c>
      <c r="G18105" s="0" t="s">
        <v>171</v>
      </c>
      <c r="H18105" s="5">
        <v>27.166800</v>
      </c>
    </row>
    <row r="18106" spans="1:9">
      <c r="A18106" s="22" t="str">
        <f>HYPERLINK("https://app.vivvix.com/360/KMI/IntelliDrive/ApplUI/Pages/CreativePages/CustomReportCreativeDetail.aspx?App=23&amp;ReportView=4&amp;Qid=1711279&amp;Row=18098&amp;Col=1","No Title Assigned - #15277273755")</f>
        <v/>
      </c>
      <c r="B18106" s="0" t="s">
        <v>23947</v>
      </c>
      <c r="E18106" s="0" t="inlineStr">
        <is>
          <t xml:space="preserve">Mazda</t>
        </is>
      </c>
      <c r="F18106" s="0" t="inlineStr">
        <is>
          <t xml:space="preserve">Mazda</t>
        </is>
      </c>
      <c r="G18106" s="0" t="s">
        <v>171</v>
      </c>
      <c r="H18106" s="5">
        <v>274.430700</v>
      </c>
    </row>
    <row r="18107" spans="1:9">
      <c r="A18107" s="22" t="str">
        <f>HYPERLINK("https://app.vivvix.com/360/KMI/IntelliDrive/ApplUI/Pages/CreativePages/CustomReportCreativeDetail.aspx?App=23&amp;ReportView=4&amp;Qid=1711279&amp;Row=18099&amp;Col=1","No Title Assigned - #15277273824")</f>
        <v/>
      </c>
      <c r="B18107" s="0" t="s">
        <v>23948</v>
      </c>
      <c r="E18107" s="0" t="inlineStr">
        <is>
          <t xml:space="preserve">Mazda</t>
        </is>
      </c>
      <c r="F18107" s="0" t="inlineStr">
        <is>
          <t xml:space="preserve">Mazda</t>
        </is>
      </c>
      <c r="G18107" s="0" t="s">
        <v>171</v>
      </c>
      <c r="H18107" s="5">
        <v>1210.944000</v>
      </c>
    </row>
    <row r="18108" spans="1:9">
      <c r="A18108" s="22" t="str">
        <f>HYPERLINK("https://app.vivvix.com/360/KMI/IntelliDrive/ApplUI/Pages/CreativePages/CustomReportCreativeDetail.aspx?App=23&amp;ReportView=4&amp;Qid=1711279&amp;Row=18100&amp;Col=1","No Title Assigned - #15277273824")</f>
        <v/>
      </c>
      <c r="B18108" s="0" t="s">
        <v>23948</v>
      </c>
      <c r="E18108" s="0" t="inlineStr">
        <is>
          <t xml:space="preserve">Mazda</t>
        </is>
      </c>
      <c r="F18108" s="0" t="inlineStr">
        <is>
          <t xml:space="preserve">Mazda</t>
        </is>
      </c>
      <c r="G18108" s="0" t="s">
        <v>171</v>
      </c>
      <c r="H18108" s="5">
        <v>86.423200</v>
      </c>
    </row>
    <row r="18109" spans="1:9">
      <c r="A18109" s="22" t="str">
        <f>HYPERLINK("https://app.vivvix.com/360/KMI/IntelliDrive/ApplUI/Pages/CreativePages/CustomReportCreativeDetail.aspx?App=23&amp;ReportView=4&amp;Qid=1711279&amp;Row=18101&amp;Col=1","No Title Assigned - #15277274010")</f>
        <v/>
      </c>
      <c r="B18109" s="0" t="s">
        <v>23949</v>
      </c>
      <c r="E18109" s="0" t="inlineStr">
        <is>
          <t xml:space="preserve">Mazda</t>
        </is>
      </c>
      <c r="F18109" s="0" t="inlineStr">
        <is>
          <t xml:space="preserve">Mazda</t>
        </is>
      </c>
      <c r="G18109" s="0" t="s">
        <v>171</v>
      </c>
      <c r="H18109" s="5">
        <v>121.569600</v>
      </c>
    </row>
    <row r="18110" spans="1:9">
      <c r="A18110" s="22" t="str">
        <f>HYPERLINK("https://app.vivvix.com/360/KMI/IntelliDrive/ApplUI/Pages/CreativePages/CustomReportCreativeDetail.aspx?App=23&amp;ReportView=4&amp;Qid=1711279&amp;Row=18102&amp;Col=1","No Title Assigned - #15277274062")</f>
        <v/>
      </c>
      <c r="B18110" s="0" t="s">
        <v>23950</v>
      </c>
      <c r="E18110" s="0" t="inlineStr">
        <is>
          <t xml:space="preserve">Mazda</t>
        </is>
      </c>
      <c r="F18110" s="0" t="inlineStr">
        <is>
          <t xml:space="preserve">Mazda</t>
        </is>
      </c>
      <c r="G18110" s="0" t="s">
        <v>171</v>
      </c>
      <c r="H18110" s="5">
        <v>66.820000</v>
      </c>
    </row>
    <row r="18111" spans="1:9">
      <c r="A18111" s="22" t="str">
        <f>HYPERLINK("https://app.vivvix.com/360/KMI/IntelliDrive/ApplUI/Pages/CreativePages/CustomReportCreativeDetail.aspx?App=23&amp;ReportView=4&amp;Qid=1711279&amp;Row=18103&amp;Col=1","No Title Assigned - #15277274124")</f>
        <v/>
      </c>
      <c r="B18111" s="0" t="s">
        <v>23951</v>
      </c>
      <c r="E18111" s="0" t="inlineStr">
        <is>
          <t xml:space="preserve">Mazda</t>
        </is>
      </c>
      <c r="F18111" s="0" t="inlineStr">
        <is>
          <t xml:space="preserve">Mazda</t>
        </is>
      </c>
      <c r="G18111" s="0" t="s">
        <v>171</v>
      </c>
      <c r="H18111" s="5">
        <v>8887.346500</v>
      </c>
    </row>
    <row r="18112" spans="1:9">
      <c r="A18112" s="22" t="str">
        <f>HYPERLINK("https://app.vivvix.com/360/KMI/IntelliDrive/ApplUI/Pages/CreativePages/CustomReportCreativeDetail.aspx?App=23&amp;ReportView=4&amp;Qid=1711279&amp;Row=18104&amp;Col=1","No Title Assigned - #15277274169")</f>
        <v/>
      </c>
      <c r="B18112" s="0" t="s">
        <v>23952</v>
      </c>
      <c r="E18112" s="0" t="inlineStr">
        <is>
          <t xml:space="preserve">Mazda</t>
        </is>
      </c>
      <c r="F18112" s="0" t="inlineStr">
        <is>
          <t xml:space="preserve">Mazda</t>
        </is>
      </c>
      <c r="G18112" s="0" t="s">
        <v>171</v>
      </c>
      <c r="H18112" s="5">
        <v>27.282500</v>
      </c>
    </row>
    <row r="18113" spans="1:9">
      <c r="A18113" s="22" t="str">
        <f>HYPERLINK("https://app.vivvix.com/360/KMI/IntelliDrive/ApplUI/Pages/CreativePages/CustomReportCreativeDetail.aspx?App=23&amp;ReportView=4&amp;Qid=1711279&amp;Row=18105&amp;Col=1","No Title Assigned - #15277274181")</f>
        <v/>
      </c>
      <c r="B18113" s="0" t="s">
        <v>23953</v>
      </c>
      <c r="E18113" s="0" t="inlineStr">
        <is>
          <t xml:space="preserve">Mazda</t>
        </is>
      </c>
      <c r="F18113" s="0" t="inlineStr">
        <is>
          <t xml:space="preserve">Mazda</t>
        </is>
      </c>
      <c r="G18113" s="0" t="s">
        <v>171</v>
      </c>
      <c r="H18113" s="5">
        <v>16.416200</v>
      </c>
    </row>
    <row r="18114" spans="1:9">
      <c r="A18114" s="22" t="str">
        <f>HYPERLINK("https://app.vivvix.com/360/KMI/IntelliDrive/ApplUI/Pages/CreativePages/CustomReportCreativeDetail.aspx?App=23&amp;ReportView=4&amp;Qid=1711279&amp;Row=18106&amp;Col=1","No Title Assigned - #15277274185")</f>
        <v/>
      </c>
      <c r="B18114" s="0" t="s">
        <v>23954</v>
      </c>
      <c r="E18114" s="0" t="inlineStr">
        <is>
          <t xml:space="preserve">Mazda</t>
        </is>
      </c>
      <c r="F18114" s="0" t="inlineStr">
        <is>
          <t xml:space="preserve">Mazda</t>
        </is>
      </c>
      <c r="G18114" s="0" t="s">
        <v>171</v>
      </c>
      <c r="H18114" s="5">
        <v>36.292000</v>
      </c>
    </row>
    <row r="18115" spans="1:9">
      <c r="A18115" s="22" t="str">
        <f>HYPERLINK("https://app.vivvix.com/360/KMI/IntelliDrive/ApplUI/Pages/CreativePages/CustomReportCreativeDetail.aspx?App=23&amp;ReportView=4&amp;Qid=1711279&amp;Row=18107&amp;Col=1","No Title Assigned - #15277274637")</f>
        <v/>
      </c>
      <c r="B18115" s="0" t="s">
        <v>23955</v>
      </c>
      <c r="E18115" s="0" t="inlineStr">
        <is>
          <t xml:space="preserve">Mazda</t>
        </is>
      </c>
      <c r="F18115" s="0" t="inlineStr">
        <is>
          <t xml:space="preserve">Mazda</t>
        </is>
      </c>
      <c r="G18115" s="0" t="s">
        <v>171</v>
      </c>
      <c r="H18115" s="5">
        <v>43.193200</v>
      </c>
    </row>
    <row r="18116" spans="1:9">
      <c r="A18116" s="22" t="str">
        <f>HYPERLINK("https://app.vivvix.com/360/KMI/IntelliDrive/ApplUI/Pages/CreativePages/CustomReportCreativeDetail.aspx?App=23&amp;ReportView=4&amp;Qid=1711279&amp;Row=18108&amp;Col=1","No Title Assigned - #15277274637")</f>
        <v/>
      </c>
      <c r="B18116" s="0" t="s">
        <v>23955</v>
      </c>
      <c r="E18116" s="0" t="inlineStr">
        <is>
          <t xml:space="preserve">Mazda</t>
        </is>
      </c>
      <c r="F18116" s="0" t="inlineStr">
        <is>
          <t xml:space="preserve">Mazda</t>
        </is>
      </c>
      <c r="G18116" s="0" t="s">
        <v>171</v>
      </c>
      <c r="H18116" s="5">
        <v>70.824600</v>
      </c>
    </row>
    <row r="18117" spans="1:9">
      <c r="A18117" s="22" t="str">
        <f>HYPERLINK("https://app.vivvix.com/360/KMI/IntelliDrive/ApplUI/Pages/CreativePages/CustomReportCreativeDetail.aspx?App=23&amp;ReportView=4&amp;Qid=1711279&amp;Row=18109&amp;Col=1","No Title Assigned - #15277274702")</f>
        <v/>
      </c>
      <c r="B18117" s="0" t="s">
        <v>23956</v>
      </c>
      <c r="E18117" s="0" t="inlineStr">
        <is>
          <t xml:space="preserve">Mazda</t>
        </is>
      </c>
      <c r="F18117" s="0" t="inlineStr">
        <is>
          <t xml:space="preserve">Mazda</t>
        </is>
      </c>
      <c r="G18117" s="0" t="s">
        <v>171</v>
      </c>
      <c r="H18117" s="5">
        <v>2449.476800</v>
      </c>
    </row>
    <row r="18118" spans="1:9">
      <c r="A18118" s="22" t="str">
        <f>HYPERLINK("https://app.vivvix.com/360/KMI/IntelliDrive/ApplUI/Pages/CreativePages/CustomReportCreativeDetail.aspx?App=23&amp;ReportView=4&amp;Qid=1711279&amp;Row=18110&amp;Col=1","No Title Assigned - #15277274702")</f>
        <v/>
      </c>
      <c r="B18118" s="0" t="s">
        <v>23956</v>
      </c>
      <c r="E18118" s="0" t="inlineStr">
        <is>
          <t xml:space="preserve">Mazda</t>
        </is>
      </c>
      <c r="F18118" s="0" t="inlineStr">
        <is>
          <t xml:space="preserve">Mazda</t>
        </is>
      </c>
      <c r="G18118" s="0" t="s">
        <v>171</v>
      </c>
      <c r="H18118" s="5">
        <v>81.278100</v>
      </c>
    </row>
    <row r="18119" spans="1:9">
      <c r="A18119" s="22" t="str">
        <f>HYPERLINK("https://app.vivvix.com/360/KMI/IntelliDrive/ApplUI/Pages/CreativePages/CustomReportCreativeDetail.aspx?App=23&amp;ReportView=4&amp;Qid=1711279&amp;Row=18111&amp;Col=1","No Title Assigned - #15277274949")</f>
        <v/>
      </c>
      <c r="B18119" s="0" t="s">
        <v>23957</v>
      </c>
      <c r="E18119" s="0" t="inlineStr">
        <is>
          <t xml:space="preserve">Mazda</t>
        </is>
      </c>
      <c r="F18119" s="0" t="inlineStr">
        <is>
          <t xml:space="preserve">Mazda</t>
        </is>
      </c>
      <c r="G18119" s="0" t="s">
        <v>171</v>
      </c>
      <c r="H18119" s="5">
        <v>24.229300</v>
      </c>
    </row>
    <row r="18120" spans="1:9">
      <c r="A18120" s="22" t="str">
        <f>HYPERLINK("https://app.vivvix.com/360/KMI/IntelliDrive/ApplUI/Pages/CreativePages/CustomReportCreativeDetail.aspx?App=23&amp;ReportView=4&amp;Qid=1711279&amp;Row=18112&amp;Col=1","No Title Assigned - #15277274979")</f>
        <v/>
      </c>
      <c r="B18120" s="0" t="s">
        <v>23958</v>
      </c>
      <c r="E18120" s="0" t="inlineStr">
        <is>
          <t xml:space="preserve">Mazda</t>
        </is>
      </c>
      <c r="F18120" s="0" t="inlineStr">
        <is>
          <t xml:space="preserve">Mazda</t>
        </is>
      </c>
      <c r="G18120" s="0" t="s">
        <v>171</v>
      </c>
      <c r="H18120" s="5">
        <v>74.858100</v>
      </c>
    </row>
    <row r="18121" spans="1:9">
      <c r="A18121" s="22" t="str">
        <f>HYPERLINK("https://app.vivvix.com/360/KMI/IntelliDrive/ApplUI/Pages/CreativePages/CustomReportCreativeDetail.aspx?App=23&amp;ReportView=4&amp;Qid=1711279&amp;Row=18113&amp;Col=1","No Title Assigned - #15277274979")</f>
        <v/>
      </c>
      <c r="B18121" s="0" t="s">
        <v>23958</v>
      </c>
      <c r="E18121" s="0" t="inlineStr">
        <is>
          <t xml:space="preserve">Mazda</t>
        </is>
      </c>
      <c r="F18121" s="0" t="inlineStr">
        <is>
          <t xml:space="preserve">Mazda</t>
        </is>
      </c>
      <c r="G18121" s="0" t="s">
        <v>171</v>
      </c>
      <c r="H18121" s="5">
        <v>791.860800</v>
      </c>
    </row>
    <row r="18122" spans="1:9">
      <c r="A18122" s="22" t="str">
        <f>HYPERLINK("https://app.vivvix.com/360/KMI/IntelliDrive/ApplUI/Pages/CreativePages/CustomReportCreativeDetail.aspx?App=23&amp;ReportView=4&amp;Qid=1711279&amp;Row=18114&amp;Col=1","No Title Assigned - #15277275018")</f>
        <v/>
      </c>
      <c r="B18122" s="0" t="s">
        <v>23959</v>
      </c>
      <c r="E18122" s="0" t="inlineStr">
        <is>
          <t xml:space="preserve">Mazda</t>
        </is>
      </c>
      <c r="F18122" s="0" t="inlineStr">
        <is>
          <t xml:space="preserve">Mazda</t>
        </is>
      </c>
      <c r="G18122" s="0" t="s">
        <v>171</v>
      </c>
      <c r="H18122" s="5">
        <v>209.106900</v>
      </c>
    </row>
    <row r="18123" spans="1:9">
      <c r="A18123" s="22" t="str">
        <f>HYPERLINK("https://app.vivvix.com/360/KMI/IntelliDrive/ApplUI/Pages/CreativePages/CustomReportCreativeDetail.aspx?App=23&amp;ReportView=4&amp;Qid=1711279&amp;Row=18115&amp;Col=1","No Title Assigned - #15277275177")</f>
        <v/>
      </c>
      <c r="B18123" s="0" t="s">
        <v>23960</v>
      </c>
      <c r="E18123" s="0" t="inlineStr">
        <is>
          <t xml:space="preserve">Mazda</t>
        </is>
      </c>
      <c r="F18123" s="0" t="inlineStr">
        <is>
          <t xml:space="preserve">Mazda</t>
        </is>
      </c>
      <c r="G18123" s="0" t="s">
        <v>171</v>
      </c>
      <c r="H18123" s="5">
        <v>48.963400</v>
      </c>
    </row>
    <row r="18124" spans="1:9">
      <c r="A18124" s="22" t="str">
        <f>HYPERLINK("https://app.vivvix.com/360/KMI/IntelliDrive/ApplUI/Pages/CreativePages/CustomReportCreativeDetail.aspx?App=23&amp;ReportView=4&amp;Qid=1711279&amp;Row=18116&amp;Col=1","No Title Assigned - #15277275288")</f>
        <v/>
      </c>
      <c r="B18124" s="0" t="s">
        <v>23961</v>
      </c>
      <c r="E18124" s="0" t="inlineStr">
        <is>
          <t xml:space="preserve">Mazda</t>
        </is>
      </c>
      <c r="F18124" s="0" t="inlineStr">
        <is>
          <t xml:space="preserve">Mazda</t>
        </is>
      </c>
      <c r="G18124" s="0" t="s">
        <v>171</v>
      </c>
      <c r="H18124" s="5">
        <v>1230.063900</v>
      </c>
    </row>
    <row r="18125" spans="1:9">
      <c r="A18125" s="22" t="str">
        <f>HYPERLINK("https://app.vivvix.com/360/KMI/IntelliDrive/ApplUI/Pages/CreativePages/CustomReportCreativeDetail.aspx?App=23&amp;ReportView=4&amp;Qid=1711279&amp;Row=18117&amp;Col=1","No Title Assigned - #15277275288")</f>
        <v/>
      </c>
      <c r="B18125" s="0" t="s">
        <v>23961</v>
      </c>
      <c r="E18125" s="0" t="inlineStr">
        <is>
          <t xml:space="preserve">Mazda</t>
        </is>
      </c>
      <c r="F18125" s="0" t="inlineStr">
        <is>
          <t xml:space="preserve">Mazda</t>
        </is>
      </c>
      <c r="G18125" s="0" t="s">
        <v>171</v>
      </c>
      <c r="H18125" s="5">
        <v>26672.941400</v>
      </c>
    </row>
    <row r="18126" spans="1:9">
      <c r="A18126" s="22" t="str">
        <f>HYPERLINK("https://app.vivvix.com/360/KMI/IntelliDrive/ApplUI/Pages/CreativePages/CustomReportCreativeDetail.aspx?App=23&amp;ReportView=4&amp;Qid=1711279&amp;Row=18118&amp;Col=1","No Title Assigned - #15277275432")</f>
        <v/>
      </c>
      <c r="B18126" s="0" t="s">
        <v>23962</v>
      </c>
      <c r="E18126" s="0" t="inlineStr">
        <is>
          <t xml:space="preserve">Mazda</t>
        </is>
      </c>
      <c r="F18126" s="0" t="inlineStr">
        <is>
          <t xml:space="preserve">Mazda</t>
        </is>
      </c>
      <c r="G18126" s="0" t="s">
        <v>171</v>
      </c>
      <c r="H18126" s="5">
        <v>456.444700</v>
      </c>
    </row>
    <row r="18127" spans="1:9">
      <c r="A18127" s="22" t="str">
        <f>HYPERLINK("https://app.vivvix.com/360/KMI/IntelliDrive/ApplUI/Pages/CreativePages/CustomReportCreativeDetail.aspx?App=23&amp;ReportView=4&amp;Qid=1711279&amp;Row=18119&amp;Col=1","No Title Assigned - #15277275432")</f>
        <v/>
      </c>
      <c r="B18127" s="0" t="s">
        <v>23962</v>
      </c>
      <c r="E18127" s="0" t="inlineStr">
        <is>
          <t xml:space="preserve">Mazda</t>
        </is>
      </c>
      <c r="F18127" s="0" t="inlineStr">
        <is>
          <t xml:space="preserve">Mazda</t>
        </is>
      </c>
      <c r="G18127" s="0" t="s">
        <v>171</v>
      </c>
      <c r="H18127" s="5">
        <v>109.333600</v>
      </c>
    </row>
    <row r="18128" spans="1:9">
      <c r="A18128" s="22" t="str">
        <f>HYPERLINK("https://app.vivvix.com/360/KMI/IntelliDrive/ApplUI/Pages/CreativePages/CustomReportCreativeDetail.aspx?App=23&amp;ReportView=4&amp;Qid=1711279&amp;Row=18120&amp;Col=1","No Title Assigned - #15277275442")</f>
        <v/>
      </c>
      <c r="B18128" s="0" t="s">
        <v>23963</v>
      </c>
      <c r="E18128" s="0" t="inlineStr">
        <is>
          <t xml:space="preserve">Mazda</t>
        </is>
      </c>
      <c r="F18128" s="0" t="inlineStr">
        <is>
          <t xml:space="preserve">Mazda</t>
        </is>
      </c>
      <c r="G18128" s="0" t="s">
        <v>171</v>
      </c>
      <c r="H18128" s="5">
        <v>725.954000</v>
      </c>
    </row>
    <row r="18129" spans="1:9">
      <c r="A18129" s="22" t="str">
        <f>HYPERLINK("https://app.vivvix.com/360/KMI/IntelliDrive/ApplUI/Pages/CreativePages/CustomReportCreativeDetail.aspx?App=23&amp;ReportView=4&amp;Qid=1711279&amp;Row=18121&amp;Col=1","No Title Assigned - #15277275746")</f>
        <v/>
      </c>
      <c r="B18129" s="0" t="s">
        <v>23964</v>
      </c>
      <c r="E18129" s="0" t="inlineStr">
        <is>
          <t xml:space="preserve">Mazda</t>
        </is>
      </c>
      <c r="F18129" s="0" t="inlineStr">
        <is>
          <t xml:space="preserve">Mazda</t>
        </is>
      </c>
      <c r="G18129" s="0" t="s">
        <v>171</v>
      </c>
      <c r="H18129" s="5">
        <v>9.864400</v>
      </c>
    </row>
    <row r="18130" spans="1:9">
      <c r="A18130" s="22" t="str">
        <f>HYPERLINK("https://app.vivvix.com/360/KMI/IntelliDrive/ApplUI/Pages/CreativePages/CustomReportCreativeDetail.aspx?App=23&amp;ReportView=4&amp;Qid=1711279&amp;Row=18122&amp;Col=1","No Title Assigned - #15277275777")</f>
        <v/>
      </c>
      <c r="B18130" s="0" t="s">
        <v>23965</v>
      </c>
      <c r="E18130" s="0" t="inlineStr">
        <is>
          <t xml:space="preserve">Mazda</t>
        </is>
      </c>
      <c r="F18130" s="0" t="inlineStr">
        <is>
          <t xml:space="preserve">Mazda</t>
        </is>
      </c>
      <c r="G18130" s="0" t="s">
        <v>171</v>
      </c>
      <c r="H18130" s="5">
        <v>246.645400</v>
      </c>
    </row>
    <row r="18131" spans="1:9">
      <c r="A18131" s="22" t="str">
        <f>HYPERLINK("https://app.vivvix.com/360/KMI/IntelliDrive/ApplUI/Pages/CreativePages/CustomReportCreativeDetail.aspx?App=23&amp;ReportView=4&amp;Qid=1711279&amp;Row=18123&amp;Col=1","No Title Assigned - #15277275897")</f>
        <v/>
      </c>
      <c r="B18131" s="0" t="s">
        <v>23966</v>
      </c>
      <c r="E18131" s="0" t="inlineStr">
        <is>
          <t xml:space="preserve">Mazda</t>
        </is>
      </c>
      <c r="F18131" s="0" t="inlineStr">
        <is>
          <t xml:space="preserve">Mazda</t>
        </is>
      </c>
      <c r="G18131" s="0" t="s">
        <v>171</v>
      </c>
      <c r="H18131" s="5">
        <v>22.323800</v>
      </c>
    </row>
    <row r="18132" spans="1:9">
      <c r="A18132" s="22" t="str">
        <f>HYPERLINK("https://app.vivvix.com/360/KMI/IntelliDrive/ApplUI/Pages/CreativePages/CustomReportCreativeDetail.aspx?App=23&amp;ReportView=4&amp;Qid=1711279&amp;Row=18124&amp;Col=1","No Title Assigned - #15277276039")</f>
        <v/>
      </c>
      <c r="B18132" s="0" t="s">
        <v>23967</v>
      </c>
      <c r="E18132" s="0" t="inlineStr">
        <is>
          <t xml:space="preserve">Mazda</t>
        </is>
      </c>
      <c r="F18132" s="0" t="inlineStr">
        <is>
          <t xml:space="preserve">Mazda</t>
        </is>
      </c>
      <c r="G18132" s="0" t="s">
        <v>171</v>
      </c>
      <c r="H18132" s="5">
        <v>16.780700</v>
      </c>
    </row>
    <row r="18133" spans="1:9">
      <c r="A18133" s="22" t="str">
        <f>HYPERLINK("https://app.vivvix.com/360/KMI/IntelliDrive/ApplUI/Pages/CreativePages/CustomReportCreativeDetail.aspx?App=23&amp;ReportView=4&amp;Qid=1711279&amp;Row=18125&amp;Col=1","No Title Assigned - #15277276070")</f>
        <v/>
      </c>
      <c r="B18133" s="0" t="s">
        <v>23968</v>
      </c>
      <c r="E18133" s="0" t="inlineStr">
        <is>
          <t xml:space="preserve">Mazda</t>
        </is>
      </c>
      <c r="F18133" s="0" t="inlineStr">
        <is>
          <t xml:space="preserve">Mazda</t>
        </is>
      </c>
      <c r="G18133" s="0" t="s">
        <v>171</v>
      </c>
      <c r="H18133" s="5">
        <v>220.952800</v>
      </c>
    </row>
    <row r="18134" spans="1:9">
      <c r="A18134" s="22" t="str">
        <f>HYPERLINK("https://app.vivvix.com/360/KMI/IntelliDrive/ApplUI/Pages/CreativePages/CustomReportCreativeDetail.aspx?App=23&amp;ReportView=4&amp;Qid=1711279&amp;Row=18126&amp;Col=1","No Title Assigned - #15277276202")</f>
        <v/>
      </c>
      <c r="B18134" s="0" t="s">
        <v>23969</v>
      </c>
      <c r="E18134" s="0" t="inlineStr">
        <is>
          <t xml:space="preserve">Mazda</t>
        </is>
      </c>
      <c r="F18134" s="0" t="inlineStr">
        <is>
          <t xml:space="preserve">Mazda</t>
        </is>
      </c>
      <c r="G18134" s="0" t="s">
        <v>171</v>
      </c>
      <c r="H18134" s="5">
        <v>276.278800</v>
      </c>
    </row>
    <row r="18135" spans="1:9">
      <c r="A18135" s="22" t="str">
        <f>HYPERLINK("https://app.vivvix.com/360/KMI/IntelliDrive/ApplUI/Pages/CreativePages/CustomReportCreativeDetail.aspx?App=23&amp;ReportView=4&amp;Qid=1711279&amp;Row=18127&amp;Col=1","No Title Assigned - #15277276515")</f>
        <v/>
      </c>
      <c r="B18135" s="0" t="s">
        <v>23970</v>
      </c>
      <c r="E18135" s="0" t="inlineStr">
        <is>
          <t xml:space="preserve">Mazda</t>
        </is>
      </c>
      <c r="F18135" s="0" t="inlineStr">
        <is>
          <t xml:space="preserve">Mazda</t>
        </is>
      </c>
      <c r="G18135" s="0" t="s">
        <v>171</v>
      </c>
      <c r="H18135" s="5">
        <v>250.831100</v>
      </c>
    </row>
    <row r="18136" spans="1:9">
      <c r="A18136" s="22" t="str">
        <f>HYPERLINK("https://app.vivvix.com/360/KMI/IntelliDrive/ApplUI/Pages/CreativePages/CustomReportCreativeDetail.aspx?App=23&amp;ReportView=4&amp;Qid=1711279&amp;Row=18128&amp;Col=1","No Title Assigned - #15277276676")</f>
        <v/>
      </c>
      <c r="B18136" s="0" t="s">
        <v>23971</v>
      </c>
      <c r="E18136" s="0" t="inlineStr">
        <is>
          <t xml:space="preserve">Mazda</t>
        </is>
      </c>
      <c r="F18136" s="0" t="inlineStr">
        <is>
          <t xml:space="preserve">Mazda</t>
        </is>
      </c>
      <c r="G18136" s="0" t="s">
        <v>171</v>
      </c>
      <c r="H18136" s="5">
        <v>1879.423500</v>
      </c>
    </row>
    <row r="18137" spans="1:9">
      <c r="A18137" s="22" t="str">
        <f>HYPERLINK("https://app.vivvix.com/360/KMI/IntelliDrive/ApplUI/Pages/CreativePages/CustomReportCreativeDetail.aspx?App=23&amp;ReportView=4&amp;Qid=1711279&amp;Row=18129&amp;Col=1","No Title Assigned - #15277276957")</f>
        <v/>
      </c>
      <c r="B18137" s="0" t="s">
        <v>23972</v>
      </c>
      <c r="E18137" s="0" t="inlineStr">
        <is>
          <t xml:space="preserve">Mazda</t>
        </is>
      </c>
      <c r="F18137" s="0" t="inlineStr">
        <is>
          <t xml:space="preserve">Mazda</t>
        </is>
      </c>
      <c r="G18137" s="0" t="s">
        <v>171</v>
      </c>
      <c r="H18137" s="5">
        <v>43.527300</v>
      </c>
    </row>
    <row r="18138" spans="1:9">
      <c r="A18138" s="22" t="str">
        <f>HYPERLINK("https://app.vivvix.com/360/KMI/IntelliDrive/ApplUI/Pages/CreativePages/CustomReportCreativeDetail.aspx?App=23&amp;ReportView=4&amp;Qid=1711279&amp;Row=18130&amp;Col=1","No Title Assigned - #15277277278")</f>
        <v/>
      </c>
      <c r="B18138" s="0" t="s">
        <v>23973</v>
      </c>
      <c r="E18138" s="0" t="inlineStr">
        <is>
          <t xml:space="preserve">Mazda</t>
        </is>
      </c>
      <c r="F18138" s="0" t="inlineStr">
        <is>
          <t xml:space="preserve">Mazda</t>
        </is>
      </c>
      <c r="G18138" s="0" t="s">
        <v>171</v>
      </c>
      <c r="H18138" s="5">
        <v>386.081800</v>
      </c>
    </row>
    <row r="18139" spans="1:9">
      <c r="A18139" s="22" t="str">
        <f>HYPERLINK("https://app.vivvix.com/360/KMI/IntelliDrive/ApplUI/Pages/CreativePages/CustomReportCreativeDetail.aspx?App=23&amp;ReportView=4&amp;Qid=1711279&amp;Row=18131&amp;Col=1","No Title Assigned - #15277277328")</f>
        <v/>
      </c>
      <c r="B18139" s="0" t="s">
        <v>23974</v>
      </c>
      <c r="E18139" s="0" t="inlineStr">
        <is>
          <t xml:space="preserve">Mazda</t>
        </is>
      </c>
      <c r="F18139" s="0" t="inlineStr">
        <is>
          <t xml:space="preserve">Mazda</t>
        </is>
      </c>
      <c r="G18139" s="0" t="s">
        <v>171</v>
      </c>
      <c r="H18139" s="5">
        <v>144.483400</v>
      </c>
    </row>
    <row r="18140" spans="1:9">
      <c r="A18140" s="22" t="str">
        <f>HYPERLINK("https://app.vivvix.com/360/KMI/IntelliDrive/ApplUI/Pages/CreativePages/CustomReportCreativeDetail.aspx?App=23&amp;ReportView=4&amp;Qid=1711279&amp;Row=18132&amp;Col=1","No Title Assigned - #15277277452")</f>
        <v/>
      </c>
      <c r="B18140" s="0" t="s">
        <v>23975</v>
      </c>
      <c r="E18140" s="0" t="inlineStr">
        <is>
          <t xml:space="preserve">Mazda</t>
        </is>
      </c>
      <c r="F18140" s="0" t="inlineStr">
        <is>
          <t xml:space="preserve">Mazda</t>
        </is>
      </c>
      <c r="G18140" s="0" t="s">
        <v>171</v>
      </c>
      <c r="H18140" s="5">
        <v>73.716000</v>
      </c>
    </row>
    <row r="18141" spans="1:9">
      <c r="A18141" s="22" t="str">
        <f>HYPERLINK("https://app.vivvix.com/360/KMI/IntelliDrive/ApplUI/Pages/CreativePages/CustomReportCreativeDetail.aspx?App=23&amp;ReportView=4&amp;Qid=1711279&amp;Row=18133&amp;Col=1","No Title Assigned - #15277277453")</f>
        <v/>
      </c>
      <c r="B18141" s="0" t="s">
        <v>23976</v>
      </c>
      <c r="E18141" s="0" t="inlineStr">
        <is>
          <t xml:space="preserve">Mazda</t>
        </is>
      </c>
      <c r="F18141" s="0" t="inlineStr">
        <is>
          <t xml:space="preserve">Mazda</t>
        </is>
      </c>
      <c r="G18141" s="0" t="s">
        <v>171</v>
      </c>
      <c r="H18141" s="5">
        <v>628.351500</v>
      </c>
    </row>
    <row r="18142" spans="1:9">
      <c r="A18142" s="22" t="str">
        <f>HYPERLINK("https://app.vivvix.com/360/KMI/IntelliDrive/ApplUI/Pages/CreativePages/CustomReportCreativeDetail.aspx?App=23&amp;ReportView=4&amp;Qid=1711279&amp;Row=18134&amp;Col=1","No Title Assigned - #15277277483")</f>
        <v/>
      </c>
      <c r="B18142" s="0" t="s">
        <v>23977</v>
      </c>
      <c r="E18142" s="0" t="inlineStr">
        <is>
          <t xml:space="preserve">Mazda</t>
        </is>
      </c>
      <c r="F18142" s="0" t="inlineStr">
        <is>
          <t xml:space="preserve">Mazda</t>
        </is>
      </c>
      <c r="G18142" s="0" t="s">
        <v>171</v>
      </c>
      <c r="H18142" s="5">
        <v>22.563000</v>
      </c>
    </row>
    <row r="18143" spans="1:9">
      <c r="A18143" s="22" t="str">
        <f>HYPERLINK("https://app.vivvix.com/360/KMI/IntelliDrive/ApplUI/Pages/CreativePages/CustomReportCreativeDetail.aspx?App=23&amp;ReportView=4&amp;Qid=1711279&amp;Row=18135&amp;Col=1","No Title Assigned - #15277277508")</f>
        <v/>
      </c>
      <c r="B18143" s="0" t="s">
        <v>23978</v>
      </c>
      <c r="E18143" s="0" t="inlineStr">
        <is>
          <t xml:space="preserve">Mazda</t>
        </is>
      </c>
      <c r="F18143" s="0" t="inlineStr">
        <is>
          <t xml:space="preserve">Mazda</t>
        </is>
      </c>
      <c r="G18143" s="0" t="s">
        <v>171</v>
      </c>
      <c r="H18143" s="5">
        <v>47.866400</v>
      </c>
    </row>
    <row r="18144" spans="1:9">
      <c r="A18144" s="22" t="str">
        <f>HYPERLINK("https://app.vivvix.com/360/KMI/IntelliDrive/ApplUI/Pages/CreativePages/CustomReportCreativeDetail.aspx?App=23&amp;ReportView=4&amp;Qid=1711279&amp;Row=18136&amp;Col=1","No Title Assigned - #15277277510")</f>
        <v/>
      </c>
      <c r="B18144" s="0" t="s">
        <v>23979</v>
      </c>
      <c r="E18144" s="0" t="inlineStr">
        <is>
          <t xml:space="preserve">Mazda</t>
        </is>
      </c>
      <c r="F18144" s="0" t="inlineStr">
        <is>
          <t xml:space="preserve">Mazda</t>
        </is>
      </c>
      <c r="G18144" s="0" t="s">
        <v>171</v>
      </c>
      <c r="H18144" s="5">
        <v>894.137700</v>
      </c>
    </row>
    <row r="18145" spans="1:9">
      <c r="A18145" s="22" t="str">
        <f>HYPERLINK("https://app.vivvix.com/360/KMI/IntelliDrive/ApplUI/Pages/CreativePages/CustomReportCreativeDetail.aspx?App=23&amp;ReportView=4&amp;Qid=1711279&amp;Row=18137&amp;Col=1","No Title Assigned - #15277277564")</f>
        <v/>
      </c>
      <c r="B18145" s="0" t="s">
        <v>23980</v>
      </c>
      <c r="E18145" s="0" t="inlineStr">
        <is>
          <t xml:space="preserve">Mazda</t>
        </is>
      </c>
      <c r="F18145" s="0" t="inlineStr">
        <is>
          <t xml:space="preserve">Mazda</t>
        </is>
      </c>
      <c r="G18145" s="0" t="s">
        <v>171</v>
      </c>
      <c r="H18145" s="5">
        <v>386.081800</v>
      </c>
    </row>
    <row r="18146" spans="1:9">
      <c r="A18146" s="22" t="str">
        <f>HYPERLINK("https://app.vivvix.com/360/KMI/IntelliDrive/ApplUI/Pages/CreativePages/CustomReportCreativeDetail.aspx?App=23&amp;ReportView=4&amp;Qid=1711279&amp;Row=18138&amp;Col=1","No Title Assigned - #15277277567")</f>
        <v/>
      </c>
      <c r="B18146" s="0" t="s">
        <v>23981</v>
      </c>
      <c r="E18146" s="0" t="inlineStr">
        <is>
          <t xml:space="preserve">Mazda</t>
        </is>
      </c>
      <c r="F18146" s="0" t="inlineStr">
        <is>
          <t xml:space="preserve">Mazda</t>
        </is>
      </c>
      <c r="G18146" s="0" t="s">
        <v>171</v>
      </c>
      <c r="H18146" s="5">
        <v>386.081800</v>
      </c>
    </row>
    <row r="18147" spans="1:9">
      <c r="A18147" s="22" t="str">
        <f>HYPERLINK("https://app.vivvix.com/360/KMI/IntelliDrive/ApplUI/Pages/CreativePages/CustomReportCreativeDetail.aspx?App=23&amp;ReportView=4&amp;Qid=1711279&amp;Row=18139&amp;Col=1","No Title Assigned - #15277277569")</f>
        <v/>
      </c>
      <c r="B18147" s="0" t="s">
        <v>23982</v>
      </c>
      <c r="E18147" s="0" t="inlineStr">
        <is>
          <t xml:space="preserve">Mazda</t>
        </is>
      </c>
      <c r="F18147" s="0" t="inlineStr">
        <is>
          <t xml:space="preserve">Mazda</t>
        </is>
      </c>
      <c r="G18147" s="0" t="s">
        <v>171</v>
      </c>
      <c r="H18147" s="5">
        <v>331.453300</v>
      </c>
    </row>
    <row r="18148" spans="1:9">
      <c r="A18148" s="22" t="str">
        <f>HYPERLINK("https://app.vivvix.com/360/KMI/IntelliDrive/ApplUI/Pages/CreativePages/CustomReportCreativeDetail.aspx?App=23&amp;ReportView=4&amp;Qid=1711279&amp;Row=18140&amp;Col=1","No Title Assigned - #15277277653")</f>
        <v/>
      </c>
      <c r="B18148" s="0" t="s">
        <v>23983</v>
      </c>
      <c r="E18148" s="0" t="inlineStr">
        <is>
          <t xml:space="preserve">Mazda</t>
        </is>
      </c>
      <c r="F18148" s="0" t="inlineStr">
        <is>
          <t xml:space="preserve">Mazda</t>
        </is>
      </c>
      <c r="G18148" s="0" t="s">
        <v>171</v>
      </c>
      <c r="H18148" s="5">
        <v>168.651100</v>
      </c>
    </row>
    <row r="18149" spans="1:9">
      <c r="A18149" s="22" t="str">
        <f>HYPERLINK("https://app.vivvix.com/360/KMI/IntelliDrive/ApplUI/Pages/CreativePages/CustomReportCreativeDetail.aspx?App=23&amp;ReportView=4&amp;Qid=1711279&amp;Row=18141&amp;Col=1","No Title Assigned - #15277277826")</f>
        <v/>
      </c>
      <c r="B18149" s="0" t="s">
        <v>23984</v>
      </c>
      <c r="E18149" s="0" t="inlineStr">
        <is>
          <t xml:space="preserve">Mazda</t>
        </is>
      </c>
      <c r="F18149" s="0" t="inlineStr">
        <is>
          <t xml:space="preserve">Mazda</t>
        </is>
      </c>
      <c r="G18149" s="0" t="s">
        <v>171</v>
      </c>
      <c r="H18149" s="5">
        <v>423.979100</v>
      </c>
    </row>
    <row r="18150" spans="1:9">
      <c r="A18150" s="22" t="str">
        <f>HYPERLINK("https://app.vivvix.com/360/KMI/IntelliDrive/ApplUI/Pages/CreativePages/CustomReportCreativeDetail.aspx?App=23&amp;ReportView=4&amp;Qid=1711279&amp;Row=18142&amp;Col=1","No Title Assigned - #15277277827")</f>
        <v/>
      </c>
      <c r="B18150" s="0" t="s">
        <v>23985</v>
      </c>
      <c r="E18150" s="0" t="inlineStr">
        <is>
          <t xml:space="preserve">Mazda</t>
        </is>
      </c>
      <c r="F18150" s="0" t="inlineStr">
        <is>
          <t xml:space="preserve">Mazda</t>
        </is>
      </c>
      <c r="G18150" s="0" t="s">
        <v>171</v>
      </c>
      <c r="H18150" s="5">
        <v>230.866100</v>
      </c>
    </row>
    <row r="18151" spans="1:9">
      <c r="A18151" s="22" t="str">
        <f>HYPERLINK("https://app.vivvix.com/360/KMI/IntelliDrive/ApplUI/Pages/CreativePages/CustomReportCreativeDetail.aspx?App=23&amp;ReportView=4&amp;Qid=1711279&amp;Row=18143&amp;Col=1","No Title Assigned - #15277277855")</f>
        <v/>
      </c>
      <c r="B18151" s="0" t="s">
        <v>23986</v>
      </c>
      <c r="E18151" s="0" t="inlineStr">
        <is>
          <t xml:space="preserve">Mazda</t>
        </is>
      </c>
      <c r="F18151" s="0" t="inlineStr">
        <is>
          <t xml:space="preserve">Mazda</t>
        </is>
      </c>
      <c r="G18151" s="0" t="s">
        <v>171</v>
      </c>
      <c r="H18151" s="5">
        <v>106.304800</v>
      </c>
    </row>
    <row r="18152" spans="1:9">
      <c r="A18152" s="22" t="str">
        <f>HYPERLINK("https://app.vivvix.com/360/KMI/IntelliDrive/ApplUI/Pages/CreativePages/CustomReportCreativeDetail.aspx?App=23&amp;ReportView=4&amp;Qid=1711279&amp;Row=18144&amp;Col=1","No Title Assigned - #15277277870")</f>
        <v/>
      </c>
      <c r="B18152" s="0" t="s">
        <v>23987</v>
      </c>
      <c r="E18152" s="0" t="inlineStr">
        <is>
          <t xml:space="preserve">Mazda</t>
        </is>
      </c>
      <c r="F18152" s="0" t="inlineStr">
        <is>
          <t xml:space="preserve">Mazda</t>
        </is>
      </c>
      <c r="G18152" s="0" t="s">
        <v>171</v>
      </c>
      <c r="H18152" s="5">
        <v>32.685500</v>
      </c>
    </row>
    <row r="18153" spans="1:9">
      <c r="A18153" s="22" t="str">
        <f>HYPERLINK("https://app.vivvix.com/360/KMI/IntelliDrive/ApplUI/Pages/CreativePages/CustomReportCreativeDetail.aspx?App=23&amp;ReportView=4&amp;Qid=1711279&amp;Row=18145&amp;Col=1","No Title Assigned - #15277278096")</f>
        <v/>
      </c>
      <c r="B18153" s="0" t="s">
        <v>23988</v>
      </c>
      <c r="C18153" s="0" t="s">
        <v>23989</v>
      </c>
      <c r="D18153" s="0" t="s">
        <v>23989</v>
      </c>
      <c r="E18153" s="0" t="inlineStr">
        <is>
          <t xml:space="preserve">Mazda</t>
        </is>
      </c>
      <c r="F18153" s="0" t="inlineStr">
        <is>
          <t xml:space="preserve">Mazda</t>
        </is>
      </c>
      <c r="G18153" s="0" t="s">
        <v>171</v>
      </c>
      <c r="H18153" s="5">
        <v>42552.188600</v>
      </c>
    </row>
    <row r="18154" spans="1:9">
      <c r="A18154" s="22" t="str">
        <f>HYPERLINK("https://app.vivvix.com/360/KMI/IntelliDrive/ApplUI/Pages/CreativePages/CustomReportCreativeDetail.aspx?App=23&amp;ReportView=4&amp;Qid=1711279&amp;Row=18146&amp;Col=1","No Title Assigned - #15277278096")</f>
        <v/>
      </c>
      <c r="B18154" s="0" t="s">
        <v>23988</v>
      </c>
      <c r="E18154" s="0" t="inlineStr">
        <is>
          <t xml:space="preserve">Mazda</t>
        </is>
      </c>
      <c r="F18154" s="0" t="inlineStr">
        <is>
          <t xml:space="preserve">Mazda</t>
        </is>
      </c>
      <c r="G18154" s="0" t="s">
        <v>171</v>
      </c>
      <c r="H18154" s="5">
        <v>3714.387400</v>
      </c>
    </row>
    <row r="18155" spans="1:9">
      <c r="A18155" s="22" t="str">
        <f>HYPERLINK("https://app.vivvix.com/360/KMI/IntelliDrive/ApplUI/Pages/CreativePages/CustomReportCreativeDetail.aspx?App=23&amp;ReportView=4&amp;Qid=1711279&amp;Row=18147&amp;Col=1","No Title Assigned - #15277278101")</f>
        <v/>
      </c>
      <c r="B18155" s="0" t="s">
        <v>23990</v>
      </c>
      <c r="E18155" s="0" t="inlineStr">
        <is>
          <t xml:space="preserve">Mazda</t>
        </is>
      </c>
      <c r="F18155" s="0" t="inlineStr">
        <is>
          <t xml:space="preserve">Mazda</t>
        </is>
      </c>
      <c r="G18155" s="0" t="s">
        <v>171</v>
      </c>
      <c r="H18155" s="5">
        <v>340.201800</v>
      </c>
    </row>
    <row r="18156" spans="1:9">
      <c r="A18156" s="22" t="str">
        <f>HYPERLINK("https://app.vivvix.com/360/KMI/IntelliDrive/ApplUI/Pages/CreativePages/CustomReportCreativeDetail.aspx?App=23&amp;ReportView=4&amp;Qid=1711279&amp;Row=18148&amp;Col=1","No Title Assigned - #15277278590")</f>
        <v/>
      </c>
      <c r="B18156" s="0" t="s">
        <v>23991</v>
      </c>
      <c r="E18156" s="0" t="inlineStr">
        <is>
          <t xml:space="preserve">Mazda</t>
        </is>
      </c>
      <c r="F18156" s="0" t="inlineStr">
        <is>
          <t xml:space="preserve">Mazda</t>
        </is>
      </c>
      <c r="G18156" s="0" t="s">
        <v>171</v>
      </c>
      <c r="H18156" s="5">
        <v>370.269800</v>
      </c>
    </row>
    <row r="18157" spans="1:9">
      <c r="A18157" s="22" t="str">
        <f>HYPERLINK("https://app.vivvix.com/360/KMI/IntelliDrive/ApplUI/Pages/CreativePages/CustomReportCreativeDetail.aspx?App=23&amp;ReportView=4&amp;Qid=1711279&amp;Row=18149&amp;Col=1","No Title Assigned - #15277278600")</f>
        <v/>
      </c>
      <c r="B18157" s="0" t="s">
        <v>23992</v>
      </c>
      <c r="E18157" s="0" t="inlineStr">
        <is>
          <t xml:space="preserve">Mazda</t>
        </is>
      </c>
      <c r="F18157" s="0" t="inlineStr">
        <is>
          <t xml:space="preserve">Mazda</t>
        </is>
      </c>
      <c r="G18157" s="0" t="s">
        <v>171</v>
      </c>
      <c r="H18157" s="5">
        <v>26.216700</v>
      </c>
    </row>
    <row r="18158" spans="1:9">
      <c r="A18158" s="22" t="str">
        <f>HYPERLINK("https://app.vivvix.com/360/KMI/IntelliDrive/ApplUI/Pages/CreativePages/CustomReportCreativeDetail.aspx?App=23&amp;ReportView=4&amp;Qid=1711279&amp;Row=18150&amp;Col=1","No Title Assigned - #15277278627")</f>
        <v/>
      </c>
      <c r="B18158" s="0" t="s">
        <v>23993</v>
      </c>
      <c r="E18158" s="0" t="inlineStr">
        <is>
          <t xml:space="preserve">Mazda</t>
        </is>
      </c>
      <c r="F18158" s="0" t="inlineStr">
        <is>
          <t xml:space="preserve">Mazda</t>
        </is>
      </c>
      <c r="G18158" s="0" t="s">
        <v>171</v>
      </c>
      <c r="H18158" s="5">
        <v>1472.130700</v>
      </c>
    </row>
    <row r="18159" spans="1:9">
      <c r="A18159" s="22" t="str">
        <f>HYPERLINK("https://app.vivvix.com/360/KMI/IntelliDrive/ApplUI/Pages/CreativePages/CustomReportCreativeDetail.aspx?App=23&amp;ReportView=4&amp;Qid=1711279&amp;Row=18151&amp;Col=1","No Title Assigned - #15277278664")</f>
        <v/>
      </c>
      <c r="B18159" s="0" t="s">
        <v>23994</v>
      </c>
      <c r="E18159" s="0" t="inlineStr">
        <is>
          <t xml:space="preserve">Mazda</t>
        </is>
      </c>
      <c r="F18159" s="0" t="inlineStr">
        <is>
          <t xml:space="preserve">Mazda</t>
        </is>
      </c>
      <c r="G18159" s="0" t="s">
        <v>171</v>
      </c>
      <c r="H18159" s="5">
        <v>76.019700</v>
      </c>
    </row>
    <row r="18160" spans="1:9">
      <c r="A18160" s="22" t="str">
        <f>HYPERLINK("https://app.vivvix.com/360/KMI/IntelliDrive/ApplUI/Pages/CreativePages/CustomReportCreativeDetail.aspx?App=23&amp;ReportView=4&amp;Qid=1711279&amp;Row=18152&amp;Col=1","No Title Assigned - #15277278708")</f>
        <v/>
      </c>
      <c r="B18160" s="0" t="s">
        <v>23995</v>
      </c>
      <c r="E18160" s="0" t="inlineStr">
        <is>
          <t xml:space="preserve">Mazda</t>
        </is>
      </c>
      <c r="F18160" s="0" t="inlineStr">
        <is>
          <t xml:space="preserve">Mazda</t>
        </is>
      </c>
      <c r="G18160" s="0" t="s">
        <v>171</v>
      </c>
      <c r="H18160" s="5">
        <v>2271.805900</v>
      </c>
    </row>
    <row r="18161" spans="1:9">
      <c r="A18161" s="22" t="str">
        <f>HYPERLINK("https://app.vivvix.com/360/KMI/IntelliDrive/ApplUI/Pages/CreativePages/CustomReportCreativeDetail.aspx?App=23&amp;ReportView=4&amp;Qid=1711279&amp;Row=18153&amp;Col=1","No Title Assigned - #15277278737")</f>
        <v/>
      </c>
      <c r="B18161" s="0" t="s">
        <v>23996</v>
      </c>
      <c r="C18161" s="0" t="s">
        <v>23997</v>
      </c>
      <c r="D18161" s="0" t="s">
        <v>23997</v>
      </c>
      <c r="E18161" s="0" t="inlineStr">
        <is>
          <t xml:space="preserve">Mazda</t>
        </is>
      </c>
      <c r="F18161" s="0" t="inlineStr">
        <is>
          <t xml:space="preserve">Mazda</t>
        </is>
      </c>
      <c r="G18161" s="0" t="s">
        <v>171</v>
      </c>
      <c r="H18161" s="5">
        <v>1216.008700</v>
      </c>
    </row>
    <row r="18162" spans="1:9">
      <c r="A18162" s="22" t="str">
        <f>HYPERLINK("https://app.vivvix.com/360/KMI/IntelliDrive/ApplUI/Pages/CreativePages/CustomReportCreativeDetail.aspx?App=23&amp;ReportView=4&amp;Qid=1711279&amp;Row=18154&amp;Col=1","No Title Assigned - #15277278820")</f>
        <v/>
      </c>
      <c r="B18162" s="0" t="s">
        <v>23998</v>
      </c>
      <c r="E18162" s="0" t="inlineStr">
        <is>
          <t xml:space="preserve">Mazda</t>
        </is>
      </c>
      <c r="F18162" s="0" t="inlineStr">
        <is>
          <t xml:space="preserve">Mazda</t>
        </is>
      </c>
      <c r="G18162" s="0" t="s">
        <v>171</v>
      </c>
      <c r="H18162" s="5">
        <v>47.245400</v>
      </c>
    </row>
    <row r="18163" spans="1:9">
      <c r="A18163" s="22" t="str">
        <f>HYPERLINK("https://app.vivvix.com/360/KMI/IntelliDrive/ApplUI/Pages/CreativePages/CustomReportCreativeDetail.aspx?App=23&amp;ReportView=4&amp;Qid=1711279&amp;Row=18155&amp;Col=1","No Title Assigned - #15277279035")</f>
        <v/>
      </c>
      <c r="B18163" s="0" t="s">
        <v>23999</v>
      </c>
      <c r="E18163" s="0" t="inlineStr">
        <is>
          <t xml:space="preserve">Mazda</t>
        </is>
      </c>
      <c r="F18163" s="0" t="inlineStr">
        <is>
          <t xml:space="preserve">Mazda</t>
        </is>
      </c>
      <c r="G18163" s="0" t="s">
        <v>171</v>
      </c>
      <c r="H18163" s="5">
        <v>1553.812000</v>
      </c>
    </row>
    <row r="18164" spans="1:9">
      <c r="A18164" s="22" t="str">
        <f>HYPERLINK("https://app.vivvix.com/360/KMI/IntelliDrive/ApplUI/Pages/CreativePages/CustomReportCreativeDetail.aspx?App=23&amp;ReportView=4&amp;Qid=1711279&amp;Row=18156&amp;Col=1","No Title Assigned - #15277279036")</f>
        <v/>
      </c>
      <c r="B18164" s="0" t="s">
        <v>24000</v>
      </c>
      <c r="C18164" s="0" t="s">
        <v>24001</v>
      </c>
      <c r="D18164" s="0" t="s">
        <v>24001</v>
      </c>
      <c r="E18164" s="0" t="inlineStr">
        <is>
          <t xml:space="preserve">Mazda</t>
        </is>
      </c>
      <c r="F18164" s="0" t="inlineStr">
        <is>
          <t xml:space="preserve">Mazda</t>
        </is>
      </c>
      <c r="G18164" s="0" t="s">
        <v>171</v>
      </c>
      <c r="H18164" s="5">
        <v>33088.803900</v>
      </c>
    </row>
    <row r="18165" spans="1:9">
      <c r="A18165" s="22" t="str">
        <f>HYPERLINK("https://app.vivvix.com/360/KMI/IntelliDrive/ApplUI/Pages/CreativePages/CustomReportCreativeDetail.aspx?App=23&amp;ReportView=4&amp;Qid=1711279&amp;Row=18157&amp;Col=1","No Title Assigned - #15277279036")</f>
        <v/>
      </c>
      <c r="B18165" s="0" t="s">
        <v>24000</v>
      </c>
      <c r="E18165" s="0" t="inlineStr">
        <is>
          <t xml:space="preserve">Mazda</t>
        </is>
      </c>
      <c r="F18165" s="0" t="inlineStr">
        <is>
          <t xml:space="preserve">Mazda</t>
        </is>
      </c>
      <c r="G18165" s="0" t="s">
        <v>171</v>
      </c>
      <c r="H18165" s="5">
        <v>52625.203100</v>
      </c>
    </row>
    <row r="18166" spans="1:9">
      <c r="A18166" s="22" t="str">
        <f>HYPERLINK("https://app.vivvix.com/360/KMI/IntelliDrive/ApplUI/Pages/CreativePages/CustomReportCreativeDetail.aspx?App=23&amp;ReportView=4&amp;Qid=1711279&amp;Row=18158&amp;Col=1","No Title Assigned - #15277279267")</f>
        <v/>
      </c>
      <c r="B18166" s="0" t="s">
        <v>24002</v>
      </c>
      <c r="E18166" s="0" t="inlineStr">
        <is>
          <t xml:space="preserve">Mazda</t>
        </is>
      </c>
      <c r="F18166" s="0" t="inlineStr">
        <is>
          <t xml:space="preserve">Mazda</t>
        </is>
      </c>
      <c r="G18166" s="0" t="s">
        <v>171</v>
      </c>
      <c r="H18166" s="5">
        <v>74.345800</v>
      </c>
    </row>
    <row r="18167" spans="1:9">
      <c r="A18167" s="22" t="str">
        <f>HYPERLINK("https://app.vivvix.com/360/KMI/IntelliDrive/ApplUI/Pages/CreativePages/CustomReportCreativeDetail.aspx?App=23&amp;ReportView=4&amp;Qid=1711279&amp;Row=18159&amp;Col=1","No Title Assigned - #15277279314")</f>
        <v/>
      </c>
      <c r="B18167" s="0" t="s">
        <v>24003</v>
      </c>
      <c r="C18167" s="0" t="s">
        <v>24004</v>
      </c>
      <c r="D18167" s="0" t="s">
        <v>24004</v>
      </c>
      <c r="E18167" s="0" t="inlineStr">
        <is>
          <t xml:space="preserve">Mazda</t>
        </is>
      </c>
      <c r="F18167" s="0" t="inlineStr">
        <is>
          <t xml:space="preserve">Mazda</t>
        </is>
      </c>
      <c r="G18167" s="0" t="s">
        <v>171</v>
      </c>
      <c r="H18167" s="5">
        <v>2236.472700</v>
      </c>
    </row>
    <row r="18168" spans="1:9">
      <c r="A18168" s="22" t="str">
        <f>HYPERLINK("https://app.vivvix.com/360/KMI/IntelliDrive/ApplUI/Pages/CreativePages/CustomReportCreativeDetail.aspx?App=23&amp;ReportView=4&amp;Qid=1711279&amp;Row=18160&amp;Col=1","No Title Assigned - #15277279314")</f>
        <v/>
      </c>
      <c r="B18168" s="0" t="s">
        <v>24003</v>
      </c>
      <c r="E18168" s="0" t="inlineStr">
        <is>
          <t xml:space="preserve">Mazda</t>
        </is>
      </c>
      <c r="F18168" s="0" t="inlineStr">
        <is>
          <t xml:space="preserve">Mazda</t>
        </is>
      </c>
      <c r="G18168" s="0" t="s">
        <v>171</v>
      </c>
      <c r="H18168" s="5">
        <v>209.435600</v>
      </c>
    </row>
    <row r="18169" spans="1:9">
      <c r="A18169" s="22" t="str">
        <f>HYPERLINK("https://app.vivvix.com/360/KMI/IntelliDrive/ApplUI/Pages/CreativePages/CustomReportCreativeDetail.aspx?App=23&amp;ReportView=4&amp;Qid=1711279&amp;Row=18161&amp;Col=1","No Title Assigned - #15277279378")</f>
        <v/>
      </c>
      <c r="B18169" s="0" t="s">
        <v>24005</v>
      </c>
      <c r="E18169" s="0" t="inlineStr">
        <is>
          <t xml:space="preserve">Mazda</t>
        </is>
      </c>
      <c r="F18169" s="0" t="inlineStr">
        <is>
          <t xml:space="preserve">Mazda</t>
        </is>
      </c>
      <c r="G18169" s="0" t="s">
        <v>171</v>
      </c>
      <c r="H18169" s="5">
        <v>6.647800</v>
      </c>
    </row>
    <row r="18170" spans="1:9">
      <c r="A18170" s="22" t="str">
        <f>HYPERLINK("https://app.vivvix.com/360/KMI/IntelliDrive/ApplUI/Pages/CreativePages/CustomReportCreativeDetail.aspx?App=23&amp;ReportView=4&amp;Qid=1711279&amp;Row=18162&amp;Col=1","No Title Assigned - #15277279604")</f>
        <v/>
      </c>
      <c r="B18170" s="0" t="s">
        <v>24006</v>
      </c>
      <c r="E18170" s="0" t="inlineStr">
        <is>
          <t xml:space="preserve">Mazda</t>
        </is>
      </c>
      <c r="F18170" s="0" t="inlineStr">
        <is>
          <t xml:space="preserve">Mazda</t>
        </is>
      </c>
      <c r="G18170" s="0" t="s">
        <v>171</v>
      </c>
      <c r="H18170" s="5">
        <v>3851.915200</v>
      </c>
    </row>
    <row r="18171" spans="1:9">
      <c r="A18171" s="22" t="str">
        <f>HYPERLINK("https://app.vivvix.com/360/KMI/IntelliDrive/ApplUI/Pages/CreativePages/CustomReportCreativeDetail.aspx?App=23&amp;ReportView=4&amp;Qid=1711279&amp;Row=18163&amp;Col=1","No Title Assigned - #15277279650")</f>
        <v/>
      </c>
      <c r="B18171" s="0" t="s">
        <v>24007</v>
      </c>
      <c r="E18171" s="0" t="inlineStr">
        <is>
          <t xml:space="preserve">Mazda</t>
        </is>
      </c>
      <c r="F18171" s="0" t="inlineStr">
        <is>
          <t xml:space="preserve">Mazda</t>
        </is>
      </c>
      <c r="G18171" s="0" t="s">
        <v>171</v>
      </c>
      <c r="H18171" s="5">
        <v>2060.427000</v>
      </c>
    </row>
    <row r="18172" spans="1:9">
      <c r="A18172" s="22" t="str">
        <f>HYPERLINK("https://app.vivvix.com/360/KMI/IntelliDrive/ApplUI/Pages/CreativePages/CustomReportCreativeDetail.aspx?App=23&amp;ReportView=4&amp;Qid=1711279&amp;Row=18164&amp;Col=1","No Title Assigned - #15277279650")</f>
        <v/>
      </c>
      <c r="B18172" s="0" t="s">
        <v>24007</v>
      </c>
      <c r="E18172" s="0" t="inlineStr">
        <is>
          <t xml:space="preserve">Mazda</t>
        </is>
      </c>
      <c r="F18172" s="0" t="inlineStr">
        <is>
          <t xml:space="preserve">Mazda</t>
        </is>
      </c>
      <c r="G18172" s="0" t="s">
        <v>171</v>
      </c>
      <c r="H18172" s="5">
        <v>645.796800</v>
      </c>
    </row>
    <row r="18173" spans="1:9">
      <c r="A18173" s="22" t="str">
        <f>HYPERLINK("https://app.vivvix.com/360/KMI/IntelliDrive/ApplUI/Pages/CreativePages/CustomReportCreativeDetail.aspx?App=23&amp;ReportView=4&amp;Qid=1711279&amp;Row=18165&amp;Col=1","No Title Assigned - #15277280367")</f>
        <v/>
      </c>
      <c r="B18173" s="0" t="s">
        <v>24008</v>
      </c>
      <c r="E18173" s="0" t="inlineStr">
        <is>
          <t xml:space="preserve">Mazda</t>
        </is>
      </c>
      <c r="F18173" s="0" t="inlineStr">
        <is>
          <t xml:space="preserve">Mazda</t>
        </is>
      </c>
      <c r="G18173" s="0" t="s">
        <v>171</v>
      </c>
      <c r="H18173" s="5">
        <v>511.826900</v>
      </c>
    </row>
    <row r="18174" spans="1:9">
      <c r="A18174" s="22" t="str">
        <f>HYPERLINK("https://app.vivvix.com/360/KMI/IntelliDrive/ApplUI/Pages/CreativePages/CustomReportCreativeDetail.aspx?App=23&amp;ReportView=4&amp;Qid=1711279&amp;Row=18166&amp;Col=1","No Title Assigned - #15277280435")</f>
        <v/>
      </c>
      <c r="B18174" s="0" t="s">
        <v>24009</v>
      </c>
      <c r="C18174" s="0" t="s">
        <v>24010</v>
      </c>
      <c r="D18174" s="0" t="s">
        <v>24010</v>
      </c>
      <c r="E18174" s="0" t="inlineStr">
        <is>
          <t xml:space="preserve">Mazda</t>
        </is>
      </c>
      <c r="F18174" s="0" t="inlineStr">
        <is>
          <t xml:space="preserve">Mazda</t>
        </is>
      </c>
      <c r="G18174" s="0" t="s">
        <v>171</v>
      </c>
      <c r="H18174" s="5">
        <v>21.746500</v>
      </c>
    </row>
    <row r="18175" spans="1:9">
      <c r="A18175" s="22" t="str">
        <f>HYPERLINK("https://app.vivvix.com/360/KMI/IntelliDrive/ApplUI/Pages/CreativePages/CustomReportCreativeDetail.aspx?App=23&amp;ReportView=4&amp;Qid=1711279&amp;Row=18167&amp;Col=1","No Title Assigned - #15277280542")</f>
        <v/>
      </c>
      <c r="B18175" s="0" t="s">
        <v>24011</v>
      </c>
      <c r="E18175" s="0" t="inlineStr">
        <is>
          <t xml:space="preserve">Mazda</t>
        </is>
      </c>
      <c r="F18175" s="0" t="inlineStr">
        <is>
          <t xml:space="preserve">Mazda</t>
        </is>
      </c>
      <c r="G18175" s="0" t="s">
        <v>171</v>
      </c>
      <c r="H18175" s="5">
        <v>26.632400</v>
      </c>
    </row>
    <row r="18176" spans="1:9">
      <c r="A18176" s="22" t="str">
        <f>HYPERLINK("https://app.vivvix.com/360/KMI/IntelliDrive/ApplUI/Pages/CreativePages/CustomReportCreativeDetail.aspx?App=23&amp;ReportView=4&amp;Qid=1711279&amp;Row=18168&amp;Col=1","No Title Assigned - #15277280565")</f>
        <v/>
      </c>
      <c r="B18176" s="0" t="s">
        <v>24012</v>
      </c>
      <c r="E18176" s="0" t="inlineStr">
        <is>
          <t xml:space="preserve">Mazda</t>
        </is>
      </c>
      <c r="F18176" s="0" t="inlineStr">
        <is>
          <t xml:space="preserve">Mazda</t>
        </is>
      </c>
      <c r="G18176" s="0" t="s">
        <v>171</v>
      </c>
      <c r="H18176" s="5">
        <v>172.712800</v>
      </c>
    </row>
    <row r="18177" spans="1:9">
      <c r="A18177" s="22" t="str">
        <f>HYPERLINK("https://app.vivvix.com/360/KMI/IntelliDrive/ApplUI/Pages/CreativePages/CustomReportCreativeDetail.aspx?App=23&amp;ReportView=4&amp;Qid=1711279&amp;Row=18169&amp;Col=1","No Title Assigned - #15277280613")</f>
        <v/>
      </c>
      <c r="B18177" s="0" t="s">
        <v>24013</v>
      </c>
      <c r="E18177" s="0" t="inlineStr">
        <is>
          <t xml:space="preserve">Mazda</t>
        </is>
      </c>
      <c r="F18177" s="0" t="inlineStr">
        <is>
          <t xml:space="preserve">Mazda</t>
        </is>
      </c>
      <c r="G18177" s="0" t="s">
        <v>171</v>
      </c>
      <c r="H18177" s="5">
        <v>143.887200</v>
      </c>
    </row>
    <row r="18178" spans="1:9">
      <c r="A18178" s="22" t="str">
        <f>HYPERLINK("https://app.vivvix.com/360/KMI/IntelliDrive/ApplUI/Pages/CreativePages/CustomReportCreativeDetail.aspx?App=23&amp;ReportView=4&amp;Qid=1711279&amp;Row=18170&amp;Col=1","No Title Assigned - #15277280614")</f>
        <v/>
      </c>
      <c r="B18178" s="0" t="s">
        <v>24014</v>
      </c>
      <c r="E18178" s="0" t="inlineStr">
        <is>
          <t xml:space="preserve">Mazda</t>
        </is>
      </c>
      <c r="F18178" s="0" t="inlineStr">
        <is>
          <t xml:space="preserve">Mazda</t>
        </is>
      </c>
      <c r="G18178" s="0" t="s">
        <v>171</v>
      </c>
      <c r="H18178" s="5">
        <v>2193.007900</v>
      </c>
    </row>
    <row r="18179" spans="1:9">
      <c r="A18179" s="22" t="str">
        <f>HYPERLINK("https://app.vivvix.com/360/KMI/IntelliDrive/ApplUI/Pages/CreativePages/CustomReportCreativeDetail.aspx?App=23&amp;ReportView=4&amp;Qid=1711279&amp;Row=18171&amp;Col=1","No Title Assigned - #15277281087")</f>
        <v/>
      </c>
      <c r="B18179" s="0" t="s">
        <v>24015</v>
      </c>
      <c r="E18179" s="0" t="inlineStr">
        <is>
          <t xml:space="preserve">Mazda</t>
        </is>
      </c>
      <c r="F18179" s="0" t="inlineStr">
        <is>
          <t xml:space="preserve">Mazda</t>
        </is>
      </c>
      <c r="G18179" s="0" t="s">
        <v>171</v>
      </c>
      <c r="H18179" s="5">
        <v>281.774900</v>
      </c>
    </row>
    <row r="18180" spans="1:9">
      <c r="A18180" s="22" t="str">
        <f>HYPERLINK("https://app.vivvix.com/360/KMI/IntelliDrive/ApplUI/Pages/CreativePages/CustomReportCreativeDetail.aspx?App=23&amp;ReportView=4&amp;Qid=1711279&amp;Row=18172&amp;Col=1","No Title Assigned - #15277281124")</f>
        <v/>
      </c>
      <c r="B18180" s="0" t="s">
        <v>24016</v>
      </c>
      <c r="E18180" s="0" t="inlineStr">
        <is>
          <t xml:space="preserve">Mazda</t>
        </is>
      </c>
      <c r="F18180" s="0" t="inlineStr">
        <is>
          <t xml:space="preserve">Mazda</t>
        </is>
      </c>
      <c r="G18180" s="0" t="s">
        <v>171</v>
      </c>
      <c r="H18180" s="5">
        <v>11.281500</v>
      </c>
    </row>
    <row r="18181" spans="1:9">
      <c r="A18181" s="22" t="str">
        <f>HYPERLINK("https://app.vivvix.com/360/KMI/IntelliDrive/ApplUI/Pages/CreativePages/CustomReportCreativeDetail.aspx?App=23&amp;ReportView=4&amp;Qid=1711279&amp;Row=18173&amp;Col=1","No Title Assigned - #15277281173")</f>
        <v/>
      </c>
      <c r="B18181" s="0" t="s">
        <v>24017</v>
      </c>
      <c r="E18181" s="0" t="inlineStr">
        <is>
          <t xml:space="preserve">Mazda</t>
        </is>
      </c>
      <c r="F18181" s="0" t="inlineStr">
        <is>
          <t xml:space="preserve">Mazda</t>
        </is>
      </c>
      <c r="G18181" s="0" t="s">
        <v>171</v>
      </c>
      <c r="H18181" s="5">
        <v>31676.361700</v>
      </c>
    </row>
    <row r="18182" spans="1:9">
      <c r="A18182" s="22" t="str">
        <f>HYPERLINK("https://app.vivvix.com/360/KMI/IntelliDrive/ApplUI/Pages/CreativePages/CustomReportCreativeDetail.aspx?App=23&amp;ReportView=4&amp;Qid=1711279&amp;Row=18174&amp;Col=1","No Title Assigned - #15277281410")</f>
        <v/>
      </c>
      <c r="B18182" s="0" t="s">
        <v>24018</v>
      </c>
      <c r="E18182" s="0" t="inlineStr">
        <is>
          <t xml:space="preserve">Mazda</t>
        </is>
      </c>
      <c r="F18182" s="0" t="inlineStr">
        <is>
          <t xml:space="preserve">Mazda</t>
        </is>
      </c>
      <c r="G18182" s="0" t="s">
        <v>171</v>
      </c>
      <c r="H18182" s="5">
        <v>16.416200</v>
      </c>
    </row>
    <row r="18183" spans="1:9">
      <c r="A18183" s="22" t="str">
        <f>HYPERLINK("https://app.vivvix.com/360/KMI/IntelliDrive/ApplUI/Pages/CreativePages/CustomReportCreativeDetail.aspx?App=23&amp;ReportView=4&amp;Qid=1711279&amp;Row=18175&amp;Col=1","No Title Assigned - #15277281923")</f>
        <v/>
      </c>
      <c r="B18183" s="0" t="s">
        <v>24019</v>
      </c>
      <c r="E18183" s="0" t="inlineStr">
        <is>
          <t xml:space="preserve">Mazda</t>
        </is>
      </c>
      <c r="F18183" s="0" t="inlineStr">
        <is>
          <t xml:space="preserve">Mazda</t>
        </is>
      </c>
      <c r="G18183" s="0" t="s">
        <v>171</v>
      </c>
      <c r="H18183" s="5">
        <v>24.215600</v>
      </c>
    </row>
    <row r="18184" spans="1:9">
      <c r="A18184" s="22" t="str">
        <f>HYPERLINK("https://app.vivvix.com/360/KMI/IntelliDrive/ApplUI/Pages/CreativePages/CustomReportCreativeDetail.aspx?App=23&amp;ReportView=4&amp;Qid=1711279&amp;Row=18176&amp;Col=1","No Title Assigned - #15277282002")</f>
        <v/>
      </c>
      <c r="B18184" s="0" t="s">
        <v>24020</v>
      </c>
      <c r="E18184" s="0" t="inlineStr">
        <is>
          <t xml:space="preserve">Mazda</t>
        </is>
      </c>
      <c r="F18184" s="0" t="inlineStr">
        <is>
          <t xml:space="preserve">Mazda</t>
        </is>
      </c>
      <c r="G18184" s="0" t="s">
        <v>171</v>
      </c>
      <c r="H18184" s="5">
        <v>1519.851500</v>
      </c>
    </row>
    <row r="18185" spans="1:9">
      <c r="A18185" s="22" t="str">
        <f>HYPERLINK("https://app.vivvix.com/360/KMI/IntelliDrive/ApplUI/Pages/CreativePages/CustomReportCreativeDetail.aspx?App=23&amp;ReportView=4&amp;Qid=1711279&amp;Row=18177&amp;Col=1","No Title Assigned - #15277282136")</f>
        <v/>
      </c>
      <c r="B18185" s="0" t="s">
        <v>24021</v>
      </c>
      <c r="E18185" s="0" t="inlineStr">
        <is>
          <t xml:space="preserve">Mazda</t>
        </is>
      </c>
      <c r="F18185" s="0" t="inlineStr">
        <is>
          <t xml:space="preserve">Mazda</t>
        </is>
      </c>
      <c r="G18185" s="0" t="s">
        <v>171</v>
      </c>
      <c r="H18185" s="5">
        <v>86.858300</v>
      </c>
    </row>
    <row r="18186" spans="1:9">
      <c r="A18186" s="22" t="str">
        <f>HYPERLINK("https://app.vivvix.com/360/KMI/IntelliDrive/ApplUI/Pages/CreativePages/CustomReportCreativeDetail.aspx?App=23&amp;ReportView=4&amp;Qid=1711279&amp;Row=18178&amp;Col=1","No Title Assigned - #15277282184")</f>
        <v/>
      </c>
      <c r="B18186" s="0" t="s">
        <v>24022</v>
      </c>
      <c r="E18186" s="0" t="inlineStr">
        <is>
          <t xml:space="preserve">Mazda</t>
        </is>
      </c>
      <c r="F18186" s="0" t="inlineStr">
        <is>
          <t xml:space="preserve">Mazda</t>
        </is>
      </c>
      <c r="G18186" s="0" t="s">
        <v>171</v>
      </c>
      <c r="H18186" s="5">
        <v>92.954700</v>
      </c>
    </row>
    <row r="18187" spans="1:9">
      <c r="A18187" s="22" t="str">
        <f>HYPERLINK("https://app.vivvix.com/360/KMI/IntelliDrive/ApplUI/Pages/CreativePages/CustomReportCreativeDetail.aspx?App=23&amp;ReportView=4&amp;Qid=1711279&amp;Row=18179&amp;Col=1","No Title Assigned - #15277282495")</f>
        <v/>
      </c>
      <c r="B18187" s="0" t="s">
        <v>24023</v>
      </c>
      <c r="E18187" s="0" t="inlineStr">
        <is>
          <t xml:space="preserve">Mazda</t>
        </is>
      </c>
      <c r="F18187" s="0" t="inlineStr">
        <is>
          <t xml:space="preserve">Mazda</t>
        </is>
      </c>
      <c r="G18187" s="0" t="s">
        <v>171</v>
      </c>
      <c r="H18187" s="5">
        <v>1131.043700</v>
      </c>
    </row>
    <row r="18188" spans="1:9">
      <c r="A18188" s="22" t="str">
        <f>HYPERLINK("https://app.vivvix.com/360/KMI/IntelliDrive/ApplUI/Pages/CreativePages/CustomReportCreativeDetail.aspx?App=23&amp;ReportView=4&amp;Qid=1711279&amp;Row=18180&amp;Col=1","No Title Assigned - #15277282495")</f>
        <v/>
      </c>
      <c r="B18188" s="0" t="s">
        <v>24023</v>
      </c>
      <c r="E18188" s="0" t="inlineStr">
        <is>
          <t xml:space="preserve">Mazda</t>
        </is>
      </c>
      <c r="F18188" s="0" t="inlineStr">
        <is>
          <t xml:space="preserve">Mazda</t>
        </is>
      </c>
      <c r="G18188" s="0" t="s">
        <v>171</v>
      </c>
      <c r="H18188" s="5">
        <v>15.927600</v>
      </c>
    </row>
    <row r="18189" spans="1:9">
      <c r="A18189" s="22" t="str">
        <f>HYPERLINK("https://app.vivvix.com/360/KMI/IntelliDrive/ApplUI/Pages/CreativePages/CustomReportCreativeDetail.aspx?App=23&amp;ReportView=4&amp;Qid=1711279&amp;Row=18181&amp;Col=1","No Title Assigned - #15277282496")</f>
        <v/>
      </c>
      <c r="B18189" s="0" t="s">
        <v>24024</v>
      </c>
      <c r="E18189" s="0" t="inlineStr">
        <is>
          <t xml:space="preserve">Mazda</t>
        </is>
      </c>
      <c r="F18189" s="0" t="inlineStr">
        <is>
          <t xml:space="preserve">Mazda</t>
        </is>
      </c>
      <c r="G18189" s="0" t="s">
        <v>171</v>
      </c>
      <c r="H18189" s="5">
        <v>36.858000</v>
      </c>
    </row>
    <row r="18190" spans="1:9">
      <c r="A18190" s="22" t="str">
        <f>HYPERLINK("https://app.vivvix.com/360/KMI/IntelliDrive/ApplUI/Pages/CreativePages/CustomReportCreativeDetail.aspx?App=23&amp;ReportView=4&amp;Qid=1711279&amp;Row=18182&amp;Col=1","No Title Assigned - #15277282496")</f>
        <v/>
      </c>
      <c r="B18190" s="0" t="s">
        <v>24024</v>
      </c>
      <c r="C18190" s="0" t="s">
        <v>24025</v>
      </c>
      <c r="D18190" s="0" t="s">
        <v>24025</v>
      </c>
      <c r="E18190" s="0" t="inlineStr">
        <is>
          <t xml:space="preserve">Mazda</t>
        </is>
      </c>
      <c r="F18190" s="0" t="inlineStr">
        <is>
          <t xml:space="preserve">Mazda</t>
        </is>
      </c>
      <c r="G18190" s="0" t="s">
        <v>171</v>
      </c>
      <c r="H18190" s="5">
        <v>595.257100</v>
      </c>
    </row>
    <row r="18191" spans="1:9">
      <c r="A18191" s="22" t="str">
        <f>HYPERLINK("https://app.vivvix.com/360/KMI/IntelliDrive/ApplUI/Pages/CreativePages/CustomReportCreativeDetail.aspx?App=23&amp;ReportView=4&amp;Qid=1711279&amp;Row=18183&amp;Col=1","No Title Assigned - #15277282507")</f>
        <v/>
      </c>
      <c r="B18191" s="0" t="s">
        <v>24026</v>
      </c>
      <c r="E18191" s="0" t="inlineStr">
        <is>
          <t xml:space="preserve">Mazda</t>
        </is>
      </c>
      <c r="F18191" s="0" t="inlineStr">
        <is>
          <t xml:space="preserve">Mazda</t>
        </is>
      </c>
      <c r="G18191" s="0" t="s">
        <v>171</v>
      </c>
      <c r="H18191" s="5">
        <v>42.250900</v>
      </c>
    </row>
    <row r="18192" spans="1:9">
      <c r="A18192" s="22" t="str">
        <f>HYPERLINK("https://app.vivvix.com/360/KMI/IntelliDrive/ApplUI/Pages/CreativePages/CustomReportCreativeDetail.aspx?App=23&amp;ReportView=4&amp;Qid=1711279&amp;Row=18184&amp;Col=1","No Title Assigned - #15277282527")</f>
        <v/>
      </c>
      <c r="B18192" s="0" t="s">
        <v>24027</v>
      </c>
      <c r="E18192" s="0" t="inlineStr">
        <is>
          <t xml:space="preserve">Mazda</t>
        </is>
      </c>
      <c r="F18192" s="0" t="inlineStr">
        <is>
          <t xml:space="preserve">Mazda</t>
        </is>
      </c>
      <c r="G18192" s="0" t="s">
        <v>171</v>
      </c>
      <c r="H18192" s="5">
        <v>22.973000</v>
      </c>
    </row>
    <row r="18193" spans="1:9">
      <c r="A18193" s="22" t="str">
        <f>HYPERLINK("https://app.vivvix.com/360/KMI/IntelliDrive/ApplUI/Pages/CreativePages/CustomReportCreativeDetail.aspx?App=23&amp;ReportView=4&amp;Qid=1711279&amp;Row=18185&amp;Col=1","No Title Assigned - #15277282691")</f>
        <v/>
      </c>
      <c r="B18193" s="0" t="s">
        <v>24028</v>
      </c>
      <c r="E18193" s="0" t="inlineStr">
        <is>
          <t xml:space="preserve">Mazda</t>
        </is>
      </c>
      <c r="F18193" s="0" t="inlineStr">
        <is>
          <t xml:space="preserve">Mazda</t>
        </is>
      </c>
      <c r="G18193" s="0" t="s">
        <v>171</v>
      </c>
      <c r="H18193" s="5">
        <v>584.726700</v>
      </c>
    </row>
    <row r="18194" spans="1:9">
      <c r="A18194" s="22" t="str">
        <f>HYPERLINK("https://app.vivvix.com/360/KMI/IntelliDrive/ApplUI/Pages/CreativePages/CustomReportCreativeDetail.aspx?App=23&amp;ReportView=4&amp;Qid=1711279&amp;Row=18186&amp;Col=1","No Title Assigned - #15277283101")</f>
        <v/>
      </c>
      <c r="B18194" s="0" t="s">
        <v>24029</v>
      </c>
      <c r="E18194" s="0" t="inlineStr">
        <is>
          <t xml:space="preserve">Mazda</t>
        </is>
      </c>
      <c r="F18194" s="0" t="inlineStr">
        <is>
          <t xml:space="preserve">Mazda</t>
        </is>
      </c>
      <c r="G18194" s="0" t="s">
        <v>171</v>
      </c>
      <c r="H18194" s="5">
        <v>33.959300</v>
      </c>
    </row>
    <row r="18195" spans="1:9">
      <c r="A18195" s="22" t="str">
        <f>HYPERLINK("https://app.vivvix.com/360/KMI/IntelliDrive/ApplUI/Pages/CreativePages/CustomReportCreativeDetail.aspx?App=23&amp;ReportView=4&amp;Qid=1711279&amp;Row=18187&amp;Col=1","No Title Assigned - #15277283237")</f>
        <v/>
      </c>
      <c r="B18195" s="0" t="s">
        <v>24030</v>
      </c>
      <c r="E18195" s="0" t="inlineStr">
        <is>
          <t xml:space="preserve">Mazda</t>
        </is>
      </c>
      <c r="F18195" s="0" t="inlineStr">
        <is>
          <t xml:space="preserve">Mazda</t>
        </is>
      </c>
      <c r="G18195" s="0" t="s">
        <v>171</v>
      </c>
      <c r="H18195" s="5">
        <v>558.680200</v>
      </c>
    </row>
    <row r="18196" spans="1:9">
      <c r="A18196" s="22" t="str">
        <f>HYPERLINK("https://app.vivvix.com/360/KMI/IntelliDrive/ApplUI/Pages/CreativePages/CustomReportCreativeDetail.aspx?App=23&amp;ReportView=4&amp;Qid=1711279&amp;Row=18188&amp;Col=1","No Title Assigned - #15277283337")</f>
        <v/>
      </c>
      <c r="B18196" s="0" t="s">
        <v>24031</v>
      </c>
      <c r="E18196" s="0" t="inlineStr">
        <is>
          <t xml:space="preserve">Mazda</t>
        </is>
      </c>
      <c r="F18196" s="0" t="inlineStr">
        <is>
          <t xml:space="preserve">Mazda</t>
        </is>
      </c>
      <c r="G18196" s="0" t="s">
        <v>171</v>
      </c>
      <c r="H18196" s="5">
        <v>3699.120900</v>
      </c>
    </row>
    <row r="18197" spans="1:9">
      <c r="A18197" s="22" t="str">
        <f>HYPERLINK("https://app.vivvix.com/360/KMI/IntelliDrive/ApplUI/Pages/CreativePages/CustomReportCreativeDetail.aspx?App=23&amp;ReportView=4&amp;Qid=1711279&amp;Row=18189&amp;Col=1","No Title Assigned - #15277283402")</f>
        <v/>
      </c>
      <c r="B18197" s="0" t="s">
        <v>24032</v>
      </c>
      <c r="E18197" s="0" t="inlineStr">
        <is>
          <t xml:space="preserve">Mazda</t>
        </is>
      </c>
      <c r="F18197" s="0" t="inlineStr">
        <is>
          <t xml:space="preserve">Mazda</t>
        </is>
      </c>
      <c r="G18197" s="0" t="s">
        <v>171</v>
      </c>
      <c r="H18197" s="5">
        <v>17878.708300</v>
      </c>
    </row>
    <row r="18198" spans="1:9">
      <c r="A18198" s="22" t="str">
        <f>HYPERLINK("https://app.vivvix.com/360/KMI/IntelliDrive/ApplUI/Pages/CreativePages/CustomReportCreativeDetail.aspx?App=23&amp;ReportView=4&amp;Qid=1711279&amp;Row=18190&amp;Col=1","No Title Assigned - #15277283402")</f>
        <v/>
      </c>
      <c r="B18198" s="0" t="s">
        <v>24032</v>
      </c>
      <c r="E18198" s="0" t="inlineStr">
        <is>
          <t xml:space="preserve">Mazda</t>
        </is>
      </c>
      <c r="F18198" s="0" t="inlineStr">
        <is>
          <t xml:space="preserve">Mazda</t>
        </is>
      </c>
      <c r="G18198" s="0" t="s">
        <v>171</v>
      </c>
      <c r="H18198" s="5">
        <v>11.086200</v>
      </c>
    </row>
    <row r="18199" spans="1:9">
      <c r="A18199" s="22" t="str">
        <f>HYPERLINK("https://app.vivvix.com/360/KMI/IntelliDrive/ApplUI/Pages/CreativePages/CustomReportCreativeDetail.aspx?App=23&amp;ReportView=4&amp;Qid=1711279&amp;Row=18191&amp;Col=1","No Title Assigned - #15277283432")</f>
        <v/>
      </c>
      <c r="B18199" s="0" t="s">
        <v>24033</v>
      </c>
      <c r="E18199" s="0" t="inlineStr">
        <is>
          <t xml:space="preserve">Mazda</t>
        </is>
      </c>
      <c r="F18199" s="0" t="inlineStr">
        <is>
          <t xml:space="preserve">Mazda</t>
        </is>
      </c>
      <c r="G18199" s="0" t="s">
        <v>171</v>
      </c>
      <c r="H18199" s="5">
        <v>153.298100</v>
      </c>
    </row>
    <row r="18200" spans="1:9">
      <c r="A18200" s="22" t="str">
        <f>HYPERLINK("https://app.vivvix.com/360/KMI/IntelliDrive/ApplUI/Pages/CreativePages/CustomReportCreativeDetail.aspx?App=23&amp;ReportView=4&amp;Qid=1711279&amp;Row=18192&amp;Col=1","No Title Assigned - #15277283471")</f>
        <v/>
      </c>
      <c r="B18200" s="0" t="s">
        <v>24034</v>
      </c>
      <c r="E18200" s="0" t="inlineStr">
        <is>
          <t xml:space="preserve">Mazda</t>
        </is>
      </c>
      <c r="F18200" s="0" t="inlineStr">
        <is>
          <t xml:space="preserve">Mazda</t>
        </is>
      </c>
      <c r="G18200" s="0" t="s">
        <v>171</v>
      </c>
      <c r="H18200" s="5">
        <v>27.282500</v>
      </c>
    </row>
    <row r="18201" spans="1:9">
      <c r="A18201" s="22" t="str">
        <f>HYPERLINK("https://app.vivvix.com/360/KMI/IntelliDrive/ApplUI/Pages/CreativePages/CustomReportCreativeDetail.aspx?App=23&amp;ReportView=4&amp;Qid=1711279&amp;Row=18193&amp;Col=1","No Title Assigned - #15277283810")</f>
        <v/>
      </c>
      <c r="B18201" s="0" t="s">
        <v>24035</v>
      </c>
      <c r="C18201" s="0" t="s">
        <v>24036</v>
      </c>
      <c r="D18201" s="0" t="s">
        <v>24036</v>
      </c>
      <c r="E18201" s="0" t="inlineStr">
        <is>
          <t xml:space="preserve">Mazda</t>
        </is>
      </c>
      <c r="F18201" s="0" t="inlineStr">
        <is>
          <t xml:space="preserve">Mazda</t>
        </is>
      </c>
      <c r="G18201" s="0" t="s">
        <v>171</v>
      </c>
      <c r="H18201" s="5">
        <v>43731.358100</v>
      </c>
    </row>
    <row r="18202" spans="1:9">
      <c r="A18202" s="22" t="str">
        <f>HYPERLINK("https://app.vivvix.com/360/KMI/IntelliDrive/ApplUI/Pages/CreativePages/CustomReportCreativeDetail.aspx?App=23&amp;ReportView=4&amp;Qid=1711279&amp;Row=18194&amp;Col=1","No Title Assigned - #15277283810")</f>
        <v/>
      </c>
      <c r="B18202" s="0" t="s">
        <v>24035</v>
      </c>
      <c r="E18202" s="0" t="inlineStr">
        <is>
          <t xml:space="preserve">Mazda</t>
        </is>
      </c>
      <c r="F18202" s="0" t="inlineStr">
        <is>
          <t xml:space="preserve">Mazda</t>
        </is>
      </c>
      <c r="G18202" s="0" t="s">
        <v>171</v>
      </c>
      <c r="H18202" s="5">
        <v>53186.329500</v>
      </c>
    </row>
    <row r="18203" spans="1:9">
      <c r="A18203" s="22" t="str">
        <f>HYPERLINK("https://app.vivvix.com/360/KMI/IntelliDrive/ApplUI/Pages/CreativePages/CustomReportCreativeDetail.aspx?App=23&amp;ReportView=4&amp;Qid=1711279&amp;Row=18195&amp;Col=1","No Title Assigned - #15277283811")</f>
        <v/>
      </c>
      <c r="B18203" s="0" t="s">
        <v>24037</v>
      </c>
      <c r="E18203" s="0" t="inlineStr">
        <is>
          <t xml:space="preserve">Mazda</t>
        </is>
      </c>
      <c r="F18203" s="0" t="inlineStr">
        <is>
          <t xml:space="preserve">Mazda</t>
        </is>
      </c>
      <c r="G18203" s="0" t="s">
        <v>171</v>
      </c>
      <c r="H18203" s="5">
        <v>754.657300</v>
      </c>
    </row>
    <row r="18204" spans="1:9">
      <c r="A18204" s="22" t="str">
        <f>HYPERLINK("https://app.vivvix.com/360/KMI/IntelliDrive/ApplUI/Pages/CreativePages/CustomReportCreativeDetail.aspx?App=23&amp;ReportView=4&amp;Qid=1711279&amp;Row=18196&amp;Col=1","No Title Assigned - #15277284259")</f>
        <v/>
      </c>
      <c r="B18204" s="0" t="s">
        <v>24038</v>
      </c>
      <c r="E18204" s="0" t="inlineStr">
        <is>
          <t xml:space="preserve">Mazda</t>
        </is>
      </c>
      <c r="F18204" s="0" t="inlineStr">
        <is>
          <t xml:space="preserve">Mazda</t>
        </is>
      </c>
      <c r="G18204" s="0" t="s">
        <v>171</v>
      </c>
      <c r="H18204" s="5">
        <v>30.151000</v>
      </c>
    </row>
    <row r="18205" spans="1:9">
      <c r="A18205" s="22" t="str">
        <f>HYPERLINK("https://app.vivvix.com/360/KMI/IntelliDrive/ApplUI/Pages/CreativePages/CustomReportCreativeDetail.aspx?App=23&amp;ReportView=4&amp;Qid=1711279&amp;Row=18197&amp;Col=1","No Title Assigned - #15277284446")</f>
        <v/>
      </c>
      <c r="B18205" s="0" t="s">
        <v>24039</v>
      </c>
      <c r="E18205" s="0" t="inlineStr">
        <is>
          <t xml:space="preserve">Mazda</t>
        </is>
      </c>
      <c r="F18205" s="0" t="inlineStr">
        <is>
          <t xml:space="preserve">Mazda</t>
        </is>
      </c>
      <c r="G18205" s="0" t="s">
        <v>171</v>
      </c>
      <c r="H18205" s="5">
        <v>563.840000</v>
      </c>
    </row>
    <row r="18206" spans="1:9">
      <c r="A18206" s="22" t="str">
        <f>HYPERLINK("https://app.vivvix.com/360/KMI/IntelliDrive/ApplUI/Pages/CreativePages/CustomReportCreativeDetail.aspx?App=23&amp;ReportView=4&amp;Qid=1711279&amp;Row=18198&amp;Col=1","No Title Assigned - #15277284446")</f>
        <v/>
      </c>
      <c r="B18206" s="0" t="s">
        <v>24039</v>
      </c>
      <c r="E18206" s="0" t="inlineStr">
        <is>
          <t xml:space="preserve">Mazda</t>
        </is>
      </c>
      <c r="F18206" s="0" t="inlineStr">
        <is>
          <t xml:space="preserve">Mazda</t>
        </is>
      </c>
      <c r="G18206" s="0" t="s">
        <v>171</v>
      </c>
      <c r="H18206" s="5">
        <v>756.986500</v>
      </c>
    </row>
    <row r="18207" spans="1:9">
      <c r="A18207" s="22" t="str">
        <f>HYPERLINK("https://app.vivvix.com/360/KMI/IntelliDrive/ApplUI/Pages/CreativePages/CustomReportCreativeDetail.aspx?App=23&amp;ReportView=4&amp;Qid=1711279&amp;Row=18199&amp;Col=1","No Title Assigned - #15277284587")</f>
        <v/>
      </c>
      <c r="B18207" s="0" t="s">
        <v>24040</v>
      </c>
      <c r="E18207" s="0" t="inlineStr">
        <is>
          <t xml:space="preserve">Mazda</t>
        </is>
      </c>
      <c r="F18207" s="0" t="inlineStr">
        <is>
          <t xml:space="preserve">Mazda</t>
        </is>
      </c>
      <c r="G18207" s="0" t="s">
        <v>171</v>
      </c>
      <c r="H18207" s="5">
        <v>84.501800</v>
      </c>
    </row>
    <row r="18208" spans="1:9">
      <c r="A18208" s="22" t="str">
        <f>HYPERLINK("https://app.vivvix.com/360/KMI/IntelliDrive/ApplUI/Pages/CreativePages/CustomReportCreativeDetail.aspx?App=23&amp;ReportView=4&amp;Qid=1711279&amp;Row=18200&amp;Col=1","No Title Assigned - #15277284704")</f>
        <v/>
      </c>
      <c r="B18208" s="0" t="s">
        <v>24041</v>
      </c>
      <c r="E18208" s="0" t="inlineStr">
        <is>
          <t xml:space="preserve">Mazda</t>
        </is>
      </c>
      <c r="F18208" s="0" t="inlineStr">
        <is>
          <t xml:space="preserve">Mazda</t>
        </is>
      </c>
      <c r="G18208" s="0" t="s">
        <v>171</v>
      </c>
      <c r="H18208" s="5">
        <v>365.899100</v>
      </c>
    </row>
    <row r="18209" spans="1:9">
      <c r="A18209" s="22" t="str">
        <f>HYPERLINK("https://app.vivvix.com/360/KMI/IntelliDrive/ApplUI/Pages/CreativePages/CustomReportCreativeDetail.aspx?App=23&amp;ReportView=4&amp;Qid=1711279&amp;Row=18201&amp;Col=1","No Title Assigned - #15277284822")</f>
        <v/>
      </c>
      <c r="B18209" s="0" t="s">
        <v>24042</v>
      </c>
      <c r="E18209" s="0" t="inlineStr">
        <is>
          <t xml:space="preserve">Mazda</t>
        </is>
      </c>
      <c r="F18209" s="0" t="inlineStr">
        <is>
          <t xml:space="preserve">Mazda</t>
        </is>
      </c>
      <c r="G18209" s="0" t="s">
        <v>171</v>
      </c>
      <c r="H18209" s="5">
        <v>6169.880900</v>
      </c>
    </row>
    <row r="18210" spans="1:9">
      <c r="A18210" s="22" t="str">
        <f>HYPERLINK("https://app.vivvix.com/360/KMI/IntelliDrive/ApplUI/Pages/CreativePages/CustomReportCreativeDetail.aspx?App=23&amp;ReportView=4&amp;Qid=1711279&amp;Row=18202&amp;Col=1","No Title Assigned - #15277284902")</f>
        <v/>
      </c>
      <c r="B18210" s="0" t="s">
        <v>24043</v>
      </c>
      <c r="E18210" s="0" t="inlineStr">
        <is>
          <t xml:space="preserve">Mazda</t>
        </is>
      </c>
      <c r="F18210" s="0" t="inlineStr">
        <is>
          <t xml:space="preserve">Mazda</t>
        </is>
      </c>
      <c r="G18210" s="0" t="s">
        <v>171</v>
      </c>
      <c r="H18210" s="5">
        <v>70.218400</v>
      </c>
    </row>
    <row r="18211" spans="1:9">
      <c r="A18211" s="22" t="str">
        <f>HYPERLINK("https://app.vivvix.com/360/KMI/IntelliDrive/ApplUI/Pages/CreativePages/CustomReportCreativeDetail.aspx?App=23&amp;ReportView=4&amp;Qid=1711279&amp;Row=18203&amp;Col=1","No Title Assigned - #15277284935")</f>
        <v/>
      </c>
      <c r="B18211" s="0" t="s">
        <v>24044</v>
      </c>
      <c r="C18211" s="0" t="s">
        <v>24045</v>
      </c>
      <c r="D18211" s="0" t="s">
        <v>21331</v>
      </c>
      <c r="E18211" s="0" t="inlineStr">
        <is>
          <t xml:space="preserve">Mazda</t>
        </is>
      </c>
      <c r="F18211" s="0" t="s">
        <v>13</v>
      </c>
      <c r="G18211" s="0" t="s">
        <v>49</v>
      </c>
      <c r="H18211" s="5">
        <v>25.638900</v>
      </c>
    </row>
    <row r="18212" spans="1:9">
      <c r="A18212" s="22" t="str">
        <f>HYPERLINK("https://app.vivvix.com/360/KMI/IntelliDrive/ApplUI/Pages/CreativePages/CustomReportCreativeDetail.aspx?App=23&amp;ReportView=4&amp;Qid=1711279&amp;Row=18204&amp;Col=1","No Title Assigned - #15277285141")</f>
        <v/>
      </c>
      <c r="B18212" s="0" t="s">
        <v>24046</v>
      </c>
      <c r="E18212" s="0" t="inlineStr">
        <is>
          <t xml:space="preserve">Mazda</t>
        </is>
      </c>
      <c r="F18212" s="0" t="inlineStr">
        <is>
          <t xml:space="preserve">Mazda</t>
        </is>
      </c>
      <c r="G18212" s="0" t="s">
        <v>171</v>
      </c>
      <c r="H18212" s="5">
        <v>135.403200</v>
      </c>
    </row>
    <row r="18213" spans="1:9">
      <c r="A18213" s="22" t="str">
        <f>HYPERLINK("https://app.vivvix.com/360/KMI/IntelliDrive/ApplUI/Pages/CreativePages/CustomReportCreativeDetail.aspx?App=23&amp;ReportView=4&amp;Qid=1711279&amp;Row=18205&amp;Col=1","No Title Assigned - #15277285143")</f>
        <v/>
      </c>
      <c r="B18213" s="0" t="s">
        <v>24047</v>
      </c>
      <c r="E18213" s="0" t="inlineStr">
        <is>
          <t xml:space="preserve">Mazda</t>
        </is>
      </c>
      <c r="F18213" s="0" t="inlineStr">
        <is>
          <t xml:space="preserve">Mazda</t>
        </is>
      </c>
      <c r="G18213" s="0" t="s">
        <v>171</v>
      </c>
      <c r="H18213" s="5">
        <v>604.877400</v>
      </c>
    </row>
    <row r="18214" spans="1:9">
      <c r="A18214" s="22" t="str">
        <f>HYPERLINK("https://app.vivvix.com/360/KMI/IntelliDrive/ApplUI/Pages/CreativePages/CustomReportCreativeDetail.aspx?App=23&amp;ReportView=4&amp;Qid=1711279&amp;Row=18206&amp;Col=1","No Title Assigned - #15277285143")</f>
        <v/>
      </c>
      <c r="B18214" s="0" t="s">
        <v>24047</v>
      </c>
      <c r="E18214" s="0" t="inlineStr">
        <is>
          <t xml:space="preserve">Mazda</t>
        </is>
      </c>
      <c r="F18214" s="0" t="inlineStr">
        <is>
          <t xml:space="preserve">Mazda</t>
        </is>
      </c>
      <c r="G18214" s="0" t="s">
        <v>171</v>
      </c>
      <c r="H18214" s="5">
        <v>36.292000</v>
      </c>
    </row>
    <row r="18215" spans="1:9">
      <c r="A18215" s="22" t="str">
        <f>HYPERLINK("https://app.vivvix.com/360/KMI/IntelliDrive/ApplUI/Pages/CreativePages/CustomReportCreativeDetail.aspx?App=23&amp;ReportView=4&amp;Qid=1711279&amp;Row=18207&amp;Col=1","No Title Assigned - #15277285156")</f>
        <v/>
      </c>
      <c r="B18215" s="0" t="s">
        <v>24048</v>
      </c>
      <c r="E18215" s="0" t="inlineStr">
        <is>
          <t xml:space="preserve">Mazda</t>
        </is>
      </c>
      <c r="F18215" s="0" t="s">
        <v>204</v>
      </c>
      <c r="G18215" s="0" t="s">
        <v>205</v>
      </c>
      <c r="H18215" s="5">
        <v>106.872000</v>
      </c>
    </row>
    <row r="18216" spans="1:9">
      <c r="A18216" s="22" t="str">
        <f>HYPERLINK("https://app.vivvix.com/360/KMI/IntelliDrive/ApplUI/Pages/CreativePages/CustomReportCreativeDetail.aspx?App=23&amp;ReportView=4&amp;Qid=1711279&amp;Row=18208&amp;Col=1","No Title Assigned - #15277285157")</f>
        <v/>
      </c>
      <c r="B18216" s="0" t="s">
        <v>24049</v>
      </c>
      <c r="E18216" s="0" t="inlineStr">
        <is>
          <t xml:space="preserve">Mazda</t>
        </is>
      </c>
      <c r="F18216" s="0" t="inlineStr">
        <is>
          <t xml:space="preserve">Mazda</t>
        </is>
      </c>
      <c r="G18216" s="0" t="s">
        <v>171</v>
      </c>
      <c r="H18216" s="5">
        <v>84.501800</v>
      </c>
    </row>
    <row r="18217" spans="1:9">
      <c r="A18217" s="22" t="str">
        <f>HYPERLINK("https://app.vivvix.com/360/KMI/IntelliDrive/ApplUI/Pages/CreativePages/CustomReportCreativeDetail.aspx?App=23&amp;ReportView=4&amp;Qid=1711279&amp;Row=18209&amp;Col=1","No Title Assigned - #15277285208")</f>
        <v/>
      </c>
      <c r="B18217" s="0" t="s">
        <v>24050</v>
      </c>
      <c r="E18217" s="0" t="inlineStr">
        <is>
          <t xml:space="preserve">Mazda</t>
        </is>
      </c>
      <c r="F18217" s="0" t="inlineStr">
        <is>
          <t xml:space="preserve">Mazda</t>
        </is>
      </c>
      <c r="G18217" s="0" t="s">
        <v>171</v>
      </c>
      <c r="H18217" s="5">
        <v>1711.809800</v>
      </c>
    </row>
    <row r="18218" spans="1:9">
      <c r="A18218" s="22" t="str">
        <f>HYPERLINK("https://app.vivvix.com/360/KMI/IntelliDrive/ApplUI/Pages/CreativePages/CustomReportCreativeDetail.aspx?App=23&amp;ReportView=4&amp;Qid=1711279&amp;Row=18210&amp;Col=1","No Title Assigned - #15277285208")</f>
        <v/>
      </c>
      <c r="B18218" s="0" t="s">
        <v>24050</v>
      </c>
      <c r="E18218" s="0" t="inlineStr">
        <is>
          <t xml:space="preserve">Mazda</t>
        </is>
      </c>
      <c r="F18218" s="0" t="inlineStr">
        <is>
          <t xml:space="preserve">Mazda</t>
        </is>
      </c>
      <c r="G18218" s="0" t="s">
        <v>171</v>
      </c>
      <c r="H18218" s="5">
        <v>337.889500</v>
      </c>
    </row>
    <row r="18219" spans="1:9">
      <c r="A18219" s="22" t="str">
        <f>HYPERLINK("https://app.vivvix.com/360/KMI/IntelliDrive/ApplUI/Pages/CreativePages/CustomReportCreativeDetail.aspx?App=23&amp;ReportView=4&amp;Qid=1711279&amp;Row=18211&amp;Col=1","No Title Assigned - #15277285308")</f>
        <v/>
      </c>
      <c r="B18219" s="0" t="s">
        <v>24051</v>
      </c>
      <c r="E18219" s="0" t="inlineStr">
        <is>
          <t xml:space="preserve">Mazda</t>
        </is>
      </c>
      <c r="F18219" s="0" t="inlineStr">
        <is>
          <t xml:space="preserve">Mazda</t>
        </is>
      </c>
      <c r="G18219" s="0" t="s">
        <v>171</v>
      </c>
      <c r="H18219" s="5">
        <v>419.876900</v>
      </c>
    </row>
    <row r="18220" spans="1:9">
      <c r="A18220" s="22" t="str">
        <f>HYPERLINK("https://app.vivvix.com/360/KMI/IntelliDrive/ApplUI/Pages/CreativePages/CustomReportCreativeDetail.aspx?App=23&amp;ReportView=4&amp;Qid=1711279&amp;Row=18212&amp;Col=1","No Title Assigned - #15277285428")</f>
        <v/>
      </c>
      <c r="B18220" s="0" t="s">
        <v>24052</v>
      </c>
      <c r="E18220" s="0" t="inlineStr">
        <is>
          <t xml:space="preserve">Mazda</t>
        </is>
      </c>
      <c r="F18220" s="0" t="inlineStr">
        <is>
          <t xml:space="preserve">Mazda</t>
        </is>
      </c>
      <c r="G18220" s="0" t="s">
        <v>171</v>
      </c>
      <c r="H18220" s="5">
        <v>3473.229700</v>
      </c>
    </row>
    <row r="18221" spans="1:9">
      <c r="A18221" s="22" t="str">
        <f>HYPERLINK("https://app.vivvix.com/360/KMI/IntelliDrive/ApplUI/Pages/CreativePages/CustomReportCreativeDetail.aspx?App=23&amp;ReportView=4&amp;Qid=1711279&amp;Row=18213&amp;Col=1","No Title Assigned - #15277285428")</f>
        <v/>
      </c>
      <c r="B18221" s="0" t="s">
        <v>24052</v>
      </c>
      <c r="E18221" s="0" t="inlineStr">
        <is>
          <t xml:space="preserve">Mazda</t>
        </is>
      </c>
      <c r="F18221" s="0" t="inlineStr">
        <is>
          <t xml:space="preserve">Mazda</t>
        </is>
      </c>
      <c r="G18221" s="0" t="s">
        <v>171</v>
      </c>
      <c r="H18221" s="5">
        <v>898.413500</v>
      </c>
    </row>
    <row r="18222" spans="1:9">
      <c r="A18222" s="22" t="str">
        <f>HYPERLINK("https://app.vivvix.com/360/KMI/IntelliDrive/ApplUI/Pages/CreativePages/CustomReportCreativeDetail.aspx?App=23&amp;ReportView=4&amp;Qid=1711279&amp;Row=18214&amp;Col=1","No Title Assigned - #15277285468")</f>
        <v/>
      </c>
      <c r="B18222" s="0" t="s">
        <v>24053</v>
      </c>
      <c r="C18222" s="0" t="s">
        <v>24054</v>
      </c>
      <c r="D18222" s="0" t="s">
        <v>21331</v>
      </c>
      <c r="E18222" s="0" t="inlineStr">
        <is>
          <t xml:space="preserve">Mazda</t>
        </is>
      </c>
      <c r="F18222" s="0" t="s">
        <v>13</v>
      </c>
      <c r="G18222" s="0" t="s">
        <v>49</v>
      </c>
      <c r="H18222" s="5">
        <v>33.115400</v>
      </c>
    </row>
    <row r="18223" spans="1:9">
      <c r="A18223" s="22" t="str">
        <f>HYPERLINK("https://app.vivvix.com/360/KMI/IntelliDrive/ApplUI/Pages/CreativePages/CustomReportCreativeDetail.aspx?App=23&amp;ReportView=4&amp;Qid=1711279&amp;Row=18215&amp;Col=1","No Title Assigned - #15277285682")</f>
        <v/>
      </c>
      <c r="B18223" s="0" t="s">
        <v>24055</v>
      </c>
      <c r="E18223" s="0" t="inlineStr">
        <is>
          <t xml:space="preserve">Mazda</t>
        </is>
      </c>
      <c r="F18223" s="0" t="inlineStr">
        <is>
          <t xml:space="preserve">Mazda</t>
        </is>
      </c>
      <c r="G18223" s="0" t="s">
        <v>171</v>
      </c>
      <c r="H18223" s="5">
        <v>6.136900</v>
      </c>
    </row>
    <row r="18224" spans="1:9">
      <c r="A18224" s="22" t="str">
        <f>HYPERLINK("https://app.vivvix.com/360/KMI/IntelliDrive/ApplUI/Pages/CreativePages/CustomReportCreativeDetail.aspx?App=23&amp;ReportView=4&amp;Qid=1711279&amp;Row=18216&amp;Col=1","No Title Assigned - #15277285771")</f>
        <v/>
      </c>
      <c r="B18224" s="0" t="s">
        <v>24056</v>
      </c>
      <c r="E18224" s="0" t="inlineStr">
        <is>
          <t xml:space="preserve">Mazda</t>
        </is>
      </c>
      <c r="F18224" s="0" t="inlineStr">
        <is>
          <t xml:space="preserve">Mazda</t>
        </is>
      </c>
      <c r="G18224" s="0" t="s">
        <v>171</v>
      </c>
      <c r="H18224" s="5">
        <v>97.549100</v>
      </c>
    </row>
    <row r="18225" spans="1:9">
      <c r="A18225" s="22" t="str">
        <f>HYPERLINK("https://app.vivvix.com/360/KMI/IntelliDrive/ApplUI/Pages/CreativePages/CustomReportCreativeDetail.aspx?App=23&amp;ReportView=4&amp;Qid=1711279&amp;Row=18217&amp;Col=1","No Title Assigned - #15277285823")</f>
        <v/>
      </c>
      <c r="B18225" s="0" t="s">
        <v>24057</v>
      </c>
      <c r="E18225" s="0" t="inlineStr">
        <is>
          <t xml:space="preserve">Mazda</t>
        </is>
      </c>
      <c r="F18225" s="0" t="inlineStr">
        <is>
          <t xml:space="preserve">Mazda</t>
        </is>
      </c>
      <c r="G18225" s="0" t="s">
        <v>171</v>
      </c>
      <c r="H18225" s="5">
        <v>6.647800</v>
      </c>
    </row>
    <row r="18226" spans="1:9">
      <c r="A18226" s="22" t="str">
        <f>HYPERLINK("https://app.vivvix.com/360/KMI/IntelliDrive/ApplUI/Pages/CreativePages/CustomReportCreativeDetail.aspx?App=23&amp;ReportView=4&amp;Qid=1711279&amp;Row=18218&amp;Col=1","No Title Assigned - #15277285859")</f>
        <v/>
      </c>
      <c r="B18226" s="0" t="s">
        <v>24058</v>
      </c>
      <c r="E18226" s="0" t="inlineStr">
        <is>
          <t xml:space="preserve">Mazda</t>
        </is>
      </c>
      <c r="F18226" s="0" t="inlineStr">
        <is>
          <t xml:space="preserve">Mazda</t>
        </is>
      </c>
      <c r="G18226" s="0" t="s">
        <v>171</v>
      </c>
      <c r="H18226" s="5">
        <v>80.443900</v>
      </c>
    </row>
    <row r="18227" spans="1:9">
      <c r="A18227" s="22" t="str">
        <f>HYPERLINK("https://app.vivvix.com/360/KMI/IntelliDrive/ApplUI/Pages/CreativePages/CustomReportCreativeDetail.aspx?App=23&amp;ReportView=4&amp;Qid=1711279&amp;Row=18219&amp;Col=1","No Title Assigned - #15277285963")</f>
        <v/>
      </c>
      <c r="B18227" s="0" t="s">
        <v>24059</v>
      </c>
      <c r="E18227" s="0" t="inlineStr">
        <is>
          <t xml:space="preserve">Mazda</t>
        </is>
      </c>
      <c r="F18227" s="0" t="inlineStr">
        <is>
          <t xml:space="preserve">Mazda</t>
        </is>
      </c>
      <c r="G18227" s="0" t="s">
        <v>171</v>
      </c>
      <c r="H18227" s="5">
        <v>23.320100</v>
      </c>
    </row>
    <row r="18228" spans="1:9">
      <c r="A18228" s="22" t="str">
        <f>HYPERLINK("https://app.vivvix.com/360/KMI/IntelliDrive/ApplUI/Pages/CreativePages/CustomReportCreativeDetail.aspx?App=23&amp;ReportView=4&amp;Qid=1711279&amp;Row=18220&amp;Col=1","No Title Assigned - #15277286732")</f>
        <v/>
      </c>
      <c r="B18228" s="0" t="s">
        <v>24060</v>
      </c>
      <c r="E18228" s="0" t="inlineStr">
        <is>
          <t xml:space="preserve">Mazda</t>
        </is>
      </c>
      <c r="F18228" s="0" t="inlineStr">
        <is>
          <t xml:space="preserve">Mazda</t>
        </is>
      </c>
      <c r="G18228" s="0" t="s">
        <v>171</v>
      </c>
      <c r="H18228" s="5">
        <v>695.766900</v>
      </c>
    </row>
    <row r="18229" spans="1:9">
      <c r="A18229" s="22" t="str">
        <f>HYPERLINK("https://app.vivvix.com/360/KMI/IntelliDrive/ApplUI/Pages/CreativePages/CustomReportCreativeDetail.aspx?App=23&amp;ReportView=4&amp;Qid=1711279&amp;Row=18221&amp;Col=1","No Title Assigned - #15277289745")</f>
        <v/>
      </c>
      <c r="B18229" s="0" t="s">
        <v>24061</v>
      </c>
      <c r="E18229" s="0" t="inlineStr">
        <is>
          <t xml:space="preserve">Mazda</t>
        </is>
      </c>
      <c r="F18229" s="0" t="inlineStr">
        <is>
          <t xml:space="preserve">Mazda</t>
        </is>
      </c>
      <c r="G18229" s="0" t="s">
        <v>171</v>
      </c>
      <c r="H18229" s="5">
        <v>17.108400</v>
      </c>
    </row>
    <row r="18230" spans="1:9">
      <c r="A18230" s="22" t="str">
        <f>HYPERLINK("https://app.vivvix.com/360/KMI/IntelliDrive/ApplUI/Pages/CreativePages/CustomReportCreativeDetail.aspx?App=23&amp;ReportView=4&amp;Qid=1711279&amp;Row=18222&amp;Col=1","No Title Assigned - #15277290138")</f>
        <v/>
      </c>
      <c r="B18230" s="0" t="s">
        <v>24062</v>
      </c>
      <c r="E18230" s="0" t="inlineStr">
        <is>
          <t xml:space="preserve">Mazda</t>
        </is>
      </c>
      <c r="F18230" s="0" t="inlineStr">
        <is>
          <t xml:space="preserve">Mazda</t>
        </is>
      </c>
      <c r="G18230" s="0" t="s">
        <v>171</v>
      </c>
      <c r="H18230" s="5">
        <v>911.440300</v>
      </c>
    </row>
    <row r="18231" spans="1:9">
      <c r="A18231" s="22" t="str">
        <f>HYPERLINK("https://app.vivvix.com/360/KMI/IntelliDrive/ApplUI/Pages/CreativePages/CustomReportCreativeDetail.aspx?App=23&amp;ReportView=4&amp;Qid=1711279&amp;Row=18223&amp;Col=1","No Title Assigned - #15277295073")</f>
        <v/>
      </c>
      <c r="B18231" s="0" t="s">
        <v>24063</v>
      </c>
      <c r="E18231" s="0" t="inlineStr">
        <is>
          <t xml:space="preserve">Mazda</t>
        </is>
      </c>
      <c r="F18231" s="0" t="inlineStr">
        <is>
          <t xml:space="preserve">Mazda</t>
        </is>
      </c>
      <c r="G18231" s="0" t="s">
        <v>171</v>
      </c>
      <c r="H18231" s="5">
        <v>859.138800</v>
      </c>
    </row>
    <row r="18232" spans="1:9">
      <c r="A18232" s="22" t="str">
        <f>HYPERLINK("https://app.vivvix.com/360/KMI/IntelliDrive/ApplUI/Pages/CreativePages/CustomReportCreativeDetail.aspx?App=23&amp;ReportView=4&amp;Qid=1711279&amp;Row=18224&amp;Col=1","No Title Assigned - #15277297897")</f>
        <v/>
      </c>
      <c r="B18232" s="0" t="s">
        <v>24064</v>
      </c>
      <c r="E18232" s="0" t="inlineStr">
        <is>
          <t xml:space="preserve">Mazda</t>
        </is>
      </c>
      <c r="F18232" s="0" t="inlineStr">
        <is>
          <t xml:space="preserve">Mazda</t>
        </is>
      </c>
      <c r="G18232" s="0" t="s">
        <v>171</v>
      </c>
      <c r="H18232" s="5">
        <v>133.486400</v>
      </c>
    </row>
    <row r="18233" spans="1:9">
      <c r="A18233" s="22" t="str">
        <f>HYPERLINK("https://app.vivvix.com/360/KMI/IntelliDrive/ApplUI/Pages/CreativePages/CustomReportCreativeDetail.aspx?App=23&amp;ReportView=4&amp;Qid=1711279&amp;Row=18225&amp;Col=1","No Title Assigned - #15277298213")</f>
        <v/>
      </c>
      <c r="B18233" s="0" t="s">
        <v>24065</v>
      </c>
      <c r="C18233" s="0" t="s">
        <v>24066</v>
      </c>
      <c r="D18233" s="0" t="s">
        <v>24066</v>
      </c>
      <c r="E18233" s="0" t="inlineStr">
        <is>
          <t xml:space="preserve">Mazda</t>
        </is>
      </c>
      <c r="F18233" s="0" t="s">
        <v>13</v>
      </c>
      <c r="G18233" s="0" t="s">
        <v>49</v>
      </c>
      <c r="H18233" s="5">
        <v>427.240900</v>
      </c>
    </row>
    <row r="18234" spans="1:9">
      <c r="A18234" s="22" t="str">
        <f>HYPERLINK("https://app.vivvix.com/360/KMI/IntelliDrive/ApplUI/Pages/CreativePages/CustomReportCreativeDetail.aspx?App=23&amp;ReportView=4&amp;Qid=1711279&amp;Row=18226&amp;Col=1","No Title Assigned - #15277305301")</f>
        <v/>
      </c>
      <c r="B18234" s="0" t="s">
        <v>24067</v>
      </c>
      <c r="C18234" s="0" t="s">
        <v>24068</v>
      </c>
      <c r="D18234" s="0" t="s">
        <v>8588</v>
      </c>
      <c r="E18234" s="0" t="inlineStr">
        <is>
          <t xml:space="preserve">Mazda</t>
        </is>
      </c>
      <c r="F18234" s="0" t="s">
        <v>13</v>
      </c>
      <c r="G18234" s="0" t="s">
        <v>49</v>
      </c>
      <c r="H18234" s="5">
        <v>12.826200</v>
      </c>
    </row>
    <row r="18235" spans="1:9">
      <c r="A18235" s="22" t="str">
        <f>HYPERLINK("https://app.vivvix.com/360/KMI/IntelliDrive/ApplUI/Pages/CreativePages/CustomReportCreativeDetail.aspx?App=23&amp;ReportView=4&amp;Qid=1711279&amp;Row=18227&amp;Col=1","No Title Assigned - #15277307646")</f>
        <v/>
      </c>
      <c r="B18235" s="0" t="s">
        <v>24069</v>
      </c>
      <c r="C18235" s="0" t="s">
        <v>24070</v>
      </c>
      <c r="D18235" s="0" t="s">
        <v>24070</v>
      </c>
      <c r="E18235" s="0" t="inlineStr">
        <is>
          <t xml:space="preserve">Mazda</t>
        </is>
      </c>
      <c r="F18235" s="0" t="s">
        <v>13</v>
      </c>
      <c r="G18235" s="0" t="s">
        <v>49</v>
      </c>
      <c r="H18235" s="5">
        <v>0.588400</v>
      </c>
    </row>
    <row r="18236" spans="1:9">
      <c r="A18236" s="22" t="str">
        <f>HYPERLINK("https://app.vivvix.com/360/KMI/IntelliDrive/ApplUI/Pages/CreativePages/CustomReportCreativeDetail.aspx?App=23&amp;ReportView=4&amp;Qid=1711279&amp;Row=18228&amp;Col=1","No Title Assigned - #15277308865")</f>
        <v/>
      </c>
      <c r="B18236" s="0" t="s">
        <v>24071</v>
      </c>
      <c r="C18236" s="0" t="s">
        <v>24072</v>
      </c>
      <c r="D18236" s="0" t="s">
        <v>24072</v>
      </c>
      <c r="E18236" s="0" t="inlineStr">
        <is>
          <t xml:space="preserve">Mazda</t>
        </is>
      </c>
      <c r="F18236" s="0" t="s">
        <v>13</v>
      </c>
      <c r="G18236" s="0" t="s">
        <v>49</v>
      </c>
      <c r="H18236" s="5">
        <v>40.845000</v>
      </c>
    </row>
    <row r="18237" spans="1:9">
      <c r="A18237" s="22" t="str">
        <f>HYPERLINK("https://app.vivvix.com/360/KMI/IntelliDrive/ApplUI/Pages/CreativePages/CustomReportCreativeDetail.aspx?App=23&amp;ReportView=4&amp;Qid=1711279&amp;Row=18229&amp;Col=1","No Title Assigned - #15277310014")</f>
        <v/>
      </c>
      <c r="B18237" s="0" t="s">
        <v>24073</v>
      </c>
      <c r="C18237" s="0" t="s">
        <v>24074</v>
      </c>
      <c r="D18237" s="0" t="s">
        <v>24074</v>
      </c>
      <c r="E18237" s="0" t="inlineStr">
        <is>
          <t xml:space="preserve">Mazda</t>
        </is>
      </c>
      <c r="F18237" s="0" t="s">
        <v>13</v>
      </c>
      <c r="G18237" s="0" t="s">
        <v>49</v>
      </c>
      <c r="H18237" s="5">
        <v>968.958300</v>
      </c>
    </row>
    <row r="18238" spans="1:9">
      <c r="A18238" s="22" t="str">
        <f>HYPERLINK("https://app.vivvix.com/360/KMI/IntelliDrive/ApplUI/Pages/CreativePages/CustomReportCreativeDetail.aspx?App=23&amp;ReportView=4&amp;Qid=1711279&amp;Row=18230&amp;Col=1","No Title Assigned - #15277314098")</f>
        <v/>
      </c>
      <c r="B18238" s="0" t="s">
        <v>24075</v>
      </c>
      <c r="C18238" s="0" t="s">
        <v>24076</v>
      </c>
      <c r="D18238" s="0" t="s">
        <v>9699</v>
      </c>
      <c r="E18238" s="0" t="inlineStr">
        <is>
          <t xml:space="preserve">Mazda</t>
        </is>
      </c>
      <c r="F18238" s="0" t="s">
        <v>13</v>
      </c>
      <c r="G18238" s="0" t="s">
        <v>49</v>
      </c>
      <c r="H18238" s="5">
        <v>64.119900</v>
      </c>
    </row>
    <row r="18239" spans="1:9">
      <c r="A18239" s="22" t="str">
        <f>HYPERLINK("https://app.vivvix.com/360/KMI/IntelliDrive/ApplUI/Pages/CreativePages/CustomReportCreativeDetail.aspx?App=23&amp;ReportView=4&amp;Qid=1711279&amp;Row=18231&amp;Col=1","No Title Assigned - #15277314288")</f>
        <v/>
      </c>
      <c r="B18239" s="0" t="s">
        <v>24077</v>
      </c>
      <c r="C18239" s="0" t="s">
        <v>24078</v>
      </c>
      <c r="D18239" s="0" t="s">
        <v>10004</v>
      </c>
      <c r="E18239" s="0" t="inlineStr">
        <is>
          <t xml:space="preserve">Mazda</t>
        </is>
      </c>
      <c r="F18239" s="0" t="s">
        <v>13</v>
      </c>
      <c r="G18239" s="0" t="s">
        <v>49</v>
      </c>
      <c r="H18239" s="5">
        <v>414.823400</v>
      </c>
    </row>
    <row r="18240" spans="1:9">
      <c r="A18240" s="22" t="str">
        <f>HYPERLINK("https://app.vivvix.com/360/KMI/IntelliDrive/ApplUI/Pages/CreativePages/CustomReportCreativeDetail.aspx?App=23&amp;ReportView=4&amp;Qid=1711279&amp;Row=18232&amp;Col=1","No Title Assigned - #15277330897")</f>
        <v/>
      </c>
      <c r="B18240" s="0" t="s">
        <v>24079</v>
      </c>
      <c r="E18240" s="0" t="inlineStr">
        <is>
          <t xml:space="preserve">Mazda</t>
        </is>
      </c>
      <c r="F18240" s="0" t="s">
        <v>13</v>
      </c>
      <c r="G18240" s="0" t="s">
        <v>49</v>
      </c>
      <c r="H18240" s="5">
        <v>7914.360100</v>
      </c>
    </row>
    <row r="18241" spans="1:9">
      <c r="A18241" s="22" t="str">
        <f>HYPERLINK("https://app.vivvix.com/360/KMI/IntelliDrive/ApplUI/Pages/CreativePages/CustomReportCreativeDetail.aspx?App=23&amp;ReportView=4&amp;Qid=1711279&amp;Row=18233&amp;Col=1","No Title Assigned - #15277330897")</f>
        <v/>
      </c>
      <c r="B18241" s="0" t="s">
        <v>24079</v>
      </c>
      <c r="C18241" s="0" t="s">
        <v>24080</v>
      </c>
      <c r="D18241" s="0" t="s">
        <v>24080</v>
      </c>
      <c r="E18241" s="0" t="inlineStr">
        <is>
          <t xml:space="preserve">Mazda</t>
        </is>
      </c>
      <c r="F18241" s="0" t="s">
        <v>13</v>
      </c>
      <c r="G18241" s="0" t="s">
        <v>49</v>
      </c>
      <c r="H18241" s="5">
        <v>2958.219800</v>
      </c>
    </row>
    <row r="18242" spans="1:9">
      <c r="A18242" s="22" t="str">
        <f>HYPERLINK("https://app.vivvix.com/360/KMI/IntelliDrive/ApplUI/Pages/CreativePages/CustomReportCreativeDetail.aspx?App=23&amp;ReportView=4&amp;Qid=1711279&amp;Row=18234&amp;Col=1","No Title Assigned - #15277332928")</f>
        <v/>
      </c>
      <c r="B18242" s="0" t="s">
        <v>24081</v>
      </c>
      <c r="C18242" s="0" t="s">
        <v>24082</v>
      </c>
      <c r="D18242" s="0" t="s">
        <v>24082</v>
      </c>
      <c r="E18242" s="0" t="inlineStr">
        <is>
          <t xml:space="preserve">Mazda</t>
        </is>
      </c>
      <c r="F18242" s="0" t="s">
        <v>13</v>
      </c>
      <c r="G18242" s="0" t="s">
        <v>49</v>
      </c>
      <c r="H18242" s="5">
        <v>167.010500</v>
      </c>
    </row>
    <row r="18243" spans="1:9">
      <c r="A18243" s="22" t="str">
        <f>HYPERLINK("https://app.vivvix.com/360/KMI/IntelliDrive/ApplUI/Pages/CreativePages/CustomReportCreativeDetail.aspx?App=23&amp;ReportView=4&amp;Qid=1711279&amp;Row=18235&amp;Col=1","No Title Assigned - #15277333222")</f>
        <v/>
      </c>
      <c r="B18243" s="0" t="s">
        <v>24083</v>
      </c>
      <c r="C18243" s="0" t="s">
        <v>24084</v>
      </c>
      <c r="D18243" s="0" t="s">
        <v>24084</v>
      </c>
      <c r="E18243" s="0" t="inlineStr">
        <is>
          <t xml:space="preserve">Mazda</t>
        </is>
      </c>
      <c r="F18243" s="0" t="s">
        <v>13</v>
      </c>
      <c r="G18243" s="0" t="s">
        <v>49</v>
      </c>
      <c r="H18243" s="5">
        <v>145.320000</v>
      </c>
    </row>
    <row r="18244" spans="1:9">
      <c r="A18244" s="22" t="str">
        <f>HYPERLINK("https://app.vivvix.com/360/KMI/IntelliDrive/ApplUI/Pages/CreativePages/CustomReportCreativeDetail.aspx?App=23&amp;ReportView=4&amp;Qid=1711279&amp;Row=18236&amp;Col=1","No Title Assigned - #15277334741")</f>
        <v/>
      </c>
      <c r="B18244" s="0" t="s">
        <v>24085</v>
      </c>
      <c r="C18244" s="0" t="s">
        <v>24086</v>
      </c>
      <c r="D18244" s="0" t="s">
        <v>24086</v>
      </c>
      <c r="E18244" s="0" t="inlineStr">
        <is>
          <t xml:space="preserve">Mazda</t>
        </is>
      </c>
      <c r="F18244" s="0" t="s">
        <v>13</v>
      </c>
      <c r="G18244" s="0" t="s">
        <v>49</v>
      </c>
      <c r="H18244" s="5">
        <v>2853.828100</v>
      </c>
    </row>
    <row r="18245" spans="1:9">
      <c r="A18245" s="22" t="str">
        <f>HYPERLINK("https://app.vivvix.com/360/KMI/IntelliDrive/ApplUI/Pages/CreativePages/CustomReportCreativeDetail.aspx?App=23&amp;ReportView=4&amp;Qid=1711279&amp;Row=18237&amp;Col=1","No Title Assigned - #15277335263")</f>
        <v/>
      </c>
      <c r="B18245" s="0" t="s">
        <v>24087</v>
      </c>
      <c r="C18245" s="0" t="s">
        <v>24088</v>
      </c>
      <c r="D18245" s="0" t="s">
        <v>24088</v>
      </c>
      <c r="E18245" s="0" t="inlineStr">
        <is>
          <t xml:space="preserve">Mazda</t>
        </is>
      </c>
      <c r="F18245" s="0" t="s">
        <v>13</v>
      </c>
      <c r="G18245" s="0" t="s">
        <v>49</v>
      </c>
      <c r="H18245" s="5">
        <v>119.360500</v>
      </c>
    </row>
    <row r="18246" spans="1:9">
      <c r="A18246" s="22" t="str">
        <f>HYPERLINK("https://app.vivvix.com/360/KMI/IntelliDrive/ApplUI/Pages/CreativePages/CustomReportCreativeDetail.aspx?App=23&amp;ReportView=4&amp;Qid=1711279&amp;Row=18238&amp;Col=1","No Title Assigned - #15277335482")</f>
        <v/>
      </c>
      <c r="B18246" s="0" t="s">
        <v>24089</v>
      </c>
      <c r="E18246" s="0" t="inlineStr">
        <is>
          <t xml:space="preserve">Mazda</t>
        </is>
      </c>
      <c r="F18246" s="0" t="inlineStr">
        <is>
          <t xml:space="preserve">Mazda</t>
        </is>
      </c>
      <c r="G18246" s="0" t="s">
        <v>171</v>
      </c>
      <c r="H18246" s="5">
        <v>7673.869700</v>
      </c>
    </row>
    <row r="18247" spans="1:9">
      <c r="A18247" s="22" t="str">
        <f>HYPERLINK("https://app.vivvix.com/360/KMI/IntelliDrive/ApplUI/Pages/CreativePages/CustomReportCreativeDetail.aspx?App=23&amp;ReportView=4&amp;Qid=1711279&amp;Row=18239&amp;Col=1","No Title Assigned - #15277337462")</f>
        <v/>
      </c>
      <c r="B18247" s="0" t="s">
        <v>24090</v>
      </c>
      <c r="C18247" s="0" t="s">
        <v>24091</v>
      </c>
      <c r="D18247" s="0" t="s">
        <v>24091</v>
      </c>
      <c r="E18247" s="0" t="inlineStr">
        <is>
          <t xml:space="preserve">Mazda</t>
        </is>
      </c>
      <c r="F18247" s="0" t="s">
        <v>13</v>
      </c>
      <c r="G18247" s="0" t="s">
        <v>49</v>
      </c>
      <c r="H18247" s="5">
        <v>1146.942600</v>
      </c>
    </row>
    <row r="18248" spans="1:9">
      <c r="A18248" s="22" t="str">
        <f>HYPERLINK("https://app.vivvix.com/360/KMI/IntelliDrive/ApplUI/Pages/CreativePages/CustomReportCreativeDetail.aspx?App=23&amp;ReportView=4&amp;Qid=1711279&amp;Row=18240&amp;Col=1","No Title Assigned - #15277337536")</f>
        <v/>
      </c>
      <c r="B18248" s="0" t="s">
        <v>24092</v>
      </c>
      <c r="E18248" s="0" t="inlineStr">
        <is>
          <t xml:space="preserve">Mazda</t>
        </is>
      </c>
      <c r="F18248" s="0" t="inlineStr">
        <is>
          <t xml:space="preserve">Mazda</t>
        </is>
      </c>
      <c r="G18248" s="0" t="s">
        <v>171</v>
      </c>
      <c r="H18248" s="5">
        <v>443.061000</v>
      </c>
    </row>
    <row r="18249" spans="1:9">
      <c r="A18249" s="22" t="str">
        <f>HYPERLINK("https://app.vivvix.com/360/KMI/IntelliDrive/ApplUI/Pages/CreativePages/CustomReportCreativeDetail.aspx?App=23&amp;ReportView=4&amp;Qid=1711279&amp;Row=18241&amp;Col=1","No Title Assigned - #15277338086")</f>
        <v/>
      </c>
      <c r="B18249" s="0" t="s">
        <v>24093</v>
      </c>
      <c r="C18249" s="0" t="s">
        <v>24094</v>
      </c>
      <c r="D18249" s="0" t="s">
        <v>24094</v>
      </c>
      <c r="E18249" s="0" t="inlineStr">
        <is>
          <t xml:space="preserve">Mazda</t>
        </is>
      </c>
      <c r="F18249" s="0" t="s">
        <v>13</v>
      </c>
      <c r="G18249" s="0" t="s">
        <v>49</v>
      </c>
      <c r="H18249" s="5">
        <v>1902.277300</v>
      </c>
    </row>
    <row r="18250" spans="1:9">
      <c r="A18250" s="22" t="str">
        <f>HYPERLINK("https://app.vivvix.com/360/KMI/IntelliDrive/ApplUI/Pages/CreativePages/CustomReportCreativeDetail.aspx?App=23&amp;ReportView=4&amp;Qid=1711279&amp;Row=18242&amp;Col=1","No Title Assigned - #15277339158")</f>
        <v/>
      </c>
      <c r="B18250" s="0" t="s">
        <v>24095</v>
      </c>
      <c r="C18250" s="0" t="s">
        <v>24096</v>
      </c>
      <c r="D18250" s="0" t="s">
        <v>24096</v>
      </c>
      <c r="E18250" s="0" t="inlineStr">
        <is>
          <t xml:space="preserve">Mazda</t>
        </is>
      </c>
      <c r="F18250" s="0" t="s">
        <v>13</v>
      </c>
      <c r="G18250" s="0" t="s">
        <v>49</v>
      </c>
      <c r="H18250" s="5">
        <v>11.719000</v>
      </c>
    </row>
    <row r="18251" spans="1:9">
      <c r="A18251" s="22" t="str">
        <f>HYPERLINK("https://app.vivvix.com/360/KMI/IntelliDrive/ApplUI/Pages/CreativePages/CustomReportCreativeDetail.aspx?App=23&amp;ReportView=4&amp;Qid=1711279&amp;Row=18243&amp;Col=1","No Title Assigned - #15277342476")</f>
        <v/>
      </c>
      <c r="B18251" s="0" t="s">
        <v>24097</v>
      </c>
      <c r="E18251" s="0" t="inlineStr">
        <is>
          <t xml:space="preserve">Mazda</t>
        </is>
      </c>
      <c r="F18251" s="0" t="inlineStr">
        <is>
          <t xml:space="preserve">Mazda</t>
        </is>
      </c>
      <c r="G18251" s="0" t="s">
        <v>171</v>
      </c>
      <c r="H18251" s="5">
        <v>17.108400</v>
      </c>
    </row>
    <row r="18252" spans="1:9">
      <c r="A18252" s="22" t="str">
        <f>HYPERLINK("https://app.vivvix.com/360/KMI/IntelliDrive/ApplUI/Pages/CreativePages/CustomReportCreativeDetail.aspx?App=23&amp;ReportView=4&amp;Qid=1711279&amp;Row=18244&amp;Col=1","No Title Assigned - #15277343735")</f>
        <v/>
      </c>
      <c r="B18252" s="0" t="s">
        <v>24098</v>
      </c>
      <c r="E18252" s="0" t="inlineStr">
        <is>
          <t xml:space="preserve">Mazda</t>
        </is>
      </c>
      <c r="F18252" s="0" t="inlineStr">
        <is>
          <t xml:space="preserve">Mazda</t>
        </is>
      </c>
      <c r="G18252" s="0" t="s">
        <v>171</v>
      </c>
      <c r="H18252" s="5">
        <v>5737.696800</v>
      </c>
    </row>
    <row r="18253" spans="1:9">
      <c r="A18253" s="22" t="str">
        <f>HYPERLINK("https://app.vivvix.com/360/KMI/IntelliDrive/ApplUI/Pages/CreativePages/CustomReportCreativeDetail.aspx?App=23&amp;ReportView=4&amp;Qid=1711279&amp;Row=18245&amp;Col=1","No Title Assigned - #15277344655")</f>
        <v/>
      </c>
      <c r="B18253" s="0" t="s">
        <v>24099</v>
      </c>
      <c r="E18253" s="0" t="inlineStr">
        <is>
          <t xml:space="preserve">Mazda</t>
        </is>
      </c>
      <c r="F18253" s="0" t="inlineStr">
        <is>
          <t xml:space="preserve">Mazda</t>
        </is>
      </c>
      <c r="G18253" s="0" t="s">
        <v>171</v>
      </c>
      <c r="H18253" s="5">
        <v>2875.352100</v>
      </c>
    </row>
    <row r="18254" spans="1:9">
      <c r="A18254" s="22" t="str">
        <f>HYPERLINK("https://app.vivvix.com/360/KMI/IntelliDrive/ApplUI/Pages/CreativePages/CustomReportCreativeDetail.aspx?App=23&amp;ReportView=4&amp;Qid=1711279&amp;Row=18246&amp;Col=1","No Title Assigned - #15277344721")</f>
        <v/>
      </c>
      <c r="B18254" s="0" t="s">
        <v>24100</v>
      </c>
      <c r="E18254" s="0" t="inlineStr">
        <is>
          <t xml:space="preserve">Mazda</t>
        </is>
      </c>
      <c r="F18254" s="0" t="inlineStr">
        <is>
          <t xml:space="preserve">Mazda</t>
        </is>
      </c>
      <c r="G18254" s="0" t="s">
        <v>171</v>
      </c>
      <c r="H18254" s="5">
        <v>3.334400</v>
      </c>
    </row>
    <row r="18255" spans="1:9">
      <c r="A18255" s="22" t="str">
        <f>HYPERLINK("https://app.vivvix.com/360/KMI/IntelliDrive/ApplUI/Pages/CreativePages/CustomReportCreativeDetail.aspx?App=23&amp;ReportView=4&amp;Qid=1711279&amp;Row=18247&amp;Col=1","No Title Assigned - #15277345351")</f>
        <v/>
      </c>
      <c r="B18255" s="0" t="s">
        <v>24101</v>
      </c>
      <c r="E18255" s="0" t="inlineStr">
        <is>
          <t xml:space="preserve">Mazda</t>
        </is>
      </c>
      <c r="F18255" s="0" t="inlineStr">
        <is>
          <t xml:space="preserve">Mazda</t>
        </is>
      </c>
      <c r="G18255" s="0" t="s">
        <v>171</v>
      </c>
      <c r="H18255" s="5">
        <v>3.283400</v>
      </c>
    </row>
    <row r="18256" spans="1:9">
      <c r="A18256" s="22" t="str">
        <f>HYPERLINK("https://app.vivvix.com/360/KMI/IntelliDrive/ApplUI/Pages/CreativePages/CustomReportCreativeDetail.aspx?App=23&amp;ReportView=4&amp;Qid=1711279&amp;Row=18248&amp;Col=1","No Title Assigned - #15277345601")</f>
        <v/>
      </c>
      <c r="B18256" s="0" t="s">
        <v>24102</v>
      </c>
      <c r="E18256" s="0" t="inlineStr">
        <is>
          <t xml:space="preserve">Mazda</t>
        </is>
      </c>
      <c r="F18256" s="0" t="inlineStr">
        <is>
          <t xml:space="preserve">Mazda</t>
        </is>
      </c>
      <c r="G18256" s="0" t="s">
        <v>171</v>
      </c>
      <c r="H18256" s="5">
        <v>177.917100</v>
      </c>
    </row>
    <row r="18257" spans="1:9">
      <c r="A18257" s="22" t="str">
        <f>HYPERLINK("https://app.vivvix.com/360/KMI/IntelliDrive/ApplUI/Pages/CreativePages/CustomReportCreativeDetail.aspx?App=23&amp;ReportView=4&amp;Qid=1711279&amp;Row=18249&amp;Col=1","No Title Assigned - #15277345937")</f>
        <v/>
      </c>
      <c r="B18257" s="0" t="s">
        <v>24103</v>
      </c>
      <c r="E18257" s="0" t="inlineStr">
        <is>
          <t xml:space="preserve">Mazda</t>
        </is>
      </c>
      <c r="F18257" s="0" t="inlineStr">
        <is>
          <t xml:space="preserve">Mazda</t>
        </is>
      </c>
      <c r="G18257" s="0" t="s">
        <v>171</v>
      </c>
      <c r="H18257" s="5">
        <v>218.260400</v>
      </c>
    </row>
    <row r="18258" spans="1:9">
      <c r="A18258" s="22" t="str">
        <f>HYPERLINK("https://app.vivvix.com/360/KMI/IntelliDrive/ApplUI/Pages/CreativePages/CustomReportCreativeDetail.aspx?App=23&amp;ReportView=4&amp;Qid=1711279&amp;Row=18250&amp;Col=1","No Title Assigned - #15277346905")</f>
        <v/>
      </c>
      <c r="B18258" s="0" t="s">
        <v>24104</v>
      </c>
      <c r="E18258" s="0" t="inlineStr">
        <is>
          <t xml:space="preserve">Mazda</t>
        </is>
      </c>
      <c r="F18258" s="0" t="s">
        <v>13</v>
      </c>
      <c r="G18258" s="0" t="s">
        <v>49</v>
      </c>
      <c r="H18258" s="5">
        <v>28.383000</v>
      </c>
    </row>
    <row r="18259" spans="1:9">
      <c r="A18259" s="22" t="str">
        <f>HYPERLINK("https://app.vivvix.com/360/KMI/IntelliDrive/ApplUI/Pages/CreativePages/CustomReportCreativeDetail.aspx?App=23&amp;ReportView=4&amp;Qid=1711279&amp;Row=18251&amp;Col=1","No Title Assigned - #15277346905")</f>
        <v/>
      </c>
      <c r="B18259" s="0" t="s">
        <v>24104</v>
      </c>
      <c r="C18259" s="0" t="s">
        <v>24105</v>
      </c>
      <c r="D18259" s="0" t="s">
        <v>5013</v>
      </c>
      <c r="E18259" s="0" t="inlineStr">
        <is>
          <t xml:space="preserve">Mazda</t>
        </is>
      </c>
      <c r="F18259" s="0" t="s">
        <v>13</v>
      </c>
      <c r="G18259" s="0" t="s">
        <v>49</v>
      </c>
      <c r="H18259" s="5">
        <v>266.424200</v>
      </c>
    </row>
    <row r="18260" spans="1:9">
      <c r="A18260" s="22" t="str">
        <f>HYPERLINK("https://app.vivvix.com/360/KMI/IntelliDrive/ApplUI/Pages/CreativePages/CustomReportCreativeDetail.aspx?App=23&amp;ReportView=4&amp;Qid=1711279&amp;Row=18252&amp;Col=1","No Title Assigned - #15277347455")</f>
        <v/>
      </c>
      <c r="B18260" s="0" t="s">
        <v>24106</v>
      </c>
      <c r="E18260" s="0" t="inlineStr">
        <is>
          <t xml:space="preserve">Mazda</t>
        </is>
      </c>
      <c r="F18260" s="0" t="inlineStr">
        <is>
          <t xml:space="preserve">Mazda</t>
        </is>
      </c>
      <c r="G18260" s="0" t="s">
        <v>171</v>
      </c>
      <c r="H18260" s="5">
        <v>325.375300</v>
      </c>
    </row>
    <row r="18261" spans="1:9">
      <c r="A18261" s="22" t="str">
        <f>HYPERLINK("https://app.vivvix.com/360/KMI/IntelliDrive/ApplUI/Pages/CreativePages/CustomReportCreativeDetail.aspx?App=23&amp;ReportView=4&amp;Qid=1711279&amp;Row=18253&amp;Col=1","No Title Assigned - #15277347539")</f>
        <v/>
      </c>
      <c r="B18261" s="0" t="s">
        <v>24107</v>
      </c>
      <c r="E18261" s="0" t="inlineStr">
        <is>
          <t xml:space="preserve">Mazda</t>
        </is>
      </c>
      <c r="F18261" s="0" t="inlineStr">
        <is>
          <t xml:space="preserve">Mazda</t>
        </is>
      </c>
      <c r="G18261" s="0" t="s">
        <v>171</v>
      </c>
      <c r="H18261" s="5">
        <v>11.631300</v>
      </c>
    </row>
    <row r="18262" spans="1:9">
      <c r="A18262" s="22" t="str">
        <f>HYPERLINK("https://app.vivvix.com/360/KMI/IntelliDrive/ApplUI/Pages/CreativePages/CustomReportCreativeDetail.aspx?App=23&amp;ReportView=4&amp;Qid=1711279&amp;Row=18254&amp;Col=1","No Title Assigned - #15277347679")</f>
        <v/>
      </c>
      <c r="B18262" s="0" t="s">
        <v>24108</v>
      </c>
      <c r="E18262" s="0" t="inlineStr">
        <is>
          <t xml:space="preserve">Mazda</t>
        </is>
      </c>
      <c r="F18262" s="0" t="inlineStr">
        <is>
          <t xml:space="preserve">Mazda</t>
        </is>
      </c>
      <c r="G18262" s="0" t="s">
        <v>171</v>
      </c>
      <c r="H18262" s="5">
        <v>26.216700</v>
      </c>
    </row>
    <row r="18263" spans="1:9">
      <c r="A18263" s="22" t="str">
        <f>HYPERLINK("https://app.vivvix.com/360/KMI/IntelliDrive/ApplUI/Pages/CreativePages/CustomReportCreativeDetail.aspx?App=23&amp;ReportView=4&amp;Qid=1711279&amp;Row=18255&amp;Col=1","No Title Assigned - #15277347702")</f>
        <v/>
      </c>
      <c r="B18263" s="0" t="s">
        <v>24109</v>
      </c>
      <c r="E18263" s="0" t="inlineStr">
        <is>
          <t xml:space="preserve">Mazda</t>
        </is>
      </c>
      <c r="F18263" s="0" t="inlineStr">
        <is>
          <t xml:space="preserve">Mazda</t>
        </is>
      </c>
      <c r="G18263" s="0" t="s">
        <v>171</v>
      </c>
      <c r="H18263" s="5">
        <v>49.541700</v>
      </c>
    </row>
    <row r="18264" spans="1:9">
      <c r="A18264" s="22" t="str">
        <f>HYPERLINK("https://app.vivvix.com/360/KMI/IntelliDrive/ApplUI/Pages/CreativePages/CustomReportCreativeDetail.aspx?App=23&amp;ReportView=4&amp;Qid=1711279&amp;Row=18256&amp;Col=1","No Title Assigned - #15277347803")</f>
        <v/>
      </c>
      <c r="B18264" s="0" t="s">
        <v>24110</v>
      </c>
      <c r="E18264" s="0" t="inlineStr">
        <is>
          <t xml:space="preserve">Mazda</t>
        </is>
      </c>
      <c r="F18264" s="0" t="inlineStr">
        <is>
          <t xml:space="preserve">Mazda</t>
        </is>
      </c>
      <c r="G18264" s="0" t="s">
        <v>171</v>
      </c>
      <c r="H18264" s="5">
        <v>36.858000</v>
      </c>
    </row>
    <row r="18265" spans="1:9">
      <c r="A18265" s="22" t="str">
        <f>HYPERLINK("https://app.vivvix.com/360/KMI/IntelliDrive/ApplUI/Pages/CreativePages/CustomReportCreativeDetail.aspx?App=23&amp;ReportView=4&amp;Qid=1711279&amp;Row=18257&amp;Col=1","No Title Assigned - #15277348266")</f>
        <v/>
      </c>
      <c r="B18265" s="0" t="s">
        <v>24111</v>
      </c>
      <c r="C18265" s="0" t="s">
        <v>24112</v>
      </c>
      <c r="D18265" s="0" t="s">
        <v>24112</v>
      </c>
      <c r="E18265" s="0" t="inlineStr">
        <is>
          <t xml:space="preserve">Mazda</t>
        </is>
      </c>
      <c r="F18265" s="0" t="inlineStr">
        <is>
          <t xml:space="preserve">Mazda</t>
        </is>
      </c>
      <c r="G18265" s="0" t="s">
        <v>171</v>
      </c>
      <c r="H18265" s="5">
        <v>38.417900</v>
      </c>
    </row>
    <row r="18266" spans="1:9">
      <c r="A18266" s="22" t="str">
        <f>HYPERLINK("https://app.vivvix.com/360/KMI/IntelliDrive/ApplUI/Pages/CreativePages/CustomReportCreativeDetail.aspx?App=23&amp;ReportView=4&amp;Qid=1711279&amp;Row=18258&amp;Col=1","No Title Assigned - #15277348334")</f>
        <v/>
      </c>
      <c r="B18266" s="0" t="s">
        <v>24113</v>
      </c>
      <c r="E18266" s="0" t="inlineStr">
        <is>
          <t xml:space="preserve">Mazda</t>
        </is>
      </c>
      <c r="F18266" s="0" t="inlineStr">
        <is>
          <t xml:space="preserve">Mazda</t>
        </is>
      </c>
      <c r="G18266" s="0" t="s">
        <v>171</v>
      </c>
      <c r="H18266" s="5">
        <v>12.085200</v>
      </c>
    </row>
    <row r="18267" spans="1:9">
      <c r="A18267" s="22" t="str">
        <f>HYPERLINK("https://app.vivvix.com/360/KMI/IntelliDrive/ApplUI/Pages/CreativePages/CustomReportCreativeDetail.aspx?App=23&amp;ReportView=4&amp;Qid=1711279&amp;Row=18259&amp;Col=1","No Title Assigned - #15277350172")</f>
        <v/>
      </c>
      <c r="B18267" s="0" t="s">
        <v>24114</v>
      </c>
      <c r="E18267" s="0" t="inlineStr">
        <is>
          <t xml:space="preserve">Mazda</t>
        </is>
      </c>
      <c r="F18267" s="0" t="inlineStr">
        <is>
          <t xml:space="preserve">Mazda</t>
        </is>
      </c>
      <c r="G18267" s="0" t="s">
        <v>171</v>
      </c>
      <c r="H18267" s="5">
        <v>55.885200</v>
      </c>
    </row>
    <row r="18268" spans="1:9">
      <c r="A18268" s="22" t="str">
        <f>HYPERLINK("https://app.vivvix.com/360/KMI/IntelliDrive/ApplUI/Pages/CreativePages/CustomReportCreativeDetail.aspx?App=23&amp;ReportView=4&amp;Qid=1711279&amp;Row=18260&amp;Col=1","No Title Assigned - #15277350172")</f>
        <v/>
      </c>
      <c r="B18268" s="0" t="s">
        <v>24114</v>
      </c>
      <c r="E18268" s="0" t="inlineStr">
        <is>
          <t xml:space="preserve">Mazda</t>
        </is>
      </c>
      <c r="F18268" s="0" t="inlineStr">
        <is>
          <t xml:space="preserve">Mazda</t>
        </is>
      </c>
      <c r="G18268" s="0" t="s">
        <v>171</v>
      </c>
      <c r="H18268" s="5">
        <v>43.332900</v>
      </c>
    </row>
    <row r="18269" spans="1:9">
      <c r="A18269" s="22" t="str">
        <f>HYPERLINK("https://app.vivvix.com/360/KMI/IntelliDrive/ApplUI/Pages/CreativePages/CustomReportCreativeDetail.aspx?App=23&amp;ReportView=4&amp;Qid=1711279&amp;Row=18261&amp;Col=1","No Title Assigned - #15277350301")</f>
        <v/>
      </c>
      <c r="B18269" s="0" t="s">
        <v>24115</v>
      </c>
      <c r="C18269" s="0" t="s">
        <v>24116</v>
      </c>
      <c r="D18269" s="0" t="s">
        <v>4768</v>
      </c>
      <c r="E18269" s="0" t="inlineStr">
        <is>
          <t xml:space="preserve">Mazda</t>
        </is>
      </c>
      <c r="F18269" s="0" t="s">
        <v>13</v>
      </c>
      <c r="G18269" s="0" t="s">
        <v>49</v>
      </c>
      <c r="H18269" s="5">
        <v>33.115400</v>
      </c>
    </row>
    <row r="18270" spans="1:9">
      <c r="A18270" s="22" t="str">
        <f>HYPERLINK("https://app.vivvix.com/360/KMI/IntelliDrive/ApplUI/Pages/CreativePages/CustomReportCreativeDetail.aspx?App=23&amp;ReportView=4&amp;Qid=1711279&amp;Row=18262&amp;Col=1","No Title Assigned - #15277350674")</f>
        <v/>
      </c>
      <c r="B18270" s="0" t="s">
        <v>24117</v>
      </c>
      <c r="E18270" s="0" t="inlineStr">
        <is>
          <t xml:space="preserve">Mazda</t>
        </is>
      </c>
      <c r="F18270" s="0" t="inlineStr">
        <is>
          <t xml:space="preserve">Mazda</t>
        </is>
      </c>
      <c r="G18270" s="0" t="s">
        <v>171</v>
      </c>
      <c r="H18270" s="5">
        <v>815.580700</v>
      </c>
    </row>
    <row r="18271" spans="1:9">
      <c r="A18271" s="22" t="str">
        <f>HYPERLINK("https://app.vivvix.com/360/KMI/IntelliDrive/ApplUI/Pages/CreativePages/CustomReportCreativeDetail.aspx?App=23&amp;ReportView=4&amp;Qid=1711279&amp;Row=18263&amp;Col=1","No Title Assigned - #15277350883")</f>
        <v/>
      </c>
      <c r="B18271" s="0" t="s">
        <v>24118</v>
      </c>
      <c r="C18271" s="0" t="s">
        <v>24119</v>
      </c>
      <c r="D18271" s="0" t="s">
        <v>24119</v>
      </c>
      <c r="E18271" s="0" t="inlineStr">
        <is>
          <t xml:space="preserve">Mazda</t>
        </is>
      </c>
      <c r="F18271" s="0" t="inlineStr">
        <is>
          <t xml:space="preserve">Mazda</t>
        </is>
      </c>
      <c r="G18271" s="0" t="s">
        <v>171</v>
      </c>
      <c r="H18271" s="5">
        <v>13.599000</v>
      </c>
    </row>
    <row r="18272" spans="1:9">
      <c r="A18272" s="22" t="str">
        <f>HYPERLINK("https://app.vivvix.com/360/KMI/IntelliDrive/ApplUI/Pages/CreativePages/CustomReportCreativeDetail.aspx?App=23&amp;ReportView=4&amp;Qid=1711279&amp;Row=18264&amp;Col=1","No Title Assigned - #15277351342")</f>
        <v/>
      </c>
      <c r="B18272" s="0" t="s">
        <v>24120</v>
      </c>
      <c r="E18272" s="0" t="inlineStr">
        <is>
          <t xml:space="preserve">Mazda</t>
        </is>
      </c>
      <c r="F18272" s="0" t="inlineStr">
        <is>
          <t xml:space="preserve">Mazda</t>
        </is>
      </c>
      <c r="G18272" s="0" t="s">
        <v>171</v>
      </c>
      <c r="H18272" s="5">
        <v>6298.503500</v>
      </c>
    </row>
    <row r="18273" spans="1:9">
      <c r="A18273" s="22" t="str">
        <f>HYPERLINK("https://app.vivvix.com/360/KMI/IntelliDrive/ApplUI/Pages/CreativePages/CustomReportCreativeDetail.aspx?App=23&amp;ReportView=4&amp;Qid=1711279&amp;Row=18265&amp;Col=1","No Title Assigned - #15277351449")</f>
        <v/>
      </c>
      <c r="B18273" s="0" t="s">
        <v>24121</v>
      </c>
      <c r="E18273" s="0" t="inlineStr">
        <is>
          <t xml:space="preserve">Mazda</t>
        </is>
      </c>
      <c r="F18273" s="0" t="inlineStr">
        <is>
          <t xml:space="preserve">Mazda</t>
        </is>
      </c>
      <c r="G18273" s="0" t="s">
        <v>171</v>
      </c>
      <c r="H18273" s="5">
        <v>17.402600</v>
      </c>
    </row>
    <row r="18274" spans="1:9">
      <c r="A18274" s="22" t="str">
        <f>HYPERLINK("https://app.vivvix.com/360/KMI/IntelliDrive/ApplUI/Pages/CreativePages/CustomReportCreativeDetail.aspx?App=23&amp;ReportView=4&amp;Qid=1711279&amp;Row=18266&amp;Col=1","No Title Assigned - #15277352666")</f>
        <v/>
      </c>
      <c r="B18274" s="0" t="s">
        <v>24122</v>
      </c>
      <c r="C18274" s="0" t="s">
        <v>24123</v>
      </c>
      <c r="D18274" s="0" t="s">
        <v>24123</v>
      </c>
      <c r="E18274" s="0" t="inlineStr">
        <is>
          <t xml:space="preserve">Mazda</t>
        </is>
      </c>
      <c r="F18274" s="0" t="inlineStr">
        <is>
          <t xml:space="preserve">Mazda</t>
        </is>
      </c>
      <c r="G18274" s="0" t="s">
        <v>171</v>
      </c>
      <c r="H18274" s="5">
        <v>319.349100</v>
      </c>
    </row>
    <row r="18275" spans="1:9">
      <c r="A18275" s="22" t="str">
        <f>HYPERLINK("https://app.vivvix.com/360/KMI/IntelliDrive/ApplUI/Pages/CreativePages/CustomReportCreativeDetail.aspx?App=23&amp;ReportView=4&amp;Qid=1711279&amp;Row=18267&amp;Col=1","No Title Assigned - #15277354882")</f>
        <v/>
      </c>
      <c r="B18275" s="0" t="s">
        <v>24124</v>
      </c>
      <c r="E18275" s="0" t="inlineStr">
        <is>
          <t xml:space="preserve">Mazda</t>
        </is>
      </c>
      <c r="F18275" s="0" t="inlineStr">
        <is>
          <t xml:space="preserve">Mazda</t>
        </is>
      </c>
      <c r="G18275" s="0" t="s">
        <v>171</v>
      </c>
      <c r="H18275" s="5">
        <v>576.146900</v>
      </c>
    </row>
    <row r="18276" spans="1:9">
      <c r="A18276" s="22" t="str">
        <f>HYPERLINK("https://app.vivvix.com/360/KMI/IntelliDrive/ApplUI/Pages/CreativePages/CustomReportCreativeDetail.aspx?App=23&amp;ReportView=4&amp;Qid=1711279&amp;Row=18268&amp;Col=1","No Title Assigned - #15277355336")</f>
        <v/>
      </c>
      <c r="B18276" s="0" t="s">
        <v>24125</v>
      </c>
      <c r="E18276" s="0" t="inlineStr">
        <is>
          <t xml:space="preserve">Mazda</t>
        </is>
      </c>
      <c r="F18276" s="0" t="s">
        <v>13</v>
      </c>
      <c r="G18276" s="0" t="s">
        <v>49</v>
      </c>
      <c r="H18276" s="5">
        <v>4.270000</v>
      </c>
    </row>
    <row r="18277" spans="1:9">
      <c r="A18277" s="22" t="str">
        <f>HYPERLINK("https://app.vivvix.com/360/KMI/IntelliDrive/ApplUI/Pages/CreativePages/CustomReportCreativeDetail.aspx?App=23&amp;ReportView=4&amp;Qid=1711279&amp;Row=18269&amp;Col=1","No Title Assigned - #15277381165")</f>
        <v/>
      </c>
      <c r="B18277" s="0" t="s">
        <v>24126</v>
      </c>
      <c r="C18277" s="0" t="s">
        <v>24127</v>
      </c>
      <c r="D18277" s="0" t="s">
        <v>10004</v>
      </c>
      <c r="E18277" s="0" t="inlineStr">
        <is>
          <t xml:space="preserve">Mazda</t>
        </is>
      </c>
      <c r="F18277" s="0" t="s">
        <v>13</v>
      </c>
      <c r="G18277" s="0" t="s">
        <v>49</v>
      </c>
      <c r="H18277" s="5">
        <v>7001.351100</v>
      </c>
    </row>
    <row r="18278" spans="1:9">
      <c r="A18278" s="22" t="str">
        <f>HYPERLINK("https://app.vivvix.com/360/KMI/IntelliDrive/ApplUI/Pages/CreativePages/CustomReportCreativeDetail.aspx?App=23&amp;ReportView=4&amp;Qid=1711279&amp;Row=18270&amp;Col=1","No Title Assigned - #15277388581")</f>
        <v/>
      </c>
      <c r="B18278" s="0" t="s">
        <v>24128</v>
      </c>
      <c r="E18278" s="0" t="inlineStr">
        <is>
          <t xml:space="preserve">Mazda</t>
        </is>
      </c>
      <c r="F18278" s="0" t="s">
        <v>1568</v>
      </c>
      <c r="G18278" s="0" t="s">
        <v>1569</v>
      </c>
      <c r="H18278" s="5">
        <v>1636.344000</v>
      </c>
    </row>
    <row r="18279" spans="1:9">
      <c r="A18279" s="22" t="str">
        <f>HYPERLINK("https://app.vivvix.com/360/KMI/IntelliDrive/ApplUI/Pages/CreativePages/CustomReportCreativeDetail.aspx?App=23&amp;ReportView=4&amp;Qid=1711279&amp;Row=18271&amp;Col=1","No Title Assigned - #15277398743")</f>
        <v/>
      </c>
      <c r="B18279" s="0" t="s">
        <v>24129</v>
      </c>
      <c r="E18279" s="0" t="inlineStr">
        <is>
          <t xml:space="preserve">Mazda</t>
        </is>
      </c>
      <c r="F18279" s="0" t="s">
        <v>1568</v>
      </c>
      <c r="G18279" s="0" t="s">
        <v>1569</v>
      </c>
      <c r="H18279" s="5">
        <v>755.940000</v>
      </c>
    </row>
    <row r="18280" spans="1:9">
      <c r="A18280" s="22" t="str">
        <f>HYPERLINK("https://app.vivvix.com/360/KMI/IntelliDrive/ApplUI/Pages/CreativePages/CustomReportCreativeDetail.aspx?App=23&amp;ReportView=4&amp;Qid=1711279&amp;Row=18272&amp;Col=1","No Title Assigned - #15277403796")</f>
        <v/>
      </c>
      <c r="B18280" s="0" t="s">
        <v>24130</v>
      </c>
      <c r="C18280" s="0" t="s">
        <v>24131</v>
      </c>
      <c r="D18280" s="0" t="s">
        <v>24131</v>
      </c>
      <c r="E18280" s="0" t="inlineStr">
        <is>
          <t xml:space="preserve">Mazda</t>
        </is>
      </c>
      <c r="F18280" s="0" t="s">
        <v>13</v>
      </c>
      <c r="G18280" s="0" t="s">
        <v>49</v>
      </c>
      <c r="H18280" s="5">
        <v>322.646200</v>
      </c>
    </row>
    <row r="18281" spans="1:9">
      <c r="A18281" s="22" t="str">
        <f>HYPERLINK("https://app.vivvix.com/360/KMI/IntelliDrive/ApplUI/Pages/CreativePages/CustomReportCreativeDetail.aspx?App=23&amp;ReportView=4&amp;Qid=1711279&amp;Row=18273&amp;Col=1","No Title Assigned - #15277404628")</f>
        <v/>
      </c>
      <c r="B18281" s="0" t="s">
        <v>24132</v>
      </c>
      <c r="E18281" s="0" t="inlineStr">
        <is>
          <t xml:space="preserve">Mazda</t>
        </is>
      </c>
      <c r="F18281" s="0" t="s">
        <v>13</v>
      </c>
      <c r="G18281" s="0" t="s">
        <v>49</v>
      </c>
      <c r="H18281" s="5">
        <v>42.584700</v>
      </c>
    </row>
    <row r="18282" spans="1:9">
      <c r="A18282" s="22" t="str">
        <f>HYPERLINK("https://app.vivvix.com/360/KMI/IntelliDrive/ApplUI/Pages/CreativePages/CustomReportCreativeDetail.aspx?App=23&amp;ReportView=4&amp;Qid=1711279&amp;Row=18274&amp;Col=1","No Title Assigned - #15277406026")</f>
        <v/>
      </c>
      <c r="B18282" s="0" t="s">
        <v>24133</v>
      </c>
      <c r="C18282" s="0" t="s">
        <v>24134</v>
      </c>
      <c r="D18282" s="0" t="s">
        <v>4938</v>
      </c>
      <c r="E18282" s="0" t="inlineStr">
        <is>
          <t xml:space="preserve">Mazda</t>
        </is>
      </c>
      <c r="F18282" s="0" t="s">
        <v>13</v>
      </c>
      <c r="G18282" s="0" t="s">
        <v>49</v>
      </c>
      <c r="H18282" s="5">
        <v>15.240100</v>
      </c>
    </row>
    <row r="18283" spans="1:9">
      <c r="A18283" s="22" t="str">
        <f>HYPERLINK("https://app.vivvix.com/360/KMI/IntelliDrive/ApplUI/Pages/CreativePages/CustomReportCreativeDetail.aspx?App=23&amp;ReportView=4&amp;Qid=1711279&amp;Row=18275&amp;Col=1","No Title Assigned - #15277409658")</f>
        <v/>
      </c>
      <c r="B18283" s="0" t="s">
        <v>24135</v>
      </c>
      <c r="C18283" s="0" t="s">
        <v>24136</v>
      </c>
      <c r="D18283" s="0" t="s">
        <v>24136</v>
      </c>
      <c r="E18283" s="0" t="inlineStr">
        <is>
          <t xml:space="preserve">Mazda</t>
        </is>
      </c>
      <c r="F18283" s="0" t="inlineStr">
        <is>
          <t xml:space="preserve">Mazda</t>
        </is>
      </c>
      <c r="G18283" s="0" t="s">
        <v>171</v>
      </c>
      <c r="H18283" s="5">
        <v>0.796900</v>
      </c>
    </row>
    <row r="18284" spans="1:9">
      <c r="A18284" s="22" t="str">
        <f>HYPERLINK("https://app.vivvix.com/360/KMI/IntelliDrive/ApplUI/Pages/CreativePages/CustomReportCreativeDetail.aspx?App=23&amp;ReportView=4&amp;Qid=1711279&amp;Row=18276&amp;Col=1","No Title Assigned - #15277409664")</f>
        <v/>
      </c>
      <c r="B18284" s="0" t="s">
        <v>24137</v>
      </c>
      <c r="E18284" s="0" t="inlineStr">
        <is>
          <t xml:space="preserve">Mazda</t>
        </is>
      </c>
      <c r="F18284" s="0" t="inlineStr">
        <is>
          <t xml:space="preserve">Mazda</t>
        </is>
      </c>
      <c r="G18284" s="0" t="s">
        <v>171</v>
      </c>
      <c r="H18284" s="5">
        <v>980.456200</v>
      </c>
    </row>
    <row r="18285" spans="1:9">
      <c r="A18285" s="22" t="str">
        <f>HYPERLINK("https://app.vivvix.com/360/KMI/IntelliDrive/ApplUI/Pages/CreativePages/CustomReportCreativeDetail.aspx?App=23&amp;ReportView=4&amp;Qid=1711279&amp;Row=18277&amp;Col=1","No Title Assigned - #15277410665")</f>
        <v/>
      </c>
      <c r="B18285" s="0" t="s">
        <v>24138</v>
      </c>
      <c r="E18285" s="0" t="inlineStr">
        <is>
          <t xml:space="preserve">Mazda</t>
        </is>
      </c>
      <c r="F18285" s="0" t="inlineStr">
        <is>
          <t xml:space="preserve">Mazda</t>
        </is>
      </c>
      <c r="G18285" s="0" t="s">
        <v>171</v>
      </c>
      <c r="H18285" s="5">
        <v>6.647800</v>
      </c>
    </row>
    <row r="18286" spans="1:9">
      <c r="A18286" s="22" t="str">
        <f>HYPERLINK("https://app.vivvix.com/360/KMI/IntelliDrive/ApplUI/Pages/CreativePages/CustomReportCreativeDetail.aspx?App=23&amp;ReportView=4&amp;Qid=1711279&amp;Row=18278&amp;Col=1","No Title Assigned - #15277412289")</f>
        <v/>
      </c>
      <c r="B18286" s="0" t="s">
        <v>24139</v>
      </c>
      <c r="E18286" s="0" t="inlineStr">
        <is>
          <t xml:space="preserve">Mazda</t>
        </is>
      </c>
      <c r="F18286" s="0" t="inlineStr">
        <is>
          <t xml:space="preserve">Mazda</t>
        </is>
      </c>
      <c r="G18286" s="0" t="s">
        <v>171</v>
      </c>
      <c r="H18286" s="5">
        <v>615.048200</v>
      </c>
    </row>
    <row r="18287" spans="1:9">
      <c r="A18287" s="22" t="str">
        <f>HYPERLINK("https://app.vivvix.com/360/KMI/IntelliDrive/ApplUI/Pages/CreativePages/CustomReportCreativeDetail.aspx?App=23&amp;ReportView=4&amp;Qid=1711279&amp;Row=18279&amp;Col=1","No Title Assigned - #15277412372")</f>
        <v/>
      </c>
      <c r="B18287" s="0" t="s">
        <v>24140</v>
      </c>
      <c r="E18287" s="0" t="inlineStr">
        <is>
          <t xml:space="preserve">Mazda</t>
        </is>
      </c>
      <c r="F18287" s="0" t="inlineStr">
        <is>
          <t xml:space="preserve">Mazda</t>
        </is>
      </c>
      <c r="G18287" s="0" t="s">
        <v>171</v>
      </c>
      <c r="H18287" s="5">
        <v>220.952800</v>
      </c>
    </row>
    <row r="18288" spans="1:9">
      <c r="A18288" s="22" t="str">
        <f>HYPERLINK("https://app.vivvix.com/360/KMI/IntelliDrive/ApplUI/Pages/CreativePages/CustomReportCreativeDetail.aspx?App=23&amp;ReportView=4&amp;Qid=1711279&amp;Row=18280&amp;Col=1","No Title Assigned - #15277412476")</f>
        <v/>
      </c>
      <c r="B18288" s="0" t="s">
        <v>24141</v>
      </c>
      <c r="E18288" s="0" t="inlineStr">
        <is>
          <t xml:space="preserve">Mazda</t>
        </is>
      </c>
      <c r="F18288" s="0" t="inlineStr">
        <is>
          <t xml:space="preserve">Mazda</t>
        </is>
      </c>
      <c r="G18288" s="0" t="s">
        <v>171</v>
      </c>
      <c r="H18288" s="5">
        <v>14.106500</v>
      </c>
    </row>
    <row r="18289" spans="1:9">
      <c r="A18289" s="22" t="str">
        <f>HYPERLINK("https://app.vivvix.com/360/KMI/IntelliDrive/ApplUI/Pages/CreativePages/CustomReportCreativeDetail.aspx?App=23&amp;ReportView=4&amp;Qid=1711279&amp;Row=18281&amp;Col=1","No Title Assigned - #15277412534")</f>
        <v/>
      </c>
      <c r="B18289" s="0" t="s">
        <v>24142</v>
      </c>
      <c r="E18289" s="0" t="inlineStr">
        <is>
          <t xml:space="preserve">Mazda</t>
        </is>
      </c>
      <c r="F18289" s="0" t="inlineStr">
        <is>
          <t xml:space="preserve">Mazda</t>
        </is>
      </c>
      <c r="G18289" s="0" t="s">
        <v>171</v>
      </c>
      <c r="H18289" s="5">
        <v>10.020400</v>
      </c>
    </row>
    <row r="18290" spans="1:9">
      <c r="A18290" s="22" t="str">
        <f>HYPERLINK("https://app.vivvix.com/360/KMI/IntelliDrive/ApplUI/Pages/CreativePages/CustomReportCreativeDetail.aspx?App=23&amp;ReportView=4&amp;Qid=1711279&amp;Row=18282&amp;Col=1","No Title Assigned - #15277412821")</f>
        <v/>
      </c>
      <c r="B18290" s="0" t="s">
        <v>24143</v>
      </c>
      <c r="E18290" s="0" t="inlineStr">
        <is>
          <t xml:space="preserve">Mazda</t>
        </is>
      </c>
      <c r="F18290" s="0" t="inlineStr">
        <is>
          <t xml:space="preserve">Mazda</t>
        </is>
      </c>
      <c r="G18290" s="0" t="s">
        <v>171</v>
      </c>
      <c r="H18290" s="5">
        <v>1216.008700</v>
      </c>
    </row>
    <row r="18291" spans="1:9">
      <c r="A18291" s="22" t="str">
        <f>HYPERLINK("https://app.vivvix.com/360/KMI/IntelliDrive/ApplUI/Pages/CreativePages/CustomReportCreativeDetail.aspx?App=23&amp;ReportView=4&amp;Qid=1711279&amp;Row=18283&amp;Col=1","No Title Assigned - #15277414139")</f>
        <v/>
      </c>
      <c r="B18291" s="0" t="s">
        <v>24144</v>
      </c>
      <c r="E18291" s="0" t="inlineStr">
        <is>
          <t xml:space="preserve">Mazda</t>
        </is>
      </c>
      <c r="F18291" s="0" t="inlineStr">
        <is>
          <t xml:space="preserve">Mazda</t>
        </is>
      </c>
      <c r="G18291" s="0" t="s">
        <v>171</v>
      </c>
      <c r="H18291" s="5">
        <v>1879.423500</v>
      </c>
    </row>
    <row r="18292" spans="1:9">
      <c r="A18292" s="22" t="str">
        <f>HYPERLINK("https://app.vivvix.com/360/KMI/IntelliDrive/ApplUI/Pages/CreativePages/CustomReportCreativeDetail.aspx?App=23&amp;ReportView=4&amp;Qid=1711279&amp;Row=18284&amp;Col=1","No Title Assigned - #15277416679")</f>
        <v/>
      </c>
      <c r="B18292" s="0" t="s">
        <v>24145</v>
      </c>
      <c r="E18292" s="0" t="inlineStr">
        <is>
          <t xml:space="preserve">Mazda</t>
        </is>
      </c>
      <c r="F18292" s="0" t="inlineStr">
        <is>
          <t xml:space="preserve">Mazda</t>
        </is>
      </c>
      <c r="G18292" s="0" t="s">
        <v>171</v>
      </c>
      <c r="H18292" s="5">
        <v>180.346800</v>
      </c>
    </row>
    <row r="18293" spans="1:9">
      <c r="A18293" s="22" t="str">
        <f>HYPERLINK("https://app.vivvix.com/360/KMI/IntelliDrive/ApplUI/Pages/CreativePages/CustomReportCreativeDetail.aspx?App=23&amp;ReportView=4&amp;Qid=1711279&amp;Row=18285&amp;Col=1","No Title Assigned - #15277416937")</f>
        <v/>
      </c>
      <c r="B18293" s="0" t="s">
        <v>24146</v>
      </c>
      <c r="E18293" s="0" t="inlineStr">
        <is>
          <t xml:space="preserve">Mazda</t>
        </is>
      </c>
      <c r="F18293" s="0" t="inlineStr">
        <is>
          <t xml:space="preserve">Mazda</t>
        </is>
      </c>
      <c r="G18293" s="0" t="s">
        <v>171</v>
      </c>
      <c r="H18293" s="5">
        <v>763.998000</v>
      </c>
    </row>
    <row r="18294" spans="1:9">
      <c r="A18294" s="22" t="str">
        <f>HYPERLINK("https://app.vivvix.com/360/KMI/IntelliDrive/ApplUI/Pages/CreativePages/CustomReportCreativeDetail.aspx?App=23&amp;ReportView=4&amp;Qid=1711279&amp;Row=18286&amp;Col=1","No Title Assigned - #15277417039")</f>
        <v/>
      </c>
      <c r="B18294" s="0" t="s">
        <v>24147</v>
      </c>
      <c r="E18294" s="0" t="inlineStr">
        <is>
          <t xml:space="preserve">Mazda</t>
        </is>
      </c>
      <c r="F18294" s="0" t="inlineStr">
        <is>
          <t xml:space="preserve">Mazda</t>
        </is>
      </c>
      <c r="G18294" s="0" t="s">
        <v>171</v>
      </c>
      <c r="H18294" s="5">
        <v>5.675800</v>
      </c>
    </row>
    <row r="18295" spans="1:9">
      <c r="A18295" s="22" t="str">
        <f>HYPERLINK("https://app.vivvix.com/360/KMI/IntelliDrive/ApplUI/Pages/CreativePages/CustomReportCreativeDetail.aspx?App=23&amp;ReportView=4&amp;Qid=1711279&amp;Row=18287&amp;Col=1","No Title Assigned - #15277417414")</f>
        <v/>
      </c>
      <c r="B18295" s="0" t="s">
        <v>24148</v>
      </c>
      <c r="E18295" s="0" t="inlineStr">
        <is>
          <t xml:space="preserve">Mazda</t>
        </is>
      </c>
      <c r="F18295" s="0" t="inlineStr">
        <is>
          <t xml:space="preserve">Mazda</t>
        </is>
      </c>
      <c r="G18295" s="0" t="s">
        <v>171</v>
      </c>
      <c r="H18295" s="5">
        <v>325.375300</v>
      </c>
    </row>
    <row r="18296" spans="1:9">
      <c r="A18296" s="22" t="str">
        <f>HYPERLINK("https://app.vivvix.com/360/KMI/IntelliDrive/ApplUI/Pages/CreativePages/CustomReportCreativeDetail.aspx?App=23&amp;ReportView=4&amp;Qid=1711279&amp;Row=18288&amp;Col=1","No Title Assigned - #15277418642")</f>
        <v/>
      </c>
      <c r="B18296" s="0" t="s">
        <v>24149</v>
      </c>
      <c r="C18296" s="0" t="s">
        <v>24150</v>
      </c>
      <c r="D18296" s="0" t="s">
        <v>5013</v>
      </c>
      <c r="E18296" s="0" t="inlineStr">
        <is>
          <t xml:space="preserve">Mazda</t>
        </is>
      </c>
      <c r="F18296" s="0" t="s">
        <v>13</v>
      </c>
      <c r="G18296" s="0" t="s">
        <v>49</v>
      </c>
      <c r="H18296" s="5">
        <v>8.624600</v>
      </c>
    </row>
    <row r="18297" spans="1:9">
      <c r="A18297" s="22" t="str">
        <f>HYPERLINK("https://app.vivvix.com/360/KMI/IntelliDrive/ApplUI/Pages/CreativePages/CustomReportCreativeDetail.aspx?App=23&amp;ReportView=4&amp;Qid=1711279&amp;Row=18289&amp;Col=1","No Title Assigned - #15277418724")</f>
        <v/>
      </c>
      <c r="B18297" s="0" t="s">
        <v>24151</v>
      </c>
      <c r="E18297" s="0" t="inlineStr">
        <is>
          <t xml:space="preserve">Mazda</t>
        </is>
      </c>
      <c r="F18297" s="0" t="inlineStr">
        <is>
          <t xml:space="preserve">Mazda</t>
        </is>
      </c>
      <c r="G18297" s="0" t="s">
        <v>171</v>
      </c>
      <c r="H18297" s="5">
        <v>506.992800</v>
      </c>
    </row>
    <row r="18298" spans="1:9">
      <c r="A18298" s="22" t="str">
        <f>HYPERLINK("https://app.vivvix.com/360/KMI/IntelliDrive/ApplUI/Pages/CreativePages/CustomReportCreativeDetail.aspx?App=23&amp;ReportView=4&amp;Qid=1711279&amp;Row=18290&amp;Col=1","No Title Assigned - #15277419654")</f>
        <v/>
      </c>
      <c r="B18298" s="0" t="s">
        <v>24152</v>
      </c>
      <c r="E18298" s="0" t="inlineStr">
        <is>
          <t xml:space="preserve">Mazda</t>
        </is>
      </c>
      <c r="F18298" s="0" t="inlineStr">
        <is>
          <t xml:space="preserve">Mazda</t>
        </is>
      </c>
      <c r="G18298" s="0" t="s">
        <v>171</v>
      </c>
      <c r="H18298" s="5">
        <v>32.685500</v>
      </c>
    </row>
    <row r="18299" spans="1:9">
      <c r="A18299" s="22" t="str">
        <f>HYPERLINK("https://app.vivvix.com/360/KMI/IntelliDrive/ApplUI/Pages/CreativePages/CustomReportCreativeDetail.aspx?App=23&amp;ReportView=4&amp;Qid=1711279&amp;Row=18291&amp;Col=1","No Title Assigned - #15277421124")</f>
        <v/>
      </c>
      <c r="B18299" s="0" t="s">
        <v>24153</v>
      </c>
      <c r="C18299" s="0" t="s">
        <v>24154</v>
      </c>
      <c r="D18299" s="0" t="s">
        <v>24154</v>
      </c>
      <c r="E18299" s="0" t="inlineStr">
        <is>
          <t xml:space="preserve">Mazda</t>
        </is>
      </c>
      <c r="F18299" s="0" t="s">
        <v>13</v>
      </c>
      <c r="G18299" s="0" t="s">
        <v>49</v>
      </c>
      <c r="H18299" s="5">
        <v>49.007100</v>
      </c>
    </row>
    <row r="18300" spans="1:9">
      <c r="A18300" s="22" t="str">
        <f>HYPERLINK("https://app.vivvix.com/360/KMI/IntelliDrive/ApplUI/Pages/CreativePages/CustomReportCreativeDetail.aspx?App=23&amp;ReportView=4&amp;Qid=1711279&amp;Row=18292&amp;Col=1","No Title Assigned - #15277421255")</f>
        <v/>
      </c>
      <c r="B18300" s="0" t="s">
        <v>24155</v>
      </c>
      <c r="E18300" s="0" t="inlineStr">
        <is>
          <t xml:space="preserve">Mazda</t>
        </is>
      </c>
      <c r="F18300" s="0" t="inlineStr">
        <is>
          <t xml:space="preserve">Mazda</t>
        </is>
      </c>
      <c r="G18300" s="0" t="s">
        <v>171</v>
      </c>
      <c r="H18300" s="5">
        <v>36.292000</v>
      </c>
    </row>
    <row r="18301" spans="1:9">
      <c r="A18301" s="22" t="str">
        <f>HYPERLINK("https://app.vivvix.com/360/KMI/IntelliDrive/ApplUI/Pages/CreativePages/CustomReportCreativeDetail.aspx?App=23&amp;ReportView=4&amp;Qid=1711279&amp;Row=18293&amp;Col=1","No Title Assigned - #15277422542")</f>
        <v/>
      </c>
      <c r="B18301" s="0" t="s">
        <v>24156</v>
      </c>
      <c r="E18301" s="0" t="inlineStr">
        <is>
          <t xml:space="preserve">Mazda</t>
        </is>
      </c>
      <c r="F18301" s="0" t="inlineStr">
        <is>
          <t xml:space="preserve">Mazda</t>
        </is>
      </c>
      <c r="G18301" s="0" t="s">
        <v>171</v>
      </c>
      <c r="H18301" s="5">
        <v>102.974900</v>
      </c>
    </row>
    <row r="18302" spans="1:9">
      <c r="A18302" s="22" t="str">
        <f>HYPERLINK("https://app.vivvix.com/360/KMI/IntelliDrive/ApplUI/Pages/CreativePages/CustomReportCreativeDetail.aspx?App=23&amp;ReportView=4&amp;Qid=1711279&amp;Row=18294&amp;Col=1","No Title Assigned - #15277426533")</f>
        <v/>
      </c>
      <c r="B18302" s="0" t="s">
        <v>24157</v>
      </c>
      <c r="C18302" s="0" t="s">
        <v>24158</v>
      </c>
      <c r="D18302" s="0" t="s">
        <v>5013</v>
      </c>
      <c r="E18302" s="0" t="inlineStr">
        <is>
          <t xml:space="preserve">Mazda</t>
        </is>
      </c>
      <c r="F18302" s="0" t="s">
        <v>13</v>
      </c>
      <c r="G18302" s="0" t="s">
        <v>49</v>
      </c>
      <c r="H18302" s="5">
        <v>78.103200</v>
      </c>
    </row>
    <row r="18303" spans="1:9">
      <c r="A18303" s="22" t="str">
        <f>HYPERLINK("https://app.vivvix.com/360/KMI/IntelliDrive/ApplUI/Pages/CreativePages/CustomReportCreativeDetail.aspx?App=23&amp;ReportView=4&amp;Qid=1711279&amp;Row=18295&amp;Col=1","No Title Assigned - #15277427896")</f>
        <v/>
      </c>
      <c r="B18303" s="0" t="s">
        <v>24159</v>
      </c>
      <c r="C18303" s="0" t="s">
        <v>24160</v>
      </c>
      <c r="D18303" s="0" t="s">
        <v>24160</v>
      </c>
      <c r="E18303" s="0" t="inlineStr">
        <is>
          <t xml:space="preserve">Mazda</t>
        </is>
      </c>
      <c r="F18303" s="0" t="s">
        <v>13</v>
      </c>
      <c r="G18303" s="0" t="s">
        <v>49</v>
      </c>
      <c r="H18303" s="5">
        <v>11.227500</v>
      </c>
    </row>
    <row r="18304" spans="1:9">
      <c r="A18304" s="22" t="str">
        <f>HYPERLINK("https://app.vivvix.com/360/KMI/IntelliDrive/ApplUI/Pages/CreativePages/CustomReportCreativeDetail.aspx?App=23&amp;ReportView=4&amp;Qid=1711279&amp;Row=18296&amp;Col=1","No Title Assigned - #15277429235")</f>
        <v/>
      </c>
      <c r="B18304" s="0" t="s">
        <v>24161</v>
      </c>
      <c r="C18304" s="0" t="s">
        <v>24162</v>
      </c>
      <c r="D18304" s="0" t="s">
        <v>4774</v>
      </c>
      <c r="E18304" s="0" t="inlineStr">
        <is>
          <t xml:space="preserve">Mazda</t>
        </is>
      </c>
      <c r="F18304" s="0" t="s">
        <v>13</v>
      </c>
      <c r="G18304" s="0" t="s">
        <v>49</v>
      </c>
      <c r="H18304" s="5">
        <v>906.134100</v>
      </c>
    </row>
    <row r="18305" spans="1:9">
      <c r="A18305" s="22" t="str">
        <f>HYPERLINK("https://app.vivvix.com/360/KMI/IntelliDrive/ApplUI/Pages/CreativePages/CustomReportCreativeDetail.aspx?App=23&amp;ReportView=4&amp;Qid=1711279&amp;Row=18297&amp;Col=1","No Title Assigned - #15277435056")</f>
        <v/>
      </c>
      <c r="B18305" s="0" t="s">
        <v>24163</v>
      </c>
      <c r="E18305" s="0" t="inlineStr">
        <is>
          <t xml:space="preserve">Mazda</t>
        </is>
      </c>
      <c r="F18305" s="0" t="inlineStr">
        <is>
          <t xml:space="preserve">Mazda</t>
        </is>
      </c>
      <c r="G18305" s="0" t="s">
        <v>171</v>
      </c>
      <c r="H18305" s="5">
        <v>607.200600</v>
      </c>
    </row>
    <row r="18306" spans="1:9">
      <c r="A18306" s="22" t="str">
        <f>HYPERLINK("https://app.vivvix.com/360/KMI/IntelliDrive/ApplUI/Pages/CreativePages/CustomReportCreativeDetail.aspx?App=23&amp;ReportView=4&amp;Qid=1711279&amp;Row=18298&amp;Col=1","No Title Assigned - #15277439410")</f>
        <v/>
      </c>
      <c r="B18306" s="0" t="s">
        <v>24164</v>
      </c>
      <c r="C18306" s="0" t="s">
        <v>24165</v>
      </c>
      <c r="D18306" s="0" t="s">
        <v>4335</v>
      </c>
      <c r="E18306" s="0" t="inlineStr">
        <is>
          <t xml:space="preserve">Mazda</t>
        </is>
      </c>
      <c r="F18306" s="0" t="s">
        <v>13</v>
      </c>
      <c r="G18306" s="0" t="s">
        <v>49</v>
      </c>
      <c r="H18306" s="5">
        <v>651.891300</v>
      </c>
    </row>
    <row r="18307" spans="1:9">
      <c r="A18307" s="22" t="str">
        <f>HYPERLINK("https://app.vivvix.com/360/KMI/IntelliDrive/ApplUI/Pages/CreativePages/CustomReportCreativeDetail.aspx?App=23&amp;ReportView=4&amp;Qid=1711279&amp;Row=18299&amp;Col=1","No Title Assigned - #15277439475")</f>
        <v/>
      </c>
      <c r="B18307" s="0" t="s">
        <v>24166</v>
      </c>
      <c r="C18307" s="0" t="s">
        <v>24167</v>
      </c>
      <c r="D18307" s="0" t="s">
        <v>5013</v>
      </c>
      <c r="E18307" s="0" t="inlineStr">
        <is>
          <t xml:space="preserve">Mazda</t>
        </is>
      </c>
      <c r="F18307" s="0" t="s">
        <v>13</v>
      </c>
      <c r="G18307" s="0" t="s">
        <v>49</v>
      </c>
      <c r="H18307" s="5">
        <v>43174.434300</v>
      </c>
    </row>
    <row r="18308" spans="1:9">
      <c r="A18308" s="22" t="str">
        <f>HYPERLINK("https://app.vivvix.com/360/KMI/IntelliDrive/ApplUI/Pages/CreativePages/CustomReportCreativeDetail.aspx?App=23&amp;ReportView=4&amp;Qid=1711279&amp;Row=18300&amp;Col=1","No Title Assigned - #15277439475")</f>
        <v/>
      </c>
      <c r="B18308" s="0" t="s">
        <v>24166</v>
      </c>
      <c r="E18308" s="0" t="inlineStr">
        <is>
          <t xml:space="preserve">Mazda</t>
        </is>
      </c>
      <c r="F18308" s="0" t="s">
        <v>13</v>
      </c>
      <c r="G18308" s="0" t="s">
        <v>49</v>
      </c>
      <c r="H18308" s="5">
        <v>1731.533200</v>
      </c>
    </row>
    <row r="18309" spans="1:9">
      <c r="A18309" s="22" t="str">
        <f>HYPERLINK("https://app.vivvix.com/360/KMI/IntelliDrive/ApplUI/Pages/CreativePages/CustomReportCreativeDetail.aspx?App=23&amp;ReportView=4&amp;Qid=1711279&amp;Row=18301&amp;Col=1","No Title Assigned - #15277441266")</f>
        <v/>
      </c>
      <c r="B18309" s="0" t="s">
        <v>24168</v>
      </c>
      <c r="C18309" s="0" t="s">
        <v>24169</v>
      </c>
      <c r="D18309" s="0" t="s">
        <v>24169</v>
      </c>
      <c r="E18309" s="0" t="inlineStr">
        <is>
          <t xml:space="preserve">Mazda</t>
        </is>
      </c>
      <c r="F18309" s="0" t="s">
        <v>13</v>
      </c>
      <c r="G18309" s="0" t="s">
        <v>49</v>
      </c>
      <c r="H18309" s="5">
        <v>7880.873400</v>
      </c>
    </row>
    <row r="18310" spans="1:9">
      <c r="A18310" s="22" t="str">
        <f>HYPERLINK("https://app.vivvix.com/360/KMI/IntelliDrive/ApplUI/Pages/CreativePages/CustomReportCreativeDetail.aspx?App=23&amp;ReportView=4&amp;Qid=1711279&amp;Row=18302&amp;Col=1","No Title Assigned - #15277441459")</f>
        <v/>
      </c>
      <c r="B18310" s="0" t="s">
        <v>24170</v>
      </c>
      <c r="C18310" s="0" t="s">
        <v>24171</v>
      </c>
      <c r="D18310" s="0" t="s">
        <v>24171</v>
      </c>
      <c r="E18310" s="0" t="inlineStr">
        <is>
          <t xml:space="preserve">Mazda</t>
        </is>
      </c>
      <c r="F18310" s="0" t="s">
        <v>13</v>
      </c>
      <c r="G18310" s="0" t="s">
        <v>49</v>
      </c>
      <c r="H18310" s="5">
        <v>34.939400</v>
      </c>
    </row>
    <row r="18311" spans="1:9">
      <c r="A18311" s="22" t="str">
        <f>HYPERLINK("https://app.vivvix.com/360/KMI/IntelliDrive/ApplUI/Pages/CreativePages/CustomReportCreativeDetail.aspx?App=23&amp;ReportView=4&amp;Qid=1711279&amp;Row=18303&amp;Col=1","No Title Assigned - #15277441604")</f>
        <v/>
      </c>
      <c r="B18311" s="0" t="s">
        <v>24172</v>
      </c>
      <c r="C18311" s="0" t="s">
        <v>24173</v>
      </c>
      <c r="D18311" s="0" t="s">
        <v>24173</v>
      </c>
      <c r="E18311" s="0" t="inlineStr">
        <is>
          <t xml:space="preserve">Mazda</t>
        </is>
      </c>
      <c r="F18311" s="0" t="s">
        <v>13</v>
      </c>
      <c r="G18311" s="0" t="s">
        <v>49</v>
      </c>
      <c r="H18311" s="5">
        <v>1254.473500</v>
      </c>
    </row>
    <row r="18312" spans="1:9">
      <c r="A18312" s="22" t="str">
        <f>HYPERLINK("https://app.vivvix.com/360/KMI/IntelliDrive/ApplUI/Pages/CreativePages/CustomReportCreativeDetail.aspx?App=23&amp;ReportView=4&amp;Qid=1711279&amp;Row=18304&amp;Col=1","No Title Assigned - #15277442412")</f>
        <v/>
      </c>
      <c r="B18312" s="0" t="s">
        <v>24174</v>
      </c>
      <c r="C18312" s="0" t="s">
        <v>24175</v>
      </c>
      <c r="D18312" s="0" t="s">
        <v>22149</v>
      </c>
      <c r="E18312" s="0" t="inlineStr">
        <is>
          <t xml:space="preserve">Mazda</t>
        </is>
      </c>
      <c r="F18312" s="0" t="s">
        <v>13</v>
      </c>
      <c r="G18312" s="0" t="s">
        <v>49</v>
      </c>
      <c r="H18312" s="5">
        <v>200.826800</v>
      </c>
    </row>
    <row r="18313" spans="1:9">
      <c r="A18313" s="22" t="str">
        <f>HYPERLINK("https://app.vivvix.com/360/KMI/IntelliDrive/ApplUI/Pages/CreativePages/CustomReportCreativeDetail.aspx?App=23&amp;ReportView=4&amp;Qid=1711279&amp;Row=18305&amp;Col=1","No Title Assigned - #15277442905")</f>
        <v/>
      </c>
      <c r="B18313" s="0" t="s">
        <v>24176</v>
      </c>
      <c r="C18313" s="0" t="s">
        <v>24177</v>
      </c>
      <c r="D18313" s="0" t="s">
        <v>24177</v>
      </c>
      <c r="E18313" s="0" t="inlineStr">
        <is>
          <t xml:space="preserve">Mazda</t>
        </is>
      </c>
      <c r="F18313" s="0" t="s">
        <v>13</v>
      </c>
      <c r="G18313" s="0" t="s">
        <v>49</v>
      </c>
      <c r="H18313" s="5">
        <v>559.870000</v>
      </c>
    </row>
    <row r="18314" spans="1:9">
      <c r="A18314" s="22" t="str">
        <f>HYPERLINK("https://app.vivvix.com/360/KMI/IntelliDrive/ApplUI/Pages/CreativePages/CustomReportCreativeDetail.aspx?App=23&amp;ReportView=4&amp;Qid=1711279&amp;Row=18306&amp;Col=1","No Title Assigned - #15277444472")</f>
        <v/>
      </c>
      <c r="B18314" s="0" t="s">
        <v>24178</v>
      </c>
      <c r="C18314" s="0" t="s">
        <v>24179</v>
      </c>
      <c r="D18314" s="0" t="s">
        <v>24179</v>
      </c>
      <c r="E18314" s="0" t="inlineStr">
        <is>
          <t xml:space="preserve">Mazda</t>
        </is>
      </c>
      <c r="F18314" s="0" t="s">
        <v>13</v>
      </c>
      <c r="G18314" s="0" t="s">
        <v>49</v>
      </c>
      <c r="H18314" s="5">
        <v>4759.350900</v>
      </c>
    </row>
    <row r="18315" spans="1:9">
      <c r="A18315" s="22" t="str">
        <f>HYPERLINK("https://app.vivvix.com/360/KMI/IntelliDrive/ApplUI/Pages/CreativePages/CustomReportCreativeDetail.aspx?App=23&amp;ReportView=4&amp;Qid=1711279&amp;Row=18307&amp;Col=1","No Title Assigned - #15277444472")</f>
        <v/>
      </c>
      <c r="B18315" s="0" t="s">
        <v>24178</v>
      </c>
      <c r="E18315" s="0" t="inlineStr">
        <is>
          <t xml:space="preserve">Mazda</t>
        </is>
      </c>
      <c r="F18315" s="0" t="s">
        <v>13</v>
      </c>
      <c r="G18315" s="0" t="s">
        <v>49</v>
      </c>
      <c r="H18315" s="5">
        <v>758.713200</v>
      </c>
    </row>
    <row r="18316" spans="1:9">
      <c r="A18316" s="22" t="str">
        <f>HYPERLINK("https://app.vivvix.com/360/KMI/IntelliDrive/ApplUI/Pages/CreativePages/CustomReportCreativeDetail.aspx?App=23&amp;ReportView=4&amp;Qid=1711279&amp;Row=18308&amp;Col=1","No Title Assigned - #15277444473")</f>
        <v/>
      </c>
      <c r="B18316" s="0" t="s">
        <v>24180</v>
      </c>
      <c r="C18316" s="0" t="s">
        <v>24181</v>
      </c>
      <c r="D18316" s="0" t="s">
        <v>24181</v>
      </c>
      <c r="E18316" s="0" t="inlineStr">
        <is>
          <t xml:space="preserve">Mazda</t>
        </is>
      </c>
      <c r="F18316" s="0" t="s">
        <v>13</v>
      </c>
      <c r="G18316" s="0" t="s">
        <v>49</v>
      </c>
      <c r="H18316" s="5">
        <v>1058.373800</v>
      </c>
    </row>
    <row r="18317" spans="1:9">
      <c r="A18317" s="22" t="str">
        <f>HYPERLINK("https://app.vivvix.com/360/KMI/IntelliDrive/ApplUI/Pages/CreativePages/CustomReportCreativeDetail.aspx?App=23&amp;ReportView=4&amp;Qid=1711279&amp;Row=18309&amp;Col=1","No Title Assigned - #15277444771")</f>
        <v/>
      </c>
      <c r="B18317" s="0" t="s">
        <v>24182</v>
      </c>
      <c r="C18317" s="0" t="s">
        <v>24183</v>
      </c>
      <c r="D18317" s="0" t="s">
        <v>6183</v>
      </c>
      <c r="E18317" s="0" t="inlineStr">
        <is>
          <t xml:space="preserve">Mazda</t>
        </is>
      </c>
      <c r="F18317" s="0" t="s">
        <v>13</v>
      </c>
      <c r="G18317" s="0" t="s">
        <v>49</v>
      </c>
      <c r="H18317" s="5">
        <v>23.647900</v>
      </c>
    </row>
    <row r="18318" spans="1:9">
      <c r="A18318" s="22" t="str">
        <f>HYPERLINK("https://app.vivvix.com/360/KMI/IntelliDrive/ApplUI/Pages/CreativePages/CustomReportCreativeDetail.aspx?App=23&amp;ReportView=4&amp;Qid=1711279&amp;Row=18310&amp;Col=1","No Title Assigned - #15277445274")</f>
        <v/>
      </c>
      <c r="B18318" s="0" t="s">
        <v>24184</v>
      </c>
      <c r="E18318" s="0" t="inlineStr">
        <is>
          <t xml:space="preserve">Mazda</t>
        </is>
      </c>
      <c r="F18318" s="0" t="s">
        <v>13</v>
      </c>
      <c r="G18318" s="0" t="s">
        <v>49</v>
      </c>
      <c r="H18318" s="5">
        <v>8.876300</v>
      </c>
    </row>
    <row r="18319" spans="1:9">
      <c r="A18319" s="22" t="str">
        <f>HYPERLINK("https://app.vivvix.com/360/KMI/IntelliDrive/ApplUI/Pages/CreativePages/CustomReportCreativeDetail.aspx?App=23&amp;ReportView=4&amp;Qid=1711279&amp;Row=18311&amp;Col=1","No Title Assigned - #15277445274")</f>
        <v/>
      </c>
      <c r="B18319" s="0" t="s">
        <v>24184</v>
      </c>
      <c r="C18319" s="0" t="s">
        <v>24185</v>
      </c>
      <c r="D18319" s="0" t="s">
        <v>5013</v>
      </c>
      <c r="E18319" s="0" t="inlineStr">
        <is>
          <t xml:space="preserve">Mazda</t>
        </is>
      </c>
      <c r="F18319" s="0" t="s">
        <v>13</v>
      </c>
      <c r="G18319" s="0" t="s">
        <v>49</v>
      </c>
      <c r="H18319" s="5">
        <v>35.250800</v>
      </c>
    </row>
    <row r="18320" spans="1:9">
      <c r="A18320" s="22" t="str">
        <f>HYPERLINK("https://app.vivvix.com/360/KMI/IntelliDrive/ApplUI/Pages/CreativePages/CustomReportCreativeDetail.aspx?App=23&amp;ReportView=4&amp;Qid=1711279&amp;Row=18312&amp;Col=1","No Title Assigned - #15277445790")</f>
        <v/>
      </c>
      <c r="B18320" s="0" t="s">
        <v>24186</v>
      </c>
      <c r="C18320" s="0" t="s">
        <v>24187</v>
      </c>
      <c r="D18320" s="0" t="s">
        <v>4335</v>
      </c>
      <c r="E18320" s="0" t="inlineStr">
        <is>
          <t xml:space="preserve">Mazda</t>
        </is>
      </c>
      <c r="F18320" s="0" t="s">
        <v>13</v>
      </c>
      <c r="G18320" s="0" t="s">
        <v>49</v>
      </c>
      <c r="H18320" s="5">
        <v>1071.495400</v>
      </c>
    </row>
    <row r="18321" spans="1:9">
      <c r="A18321" s="22" t="str">
        <f>HYPERLINK("https://app.vivvix.com/360/KMI/IntelliDrive/ApplUI/Pages/CreativePages/CustomReportCreativeDetail.aspx?App=23&amp;ReportView=4&amp;Qid=1711279&amp;Row=18313&amp;Col=1","No Title Assigned - #15277445798")</f>
        <v/>
      </c>
      <c r="B18321" s="0" t="s">
        <v>24188</v>
      </c>
      <c r="C18321" s="0" t="s">
        <v>24189</v>
      </c>
      <c r="D18321" s="0" t="s">
        <v>4335</v>
      </c>
      <c r="E18321" s="0" t="inlineStr">
        <is>
          <t xml:space="preserve">Mazda</t>
        </is>
      </c>
      <c r="F18321" s="0" t="s">
        <v>13</v>
      </c>
      <c r="G18321" s="0" t="s">
        <v>49</v>
      </c>
      <c r="H18321" s="5">
        <v>8.807700</v>
      </c>
    </row>
    <row r="18322" spans="1:9">
      <c r="A18322" s="22" t="str">
        <f>HYPERLINK("https://app.vivvix.com/360/KMI/IntelliDrive/ApplUI/Pages/CreativePages/CustomReportCreativeDetail.aspx?App=23&amp;ReportView=4&amp;Qid=1711279&amp;Row=18314&amp;Col=1","No Title Assigned - #15277445799")</f>
        <v/>
      </c>
      <c r="B18322" s="0" t="s">
        <v>24190</v>
      </c>
      <c r="C18322" s="0" t="s">
        <v>24191</v>
      </c>
      <c r="D18322" s="0" t="s">
        <v>4335</v>
      </c>
      <c r="E18322" s="0" t="inlineStr">
        <is>
          <t xml:space="preserve">Mazda</t>
        </is>
      </c>
      <c r="F18322" s="0" t="s">
        <v>13</v>
      </c>
      <c r="G18322" s="0" t="s">
        <v>49</v>
      </c>
      <c r="H18322" s="5">
        <v>8.807700</v>
      </c>
    </row>
    <row r="18323" spans="1:9">
      <c r="A18323" s="22" t="str">
        <f>HYPERLINK("https://app.vivvix.com/360/KMI/IntelliDrive/ApplUI/Pages/CreativePages/CustomReportCreativeDetail.aspx?App=23&amp;ReportView=4&amp;Qid=1711279&amp;Row=18315&amp;Col=1","No Title Assigned - #15277445836")</f>
        <v/>
      </c>
      <c r="B18323" s="0" t="s">
        <v>24192</v>
      </c>
      <c r="C18323" s="0" t="s">
        <v>24193</v>
      </c>
      <c r="D18323" s="0" t="s">
        <v>4774</v>
      </c>
      <c r="E18323" s="0" t="inlineStr">
        <is>
          <t xml:space="preserve">Mazda</t>
        </is>
      </c>
      <c r="F18323" s="0" t="s">
        <v>13</v>
      </c>
      <c r="G18323" s="0" t="s">
        <v>49</v>
      </c>
      <c r="H18323" s="5">
        <v>478.104500</v>
      </c>
    </row>
    <row r="18324" spans="1:9">
      <c r="A18324" s="22" t="str">
        <f>HYPERLINK("https://app.vivvix.com/360/KMI/IntelliDrive/ApplUI/Pages/CreativePages/CustomReportCreativeDetail.aspx?App=23&amp;ReportView=4&amp;Qid=1711279&amp;Row=18316&amp;Col=1","No Title Assigned - #15277446386")</f>
        <v/>
      </c>
      <c r="B18324" s="0" t="s">
        <v>24194</v>
      </c>
      <c r="C18324" s="0" t="s">
        <v>24195</v>
      </c>
      <c r="D18324" s="0" t="s">
        <v>4774</v>
      </c>
      <c r="E18324" s="0" t="inlineStr">
        <is>
          <t xml:space="preserve">Mazda</t>
        </is>
      </c>
      <c r="F18324" s="0" t="s">
        <v>13</v>
      </c>
      <c r="G18324" s="0" t="s">
        <v>49</v>
      </c>
      <c r="H18324" s="5">
        <v>49.414500</v>
      </c>
    </row>
    <row r="18325" spans="1:9">
      <c r="A18325" s="22" t="str">
        <f>HYPERLINK("https://app.vivvix.com/360/KMI/IntelliDrive/ApplUI/Pages/CreativePages/CustomReportCreativeDetail.aspx?App=23&amp;ReportView=4&amp;Qid=1711279&amp;Row=18317&amp;Col=1","No Title Assigned - #15277446666")</f>
        <v/>
      </c>
      <c r="B18325" s="0" t="s">
        <v>24196</v>
      </c>
      <c r="C18325" s="0" t="s">
        <v>24197</v>
      </c>
      <c r="D18325" s="0" t="s">
        <v>4774</v>
      </c>
      <c r="E18325" s="0" t="inlineStr">
        <is>
          <t xml:space="preserve">Mazda</t>
        </is>
      </c>
      <c r="F18325" s="0" t="s">
        <v>13</v>
      </c>
      <c r="G18325" s="0" t="s">
        <v>49</v>
      </c>
      <c r="H18325" s="5">
        <v>518.079900</v>
      </c>
    </row>
    <row r="18326" spans="1:9">
      <c r="A18326" s="22" t="str">
        <f>HYPERLINK("https://app.vivvix.com/360/KMI/IntelliDrive/ApplUI/Pages/CreativePages/CustomReportCreativeDetail.aspx?App=23&amp;ReportView=4&amp;Qid=1711279&amp;Row=18318&amp;Col=1","No Title Assigned - #15277446753")</f>
        <v/>
      </c>
      <c r="B18326" s="0" t="s">
        <v>24198</v>
      </c>
      <c r="C18326" s="0" t="s">
        <v>24199</v>
      </c>
      <c r="D18326" s="0" t="s">
        <v>8445</v>
      </c>
      <c r="E18326" s="0" t="inlineStr">
        <is>
          <t xml:space="preserve">Mazda</t>
        </is>
      </c>
      <c r="F18326" s="0" t="s">
        <v>13</v>
      </c>
      <c r="G18326" s="0" t="s">
        <v>49</v>
      </c>
      <c r="H18326" s="5">
        <v>18.176500</v>
      </c>
    </row>
    <row r="18327" spans="1:9">
      <c r="A18327" s="22" t="str">
        <f>HYPERLINK("https://app.vivvix.com/360/KMI/IntelliDrive/ApplUI/Pages/CreativePages/CustomReportCreativeDetail.aspx?App=23&amp;ReportView=4&amp;Qid=1711279&amp;Row=18319&amp;Col=1","No Title Assigned - #15277447672")</f>
        <v/>
      </c>
      <c r="B18327" s="0" t="s">
        <v>24200</v>
      </c>
      <c r="C18327" s="0" t="s">
        <v>24201</v>
      </c>
      <c r="D18327" s="0" t="s">
        <v>4774</v>
      </c>
      <c r="E18327" s="0" t="inlineStr">
        <is>
          <t xml:space="preserve">Mazda</t>
        </is>
      </c>
      <c r="F18327" s="0" t="s">
        <v>13</v>
      </c>
      <c r="G18327" s="0" t="s">
        <v>49</v>
      </c>
      <c r="H18327" s="5">
        <v>658.563500</v>
      </c>
    </row>
    <row r="18328" spans="1:9">
      <c r="A18328" s="22" t="str">
        <f>HYPERLINK("https://app.vivvix.com/360/KMI/IntelliDrive/ApplUI/Pages/CreativePages/CustomReportCreativeDetail.aspx?App=23&amp;ReportView=4&amp;Qid=1711279&amp;Row=18320&amp;Col=1","No Title Assigned - #15277447833")</f>
        <v/>
      </c>
      <c r="B18328" s="0" t="s">
        <v>24202</v>
      </c>
      <c r="C18328" s="0" t="s">
        <v>24203</v>
      </c>
      <c r="D18328" s="0" t="s">
        <v>24203</v>
      </c>
      <c r="E18328" s="0" t="inlineStr">
        <is>
          <t xml:space="preserve">Mazda</t>
        </is>
      </c>
      <c r="F18328" s="0" t="s">
        <v>13</v>
      </c>
      <c r="G18328" s="0" t="s">
        <v>49</v>
      </c>
      <c r="H18328" s="5">
        <v>121.792000</v>
      </c>
    </row>
    <row r="18329" spans="1:9">
      <c r="A18329" s="22" t="str">
        <f>HYPERLINK("https://app.vivvix.com/360/KMI/IntelliDrive/ApplUI/Pages/CreativePages/CustomReportCreativeDetail.aspx?App=23&amp;ReportView=4&amp;Qid=1711279&amp;Row=18321&amp;Col=1","No Title Assigned - #15277448047")</f>
        <v/>
      </c>
      <c r="B18329" s="0" t="s">
        <v>24204</v>
      </c>
      <c r="E18329" s="0" t="inlineStr">
        <is>
          <t xml:space="preserve">Mazda</t>
        </is>
      </c>
      <c r="F18329" s="0" t="inlineStr">
        <is>
          <t xml:space="preserve">Mazda</t>
        </is>
      </c>
      <c r="G18329" s="0" t="s">
        <v>171</v>
      </c>
      <c r="H18329" s="5">
        <v>111.152000</v>
      </c>
    </row>
    <row r="18330" spans="1:9">
      <c r="A18330" s="22" t="str">
        <f>HYPERLINK("https://app.vivvix.com/360/KMI/IntelliDrive/ApplUI/Pages/CreativePages/CustomReportCreativeDetail.aspx?App=23&amp;ReportView=4&amp;Qid=1711279&amp;Row=18322&amp;Col=1","No Title Assigned - #15277448081")</f>
        <v/>
      </c>
      <c r="B18330" s="0" t="s">
        <v>24205</v>
      </c>
      <c r="C18330" s="0" t="s">
        <v>24206</v>
      </c>
      <c r="D18330" s="0" t="s">
        <v>9949</v>
      </c>
      <c r="E18330" s="0" t="inlineStr">
        <is>
          <t xml:space="preserve">Mazda</t>
        </is>
      </c>
      <c r="F18330" s="0" t="s">
        <v>13</v>
      </c>
      <c r="G18330" s="0" t="s">
        <v>49</v>
      </c>
      <c r="H18330" s="5">
        <v>181.129400</v>
      </c>
    </row>
    <row r="18331" spans="1:9">
      <c r="A18331" s="22" t="str">
        <f>HYPERLINK("https://app.vivvix.com/360/KMI/IntelliDrive/ApplUI/Pages/CreativePages/CustomReportCreativeDetail.aspx?App=23&amp;ReportView=4&amp;Qid=1711279&amp;Row=18323&amp;Col=1","No Title Assigned - #15277448351")</f>
        <v/>
      </c>
      <c r="B18331" s="0" t="s">
        <v>24207</v>
      </c>
      <c r="C18331" s="0" t="s">
        <v>24208</v>
      </c>
      <c r="D18331" s="0" t="s">
        <v>24208</v>
      </c>
      <c r="E18331" s="0" t="inlineStr">
        <is>
          <t xml:space="preserve">Mazda</t>
        </is>
      </c>
      <c r="F18331" s="0" t="s">
        <v>13</v>
      </c>
      <c r="G18331" s="0" t="s">
        <v>49</v>
      </c>
      <c r="H18331" s="5">
        <v>6537.769500</v>
      </c>
    </row>
    <row r="18332" spans="1:9">
      <c r="A18332" s="22" t="str">
        <f>HYPERLINK("https://app.vivvix.com/360/KMI/IntelliDrive/ApplUI/Pages/CreativePages/CustomReportCreativeDetail.aspx?App=23&amp;ReportView=4&amp;Qid=1711279&amp;Row=18324&amp;Col=1","No Title Assigned - #15277448776")</f>
        <v/>
      </c>
      <c r="B18332" s="0" t="s">
        <v>24209</v>
      </c>
      <c r="C18332" s="0" t="s">
        <v>24210</v>
      </c>
      <c r="D18332" s="0" t="s">
        <v>6183</v>
      </c>
      <c r="E18332" s="0" t="inlineStr">
        <is>
          <t xml:space="preserve">Mazda</t>
        </is>
      </c>
      <c r="F18332" s="0" t="s">
        <v>13</v>
      </c>
      <c r="G18332" s="0" t="s">
        <v>49</v>
      </c>
      <c r="H18332" s="5">
        <v>546.398700</v>
      </c>
    </row>
    <row r="18333" spans="1:9">
      <c r="A18333" s="22" t="str">
        <f>HYPERLINK("https://app.vivvix.com/360/KMI/IntelliDrive/ApplUI/Pages/CreativePages/CustomReportCreativeDetail.aspx?App=23&amp;ReportView=4&amp;Qid=1711279&amp;Row=18325&amp;Col=1","No Title Assigned - #15277449077")</f>
        <v/>
      </c>
      <c r="B18333" s="0" t="s">
        <v>24211</v>
      </c>
      <c r="C18333" s="0" t="s">
        <v>24212</v>
      </c>
      <c r="D18333" s="0" t="s">
        <v>24212</v>
      </c>
      <c r="E18333" s="0" t="inlineStr">
        <is>
          <t xml:space="preserve">Mazda</t>
        </is>
      </c>
      <c r="F18333" s="0" t="s">
        <v>13</v>
      </c>
      <c r="G18333" s="0" t="s">
        <v>49</v>
      </c>
      <c r="H18333" s="5">
        <v>2389.368500</v>
      </c>
    </row>
    <row r="18334" spans="1:9">
      <c r="A18334" s="22" t="str">
        <f>HYPERLINK("https://app.vivvix.com/360/KMI/IntelliDrive/ApplUI/Pages/CreativePages/CustomReportCreativeDetail.aspx?App=23&amp;ReportView=4&amp;Qid=1711279&amp;Row=18326&amp;Col=1","No Title Assigned - #15277449090")</f>
        <v/>
      </c>
      <c r="B18334" s="0" t="s">
        <v>24213</v>
      </c>
      <c r="C18334" s="0" t="s">
        <v>24214</v>
      </c>
      <c r="D18334" s="0" t="s">
        <v>5013</v>
      </c>
      <c r="E18334" s="0" t="inlineStr">
        <is>
          <t xml:space="preserve">Mazda</t>
        </is>
      </c>
      <c r="F18334" s="0" t="s">
        <v>13</v>
      </c>
      <c r="G18334" s="0" t="s">
        <v>49</v>
      </c>
      <c r="H18334" s="5">
        <v>17.463900</v>
      </c>
    </row>
    <row r="18335" spans="1:9">
      <c r="A18335" s="22" t="str">
        <f>HYPERLINK("https://app.vivvix.com/360/KMI/IntelliDrive/ApplUI/Pages/CreativePages/CustomReportCreativeDetail.aspx?App=23&amp;ReportView=4&amp;Qid=1711279&amp;Row=18327&amp;Col=1","No Title Assigned - #15277449223")</f>
        <v/>
      </c>
      <c r="B18335" s="0" t="s">
        <v>24215</v>
      </c>
      <c r="C18335" s="0" t="s">
        <v>24216</v>
      </c>
      <c r="D18335" s="0" t="s">
        <v>10400</v>
      </c>
      <c r="E18335" s="0" t="inlineStr">
        <is>
          <t xml:space="preserve">Mazda</t>
        </is>
      </c>
      <c r="F18335" s="0" t="s">
        <v>13</v>
      </c>
      <c r="G18335" s="0" t="s">
        <v>49</v>
      </c>
      <c r="H18335" s="5">
        <v>3952.925000</v>
      </c>
    </row>
    <row r="18336" spans="1:9">
      <c r="A18336" s="22" t="str">
        <f>HYPERLINK("https://app.vivvix.com/360/KMI/IntelliDrive/ApplUI/Pages/CreativePages/CustomReportCreativeDetail.aspx?App=23&amp;ReportView=4&amp;Qid=1711279&amp;Row=18328&amp;Col=1","No Title Assigned - #15277449390")</f>
        <v/>
      </c>
      <c r="B18336" s="0" t="s">
        <v>24217</v>
      </c>
      <c r="C18336" s="0" t="s">
        <v>24218</v>
      </c>
      <c r="D18336" s="0" t="s">
        <v>4774</v>
      </c>
      <c r="E18336" s="0" t="inlineStr">
        <is>
          <t xml:space="preserve">Mazda</t>
        </is>
      </c>
      <c r="F18336" s="0" t="s">
        <v>13</v>
      </c>
      <c r="G18336" s="0" t="s">
        <v>49</v>
      </c>
      <c r="H18336" s="5">
        <v>36.540100</v>
      </c>
    </row>
    <row r="18337" spans="1:9">
      <c r="A18337" s="22" t="str">
        <f>HYPERLINK("https://app.vivvix.com/360/KMI/IntelliDrive/ApplUI/Pages/CreativePages/CustomReportCreativeDetail.aspx?App=23&amp;ReportView=4&amp;Qid=1711279&amp;Row=18329&amp;Col=1","No Title Assigned - #15277449570")</f>
        <v/>
      </c>
      <c r="B18337" s="0" t="s">
        <v>24219</v>
      </c>
      <c r="C18337" s="0" t="s">
        <v>24220</v>
      </c>
      <c r="D18337" s="0" t="s">
        <v>24220</v>
      </c>
      <c r="E18337" s="0" t="inlineStr">
        <is>
          <t xml:space="preserve">Mazda</t>
        </is>
      </c>
      <c r="F18337" s="0" t="s">
        <v>13</v>
      </c>
      <c r="G18337" s="0" t="s">
        <v>49</v>
      </c>
      <c r="H18337" s="5">
        <v>31.909500</v>
      </c>
    </row>
    <row r="18338" spans="1:9">
      <c r="A18338" s="22" t="str">
        <f>HYPERLINK("https://app.vivvix.com/360/KMI/IntelliDrive/ApplUI/Pages/CreativePages/CustomReportCreativeDetail.aspx?App=23&amp;ReportView=4&amp;Qid=1711279&amp;Row=18330&amp;Col=1","No Title Assigned - #15277449819")</f>
        <v/>
      </c>
      <c r="B18338" s="0" t="s">
        <v>24221</v>
      </c>
      <c r="C18338" s="0" t="s">
        <v>24222</v>
      </c>
      <c r="D18338" s="0" t="s">
        <v>5013</v>
      </c>
      <c r="E18338" s="0" t="inlineStr">
        <is>
          <t xml:space="preserve">Mazda</t>
        </is>
      </c>
      <c r="F18338" s="0" t="s">
        <v>13</v>
      </c>
      <c r="G18338" s="0" t="s">
        <v>49</v>
      </c>
      <c r="H18338" s="5">
        <v>476.080600</v>
      </c>
    </row>
    <row r="18339" spans="1:9">
      <c r="A18339" s="22" t="str">
        <f>HYPERLINK("https://app.vivvix.com/360/KMI/IntelliDrive/ApplUI/Pages/CreativePages/CustomReportCreativeDetail.aspx?App=23&amp;ReportView=4&amp;Qid=1711279&amp;Row=18331&amp;Col=1","No Title Assigned - #15277457627")</f>
        <v/>
      </c>
      <c r="B18339" s="0" t="s">
        <v>24223</v>
      </c>
      <c r="C18339" s="0" t="s">
        <v>24224</v>
      </c>
      <c r="D18339" s="0" t="s">
        <v>24224</v>
      </c>
      <c r="E18339" s="0" t="inlineStr">
        <is>
          <t xml:space="preserve">Mazda</t>
        </is>
      </c>
      <c r="F18339" s="0" t="s">
        <v>13</v>
      </c>
      <c r="G18339" s="0" t="s">
        <v>49</v>
      </c>
      <c r="H18339" s="5">
        <v>3803.877200</v>
      </c>
    </row>
    <row r="18340" spans="1:9">
      <c r="A18340" s="22" t="str">
        <f>HYPERLINK("https://app.vivvix.com/360/KMI/IntelliDrive/ApplUI/Pages/CreativePages/CustomReportCreativeDetail.aspx?App=23&amp;ReportView=4&amp;Qid=1711279&amp;Row=18332&amp;Col=1","No Title Assigned - #15277460835")</f>
        <v/>
      </c>
      <c r="B18340" s="0" t="s">
        <v>24225</v>
      </c>
      <c r="C18340" s="0" t="s">
        <v>24226</v>
      </c>
      <c r="D18340" s="0" t="s">
        <v>21129</v>
      </c>
      <c r="E18340" s="0" t="inlineStr">
        <is>
          <t xml:space="preserve">Mazda</t>
        </is>
      </c>
      <c r="F18340" s="0" t="s">
        <v>13</v>
      </c>
      <c r="G18340" s="0" t="s">
        <v>49</v>
      </c>
      <c r="H18340" s="5">
        <v>1396.667700</v>
      </c>
    </row>
    <row r="18341" spans="1:9">
      <c r="A18341" s="22" t="str">
        <f>HYPERLINK("https://app.vivvix.com/360/KMI/IntelliDrive/ApplUI/Pages/CreativePages/CustomReportCreativeDetail.aspx?App=23&amp;ReportView=4&amp;Qid=1711279&amp;Row=18333&amp;Col=1","No Title Assigned - #15277460886")</f>
        <v/>
      </c>
      <c r="B18341" s="0" t="s">
        <v>24227</v>
      </c>
      <c r="C18341" s="0" t="s">
        <v>24228</v>
      </c>
      <c r="D18341" s="0" t="s">
        <v>24228</v>
      </c>
      <c r="E18341" s="0" t="inlineStr">
        <is>
          <t xml:space="preserve">Mazda</t>
        </is>
      </c>
      <c r="F18341" s="0" t="s">
        <v>13</v>
      </c>
      <c r="G18341" s="0" t="s">
        <v>49</v>
      </c>
      <c r="H18341" s="5">
        <v>401.648700</v>
      </c>
    </row>
    <row r="18342" spans="1:9">
      <c r="A18342" s="22" t="str">
        <f>HYPERLINK("https://app.vivvix.com/360/KMI/IntelliDrive/ApplUI/Pages/CreativePages/CustomReportCreativeDetail.aspx?App=23&amp;ReportView=4&amp;Qid=1711279&amp;Row=18334&amp;Col=1","No Title Assigned - #15277460914")</f>
        <v/>
      </c>
      <c r="B18342" s="0" t="s">
        <v>24229</v>
      </c>
      <c r="C18342" s="0" t="s">
        <v>24230</v>
      </c>
      <c r="D18342" s="0" t="s">
        <v>24230</v>
      </c>
      <c r="E18342" s="0" t="inlineStr">
        <is>
          <t xml:space="preserve">Mazda</t>
        </is>
      </c>
      <c r="F18342" s="0" t="s">
        <v>13</v>
      </c>
      <c r="G18342" s="0" t="s">
        <v>49</v>
      </c>
      <c r="H18342" s="5">
        <v>13081.737600</v>
      </c>
    </row>
    <row r="18343" spans="1:9">
      <c r="A18343" s="22" t="str">
        <f>HYPERLINK("https://app.vivvix.com/360/KMI/IntelliDrive/ApplUI/Pages/CreativePages/CustomReportCreativeDetail.aspx?App=23&amp;ReportView=4&amp;Qid=1711279&amp;Row=18335&amp;Col=1","No Title Assigned - #15277461363")</f>
        <v/>
      </c>
      <c r="B18343" s="0" t="s">
        <v>24231</v>
      </c>
      <c r="C18343" s="0" t="s">
        <v>24232</v>
      </c>
      <c r="D18343" s="0" t="s">
        <v>19758</v>
      </c>
      <c r="E18343" s="0" t="inlineStr">
        <is>
          <t xml:space="preserve">Mazda</t>
        </is>
      </c>
      <c r="F18343" s="0" t="s">
        <v>13</v>
      </c>
      <c r="G18343" s="0" t="s">
        <v>49</v>
      </c>
      <c r="H18343" s="5">
        <v>51.476500</v>
      </c>
    </row>
    <row r="18344" spans="1:9">
      <c r="A18344" s="22" t="str">
        <f>HYPERLINK("https://app.vivvix.com/360/KMI/IntelliDrive/ApplUI/Pages/CreativePages/CustomReportCreativeDetail.aspx?App=23&amp;ReportView=4&amp;Qid=1711279&amp;Row=18336&amp;Col=1","No Title Assigned - #15277461873")</f>
        <v/>
      </c>
      <c r="B18344" s="0" t="s">
        <v>24233</v>
      </c>
      <c r="C18344" s="0" t="s">
        <v>24234</v>
      </c>
      <c r="D18344" s="0" t="s">
        <v>24234</v>
      </c>
      <c r="E18344" s="0" t="inlineStr">
        <is>
          <t xml:space="preserve">Mazda</t>
        </is>
      </c>
      <c r="F18344" s="0" t="s">
        <v>13</v>
      </c>
      <c r="G18344" s="0" t="s">
        <v>49</v>
      </c>
      <c r="H18344" s="5">
        <v>19.436700</v>
      </c>
    </row>
    <row r="18345" spans="1:9">
      <c r="A18345" s="22" t="str">
        <f>HYPERLINK("https://app.vivvix.com/360/KMI/IntelliDrive/ApplUI/Pages/CreativePages/CustomReportCreativeDetail.aspx?App=23&amp;ReportView=4&amp;Qid=1711279&amp;Row=18337&amp;Col=1","No Title Assigned - #15277461875")</f>
        <v/>
      </c>
      <c r="B18345" s="0" t="s">
        <v>24235</v>
      </c>
      <c r="C18345" s="0" t="s">
        <v>24236</v>
      </c>
      <c r="D18345" s="0" t="s">
        <v>24236</v>
      </c>
      <c r="E18345" s="0" t="inlineStr">
        <is>
          <t xml:space="preserve">Mazda</t>
        </is>
      </c>
      <c r="F18345" s="0" t="s">
        <v>13</v>
      </c>
      <c r="G18345" s="0" t="s">
        <v>49</v>
      </c>
      <c r="H18345" s="5">
        <v>11.227500</v>
      </c>
    </row>
    <row r="18346" spans="1:9">
      <c r="A18346" s="22" t="str">
        <f>HYPERLINK("https://app.vivvix.com/360/KMI/IntelliDrive/ApplUI/Pages/CreativePages/CustomReportCreativeDetail.aspx?App=23&amp;ReportView=4&amp;Qid=1711279&amp;Row=18338&amp;Col=1","No Title Assigned - #15277461876")</f>
        <v/>
      </c>
      <c r="B18346" s="0" t="s">
        <v>24237</v>
      </c>
      <c r="C18346" s="0" t="s">
        <v>24238</v>
      </c>
      <c r="D18346" s="0" t="s">
        <v>24238</v>
      </c>
      <c r="E18346" s="0" t="inlineStr">
        <is>
          <t xml:space="preserve">Mazda</t>
        </is>
      </c>
      <c r="F18346" s="0" t="s">
        <v>13</v>
      </c>
      <c r="G18346" s="0" t="s">
        <v>49</v>
      </c>
      <c r="H18346" s="5">
        <v>22.455000</v>
      </c>
    </row>
    <row r="18347" spans="1:9">
      <c r="A18347" s="22" t="str">
        <f>HYPERLINK("https://app.vivvix.com/360/KMI/IntelliDrive/ApplUI/Pages/CreativePages/CustomReportCreativeDetail.aspx?App=23&amp;ReportView=4&amp;Qid=1711279&amp;Row=18339&amp;Col=1","No Title Assigned - #15277462153")</f>
        <v/>
      </c>
      <c r="B18347" s="0" t="s">
        <v>24239</v>
      </c>
      <c r="C18347" s="0" t="s">
        <v>24240</v>
      </c>
      <c r="D18347" s="0" t="s">
        <v>24240</v>
      </c>
      <c r="E18347" s="0" t="inlineStr">
        <is>
          <t xml:space="preserve">Mazda</t>
        </is>
      </c>
      <c r="F18347" s="0" t="s">
        <v>13</v>
      </c>
      <c r="G18347" s="0" t="s">
        <v>49</v>
      </c>
      <c r="H18347" s="5">
        <v>22.277600</v>
      </c>
    </row>
    <row r="18348" spans="1:9">
      <c r="A18348" s="22" t="str">
        <f>HYPERLINK("https://app.vivvix.com/360/KMI/IntelliDrive/ApplUI/Pages/CreativePages/CustomReportCreativeDetail.aspx?App=23&amp;ReportView=4&amp;Qid=1711279&amp;Row=18340&amp;Col=1","No Title Assigned - #15277462810")</f>
        <v/>
      </c>
      <c r="B18348" s="0" t="s">
        <v>24241</v>
      </c>
      <c r="C18348" s="0" t="s">
        <v>24242</v>
      </c>
      <c r="D18348" s="0" t="s">
        <v>24242</v>
      </c>
      <c r="E18348" s="0" t="inlineStr">
        <is>
          <t xml:space="preserve">Mazda</t>
        </is>
      </c>
      <c r="F18348" s="0" t="s">
        <v>13</v>
      </c>
      <c r="G18348" s="0" t="s">
        <v>49</v>
      </c>
      <c r="H18348" s="5">
        <v>304.683100</v>
      </c>
    </row>
    <row r="18349" spans="1:9">
      <c r="A18349" s="22" t="str">
        <f>HYPERLINK("https://app.vivvix.com/360/KMI/IntelliDrive/ApplUI/Pages/CreativePages/CustomReportCreativeDetail.aspx?App=23&amp;ReportView=4&amp;Qid=1711279&amp;Row=18341&amp;Col=1","No Title Assigned - #15277463036")</f>
        <v/>
      </c>
      <c r="B18349" s="0" t="s">
        <v>24243</v>
      </c>
      <c r="C18349" s="0" t="s">
        <v>24244</v>
      </c>
      <c r="D18349" s="0" t="s">
        <v>4774</v>
      </c>
      <c r="E18349" s="0" t="inlineStr">
        <is>
          <t xml:space="preserve">Mazda</t>
        </is>
      </c>
      <c r="F18349" s="0" t="s">
        <v>13</v>
      </c>
      <c r="G18349" s="0" t="s">
        <v>49</v>
      </c>
      <c r="H18349" s="5">
        <v>547.202200</v>
      </c>
    </row>
    <row r="18350" spans="1:9">
      <c r="A18350" s="22" t="str">
        <f>HYPERLINK("https://app.vivvix.com/360/KMI/IntelliDrive/ApplUI/Pages/CreativePages/CustomReportCreativeDetail.aspx?App=23&amp;ReportView=4&amp;Qid=1711279&amp;Row=18342&amp;Col=1","No Title Assigned - #15277463174")</f>
        <v/>
      </c>
      <c r="B18350" s="0" t="s">
        <v>24245</v>
      </c>
      <c r="C18350" s="0" t="s">
        <v>24246</v>
      </c>
      <c r="D18350" s="0" t="s">
        <v>10860</v>
      </c>
      <c r="E18350" s="0" t="inlineStr">
        <is>
          <t xml:space="preserve">Mazda</t>
        </is>
      </c>
      <c r="F18350" s="0" t="s">
        <v>13</v>
      </c>
      <c r="G18350" s="0" t="s">
        <v>49</v>
      </c>
      <c r="H18350" s="5">
        <v>109.251500</v>
      </c>
    </row>
    <row r="18351" spans="1:9">
      <c r="A18351" s="22" t="str">
        <f>HYPERLINK("https://app.vivvix.com/360/KMI/IntelliDrive/ApplUI/Pages/CreativePages/CustomReportCreativeDetail.aspx?App=23&amp;ReportView=4&amp;Qid=1711279&amp;Row=18343&amp;Col=1","No Title Assigned - #15277463597")</f>
        <v/>
      </c>
      <c r="B18351" s="0" t="s">
        <v>24247</v>
      </c>
      <c r="C18351" s="0" t="s">
        <v>24248</v>
      </c>
      <c r="D18351" s="0" t="s">
        <v>24248</v>
      </c>
      <c r="E18351" s="0" t="inlineStr">
        <is>
          <t xml:space="preserve">Mazda</t>
        </is>
      </c>
      <c r="F18351" s="0" t="s">
        <v>13</v>
      </c>
      <c r="G18351" s="0" t="s">
        <v>49</v>
      </c>
      <c r="H18351" s="5">
        <v>259.411700</v>
      </c>
    </row>
    <row r="18352" spans="1:9">
      <c r="A18352" s="22" t="str">
        <f>HYPERLINK("https://app.vivvix.com/360/KMI/IntelliDrive/ApplUI/Pages/CreativePages/CustomReportCreativeDetail.aspx?App=23&amp;ReportView=4&amp;Qid=1711279&amp;Row=18344&amp;Col=1","No Title Assigned - #15277463888")</f>
        <v/>
      </c>
      <c r="B18352" s="0" t="s">
        <v>24249</v>
      </c>
      <c r="C18352" s="0" t="s">
        <v>24250</v>
      </c>
      <c r="D18352" s="0" t="s">
        <v>11053</v>
      </c>
      <c r="E18352" s="0" t="inlineStr">
        <is>
          <t xml:space="preserve">Mazda</t>
        </is>
      </c>
      <c r="F18352" s="0" t="s">
        <v>13</v>
      </c>
      <c r="G18352" s="0" t="s">
        <v>49</v>
      </c>
      <c r="H18352" s="5">
        <v>109.020900</v>
      </c>
    </row>
    <row r="18353" spans="1:9">
      <c r="A18353" s="22" t="str">
        <f>HYPERLINK("https://app.vivvix.com/360/KMI/IntelliDrive/ApplUI/Pages/CreativePages/CustomReportCreativeDetail.aspx?App=23&amp;ReportView=4&amp;Qid=1711279&amp;Row=18345&amp;Col=1","No Title Assigned - #15277463900")</f>
        <v/>
      </c>
      <c r="B18353" s="0" t="s">
        <v>24251</v>
      </c>
      <c r="C18353" s="0" t="s">
        <v>24252</v>
      </c>
      <c r="D18353" s="0" t="s">
        <v>4335</v>
      </c>
      <c r="E18353" s="0" t="inlineStr">
        <is>
          <t xml:space="preserve">Mazda</t>
        </is>
      </c>
      <c r="F18353" s="0" t="s">
        <v>13</v>
      </c>
      <c r="G18353" s="0" t="s">
        <v>49</v>
      </c>
      <c r="H18353" s="5">
        <v>41.926100</v>
      </c>
    </row>
    <row r="18354" spans="1:9">
      <c r="A18354" s="22" t="str">
        <f>HYPERLINK("https://app.vivvix.com/360/KMI/IntelliDrive/ApplUI/Pages/CreativePages/CustomReportCreativeDetail.aspx?App=23&amp;ReportView=4&amp;Qid=1711279&amp;Row=18346&amp;Col=1","No Title Assigned - #15277465281")</f>
        <v/>
      </c>
      <c r="B18354" s="0" t="s">
        <v>24253</v>
      </c>
      <c r="C18354" s="0" t="s">
        <v>24254</v>
      </c>
      <c r="D18354" s="0" t="s">
        <v>4774</v>
      </c>
      <c r="E18354" s="0" t="inlineStr">
        <is>
          <t xml:space="preserve">Mazda</t>
        </is>
      </c>
      <c r="F18354" s="0" t="s">
        <v>13</v>
      </c>
      <c r="G18354" s="0" t="s">
        <v>49</v>
      </c>
      <c r="H18354" s="5">
        <v>33.115400</v>
      </c>
    </row>
    <row r="18355" spans="1:9">
      <c r="A18355" s="22" t="str">
        <f>HYPERLINK("https://app.vivvix.com/360/KMI/IntelliDrive/ApplUI/Pages/CreativePages/CustomReportCreativeDetail.aspx?App=23&amp;ReportView=4&amp;Qid=1711279&amp;Row=18347&amp;Col=1","No Title Assigned - #15277465540")</f>
        <v/>
      </c>
      <c r="B18355" s="0" t="s">
        <v>24255</v>
      </c>
      <c r="C18355" s="0" t="s">
        <v>24256</v>
      </c>
      <c r="D18355" s="0" t="s">
        <v>20040</v>
      </c>
      <c r="E18355" s="0" t="inlineStr">
        <is>
          <t xml:space="preserve">Mazda</t>
        </is>
      </c>
      <c r="F18355" s="0" t="s">
        <v>13</v>
      </c>
      <c r="G18355" s="0" t="s">
        <v>49</v>
      </c>
      <c r="H18355" s="5">
        <v>60.147600</v>
      </c>
    </row>
    <row r="18356" spans="1:9">
      <c r="A18356" s="22" t="str">
        <f>HYPERLINK("https://app.vivvix.com/360/KMI/IntelliDrive/ApplUI/Pages/CreativePages/CustomReportCreativeDetail.aspx?App=23&amp;ReportView=4&amp;Qid=1711279&amp;Row=18348&amp;Col=1","No Title Assigned - #15277465627")</f>
        <v/>
      </c>
      <c r="B18356" s="0" t="s">
        <v>24257</v>
      </c>
      <c r="C18356" s="0" t="s">
        <v>24258</v>
      </c>
      <c r="D18356" s="0" t="s">
        <v>24258</v>
      </c>
      <c r="E18356" s="0" t="inlineStr">
        <is>
          <t xml:space="preserve">Mazda</t>
        </is>
      </c>
      <c r="F18356" s="0" t="s">
        <v>13</v>
      </c>
      <c r="G18356" s="0" t="s">
        <v>49</v>
      </c>
      <c r="H18356" s="5">
        <v>21.117100</v>
      </c>
    </row>
    <row r="18357" spans="1:9">
      <c r="A18357" s="22" t="str">
        <f>HYPERLINK("https://app.vivvix.com/360/KMI/IntelliDrive/ApplUI/Pages/CreativePages/CustomReportCreativeDetail.aspx?App=23&amp;ReportView=4&amp;Qid=1711279&amp;Row=18349&amp;Col=1","No Title Assigned - #15277466724")</f>
        <v/>
      </c>
      <c r="B18357" s="0" t="s">
        <v>24259</v>
      </c>
      <c r="C18357" s="0" t="s">
        <v>24260</v>
      </c>
      <c r="D18357" s="0" t="s">
        <v>21675</v>
      </c>
      <c r="E18357" s="0" t="inlineStr">
        <is>
          <t xml:space="preserve">Mazda</t>
        </is>
      </c>
      <c r="F18357" s="0" t="s">
        <v>13</v>
      </c>
      <c r="G18357" s="0" t="s">
        <v>49</v>
      </c>
      <c r="H18357" s="5">
        <v>2448.329200</v>
      </c>
    </row>
    <row r="18358" spans="1:9">
      <c r="A18358" s="22" t="str">
        <f>HYPERLINK("https://app.vivvix.com/360/KMI/IntelliDrive/ApplUI/Pages/CreativePages/CustomReportCreativeDetail.aspx?App=23&amp;ReportView=4&amp;Qid=1711279&amp;Row=18350&amp;Col=1","No Title Assigned - #15277466724")</f>
        <v/>
      </c>
      <c r="B18358" s="0" t="s">
        <v>24259</v>
      </c>
      <c r="E18358" s="0" t="inlineStr">
        <is>
          <t xml:space="preserve">Mazda</t>
        </is>
      </c>
      <c r="F18358" s="0" t="s">
        <v>13</v>
      </c>
      <c r="G18358" s="0" t="s">
        <v>49</v>
      </c>
      <c r="H18358" s="5">
        <v>5682.317300</v>
      </c>
    </row>
    <row r="18359" spans="1:9">
      <c r="A18359" s="22" t="str">
        <f>HYPERLINK("https://app.vivvix.com/360/KMI/IntelliDrive/ApplUI/Pages/CreativePages/CustomReportCreativeDetail.aspx?App=23&amp;ReportView=4&amp;Qid=1711279&amp;Row=18351&amp;Col=1","No Title Assigned - #15277466829")</f>
        <v/>
      </c>
      <c r="B18359" s="0" t="s">
        <v>24261</v>
      </c>
      <c r="C18359" s="0" t="s">
        <v>24262</v>
      </c>
      <c r="D18359" s="0" t="s">
        <v>24262</v>
      </c>
      <c r="E18359" s="0" t="inlineStr">
        <is>
          <t xml:space="preserve">Mazda</t>
        </is>
      </c>
      <c r="F18359" s="0" t="s">
        <v>13</v>
      </c>
      <c r="G18359" s="0" t="s">
        <v>49</v>
      </c>
      <c r="H18359" s="5">
        <v>19575.578900</v>
      </c>
    </row>
    <row r="18360" spans="1:9">
      <c r="A18360" s="22" t="str">
        <f>HYPERLINK("https://app.vivvix.com/360/KMI/IntelliDrive/ApplUI/Pages/CreativePages/CustomReportCreativeDetail.aspx?App=23&amp;ReportView=4&amp;Qid=1711279&amp;Row=18352&amp;Col=1","No Title Assigned - #15277467808")</f>
        <v/>
      </c>
      <c r="B18360" s="0" t="s">
        <v>24263</v>
      </c>
      <c r="E18360" s="0" t="inlineStr">
        <is>
          <t xml:space="preserve">Mazda</t>
        </is>
      </c>
      <c r="F18360" s="0" t="s">
        <v>13</v>
      </c>
      <c r="G18360" s="0" t="s">
        <v>49</v>
      </c>
      <c r="H18360" s="5">
        <v>55.268300</v>
      </c>
    </row>
    <row r="18361" spans="1:9">
      <c r="A18361" s="22" t="str">
        <f>HYPERLINK("https://app.vivvix.com/360/KMI/IntelliDrive/ApplUI/Pages/CreativePages/CustomReportCreativeDetail.aspx?App=23&amp;ReportView=4&amp;Qid=1711279&amp;Row=18353&amp;Col=1","No Title Assigned - #15277467984")</f>
        <v/>
      </c>
      <c r="B18361" s="0" t="s">
        <v>24264</v>
      </c>
      <c r="C18361" s="0" t="s">
        <v>24265</v>
      </c>
      <c r="D18361" s="0" t="s">
        <v>5013</v>
      </c>
      <c r="E18361" s="0" t="inlineStr">
        <is>
          <t xml:space="preserve">Mazda</t>
        </is>
      </c>
      <c r="F18361" s="0" t="s">
        <v>13</v>
      </c>
      <c r="G18361" s="0" t="s">
        <v>49</v>
      </c>
      <c r="H18361" s="5">
        <v>75.911500</v>
      </c>
    </row>
    <row r="18362" spans="1:9">
      <c r="A18362" s="22" t="str">
        <f>HYPERLINK("https://app.vivvix.com/360/KMI/IntelliDrive/ApplUI/Pages/CreativePages/CustomReportCreativeDetail.aspx?App=23&amp;ReportView=4&amp;Qid=1711279&amp;Row=18354&amp;Col=1","No Title Assigned - #15277468020")</f>
        <v/>
      </c>
      <c r="B18362" s="0" t="s">
        <v>24266</v>
      </c>
      <c r="E18362" s="0" t="inlineStr">
        <is>
          <t xml:space="preserve">Mazda</t>
        </is>
      </c>
      <c r="F18362" s="0" t="inlineStr">
        <is>
          <t xml:space="preserve">Mazda</t>
        </is>
      </c>
      <c r="G18362" s="0" t="s">
        <v>171</v>
      </c>
      <c r="H18362" s="5">
        <v>153.400000</v>
      </c>
    </row>
    <row r="18363" spans="1:9">
      <c r="A18363" s="22" t="str">
        <f>HYPERLINK("https://app.vivvix.com/360/KMI/IntelliDrive/ApplUI/Pages/CreativePages/CustomReportCreativeDetail.aspx?App=23&amp;ReportView=4&amp;Qid=1711279&amp;Row=18355&amp;Col=1","No Title Assigned - #15277468951")</f>
        <v/>
      </c>
      <c r="B18363" s="0" t="s">
        <v>24267</v>
      </c>
      <c r="C18363" s="0" t="s">
        <v>24268</v>
      </c>
      <c r="D18363" s="0" t="s">
        <v>24268</v>
      </c>
      <c r="E18363" s="0" t="inlineStr">
        <is>
          <t xml:space="preserve">Mazda</t>
        </is>
      </c>
      <c r="F18363" s="0" t="s">
        <v>13</v>
      </c>
      <c r="G18363" s="0" t="s">
        <v>49</v>
      </c>
      <c r="H18363" s="5">
        <v>236.797900</v>
      </c>
    </row>
    <row r="18364" spans="1:9">
      <c r="A18364" s="22" t="str">
        <f>HYPERLINK("https://app.vivvix.com/360/KMI/IntelliDrive/ApplUI/Pages/CreativePages/CustomReportCreativeDetail.aspx?App=23&amp;ReportView=4&amp;Qid=1711279&amp;Row=18356&amp;Col=1","No Title Assigned - #15277469429")</f>
        <v/>
      </c>
      <c r="B18364" s="0" t="s">
        <v>24269</v>
      </c>
      <c r="C18364" s="0" t="s">
        <v>24270</v>
      </c>
      <c r="D18364" s="0" t="s">
        <v>24270</v>
      </c>
      <c r="E18364" s="0" t="inlineStr">
        <is>
          <t xml:space="preserve">Mazda</t>
        </is>
      </c>
      <c r="F18364" s="0" t="s">
        <v>13</v>
      </c>
      <c r="G18364" s="0" t="s">
        <v>49</v>
      </c>
      <c r="H18364" s="5">
        <v>32.601800</v>
      </c>
    </row>
    <row r="18365" spans="1:9">
      <c r="A18365" s="22" t="str">
        <f>HYPERLINK("https://app.vivvix.com/360/KMI/IntelliDrive/ApplUI/Pages/CreativePages/CustomReportCreativeDetail.aspx?App=23&amp;ReportView=4&amp;Qid=1711279&amp;Row=18357&amp;Col=1","No Title Assigned - #15277469473")</f>
        <v/>
      </c>
      <c r="B18365" s="0" t="s">
        <v>24271</v>
      </c>
      <c r="E18365" s="0" t="inlineStr">
        <is>
          <t xml:space="preserve">Mazda</t>
        </is>
      </c>
      <c r="F18365" s="0" t="inlineStr">
        <is>
          <t xml:space="preserve">Mazda</t>
        </is>
      </c>
      <c r="G18365" s="0" t="s">
        <v>171</v>
      </c>
      <c r="H18365" s="5">
        <v>129.479500</v>
      </c>
    </row>
    <row r="18366" spans="1:9">
      <c r="A18366" s="22" t="str">
        <f>HYPERLINK("https://app.vivvix.com/360/KMI/IntelliDrive/ApplUI/Pages/CreativePages/CustomReportCreativeDetail.aspx?App=23&amp;ReportView=4&amp;Qid=1711279&amp;Row=18358&amp;Col=1","No Title Assigned - #15277469598")</f>
        <v/>
      </c>
      <c r="B18366" s="0" t="s">
        <v>24272</v>
      </c>
      <c r="C18366" s="0" t="s">
        <v>24273</v>
      </c>
      <c r="D18366" s="0" t="s">
        <v>24273</v>
      </c>
      <c r="E18366" s="0" t="inlineStr">
        <is>
          <t xml:space="preserve">Mazda</t>
        </is>
      </c>
      <c r="F18366" s="0" t="s">
        <v>13</v>
      </c>
      <c r="G18366" s="0" t="s">
        <v>49</v>
      </c>
      <c r="H18366" s="5">
        <v>80434.868200</v>
      </c>
    </row>
    <row r="18367" spans="1:9">
      <c r="A18367" s="22" t="str">
        <f>HYPERLINK("https://app.vivvix.com/360/KMI/IntelliDrive/ApplUI/Pages/CreativePages/CustomReportCreativeDetail.aspx?App=23&amp;ReportView=4&amp;Qid=1711279&amp;Row=18359&amp;Col=1","No Title Assigned - #15277469954")</f>
        <v/>
      </c>
      <c r="B18367" s="0" t="s">
        <v>24274</v>
      </c>
      <c r="C18367" s="0" t="s">
        <v>24275</v>
      </c>
      <c r="D18367" s="0" t="s">
        <v>5013</v>
      </c>
      <c r="E18367" s="0" t="inlineStr">
        <is>
          <t xml:space="preserve">Mazda</t>
        </is>
      </c>
      <c r="F18367" s="0" t="s">
        <v>13</v>
      </c>
      <c r="G18367" s="0" t="s">
        <v>49</v>
      </c>
      <c r="H18367" s="5">
        <v>130.190500</v>
      </c>
    </row>
    <row r="18368" spans="1:9">
      <c r="A18368" s="22" t="str">
        <f>HYPERLINK("https://app.vivvix.com/360/KMI/IntelliDrive/ApplUI/Pages/CreativePages/CustomReportCreativeDetail.aspx?App=23&amp;ReportView=4&amp;Qid=1711279&amp;Row=18360&amp;Col=1","No Title Assigned - #15277470405")</f>
        <v/>
      </c>
      <c r="B18368" s="0" t="s">
        <v>24276</v>
      </c>
      <c r="C18368" s="0" t="s">
        <v>24277</v>
      </c>
      <c r="D18368" s="0" t="s">
        <v>24277</v>
      </c>
      <c r="E18368" s="0" t="inlineStr">
        <is>
          <t xml:space="preserve">Mazda</t>
        </is>
      </c>
      <c r="F18368" s="0" t="s">
        <v>13</v>
      </c>
      <c r="G18368" s="0" t="s">
        <v>49</v>
      </c>
      <c r="H18368" s="5">
        <v>822.030600</v>
      </c>
    </row>
    <row r="18369" spans="1:9">
      <c r="A18369" s="22" t="str">
        <f>HYPERLINK("https://app.vivvix.com/360/KMI/IntelliDrive/ApplUI/Pages/CreativePages/CustomReportCreativeDetail.aspx?App=23&amp;ReportView=4&amp;Qid=1711279&amp;Row=18361&amp;Col=1","No Title Assigned - #15277471012")</f>
        <v/>
      </c>
      <c r="B18369" s="0" t="s">
        <v>24278</v>
      </c>
      <c r="E18369" s="0" t="inlineStr">
        <is>
          <t xml:space="preserve">Mazda</t>
        </is>
      </c>
      <c r="F18369" s="0" t="inlineStr">
        <is>
          <t xml:space="preserve">Mazda</t>
        </is>
      </c>
      <c r="G18369" s="0" t="s">
        <v>171</v>
      </c>
      <c r="H18369" s="5">
        <v>3.283400</v>
      </c>
    </row>
    <row r="18370" spans="1:9">
      <c r="A18370" s="22" t="str">
        <f>HYPERLINK("https://app.vivvix.com/360/KMI/IntelliDrive/ApplUI/Pages/CreativePages/CustomReportCreativeDetail.aspx?App=23&amp;ReportView=4&amp;Qid=1711279&amp;Row=18362&amp;Col=1","No Title Assigned - #15277471579")</f>
        <v/>
      </c>
      <c r="B18370" s="0" t="s">
        <v>24279</v>
      </c>
      <c r="E18370" s="0" t="inlineStr">
        <is>
          <t xml:space="preserve">Mazda</t>
        </is>
      </c>
      <c r="F18370" s="0" t="inlineStr">
        <is>
          <t xml:space="preserve">Mazda</t>
        </is>
      </c>
      <c r="G18370" s="0" t="s">
        <v>171</v>
      </c>
      <c r="H18370" s="5">
        <v>80.400100</v>
      </c>
    </row>
    <row r="18371" spans="1:9">
      <c r="A18371" s="22" t="str">
        <f>HYPERLINK("https://app.vivvix.com/360/KMI/IntelliDrive/ApplUI/Pages/CreativePages/CustomReportCreativeDetail.aspx?App=23&amp;ReportView=4&amp;Qid=1711279&amp;Row=18363&amp;Col=1","No Title Assigned - #15277472366")</f>
        <v/>
      </c>
      <c r="B18371" s="0" t="s">
        <v>24280</v>
      </c>
      <c r="E18371" s="0" t="inlineStr">
        <is>
          <t xml:space="preserve">Mazda</t>
        </is>
      </c>
      <c r="F18371" s="0" t="inlineStr">
        <is>
          <t xml:space="preserve">Mazda</t>
        </is>
      </c>
      <c r="G18371" s="0" t="s">
        <v>171</v>
      </c>
      <c r="H18371" s="5">
        <v>560.968400</v>
      </c>
    </row>
    <row r="18372" spans="1:9">
      <c r="A18372" s="22" t="str">
        <f>HYPERLINK("https://app.vivvix.com/360/KMI/IntelliDrive/ApplUI/Pages/CreativePages/CustomReportCreativeDetail.aspx?App=23&amp;ReportView=4&amp;Qid=1711279&amp;Row=18364&amp;Col=1","No Title Assigned - #15277472371")</f>
        <v/>
      </c>
      <c r="B18372" s="0" t="s">
        <v>24281</v>
      </c>
      <c r="E18372" s="0" t="inlineStr">
        <is>
          <t xml:space="preserve">Mazda</t>
        </is>
      </c>
      <c r="F18372" s="0" t="inlineStr">
        <is>
          <t xml:space="preserve">Mazda</t>
        </is>
      </c>
      <c r="G18372" s="0" t="s">
        <v>171</v>
      </c>
      <c r="H18372" s="5">
        <v>841.083300</v>
      </c>
    </row>
    <row r="18373" spans="1:9">
      <c r="A18373" s="22" t="str">
        <f>HYPERLINK("https://app.vivvix.com/360/KMI/IntelliDrive/ApplUI/Pages/CreativePages/CustomReportCreativeDetail.aspx?App=23&amp;ReportView=4&amp;Qid=1711279&amp;Row=18365&amp;Col=1","No Title Assigned - #15277472371")</f>
        <v/>
      </c>
      <c r="B18373" s="0" t="s">
        <v>24281</v>
      </c>
      <c r="E18373" s="0" t="inlineStr">
        <is>
          <t xml:space="preserve">Mazda</t>
        </is>
      </c>
      <c r="F18373" s="0" t="inlineStr">
        <is>
          <t xml:space="preserve">Mazda</t>
        </is>
      </c>
      <c r="G18373" s="0" t="s">
        <v>171</v>
      </c>
      <c r="H18373" s="5">
        <v>117.991100</v>
      </c>
    </row>
    <row r="18374" spans="1:9">
      <c r="A18374" s="22" t="str">
        <f>HYPERLINK("https://app.vivvix.com/360/KMI/IntelliDrive/ApplUI/Pages/CreativePages/CustomReportCreativeDetail.aspx?App=23&amp;ReportView=4&amp;Qid=1711279&amp;Row=18366&amp;Col=1","No Title Assigned - #15277473331")</f>
        <v/>
      </c>
      <c r="B18374" s="0" t="s">
        <v>24282</v>
      </c>
      <c r="E18374" s="0" t="inlineStr">
        <is>
          <t xml:space="preserve">Mazda</t>
        </is>
      </c>
      <c r="F18374" s="0" t="inlineStr">
        <is>
          <t xml:space="preserve">Mazda</t>
        </is>
      </c>
      <c r="G18374" s="0" t="s">
        <v>171</v>
      </c>
      <c r="H18374" s="5">
        <v>123.655000</v>
      </c>
    </row>
    <row r="18375" spans="1:9">
      <c r="A18375" s="22" t="str">
        <f>HYPERLINK("https://app.vivvix.com/360/KMI/IntelliDrive/ApplUI/Pages/CreativePages/CustomReportCreativeDetail.aspx?App=23&amp;ReportView=4&amp;Qid=1711279&amp;Row=18367&amp;Col=1","No Title Assigned - #15277473331")</f>
        <v/>
      </c>
      <c r="B18375" s="0" t="s">
        <v>24282</v>
      </c>
      <c r="E18375" s="0" t="inlineStr">
        <is>
          <t xml:space="preserve">Mazda</t>
        </is>
      </c>
      <c r="F18375" s="0" t="inlineStr">
        <is>
          <t xml:space="preserve">Mazda</t>
        </is>
      </c>
      <c r="G18375" s="0" t="s">
        <v>171</v>
      </c>
      <c r="H18375" s="5">
        <v>15436.314600</v>
      </c>
    </row>
    <row r="18376" spans="1:9">
      <c r="A18376" s="22" t="str">
        <f>HYPERLINK("https://app.vivvix.com/360/KMI/IntelliDrive/ApplUI/Pages/CreativePages/CustomReportCreativeDetail.aspx?App=23&amp;ReportView=4&amp;Qid=1711279&amp;Row=18368&amp;Col=1","No Title Assigned - #15277473505")</f>
        <v/>
      </c>
      <c r="B18376" s="0" t="s">
        <v>24283</v>
      </c>
      <c r="E18376" s="0" t="inlineStr">
        <is>
          <t xml:space="preserve">Mazda</t>
        </is>
      </c>
      <c r="F18376" s="0" t="inlineStr">
        <is>
          <t xml:space="preserve">Mazda</t>
        </is>
      </c>
      <c r="G18376" s="0" t="s">
        <v>171</v>
      </c>
      <c r="H18376" s="5">
        <v>647.614700</v>
      </c>
    </row>
    <row r="18377" spans="1:9">
      <c r="A18377" s="22" t="str">
        <f>HYPERLINK("https://app.vivvix.com/360/KMI/IntelliDrive/ApplUI/Pages/CreativePages/CustomReportCreativeDetail.aspx?App=23&amp;ReportView=4&amp;Qid=1711279&amp;Row=18369&amp;Col=1","No Title Assigned - #15277473566")</f>
        <v/>
      </c>
      <c r="B18377" s="0" t="s">
        <v>24284</v>
      </c>
      <c r="E18377" s="0" t="inlineStr">
        <is>
          <t xml:space="preserve">Mazda</t>
        </is>
      </c>
      <c r="F18377" s="0" t="inlineStr">
        <is>
          <t xml:space="preserve">Mazda</t>
        </is>
      </c>
      <c r="G18377" s="0" t="s">
        <v>171</v>
      </c>
      <c r="H18377" s="5">
        <v>1157.093800</v>
      </c>
    </row>
    <row r="18378" spans="1:9">
      <c r="A18378" s="22" t="str">
        <f>HYPERLINK("https://app.vivvix.com/360/KMI/IntelliDrive/ApplUI/Pages/CreativePages/CustomReportCreativeDetail.aspx?App=23&amp;ReportView=4&amp;Qid=1711279&amp;Row=18370&amp;Col=1","No Title Assigned - #15277473693")</f>
        <v/>
      </c>
      <c r="B18378" s="0" t="s">
        <v>24285</v>
      </c>
      <c r="E18378" s="0" t="inlineStr">
        <is>
          <t xml:space="preserve">Mazda</t>
        </is>
      </c>
      <c r="F18378" s="0" t="inlineStr">
        <is>
          <t xml:space="preserve">Mazda</t>
        </is>
      </c>
      <c r="G18378" s="0" t="s">
        <v>171</v>
      </c>
      <c r="H18378" s="5">
        <v>0.796900</v>
      </c>
    </row>
    <row r="18379" spans="1:9">
      <c r="A18379" s="22" t="str">
        <f>HYPERLINK("https://app.vivvix.com/360/KMI/IntelliDrive/ApplUI/Pages/CreativePages/CustomReportCreativeDetail.aspx?App=23&amp;ReportView=4&amp;Qid=1711279&amp;Row=18371&amp;Col=1","No Title Assigned - #15277473823")</f>
        <v/>
      </c>
      <c r="B18379" s="0" t="s">
        <v>24286</v>
      </c>
      <c r="E18379" s="0" t="inlineStr">
        <is>
          <t xml:space="preserve">Mazda</t>
        </is>
      </c>
      <c r="F18379" s="0" t="inlineStr">
        <is>
          <t xml:space="preserve">Mazda</t>
        </is>
      </c>
      <c r="G18379" s="0" t="s">
        <v>171</v>
      </c>
      <c r="H18379" s="5">
        <v>490.318700</v>
      </c>
    </row>
    <row r="18380" spans="1:9">
      <c r="A18380" s="22" t="str">
        <f>HYPERLINK("https://app.vivvix.com/360/KMI/IntelliDrive/ApplUI/Pages/CreativePages/CustomReportCreativeDetail.aspx?App=23&amp;ReportView=4&amp;Qid=1711279&amp;Row=18372&amp;Col=1","No Title Assigned - #15277474074")</f>
        <v/>
      </c>
      <c r="B18380" s="0" t="s">
        <v>24287</v>
      </c>
      <c r="E18380" s="0" t="inlineStr">
        <is>
          <t xml:space="preserve">Mazda</t>
        </is>
      </c>
      <c r="F18380" s="0" t="inlineStr">
        <is>
          <t xml:space="preserve">Mazda</t>
        </is>
      </c>
      <c r="G18380" s="0" t="s">
        <v>171</v>
      </c>
      <c r="H18380" s="5">
        <v>34.181400</v>
      </c>
    </row>
    <row r="18381" spans="1:9">
      <c r="A18381" s="22" t="str">
        <f>HYPERLINK("https://app.vivvix.com/360/KMI/IntelliDrive/ApplUI/Pages/CreativePages/CustomReportCreativeDetail.aspx?App=23&amp;ReportView=4&amp;Qid=1711279&amp;Row=18373&amp;Col=1","No Title Assigned - #15277474089")</f>
        <v/>
      </c>
      <c r="B18381" s="0" t="s">
        <v>24288</v>
      </c>
      <c r="E18381" s="0" t="inlineStr">
        <is>
          <t xml:space="preserve">Mazda</t>
        </is>
      </c>
      <c r="F18381" s="0" t="inlineStr">
        <is>
          <t xml:space="preserve">Mazda</t>
        </is>
      </c>
      <c r="G18381" s="0" t="s">
        <v>171</v>
      </c>
      <c r="H18381" s="5">
        <v>149.283500</v>
      </c>
    </row>
    <row r="18382" spans="1:9">
      <c r="A18382" s="22" t="str">
        <f>HYPERLINK("https://app.vivvix.com/360/KMI/IntelliDrive/ApplUI/Pages/CreativePages/CustomReportCreativeDetail.aspx?App=23&amp;ReportView=4&amp;Qid=1711279&amp;Row=18374&amp;Col=1","No Title Assigned - #15277474134")</f>
        <v/>
      </c>
      <c r="B18382" s="0" t="s">
        <v>24289</v>
      </c>
      <c r="E18382" s="0" t="inlineStr">
        <is>
          <t xml:space="preserve">Mazda</t>
        </is>
      </c>
      <c r="F18382" s="0" t="inlineStr">
        <is>
          <t xml:space="preserve">Mazda</t>
        </is>
      </c>
      <c r="G18382" s="0" t="s">
        <v>171</v>
      </c>
      <c r="H18382" s="5">
        <v>291.090900</v>
      </c>
    </row>
    <row r="18383" spans="1:9">
      <c r="A18383" s="22" t="str">
        <f>HYPERLINK("https://app.vivvix.com/360/KMI/IntelliDrive/ApplUI/Pages/CreativePages/CustomReportCreativeDetail.aspx?App=23&amp;ReportView=4&amp;Qid=1711279&amp;Row=18375&amp;Col=1","No Title Assigned - #15277474201")</f>
        <v/>
      </c>
      <c r="B18383" s="0" t="s">
        <v>24290</v>
      </c>
      <c r="E18383" s="0" t="inlineStr">
        <is>
          <t xml:space="preserve">Mazda</t>
        </is>
      </c>
      <c r="F18383" s="0" t="inlineStr">
        <is>
          <t xml:space="preserve">Mazda</t>
        </is>
      </c>
      <c r="G18383" s="0" t="s">
        <v>171</v>
      </c>
      <c r="H18383" s="5">
        <v>146.341200</v>
      </c>
    </row>
    <row r="18384" spans="1:9">
      <c r="A18384" s="22" t="str">
        <f>HYPERLINK("https://app.vivvix.com/360/KMI/IntelliDrive/ApplUI/Pages/CreativePages/CustomReportCreativeDetail.aspx?App=23&amp;ReportView=4&amp;Qid=1711279&amp;Row=18376&amp;Col=1","No Title Assigned - #15277474340")</f>
        <v/>
      </c>
      <c r="B18384" s="0" t="s">
        <v>24291</v>
      </c>
      <c r="E18384" s="0" t="inlineStr">
        <is>
          <t xml:space="preserve">Mazda</t>
        </is>
      </c>
      <c r="F18384" s="0" t="inlineStr">
        <is>
          <t xml:space="preserve">Mazda</t>
        </is>
      </c>
      <c r="G18384" s="0" t="s">
        <v>171</v>
      </c>
      <c r="H18384" s="5">
        <v>854.591700</v>
      </c>
    </row>
    <row r="18385" spans="1:9">
      <c r="A18385" s="22" t="str">
        <f>HYPERLINK("https://app.vivvix.com/360/KMI/IntelliDrive/ApplUI/Pages/CreativePages/CustomReportCreativeDetail.aspx?App=23&amp;ReportView=4&amp;Qid=1711279&amp;Row=18377&amp;Col=1","No Title Assigned - #15277474368")</f>
        <v/>
      </c>
      <c r="B18385" s="0" t="s">
        <v>24292</v>
      </c>
      <c r="E18385" s="0" t="inlineStr">
        <is>
          <t xml:space="preserve">Mazda</t>
        </is>
      </c>
      <c r="F18385" s="0" t="inlineStr">
        <is>
          <t xml:space="preserve">Mazda</t>
        </is>
      </c>
      <c r="G18385" s="0" t="s">
        <v>171</v>
      </c>
      <c r="H18385" s="5">
        <v>41.597500</v>
      </c>
    </row>
    <row r="18386" spans="1:9">
      <c r="A18386" s="22" t="str">
        <f>HYPERLINK("https://app.vivvix.com/360/KMI/IntelliDrive/ApplUI/Pages/CreativePages/CustomReportCreativeDetail.aspx?App=23&amp;ReportView=4&amp;Qid=1711279&amp;Row=18378&amp;Col=1","No Title Assigned - #15277474380")</f>
        <v/>
      </c>
      <c r="B18386" s="0" t="s">
        <v>24293</v>
      </c>
      <c r="E18386" s="0" t="inlineStr">
        <is>
          <t xml:space="preserve">Mazda</t>
        </is>
      </c>
      <c r="F18386" s="0" t="inlineStr">
        <is>
          <t xml:space="preserve">Mazda</t>
        </is>
      </c>
      <c r="G18386" s="0" t="s">
        <v>171</v>
      </c>
      <c r="H18386" s="5">
        <v>342.823100</v>
      </c>
    </row>
    <row r="18387" spans="1:9">
      <c r="A18387" s="22" t="str">
        <f>HYPERLINK("https://app.vivvix.com/360/KMI/IntelliDrive/ApplUI/Pages/CreativePages/CustomReportCreativeDetail.aspx?App=23&amp;ReportView=4&amp;Qid=1711279&amp;Row=18379&amp;Col=1","No Title Assigned - #15277475291")</f>
        <v/>
      </c>
      <c r="B18387" s="0" t="s">
        <v>24294</v>
      </c>
      <c r="E18387" s="0" t="inlineStr">
        <is>
          <t xml:space="preserve">Mazda</t>
        </is>
      </c>
      <c r="F18387" s="0" t="inlineStr">
        <is>
          <t xml:space="preserve">Mazda</t>
        </is>
      </c>
      <c r="G18387" s="0" t="s">
        <v>171</v>
      </c>
      <c r="H18387" s="5">
        <v>72.185900</v>
      </c>
    </row>
    <row r="18388" spans="1:9">
      <c r="A18388" s="22" t="str">
        <f>HYPERLINK("https://app.vivvix.com/360/KMI/IntelliDrive/ApplUI/Pages/CreativePages/CustomReportCreativeDetail.aspx?App=23&amp;ReportView=4&amp;Qid=1711279&amp;Row=18380&amp;Col=1","No Title Assigned - #15277475428")</f>
        <v/>
      </c>
      <c r="B18388" s="0" t="s">
        <v>24295</v>
      </c>
      <c r="E18388" s="0" t="inlineStr">
        <is>
          <t xml:space="preserve">Mazda</t>
        </is>
      </c>
      <c r="F18388" s="0" t="inlineStr">
        <is>
          <t xml:space="preserve">Mazda</t>
        </is>
      </c>
      <c r="G18388" s="0" t="s">
        <v>171</v>
      </c>
      <c r="H18388" s="5">
        <v>1001.678100</v>
      </c>
    </row>
    <row r="18389" spans="1:9">
      <c r="A18389" s="22" t="str">
        <f>HYPERLINK("https://app.vivvix.com/360/KMI/IntelliDrive/ApplUI/Pages/CreativePages/CustomReportCreativeDetail.aspx?App=23&amp;ReportView=4&amp;Qid=1711279&amp;Row=18381&amp;Col=1","No Title Assigned - #15277476015")</f>
        <v/>
      </c>
      <c r="B18389" s="0" t="s">
        <v>24296</v>
      </c>
      <c r="E18389" s="0" t="inlineStr">
        <is>
          <t xml:space="preserve">Mazda</t>
        </is>
      </c>
      <c r="F18389" s="0" t="inlineStr">
        <is>
          <t xml:space="preserve">Mazda</t>
        </is>
      </c>
      <c r="G18389" s="0" t="s">
        <v>171</v>
      </c>
      <c r="H18389" s="5">
        <v>43.194500</v>
      </c>
    </row>
    <row r="18390" spans="1:9">
      <c r="A18390" s="22" t="str">
        <f>HYPERLINK("https://app.vivvix.com/360/KMI/IntelliDrive/ApplUI/Pages/CreativePages/CustomReportCreativeDetail.aspx?App=23&amp;ReportView=4&amp;Qid=1711279&amp;Row=18382&amp;Col=1","No Title Assigned - #15277476561")</f>
        <v/>
      </c>
      <c r="B18390" s="0" t="s">
        <v>24297</v>
      </c>
      <c r="E18390" s="0" t="inlineStr">
        <is>
          <t xml:space="preserve">Mazda</t>
        </is>
      </c>
      <c r="F18390" s="0" t="inlineStr">
        <is>
          <t xml:space="preserve">Mazda</t>
        </is>
      </c>
      <c r="G18390" s="0" t="s">
        <v>171</v>
      </c>
      <c r="H18390" s="5">
        <v>1762.385000</v>
      </c>
    </row>
    <row r="18391" spans="1:9">
      <c r="A18391" s="22" t="str">
        <f>HYPERLINK("https://app.vivvix.com/360/KMI/IntelliDrive/ApplUI/Pages/CreativePages/CustomReportCreativeDetail.aspx?App=23&amp;ReportView=4&amp;Qid=1711279&amp;Row=18383&amp;Col=1","No Title Assigned - #15277476561")</f>
        <v/>
      </c>
      <c r="B18391" s="0" t="s">
        <v>24297</v>
      </c>
      <c r="E18391" s="0" t="inlineStr">
        <is>
          <t xml:space="preserve">Mazda</t>
        </is>
      </c>
      <c r="F18391" s="0" t="inlineStr">
        <is>
          <t xml:space="preserve">Mazda</t>
        </is>
      </c>
      <c r="G18391" s="0" t="s">
        <v>171</v>
      </c>
      <c r="H18391" s="5">
        <v>11038.656300</v>
      </c>
    </row>
    <row r="18392" spans="1:9">
      <c r="A18392" s="22" t="str">
        <f>HYPERLINK("https://app.vivvix.com/360/KMI/IntelliDrive/ApplUI/Pages/CreativePages/CustomReportCreativeDetail.aspx?App=23&amp;ReportView=4&amp;Qid=1711279&amp;Row=18384&amp;Col=1","No Title Assigned - #15277476848")</f>
        <v/>
      </c>
      <c r="B18392" s="0" t="s">
        <v>24298</v>
      </c>
      <c r="E18392" s="0" t="inlineStr">
        <is>
          <t xml:space="preserve">Mazda</t>
        </is>
      </c>
      <c r="F18392" s="0" t="inlineStr">
        <is>
          <t xml:space="preserve">Mazda</t>
        </is>
      </c>
      <c r="G18392" s="0" t="s">
        <v>171</v>
      </c>
      <c r="H18392" s="5">
        <v>15.960200</v>
      </c>
    </row>
    <row r="18393" spans="1:9">
      <c r="A18393" s="22" t="str">
        <f>HYPERLINK("https://app.vivvix.com/360/KMI/IntelliDrive/ApplUI/Pages/CreativePages/CustomReportCreativeDetail.aspx?App=23&amp;ReportView=4&amp;Qid=1711279&amp;Row=18385&amp;Col=1","No Title Assigned - #15277477107")</f>
        <v/>
      </c>
      <c r="B18393" s="0" t="s">
        <v>24299</v>
      </c>
      <c r="E18393" s="0" t="inlineStr">
        <is>
          <t xml:space="preserve">Mazda</t>
        </is>
      </c>
      <c r="F18393" s="0" t="inlineStr">
        <is>
          <t xml:space="preserve">Mazda</t>
        </is>
      </c>
      <c r="G18393" s="0" t="s">
        <v>171</v>
      </c>
      <c r="H18393" s="5">
        <v>148221.521200</v>
      </c>
    </row>
    <row r="18394" spans="1:9">
      <c r="A18394" s="22" t="str">
        <f>HYPERLINK("https://app.vivvix.com/360/KMI/IntelliDrive/ApplUI/Pages/CreativePages/CustomReportCreativeDetail.aspx?App=23&amp;ReportView=4&amp;Qid=1711279&amp;Row=18386&amp;Col=1","No Title Assigned - #15277477108")</f>
        <v/>
      </c>
      <c r="B18394" s="0" t="s">
        <v>24300</v>
      </c>
      <c r="E18394" s="0" t="inlineStr">
        <is>
          <t xml:space="preserve">Mazda</t>
        </is>
      </c>
      <c r="F18394" s="0" t="inlineStr">
        <is>
          <t xml:space="preserve">Mazda</t>
        </is>
      </c>
      <c r="G18394" s="0" t="s">
        <v>171</v>
      </c>
      <c r="H18394" s="5">
        <v>129.479500</v>
      </c>
    </row>
    <row r="18395" spans="1:9">
      <c r="A18395" s="22" t="str">
        <f>HYPERLINK("https://app.vivvix.com/360/KMI/IntelliDrive/ApplUI/Pages/CreativePages/CustomReportCreativeDetail.aspx?App=23&amp;ReportView=4&amp;Qid=1711279&amp;Row=18387&amp;Col=1","No Title Assigned - #15277477627")</f>
        <v/>
      </c>
      <c r="B18395" s="0" t="s">
        <v>24301</v>
      </c>
      <c r="E18395" s="0" t="inlineStr">
        <is>
          <t xml:space="preserve">Mazda</t>
        </is>
      </c>
      <c r="F18395" s="0" t="inlineStr">
        <is>
          <t xml:space="preserve">Mazda</t>
        </is>
      </c>
      <c r="G18395" s="0" t="s">
        <v>171</v>
      </c>
      <c r="H18395" s="5">
        <v>27.166800</v>
      </c>
    </row>
    <row r="18396" spans="1:9">
      <c r="A18396" s="22" t="str">
        <f>HYPERLINK("https://app.vivvix.com/360/KMI/IntelliDrive/ApplUI/Pages/CreativePages/CustomReportCreativeDetail.aspx?App=23&amp;ReportView=4&amp;Qid=1711279&amp;Row=18388&amp;Col=1","No Title Assigned - #15277477728")</f>
        <v/>
      </c>
      <c r="B18396" s="0" t="s">
        <v>24302</v>
      </c>
      <c r="E18396" s="0" t="inlineStr">
        <is>
          <t xml:space="preserve">Mazda</t>
        </is>
      </c>
      <c r="F18396" s="0" t="inlineStr">
        <is>
          <t xml:space="preserve">Mazda</t>
        </is>
      </c>
      <c r="G18396" s="0" t="s">
        <v>171</v>
      </c>
      <c r="H18396" s="5">
        <v>15.960200</v>
      </c>
    </row>
    <row r="18397" spans="1:9">
      <c r="A18397" s="22" t="str">
        <f>HYPERLINK("https://app.vivvix.com/360/KMI/IntelliDrive/ApplUI/Pages/CreativePages/CustomReportCreativeDetail.aspx?App=23&amp;ReportView=4&amp;Qid=1711279&amp;Row=18389&amp;Col=1","No Title Assigned - #15277477957")</f>
        <v/>
      </c>
      <c r="B18397" s="0" t="s">
        <v>24303</v>
      </c>
      <c r="E18397" s="0" t="inlineStr">
        <is>
          <t xml:space="preserve">Mazda</t>
        </is>
      </c>
      <c r="F18397" s="0" t="inlineStr">
        <is>
          <t xml:space="preserve">Mazda</t>
        </is>
      </c>
      <c r="G18397" s="0" t="s">
        <v>171</v>
      </c>
      <c r="H18397" s="5">
        <v>175.371300</v>
      </c>
    </row>
    <row r="18398" spans="1:9">
      <c r="A18398" s="22" t="str">
        <f>HYPERLINK("https://app.vivvix.com/360/KMI/IntelliDrive/ApplUI/Pages/CreativePages/CustomReportCreativeDetail.aspx?App=23&amp;ReportView=4&amp;Qid=1711279&amp;Row=18390&amp;Col=1","No Title Assigned - #15277478244")</f>
        <v/>
      </c>
      <c r="B18398" s="0" t="s">
        <v>24304</v>
      </c>
      <c r="E18398" s="0" t="inlineStr">
        <is>
          <t xml:space="preserve">Mazda</t>
        </is>
      </c>
      <c r="F18398" s="0" t="inlineStr">
        <is>
          <t xml:space="preserve">Mazda</t>
        </is>
      </c>
      <c r="G18398" s="0" t="s">
        <v>171</v>
      </c>
      <c r="H18398" s="5">
        <v>2432.017400</v>
      </c>
    </row>
    <row r="18399" spans="1:9">
      <c r="A18399" s="22" t="str">
        <f>HYPERLINK("https://app.vivvix.com/360/KMI/IntelliDrive/ApplUI/Pages/CreativePages/CustomReportCreativeDetail.aspx?App=23&amp;ReportView=4&amp;Qid=1711279&amp;Row=18391&amp;Col=1","No Title Assigned - #15277479330")</f>
        <v/>
      </c>
      <c r="B18399" s="0" t="s">
        <v>24305</v>
      </c>
      <c r="E18399" s="0" t="inlineStr">
        <is>
          <t xml:space="preserve">Mazda</t>
        </is>
      </c>
      <c r="F18399" s="0" t="inlineStr">
        <is>
          <t xml:space="preserve">Mazda</t>
        </is>
      </c>
      <c r="G18399" s="0" t="s">
        <v>171</v>
      </c>
      <c r="H18399" s="5">
        <v>11642.216800</v>
      </c>
    </row>
    <row r="18400" spans="1:9">
      <c r="A18400" s="22" t="str">
        <f>HYPERLINK("https://app.vivvix.com/360/KMI/IntelliDrive/ApplUI/Pages/CreativePages/CustomReportCreativeDetail.aspx?App=23&amp;ReportView=4&amp;Qid=1711279&amp;Row=18392&amp;Col=1","No Title Assigned - #15277495062")</f>
        <v/>
      </c>
      <c r="B18400" s="0" t="s">
        <v>24306</v>
      </c>
      <c r="C18400" s="0" t="s">
        <v>24307</v>
      </c>
      <c r="D18400" s="0" t="s">
        <v>24307</v>
      </c>
      <c r="E18400" s="0" t="inlineStr">
        <is>
          <t xml:space="preserve">Mazda</t>
        </is>
      </c>
      <c r="F18400" s="0" t="s">
        <v>13</v>
      </c>
      <c r="G18400" s="0" t="s">
        <v>49</v>
      </c>
      <c r="H18400" s="5">
        <v>174.986200</v>
      </c>
    </row>
    <row r="18401" spans="1:9">
      <c r="A18401" s="22" t="str">
        <f>HYPERLINK("https://app.vivvix.com/360/KMI/IntelliDrive/ApplUI/Pages/CreativePages/CustomReportCreativeDetail.aspx?App=23&amp;ReportView=4&amp;Qid=1711279&amp;Row=18393&amp;Col=1","No Title Assigned - #15277497459")</f>
        <v/>
      </c>
      <c r="B18401" s="0" t="s">
        <v>24308</v>
      </c>
      <c r="C18401" s="0" t="s">
        <v>24309</v>
      </c>
      <c r="D18401" s="0" t="s">
        <v>24309</v>
      </c>
      <c r="E18401" s="0" t="inlineStr">
        <is>
          <t xml:space="preserve">Mazda</t>
        </is>
      </c>
      <c r="F18401" s="0" t="s">
        <v>13</v>
      </c>
      <c r="G18401" s="0" t="s">
        <v>49</v>
      </c>
      <c r="H18401" s="5">
        <v>414.823400</v>
      </c>
    </row>
    <row r="18402" spans="1:9">
      <c r="A18402" s="22" t="str">
        <f>HYPERLINK("https://app.vivvix.com/360/KMI/IntelliDrive/ApplUI/Pages/CreativePages/CustomReportCreativeDetail.aspx?App=23&amp;ReportView=4&amp;Qid=1711279&amp;Row=18394&amp;Col=1","No Title Assigned - #15277497721")</f>
        <v/>
      </c>
      <c r="B18402" s="0" t="s">
        <v>24310</v>
      </c>
      <c r="C18402" s="0" t="s">
        <v>24311</v>
      </c>
      <c r="D18402" s="0" t="s">
        <v>24311</v>
      </c>
      <c r="E18402" s="0" t="inlineStr">
        <is>
          <t xml:space="preserve">Mazda</t>
        </is>
      </c>
      <c r="F18402" s="0" t="s">
        <v>13</v>
      </c>
      <c r="G18402" s="0" t="s">
        <v>49</v>
      </c>
      <c r="H18402" s="5">
        <v>110.989500</v>
      </c>
    </row>
    <row r="18403" spans="1:9">
      <c r="A18403" s="22" t="str">
        <f>HYPERLINK("https://app.vivvix.com/360/KMI/IntelliDrive/ApplUI/Pages/CreativePages/CustomReportCreativeDetail.aspx?App=23&amp;ReportView=4&amp;Qid=1711279&amp;Row=18395&amp;Col=1","No Title Assigned - #15277498355")</f>
        <v/>
      </c>
      <c r="B18403" s="0" t="s">
        <v>24312</v>
      </c>
      <c r="C18403" s="0" t="s">
        <v>24313</v>
      </c>
      <c r="D18403" s="0" t="s">
        <v>9364</v>
      </c>
      <c r="E18403" s="0" t="inlineStr">
        <is>
          <t xml:space="preserve">Mazda</t>
        </is>
      </c>
      <c r="F18403" s="0" t="s">
        <v>13</v>
      </c>
      <c r="G18403" s="0" t="s">
        <v>49</v>
      </c>
      <c r="H18403" s="5">
        <v>384.291600</v>
      </c>
    </row>
    <row r="18404" spans="1:9">
      <c r="A18404" s="22" t="str">
        <f>HYPERLINK("https://app.vivvix.com/360/KMI/IntelliDrive/ApplUI/Pages/CreativePages/CustomReportCreativeDetail.aspx?App=23&amp;ReportView=4&amp;Qid=1711279&amp;Row=18396&amp;Col=1","No Title Assigned - #15277501385")</f>
        <v/>
      </c>
      <c r="B18404" s="0" t="s">
        <v>24314</v>
      </c>
      <c r="E18404" s="0" t="inlineStr">
        <is>
          <t xml:space="preserve">Mazda</t>
        </is>
      </c>
      <c r="F18404" s="0" t="inlineStr">
        <is>
          <t xml:space="preserve">Mazda</t>
        </is>
      </c>
      <c r="G18404" s="0" t="s">
        <v>171</v>
      </c>
      <c r="H18404" s="5">
        <v>290.872800</v>
      </c>
    </row>
    <row r="18405" spans="1:9">
      <c r="A18405" s="22" t="str">
        <f>HYPERLINK("https://app.vivvix.com/360/KMI/IntelliDrive/ApplUI/Pages/CreativePages/CustomReportCreativeDetail.aspx?App=23&amp;ReportView=4&amp;Qid=1711279&amp;Row=18397&amp;Col=1","No Title Assigned - #15277503553")</f>
        <v/>
      </c>
      <c r="B18405" s="0" t="s">
        <v>24315</v>
      </c>
      <c r="E18405" s="0" t="inlineStr">
        <is>
          <t xml:space="preserve">Mazda</t>
        </is>
      </c>
      <c r="F18405" s="0" t="inlineStr">
        <is>
          <t xml:space="preserve">Mazda</t>
        </is>
      </c>
      <c r="G18405" s="0" t="s">
        <v>171</v>
      </c>
      <c r="H18405" s="5">
        <v>0.796900</v>
      </c>
    </row>
    <row r="18406" spans="1:9">
      <c r="A18406" s="22" t="str">
        <f>HYPERLINK("https://app.vivvix.com/360/KMI/IntelliDrive/ApplUI/Pages/CreativePages/CustomReportCreativeDetail.aspx?App=23&amp;ReportView=4&amp;Qid=1711279&amp;Row=18398&amp;Col=1","No Title Assigned - #15277505905")</f>
        <v/>
      </c>
      <c r="B18406" s="0" t="s">
        <v>24316</v>
      </c>
      <c r="E18406" s="0" t="inlineStr">
        <is>
          <t xml:space="preserve">Mazda</t>
        </is>
      </c>
      <c r="F18406" s="0" t="inlineStr">
        <is>
          <t xml:space="preserve">Mazda</t>
        </is>
      </c>
      <c r="G18406" s="0" t="s">
        <v>171</v>
      </c>
      <c r="H18406" s="5">
        <v>22.829700</v>
      </c>
    </row>
    <row r="18407" spans="1:9">
      <c r="A18407" s="22" t="str">
        <f>HYPERLINK("https://app.vivvix.com/360/KMI/IntelliDrive/ApplUI/Pages/CreativePages/CustomReportCreativeDetail.aspx?App=23&amp;ReportView=4&amp;Qid=1711279&amp;Row=18399&amp;Col=1","No Title Assigned - #15277509381")</f>
        <v/>
      </c>
      <c r="B18407" s="0" t="s">
        <v>24317</v>
      </c>
      <c r="C18407" s="0" t="s">
        <v>24318</v>
      </c>
      <c r="D18407" s="0" t="s">
        <v>24318</v>
      </c>
      <c r="E18407" s="0" t="inlineStr">
        <is>
          <t xml:space="preserve">Mazda</t>
        </is>
      </c>
      <c r="F18407" s="0" t="s">
        <v>13</v>
      </c>
      <c r="G18407" s="0" t="s">
        <v>49</v>
      </c>
      <c r="H18407" s="5">
        <v>96.573100</v>
      </c>
    </row>
    <row r="18408" spans="1:9">
      <c r="A18408" s="22" t="str">
        <f>HYPERLINK("https://app.vivvix.com/360/KMI/IntelliDrive/ApplUI/Pages/CreativePages/CustomReportCreativeDetail.aspx?App=23&amp;ReportView=4&amp;Qid=1711279&amp;Row=18400&amp;Col=1","No Title Assigned - #15277512371")</f>
        <v/>
      </c>
      <c r="B18408" s="0" t="s">
        <v>24319</v>
      </c>
      <c r="C18408" s="0" t="s">
        <v>24320</v>
      </c>
      <c r="D18408" s="0" t="s">
        <v>24320</v>
      </c>
      <c r="E18408" s="0" t="inlineStr">
        <is>
          <t xml:space="preserve">Mazda</t>
        </is>
      </c>
      <c r="F18408" s="0" t="s">
        <v>13</v>
      </c>
      <c r="G18408" s="0" t="s">
        <v>49</v>
      </c>
      <c r="H18408" s="5">
        <v>2172.957000</v>
      </c>
    </row>
    <row r="18409" spans="1:9">
      <c r="A18409" s="22" t="str">
        <f>HYPERLINK("https://app.vivvix.com/360/KMI/IntelliDrive/ApplUI/Pages/CreativePages/CustomReportCreativeDetail.aspx?App=23&amp;ReportView=4&amp;Qid=1711279&amp;Row=18401&amp;Col=1","No Title Assigned - #15277512676")</f>
        <v/>
      </c>
      <c r="B18409" s="0" t="s">
        <v>24321</v>
      </c>
      <c r="C18409" s="0" t="s">
        <v>24322</v>
      </c>
      <c r="D18409" s="0" t="s">
        <v>24322</v>
      </c>
      <c r="E18409" s="0" t="inlineStr">
        <is>
          <t xml:space="preserve">Mazda</t>
        </is>
      </c>
      <c r="F18409" s="0" t="s">
        <v>13</v>
      </c>
      <c r="G18409" s="0" t="s">
        <v>49</v>
      </c>
      <c r="H18409" s="5">
        <v>1453.960400</v>
      </c>
    </row>
    <row r="18410" spans="1:9">
      <c r="A18410" s="22" t="str">
        <f>HYPERLINK("https://app.vivvix.com/360/KMI/IntelliDrive/ApplUI/Pages/CreativePages/CustomReportCreativeDetail.aspx?App=23&amp;ReportView=4&amp;Qid=1711279&amp;Row=18402&amp;Col=1","No Title Assigned - #15277512676")</f>
        <v/>
      </c>
      <c r="B18410" s="0" t="s">
        <v>24321</v>
      </c>
      <c r="C18410" s="0" t="s">
        <v>24323</v>
      </c>
      <c r="D18410" s="0" t="s">
        <v>24323</v>
      </c>
      <c r="E18410" s="0" t="inlineStr">
        <is>
          <t xml:space="preserve">Mazda</t>
        </is>
      </c>
      <c r="F18410" s="0" t="s">
        <v>13</v>
      </c>
      <c r="G18410" s="0" t="s">
        <v>49</v>
      </c>
      <c r="H18410" s="5">
        <v>400.595000</v>
      </c>
    </row>
    <row r="18411" spans="1:9">
      <c r="A18411" s="22" t="str">
        <f>HYPERLINK("https://app.vivvix.com/360/KMI/IntelliDrive/ApplUI/Pages/CreativePages/CustomReportCreativeDetail.aspx?App=23&amp;ReportView=4&amp;Qid=1711279&amp;Row=18403&amp;Col=1","No Title Assigned - #15277512772")</f>
        <v/>
      </c>
      <c r="B18411" s="0" t="s">
        <v>24324</v>
      </c>
      <c r="E18411" s="0" t="inlineStr">
        <is>
          <t xml:space="preserve">Mazda</t>
        </is>
      </c>
      <c r="F18411" s="0" t="s">
        <v>13</v>
      </c>
      <c r="G18411" s="0" t="s">
        <v>49</v>
      </c>
      <c r="H18411" s="5">
        <v>4.820000</v>
      </c>
    </row>
    <row r="18412" spans="1:9">
      <c r="A18412" s="22" t="str">
        <f>HYPERLINK("https://app.vivvix.com/360/KMI/IntelliDrive/ApplUI/Pages/CreativePages/CustomReportCreativeDetail.aspx?App=23&amp;ReportView=4&amp;Qid=1711279&amp;Row=18404&amp;Col=1","No Title Assigned - #15277513191")</f>
        <v/>
      </c>
      <c r="B18412" s="0" t="s">
        <v>24325</v>
      </c>
      <c r="C18412" s="0" t="s">
        <v>24326</v>
      </c>
      <c r="D18412" s="0" t="s">
        <v>16585</v>
      </c>
      <c r="E18412" s="0" t="inlineStr">
        <is>
          <t xml:space="preserve">Mazda</t>
        </is>
      </c>
      <c r="F18412" s="0" t="inlineStr">
        <is>
          <t xml:space="preserve">Mazda</t>
        </is>
      </c>
      <c r="G18412" s="0" t="s">
        <v>210</v>
      </c>
      <c r="H18412" s="5">
        <v>685.877000</v>
      </c>
    </row>
    <row r="18413" spans="1:9">
      <c r="A18413" s="22" t="str">
        <f>HYPERLINK("https://app.vivvix.com/360/KMI/IntelliDrive/ApplUI/Pages/CreativePages/CustomReportCreativeDetail.aspx?App=23&amp;ReportView=4&amp;Qid=1711279&amp;Row=18405&amp;Col=1","No Title Assigned - #15277514087")</f>
        <v/>
      </c>
      <c r="B18413" s="0" t="s">
        <v>24327</v>
      </c>
      <c r="C18413" s="0" t="s">
        <v>24328</v>
      </c>
      <c r="D18413" s="0" t="s">
        <v>4335</v>
      </c>
      <c r="E18413" s="0" t="inlineStr">
        <is>
          <t xml:space="preserve">Mazda</t>
        </is>
      </c>
      <c r="F18413" s="0" t="s">
        <v>13</v>
      </c>
      <c r="G18413" s="0" t="s">
        <v>49</v>
      </c>
      <c r="H18413" s="5">
        <v>946.810500</v>
      </c>
    </row>
    <row r="18414" spans="1:9">
      <c r="A18414" s="22" t="str">
        <f>HYPERLINK("https://app.vivvix.com/360/KMI/IntelliDrive/ApplUI/Pages/CreativePages/CustomReportCreativeDetail.aspx?App=23&amp;ReportView=4&amp;Qid=1711279&amp;Row=18406&amp;Col=1","No Title Assigned - #15277517655")</f>
        <v/>
      </c>
      <c r="B18414" s="0" t="s">
        <v>24329</v>
      </c>
      <c r="C18414" s="0" t="s">
        <v>24330</v>
      </c>
      <c r="D18414" s="0" t="s">
        <v>4335</v>
      </c>
      <c r="E18414" s="0" t="inlineStr">
        <is>
          <t xml:space="preserve">Mazda</t>
        </is>
      </c>
      <c r="F18414" s="0" t="s">
        <v>13</v>
      </c>
      <c r="G18414" s="0" t="s">
        <v>49</v>
      </c>
      <c r="H18414" s="5">
        <v>304.840500</v>
      </c>
    </row>
    <row r="18415" spans="1:9">
      <c r="A18415" s="22" t="str">
        <f>HYPERLINK("https://app.vivvix.com/360/KMI/IntelliDrive/ApplUI/Pages/CreativePages/CustomReportCreativeDetail.aspx?App=23&amp;ReportView=4&amp;Qid=1711279&amp;Row=18407&amp;Col=1","No Title Assigned - #15277518507")</f>
        <v/>
      </c>
      <c r="B18415" s="0" t="s">
        <v>24331</v>
      </c>
      <c r="C18415" s="0" t="s">
        <v>24332</v>
      </c>
      <c r="D18415" s="0" t="s">
        <v>23832</v>
      </c>
      <c r="E18415" s="0" t="inlineStr">
        <is>
          <t xml:space="preserve">Mazda</t>
        </is>
      </c>
      <c r="F18415" s="0" t="s">
        <v>13</v>
      </c>
      <c r="G18415" s="0" t="s">
        <v>49</v>
      </c>
      <c r="H18415" s="5">
        <v>87.387500</v>
      </c>
    </row>
    <row r="18416" spans="1:9">
      <c r="A18416" s="22" t="str">
        <f>HYPERLINK("https://app.vivvix.com/360/KMI/IntelliDrive/ApplUI/Pages/CreativePages/CustomReportCreativeDetail.aspx?App=23&amp;ReportView=4&amp;Qid=1711279&amp;Row=18408&amp;Col=1","No Title Assigned - #15277519080")</f>
        <v/>
      </c>
      <c r="B18416" s="0" t="s">
        <v>24333</v>
      </c>
      <c r="C18416" s="0" t="s">
        <v>24334</v>
      </c>
      <c r="D18416" s="0" t="s">
        <v>24334</v>
      </c>
      <c r="E18416" s="0" t="inlineStr">
        <is>
          <t xml:space="preserve">Mazda</t>
        </is>
      </c>
      <c r="F18416" s="0" t="s">
        <v>13</v>
      </c>
      <c r="G18416" s="0" t="s">
        <v>49</v>
      </c>
      <c r="H18416" s="5">
        <v>10.066200</v>
      </c>
    </row>
    <row r="18417" spans="1:9">
      <c r="A18417" s="22" t="str">
        <f>HYPERLINK("https://app.vivvix.com/360/KMI/IntelliDrive/ApplUI/Pages/CreativePages/CustomReportCreativeDetail.aspx?App=23&amp;ReportView=4&amp;Qid=1711279&amp;Row=18409&amp;Col=1","No Title Assigned - #15277519617")</f>
        <v/>
      </c>
      <c r="B18417" s="0" t="s">
        <v>24335</v>
      </c>
      <c r="C18417" s="0" t="s">
        <v>24336</v>
      </c>
      <c r="D18417" s="0" t="s">
        <v>24336</v>
      </c>
      <c r="E18417" s="0" t="inlineStr">
        <is>
          <t xml:space="preserve">Mazda</t>
        </is>
      </c>
      <c r="F18417" s="0" t="s">
        <v>13</v>
      </c>
      <c r="G18417" s="0" t="s">
        <v>49</v>
      </c>
      <c r="H18417" s="5">
        <v>129.603700</v>
      </c>
    </row>
    <row r="18418" spans="1:9">
      <c r="A18418" s="22" t="str">
        <f>HYPERLINK("https://app.vivvix.com/360/KMI/IntelliDrive/ApplUI/Pages/CreativePages/CustomReportCreativeDetail.aspx?App=23&amp;ReportView=4&amp;Qid=1711279&amp;Row=18410&amp;Col=1","No Title Assigned - #15277520153")</f>
        <v/>
      </c>
      <c r="B18418" s="0" t="s">
        <v>24337</v>
      </c>
      <c r="C18418" s="0" t="s">
        <v>24338</v>
      </c>
      <c r="D18418" s="0" t="s">
        <v>24338</v>
      </c>
      <c r="E18418" s="0" t="inlineStr">
        <is>
          <t xml:space="preserve">Mazda</t>
        </is>
      </c>
      <c r="F18418" s="0" t="s">
        <v>13</v>
      </c>
      <c r="G18418" s="0" t="s">
        <v>49</v>
      </c>
      <c r="H18418" s="5">
        <v>11.227500</v>
      </c>
    </row>
    <row r="18419" spans="1:9">
      <c r="A18419" s="22" t="str">
        <f>HYPERLINK("https://app.vivvix.com/360/KMI/IntelliDrive/ApplUI/Pages/CreativePages/CustomReportCreativeDetail.aspx?App=23&amp;ReportView=4&amp;Qid=1711279&amp;Row=18411&amp;Col=1","No Title Assigned - #15277520158")</f>
        <v/>
      </c>
      <c r="B18419" s="0" t="s">
        <v>24339</v>
      </c>
      <c r="C18419" s="0" t="s">
        <v>24340</v>
      </c>
      <c r="D18419" s="0" t="s">
        <v>23698</v>
      </c>
      <c r="E18419" s="0" t="inlineStr">
        <is>
          <t xml:space="preserve">Mazda</t>
        </is>
      </c>
      <c r="F18419" s="0" t="s">
        <v>13</v>
      </c>
      <c r="G18419" s="0" t="s">
        <v>49</v>
      </c>
      <c r="H18419" s="5">
        <v>48.281700</v>
      </c>
    </row>
    <row r="18420" spans="1:9">
      <c r="A18420" s="22" t="str">
        <f>HYPERLINK("https://app.vivvix.com/360/KMI/IntelliDrive/ApplUI/Pages/CreativePages/CustomReportCreativeDetail.aspx?App=23&amp;ReportView=4&amp;Qid=1711279&amp;Row=18412&amp;Col=1","No Title Assigned - #15277526258")</f>
        <v/>
      </c>
      <c r="B18420" s="0" t="s">
        <v>24341</v>
      </c>
      <c r="E18420" s="0" t="inlineStr">
        <is>
          <t xml:space="preserve">Mazda</t>
        </is>
      </c>
      <c r="F18420" s="0" t="inlineStr">
        <is>
          <t xml:space="preserve">Mazda</t>
        </is>
      </c>
      <c r="G18420" s="0" t="s">
        <v>171</v>
      </c>
      <c r="H18420" s="5">
        <v>9391.112000</v>
      </c>
    </row>
    <row r="18421" spans="1:9">
      <c r="A18421" s="22" t="str">
        <f>HYPERLINK("https://app.vivvix.com/360/KMI/IntelliDrive/ApplUI/Pages/CreativePages/CustomReportCreativeDetail.aspx?App=23&amp;ReportView=4&amp;Qid=1711279&amp;Row=18413&amp;Col=1","No Title Assigned - #15277526793")</f>
        <v/>
      </c>
      <c r="B18421" s="0" t="s">
        <v>24342</v>
      </c>
      <c r="C18421" s="0" t="s">
        <v>24343</v>
      </c>
      <c r="D18421" s="0" t="s">
        <v>24343</v>
      </c>
      <c r="E18421" s="0" t="inlineStr">
        <is>
          <t xml:space="preserve">Mazda</t>
        </is>
      </c>
      <c r="F18421" s="0" t="s">
        <v>13</v>
      </c>
      <c r="G18421" s="0" t="s">
        <v>49</v>
      </c>
      <c r="H18421" s="5">
        <v>48.431200</v>
      </c>
    </row>
    <row r="18422" spans="1:9">
      <c r="A18422" s="22" t="str">
        <f>HYPERLINK("https://app.vivvix.com/360/KMI/IntelliDrive/ApplUI/Pages/CreativePages/CustomReportCreativeDetail.aspx?App=23&amp;ReportView=4&amp;Qid=1711279&amp;Row=18414&amp;Col=1","No Title Assigned - #15277527410")</f>
        <v/>
      </c>
      <c r="B18422" s="0" t="s">
        <v>24344</v>
      </c>
      <c r="C18422" s="0" t="s">
        <v>24345</v>
      </c>
      <c r="D18422" s="0" t="s">
        <v>24345</v>
      </c>
      <c r="E18422" s="0" t="inlineStr">
        <is>
          <t xml:space="preserve">Mazda</t>
        </is>
      </c>
      <c r="F18422" s="0" t="s">
        <v>13</v>
      </c>
      <c r="G18422" s="0" t="s">
        <v>49</v>
      </c>
      <c r="H18422" s="5">
        <v>8.381800</v>
      </c>
    </row>
    <row r="18423" spans="1:9">
      <c r="A18423" s="22" t="str">
        <f>HYPERLINK("https://app.vivvix.com/360/KMI/IntelliDrive/ApplUI/Pages/CreativePages/CustomReportCreativeDetail.aspx?App=23&amp;ReportView=4&amp;Qid=1711279&amp;Row=18415&amp;Col=1","No Title Assigned - #15277528424")</f>
        <v/>
      </c>
      <c r="B18423" s="0" t="s">
        <v>24346</v>
      </c>
      <c r="E18423" s="0" t="inlineStr">
        <is>
          <t xml:space="preserve">Mazda</t>
        </is>
      </c>
      <c r="F18423" s="0" t="inlineStr">
        <is>
          <t xml:space="preserve">Mazda</t>
        </is>
      </c>
      <c r="G18423" s="0" t="s">
        <v>171</v>
      </c>
      <c r="H18423" s="5">
        <v>223.155600</v>
      </c>
    </row>
    <row r="18424" spans="1:9">
      <c r="A18424" s="22" t="str">
        <f>HYPERLINK("https://app.vivvix.com/360/KMI/IntelliDrive/ApplUI/Pages/CreativePages/CustomReportCreativeDetail.aspx?App=23&amp;ReportView=4&amp;Qid=1711279&amp;Row=18416&amp;Col=1","No Title Assigned - #15277528449")</f>
        <v/>
      </c>
      <c r="B18424" s="0" t="s">
        <v>24347</v>
      </c>
      <c r="E18424" s="0" t="inlineStr">
        <is>
          <t xml:space="preserve">Mazda</t>
        </is>
      </c>
      <c r="F18424" s="0" t="inlineStr">
        <is>
          <t xml:space="preserve">Mazda</t>
        </is>
      </c>
      <c r="G18424" s="0" t="s">
        <v>171</v>
      </c>
      <c r="H18424" s="5">
        <v>7791.722800</v>
      </c>
    </row>
    <row r="18425" spans="1:9">
      <c r="A18425" s="22" t="str">
        <f>HYPERLINK("https://app.vivvix.com/360/KMI/IntelliDrive/ApplUI/Pages/CreativePages/CustomReportCreativeDetail.aspx?App=23&amp;ReportView=4&amp;Qid=1711279&amp;Row=18417&amp;Col=1","No Title Assigned - #15277529774")</f>
        <v/>
      </c>
      <c r="B18425" s="0" t="s">
        <v>24348</v>
      </c>
      <c r="E18425" s="0" t="inlineStr">
        <is>
          <t xml:space="preserve">Mazda</t>
        </is>
      </c>
      <c r="F18425" s="0" t="inlineStr">
        <is>
          <t xml:space="preserve">Mazda</t>
        </is>
      </c>
      <c r="G18425" s="0" t="s">
        <v>171</v>
      </c>
      <c r="H18425" s="5">
        <v>69.336800</v>
      </c>
    </row>
    <row r="18426" spans="1:9">
      <c r="A18426" s="22" t="str">
        <f>HYPERLINK("https://app.vivvix.com/360/KMI/IntelliDrive/ApplUI/Pages/CreativePages/CustomReportCreativeDetail.aspx?App=23&amp;ReportView=4&amp;Qid=1711279&amp;Row=18418&amp;Col=1","No Title Assigned - #15277530373")</f>
        <v/>
      </c>
      <c r="B18426" s="0" t="s">
        <v>24349</v>
      </c>
      <c r="E18426" s="0" t="inlineStr">
        <is>
          <t xml:space="preserve">Mazda</t>
        </is>
      </c>
      <c r="F18426" s="0" t="inlineStr">
        <is>
          <t xml:space="preserve">Mazda</t>
        </is>
      </c>
      <c r="G18426" s="0" t="s">
        <v>171</v>
      </c>
      <c r="H18426" s="5">
        <v>301953.575900</v>
      </c>
    </row>
    <row r="18427" spans="1:9">
      <c r="A18427" s="22" t="str">
        <f>HYPERLINK("https://app.vivvix.com/360/KMI/IntelliDrive/ApplUI/Pages/CreativePages/CustomReportCreativeDetail.aspx?App=23&amp;ReportView=4&amp;Qid=1711279&amp;Row=18419&amp;Col=1","No Title Assigned - #15277533380")</f>
        <v/>
      </c>
      <c r="B18427" s="0" t="s">
        <v>24350</v>
      </c>
      <c r="E18427" s="0" t="inlineStr">
        <is>
          <t xml:space="preserve">Mazda</t>
        </is>
      </c>
      <c r="F18427" s="0" t="inlineStr">
        <is>
          <t xml:space="preserve">Mazda</t>
        </is>
      </c>
      <c r="G18427" s="0" t="s">
        <v>171</v>
      </c>
      <c r="H18427" s="5">
        <v>62.212500</v>
      </c>
    </row>
    <row r="18428" spans="1:9">
      <c r="A18428" s="22" t="str">
        <f>HYPERLINK("https://app.vivvix.com/360/KMI/IntelliDrive/ApplUI/Pages/CreativePages/CustomReportCreativeDetail.aspx?App=23&amp;ReportView=4&amp;Qid=1711279&amp;Row=18420&amp;Col=1","No Title Assigned - #15277533548")</f>
        <v/>
      </c>
      <c r="B18428" s="0" t="s">
        <v>24351</v>
      </c>
      <c r="E18428" s="0" t="inlineStr">
        <is>
          <t xml:space="preserve">Mazda</t>
        </is>
      </c>
      <c r="F18428" s="0" t="inlineStr">
        <is>
          <t xml:space="preserve">Mazda</t>
        </is>
      </c>
      <c r="G18428" s="0" t="s">
        <v>171</v>
      </c>
      <c r="H18428" s="5">
        <v>86.858300</v>
      </c>
    </row>
    <row r="18429" spans="1:9">
      <c r="A18429" s="22" t="str">
        <f>HYPERLINK("https://app.vivvix.com/360/KMI/IntelliDrive/ApplUI/Pages/CreativePages/CustomReportCreativeDetail.aspx?App=23&amp;ReportView=4&amp;Qid=1711279&amp;Row=18421&amp;Col=1","No Title Assigned - #15277533694")</f>
        <v/>
      </c>
      <c r="B18429" s="0" t="s">
        <v>24352</v>
      </c>
      <c r="E18429" s="0" t="inlineStr">
        <is>
          <t xml:space="preserve">Mazda</t>
        </is>
      </c>
      <c r="F18429" s="0" t="inlineStr">
        <is>
          <t xml:space="preserve">Mazda</t>
        </is>
      </c>
      <c r="G18429" s="0" t="s">
        <v>171</v>
      </c>
      <c r="H18429" s="5">
        <v>640.780000</v>
      </c>
    </row>
    <row r="18430" spans="1:9">
      <c r="A18430" s="22" t="str">
        <f>HYPERLINK("https://app.vivvix.com/360/KMI/IntelliDrive/ApplUI/Pages/CreativePages/CustomReportCreativeDetail.aspx?App=23&amp;ReportView=4&amp;Qid=1711279&amp;Row=18422&amp;Col=1","No Title Assigned - #15277534245")</f>
        <v/>
      </c>
      <c r="B18430" s="0" t="s">
        <v>24353</v>
      </c>
      <c r="E18430" s="0" t="inlineStr">
        <is>
          <t xml:space="preserve">Mazda</t>
        </is>
      </c>
      <c r="F18430" s="0" t="inlineStr">
        <is>
          <t xml:space="preserve">Mazda</t>
        </is>
      </c>
      <c r="G18430" s="0" t="s">
        <v>171</v>
      </c>
      <c r="H18430" s="5">
        <v>25.391700</v>
      </c>
    </row>
    <row r="18431" spans="1:9">
      <c r="A18431" s="22" t="str">
        <f>HYPERLINK("https://app.vivvix.com/360/KMI/IntelliDrive/ApplUI/Pages/CreativePages/CustomReportCreativeDetail.aspx?App=23&amp;ReportView=4&amp;Qid=1711279&amp;Row=18423&amp;Col=1","No Title Assigned - #15277534445")</f>
        <v/>
      </c>
      <c r="B18431" s="0" t="s">
        <v>24354</v>
      </c>
      <c r="E18431" s="0" t="inlineStr">
        <is>
          <t xml:space="preserve">Mazda</t>
        </is>
      </c>
      <c r="F18431" s="0" t="inlineStr">
        <is>
          <t xml:space="preserve">Mazda</t>
        </is>
      </c>
      <c r="G18431" s="0" t="s">
        <v>171</v>
      </c>
      <c r="H18431" s="5">
        <v>33.879800</v>
      </c>
    </row>
    <row r="18432" spans="1:9">
      <c r="A18432" s="22" t="str">
        <f>HYPERLINK("https://app.vivvix.com/360/KMI/IntelliDrive/ApplUI/Pages/CreativePages/CustomReportCreativeDetail.aspx?App=23&amp;ReportView=4&amp;Qid=1711279&amp;Row=18424&amp;Col=1","No Title Assigned - #15277536084")</f>
        <v/>
      </c>
      <c r="B18432" s="0" t="s">
        <v>24355</v>
      </c>
      <c r="E18432" s="0" t="inlineStr">
        <is>
          <t xml:space="preserve">Mazda</t>
        </is>
      </c>
      <c r="F18432" s="0" t="inlineStr">
        <is>
          <t xml:space="preserve">Mazda</t>
        </is>
      </c>
      <c r="G18432" s="0" t="s">
        <v>171</v>
      </c>
      <c r="H18432" s="5">
        <v>591.857200</v>
      </c>
    </row>
    <row r="18433" spans="1:9">
      <c r="A18433" s="22" t="str">
        <f>HYPERLINK("https://app.vivvix.com/360/KMI/IntelliDrive/ApplUI/Pages/CreativePages/CustomReportCreativeDetail.aspx?App=23&amp;ReportView=4&amp;Qid=1711279&amp;Row=18425&amp;Col=1","No Title Assigned - #15277536084")</f>
        <v/>
      </c>
      <c r="B18433" s="0" t="s">
        <v>24355</v>
      </c>
      <c r="E18433" s="0" t="inlineStr">
        <is>
          <t xml:space="preserve">Mazda</t>
        </is>
      </c>
      <c r="F18433" s="0" t="inlineStr">
        <is>
          <t xml:space="preserve">Mazda</t>
        </is>
      </c>
      <c r="G18433" s="0" t="s">
        <v>171</v>
      </c>
      <c r="H18433" s="5">
        <v>1545.899900</v>
      </c>
    </row>
    <row r="18434" spans="1:9">
      <c r="A18434" s="22" t="str">
        <f>HYPERLINK("https://app.vivvix.com/360/KMI/IntelliDrive/ApplUI/Pages/CreativePages/CustomReportCreativeDetail.aspx?App=23&amp;ReportView=4&amp;Qid=1711279&amp;Row=18426&amp;Col=1","No Title Assigned - #15277536190")</f>
        <v/>
      </c>
      <c r="B18434" s="0" t="s">
        <v>24356</v>
      </c>
      <c r="E18434" s="0" t="inlineStr">
        <is>
          <t xml:space="preserve">Mazda</t>
        </is>
      </c>
      <c r="F18434" s="0" t="inlineStr">
        <is>
          <t xml:space="preserve">Mazda</t>
        </is>
      </c>
      <c r="G18434" s="0" t="s">
        <v>171</v>
      </c>
      <c r="H18434" s="5">
        <v>2121.286000</v>
      </c>
    </row>
    <row r="18435" spans="1:9">
      <c r="A18435" s="22" t="str">
        <f>HYPERLINK("https://app.vivvix.com/360/KMI/IntelliDrive/ApplUI/Pages/CreativePages/CustomReportCreativeDetail.aspx?App=23&amp;ReportView=4&amp;Qid=1711279&amp;Row=18427&amp;Col=1","No Title Assigned - #15277536408")</f>
        <v/>
      </c>
      <c r="B18435" s="0" t="s">
        <v>24357</v>
      </c>
      <c r="E18435" s="0" t="inlineStr">
        <is>
          <t xml:space="preserve">Mazda</t>
        </is>
      </c>
      <c r="F18435" s="0" t="inlineStr">
        <is>
          <t xml:space="preserve">Mazda</t>
        </is>
      </c>
      <c r="G18435" s="0" t="s">
        <v>171</v>
      </c>
      <c r="H18435" s="5">
        <v>15.879900</v>
      </c>
    </row>
    <row r="18436" spans="1:9">
      <c r="A18436" s="22" t="str">
        <f>HYPERLINK("https://app.vivvix.com/360/KMI/IntelliDrive/ApplUI/Pages/CreativePages/CustomReportCreativeDetail.aspx?App=23&amp;ReportView=4&amp;Qid=1711279&amp;Row=18428&amp;Col=1","No Title Assigned - #15277537117")</f>
        <v/>
      </c>
      <c r="B18436" s="0" t="s">
        <v>24358</v>
      </c>
      <c r="E18436" s="0" t="inlineStr">
        <is>
          <t xml:space="preserve">Mazda</t>
        </is>
      </c>
      <c r="F18436" s="0" t="s">
        <v>13</v>
      </c>
      <c r="G18436" s="0" t="s">
        <v>49</v>
      </c>
      <c r="H18436" s="5">
        <v>353.176100</v>
      </c>
    </row>
    <row r="18437" spans="1:9">
      <c r="A18437" s="22" t="str">
        <f>HYPERLINK("https://app.vivvix.com/360/KMI/IntelliDrive/ApplUI/Pages/CreativePages/CustomReportCreativeDetail.aspx?App=23&amp;ReportView=4&amp;Qid=1711279&amp;Row=18429&amp;Col=1","No Title Assigned - #15277537126")</f>
        <v/>
      </c>
      <c r="B18437" s="0" t="s">
        <v>24359</v>
      </c>
      <c r="E18437" s="0" t="inlineStr">
        <is>
          <t xml:space="preserve">Mazda</t>
        </is>
      </c>
      <c r="F18437" s="0" t="inlineStr">
        <is>
          <t xml:space="preserve">Mazda</t>
        </is>
      </c>
      <c r="G18437" s="0" t="s">
        <v>171</v>
      </c>
      <c r="H18437" s="5">
        <v>43.953500</v>
      </c>
    </row>
    <row r="18438" spans="1:9">
      <c r="A18438" s="22" t="str">
        <f>HYPERLINK("https://app.vivvix.com/360/KMI/IntelliDrive/ApplUI/Pages/CreativePages/CustomReportCreativeDetail.aspx?App=23&amp;ReportView=4&amp;Qid=1711279&amp;Row=18430&amp;Col=1","No Title Assigned - #15277537167")</f>
        <v/>
      </c>
      <c r="B18438" s="0" t="s">
        <v>24360</v>
      </c>
      <c r="E18438" s="0" t="inlineStr">
        <is>
          <t xml:space="preserve">Mazda</t>
        </is>
      </c>
      <c r="F18438" s="0" t="inlineStr">
        <is>
          <t xml:space="preserve">Mazda</t>
        </is>
      </c>
      <c r="G18438" s="0" t="s">
        <v>171</v>
      </c>
      <c r="H18438" s="5">
        <v>16.780700</v>
      </c>
    </row>
    <row r="18439" spans="1:9">
      <c r="A18439" s="22" t="str">
        <f>HYPERLINK("https://app.vivvix.com/360/KMI/IntelliDrive/ApplUI/Pages/CreativePages/CustomReportCreativeDetail.aspx?App=23&amp;ReportView=4&amp;Qid=1711279&amp;Row=18431&amp;Col=1","No Title Assigned - #15277537535")</f>
        <v/>
      </c>
      <c r="B18439" s="0" t="s">
        <v>24361</v>
      </c>
      <c r="E18439" s="0" t="inlineStr">
        <is>
          <t xml:space="preserve">Mazda</t>
        </is>
      </c>
      <c r="F18439" s="0" t="inlineStr">
        <is>
          <t xml:space="preserve">Mazda</t>
        </is>
      </c>
      <c r="G18439" s="0" t="s">
        <v>171</v>
      </c>
      <c r="H18439" s="5">
        <v>183.054900</v>
      </c>
    </row>
    <row r="18440" spans="1:9">
      <c r="A18440" s="22" t="str">
        <f>HYPERLINK("https://app.vivvix.com/360/KMI/IntelliDrive/ApplUI/Pages/CreativePages/CustomReportCreativeDetail.aspx?App=23&amp;ReportView=4&amp;Qid=1711279&amp;Row=18432&amp;Col=1","No Title Assigned - #15277537859")</f>
        <v/>
      </c>
      <c r="B18440" s="0" t="s">
        <v>24362</v>
      </c>
      <c r="E18440" s="0" t="inlineStr">
        <is>
          <t xml:space="preserve">Mazda</t>
        </is>
      </c>
      <c r="F18440" s="0" t="inlineStr">
        <is>
          <t xml:space="preserve">Mazda</t>
        </is>
      </c>
      <c r="G18440" s="0" t="s">
        <v>171</v>
      </c>
      <c r="H18440" s="5">
        <v>421.803400</v>
      </c>
    </row>
    <row r="18441" spans="1:9">
      <c r="A18441" s="22" t="str">
        <f>HYPERLINK("https://app.vivvix.com/360/KMI/IntelliDrive/ApplUI/Pages/CreativePages/CustomReportCreativeDetail.aspx?App=23&amp;ReportView=4&amp;Qid=1711279&amp;Row=18433&amp;Col=1","No Title Assigned - #15277538582")</f>
        <v/>
      </c>
      <c r="B18441" s="0" t="s">
        <v>24363</v>
      </c>
      <c r="E18441" s="0" t="inlineStr">
        <is>
          <t xml:space="preserve">Mazda</t>
        </is>
      </c>
      <c r="F18441" s="0" t="inlineStr">
        <is>
          <t xml:space="preserve">Mazda</t>
        </is>
      </c>
      <c r="G18441" s="0" t="s">
        <v>171</v>
      </c>
      <c r="H18441" s="5">
        <v>2770.666000</v>
      </c>
    </row>
    <row r="18442" spans="1:9">
      <c r="A18442" s="22" t="str">
        <f>HYPERLINK("https://app.vivvix.com/360/KMI/IntelliDrive/ApplUI/Pages/CreativePages/CustomReportCreativeDetail.aspx?App=23&amp;ReportView=4&amp;Qid=1711279&amp;Row=18434&amp;Col=1","No Title Assigned - #15277538767")</f>
        <v/>
      </c>
      <c r="B18442" s="0" t="s">
        <v>24364</v>
      </c>
      <c r="E18442" s="0" t="inlineStr">
        <is>
          <t xml:space="preserve">Mazda</t>
        </is>
      </c>
      <c r="F18442" s="0" t="inlineStr">
        <is>
          <t xml:space="preserve">Mazda</t>
        </is>
      </c>
      <c r="G18442" s="0" t="s">
        <v>171</v>
      </c>
      <c r="H18442" s="5">
        <v>131.259300</v>
      </c>
    </row>
    <row r="18443" spans="1:9">
      <c r="A18443" s="22" t="str">
        <f>HYPERLINK("https://app.vivvix.com/360/KMI/IntelliDrive/ApplUI/Pages/CreativePages/CustomReportCreativeDetail.aspx?App=23&amp;ReportView=4&amp;Qid=1711279&amp;Row=18435&amp;Col=1","No Title Assigned - #15277538784")</f>
        <v/>
      </c>
      <c r="B18443" s="0" t="s">
        <v>24365</v>
      </c>
      <c r="E18443" s="0" t="inlineStr">
        <is>
          <t xml:space="preserve">Mazda</t>
        </is>
      </c>
      <c r="F18443" s="0" t="inlineStr">
        <is>
          <t xml:space="preserve">Mazda</t>
        </is>
      </c>
      <c r="G18443" s="0" t="s">
        <v>171</v>
      </c>
      <c r="H18443" s="5">
        <v>1201.303200</v>
      </c>
    </row>
    <row r="18444" spans="1:9">
      <c r="A18444" s="22" t="str">
        <f>HYPERLINK("https://app.vivvix.com/360/KMI/IntelliDrive/ApplUI/Pages/CreativePages/CustomReportCreativeDetail.aspx?App=23&amp;ReportView=4&amp;Qid=1711279&amp;Row=18436&amp;Col=1","No Title Assigned - #15277539237")</f>
        <v/>
      </c>
      <c r="B18444" s="0" t="s">
        <v>24366</v>
      </c>
      <c r="C18444" s="0" t="s">
        <v>24367</v>
      </c>
      <c r="D18444" s="0" t="s">
        <v>24367</v>
      </c>
      <c r="E18444" s="0" t="inlineStr">
        <is>
          <t xml:space="preserve">Mazda</t>
        </is>
      </c>
      <c r="F18444" s="0" t="inlineStr">
        <is>
          <t xml:space="preserve">Mazda</t>
        </is>
      </c>
      <c r="G18444" s="0" t="s">
        <v>171</v>
      </c>
      <c r="H18444" s="5">
        <v>25.391700</v>
      </c>
    </row>
    <row r="18445" spans="1:9">
      <c r="A18445" s="22" t="str">
        <f>HYPERLINK("https://app.vivvix.com/360/KMI/IntelliDrive/ApplUI/Pages/CreativePages/CustomReportCreativeDetail.aspx?App=23&amp;ReportView=4&amp;Qid=1711279&amp;Row=18437&amp;Col=1","No Title Assigned - #15277539285")</f>
        <v/>
      </c>
      <c r="B18445" s="0" t="s">
        <v>24368</v>
      </c>
      <c r="E18445" s="0" t="inlineStr">
        <is>
          <t xml:space="preserve">Mazda</t>
        </is>
      </c>
      <c r="F18445" s="0" t="inlineStr">
        <is>
          <t xml:space="preserve">Mazda</t>
        </is>
      </c>
      <c r="G18445" s="0" t="s">
        <v>171</v>
      </c>
      <c r="H18445" s="5">
        <v>62.721400</v>
      </c>
    </row>
    <row r="18446" spans="1:9">
      <c r="A18446" s="22" t="str">
        <f>HYPERLINK("https://app.vivvix.com/360/KMI/IntelliDrive/ApplUI/Pages/CreativePages/CustomReportCreativeDetail.aspx?App=23&amp;ReportView=4&amp;Qid=1711279&amp;Row=18438&amp;Col=1","No Title Assigned - #15277539584")</f>
        <v/>
      </c>
      <c r="B18446" s="0" t="s">
        <v>24369</v>
      </c>
      <c r="E18446" s="0" t="inlineStr">
        <is>
          <t xml:space="preserve">Mazda</t>
        </is>
      </c>
      <c r="F18446" s="0" t="inlineStr">
        <is>
          <t xml:space="preserve">Mazda</t>
        </is>
      </c>
      <c r="G18446" s="0" t="s">
        <v>171</v>
      </c>
      <c r="H18446" s="5">
        <v>1826.049600</v>
      </c>
    </row>
    <row r="18447" spans="1:9">
      <c r="A18447" s="22" t="str">
        <f>HYPERLINK("https://app.vivvix.com/360/KMI/IntelliDrive/ApplUI/Pages/CreativePages/CustomReportCreativeDetail.aspx?App=23&amp;ReportView=4&amp;Qid=1711279&amp;Row=18439&amp;Col=1","No Title Assigned - #15277541881")</f>
        <v/>
      </c>
      <c r="B18447" s="0" t="s">
        <v>24370</v>
      </c>
      <c r="E18447" s="0" t="inlineStr">
        <is>
          <t xml:space="preserve">Mazda</t>
        </is>
      </c>
      <c r="F18447" s="0" t="inlineStr">
        <is>
          <t xml:space="preserve">Mazda</t>
        </is>
      </c>
      <c r="G18447" s="0" t="s">
        <v>171</v>
      </c>
      <c r="H18447" s="5">
        <v>4.018500</v>
      </c>
    </row>
    <row r="18448" spans="1:9">
      <c r="A18448" s="22" t="str">
        <f>HYPERLINK("https://app.vivvix.com/360/KMI/IntelliDrive/ApplUI/Pages/CreativePages/CustomReportCreativeDetail.aspx?App=23&amp;ReportView=4&amp;Qid=1711279&amp;Row=18440&amp;Col=1","No Title Assigned - #15277541959")</f>
        <v/>
      </c>
      <c r="B18448" s="0" t="s">
        <v>24371</v>
      </c>
      <c r="E18448" s="0" t="inlineStr">
        <is>
          <t xml:space="preserve">Mazda</t>
        </is>
      </c>
      <c r="F18448" s="0" t="inlineStr">
        <is>
          <t xml:space="preserve">Mazda</t>
        </is>
      </c>
      <c r="G18448" s="0" t="s">
        <v>171</v>
      </c>
      <c r="H18448" s="5">
        <v>7.411600</v>
      </c>
    </row>
    <row r="18449" spans="1:9">
      <c r="A18449" s="22" t="str">
        <f>HYPERLINK("https://app.vivvix.com/360/KMI/IntelliDrive/ApplUI/Pages/CreativePages/CustomReportCreativeDetail.aspx?App=23&amp;ReportView=4&amp;Qid=1711279&amp;Row=18441&amp;Col=1","No Title Assigned - #15277542269")</f>
        <v/>
      </c>
      <c r="B18449" s="0" t="s">
        <v>24372</v>
      </c>
      <c r="E18449" s="0" t="inlineStr">
        <is>
          <t xml:space="preserve">Mazda</t>
        </is>
      </c>
      <c r="F18449" s="0" t="inlineStr">
        <is>
          <t xml:space="preserve">Mazda</t>
        </is>
      </c>
      <c r="G18449" s="0" t="s">
        <v>171</v>
      </c>
      <c r="H18449" s="5">
        <v>47.913700</v>
      </c>
    </row>
    <row r="18450" spans="1:9">
      <c r="A18450" s="22" t="str">
        <f>HYPERLINK("https://app.vivvix.com/360/KMI/IntelliDrive/ApplUI/Pages/CreativePages/CustomReportCreativeDetail.aspx?App=23&amp;ReportView=4&amp;Qid=1711279&amp;Row=18442&amp;Col=1","No Title Assigned - #15277542521")</f>
        <v/>
      </c>
      <c r="B18450" s="0" t="s">
        <v>24373</v>
      </c>
      <c r="E18450" s="0" t="inlineStr">
        <is>
          <t xml:space="preserve">Mazda</t>
        </is>
      </c>
      <c r="F18450" s="0" t="inlineStr">
        <is>
          <t xml:space="preserve">Mazda</t>
        </is>
      </c>
      <c r="G18450" s="0" t="s">
        <v>171</v>
      </c>
      <c r="H18450" s="5">
        <v>34.181400</v>
      </c>
    </row>
    <row r="18451" spans="1:9">
      <c r="A18451" s="22" t="str">
        <f>HYPERLINK("https://app.vivvix.com/360/KMI/IntelliDrive/ApplUI/Pages/CreativePages/CustomReportCreativeDetail.aspx?App=23&amp;ReportView=4&amp;Qid=1711279&amp;Row=18443&amp;Col=1","No Title Assigned - #15277542654")</f>
        <v/>
      </c>
      <c r="B18451" s="0" t="s">
        <v>24374</v>
      </c>
      <c r="E18451" s="0" t="inlineStr">
        <is>
          <t xml:space="preserve">Mazda</t>
        </is>
      </c>
      <c r="F18451" s="0" t="inlineStr">
        <is>
          <t xml:space="preserve">Mazda</t>
        </is>
      </c>
      <c r="G18451" s="0" t="s">
        <v>171</v>
      </c>
      <c r="H18451" s="5">
        <v>15.927600</v>
      </c>
    </row>
    <row r="18452" spans="1:9">
      <c r="A18452" s="22" t="str">
        <f>HYPERLINK("https://app.vivvix.com/360/KMI/IntelliDrive/ApplUI/Pages/CreativePages/CustomReportCreativeDetail.aspx?App=23&amp;ReportView=4&amp;Qid=1711279&amp;Row=18444&amp;Col=1","No Title Assigned - #15277543180")</f>
        <v/>
      </c>
      <c r="B18452" s="0" t="s">
        <v>24375</v>
      </c>
      <c r="E18452" s="0" t="inlineStr">
        <is>
          <t xml:space="preserve">Mazda</t>
        </is>
      </c>
      <c r="F18452" s="0" t="inlineStr">
        <is>
          <t xml:space="preserve">Mazda</t>
        </is>
      </c>
      <c r="G18452" s="0" t="s">
        <v>171</v>
      </c>
      <c r="H18452" s="5">
        <v>38.241800</v>
      </c>
    </row>
    <row r="18453" spans="1:9">
      <c r="A18453" s="22" t="str">
        <f>HYPERLINK("https://app.vivvix.com/360/KMI/IntelliDrive/ApplUI/Pages/CreativePages/CustomReportCreativeDetail.aspx?App=23&amp;ReportView=4&amp;Qid=1711279&amp;Row=18445&amp;Col=1","No Title Assigned - #15277544039")</f>
        <v/>
      </c>
      <c r="B18453" s="0" t="s">
        <v>24376</v>
      </c>
      <c r="E18453" s="0" t="inlineStr">
        <is>
          <t xml:space="preserve">Mazda</t>
        </is>
      </c>
      <c r="F18453" s="0" t="inlineStr">
        <is>
          <t xml:space="preserve">Mazda</t>
        </is>
      </c>
      <c r="G18453" s="0" t="s">
        <v>171</v>
      </c>
      <c r="H18453" s="5">
        <v>2.605700</v>
      </c>
    </row>
    <row r="18454" spans="1:9">
      <c r="A18454" s="22" t="str">
        <f>HYPERLINK("https://app.vivvix.com/360/KMI/IntelliDrive/ApplUI/Pages/CreativePages/CustomReportCreativeDetail.aspx?App=23&amp;ReportView=4&amp;Qid=1711279&amp;Row=18446&amp;Col=1","No Title Assigned - #15277544628")</f>
        <v/>
      </c>
      <c r="B18454" s="0" t="s">
        <v>24377</v>
      </c>
      <c r="E18454" s="0" t="inlineStr">
        <is>
          <t xml:space="preserve">Mazda</t>
        </is>
      </c>
      <c r="F18454" s="0" t="inlineStr">
        <is>
          <t xml:space="preserve">Mazda</t>
        </is>
      </c>
      <c r="G18454" s="0" t="s">
        <v>171</v>
      </c>
      <c r="H18454" s="5">
        <v>762.765300</v>
      </c>
    </row>
    <row r="18455" spans="1:9">
      <c r="A18455" s="22" t="str">
        <f>HYPERLINK("https://app.vivvix.com/360/KMI/IntelliDrive/ApplUI/Pages/CreativePages/CustomReportCreativeDetail.aspx?App=23&amp;ReportView=4&amp;Qid=1711279&amp;Row=18447&amp;Col=1","No Title Assigned - #15277558268")</f>
        <v/>
      </c>
      <c r="B18455" s="0" t="s">
        <v>24378</v>
      </c>
      <c r="C18455" s="0" t="s">
        <v>24379</v>
      </c>
      <c r="D18455" s="0" t="s">
        <v>24379</v>
      </c>
      <c r="E18455" s="0" t="inlineStr">
        <is>
          <t xml:space="preserve">Mazda</t>
        </is>
      </c>
      <c r="F18455" s="0" t="s">
        <v>17</v>
      </c>
      <c r="G18455" s="0" t="s">
        <v>33</v>
      </c>
      <c r="H18455" s="5">
        <v>905.913300</v>
      </c>
    </row>
    <row r="18456" spans="1:9">
      <c r="A18456" s="22" t="str">
        <f>HYPERLINK("https://app.vivvix.com/360/KMI/IntelliDrive/ApplUI/Pages/CreativePages/CustomReportCreativeDetail.aspx?App=23&amp;ReportView=4&amp;Qid=1711279&amp;Row=18448&amp;Col=1","No Title Assigned - #15277568686")</f>
        <v/>
      </c>
      <c r="B18456" s="0" t="s">
        <v>24380</v>
      </c>
      <c r="E18456" s="0" t="inlineStr">
        <is>
          <t xml:space="preserve">Mazda</t>
        </is>
      </c>
      <c r="F18456" s="0" t="inlineStr">
        <is>
          <t xml:space="preserve">Mazda</t>
        </is>
      </c>
      <c r="G18456" s="0" t="s">
        <v>171</v>
      </c>
      <c r="H18456" s="5">
        <v>395.930400</v>
      </c>
    </row>
    <row r="18457" spans="1:9">
      <c r="A18457" s="22" t="str">
        <f>HYPERLINK("https://app.vivvix.com/360/KMI/IntelliDrive/ApplUI/Pages/CreativePages/CustomReportCreativeDetail.aspx?App=23&amp;ReportView=4&amp;Qid=1711279&amp;Row=18449&amp;Col=1","No Title Assigned - #15277575532")</f>
        <v/>
      </c>
      <c r="B18457" s="0" t="s">
        <v>24381</v>
      </c>
      <c r="C18457" s="0" t="s">
        <v>24382</v>
      </c>
      <c r="D18457" s="0" t="s">
        <v>24382</v>
      </c>
      <c r="E18457" s="0" t="inlineStr">
        <is>
          <t xml:space="preserve">Mazda</t>
        </is>
      </c>
      <c r="F18457" s="0" t="s">
        <v>13</v>
      </c>
      <c r="G18457" s="0" t="s">
        <v>49</v>
      </c>
      <c r="H18457" s="5">
        <v>1073.652500</v>
      </c>
    </row>
    <row r="18458" spans="1:9">
      <c r="A18458" s="22" t="str">
        <f>HYPERLINK("https://app.vivvix.com/360/KMI/IntelliDrive/ApplUI/Pages/CreativePages/CustomReportCreativeDetail.aspx?App=23&amp;ReportView=4&amp;Qid=1711279&amp;Row=18450&amp;Col=1","No Title Assigned - #15277578553")</f>
        <v/>
      </c>
      <c r="B18458" s="0" t="s">
        <v>24383</v>
      </c>
      <c r="C18458" s="0" t="s">
        <v>24384</v>
      </c>
      <c r="D18458" s="0" t="s">
        <v>24384</v>
      </c>
      <c r="E18458" s="0" t="inlineStr">
        <is>
          <t xml:space="preserve">Mazda</t>
        </is>
      </c>
      <c r="F18458" s="0" t="s">
        <v>13</v>
      </c>
      <c r="G18458" s="0" t="s">
        <v>49</v>
      </c>
      <c r="H18458" s="5">
        <v>5278.031100</v>
      </c>
    </row>
    <row r="18459" spans="1:9">
      <c r="A18459" s="22" t="str">
        <f>HYPERLINK("https://app.vivvix.com/360/KMI/IntelliDrive/ApplUI/Pages/CreativePages/CustomReportCreativeDetail.aspx?App=23&amp;ReportView=4&amp;Qid=1711279&amp;Row=18451&amp;Col=1","No Title Assigned - #15277580761")</f>
        <v/>
      </c>
      <c r="B18459" s="0" t="s">
        <v>24385</v>
      </c>
      <c r="C18459" s="0" t="s">
        <v>24386</v>
      </c>
      <c r="D18459" s="0" t="s">
        <v>24386</v>
      </c>
      <c r="E18459" s="0" t="inlineStr">
        <is>
          <t xml:space="preserve">Mazda</t>
        </is>
      </c>
      <c r="F18459" s="0" t="s">
        <v>13</v>
      </c>
      <c r="G18459" s="0" t="s">
        <v>49</v>
      </c>
      <c r="H18459" s="5">
        <v>1440.734300</v>
      </c>
    </row>
    <row r="18460" spans="1:9">
      <c r="A18460" s="22" t="str">
        <f>HYPERLINK("https://app.vivvix.com/360/KMI/IntelliDrive/ApplUI/Pages/CreativePages/CustomReportCreativeDetail.aspx?App=23&amp;ReportView=4&amp;Qid=1711279&amp;Row=18452&amp;Col=1","No Title Assigned - #15277582817")</f>
        <v/>
      </c>
      <c r="B18460" s="0" t="s">
        <v>24387</v>
      </c>
      <c r="C18460" s="0" t="s">
        <v>24388</v>
      </c>
      <c r="D18460" s="0" t="s">
        <v>24388</v>
      </c>
      <c r="E18460" s="0" t="inlineStr">
        <is>
          <t xml:space="preserve">Mazda</t>
        </is>
      </c>
      <c r="F18460" s="0" t="s">
        <v>13</v>
      </c>
      <c r="G18460" s="0" t="s">
        <v>49</v>
      </c>
      <c r="H18460" s="5">
        <v>3535.422300</v>
      </c>
    </row>
    <row r="18461" spans="1:9">
      <c r="A18461" s="22" t="str">
        <f>HYPERLINK("https://app.vivvix.com/360/KMI/IntelliDrive/ApplUI/Pages/CreativePages/CustomReportCreativeDetail.aspx?App=23&amp;ReportView=4&amp;Qid=1711279&amp;Row=18453&amp;Col=1","No Title Assigned - #15277583112")</f>
        <v/>
      </c>
      <c r="B18461" s="0" t="s">
        <v>24389</v>
      </c>
      <c r="C18461" s="0" t="s">
        <v>24390</v>
      </c>
      <c r="D18461" s="0" t="s">
        <v>24390</v>
      </c>
      <c r="E18461" s="0" t="inlineStr">
        <is>
          <t xml:space="preserve">Mazda</t>
        </is>
      </c>
      <c r="F18461" s="0" t="s">
        <v>13</v>
      </c>
      <c r="G18461" s="0" t="s">
        <v>49</v>
      </c>
      <c r="H18461" s="5">
        <v>407.984900</v>
      </c>
    </row>
    <row r="18462" spans="1:9">
      <c r="A18462" s="22" t="str">
        <f>HYPERLINK("https://app.vivvix.com/360/KMI/IntelliDrive/ApplUI/Pages/CreativePages/CustomReportCreativeDetail.aspx?App=23&amp;ReportView=4&amp;Qid=1711279&amp;Row=18454&amp;Col=1","No Title Assigned - #15277583113")</f>
        <v/>
      </c>
      <c r="B18462" s="0" t="s">
        <v>24391</v>
      </c>
      <c r="C18462" s="0" t="s">
        <v>24392</v>
      </c>
      <c r="D18462" s="0" t="s">
        <v>24392</v>
      </c>
      <c r="E18462" s="0" t="inlineStr">
        <is>
          <t xml:space="preserve">Mazda</t>
        </is>
      </c>
      <c r="F18462" s="0" t="s">
        <v>13</v>
      </c>
      <c r="G18462" s="0" t="s">
        <v>49</v>
      </c>
      <c r="H18462" s="5">
        <v>407.984900</v>
      </c>
    </row>
    <row r="18463" spans="1:9">
      <c r="A18463" s="22" t="str">
        <f>HYPERLINK("https://app.vivvix.com/360/KMI/IntelliDrive/ApplUI/Pages/CreativePages/CustomReportCreativeDetail.aspx?App=23&amp;ReportView=4&amp;Qid=1711279&amp;Row=18455&amp;Col=1","No Title Assigned - #15277583159")</f>
        <v/>
      </c>
      <c r="B18463" s="0" t="s">
        <v>24393</v>
      </c>
      <c r="C18463" s="0" t="s">
        <v>24394</v>
      </c>
      <c r="D18463" s="0" t="s">
        <v>24394</v>
      </c>
      <c r="E18463" s="0" t="inlineStr">
        <is>
          <t xml:space="preserve">Mazda</t>
        </is>
      </c>
      <c r="F18463" s="0" t="s">
        <v>13</v>
      </c>
      <c r="G18463" s="0" t="s">
        <v>49</v>
      </c>
      <c r="H18463" s="5">
        <v>391371.319200</v>
      </c>
    </row>
    <row r="18464" spans="1:9">
      <c r="A18464" s="22" t="str">
        <f>HYPERLINK("https://app.vivvix.com/360/KMI/IntelliDrive/ApplUI/Pages/CreativePages/CustomReportCreativeDetail.aspx?App=23&amp;ReportView=4&amp;Qid=1711279&amp;Row=18456&amp;Col=1","No Title Assigned - #15277583326")</f>
        <v/>
      </c>
      <c r="B18464" s="0" t="s">
        <v>24395</v>
      </c>
      <c r="C18464" s="0" t="s">
        <v>24396</v>
      </c>
      <c r="D18464" s="0" t="s">
        <v>24396</v>
      </c>
      <c r="E18464" s="0" t="inlineStr">
        <is>
          <t xml:space="preserve">Mazda</t>
        </is>
      </c>
      <c r="F18464" s="0" t="s">
        <v>13</v>
      </c>
      <c r="G18464" s="0" t="s">
        <v>49</v>
      </c>
      <c r="H18464" s="5">
        <v>901.649700</v>
      </c>
    </row>
    <row r="18465" spans="1:9">
      <c r="A18465" s="22" t="str">
        <f>HYPERLINK("https://app.vivvix.com/360/KMI/IntelliDrive/ApplUI/Pages/CreativePages/CustomReportCreativeDetail.aspx?App=23&amp;ReportView=4&amp;Qid=1711279&amp;Row=18457&amp;Col=1","No Title Assigned - #15277586925")</f>
        <v/>
      </c>
      <c r="B18465" s="0" t="s">
        <v>24397</v>
      </c>
      <c r="C18465" s="0" t="s">
        <v>24398</v>
      </c>
      <c r="D18465" s="0" t="s">
        <v>24398</v>
      </c>
      <c r="E18465" s="0" t="inlineStr">
        <is>
          <t xml:space="preserve">Mazda</t>
        </is>
      </c>
      <c r="F18465" s="0" t="s">
        <v>13</v>
      </c>
      <c r="G18465" s="0" t="s">
        <v>49</v>
      </c>
      <c r="H18465" s="5">
        <v>501.902400</v>
      </c>
    </row>
    <row r="18466" spans="1:9">
      <c r="A18466" s="22" t="str">
        <f>HYPERLINK("https://app.vivvix.com/360/KMI/IntelliDrive/ApplUI/Pages/CreativePages/CustomReportCreativeDetail.aspx?App=23&amp;ReportView=4&amp;Qid=1711279&amp;Row=18458&amp;Col=1","No Title Assigned - #15277589886")</f>
        <v/>
      </c>
      <c r="B18466" s="0" t="s">
        <v>24399</v>
      </c>
      <c r="C18466" s="0" t="s">
        <v>24400</v>
      </c>
      <c r="D18466" s="0" t="s">
        <v>24400</v>
      </c>
      <c r="E18466" s="0" t="inlineStr">
        <is>
          <t xml:space="preserve">Mazda</t>
        </is>
      </c>
      <c r="F18466" s="0" t="s">
        <v>13</v>
      </c>
      <c r="G18466" s="0" t="s">
        <v>49</v>
      </c>
      <c r="H18466" s="5">
        <v>167.182600</v>
      </c>
    </row>
    <row r="18467" spans="1:9">
      <c r="A18467" s="22" t="str">
        <f>HYPERLINK("https://app.vivvix.com/360/KMI/IntelliDrive/ApplUI/Pages/CreativePages/CustomReportCreativeDetail.aspx?App=23&amp;ReportView=4&amp;Qid=1711279&amp;Row=18459&amp;Col=1","No Title Assigned - #15277590284")</f>
        <v/>
      </c>
      <c r="B18467" s="0" t="s">
        <v>24401</v>
      </c>
      <c r="C18467" s="0" t="s">
        <v>24402</v>
      </c>
      <c r="D18467" s="0" t="s">
        <v>24402</v>
      </c>
      <c r="E18467" s="0" t="inlineStr">
        <is>
          <t xml:space="preserve">Mazda</t>
        </is>
      </c>
      <c r="F18467" s="0" t="s">
        <v>13</v>
      </c>
      <c r="G18467" s="0" t="s">
        <v>49</v>
      </c>
      <c r="H18467" s="5">
        <v>1182.942200</v>
      </c>
    </row>
    <row r="18468" spans="1:9">
      <c r="A18468" s="22" t="str">
        <f>HYPERLINK("https://app.vivvix.com/360/KMI/IntelliDrive/ApplUI/Pages/CreativePages/CustomReportCreativeDetail.aspx?App=23&amp;ReportView=4&amp;Qid=1711279&amp;Row=18460&amp;Col=1","No Title Assigned - #15277591368")</f>
        <v/>
      </c>
      <c r="B18468" s="0" t="s">
        <v>24403</v>
      </c>
      <c r="C18468" s="0" t="s">
        <v>24404</v>
      </c>
      <c r="D18468" s="0" t="s">
        <v>24404</v>
      </c>
      <c r="E18468" s="0" t="inlineStr">
        <is>
          <t xml:space="preserve">Mazda</t>
        </is>
      </c>
      <c r="F18468" s="0" t="s">
        <v>13</v>
      </c>
      <c r="G18468" s="0" t="s">
        <v>49</v>
      </c>
      <c r="H18468" s="5">
        <v>173.067200</v>
      </c>
    </row>
    <row r="18469" spans="1:9">
      <c r="A18469" s="22" t="str">
        <f>HYPERLINK("https://app.vivvix.com/360/KMI/IntelliDrive/ApplUI/Pages/CreativePages/CustomReportCreativeDetail.aspx?App=23&amp;ReportView=4&amp;Qid=1711279&amp;Row=18461&amp;Col=1","No Title Assigned - #15277591445")</f>
        <v/>
      </c>
      <c r="B18469" s="0" t="s">
        <v>24405</v>
      </c>
      <c r="C18469" s="0" t="s">
        <v>24406</v>
      </c>
      <c r="D18469" s="0" t="s">
        <v>24406</v>
      </c>
      <c r="E18469" s="0" t="inlineStr">
        <is>
          <t xml:space="preserve">Mazda</t>
        </is>
      </c>
      <c r="F18469" s="0" t="s">
        <v>13</v>
      </c>
      <c r="G18469" s="0" t="s">
        <v>49</v>
      </c>
      <c r="H18469" s="5">
        <v>735.514800</v>
      </c>
    </row>
    <row r="18470" spans="1:9">
      <c r="A18470" s="22" t="str">
        <f>HYPERLINK("https://app.vivvix.com/360/KMI/IntelliDrive/ApplUI/Pages/CreativePages/CustomReportCreativeDetail.aspx?App=23&amp;ReportView=4&amp;Qid=1711279&amp;Row=18462&amp;Col=1","No Title Assigned - #15277591596")</f>
        <v/>
      </c>
      <c r="B18470" s="0" t="s">
        <v>24407</v>
      </c>
      <c r="C18470" s="0" t="s">
        <v>24408</v>
      </c>
      <c r="D18470" s="0" t="s">
        <v>24408</v>
      </c>
      <c r="E18470" s="0" t="inlineStr">
        <is>
          <t xml:space="preserve">Mazda</t>
        </is>
      </c>
      <c r="F18470" s="0" t="s">
        <v>13</v>
      </c>
      <c r="G18470" s="0" t="s">
        <v>49</v>
      </c>
      <c r="H18470" s="5">
        <v>1541.480300</v>
      </c>
    </row>
    <row r="18471" spans="1:9">
      <c r="A18471" s="22" t="str">
        <f>HYPERLINK("https://app.vivvix.com/360/KMI/IntelliDrive/ApplUI/Pages/CreativePages/CustomReportCreativeDetail.aspx?App=23&amp;ReportView=4&amp;Qid=1711279&amp;Row=18463&amp;Col=1","No Title Assigned - #15277592374")</f>
        <v/>
      </c>
      <c r="B18471" s="0" t="s">
        <v>24409</v>
      </c>
      <c r="C18471" s="0" t="s">
        <v>24410</v>
      </c>
      <c r="D18471" s="0" t="s">
        <v>24410</v>
      </c>
      <c r="E18471" s="0" t="inlineStr">
        <is>
          <t xml:space="preserve">Mazda</t>
        </is>
      </c>
      <c r="F18471" s="0" t="s">
        <v>13</v>
      </c>
      <c r="G18471" s="0" t="s">
        <v>49</v>
      </c>
      <c r="H18471" s="5">
        <v>38376.818700</v>
      </c>
    </row>
    <row r="18472" spans="1:9">
      <c r="A18472" s="22" t="str">
        <f>HYPERLINK("https://app.vivvix.com/360/KMI/IntelliDrive/ApplUI/Pages/CreativePages/CustomReportCreativeDetail.aspx?App=23&amp;ReportView=4&amp;Qid=1711279&amp;Row=18464&amp;Col=1","No Title Assigned - #15277592418")</f>
        <v/>
      </c>
      <c r="B18472" s="0" t="s">
        <v>24411</v>
      </c>
      <c r="C18472" s="0" t="s">
        <v>24412</v>
      </c>
      <c r="D18472" s="0" t="s">
        <v>24412</v>
      </c>
      <c r="E18472" s="0" t="inlineStr">
        <is>
          <t xml:space="preserve">Mazda</t>
        </is>
      </c>
      <c r="F18472" s="0" t="s">
        <v>13</v>
      </c>
      <c r="G18472" s="0" t="s">
        <v>49</v>
      </c>
      <c r="H18472" s="5">
        <v>60.316300</v>
      </c>
    </row>
    <row r="18473" spans="1:9">
      <c r="A18473" s="22" t="str">
        <f>HYPERLINK("https://app.vivvix.com/360/KMI/IntelliDrive/ApplUI/Pages/CreativePages/CustomReportCreativeDetail.aspx?App=23&amp;ReportView=4&amp;Qid=1711279&amp;Row=18465&amp;Col=1","No Title Assigned - #15277592545")</f>
        <v/>
      </c>
      <c r="B18473" s="0" t="s">
        <v>24413</v>
      </c>
      <c r="C18473" s="0" t="s">
        <v>24414</v>
      </c>
      <c r="D18473" s="0" t="s">
        <v>24414</v>
      </c>
      <c r="E18473" s="0" t="inlineStr">
        <is>
          <t xml:space="preserve">Mazda</t>
        </is>
      </c>
      <c r="F18473" s="0" t="s">
        <v>13</v>
      </c>
      <c r="G18473" s="0" t="s">
        <v>49</v>
      </c>
      <c r="H18473" s="5">
        <v>2614.140000</v>
      </c>
    </row>
    <row r="18474" spans="1:9">
      <c r="A18474" s="22" t="str">
        <f>HYPERLINK("https://app.vivvix.com/360/KMI/IntelliDrive/ApplUI/Pages/CreativePages/CustomReportCreativeDetail.aspx?App=23&amp;ReportView=4&amp;Qid=1711279&amp;Row=18466&amp;Col=1","No Title Assigned - #15277592664")</f>
        <v/>
      </c>
      <c r="B18474" s="0" t="s">
        <v>24415</v>
      </c>
      <c r="C18474" s="0" t="s">
        <v>24416</v>
      </c>
      <c r="D18474" s="0" t="s">
        <v>24416</v>
      </c>
      <c r="E18474" s="0" t="inlineStr">
        <is>
          <t xml:space="preserve">Mazda</t>
        </is>
      </c>
      <c r="F18474" s="0" t="s">
        <v>13</v>
      </c>
      <c r="G18474" s="0" t="s">
        <v>49</v>
      </c>
      <c r="H18474" s="5">
        <v>566.508100</v>
      </c>
    </row>
    <row r="18475" spans="1:9">
      <c r="A18475" s="22" t="str">
        <f>HYPERLINK("https://app.vivvix.com/360/KMI/IntelliDrive/ApplUI/Pages/CreativePages/CustomReportCreativeDetail.aspx?App=23&amp;ReportView=4&amp;Qid=1711279&amp;Row=18467&amp;Col=1","No Title Assigned - #15277593133")</f>
        <v/>
      </c>
      <c r="B18475" s="0" t="s">
        <v>24417</v>
      </c>
      <c r="C18475" s="0" t="s">
        <v>24418</v>
      </c>
      <c r="D18475" s="0" t="s">
        <v>24418</v>
      </c>
      <c r="E18475" s="0" t="inlineStr">
        <is>
          <t xml:space="preserve">Mazda</t>
        </is>
      </c>
      <c r="F18475" s="0" t="s">
        <v>13</v>
      </c>
      <c r="G18475" s="0" t="s">
        <v>49</v>
      </c>
      <c r="H18475" s="5">
        <v>103977.327800</v>
      </c>
    </row>
    <row r="18476" spans="1:9">
      <c r="A18476" s="22" t="str">
        <f>HYPERLINK("https://app.vivvix.com/360/KMI/IntelliDrive/ApplUI/Pages/CreativePages/CustomReportCreativeDetail.aspx?App=23&amp;ReportView=4&amp;Qid=1711279&amp;Row=18468&amp;Col=1","No Title Assigned - #15277593257")</f>
        <v/>
      </c>
      <c r="B18476" s="0" t="s">
        <v>24419</v>
      </c>
      <c r="C18476" s="0" t="s">
        <v>24420</v>
      </c>
      <c r="D18476" s="0" t="s">
        <v>24420</v>
      </c>
      <c r="E18476" s="0" t="inlineStr">
        <is>
          <t xml:space="preserve">Mazda</t>
        </is>
      </c>
      <c r="F18476" s="0" t="s">
        <v>13</v>
      </c>
      <c r="G18476" s="0" t="s">
        <v>49</v>
      </c>
      <c r="H18476" s="5">
        <v>15946.653300</v>
      </c>
    </row>
    <row r="18477" spans="1:9">
      <c r="A18477" s="22" t="str">
        <f>HYPERLINK("https://app.vivvix.com/360/KMI/IntelliDrive/ApplUI/Pages/CreativePages/CustomReportCreativeDetail.aspx?App=23&amp;ReportView=4&amp;Qid=1711279&amp;Row=18469&amp;Col=1","No Title Assigned - #15277593464")</f>
        <v/>
      </c>
      <c r="B18477" s="0" t="s">
        <v>24421</v>
      </c>
      <c r="C18477" s="0" t="s">
        <v>24422</v>
      </c>
      <c r="D18477" s="0" t="s">
        <v>4452</v>
      </c>
      <c r="E18477" s="0" t="inlineStr">
        <is>
          <t xml:space="preserve">Mazda</t>
        </is>
      </c>
      <c r="F18477" s="0" t="s">
        <v>369</v>
      </c>
      <c r="G18477" s="0" t="s">
        <v>370</v>
      </c>
      <c r="H18477" s="5">
        <v>349.194800</v>
      </c>
    </row>
    <row r="18478" spans="1:9">
      <c r="A18478" s="22" t="str">
        <f>HYPERLINK("https://app.vivvix.com/360/KMI/IntelliDrive/ApplUI/Pages/CreativePages/CustomReportCreativeDetail.aspx?App=23&amp;ReportView=4&amp;Qid=1711279&amp;Row=18470&amp;Col=1","No Title Assigned - #15277594378")</f>
        <v/>
      </c>
      <c r="B18478" s="0" t="s">
        <v>24423</v>
      </c>
      <c r="C18478" s="0" t="s">
        <v>24424</v>
      </c>
      <c r="D18478" s="0" t="s">
        <v>24424</v>
      </c>
      <c r="E18478" s="0" t="inlineStr">
        <is>
          <t xml:space="preserve">Mazda</t>
        </is>
      </c>
      <c r="F18478" s="0" t="s">
        <v>13</v>
      </c>
      <c r="G18478" s="0" t="s">
        <v>49</v>
      </c>
      <c r="H18478" s="5">
        <v>616.741700</v>
      </c>
    </row>
    <row r="18479" spans="1:9">
      <c r="A18479" s="22" t="str">
        <f>HYPERLINK("https://app.vivvix.com/360/KMI/IntelliDrive/ApplUI/Pages/CreativePages/CustomReportCreativeDetail.aspx?App=23&amp;ReportView=4&amp;Qid=1711279&amp;Row=18471&amp;Col=1","No Title Assigned - #15277594815")</f>
        <v/>
      </c>
      <c r="B18479" s="0" t="s">
        <v>24425</v>
      </c>
      <c r="C18479" s="0" t="s">
        <v>24426</v>
      </c>
      <c r="D18479" s="0" t="s">
        <v>24426</v>
      </c>
      <c r="E18479" s="0" t="inlineStr">
        <is>
          <t xml:space="preserve">Mazda</t>
        </is>
      </c>
      <c r="F18479" s="0" t="s">
        <v>13</v>
      </c>
      <c r="G18479" s="0" t="s">
        <v>49</v>
      </c>
      <c r="H18479" s="5">
        <v>6854.963200</v>
      </c>
    </row>
    <row r="18480" spans="1:9">
      <c r="A18480" s="22" t="str">
        <f>HYPERLINK("https://app.vivvix.com/360/KMI/IntelliDrive/ApplUI/Pages/CreativePages/CustomReportCreativeDetail.aspx?App=23&amp;ReportView=4&amp;Qid=1711279&amp;Row=18472&amp;Col=1","No Title Assigned - #15277596915")</f>
        <v/>
      </c>
      <c r="B18480" s="0" t="s">
        <v>24427</v>
      </c>
      <c r="C18480" s="0" t="s">
        <v>24428</v>
      </c>
      <c r="D18480" s="0" t="s">
        <v>6183</v>
      </c>
      <c r="E18480" s="0" t="inlineStr">
        <is>
          <t xml:space="preserve">Mazda</t>
        </is>
      </c>
      <c r="F18480" s="0" t="s">
        <v>13</v>
      </c>
      <c r="G18480" s="0" t="s">
        <v>49</v>
      </c>
      <c r="H18480" s="5">
        <v>170.702800</v>
      </c>
    </row>
    <row r="18481" spans="1:9">
      <c r="A18481" s="22" t="str">
        <f>HYPERLINK("https://app.vivvix.com/360/KMI/IntelliDrive/ApplUI/Pages/CreativePages/CustomReportCreativeDetail.aspx?App=23&amp;ReportView=4&amp;Qid=1711279&amp;Row=18473&amp;Col=1","No Title Assigned - #15277597274")</f>
        <v/>
      </c>
      <c r="B18481" s="0" t="s">
        <v>24429</v>
      </c>
      <c r="C18481" s="0" t="s">
        <v>24430</v>
      </c>
      <c r="D18481" s="0" t="s">
        <v>24430</v>
      </c>
      <c r="E18481" s="0" t="inlineStr">
        <is>
          <t xml:space="preserve">Mazda</t>
        </is>
      </c>
      <c r="F18481" s="0" t="s">
        <v>13</v>
      </c>
      <c r="G18481" s="0" t="s">
        <v>49</v>
      </c>
      <c r="H18481" s="5">
        <v>233.383500</v>
      </c>
    </row>
    <row r="18482" spans="1:9">
      <c r="A18482" s="22" t="str">
        <f>HYPERLINK("https://app.vivvix.com/360/KMI/IntelliDrive/ApplUI/Pages/CreativePages/CustomReportCreativeDetail.aspx?App=23&amp;ReportView=4&amp;Qid=1711279&amp;Row=18474&amp;Col=1","No Title Assigned - #15277597438")</f>
        <v/>
      </c>
      <c r="B18482" s="0" t="s">
        <v>24431</v>
      </c>
      <c r="C18482" s="0" t="s">
        <v>24432</v>
      </c>
      <c r="D18482" s="0" t="s">
        <v>24432</v>
      </c>
      <c r="E18482" s="0" t="inlineStr">
        <is>
          <t xml:space="preserve">Mazda</t>
        </is>
      </c>
      <c r="F18482" s="0" t="s">
        <v>13</v>
      </c>
      <c r="G18482" s="0" t="s">
        <v>49</v>
      </c>
      <c r="H18482" s="5">
        <v>256.195600</v>
      </c>
    </row>
    <row r="18483" spans="1:9">
      <c r="A18483" s="22" t="str">
        <f>HYPERLINK("https://app.vivvix.com/360/KMI/IntelliDrive/ApplUI/Pages/CreativePages/CustomReportCreativeDetail.aspx?App=23&amp;ReportView=4&amp;Qid=1711279&amp;Row=18475&amp;Col=1","No Title Assigned - #15277598111")</f>
        <v/>
      </c>
      <c r="B18483" s="0" t="s">
        <v>24433</v>
      </c>
      <c r="C18483" s="0" t="s">
        <v>24434</v>
      </c>
      <c r="D18483" s="0" t="s">
        <v>23463</v>
      </c>
      <c r="E18483" s="0" t="inlineStr">
        <is>
          <t xml:space="preserve">Mazda</t>
        </is>
      </c>
      <c r="F18483" s="0" t="s">
        <v>13</v>
      </c>
      <c r="G18483" s="0" t="s">
        <v>49</v>
      </c>
      <c r="H18483" s="5">
        <v>117.755500</v>
      </c>
    </row>
    <row r="18484" spans="1:9">
      <c r="A18484" s="22" t="str">
        <f>HYPERLINK("https://app.vivvix.com/360/KMI/IntelliDrive/ApplUI/Pages/CreativePages/CustomReportCreativeDetail.aspx?App=23&amp;ReportView=4&amp;Qid=1711279&amp;Row=18476&amp;Col=1","No Title Assigned - #15277598602")</f>
        <v/>
      </c>
      <c r="B18484" s="0" t="s">
        <v>24435</v>
      </c>
      <c r="E18484" s="0" t="inlineStr">
        <is>
          <t xml:space="preserve">Mazda</t>
        </is>
      </c>
      <c r="F18484" s="0" t="inlineStr">
        <is>
          <t xml:space="preserve">Mazda</t>
        </is>
      </c>
      <c r="G18484" s="0" t="s">
        <v>171</v>
      </c>
      <c r="H18484" s="5">
        <v>673.212300</v>
      </c>
    </row>
    <row r="18485" spans="1:9">
      <c r="A18485" s="22" t="str">
        <f>HYPERLINK("https://app.vivvix.com/360/KMI/IntelliDrive/ApplUI/Pages/CreativePages/CustomReportCreativeDetail.aspx?App=23&amp;ReportView=4&amp;Qid=1711279&amp;Row=18477&amp;Col=1","No Title Assigned - #15277604188")</f>
        <v/>
      </c>
      <c r="B18485" s="0" t="s">
        <v>24436</v>
      </c>
      <c r="E18485" s="0" t="inlineStr">
        <is>
          <t xml:space="preserve">Mazda</t>
        </is>
      </c>
      <c r="F18485" s="0" t="inlineStr">
        <is>
          <t xml:space="preserve">Mazda</t>
        </is>
      </c>
      <c r="G18485" s="0" t="s">
        <v>171</v>
      </c>
      <c r="H18485" s="5">
        <v>60.328400</v>
      </c>
    </row>
    <row r="18486" spans="1:9">
      <c r="A18486" s="22" t="str">
        <f>HYPERLINK("https://app.vivvix.com/360/KMI/IntelliDrive/ApplUI/Pages/CreativePages/CustomReportCreativeDetail.aspx?App=23&amp;ReportView=4&amp;Qid=1711279&amp;Row=18478&amp;Col=1","No Title Assigned - #15277604389")</f>
        <v/>
      </c>
      <c r="B18486" s="0" t="s">
        <v>24437</v>
      </c>
      <c r="E18486" s="0" t="inlineStr">
        <is>
          <t xml:space="preserve">Mazda</t>
        </is>
      </c>
      <c r="F18486" s="0" t="inlineStr">
        <is>
          <t xml:space="preserve">Mazda</t>
        </is>
      </c>
      <c r="G18486" s="0" t="s">
        <v>171</v>
      </c>
      <c r="H18486" s="5">
        <v>6057.410400</v>
      </c>
    </row>
    <row r="18487" spans="1:9">
      <c r="A18487" s="22" t="str">
        <f>HYPERLINK("https://app.vivvix.com/360/KMI/IntelliDrive/ApplUI/Pages/CreativePages/CustomReportCreativeDetail.aspx?App=23&amp;ReportView=4&amp;Qid=1711279&amp;Row=18479&amp;Col=1","No Title Assigned - #15277604449")</f>
        <v/>
      </c>
      <c r="B18487" s="0" t="s">
        <v>24438</v>
      </c>
      <c r="E18487" s="0" t="inlineStr">
        <is>
          <t xml:space="preserve">Mazda</t>
        </is>
      </c>
      <c r="F18487" s="0" t="inlineStr">
        <is>
          <t xml:space="preserve">Mazda</t>
        </is>
      </c>
      <c r="G18487" s="0" t="s">
        <v>171</v>
      </c>
      <c r="H18487" s="5">
        <v>699.771800</v>
      </c>
    </row>
    <row r="18488" spans="1:9">
      <c r="A18488" s="22" t="str">
        <f>HYPERLINK("https://app.vivvix.com/360/KMI/IntelliDrive/ApplUI/Pages/CreativePages/CustomReportCreativeDetail.aspx?App=23&amp;ReportView=4&amp;Qid=1711279&amp;Row=18480&amp;Col=1","No Title Assigned - #15277604724")</f>
        <v/>
      </c>
      <c r="B18488" s="0" t="s">
        <v>24439</v>
      </c>
      <c r="E18488" s="0" t="inlineStr">
        <is>
          <t xml:space="preserve">Mazda</t>
        </is>
      </c>
      <c r="F18488" s="0" t="inlineStr">
        <is>
          <t xml:space="preserve">Mazda</t>
        </is>
      </c>
      <c r="G18488" s="0" t="s">
        <v>171</v>
      </c>
      <c r="H18488" s="5">
        <v>32.089300</v>
      </c>
    </row>
    <row r="18489" spans="1:9">
      <c r="A18489" s="22" t="str">
        <f>HYPERLINK("https://app.vivvix.com/360/KMI/IntelliDrive/ApplUI/Pages/CreativePages/CustomReportCreativeDetail.aspx?App=23&amp;ReportView=4&amp;Qid=1711279&amp;Row=18481&amp;Col=1","No Title Assigned - #15277605312")</f>
        <v/>
      </c>
      <c r="B18489" s="0" t="s">
        <v>24440</v>
      </c>
      <c r="E18489" s="0" t="inlineStr">
        <is>
          <t xml:space="preserve">Mazda</t>
        </is>
      </c>
      <c r="F18489" s="0" t="inlineStr">
        <is>
          <t xml:space="preserve">Mazda</t>
        </is>
      </c>
      <c r="G18489" s="0" t="s">
        <v>171</v>
      </c>
      <c r="H18489" s="5">
        <v>129.479500</v>
      </c>
    </row>
    <row r="18490" spans="1:9">
      <c r="A18490" s="22" t="str">
        <f>HYPERLINK("https://app.vivvix.com/360/KMI/IntelliDrive/ApplUI/Pages/CreativePages/CustomReportCreativeDetail.aspx?App=23&amp;ReportView=4&amp;Qid=1711279&amp;Row=18482&amp;Col=1","No Title Assigned - #15277605822")</f>
        <v/>
      </c>
      <c r="B18490" s="0" t="s">
        <v>24441</v>
      </c>
      <c r="E18490" s="0" t="inlineStr">
        <is>
          <t xml:space="preserve">Mazda</t>
        </is>
      </c>
      <c r="F18490" s="0" t="inlineStr">
        <is>
          <t xml:space="preserve">Mazda</t>
        </is>
      </c>
      <c r="G18490" s="0" t="s">
        <v>171</v>
      </c>
      <c r="H18490" s="5">
        <v>1254.109800</v>
      </c>
    </row>
    <row r="18491" spans="1:9">
      <c r="A18491" s="22" t="str">
        <f>HYPERLINK("https://app.vivvix.com/360/KMI/IntelliDrive/ApplUI/Pages/CreativePages/CustomReportCreativeDetail.aspx?App=23&amp;ReportView=4&amp;Qid=1711279&amp;Row=18483&amp;Col=1","No Title Assigned - #15277606365")</f>
        <v/>
      </c>
      <c r="B18491" s="0" t="s">
        <v>24442</v>
      </c>
      <c r="E18491" s="0" t="inlineStr">
        <is>
          <t xml:space="preserve">Mazda</t>
        </is>
      </c>
      <c r="F18491" s="0" t="inlineStr">
        <is>
          <t xml:space="preserve">Mazda</t>
        </is>
      </c>
      <c r="G18491" s="0" t="s">
        <v>171</v>
      </c>
      <c r="H18491" s="5">
        <v>1.593800</v>
      </c>
    </row>
    <row r="18492" spans="1:9">
      <c r="A18492" s="22" t="str">
        <f>HYPERLINK("https://app.vivvix.com/360/KMI/IntelliDrive/ApplUI/Pages/CreativePages/CustomReportCreativeDetail.aspx?App=23&amp;ReportView=4&amp;Qid=1711279&amp;Row=18484&amp;Col=1","No Title Assigned - #15277606519")</f>
        <v/>
      </c>
      <c r="B18492" s="0" t="s">
        <v>24443</v>
      </c>
      <c r="E18492" s="0" t="inlineStr">
        <is>
          <t xml:space="preserve">Mazda</t>
        </is>
      </c>
      <c r="F18492" s="0" t="inlineStr">
        <is>
          <t xml:space="preserve">Mazda</t>
        </is>
      </c>
      <c r="G18492" s="0" t="s">
        <v>171</v>
      </c>
      <c r="H18492" s="5">
        <v>854.591700</v>
      </c>
    </row>
    <row r="18493" spans="1:9">
      <c r="A18493" s="22" t="str">
        <f>HYPERLINK("https://app.vivvix.com/360/KMI/IntelliDrive/ApplUI/Pages/CreativePages/CustomReportCreativeDetail.aspx?App=23&amp;ReportView=4&amp;Qid=1711279&amp;Row=18485&amp;Col=1","No Title Assigned - #15277606578")</f>
        <v/>
      </c>
      <c r="B18493" s="0" t="s">
        <v>24444</v>
      </c>
      <c r="E18493" s="0" t="inlineStr">
        <is>
          <t xml:space="preserve">Mazda</t>
        </is>
      </c>
      <c r="F18493" s="0" t="inlineStr">
        <is>
          <t xml:space="preserve">Mazda</t>
        </is>
      </c>
      <c r="G18493" s="0" t="s">
        <v>171</v>
      </c>
      <c r="H18493" s="5">
        <v>53.075000</v>
      </c>
    </row>
    <row r="18494" spans="1:9">
      <c r="A18494" s="22" t="str">
        <f>HYPERLINK("https://app.vivvix.com/360/KMI/IntelliDrive/ApplUI/Pages/CreativePages/CustomReportCreativeDetail.aspx?App=23&amp;ReportView=4&amp;Qid=1711279&amp;Row=18486&amp;Col=1","No Title Assigned - #15277607185")</f>
        <v/>
      </c>
      <c r="B18494" s="0" t="s">
        <v>24445</v>
      </c>
      <c r="E18494" s="0" t="inlineStr">
        <is>
          <t xml:space="preserve">Mazda</t>
        </is>
      </c>
      <c r="F18494" s="0" t="inlineStr">
        <is>
          <t xml:space="preserve">Mazda</t>
        </is>
      </c>
      <c r="G18494" s="0" t="s">
        <v>171</v>
      </c>
      <c r="H18494" s="5">
        <v>271.301600</v>
      </c>
    </row>
    <row r="18495" spans="1:9">
      <c r="A18495" s="22" t="str">
        <f>HYPERLINK("https://app.vivvix.com/360/KMI/IntelliDrive/ApplUI/Pages/CreativePages/CustomReportCreativeDetail.aspx?App=23&amp;ReportView=4&amp;Qid=1711279&amp;Row=18487&amp;Col=1","No Title Assigned - #15277607498")</f>
        <v/>
      </c>
      <c r="B18495" s="0" t="s">
        <v>24446</v>
      </c>
      <c r="E18495" s="0" t="inlineStr">
        <is>
          <t xml:space="preserve">Mazda</t>
        </is>
      </c>
      <c r="F18495" s="0" t="inlineStr">
        <is>
          <t xml:space="preserve">Mazda</t>
        </is>
      </c>
      <c r="G18495" s="0" t="s">
        <v>171</v>
      </c>
      <c r="H18495" s="5">
        <v>35.536100</v>
      </c>
    </row>
    <row r="18496" spans="1:9">
      <c r="A18496" s="22" t="str">
        <f>HYPERLINK("https://app.vivvix.com/360/KMI/IntelliDrive/ApplUI/Pages/CreativePages/CustomReportCreativeDetail.aspx?App=23&amp;ReportView=4&amp;Qid=1711279&amp;Row=18488&amp;Col=1","No Title Assigned - #15277608384")</f>
        <v/>
      </c>
      <c r="B18496" s="0" t="s">
        <v>24447</v>
      </c>
      <c r="E18496" s="0" t="inlineStr">
        <is>
          <t xml:space="preserve">Mazda</t>
        </is>
      </c>
      <c r="F18496" s="0" t="inlineStr">
        <is>
          <t xml:space="preserve">Mazda</t>
        </is>
      </c>
      <c r="G18496" s="0" t="s">
        <v>171</v>
      </c>
      <c r="H18496" s="5">
        <v>992.039500</v>
      </c>
    </row>
    <row r="18497" spans="1:9">
      <c r="A18497" s="22" t="str">
        <f>HYPERLINK("https://app.vivvix.com/360/KMI/IntelliDrive/ApplUI/Pages/CreativePages/CustomReportCreativeDetail.aspx?App=23&amp;ReportView=4&amp;Qid=1711279&amp;Row=18489&amp;Col=1","No Title Assigned - #15277608600")</f>
        <v/>
      </c>
      <c r="B18497" s="0" t="s">
        <v>24448</v>
      </c>
      <c r="E18497" s="0" t="inlineStr">
        <is>
          <t xml:space="preserve">Mazda</t>
        </is>
      </c>
      <c r="F18497" s="0" t="inlineStr">
        <is>
          <t xml:space="preserve">Mazda</t>
        </is>
      </c>
      <c r="G18497" s="0" t="s">
        <v>171</v>
      </c>
      <c r="H18497" s="5">
        <v>14753.291800</v>
      </c>
    </row>
    <row r="18498" spans="1:9">
      <c r="A18498" s="22" t="str">
        <f>HYPERLINK("https://app.vivvix.com/360/KMI/IntelliDrive/ApplUI/Pages/CreativePages/CustomReportCreativeDetail.aspx?App=23&amp;ReportView=4&amp;Qid=1711279&amp;Row=18490&amp;Col=1","No Title Assigned - #15277608600")</f>
        <v/>
      </c>
      <c r="B18498" s="0" t="s">
        <v>24448</v>
      </c>
      <c r="E18498" s="0" t="inlineStr">
        <is>
          <t xml:space="preserve">Mazda</t>
        </is>
      </c>
      <c r="F18498" s="0" t="inlineStr">
        <is>
          <t xml:space="preserve">Mazda</t>
        </is>
      </c>
      <c r="G18498" s="0" t="s">
        <v>171</v>
      </c>
      <c r="H18498" s="5">
        <v>53032.315000</v>
      </c>
    </row>
    <row r="18499" spans="1:9">
      <c r="A18499" s="22" t="str">
        <f>HYPERLINK("https://app.vivvix.com/360/KMI/IntelliDrive/ApplUI/Pages/CreativePages/CustomReportCreativeDetail.aspx?App=23&amp;ReportView=4&amp;Qid=1711279&amp;Row=18491&amp;Col=1","No Title Assigned - #15277608642")</f>
        <v/>
      </c>
      <c r="B18499" s="0" t="s">
        <v>24449</v>
      </c>
      <c r="E18499" s="0" t="inlineStr">
        <is>
          <t xml:space="preserve">Mazda</t>
        </is>
      </c>
      <c r="F18499" s="0" t="inlineStr">
        <is>
          <t xml:space="preserve">Mazda</t>
        </is>
      </c>
      <c r="G18499" s="0" t="s">
        <v>171</v>
      </c>
      <c r="H18499" s="5">
        <v>1706.785400</v>
      </c>
    </row>
    <row r="18500" spans="1:9">
      <c r="A18500" s="22" t="str">
        <f>HYPERLINK("https://app.vivvix.com/360/KMI/IntelliDrive/ApplUI/Pages/CreativePages/CustomReportCreativeDetail.aspx?App=23&amp;ReportView=4&amp;Qid=1711279&amp;Row=18492&amp;Col=1","No Title Assigned - #15277608848")</f>
        <v/>
      </c>
      <c r="B18500" s="0" t="s">
        <v>24450</v>
      </c>
      <c r="E18500" s="0" t="inlineStr">
        <is>
          <t xml:space="preserve">Mazda</t>
        </is>
      </c>
      <c r="F18500" s="0" t="inlineStr">
        <is>
          <t xml:space="preserve">Mazda</t>
        </is>
      </c>
      <c r="G18500" s="0" t="s">
        <v>171</v>
      </c>
      <c r="H18500" s="5">
        <v>412.324500</v>
      </c>
    </row>
    <row r="18501" spans="1:9">
      <c r="A18501" s="22" t="str">
        <f>HYPERLINK("https://app.vivvix.com/360/KMI/IntelliDrive/ApplUI/Pages/CreativePages/CustomReportCreativeDetail.aspx?App=23&amp;ReportView=4&amp;Qid=1711279&amp;Row=18493&amp;Col=1","No Title Assigned - #15277609040")</f>
        <v/>
      </c>
      <c r="B18501" s="0" t="s">
        <v>24451</v>
      </c>
      <c r="E18501" s="0" t="inlineStr">
        <is>
          <t xml:space="preserve">Mazda</t>
        </is>
      </c>
      <c r="F18501" s="0" t="inlineStr">
        <is>
          <t xml:space="preserve">Mazda</t>
        </is>
      </c>
      <c r="G18501" s="0" t="s">
        <v>171</v>
      </c>
      <c r="H18501" s="5">
        <v>2823.902500</v>
      </c>
    </row>
    <row r="18502" spans="1:9">
      <c r="A18502" s="22" t="str">
        <f>HYPERLINK("https://app.vivvix.com/360/KMI/IntelliDrive/ApplUI/Pages/CreativePages/CustomReportCreativeDetail.aspx?App=23&amp;ReportView=4&amp;Qid=1711279&amp;Row=18494&amp;Col=1","No Title Assigned - #15277609235")</f>
        <v/>
      </c>
      <c r="B18502" s="0" t="s">
        <v>24452</v>
      </c>
      <c r="E18502" s="0" t="inlineStr">
        <is>
          <t xml:space="preserve">Mazda</t>
        </is>
      </c>
      <c r="F18502" s="0" t="inlineStr">
        <is>
          <t xml:space="preserve">Mazda</t>
        </is>
      </c>
      <c r="G18502" s="0" t="s">
        <v>171</v>
      </c>
      <c r="H18502" s="5">
        <v>8.711700</v>
      </c>
    </row>
    <row r="18503" spans="1:9">
      <c r="A18503" s="22" t="str">
        <f>HYPERLINK("https://app.vivvix.com/360/KMI/IntelliDrive/ApplUI/Pages/CreativePages/CustomReportCreativeDetail.aspx?App=23&amp;ReportView=4&amp;Qid=1711279&amp;Row=18495&amp;Col=1","No Title Assigned - #15277609754")</f>
        <v/>
      </c>
      <c r="B18503" s="0" t="s">
        <v>24453</v>
      </c>
      <c r="E18503" s="0" t="inlineStr">
        <is>
          <t xml:space="preserve">Mazda</t>
        </is>
      </c>
      <c r="F18503" s="0" t="inlineStr">
        <is>
          <t xml:space="preserve">Mazda</t>
        </is>
      </c>
      <c r="G18503" s="0" t="s">
        <v>171</v>
      </c>
      <c r="H18503" s="5">
        <v>31521.496700</v>
      </c>
    </row>
    <row r="18504" spans="1:9">
      <c r="A18504" s="22" t="str">
        <f>HYPERLINK("https://app.vivvix.com/360/KMI/IntelliDrive/ApplUI/Pages/CreativePages/CustomReportCreativeDetail.aspx?App=23&amp;ReportView=4&amp;Qid=1711279&amp;Row=18496&amp;Col=1","No Title Assigned - #15277609828")</f>
        <v/>
      </c>
      <c r="B18504" s="0" t="s">
        <v>24454</v>
      </c>
      <c r="E18504" s="0" t="inlineStr">
        <is>
          <t xml:space="preserve">Mazda</t>
        </is>
      </c>
      <c r="F18504" s="0" t="inlineStr">
        <is>
          <t xml:space="preserve">Mazda</t>
        </is>
      </c>
      <c r="G18504" s="0" t="s">
        <v>171</v>
      </c>
      <c r="H18504" s="5">
        <v>15959.247100</v>
      </c>
    </row>
    <row r="18505" spans="1:9">
      <c r="A18505" s="22" t="str">
        <f>HYPERLINK("https://app.vivvix.com/360/KMI/IntelliDrive/ApplUI/Pages/CreativePages/CustomReportCreativeDetail.aspx?App=23&amp;ReportView=4&amp;Qid=1711279&amp;Row=18497&amp;Col=1","No Title Assigned - #15277609995")</f>
        <v/>
      </c>
      <c r="B18505" s="0" t="s">
        <v>24455</v>
      </c>
      <c r="C18505" s="0" t="s">
        <v>24456</v>
      </c>
      <c r="D18505" s="0" t="s">
        <v>24456</v>
      </c>
      <c r="E18505" s="0" t="inlineStr">
        <is>
          <t xml:space="preserve">Mazda</t>
        </is>
      </c>
      <c r="F18505" s="0" t="inlineStr">
        <is>
          <t xml:space="preserve">Mazda</t>
        </is>
      </c>
      <c r="G18505" s="0" t="s">
        <v>210</v>
      </c>
      <c r="H18505" s="5">
        <v>841.497100</v>
      </c>
    </row>
    <row r="18506" spans="1:9">
      <c r="A18506" s="22" t="str">
        <f>HYPERLINK("https://app.vivvix.com/360/KMI/IntelliDrive/ApplUI/Pages/CreativePages/CustomReportCreativeDetail.aspx?App=23&amp;ReportView=4&amp;Qid=1711279&amp;Row=18498&amp;Col=1","No Title Assigned - #15277615801")</f>
        <v/>
      </c>
      <c r="B18506" s="0" t="s">
        <v>24457</v>
      </c>
      <c r="E18506" s="0" t="inlineStr">
        <is>
          <t xml:space="preserve">Mazda</t>
        </is>
      </c>
      <c r="F18506" s="0" t="inlineStr">
        <is>
          <t xml:space="preserve">Mazda</t>
        </is>
      </c>
      <c r="G18506" s="0" t="s">
        <v>171</v>
      </c>
      <c r="H18506" s="5">
        <v>854.591700</v>
      </c>
    </row>
    <row r="18507" spans="1:9">
      <c r="A18507" s="22" t="str">
        <f>HYPERLINK("https://app.vivvix.com/360/KMI/IntelliDrive/ApplUI/Pages/CreativePages/CustomReportCreativeDetail.aspx?App=23&amp;ReportView=4&amp;Qid=1711279&amp;Row=18499&amp;Col=1","No Title Assigned - #15277616574")</f>
        <v/>
      </c>
      <c r="B18507" s="0" t="s">
        <v>24458</v>
      </c>
      <c r="E18507" s="0" t="inlineStr">
        <is>
          <t xml:space="preserve">Mazda</t>
        </is>
      </c>
      <c r="F18507" s="0" t="inlineStr">
        <is>
          <t xml:space="preserve">Mazda</t>
        </is>
      </c>
      <c r="G18507" s="0" t="s">
        <v>171</v>
      </c>
      <c r="H18507" s="5">
        <v>122.993000</v>
      </c>
    </row>
    <row r="18508" spans="1:9">
      <c r="A18508" s="22" t="str">
        <f>HYPERLINK("https://app.vivvix.com/360/KMI/IntelliDrive/ApplUI/Pages/CreativePages/CustomReportCreativeDetail.aspx?App=23&amp;ReportView=4&amp;Qid=1711279&amp;Row=18500&amp;Col=1","No Title Assigned - #15277629733")</f>
        <v/>
      </c>
      <c r="B18508" s="0" t="s">
        <v>24459</v>
      </c>
      <c r="E18508" s="0" t="inlineStr">
        <is>
          <t xml:space="preserve">Mazda</t>
        </is>
      </c>
      <c r="F18508" s="0" t="s">
        <v>1568</v>
      </c>
      <c r="G18508" s="0" t="s">
        <v>1569</v>
      </c>
      <c r="H18508" s="5">
        <v>377.970000</v>
      </c>
    </row>
    <row r="18509" spans="1:9">
      <c r="A18509" s="22" t="str">
        <f>HYPERLINK("https://app.vivvix.com/360/KMI/IntelliDrive/ApplUI/Pages/CreativePages/CustomReportCreativeDetail.aspx?App=23&amp;ReportView=4&amp;Qid=1711279&amp;Row=18501&amp;Col=1","No Title Assigned - #15277638961")</f>
        <v/>
      </c>
      <c r="B18509" s="0" t="s">
        <v>24460</v>
      </c>
      <c r="C18509" s="0" t="s">
        <v>24461</v>
      </c>
      <c r="D18509" s="0" t="s">
        <v>24461</v>
      </c>
      <c r="E18509" s="0" t="inlineStr">
        <is>
          <t xml:space="preserve">Mazda</t>
        </is>
      </c>
      <c r="F18509" s="0" t="s">
        <v>13</v>
      </c>
      <c r="G18509" s="0" t="s">
        <v>49</v>
      </c>
      <c r="H18509" s="5">
        <v>4708.691400</v>
      </c>
    </row>
    <row r="18510" spans="1:9">
      <c r="A18510" s="22" t="str">
        <f>HYPERLINK("https://app.vivvix.com/360/KMI/IntelliDrive/ApplUI/Pages/CreativePages/CustomReportCreativeDetail.aspx?App=23&amp;ReportView=4&amp;Qid=1711279&amp;Row=18502&amp;Col=1","No Title Assigned - #15277644436")</f>
        <v/>
      </c>
      <c r="B18510" s="0" t="s">
        <v>24462</v>
      </c>
      <c r="E18510" s="0" t="inlineStr">
        <is>
          <t xml:space="preserve">Mazda</t>
        </is>
      </c>
      <c r="F18510" s="0" t="s">
        <v>17</v>
      </c>
      <c r="G18510" s="0" t="s">
        <v>24463</v>
      </c>
      <c r="H18510" s="5">
        <v>1085.036700</v>
      </c>
    </row>
    <row r="18511" spans="1:9">
      <c r="A18511" s="22" t="str">
        <f>HYPERLINK("https://app.vivvix.com/360/KMI/IntelliDrive/ApplUI/Pages/CreativePages/CustomReportCreativeDetail.aspx?App=23&amp;ReportView=4&amp;Qid=1711279&amp;Row=18503&amp;Col=1","No Title Assigned - #15277647640")</f>
        <v/>
      </c>
      <c r="B18511" s="0" t="s">
        <v>24464</v>
      </c>
      <c r="C18511" s="0" t="s">
        <v>24465</v>
      </c>
      <c r="D18511" s="0" t="s">
        <v>24465</v>
      </c>
      <c r="E18511" s="0" t="inlineStr">
        <is>
          <t xml:space="preserve">Mazda</t>
        </is>
      </c>
      <c r="F18511" s="0" t="s">
        <v>13</v>
      </c>
      <c r="G18511" s="0" t="s">
        <v>49</v>
      </c>
      <c r="H18511" s="5">
        <v>91.968700</v>
      </c>
    </row>
    <row r="18512" spans="1:9">
      <c r="A18512" s="22" t="str">
        <f>HYPERLINK("https://app.vivvix.com/360/KMI/IntelliDrive/ApplUI/Pages/CreativePages/CustomReportCreativeDetail.aspx?App=23&amp;ReportView=4&amp;Qid=1711279&amp;Row=18504&amp;Col=1","No Title Assigned - #15277651236")</f>
        <v/>
      </c>
      <c r="B18512" s="0" t="s">
        <v>24466</v>
      </c>
      <c r="C18512" s="0" t="s">
        <v>24467</v>
      </c>
      <c r="D18512" s="0" t="s">
        <v>24467</v>
      </c>
      <c r="E18512" s="0" t="inlineStr">
        <is>
          <t xml:space="preserve">Mazda</t>
        </is>
      </c>
      <c r="F18512" s="0" t="s">
        <v>13</v>
      </c>
      <c r="G18512" s="0" t="s">
        <v>49</v>
      </c>
      <c r="H18512" s="5">
        <v>75.365100</v>
      </c>
    </row>
    <row r="18513" spans="1:9">
      <c r="A18513" s="22" t="str">
        <f>HYPERLINK("https://app.vivvix.com/360/KMI/IntelliDrive/ApplUI/Pages/CreativePages/CustomReportCreativeDetail.aspx?App=23&amp;ReportView=4&amp;Qid=1711279&amp;Row=18505&amp;Col=1","No Title Assigned - #15277652373")</f>
        <v/>
      </c>
      <c r="B18513" s="0" t="s">
        <v>24468</v>
      </c>
      <c r="E18513" s="0" t="inlineStr">
        <is>
          <t xml:space="preserve">Mazda</t>
        </is>
      </c>
      <c r="F18513" s="0" t="inlineStr">
        <is>
          <t xml:space="preserve">Mazda</t>
        </is>
      </c>
      <c r="G18513" s="0" t="s">
        <v>171</v>
      </c>
      <c r="H18513" s="5">
        <v>222.366100</v>
      </c>
    </row>
    <row r="18514" spans="1:9">
      <c r="A18514" s="22" t="str">
        <f>HYPERLINK("https://app.vivvix.com/360/KMI/IntelliDrive/ApplUI/Pages/CreativePages/CustomReportCreativeDetail.aspx?App=23&amp;ReportView=4&amp;Qid=1711279&amp;Row=18506&amp;Col=1","No Title Assigned - #15277653636")</f>
        <v/>
      </c>
      <c r="B18514" s="0" t="s">
        <v>24469</v>
      </c>
      <c r="C18514" s="0" t="s">
        <v>24470</v>
      </c>
      <c r="D18514" s="0" t="s">
        <v>24470</v>
      </c>
      <c r="E18514" s="0" t="inlineStr">
        <is>
          <t xml:space="preserve">Mazda</t>
        </is>
      </c>
      <c r="F18514" s="0" t="inlineStr">
        <is>
          <t xml:space="preserve">Mazda</t>
        </is>
      </c>
      <c r="G18514" s="0" t="s">
        <v>171</v>
      </c>
      <c r="H18514" s="5">
        <v>106.896400</v>
      </c>
    </row>
    <row r="18515" spans="1:9">
      <c r="A18515" s="22" t="str">
        <f>HYPERLINK("https://app.vivvix.com/360/KMI/IntelliDrive/ApplUI/Pages/CreativePages/CustomReportCreativeDetail.aspx?App=23&amp;ReportView=4&amp;Qid=1711279&amp;Row=18507&amp;Col=1","No Title Assigned - #15277658498")</f>
        <v/>
      </c>
      <c r="B18515" s="0" t="s">
        <v>24471</v>
      </c>
      <c r="C18515" s="0" t="s">
        <v>24472</v>
      </c>
      <c r="D18515" s="0" t="s">
        <v>6420</v>
      </c>
      <c r="E18515" s="0" t="inlineStr">
        <is>
          <t xml:space="preserve">Mazda</t>
        </is>
      </c>
      <c r="F18515" s="0" t="s">
        <v>13</v>
      </c>
      <c r="G18515" s="0" t="s">
        <v>49</v>
      </c>
      <c r="H18515" s="5">
        <v>110601.171900</v>
      </c>
    </row>
    <row r="18516" spans="1:9">
      <c r="A18516" s="22" t="str">
        <f>HYPERLINK("https://app.vivvix.com/360/KMI/IntelliDrive/ApplUI/Pages/CreativePages/CustomReportCreativeDetail.aspx?App=23&amp;ReportView=4&amp;Qid=1711279&amp;Row=18508&amp;Col=1","No Title Assigned - #15277659695")</f>
        <v/>
      </c>
      <c r="B18516" s="0" t="s">
        <v>24473</v>
      </c>
      <c r="C18516" s="0" t="s">
        <v>24474</v>
      </c>
      <c r="D18516" s="0" t="s">
        <v>10004</v>
      </c>
      <c r="E18516" s="0" t="inlineStr">
        <is>
          <t xml:space="preserve">Mazda</t>
        </is>
      </c>
      <c r="F18516" s="0" t="s">
        <v>13</v>
      </c>
      <c r="G18516" s="0" t="s">
        <v>49</v>
      </c>
      <c r="H18516" s="5">
        <v>705.501600</v>
      </c>
    </row>
    <row r="18517" spans="1:9">
      <c r="A18517" s="22" t="str">
        <f>HYPERLINK("https://app.vivvix.com/360/KMI/IntelliDrive/ApplUI/Pages/CreativePages/CustomReportCreativeDetail.aspx?App=23&amp;ReportView=4&amp;Qid=1711279&amp;Row=18509&amp;Col=1","No Title Assigned - #15277661081")</f>
        <v/>
      </c>
      <c r="B18517" s="0" t="s">
        <v>24475</v>
      </c>
      <c r="E18517" s="0" t="inlineStr">
        <is>
          <t xml:space="preserve">Mazda</t>
        </is>
      </c>
      <c r="F18517" s="0" t="inlineStr">
        <is>
          <t xml:space="preserve">Mazda</t>
        </is>
      </c>
      <c r="G18517" s="0" t="s">
        <v>171</v>
      </c>
      <c r="H18517" s="5">
        <v>1521.845900</v>
      </c>
    </row>
    <row r="18518" spans="1:9">
      <c r="A18518" s="22" t="str">
        <f>HYPERLINK("https://app.vivvix.com/360/KMI/IntelliDrive/ApplUI/Pages/CreativePages/CustomReportCreativeDetail.aspx?App=23&amp;ReportView=4&amp;Qid=1711279&amp;Row=18510&amp;Col=1","No Title Assigned - #15277661473")</f>
        <v/>
      </c>
      <c r="B18518" s="0" t="s">
        <v>24476</v>
      </c>
      <c r="E18518" s="0" t="inlineStr">
        <is>
          <t xml:space="preserve">Mazda</t>
        </is>
      </c>
      <c r="F18518" s="0" t="inlineStr">
        <is>
          <t xml:space="preserve">Mazda</t>
        </is>
      </c>
      <c r="G18518" s="0" t="s">
        <v>171</v>
      </c>
      <c r="H18518" s="5">
        <v>397.828600</v>
      </c>
    </row>
    <row r="18519" spans="1:9">
      <c r="A18519" s="22" t="str">
        <f>HYPERLINK("https://app.vivvix.com/360/KMI/IntelliDrive/ApplUI/Pages/CreativePages/CustomReportCreativeDetail.aspx?App=23&amp;ReportView=4&amp;Qid=1711279&amp;Row=18511&amp;Col=1","No Title Assigned - #15277661511")</f>
        <v/>
      </c>
      <c r="B18519" s="0" t="s">
        <v>24477</v>
      </c>
      <c r="E18519" s="0" t="inlineStr">
        <is>
          <t xml:space="preserve">Mazda</t>
        </is>
      </c>
      <c r="F18519" s="0" t="inlineStr">
        <is>
          <t xml:space="preserve">Mazda</t>
        </is>
      </c>
      <c r="G18519" s="0" t="s">
        <v>171</v>
      </c>
      <c r="H18519" s="5">
        <v>45.226500</v>
      </c>
    </row>
    <row r="18520" spans="1:9">
      <c r="A18520" s="22" t="str">
        <f>HYPERLINK("https://app.vivvix.com/360/KMI/IntelliDrive/ApplUI/Pages/CreativePages/CustomReportCreativeDetail.aspx?App=23&amp;ReportView=4&amp;Qid=1711279&amp;Row=18512&amp;Col=1","No Title Assigned - #15277661903")</f>
        <v/>
      </c>
      <c r="B18520" s="0" t="s">
        <v>24478</v>
      </c>
      <c r="E18520" s="0" t="inlineStr">
        <is>
          <t xml:space="preserve">Mazda</t>
        </is>
      </c>
      <c r="F18520" s="0" t="inlineStr">
        <is>
          <t xml:space="preserve">Mazda</t>
        </is>
      </c>
      <c r="G18520" s="0" t="s">
        <v>171</v>
      </c>
      <c r="H18520" s="5">
        <v>1369.027400</v>
      </c>
    </row>
    <row r="18521" spans="1:9">
      <c r="A18521" s="22" t="str">
        <f>HYPERLINK("https://app.vivvix.com/360/KMI/IntelliDrive/ApplUI/Pages/CreativePages/CustomReportCreativeDetail.aspx?App=23&amp;ReportView=4&amp;Qid=1711279&amp;Row=18513&amp;Col=1","No Title Assigned - #15277661903")</f>
        <v/>
      </c>
      <c r="B18521" s="0" t="s">
        <v>24478</v>
      </c>
      <c r="E18521" s="0" t="inlineStr">
        <is>
          <t xml:space="preserve">Mazda</t>
        </is>
      </c>
      <c r="F18521" s="0" t="inlineStr">
        <is>
          <t xml:space="preserve">Mazda</t>
        </is>
      </c>
      <c r="G18521" s="0" t="s">
        <v>171</v>
      </c>
      <c r="H18521" s="5">
        <v>7353.381500</v>
      </c>
    </row>
    <row r="18522" spans="1:9">
      <c r="A18522" s="22" t="str">
        <f>HYPERLINK("https://app.vivvix.com/360/KMI/IntelliDrive/ApplUI/Pages/CreativePages/CustomReportCreativeDetail.aspx?App=23&amp;ReportView=4&amp;Qid=1711279&amp;Row=18514&amp;Col=1","No Title Assigned - #15277665326")</f>
        <v/>
      </c>
      <c r="B18522" s="0" t="s">
        <v>24479</v>
      </c>
      <c r="E18522" s="0" t="inlineStr">
        <is>
          <t xml:space="preserve">Mazda</t>
        </is>
      </c>
      <c r="F18522" s="0" t="inlineStr">
        <is>
          <t xml:space="preserve">Mazda</t>
        </is>
      </c>
      <c r="G18522" s="0" t="s">
        <v>171</v>
      </c>
      <c r="H18522" s="5">
        <v>85920.395500</v>
      </c>
    </row>
    <row r="18523" spans="1:9">
      <c r="A18523" s="22" t="str">
        <f>HYPERLINK("https://app.vivvix.com/360/KMI/IntelliDrive/ApplUI/Pages/CreativePages/CustomReportCreativeDetail.aspx?App=23&amp;ReportView=4&amp;Qid=1711279&amp;Row=18515&amp;Col=1","No Title Assigned - #15277665561")</f>
        <v/>
      </c>
      <c r="B18523" s="0" t="s">
        <v>24480</v>
      </c>
      <c r="E18523" s="0" t="inlineStr">
        <is>
          <t xml:space="preserve">Mazda</t>
        </is>
      </c>
      <c r="F18523" s="0" t="inlineStr">
        <is>
          <t xml:space="preserve">Mazda</t>
        </is>
      </c>
      <c r="G18523" s="0" t="s">
        <v>171</v>
      </c>
      <c r="H18523" s="5">
        <v>11.631300</v>
      </c>
    </row>
    <row r="18524" spans="1:9">
      <c r="A18524" s="22" t="str">
        <f>HYPERLINK("https://app.vivvix.com/360/KMI/IntelliDrive/ApplUI/Pages/CreativePages/CustomReportCreativeDetail.aspx?App=23&amp;ReportView=4&amp;Qid=1711279&amp;Row=18516&amp;Col=1","No Title Assigned - #15277665566")</f>
        <v/>
      </c>
      <c r="B18524" s="0" t="s">
        <v>24481</v>
      </c>
      <c r="E18524" s="0" t="inlineStr">
        <is>
          <t xml:space="preserve">Mazda</t>
        </is>
      </c>
      <c r="F18524" s="0" t="inlineStr">
        <is>
          <t xml:space="preserve">Mazda</t>
        </is>
      </c>
      <c r="G18524" s="0" t="s">
        <v>171</v>
      </c>
      <c r="H18524" s="5">
        <v>431.121900</v>
      </c>
    </row>
    <row r="18525" spans="1:9">
      <c r="A18525" s="22" t="str">
        <f>HYPERLINK("https://app.vivvix.com/360/KMI/IntelliDrive/ApplUI/Pages/CreativePages/CustomReportCreativeDetail.aspx?App=23&amp;ReportView=4&amp;Qid=1711279&amp;Row=18517&amp;Col=1","No Title Assigned - #15277665998")</f>
        <v/>
      </c>
      <c r="B18525" s="0" t="s">
        <v>24482</v>
      </c>
      <c r="E18525" s="0" t="inlineStr">
        <is>
          <t xml:space="preserve">Mazda</t>
        </is>
      </c>
      <c r="F18525" s="0" t="inlineStr">
        <is>
          <t xml:space="preserve">Mazda</t>
        </is>
      </c>
      <c r="G18525" s="0" t="s">
        <v>171</v>
      </c>
      <c r="H18525" s="5">
        <v>32.089300</v>
      </c>
    </row>
    <row r="18526" spans="1:9">
      <c r="A18526" s="22" t="str">
        <f>HYPERLINK("https://app.vivvix.com/360/KMI/IntelliDrive/ApplUI/Pages/CreativePages/CustomReportCreativeDetail.aspx?App=23&amp;ReportView=4&amp;Qid=1711279&amp;Row=18518&amp;Col=1","No Title Assigned - #15277666682")</f>
        <v/>
      </c>
      <c r="B18526" s="0" t="s">
        <v>24483</v>
      </c>
      <c r="E18526" s="0" t="inlineStr">
        <is>
          <t xml:space="preserve">Mazda</t>
        </is>
      </c>
      <c r="F18526" s="0" t="inlineStr">
        <is>
          <t xml:space="preserve">Mazda</t>
        </is>
      </c>
      <c r="G18526" s="0" t="s">
        <v>171</v>
      </c>
      <c r="H18526" s="5">
        <v>106.896400</v>
      </c>
    </row>
    <row r="18527" spans="1:9">
      <c r="A18527" s="22" t="str">
        <f>HYPERLINK("https://app.vivvix.com/360/KMI/IntelliDrive/ApplUI/Pages/CreativePages/CustomReportCreativeDetail.aspx?App=23&amp;ReportView=4&amp;Qid=1711279&amp;Row=18519&amp;Col=1","No Title Assigned - #15277666683")</f>
        <v/>
      </c>
      <c r="B18527" s="0" t="s">
        <v>24484</v>
      </c>
      <c r="E18527" s="0" t="inlineStr">
        <is>
          <t xml:space="preserve">Mazda</t>
        </is>
      </c>
      <c r="F18527" s="0" t="inlineStr">
        <is>
          <t xml:space="preserve">Mazda</t>
        </is>
      </c>
      <c r="G18527" s="0" t="s">
        <v>171</v>
      </c>
      <c r="H18527" s="5">
        <v>1306.802700</v>
      </c>
    </row>
    <row r="18528" spans="1:9">
      <c r="A18528" s="22" t="str">
        <f>HYPERLINK("https://app.vivvix.com/360/KMI/IntelliDrive/ApplUI/Pages/CreativePages/CustomReportCreativeDetail.aspx?App=23&amp;ReportView=4&amp;Qid=1711279&amp;Row=18520&amp;Col=1","No Title Assigned - #15277667054")</f>
        <v/>
      </c>
      <c r="B18528" s="0" t="s">
        <v>24485</v>
      </c>
      <c r="E18528" s="0" t="inlineStr">
        <is>
          <t xml:space="preserve">Mazda</t>
        </is>
      </c>
      <c r="F18528" s="0" t="inlineStr">
        <is>
          <t xml:space="preserve">Mazda</t>
        </is>
      </c>
      <c r="G18528" s="0" t="s">
        <v>171</v>
      </c>
      <c r="H18528" s="5">
        <v>37.588900</v>
      </c>
    </row>
    <row r="18529" spans="1:9">
      <c r="A18529" s="22" t="str">
        <f>HYPERLINK("https://app.vivvix.com/360/KMI/IntelliDrive/ApplUI/Pages/CreativePages/CustomReportCreativeDetail.aspx?App=23&amp;ReportView=4&amp;Qid=1711279&amp;Row=18521&amp;Col=1","No Title Assigned - #15277667498")</f>
        <v/>
      </c>
      <c r="B18529" s="0" t="s">
        <v>24486</v>
      </c>
      <c r="E18529" s="0" t="inlineStr">
        <is>
          <t xml:space="preserve">Mazda</t>
        </is>
      </c>
      <c r="F18529" s="0" t="inlineStr">
        <is>
          <t xml:space="preserve">Mazda</t>
        </is>
      </c>
      <c r="G18529" s="0" t="s">
        <v>171</v>
      </c>
      <c r="H18529" s="5">
        <v>43.312300</v>
      </c>
    </row>
    <row r="18530" spans="1:9">
      <c r="A18530" s="22" t="str">
        <f>HYPERLINK("https://app.vivvix.com/360/KMI/IntelliDrive/ApplUI/Pages/CreativePages/CustomReportCreativeDetail.aspx?App=23&amp;ReportView=4&amp;Qid=1711279&amp;Row=18522&amp;Col=1","No Title Assigned - #15277668314")</f>
        <v/>
      </c>
      <c r="B18530" s="0" t="s">
        <v>24487</v>
      </c>
      <c r="E18530" s="0" t="inlineStr">
        <is>
          <t xml:space="preserve">Mazda</t>
        </is>
      </c>
      <c r="F18530" s="0" t="inlineStr">
        <is>
          <t xml:space="preserve">Mazda</t>
        </is>
      </c>
      <c r="G18530" s="0" t="s">
        <v>171</v>
      </c>
      <c r="H18530" s="5">
        <v>41.723100</v>
      </c>
    </row>
    <row r="18531" spans="1:9">
      <c r="A18531" s="22" t="str">
        <f>HYPERLINK("https://app.vivvix.com/360/KMI/IntelliDrive/ApplUI/Pages/CreativePages/CustomReportCreativeDetail.aspx?App=23&amp;ReportView=4&amp;Qid=1711279&amp;Row=18523&amp;Col=1","No Title Assigned - #15277668548")</f>
        <v/>
      </c>
      <c r="B18531" s="0" t="s">
        <v>24488</v>
      </c>
      <c r="C18531" s="0" t="s">
        <v>24489</v>
      </c>
      <c r="D18531" s="0" t="s">
        <v>23092</v>
      </c>
      <c r="E18531" s="0" t="inlineStr">
        <is>
          <t xml:space="preserve">Mazda</t>
        </is>
      </c>
      <c r="F18531" s="0" t="s">
        <v>13</v>
      </c>
      <c r="G18531" s="0" t="s">
        <v>49</v>
      </c>
      <c r="H18531" s="5">
        <v>7.145600</v>
      </c>
    </row>
    <row r="18532" spans="1:9">
      <c r="A18532" s="22" t="str">
        <f>HYPERLINK("https://app.vivvix.com/360/KMI/IntelliDrive/ApplUI/Pages/CreativePages/CustomReportCreativeDetail.aspx?App=23&amp;ReportView=4&amp;Qid=1711279&amp;Row=18524&amp;Col=1","No Title Assigned - #15277668655")</f>
        <v/>
      </c>
      <c r="B18532" s="0" t="s">
        <v>24490</v>
      </c>
      <c r="E18532" s="0" t="inlineStr">
        <is>
          <t xml:space="preserve">Mazda</t>
        </is>
      </c>
      <c r="F18532" s="0" t="inlineStr">
        <is>
          <t xml:space="preserve">Mazda</t>
        </is>
      </c>
      <c r="G18532" s="0" t="s">
        <v>171</v>
      </c>
      <c r="H18532" s="5">
        <v>36.858000</v>
      </c>
    </row>
    <row r="18533" spans="1:9">
      <c r="A18533" s="22" t="str">
        <f>HYPERLINK("https://app.vivvix.com/360/KMI/IntelliDrive/ApplUI/Pages/CreativePages/CustomReportCreativeDetail.aspx?App=23&amp;ReportView=4&amp;Qid=1711279&amp;Row=18525&amp;Col=1","No Title Assigned - #15277668943")</f>
        <v/>
      </c>
      <c r="B18533" s="0" t="s">
        <v>24491</v>
      </c>
      <c r="E18533" s="0" t="inlineStr">
        <is>
          <t xml:space="preserve">Mazda</t>
        </is>
      </c>
      <c r="F18533" s="0" t="inlineStr">
        <is>
          <t xml:space="preserve">Mazda</t>
        </is>
      </c>
      <c r="G18533" s="0" t="s">
        <v>171</v>
      </c>
      <c r="H18533" s="5">
        <v>774.922200</v>
      </c>
    </row>
    <row r="18534" spans="1:9">
      <c r="A18534" s="22" t="str">
        <f>HYPERLINK("https://app.vivvix.com/360/KMI/IntelliDrive/ApplUI/Pages/CreativePages/CustomReportCreativeDetail.aspx?App=23&amp;ReportView=4&amp;Qid=1711279&amp;Row=18526&amp;Col=1","No Title Assigned - #15277668994")</f>
        <v/>
      </c>
      <c r="B18534" s="0" t="s">
        <v>24492</v>
      </c>
      <c r="E18534" s="0" t="inlineStr">
        <is>
          <t xml:space="preserve">Mazda</t>
        </is>
      </c>
      <c r="F18534" s="0" t="inlineStr">
        <is>
          <t xml:space="preserve">Mazda</t>
        </is>
      </c>
      <c r="G18534" s="0" t="s">
        <v>171</v>
      </c>
      <c r="H18534" s="5">
        <v>1955.000500</v>
      </c>
    </row>
    <row r="18535" spans="1:9">
      <c r="A18535" s="22" t="str">
        <f>HYPERLINK("https://app.vivvix.com/360/KMI/IntelliDrive/ApplUI/Pages/CreativePages/CustomReportCreativeDetail.aspx?App=23&amp;ReportView=4&amp;Qid=1711279&amp;Row=18527&amp;Col=1","No Title Assigned - #15277670947")</f>
        <v/>
      </c>
      <c r="B18535" s="0" t="s">
        <v>24493</v>
      </c>
      <c r="E18535" s="0" t="inlineStr">
        <is>
          <t xml:space="preserve">Mazda</t>
        </is>
      </c>
      <c r="F18535" s="0" t="inlineStr">
        <is>
          <t xml:space="preserve">Mazda</t>
        </is>
      </c>
      <c r="G18535" s="0" t="s">
        <v>171</v>
      </c>
      <c r="H18535" s="5">
        <v>2753.954500</v>
      </c>
    </row>
    <row r="18536" spans="1:9">
      <c r="A18536" s="22" t="str">
        <f>HYPERLINK("https://app.vivvix.com/360/KMI/IntelliDrive/ApplUI/Pages/CreativePages/CustomReportCreativeDetail.aspx?App=23&amp;ReportView=4&amp;Qid=1711279&amp;Row=18528&amp;Col=1","No Title Assigned - #15277671061")</f>
        <v/>
      </c>
      <c r="B18536" s="0" t="s">
        <v>24494</v>
      </c>
      <c r="E18536" s="0" t="inlineStr">
        <is>
          <t xml:space="preserve">Mazda</t>
        </is>
      </c>
      <c r="F18536" s="0" t="inlineStr">
        <is>
          <t xml:space="preserve">Mazda</t>
        </is>
      </c>
      <c r="G18536" s="0" t="s">
        <v>171</v>
      </c>
      <c r="H18536" s="5">
        <v>418.897600</v>
      </c>
    </row>
    <row r="18537" spans="1:9">
      <c r="A18537" s="22" t="str">
        <f>HYPERLINK("https://app.vivvix.com/360/KMI/IntelliDrive/ApplUI/Pages/CreativePages/CustomReportCreativeDetail.aspx?App=23&amp;ReportView=4&amp;Qid=1711279&amp;Row=18529&amp;Col=1","No Title Assigned - #15277671078")</f>
        <v/>
      </c>
      <c r="B18537" s="0" t="s">
        <v>24495</v>
      </c>
      <c r="E18537" s="0" t="inlineStr">
        <is>
          <t xml:space="preserve">Mazda</t>
        </is>
      </c>
      <c r="F18537" s="0" t="inlineStr">
        <is>
          <t xml:space="preserve">Mazda</t>
        </is>
      </c>
      <c r="G18537" s="0" t="s">
        <v>171</v>
      </c>
      <c r="H18537" s="5">
        <v>0.796900</v>
      </c>
    </row>
    <row r="18538" spans="1:9">
      <c r="A18538" s="22" t="str">
        <f>HYPERLINK("https://app.vivvix.com/360/KMI/IntelliDrive/ApplUI/Pages/CreativePages/CustomReportCreativeDetail.aspx?App=23&amp;ReportView=4&amp;Qid=1711279&amp;Row=18530&amp;Col=1","No Title Assigned - #15277671145")</f>
        <v/>
      </c>
      <c r="B18538" s="0" t="s">
        <v>24496</v>
      </c>
      <c r="E18538" s="0" t="inlineStr">
        <is>
          <t xml:space="preserve">Mazda</t>
        </is>
      </c>
      <c r="F18538" s="0" t="inlineStr">
        <is>
          <t xml:space="preserve">Mazda</t>
        </is>
      </c>
      <c r="G18538" s="0" t="s">
        <v>171</v>
      </c>
      <c r="H18538" s="5">
        <v>25382.267500</v>
      </c>
    </row>
    <row r="18539" spans="1:9">
      <c r="A18539" s="22" t="str">
        <f>HYPERLINK("https://app.vivvix.com/360/KMI/IntelliDrive/ApplUI/Pages/CreativePages/CustomReportCreativeDetail.aspx?App=23&amp;ReportView=4&amp;Qid=1711279&amp;Row=18531&amp;Col=1","No Title Assigned - #15277671682")</f>
        <v/>
      </c>
      <c r="B18539" s="0" t="s">
        <v>24497</v>
      </c>
      <c r="E18539" s="0" t="inlineStr">
        <is>
          <t xml:space="preserve">Mazda</t>
        </is>
      </c>
      <c r="F18539" s="0" t="inlineStr">
        <is>
          <t xml:space="preserve">Mazda</t>
        </is>
      </c>
      <c r="G18539" s="0" t="s">
        <v>171</v>
      </c>
      <c r="H18539" s="5">
        <v>43.527300</v>
      </c>
    </row>
    <row r="18540" spans="1:9">
      <c r="A18540" s="22" t="str">
        <f>HYPERLINK("https://app.vivvix.com/360/KMI/IntelliDrive/ApplUI/Pages/CreativePages/CustomReportCreativeDetail.aspx?App=23&amp;ReportView=4&amp;Qid=1711279&amp;Row=18532&amp;Col=1","No Title Assigned - #15277678985")</f>
        <v/>
      </c>
      <c r="B18540" s="0" t="s">
        <v>24498</v>
      </c>
      <c r="E18540" s="0" t="inlineStr">
        <is>
          <t xml:space="preserve">Mazda</t>
        </is>
      </c>
      <c r="F18540" s="0" t="inlineStr">
        <is>
          <t xml:space="preserve">Mazda</t>
        </is>
      </c>
      <c r="G18540" s="0" t="s">
        <v>171</v>
      </c>
      <c r="H18540" s="5">
        <v>24.481700</v>
      </c>
    </row>
    <row r="18541" spans="1:9">
      <c r="A18541" s="22" t="str">
        <f>HYPERLINK("https://app.vivvix.com/360/KMI/IntelliDrive/ApplUI/Pages/CreativePages/CustomReportCreativeDetail.aspx?App=23&amp;ReportView=4&amp;Qid=1711279&amp;Row=18533&amp;Col=1","No Title Assigned - #15277679148")</f>
        <v/>
      </c>
      <c r="B18541" s="0" t="s">
        <v>24499</v>
      </c>
      <c r="E18541" s="0" t="inlineStr">
        <is>
          <t xml:space="preserve">Mazda</t>
        </is>
      </c>
      <c r="F18541" s="0" t="inlineStr">
        <is>
          <t xml:space="preserve">Mazda</t>
        </is>
      </c>
      <c r="G18541" s="0" t="s">
        <v>171</v>
      </c>
      <c r="H18541" s="5">
        <v>3.283400</v>
      </c>
    </row>
    <row r="18542" spans="1:9">
      <c r="A18542" s="22" t="str">
        <f>HYPERLINK("https://app.vivvix.com/360/KMI/IntelliDrive/ApplUI/Pages/CreativePages/CustomReportCreativeDetail.aspx?App=23&amp;ReportView=4&amp;Qid=1711279&amp;Row=18534&amp;Col=1","No Title Assigned - #15277679359")</f>
        <v/>
      </c>
      <c r="B18542" s="0" t="s">
        <v>24500</v>
      </c>
      <c r="E18542" s="0" t="inlineStr">
        <is>
          <t xml:space="preserve">Mazda</t>
        </is>
      </c>
      <c r="F18542" s="0" t="inlineStr">
        <is>
          <t xml:space="preserve">Mazda</t>
        </is>
      </c>
      <c r="G18542" s="0" t="s">
        <v>171</v>
      </c>
      <c r="H18542" s="5">
        <v>19.788400</v>
      </c>
    </row>
    <row r="18543" spans="1:9">
      <c r="A18543" s="22" t="str">
        <f>HYPERLINK("https://app.vivvix.com/360/KMI/IntelliDrive/ApplUI/Pages/CreativePages/CustomReportCreativeDetail.aspx?App=23&amp;ReportView=4&amp;Qid=1711279&amp;Row=18535&amp;Col=1","No Title Assigned - #15277680015")</f>
        <v/>
      </c>
      <c r="B18543" s="0" t="s">
        <v>24501</v>
      </c>
      <c r="E18543" s="0" t="inlineStr">
        <is>
          <t xml:space="preserve">Mazda</t>
        </is>
      </c>
      <c r="F18543" s="0" t="inlineStr">
        <is>
          <t xml:space="preserve">Mazda</t>
        </is>
      </c>
      <c r="G18543" s="0" t="s">
        <v>171</v>
      </c>
      <c r="H18543" s="5">
        <v>18437.505400</v>
      </c>
    </row>
    <row r="18544" spans="1:9">
      <c r="A18544" s="22" t="str">
        <f>HYPERLINK("https://app.vivvix.com/360/KMI/IntelliDrive/ApplUI/Pages/CreativePages/CustomReportCreativeDetail.aspx?App=23&amp;ReportView=4&amp;Qid=1711279&amp;Row=18536&amp;Col=1","No Title Assigned - #15277681466")</f>
        <v/>
      </c>
      <c r="B18544" s="0" t="s">
        <v>24502</v>
      </c>
      <c r="E18544" s="0" t="inlineStr">
        <is>
          <t xml:space="preserve">Mazda</t>
        </is>
      </c>
      <c r="F18544" s="0" t="inlineStr">
        <is>
          <t xml:space="preserve">Mazda</t>
        </is>
      </c>
      <c r="G18544" s="0" t="s">
        <v>171</v>
      </c>
      <c r="H18544" s="5">
        <v>396.652700</v>
      </c>
    </row>
    <row r="18545" spans="1:9">
      <c r="A18545" s="22" t="str">
        <f>HYPERLINK("https://app.vivvix.com/360/KMI/IntelliDrive/ApplUI/Pages/CreativePages/CustomReportCreativeDetail.aspx?App=23&amp;ReportView=4&amp;Qid=1711279&amp;Row=18537&amp;Col=1","No Title Assigned - #15277701660")</f>
        <v/>
      </c>
      <c r="B18545" s="0" t="s">
        <v>24503</v>
      </c>
      <c r="C18545" s="0" t="s">
        <v>24504</v>
      </c>
      <c r="D18545" s="0" t="s">
        <v>24504</v>
      </c>
      <c r="E18545" s="0" t="inlineStr">
        <is>
          <t xml:space="preserve">Mazda</t>
        </is>
      </c>
      <c r="F18545" s="0" t="s">
        <v>13</v>
      </c>
      <c r="G18545" s="0" t="s">
        <v>49</v>
      </c>
      <c r="H18545" s="5">
        <v>11376.524300</v>
      </c>
    </row>
    <row r="18546" spans="1:9">
      <c r="A18546" s="22" t="str">
        <f>HYPERLINK("https://app.vivvix.com/360/KMI/IntelliDrive/ApplUI/Pages/CreativePages/CustomReportCreativeDetail.aspx?App=23&amp;ReportView=4&amp;Qid=1711279&amp;Row=18538&amp;Col=1","No Title Assigned - #15277702882")</f>
        <v/>
      </c>
      <c r="B18546" s="0" t="s">
        <v>24505</v>
      </c>
      <c r="C18546" s="0" t="s">
        <v>24506</v>
      </c>
      <c r="D18546" s="0" t="s">
        <v>24506</v>
      </c>
      <c r="E18546" s="0" t="inlineStr">
        <is>
          <t xml:space="preserve">Mazda</t>
        </is>
      </c>
      <c r="F18546" s="0" t="s">
        <v>13</v>
      </c>
      <c r="G18546" s="0" t="s">
        <v>49</v>
      </c>
      <c r="H18546" s="5">
        <v>60.316300</v>
      </c>
    </row>
    <row r="18547" spans="1:9">
      <c r="A18547" s="22" t="str">
        <f>HYPERLINK("https://app.vivvix.com/360/KMI/IntelliDrive/ApplUI/Pages/CreativePages/CustomReportCreativeDetail.aspx?App=23&amp;ReportView=4&amp;Qid=1711279&amp;Row=18539&amp;Col=1","No Title Assigned - #15277704620")</f>
        <v/>
      </c>
      <c r="B18547" s="0" t="s">
        <v>24507</v>
      </c>
      <c r="C18547" s="0" t="s">
        <v>24508</v>
      </c>
      <c r="D18547" s="0" t="s">
        <v>24508</v>
      </c>
      <c r="E18547" s="0" t="inlineStr">
        <is>
          <t xml:space="preserve">Mazda</t>
        </is>
      </c>
      <c r="F18547" s="0" t="s">
        <v>17</v>
      </c>
      <c r="G18547" s="0" t="s">
        <v>33</v>
      </c>
      <c r="H18547" s="5">
        <v>15013.483100</v>
      </c>
    </row>
    <row r="18548" spans="1:9">
      <c r="A18548" s="22" t="str">
        <f>HYPERLINK("https://app.vivvix.com/360/KMI/IntelliDrive/ApplUI/Pages/CreativePages/CustomReportCreativeDetail.aspx?App=23&amp;ReportView=4&amp;Qid=1711279&amp;Row=18540&amp;Col=1","No Title Assigned - #15277708932")</f>
        <v/>
      </c>
      <c r="B18548" s="0" t="s">
        <v>24509</v>
      </c>
      <c r="C18548" s="0" t="s">
        <v>24510</v>
      </c>
      <c r="D18548" s="0" t="s">
        <v>24510</v>
      </c>
      <c r="E18548" s="0" t="inlineStr">
        <is>
          <t xml:space="preserve">Mazda</t>
        </is>
      </c>
      <c r="F18548" s="0" t="s">
        <v>13</v>
      </c>
      <c r="G18548" s="0" t="s">
        <v>49</v>
      </c>
      <c r="H18548" s="5">
        <v>8.381800</v>
      </c>
    </row>
    <row r="18549" spans="1:9">
      <c r="A18549" s="22" t="str">
        <f>HYPERLINK("https://app.vivvix.com/360/KMI/IntelliDrive/ApplUI/Pages/CreativePages/CustomReportCreativeDetail.aspx?App=23&amp;ReportView=4&amp;Qid=1711279&amp;Row=18541&amp;Col=1","No Title Assigned - #15277711669")</f>
        <v/>
      </c>
      <c r="B18549" s="0" t="s">
        <v>24511</v>
      </c>
      <c r="C18549" s="0" t="s">
        <v>24512</v>
      </c>
      <c r="D18549" s="0" t="s">
        <v>24512</v>
      </c>
      <c r="E18549" s="0" t="inlineStr">
        <is>
          <t xml:space="preserve">Mazda</t>
        </is>
      </c>
      <c r="F18549" s="0" t="inlineStr">
        <is>
          <t xml:space="preserve">Mazda</t>
        </is>
      </c>
      <c r="G18549" s="0" t="s">
        <v>210</v>
      </c>
      <c r="H18549" s="5">
        <v>1818.554400</v>
      </c>
    </row>
    <row r="18550" spans="1:9">
      <c r="A18550" s="22" t="str">
        <f>HYPERLINK("https://app.vivvix.com/360/KMI/IntelliDrive/ApplUI/Pages/CreativePages/CustomReportCreativeDetail.aspx?App=23&amp;ReportView=4&amp;Qid=1711279&amp;Row=18542&amp;Col=1","No Title Assigned - #15277713709")</f>
        <v/>
      </c>
      <c r="B18550" s="0" t="s">
        <v>24513</v>
      </c>
      <c r="E18550" s="0" t="inlineStr">
        <is>
          <t xml:space="preserve">Mazda</t>
        </is>
      </c>
      <c r="F18550" s="0" t="inlineStr">
        <is>
          <t xml:space="preserve">Mazda</t>
        </is>
      </c>
      <c r="G18550" s="0" t="s">
        <v>171</v>
      </c>
      <c r="H18550" s="5">
        <v>2942.135700</v>
      </c>
    </row>
    <row r="18551" spans="1:9">
      <c r="A18551" s="22" t="str">
        <f>HYPERLINK("https://app.vivvix.com/360/KMI/IntelliDrive/ApplUI/Pages/CreativePages/CustomReportCreativeDetail.aspx?App=23&amp;ReportView=4&amp;Qid=1711279&amp;Row=18543&amp;Col=1","No Title Assigned - #15277715243")</f>
        <v/>
      </c>
      <c r="B18551" s="0" t="s">
        <v>24514</v>
      </c>
      <c r="C18551" s="0" t="s">
        <v>24515</v>
      </c>
      <c r="D18551" s="0" t="s">
        <v>24515</v>
      </c>
      <c r="E18551" s="0" t="inlineStr">
        <is>
          <t xml:space="preserve">Mazda</t>
        </is>
      </c>
      <c r="F18551" s="0" t="s">
        <v>13</v>
      </c>
      <c r="G18551" s="0" t="s">
        <v>49</v>
      </c>
      <c r="H18551" s="5">
        <v>47.184600</v>
      </c>
    </row>
    <row r="18552" spans="1:9">
      <c r="A18552" s="22" t="str">
        <f>HYPERLINK("https://app.vivvix.com/360/KMI/IntelliDrive/ApplUI/Pages/CreativePages/CustomReportCreativeDetail.aspx?App=23&amp;ReportView=4&amp;Qid=1711279&amp;Row=18544&amp;Col=1","No Title Assigned - #15277717735")</f>
        <v/>
      </c>
      <c r="B18552" s="0" t="s">
        <v>24516</v>
      </c>
      <c r="E18552" s="0" t="inlineStr">
        <is>
          <t xml:space="preserve">Mazda</t>
        </is>
      </c>
      <c r="F18552" s="0" t="s">
        <v>1568</v>
      </c>
      <c r="G18552" s="0" t="s">
        <v>1569</v>
      </c>
      <c r="H18552" s="5">
        <v>755.940000</v>
      </c>
    </row>
    <row r="18553" spans="1:9">
      <c r="A18553" s="22" t="str">
        <f>HYPERLINK("https://app.vivvix.com/360/KMI/IntelliDrive/ApplUI/Pages/CreativePages/CustomReportCreativeDetail.aspx?App=23&amp;ReportView=4&amp;Qid=1711279&amp;Row=18545&amp;Col=1","No Title Assigned - #15277717736")</f>
        <v/>
      </c>
      <c r="B18553" s="0" t="s">
        <v>24517</v>
      </c>
      <c r="E18553" s="0" t="inlineStr">
        <is>
          <t xml:space="preserve">Mazda</t>
        </is>
      </c>
      <c r="F18553" s="0" t="s">
        <v>1568</v>
      </c>
      <c r="G18553" s="0" t="s">
        <v>1569</v>
      </c>
      <c r="H18553" s="5">
        <v>377.970000</v>
      </c>
    </row>
    <row r="18554" spans="1:9">
      <c r="A18554" s="22" t="str">
        <f>HYPERLINK("https://app.vivvix.com/360/KMI/IntelliDrive/ApplUI/Pages/CreativePages/CustomReportCreativeDetail.aspx?App=23&amp;ReportView=4&amp;Qid=1711279&amp;Row=18546&amp;Col=1","No Title Assigned - #15277721411")</f>
        <v/>
      </c>
      <c r="B18554" s="0" t="s">
        <v>24518</v>
      </c>
      <c r="C18554" s="0" t="s">
        <v>24519</v>
      </c>
      <c r="D18554" s="0" t="s">
        <v>6183</v>
      </c>
      <c r="E18554" s="0" t="inlineStr">
        <is>
          <t xml:space="preserve">Mazda</t>
        </is>
      </c>
      <c r="F18554" s="0" t="s">
        <v>13</v>
      </c>
      <c r="G18554" s="0" t="s">
        <v>49</v>
      </c>
      <c r="H18554" s="5">
        <v>197.240700</v>
      </c>
    </row>
    <row r="18555" spans="1:9">
      <c r="A18555" s="22" t="str">
        <f>HYPERLINK("https://app.vivvix.com/360/KMI/IntelliDrive/ApplUI/Pages/CreativePages/CustomReportCreativeDetail.aspx?App=23&amp;ReportView=4&amp;Qid=1711279&amp;Row=18547&amp;Col=1","No Title Assigned - #15277722832")</f>
        <v/>
      </c>
      <c r="B18555" s="0" t="s">
        <v>24520</v>
      </c>
      <c r="C18555" s="0" t="s">
        <v>24521</v>
      </c>
      <c r="D18555" s="0" t="s">
        <v>24521</v>
      </c>
      <c r="E18555" s="0" t="inlineStr">
        <is>
          <t xml:space="preserve">Mazda</t>
        </is>
      </c>
      <c r="F18555" s="0" t="s">
        <v>13</v>
      </c>
      <c r="G18555" s="0" t="s">
        <v>49</v>
      </c>
      <c r="H18555" s="5">
        <v>1550.348600</v>
      </c>
    </row>
    <row r="18556" spans="1:9">
      <c r="A18556" s="22" t="str">
        <f>HYPERLINK("https://app.vivvix.com/360/KMI/IntelliDrive/ApplUI/Pages/CreativePages/CustomReportCreativeDetail.aspx?App=23&amp;ReportView=4&amp;Qid=1711279&amp;Row=18548&amp;Col=1","No Title Assigned - #15277722889")</f>
        <v/>
      </c>
      <c r="B18556" s="0" t="s">
        <v>24522</v>
      </c>
      <c r="E18556" s="0" t="inlineStr">
        <is>
          <t xml:space="preserve">Mazda</t>
        </is>
      </c>
      <c r="F18556" s="0" t="inlineStr">
        <is>
          <t xml:space="preserve">Mazda</t>
        </is>
      </c>
      <c r="G18556" s="0" t="s">
        <v>171</v>
      </c>
      <c r="H18556" s="5">
        <v>16.131400</v>
      </c>
    </row>
    <row r="18557" spans="1:9">
      <c r="A18557" s="22" t="str">
        <f>HYPERLINK("https://app.vivvix.com/360/KMI/IntelliDrive/ApplUI/Pages/CreativePages/CustomReportCreativeDetail.aspx?App=23&amp;ReportView=4&amp;Qid=1711279&amp;Row=18549&amp;Col=1","No Title Assigned - #15277724281")</f>
        <v/>
      </c>
      <c r="B18557" s="0" t="s">
        <v>24523</v>
      </c>
      <c r="E18557" s="0" t="inlineStr">
        <is>
          <t xml:space="preserve">Mazda</t>
        </is>
      </c>
      <c r="F18557" s="0" t="inlineStr">
        <is>
          <t xml:space="preserve">Mazda</t>
        </is>
      </c>
      <c r="G18557" s="0" t="s">
        <v>171</v>
      </c>
      <c r="H18557" s="5">
        <v>28414.558300</v>
      </c>
    </row>
    <row r="18558" spans="1:9">
      <c r="A18558" s="22" t="str">
        <f>HYPERLINK("https://app.vivvix.com/360/KMI/IntelliDrive/ApplUI/Pages/CreativePages/CustomReportCreativeDetail.aspx?App=23&amp;ReportView=4&amp;Qid=1711279&amp;Row=18550&amp;Col=1","No Title Assigned - #15277724316")</f>
        <v/>
      </c>
      <c r="B18558" s="0" t="s">
        <v>24524</v>
      </c>
      <c r="E18558" s="0" t="inlineStr">
        <is>
          <t xml:space="preserve">Mazda</t>
        </is>
      </c>
      <c r="F18558" s="0" t="inlineStr">
        <is>
          <t xml:space="preserve">Mazda</t>
        </is>
      </c>
      <c r="G18558" s="0" t="s">
        <v>171</v>
      </c>
      <c r="H18558" s="5">
        <v>24548.449100</v>
      </c>
    </row>
    <row r="18559" spans="1:9">
      <c r="A18559" s="22" t="str">
        <f>HYPERLINK("https://app.vivvix.com/360/KMI/IntelliDrive/ApplUI/Pages/CreativePages/CustomReportCreativeDetail.aspx?App=23&amp;ReportView=4&amp;Qid=1711279&amp;Row=18551&amp;Col=1","No Title Assigned - #15277724575")</f>
        <v/>
      </c>
      <c r="B18559" s="0" t="s">
        <v>24525</v>
      </c>
      <c r="E18559" s="0" t="inlineStr">
        <is>
          <t xml:space="preserve">Mazda</t>
        </is>
      </c>
      <c r="F18559" s="0" t="inlineStr">
        <is>
          <t xml:space="preserve">Mazda</t>
        </is>
      </c>
      <c r="G18559" s="0" t="s">
        <v>171</v>
      </c>
      <c r="H18559" s="5">
        <v>62646.816000</v>
      </c>
    </row>
    <row r="18560" spans="1:9">
      <c r="A18560" s="22" t="str">
        <f>HYPERLINK("https://app.vivvix.com/360/KMI/IntelliDrive/ApplUI/Pages/CreativePages/CustomReportCreativeDetail.aspx?App=23&amp;ReportView=4&amp;Qid=1711279&amp;Row=18552&amp;Col=1","No Title Assigned - #15277725035")</f>
        <v/>
      </c>
      <c r="B18560" s="0" t="s">
        <v>24526</v>
      </c>
      <c r="C18560" s="0" t="s">
        <v>24527</v>
      </c>
      <c r="D18560" s="0" t="s">
        <v>24527</v>
      </c>
      <c r="E18560" s="0" t="inlineStr">
        <is>
          <t xml:space="preserve">Mazda</t>
        </is>
      </c>
      <c r="F18560" s="0" t="s">
        <v>13</v>
      </c>
      <c r="G18560" s="0" t="s">
        <v>49</v>
      </c>
      <c r="H18560" s="5">
        <v>60.316300</v>
      </c>
    </row>
    <row r="18561" spans="1:9">
      <c r="A18561" s="22" t="str">
        <f>HYPERLINK("https://app.vivvix.com/360/KMI/IntelliDrive/ApplUI/Pages/CreativePages/CustomReportCreativeDetail.aspx?App=23&amp;ReportView=4&amp;Qid=1711279&amp;Row=18553&amp;Col=1","No Title Assigned - #15277725240")</f>
        <v/>
      </c>
      <c r="B18561" s="0" t="s">
        <v>24528</v>
      </c>
      <c r="C18561" s="0" t="s">
        <v>24529</v>
      </c>
      <c r="D18561" s="0" t="s">
        <v>23394</v>
      </c>
      <c r="E18561" s="0" t="inlineStr">
        <is>
          <t xml:space="preserve">Mazda</t>
        </is>
      </c>
      <c r="F18561" s="0" t="s">
        <v>13</v>
      </c>
      <c r="G18561" s="0" t="s">
        <v>49</v>
      </c>
      <c r="H18561" s="5">
        <v>5.910100</v>
      </c>
    </row>
    <row r="18562" spans="1:9">
      <c r="A18562" s="22" t="str">
        <f>HYPERLINK("https://app.vivvix.com/360/KMI/IntelliDrive/ApplUI/Pages/CreativePages/CustomReportCreativeDetail.aspx?App=23&amp;ReportView=4&amp;Qid=1711279&amp;Row=18554&amp;Col=1","No Title Assigned - #15277725427")</f>
        <v/>
      </c>
      <c r="B18562" s="0" t="s">
        <v>24530</v>
      </c>
      <c r="C18562" s="0" t="s">
        <v>24531</v>
      </c>
      <c r="D18562" s="0" t="s">
        <v>9973</v>
      </c>
      <c r="E18562" s="0" t="inlineStr">
        <is>
          <t xml:space="preserve">Mazda</t>
        </is>
      </c>
      <c r="F18562" s="0" t="s">
        <v>13</v>
      </c>
      <c r="G18562" s="0" t="s">
        <v>49</v>
      </c>
      <c r="H18562" s="5">
        <v>5.691700</v>
      </c>
    </row>
    <row r="18563" spans="1:9">
      <c r="A18563" s="22" t="str">
        <f>HYPERLINK("https://app.vivvix.com/360/KMI/IntelliDrive/ApplUI/Pages/CreativePages/CustomReportCreativeDetail.aspx?App=23&amp;ReportView=4&amp;Qid=1711279&amp;Row=18555&amp;Col=1","No Title Assigned - #15277725478")</f>
        <v/>
      </c>
      <c r="B18563" s="0" t="s">
        <v>24532</v>
      </c>
      <c r="C18563" s="0" t="s">
        <v>24533</v>
      </c>
      <c r="D18563" s="0" t="s">
        <v>6183</v>
      </c>
      <c r="E18563" s="0" t="inlineStr">
        <is>
          <t xml:space="preserve">Mazda</t>
        </is>
      </c>
      <c r="F18563" s="0" t="s">
        <v>13</v>
      </c>
      <c r="G18563" s="0" t="s">
        <v>49</v>
      </c>
      <c r="H18563" s="5">
        <v>527.452000</v>
      </c>
    </row>
    <row r="18564" spans="1:9">
      <c r="A18564" s="22" t="str">
        <f>HYPERLINK("https://app.vivvix.com/360/KMI/IntelliDrive/ApplUI/Pages/CreativePages/CustomReportCreativeDetail.aspx?App=23&amp;ReportView=4&amp;Qid=1711279&amp;Row=18556&amp;Col=1","No Title Assigned - #15277728026")</f>
        <v/>
      </c>
      <c r="B18564" s="0" t="s">
        <v>24534</v>
      </c>
      <c r="C18564" s="0" t="s">
        <v>24535</v>
      </c>
      <c r="D18564" s="0" t="s">
        <v>24535</v>
      </c>
      <c r="E18564" s="0" t="inlineStr">
        <is>
          <t xml:space="preserve">Mazda</t>
        </is>
      </c>
      <c r="F18564" s="0" t="inlineStr">
        <is>
          <t xml:space="preserve">Mazda</t>
        </is>
      </c>
      <c r="G18564" s="0" t="s">
        <v>171</v>
      </c>
      <c r="H18564" s="5">
        <v>632.232900</v>
      </c>
    </row>
    <row r="18565" spans="1:9">
      <c r="A18565" s="22" t="str">
        <f>HYPERLINK("https://app.vivvix.com/360/KMI/IntelliDrive/ApplUI/Pages/CreativePages/CustomReportCreativeDetail.aspx?App=23&amp;ReportView=4&amp;Qid=1711279&amp;Row=18557&amp;Col=1","No Title Assigned - #15277728182")</f>
        <v/>
      </c>
      <c r="B18565" s="0" t="s">
        <v>24536</v>
      </c>
      <c r="C18565" s="0" t="s">
        <v>24537</v>
      </c>
      <c r="D18565" s="0" t="s">
        <v>5013</v>
      </c>
      <c r="E18565" s="0" t="inlineStr">
        <is>
          <t xml:space="preserve">Mazda</t>
        </is>
      </c>
      <c r="F18565" s="0" t="s">
        <v>13</v>
      </c>
      <c r="G18565" s="0" t="s">
        <v>49</v>
      </c>
      <c r="H18565" s="5">
        <v>20.703800</v>
      </c>
    </row>
    <row r="18566" spans="1:9">
      <c r="A18566" s="22" t="str">
        <f>HYPERLINK("https://app.vivvix.com/360/KMI/IntelliDrive/ApplUI/Pages/CreativePages/CustomReportCreativeDetail.aspx?App=23&amp;ReportView=4&amp;Qid=1711279&amp;Row=18558&amp;Col=1","No Title Assigned - #15277728239")</f>
        <v/>
      </c>
      <c r="B18566" s="0" t="s">
        <v>24538</v>
      </c>
      <c r="C18566" s="0" t="s">
        <v>24539</v>
      </c>
      <c r="D18566" s="0" t="s">
        <v>24539</v>
      </c>
      <c r="E18566" s="0" t="inlineStr">
        <is>
          <t xml:space="preserve">Mazda</t>
        </is>
      </c>
      <c r="F18566" s="0" t="s">
        <v>13</v>
      </c>
      <c r="G18566" s="0" t="s">
        <v>49</v>
      </c>
      <c r="H18566" s="5">
        <v>5.910100</v>
      </c>
    </row>
    <row r="18567" spans="1:9">
      <c r="A18567" s="22" t="str">
        <f>HYPERLINK("https://app.vivvix.com/360/KMI/IntelliDrive/ApplUI/Pages/CreativePages/CustomReportCreativeDetail.aspx?App=23&amp;ReportView=4&amp;Qid=1711279&amp;Row=18559&amp;Col=1","No Title Assigned - #15277728765")</f>
        <v/>
      </c>
      <c r="B18567" s="0" t="s">
        <v>24540</v>
      </c>
      <c r="E18567" s="0" t="inlineStr">
        <is>
          <t xml:space="preserve">Mazda</t>
        </is>
      </c>
      <c r="F18567" s="0" t="inlineStr">
        <is>
          <t xml:space="preserve">Mazda</t>
        </is>
      </c>
      <c r="G18567" s="0" t="s">
        <v>171</v>
      </c>
      <c r="H18567" s="5">
        <v>156.586600</v>
      </c>
    </row>
    <row r="18568" spans="1:9">
      <c r="A18568" s="22" t="str">
        <f>HYPERLINK("https://app.vivvix.com/360/KMI/IntelliDrive/ApplUI/Pages/CreativePages/CustomReportCreativeDetail.aspx?App=23&amp;ReportView=4&amp;Qid=1711279&amp;Row=18560&amp;Col=1","No Title Assigned - #15277728765")</f>
        <v/>
      </c>
      <c r="B18568" s="0" t="s">
        <v>24540</v>
      </c>
      <c r="E18568" s="0" t="inlineStr">
        <is>
          <t xml:space="preserve">Mazda</t>
        </is>
      </c>
      <c r="F18568" s="0" t="inlineStr">
        <is>
          <t xml:space="preserve">Mazda</t>
        </is>
      </c>
      <c r="G18568" s="0" t="s">
        <v>171</v>
      </c>
      <c r="H18568" s="5">
        <v>844.683100</v>
      </c>
    </row>
    <row r="18569" spans="1:9">
      <c r="A18569" s="22" t="str">
        <f>HYPERLINK("https://app.vivvix.com/360/KMI/IntelliDrive/ApplUI/Pages/CreativePages/CustomReportCreativeDetail.aspx?App=23&amp;ReportView=4&amp;Qid=1711279&amp;Row=18561&amp;Col=1","No Title Assigned - #15277729151")</f>
        <v/>
      </c>
      <c r="B18569" s="0" t="s">
        <v>24541</v>
      </c>
      <c r="E18569" s="0" t="inlineStr">
        <is>
          <t xml:space="preserve">Mazda</t>
        </is>
      </c>
      <c r="F18569" s="0" t="inlineStr">
        <is>
          <t xml:space="preserve">Mazda</t>
        </is>
      </c>
      <c r="G18569" s="0" t="s">
        <v>171</v>
      </c>
      <c r="H18569" s="5">
        <v>466.549000</v>
      </c>
    </row>
    <row r="18570" spans="1:9">
      <c r="A18570" s="22" t="str">
        <f>HYPERLINK("https://app.vivvix.com/360/KMI/IntelliDrive/ApplUI/Pages/CreativePages/CustomReportCreativeDetail.aspx?App=23&amp;ReportView=4&amp;Qid=1711279&amp;Row=18562&amp;Col=1","No Title Assigned - #15277729243")</f>
        <v/>
      </c>
      <c r="B18570" s="0" t="s">
        <v>24542</v>
      </c>
      <c r="E18570" s="0" t="inlineStr">
        <is>
          <t xml:space="preserve">Mazda</t>
        </is>
      </c>
      <c r="F18570" s="0" t="inlineStr">
        <is>
          <t xml:space="preserve">Mazda</t>
        </is>
      </c>
      <c r="G18570" s="0" t="s">
        <v>171</v>
      </c>
      <c r="H18570" s="5">
        <v>50.342100</v>
      </c>
    </row>
    <row r="18571" spans="1:9">
      <c r="A18571" s="22" t="str">
        <f>HYPERLINK("https://app.vivvix.com/360/KMI/IntelliDrive/ApplUI/Pages/CreativePages/CustomReportCreativeDetail.aspx?App=23&amp;ReportView=4&amp;Qid=1711279&amp;Row=18563&amp;Col=1","No Title Assigned - #15277729325")</f>
        <v/>
      </c>
      <c r="B18571" s="0" t="s">
        <v>24543</v>
      </c>
      <c r="E18571" s="0" t="inlineStr">
        <is>
          <t xml:space="preserve">Mazda</t>
        </is>
      </c>
      <c r="F18571" s="0" t="inlineStr">
        <is>
          <t xml:space="preserve">Mazda</t>
        </is>
      </c>
      <c r="G18571" s="0" t="s">
        <v>171</v>
      </c>
      <c r="H18571" s="5">
        <v>19.163000</v>
      </c>
    </row>
    <row r="18572" spans="1:9">
      <c r="A18572" s="22" t="str">
        <f>HYPERLINK("https://app.vivvix.com/360/KMI/IntelliDrive/ApplUI/Pages/CreativePages/CustomReportCreativeDetail.aspx?App=23&amp;ReportView=4&amp;Qid=1711279&amp;Row=18564&amp;Col=1","No Title Assigned - #15277729364")</f>
        <v/>
      </c>
      <c r="B18572" s="0" t="s">
        <v>24544</v>
      </c>
      <c r="E18572" s="0" t="inlineStr">
        <is>
          <t xml:space="preserve">Mazda</t>
        </is>
      </c>
      <c r="F18572" s="0" t="inlineStr">
        <is>
          <t xml:space="preserve">Mazda</t>
        </is>
      </c>
      <c r="G18572" s="0" t="s">
        <v>171</v>
      </c>
      <c r="H18572" s="5">
        <v>139187.452000</v>
      </c>
    </row>
    <row r="18573" spans="1:9">
      <c r="A18573" s="22" t="str">
        <f>HYPERLINK("https://app.vivvix.com/360/KMI/IntelliDrive/ApplUI/Pages/CreativePages/CustomReportCreativeDetail.aspx?App=23&amp;ReportView=4&amp;Qid=1711279&amp;Row=18565&amp;Col=1","No Title Assigned - #15277729730")</f>
        <v/>
      </c>
      <c r="B18573" s="0" t="s">
        <v>24545</v>
      </c>
      <c r="C18573" s="0" t="s">
        <v>24546</v>
      </c>
      <c r="D18573" s="0" t="s">
        <v>24546</v>
      </c>
      <c r="E18573" s="0" t="inlineStr">
        <is>
          <t xml:space="preserve">Mazda</t>
        </is>
      </c>
      <c r="F18573" s="0" t="inlineStr">
        <is>
          <t xml:space="preserve">Mazda</t>
        </is>
      </c>
      <c r="G18573" s="0" t="s">
        <v>171</v>
      </c>
      <c r="H18573" s="5">
        <v>193.566400</v>
      </c>
    </row>
    <row r="18574" spans="1:9">
      <c r="A18574" s="22" t="str">
        <f>HYPERLINK("https://app.vivvix.com/360/KMI/IntelliDrive/ApplUI/Pages/CreativePages/CustomReportCreativeDetail.aspx?App=23&amp;ReportView=4&amp;Qid=1711279&amp;Row=18566&amp;Col=1","No Title Assigned - #15277730258")</f>
        <v/>
      </c>
      <c r="B18574" s="0" t="s">
        <v>24547</v>
      </c>
      <c r="E18574" s="0" t="inlineStr">
        <is>
          <t xml:space="preserve">Mazda</t>
        </is>
      </c>
      <c r="F18574" s="0" t="inlineStr">
        <is>
          <t xml:space="preserve">Mazda</t>
        </is>
      </c>
      <c r="G18574" s="0" t="s">
        <v>171</v>
      </c>
      <c r="H18574" s="5">
        <v>309.724000</v>
      </c>
    </row>
    <row r="18575" spans="1:9">
      <c r="A18575" s="22" t="str">
        <f>HYPERLINK("https://app.vivvix.com/360/KMI/IntelliDrive/ApplUI/Pages/CreativePages/CustomReportCreativeDetail.aspx?App=23&amp;ReportView=4&amp;Qid=1711279&amp;Row=18567&amp;Col=1","No Title Assigned - #15277730264")</f>
        <v/>
      </c>
      <c r="B18575" s="0" t="s">
        <v>24548</v>
      </c>
      <c r="E18575" s="0" t="inlineStr">
        <is>
          <t xml:space="preserve">Mazda</t>
        </is>
      </c>
      <c r="F18575" s="0" t="inlineStr">
        <is>
          <t xml:space="preserve">Mazda</t>
        </is>
      </c>
      <c r="G18575" s="0" t="s">
        <v>171</v>
      </c>
      <c r="H18575" s="5">
        <v>92.954700</v>
      </c>
    </row>
    <row r="18576" spans="1:9">
      <c r="A18576" s="22" t="str">
        <f>HYPERLINK("https://app.vivvix.com/360/KMI/IntelliDrive/ApplUI/Pages/CreativePages/CustomReportCreativeDetail.aspx?App=23&amp;ReportView=4&amp;Qid=1711279&amp;Row=18568&amp;Col=1","No Title Assigned - #15277730272")</f>
        <v/>
      </c>
      <c r="B18576" s="0" t="s">
        <v>24549</v>
      </c>
      <c r="E18576" s="0" t="inlineStr">
        <is>
          <t xml:space="preserve">Mazda</t>
        </is>
      </c>
      <c r="F18576" s="0" t="inlineStr">
        <is>
          <t xml:space="preserve">Mazda</t>
        </is>
      </c>
      <c r="G18576" s="0" t="s">
        <v>171</v>
      </c>
      <c r="H18576" s="5">
        <v>92.954700</v>
      </c>
    </row>
    <row r="18577" spans="1:9">
      <c r="A18577" s="22" t="str">
        <f>HYPERLINK("https://app.vivvix.com/360/KMI/IntelliDrive/ApplUI/Pages/CreativePages/CustomReportCreativeDetail.aspx?App=23&amp;ReportView=4&amp;Qid=1711279&amp;Row=18569&amp;Col=1","No Title Assigned - #15277730322")</f>
        <v/>
      </c>
      <c r="B18577" s="0" t="s">
        <v>24550</v>
      </c>
      <c r="C18577" s="0" t="s">
        <v>24551</v>
      </c>
      <c r="D18577" s="0" t="s">
        <v>24551</v>
      </c>
      <c r="E18577" s="0" t="inlineStr">
        <is>
          <t xml:space="preserve">Mazda</t>
        </is>
      </c>
      <c r="F18577" s="0" t="inlineStr">
        <is>
          <t xml:space="preserve">Mazda</t>
        </is>
      </c>
      <c r="G18577" s="0" t="s">
        <v>171</v>
      </c>
      <c r="H18577" s="5">
        <v>92.954700</v>
      </c>
    </row>
    <row r="18578" spans="1:9">
      <c r="A18578" s="22" t="str">
        <f>HYPERLINK("https://app.vivvix.com/360/KMI/IntelliDrive/ApplUI/Pages/CreativePages/CustomReportCreativeDetail.aspx?App=23&amp;ReportView=4&amp;Qid=1711279&amp;Row=18570&amp;Col=1","No Title Assigned - #15277730825")</f>
        <v/>
      </c>
      <c r="B18578" s="0" t="s">
        <v>24552</v>
      </c>
      <c r="E18578" s="0" t="inlineStr">
        <is>
          <t xml:space="preserve">Mazda</t>
        </is>
      </c>
      <c r="F18578" s="0" t="inlineStr">
        <is>
          <t xml:space="preserve">Mazda</t>
        </is>
      </c>
      <c r="G18578" s="0" t="s">
        <v>171</v>
      </c>
      <c r="H18578" s="5">
        <v>42.250900</v>
      </c>
    </row>
    <row r="18579" spans="1:9">
      <c r="A18579" s="22" t="str">
        <f>HYPERLINK("https://app.vivvix.com/360/KMI/IntelliDrive/ApplUI/Pages/CreativePages/CustomReportCreativeDetail.aspx?App=23&amp;ReportView=4&amp;Qid=1711279&amp;Row=18571&amp;Col=1","No Title Assigned - #15277730831")</f>
        <v/>
      </c>
      <c r="B18579" s="0" t="s">
        <v>24553</v>
      </c>
      <c r="E18579" s="0" t="inlineStr">
        <is>
          <t xml:space="preserve">Mazda</t>
        </is>
      </c>
      <c r="F18579" s="0" t="inlineStr">
        <is>
          <t xml:space="preserve">Mazda</t>
        </is>
      </c>
      <c r="G18579" s="0" t="s">
        <v>171</v>
      </c>
      <c r="H18579" s="5">
        <v>93939.528300</v>
      </c>
    </row>
    <row r="18580" spans="1:9">
      <c r="A18580" s="22" t="str">
        <f>HYPERLINK("https://app.vivvix.com/360/KMI/IntelliDrive/ApplUI/Pages/CreativePages/CustomReportCreativeDetail.aspx?App=23&amp;ReportView=4&amp;Qid=1711279&amp;Row=18572&amp;Col=1","No Title Assigned - #15277731221")</f>
        <v/>
      </c>
      <c r="B18580" s="0" t="s">
        <v>24554</v>
      </c>
      <c r="E18580" s="0" t="inlineStr">
        <is>
          <t xml:space="preserve">Mazda</t>
        </is>
      </c>
      <c r="F18580" s="0" t="inlineStr">
        <is>
          <t xml:space="preserve">Mazda</t>
        </is>
      </c>
      <c r="G18580" s="0" t="s">
        <v>171</v>
      </c>
      <c r="H18580" s="5">
        <v>2415.689500</v>
      </c>
    </row>
    <row r="18581" spans="1:9">
      <c r="A18581" s="22" t="str">
        <f>HYPERLINK("https://app.vivvix.com/360/KMI/IntelliDrive/ApplUI/Pages/CreativePages/CustomReportCreativeDetail.aspx?App=23&amp;ReportView=4&amp;Qid=1711279&amp;Row=18573&amp;Col=1","No Title Assigned - #15277731262")</f>
        <v/>
      </c>
      <c r="B18581" s="0" t="s">
        <v>24555</v>
      </c>
      <c r="E18581" s="0" t="inlineStr">
        <is>
          <t xml:space="preserve">Mazda</t>
        </is>
      </c>
      <c r="F18581" s="0" t="inlineStr">
        <is>
          <t xml:space="preserve">Mazda</t>
        </is>
      </c>
      <c r="G18581" s="0" t="s">
        <v>171</v>
      </c>
      <c r="H18581" s="5">
        <v>56.239700</v>
      </c>
    </row>
    <row r="18582" spans="1:9">
      <c r="A18582" s="22" t="str">
        <f>HYPERLINK("https://app.vivvix.com/360/KMI/IntelliDrive/ApplUI/Pages/CreativePages/CustomReportCreativeDetail.aspx?App=23&amp;ReportView=4&amp;Qid=1711279&amp;Row=18574&amp;Col=1","No Title Assigned - #15277731292")</f>
        <v/>
      </c>
      <c r="B18582" s="0" t="s">
        <v>24556</v>
      </c>
      <c r="E18582" s="0" t="inlineStr">
        <is>
          <t xml:space="preserve">Mazda</t>
        </is>
      </c>
      <c r="F18582" s="0" t="inlineStr">
        <is>
          <t xml:space="preserve">Mazda</t>
        </is>
      </c>
      <c r="G18582" s="0" t="s">
        <v>171</v>
      </c>
      <c r="H18582" s="5">
        <v>362.858200</v>
      </c>
    </row>
    <row r="18583" spans="1:9">
      <c r="A18583" s="22" t="str">
        <f>HYPERLINK("https://app.vivvix.com/360/KMI/IntelliDrive/ApplUI/Pages/CreativePages/CustomReportCreativeDetail.aspx?App=23&amp;ReportView=4&amp;Qid=1711279&amp;Row=18575&amp;Col=1","No Title Assigned - #15277731899")</f>
        <v/>
      </c>
      <c r="B18583" s="0" t="s">
        <v>24557</v>
      </c>
      <c r="E18583" s="0" t="inlineStr">
        <is>
          <t xml:space="preserve">Mazda</t>
        </is>
      </c>
      <c r="F18583" s="0" t="inlineStr">
        <is>
          <t xml:space="preserve">Mazda</t>
        </is>
      </c>
      <c r="G18583" s="0" t="s">
        <v>171</v>
      </c>
      <c r="H18583" s="5">
        <v>81.140700</v>
      </c>
    </row>
    <row r="18584" spans="1:9">
      <c r="A18584" s="22" t="str">
        <f>HYPERLINK("https://app.vivvix.com/360/KMI/IntelliDrive/ApplUI/Pages/CreativePages/CustomReportCreativeDetail.aspx?App=23&amp;ReportView=4&amp;Qid=1711279&amp;Row=18576&amp;Col=1","No Title Assigned - #15277732091")</f>
        <v/>
      </c>
      <c r="B18584" s="0" t="s">
        <v>24558</v>
      </c>
      <c r="E18584" s="0" t="inlineStr">
        <is>
          <t xml:space="preserve">Mazda</t>
        </is>
      </c>
      <c r="F18584" s="0" t="inlineStr">
        <is>
          <t xml:space="preserve">Mazda</t>
        </is>
      </c>
      <c r="G18584" s="0" t="s">
        <v>171</v>
      </c>
      <c r="H18584" s="5">
        <v>147.436400</v>
      </c>
    </row>
    <row r="18585" spans="1:9">
      <c r="A18585" s="22" t="str">
        <f>HYPERLINK("https://app.vivvix.com/360/KMI/IntelliDrive/ApplUI/Pages/CreativePages/CustomReportCreativeDetail.aspx?App=23&amp;ReportView=4&amp;Qid=1711279&amp;Row=18577&amp;Col=1","No Title Assigned - #15277732257")</f>
        <v/>
      </c>
      <c r="B18585" s="0" t="s">
        <v>24559</v>
      </c>
      <c r="C18585" s="0" t="s">
        <v>24560</v>
      </c>
      <c r="D18585" s="0" t="s">
        <v>24560</v>
      </c>
      <c r="E18585" s="0" t="inlineStr">
        <is>
          <t xml:space="preserve">Mazda</t>
        </is>
      </c>
      <c r="F18585" s="0" t="inlineStr">
        <is>
          <t xml:space="preserve">Mazda</t>
        </is>
      </c>
      <c r="G18585" s="0" t="s">
        <v>171</v>
      </c>
      <c r="H18585" s="5">
        <v>1950.605700</v>
      </c>
    </row>
    <row r="18586" spans="1:9">
      <c r="A18586" s="22" t="str">
        <f>HYPERLINK("https://app.vivvix.com/360/KMI/IntelliDrive/ApplUI/Pages/CreativePages/CustomReportCreativeDetail.aspx?App=23&amp;ReportView=4&amp;Qid=1711279&amp;Row=18578&amp;Col=1","No Title Assigned - #15277732597")</f>
        <v/>
      </c>
      <c r="B18586" s="0" t="s">
        <v>24561</v>
      </c>
      <c r="E18586" s="0" t="inlineStr">
        <is>
          <t xml:space="preserve">Mazda</t>
        </is>
      </c>
      <c r="F18586" s="0" t="inlineStr">
        <is>
          <t xml:space="preserve">Mazda</t>
        </is>
      </c>
      <c r="G18586" s="0" t="s">
        <v>171</v>
      </c>
      <c r="H18586" s="5">
        <v>15.075500</v>
      </c>
    </row>
    <row r="18587" spans="1:9">
      <c r="A18587" s="22" t="str">
        <f>HYPERLINK("https://app.vivvix.com/360/KMI/IntelliDrive/ApplUI/Pages/CreativePages/CustomReportCreativeDetail.aspx?App=23&amp;ReportView=4&amp;Qid=1711279&amp;Row=18579&amp;Col=1","No Title Assigned - #15277732614")</f>
        <v/>
      </c>
      <c r="B18587" s="0" t="s">
        <v>24562</v>
      </c>
      <c r="E18587" s="0" t="inlineStr">
        <is>
          <t xml:space="preserve">Mazda</t>
        </is>
      </c>
      <c r="F18587" s="0" t="inlineStr">
        <is>
          <t xml:space="preserve">Mazda</t>
        </is>
      </c>
      <c r="G18587" s="0" t="s">
        <v>171</v>
      </c>
      <c r="H18587" s="5">
        <v>36.956400</v>
      </c>
    </row>
    <row r="18588" spans="1:9">
      <c r="A18588" s="22" t="str">
        <f>HYPERLINK("https://app.vivvix.com/360/KMI/IntelliDrive/ApplUI/Pages/CreativePages/CustomReportCreativeDetail.aspx?App=23&amp;ReportView=4&amp;Qid=1711279&amp;Row=18580&amp;Col=1","No Title Assigned - #15277733043")</f>
        <v/>
      </c>
      <c r="B18588" s="0" t="s">
        <v>24563</v>
      </c>
      <c r="E18588" s="0" t="inlineStr">
        <is>
          <t xml:space="preserve">Mazda</t>
        </is>
      </c>
      <c r="F18588" s="0" t="inlineStr">
        <is>
          <t xml:space="preserve">Mazda</t>
        </is>
      </c>
      <c r="G18588" s="0" t="s">
        <v>171</v>
      </c>
      <c r="H18588" s="5">
        <v>625.964300</v>
      </c>
    </row>
    <row r="18589" spans="1:9">
      <c r="A18589" s="22" t="str">
        <f>HYPERLINK("https://app.vivvix.com/360/KMI/IntelliDrive/ApplUI/Pages/CreativePages/CustomReportCreativeDetail.aspx?App=23&amp;ReportView=4&amp;Qid=1711279&amp;Row=18581&amp;Col=1","No Title Assigned - #15277733210")</f>
        <v/>
      </c>
      <c r="B18589" s="0" t="s">
        <v>24564</v>
      </c>
      <c r="E18589" s="0" t="inlineStr">
        <is>
          <t xml:space="preserve">Mazda</t>
        </is>
      </c>
      <c r="F18589" s="0" t="inlineStr">
        <is>
          <t xml:space="preserve">Mazda</t>
        </is>
      </c>
      <c r="G18589" s="0" t="s">
        <v>171</v>
      </c>
      <c r="H18589" s="5">
        <v>25.391700</v>
      </c>
    </row>
    <row r="18590" spans="1:9">
      <c r="A18590" s="22" t="str">
        <f>HYPERLINK("https://app.vivvix.com/360/KMI/IntelliDrive/ApplUI/Pages/CreativePages/CustomReportCreativeDetail.aspx?App=23&amp;ReportView=4&amp;Qid=1711279&amp;Row=18582&amp;Col=1","No Title Assigned - #15277733310")</f>
        <v/>
      </c>
      <c r="B18590" s="0" t="s">
        <v>24565</v>
      </c>
      <c r="C18590" s="0" t="s">
        <v>24566</v>
      </c>
      <c r="D18590" s="0" t="s">
        <v>24566</v>
      </c>
      <c r="E18590" s="0" t="inlineStr">
        <is>
          <t xml:space="preserve">Mazda</t>
        </is>
      </c>
      <c r="F18590" s="0" t="inlineStr">
        <is>
          <t xml:space="preserve">Mazda</t>
        </is>
      </c>
      <c r="G18590" s="0" t="s">
        <v>171</v>
      </c>
      <c r="H18590" s="5">
        <v>5345.009200</v>
      </c>
    </row>
    <row r="18591" spans="1:9">
      <c r="A18591" s="22" t="str">
        <f>HYPERLINK("https://app.vivvix.com/360/KMI/IntelliDrive/ApplUI/Pages/CreativePages/CustomReportCreativeDetail.aspx?App=23&amp;ReportView=4&amp;Qid=1711279&amp;Row=18583&amp;Col=1","No Title Assigned - #15277733322")</f>
        <v/>
      </c>
      <c r="B18591" s="0" t="s">
        <v>24567</v>
      </c>
      <c r="C18591" s="0" t="s">
        <v>24568</v>
      </c>
      <c r="D18591" s="0" t="s">
        <v>24568</v>
      </c>
      <c r="E18591" s="0" t="inlineStr">
        <is>
          <t xml:space="preserve">Mazda</t>
        </is>
      </c>
      <c r="F18591" s="0" t="s">
        <v>13</v>
      </c>
      <c r="G18591" s="0" t="s">
        <v>49</v>
      </c>
      <c r="H18591" s="5">
        <v>741.450300</v>
      </c>
    </row>
    <row r="18592" spans="1:9">
      <c r="A18592" s="22" t="str">
        <f>HYPERLINK("https://app.vivvix.com/360/KMI/IntelliDrive/ApplUI/Pages/CreativePages/CustomReportCreativeDetail.aspx?App=23&amp;ReportView=4&amp;Qid=1711279&amp;Row=18584&amp;Col=1","No Title Assigned - #15277733691")</f>
        <v/>
      </c>
      <c r="B18592" s="0" t="s">
        <v>24569</v>
      </c>
      <c r="E18592" s="0" t="inlineStr">
        <is>
          <t xml:space="preserve">Mazda</t>
        </is>
      </c>
      <c r="F18592" s="0" t="inlineStr">
        <is>
          <t xml:space="preserve">Mazda</t>
        </is>
      </c>
      <c r="G18592" s="0" t="s">
        <v>171</v>
      </c>
      <c r="H18592" s="5">
        <v>1879.423500</v>
      </c>
    </row>
    <row r="18593" spans="1:9">
      <c r="A18593" s="22" t="str">
        <f>HYPERLINK("https://app.vivvix.com/360/KMI/IntelliDrive/ApplUI/Pages/CreativePages/CustomReportCreativeDetail.aspx?App=23&amp;ReportView=4&amp;Qid=1711279&amp;Row=18585&amp;Col=1","No Title Assigned - #15277733886")</f>
        <v/>
      </c>
      <c r="B18593" s="0" t="s">
        <v>24570</v>
      </c>
      <c r="E18593" s="0" t="inlineStr">
        <is>
          <t xml:space="preserve">Mazda</t>
        </is>
      </c>
      <c r="F18593" s="0" t="inlineStr">
        <is>
          <t xml:space="preserve">Mazda</t>
        </is>
      </c>
      <c r="G18593" s="0" t="s">
        <v>171</v>
      </c>
      <c r="H18593" s="5">
        <v>257.221800</v>
      </c>
    </row>
    <row r="18594" spans="1:9">
      <c r="A18594" s="22" t="str">
        <f>HYPERLINK("https://app.vivvix.com/360/KMI/IntelliDrive/ApplUI/Pages/CreativePages/CustomReportCreativeDetail.aspx?App=23&amp;ReportView=4&amp;Qid=1711279&amp;Row=18586&amp;Col=1","No Title Assigned - #15277734092")</f>
        <v/>
      </c>
      <c r="B18594" s="0" t="s">
        <v>24571</v>
      </c>
      <c r="E18594" s="0" t="inlineStr">
        <is>
          <t xml:space="preserve">Mazda</t>
        </is>
      </c>
      <c r="F18594" s="0" t="inlineStr">
        <is>
          <t xml:space="preserve">Mazda</t>
        </is>
      </c>
      <c r="G18594" s="0" t="s">
        <v>171</v>
      </c>
      <c r="H18594" s="5">
        <v>1.593800</v>
      </c>
    </row>
    <row r="18595" spans="1:9">
      <c r="A18595" s="22" t="str">
        <f>HYPERLINK("https://app.vivvix.com/360/KMI/IntelliDrive/ApplUI/Pages/CreativePages/CustomReportCreativeDetail.aspx?App=23&amp;ReportView=4&amp;Qid=1711279&amp;Row=18587&amp;Col=1","No Title Assigned - #15277734156")</f>
        <v/>
      </c>
      <c r="B18595" s="0" t="s">
        <v>24572</v>
      </c>
      <c r="E18595" s="0" t="inlineStr">
        <is>
          <t xml:space="preserve">Mazda</t>
        </is>
      </c>
      <c r="F18595" s="0" t="inlineStr">
        <is>
          <t xml:space="preserve">Mazda</t>
        </is>
      </c>
      <c r="G18595" s="0" t="s">
        <v>171</v>
      </c>
      <c r="H18595" s="5">
        <v>10012.621400</v>
      </c>
    </row>
    <row r="18596" spans="1:9">
      <c r="A18596" s="22" t="str">
        <f>HYPERLINK("https://app.vivvix.com/360/KMI/IntelliDrive/ApplUI/Pages/CreativePages/CustomReportCreativeDetail.aspx?App=23&amp;ReportView=4&amp;Qid=1711279&amp;Row=18588&amp;Col=1","No Title Assigned - #15277734196")</f>
        <v/>
      </c>
      <c r="B18596" s="0" t="s">
        <v>24573</v>
      </c>
      <c r="C18596" s="0" t="s">
        <v>24574</v>
      </c>
      <c r="D18596" s="0" t="s">
        <v>24574</v>
      </c>
      <c r="E18596" s="0" t="inlineStr">
        <is>
          <t xml:space="preserve">Mazda</t>
        </is>
      </c>
      <c r="F18596" s="0" t="inlineStr">
        <is>
          <t xml:space="preserve">Mazda</t>
        </is>
      </c>
      <c r="G18596" s="0" t="s">
        <v>171</v>
      </c>
      <c r="H18596" s="5">
        <v>1082.829400</v>
      </c>
    </row>
    <row r="18597" spans="1:9">
      <c r="A18597" s="22" t="str">
        <f>HYPERLINK("https://app.vivvix.com/360/KMI/IntelliDrive/ApplUI/Pages/CreativePages/CustomReportCreativeDetail.aspx?App=23&amp;ReportView=4&amp;Qid=1711279&amp;Row=18589&amp;Col=1","No Title Assigned - #15277734266")</f>
        <v/>
      </c>
      <c r="B18597" s="0" t="s">
        <v>24575</v>
      </c>
      <c r="C18597" s="0" t="s">
        <v>24576</v>
      </c>
      <c r="D18597" s="0" t="s">
        <v>24576</v>
      </c>
      <c r="E18597" s="0" t="inlineStr">
        <is>
          <t xml:space="preserve">Mazda</t>
        </is>
      </c>
      <c r="F18597" s="0" t="inlineStr">
        <is>
          <t xml:space="preserve">Mazda</t>
        </is>
      </c>
      <c r="G18597" s="0" t="s">
        <v>171</v>
      </c>
      <c r="H18597" s="5">
        <v>23505.065300</v>
      </c>
    </row>
    <row r="18598" spans="1:9">
      <c r="A18598" s="22" t="str">
        <f>HYPERLINK("https://app.vivvix.com/360/KMI/IntelliDrive/ApplUI/Pages/CreativePages/CustomReportCreativeDetail.aspx?App=23&amp;ReportView=4&amp;Qid=1711279&amp;Row=18590&amp;Col=1","No Title Assigned - #15277734410")</f>
        <v/>
      </c>
      <c r="B18598" s="0" t="s">
        <v>24577</v>
      </c>
      <c r="E18598" s="0" t="inlineStr">
        <is>
          <t xml:space="preserve">Mazda</t>
        </is>
      </c>
      <c r="F18598" s="0" t="inlineStr">
        <is>
          <t xml:space="preserve">Mazda</t>
        </is>
      </c>
      <c r="G18598" s="0" t="s">
        <v>171</v>
      </c>
      <c r="H18598" s="5">
        <v>14.106500</v>
      </c>
    </row>
    <row r="18599" spans="1:9">
      <c r="A18599" s="22" t="str">
        <f>HYPERLINK("https://app.vivvix.com/360/KMI/IntelliDrive/ApplUI/Pages/CreativePages/CustomReportCreativeDetail.aspx?App=23&amp;ReportView=4&amp;Qid=1711279&amp;Row=18591&amp;Col=1","No Title Assigned - #15277734540")</f>
        <v/>
      </c>
      <c r="B18599" s="0" t="s">
        <v>24578</v>
      </c>
      <c r="E18599" s="0" t="inlineStr">
        <is>
          <t xml:space="preserve">Mazda</t>
        </is>
      </c>
      <c r="F18599" s="0" t="inlineStr">
        <is>
          <t xml:space="preserve">Mazda</t>
        </is>
      </c>
      <c r="G18599" s="0" t="s">
        <v>171</v>
      </c>
      <c r="H18599" s="5">
        <v>19.788400</v>
      </c>
    </row>
    <row r="18600" spans="1:9">
      <c r="A18600" s="22" t="str">
        <f>HYPERLINK("https://app.vivvix.com/360/KMI/IntelliDrive/ApplUI/Pages/CreativePages/CustomReportCreativeDetail.aspx?App=23&amp;ReportView=4&amp;Qid=1711279&amp;Row=18592&amp;Col=1","No Title Assigned - #15277734572")</f>
        <v/>
      </c>
      <c r="B18600" s="0" t="s">
        <v>24579</v>
      </c>
      <c r="C18600" s="0" t="s">
        <v>24580</v>
      </c>
      <c r="D18600" s="0" t="s">
        <v>24580</v>
      </c>
      <c r="E18600" s="0" t="inlineStr">
        <is>
          <t xml:space="preserve">Mazda</t>
        </is>
      </c>
      <c r="F18600" s="0" t="inlineStr">
        <is>
          <t xml:space="preserve">Mazda</t>
        </is>
      </c>
      <c r="G18600" s="0" t="s">
        <v>171</v>
      </c>
      <c r="H18600" s="5">
        <v>1910.245300</v>
      </c>
    </row>
    <row r="18601" spans="1:9">
      <c r="A18601" s="22" t="str">
        <f>HYPERLINK("https://app.vivvix.com/360/KMI/IntelliDrive/ApplUI/Pages/CreativePages/CustomReportCreativeDetail.aspx?App=23&amp;ReportView=4&amp;Qid=1711279&amp;Row=18593&amp;Col=1","No Title Assigned - #15277734638")</f>
        <v/>
      </c>
      <c r="B18601" s="0" t="s">
        <v>24581</v>
      </c>
      <c r="E18601" s="0" t="inlineStr">
        <is>
          <t xml:space="preserve">Mazda</t>
        </is>
      </c>
      <c r="F18601" s="0" t="inlineStr">
        <is>
          <t xml:space="preserve">Mazda</t>
        </is>
      </c>
      <c r="G18601" s="0" t="s">
        <v>171</v>
      </c>
      <c r="H18601" s="5">
        <v>290.537600</v>
      </c>
    </row>
    <row r="18602" spans="1:9">
      <c r="A18602" s="22" t="str">
        <f>HYPERLINK("https://app.vivvix.com/360/KMI/IntelliDrive/ApplUI/Pages/CreativePages/CustomReportCreativeDetail.aspx?App=23&amp;ReportView=4&amp;Qid=1711279&amp;Row=18594&amp;Col=1","No Title Assigned - #15277734660")</f>
        <v/>
      </c>
      <c r="B18602" s="0" t="s">
        <v>24582</v>
      </c>
      <c r="E18602" s="0" t="inlineStr">
        <is>
          <t xml:space="preserve">Mazda</t>
        </is>
      </c>
      <c r="F18602" s="0" t="inlineStr">
        <is>
          <t xml:space="preserve">Mazda</t>
        </is>
      </c>
      <c r="G18602" s="0" t="s">
        <v>171</v>
      </c>
      <c r="H18602" s="5">
        <v>52.433700</v>
      </c>
    </row>
    <row r="18603" spans="1:9">
      <c r="A18603" s="22" t="str">
        <f>HYPERLINK("https://app.vivvix.com/360/KMI/IntelliDrive/ApplUI/Pages/CreativePages/CustomReportCreativeDetail.aspx?App=23&amp;ReportView=4&amp;Qid=1711279&amp;Row=18595&amp;Col=1","No Title Assigned - #15277734690")</f>
        <v/>
      </c>
      <c r="B18603" s="0" t="s">
        <v>24583</v>
      </c>
      <c r="E18603" s="0" t="inlineStr">
        <is>
          <t xml:space="preserve">Mazda</t>
        </is>
      </c>
      <c r="F18603" s="0" t="inlineStr">
        <is>
          <t xml:space="preserve">Mazda</t>
        </is>
      </c>
      <c r="G18603" s="0" t="s">
        <v>171</v>
      </c>
      <c r="H18603" s="5">
        <v>80.400100</v>
      </c>
    </row>
    <row r="18604" spans="1:9">
      <c r="A18604" s="22" t="str">
        <f>HYPERLINK("https://app.vivvix.com/360/KMI/IntelliDrive/ApplUI/Pages/CreativePages/CustomReportCreativeDetail.aspx?App=23&amp;ReportView=4&amp;Qid=1711279&amp;Row=18596&amp;Col=1","No Title Assigned - #15277734745")</f>
        <v/>
      </c>
      <c r="B18604" s="0" t="s">
        <v>24584</v>
      </c>
      <c r="E18604" s="0" t="inlineStr">
        <is>
          <t xml:space="preserve">Mazda</t>
        </is>
      </c>
      <c r="F18604" s="0" t="inlineStr">
        <is>
          <t xml:space="preserve">Mazda</t>
        </is>
      </c>
      <c r="G18604" s="0" t="s">
        <v>171</v>
      </c>
      <c r="H18604" s="5">
        <v>103.611300</v>
      </c>
    </row>
    <row r="18605" spans="1:9">
      <c r="A18605" s="22" t="str">
        <f>HYPERLINK("https://app.vivvix.com/360/KMI/IntelliDrive/ApplUI/Pages/CreativePages/CustomReportCreativeDetail.aspx?App=23&amp;ReportView=4&amp;Qid=1711279&amp;Row=18597&amp;Col=1","No Title Assigned - #15277734776")</f>
        <v/>
      </c>
      <c r="B18605" s="0" t="s">
        <v>24585</v>
      </c>
      <c r="E18605" s="0" t="inlineStr">
        <is>
          <t xml:space="preserve">Mazda</t>
        </is>
      </c>
      <c r="F18605" s="0" t="inlineStr">
        <is>
          <t xml:space="preserve">Mazda</t>
        </is>
      </c>
      <c r="G18605" s="0" t="s">
        <v>171</v>
      </c>
      <c r="H18605" s="5">
        <v>523.439900</v>
      </c>
    </row>
    <row r="18606" spans="1:9">
      <c r="A18606" s="22" t="str">
        <f>HYPERLINK("https://app.vivvix.com/360/KMI/IntelliDrive/ApplUI/Pages/CreativePages/CustomReportCreativeDetail.aspx?App=23&amp;ReportView=4&amp;Qid=1711279&amp;Row=18598&amp;Col=1","No Title Assigned - #15277734796")</f>
        <v/>
      </c>
      <c r="B18606" s="0" t="s">
        <v>24586</v>
      </c>
      <c r="E18606" s="0" t="inlineStr">
        <is>
          <t xml:space="preserve">Mazda</t>
        </is>
      </c>
      <c r="F18606" s="0" t="inlineStr">
        <is>
          <t xml:space="preserve">Mazda</t>
        </is>
      </c>
      <c r="G18606" s="0" t="s">
        <v>171</v>
      </c>
      <c r="H18606" s="5">
        <v>86.296400</v>
      </c>
    </row>
    <row r="18607" spans="1:9">
      <c r="A18607" s="22" t="str">
        <f>HYPERLINK("https://app.vivvix.com/360/KMI/IntelliDrive/ApplUI/Pages/CreativePages/CustomReportCreativeDetail.aspx?App=23&amp;ReportView=4&amp;Qid=1711279&amp;Row=18599&amp;Col=1","No Title Assigned - #15277734815")</f>
        <v/>
      </c>
      <c r="B18607" s="0" t="s">
        <v>24587</v>
      </c>
      <c r="E18607" s="0" t="inlineStr">
        <is>
          <t xml:space="preserve">Mazda</t>
        </is>
      </c>
      <c r="F18607" s="0" t="inlineStr">
        <is>
          <t xml:space="preserve">Mazda</t>
        </is>
      </c>
      <c r="G18607" s="0" t="s">
        <v>171</v>
      </c>
      <c r="H18607" s="5">
        <v>13361.693200</v>
      </c>
    </row>
    <row r="18608" spans="1:9">
      <c r="A18608" s="22" t="str">
        <f>HYPERLINK("https://app.vivvix.com/360/KMI/IntelliDrive/ApplUI/Pages/CreativePages/CustomReportCreativeDetail.aspx?App=23&amp;ReportView=4&amp;Qid=1711279&amp;Row=18600&amp;Col=1","No Title Assigned - #15277734816")</f>
        <v/>
      </c>
      <c r="B18608" s="0" t="s">
        <v>24588</v>
      </c>
      <c r="E18608" s="0" t="inlineStr">
        <is>
          <t xml:space="preserve">Mazda</t>
        </is>
      </c>
      <c r="F18608" s="0" t="inlineStr">
        <is>
          <t xml:space="preserve">Mazda</t>
        </is>
      </c>
      <c r="G18608" s="0" t="s">
        <v>171</v>
      </c>
      <c r="H18608" s="5">
        <v>23.370500</v>
      </c>
    </row>
    <row r="18609" spans="1:9">
      <c r="A18609" s="22" t="str">
        <f>HYPERLINK("https://app.vivvix.com/360/KMI/IntelliDrive/ApplUI/Pages/CreativePages/CustomReportCreativeDetail.aspx?App=23&amp;ReportView=4&amp;Qid=1711279&amp;Row=18601&amp;Col=1","No Title Assigned - #15277734819")</f>
        <v/>
      </c>
      <c r="B18609" s="0" t="s">
        <v>24589</v>
      </c>
      <c r="E18609" s="0" t="inlineStr">
        <is>
          <t xml:space="preserve">Mazda</t>
        </is>
      </c>
      <c r="F18609" s="0" t="inlineStr">
        <is>
          <t xml:space="preserve">Mazda</t>
        </is>
      </c>
      <c r="G18609" s="0" t="s">
        <v>171</v>
      </c>
      <c r="H18609" s="5">
        <v>581.303000</v>
      </c>
    </row>
    <row r="18610" spans="1:9">
      <c r="A18610" s="22" t="str">
        <f>HYPERLINK("https://app.vivvix.com/360/KMI/IntelliDrive/ApplUI/Pages/CreativePages/CustomReportCreativeDetail.aspx?App=23&amp;ReportView=4&amp;Qid=1711279&amp;Row=18602&amp;Col=1","No Title Assigned - #15277734820")</f>
        <v/>
      </c>
      <c r="B18610" s="0" t="s">
        <v>24590</v>
      </c>
      <c r="E18610" s="0" t="inlineStr">
        <is>
          <t xml:space="preserve">Mazda</t>
        </is>
      </c>
      <c r="F18610" s="0" t="inlineStr">
        <is>
          <t xml:space="preserve">Mazda</t>
        </is>
      </c>
      <c r="G18610" s="0" t="s">
        <v>171</v>
      </c>
      <c r="H18610" s="5">
        <v>98.570300</v>
      </c>
    </row>
    <row r="18611" spans="1:9">
      <c r="A18611" s="22" t="str">
        <f>HYPERLINK("https://app.vivvix.com/360/KMI/IntelliDrive/ApplUI/Pages/CreativePages/CustomReportCreativeDetail.aspx?App=23&amp;ReportView=4&amp;Qid=1711279&amp;Row=18603&amp;Col=1","No Title Assigned - #15277735175")</f>
        <v/>
      </c>
      <c r="B18611" s="0" t="s">
        <v>24591</v>
      </c>
      <c r="E18611" s="0" t="inlineStr">
        <is>
          <t xml:space="preserve">Mazda</t>
        </is>
      </c>
      <c r="F18611" s="0" t="inlineStr">
        <is>
          <t xml:space="preserve">Mazda</t>
        </is>
      </c>
      <c r="G18611" s="0" t="s">
        <v>171</v>
      </c>
      <c r="H18611" s="5">
        <v>603.851500</v>
      </c>
    </row>
    <row r="18612" spans="1:9">
      <c r="A18612" s="22" t="str">
        <f>HYPERLINK("https://app.vivvix.com/360/KMI/IntelliDrive/ApplUI/Pages/CreativePages/CustomReportCreativeDetail.aspx?App=23&amp;ReportView=4&amp;Qid=1711279&amp;Row=18604&amp;Col=1","No Title Assigned - #15277735380")</f>
        <v/>
      </c>
      <c r="B18612" s="0" t="s">
        <v>24592</v>
      </c>
      <c r="E18612" s="0" t="inlineStr">
        <is>
          <t xml:space="preserve">Mazda</t>
        </is>
      </c>
      <c r="F18612" s="0" t="inlineStr">
        <is>
          <t xml:space="preserve">Mazda</t>
        </is>
      </c>
      <c r="G18612" s="0" t="s">
        <v>171</v>
      </c>
      <c r="H18612" s="5">
        <v>73.364100</v>
      </c>
    </row>
    <row r="18613" spans="1:9">
      <c r="A18613" s="22" t="str">
        <f>HYPERLINK("https://app.vivvix.com/360/KMI/IntelliDrive/ApplUI/Pages/CreativePages/CustomReportCreativeDetail.aspx?App=23&amp;ReportView=4&amp;Qid=1711279&amp;Row=18605&amp;Col=1","No Title Assigned - #15277735381")</f>
        <v/>
      </c>
      <c r="B18613" s="0" t="s">
        <v>24593</v>
      </c>
      <c r="E18613" s="0" t="inlineStr">
        <is>
          <t xml:space="preserve">Mazda</t>
        </is>
      </c>
      <c r="F18613" s="0" t="inlineStr">
        <is>
          <t xml:space="preserve">Mazda</t>
        </is>
      </c>
      <c r="G18613" s="0" t="s">
        <v>171</v>
      </c>
      <c r="H18613" s="5">
        <v>73.364100</v>
      </c>
    </row>
    <row r="18614" spans="1:9">
      <c r="A18614" s="22" t="str">
        <f>HYPERLINK("https://app.vivvix.com/360/KMI/IntelliDrive/ApplUI/Pages/CreativePages/CustomReportCreativeDetail.aspx?App=23&amp;ReportView=4&amp;Qid=1711279&amp;Row=18606&amp;Col=1","No Title Assigned - #15277735412")</f>
        <v/>
      </c>
      <c r="B18614" s="0" t="s">
        <v>24594</v>
      </c>
      <c r="C18614" s="0" t="s">
        <v>24595</v>
      </c>
      <c r="D18614" s="0" t="s">
        <v>24595</v>
      </c>
      <c r="E18614" s="0" t="inlineStr">
        <is>
          <t xml:space="preserve">Mazda</t>
        </is>
      </c>
      <c r="F18614" s="0" t="inlineStr">
        <is>
          <t xml:space="preserve">Mazda</t>
        </is>
      </c>
      <c r="G18614" s="0" t="s">
        <v>171</v>
      </c>
      <c r="H18614" s="5">
        <v>581.718200</v>
      </c>
    </row>
    <row r="18615" spans="1:9">
      <c r="A18615" s="22" t="str">
        <f>HYPERLINK("https://app.vivvix.com/360/KMI/IntelliDrive/ApplUI/Pages/CreativePages/CustomReportCreativeDetail.aspx?App=23&amp;ReportView=4&amp;Qid=1711279&amp;Row=18607&amp;Col=1","No Title Assigned - #15277735842")</f>
        <v/>
      </c>
      <c r="B18615" s="0" t="s">
        <v>24596</v>
      </c>
      <c r="E18615" s="0" t="inlineStr">
        <is>
          <t xml:space="preserve">Mazda</t>
        </is>
      </c>
      <c r="F18615" s="0" t="inlineStr">
        <is>
          <t xml:space="preserve">Mazda</t>
        </is>
      </c>
      <c r="G18615" s="0" t="s">
        <v>171</v>
      </c>
      <c r="H18615" s="5">
        <v>5539.360700</v>
      </c>
    </row>
    <row r="18616" spans="1:9">
      <c r="A18616" s="22" t="str">
        <f>HYPERLINK("https://app.vivvix.com/360/KMI/IntelliDrive/ApplUI/Pages/CreativePages/CustomReportCreativeDetail.aspx?App=23&amp;ReportView=4&amp;Qid=1711279&amp;Row=18608&amp;Col=1","No Title Assigned - #15277736313")</f>
        <v/>
      </c>
      <c r="B18616" s="0" t="s">
        <v>24597</v>
      </c>
      <c r="E18616" s="0" t="inlineStr">
        <is>
          <t xml:space="preserve">Mazda</t>
        </is>
      </c>
      <c r="F18616" s="0" t="inlineStr">
        <is>
          <t xml:space="preserve">Mazda</t>
        </is>
      </c>
      <c r="G18616" s="0" t="s">
        <v>171</v>
      </c>
      <c r="H18616" s="5">
        <v>15.075500</v>
      </c>
    </row>
    <row r="18617" spans="1:9">
      <c r="A18617" s="22" t="str">
        <f>HYPERLINK("https://app.vivvix.com/360/KMI/IntelliDrive/ApplUI/Pages/CreativePages/CustomReportCreativeDetail.aspx?App=23&amp;ReportView=4&amp;Qid=1711279&amp;Row=18609&amp;Col=1","No Title Assigned - #15277736363")</f>
        <v/>
      </c>
      <c r="B18617" s="0" t="s">
        <v>24598</v>
      </c>
      <c r="E18617" s="0" t="inlineStr">
        <is>
          <t xml:space="preserve">Mazda</t>
        </is>
      </c>
      <c r="F18617" s="0" t="inlineStr">
        <is>
          <t xml:space="preserve">Mazda</t>
        </is>
      </c>
      <c r="G18617" s="0" t="s">
        <v>171</v>
      </c>
      <c r="H18617" s="5">
        <v>2710.720100</v>
      </c>
    </row>
    <row r="18618" spans="1:9">
      <c r="A18618" s="22" t="str">
        <f>HYPERLINK("https://app.vivvix.com/360/KMI/IntelliDrive/ApplUI/Pages/CreativePages/CustomReportCreativeDetail.aspx?App=23&amp;ReportView=4&amp;Qid=1711279&amp;Row=18610&amp;Col=1","No Title Assigned - #15277736637")</f>
        <v/>
      </c>
      <c r="B18618" s="0" t="s">
        <v>24599</v>
      </c>
      <c r="E18618" s="0" t="inlineStr">
        <is>
          <t xml:space="preserve">Mazda</t>
        </is>
      </c>
      <c r="F18618" s="0" t="inlineStr">
        <is>
          <t xml:space="preserve">Mazda</t>
        </is>
      </c>
      <c r="G18618" s="0" t="s">
        <v>171</v>
      </c>
      <c r="H18618" s="5">
        <v>43669.442500</v>
      </c>
    </row>
    <row r="18619" spans="1:9">
      <c r="A18619" s="22" t="str">
        <f>HYPERLINK("https://app.vivvix.com/360/KMI/IntelliDrive/ApplUI/Pages/CreativePages/CustomReportCreativeDetail.aspx?App=23&amp;ReportView=4&amp;Qid=1711279&amp;Row=18611&amp;Col=1","No Title Assigned - #15277737598")</f>
        <v/>
      </c>
      <c r="B18619" s="0" t="s">
        <v>24600</v>
      </c>
      <c r="E18619" s="0" t="inlineStr">
        <is>
          <t xml:space="preserve">Mazda</t>
        </is>
      </c>
      <c r="F18619" s="0" t="inlineStr">
        <is>
          <t xml:space="preserve">Mazda</t>
        </is>
      </c>
      <c r="G18619" s="0" t="s">
        <v>171</v>
      </c>
      <c r="H18619" s="5">
        <v>11.631300</v>
      </c>
    </row>
    <row r="18620" spans="1:9">
      <c r="A18620" s="22" t="str">
        <f>HYPERLINK("https://app.vivvix.com/360/KMI/IntelliDrive/ApplUI/Pages/CreativePages/CustomReportCreativeDetail.aspx?App=23&amp;ReportView=4&amp;Qid=1711279&amp;Row=18612&amp;Col=1","No Title Assigned - #15277738013")</f>
        <v/>
      </c>
      <c r="B18620" s="0" t="s">
        <v>24601</v>
      </c>
      <c r="E18620" s="0" t="inlineStr">
        <is>
          <t xml:space="preserve">Mazda</t>
        </is>
      </c>
      <c r="F18620" s="0" t="inlineStr">
        <is>
          <t xml:space="preserve">Mazda</t>
        </is>
      </c>
      <c r="G18620" s="0" t="s">
        <v>171</v>
      </c>
      <c r="H18620" s="5">
        <v>502.530100</v>
      </c>
    </row>
    <row r="18621" spans="1:9">
      <c r="A18621" s="22" t="str">
        <f>HYPERLINK("https://app.vivvix.com/360/KMI/IntelliDrive/ApplUI/Pages/CreativePages/CustomReportCreativeDetail.aspx?App=23&amp;ReportView=4&amp;Qid=1711279&amp;Row=18613&amp;Col=1","No Title Assigned - #15277738222")</f>
        <v/>
      </c>
      <c r="B18621" s="0" t="s">
        <v>24602</v>
      </c>
      <c r="E18621" s="0" t="inlineStr">
        <is>
          <t xml:space="preserve">Mazda</t>
        </is>
      </c>
      <c r="F18621" s="0" t="inlineStr">
        <is>
          <t xml:space="preserve">Mazda</t>
        </is>
      </c>
      <c r="G18621" s="0" t="s">
        <v>171</v>
      </c>
      <c r="H18621" s="5">
        <v>15.927600</v>
      </c>
    </row>
    <row r="18622" spans="1:9">
      <c r="A18622" s="22" t="str">
        <f>HYPERLINK("https://app.vivvix.com/360/KMI/IntelliDrive/ApplUI/Pages/CreativePages/CustomReportCreativeDetail.aspx?App=23&amp;ReportView=4&amp;Qid=1711279&amp;Row=18614&amp;Col=1","No Title Assigned - #15277738316")</f>
        <v/>
      </c>
      <c r="B18622" s="0" t="s">
        <v>24603</v>
      </c>
      <c r="E18622" s="0" t="inlineStr">
        <is>
          <t xml:space="preserve">Mazda</t>
        </is>
      </c>
      <c r="F18622" s="0" t="inlineStr">
        <is>
          <t xml:space="preserve">Mazda</t>
        </is>
      </c>
      <c r="G18622" s="0" t="s">
        <v>171</v>
      </c>
      <c r="H18622" s="5">
        <v>325.950600</v>
      </c>
    </row>
    <row r="18623" spans="1:9">
      <c r="A18623" s="22" t="str">
        <f>HYPERLINK("https://app.vivvix.com/360/KMI/IntelliDrive/ApplUI/Pages/CreativePages/CustomReportCreativeDetail.aspx?App=23&amp;ReportView=4&amp;Qid=1711279&amp;Row=18615&amp;Col=1","No Title Assigned - #15277738355")</f>
        <v/>
      </c>
      <c r="B18623" s="0" t="s">
        <v>24604</v>
      </c>
      <c r="E18623" s="0" t="inlineStr">
        <is>
          <t xml:space="preserve">Mazda</t>
        </is>
      </c>
      <c r="F18623" s="0" t="inlineStr">
        <is>
          <t xml:space="preserve">Mazda</t>
        </is>
      </c>
      <c r="G18623" s="0" t="s">
        <v>171</v>
      </c>
      <c r="H18623" s="5">
        <v>3789.722700</v>
      </c>
    </row>
    <row r="18624" spans="1:9">
      <c r="A18624" s="22" t="str">
        <f>HYPERLINK("https://app.vivvix.com/360/KMI/IntelliDrive/ApplUI/Pages/CreativePages/CustomReportCreativeDetail.aspx?App=23&amp;ReportView=4&amp;Qid=1711279&amp;Row=18616&amp;Col=1","No Title Assigned - #15277739926")</f>
        <v/>
      </c>
      <c r="B18624" s="0" t="s">
        <v>24605</v>
      </c>
      <c r="E18624" s="0" t="inlineStr">
        <is>
          <t xml:space="preserve">Mazda</t>
        </is>
      </c>
      <c r="F18624" s="0" t="inlineStr">
        <is>
          <t xml:space="preserve">Mazda</t>
        </is>
      </c>
      <c r="G18624" s="0" t="s">
        <v>171</v>
      </c>
      <c r="H18624" s="5">
        <v>1445.477900</v>
      </c>
    </row>
    <row r="18625" spans="1:9">
      <c r="A18625" s="22" t="str">
        <f>HYPERLINK("https://app.vivvix.com/360/KMI/IntelliDrive/ApplUI/Pages/CreativePages/CustomReportCreativeDetail.aspx?App=23&amp;ReportView=4&amp;Qid=1711279&amp;Row=18617&amp;Col=1","No Title Assigned - #15277739926")</f>
        <v/>
      </c>
      <c r="B18625" s="0" t="s">
        <v>24605</v>
      </c>
      <c r="E18625" s="0" t="inlineStr">
        <is>
          <t xml:space="preserve">Mazda</t>
        </is>
      </c>
      <c r="F18625" s="0" t="inlineStr">
        <is>
          <t xml:space="preserve">Mazda</t>
        </is>
      </c>
      <c r="G18625" s="0" t="s">
        <v>171</v>
      </c>
      <c r="H18625" s="5">
        <v>6.136900</v>
      </c>
    </row>
    <row r="18626" spans="1:9">
      <c r="A18626" s="22" t="str">
        <f>HYPERLINK("https://app.vivvix.com/360/KMI/IntelliDrive/ApplUI/Pages/CreativePages/CustomReportCreativeDetail.aspx?App=23&amp;ReportView=4&amp;Qid=1711279&amp;Row=18618&amp;Col=1","No Title Assigned - #15277739988")</f>
        <v/>
      </c>
      <c r="B18626" s="0" t="s">
        <v>24606</v>
      </c>
      <c r="E18626" s="0" t="inlineStr">
        <is>
          <t xml:space="preserve">Mazda</t>
        </is>
      </c>
      <c r="F18626" s="0" t="inlineStr">
        <is>
          <t xml:space="preserve">Mazda</t>
        </is>
      </c>
      <c r="G18626" s="0" t="s">
        <v>171</v>
      </c>
      <c r="H18626" s="5">
        <v>73.364100</v>
      </c>
    </row>
    <row r="18627" spans="1:9">
      <c r="A18627" s="22" t="str">
        <f>HYPERLINK("https://app.vivvix.com/360/KMI/IntelliDrive/ApplUI/Pages/CreativePages/CustomReportCreativeDetail.aspx?App=23&amp;ReportView=4&amp;Qid=1711279&amp;Row=18619&amp;Col=1","No Title Assigned - #15277740043")</f>
        <v/>
      </c>
      <c r="B18627" s="0" t="s">
        <v>24607</v>
      </c>
      <c r="E18627" s="0" t="inlineStr">
        <is>
          <t xml:space="preserve">Mazda</t>
        </is>
      </c>
      <c r="F18627" s="0" t="inlineStr">
        <is>
          <t xml:space="preserve">Mazda</t>
        </is>
      </c>
      <c r="G18627" s="0" t="s">
        <v>171</v>
      </c>
      <c r="H18627" s="5">
        <v>35173.350100</v>
      </c>
    </row>
    <row r="18628" spans="1:9">
      <c r="A18628" s="22" t="str">
        <f>HYPERLINK("https://app.vivvix.com/360/KMI/IntelliDrive/ApplUI/Pages/CreativePages/CustomReportCreativeDetail.aspx?App=23&amp;ReportView=4&amp;Qid=1711279&amp;Row=18620&amp;Col=1","No Title Assigned - #15277740044")</f>
        <v/>
      </c>
      <c r="B18628" s="0" t="s">
        <v>24608</v>
      </c>
      <c r="E18628" s="0" t="inlineStr">
        <is>
          <t xml:space="preserve">Mazda</t>
        </is>
      </c>
      <c r="F18628" s="0" t="inlineStr">
        <is>
          <t xml:space="preserve">Mazda</t>
        </is>
      </c>
      <c r="G18628" s="0" t="s">
        <v>171</v>
      </c>
      <c r="H18628" s="5">
        <v>5211.068800</v>
      </c>
    </row>
    <row r="18629" spans="1:9">
      <c r="A18629" s="22" t="str">
        <f>HYPERLINK("https://app.vivvix.com/360/KMI/IntelliDrive/ApplUI/Pages/CreativePages/CustomReportCreativeDetail.aspx?App=23&amp;ReportView=4&amp;Qid=1711279&amp;Row=18621&amp;Col=1","No Title Assigned - #15277740478")</f>
        <v/>
      </c>
      <c r="B18629" s="0" t="s">
        <v>24609</v>
      </c>
      <c r="C18629" s="0" t="s">
        <v>24610</v>
      </c>
      <c r="D18629" s="0" t="s">
        <v>24610</v>
      </c>
      <c r="E18629" s="0" t="inlineStr">
        <is>
          <t xml:space="preserve">Mazda</t>
        </is>
      </c>
      <c r="F18629" s="0" t="s">
        <v>13</v>
      </c>
      <c r="G18629" s="0" t="s">
        <v>49</v>
      </c>
      <c r="H18629" s="5">
        <v>77.682700</v>
      </c>
    </row>
    <row r="18630" spans="1:9">
      <c r="A18630" s="22" t="str">
        <f>HYPERLINK("https://app.vivvix.com/360/KMI/IntelliDrive/ApplUI/Pages/CreativePages/CustomReportCreativeDetail.aspx?App=23&amp;ReportView=4&amp;Qid=1711279&amp;Row=18622&amp;Col=1","No Title Assigned - #15277740972")</f>
        <v/>
      </c>
      <c r="B18630" s="0" t="s">
        <v>24611</v>
      </c>
      <c r="E18630" s="0" t="inlineStr">
        <is>
          <t xml:space="preserve">Mazda</t>
        </is>
      </c>
      <c r="F18630" s="0" t="inlineStr">
        <is>
          <t xml:space="preserve">Mazda</t>
        </is>
      </c>
      <c r="G18630" s="0" t="s">
        <v>171</v>
      </c>
      <c r="H18630" s="5">
        <v>172.372500</v>
      </c>
    </row>
    <row r="18631" spans="1:9">
      <c r="A18631" s="22" t="str">
        <f>HYPERLINK("https://app.vivvix.com/360/KMI/IntelliDrive/ApplUI/Pages/CreativePages/CustomReportCreativeDetail.aspx?App=23&amp;ReportView=4&amp;Qid=1711279&amp;Row=18623&amp;Col=1","No Title Assigned - #15277741218")</f>
        <v/>
      </c>
      <c r="B18631" s="0" t="s">
        <v>24612</v>
      </c>
      <c r="E18631" s="0" t="inlineStr">
        <is>
          <t xml:space="preserve">Mazda</t>
        </is>
      </c>
      <c r="F18631" s="0" t="inlineStr">
        <is>
          <t xml:space="preserve">Mazda</t>
        </is>
      </c>
      <c r="G18631" s="0" t="s">
        <v>171</v>
      </c>
      <c r="H18631" s="5">
        <v>81.787900</v>
      </c>
    </row>
    <row r="18632" spans="1:9">
      <c r="A18632" s="22" t="str">
        <f>HYPERLINK("https://app.vivvix.com/360/KMI/IntelliDrive/ApplUI/Pages/CreativePages/CustomReportCreativeDetail.aspx?App=23&amp;ReportView=4&amp;Qid=1711279&amp;Row=18624&amp;Col=1","No Title Assigned - #15277742740")</f>
        <v/>
      </c>
      <c r="B18632" s="0" t="s">
        <v>24613</v>
      </c>
      <c r="E18632" s="0" t="inlineStr">
        <is>
          <t xml:space="preserve">Mazda</t>
        </is>
      </c>
      <c r="F18632" s="0" t="inlineStr">
        <is>
          <t xml:space="preserve">Mazda</t>
        </is>
      </c>
      <c r="G18632" s="0" t="s">
        <v>171</v>
      </c>
      <c r="H18632" s="5">
        <v>116.087700</v>
      </c>
    </row>
    <row r="18633" spans="1:9">
      <c r="A18633" s="22" t="str">
        <f>HYPERLINK("https://app.vivvix.com/360/KMI/IntelliDrive/ApplUI/Pages/CreativePages/CustomReportCreativeDetail.aspx?App=23&amp;ReportView=4&amp;Qid=1711279&amp;Row=18625&amp;Col=1","No Title Assigned - #15277751203")</f>
        <v/>
      </c>
      <c r="B18633" s="0" t="s">
        <v>24614</v>
      </c>
      <c r="E18633" s="0" t="inlineStr">
        <is>
          <t xml:space="preserve">Mazda</t>
        </is>
      </c>
      <c r="F18633" s="0" t="inlineStr">
        <is>
          <t xml:space="preserve">Mazda</t>
        </is>
      </c>
      <c r="G18633" s="0" t="s">
        <v>171</v>
      </c>
      <c r="H18633" s="5">
        <v>9.581500</v>
      </c>
    </row>
    <row r="18634" spans="1:9">
      <c r="A18634" s="22" t="str">
        <f>HYPERLINK("https://app.vivvix.com/360/KMI/IntelliDrive/ApplUI/Pages/CreativePages/CustomReportCreativeDetail.aspx?App=23&amp;ReportView=4&amp;Qid=1711279&amp;Row=18626&amp;Col=1","No Title Assigned - #15277752194")</f>
        <v/>
      </c>
      <c r="B18634" s="0" t="s">
        <v>24615</v>
      </c>
      <c r="E18634" s="0" t="inlineStr">
        <is>
          <t xml:space="preserve">Mazda</t>
        </is>
      </c>
      <c r="F18634" s="0" t="inlineStr">
        <is>
          <t xml:space="preserve">Mazda</t>
        </is>
      </c>
      <c r="G18634" s="0" t="s">
        <v>171</v>
      </c>
      <c r="H18634" s="5">
        <v>72.685200</v>
      </c>
    </row>
    <row r="18635" spans="1:9">
      <c r="A18635" s="22" t="str">
        <f>HYPERLINK("https://app.vivvix.com/360/KMI/IntelliDrive/ApplUI/Pages/CreativePages/CustomReportCreativeDetail.aspx?App=23&amp;ReportView=4&amp;Qid=1711279&amp;Row=18627&amp;Col=1","No Title Assigned - #15277752457")</f>
        <v/>
      </c>
      <c r="B18635" s="0" t="s">
        <v>24616</v>
      </c>
      <c r="E18635" s="0" t="inlineStr">
        <is>
          <t xml:space="preserve">Mazda</t>
        </is>
      </c>
      <c r="F18635" s="0" t="inlineStr">
        <is>
          <t xml:space="preserve">Mazda</t>
        </is>
      </c>
      <c r="G18635" s="0" t="s">
        <v>171</v>
      </c>
      <c r="H18635" s="5">
        <v>1879.423500</v>
      </c>
    </row>
    <row r="18636" spans="1:9">
      <c r="A18636" s="22" t="str">
        <f>HYPERLINK("https://app.vivvix.com/360/KMI/IntelliDrive/ApplUI/Pages/CreativePages/CustomReportCreativeDetail.aspx?App=23&amp;ReportView=4&amp;Qid=1711279&amp;Row=18628&amp;Col=1","No Title Assigned - #15277761792")</f>
        <v/>
      </c>
      <c r="B18636" s="0" t="s">
        <v>24617</v>
      </c>
      <c r="C18636" s="0" t="s">
        <v>24618</v>
      </c>
      <c r="D18636" s="0" t="s">
        <v>6404</v>
      </c>
      <c r="E18636" s="0" t="inlineStr">
        <is>
          <t xml:space="preserve">Mazda</t>
        </is>
      </c>
      <c r="F18636" s="0" t="s">
        <v>13</v>
      </c>
      <c r="G18636" s="0" t="s">
        <v>49</v>
      </c>
      <c r="H18636" s="5">
        <v>38.688600</v>
      </c>
    </row>
    <row r="18637" spans="1:9">
      <c r="A18637" s="22" t="str">
        <f>HYPERLINK("https://app.vivvix.com/360/KMI/IntelliDrive/ApplUI/Pages/CreativePages/CustomReportCreativeDetail.aspx?App=23&amp;ReportView=4&amp;Qid=1711279&amp;Row=18629&amp;Col=1","No Title Assigned - #15277767952")</f>
        <v/>
      </c>
      <c r="B18637" s="0" t="s">
        <v>24619</v>
      </c>
      <c r="C18637" s="0" t="s">
        <v>24620</v>
      </c>
      <c r="D18637" s="0" t="s">
        <v>24620</v>
      </c>
      <c r="E18637" s="0" t="inlineStr">
        <is>
          <t xml:space="preserve">Mazda</t>
        </is>
      </c>
      <c r="F18637" s="0" t="s">
        <v>13</v>
      </c>
      <c r="G18637" s="0" t="s">
        <v>49</v>
      </c>
      <c r="H18637" s="5">
        <v>11.227500</v>
      </c>
    </row>
    <row r="18638" spans="1:9">
      <c r="A18638" s="22" t="str">
        <f>HYPERLINK("https://app.vivvix.com/360/KMI/IntelliDrive/ApplUI/Pages/CreativePages/CustomReportCreativeDetail.aspx?App=23&amp;ReportView=4&amp;Qid=1711279&amp;Row=18630&amp;Col=1","No Title Assigned - #15277770314")</f>
        <v/>
      </c>
      <c r="B18638" s="0" t="s">
        <v>24621</v>
      </c>
      <c r="E18638" s="0" t="inlineStr">
        <is>
          <t xml:space="preserve">Mazda</t>
        </is>
      </c>
      <c r="F18638" s="0" t="s">
        <v>204</v>
      </c>
      <c r="G18638" s="0" t="s">
        <v>205</v>
      </c>
      <c r="H18638" s="5">
        <v>1179.818400</v>
      </c>
    </row>
    <row r="18639" spans="1:9">
      <c r="A18639" s="22" t="str">
        <f>HYPERLINK("https://app.vivvix.com/360/KMI/IntelliDrive/ApplUI/Pages/CreativePages/CustomReportCreativeDetail.aspx?App=23&amp;ReportView=4&amp;Qid=1711279&amp;Row=18631&amp;Col=1","No Title Assigned - #15277772306")</f>
        <v/>
      </c>
      <c r="B18639" s="0" t="s">
        <v>24622</v>
      </c>
      <c r="E18639" s="0" t="inlineStr">
        <is>
          <t xml:space="preserve">Mazda</t>
        </is>
      </c>
      <c r="F18639" s="0" t="inlineStr">
        <is>
          <t xml:space="preserve">Mazda</t>
        </is>
      </c>
      <c r="G18639" s="0" t="s">
        <v>171</v>
      </c>
      <c r="H18639" s="5">
        <v>12.159500</v>
      </c>
    </row>
    <row r="18640" spans="1:9">
      <c r="A18640" s="22" t="str">
        <f>HYPERLINK("https://app.vivvix.com/360/KMI/IntelliDrive/ApplUI/Pages/CreativePages/CustomReportCreativeDetail.aspx?App=23&amp;ReportView=4&amp;Qid=1711279&amp;Row=18632&amp;Col=1","No Title Assigned - #15277782477")</f>
        <v/>
      </c>
      <c r="B18640" s="0" t="s">
        <v>24623</v>
      </c>
      <c r="C18640" s="0" t="s">
        <v>24624</v>
      </c>
      <c r="D18640" s="0" t="s">
        <v>21265</v>
      </c>
      <c r="E18640" s="0" t="inlineStr">
        <is>
          <t xml:space="preserve">Mazda</t>
        </is>
      </c>
      <c r="F18640" s="0" t="s">
        <v>13</v>
      </c>
      <c r="G18640" s="0" t="s">
        <v>49</v>
      </c>
      <c r="H18640" s="5">
        <v>710.703000</v>
      </c>
    </row>
    <row r="18641" spans="1:9">
      <c r="A18641" s="22" t="str">
        <f>HYPERLINK("https://app.vivvix.com/360/KMI/IntelliDrive/ApplUI/Pages/CreativePages/CustomReportCreativeDetail.aspx?App=23&amp;ReportView=4&amp;Qid=1711279&amp;Row=18633&amp;Col=1","No Title Assigned - #15277784995")</f>
        <v/>
      </c>
      <c r="B18641" s="0" t="s">
        <v>24625</v>
      </c>
      <c r="C18641" s="0" t="s">
        <v>24626</v>
      </c>
      <c r="D18641" s="0" t="s">
        <v>24626</v>
      </c>
      <c r="E18641" s="0" t="inlineStr">
        <is>
          <t xml:space="preserve">Mazda</t>
        </is>
      </c>
      <c r="F18641" s="0" t="s">
        <v>13</v>
      </c>
      <c r="G18641" s="0" t="s">
        <v>49</v>
      </c>
      <c r="H18641" s="5">
        <v>55.947700</v>
      </c>
    </row>
    <row r="18642" spans="1:9">
      <c r="A18642" s="22" t="str">
        <f>HYPERLINK("https://app.vivvix.com/360/KMI/IntelliDrive/ApplUI/Pages/CreativePages/CustomReportCreativeDetail.aspx?App=23&amp;ReportView=4&amp;Qid=1711279&amp;Row=18634&amp;Col=1","No Title Assigned - #15277785520")</f>
        <v/>
      </c>
      <c r="B18642" s="0" t="s">
        <v>24627</v>
      </c>
      <c r="C18642" s="0" t="s">
        <v>24628</v>
      </c>
      <c r="D18642" s="0" t="s">
        <v>24628</v>
      </c>
      <c r="E18642" s="0" t="inlineStr">
        <is>
          <t xml:space="preserve">Mazda</t>
        </is>
      </c>
      <c r="F18642" s="0" t="s">
        <v>28</v>
      </c>
      <c r="G18642" s="0" t="s">
        <v>29</v>
      </c>
      <c r="H18642" s="5">
        <v>667.621600</v>
      </c>
    </row>
    <row r="18643" spans="1:9">
      <c r="A18643" s="22" t="str">
        <f>HYPERLINK("https://app.vivvix.com/360/KMI/IntelliDrive/ApplUI/Pages/CreativePages/CustomReportCreativeDetail.aspx?App=23&amp;ReportView=4&amp;Qid=1711279&amp;Row=18635&amp;Col=1","No Title Assigned - #15277785625")</f>
        <v/>
      </c>
      <c r="B18643" s="0" t="s">
        <v>24629</v>
      </c>
      <c r="C18643" s="0" t="s">
        <v>24630</v>
      </c>
      <c r="D18643" s="0" t="s">
        <v>24630</v>
      </c>
      <c r="E18643" s="0" t="inlineStr">
        <is>
          <t xml:space="preserve">Mazda</t>
        </is>
      </c>
      <c r="F18643" s="0" t="s">
        <v>13</v>
      </c>
      <c r="G18643" s="0" t="s">
        <v>49</v>
      </c>
      <c r="H18643" s="5">
        <v>301.790200</v>
      </c>
    </row>
    <row r="18644" spans="1:9">
      <c r="A18644" s="22" t="str">
        <f>HYPERLINK("https://app.vivvix.com/360/KMI/IntelliDrive/ApplUI/Pages/CreativePages/CustomReportCreativeDetail.aspx?App=23&amp;ReportView=4&amp;Qid=1711279&amp;Row=18636&amp;Col=1","No Title Assigned - #15277785627")</f>
        <v/>
      </c>
      <c r="B18644" s="0" t="s">
        <v>24631</v>
      </c>
      <c r="C18644" s="0" t="s">
        <v>24632</v>
      </c>
      <c r="D18644" s="0" t="s">
        <v>24632</v>
      </c>
      <c r="E18644" s="0" t="inlineStr">
        <is>
          <t xml:space="preserve">Mazda</t>
        </is>
      </c>
      <c r="F18644" s="0" t="s">
        <v>13</v>
      </c>
      <c r="G18644" s="0" t="s">
        <v>49</v>
      </c>
      <c r="H18644" s="5">
        <v>301.790200</v>
      </c>
    </row>
    <row r="18645" spans="1:9">
      <c r="A18645" s="22" t="str">
        <f>HYPERLINK("https://app.vivvix.com/360/KMI/IntelliDrive/ApplUI/Pages/CreativePages/CustomReportCreativeDetail.aspx?App=23&amp;ReportView=4&amp;Qid=1711279&amp;Row=18637&amp;Col=1","No Title Assigned - #15277788623")</f>
        <v/>
      </c>
      <c r="B18645" s="0" t="s">
        <v>24633</v>
      </c>
      <c r="C18645" s="0" t="s">
        <v>24634</v>
      </c>
      <c r="D18645" s="0" t="s">
        <v>4938</v>
      </c>
      <c r="E18645" s="0" t="inlineStr">
        <is>
          <t xml:space="preserve">Mazda</t>
        </is>
      </c>
      <c r="F18645" s="0" t="s">
        <v>13</v>
      </c>
      <c r="G18645" s="0" t="s">
        <v>49</v>
      </c>
      <c r="H18645" s="5">
        <v>69.545900</v>
      </c>
    </row>
    <row r="18646" spans="1:9">
      <c r="A18646" s="22" t="str">
        <f>HYPERLINK("https://app.vivvix.com/360/KMI/IntelliDrive/ApplUI/Pages/CreativePages/CustomReportCreativeDetail.aspx?App=23&amp;ReportView=4&amp;Qid=1711279&amp;Row=18638&amp;Col=1","No Title Assigned - #15277790416")</f>
        <v/>
      </c>
      <c r="B18646" s="0" t="s">
        <v>24635</v>
      </c>
      <c r="C18646" s="0" t="s">
        <v>24636</v>
      </c>
      <c r="D18646" s="0" t="s">
        <v>6183</v>
      </c>
      <c r="E18646" s="0" t="inlineStr">
        <is>
          <t xml:space="preserve">Mazda</t>
        </is>
      </c>
      <c r="F18646" s="0" t="s">
        <v>13</v>
      </c>
      <c r="G18646" s="0" t="s">
        <v>49</v>
      </c>
      <c r="H18646" s="5">
        <v>92.271400</v>
      </c>
    </row>
    <row r="18647" spans="1:9">
      <c r="A18647" s="22" t="str">
        <f>HYPERLINK("https://app.vivvix.com/360/KMI/IntelliDrive/ApplUI/Pages/CreativePages/CustomReportCreativeDetail.aspx?App=23&amp;ReportView=4&amp;Qid=1711279&amp;Row=18639&amp;Col=1","No Title Assigned - #15277793554")</f>
        <v/>
      </c>
      <c r="B18647" s="0" t="s">
        <v>24637</v>
      </c>
      <c r="E18647" s="0" t="inlineStr">
        <is>
          <t xml:space="preserve">Mazda</t>
        </is>
      </c>
      <c r="F18647" s="0" t="inlineStr">
        <is>
          <t xml:space="preserve">Mazda</t>
        </is>
      </c>
      <c r="G18647" s="0" t="s">
        <v>171</v>
      </c>
      <c r="H18647" s="5">
        <v>1457.724400</v>
      </c>
    </row>
    <row r="18648" spans="1:9">
      <c r="A18648" s="22" t="str">
        <f>HYPERLINK("https://app.vivvix.com/360/KMI/IntelliDrive/ApplUI/Pages/CreativePages/CustomReportCreativeDetail.aspx?App=23&amp;ReportView=4&amp;Qid=1711279&amp;Row=18640&amp;Col=1","No Title Assigned - #15277794399")</f>
        <v/>
      </c>
      <c r="B18648" s="0" t="s">
        <v>24638</v>
      </c>
      <c r="E18648" s="0" t="inlineStr">
        <is>
          <t xml:space="preserve">Mazda</t>
        </is>
      </c>
      <c r="F18648" s="0" t="inlineStr">
        <is>
          <t xml:space="preserve">Mazda</t>
        </is>
      </c>
      <c r="G18648" s="0" t="s">
        <v>171</v>
      </c>
      <c r="H18648" s="5">
        <v>4383.333100</v>
      </c>
    </row>
    <row r="18649" spans="1:9">
      <c r="A18649" s="22" t="str">
        <f>HYPERLINK("https://app.vivvix.com/360/KMI/IntelliDrive/ApplUI/Pages/CreativePages/CustomReportCreativeDetail.aspx?App=23&amp;ReportView=4&amp;Qid=1711279&amp;Row=18641&amp;Col=1","No Title Assigned - #15277795905")</f>
        <v/>
      </c>
      <c r="B18649" s="0" t="s">
        <v>24639</v>
      </c>
      <c r="E18649" s="0" t="inlineStr">
        <is>
          <t xml:space="preserve">Mazda</t>
        </is>
      </c>
      <c r="F18649" s="0" t="inlineStr">
        <is>
          <t xml:space="preserve">Mazda</t>
        </is>
      </c>
      <c r="G18649" s="0" t="s">
        <v>171</v>
      </c>
      <c r="H18649" s="5">
        <v>301.941000</v>
      </c>
    </row>
    <row r="18650" spans="1:9">
      <c r="A18650" s="22" t="str">
        <f>HYPERLINK("https://app.vivvix.com/360/KMI/IntelliDrive/ApplUI/Pages/CreativePages/CustomReportCreativeDetail.aspx?App=23&amp;ReportView=4&amp;Qid=1711279&amp;Row=18642&amp;Col=1","No Title Assigned - #15277796987")</f>
        <v/>
      </c>
      <c r="B18650" s="0" t="s">
        <v>24640</v>
      </c>
      <c r="E18650" s="0" t="inlineStr">
        <is>
          <t xml:space="preserve">Mazda</t>
        </is>
      </c>
      <c r="F18650" s="0" t="s">
        <v>21</v>
      </c>
      <c r="G18650" s="0" t="s">
        <v>22</v>
      </c>
      <c r="H18650" s="5">
        <v>813.353500</v>
      </c>
    </row>
    <row r="18651" spans="1:9">
      <c r="A18651" s="22" t="str">
        <f>HYPERLINK("https://app.vivvix.com/360/KMI/IntelliDrive/ApplUI/Pages/CreativePages/CustomReportCreativeDetail.aspx?App=23&amp;ReportView=4&amp;Qid=1711279&amp;Row=18643&amp;Col=1","No Title Assigned - #15277797626")</f>
        <v/>
      </c>
      <c r="B18651" s="0" t="s">
        <v>24641</v>
      </c>
      <c r="E18651" s="0" t="inlineStr">
        <is>
          <t xml:space="preserve">Mazda</t>
        </is>
      </c>
      <c r="F18651" s="0" t="inlineStr">
        <is>
          <t xml:space="preserve">Mazda</t>
        </is>
      </c>
      <c r="G18651" s="0" t="s">
        <v>171</v>
      </c>
      <c r="H18651" s="5">
        <v>37300.140300</v>
      </c>
    </row>
    <row r="18652" spans="1:9">
      <c r="A18652" s="22" t="str">
        <f>HYPERLINK("https://app.vivvix.com/360/KMI/IntelliDrive/ApplUI/Pages/CreativePages/CustomReportCreativeDetail.aspx?App=23&amp;ReportView=4&amp;Qid=1711279&amp;Row=18644&amp;Col=1","No Title Assigned - #15277798434")</f>
        <v/>
      </c>
      <c r="B18652" s="0" t="s">
        <v>24642</v>
      </c>
      <c r="E18652" s="0" t="inlineStr">
        <is>
          <t xml:space="preserve">Mazda</t>
        </is>
      </c>
      <c r="F18652" s="0" t="inlineStr">
        <is>
          <t xml:space="preserve">Mazda</t>
        </is>
      </c>
      <c r="G18652" s="0" t="s">
        <v>171</v>
      </c>
      <c r="H18652" s="5">
        <v>29518.329200</v>
      </c>
    </row>
    <row r="18653" spans="1:9">
      <c r="A18653" s="22" t="str">
        <f>HYPERLINK("https://app.vivvix.com/360/KMI/IntelliDrive/ApplUI/Pages/CreativePages/CustomReportCreativeDetail.aspx?App=23&amp;ReportView=4&amp;Qid=1711279&amp;Row=18645&amp;Col=1","No Title Assigned - #15277800595")</f>
        <v/>
      </c>
      <c r="B18653" s="0" t="s">
        <v>24643</v>
      </c>
      <c r="E18653" s="0" t="inlineStr">
        <is>
          <t xml:space="preserve">Mazda</t>
        </is>
      </c>
      <c r="F18653" s="0" t="inlineStr">
        <is>
          <t xml:space="preserve">Mazda</t>
        </is>
      </c>
      <c r="G18653" s="0" t="s">
        <v>171</v>
      </c>
      <c r="H18653" s="5">
        <v>16.780700</v>
      </c>
    </row>
    <row r="18654" spans="1:9">
      <c r="A18654" s="22" t="str">
        <f>HYPERLINK("https://app.vivvix.com/360/KMI/IntelliDrive/ApplUI/Pages/CreativePages/CustomReportCreativeDetail.aspx?App=23&amp;ReportView=4&amp;Qid=1711279&amp;Row=18646&amp;Col=1","No Title Assigned - #15277801614")</f>
        <v/>
      </c>
      <c r="B18654" s="0" t="s">
        <v>24644</v>
      </c>
      <c r="C18654" s="0" t="s">
        <v>24645</v>
      </c>
      <c r="D18654" s="0" t="s">
        <v>24645</v>
      </c>
      <c r="E18654" s="0" t="inlineStr">
        <is>
          <t xml:space="preserve">Mazda</t>
        </is>
      </c>
      <c r="F18654" s="0" t="inlineStr">
        <is>
          <t xml:space="preserve">Mazda</t>
        </is>
      </c>
      <c r="G18654" s="0" t="s">
        <v>171</v>
      </c>
      <c r="H18654" s="5">
        <v>581.023800</v>
      </c>
    </row>
    <row r="18655" spans="1:9">
      <c r="A18655" s="22" t="str">
        <f>HYPERLINK("https://app.vivvix.com/360/KMI/IntelliDrive/ApplUI/Pages/CreativePages/CustomReportCreativeDetail.aspx?App=23&amp;ReportView=4&amp;Qid=1711279&amp;Row=18647&amp;Col=1","No Title Assigned - #15277801614")</f>
        <v/>
      </c>
      <c r="B18655" s="0" t="s">
        <v>24644</v>
      </c>
      <c r="E18655" s="0" t="inlineStr">
        <is>
          <t xml:space="preserve">Mazda</t>
        </is>
      </c>
      <c r="F18655" s="0" t="inlineStr">
        <is>
          <t xml:space="preserve">Mazda</t>
        </is>
      </c>
      <c r="G18655" s="0" t="s">
        <v>171</v>
      </c>
      <c r="H18655" s="5">
        <v>801.751100</v>
      </c>
    </row>
    <row r="18656" spans="1:9">
      <c r="A18656" s="22" t="str">
        <f>HYPERLINK("https://app.vivvix.com/360/KMI/IntelliDrive/ApplUI/Pages/CreativePages/CustomReportCreativeDetail.aspx?App=23&amp;ReportView=4&amp;Qid=1711279&amp;Row=18648&amp;Col=1","No Title Assigned - #15277802146")</f>
        <v/>
      </c>
      <c r="B18656" s="0" t="s">
        <v>24646</v>
      </c>
      <c r="E18656" s="0" t="inlineStr">
        <is>
          <t xml:space="preserve">Mazda</t>
        </is>
      </c>
      <c r="F18656" s="0" t="inlineStr">
        <is>
          <t xml:space="preserve">Mazda</t>
        </is>
      </c>
      <c r="G18656" s="0" t="s">
        <v>171</v>
      </c>
      <c r="H18656" s="5">
        <v>87294.938500</v>
      </c>
    </row>
    <row r="18657" spans="1:9">
      <c r="A18657" s="22" t="str">
        <f>HYPERLINK("https://app.vivvix.com/360/KMI/IntelliDrive/ApplUI/Pages/CreativePages/CustomReportCreativeDetail.aspx?App=23&amp;ReportView=4&amp;Qid=1711279&amp;Row=18649&amp;Col=1","No Title Assigned - #15277802328")</f>
        <v/>
      </c>
      <c r="B18657" s="0" t="s">
        <v>24647</v>
      </c>
      <c r="E18657" s="0" t="inlineStr">
        <is>
          <t xml:space="preserve">Mazda</t>
        </is>
      </c>
      <c r="F18657" s="0" t="inlineStr">
        <is>
          <t xml:space="preserve">Mazda</t>
        </is>
      </c>
      <c r="G18657" s="0" t="s">
        <v>171</v>
      </c>
      <c r="H18657" s="5">
        <v>0.796900</v>
      </c>
    </row>
    <row r="18658" spans="1:9">
      <c r="A18658" s="22" t="str">
        <f>HYPERLINK("https://app.vivvix.com/360/KMI/IntelliDrive/ApplUI/Pages/CreativePages/CustomReportCreativeDetail.aspx?App=23&amp;ReportView=4&amp;Qid=1711279&amp;Row=18650&amp;Col=1","No Title Assigned - #15277802671")</f>
        <v/>
      </c>
      <c r="B18658" s="0" t="s">
        <v>24648</v>
      </c>
      <c r="E18658" s="0" t="inlineStr">
        <is>
          <t xml:space="preserve">Mazda</t>
        </is>
      </c>
      <c r="F18658" s="0" t="inlineStr">
        <is>
          <t xml:space="preserve">Mazda</t>
        </is>
      </c>
      <c r="G18658" s="0" t="s">
        <v>171</v>
      </c>
      <c r="H18658" s="5">
        <v>809.151600</v>
      </c>
    </row>
    <row r="18659" spans="1:9">
      <c r="A18659" s="22" t="str">
        <f>HYPERLINK("https://app.vivvix.com/360/KMI/IntelliDrive/ApplUI/Pages/CreativePages/CustomReportCreativeDetail.aspx?App=23&amp;ReportView=4&amp;Qid=1711279&amp;Row=18651&amp;Col=1","No Title Assigned - #15277804672")</f>
        <v/>
      </c>
      <c r="B18659" s="0" t="s">
        <v>24649</v>
      </c>
      <c r="E18659" s="0" t="inlineStr">
        <is>
          <t xml:space="preserve">Mazda</t>
        </is>
      </c>
      <c r="F18659" s="0" t="inlineStr">
        <is>
          <t xml:space="preserve">Mazda</t>
        </is>
      </c>
      <c r="G18659" s="0" t="s">
        <v>171</v>
      </c>
      <c r="H18659" s="5">
        <v>35.334500</v>
      </c>
    </row>
    <row r="18660" spans="1:9">
      <c r="A18660" s="22" t="str">
        <f>HYPERLINK("https://app.vivvix.com/360/KMI/IntelliDrive/ApplUI/Pages/CreativePages/CustomReportCreativeDetail.aspx?App=23&amp;ReportView=4&amp;Qid=1711279&amp;Row=18652&amp;Col=1","No Title Assigned - #15277806057")</f>
        <v/>
      </c>
      <c r="B18660" s="0" t="s">
        <v>24650</v>
      </c>
      <c r="E18660" s="0" t="inlineStr">
        <is>
          <t xml:space="preserve">Mazda</t>
        </is>
      </c>
      <c r="F18660" s="0" t="inlineStr">
        <is>
          <t xml:space="preserve">Mazda</t>
        </is>
      </c>
      <c r="G18660" s="0" t="s">
        <v>171</v>
      </c>
      <c r="H18660" s="5">
        <v>159.861000</v>
      </c>
    </row>
    <row r="18661" spans="1:9">
      <c r="A18661" s="22" t="str">
        <f>HYPERLINK("https://app.vivvix.com/360/KMI/IntelliDrive/ApplUI/Pages/CreativePages/CustomReportCreativeDetail.aspx?App=23&amp;ReportView=4&amp;Qid=1711279&amp;Row=18653&amp;Col=1","No Title Assigned - #15277810948")</f>
        <v/>
      </c>
      <c r="B18661" s="0" t="s">
        <v>24651</v>
      </c>
      <c r="E18661" s="0" t="inlineStr">
        <is>
          <t xml:space="preserve">Mazda</t>
        </is>
      </c>
      <c r="F18661" s="0" t="inlineStr">
        <is>
          <t xml:space="preserve">Mazda</t>
        </is>
      </c>
      <c r="G18661" s="0" t="s">
        <v>171</v>
      </c>
      <c r="H18661" s="5">
        <v>1604.701100</v>
      </c>
    </row>
    <row r="18662" spans="1:9">
      <c r="A18662" s="22" t="str">
        <f>HYPERLINK("https://app.vivvix.com/360/KMI/IntelliDrive/ApplUI/Pages/CreativePages/CustomReportCreativeDetail.aspx?App=23&amp;ReportView=4&amp;Qid=1711279&amp;Row=18654&amp;Col=1","No Title Assigned - #15277810948")</f>
        <v/>
      </c>
      <c r="B18662" s="0" t="s">
        <v>24651</v>
      </c>
      <c r="E18662" s="0" t="inlineStr">
        <is>
          <t xml:space="preserve">Mazda</t>
        </is>
      </c>
      <c r="F18662" s="0" t="inlineStr">
        <is>
          <t xml:space="preserve">Mazda</t>
        </is>
      </c>
      <c r="G18662" s="0" t="s">
        <v>171</v>
      </c>
      <c r="H18662" s="5">
        <v>2013.203200</v>
      </c>
    </row>
    <row r="18663" spans="1:9">
      <c r="A18663" s="22" t="str">
        <f>HYPERLINK("https://app.vivvix.com/360/KMI/IntelliDrive/ApplUI/Pages/CreativePages/CustomReportCreativeDetail.aspx?App=23&amp;ReportView=4&amp;Qid=1711279&amp;Row=18655&amp;Col=1","No Title Assigned - #15277829670")</f>
        <v/>
      </c>
      <c r="B18663" s="0" t="s">
        <v>24652</v>
      </c>
      <c r="C18663" s="0" t="s">
        <v>24653</v>
      </c>
      <c r="D18663" s="0" t="s">
        <v>24653</v>
      </c>
      <c r="E18663" s="0" t="inlineStr">
        <is>
          <t xml:space="preserve">Mazda</t>
        </is>
      </c>
      <c r="F18663" s="0" t="s">
        <v>13</v>
      </c>
      <c r="G18663" s="0" t="s">
        <v>49</v>
      </c>
      <c r="H18663" s="5">
        <v>6776.437700</v>
      </c>
    </row>
    <row r="18664" spans="1:9">
      <c r="A18664" s="22" t="str">
        <f>HYPERLINK("https://app.vivvix.com/360/KMI/IntelliDrive/ApplUI/Pages/CreativePages/CustomReportCreativeDetail.aspx?App=23&amp;ReportView=4&amp;Qid=1711279&amp;Row=18656&amp;Col=1","No Title Assigned - #15277833121")</f>
        <v/>
      </c>
      <c r="B18664" s="0" t="s">
        <v>24654</v>
      </c>
      <c r="C18664" s="0" t="s">
        <v>24655</v>
      </c>
      <c r="D18664" s="0" t="s">
        <v>24655</v>
      </c>
      <c r="E18664" s="0" t="inlineStr">
        <is>
          <t xml:space="preserve">Mazda</t>
        </is>
      </c>
      <c r="F18664" s="0" t="s">
        <v>13</v>
      </c>
      <c r="G18664" s="0" t="s">
        <v>49</v>
      </c>
      <c r="H18664" s="5">
        <v>318.798600</v>
      </c>
    </row>
    <row r="18665" spans="1:9">
      <c r="A18665" s="22" t="str">
        <f>HYPERLINK("https://app.vivvix.com/360/KMI/IntelliDrive/ApplUI/Pages/CreativePages/CustomReportCreativeDetail.aspx?App=23&amp;ReportView=4&amp;Qid=1711279&amp;Row=18657&amp;Col=1","No Title Assigned - #15277841117")</f>
        <v/>
      </c>
      <c r="B18665" s="0" t="s">
        <v>24656</v>
      </c>
      <c r="C18665" s="0" t="s">
        <v>24657</v>
      </c>
      <c r="D18665" s="0" t="s">
        <v>24657</v>
      </c>
      <c r="E18665" s="0" t="inlineStr">
        <is>
          <t xml:space="preserve">Mazda</t>
        </is>
      </c>
      <c r="F18665" s="0" t="s">
        <v>13</v>
      </c>
      <c r="G18665" s="0" t="s">
        <v>49</v>
      </c>
      <c r="H18665" s="5">
        <v>13730.100100</v>
      </c>
    </row>
    <row r="18666" spans="1:9">
      <c r="A18666" s="22" t="str">
        <f>HYPERLINK("https://app.vivvix.com/360/KMI/IntelliDrive/ApplUI/Pages/CreativePages/CustomReportCreativeDetail.aspx?App=23&amp;ReportView=4&amp;Qid=1711279&amp;Row=18658&amp;Col=1","No Title Assigned - #15277841997")</f>
        <v/>
      </c>
      <c r="B18666" s="0" t="s">
        <v>24658</v>
      </c>
      <c r="C18666" s="0" t="s">
        <v>24659</v>
      </c>
      <c r="D18666" s="0" t="s">
        <v>24659</v>
      </c>
      <c r="E18666" s="0" t="inlineStr">
        <is>
          <t xml:space="preserve">Mazda</t>
        </is>
      </c>
      <c r="F18666" s="0" t="s">
        <v>13</v>
      </c>
      <c r="G18666" s="0" t="s">
        <v>49</v>
      </c>
      <c r="H18666" s="5">
        <v>59179.626000</v>
      </c>
    </row>
    <row r="18667" spans="1:9">
      <c r="A18667" s="22" t="str">
        <f>HYPERLINK("https://app.vivvix.com/360/KMI/IntelliDrive/ApplUI/Pages/CreativePages/CustomReportCreativeDetail.aspx?App=23&amp;ReportView=4&amp;Qid=1711279&amp;Row=18659&amp;Col=1","No Title Assigned - #15277842087")</f>
        <v/>
      </c>
      <c r="B18667" s="0" t="s">
        <v>24660</v>
      </c>
      <c r="C18667" s="0" t="s">
        <v>24661</v>
      </c>
      <c r="D18667" s="0" t="s">
        <v>24661</v>
      </c>
      <c r="E18667" s="0" t="inlineStr">
        <is>
          <t xml:space="preserve">Mazda</t>
        </is>
      </c>
      <c r="F18667" s="0" t="s">
        <v>13</v>
      </c>
      <c r="G18667" s="0" t="s">
        <v>49</v>
      </c>
      <c r="H18667" s="5">
        <v>1902.277300</v>
      </c>
    </row>
    <row r="18668" spans="1:9">
      <c r="A18668" s="22" t="str">
        <f>HYPERLINK("https://app.vivvix.com/360/KMI/IntelliDrive/ApplUI/Pages/CreativePages/CustomReportCreativeDetail.aspx?App=23&amp;ReportView=4&amp;Qid=1711279&amp;Row=18660&amp;Col=1","No Title Assigned - #15277850832")</f>
        <v/>
      </c>
      <c r="B18668" s="0" t="s">
        <v>24662</v>
      </c>
      <c r="C18668" s="0" t="s">
        <v>24663</v>
      </c>
      <c r="D18668" s="0" t="s">
        <v>9676</v>
      </c>
      <c r="E18668" s="0" t="inlineStr">
        <is>
          <t xml:space="preserve">Mazda</t>
        </is>
      </c>
      <c r="F18668" s="0" t="s">
        <v>13</v>
      </c>
      <c r="G18668" s="0" t="s">
        <v>49</v>
      </c>
      <c r="H18668" s="5">
        <v>63.783200</v>
      </c>
    </row>
    <row r="18669" spans="1:9">
      <c r="A18669" s="22" t="str">
        <f>HYPERLINK("https://app.vivvix.com/360/KMI/IntelliDrive/ApplUI/Pages/CreativePages/CustomReportCreativeDetail.aspx?App=23&amp;ReportView=4&amp;Qid=1711279&amp;Row=18661&amp;Col=1","No Title Assigned - #15277852258")</f>
        <v/>
      </c>
      <c r="B18669" s="0" t="s">
        <v>24664</v>
      </c>
      <c r="E18669" s="0" t="inlineStr">
        <is>
          <t xml:space="preserve">Mazda</t>
        </is>
      </c>
      <c r="F18669" s="0" t="s">
        <v>204</v>
      </c>
      <c r="G18669" s="0" t="s">
        <v>205</v>
      </c>
      <c r="H18669" s="5">
        <v>35.624000</v>
      </c>
    </row>
    <row r="18670" spans="1:9">
      <c r="A18670" s="22" t="str">
        <f>HYPERLINK("https://app.vivvix.com/360/KMI/IntelliDrive/ApplUI/Pages/CreativePages/CustomReportCreativeDetail.aspx?App=23&amp;ReportView=4&amp;Qid=1711279&amp;Row=18662&amp;Col=1","No Title Assigned - #15277852271")</f>
        <v/>
      </c>
      <c r="B18670" s="0" t="s">
        <v>24665</v>
      </c>
      <c r="C18670" s="0" t="s">
        <v>24666</v>
      </c>
      <c r="D18670" s="0" t="s">
        <v>24666</v>
      </c>
      <c r="E18670" s="0" t="inlineStr">
        <is>
          <t xml:space="preserve">Mazda</t>
        </is>
      </c>
      <c r="F18670" s="0" t="s">
        <v>13</v>
      </c>
      <c r="G18670" s="0" t="s">
        <v>49</v>
      </c>
      <c r="H18670" s="5">
        <v>18103.360500</v>
      </c>
    </row>
    <row r="18671" spans="1:9">
      <c r="A18671" s="22" t="str">
        <f>HYPERLINK("https://app.vivvix.com/360/KMI/IntelliDrive/ApplUI/Pages/CreativePages/CustomReportCreativeDetail.aspx?App=23&amp;ReportView=4&amp;Qid=1711279&amp;Row=18663&amp;Col=1","No Title Assigned - #15277854855")</f>
        <v/>
      </c>
      <c r="B18671" s="0" t="s">
        <v>24667</v>
      </c>
      <c r="E18671" s="0" t="inlineStr">
        <is>
          <t xml:space="preserve">Mazda</t>
        </is>
      </c>
      <c r="F18671" s="0" t="inlineStr">
        <is>
          <t xml:space="preserve">Mazda</t>
        </is>
      </c>
      <c r="G18671" s="0" t="s">
        <v>171</v>
      </c>
      <c r="H18671" s="5">
        <v>16.780700</v>
      </c>
    </row>
    <row r="18672" spans="1:9">
      <c r="A18672" s="22" t="str">
        <f>HYPERLINK("https://app.vivvix.com/360/KMI/IntelliDrive/ApplUI/Pages/CreativePages/CustomReportCreativeDetail.aspx?App=23&amp;ReportView=4&amp;Qid=1711279&amp;Row=18664&amp;Col=1","No Title Assigned - #15277854890")</f>
        <v/>
      </c>
      <c r="B18672" s="0" t="s">
        <v>24668</v>
      </c>
      <c r="E18672" s="0" t="inlineStr">
        <is>
          <t xml:space="preserve">Mazda</t>
        </is>
      </c>
      <c r="F18672" s="0" t="inlineStr">
        <is>
          <t xml:space="preserve">Mazda</t>
        </is>
      </c>
      <c r="G18672" s="0" t="s">
        <v>171</v>
      </c>
      <c r="H18672" s="5">
        <v>1136.646500</v>
      </c>
    </row>
    <row r="18673" spans="1:9">
      <c r="A18673" s="22" t="str">
        <f>HYPERLINK("https://app.vivvix.com/360/KMI/IntelliDrive/ApplUI/Pages/CreativePages/CustomReportCreativeDetail.aspx?App=23&amp;ReportView=4&amp;Qid=1711279&amp;Row=18665&amp;Col=1","No Title Assigned - #15277855662")</f>
        <v/>
      </c>
      <c r="B18673" s="0" t="s">
        <v>24669</v>
      </c>
      <c r="E18673" s="0" t="inlineStr">
        <is>
          <t xml:space="preserve">Mazda</t>
        </is>
      </c>
      <c r="F18673" s="0" t="inlineStr">
        <is>
          <t xml:space="preserve">Mazda</t>
        </is>
      </c>
      <c r="G18673" s="0" t="s">
        <v>171</v>
      </c>
      <c r="H18673" s="5">
        <v>15.075500</v>
      </c>
    </row>
    <row r="18674" spans="1:9">
      <c r="A18674" s="22" t="str">
        <f>HYPERLINK("https://app.vivvix.com/360/KMI/IntelliDrive/ApplUI/Pages/CreativePages/CustomReportCreativeDetail.aspx?App=23&amp;ReportView=4&amp;Qid=1711279&amp;Row=18666&amp;Col=1","No Title Assigned - #15277855794")</f>
        <v/>
      </c>
      <c r="B18674" s="0" t="s">
        <v>24670</v>
      </c>
      <c r="C18674" s="0" t="s">
        <v>24671</v>
      </c>
      <c r="D18674" s="0" t="s">
        <v>14288</v>
      </c>
      <c r="E18674" s="0" t="inlineStr">
        <is>
          <t xml:space="preserve">Mazda</t>
        </is>
      </c>
      <c r="F18674" s="0" t="inlineStr">
        <is>
          <t xml:space="preserve">Mazda</t>
        </is>
      </c>
      <c r="G18674" s="0" t="s">
        <v>210</v>
      </c>
      <c r="H18674" s="5">
        <v>417.664100</v>
      </c>
    </row>
    <row r="18675" spans="1:9">
      <c r="A18675" s="22" t="str">
        <f>HYPERLINK("https://app.vivvix.com/360/KMI/IntelliDrive/ApplUI/Pages/CreativePages/CustomReportCreativeDetail.aspx?App=23&amp;ReportView=4&amp;Qid=1711279&amp;Row=18667&amp;Col=1","No Title Assigned - #15277857083")</f>
        <v/>
      </c>
      <c r="B18675" s="0" t="s">
        <v>24672</v>
      </c>
      <c r="E18675" s="0" t="inlineStr">
        <is>
          <t xml:space="preserve">Mazda</t>
        </is>
      </c>
      <c r="F18675" s="0" t="inlineStr">
        <is>
          <t xml:space="preserve">Mazda</t>
        </is>
      </c>
      <c r="G18675" s="0" t="s">
        <v>171</v>
      </c>
      <c r="H18675" s="5">
        <v>109.552300</v>
      </c>
    </row>
    <row r="18676" spans="1:9">
      <c r="A18676" s="22" t="str">
        <f>HYPERLINK("https://app.vivvix.com/360/KMI/IntelliDrive/ApplUI/Pages/CreativePages/CustomReportCreativeDetail.aspx?App=23&amp;ReportView=4&amp;Qid=1711279&amp;Row=18668&amp;Col=1","No Title Assigned - #15277878558")</f>
        <v/>
      </c>
      <c r="B18676" s="0" t="s">
        <v>24673</v>
      </c>
      <c r="C18676" s="0" t="s">
        <v>24674</v>
      </c>
      <c r="D18676" s="0" t="s">
        <v>24674</v>
      </c>
      <c r="E18676" s="0" t="inlineStr">
        <is>
          <t xml:space="preserve">Mazda</t>
        </is>
      </c>
      <c r="F18676" s="0" t="s">
        <v>28</v>
      </c>
      <c r="G18676" s="0" t="s">
        <v>29</v>
      </c>
      <c r="H18676" s="5">
        <v>667.621600</v>
      </c>
    </row>
    <row r="18677" spans="1:9">
      <c r="A18677" s="22" t="str">
        <f>HYPERLINK("https://app.vivvix.com/360/KMI/IntelliDrive/ApplUI/Pages/CreativePages/CustomReportCreativeDetail.aspx?App=23&amp;ReportView=4&amp;Qid=1711279&amp;Row=18669&amp;Col=1","No Title Assigned - #15277878847")</f>
        <v/>
      </c>
      <c r="B18677" s="0" t="s">
        <v>24675</v>
      </c>
      <c r="C18677" s="0" t="s">
        <v>24676</v>
      </c>
      <c r="D18677" s="0" t="s">
        <v>24676</v>
      </c>
      <c r="E18677" s="0" t="inlineStr">
        <is>
          <t xml:space="preserve">Mazda</t>
        </is>
      </c>
      <c r="F18677" s="0" t="s">
        <v>28</v>
      </c>
      <c r="G18677" s="0" t="s">
        <v>29</v>
      </c>
      <c r="H18677" s="5">
        <v>667.621600</v>
      </c>
    </row>
    <row r="18678" spans="1:9">
      <c r="A18678" s="22" t="str">
        <f>HYPERLINK("https://app.vivvix.com/360/KMI/IntelliDrive/ApplUI/Pages/CreativePages/CustomReportCreativeDetail.aspx?App=23&amp;ReportView=4&amp;Qid=1711279&amp;Row=18670&amp;Col=1","No Title Assigned - #15277887265")</f>
        <v/>
      </c>
      <c r="B18678" s="0" t="s">
        <v>24677</v>
      </c>
      <c r="E18678" s="0" t="inlineStr">
        <is>
          <t xml:space="preserve">Mazda</t>
        </is>
      </c>
      <c r="F18678" s="0" t="inlineStr">
        <is>
          <t xml:space="preserve">Mazda</t>
        </is>
      </c>
      <c r="G18678" s="0" t="s">
        <v>171</v>
      </c>
      <c r="H18678" s="5">
        <v>95362.615600</v>
      </c>
    </row>
    <row r="18679" spans="1:9">
      <c r="A18679" s="22" t="str">
        <f>HYPERLINK("https://app.vivvix.com/360/KMI/IntelliDrive/ApplUI/Pages/CreativePages/CustomReportCreativeDetail.aspx?App=23&amp;ReportView=4&amp;Qid=1711279&amp;Row=18671&amp;Col=1","No Title Assigned - #15277887265")</f>
        <v/>
      </c>
      <c r="B18679" s="0" t="s">
        <v>24677</v>
      </c>
      <c r="E18679" s="0" t="inlineStr">
        <is>
          <t xml:space="preserve">Mazda</t>
        </is>
      </c>
      <c r="F18679" s="0" t="inlineStr">
        <is>
          <t xml:space="preserve">Mazda</t>
        </is>
      </c>
      <c r="G18679" s="0" t="s">
        <v>171</v>
      </c>
      <c r="H18679" s="5">
        <v>3052.338700</v>
      </c>
    </row>
    <row r="18680" spans="1:9">
      <c r="A18680" s="22" t="str">
        <f>HYPERLINK("https://app.vivvix.com/360/KMI/IntelliDrive/ApplUI/Pages/CreativePages/CustomReportCreativeDetail.aspx?App=23&amp;ReportView=4&amp;Qid=1711279&amp;Row=18672&amp;Col=1","No Title Assigned - #15277898844")</f>
        <v/>
      </c>
      <c r="B18680" s="0" t="s">
        <v>24678</v>
      </c>
      <c r="C18680" s="0" t="s">
        <v>24679</v>
      </c>
      <c r="D18680" s="0" t="s">
        <v>24679</v>
      </c>
      <c r="E18680" s="0" t="inlineStr">
        <is>
          <t xml:space="preserve">Mazda</t>
        </is>
      </c>
      <c r="F18680" s="0" t="s">
        <v>13</v>
      </c>
      <c r="G18680" s="0" t="s">
        <v>49</v>
      </c>
      <c r="H18680" s="5">
        <v>6845.854600</v>
      </c>
    </row>
    <row r="18681" spans="1:9">
      <c r="A18681" s="22" t="str">
        <f>HYPERLINK("https://app.vivvix.com/360/KMI/IntelliDrive/ApplUI/Pages/CreativePages/CustomReportCreativeDetail.aspx?App=23&amp;ReportView=4&amp;Qid=1711279&amp;Row=18673&amp;Col=1","No Title Assigned - #15277898844")</f>
        <v/>
      </c>
      <c r="B18681" s="0" t="s">
        <v>24678</v>
      </c>
      <c r="E18681" s="0" t="inlineStr">
        <is>
          <t xml:space="preserve">Mazda</t>
        </is>
      </c>
      <c r="F18681" s="0" t="s">
        <v>13</v>
      </c>
      <c r="G18681" s="0" t="s">
        <v>49</v>
      </c>
      <c r="H18681" s="5">
        <v>26.081100</v>
      </c>
    </row>
    <row r="18682" spans="1:9">
      <c r="A18682" s="22" t="str">
        <f>HYPERLINK("https://app.vivvix.com/360/KMI/IntelliDrive/ApplUI/Pages/CreativePages/CustomReportCreativeDetail.aspx?App=23&amp;ReportView=4&amp;Qid=1711279&amp;Row=18674&amp;Col=1","No Title Assigned - #15277900385")</f>
        <v/>
      </c>
      <c r="B18682" s="0" t="s">
        <v>24680</v>
      </c>
      <c r="C18682" s="0" t="s">
        <v>24681</v>
      </c>
      <c r="D18682" s="0" t="s">
        <v>24681</v>
      </c>
      <c r="E18682" s="0" t="inlineStr">
        <is>
          <t xml:space="preserve">Mazda</t>
        </is>
      </c>
      <c r="F18682" s="0" t="s">
        <v>13</v>
      </c>
      <c r="G18682" s="0" t="s">
        <v>49</v>
      </c>
      <c r="H18682" s="5">
        <v>292.022700</v>
      </c>
    </row>
    <row r="18683" spans="1:9">
      <c r="A18683" s="22" t="str">
        <f>HYPERLINK("https://app.vivvix.com/360/KMI/IntelliDrive/ApplUI/Pages/CreativePages/CustomReportCreativeDetail.aspx?App=23&amp;ReportView=4&amp;Qid=1711279&amp;Row=18675&amp;Col=1","No Title Assigned - #15277900385")</f>
        <v/>
      </c>
      <c r="B18683" s="0" t="s">
        <v>24680</v>
      </c>
      <c r="C18683" s="0" t="s">
        <v>24682</v>
      </c>
      <c r="D18683" s="0" t="s">
        <v>24682</v>
      </c>
      <c r="E18683" s="0" t="inlineStr">
        <is>
          <t xml:space="preserve">Mazda</t>
        </is>
      </c>
      <c r="F18683" s="0" t="s">
        <v>13</v>
      </c>
      <c r="G18683" s="0" t="s">
        <v>49</v>
      </c>
      <c r="H18683" s="5">
        <v>304.683100</v>
      </c>
    </row>
    <row r="18684" spans="1:9">
      <c r="A18684" s="22" t="str">
        <f>HYPERLINK("https://app.vivvix.com/360/KMI/IntelliDrive/ApplUI/Pages/CreativePages/CustomReportCreativeDetail.aspx?App=23&amp;ReportView=4&amp;Qid=1711279&amp;Row=18676&amp;Col=1","No Title Assigned - #15277902432")</f>
        <v/>
      </c>
      <c r="B18684" s="0" t="s">
        <v>24683</v>
      </c>
      <c r="E18684" s="0" t="inlineStr">
        <is>
          <t xml:space="preserve">Mazda</t>
        </is>
      </c>
      <c r="F18684" s="0" t="inlineStr">
        <is>
          <t xml:space="preserve">Mazda</t>
        </is>
      </c>
      <c r="G18684" s="0" t="s">
        <v>171</v>
      </c>
      <c r="H18684" s="5">
        <v>202.338500</v>
      </c>
    </row>
    <row r="18685" spans="1:9">
      <c r="A18685" s="22" t="str">
        <f>HYPERLINK("https://app.vivvix.com/360/KMI/IntelliDrive/ApplUI/Pages/CreativePages/CustomReportCreativeDetail.aspx?App=23&amp;ReportView=4&amp;Qid=1711279&amp;Row=18677&amp;Col=1","No Title Assigned - #15277902480")</f>
        <v/>
      </c>
      <c r="B18685" s="0" t="s">
        <v>24684</v>
      </c>
      <c r="E18685" s="0" t="inlineStr">
        <is>
          <t xml:space="preserve">Mazda</t>
        </is>
      </c>
      <c r="F18685" s="0" t="inlineStr">
        <is>
          <t xml:space="preserve">Mazda</t>
        </is>
      </c>
      <c r="G18685" s="0" t="s">
        <v>171</v>
      </c>
      <c r="H18685" s="5">
        <v>184.226100</v>
      </c>
    </row>
    <row r="18686" spans="1:9">
      <c r="A18686" s="22" t="str">
        <f>HYPERLINK("https://app.vivvix.com/360/KMI/IntelliDrive/ApplUI/Pages/CreativePages/CustomReportCreativeDetail.aspx?App=23&amp;ReportView=4&amp;Qid=1711279&amp;Row=18678&amp;Col=1","No Title Assigned - #15277908788")</f>
        <v/>
      </c>
      <c r="B18686" s="0" t="s">
        <v>24685</v>
      </c>
      <c r="E18686" s="0" t="inlineStr">
        <is>
          <t xml:space="preserve">Mazda</t>
        </is>
      </c>
      <c r="F18686" s="0" t="inlineStr">
        <is>
          <t xml:space="preserve">Mazda</t>
        </is>
      </c>
      <c r="G18686" s="0" t="s">
        <v>171</v>
      </c>
      <c r="H18686" s="5">
        <v>84.971300</v>
      </c>
    </row>
    <row r="18687" spans="1:9">
      <c r="A18687" s="22" t="str">
        <f>HYPERLINK("https://app.vivvix.com/360/KMI/IntelliDrive/ApplUI/Pages/CreativePages/CustomReportCreativeDetail.aspx?App=23&amp;ReportView=4&amp;Qid=1711279&amp;Row=18679&amp;Col=1","No Title Assigned - #15277909381")</f>
        <v/>
      </c>
      <c r="B18687" s="0" t="s">
        <v>24686</v>
      </c>
      <c r="E18687" s="0" t="inlineStr">
        <is>
          <t xml:space="preserve">Mazda</t>
        </is>
      </c>
      <c r="F18687" s="0" t="inlineStr">
        <is>
          <t xml:space="preserve">Mazda</t>
        </is>
      </c>
      <c r="G18687" s="0" t="s">
        <v>171</v>
      </c>
      <c r="H18687" s="5">
        <v>496.184400</v>
      </c>
    </row>
    <row r="18688" spans="1:9">
      <c r="A18688" s="22" t="str">
        <f>HYPERLINK("https://app.vivvix.com/360/KMI/IntelliDrive/ApplUI/Pages/CreativePages/CustomReportCreativeDetail.aspx?App=23&amp;ReportView=4&amp;Qid=1711279&amp;Row=18680&amp;Col=1","No Title Assigned - #15277909590")</f>
        <v/>
      </c>
      <c r="B18688" s="0" t="s">
        <v>24687</v>
      </c>
      <c r="E18688" s="0" t="inlineStr">
        <is>
          <t xml:space="preserve">Mazda</t>
        </is>
      </c>
      <c r="F18688" s="0" t="inlineStr">
        <is>
          <t xml:space="preserve">Mazda</t>
        </is>
      </c>
      <c r="G18688" s="0" t="s">
        <v>171</v>
      </c>
      <c r="H18688" s="5">
        <v>424.802400</v>
      </c>
    </row>
    <row r="18689" spans="1:9">
      <c r="A18689" s="22" t="str">
        <f>HYPERLINK("https://app.vivvix.com/360/KMI/IntelliDrive/ApplUI/Pages/CreativePages/CustomReportCreativeDetail.aspx?App=23&amp;ReportView=4&amp;Qid=1711279&amp;Row=18681&amp;Col=1","No Title Assigned - #15277909590")</f>
        <v/>
      </c>
      <c r="B18689" s="0" t="s">
        <v>24687</v>
      </c>
      <c r="E18689" s="0" t="inlineStr">
        <is>
          <t xml:space="preserve">Mazda</t>
        </is>
      </c>
      <c r="F18689" s="0" t="inlineStr">
        <is>
          <t xml:space="preserve">Mazda</t>
        </is>
      </c>
      <c r="G18689" s="0" t="s">
        <v>171</v>
      </c>
      <c r="H18689" s="5">
        <v>815.380100</v>
      </c>
    </row>
    <row r="18690" spans="1:9">
      <c r="A18690" s="22" t="str">
        <f>HYPERLINK("https://app.vivvix.com/360/KMI/IntelliDrive/ApplUI/Pages/CreativePages/CustomReportCreativeDetail.aspx?App=23&amp;ReportView=4&amp;Qid=1711279&amp;Row=18682&amp;Col=1","No Title Assigned - #15277909795")</f>
        <v/>
      </c>
      <c r="B18690" s="0" t="s">
        <v>24688</v>
      </c>
      <c r="C18690" s="0" t="s">
        <v>24689</v>
      </c>
      <c r="D18690" s="0" t="s">
        <v>24689</v>
      </c>
      <c r="E18690" s="0" t="inlineStr">
        <is>
          <t xml:space="preserve">Mazda</t>
        </is>
      </c>
      <c r="F18690" s="0" t="inlineStr">
        <is>
          <t xml:space="preserve">Mazda</t>
        </is>
      </c>
      <c r="G18690" s="0" t="s">
        <v>171</v>
      </c>
      <c r="H18690" s="5">
        <v>1216.008700</v>
      </c>
    </row>
    <row r="18691" spans="1:9">
      <c r="A18691" s="22" t="str">
        <f>HYPERLINK("https://app.vivvix.com/360/KMI/IntelliDrive/ApplUI/Pages/CreativePages/CustomReportCreativeDetail.aspx?App=23&amp;ReportView=4&amp;Qid=1711279&amp;Row=18683&amp;Col=1","No Title Assigned - #15277910674")</f>
        <v/>
      </c>
      <c r="B18691" s="0" t="s">
        <v>24690</v>
      </c>
      <c r="E18691" s="0" t="inlineStr">
        <is>
          <t xml:space="preserve">Mazda</t>
        </is>
      </c>
      <c r="F18691" s="0" t="inlineStr">
        <is>
          <t xml:space="preserve">Mazda</t>
        </is>
      </c>
      <c r="G18691" s="0" t="s">
        <v>171</v>
      </c>
      <c r="H18691" s="5">
        <v>180.062800</v>
      </c>
    </row>
    <row r="18692" spans="1:9">
      <c r="A18692" s="22" t="str">
        <f>HYPERLINK("https://app.vivvix.com/360/KMI/IntelliDrive/ApplUI/Pages/CreativePages/CustomReportCreativeDetail.aspx?App=23&amp;ReportView=4&amp;Qid=1711279&amp;Row=18684&amp;Col=1","No Title Assigned - #15277910758")</f>
        <v/>
      </c>
      <c r="B18692" s="0" t="s">
        <v>24691</v>
      </c>
      <c r="E18692" s="0" t="inlineStr">
        <is>
          <t xml:space="preserve">Mazda</t>
        </is>
      </c>
      <c r="F18692" s="0" t="inlineStr">
        <is>
          <t xml:space="preserve">Mazda</t>
        </is>
      </c>
      <c r="G18692" s="0" t="s">
        <v>171</v>
      </c>
      <c r="H18692" s="5">
        <v>167.655800</v>
      </c>
    </row>
    <row r="18693" spans="1:9">
      <c r="A18693" s="22" t="str">
        <f>HYPERLINK("https://app.vivvix.com/360/KMI/IntelliDrive/ApplUI/Pages/CreativePages/CustomReportCreativeDetail.aspx?App=23&amp;ReportView=4&amp;Qid=1711279&amp;Row=18685&amp;Col=1","No Title Assigned - #15277913205")</f>
        <v/>
      </c>
      <c r="B18693" s="0" t="s">
        <v>24692</v>
      </c>
      <c r="E18693" s="0" t="inlineStr">
        <is>
          <t xml:space="preserve">Mazda</t>
        </is>
      </c>
      <c r="F18693" s="0" t="inlineStr">
        <is>
          <t xml:space="preserve">Mazda</t>
        </is>
      </c>
      <c r="G18693" s="0" t="s">
        <v>171</v>
      </c>
      <c r="H18693" s="5">
        <v>12.085200</v>
      </c>
    </row>
    <row r="18694" spans="1:9">
      <c r="A18694" s="22" t="str">
        <f>HYPERLINK("https://app.vivvix.com/360/KMI/IntelliDrive/ApplUI/Pages/CreativePages/CustomReportCreativeDetail.aspx?App=23&amp;ReportView=4&amp;Qid=1711279&amp;Row=18686&amp;Col=1","No Title Assigned - #15277913395")</f>
        <v/>
      </c>
      <c r="B18694" s="0" t="s">
        <v>24693</v>
      </c>
      <c r="E18694" s="0" t="inlineStr">
        <is>
          <t xml:space="preserve">Mazda</t>
        </is>
      </c>
      <c r="F18694" s="0" t="inlineStr">
        <is>
          <t xml:space="preserve">Mazda</t>
        </is>
      </c>
      <c r="G18694" s="0" t="s">
        <v>171</v>
      </c>
      <c r="H18694" s="5">
        <v>673.212300</v>
      </c>
    </row>
    <row r="18695" spans="1:9">
      <c r="A18695" s="22" t="str">
        <f>HYPERLINK("https://app.vivvix.com/360/KMI/IntelliDrive/ApplUI/Pages/CreativePages/CustomReportCreativeDetail.aspx?App=23&amp;ReportView=4&amp;Qid=1711279&amp;Row=18687&amp;Col=1","No Title Assigned - #15277914706")</f>
        <v/>
      </c>
      <c r="B18695" s="0" t="s">
        <v>24694</v>
      </c>
      <c r="E18695" s="0" t="inlineStr">
        <is>
          <t xml:space="preserve">Mazda</t>
        </is>
      </c>
      <c r="F18695" s="0" t="inlineStr">
        <is>
          <t xml:space="preserve">Mazda</t>
        </is>
      </c>
      <c r="G18695" s="0" t="s">
        <v>171</v>
      </c>
      <c r="H18695" s="5">
        <v>416.256400</v>
      </c>
    </row>
    <row r="18696" spans="1:9">
      <c r="A18696" s="22" t="str">
        <f>HYPERLINK("https://app.vivvix.com/360/KMI/IntelliDrive/ApplUI/Pages/CreativePages/CustomReportCreativeDetail.aspx?App=23&amp;ReportView=4&amp;Qid=1711279&amp;Row=18688&amp;Col=1","No Title Assigned - #15277914807")</f>
        <v/>
      </c>
      <c r="B18696" s="0" t="s">
        <v>24695</v>
      </c>
      <c r="E18696" s="0" t="inlineStr">
        <is>
          <t xml:space="preserve">Mazda</t>
        </is>
      </c>
      <c r="F18696" s="0" t="inlineStr">
        <is>
          <t xml:space="preserve">Mazda</t>
        </is>
      </c>
      <c r="G18696" s="0" t="s">
        <v>171</v>
      </c>
      <c r="H18696" s="5">
        <v>106.896400</v>
      </c>
    </row>
    <row r="18697" spans="1:9">
      <c r="A18697" s="22" t="str">
        <f>HYPERLINK("https://app.vivvix.com/360/KMI/IntelliDrive/ApplUI/Pages/CreativePages/CustomReportCreativeDetail.aspx?App=23&amp;ReportView=4&amp;Qid=1711279&amp;Row=18689&amp;Col=1","No Title Assigned - #15277915443")</f>
        <v/>
      </c>
      <c r="B18697" s="0" t="s">
        <v>24696</v>
      </c>
      <c r="E18697" s="0" t="inlineStr">
        <is>
          <t xml:space="preserve">Mazda</t>
        </is>
      </c>
      <c r="F18697" s="0" t="inlineStr">
        <is>
          <t xml:space="preserve">Mazda</t>
        </is>
      </c>
      <c r="G18697" s="0" t="s">
        <v>171</v>
      </c>
      <c r="H18697" s="5">
        <v>5426.751900</v>
      </c>
    </row>
    <row r="18698" spans="1:9">
      <c r="A18698" s="22" t="str">
        <f>HYPERLINK("https://app.vivvix.com/360/KMI/IntelliDrive/ApplUI/Pages/CreativePages/CustomReportCreativeDetail.aspx?App=23&amp;ReportView=4&amp;Qid=1711279&amp;Row=18690&amp;Col=1","No Title Assigned - #15277933095")</f>
        <v/>
      </c>
      <c r="B18698" s="0" t="s">
        <v>24697</v>
      </c>
      <c r="E18698" s="0" t="inlineStr">
        <is>
          <t xml:space="preserve">Mazda</t>
        </is>
      </c>
      <c r="F18698" s="0" t="inlineStr">
        <is>
          <t xml:space="preserve">Mazda</t>
        </is>
      </c>
      <c r="G18698" s="0" t="s">
        <v>171</v>
      </c>
      <c r="H18698" s="5">
        <v>6.042600</v>
      </c>
    </row>
    <row r="18699" spans="1:9">
      <c r="A18699" s="22" t="str">
        <f>HYPERLINK("https://app.vivvix.com/360/KMI/IntelliDrive/ApplUI/Pages/CreativePages/CustomReportCreativeDetail.aspx?App=23&amp;ReportView=4&amp;Qid=1711279&amp;Row=18691&amp;Col=1","No Title Assigned - #15277933155")</f>
        <v/>
      </c>
      <c r="B18699" s="0" t="s">
        <v>24698</v>
      </c>
      <c r="E18699" s="0" t="inlineStr">
        <is>
          <t xml:space="preserve">Mazda</t>
        </is>
      </c>
      <c r="F18699" s="0" t="inlineStr">
        <is>
          <t xml:space="preserve">Mazda</t>
        </is>
      </c>
      <c r="G18699" s="0" t="s">
        <v>171</v>
      </c>
      <c r="H18699" s="5">
        <v>81.606100</v>
      </c>
    </row>
    <row r="18700" spans="1:9">
      <c r="A18700" s="22" t="str">
        <f>HYPERLINK("https://app.vivvix.com/360/KMI/IntelliDrive/ApplUI/Pages/CreativePages/CustomReportCreativeDetail.aspx?App=23&amp;ReportView=4&amp;Qid=1711279&amp;Row=18692&amp;Col=1","No Title Assigned - #15277934689")</f>
        <v/>
      </c>
      <c r="B18700" s="0" t="s">
        <v>24699</v>
      </c>
      <c r="C18700" s="0" t="s">
        <v>24700</v>
      </c>
      <c r="D18700" s="0" t="s">
        <v>24700</v>
      </c>
      <c r="E18700" s="0" t="inlineStr">
        <is>
          <t xml:space="preserve">Mazda</t>
        </is>
      </c>
      <c r="F18700" s="0" t="s">
        <v>28</v>
      </c>
      <c r="G18700" s="0" t="s">
        <v>29</v>
      </c>
      <c r="H18700" s="5">
        <v>105.020600</v>
      </c>
    </row>
    <row r="18701" spans="1:9">
      <c r="A18701" s="22" t="str">
        <f>HYPERLINK("https://app.vivvix.com/360/KMI/IntelliDrive/ApplUI/Pages/CreativePages/CustomReportCreativeDetail.aspx?App=23&amp;ReportView=4&amp;Qid=1711279&amp;Row=18693&amp;Col=1","No Title Assigned - #15277935231")</f>
        <v/>
      </c>
      <c r="B18701" s="0" t="s">
        <v>24701</v>
      </c>
      <c r="C18701" s="0" t="s">
        <v>24702</v>
      </c>
      <c r="D18701" s="0" t="s">
        <v>24702</v>
      </c>
      <c r="E18701" s="0" t="inlineStr">
        <is>
          <t xml:space="preserve">Mazda</t>
        </is>
      </c>
      <c r="F18701" s="0" t="s">
        <v>28</v>
      </c>
      <c r="G18701" s="0" t="s">
        <v>29</v>
      </c>
      <c r="H18701" s="5">
        <v>143.735300</v>
      </c>
    </row>
    <row r="18702" spans="1:9">
      <c r="A18702" s="22" t="str">
        <f>HYPERLINK("https://app.vivvix.com/360/KMI/IntelliDrive/ApplUI/Pages/CreativePages/CustomReportCreativeDetail.aspx?App=23&amp;ReportView=4&amp;Qid=1711279&amp;Row=18694&amp;Col=1","No Title Assigned - #15277935452")</f>
        <v/>
      </c>
      <c r="B18702" s="0" t="s">
        <v>24703</v>
      </c>
      <c r="C18702" s="0" t="s">
        <v>24704</v>
      </c>
      <c r="D18702" s="0" t="s">
        <v>15482</v>
      </c>
      <c r="E18702" s="0" t="inlineStr">
        <is>
          <t xml:space="preserve">Mazda</t>
        </is>
      </c>
      <c r="F18702" s="0" t="s">
        <v>28</v>
      </c>
      <c r="G18702" s="0" t="s">
        <v>29</v>
      </c>
      <c r="H18702" s="5">
        <v>414.559600</v>
      </c>
    </row>
    <row r="18703" spans="1:9">
      <c r="A18703" s="22" t="str">
        <f>HYPERLINK("https://app.vivvix.com/360/KMI/IntelliDrive/ApplUI/Pages/CreativePages/CustomReportCreativeDetail.aspx?App=23&amp;ReportView=4&amp;Qid=1711279&amp;Row=18695&amp;Col=1","No Title Assigned - #15277936071")</f>
        <v/>
      </c>
      <c r="B18703" s="0" t="s">
        <v>24705</v>
      </c>
      <c r="C18703" s="0" t="s">
        <v>24706</v>
      </c>
      <c r="D18703" s="0" t="s">
        <v>24706</v>
      </c>
      <c r="E18703" s="0" t="inlineStr">
        <is>
          <t xml:space="preserve">Mazda</t>
        </is>
      </c>
      <c r="F18703" s="0" t="s">
        <v>28</v>
      </c>
      <c r="G18703" s="0" t="s">
        <v>29</v>
      </c>
      <c r="H18703" s="5">
        <v>412.315600</v>
      </c>
    </row>
    <row r="18704" spans="1:9">
      <c r="A18704" s="22" t="str">
        <f>HYPERLINK("https://app.vivvix.com/360/KMI/IntelliDrive/ApplUI/Pages/CreativePages/CustomReportCreativeDetail.aspx?App=23&amp;ReportView=4&amp;Qid=1711279&amp;Row=18696&amp;Col=1","No Title Assigned - #15277936609")</f>
        <v/>
      </c>
      <c r="B18704" s="0" t="s">
        <v>24707</v>
      </c>
      <c r="C18704" s="0" t="s">
        <v>24708</v>
      </c>
      <c r="D18704" s="0" t="s">
        <v>24708</v>
      </c>
      <c r="E18704" s="0" t="inlineStr">
        <is>
          <t xml:space="preserve">Mazda</t>
        </is>
      </c>
      <c r="F18704" s="0" t="s">
        <v>28</v>
      </c>
      <c r="G18704" s="0" t="s">
        <v>29</v>
      </c>
      <c r="H18704" s="5">
        <v>819.534700</v>
      </c>
    </row>
    <row r="18705" spans="1:9">
      <c r="A18705" s="22" t="str">
        <f>HYPERLINK("https://app.vivvix.com/360/KMI/IntelliDrive/ApplUI/Pages/CreativePages/CustomReportCreativeDetail.aspx?App=23&amp;ReportView=4&amp;Qid=1711279&amp;Row=18697&amp;Col=1","No Title Assigned - #15277937009")</f>
        <v/>
      </c>
      <c r="B18705" s="0" t="s">
        <v>24709</v>
      </c>
      <c r="C18705" s="0" t="s">
        <v>24710</v>
      </c>
      <c r="D18705" s="0" t="s">
        <v>24710</v>
      </c>
      <c r="E18705" s="0" t="inlineStr">
        <is>
          <t xml:space="preserve">Mazda</t>
        </is>
      </c>
      <c r="F18705" s="0" t="s">
        <v>28</v>
      </c>
      <c r="G18705" s="0" t="s">
        <v>29</v>
      </c>
      <c r="H18705" s="5">
        <v>1155.801100</v>
      </c>
    </row>
    <row r="18706" spans="1:9">
      <c r="A18706" s="22" t="str">
        <f>HYPERLINK("https://app.vivvix.com/360/KMI/IntelliDrive/ApplUI/Pages/CreativePages/CustomReportCreativeDetail.aspx?App=23&amp;ReportView=4&amp;Qid=1711279&amp;Row=18698&amp;Col=1","No Title Assigned - #15277937009")</f>
        <v/>
      </c>
      <c r="B18706" s="0" t="s">
        <v>24709</v>
      </c>
      <c r="E18706" s="0" t="inlineStr">
        <is>
          <t xml:space="preserve">Mazda</t>
        </is>
      </c>
      <c r="F18706" s="0" t="s">
        <v>28</v>
      </c>
      <c r="G18706" s="0" t="s">
        <v>29</v>
      </c>
      <c r="H18706" s="5">
        <v>278.353600</v>
      </c>
    </row>
    <row r="18707" spans="1:9">
      <c r="A18707" s="22" t="str">
        <f>HYPERLINK("https://app.vivvix.com/360/KMI/IntelliDrive/ApplUI/Pages/CreativePages/CustomReportCreativeDetail.aspx?App=23&amp;ReportView=4&amp;Qid=1711279&amp;Row=18699&amp;Col=1","No Title Assigned - #15277937321")</f>
        <v/>
      </c>
      <c r="B18707" s="0" t="s">
        <v>24711</v>
      </c>
      <c r="C18707" s="0" t="s">
        <v>24712</v>
      </c>
      <c r="D18707" s="0" t="s">
        <v>24712</v>
      </c>
      <c r="E18707" s="0" t="inlineStr">
        <is>
          <t xml:space="preserve">Mazda</t>
        </is>
      </c>
      <c r="F18707" s="0" t="inlineStr">
        <is>
          <t xml:space="preserve">Mazda</t>
        </is>
      </c>
      <c r="G18707" s="0" t="s">
        <v>4306</v>
      </c>
      <c r="H18707" s="5">
        <v>5085.861800</v>
      </c>
    </row>
    <row r="18708" spans="1:9">
      <c r="A18708" s="22" t="str">
        <f>HYPERLINK("https://app.vivvix.com/360/KMI/IntelliDrive/ApplUI/Pages/CreativePages/CustomReportCreativeDetail.aspx?App=23&amp;ReportView=4&amp;Qid=1711279&amp;Row=18700&amp;Col=1","No Title Assigned - #15277938139")</f>
        <v/>
      </c>
      <c r="B18708" s="0" t="s">
        <v>24713</v>
      </c>
      <c r="C18708" s="0" t="s">
        <v>24714</v>
      </c>
      <c r="D18708" s="0" t="s">
        <v>15532</v>
      </c>
      <c r="E18708" s="0" t="inlineStr">
        <is>
          <t xml:space="preserve">Mazda</t>
        </is>
      </c>
      <c r="F18708" s="0" t="s">
        <v>28</v>
      </c>
      <c r="G18708" s="0" t="s">
        <v>29</v>
      </c>
      <c r="H18708" s="5">
        <v>16.079700</v>
      </c>
    </row>
    <row r="18709" spans="1:9">
      <c r="A18709" s="22" t="str">
        <f>HYPERLINK("https://app.vivvix.com/360/KMI/IntelliDrive/ApplUI/Pages/CreativePages/CustomReportCreativeDetail.aspx?App=23&amp;ReportView=4&amp;Qid=1711279&amp;Row=18701&amp;Col=1","No Title Assigned - #15277941492")</f>
        <v/>
      </c>
      <c r="B18709" s="0" t="s">
        <v>24715</v>
      </c>
      <c r="C18709" s="0" t="s">
        <v>24716</v>
      </c>
      <c r="D18709" s="0" t="s">
        <v>24716</v>
      </c>
      <c r="E18709" s="0" t="inlineStr">
        <is>
          <t xml:space="preserve">Mazda</t>
        </is>
      </c>
      <c r="F18709" s="0" t="inlineStr">
        <is>
          <t xml:space="preserve">Mazda</t>
        </is>
      </c>
      <c r="G18709" s="0" t="s">
        <v>210</v>
      </c>
      <c r="H18709" s="5">
        <v>88272.336800</v>
      </c>
    </row>
    <row r="18710" spans="1:9">
      <c r="A18710" s="22" t="str">
        <f>HYPERLINK("https://app.vivvix.com/360/KMI/IntelliDrive/ApplUI/Pages/CreativePages/CustomReportCreativeDetail.aspx?App=23&amp;ReportView=4&amp;Qid=1711279&amp;Row=18702&amp;Col=1","No Title Assigned - #15277943809")</f>
        <v/>
      </c>
      <c r="B18710" s="0" t="s">
        <v>24717</v>
      </c>
      <c r="C18710" s="0" t="s">
        <v>24718</v>
      </c>
      <c r="D18710" s="0" t="s">
        <v>4225</v>
      </c>
      <c r="E18710" s="0" t="inlineStr">
        <is>
          <t xml:space="preserve">Mazda</t>
        </is>
      </c>
      <c r="F18710" s="0" t="s">
        <v>28</v>
      </c>
      <c r="G18710" s="0" t="s">
        <v>29</v>
      </c>
      <c r="H18710" s="5">
        <v>16.079700</v>
      </c>
    </row>
    <row r="18711" spans="1:9">
      <c r="A18711" s="22" t="str">
        <f>HYPERLINK("https://app.vivvix.com/360/KMI/IntelliDrive/ApplUI/Pages/CreativePages/CustomReportCreativeDetail.aspx?App=23&amp;ReportView=4&amp;Qid=1711279&amp;Row=18703&amp;Col=1","No Title Assigned - #15277946739")</f>
        <v/>
      </c>
      <c r="B18711" s="0" t="s">
        <v>24719</v>
      </c>
      <c r="C18711" s="0" t="s">
        <v>24720</v>
      </c>
      <c r="D18711" s="0" t="s">
        <v>24720</v>
      </c>
      <c r="E18711" s="0" t="inlineStr">
        <is>
          <t xml:space="preserve">Mazda</t>
        </is>
      </c>
      <c r="F18711" s="0" t="s">
        <v>13</v>
      </c>
      <c r="G18711" s="0" t="s">
        <v>49</v>
      </c>
      <c r="H18711" s="5">
        <v>1440.806800</v>
      </c>
    </row>
    <row r="18712" spans="1:9">
      <c r="A18712" s="22" t="str">
        <f>HYPERLINK("https://app.vivvix.com/360/KMI/IntelliDrive/ApplUI/Pages/CreativePages/CustomReportCreativeDetail.aspx?App=23&amp;ReportView=4&amp;Qid=1711279&amp;Row=18704&amp;Col=1","No Title Assigned - #15277949725")</f>
        <v/>
      </c>
      <c r="B18712" s="0" t="s">
        <v>24721</v>
      </c>
      <c r="C18712" s="0" t="s">
        <v>24722</v>
      </c>
      <c r="D18712" s="0" t="s">
        <v>4938</v>
      </c>
      <c r="E18712" s="0" t="inlineStr">
        <is>
          <t xml:space="preserve">Mazda</t>
        </is>
      </c>
      <c r="F18712" s="0" t="s">
        <v>13</v>
      </c>
      <c r="G18712" s="0" t="s">
        <v>49</v>
      </c>
      <c r="H18712" s="5">
        <v>10802.517800</v>
      </c>
    </row>
    <row r="18713" spans="1:9">
      <c r="A18713" s="22" t="str">
        <f>HYPERLINK("https://app.vivvix.com/360/KMI/IntelliDrive/ApplUI/Pages/CreativePages/CustomReportCreativeDetail.aspx?App=23&amp;ReportView=4&amp;Qid=1711279&amp;Row=18705&amp;Col=1","No Title Assigned - #15277949780")</f>
        <v/>
      </c>
      <c r="B18713" s="0" t="s">
        <v>24723</v>
      </c>
      <c r="C18713" s="0" t="s">
        <v>24724</v>
      </c>
      <c r="D18713" s="0" t="s">
        <v>24724</v>
      </c>
      <c r="E18713" s="0" t="inlineStr">
        <is>
          <t xml:space="preserve">Mazda</t>
        </is>
      </c>
      <c r="F18713" s="0" t="s">
        <v>13</v>
      </c>
      <c r="G18713" s="0" t="s">
        <v>49</v>
      </c>
      <c r="H18713" s="5">
        <v>24.220000</v>
      </c>
    </row>
    <row r="18714" spans="1:9">
      <c r="A18714" s="22" t="str">
        <f>HYPERLINK("https://app.vivvix.com/360/KMI/IntelliDrive/ApplUI/Pages/CreativePages/CustomReportCreativeDetail.aspx?App=23&amp;ReportView=4&amp;Qid=1711279&amp;Row=18706&amp;Col=1","No Title Assigned - #15277950845")</f>
        <v/>
      </c>
      <c r="B18714" s="0" t="s">
        <v>24725</v>
      </c>
      <c r="C18714" s="0" t="s">
        <v>24726</v>
      </c>
      <c r="D18714" s="0" t="s">
        <v>24726</v>
      </c>
      <c r="E18714" s="0" t="inlineStr">
        <is>
          <t xml:space="preserve">Mazda</t>
        </is>
      </c>
      <c r="F18714" s="0" t="s">
        <v>13</v>
      </c>
      <c r="G18714" s="0" t="s">
        <v>49</v>
      </c>
      <c r="H18714" s="5">
        <v>7531.338000</v>
      </c>
    </row>
    <row r="18715" spans="1:9">
      <c r="A18715" s="22" t="str">
        <f>HYPERLINK("https://app.vivvix.com/360/KMI/IntelliDrive/ApplUI/Pages/CreativePages/CustomReportCreativeDetail.aspx?App=23&amp;ReportView=4&amp;Qid=1711279&amp;Row=18707&amp;Col=1","No Title Assigned - #15277956356")</f>
        <v/>
      </c>
      <c r="B18715" s="0" t="s">
        <v>24727</v>
      </c>
      <c r="C18715" s="0" t="s">
        <v>24728</v>
      </c>
      <c r="D18715" s="0" t="s">
        <v>24728</v>
      </c>
      <c r="E18715" s="0" t="inlineStr">
        <is>
          <t xml:space="preserve">Mazda</t>
        </is>
      </c>
      <c r="F18715" s="0" t="s">
        <v>13</v>
      </c>
      <c r="G18715" s="0" t="s">
        <v>49</v>
      </c>
      <c r="H18715" s="5">
        <v>946.113300</v>
      </c>
    </row>
    <row r="18716" spans="1:9">
      <c r="A18716" s="22" t="str">
        <f>HYPERLINK("https://app.vivvix.com/360/KMI/IntelliDrive/ApplUI/Pages/CreativePages/CustomReportCreativeDetail.aspx?App=23&amp;ReportView=4&amp;Qid=1711279&amp;Row=18708&amp;Col=1","No Title Assigned - #15277957581")</f>
        <v/>
      </c>
      <c r="B18716" s="0" t="s">
        <v>24729</v>
      </c>
      <c r="C18716" s="0" t="s">
        <v>24730</v>
      </c>
      <c r="D18716" s="0" t="s">
        <v>24730</v>
      </c>
      <c r="E18716" s="0" t="inlineStr">
        <is>
          <t xml:space="preserve">Mazda</t>
        </is>
      </c>
      <c r="F18716" s="0" t="s">
        <v>13</v>
      </c>
      <c r="G18716" s="0" t="s">
        <v>49</v>
      </c>
      <c r="H18716" s="5">
        <v>27009.274300</v>
      </c>
    </row>
    <row r="18717" spans="1:9">
      <c r="A18717" s="22" t="str">
        <f>HYPERLINK("https://app.vivvix.com/360/KMI/IntelliDrive/ApplUI/Pages/CreativePages/CustomReportCreativeDetail.aspx?App=23&amp;ReportView=4&amp;Qid=1711279&amp;Row=18709&amp;Col=1","No Title Assigned - #15277957581")</f>
        <v/>
      </c>
      <c r="B18717" s="0" t="s">
        <v>24729</v>
      </c>
      <c r="E18717" s="0" t="inlineStr">
        <is>
          <t xml:space="preserve">Mazda</t>
        </is>
      </c>
      <c r="F18717" s="0" t="s">
        <v>13</v>
      </c>
      <c r="G18717" s="0" t="s">
        <v>49</v>
      </c>
      <c r="H18717" s="5">
        <v>18416.628900</v>
      </c>
    </row>
    <row r="18718" spans="1:9">
      <c r="A18718" s="22" t="str">
        <f>HYPERLINK("https://app.vivvix.com/360/KMI/IntelliDrive/ApplUI/Pages/CreativePages/CustomReportCreativeDetail.aspx?App=23&amp;ReportView=4&amp;Qid=1711279&amp;Row=18710&amp;Col=1","No Title Assigned - #15277957894")</f>
        <v/>
      </c>
      <c r="B18718" s="0" t="s">
        <v>24731</v>
      </c>
      <c r="C18718" s="0" t="s">
        <v>24732</v>
      </c>
      <c r="D18718" s="0" t="s">
        <v>24732</v>
      </c>
      <c r="E18718" s="0" t="inlineStr">
        <is>
          <t xml:space="preserve">Mazda</t>
        </is>
      </c>
      <c r="F18718" s="0" t="s">
        <v>13</v>
      </c>
      <c r="G18718" s="0" t="s">
        <v>49</v>
      </c>
      <c r="H18718" s="5">
        <v>63.738500</v>
      </c>
    </row>
    <row r="18719" spans="1:9">
      <c r="A18719" s="22" t="str">
        <f>HYPERLINK("https://app.vivvix.com/360/KMI/IntelliDrive/ApplUI/Pages/CreativePages/CustomReportCreativeDetail.aspx?App=23&amp;ReportView=4&amp;Qid=1711279&amp;Row=18711&amp;Col=1","No Title Assigned - #15277958510")</f>
        <v/>
      </c>
      <c r="B18719" s="0" t="s">
        <v>24733</v>
      </c>
      <c r="C18719" s="0" t="s">
        <v>24734</v>
      </c>
      <c r="D18719" s="0" t="s">
        <v>24734</v>
      </c>
      <c r="E18719" s="0" t="inlineStr">
        <is>
          <t xml:space="preserve">Mazda</t>
        </is>
      </c>
      <c r="F18719" s="0" t="s">
        <v>13</v>
      </c>
      <c r="G18719" s="0" t="s">
        <v>49</v>
      </c>
      <c r="H18719" s="5">
        <v>224192.188800</v>
      </c>
    </row>
    <row r="18720" spans="1:9">
      <c r="A18720" s="22" t="str">
        <f>HYPERLINK("https://app.vivvix.com/360/KMI/IntelliDrive/ApplUI/Pages/CreativePages/CustomReportCreativeDetail.aspx?App=23&amp;ReportView=4&amp;Qid=1711279&amp;Row=18712&amp;Col=1","No Title Assigned - #15277958511")</f>
        <v/>
      </c>
      <c r="B18720" s="0" t="s">
        <v>24735</v>
      </c>
      <c r="C18720" s="0" t="s">
        <v>24736</v>
      </c>
      <c r="D18720" s="0" t="s">
        <v>24736</v>
      </c>
      <c r="E18720" s="0" t="inlineStr">
        <is>
          <t xml:space="preserve">Mazda</t>
        </is>
      </c>
      <c r="F18720" s="0" t="s">
        <v>13</v>
      </c>
      <c r="G18720" s="0" t="s">
        <v>49</v>
      </c>
      <c r="H18720" s="5">
        <v>61587.835800</v>
      </c>
    </row>
    <row r="18721" spans="1:9">
      <c r="A18721" s="22" t="str">
        <f>HYPERLINK("https://app.vivvix.com/360/KMI/IntelliDrive/ApplUI/Pages/CreativePages/CustomReportCreativeDetail.aspx?App=23&amp;ReportView=4&amp;Qid=1711279&amp;Row=18713&amp;Col=1","No Title Assigned - #15277959210")</f>
        <v/>
      </c>
      <c r="B18721" s="0" t="s">
        <v>24737</v>
      </c>
      <c r="C18721" s="0" t="s">
        <v>24738</v>
      </c>
      <c r="D18721" s="0" t="s">
        <v>24738</v>
      </c>
      <c r="E18721" s="0" t="inlineStr">
        <is>
          <t xml:space="preserve">Mazda</t>
        </is>
      </c>
      <c r="F18721" s="0" t="s">
        <v>13</v>
      </c>
      <c r="G18721" s="0" t="s">
        <v>49</v>
      </c>
      <c r="H18721" s="5">
        <v>38.997400</v>
      </c>
    </row>
    <row r="18722" spans="1:9">
      <c r="A18722" s="22" t="str">
        <f>HYPERLINK("https://app.vivvix.com/360/KMI/IntelliDrive/ApplUI/Pages/CreativePages/CustomReportCreativeDetail.aspx?App=23&amp;ReportView=4&amp;Qid=1711279&amp;Row=18714&amp;Col=1","No Title Assigned - #15277959253")</f>
        <v/>
      </c>
      <c r="B18722" s="0" t="s">
        <v>24739</v>
      </c>
      <c r="C18722" s="0" t="s">
        <v>24740</v>
      </c>
      <c r="D18722" s="0" t="s">
        <v>24740</v>
      </c>
      <c r="E18722" s="0" t="inlineStr">
        <is>
          <t xml:space="preserve">Mazda</t>
        </is>
      </c>
      <c r="F18722" s="0" t="s">
        <v>13</v>
      </c>
      <c r="G18722" s="0" t="s">
        <v>49</v>
      </c>
      <c r="H18722" s="5">
        <v>7931.508600</v>
      </c>
    </row>
    <row r="18723" spans="1:9">
      <c r="A18723" s="22" t="str">
        <f>HYPERLINK("https://app.vivvix.com/360/KMI/IntelliDrive/ApplUI/Pages/CreativePages/CustomReportCreativeDetail.aspx?App=23&amp;ReportView=4&amp;Qid=1711279&amp;Row=18715&amp;Col=1","No Title Assigned - #15277960606")</f>
        <v/>
      </c>
      <c r="B18723" s="0" t="s">
        <v>24741</v>
      </c>
      <c r="C18723" s="0" t="s">
        <v>24742</v>
      </c>
      <c r="D18723" s="0" t="s">
        <v>24742</v>
      </c>
      <c r="E18723" s="0" t="inlineStr">
        <is>
          <t xml:space="preserve">Mazda</t>
        </is>
      </c>
      <c r="F18723" s="0" t="s">
        <v>13</v>
      </c>
      <c r="G18723" s="0" t="s">
        <v>49</v>
      </c>
      <c r="H18723" s="5">
        <v>1451.634200</v>
      </c>
    </row>
    <row r="18724" spans="1:9">
      <c r="A18724" s="22" t="str">
        <f>HYPERLINK("https://app.vivvix.com/360/KMI/IntelliDrive/ApplUI/Pages/CreativePages/CustomReportCreativeDetail.aspx?App=23&amp;ReportView=4&amp;Qid=1711279&amp;Row=18716&amp;Col=1","No Title Assigned - #15277965112")</f>
        <v/>
      </c>
      <c r="B18724" s="0" t="s">
        <v>24743</v>
      </c>
      <c r="E18724" s="0" t="inlineStr">
        <is>
          <t xml:space="preserve">Mazda</t>
        </is>
      </c>
      <c r="F18724" s="0" t="inlineStr">
        <is>
          <t xml:space="preserve">Mazda</t>
        </is>
      </c>
      <c r="G18724" s="0" t="s">
        <v>171</v>
      </c>
      <c r="H18724" s="5">
        <v>699.771800</v>
      </c>
    </row>
    <row r="18725" spans="1:9">
      <c r="A18725" s="22" t="str">
        <f>HYPERLINK("https://app.vivvix.com/360/KMI/IntelliDrive/ApplUI/Pages/CreativePages/CustomReportCreativeDetail.aspx?App=23&amp;ReportView=4&amp;Qid=1711279&amp;Row=18717&amp;Col=1","No Title Assigned - #15277965258")</f>
        <v/>
      </c>
      <c r="B18725" s="0" t="s">
        <v>24744</v>
      </c>
      <c r="E18725" s="0" t="inlineStr">
        <is>
          <t xml:space="preserve">Mazda</t>
        </is>
      </c>
      <c r="F18725" s="0" t="inlineStr">
        <is>
          <t xml:space="preserve">Mazda</t>
        </is>
      </c>
      <c r="G18725" s="0" t="s">
        <v>171</v>
      </c>
      <c r="H18725" s="5">
        <v>383.962300</v>
      </c>
    </row>
    <row r="18726" spans="1:9">
      <c r="A18726" s="22" t="str">
        <f>HYPERLINK("https://app.vivvix.com/360/KMI/IntelliDrive/ApplUI/Pages/CreativePages/CustomReportCreativeDetail.aspx?App=23&amp;ReportView=4&amp;Qid=1711279&amp;Row=18718&amp;Col=1","No Title Assigned - #15277966012")</f>
        <v/>
      </c>
      <c r="B18726" s="0" t="s">
        <v>24745</v>
      </c>
      <c r="E18726" s="0" t="inlineStr">
        <is>
          <t xml:space="preserve">Mazda</t>
        </is>
      </c>
      <c r="F18726" s="0" t="s">
        <v>13</v>
      </c>
      <c r="G18726" s="0" t="s">
        <v>49</v>
      </c>
      <c r="H18726" s="5">
        <v>6.565100</v>
      </c>
    </row>
    <row r="18727" spans="1:9">
      <c r="A18727" s="22" t="str">
        <f>HYPERLINK("https://app.vivvix.com/360/KMI/IntelliDrive/ApplUI/Pages/CreativePages/CustomReportCreativeDetail.aspx?App=23&amp;ReportView=4&amp;Qid=1711279&amp;Row=18719&amp;Col=1","No Title Assigned - #15277966103")</f>
        <v/>
      </c>
      <c r="B18727" s="0" t="s">
        <v>24746</v>
      </c>
      <c r="E18727" s="0" t="inlineStr">
        <is>
          <t xml:space="preserve">Mazda</t>
        </is>
      </c>
      <c r="F18727" s="0" t="inlineStr">
        <is>
          <t xml:space="preserve">Mazda</t>
        </is>
      </c>
      <c r="G18727" s="0" t="s">
        <v>171</v>
      </c>
      <c r="H18727" s="5">
        <v>1372.010300</v>
      </c>
    </row>
    <row r="18728" spans="1:9">
      <c r="A18728" s="22" t="str">
        <f>HYPERLINK("https://app.vivvix.com/360/KMI/IntelliDrive/ApplUI/Pages/CreativePages/CustomReportCreativeDetail.aspx?App=23&amp;ReportView=4&amp;Qid=1711279&amp;Row=18720&amp;Col=1","No Title Assigned - #15277966883")</f>
        <v/>
      </c>
      <c r="B18728" s="0" t="s">
        <v>24747</v>
      </c>
      <c r="E18728" s="0" t="inlineStr">
        <is>
          <t xml:space="preserve">Mazda</t>
        </is>
      </c>
      <c r="F18728" s="0" t="inlineStr">
        <is>
          <t xml:space="preserve">Mazda</t>
        </is>
      </c>
      <c r="G18728" s="0" t="s">
        <v>171</v>
      </c>
      <c r="H18728" s="5">
        <v>60.358600</v>
      </c>
    </row>
    <row r="18729" spans="1:9">
      <c r="A18729" s="22" t="str">
        <f>HYPERLINK("https://app.vivvix.com/360/KMI/IntelliDrive/ApplUI/Pages/CreativePages/CustomReportCreativeDetail.aspx?App=23&amp;ReportView=4&amp;Qid=1711279&amp;Row=18721&amp;Col=1","No Title Assigned - #15277967884")</f>
        <v/>
      </c>
      <c r="B18729" s="0" t="s">
        <v>24748</v>
      </c>
      <c r="E18729" s="0" t="inlineStr">
        <is>
          <t xml:space="preserve">Mazda</t>
        </is>
      </c>
      <c r="F18729" s="0" t="inlineStr">
        <is>
          <t xml:space="preserve">Mazda</t>
        </is>
      </c>
      <c r="G18729" s="0" t="s">
        <v>171</v>
      </c>
      <c r="H18729" s="5">
        <v>456.512400</v>
      </c>
    </row>
    <row r="18730" spans="1:9">
      <c r="A18730" s="22" t="str">
        <f>HYPERLINK("https://app.vivvix.com/360/KMI/IntelliDrive/ApplUI/Pages/CreativePages/CustomReportCreativeDetail.aspx?App=23&amp;ReportView=4&amp;Qid=1711279&amp;Row=18722&amp;Col=1","No Title Assigned - #15277972016")</f>
        <v/>
      </c>
      <c r="B18730" s="0" t="s">
        <v>24749</v>
      </c>
      <c r="C18730" s="0" t="s">
        <v>24750</v>
      </c>
      <c r="D18730" s="0" t="s">
        <v>24750</v>
      </c>
      <c r="E18730" s="0" t="inlineStr">
        <is>
          <t xml:space="preserve">Mazda</t>
        </is>
      </c>
      <c r="F18730" s="0" t="s">
        <v>13</v>
      </c>
      <c r="G18730" s="0" t="s">
        <v>49</v>
      </c>
      <c r="H18730" s="5">
        <v>92.764600</v>
      </c>
    </row>
    <row r="18731" spans="1:9">
      <c r="A18731" s="22" t="str">
        <f>HYPERLINK("https://app.vivvix.com/360/KMI/IntelliDrive/ApplUI/Pages/CreativePages/CustomReportCreativeDetail.aspx?App=23&amp;ReportView=4&amp;Qid=1711279&amp;Row=18723&amp;Col=1","No Title Assigned - #15277979350")</f>
        <v/>
      </c>
      <c r="B18731" s="0" t="s">
        <v>24751</v>
      </c>
      <c r="E18731" s="0" t="inlineStr">
        <is>
          <t xml:space="preserve">Mazda</t>
        </is>
      </c>
      <c r="F18731" s="0" t="inlineStr">
        <is>
          <t xml:space="preserve">Mazda</t>
        </is>
      </c>
      <c r="G18731" s="0" t="s">
        <v>171</v>
      </c>
      <c r="H18731" s="5">
        <v>1055.358900</v>
      </c>
    </row>
    <row r="18732" spans="1:9">
      <c r="A18732" s="22" t="str">
        <f>HYPERLINK("https://app.vivvix.com/360/KMI/IntelliDrive/ApplUI/Pages/CreativePages/CustomReportCreativeDetail.aspx?App=23&amp;ReportView=4&amp;Qid=1711279&amp;Row=18724&amp;Col=1","No Title Assigned - #15277979933")</f>
        <v/>
      </c>
      <c r="B18732" s="0" t="s">
        <v>24752</v>
      </c>
      <c r="E18732" s="0" t="inlineStr">
        <is>
          <t xml:space="preserve">Mazda</t>
        </is>
      </c>
      <c r="F18732" s="0" t="inlineStr">
        <is>
          <t xml:space="preserve">Mazda</t>
        </is>
      </c>
      <c r="G18732" s="0" t="s">
        <v>171</v>
      </c>
      <c r="H18732" s="5">
        <v>24.302300</v>
      </c>
    </row>
    <row r="18733" spans="1:9">
      <c r="A18733" s="22" t="str">
        <f>HYPERLINK("https://app.vivvix.com/360/KMI/IntelliDrive/ApplUI/Pages/CreativePages/CustomReportCreativeDetail.aspx?App=23&amp;ReportView=4&amp;Qid=1711279&amp;Row=18725&amp;Col=1","No Title Assigned - #15277979934")</f>
        <v/>
      </c>
      <c r="B18733" s="0" t="s">
        <v>24753</v>
      </c>
      <c r="E18733" s="0" t="inlineStr">
        <is>
          <t xml:space="preserve">Mazda</t>
        </is>
      </c>
      <c r="F18733" s="0" t="inlineStr">
        <is>
          <t xml:space="preserve">Mazda</t>
        </is>
      </c>
      <c r="G18733" s="0" t="s">
        <v>171</v>
      </c>
      <c r="H18733" s="5">
        <v>60947.334700</v>
      </c>
    </row>
    <row r="18734" spans="1:9">
      <c r="A18734" s="22" t="str">
        <f>HYPERLINK("https://app.vivvix.com/360/KMI/IntelliDrive/ApplUI/Pages/CreativePages/CustomReportCreativeDetail.aspx?App=23&amp;ReportView=4&amp;Qid=1711279&amp;Row=18726&amp;Col=1","No Title Assigned - #15277980117")</f>
        <v/>
      </c>
      <c r="B18734" s="0" t="s">
        <v>24754</v>
      </c>
      <c r="E18734" s="0" t="inlineStr">
        <is>
          <t xml:space="preserve">Mazda</t>
        </is>
      </c>
      <c r="F18734" s="0" t="inlineStr">
        <is>
          <t xml:space="preserve">Mazda</t>
        </is>
      </c>
      <c r="G18734" s="0" t="s">
        <v>171</v>
      </c>
      <c r="H18734" s="5">
        <v>15.593600</v>
      </c>
    </row>
    <row r="18735" spans="1:9">
      <c r="A18735" s="22" t="str">
        <f>HYPERLINK("https://app.vivvix.com/360/KMI/IntelliDrive/ApplUI/Pages/CreativePages/CustomReportCreativeDetail.aspx?App=23&amp;ReportView=4&amp;Qid=1711279&amp;Row=18727&amp;Col=1","No Title Assigned - #15277980183")</f>
        <v/>
      </c>
      <c r="B18735" s="0" t="s">
        <v>24755</v>
      </c>
      <c r="C18735" s="0" t="s">
        <v>24756</v>
      </c>
      <c r="D18735" s="0" t="s">
        <v>19758</v>
      </c>
      <c r="E18735" s="0" t="inlineStr">
        <is>
          <t xml:space="preserve">Mazda</t>
        </is>
      </c>
      <c r="F18735" s="0" t="s">
        <v>13</v>
      </c>
      <c r="G18735" s="0" t="s">
        <v>49</v>
      </c>
      <c r="H18735" s="5">
        <v>41.404500</v>
      </c>
    </row>
    <row r="18736" spans="1:9">
      <c r="A18736" s="22" t="str">
        <f>HYPERLINK("https://app.vivvix.com/360/KMI/IntelliDrive/ApplUI/Pages/CreativePages/CustomReportCreativeDetail.aspx?App=23&amp;ReportView=4&amp;Qid=1711279&amp;Row=18728&amp;Col=1","No Title Assigned - #15277980268")</f>
        <v/>
      </c>
      <c r="B18736" s="0" t="s">
        <v>24757</v>
      </c>
      <c r="E18736" s="0" t="inlineStr">
        <is>
          <t xml:space="preserve">Mazda</t>
        </is>
      </c>
      <c r="F18736" s="0" t="inlineStr">
        <is>
          <t xml:space="preserve">Mazda</t>
        </is>
      </c>
      <c r="G18736" s="0" t="s">
        <v>171</v>
      </c>
      <c r="H18736" s="5">
        <v>220.508800</v>
      </c>
    </row>
    <row r="18737" spans="1:9">
      <c r="A18737" s="22" t="str">
        <f>HYPERLINK("https://app.vivvix.com/360/KMI/IntelliDrive/ApplUI/Pages/CreativePages/CustomReportCreativeDetail.aspx?App=23&amp;ReportView=4&amp;Qid=1711279&amp;Row=18729&amp;Col=1","No Title Assigned - #15277980423")</f>
        <v/>
      </c>
      <c r="B18737" s="0" t="s">
        <v>24758</v>
      </c>
      <c r="E18737" s="0" t="inlineStr">
        <is>
          <t xml:space="preserve">Mazda</t>
        </is>
      </c>
      <c r="F18737" s="0" t="inlineStr">
        <is>
          <t xml:space="preserve">Mazda</t>
        </is>
      </c>
      <c r="G18737" s="0" t="s">
        <v>171</v>
      </c>
      <c r="H18737" s="5">
        <v>27.282500</v>
      </c>
    </row>
    <row r="18738" spans="1:9">
      <c r="A18738" s="22" t="str">
        <f>HYPERLINK("https://app.vivvix.com/360/KMI/IntelliDrive/ApplUI/Pages/CreativePages/CustomReportCreativeDetail.aspx?App=23&amp;ReportView=4&amp;Qid=1711279&amp;Row=18730&amp;Col=1","No Title Assigned - #15277980506")</f>
        <v/>
      </c>
      <c r="B18738" s="0" t="s">
        <v>24759</v>
      </c>
      <c r="E18738" s="0" t="inlineStr">
        <is>
          <t xml:space="preserve">Mazda</t>
        </is>
      </c>
      <c r="F18738" s="0" t="inlineStr">
        <is>
          <t xml:space="preserve">Mazda</t>
        </is>
      </c>
      <c r="G18738" s="0" t="s">
        <v>171</v>
      </c>
      <c r="H18738" s="5">
        <v>15.593600</v>
      </c>
    </row>
    <row r="18739" spans="1:9">
      <c r="A18739" s="22" t="str">
        <f>HYPERLINK("https://app.vivvix.com/360/KMI/IntelliDrive/ApplUI/Pages/CreativePages/CustomReportCreativeDetail.aspx?App=23&amp;ReportView=4&amp;Qid=1711279&amp;Row=18731&amp;Col=1","No Title Assigned - #15277980527")</f>
        <v/>
      </c>
      <c r="B18739" s="0" t="s">
        <v>24760</v>
      </c>
      <c r="E18739" s="0" t="inlineStr">
        <is>
          <t xml:space="preserve">Mazda</t>
        </is>
      </c>
      <c r="F18739" s="0" t="inlineStr">
        <is>
          <t xml:space="preserve">Mazda</t>
        </is>
      </c>
      <c r="G18739" s="0" t="s">
        <v>171</v>
      </c>
      <c r="H18739" s="5">
        <v>112.451700</v>
      </c>
    </row>
    <row r="18740" spans="1:9">
      <c r="A18740" s="22" t="str">
        <f>HYPERLINK("https://app.vivvix.com/360/KMI/IntelliDrive/ApplUI/Pages/CreativePages/CustomReportCreativeDetail.aspx?App=23&amp;ReportView=4&amp;Qid=1711279&amp;Row=18732&amp;Col=1","No Title Assigned - #15277987233")</f>
        <v/>
      </c>
      <c r="B18740" s="0" t="s">
        <v>24761</v>
      </c>
      <c r="C18740" s="0" t="s">
        <v>24762</v>
      </c>
      <c r="D18740" s="0" t="s">
        <v>24762</v>
      </c>
      <c r="E18740" s="0" t="inlineStr">
        <is>
          <t xml:space="preserve">Mazda</t>
        </is>
      </c>
      <c r="F18740" s="0" t="s">
        <v>13</v>
      </c>
      <c r="G18740" s="0" t="s">
        <v>49</v>
      </c>
      <c r="H18740" s="5">
        <v>5.910100</v>
      </c>
    </row>
    <row r="18741" spans="1:9">
      <c r="A18741" s="22" t="str">
        <f>HYPERLINK("https://app.vivvix.com/360/KMI/IntelliDrive/ApplUI/Pages/CreativePages/CustomReportCreativeDetail.aspx?App=23&amp;ReportView=4&amp;Qid=1711279&amp;Row=18733&amp;Col=1","No Title Assigned - #15277987632")</f>
        <v/>
      </c>
      <c r="B18741" s="0" t="s">
        <v>24763</v>
      </c>
      <c r="E18741" s="0" t="inlineStr">
        <is>
          <t xml:space="preserve">Mazda</t>
        </is>
      </c>
      <c r="F18741" s="0" t="inlineStr">
        <is>
          <t xml:space="preserve">Mazda</t>
        </is>
      </c>
      <c r="G18741" s="0" t="s">
        <v>171</v>
      </c>
      <c r="H18741" s="5">
        <v>3057.122600</v>
      </c>
    </row>
    <row r="18742" spans="1:9">
      <c r="A18742" s="22" t="str">
        <f>HYPERLINK("https://app.vivvix.com/360/KMI/IntelliDrive/ApplUI/Pages/CreativePages/CustomReportCreativeDetail.aspx?App=23&amp;ReportView=4&amp;Qid=1711279&amp;Row=18734&amp;Col=1","No Title Assigned - #15277994363")</f>
        <v/>
      </c>
      <c r="B18742" s="0" t="s">
        <v>24764</v>
      </c>
      <c r="C18742" s="0" t="s">
        <v>24765</v>
      </c>
      <c r="D18742" s="0" t="s">
        <v>19822</v>
      </c>
      <c r="E18742" s="0" t="inlineStr">
        <is>
          <t xml:space="preserve">Mazda</t>
        </is>
      </c>
      <c r="F18742" s="0" t="s">
        <v>28</v>
      </c>
      <c r="G18742" s="0" t="s">
        <v>29</v>
      </c>
      <c r="H18742" s="5">
        <v>1021.773500</v>
      </c>
    </row>
    <row r="18743" spans="1:9">
      <c r="A18743" s="22" t="str">
        <f>HYPERLINK("https://app.vivvix.com/360/KMI/IntelliDrive/ApplUI/Pages/CreativePages/CustomReportCreativeDetail.aspx?App=23&amp;ReportView=4&amp;Qid=1711279&amp;Row=18735&amp;Col=1","No Title Assigned - #15277994486")</f>
        <v/>
      </c>
      <c r="B18743" s="0" t="s">
        <v>24766</v>
      </c>
      <c r="C18743" s="0" t="s">
        <v>24767</v>
      </c>
      <c r="D18743" s="0" t="s">
        <v>24767</v>
      </c>
      <c r="E18743" s="0" t="inlineStr">
        <is>
          <t xml:space="preserve">Mazda</t>
        </is>
      </c>
      <c r="F18743" s="0" t="s">
        <v>28</v>
      </c>
      <c r="G18743" s="0" t="s">
        <v>29</v>
      </c>
      <c r="H18743" s="5">
        <v>163403.359100</v>
      </c>
    </row>
    <row r="18744" spans="1:9">
      <c r="A18744" s="22" t="str">
        <f>HYPERLINK("https://app.vivvix.com/360/KMI/IntelliDrive/ApplUI/Pages/CreativePages/CustomReportCreativeDetail.aspx?App=23&amp;ReportView=4&amp;Qid=1711279&amp;Row=18736&amp;Col=1","No Title Assigned - #15277997795")</f>
        <v/>
      </c>
      <c r="B18744" s="0" t="s">
        <v>24768</v>
      </c>
      <c r="C18744" s="0" t="s">
        <v>24769</v>
      </c>
      <c r="D18744" s="0" t="s">
        <v>5733</v>
      </c>
      <c r="E18744" s="0" t="inlineStr">
        <is>
          <t xml:space="preserve">Mazda</t>
        </is>
      </c>
      <c r="F18744" s="0" t="s">
        <v>28</v>
      </c>
      <c r="G18744" s="0" t="s">
        <v>29</v>
      </c>
      <c r="H18744" s="5">
        <v>1326.744300</v>
      </c>
    </row>
    <row r="18745" spans="1:9">
      <c r="A18745" s="22" t="str">
        <f>HYPERLINK("https://app.vivvix.com/360/KMI/IntelliDrive/ApplUI/Pages/CreativePages/CustomReportCreativeDetail.aspx?App=23&amp;ReportView=4&amp;Qid=1711279&amp;Row=18737&amp;Col=1","No Title Assigned - #15277998146")</f>
        <v/>
      </c>
      <c r="B18745" s="0" t="s">
        <v>24770</v>
      </c>
      <c r="C18745" s="0" t="s">
        <v>24771</v>
      </c>
      <c r="D18745" s="0" t="s">
        <v>24771</v>
      </c>
      <c r="E18745" s="0" t="inlineStr">
        <is>
          <t xml:space="preserve">Mazda</t>
        </is>
      </c>
      <c r="F18745" s="0" t="s">
        <v>28</v>
      </c>
      <c r="G18745" s="0" t="s">
        <v>29</v>
      </c>
      <c r="H18745" s="5">
        <v>627.234100</v>
      </c>
    </row>
    <row r="18746" spans="1:9">
      <c r="A18746" s="22" t="str">
        <f>HYPERLINK("https://app.vivvix.com/360/KMI/IntelliDrive/ApplUI/Pages/CreativePages/CustomReportCreativeDetail.aspx?App=23&amp;ReportView=4&amp;Qid=1711279&amp;Row=18738&amp;Col=1","No Title Assigned - #15277998146")</f>
        <v/>
      </c>
      <c r="B18746" s="0" t="s">
        <v>24770</v>
      </c>
      <c r="E18746" s="0" t="inlineStr">
        <is>
          <t xml:space="preserve">Mazda</t>
        </is>
      </c>
      <c r="F18746" s="0" t="s">
        <v>28</v>
      </c>
      <c r="G18746" s="0" t="s">
        <v>29</v>
      </c>
      <c r="H18746" s="5">
        <v>116.138000</v>
      </c>
    </row>
    <row r="18747" spans="1:9">
      <c r="A18747" s="22" t="str">
        <f>HYPERLINK("https://app.vivvix.com/360/KMI/IntelliDrive/ApplUI/Pages/CreativePages/CustomReportCreativeDetail.aspx?App=23&amp;ReportView=4&amp;Qid=1711279&amp;Row=18739&amp;Col=1","No Title Assigned - #15277998718")</f>
        <v/>
      </c>
      <c r="B18747" s="0" t="s">
        <v>24772</v>
      </c>
      <c r="C18747" s="0" t="s">
        <v>24773</v>
      </c>
      <c r="D18747" s="0" t="s">
        <v>24773</v>
      </c>
      <c r="E18747" s="0" t="inlineStr">
        <is>
          <t xml:space="preserve">Mazda</t>
        </is>
      </c>
      <c r="F18747" s="0" t="s">
        <v>28</v>
      </c>
      <c r="G18747" s="0" t="s">
        <v>29</v>
      </c>
      <c r="H18747" s="5">
        <v>411.124800</v>
      </c>
    </row>
    <row r="18748" spans="1:9">
      <c r="A18748" s="22" t="str">
        <f>HYPERLINK("https://app.vivvix.com/360/KMI/IntelliDrive/ApplUI/Pages/CreativePages/CustomReportCreativeDetail.aspx?App=23&amp;ReportView=4&amp;Qid=1711279&amp;Row=18740&amp;Col=1","No Title Assigned - #15277999847")</f>
        <v/>
      </c>
      <c r="B18748" s="0" t="s">
        <v>24774</v>
      </c>
      <c r="C18748" s="0" t="s">
        <v>24775</v>
      </c>
      <c r="D18748" s="0" t="s">
        <v>12950</v>
      </c>
      <c r="E18748" s="0" t="inlineStr">
        <is>
          <t xml:space="preserve">Mazda</t>
        </is>
      </c>
      <c r="F18748" s="0" t="s">
        <v>28</v>
      </c>
      <c r="G18748" s="0" t="s">
        <v>29</v>
      </c>
      <c r="H18748" s="5">
        <v>431.318700</v>
      </c>
    </row>
    <row r="18749" spans="1:9">
      <c r="A18749" s="22" t="str">
        <f>HYPERLINK("https://app.vivvix.com/360/KMI/IntelliDrive/ApplUI/Pages/CreativePages/CustomReportCreativeDetail.aspx?App=23&amp;ReportView=4&amp;Qid=1711279&amp;Row=18741&amp;Col=1","No Title Assigned - #15278000044")</f>
        <v/>
      </c>
      <c r="B18749" s="0" t="s">
        <v>24776</v>
      </c>
      <c r="C18749" s="0" t="s">
        <v>24777</v>
      </c>
      <c r="D18749" s="0" t="s">
        <v>24777</v>
      </c>
      <c r="E18749" s="0" t="inlineStr">
        <is>
          <t xml:space="preserve">Mazda</t>
        </is>
      </c>
      <c r="F18749" s="0" t="s">
        <v>28</v>
      </c>
      <c r="G18749" s="0" t="s">
        <v>29</v>
      </c>
      <c r="H18749" s="5">
        <v>1028.488400</v>
      </c>
    </row>
    <row r="18750" spans="1:9">
      <c r="A18750" s="22" t="str">
        <f>HYPERLINK("https://app.vivvix.com/360/KMI/IntelliDrive/ApplUI/Pages/CreativePages/CustomReportCreativeDetail.aspx?App=23&amp;ReportView=4&amp;Qid=1711279&amp;Row=18742&amp;Col=1","No Title Assigned - #15278000143")</f>
        <v/>
      </c>
      <c r="B18750" s="0" t="s">
        <v>24778</v>
      </c>
      <c r="C18750" s="0" t="s">
        <v>24779</v>
      </c>
      <c r="D18750" s="0" t="s">
        <v>24779</v>
      </c>
      <c r="E18750" s="0" t="inlineStr">
        <is>
          <t xml:space="preserve">Mazda</t>
        </is>
      </c>
      <c r="F18750" s="0" t="s">
        <v>28</v>
      </c>
      <c r="G18750" s="0" t="s">
        <v>29</v>
      </c>
      <c r="H18750" s="5">
        <v>193.514500</v>
      </c>
    </row>
    <row r="18751" spans="1:9">
      <c r="A18751" s="22" t="str">
        <f>HYPERLINK("https://app.vivvix.com/360/KMI/IntelliDrive/ApplUI/Pages/CreativePages/CustomReportCreativeDetail.aspx?App=23&amp;ReportView=4&amp;Qid=1711279&amp;Row=18743&amp;Col=1","No Title Assigned - #15278000144")</f>
        <v/>
      </c>
      <c r="B18751" s="0" t="s">
        <v>24780</v>
      </c>
      <c r="C18751" s="0" t="s">
        <v>24781</v>
      </c>
      <c r="D18751" s="0" t="s">
        <v>4225</v>
      </c>
      <c r="E18751" s="0" t="inlineStr">
        <is>
          <t xml:space="preserve">Mazda</t>
        </is>
      </c>
      <c r="F18751" s="0" t="s">
        <v>28</v>
      </c>
      <c r="G18751" s="0" t="s">
        <v>29</v>
      </c>
      <c r="H18751" s="5">
        <v>193.514500</v>
      </c>
    </row>
    <row r="18752" spans="1:9">
      <c r="A18752" s="22" t="str">
        <f>HYPERLINK("https://app.vivvix.com/360/KMI/IntelliDrive/ApplUI/Pages/CreativePages/CustomReportCreativeDetail.aspx?App=23&amp;ReportView=4&amp;Qid=1711279&amp;Row=18744&amp;Col=1","No Title Assigned - #15278000558")</f>
        <v/>
      </c>
      <c r="B18752" s="0" t="s">
        <v>24782</v>
      </c>
      <c r="C18752" s="0" t="s">
        <v>24783</v>
      </c>
      <c r="D18752" s="0" t="s">
        <v>24783</v>
      </c>
      <c r="E18752" s="0" t="inlineStr">
        <is>
          <t xml:space="preserve">Mazda</t>
        </is>
      </c>
      <c r="F18752" s="0" t="s">
        <v>28</v>
      </c>
      <c r="G18752" s="0" t="s">
        <v>29</v>
      </c>
      <c r="H18752" s="5">
        <v>395.191200</v>
      </c>
    </row>
    <row r="18753" spans="1:9">
      <c r="A18753" s="22" t="str">
        <f>HYPERLINK("https://app.vivvix.com/360/KMI/IntelliDrive/ApplUI/Pages/CreativePages/CustomReportCreativeDetail.aspx?App=23&amp;ReportView=4&amp;Qid=1711279&amp;Row=18745&amp;Col=1","No Title Assigned - #15278000738")</f>
        <v/>
      </c>
      <c r="B18753" s="0" t="s">
        <v>24784</v>
      </c>
      <c r="C18753" s="0" t="s">
        <v>24785</v>
      </c>
      <c r="D18753" s="0" t="s">
        <v>24785</v>
      </c>
      <c r="E18753" s="0" t="inlineStr">
        <is>
          <t xml:space="preserve">Mazda</t>
        </is>
      </c>
      <c r="F18753" s="0" t="s">
        <v>28</v>
      </c>
      <c r="G18753" s="0" t="s">
        <v>29</v>
      </c>
      <c r="H18753" s="5">
        <v>137.288100</v>
      </c>
    </row>
    <row r="18754" spans="1:9">
      <c r="A18754" s="22" t="str">
        <f>HYPERLINK("https://app.vivvix.com/360/KMI/IntelliDrive/ApplUI/Pages/CreativePages/CustomReportCreativeDetail.aspx?App=23&amp;ReportView=4&amp;Qid=1711279&amp;Row=18746&amp;Col=1","No Title Assigned - #15278000794")</f>
        <v/>
      </c>
      <c r="B18754" s="0" t="s">
        <v>24786</v>
      </c>
      <c r="C18754" s="0" t="s">
        <v>24787</v>
      </c>
      <c r="D18754" s="0" t="s">
        <v>24787</v>
      </c>
      <c r="E18754" s="0" t="inlineStr">
        <is>
          <t xml:space="preserve">Mazda</t>
        </is>
      </c>
      <c r="F18754" s="0" t="s">
        <v>28</v>
      </c>
      <c r="G18754" s="0" t="s">
        <v>29</v>
      </c>
      <c r="H18754" s="5">
        <v>146.615800</v>
      </c>
    </row>
    <row r="18755" spans="1:9">
      <c r="A18755" s="22" t="str">
        <f>HYPERLINK("https://app.vivvix.com/360/KMI/IntelliDrive/ApplUI/Pages/CreativePages/CustomReportCreativeDetail.aspx?App=23&amp;ReportView=4&amp;Qid=1711279&amp;Row=18747&amp;Col=1","No Title Assigned - #15278000795")</f>
        <v/>
      </c>
      <c r="B18755" s="0" t="s">
        <v>24788</v>
      </c>
      <c r="C18755" s="0" t="s">
        <v>24789</v>
      </c>
      <c r="D18755" s="0" t="s">
        <v>24789</v>
      </c>
      <c r="E18755" s="0" t="inlineStr">
        <is>
          <t xml:space="preserve">Mazda</t>
        </is>
      </c>
      <c r="F18755" s="0" t="s">
        <v>28</v>
      </c>
      <c r="G18755" s="0" t="s">
        <v>29</v>
      </c>
      <c r="H18755" s="5">
        <v>293.231600</v>
      </c>
    </row>
    <row r="18756" spans="1:9">
      <c r="A18756" s="22" t="str">
        <f>HYPERLINK("https://app.vivvix.com/360/KMI/IntelliDrive/ApplUI/Pages/CreativePages/CustomReportCreativeDetail.aspx?App=23&amp;ReportView=4&amp;Qid=1711279&amp;Row=18748&amp;Col=1","No Title Assigned - #15278001035")</f>
        <v/>
      </c>
      <c r="B18756" s="0" t="s">
        <v>24790</v>
      </c>
      <c r="C18756" s="0" t="s">
        <v>24791</v>
      </c>
      <c r="D18756" s="0" t="s">
        <v>24791</v>
      </c>
      <c r="E18756" s="0" t="inlineStr">
        <is>
          <t xml:space="preserve">Mazda</t>
        </is>
      </c>
      <c r="F18756" s="0" t="s">
        <v>28</v>
      </c>
      <c r="G18756" s="0" t="s">
        <v>29</v>
      </c>
      <c r="H18756" s="5">
        <v>2233.871000</v>
      </c>
    </row>
    <row r="18757" spans="1:9">
      <c r="A18757" s="22" t="str">
        <f>HYPERLINK("https://app.vivvix.com/360/KMI/IntelliDrive/ApplUI/Pages/CreativePages/CustomReportCreativeDetail.aspx?App=23&amp;ReportView=4&amp;Qid=1711279&amp;Row=18749&amp;Col=1","No Title Assigned - #15278001113")</f>
        <v/>
      </c>
      <c r="B18757" s="0" t="s">
        <v>24792</v>
      </c>
      <c r="C18757" s="0" t="s">
        <v>24793</v>
      </c>
      <c r="D18757" s="0" t="s">
        <v>24793</v>
      </c>
      <c r="E18757" s="0" t="inlineStr">
        <is>
          <t xml:space="preserve">Mazda</t>
        </is>
      </c>
      <c r="F18757" s="0" t="s">
        <v>28</v>
      </c>
      <c r="G18757" s="0" t="s">
        <v>29</v>
      </c>
      <c r="H18757" s="5">
        <v>417.292000</v>
      </c>
    </row>
    <row r="18758" spans="1:9">
      <c r="A18758" s="22" t="str">
        <f>HYPERLINK("https://app.vivvix.com/360/KMI/IntelliDrive/ApplUI/Pages/CreativePages/CustomReportCreativeDetail.aspx?App=23&amp;ReportView=4&amp;Qid=1711279&amp;Row=18750&amp;Col=1","No Title Assigned - #15278001194")</f>
        <v/>
      </c>
      <c r="B18758" s="0" t="s">
        <v>24794</v>
      </c>
      <c r="C18758" s="0" t="s">
        <v>24795</v>
      </c>
      <c r="D18758" s="0" t="s">
        <v>24795</v>
      </c>
      <c r="E18758" s="0" t="inlineStr">
        <is>
          <t xml:space="preserve">Mazda</t>
        </is>
      </c>
      <c r="F18758" s="0" t="s">
        <v>28</v>
      </c>
      <c r="G18758" s="0" t="s">
        <v>29</v>
      </c>
      <c r="H18758" s="5">
        <v>280.173400</v>
      </c>
    </row>
    <row r="18759" spans="1:9">
      <c r="A18759" s="22" t="str">
        <f>HYPERLINK("https://app.vivvix.com/360/KMI/IntelliDrive/ApplUI/Pages/CreativePages/CustomReportCreativeDetail.aspx?App=23&amp;ReportView=4&amp;Qid=1711279&amp;Row=18751&amp;Col=1","No Title Assigned - #15278001635")</f>
        <v/>
      </c>
      <c r="B18759" s="0" t="s">
        <v>24796</v>
      </c>
      <c r="C18759" s="0" t="s">
        <v>24797</v>
      </c>
      <c r="D18759" s="0" t="s">
        <v>24797</v>
      </c>
      <c r="E18759" s="0" t="inlineStr">
        <is>
          <t xml:space="preserve">Mazda</t>
        </is>
      </c>
      <c r="F18759" s="0" t="s">
        <v>28</v>
      </c>
      <c r="G18759" s="0" t="s">
        <v>29</v>
      </c>
      <c r="H18759" s="5">
        <v>505.188200</v>
      </c>
    </row>
    <row r="18760" spans="1:9">
      <c r="A18760" s="22" t="str">
        <f>HYPERLINK("https://app.vivvix.com/360/KMI/IntelliDrive/ApplUI/Pages/CreativePages/CustomReportCreativeDetail.aspx?App=23&amp;ReportView=4&amp;Qid=1711279&amp;Row=18752&amp;Col=1","No Title Assigned - #15278001666")</f>
        <v/>
      </c>
      <c r="B18760" s="0" t="s">
        <v>24798</v>
      </c>
      <c r="C18760" s="0" t="s">
        <v>24799</v>
      </c>
      <c r="D18760" s="0" t="s">
        <v>24799</v>
      </c>
      <c r="E18760" s="0" t="inlineStr">
        <is>
          <t xml:space="preserve">Mazda</t>
        </is>
      </c>
      <c r="F18760" s="0" t="s">
        <v>28</v>
      </c>
      <c r="G18760" s="0" t="s">
        <v>29</v>
      </c>
      <c r="H18760" s="5">
        <v>137.288100</v>
      </c>
    </row>
    <row r="18761" spans="1:9">
      <c r="A18761" s="22" t="str">
        <f>HYPERLINK("https://app.vivvix.com/360/KMI/IntelliDrive/ApplUI/Pages/CreativePages/CustomReportCreativeDetail.aspx?App=23&amp;ReportView=4&amp;Qid=1711279&amp;Row=18753&amp;Col=1","No Title Assigned - #15278001667")</f>
        <v/>
      </c>
      <c r="B18761" s="0" t="s">
        <v>24800</v>
      </c>
      <c r="C18761" s="0" t="s">
        <v>24801</v>
      </c>
      <c r="D18761" s="0" t="s">
        <v>24801</v>
      </c>
      <c r="E18761" s="0" t="inlineStr">
        <is>
          <t xml:space="preserve">Mazda</t>
        </is>
      </c>
      <c r="F18761" s="0" t="s">
        <v>28</v>
      </c>
      <c r="G18761" s="0" t="s">
        <v>29</v>
      </c>
      <c r="H18761" s="5">
        <v>137.288100</v>
      </c>
    </row>
    <row r="18762" spans="1:9">
      <c r="A18762" s="22" t="str">
        <f>HYPERLINK("https://app.vivvix.com/360/KMI/IntelliDrive/ApplUI/Pages/CreativePages/CustomReportCreativeDetail.aspx?App=23&amp;ReportView=4&amp;Qid=1711279&amp;Row=18754&amp;Col=1","No Title Assigned - #15278001772")</f>
        <v/>
      </c>
      <c r="B18762" s="0" t="s">
        <v>24802</v>
      </c>
      <c r="C18762" s="0" t="s">
        <v>24803</v>
      </c>
      <c r="D18762" s="0" t="s">
        <v>19348</v>
      </c>
      <c r="E18762" s="0" t="inlineStr">
        <is>
          <t xml:space="preserve">Mazda</t>
        </is>
      </c>
      <c r="F18762" s="0" t="s">
        <v>28</v>
      </c>
      <c r="G18762" s="0" t="s">
        <v>29</v>
      </c>
      <c r="H18762" s="5">
        <v>415.317700</v>
      </c>
    </row>
    <row r="18763" spans="1:9">
      <c r="A18763" s="22" t="str">
        <f>HYPERLINK("https://app.vivvix.com/360/KMI/IntelliDrive/ApplUI/Pages/CreativePages/CustomReportCreativeDetail.aspx?App=23&amp;ReportView=4&amp;Qid=1711279&amp;Row=18755&amp;Col=1","No Title Assigned - #15278002064")</f>
        <v/>
      </c>
      <c r="B18763" s="0" t="s">
        <v>24804</v>
      </c>
      <c r="C18763" s="0" t="s">
        <v>24805</v>
      </c>
      <c r="D18763" s="0" t="s">
        <v>24805</v>
      </c>
      <c r="E18763" s="0" t="inlineStr">
        <is>
          <t xml:space="preserve">Mazda</t>
        </is>
      </c>
      <c r="F18763" s="0" t="s">
        <v>28</v>
      </c>
      <c r="G18763" s="0" t="s">
        <v>29</v>
      </c>
      <c r="H18763" s="5">
        <v>143.735300</v>
      </c>
    </row>
    <row r="18764" spans="1:9">
      <c r="A18764" s="22" t="str">
        <f>HYPERLINK("https://app.vivvix.com/360/KMI/IntelliDrive/ApplUI/Pages/CreativePages/CustomReportCreativeDetail.aspx?App=23&amp;ReportView=4&amp;Qid=1711279&amp;Row=18756&amp;Col=1","No Title Assigned - #15278003943")</f>
        <v/>
      </c>
      <c r="B18764" s="0" t="s">
        <v>24806</v>
      </c>
      <c r="E18764" s="0" t="inlineStr">
        <is>
          <t xml:space="preserve">Mazda</t>
        </is>
      </c>
      <c r="F18764" s="0" t="s">
        <v>13</v>
      </c>
      <c r="G18764" s="0" t="s">
        <v>49</v>
      </c>
      <c r="H18764" s="5">
        <v>326.877900</v>
      </c>
    </row>
    <row r="18765" spans="1:9">
      <c r="A18765" s="22" t="str">
        <f>HYPERLINK("https://app.vivvix.com/360/KMI/IntelliDrive/ApplUI/Pages/CreativePages/CustomReportCreativeDetail.aspx?App=23&amp;ReportView=4&amp;Qid=1711279&amp;Row=18757&amp;Col=1","No Title Assigned - #15278005334")</f>
        <v/>
      </c>
      <c r="B18765" s="0" t="s">
        <v>24807</v>
      </c>
      <c r="C18765" s="0" t="s">
        <v>24808</v>
      </c>
      <c r="D18765" s="0" t="s">
        <v>12950</v>
      </c>
      <c r="E18765" s="0" t="inlineStr">
        <is>
          <t xml:space="preserve">Mazda</t>
        </is>
      </c>
      <c r="F18765" s="0" t="s">
        <v>28</v>
      </c>
      <c r="G18765" s="0" t="s">
        <v>29</v>
      </c>
      <c r="H18765" s="5">
        <v>758.070700</v>
      </c>
    </row>
    <row r="18766" spans="1:9">
      <c r="A18766" s="22" t="str">
        <f>HYPERLINK("https://app.vivvix.com/360/KMI/IntelliDrive/ApplUI/Pages/CreativePages/CustomReportCreativeDetail.aspx?App=23&amp;ReportView=4&amp;Qid=1711279&amp;Row=18758&amp;Col=1","No Title Assigned - #15278006266")</f>
        <v/>
      </c>
      <c r="B18766" s="0" t="s">
        <v>24809</v>
      </c>
      <c r="C18766" s="0" t="s">
        <v>24810</v>
      </c>
      <c r="D18766" s="0" t="s">
        <v>24810</v>
      </c>
      <c r="E18766" s="0" t="inlineStr">
        <is>
          <t xml:space="preserve">Mazda</t>
        </is>
      </c>
      <c r="F18766" s="0" t="s">
        <v>28</v>
      </c>
      <c r="G18766" s="0" t="s">
        <v>29</v>
      </c>
      <c r="H18766" s="5">
        <v>225.078900</v>
      </c>
    </row>
    <row r="18767" spans="1:9">
      <c r="A18767" s="22" t="str">
        <f>HYPERLINK("https://app.vivvix.com/360/KMI/IntelliDrive/ApplUI/Pages/CreativePages/CustomReportCreativeDetail.aspx?App=23&amp;ReportView=4&amp;Qid=1711279&amp;Row=18759&amp;Col=1","No Title Assigned - #15278006866")</f>
        <v/>
      </c>
      <c r="B18767" s="0" t="s">
        <v>24811</v>
      </c>
      <c r="C18767" s="0" t="s">
        <v>24812</v>
      </c>
      <c r="D18767" s="0" t="s">
        <v>12950</v>
      </c>
      <c r="E18767" s="0" t="inlineStr">
        <is>
          <t xml:space="preserve">Mazda</t>
        </is>
      </c>
      <c r="F18767" s="0" t="s">
        <v>28</v>
      </c>
      <c r="G18767" s="0" t="s">
        <v>29</v>
      </c>
      <c r="H18767" s="5">
        <v>737.775400</v>
      </c>
    </row>
    <row r="18768" spans="1:9">
      <c r="A18768" s="22" t="str">
        <f>HYPERLINK("https://app.vivvix.com/360/KMI/IntelliDrive/ApplUI/Pages/CreativePages/CustomReportCreativeDetail.aspx?App=23&amp;ReportView=4&amp;Qid=1711279&amp;Row=18760&amp;Col=1","No Title Assigned - #15278007447")</f>
        <v/>
      </c>
      <c r="B18768" s="0" t="s">
        <v>24813</v>
      </c>
      <c r="C18768" s="0" t="s">
        <v>24814</v>
      </c>
      <c r="D18768" s="0" t="s">
        <v>24814</v>
      </c>
      <c r="E18768" s="0" t="inlineStr">
        <is>
          <t xml:space="preserve">Mazda</t>
        </is>
      </c>
      <c r="F18768" s="0" t="s">
        <v>28</v>
      </c>
      <c r="G18768" s="0" t="s">
        <v>29</v>
      </c>
      <c r="H18768" s="5">
        <v>413.225100</v>
      </c>
    </row>
    <row r="18769" spans="1:9">
      <c r="A18769" s="22" t="str">
        <f>HYPERLINK("https://app.vivvix.com/360/KMI/IntelliDrive/ApplUI/Pages/CreativePages/CustomReportCreativeDetail.aspx?App=23&amp;ReportView=4&amp;Qid=1711279&amp;Row=18761&amp;Col=1","No Title Assigned - #15278009420")</f>
        <v/>
      </c>
      <c r="B18769" s="0" t="s">
        <v>24815</v>
      </c>
      <c r="C18769" s="0" t="s">
        <v>24816</v>
      </c>
      <c r="D18769" s="0" t="s">
        <v>24816</v>
      </c>
      <c r="E18769" s="0" t="inlineStr">
        <is>
          <t xml:space="preserve">Mazda</t>
        </is>
      </c>
      <c r="F18769" s="0" t="s">
        <v>28</v>
      </c>
      <c r="G18769" s="0" t="s">
        <v>29</v>
      </c>
      <c r="H18769" s="5">
        <v>820.121100</v>
      </c>
    </row>
    <row r="18770" spans="1:9">
      <c r="A18770" s="22" t="str">
        <f>HYPERLINK("https://app.vivvix.com/360/KMI/IntelliDrive/ApplUI/Pages/CreativePages/CustomReportCreativeDetail.aspx?App=23&amp;ReportView=4&amp;Qid=1711279&amp;Row=18762&amp;Col=1","No Title Assigned - #15278010316")</f>
        <v/>
      </c>
      <c r="B18770" s="0" t="s">
        <v>24817</v>
      </c>
      <c r="C18770" s="0" t="s">
        <v>24818</v>
      </c>
      <c r="D18770" s="0" t="s">
        <v>24818</v>
      </c>
      <c r="E18770" s="0" t="inlineStr">
        <is>
          <t xml:space="preserve">Mazda</t>
        </is>
      </c>
      <c r="F18770" s="0" t="s">
        <v>28</v>
      </c>
      <c r="G18770" s="0" t="s">
        <v>29</v>
      </c>
      <c r="H18770" s="5">
        <v>558.389700</v>
      </c>
    </row>
    <row r="18771" spans="1:9">
      <c r="A18771" s="22" t="str">
        <f>HYPERLINK("https://app.vivvix.com/360/KMI/IntelliDrive/ApplUI/Pages/CreativePages/CustomReportCreativeDetail.aspx?App=23&amp;ReportView=4&amp;Qid=1711279&amp;Row=18763&amp;Col=1","No Title Assigned - #15278014189")</f>
        <v/>
      </c>
      <c r="B18771" s="0" t="s">
        <v>24819</v>
      </c>
      <c r="C18771" s="0" t="s">
        <v>24820</v>
      </c>
      <c r="D18771" s="0" t="s">
        <v>19006</v>
      </c>
      <c r="E18771" s="0" t="inlineStr">
        <is>
          <t xml:space="preserve">Mazda</t>
        </is>
      </c>
      <c r="F18771" s="0" t="s">
        <v>13</v>
      </c>
      <c r="G18771" s="0" t="s">
        <v>49</v>
      </c>
      <c r="H18771" s="5">
        <v>182.255700</v>
      </c>
    </row>
    <row r="18772" spans="1:9">
      <c r="A18772" s="22" t="str">
        <f>HYPERLINK("https://app.vivvix.com/360/KMI/IntelliDrive/ApplUI/Pages/CreativePages/CustomReportCreativeDetail.aspx?App=23&amp;ReportView=4&amp;Qid=1711279&amp;Row=18764&amp;Col=1","No Title Assigned - #15278017579")</f>
        <v/>
      </c>
      <c r="B18772" s="0" t="s">
        <v>24821</v>
      </c>
      <c r="C18772" s="0" t="s">
        <v>24822</v>
      </c>
      <c r="D18772" s="0" t="s">
        <v>24777</v>
      </c>
      <c r="E18772" s="0" t="inlineStr">
        <is>
          <t xml:space="preserve">Mazda</t>
        </is>
      </c>
      <c r="F18772" s="0" t="s">
        <v>28</v>
      </c>
      <c r="G18772" s="0" t="s">
        <v>29</v>
      </c>
      <c r="H18772" s="5">
        <v>70.590600</v>
      </c>
    </row>
    <row r="18773" spans="1:9">
      <c r="A18773" s="22" t="str">
        <f>HYPERLINK("https://app.vivvix.com/360/KMI/IntelliDrive/ApplUI/Pages/CreativePages/CustomReportCreativeDetail.aspx?App=23&amp;ReportView=4&amp;Qid=1711279&amp;Row=18765&amp;Col=1","No Title Assigned - #15278020600")</f>
        <v/>
      </c>
      <c r="B18773" s="0" t="s">
        <v>24823</v>
      </c>
      <c r="C18773" s="0" t="s">
        <v>24824</v>
      </c>
      <c r="D18773" s="0" t="s">
        <v>6183</v>
      </c>
      <c r="E18773" s="0" t="inlineStr">
        <is>
          <t xml:space="preserve">Mazda</t>
        </is>
      </c>
      <c r="F18773" s="0" t="s">
        <v>13</v>
      </c>
      <c r="G18773" s="0" t="s">
        <v>49</v>
      </c>
      <c r="H18773" s="5">
        <v>6.557300</v>
      </c>
    </row>
    <row r="18774" spans="1:9">
      <c r="A18774" s="22" t="str">
        <f>HYPERLINK("https://app.vivvix.com/360/KMI/IntelliDrive/ApplUI/Pages/CreativePages/CustomReportCreativeDetail.aspx?App=23&amp;ReportView=4&amp;Qid=1711279&amp;Row=18766&amp;Col=1","No Title Assigned - #15278020856")</f>
        <v/>
      </c>
      <c r="B18774" s="0" t="s">
        <v>24825</v>
      </c>
      <c r="E18774" s="0" t="inlineStr">
        <is>
          <t xml:space="preserve">Mazda</t>
        </is>
      </c>
      <c r="F18774" s="0" t="inlineStr">
        <is>
          <t xml:space="preserve">Mazda</t>
        </is>
      </c>
      <c r="G18774" s="0" t="s">
        <v>171</v>
      </c>
      <c r="H18774" s="5">
        <v>673.212300</v>
      </c>
    </row>
    <row r="18775" spans="1:9">
      <c r="A18775" s="22" t="str">
        <f>HYPERLINK("https://app.vivvix.com/360/KMI/IntelliDrive/ApplUI/Pages/CreativePages/CustomReportCreativeDetail.aspx?App=23&amp;ReportView=4&amp;Qid=1711279&amp;Row=18767&amp;Col=1","No Title Assigned - #15278022078")</f>
        <v/>
      </c>
      <c r="B18775" s="0" t="s">
        <v>24826</v>
      </c>
      <c r="C18775" s="0" t="s">
        <v>24827</v>
      </c>
      <c r="D18775" s="0" t="s">
        <v>4335</v>
      </c>
      <c r="E18775" s="0" t="inlineStr">
        <is>
          <t xml:space="preserve">Mazda</t>
        </is>
      </c>
      <c r="F18775" s="0" t="s">
        <v>13</v>
      </c>
      <c r="G18775" s="0" t="s">
        <v>49</v>
      </c>
      <c r="H18775" s="5">
        <v>0.588400</v>
      </c>
    </row>
    <row r="18776" spans="1:9">
      <c r="A18776" s="22" t="str">
        <f>HYPERLINK("https://app.vivvix.com/360/KMI/IntelliDrive/ApplUI/Pages/CreativePages/CustomReportCreativeDetail.aspx?App=23&amp;ReportView=4&amp;Qid=1711279&amp;Row=18768&amp;Col=1","No Title Assigned - #15278022342")</f>
        <v/>
      </c>
      <c r="B18776" s="0" t="s">
        <v>24828</v>
      </c>
      <c r="C18776" s="0" t="s">
        <v>24829</v>
      </c>
      <c r="D18776" s="0" t="s">
        <v>24829</v>
      </c>
      <c r="E18776" s="0" t="inlineStr">
        <is>
          <t xml:space="preserve">Mazda</t>
        </is>
      </c>
      <c r="F18776" s="0" t="s">
        <v>13</v>
      </c>
      <c r="G18776" s="0" t="s">
        <v>49</v>
      </c>
      <c r="H18776" s="5">
        <v>880.138700</v>
      </c>
    </row>
    <row r="18777" spans="1:9">
      <c r="A18777" s="22" t="str">
        <f>HYPERLINK("https://app.vivvix.com/360/KMI/IntelliDrive/ApplUI/Pages/CreativePages/CustomReportCreativeDetail.aspx?App=23&amp;ReportView=4&amp;Qid=1711279&amp;Row=18769&amp;Col=1","No Title Assigned - #15278024928")</f>
        <v/>
      </c>
      <c r="B18777" s="0" t="s">
        <v>24830</v>
      </c>
      <c r="C18777" s="0" t="s">
        <v>24831</v>
      </c>
      <c r="D18777" s="0" t="s">
        <v>24831</v>
      </c>
      <c r="E18777" s="0" t="inlineStr">
        <is>
          <t xml:space="preserve">Mazda</t>
        </is>
      </c>
      <c r="F18777" s="0" t="s">
        <v>13</v>
      </c>
      <c r="G18777" s="0" t="s">
        <v>49</v>
      </c>
      <c r="H18777" s="5">
        <v>62.862000</v>
      </c>
    </row>
    <row r="18778" spans="1:9">
      <c r="A18778" s="22" t="str">
        <f>HYPERLINK("https://app.vivvix.com/360/KMI/IntelliDrive/ApplUI/Pages/CreativePages/CustomReportCreativeDetail.aspx?App=23&amp;ReportView=4&amp;Qid=1711279&amp;Row=18770&amp;Col=1","No Title Assigned - #15278024939")</f>
        <v/>
      </c>
      <c r="B18778" s="0" t="s">
        <v>24832</v>
      </c>
      <c r="C18778" s="0" t="s">
        <v>24833</v>
      </c>
      <c r="D18778" s="0" t="s">
        <v>24833</v>
      </c>
      <c r="E18778" s="0" t="inlineStr">
        <is>
          <t xml:space="preserve">Mazda</t>
        </is>
      </c>
      <c r="F18778" s="0" t="s">
        <v>28</v>
      </c>
      <c r="G18778" s="0" t="s">
        <v>29</v>
      </c>
      <c r="H18778" s="5">
        <v>426916.312600</v>
      </c>
    </row>
    <row r="18779" spans="1:9">
      <c r="A18779" s="22" t="str">
        <f>HYPERLINK("https://app.vivvix.com/360/KMI/IntelliDrive/ApplUI/Pages/CreativePages/CustomReportCreativeDetail.aspx?App=23&amp;ReportView=4&amp;Qid=1711279&amp;Row=18771&amp;Col=1","No Title Assigned - #15278025138")</f>
        <v/>
      </c>
      <c r="B18779" s="0" t="s">
        <v>24834</v>
      </c>
      <c r="C18779" s="0" t="s">
        <v>24835</v>
      </c>
      <c r="D18779" s="0" t="s">
        <v>9043</v>
      </c>
      <c r="E18779" s="0" t="inlineStr">
        <is>
          <t xml:space="preserve">Mazda</t>
        </is>
      </c>
      <c r="F18779" s="0" t="s">
        <v>13</v>
      </c>
      <c r="G18779" s="0" t="s">
        <v>49</v>
      </c>
      <c r="H18779" s="5">
        <v>215.083200</v>
      </c>
    </row>
    <row r="18780" spans="1:9">
      <c r="A18780" s="22" t="str">
        <f>HYPERLINK("https://app.vivvix.com/360/KMI/IntelliDrive/ApplUI/Pages/CreativePages/CustomReportCreativeDetail.aspx?App=23&amp;ReportView=4&amp;Qid=1711279&amp;Row=18772&amp;Col=1","No Title Assigned - #15278025214")</f>
        <v/>
      </c>
      <c r="B18780" s="0" t="s">
        <v>24836</v>
      </c>
      <c r="C18780" s="0" t="s">
        <v>24837</v>
      </c>
      <c r="D18780" s="0" t="s">
        <v>24838</v>
      </c>
      <c r="E18780" s="0" t="inlineStr">
        <is>
          <t xml:space="preserve">Mazda</t>
        </is>
      </c>
      <c r="F18780" s="0" t="s">
        <v>13</v>
      </c>
      <c r="G18780" s="0" t="s">
        <v>49</v>
      </c>
    </row>
    <row r="18781" spans="1:9">
      <c r="A18781" s="22" t="str">
        <f>HYPERLINK("https://app.vivvix.com/360/KMI/IntelliDrive/ApplUI/Pages/CreativePages/CustomReportCreativeDetail.aspx?App=23&amp;ReportView=4&amp;Qid=1711279&amp;Row=18773&amp;Col=1","No Title Assigned - #15278025370")</f>
        <v/>
      </c>
      <c r="B18781" s="0" t="s">
        <v>24839</v>
      </c>
      <c r="C18781" s="0" t="s">
        <v>24840</v>
      </c>
      <c r="D18781" s="0" t="s">
        <v>24840</v>
      </c>
      <c r="E18781" s="0" t="inlineStr">
        <is>
          <t xml:space="preserve">Mazda</t>
        </is>
      </c>
      <c r="F18781" s="0" t="s">
        <v>13</v>
      </c>
      <c r="G18781" s="0" t="s">
        <v>49</v>
      </c>
      <c r="H18781" s="5">
        <v>732.901700</v>
      </c>
    </row>
    <row r="18782" spans="1:9">
      <c r="A18782" s="22" t="str">
        <f>HYPERLINK("https://app.vivvix.com/360/KMI/IntelliDrive/ApplUI/Pages/CreativePages/CustomReportCreativeDetail.aspx?App=23&amp;ReportView=4&amp;Qid=1711279&amp;Row=18774&amp;Col=1","No Title Assigned - #15278027326")</f>
        <v/>
      </c>
      <c r="B18782" s="0" t="s">
        <v>24841</v>
      </c>
      <c r="E18782" s="0" t="inlineStr">
        <is>
          <t xml:space="preserve">Mazda</t>
        </is>
      </c>
      <c r="F18782" s="0" t="inlineStr">
        <is>
          <t xml:space="preserve">Mazda</t>
        </is>
      </c>
      <c r="G18782" s="0" t="s">
        <v>171</v>
      </c>
      <c r="H18782" s="5">
        <v>25.247900</v>
      </c>
    </row>
    <row r="18783" spans="1:9">
      <c r="A18783" s="22" t="str">
        <f>HYPERLINK("https://app.vivvix.com/360/KMI/IntelliDrive/ApplUI/Pages/CreativePages/CustomReportCreativeDetail.aspx?App=23&amp;ReportView=4&amp;Qid=1711279&amp;Row=18775&amp;Col=1","No Title Assigned - #15278028745")</f>
        <v/>
      </c>
      <c r="B18783" s="0" t="s">
        <v>24842</v>
      </c>
      <c r="C18783" s="0" t="s">
        <v>24843</v>
      </c>
      <c r="D18783" s="0" t="s">
        <v>6183</v>
      </c>
      <c r="E18783" s="0" t="inlineStr">
        <is>
          <t xml:space="preserve">Mazda</t>
        </is>
      </c>
      <c r="F18783" s="0" t="s">
        <v>13</v>
      </c>
      <c r="G18783" s="0" t="s">
        <v>49</v>
      </c>
      <c r="H18783" s="5">
        <v>209.106900</v>
      </c>
    </row>
    <row r="18784" spans="1:9">
      <c r="A18784" s="22" t="str">
        <f>HYPERLINK("https://app.vivvix.com/360/KMI/IntelliDrive/ApplUI/Pages/CreativePages/CustomReportCreativeDetail.aspx?App=23&amp;ReportView=4&amp;Qid=1711279&amp;Row=18776&amp;Col=1","No Title Assigned - #15278029225")</f>
        <v/>
      </c>
      <c r="B18784" s="0" t="s">
        <v>24844</v>
      </c>
      <c r="C18784" s="0" t="s">
        <v>24845</v>
      </c>
      <c r="D18784" s="0" t="s">
        <v>24767</v>
      </c>
      <c r="E18784" s="0" t="inlineStr">
        <is>
          <t xml:space="preserve">Mazda</t>
        </is>
      </c>
      <c r="F18784" s="0" t="s">
        <v>28</v>
      </c>
      <c r="G18784" s="0" t="s">
        <v>29</v>
      </c>
      <c r="H18784" s="5">
        <v>434.882100</v>
      </c>
    </row>
    <row r="18785" spans="1:9">
      <c r="A18785" s="22" t="str">
        <f>HYPERLINK("https://app.vivvix.com/360/KMI/IntelliDrive/ApplUI/Pages/CreativePages/CustomReportCreativeDetail.aspx?App=23&amp;ReportView=4&amp;Qid=1711279&amp;Row=18777&amp;Col=1","No Title Assigned - #15278029427")</f>
        <v/>
      </c>
      <c r="B18785" s="0" t="s">
        <v>24846</v>
      </c>
      <c r="C18785" s="0" t="s">
        <v>24847</v>
      </c>
      <c r="D18785" s="0" t="s">
        <v>24847</v>
      </c>
      <c r="E18785" s="0" t="inlineStr">
        <is>
          <t xml:space="preserve">Mazda</t>
        </is>
      </c>
      <c r="F18785" s="0" t="s">
        <v>13</v>
      </c>
      <c r="G18785" s="0" t="s">
        <v>49</v>
      </c>
      <c r="H18785" s="5">
        <v>38793.310500</v>
      </c>
    </row>
    <row r="18786" spans="1:9">
      <c r="A18786" s="22" t="str">
        <f>HYPERLINK("https://app.vivvix.com/360/KMI/IntelliDrive/ApplUI/Pages/CreativePages/CustomReportCreativeDetail.aspx?App=23&amp;ReportView=4&amp;Qid=1711279&amp;Row=18778&amp;Col=1","No Title Assigned - #15278030708")</f>
        <v/>
      </c>
      <c r="B18786" s="0" t="s">
        <v>24848</v>
      </c>
      <c r="E18786" s="0" t="inlineStr">
        <is>
          <t xml:space="preserve">Mazda</t>
        </is>
      </c>
      <c r="F18786" s="0" t="inlineStr">
        <is>
          <t xml:space="preserve">Mazda</t>
        </is>
      </c>
      <c r="G18786" s="0" t="s">
        <v>171</v>
      </c>
      <c r="H18786" s="5">
        <v>10232.663600</v>
      </c>
    </row>
    <row r="18787" spans="1:9">
      <c r="A18787" s="22" t="str">
        <f>HYPERLINK("https://app.vivvix.com/360/KMI/IntelliDrive/ApplUI/Pages/CreativePages/CustomReportCreativeDetail.aspx?App=23&amp;ReportView=4&amp;Qid=1711279&amp;Row=18779&amp;Col=1","No Title Assigned - #15278031608")</f>
        <v/>
      </c>
      <c r="B18787" s="0" t="s">
        <v>24849</v>
      </c>
      <c r="C18787" s="0" t="s">
        <v>24850</v>
      </c>
      <c r="D18787" s="0" t="s">
        <v>24850</v>
      </c>
      <c r="E18787" s="0" t="inlineStr">
        <is>
          <t xml:space="preserve">Mazda</t>
        </is>
      </c>
      <c r="F18787" s="0" t="s">
        <v>28</v>
      </c>
      <c r="G18787" s="0" t="s">
        <v>29</v>
      </c>
      <c r="H18787" s="5">
        <v>601.125800</v>
      </c>
    </row>
    <row r="18788" spans="1:9">
      <c r="A18788" s="22" t="str">
        <f>HYPERLINK("https://app.vivvix.com/360/KMI/IntelliDrive/ApplUI/Pages/CreativePages/CustomReportCreativeDetail.aspx?App=23&amp;ReportView=4&amp;Qid=1711279&amp;Row=18780&amp;Col=1","No Title Assigned - #15278033368")</f>
        <v/>
      </c>
      <c r="B18788" s="0" t="s">
        <v>24851</v>
      </c>
      <c r="E18788" s="0" t="inlineStr">
        <is>
          <t xml:space="preserve">Mazda</t>
        </is>
      </c>
      <c r="F18788" s="0" t="inlineStr">
        <is>
          <t xml:space="preserve">Mazda</t>
        </is>
      </c>
      <c r="G18788" s="0" t="s">
        <v>171</v>
      </c>
      <c r="H18788" s="5">
        <v>262.450000</v>
      </c>
    </row>
    <row r="18789" spans="1:9">
      <c r="A18789" s="22" t="str">
        <f>HYPERLINK("https://app.vivvix.com/360/KMI/IntelliDrive/ApplUI/Pages/CreativePages/CustomReportCreativeDetail.aspx?App=23&amp;ReportView=4&amp;Qid=1711279&amp;Row=18781&amp;Col=1","No Title Assigned - #15278033531")</f>
        <v/>
      </c>
      <c r="B18789" s="0" t="s">
        <v>24852</v>
      </c>
      <c r="E18789" s="0" t="inlineStr">
        <is>
          <t xml:space="preserve">Mazda</t>
        </is>
      </c>
      <c r="F18789" s="0" t="inlineStr">
        <is>
          <t xml:space="preserve">Mazda</t>
        </is>
      </c>
      <c r="G18789" s="0" t="s">
        <v>171</v>
      </c>
      <c r="H18789" s="5">
        <v>54.657200</v>
      </c>
    </row>
    <row r="18790" spans="1:9">
      <c r="A18790" s="22" t="str">
        <f>HYPERLINK("https://app.vivvix.com/360/KMI/IntelliDrive/ApplUI/Pages/CreativePages/CustomReportCreativeDetail.aspx?App=23&amp;ReportView=4&amp;Qid=1711279&amp;Row=18782&amp;Col=1","No Title Assigned - #15278033738")</f>
        <v/>
      </c>
      <c r="B18790" s="0" t="s">
        <v>24853</v>
      </c>
      <c r="E18790" s="0" t="inlineStr">
        <is>
          <t xml:space="preserve">Mazda</t>
        </is>
      </c>
      <c r="F18790" s="0" t="inlineStr">
        <is>
          <t xml:space="preserve">Mazda</t>
        </is>
      </c>
      <c r="G18790" s="0" t="s">
        <v>171</v>
      </c>
      <c r="H18790" s="5">
        <v>499.387400</v>
      </c>
    </row>
    <row r="18791" spans="1:9">
      <c r="A18791" s="22" t="str">
        <f>HYPERLINK("https://app.vivvix.com/360/KMI/IntelliDrive/ApplUI/Pages/CreativePages/CustomReportCreativeDetail.aspx?App=23&amp;ReportView=4&amp;Qid=1711279&amp;Row=18783&amp;Col=1","No Title Assigned - #15278033849")</f>
        <v/>
      </c>
      <c r="B18791" s="0" t="s">
        <v>24854</v>
      </c>
      <c r="E18791" s="0" t="inlineStr">
        <is>
          <t xml:space="preserve">Mazda</t>
        </is>
      </c>
      <c r="F18791" s="0" t="inlineStr">
        <is>
          <t xml:space="preserve">Mazda</t>
        </is>
      </c>
      <c r="G18791" s="0" t="s">
        <v>171</v>
      </c>
      <c r="H18791" s="5">
        <v>7.669000</v>
      </c>
    </row>
    <row r="18792" spans="1:9">
      <c r="A18792" s="22" t="str">
        <f>HYPERLINK("https://app.vivvix.com/360/KMI/IntelliDrive/ApplUI/Pages/CreativePages/CustomReportCreativeDetail.aspx?App=23&amp;ReportView=4&amp;Qid=1711279&amp;Row=18784&amp;Col=1","No Title Assigned - #15278034007")</f>
        <v/>
      </c>
      <c r="B18792" s="0" t="s">
        <v>24855</v>
      </c>
      <c r="E18792" s="0" t="inlineStr">
        <is>
          <t xml:space="preserve">Mazda</t>
        </is>
      </c>
      <c r="F18792" s="0" t="inlineStr">
        <is>
          <t xml:space="preserve">Mazda</t>
        </is>
      </c>
      <c r="G18792" s="0" t="s">
        <v>171</v>
      </c>
      <c r="H18792" s="5">
        <v>607.200600</v>
      </c>
    </row>
    <row r="18793" spans="1:9">
      <c r="A18793" s="22" t="str">
        <f>HYPERLINK("https://app.vivvix.com/360/KMI/IntelliDrive/ApplUI/Pages/CreativePages/CustomReportCreativeDetail.aspx?App=23&amp;ReportView=4&amp;Qid=1711279&amp;Row=18785&amp;Col=1","No Title Assigned - #15278034554")</f>
        <v/>
      </c>
      <c r="B18793" s="0" t="s">
        <v>24856</v>
      </c>
      <c r="E18793" s="0" t="inlineStr">
        <is>
          <t xml:space="preserve">Mazda</t>
        </is>
      </c>
      <c r="F18793" s="0" t="inlineStr">
        <is>
          <t xml:space="preserve">Mazda</t>
        </is>
      </c>
      <c r="G18793" s="0" t="s">
        <v>171</v>
      </c>
      <c r="H18793" s="5">
        <v>16.416200</v>
      </c>
    </row>
    <row r="18794" spans="1:9">
      <c r="A18794" s="22" t="str">
        <f>HYPERLINK("https://app.vivvix.com/360/KMI/IntelliDrive/ApplUI/Pages/CreativePages/CustomReportCreativeDetail.aspx?App=23&amp;ReportView=4&amp;Qid=1711279&amp;Row=18786&amp;Col=1","No Title Assigned - #15278034705")</f>
        <v/>
      </c>
      <c r="B18794" s="0" t="s">
        <v>24857</v>
      </c>
      <c r="E18794" s="0" t="inlineStr">
        <is>
          <t xml:space="preserve">Mazda</t>
        </is>
      </c>
      <c r="F18794" s="0" t="s">
        <v>13</v>
      </c>
      <c r="G18794" s="0" t="s">
        <v>49</v>
      </c>
      <c r="H18794" s="5">
        <v>411.345300</v>
      </c>
    </row>
    <row r="18795" spans="1:9">
      <c r="A18795" s="22" t="str">
        <f>HYPERLINK("https://app.vivvix.com/360/KMI/IntelliDrive/ApplUI/Pages/CreativePages/CustomReportCreativeDetail.aspx?App=23&amp;ReportView=4&amp;Qid=1711279&amp;Row=18787&amp;Col=1","No Title Assigned - #15278034739")</f>
        <v/>
      </c>
      <c r="B18795" s="0" t="s">
        <v>24858</v>
      </c>
      <c r="E18795" s="0" t="inlineStr">
        <is>
          <t xml:space="preserve">Mazda</t>
        </is>
      </c>
      <c r="F18795" s="0" t="inlineStr">
        <is>
          <t xml:space="preserve">Mazda</t>
        </is>
      </c>
      <c r="G18795" s="0" t="s">
        <v>171</v>
      </c>
      <c r="H18795" s="5">
        <v>4629.089500</v>
      </c>
    </row>
    <row r="18796" spans="1:9">
      <c r="A18796" s="22" t="str">
        <f>HYPERLINK("https://app.vivvix.com/360/KMI/IntelliDrive/ApplUI/Pages/CreativePages/CustomReportCreativeDetail.aspx?App=23&amp;ReportView=4&amp;Qid=1711279&amp;Row=18788&amp;Col=1","No Title Assigned - #15278034761")</f>
        <v/>
      </c>
      <c r="B18796" s="0" t="s">
        <v>24859</v>
      </c>
      <c r="E18796" s="0" t="inlineStr">
        <is>
          <t xml:space="preserve">Mazda</t>
        </is>
      </c>
      <c r="F18796" s="0" t="inlineStr">
        <is>
          <t xml:space="preserve">Mazda</t>
        </is>
      </c>
      <c r="G18796" s="0" t="s">
        <v>171</v>
      </c>
      <c r="H18796" s="5">
        <v>3391.538100</v>
      </c>
    </row>
    <row r="18797" spans="1:9">
      <c r="A18797" s="22" t="str">
        <f>HYPERLINK("https://app.vivvix.com/360/KMI/IntelliDrive/ApplUI/Pages/CreativePages/CustomReportCreativeDetail.aspx?App=23&amp;ReportView=4&amp;Qid=1711279&amp;Row=18789&amp;Col=1","No Title Assigned - #15278034762")</f>
        <v/>
      </c>
      <c r="B18797" s="0" t="s">
        <v>24860</v>
      </c>
      <c r="E18797" s="0" t="inlineStr">
        <is>
          <t xml:space="preserve">Mazda</t>
        </is>
      </c>
      <c r="F18797" s="0" t="inlineStr">
        <is>
          <t xml:space="preserve">Mazda</t>
        </is>
      </c>
      <c r="G18797" s="0" t="s">
        <v>171</v>
      </c>
      <c r="H18797" s="5">
        <v>1800.488100</v>
      </c>
    </row>
    <row r="18798" spans="1:9">
      <c r="A18798" s="22" t="str">
        <f>HYPERLINK("https://app.vivvix.com/360/KMI/IntelliDrive/ApplUI/Pages/CreativePages/CustomReportCreativeDetail.aspx?App=23&amp;ReportView=4&amp;Qid=1711279&amp;Row=18790&amp;Col=1","No Title Assigned - #15278034872")</f>
        <v/>
      </c>
      <c r="B18798" s="0" t="s">
        <v>24861</v>
      </c>
      <c r="E18798" s="0" t="inlineStr">
        <is>
          <t xml:space="preserve">Mazda</t>
        </is>
      </c>
      <c r="F18798" s="0" t="inlineStr">
        <is>
          <t xml:space="preserve">Mazda</t>
        </is>
      </c>
      <c r="G18798" s="0" t="s">
        <v>171</v>
      </c>
      <c r="H18798" s="5">
        <v>16544.259100</v>
      </c>
    </row>
    <row r="18799" spans="1:9">
      <c r="A18799" s="22" t="str">
        <f>HYPERLINK("https://app.vivvix.com/360/KMI/IntelliDrive/ApplUI/Pages/CreativePages/CustomReportCreativeDetail.aspx?App=23&amp;ReportView=4&amp;Qid=1711279&amp;Row=18791&amp;Col=1","No Title Assigned - #15278035507")</f>
        <v/>
      </c>
      <c r="B18799" s="0" t="s">
        <v>24862</v>
      </c>
      <c r="E18799" s="0" t="inlineStr">
        <is>
          <t xml:space="preserve">Mazda</t>
        </is>
      </c>
      <c r="F18799" s="0" t="inlineStr">
        <is>
          <t xml:space="preserve">Mazda</t>
        </is>
      </c>
      <c r="G18799" s="0" t="s">
        <v>171</v>
      </c>
      <c r="H18799" s="5">
        <v>100014.366700</v>
      </c>
    </row>
    <row r="18800" spans="1:9">
      <c r="A18800" s="22" t="str">
        <f>HYPERLINK("https://app.vivvix.com/360/KMI/IntelliDrive/ApplUI/Pages/CreativePages/CustomReportCreativeDetail.aspx?App=23&amp;ReportView=4&amp;Qid=1711279&amp;Row=18792&amp;Col=1","No Title Assigned - #15278036378")</f>
        <v/>
      </c>
      <c r="B18800" s="0" t="s">
        <v>24863</v>
      </c>
      <c r="E18800" s="0" t="inlineStr">
        <is>
          <t xml:space="preserve">Mazda</t>
        </is>
      </c>
      <c r="F18800" s="0" t="inlineStr">
        <is>
          <t xml:space="preserve">Mazda</t>
        </is>
      </c>
      <c r="G18800" s="0" t="s">
        <v>171</v>
      </c>
      <c r="H18800" s="5">
        <v>1145.560900</v>
      </c>
    </row>
    <row r="18801" spans="1:9">
      <c r="A18801" s="22" t="str">
        <f>HYPERLINK("https://app.vivvix.com/360/KMI/IntelliDrive/ApplUI/Pages/CreativePages/CustomReportCreativeDetail.aspx?App=23&amp;ReportView=4&amp;Qid=1711279&amp;Row=18793&amp;Col=1","No Title Assigned - #15278037750")</f>
        <v/>
      </c>
      <c r="B18801" s="0" t="s">
        <v>24864</v>
      </c>
      <c r="E18801" s="0" t="inlineStr">
        <is>
          <t xml:space="preserve">Mazda</t>
        </is>
      </c>
      <c r="F18801" s="0" t="inlineStr">
        <is>
          <t xml:space="preserve">Mazda</t>
        </is>
      </c>
      <c r="G18801" s="0" t="s">
        <v>171</v>
      </c>
      <c r="H18801" s="5">
        <v>4.018500</v>
      </c>
    </row>
    <row r="18802" spans="1:9">
      <c r="A18802" s="22" t="str">
        <f>HYPERLINK("https://app.vivvix.com/360/KMI/IntelliDrive/ApplUI/Pages/CreativePages/CustomReportCreativeDetail.aspx?App=23&amp;ReportView=4&amp;Qid=1711279&amp;Row=18794&amp;Col=1","No Title Assigned - #15278038682")</f>
        <v/>
      </c>
      <c r="B18802" s="0" t="s">
        <v>24865</v>
      </c>
      <c r="C18802" s="0" t="s">
        <v>24866</v>
      </c>
      <c r="D18802" s="0" t="s">
        <v>24866</v>
      </c>
      <c r="E18802" s="0" t="inlineStr">
        <is>
          <t xml:space="preserve">Mazda</t>
        </is>
      </c>
      <c r="F18802" s="0" t="inlineStr">
        <is>
          <t xml:space="preserve">Mazda</t>
        </is>
      </c>
      <c r="G18802" s="0" t="s">
        <v>171</v>
      </c>
      <c r="H18802" s="5">
        <v>3304.390500</v>
      </c>
    </row>
    <row r="18803" spans="1:9">
      <c r="A18803" s="22" t="str">
        <f>HYPERLINK("https://app.vivvix.com/360/KMI/IntelliDrive/ApplUI/Pages/CreativePages/CustomReportCreativeDetail.aspx?App=23&amp;ReportView=4&amp;Qid=1711279&amp;Row=18795&amp;Col=1","No Title Assigned - #15278039094")</f>
        <v/>
      </c>
      <c r="B18803" s="0" t="s">
        <v>24867</v>
      </c>
      <c r="E18803" s="0" t="inlineStr">
        <is>
          <t xml:space="preserve">Mazda</t>
        </is>
      </c>
      <c r="F18803" s="0" t="inlineStr">
        <is>
          <t xml:space="preserve">Mazda</t>
        </is>
      </c>
      <c r="G18803" s="0" t="s">
        <v>171</v>
      </c>
      <c r="H18803" s="5">
        <v>62.821000</v>
      </c>
    </row>
    <row r="18804" spans="1:9">
      <c r="A18804" s="22" t="str">
        <f>HYPERLINK("https://app.vivvix.com/360/KMI/IntelliDrive/ApplUI/Pages/CreativePages/CustomReportCreativeDetail.aspx?App=23&amp;ReportView=4&amp;Qid=1711279&amp;Row=18796&amp;Col=1","No Title Assigned - #15278043944")</f>
        <v/>
      </c>
      <c r="B18804" s="0" t="s">
        <v>24868</v>
      </c>
      <c r="E18804" s="0" t="inlineStr">
        <is>
          <t xml:space="preserve">Mazda</t>
        </is>
      </c>
      <c r="F18804" s="0" t="inlineStr">
        <is>
          <t xml:space="preserve">Mazda</t>
        </is>
      </c>
      <c r="G18804" s="0" t="s">
        <v>171</v>
      </c>
      <c r="H18804" s="5">
        <v>242376.055500</v>
      </c>
    </row>
    <row r="18805" spans="1:9">
      <c r="A18805" s="22" t="str">
        <f>HYPERLINK("https://app.vivvix.com/360/KMI/IntelliDrive/ApplUI/Pages/CreativePages/CustomReportCreativeDetail.aspx?App=23&amp;ReportView=4&amp;Qid=1711279&amp;Row=18797&amp;Col=1","No Title Assigned - #15278044009")</f>
        <v/>
      </c>
      <c r="B18805" s="0" t="s">
        <v>24869</v>
      </c>
      <c r="E18805" s="0" t="inlineStr">
        <is>
          <t xml:space="preserve">Mazda</t>
        </is>
      </c>
      <c r="F18805" s="0" t="inlineStr">
        <is>
          <t xml:space="preserve">Mazda</t>
        </is>
      </c>
      <c r="G18805" s="0" t="s">
        <v>171</v>
      </c>
      <c r="H18805" s="5">
        <v>349.885900</v>
      </c>
    </row>
    <row r="18806" spans="1:9">
      <c r="A18806" s="22" t="str">
        <f>HYPERLINK("https://app.vivvix.com/360/KMI/IntelliDrive/ApplUI/Pages/CreativePages/CustomReportCreativeDetail.aspx?App=23&amp;ReportView=4&amp;Qid=1711279&amp;Row=18798&amp;Col=1","No Title Assigned - #15278045271")</f>
        <v/>
      </c>
      <c r="B18806" s="0" t="s">
        <v>24870</v>
      </c>
      <c r="E18806" s="0" t="inlineStr">
        <is>
          <t xml:space="preserve">Mazda</t>
        </is>
      </c>
      <c r="F18806" s="0" t="inlineStr">
        <is>
          <t xml:space="preserve">Mazda</t>
        </is>
      </c>
      <c r="G18806" s="0" t="s">
        <v>171</v>
      </c>
      <c r="H18806" s="5">
        <v>31357.515500</v>
      </c>
    </row>
    <row r="18807" spans="1:9">
      <c r="A18807" s="22" t="str">
        <f>HYPERLINK("https://app.vivvix.com/360/KMI/IntelliDrive/ApplUI/Pages/CreativePages/CustomReportCreativeDetail.aspx?App=23&amp;ReportView=4&amp;Qid=1711279&amp;Row=18799&amp;Col=1","No Title Assigned - #15278045884")</f>
        <v/>
      </c>
      <c r="B18807" s="0" t="s">
        <v>24871</v>
      </c>
      <c r="E18807" s="0" t="inlineStr">
        <is>
          <t xml:space="preserve">Mazda</t>
        </is>
      </c>
      <c r="F18807" s="0" t="inlineStr">
        <is>
          <t xml:space="preserve">Mazda</t>
        </is>
      </c>
      <c r="G18807" s="0" t="s">
        <v>171</v>
      </c>
      <c r="H18807" s="5">
        <v>76755.249700</v>
      </c>
    </row>
    <row r="18808" spans="1:9">
      <c r="A18808" s="22" t="str">
        <f>HYPERLINK("https://app.vivvix.com/360/KMI/IntelliDrive/ApplUI/Pages/CreativePages/CustomReportCreativeDetail.aspx?App=23&amp;ReportView=4&amp;Qid=1711279&amp;Row=18800&amp;Col=1","No Title Assigned - #15278046489")</f>
        <v/>
      </c>
      <c r="B18808" s="0" t="s">
        <v>24872</v>
      </c>
      <c r="E18808" s="0" t="inlineStr">
        <is>
          <t xml:space="preserve">Mazda</t>
        </is>
      </c>
      <c r="F18808" s="0" t="inlineStr">
        <is>
          <t xml:space="preserve">Mazda</t>
        </is>
      </c>
      <c r="G18808" s="0" t="s">
        <v>171</v>
      </c>
      <c r="H18808" s="5">
        <v>673.212300</v>
      </c>
    </row>
    <row r="18809" spans="1:9">
      <c r="A18809" s="22" t="str">
        <f>HYPERLINK("https://app.vivvix.com/360/KMI/IntelliDrive/ApplUI/Pages/CreativePages/CustomReportCreativeDetail.aspx?App=23&amp;ReportView=4&amp;Qid=1711279&amp;Row=18801&amp;Col=1","No Title Assigned - #15278047053")</f>
        <v/>
      </c>
      <c r="B18809" s="0" t="s">
        <v>24873</v>
      </c>
      <c r="E18809" s="0" t="inlineStr">
        <is>
          <t xml:space="preserve">Mazda</t>
        </is>
      </c>
      <c r="F18809" s="0" t="inlineStr">
        <is>
          <t xml:space="preserve">Mazda</t>
        </is>
      </c>
      <c r="G18809" s="0" t="s">
        <v>171</v>
      </c>
      <c r="H18809" s="5">
        <v>16548.570400</v>
      </c>
    </row>
    <row r="18810" spans="1:9">
      <c r="A18810" s="22" t="str">
        <f>HYPERLINK("https://app.vivvix.com/360/KMI/IntelliDrive/ApplUI/Pages/CreativePages/CustomReportCreativeDetail.aspx?App=23&amp;ReportView=4&amp;Qid=1711279&amp;Row=18802&amp;Col=1","No Title Assigned - #15278047465")</f>
        <v/>
      </c>
      <c r="B18810" s="0" t="s">
        <v>24874</v>
      </c>
      <c r="E18810" s="0" t="inlineStr">
        <is>
          <t xml:space="preserve">Mazda</t>
        </is>
      </c>
      <c r="F18810" s="0" t="inlineStr">
        <is>
          <t xml:space="preserve">Mazda</t>
        </is>
      </c>
      <c r="G18810" s="0" t="s">
        <v>171</v>
      </c>
      <c r="H18810" s="5">
        <v>132.402600</v>
      </c>
    </row>
    <row r="18811" spans="1:9">
      <c r="A18811" s="22" t="str">
        <f>HYPERLINK("https://app.vivvix.com/360/KMI/IntelliDrive/ApplUI/Pages/CreativePages/CustomReportCreativeDetail.aspx?App=23&amp;ReportView=4&amp;Qid=1711279&amp;Row=18803&amp;Col=1","No Title Assigned - #15278047493")</f>
        <v/>
      </c>
      <c r="B18811" s="0" t="s">
        <v>24875</v>
      </c>
      <c r="E18811" s="0" t="inlineStr">
        <is>
          <t xml:space="preserve">Mazda</t>
        </is>
      </c>
      <c r="F18811" s="0" t="inlineStr">
        <is>
          <t xml:space="preserve">Mazda</t>
        </is>
      </c>
      <c r="G18811" s="0" t="s">
        <v>171</v>
      </c>
      <c r="H18811" s="5">
        <v>36.292000</v>
      </c>
    </row>
    <row r="18812" spans="1:9">
      <c r="A18812" s="22" t="str">
        <f>HYPERLINK("https://app.vivvix.com/360/KMI/IntelliDrive/ApplUI/Pages/CreativePages/CustomReportCreativeDetail.aspx?App=23&amp;ReportView=4&amp;Qid=1711279&amp;Row=18804&amp;Col=1","No Title Assigned - #15278047519")</f>
        <v/>
      </c>
      <c r="B18812" s="0" t="s">
        <v>24876</v>
      </c>
      <c r="E18812" s="0" t="inlineStr">
        <is>
          <t xml:space="preserve">Mazda</t>
        </is>
      </c>
      <c r="F18812" s="0" t="inlineStr">
        <is>
          <t xml:space="preserve">Mazda</t>
        </is>
      </c>
      <c r="G18812" s="0" t="s">
        <v>171</v>
      </c>
      <c r="H18812" s="5">
        <v>1116.644000</v>
      </c>
    </row>
    <row r="18813" spans="1:9">
      <c r="A18813" s="22" t="str">
        <f>HYPERLINK("https://app.vivvix.com/360/KMI/IntelliDrive/ApplUI/Pages/CreativePages/CustomReportCreativeDetail.aspx?App=23&amp;ReportView=4&amp;Qid=1711279&amp;Row=18805&amp;Col=1","No Title Assigned - #15278047519")</f>
        <v/>
      </c>
      <c r="B18813" s="0" t="s">
        <v>24876</v>
      </c>
      <c r="E18813" s="0" t="inlineStr">
        <is>
          <t xml:space="preserve">Mazda</t>
        </is>
      </c>
      <c r="F18813" s="0" t="inlineStr">
        <is>
          <t xml:space="preserve">Mazda</t>
        </is>
      </c>
      <c r="G18813" s="0" t="s">
        <v>171</v>
      </c>
      <c r="H18813" s="5">
        <v>156.433000</v>
      </c>
    </row>
    <row r="18814" spans="1:9">
      <c r="A18814" s="22" t="str">
        <f>HYPERLINK("https://app.vivvix.com/360/KMI/IntelliDrive/ApplUI/Pages/CreativePages/CustomReportCreativeDetail.aspx?App=23&amp;ReportView=4&amp;Qid=1711279&amp;Row=18806&amp;Col=1","No Title Assigned - #15278047617")</f>
        <v/>
      </c>
      <c r="B18814" s="0" t="s">
        <v>24877</v>
      </c>
      <c r="E18814" s="0" t="inlineStr">
        <is>
          <t xml:space="preserve">Mazda</t>
        </is>
      </c>
      <c r="F18814" s="0" t="inlineStr">
        <is>
          <t xml:space="preserve">Mazda</t>
        </is>
      </c>
      <c r="G18814" s="0" t="s">
        <v>171</v>
      </c>
      <c r="H18814" s="5">
        <v>33.338200</v>
      </c>
    </row>
    <row r="18815" spans="1:9">
      <c r="A18815" s="22" t="str">
        <f>HYPERLINK("https://app.vivvix.com/360/KMI/IntelliDrive/ApplUI/Pages/CreativePages/CustomReportCreativeDetail.aspx?App=23&amp;ReportView=4&amp;Qid=1711279&amp;Row=18807&amp;Col=1","No Title Assigned - #15278047767")</f>
        <v/>
      </c>
      <c r="B18815" s="0" t="s">
        <v>24878</v>
      </c>
      <c r="E18815" s="0" t="inlineStr">
        <is>
          <t xml:space="preserve">Mazda</t>
        </is>
      </c>
      <c r="F18815" s="0" t="inlineStr">
        <is>
          <t xml:space="preserve">Mazda</t>
        </is>
      </c>
      <c r="G18815" s="0" t="s">
        <v>171</v>
      </c>
      <c r="H18815" s="5">
        <v>2123.186500</v>
      </c>
    </row>
    <row r="18816" spans="1:9">
      <c r="A18816" s="22" t="str">
        <f>HYPERLINK("https://app.vivvix.com/360/KMI/IntelliDrive/ApplUI/Pages/CreativePages/CustomReportCreativeDetail.aspx?App=23&amp;ReportView=4&amp;Qid=1711279&amp;Row=18808&amp;Col=1","No Title Assigned - #15278047767")</f>
        <v/>
      </c>
      <c r="B18816" s="0" t="s">
        <v>24878</v>
      </c>
      <c r="E18816" s="0" t="inlineStr">
        <is>
          <t xml:space="preserve">Mazda</t>
        </is>
      </c>
      <c r="F18816" s="0" t="inlineStr">
        <is>
          <t xml:space="preserve">Mazda</t>
        </is>
      </c>
      <c r="G18816" s="0" t="s">
        <v>171</v>
      </c>
      <c r="H18816" s="5">
        <v>361.710700</v>
      </c>
    </row>
    <row r="18817" spans="1:9">
      <c r="A18817" s="22" t="str">
        <f>HYPERLINK("https://app.vivvix.com/360/KMI/IntelliDrive/ApplUI/Pages/CreativePages/CustomReportCreativeDetail.aspx?App=23&amp;ReportView=4&amp;Qid=1711279&amp;Row=18809&amp;Col=1","No Title Assigned - #15278048029")</f>
        <v/>
      </c>
      <c r="B18817" s="0" t="s">
        <v>24879</v>
      </c>
      <c r="C18817" s="0" t="s">
        <v>24880</v>
      </c>
      <c r="D18817" s="0" t="s">
        <v>24880</v>
      </c>
      <c r="E18817" s="0" t="inlineStr">
        <is>
          <t xml:space="preserve">Mazda</t>
        </is>
      </c>
      <c r="F18817" s="0" t="inlineStr">
        <is>
          <t xml:space="preserve">Mazda</t>
        </is>
      </c>
      <c r="G18817" s="0" t="s">
        <v>171</v>
      </c>
      <c r="H18817" s="5">
        <v>6.566800</v>
      </c>
    </row>
    <row r="18818" spans="1:9">
      <c r="A18818" s="22" t="str">
        <f>HYPERLINK("https://app.vivvix.com/360/KMI/IntelliDrive/ApplUI/Pages/CreativePages/CustomReportCreativeDetail.aspx?App=23&amp;ReportView=4&amp;Qid=1711279&amp;Row=18810&amp;Col=1","No Title Assigned - #15278048170")</f>
        <v/>
      </c>
      <c r="B18818" s="0" t="s">
        <v>24881</v>
      </c>
      <c r="E18818" s="0" t="inlineStr">
        <is>
          <t xml:space="preserve">Mazda</t>
        </is>
      </c>
      <c r="F18818" s="0" t="inlineStr">
        <is>
          <t xml:space="preserve">Mazda</t>
        </is>
      </c>
      <c r="G18818" s="0" t="s">
        <v>171</v>
      </c>
      <c r="H18818" s="5">
        <v>3.283400</v>
      </c>
    </row>
    <row r="18819" spans="1:9">
      <c r="A18819" s="22" t="str">
        <f>HYPERLINK("https://app.vivvix.com/360/KMI/IntelliDrive/ApplUI/Pages/CreativePages/CustomReportCreativeDetail.aspx?App=23&amp;ReportView=4&amp;Qid=1711279&amp;Row=18811&amp;Col=1","No Title Assigned - #15278049205")</f>
        <v/>
      </c>
      <c r="B18819" s="0" t="s">
        <v>24882</v>
      </c>
      <c r="E18819" s="0" t="inlineStr">
        <is>
          <t xml:space="preserve">Mazda</t>
        </is>
      </c>
      <c r="F18819" s="0" t="inlineStr">
        <is>
          <t xml:space="preserve">Mazda</t>
        </is>
      </c>
      <c r="G18819" s="0" t="s">
        <v>171</v>
      </c>
      <c r="H18819" s="5">
        <v>684.006900</v>
      </c>
    </row>
    <row r="18820" spans="1:9">
      <c r="A18820" s="22" t="str">
        <f>HYPERLINK("https://app.vivvix.com/360/KMI/IntelliDrive/ApplUI/Pages/CreativePages/CustomReportCreativeDetail.aspx?App=23&amp;ReportView=4&amp;Qid=1711279&amp;Row=18812&amp;Col=1","No Title Assigned - #15278049205")</f>
        <v/>
      </c>
      <c r="B18820" s="0" t="s">
        <v>24882</v>
      </c>
      <c r="E18820" s="0" t="inlineStr">
        <is>
          <t xml:space="preserve">Mazda</t>
        </is>
      </c>
      <c r="F18820" s="0" t="inlineStr">
        <is>
          <t xml:space="preserve">Mazda</t>
        </is>
      </c>
      <c r="G18820" s="0" t="s">
        <v>171</v>
      </c>
      <c r="H18820" s="5">
        <v>30.233800</v>
      </c>
    </row>
    <row r="18821" spans="1:9">
      <c r="A18821" s="22" t="str">
        <f>HYPERLINK("https://app.vivvix.com/360/KMI/IntelliDrive/ApplUI/Pages/CreativePages/CustomReportCreativeDetail.aspx?App=23&amp;ReportView=4&amp;Qid=1711279&amp;Row=18813&amp;Col=1","No Title Assigned - #15278049985")</f>
        <v/>
      </c>
      <c r="B18821" s="0" t="s">
        <v>24883</v>
      </c>
      <c r="E18821" s="0" t="inlineStr">
        <is>
          <t xml:space="preserve">Mazda</t>
        </is>
      </c>
      <c r="F18821" s="0" t="inlineStr">
        <is>
          <t xml:space="preserve">Mazda</t>
        </is>
      </c>
      <c r="G18821" s="0" t="s">
        <v>171</v>
      </c>
      <c r="H18821" s="5">
        <v>5674.306500</v>
      </c>
    </row>
    <row r="18822" spans="1:9">
      <c r="A18822" s="22" t="str">
        <f>HYPERLINK("https://app.vivvix.com/360/KMI/IntelliDrive/ApplUI/Pages/CreativePages/CustomReportCreativeDetail.aspx?App=23&amp;ReportView=4&amp;Qid=1711279&amp;Row=18814&amp;Col=1","No Title Assigned - #15278050227")</f>
        <v/>
      </c>
      <c r="B18822" s="0" t="s">
        <v>24884</v>
      </c>
      <c r="E18822" s="0" t="inlineStr">
        <is>
          <t xml:space="preserve">Mazda</t>
        </is>
      </c>
      <c r="F18822" s="0" t="inlineStr">
        <is>
          <t xml:space="preserve">Mazda</t>
        </is>
      </c>
      <c r="G18822" s="0" t="s">
        <v>171</v>
      </c>
      <c r="H18822" s="5">
        <v>190.834500</v>
      </c>
    </row>
    <row r="18823" spans="1:9">
      <c r="A18823" s="22" t="str">
        <f>HYPERLINK("https://app.vivvix.com/360/KMI/IntelliDrive/ApplUI/Pages/CreativePages/CustomReportCreativeDetail.aspx?App=23&amp;ReportView=4&amp;Qid=1711279&amp;Row=18815&amp;Col=1","No Title Assigned - #15278057575")</f>
        <v/>
      </c>
      <c r="B18823" s="0" t="s">
        <v>24885</v>
      </c>
      <c r="E18823" s="0" t="inlineStr">
        <is>
          <t xml:space="preserve">Mazda</t>
        </is>
      </c>
      <c r="F18823" s="0" t="inlineStr">
        <is>
          <t xml:space="preserve">Mazda</t>
        </is>
      </c>
      <c r="G18823" s="0" t="s">
        <v>171</v>
      </c>
      <c r="H18823" s="5">
        <v>72.685200</v>
      </c>
    </row>
    <row r="18824" spans="1:9">
      <c r="A18824" s="22" t="str">
        <f>HYPERLINK("https://app.vivvix.com/360/KMI/IntelliDrive/ApplUI/Pages/CreativePages/CustomReportCreativeDetail.aspx?App=23&amp;ReportView=4&amp;Qid=1711279&amp;Row=18816&amp;Col=1","No Title Assigned - #15278058114")</f>
        <v/>
      </c>
      <c r="B18824" s="0" t="s">
        <v>24886</v>
      </c>
      <c r="E18824" s="0" t="inlineStr">
        <is>
          <t xml:space="preserve">Mazda</t>
        </is>
      </c>
      <c r="F18824" s="0" t="inlineStr">
        <is>
          <t xml:space="preserve">Mazda</t>
        </is>
      </c>
      <c r="G18824" s="0" t="s">
        <v>171</v>
      </c>
      <c r="H18824" s="5">
        <v>645.349600</v>
      </c>
    </row>
    <row r="18825" spans="1:9">
      <c r="A18825" s="22" t="str">
        <f>HYPERLINK("https://app.vivvix.com/360/KMI/IntelliDrive/ApplUI/Pages/CreativePages/CustomReportCreativeDetail.aspx?App=23&amp;ReportView=4&amp;Qid=1711279&amp;Row=18817&amp;Col=1","No Title Assigned - #15278059107")</f>
        <v/>
      </c>
      <c r="B18825" s="0" t="s">
        <v>24887</v>
      </c>
      <c r="E18825" s="0" t="inlineStr">
        <is>
          <t xml:space="preserve">Mazda</t>
        </is>
      </c>
      <c r="F18825" s="0" t="inlineStr">
        <is>
          <t xml:space="preserve">Mazda</t>
        </is>
      </c>
      <c r="G18825" s="0" t="s">
        <v>171</v>
      </c>
      <c r="H18825" s="5">
        <v>202.338500</v>
      </c>
    </row>
    <row r="18826" spans="1:9">
      <c r="A18826" s="22" t="str">
        <f>HYPERLINK("https://app.vivvix.com/360/KMI/IntelliDrive/ApplUI/Pages/CreativePages/CustomReportCreativeDetail.aspx?App=23&amp;ReportView=4&amp;Qid=1711279&amp;Row=18818&amp;Col=1","No Title Assigned - #15278059251")</f>
        <v/>
      </c>
      <c r="B18826" s="0" t="s">
        <v>24888</v>
      </c>
      <c r="E18826" s="0" t="inlineStr">
        <is>
          <t xml:space="preserve">Mazda</t>
        </is>
      </c>
      <c r="F18826" s="0" t="inlineStr">
        <is>
          <t xml:space="preserve">Mazda</t>
        </is>
      </c>
      <c r="G18826" s="0" t="s">
        <v>171</v>
      </c>
      <c r="H18826" s="5">
        <v>376.583700</v>
      </c>
    </row>
    <row r="18827" spans="1:9">
      <c r="A18827" s="22" t="str">
        <f>HYPERLINK("https://app.vivvix.com/360/KMI/IntelliDrive/ApplUI/Pages/CreativePages/CustomReportCreativeDetail.aspx?App=23&amp;ReportView=4&amp;Qid=1711279&amp;Row=18819&amp;Col=1","No Title Assigned - #15278059289")</f>
        <v/>
      </c>
      <c r="B18827" s="0" t="s">
        <v>24889</v>
      </c>
      <c r="E18827" s="0" t="inlineStr">
        <is>
          <t xml:space="preserve">Mazda</t>
        </is>
      </c>
      <c r="F18827" s="0" t="inlineStr">
        <is>
          <t xml:space="preserve">Mazda</t>
        </is>
      </c>
      <c r="G18827" s="0" t="s">
        <v>171</v>
      </c>
      <c r="H18827" s="5">
        <v>50.738300</v>
      </c>
    </row>
    <row r="18828" spans="1:9">
      <c r="A18828" s="22" t="str">
        <f>HYPERLINK("https://app.vivvix.com/360/KMI/IntelliDrive/ApplUI/Pages/CreativePages/CustomReportCreativeDetail.aspx?App=23&amp;ReportView=4&amp;Qid=1711279&amp;Row=18820&amp;Col=1","No Title Assigned - #15278059290")</f>
        <v/>
      </c>
      <c r="B18828" s="0" t="s">
        <v>24890</v>
      </c>
      <c r="E18828" s="0" t="inlineStr">
        <is>
          <t xml:space="preserve">Mazda</t>
        </is>
      </c>
      <c r="F18828" s="0" t="inlineStr">
        <is>
          <t xml:space="preserve">Mazda</t>
        </is>
      </c>
      <c r="G18828" s="0" t="s">
        <v>171</v>
      </c>
      <c r="H18828" s="5">
        <v>3.283400</v>
      </c>
    </row>
    <row r="18829" spans="1:9">
      <c r="A18829" s="22" t="str">
        <f>HYPERLINK("https://app.vivvix.com/360/KMI/IntelliDrive/ApplUI/Pages/CreativePages/CustomReportCreativeDetail.aspx?App=23&amp;ReportView=4&amp;Qid=1711279&amp;Row=18821&amp;Col=1","No Title Assigned - #15278060666")</f>
        <v/>
      </c>
      <c r="B18829" s="0" t="s">
        <v>24891</v>
      </c>
      <c r="E18829" s="0" t="inlineStr">
        <is>
          <t xml:space="preserve">Mazda</t>
        </is>
      </c>
      <c r="F18829" s="0" t="inlineStr">
        <is>
          <t xml:space="preserve">Mazda</t>
        </is>
      </c>
      <c r="G18829" s="0" t="s">
        <v>171</v>
      </c>
      <c r="H18829" s="5">
        <v>229.561500</v>
      </c>
    </row>
    <row r="18830" spans="1:9">
      <c r="A18830" s="22" t="str">
        <f>HYPERLINK("https://app.vivvix.com/360/KMI/IntelliDrive/ApplUI/Pages/CreativePages/CustomReportCreativeDetail.aspx?App=23&amp;ReportView=4&amp;Qid=1711279&amp;Row=18822&amp;Col=1","No Title Assigned - #15278060666")</f>
        <v/>
      </c>
      <c r="B18830" s="0" t="s">
        <v>24891</v>
      </c>
      <c r="E18830" s="0" t="inlineStr">
        <is>
          <t xml:space="preserve">Mazda</t>
        </is>
      </c>
      <c r="F18830" s="0" t="inlineStr">
        <is>
          <t xml:space="preserve">Mazda</t>
        </is>
      </c>
      <c r="G18830" s="0" t="s">
        <v>171</v>
      </c>
      <c r="H18830" s="5">
        <v>755.184500</v>
      </c>
    </row>
    <row r="18831" spans="1:9">
      <c r="A18831" s="22" t="str">
        <f>HYPERLINK("https://app.vivvix.com/360/KMI/IntelliDrive/ApplUI/Pages/CreativePages/CustomReportCreativeDetail.aspx?App=23&amp;ReportView=4&amp;Qid=1711279&amp;Row=18823&amp;Col=1","No Title Assigned - #15278062237")</f>
        <v/>
      </c>
      <c r="B18831" s="0" t="s">
        <v>24892</v>
      </c>
      <c r="E18831" s="0" t="inlineStr">
        <is>
          <t xml:space="preserve">Mazda</t>
        </is>
      </c>
      <c r="F18831" s="0" t="inlineStr">
        <is>
          <t xml:space="preserve">Mazda</t>
        </is>
      </c>
      <c r="G18831" s="0" t="s">
        <v>171</v>
      </c>
      <c r="H18831" s="5">
        <v>758.446700</v>
      </c>
    </row>
    <row r="18832" spans="1:9">
      <c r="A18832" s="22" t="str">
        <f>HYPERLINK("https://app.vivvix.com/360/KMI/IntelliDrive/ApplUI/Pages/CreativePages/CustomReportCreativeDetail.aspx?App=23&amp;ReportView=4&amp;Qid=1711279&amp;Row=18824&amp;Col=1","No Title Assigned - #15278065270")</f>
        <v/>
      </c>
      <c r="B18832" s="0" t="s">
        <v>24893</v>
      </c>
      <c r="E18832" s="0" t="inlineStr">
        <is>
          <t xml:space="preserve">Mazda</t>
        </is>
      </c>
      <c r="F18832" s="0" t="inlineStr">
        <is>
          <t xml:space="preserve">Mazda</t>
        </is>
      </c>
      <c r="G18832" s="0" t="s">
        <v>171</v>
      </c>
      <c r="H18832" s="5">
        <v>826.819800</v>
      </c>
    </row>
    <row r="18833" spans="1:9">
      <c r="A18833" s="22" t="str">
        <f>HYPERLINK("https://app.vivvix.com/360/KMI/IntelliDrive/ApplUI/Pages/CreativePages/CustomReportCreativeDetail.aspx?App=23&amp;ReportView=4&amp;Qid=1711279&amp;Row=18825&amp;Col=1","No Title Assigned - #15278065270")</f>
        <v/>
      </c>
      <c r="B18833" s="0" t="s">
        <v>24893</v>
      </c>
      <c r="E18833" s="0" t="inlineStr">
        <is>
          <t xml:space="preserve">Mazda</t>
        </is>
      </c>
      <c r="F18833" s="0" t="inlineStr">
        <is>
          <t xml:space="preserve">Mazda</t>
        </is>
      </c>
      <c r="G18833" s="0" t="s">
        <v>171</v>
      </c>
      <c r="H18833" s="5">
        <v>6380.659200</v>
      </c>
    </row>
    <row r="18834" spans="1:9">
      <c r="A18834" s="22" t="str">
        <f>HYPERLINK("https://app.vivvix.com/360/KMI/IntelliDrive/ApplUI/Pages/CreativePages/CustomReportCreativeDetail.aspx?App=23&amp;ReportView=4&amp;Qid=1711279&amp;Row=18826&amp;Col=1","No Title Assigned - #15278065603")</f>
        <v/>
      </c>
      <c r="B18834" s="0" t="s">
        <v>24894</v>
      </c>
      <c r="E18834" s="0" t="inlineStr">
        <is>
          <t xml:space="preserve">Mazda</t>
        </is>
      </c>
      <c r="F18834" s="0" t="s">
        <v>28</v>
      </c>
      <c r="G18834" s="0" t="s">
        <v>29</v>
      </c>
      <c r="H18834" s="5">
        <v>1919.716100</v>
      </c>
    </row>
    <row r="18835" spans="1:9">
      <c r="A18835" s="22" t="str">
        <f>HYPERLINK("https://app.vivvix.com/360/KMI/IntelliDrive/ApplUI/Pages/CreativePages/CustomReportCreativeDetail.aspx?App=23&amp;ReportView=4&amp;Qid=1711279&amp;Row=18827&amp;Col=1","No Title Assigned - #15278065603")</f>
        <v/>
      </c>
      <c r="B18835" s="0" t="s">
        <v>24894</v>
      </c>
      <c r="C18835" s="0" t="s">
        <v>24895</v>
      </c>
      <c r="D18835" s="0" t="s">
        <v>24895</v>
      </c>
      <c r="E18835" s="0" t="inlineStr">
        <is>
          <t xml:space="preserve">Mazda</t>
        </is>
      </c>
      <c r="F18835" s="0" t="s">
        <v>28</v>
      </c>
      <c r="G18835" s="0" t="s">
        <v>29</v>
      </c>
      <c r="H18835" s="5">
        <v>1432.150800</v>
      </c>
    </row>
    <row r="18836" spans="1:9">
      <c r="A18836" s="22" t="str">
        <f>HYPERLINK("https://app.vivvix.com/360/KMI/IntelliDrive/ApplUI/Pages/CreativePages/CustomReportCreativeDetail.aspx?App=23&amp;ReportView=4&amp;Qid=1711279&amp;Row=18828&amp;Col=1","No Title Assigned - #15278066602")</f>
        <v/>
      </c>
      <c r="B18836" s="0" t="s">
        <v>24896</v>
      </c>
      <c r="C18836" s="0" t="s">
        <v>24897</v>
      </c>
      <c r="D18836" s="0" t="s">
        <v>24897</v>
      </c>
      <c r="E18836" s="0" t="inlineStr">
        <is>
          <t xml:space="preserve">Mazda</t>
        </is>
      </c>
      <c r="F18836" s="0" t="s">
        <v>28</v>
      </c>
      <c r="G18836" s="0" t="s">
        <v>29</v>
      </c>
      <c r="H18836" s="5">
        <v>904.574900</v>
      </c>
    </row>
    <row r="18837" spans="1:9">
      <c r="A18837" s="22" t="str">
        <f>HYPERLINK("https://app.vivvix.com/360/KMI/IntelliDrive/ApplUI/Pages/CreativePages/CustomReportCreativeDetail.aspx?App=23&amp;ReportView=4&amp;Qid=1711279&amp;Row=18829&amp;Col=1","No Title Assigned - #15278066602")</f>
        <v/>
      </c>
      <c r="B18837" s="0" t="s">
        <v>24896</v>
      </c>
      <c r="E18837" s="0" t="inlineStr">
        <is>
          <t xml:space="preserve">Mazda</t>
        </is>
      </c>
      <c r="F18837" s="0" t="s">
        <v>28</v>
      </c>
      <c r="G18837" s="0" t="s">
        <v>29</v>
      </c>
      <c r="H18837" s="5">
        <v>1697.331000</v>
      </c>
    </row>
    <row r="18838" spans="1:9">
      <c r="A18838" s="22" t="str">
        <f>HYPERLINK("https://app.vivvix.com/360/KMI/IntelliDrive/ApplUI/Pages/CreativePages/CustomReportCreativeDetail.aspx?App=23&amp;ReportView=4&amp;Qid=1711279&amp;Row=18830&amp;Col=1","No Title Assigned - #15278066787")</f>
        <v/>
      </c>
      <c r="B18838" s="0" t="s">
        <v>24898</v>
      </c>
      <c r="E18838" s="0" t="inlineStr">
        <is>
          <t xml:space="preserve">Mazda</t>
        </is>
      </c>
      <c r="F18838" s="0" t="s">
        <v>28</v>
      </c>
      <c r="G18838" s="0" t="s">
        <v>29</v>
      </c>
      <c r="H18838" s="5">
        <v>1115.986300</v>
      </c>
    </row>
    <row r="18839" spans="1:9">
      <c r="A18839" s="22" t="str">
        <f>HYPERLINK("https://app.vivvix.com/360/KMI/IntelliDrive/ApplUI/Pages/CreativePages/CustomReportCreativeDetail.aspx?App=23&amp;ReportView=4&amp;Qid=1711279&amp;Row=18831&amp;Col=1","No Title Assigned - #15278066787")</f>
        <v/>
      </c>
      <c r="B18839" s="0" t="s">
        <v>24898</v>
      </c>
      <c r="C18839" s="0" t="s">
        <v>24899</v>
      </c>
      <c r="D18839" s="0" t="s">
        <v>24899</v>
      </c>
      <c r="E18839" s="0" t="inlineStr">
        <is>
          <t xml:space="preserve">Mazda</t>
        </is>
      </c>
      <c r="F18839" s="0" t="s">
        <v>28</v>
      </c>
      <c r="G18839" s="0" t="s">
        <v>29</v>
      </c>
      <c r="H18839" s="5">
        <v>2407.986000</v>
      </c>
    </row>
    <row r="18840" spans="1:9">
      <c r="A18840" s="22" t="str">
        <f>HYPERLINK("https://app.vivvix.com/360/KMI/IntelliDrive/ApplUI/Pages/CreativePages/CustomReportCreativeDetail.aspx?App=23&amp;ReportView=4&amp;Qid=1711279&amp;Row=18832&amp;Col=1","No Title Assigned - #15278066828")</f>
        <v/>
      </c>
      <c r="B18840" s="0" t="s">
        <v>24900</v>
      </c>
      <c r="C18840" s="0" t="s">
        <v>24901</v>
      </c>
      <c r="D18840" s="0" t="s">
        <v>24901</v>
      </c>
      <c r="E18840" s="0" t="inlineStr">
        <is>
          <t xml:space="preserve">Mazda</t>
        </is>
      </c>
      <c r="F18840" s="0" t="s">
        <v>28</v>
      </c>
      <c r="G18840" s="0" t="s">
        <v>29</v>
      </c>
      <c r="H18840" s="5">
        <v>675.380500</v>
      </c>
    </row>
    <row r="18841" spans="1:9">
      <c r="A18841" s="22" t="str">
        <f>HYPERLINK("https://app.vivvix.com/360/KMI/IntelliDrive/ApplUI/Pages/CreativePages/CustomReportCreativeDetail.aspx?App=23&amp;ReportView=4&amp;Qid=1711279&amp;Row=18833&amp;Col=1","No Title Assigned - #15278067069")</f>
        <v/>
      </c>
      <c r="B18841" s="0" t="s">
        <v>24902</v>
      </c>
      <c r="C18841" s="0" t="s">
        <v>24903</v>
      </c>
      <c r="D18841" s="0" t="s">
        <v>4225</v>
      </c>
      <c r="E18841" s="0" t="inlineStr">
        <is>
          <t xml:space="preserve">Mazda</t>
        </is>
      </c>
      <c r="F18841" s="0" t="s">
        <v>28</v>
      </c>
      <c r="G18841" s="0" t="s">
        <v>29</v>
      </c>
      <c r="H18841" s="5">
        <v>499.487900</v>
      </c>
    </row>
    <row r="18842" spans="1:9">
      <c r="A18842" s="22" t="str">
        <f>HYPERLINK("https://app.vivvix.com/360/KMI/IntelliDrive/ApplUI/Pages/CreativePages/CustomReportCreativeDetail.aspx?App=23&amp;ReportView=4&amp;Qid=1711279&amp;Row=18834&amp;Col=1","No Title Assigned - #15278067069")</f>
        <v/>
      </c>
      <c r="B18842" s="0" t="s">
        <v>24902</v>
      </c>
      <c r="E18842" s="0" t="inlineStr">
        <is>
          <t xml:space="preserve">Mazda</t>
        </is>
      </c>
      <c r="F18842" s="0" t="s">
        <v>28</v>
      </c>
      <c r="G18842" s="0" t="s">
        <v>29</v>
      </c>
      <c r="H18842" s="5">
        <v>1505.494900</v>
      </c>
    </row>
    <row r="18843" spans="1:9">
      <c r="A18843" s="22" t="str">
        <f>HYPERLINK("https://app.vivvix.com/360/KMI/IntelliDrive/ApplUI/Pages/CreativePages/CustomReportCreativeDetail.aspx?App=23&amp;ReportView=4&amp;Qid=1711279&amp;Row=18835&amp;Col=1","No Title Assigned - #15278068104")</f>
        <v/>
      </c>
      <c r="B18843" s="0" t="s">
        <v>24904</v>
      </c>
      <c r="C18843" s="0" t="s">
        <v>24905</v>
      </c>
      <c r="D18843" s="0" t="s">
        <v>4200</v>
      </c>
      <c r="E18843" s="0" t="inlineStr">
        <is>
          <t xml:space="preserve">Mazda</t>
        </is>
      </c>
      <c r="F18843" s="0" t="s">
        <v>28</v>
      </c>
      <c r="G18843" s="0" t="s">
        <v>29</v>
      </c>
      <c r="H18843" s="5">
        <v>73142.507600</v>
      </c>
    </row>
    <row r="18844" spans="1:9">
      <c r="A18844" s="22" t="str">
        <f>HYPERLINK("https://app.vivvix.com/360/KMI/IntelliDrive/ApplUI/Pages/CreativePages/CustomReportCreativeDetail.aspx?App=23&amp;ReportView=4&amp;Qid=1711279&amp;Row=18836&amp;Col=1","No Title Assigned - #15278068104")</f>
        <v/>
      </c>
      <c r="B18844" s="0" t="s">
        <v>24904</v>
      </c>
      <c r="E18844" s="0" t="inlineStr">
        <is>
          <t xml:space="preserve">Mazda</t>
        </is>
      </c>
      <c r="F18844" s="0" t="s">
        <v>28</v>
      </c>
      <c r="G18844" s="0" t="s">
        <v>29</v>
      </c>
      <c r="H18844" s="5">
        <v>922.605200</v>
      </c>
    </row>
    <row r="18845" spans="1:9">
      <c r="A18845" s="22" t="str">
        <f>HYPERLINK("https://app.vivvix.com/360/KMI/IntelliDrive/ApplUI/Pages/CreativePages/CustomReportCreativeDetail.aspx?App=23&amp;ReportView=4&amp;Qid=1711279&amp;Row=18837&amp;Col=1","No Title Assigned - #15278068256")</f>
        <v/>
      </c>
      <c r="B18845" s="0" t="s">
        <v>24906</v>
      </c>
      <c r="C18845" s="0" t="s">
        <v>24907</v>
      </c>
      <c r="D18845" s="0" t="s">
        <v>4418</v>
      </c>
      <c r="E18845" s="0" t="inlineStr">
        <is>
          <t xml:space="preserve">Mazda</t>
        </is>
      </c>
      <c r="F18845" s="0" t="s">
        <v>28</v>
      </c>
      <c r="G18845" s="0" t="s">
        <v>29</v>
      </c>
      <c r="H18845" s="5">
        <v>16.079700</v>
      </c>
    </row>
    <row r="18846" spans="1:9">
      <c r="A18846" s="22" t="str">
        <f>HYPERLINK("https://app.vivvix.com/360/KMI/IntelliDrive/ApplUI/Pages/CreativePages/CustomReportCreativeDetail.aspx?App=23&amp;ReportView=4&amp;Qid=1711279&amp;Row=18838&amp;Col=1","No Title Assigned - #15278069477")</f>
        <v/>
      </c>
      <c r="B18846" s="0" t="s">
        <v>24908</v>
      </c>
      <c r="C18846" s="0" t="s">
        <v>24909</v>
      </c>
      <c r="D18846" s="0" t="s">
        <v>5220</v>
      </c>
      <c r="E18846" s="0" t="inlineStr">
        <is>
          <t xml:space="preserve">Mazda</t>
        </is>
      </c>
      <c r="F18846" s="0" t="s">
        <v>28</v>
      </c>
      <c r="G18846" s="0" t="s">
        <v>29</v>
      </c>
      <c r="H18846" s="5">
        <v>78.656300</v>
      </c>
    </row>
    <row r="18847" spans="1:9">
      <c r="A18847" s="22" t="str">
        <f>HYPERLINK("https://app.vivvix.com/360/KMI/IntelliDrive/ApplUI/Pages/CreativePages/CustomReportCreativeDetail.aspx?App=23&amp;ReportView=4&amp;Qid=1711279&amp;Row=18839&amp;Col=1","No Title Assigned - #15278069490")</f>
        <v/>
      </c>
      <c r="B18847" s="0" t="s">
        <v>24910</v>
      </c>
      <c r="E18847" s="0" t="inlineStr">
        <is>
          <t xml:space="preserve">Mazda</t>
        </is>
      </c>
      <c r="F18847" s="0" t="s">
        <v>28</v>
      </c>
      <c r="G18847" s="0" t="s">
        <v>29</v>
      </c>
      <c r="H18847" s="5">
        <v>2164.238700</v>
      </c>
    </row>
    <row r="18848" spans="1:9">
      <c r="A18848" s="22" t="str">
        <f>HYPERLINK("https://app.vivvix.com/360/KMI/IntelliDrive/ApplUI/Pages/CreativePages/CustomReportCreativeDetail.aspx?App=23&amp;ReportView=4&amp;Qid=1711279&amp;Row=18840&amp;Col=1","No Title Assigned - #15278069490")</f>
        <v/>
      </c>
      <c r="B18848" s="0" t="s">
        <v>24910</v>
      </c>
      <c r="C18848" s="0" t="s">
        <v>24911</v>
      </c>
      <c r="D18848" s="0" t="s">
        <v>4200</v>
      </c>
      <c r="E18848" s="0" t="inlineStr">
        <is>
          <t xml:space="preserve">Mazda</t>
        </is>
      </c>
      <c r="F18848" s="0" t="s">
        <v>28</v>
      </c>
      <c r="G18848" s="0" t="s">
        <v>29</v>
      </c>
      <c r="H18848" s="5">
        <v>678.031300</v>
      </c>
    </row>
    <row r="18849" spans="1:9">
      <c r="A18849" s="22" t="str">
        <f>HYPERLINK("https://app.vivvix.com/360/KMI/IntelliDrive/ApplUI/Pages/CreativePages/CustomReportCreativeDetail.aspx?App=23&amp;ReportView=4&amp;Qid=1711279&amp;Row=18841&amp;Col=1","No Title Assigned - #15278070816")</f>
        <v/>
      </c>
      <c r="B18849" s="0" t="s">
        <v>24912</v>
      </c>
      <c r="C18849" s="0" t="s">
        <v>24913</v>
      </c>
      <c r="D18849" s="0" t="s">
        <v>4202</v>
      </c>
      <c r="E18849" s="0" t="inlineStr">
        <is>
          <t xml:space="preserve">Mazda</t>
        </is>
      </c>
      <c r="F18849" s="0" t="s">
        <v>28</v>
      </c>
      <c r="G18849" s="0" t="s">
        <v>29</v>
      </c>
      <c r="H18849" s="5">
        <v>107.163000</v>
      </c>
    </row>
    <row r="18850" spans="1:9">
      <c r="A18850" s="22" t="str">
        <f>HYPERLINK("https://app.vivvix.com/360/KMI/IntelliDrive/ApplUI/Pages/CreativePages/CustomReportCreativeDetail.aspx?App=23&amp;ReportView=4&amp;Qid=1711279&amp;Row=18842&amp;Col=1","No Title Assigned - #15278071545")</f>
        <v/>
      </c>
      <c r="B18850" s="0" t="s">
        <v>24914</v>
      </c>
      <c r="E18850" s="0" t="inlineStr">
        <is>
          <t xml:space="preserve">Mazda</t>
        </is>
      </c>
      <c r="F18850" s="0" t="s">
        <v>28</v>
      </c>
      <c r="G18850" s="0" t="s">
        <v>29</v>
      </c>
      <c r="H18850" s="5">
        <v>219.534800</v>
      </c>
    </row>
    <row r="18851" spans="1:9">
      <c r="A18851" s="22" t="str">
        <f>HYPERLINK("https://app.vivvix.com/360/KMI/IntelliDrive/ApplUI/Pages/CreativePages/CustomReportCreativeDetail.aspx?App=23&amp;ReportView=4&amp;Qid=1711279&amp;Row=18843&amp;Col=1","No Title Assigned - #15278071545")</f>
        <v/>
      </c>
      <c r="B18851" s="0" t="s">
        <v>24914</v>
      </c>
      <c r="C18851" s="0" t="s">
        <v>24915</v>
      </c>
      <c r="D18851" s="0" t="s">
        <v>24915</v>
      </c>
      <c r="E18851" s="0" t="inlineStr">
        <is>
          <t xml:space="preserve">Mazda</t>
        </is>
      </c>
      <c r="F18851" s="0" t="s">
        <v>28</v>
      </c>
      <c r="G18851" s="0" t="s">
        <v>29</v>
      </c>
      <c r="H18851" s="5">
        <v>1505.494900</v>
      </c>
    </row>
    <row r="18852" spans="1:9">
      <c r="A18852" s="22" t="str">
        <f>HYPERLINK("https://app.vivvix.com/360/KMI/IntelliDrive/ApplUI/Pages/CreativePages/CustomReportCreativeDetail.aspx?App=23&amp;ReportView=4&amp;Qid=1711279&amp;Row=18844&amp;Col=1","No Title Assigned - #15278071546")</f>
        <v/>
      </c>
      <c r="B18852" s="0" t="s">
        <v>24916</v>
      </c>
      <c r="E18852" s="0" t="inlineStr">
        <is>
          <t xml:space="preserve">Mazda</t>
        </is>
      </c>
      <c r="F18852" s="0" t="s">
        <v>28</v>
      </c>
      <c r="G18852" s="0" t="s">
        <v>29</v>
      </c>
      <c r="H18852" s="5">
        <v>1127.108900</v>
      </c>
    </row>
    <row r="18853" spans="1:9">
      <c r="A18853" s="22" t="str">
        <f>HYPERLINK("https://app.vivvix.com/360/KMI/IntelliDrive/ApplUI/Pages/CreativePages/CustomReportCreativeDetail.aspx?App=23&amp;ReportView=4&amp;Qid=1711279&amp;Row=18845&amp;Col=1","No Title Assigned - #15278071546")</f>
        <v/>
      </c>
      <c r="B18853" s="0" t="s">
        <v>24916</v>
      </c>
      <c r="C18853" s="0" t="s">
        <v>24917</v>
      </c>
      <c r="D18853" s="0" t="s">
        <v>24917</v>
      </c>
      <c r="E18853" s="0" t="inlineStr">
        <is>
          <t xml:space="preserve">Mazda</t>
        </is>
      </c>
      <c r="F18853" s="0" t="s">
        <v>28</v>
      </c>
      <c r="G18853" s="0" t="s">
        <v>29</v>
      </c>
      <c r="H18853" s="5">
        <v>1505.494900</v>
      </c>
    </row>
    <row r="18854" spans="1:9">
      <c r="A18854" s="22" t="str">
        <f>HYPERLINK("https://app.vivvix.com/360/KMI/IntelliDrive/ApplUI/Pages/CreativePages/CustomReportCreativeDetail.aspx?App=23&amp;ReportView=4&amp;Qid=1711279&amp;Row=18846&amp;Col=1","No Title Assigned - #15278075902")</f>
        <v/>
      </c>
      <c r="B18854" s="0" t="s">
        <v>24918</v>
      </c>
      <c r="C18854" s="0" t="s">
        <v>24919</v>
      </c>
      <c r="D18854" s="0" t="s">
        <v>24919</v>
      </c>
      <c r="E18854" s="0" t="inlineStr">
        <is>
          <t xml:space="preserve">Mazda</t>
        </is>
      </c>
      <c r="F18854" s="0" t="s">
        <v>13</v>
      </c>
      <c r="G18854" s="0" t="s">
        <v>49</v>
      </c>
      <c r="H18854" s="5">
        <v>79559.304700</v>
      </c>
    </row>
    <row r="18855" spans="1:9">
      <c r="A18855" s="22" t="str">
        <f>HYPERLINK("https://app.vivvix.com/360/KMI/IntelliDrive/ApplUI/Pages/CreativePages/CustomReportCreativeDetail.aspx?App=23&amp;ReportView=4&amp;Qid=1711279&amp;Row=18847&amp;Col=1","No Title Assigned - #15278076168")</f>
        <v/>
      </c>
      <c r="B18855" s="0" t="s">
        <v>24920</v>
      </c>
      <c r="C18855" s="0" t="s">
        <v>24921</v>
      </c>
      <c r="D18855" s="0" t="s">
        <v>24921</v>
      </c>
      <c r="E18855" s="0" t="inlineStr">
        <is>
          <t xml:space="preserve">Mazda</t>
        </is>
      </c>
      <c r="F18855" s="0" t="s">
        <v>28</v>
      </c>
      <c r="G18855" s="0" t="s">
        <v>29</v>
      </c>
      <c r="H18855" s="5">
        <v>49884.179100</v>
      </c>
    </row>
    <row r="18856" spans="1:9">
      <c r="A18856" s="22" t="str">
        <f>HYPERLINK("https://app.vivvix.com/360/KMI/IntelliDrive/ApplUI/Pages/CreativePages/CustomReportCreativeDetail.aspx?App=23&amp;ReportView=4&amp;Qid=1711279&amp;Row=18848&amp;Col=1","No Title Assigned - #15278076168")</f>
        <v/>
      </c>
      <c r="B18856" s="0" t="s">
        <v>24920</v>
      </c>
      <c r="E18856" s="0" t="inlineStr">
        <is>
          <t xml:space="preserve">Mazda</t>
        </is>
      </c>
      <c r="F18856" s="0" t="s">
        <v>28</v>
      </c>
      <c r="G18856" s="0" t="s">
        <v>29</v>
      </c>
      <c r="H18856" s="5">
        <v>2524.746200</v>
      </c>
    </row>
    <row r="18857" spans="1:9">
      <c r="A18857" s="22" t="str">
        <f>HYPERLINK("https://app.vivvix.com/360/KMI/IntelliDrive/ApplUI/Pages/CreativePages/CustomReportCreativeDetail.aspx?App=23&amp;ReportView=4&amp;Qid=1711279&amp;Row=18849&amp;Col=1","No Title Assigned - #15278077061")</f>
        <v/>
      </c>
      <c r="B18857" s="0" t="s">
        <v>24922</v>
      </c>
      <c r="E18857" s="0" t="inlineStr">
        <is>
          <t xml:space="preserve">Mazda</t>
        </is>
      </c>
      <c r="F18857" s="0" t="s">
        <v>28</v>
      </c>
      <c r="G18857" s="0" t="s">
        <v>29</v>
      </c>
      <c r="H18857" s="5">
        <v>591.245400</v>
      </c>
    </row>
    <row r="18858" spans="1:9">
      <c r="A18858" s="22" t="str">
        <f>HYPERLINK("https://app.vivvix.com/360/KMI/IntelliDrive/ApplUI/Pages/CreativePages/CustomReportCreativeDetail.aspx?App=23&amp;ReportView=4&amp;Qid=1711279&amp;Row=18850&amp;Col=1","No Title Assigned - #15278077061")</f>
        <v/>
      </c>
      <c r="B18858" s="0" t="s">
        <v>24922</v>
      </c>
      <c r="C18858" s="0" t="s">
        <v>24923</v>
      </c>
      <c r="D18858" s="0" t="s">
        <v>4200</v>
      </c>
      <c r="E18858" s="0" t="inlineStr">
        <is>
          <t xml:space="preserve">Mazda</t>
        </is>
      </c>
      <c r="F18858" s="0" t="s">
        <v>28</v>
      </c>
      <c r="G18858" s="0" t="s">
        <v>29</v>
      </c>
      <c r="H18858" s="5">
        <v>1760.455200</v>
      </c>
    </row>
    <row r="18859" spans="1:9">
      <c r="A18859" s="22" t="str">
        <f>HYPERLINK("https://app.vivvix.com/360/KMI/IntelliDrive/ApplUI/Pages/CreativePages/CustomReportCreativeDetail.aspx?App=23&amp;ReportView=4&amp;Qid=1711279&amp;Row=18851&amp;Col=1","No Title Assigned - #15278077487")</f>
        <v/>
      </c>
      <c r="B18859" s="0" t="s">
        <v>24924</v>
      </c>
      <c r="C18859" s="0" t="s">
        <v>24925</v>
      </c>
      <c r="D18859" s="0" t="s">
        <v>24925</v>
      </c>
      <c r="E18859" s="0" t="inlineStr">
        <is>
          <t xml:space="preserve">Mazda</t>
        </is>
      </c>
      <c r="F18859" s="0" t="s">
        <v>28</v>
      </c>
      <c r="G18859" s="0" t="s">
        <v>29</v>
      </c>
      <c r="H18859" s="5">
        <v>16.079700</v>
      </c>
    </row>
    <row r="18860" spans="1:9">
      <c r="A18860" s="22" t="str">
        <f>HYPERLINK("https://app.vivvix.com/360/KMI/IntelliDrive/ApplUI/Pages/CreativePages/CustomReportCreativeDetail.aspx?App=23&amp;ReportView=4&amp;Qid=1711279&amp;Row=18852&amp;Col=1","No Title Assigned - #15278077488")</f>
        <v/>
      </c>
      <c r="B18860" s="0" t="s">
        <v>24926</v>
      </c>
      <c r="C18860" s="0" t="s">
        <v>24927</v>
      </c>
      <c r="D18860" s="0" t="s">
        <v>16691</v>
      </c>
      <c r="E18860" s="0" t="inlineStr">
        <is>
          <t xml:space="preserve">Mazda</t>
        </is>
      </c>
      <c r="F18860" s="0" t="s">
        <v>28</v>
      </c>
      <c r="G18860" s="0" t="s">
        <v>29</v>
      </c>
      <c r="H18860" s="5">
        <v>16.079700</v>
      </c>
    </row>
    <row r="18861" spans="1:9">
      <c r="A18861" s="22" t="str">
        <f>HYPERLINK("https://app.vivvix.com/360/KMI/IntelliDrive/ApplUI/Pages/CreativePages/CustomReportCreativeDetail.aspx?App=23&amp;ReportView=4&amp;Qid=1711279&amp;Row=18853&amp;Col=1","No Title Assigned - #15278077519")</f>
        <v/>
      </c>
      <c r="B18861" s="0" t="s">
        <v>24928</v>
      </c>
      <c r="C18861" s="0" t="s">
        <v>24929</v>
      </c>
      <c r="D18861" s="0" t="s">
        <v>13354</v>
      </c>
      <c r="E18861" s="0" t="inlineStr">
        <is>
          <t xml:space="preserve">Mazda</t>
        </is>
      </c>
      <c r="F18861" s="0" t="s">
        <v>28</v>
      </c>
      <c r="G18861" s="0" t="s">
        <v>29</v>
      </c>
      <c r="H18861" s="5">
        <v>16.079700</v>
      </c>
    </row>
    <row r="18862" spans="1:9">
      <c r="A18862" s="22" t="str">
        <f>HYPERLINK("https://app.vivvix.com/360/KMI/IntelliDrive/ApplUI/Pages/CreativePages/CustomReportCreativeDetail.aspx?App=23&amp;ReportView=4&amp;Qid=1711279&amp;Row=18854&amp;Col=1","No Title Assigned - #15278077532")</f>
        <v/>
      </c>
      <c r="B18862" s="0" t="s">
        <v>24930</v>
      </c>
      <c r="C18862" s="0" t="s">
        <v>24931</v>
      </c>
      <c r="D18862" s="0" t="s">
        <v>4783</v>
      </c>
      <c r="E18862" s="0" t="inlineStr">
        <is>
          <t xml:space="preserve">Mazda</t>
        </is>
      </c>
      <c r="F18862" s="0" t="s">
        <v>28</v>
      </c>
      <c r="G18862" s="0" t="s">
        <v>29</v>
      </c>
      <c r="H18862" s="5">
        <v>18.947200</v>
      </c>
    </row>
    <row r="18863" spans="1:9">
      <c r="A18863" s="22" t="str">
        <f>HYPERLINK("https://app.vivvix.com/360/KMI/IntelliDrive/ApplUI/Pages/CreativePages/CustomReportCreativeDetail.aspx?App=23&amp;ReportView=4&amp;Qid=1711279&amp;Row=18855&amp;Col=1","No Title Assigned - #15278077714")</f>
        <v/>
      </c>
      <c r="B18863" s="0" t="s">
        <v>24932</v>
      </c>
      <c r="C18863" s="0" t="s">
        <v>24933</v>
      </c>
      <c r="D18863" s="0" t="s">
        <v>24933</v>
      </c>
      <c r="E18863" s="0" t="inlineStr">
        <is>
          <t xml:space="preserve">Mazda</t>
        </is>
      </c>
      <c r="F18863" s="0" t="s">
        <v>28</v>
      </c>
      <c r="G18863" s="0" t="s">
        <v>29</v>
      </c>
      <c r="H18863" s="5">
        <v>529.412500</v>
      </c>
    </row>
    <row r="18864" spans="1:9">
      <c r="A18864" s="22" t="str">
        <f>HYPERLINK("https://app.vivvix.com/360/KMI/IntelliDrive/ApplUI/Pages/CreativePages/CustomReportCreativeDetail.aspx?App=23&amp;ReportView=4&amp;Qid=1711279&amp;Row=18856&amp;Col=1","No Title Assigned - #15278077725")</f>
        <v/>
      </c>
      <c r="B18864" s="0" t="s">
        <v>24934</v>
      </c>
      <c r="C18864" s="0" t="s">
        <v>24935</v>
      </c>
      <c r="D18864" s="0" t="s">
        <v>7920</v>
      </c>
      <c r="E18864" s="0" t="inlineStr">
        <is>
          <t xml:space="preserve">Mazda</t>
        </is>
      </c>
      <c r="F18864" s="0" t="s">
        <v>28</v>
      </c>
      <c r="G18864" s="0" t="s">
        <v>29</v>
      </c>
      <c r="H18864" s="5">
        <v>27028.873400</v>
      </c>
    </row>
    <row r="18865" spans="1:9">
      <c r="A18865" s="22" t="str">
        <f>HYPERLINK("https://app.vivvix.com/360/KMI/IntelliDrive/ApplUI/Pages/CreativePages/CustomReportCreativeDetail.aspx?App=23&amp;ReportView=4&amp;Qid=1711279&amp;Row=18857&amp;Col=1","No Title Assigned - #15278077725")</f>
        <v/>
      </c>
      <c r="B18865" s="0" t="s">
        <v>24934</v>
      </c>
      <c r="E18865" s="0" t="inlineStr">
        <is>
          <t xml:space="preserve">Mazda</t>
        </is>
      </c>
      <c r="F18865" s="0" t="s">
        <v>28</v>
      </c>
      <c r="G18865" s="0" t="s">
        <v>29</v>
      </c>
      <c r="H18865" s="5">
        <v>26964.093900</v>
      </c>
    </row>
    <row r="18866" spans="1:9">
      <c r="A18866" s="22" t="str">
        <f>HYPERLINK("https://app.vivvix.com/360/KMI/IntelliDrive/ApplUI/Pages/CreativePages/CustomReportCreativeDetail.aspx?App=23&amp;ReportView=4&amp;Qid=1711279&amp;Row=18858&amp;Col=1","No Title Assigned - #15278079916")</f>
        <v/>
      </c>
      <c r="B18866" s="0" t="s">
        <v>24936</v>
      </c>
      <c r="C18866" s="0" t="s">
        <v>24937</v>
      </c>
      <c r="D18866" s="0" t="s">
        <v>24937</v>
      </c>
      <c r="E18866" s="0" t="inlineStr">
        <is>
          <t xml:space="preserve">Mazda</t>
        </is>
      </c>
      <c r="F18866" s="0" t="s">
        <v>13</v>
      </c>
      <c r="G18866" s="0" t="s">
        <v>49</v>
      </c>
      <c r="H18866" s="5">
        <v>83057.807200</v>
      </c>
    </row>
    <row r="18867" spans="1:9">
      <c r="A18867" s="22" t="str">
        <f>HYPERLINK("https://app.vivvix.com/360/KMI/IntelliDrive/ApplUI/Pages/CreativePages/CustomReportCreativeDetail.aspx?App=23&amp;ReportView=4&amp;Qid=1711279&amp;Row=18859&amp;Col=1","No Title Assigned - #15278081577")</f>
        <v/>
      </c>
      <c r="B18867" s="0" t="s">
        <v>24938</v>
      </c>
      <c r="C18867" s="0" t="s">
        <v>24939</v>
      </c>
      <c r="D18867" s="0" t="s">
        <v>24939</v>
      </c>
      <c r="E18867" s="0" t="inlineStr">
        <is>
          <t xml:space="preserve">Mazda</t>
        </is>
      </c>
      <c r="F18867" s="0" t="s">
        <v>666</v>
      </c>
      <c r="G18867" s="0" t="s">
        <v>667</v>
      </c>
      <c r="H18867" s="5">
        <v>1334.123000</v>
      </c>
    </row>
    <row r="18868" spans="1:9">
      <c r="A18868" s="22" t="str">
        <f>HYPERLINK("https://app.vivvix.com/360/KMI/IntelliDrive/ApplUI/Pages/CreativePages/CustomReportCreativeDetail.aspx?App=23&amp;ReportView=4&amp;Qid=1711279&amp;Row=18860&amp;Col=1","No Title Assigned - #15278082704")</f>
        <v/>
      </c>
      <c r="B18868" s="0" t="s">
        <v>24940</v>
      </c>
      <c r="C18868" s="0" t="s">
        <v>24941</v>
      </c>
      <c r="D18868" s="0" t="s">
        <v>24941</v>
      </c>
      <c r="E18868" s="0" t="inlineStr">
        <is>
          <t xml:space="preserve">Mazda</t>
        </is>
      </c>
      <c r="F18868" s="0" t="s">
        <v>13</v>
      </c>
      <c r="G18868" s="0" t="s">
        <v>49</v>
      </c>
      <c r="H18868" s="5">
        <v>301350.648500</v>
      </c>
    </row>
    <row r="18869" spans="1:9">
      <c r="A18869" s="22" t="str">
        <f>HYPERLINK("https://app.vivvix.com/360/KMI/IntelliDrive/ApplUI/Pages/CreativePages/CustomReportCreativeDetail.aspx?App=23&amp;ReportView=4&amp;Qid=1711279&amp;Row=18861&amp;Col=1","No Title Assigned - #15278084135")</f>
        <v/>
      </c>
      <c r="B18869" s="0" t="s">
        <v>24942</v>
      </c>
      <c r="C18869" s="0" t="s">
        <v>24943</v>
      </c>
      <c r="D18869" s="0" t="s">
        <v>6183</v>
      </c>
      <c r="E18869" s="0" t="inlineStr">
        <is>
          <t xml:space="preserve">Mazda</t>
        </is>
      </c>
      <c r="F18869" s="0" t="s">
        <v>13</v>
      </c>
      <c r="G18869" s="0" t="s">
        <v>49</v>
      </c>
      <c r="H18869" s="5">
        <v>482.703000</v>
      </c>
    </row>
    <row r="18870" spans="1:9">
      <c r="A18870" s="22" t="str">
        <f>HYPERLINK("https://app.vivvix.com/360/KMI/IntelliDrive/ApplUI/Pages/CreativePages/CustomReportCreativeDetail.aspx?App=23&amp;ReportView=4&amp;Qid=1711279&amp;Row=18862&amp;Col=1","No Title Assigned - #15278084863")</f>
        <v/>
      </c>
      <c r="B18870" s="0" t="s">
        <v>24944</v>
      </c>
      <c r="C18870" s="0" t="s">
        <v>24945</v>
      </c>
      <c r="D18870" s="0" t="s">
        <v>5534</v>
      </c>
      <c r="E18870" s="0" t="inlineStr">
        <is>
          <t xml:space="preserve">Mazda</t>
        </is>
      </c>
      <c r="F18870" s="0" t="s">
        <v>28</v>
      </c>
      <c r="G18870" s="0" t="s">
        <v>29</v>
      </c>
      <c r="H18870" s="5">
        <v>1694.023500</v>
      </c>
    </row>
    <row r="18871" spans="1:9">
      <c r="A18871" s="22" t="str">
        <f>HYPERLINK("https://app.vivvix.com/360/KMI/IntelliDrive/ApplUI/Pages/CreativePages/CustomReportCreativeDetail.aspx?App=23&amp;ReportView=4&amp;Qid=1711279&amp;Row=18863&amp;Col=1","No Title Assigned - #15278085199")</f>
        <v/>
      </c>
      <c r="B18871" s="0" t="s">
        <v>24946</v>
      </c>
      <c r="C18871" s="0" t="s">
        <v>24947</v>
      </c>
      <c r="D18871" s="0" t="s">
        <v>24947</v>
      </c>
      <c r="E18871" s="0" t="inlineStr">
        <is>
          <t xml:space="preserve">Mazda</t>
        </is>
      </c>
      <c r="F18871" s="0" t="s">
        <v>28</v>
      </c>
      <c r="G18871" s="0" t="s">
        <v>29</v>
      </c>
      <c r="H18871" s="5">
        <v>5832.670300</v>
      </c>
    </row>
    <row r="18872" spans="1:9">
      <c r="A18872" s="22" t="str">
        <f>HYPERLINK("https://app.vivvix.com/360/KMI/IntelliDrive/ApplUI/Pages/CreativePages/CustomReportCreativeDetail.aspx?App=23&amp;ReportView=4&amp;Qid=1711279&amp;Row=18864&amp;Col=1","No Title Assigned - #15278085199")</f>
        <v/>
      </c>
      <c r="B18872" s="0" t="s">
        <v>24946</v>
      </c>
      <c r="E18872" s="0" t="inlineStr">
        <is>
          <t xml:space="preserve">Mazda</t>
        </is>
      </c>
      <c r="F18872" s="0" t="s">
        <v>28</v>
      </c>
      <c r="G18872" s="0" t="s">
        <v>29</v>
      </c>
      <c r="H18872" s="5">
        <v>166.400600</v>
      </c>
    </row>
    <row r="18873" spans="1:9">
      <c r="A18873" s="22" t="str">
        <f>HYPERLINK("https://app.vivvix.com/360/KMI/IntelliDrive/ApplUI/Pages/CreativePages/CustomReportCreativeDetail.aspx?App=23&amp;ReportView=4&amp;Qid=1711279&amp;Row=18865&amp;Col=1","No Title Assigned - #15278086649")</f>
        <v/>
      </c>
      <c r="B18873" s="0" t="s">
        <v>24948</v>
      </c>
      <c r="E18873" s="0" t="inlineStr">
        <is>
          <t xml:space="preserve">Mazda</t>
        </is>
      </c>
      <c r="F18873" s="0" t="inlineStr">
        <is>
          <t xml:space="preserve">Mazda</t>
        </is>
      </c>
      <c r="G18873" s="0" t="s">
        <v>171</v>
      </c>
      <c r="H18873" s="5">
        <v>125.061200</v>
      </c>
    </row>
    <row r="18874" spans="1:9">
      <c r="A18874" s="22" t="str">
        <f>HYPERLINK("https://app.vivvix.com/360/KMI/IntelliDrive/ApplUI/Pages/CreativePages/CustomReportCreativeDetail.aspx?App=23&amp;ReportView=4&amp;Qid=1711279&amp;Row=18866&amp;Col=1","No Title Assigned - #15278087534")</f>
        <v/>
      </c>
      <c r="B18874" s="0" t="s">
        <v>24949</v>
      </c>
      <c r="E18874" s="0" t="inlineStr">
        <is>
          <t xml:space="preserve">Mazda</t>
        </is>
      </c>
      <c r="F18874" s="0" t="inlineStr">
        <is>
          <t xml:space="preserve">Mazda</t>
        </is>
      </c>
      <c r="G18874" s="0" t="s">
        <v>171</v>
      </c>
      <c r="H18874" s="5">
        <v>3.283400</v>
      </c>
    </row>
    <row r="18875" spans="1:9">
      <c r="A18875" s="22" t="str">
        <f>HYPERLINK("https://app.vivvix.com/360/KMI/IntelliDrive/ApplUI/Pages/CreativePages/CustomReportCreativeDetail.aspx?App=23&amp;ReportView=4&amp;Qid=1711279&amp;Row=18867&amp;Col=1","No Title Assigned - #15278087724")</f>
        <v/>
      </c>
      <c r="B18875" s="0" t="s">
        <v>24950</v>
      </c>
      <c r="E18875" s="0" t="inlineStr">
        <is>
          <t xml:space="preserve">Mazda</t>
        </is>
      </c>
      <c r="F18875" s="0" t="inlineStr">
        <is>
          <t xml:space="preserve">Mazda</t>
        </is>
      </c>
      <c r="G18875" s="0" t="s">
        <v>171</v>
      </c>
      <c r="H18875" s="5">
        <v>23604.069700</v>
      </c>
    </row>
    <row r="18876" spans="1:9">
      <c r="A18876" s="22" t="str">
        <f>HYPERLINK("https://app.vivvix.com/360/KMI/IntelliDrive/ApplUI/Pages/CreativePages/CustomReportCreativeDetail.aspx?App=23&amp;ReportView=4&amp;Qid=1711279&amp;Row=18868&amp;Col=1","No Title Assigned - #15278087725")</f>
        <v/>
      </c>
      <c r="B18876" s="0" t="s">
        <v>24951</v>
      </c>
      <c r="E18876" s="0" t="inlineStr">
        <is>
          <t xml:space="preserve">Mazda</t>
        </is>
      </c>
      <c r="F18876" s="0" t="inlineStr">
        <is>
          <t xml:space="preserve">Mazda</t>
        </is>
      </c>
      <c r="G18876" s="0" t="s">
        <v>171</v>
      </c>
      <c r="H18876" s="5">
        <v>3789.722700</v>
      </c>
    </row>
    <row r="18877" spans="1:9">
      <c r="A18877" s="22" t="str">
        <f>HYPERLINK("https://app.vivvix.com/360/KMI/IntelliDrive/ApplUI/Pages/CreativePages/CustomReportCreativeDetail.aspx?App=23&amp;ReportView=4&amp;Qid=1711279&amp;Row=18869&amp;Col=1","No Title Assigned - #15278087827")</f>
        <v/>
      </c>
      <c r="B18877" s="0" t="s">
        <v>24952</v>
      </c>
      <c r="E18877" s="0" t="inlineStr">
        <is>
          <t xml:space="preserve">Mazda</t>
        </is>
      </c>
      <c r="F18877" s="0" t="inlineStr">
        <is>
          <t xml:space="preserve">Mazda</t>
        </is>
      </c>
      <c r="G18877" s="0" t="s">
        <v>171</v>
      </c>
      <c r="H18877" s="5">
        <v>190.834500</v>
      </c>
    </row>
    <row r="18878" spans="1:9">
      <c r="A18878" s="22" t="str">
        <f>HYPERLINK("https://app.vivvix.com/360/KMI/IntelliDrive/ApplUI/Pages/CreativePages/CustomReportCreativeDetail.aspx?App=23&amp;ReportView=4&amp;Qid=1711279&amp;Row=18870&amp;Col=1","No Title Assigned - #15278088055")</f>
        <v/>
      </c>
      <c r="B18878" s="0" t="s">
        <v>24953</v>
      </c>
      <c r="C18878" s="0" t="s">
        <v>24954</v>
      </c>
      <c r="D18878" s="0" t="s">
        <v>24954</v>
      </c>
      <c r="E18878" s="0" t="inlineStr">
        <is>
          <t xml:space="preserve">Mazda</t>
        </is>
      </c>
      <c r="F18878" s="0" t="s">
        <v>13</v>
      </c>
      <c r="G18878" s="0" t="s">
        <v>49</v>
      </c>
      <c r="H18878" s="5">
        <v>8.381800</v>
      </c>
    </row>
    <row r="18879" spans="1:9">
      <c r="A18879" s="22" t="str">
        <f>HYPERLINK("https://app.vivvix.com/360/KMI/IntelliDrive/ApplUI/Pages/CreativePages/CustomReportCreativeDetail.aspx?App=23&amp;ReportView=4&amp;Qid=1711279&amp;Row=18871&amp;Col=1","No Title Assigned - #15278088110")</f>
        <v/>
      </c>
      <c r="B18879" s="0" t="s">
        <v>24955</v>
      </c>
      <c r="C18879" s="0" t="s">
        <v>24956</v>
      </c>
      <c r="D18879" s="0" t="s">
        <v>24956</v>
      </c>
      <c r="E18879" s="0" t="inlineStr">
        <is>
          <t xml:space="preserve">Mazda</t>
        </is>
      </c>
      <c r="F18879" s="0" t="s">
        <v>13</v>
      </c>
      <c r="G18879" s="0" t="s">
        <v>49</v>
      </c>
      <c r="H18879" s="5">
        <v>1365.434200</v>
      </c>
    </row>
    <row r="18880" spans="1:9">
      <c r="A18880" s="22" t="str">
        <f>HYPERLINK("https://app.vivvix.com/360/KMI/IntelliDrive/ApplUI/Pages/CreativePages/CustomReportCreativeDetail.aspx?App=23&amp;ReportView=4&amp;Qid=1711279&amp;Row=18872&amp;Col=1","No Title Assigned - #15278090225")</f>
        <v/>
      </c>
      <c r="B18880" s="0" t="s">
        <v>24957</v>
      </c>
      <c r="C18880" s="0" t="s">
        <v>24958</v>
      </c>
      <c r="D18880" s="0" t="s">
        <v>24958</v>
      </c>
      <c r="E18880" s="0" t="inlineStr">
        <is>
          <t xml:space="preserve">Mazda</t>
        </is>
      </c>
      <c r="F18880" s="0" t="s">
        <v>13</v>
      </c>
      <c r="G18880" s="0" t="s">
        <v>49</v>
      </c>
      <c r="H18880" s="5">
        <v>2883.607200</v>
      </c>
    </row>
    <row r="18881" spans="1:9">
      <c r="A18881" s="22" t="str">
        <f>HYPERLINK("https://app.vivvix.com/360/KMI/IntelliDrive/ApplUI/Pages/CreativePages/CustomReportCreativeDetail.aspx?App=23&amp;ReportView=4&amp;Qid=1711279&amp;Row=18873&amp;Col=1","No Title Assigned - #15278091298")</f>
        <v/>
      </c>
      <c r="B18881" s="0" t="s">
        <v>24959</v>
      </c>
      <c r="E18881" s="0" t="inlineStr">
        <is>
          <t xml:space="preserve">Mazda</t>
        </is>
      </c>
      <c r="F18881" s="0" t="inlineStr">
        <is>
          <t xml:space="preserve">Mazda</t>
        </is>
      </c>
      <c r="G18881" s="0" t="s">
        <v>171</v>
      </c>
      <c r="H18881" s="5">
        <v>572.813600</v>
      </c>
    </row>
    <row r="18882" spans="1:9">
      <c r="A18882" s="22" t="str">
        <f>HYPERLINK("https://app.vivvix.com/360/KMI/IntelliDrive/ApplUI/Pages/CreativePages/CustomReportCreativeDetail.aspx?App=23&amp;ReportView=4&amp;Qid=1711279&amp;Row=18874&amp;Col=1","No Title Assigned - #15278091401")</f>
        <v/>
      </c>
      <c r="B18882" s="0" t="s">
        <v>24960</v>
      </c>
      <c r="E18882" s="0" t="inlineStr">
        <is>
          <t xml:space="preserve">Mazda</t>
        </is>
      </c>
      <c r="F18882" s="0" t="inlineStr">
        <is>
          <t xml:space="preserve">Mazda</t>
        </is>
      </c>
      <c r="G18882" s="0" t="s">
        <v>171</v>
      </c>
      <c r="H18882" s="5">
        <v>129.479500</v>
      </c>
    </row>
    <row r="18883" spans="1:9">
      <c r="A18883" s="22" t="str">
        <f>HYPERLINK("https://app.vivvix.com/360/KMI/IntelliDrive/ApplUI/Pages/CreativePages/CustomReportCreativeDetail.aspx?App=23&amp;ReportView=4&amp;Qid=1711279&amp;Row=18875&amp;Col=1","No Title Assigned - #15278091501")</f>
        <v/>
      </c>
      <c r="B18883" s="0" t="s">
        <v>24961</v>
      </c>
      <c r="E18883" s="0" t="inlineStr">
        <is>
          <t xml:space="preserve">Mazda</t>
        </is>
      </c>
      <c r="F18883" s="0" t="inlineStr">
        <is>
          <t xml:space="preserve">Mazda</t>
        </is>
      </c>
      <c r="G18883" s="0" t="s">
        <v>171</v>
      </c>
      <c r="H18883" s="5">
        <v>17029.424600</v>
      </c>
    </row>
    <row r="18884" spans="1:9">
      <c r="A18884" s="22" t="str">
        <f>HYPERLINK("https://app.vivvix.com/360/KMI/IntelliDrive/ApplUI/Pages/CreativePages/CustomReportCreativeDetail.aspx?App=23&amp;ReportView=4&amp;Qid=1711279&amp;Row=18876&amp;Col=1","No Title Assigned - #15278091578")</f>
        <v/>
      </c>
      <c r="B18884" s="0" t="s">
        <v>24962</v>
      </c>
      <c r="E18884" s="0" t="inlineStr">
        <is>
          <t xml:space="preserve">Mazda</t>
        </is>
      </c>
      <c r="F18884" s="0" t="inlineStr">
        <is>
          <t xml:space="preserve">Mazda</t>
        </is>
      </c>
      <c r="G18884" s="0" t="s">
        <v>171</v>
      </c>
      <c r="H18884" s="5">
        <v>550.422400</v>
      </c>
    </row>
    <row r="18885" spans="1:9">
      <c r="A18885" s="22" t="str">
        <f>HYPERLINK("https://app.vivvix.com/360/KMI/IntelliDrive/ApplUI/Pages/CreativePages/CustomReportCreativeDetail.aspx?App=23&amp;ReportView=4&amp;Qid=1711279&amp;Row=18877&amp;Col=1","No Title Assigned - #15278091636")</f>
        <v/>
      </c>
      <c r="B18885" s="0" t="s">
        <v>24963</v>
      </c>
      <c r="E18885" s="0" t="inlineStr">
        <is>
          <t xml:space="preserve">Mazda</t>
        </is>
      </c>
      <c r="F18885" s="0" t="inlineStr">
        <is>
          <t xml:space="preserve">Mazda</t>
        </is>
      </c>
      <c r="G18885" s="0" t="s">
        <v>171</v>
      </c>
      <c r="H18885" s="5">
        <v>36.292000</v>
      </c>
    </row>
    <row r="18886" spans="1:9">
      <c r="A18886" s="22" t="str">
        <f>HYPERLINK("https://app.vivvix.com/360/KMI/IntelliDrive/ApplUI/Pages/CreativePages/CustomReportCreativeDetail.aspx?App=23&amp;ReportView=4&amp;Qid=1711279&amp;Row=18878&amp;Col=1","No Title Assigned - #15278091758")</f>
        <v/>
      </c>
      <c r="B18886" s="0" t="s">
        <v>24964</v>
      </c>
      <c r="E18886" s="0" t="inlineStr">
        <is>
          <t xml:space="preserve">Mazda</t>
        </is>
      </c>
      <c r="F18886" s="0" t="inlineStr">
        <is>
          <t xml:space="preserve">Mazda</t>
        </is>
      </c>
      <c r="G18886" s="0" t="s">
        <v>171</v>
      </c>
      <c r="H18886" s="5">
        <v>1247.523600</v>
      </c>
    </row>
    <row r="18887" spans="1:9">
      <c r="A18887" s="22" t="str">
        <f>HYPERLINK("https://app.vivvix.com/360/KMI/IntelliDrive/ApplUI/Pages/CreativePages/CustomReportCreativeDetail.aspx?App=23&amp;ReportView=4&amp;Qid=1711279&amp;Row=18879&amp;Col=1","No Title Assigned - #15278091771")</f>
        <v/>
      </c>
      <c r="B18887" s="0" t="s">
        <v>24965</v>
      </c>
      <c r="E18887" s="0" t="inlineStr">
        <is>
          <t xml:space="preserve">Mazda</t>
        </is>
      </c>
      <c r="F18887" s="0" t="inlineStr">
        <is>
          <t xml:space="preserve">Mazda</t>
        </is>
      </c>
      <c r="G18887" s="0" t="s">
        <v>171</v>
      </c>
      <c r="H18887" s="5">
        <v>1021.820700</v>
      </c>
    </row>
    <row r="18888" spans="1:9">
      <c r="A18888" s="22" t="str">
        <f>HYPERLINK("https://app.vivvix.com/360/KMI/IntelliDrive/ApplUI/Pages/CreativePages/CustomReportCreativeDetail.aspx?App=23&amp;ReportView=4&amp;Qid=1711279&amp;Row=18880&amp;Col=1","No Title Assigned - #15278091916")</f>
        <v/>
      </c>
      <c r="B18888" s="0" t="s">
        <v>24966</v>
      </c>
      <c r="E18888" s="0" t="inlineStr">
        <is>
          <t xml:space="preserve">Mazda</t>
        </is>
      </c>
      <c r="F18888" s="0" t="inlineStr">
        <is>
          <t xml:space="preserve">Mazda</t>
        </is>
      </c>
      <c r="G18888" s="0" t="s">
        <v>171</v>
      </c>
      <c r="H18888" s="5">
        <v>48046.999400</v>
      </c>
    </row>
    <row r="18889" spans="1:9">
      <c r="A18889" s="22" t="str">
        <f>HYPERLINK("https://app.vivvix.com/360/KMI/IntelliDrive/ApplUI/Pages/CreativePages/CustomReportCreativeDetail.aspx?App=23&amp;ReportView=4&amp;Qid=1711279&amp;Row=18881&amp;Col=1","No Title Assigned - #15278091917")</f>
        <v/>
      </c>
      <c r="B18889" s="0" t="s">
        <v>24967</v>
      </c>
      <c r="E18889" s="0" t="inlineStr">
        <is>
          <t xml:space="preserve">Mazda</t>
        </is>
      </c>
      <c r="F18889" s="0" t="inlineStr">
        <is>
          <t xml:space="preserve">Mazda</t>
        </is>
      </c>
      <c r="G18889" s="0" t="s">
        <v>171</v>
      </c>
      <c r="H18889" s="5">
        <v>60396.240600</v>
      </c>
    </row>
    <row r="18890" spans="1:9">
      <c r="A18890" s="22" t="str">
        <f>HYPERLINK("https://app.vivvix.com/360/KMI/IntelliDrive/ApplUI/Pages/CreativePages/CustomReportCreativeDetail.aspx?App=23&amp;ReportView=4&amp;Qid=1711279&amp;Row=18882&amp;Col=1","No Title Assigned - #15278091931")</f>
        <v/>
      </c>
      <c r="B18890" s="0" t="s">
        <v>24968</v>
      </c>
      <c r="E18890" s="0" t="inlineStr">
        <is>
          <t xml:space="preserve">Mazda</t>
        </is>
      </c>
      <c r="F18890" s="0" t="inlineStr">
        <is>
          <t xml:space="preserve">Mazda</t>
        </is>
      </c>
      <c r="G18890" s="0" t="s">
        <v>171</v>
      </c>
      <c r="H18890" s="5">
        <v>64.886100</v>
      </c>
    </row>
    <row r="18891" spans="1:9">
      <c r="A18891" s="22" t="str">
        <f>HYPERLINK("https://app.vivvix.com/360/KMI/IntelliDrive/ApplUI/Pages/CreativePages/CustomReportCreativeDetail.aspx?App=23&amp;ReportView=4&amp;Qid=1711279&amp;Row=18883&amp;Col=1","No Title Assigned - #15278091955")</f>
        <v/>
      </c>
      <c r="B18891" s="0" t="s">
        <v>24969</v>
      </c>
      <c r="E18891" s="0" t="inlineStr">
        <is>
          <t xml:space="preserve">Mazda</t>
        </is>
      </c>
      <c r="F18891" s="0" t="inlineStr">
        <is>
          <t xml:space="preserve">Mazda</t>
        </is>
      </c>
      <c r="G18891" s="0" t="s">
        <v>171</v>
      </c>
      <c r="H18891" s="5">
        <v>781.308800</v>
      </c>
    </row>
    <row r="18892" spans="1:9">
      <c r="A18892" s="22" t="str">
        <f>HYPERLINK("https://app.vivvix.com/360/KMI/IntelliDrive/ApplUI/Pages/CreativePages/CustomReportCreativeDetail.aspx?App=23&amp;ReportView=4&amp;Qid=1711279&amp;Row=18884&amp;Col=1","No Title Assigned - #15278091975")</f>
        <v/>
      </c>
      <c r="B18892" s="0" t="s">
        <v>24970</v>
      </c>
      <c r="E18892" s="0" t="inlineStr">
        <is>
          <t xml:space="preserve">Mazda</t>
        </is>
      </c>
      <c r="F18892" s="0" t="inlineStr">
        <is>
          <t xml:space="preserve">Mazda</t>
        </is>
      </c>
      <c r="G18892" s="0" t="s">
        <v>171</v>
      </c>
      <c r="H18892" s="5">
        <v>209.771600</v>
      </c>
    </row>
    <row r="18893" spans="1:9">
      <c r="A18893" s="22" t="str">
        <f>HYPERLINK("https://app.vivvix.com/360/KMI/IntelliDrive/ApplUI/Pages/CreativePages/CustomReportCreativeDetail.aspx?App=23&amp;ReportView=4&amp;Qid=1711279&amp;Row=18885&amp;Col=1","No Title Assigned - #15278091976")</f>
        <v/>
      </c>
      <c r="B18893" s="0" t="s">
        <v>24971</v>
      </c>
      <c r="E18893" s="0" t="inlineStr">
        <is>
          <t xml:space="preserve">Mazda</t>
        </is>
      </c>
      <c r="F18893" s="0" t="inlineStr">
        <is>
          <t xml:space="preserve">Mazda</t>
        </is>
      </c>
      <c r="G18893" s="0" t="s">
        <v>171</v>
      </c>
      <c r="H18893" s="5">
        <v>209.771600</v>
      </c>
    </row>
    <row r="18894" spans="1:9">
      <c r="A18894" s="22" t="str">
        <f>HYPERLINK("https://app.vivvix.com/360/KMI/IntelliDrive/ApplUI/Pages/CreativePages/CustomReportCreativeDetail.aspx?App=23&amp;ReportView=4&amp;Qid=1711279&amp;Row=18886&amp;Col=1","No Title Assigned - #15278092006")</f>
        <v/>
      </c>
      <c r="B18894" s="0" t="s">
        <v>24972</v>
      </c>
      <c r="E18894" s="0" t="inlineStr">
        <is>
          <t xml:space="preserve">Mazda</t>
        </is>
      </c>
      <c r="F18894" s="0" t="inlineStr">
        <is>
          <t xml:space="preserve">Mazda</t>
        </is>
      </c>
      <c r="G18894" s="0" t="s">
        <v>171</v>
      </c>
      <c r="H18894" s="5">
        <v>734.478200</v>
      </c>
    </row>
    <row r="18895" spans="1:9">
      <c r="A18895" s="22" t="str">
        <f>HYPERLINK("https://app.vivvix.com/360/KMI/IntelliDrive/ApplUI/Pages/CreativePages/CustomReportCreativeDetail.aspx?App=23&amp;ReportView=4&amp;Qid=1711279&amp;Row=18887&amp;Col=1","No Title Assigned - #15278092035")</f>
        <v/>
      </c>
      <c r="B18895" s="0" t="s">
        <v>24973</v>
      </c>
      <c r="E18895" s="0" t="inlineStr">
        <is>
          <t xml:space="preserve">Mazda</t>
        </is>
      </c>
      <c r="F18895" s="0" t="inlineStr">
        <is>
          <t xml:space="preserve">Mazda</t>
        </is>
      </c>
      <c r="G18895" s="0" t="s">
        <v>171</v>
      </c>
      <c r="H18895" s="5">
        <v>961.606000</v>
      </c>
    </row>
    <row r="18896" spans="1:9">
      <c r="A18896" s="22" t="str">
        <f>HYPERLINK("https://app.vivvix.com/360/KMI/IntelliDrive/ApplUI/Pages/CreativePages/CustomReportCreativeDetail.aspx?App=23&amp;ReportView=4&amp;Qid=1711279&amp;Row=18888&amp;Col=1","No Title Assigned - #15278092225")</f>
        <v/>
      </c>
      <c r="B18896" s="0" t="s">
        <v>24974</v>
      </c>
      <c r="E18896" s="0" t="inlineStr">
        <is>
          <t xml:space="preserve">Mazda</t>
        </is>
      </c>
      <c r="F18896" s="0" t="inlineStr">
        <is>
          <t xml:space="preserve">Mazda</t>
        </is>
      </c>
      <c r="G18896" s="0" t="s">
        <v>171</v>
      </c>
      <c r="H18896" s="5">
        <v>173.160000</v>
      </c>
    </row>
    <row r="18897" spans="1:9">
      <c r="A18897" s="22" t="str">
        <f>HYPERLINK("https://app.vivvix.com/360/KMI/IntelliDrive/ApplUI/Pages/CreativePages/CustomReportCreativeDetail.aspx?App=23&amp;ReportView=4&amp;Qid=1711279&amp;Row=18889&amp;Col=1","No Title Assigned - #15278092226")</f>
        <v/>
      </c>
      <c r="B18897" s="0" t="s">
        <v>24975</v>
      </c>
      <c r="E18897" s="0" t="inlineStr">
        <is>
          <t xml:space="preserve">Mazda</t>
        </is>
      </c>
      <c r="F18897" s="0" t="inlineStr">
        <is>
          <t xml:space="preserve">Mazda</t>
        </is>
      </c>
      <c r="G18897" s="0" t="s">
        <v>171</v>
      </c>
      <c r="H18897" s="5">
        <v>57.720000</v>
      </c>
    </row>
    <row r="18898" spans="1:9">
      <c r="A18898" s="22" t="str">
        <f>HYPERLINK("https://app.vivvix.com/360/KMI/IntelliDrive/ApplUI/Pages/CreativePages/CustomReportCreativeDetail.aspx?App=23&amp;ReportView=4&amp;Qid=1711279&amp;Row=18890&amp;Col=1","No Title Assigned - #15278092228")</f>
        <v/>
      </c>
      <c r="B18898" s="0" t="s">
        <v>24976</v>
      </c>
      <c r="E18898" s="0" t="inlineStr">
        <is>
          <t xml:space="preserve">Mazda</t>
        </is>
      </c>
      <c r="F18898" s="0" t="inlineStr">
        <is>
          <t xml:space="preserve">Mazda</t>
        </is>
      </c>
      <c r="G18898" s="0" t="s">
        <v>171</v>
      </c>
      <c r="H18898" s="5">
        <v>57.720000</v>
      </c>
    </row>
    <row r="18899" spans="1:9">
      <c r="A18899" s="22" t="str">
        <f>HYPERLINK("https://app.vivvix.com/360/KMI/IntelliDrive/ApplUI/Pages/CreativePages/CustomReportCreativeDetail.aspx?App=23&amp;ReportView=4&amp;Qid=1711279&amp;Row=18891&amp;Col=1","No Title Assigned - #15278092338")</f>
        <v/>
      </c>
      <c r="B18899" s="0" t="s">
        <v>24977</v>
      </c>
      <c r="E18899" s="0" t="inlineStr">
        <is>
          <t xml:space="preserve">Mazda</t>
        </is>
      </c>
      <c r="F18899" s="0" t="inlineStr">
        <is>
          <t xml:space="preserve">Mazda</t>
        </is>
      </c>
      <c r="G18899" s="0" t="s">
        <v>171</v>
      </c>
      <c r="H18899" s="5">
        <v>64226.324200</v>
      </c>
    </row>
    <row r="18900" spans="1:9">
      <c r="A18900" s="22" t="str">
        <f>HYPERLINK("https://app.vivvix.com/360/KMI/IntelliDrive/ApplUI/Pages/CreativePages/CustomReportCreativeDetail.aspx?App=23&amp;ReportView=4&amp;Qid=1711279&amp;Row=18892&amp;Col=1","No Title Assigned - #15278092370")</f>
        <v/>
      </c>
      <c r="B18900" s="0" t="s">
        <v>24978</v>
      </c>
      <c r="E18900" s="0" t="inlineStr">
        <is>
          <t xml:space="preserve">Mazda</t>
        </is>
      </c>
      <c r="F18900" s="0" t="inlineStr">
        <is>
          <t xml:space="preserve">Mazda</t>
        </is>
      </c>
      <c r="G18900" s="0" t="s">
        <v>171</v>
      </c>
      <c r="H18900" s="5">
        <v>29.480000</v>
      </c>
    </row>
    <row r="18901" spans="1:9">
      <c r="A18901" s="22" t="str">
        <f>HYPERLINK("https://app.vivvix.com/360/KMI/IntelliDrive/ApplUI/Pages/CreativePages/CustomReportCreativeDetail.aspx?App=23&amp;ReportView=4&amp;Qid=1711279&amp;Row=18893&amp;Col=1","No Title Assigned - #15278092375")</f>
        <v/>
      </c>
      <c r="B18901" s="0" t="s">
        <v>24979</v>
      </c>
      <c r="E18901" s="0" t="inlineStr">
        <is>
          <t xml:space="preserve">Mazda</t>
        </is>
      </c>
      <c r="F18901" s="0" t="inlineStr">
        <is>
          <t xml:space="preserve">Mazda</t>
        </is>
      </c>
      <c r="G18901" s="0" t="s">
        <v>171</v>
      </c>
      <c r="H18901" s="5">
        <v>58.960000</v>
      </c>
    </row>
    <row r="18902" spans="1:9">
      <c r="A18902" s="22" t="str">
        <f>HYPERLINK("https://app.vivvix.com/360/KMI/IntelliDrive/ApplUI/Pages/CreativePages/CustomReportCreativeDetail.aspx?App=23&amp;ReportView=4&amp;Qid=1711279&amp;Row=18894&amp;Col=1","No Title Assigned - #15278092397")</f>
        <v/>
      </c>
      <c r="B18902" s="0" t="s">
        <v>24980</v>
      </c>
      <c r="E18902" s="0" t="inlineStr">
        <is>
          <t xml:space="preserve">Mazda</t>
        </is>
      </c>
      <c r="F18902" s="0" t="inlineStr">
        <is>
          <t xml:space="preserve">Mazda</t>
        </is>
      </c>
      <c r="G18902" s="0" t="s">
        <v>171</v>
      </c>
      <c r="H18902" s="5">
        <v>3193.300900</v>
      </c>
    </row>
    <row r="18903" spans="1:9">
      <c r="A18903" s="22" t="str">
        <f>HYPERLINK("https://app.vivvix.com/360/KMI/IntelliDrive/ApplUI/Pages/CreativePages/CustomReportCreativeDetail.aspx?App=23&amp;ReportView=4&amp;Qid=1711279&amp;Row=18895&amp;Col=1","No Title Assigned - #15278092749")</f>
        <v/>
      </c>
      <c r="B18903" s="0" t="s">
        <v>24981</v>
      </c>
      <c r="E18903" s="0" t="inlineStr">
        <is>
          <t xml:space="preserve">Mazda</t>
        </is>
      </c>
      <c r="F18903" s="0" t="inlineStr">
        <is>
          <t xml:space="preserve">Mazda</t>
        </is>
      </c>
      <c r="G18903" s="0" t="s">
        <v>171</v>
      </c>
      <c r="H18903" s="5">
        <v>29.480000</v>
      </c>
    </row>
    <row r="18904" spans="1:9">
      <c r="A18904" s="22" t="str">
        <f>HYPERLINK("https://app.vivvix.com/360/KMI/IntelliDrive/ApplUI/Pages/CreativePages/CustomReportCreativeDetail.aspx?App=23&amp;ReportView=4&amp;Qid=1711279&amp;Row=18896&amp;Col=1","No Title Assigned - #15278092791")</f>
        <v/>
      </c>
      <c r="B18904" s="0" t="s">
        <v>24982</v>
      </c>
      <c r="E18904" s="0" t="inlineStr">
        <is>
          <t xml:space="preserve">Mazda</t>
        </is>
      </c>
      <c r="F18904" s="0" t="inlineStr">
        <is>
          <t xml:space="preserve">Mazda</t>
        </is>
      </c>
      <c r="G18904" s="0" t="s">
        <v>171</v>
      </c>
      <c r="H18904" s="5">
        <v>4126.909400</v>
      </c>
    </row>
    <row r="18905" spans="1:9">
      <c r="A18905" s="22" t="str">
        <f>HYPERLINK("https://app.vivvix.com/360/KMI/IntelliDrive/ApplUI/Pages/CreativePages/CustomReportCreativeDetail.aspx?App=23&amp;ReportView=4&amp;Qid=1711279&amp;Row=18897&amp;Col=1","No Title Assigned - #15278093027")</f>
        <v/>
      </c>
      <c r="B18905" s="0" t="s">
        <v>24983</v>
      </c>
      <c r="E18905" s="0" t="inlineStr">
        <is>
          <t xml:space="preserve">Mazda</t>
        </is>
      </c>
      <c r="F18905" s="0" t="inlineStr">
        <is>
          <t xml:space="preserve">Mazda</t>
        </is>
      </c>
      <c r="G18905" s="0" t="s">
        <v>171</v>
      </c>
      <c r="H18905" s="5">
        <v>13725.777300</v>
      </c>
    </row>
    <row r="18906" spans="1:9">
      <c r="A18906" s="22" t="str">
        <f>HYPERLINK("https://app.vivvix.com/360/KMI/IntelliDrive/ApplUI/Pages/CreativePages/CustomReportCreativeDetail.aspx?App=23&amp;ReportView=4&amp;Qid=1711279&amp;Row=18898&amp;Col=1","No Title Assigned - #15278093048")</f>
        <v/>
      </c>
      <c r="B18906" s="0" t="s">
        <v>24984</v>
      </c>
      <c r="E18906" s="0" t="inlineStr">
        <is>
          <t xml:space="preserve">Mazda</t>
        </is>
      </c>
      <c r="F18906" s="0" t="inlineStr">
        <is>
          <t xml:space="preserve">Mazda</t>
        </is>
      </c>
      <c r="G18906" s="0" t="s">
        <v>171</v>
      </c>
      <c r="H18906" s="5">
        <v>3467.037600</v>
      </c>
    </row>
    <row r="18907" spans="1:9">
      <c r="A18907" s="22" t="str">
        <f>HYPERLINK("https://app.vivvix.com/360/KMI/IntelliDrive/ApplUI/Pages/CreativePages/CustomReportCreativeDetail.aspx?App=23&amp;ReportView=4&amp;Qid=1711279&amp;Row=18899&amp;Col=1","No Title Assigned - #15278093055")</f>
        <v/>
      </c>
      <c r="B18907" s="0" t="s">
        <v>24985</v>
      </c>
      <c r="E18907" s="0" t="inlineStr">
        <is>
          <t xml:space="preserve">Mazda</t>
        </is>
      </c>
      <c r="F18907" s="0" t="inlineStr">
        <is>
          <t xml:space="preserve">Mazda</t>
        </is>
      </c>
      <c r="G18907" s="0" t="s">
        <v>171</v>
      </c>
      <c r="H18907" s="5">
        <v>330.064200</v>
      </c>
    </row>
    <row r="18908" spans="1:9">
      <c r="A18908" s="22" t="str">
        <f>HYPERLINK("https://app.vivvix.com/360/KMI/IntelliDrive/ApplUI/Pages/CreativePages/CustomReportCreativeDetail.aspx?App=23&amp;ReportView=4&amp;Qid=1711279&amp;Row=18900&amp;Col=1","No Title Assigned - #15278093081")</f>
        <v/>
      </c>
      <c r="B18908" s="0" t="s">
        <v>24986</v>
      </c>
      <c r="E18908" s="0" t="inlineStr">
        <is>
          <t xml:space="preserve">Mazda</t>
        </is>
      </c>
      <c r="F18908" s="0" t="inlineStr">
        <is>
          <t xml:space="preserve">Mazda</t>
        </is>
      </c>
      <c r="G18908" s="0" t="s">
        <v>171</v>
      </c>
      <c r="H18908" s="5">
        <v>507.394000</v>
      </c>
    </row>
    <row r="18909" spans="1:9">
      <c r="A18909" s="22" t="str">
        <f>HYPERLINK("https://app.vivvix.com/360/KMI/IntelliDrive/ApplUI/Pages/CreativePages/CustomReportCreativeDetail.aspx?App=23&amp;ReportView=4&amp;Qid=1711279&amp;Row=18901&amp;Col=1","No Title Assigned - #15278093092")</f>
        <v/>
      </c>
      <c r="B18909" s="0" t="s">
        <v>24987</v>
      </c>
      <c r="E18909" s="0" t="inlineStr">
        <is>
          <t xml:space="preserve">Mazda</t>
        </is>
      </c>
      <c r="F18909" s="0" t="inlineStr">
        <is>
          <t xml:space="preserve">Mazda</t>
        </is>
      </c>
      <c r="G18909" s="0" t="s">
        <v>171</v>
      </c>
      <c r="H18909" s="5">
        <v>61.006800</v>
      </c>
    </row>
    <row r="18910" spans="1:9">
      <c r="A18910" s="22" t="str">
        <f>HYPERLINK("https://app.vivvix.com/360/KMI/IntelliDrive/ApplUI/Pages/CreativePages/CustomReportCreativeDetail.aspx?App=23&amp;ReportView=4&amp;Qid=1711279&amp;Row=18902&amp;Col=1","No Title Assigned - #15278093302")</f>
        <v/>
      </c>
      <c r="B18910" s="0" t="s">
        <v>24988</v>
      </c>
      <c r="E18910" s="0" t="inlineStr">
        <is>
          <t xml:space="preserve">Mazda</t>
        </is>
      </c>
      <c r="F18910" s="0" t="inlineStr">
        <is>
          <t xml:space="preserve">Mazda</t>
        </is>
      </c>
      <c r="G18910" s="0" t="s">
        <v>171</v>
      </c>
      <c r="H18910" s="5">
        <v>8762.036100</v>
      </c>
    </row>
    <row r="18911" spans="1:9">
      <c r="A18911" s="22" t="str">
        <f>HYPERLINK("https://app.vivvix.com/360/KMI/IntelliDrive/ApplUI/Pages/CreativePages/CustomReportCreativeDetail.aspx?App=23&amp;ReportView=4&amp;Qid=1711279&amp;Row=18903&amp;Col=1","No Title Assigned - #15278093302")</f>
        <v/>
      </c>
      <c r="B18911" s="0" t="s">
        <v>24988</v>
      </c>
      <c r="E18911" s="0" t="inlineStr">
        <is>
          <t xml:space="preserve">Mazda</t>
        </is>
      </c>
      <c r="F18911" s="0" t="inlineStr">
        <is>
          <t xml:space="preserve">Mazda</t>
        </is>
      </c>
      <c r="G18911" s="0" t="s">
        <v>171</v>
      </c>
      <c r="H18911" s="5">
        <v>1187.858700</v>
      </c>
    </row>
    <row r="18912" spans="1:9">
      <c r="A18912" s="22" t="str">
        <f>HYPERLINK("https://app.vivvix.com/360/KMI/IntelliDrive/ApplUI/Pages/CreativePages/CustomReportCreativeDetail.aspx?App=23&amp;ReportView=4&amp;Qid=1711279&amp;Row=18904&amp;Col=1","No Title Assigned - #15278093441")</f>
        <v/>
      </c>
      <c r="B18912" s="0" t="s">
        <v>24989</v>
      </c>
      <c r="E18912" s="0" t="inlineStr">
        <is>
          <t xml:space="preserve">Mazda</t>
        </is>
      </c>
      <c r="F18912" s="0" t="inlineStr">
        <is>
          <t xml:space="preserve">Mazda</t>
        </is>
      </c>
      <c r="G18912" s="0" t="s">
        <v>171</v>
      </c>
      <c r="H18912" s="5">
        <v>352.893600</v>
      </c>
    </row>
    <row r="18913" spans="1:9">
      <c r="A18913" s="22" t="str">
        <f>HYPERLINK("https://app.vivvix.com/360/KMI/IntelliDrive/ApplUI/Pages/CreativePages/CustomReportCreativeDetail.aspx?App=23&amp;ReportView=4&amp;Qid=1711279&amp;Row=18905&amp;Col=1","No Title Assigned - #15278093499")</f>
        <v/>
      </c>
      <c r="B18913" s="0" t="s">
        <v>24990</v>
      </c>
      <c r="E18913" s="0" t="inlineStr">
        <is>
          <t xml:space="preserve">Mazda</t>
        </is>
      </c>
      <c r="F18913" s="0" t="inlineStr">
        <is>
          <t xml:space="preserve">Mazda</t>
        </is>
      </c>
      <c r="G18913" s="0" t="s">
        <v>171</v>
      </c>
      <c r="H18913" s="5">
        <v>4897.102400</v>
      </c>
    </row>
    <row r="18914" spans="1:9">
      <c r="A18914" s="22" t="str">
        <f>HYPERLINK("https://app.vivvix.com/360/KMI/IntelliDrive/ApplUI/Pages/CreativePages/CustomReportCreativeDetail.aspx?App=23&amp;ReportView=4&amp;Qid=1711279&amp;Row=18906&amp;Col=1","No Title Assigned - #15278093564")</f>
        <v/>
      </c>
      <c r="B18914" s="0" t="s">
        <v>24991</v>
      </c>
      <c r="E18914" s="0" t="inlineStr">
        <is>
          <t xml:space="preserve">Mazda</t>
        </is>
      </c>
      <c r="F18914" s="0" t="inlineStr">
        <is>
          <t xml:space="preserve">Mazda</t>
        </is>
      </c>
      <c r="G18914" s="0" t="s">
        <v>171</v>
      </c>
      <c r="H18914" s="5">
        <v>288.600000</v>
      </c>
    </row>
    <row r="18915" spans="1:9">
      <c r="A18915" s="22" t="str">
        <f>HYPERLINK("https://app.vivvix.com/360/KMI/IntelliDrive/ApplUI/Pages/CreativePages/CustomReportCreativeDetail.aspx?App=23&amp;ReportView=4&amp;Qid=1711279&amp;Row=18907&amp;Col=1","No Title Assigned - #15278093809")</f>
        <v/>
      </c>
      <c r="B18915" s="0" t="s">
        <v>24992</v>
      </c>
      <c r="E18915" s="0" t="inlineStr">
        <is>
          <t xml:space="preserve">Mazda</t>
        </is>
      </c>
      <c r="F18915" s="0" t="inlineStr">
        <is>
          <t xml:space="preserve">Mazda</t>
        </is>
      </c>
      <c r="G18915" s="0" t="s">
        <v>171</v>
      </c>
      <c r="H18915" s="5">
        <v>161.187100</v>
      </c>
    </row>
    <row r="18916" spans="1:9">
      <c r="A18916" s="22" t="str">
        <f>HYPERLINK("https://app.vivvix.com/360/KMI/IntelliDrive/ApplUI/Pages/CreativePages/CustomReportCreativeDetail.aspx?App=23&amp;ReportView=4&amp;Qid=1711279&amp;Row=18908&amp;Col=1","No Title Assigned - #15278093855")</f>
        <v/>
      </c>
      <c r="B18916" s="0" t="s">
        <v>24993</v>
      </c>
      <c r="E18916" s="0" t="inlineStr">
        <is>
          <t xml:space="preserve">Mazda</t>
        </is>
      </c>
      <c r="F18916" s="0" t="inlineStr">
        <is>
          <t xml:space="preserve">Mazda</t>
        </is>
      </c>
      <c r="G18916" s="0" t="s">
        <v>171</v>
      </c>
      <c r="H18916" s="5">
        <v>55.731100</v>
      </c>
    </row>
    <row r="18917" spans="1:9">
      <c r="A18917" s="22" t="str">
        <f>HYPERLINK("https://app.vivvix.com/360/KMI/IntelliDrive/ApplUI/Pages/CreativePages/CustomReportCreativeDetail.aspx?App=23&amp;ReportView=4&amp;Qid=1711279&amp;Row=18909&amp;Col=1","No Title Assigned - #15278094047")</f>
        <v/>
      </c>
      <c r="B18917" s="0" t="s">
        <v>24994</v>
      </c>
      <c r="E18917" s="0" t="inlineStr">
        <is>
          <t xml:space="preserve">Mazda</t>
        </is>
      </c>
      <c r="F18917" s="0" t="inlineStr">
        <is>
          <t xml:space="preserve">Mazda</t>
        </is>
      </c>
      <c r="G18917" s="0" t="s">
        <v>171</v>
      </c>
      <c r="H18917" s="5">
        <v>34.659800</v>
      </c>
    </row>
    <row r="18918" spans="1:9">
      <c r="A18918" s="22" t="str">
        <f>HYPERLINK("https://app.vivvix.com/360/KMI/IntelliDrive/ApplUI/Pages/CreativePages/CustomReportCreativeDetail.aspx?App=23&amp;ReportView=4&amp;Qid=1711279&amp;Row=18910&amp;Col=1","No Title Assigned - #15278094367")</f>
        <v/>
      </c>
      <c r="B18918" s="0" t="s">
        <v>24995</v>
      </c>
      <c r="E18918" s="0" t="inlineStr">
        <is>
          <t xml:space="preserve">Mazda</t>
        </is>
      </c>
      <c r="F18918" s="0" t="inlineStr">
        <is>
          <t xml:space="preserve">Mazda</t>
        </is>
      </c>
      <c r="G18918" s="0" t="s">
        <v>171</v>
      </c>
      <c r="H18918" s="5">
        <v>1425.417800</v>
      </c>
    </row>
    <row r="18919" spans="1:9">
      <c r="A18919" s="22" t="str">
        <f>HYPERLINK("https://app.vivvix.com/360/KMI/IntelliDrive/ApplUI/Pages/CreativePages/CustomReportCreativeDetail.aspx?App=23&amp;ReportView=4&amp;Qid=1711279&amp;Row=18911&amp;Col=1","No Title Assigned - #15278094368")</f>
        <v/>
      </c>
      <c r="B18919" s="0" t="s">
        <v>24996</v>
      </c>
      <c r="E18919" s="0" t="inlineStr">
        <is>
          <t xml:space="preserve">Mazda</t>
        </is>
      </c>
      <c r="F18919" s="0" t="inlineStr">
        <is>
          <t xml:space="preserve">Mazda</t>
        </is>
      </c>
      <c r="G18919" s="0" t="s">
        <v>171</v>
      </c>
      <c r="H18919" s="5">
        <v>1425.417800</v>
      </c>
    </row>
    <row r="18920" spans="1:9">
      <c r="A18920" s="22" t="str">
        <f>HYPERLINK("https://app.vivvix.com/360/KMI/IntelliDrive/ApplUI/Pages/CreativePages/CustomReportCreativeDetail.aspx?App=23&amp;ReportView=4&amp;Qid=1711279&amp;Row=18912&amp;Col=1","No Title Assigned - #15278094475")</f>
        <v/>
      </c>
      <c r="B18920" s="0" t="s">
        <v>24997</v>
      </c>
      <c r="E18920" s="0" t="inlineStr">
        <is>
          <t xml:space="preserve">Mazda</t>
        </is>
      </c>
      <c r="F18920" s="0" t="inlineStr">
        <is>
          <t xml:space="preserve">Mazda</t>
        </is>
      </c>
      <c r="G18920" s="0" t="s">
        <v>171</v>
      </c>
      <c r="H18920" s="5">
        <v>43.456100</v>
      </c>
    </row>
    <row r="18921" spans="1:9">
      <c r="A18921" s="22" t="str">
        <f>HYPERLINK("https://app.vivvix.com/360/KMI/IntelliDrive/ApplUI/Pages/CreativePages/CustomReportCreativeDetail.aspx?App=23&amp;ReportView=4&amp;Qid=1711279&amp;Row=18913&amp;Col=1","No Title Assigned - #15278094739")</f>
        <v/>
      </c>
      <c r="B18921" s="0" t="s">
        <v>24998</v>
      </c>
      <c r="E18921" s="0" t="inlineStr">
        <is>
          <t xml:space="preserve">Mazda</t>
        </is>
      </c>
      <c r="F18921" s="0" t="inlineStr">
        <is>
          <t xml:space="preserve">Mazda</t>
        </is>
      </c>
      <c r="G18921" s="0" t="s">
        <v>171</v>
      </c>
      <c r="H18921" s="5">
        <v>90.701400</v>
      </c>
    </row>
    <row r="18922" spans="1:9">
      <c r="A18922" s="22" t="str">
        <f>HYPERLINK("https://app.vivvix.com/360/KMI/IntelliDrive/ApplUI/Pages/CreativePages/CustomReportCreativeDetail.aspx?App=23&amp;ReportView=4&amp;Qid=1711279&amp;Row=18914&amp;Col=1","No Title Assigned - #15278094739")</f>
        <v/>
      </c>
      <c r="B18922" s="0" t="s">
        <v>24998</v>
      </c>
      <c r="E18922" s="0" t="inlineStr">
        <is>
          <t xml:space="preserve">Mazda</t>
        </is>
      </c>
      <c r="F18922" s="0" t="inlineStr">
        <is>
          <t xml:space="preserve">Mazda</t>
        </is>
      </c>
      <c r="G18922" s="0" t="s">
        <v>171</v>
      </c>
      <c r="H18922" s="5">
        <v>87.061600</v>
      </c>
    </row>
    <row r="18923" spans="1:9">
      <c r="A18923" s="22" t="str">
        <f>HYPERLINK("https://app.vivvix.com/360/KMI/IntelliDrive/ApplUI/Pages/CreativePages/CustomReportCreativeDetail.aspx?App=23&amp;ReportView=4&amp;Qid=1711279&amp;Row=18915&amp;Col=1","No Title Assigned - #15278094788")</f>
        <v/>
      </c>
      <c r="B18923" s="0" t="s">
        <v>24999</v>
      </c>
      <c r="E18923" s="0" t="inlineStr">
        <is>
          <t xml:space="preserve">Mazda</t>
        </is>
      </c>
      <c r="F18923" s="0" t="inlineStr">
        <is>
          <t xml:space="preserve">Mazda</t>
        </is>
      </c>
      <c r="G18923" s="0" t="s">
        <v>171</v>
      </c>
      <c r="H18923" s="5">
        <v>7335.056300</v>
      </c>
    </row>
    <row r="18924" spans="1:9">
      <c r="A18924" s="22" t="str">
        <f>HYPERLINK("https://app.vivvix.com/360/KMI/IntelliDrive/ApplUI/Pages/CreativePages/CustomReportCreativeDetail.aspx?App=23&amp;ReportView=4&amp;Qid=1711279&amp;Row=18916&amp;Col=1","No Title Assigned - #15278094788")</f>
        <v/>
      </c>
      <c r="B18924" s="0" t="s">
        <v>24999</v>
      </c>
      <c r="E18924" s="0" t="inlineStr">
        <is>
          <t xml:space="preserve">Mazda</t>
        </is>
      </c>
      <c r="F18924" s="0" t="inlineStr">
        <is>
          <t xml:space="preserve">Mazda</t>
        </is>
      </c>
      <c r="G18924" s="0" t="s">
        <v>171</v>
      </c>
      <c r="H18924" s="5">
        <v>1080.875500</v>
      </c>
    </row>
    <row r="18925" spans="1:9">
      <c r="A18925" s="22" t="str">
        <f>HYPERLINK("https://app.vivvix.com/360/KMI/IntelliDrive/ApplUI/Pages/CreativePages/CustomReportCreativeDetail.aspx?App=23&amp;ReportView=4&amp;Qid=1711279&amp;Row=18917&amp;Col=1","No Title Assigned - #15278094812")</f>
        <v/>
      </c>
      <c r="B18925" s="0" t="s">
        <v>25000</v>
      </c>
      <c r="E18925" s="0" t="inlineStr">
        <is>
          <t xml:space="preserve">Mazda</t>
        </is>
      </c>
      <c r="F18925" s="0" t="inlineStr">
        <is>
          <t xml:space="preserve">Mazda</t>
        </is>
      </c>
      <c r="G18925" s="0" t="s">
        <v>171</v>
      </c>
      <c r="H18925" s="5">
        <v>1260.696400</v>
      </c>
    </row>
    <row r="18926" spans="1:9">
      <c r="A18926" s="22" t="str">
        <f>HYPERLINK("https://app.vivvix.com/360/KMI/IntelliDrive/ApplUI/Pages/CreativePages/CustomReportCreativeDetail.aspx?App=23&amp;ReportView=4&amp;Qid=1711279&amp;Row=18918&amp;Col=1","No Title Assigned - #15278095090")</f>
        <v/>
      </c>
      <c r="B18926" s="0" t="s">
        <v>25001</v>
      </c>
      <c r="E18926" s="0" t="inlineStr">
        <is>
          <t xml:space="preserve">Mazda</t>
        </is>
      </c>
      <c r="F18926" s="0" t="inlineStr">
        <is>
          <t xml:space="preserve">Mazda</t>
        </is>
      </c>
      <c r="G18926" s="0" t="s">
        <v>171</v>
      </c>
      <c r="H18926" s="5">
        <v>3095.677700</v>
      </c>
    </row>
    <row r="18927" spans="1:9">
      <c r="A18927" s="22" t="str">
        <f>HYPERLINK("https://app.vivvix.com/360/KMI/IntelliDrive/ApplUI/Pages/CreativePages/CustomReportCreativeDetail.aspx?App=23&amp;ReportView=4&amp;Qid=1711279&amp;Row=18919&amp;Col=1","No Title Assigned - #15278095090")</f>
        <v/>
      </c>
      <c r="B18927" s="0" t="s">
        <v>25001</v>
      </c>
      <c r="E18927" s="0" t="inlineStr">
        <is>
          <t xml:space="preserve">Mazda</t>
        </is>
      </c>
      <c r="F18927" s="0" t="inlineStr">
        <is>
          <t xml:space="preserve">Mazda</t>
        </is>
      </c>
      <c r="G18927" s="0" t="s">
        <v>171</v>
      </c>
      <c r="H18927" s="5">
        <v>57785.960800</v>
      </c>
    </row>
    <row r="18928" spans="1:9">
      <c r="A18928" s="22" t="str">
        <f>HYPERLINK("https://app.vivvix.com/360/KMI/IntelliDrive/ApplUI/Pages/CreativePages/CustomReportCreativeDetail.aspx?App=23&amp;ReportView=4&amp;Qid=1711279&amp;Row=18920&amp;Col=1","No Title Assigned - #15278095127")</f>
        <v/>
      </c>
      <c r="B18928" s="0" t="s">
        <v>25002</v>
      </c>
      <c r="C18928" s="0" t="s">
        <v>25003</v>
      </c>
      <c r="D18928" s="0" t="s">
        <v>15823</v>
      </c>
      <c r="E18928" s="0" t="inlineStr">
        <is>
          <t xml:space="preserve">Mazda</t>
        </is>
      </c>
      <c r="F18928" s="0" t="s">
        <v>28</v>
      </c>
      <c r="G18928" s="0" t="s">
        <v>29</v>
      </c>
      <c r="H18928" s="5">
        <v>7.877400</v>
      </c>
    </row>
    <row r="18929" spans="1:9">
      <c r="A18929" s="22" t="str">
        <f>HYPERLINK("https://app.vivvix.com/360/KMI/IntelliDrive/ApplUI/Pages/CreativePages/CustomReportCreativeDetail.aspx?App=23&amp;ReportView=4&amp;Qid=1711279&amp;Row=18921&amp;Col=1","No Title Assigned - #15278095127")</f>
        <v/>
      </c>
      <c r="B18929" s="0" t="s">
        <v>25002</v>
      </c>
      <c r="E18929" s="0" t="inlineStr">
        <is>
          <t xml:space="preserve">Mazda</t>
        </is>
      </c>
      <c r="F18929" s="0" t="s">
        <v>28</v>
      </c>
      <c r="G18929" s="0" t="s">
        <v>29</v>
      </c>
      <c r="H18929" s="5">
        <v>109.381400</v>
      </c>
    </row>
    <row r="18930" spans="1:9">
      <c r="A18930" s="22" t="str">
        <f>HYPERLINK("https://app.vivvix.com/360/KMI/IntelliDrive/ApplUI/Pages/CreativePages/CustomReportCreativeDetail.aspx?App=23&amp;ReportView=4&amp;Qid=1711279&amp;Row=18922&amp;Col=1","No Title Assigned - #15278095134")</f>
        <v/>
      </c>
      <c r="B18930" s="0" t="s">
        <v>25004</v>
      </c>
      <c r="C18930" s="0" t="s">
        <v>25005</v>
      </c>
      <c r="D18930" s="0" t="s">
        <v>16549</v>
      </c>
      <c r="E18930" s="0" t="inlineStr">
        <is>
          <t xml:space="preserve">Mazda</t>
        </is>
      </c>
      <c r="F18930" s="0" t="s">
        <v>28</v>
      </c>
      <c r="G18930" s="0" t="s">
        <v>29</v>
      </c>
      <c r="H18930" s="5">
        <v>88.892500</v>
      </c>
    </row>
    <row r="18931" spans="1:9">
      <c r="A18931" s="22" t="str">
        <f>HYPERLINK("https://app.vivvix.com/360/KMI/IntelliDrive/ApplUI/Pages/CreativePages/CustomReportCreativeDetail.aspx?App=23&amp;ReportView=4&amp;Qid=1711279&amp;Row=18923&amp;Col=1","No Title Assigned - #15278095134")</f>
        <v/>
      </c>
      <c r="B18931" s="0" t="s">
        <v>25004</v>
      </c>
      <c r="E18931" s="0" t="inlineStr">
        <is>
          <t xml:space="preserve">Mazda</t>
        </is>
      </c>
      <c r="F18931" s="0" t="s">
        <v>28</v>
      </c>
      <c r="G18931" s="0" t="s">
        <v>29</v>
      </c>
      <c r="H18931" s="5">
        <v>441.066600</v>
      </c>
    </row>
    <row r="18932" spans="1:9">
      <c r="A18932" s="22" t="str">
        <f>HYPERLINK("https://app.vivvix.com/360/KMI/IntelliDrive/ApplUI/Pages/CreativePages/CustomReportCreativeDetail.aspx?App=23&amp;ReportView=4&amp;Qid=1711279&amp;Row=18924&amp;Col=1","No Title Assigned - #15278095345")</f>
        <v/>
      </c>
      <c r="B18932" s="0" t="s">
        <v>25006</v>
      </c>
      <c r="E18932" s="0" t="inlineStr">
        <is>
          <t xml:space="preserve">Mazda</t>
        </is>
      </c>
      <c r="F18932" s="0" t="inlineStr">
        <is>
          <t xml:space="preserve">Mazda</t>
        </is>
      </c>
      <c r="G18932" s="0" t="s">
        <v>171</v>
      </c>
      <c r="H18932" s="5">
        <v>33.897700</v>
      </c>
    </row>
    <row r="18933" spans="1:9">
      <c r="A18933" s="22" t="str">
        <f>HYPERLINK("https://app.vivvix.com/360/KMI/IntelliDrive/ApplUI/Pages/CreativePages/CustomReportCreativeDetail.aspx?App=23&amp;ReportView=4&amp;Qid=1711279&amp;Row=18925&amp;Col=1","No Title Assigned - #15278095443")</f>
        <v/>
      </c>
      <c r="B18933" s="0" t="s">
        <v>25007</v>
      </c>
      <c r="E18933" s="0" t="inlineStr">
        <is>
          <t xml:space="preserve">Mazda</t>
        </is>
      </c>
      <c r="F18933" s="0" t="inlineStr">
        <is>
          <t xml:space="preserve">Mazda</t>
        </is>
      </c>
      <c r="G18933" s="0" t="s">
        <v>171</v>
      </c>
      <c r="H18933" s="5">
        <v>637.867400</v>
      </c>
    </row>
    <row r="18934" spans="1:9">
      <c r="A18934" s="22" t="str">
        <f>HYPERLINK("https://app.vivvix.com/360/KMI/IntelliDrive/ApplUI/Pages/CreativePages/CustomReportCreativeDetail.aspx?App=23&amp;ReportView=4&amp;Qid=1711279&amp;Row=18926&amp;Col=1","No Title Assigned - #15278095545")</f>
        <v/>
      </c>
      <c r="B18934" s="0" t="s">
        <v>25008</v>
      </c>
      <c r="E18934" s="0" t="inlineStr">
        <is>
          <t xml:space="preserve">Mazda</t>
        </is>
      </c>
      <c r="F18934" s="0" t="inlineStr">
        <is>
          <t xml:space="preserve">Mazda</t>
        </is>
      </c>
      <c r="G18934" s="0" t="s">
        <v>171</v>
      </c>
      <c r="H18934" s="5">
        <v>2.724300</v>
      </c>
    </row>
    <row r="18935" spans="1:9">
      <c r="A18935" s="22" t="str">
        <f>HYPERLINK("https://app.vivvix.com/360/KMI/IntelliDrive/ApplUI/Pages/CreativePages/CustomReportCreativeDetail.aspx?App=23&amp;ReportView=4&amp;Qid=1711279&amp;Row=18927&amp;Col=1","No Title Assigned - #15278095924")</f>
        <v/>
      </c>
      <c r="B18935" s="0" t="s">
        <v>25009</v>
      </c>
      <c r="C18935" s="0" t="s">
        <v>25010</v>
      </c>
      <c r="D18935" s="0" t="s">
        <v>25010</v>
      </c>
      <c r="E18935" s="0" t="inlineStr">
        <is>
          <t xml:space="preserve">Mazda</t>
        </is>
      </c>
      <c r="F18935" s="0" t="inlineStr">
        <is>
          <t xml:space="preserve">Mazda</t>
        </is>
      </c>
      <c r="G18935" s="0" t="s">
        <v>171</v>
      </c>
      <c r="H18935" s="5">
        <v>255.192500</v>
      </c>
    </row>
    <row r="18936" spans="1:9">
      <c r="A18936" s="22" t="str">
        <f>HYPERLINK("https://app.vivvix.com/360/KMI/IntelliDrive/ApplUI/Pages/CreativePages/CustomReportCreativeDetail.aspx?App=23&amp;ReportView=4&amp;Qid=1711279&amp;Row=18928&amp;Col=1","No Title Assigned - #15278096370")</f>
        <v/>
      </c>
      <c r="B18936" s="0" t="s">
        <v>25011</v>
      </c>
      <c r="E18936" s="0" t="inlineStr">
        <is>
          <t xml:space="preserve">Mazda</t>
        </is>
      </c>
      <c r="F18936" s="0" t="inlineStr">
        <is>
          <t xml:space="preserve">Mazda</t>
        </is>
      </c>
      <c r="G18936" s="0" t="s">
        <v>171</v>
      </c>
      <c r="H18936" s="5">
        <v>103.661500</v>
      </c>
    </row>
    <row r="18937" spans="1:9">
      <c r="A18937" s="22" t="str">
        <f>HYPERLINK("https://app.vivvix.com/360/KMI/IntelliDrive/ApplUI/Pages/CreativePages/CustomReportCreativeDetail.aspx?App=23&amp;ReportView=4&amp;Qid=1711279&amp;Row=18929&amp;Col=1","No Title Assigned - #15278096434")</f>
        <v/>
      </c>
      <c r="B18937" s="0" t="s">
        <v>25012</v>
      </c>
      <c r="E18937" s="0" t="inlineStr">
        <is>
          <t xml:space="preserve">Mazda</t>
        </is>
      </c>
      <c r="F18937" s="0" t="inlineStr">
        <is>
          <t xml:space="preserve">Mazda</t>
        </is>
      </c>
      <c r="G18937" s="0" t="s">
        <v>171</v>
      </c>
      <c r="H18937" s="5">
        <v>877.606300</v>
      </c>
    </row>
    <row r="18938" spans="1:9">
      <c r="A18938" s="22" t="str">
        <f>HYPERLINK("https://app.vivvix.com/360/KMI/IntelliDrive/ApplUI/Pages/CreativePages/CustomReportCreativeDetail.aspx?App=23&amp;ReportView=4&amp;Qid=1711279&amp;Row=18930&amp;Col=1","No Title Assigned - #15278096436")</f>
        <v/>
      </c>
      <c r="B18938" s="0" t="s">
        <v>25013</v>
      </c>
      <c r="E18938" s="0" t="inlineStr">
        <is>
          <t xml:space="preserve">Mazda</t>
        </is>
      </c>
      <c r="F18938" s="0" t="inlineStr">
        <is>
          <t xml:space="preserve">Mazda</t>
        </is>
      </c>
      <c r="G18938" s="0" t="s">
        <v>171</v>
      </c>
      <c r="H18938" s="5">
        <v>241.409700</v>
      </c>
    </row>
    <row r="18939" spans="1:9">
      <c r="A18939" s="22" t="str">
        <f>HYPERLINK("https://app.vivvix.com/360/KMI/IntelliDrive/ApplUI/Pages/CreativePages/CustomReportCreativeDetail.aspx?App=23&amp;ReportView=4&amp;Qid=1711279&amp;Row=18931&amp;Col=1","No Title Assigned - #15278096443")</f>
        <v/>
      </c>
      <c r="B18939" s="0" t="s">
        <v>25014</v>
      </c>
      <c r="E18939" s="0" t="inlineStr">
        <is>
          <t xml:space="preserve">Mazda</t>
        </is>
      </c>
      <c r="F18939" s="0" t="inlineStr">
        <is>
          <t xml:space="preserve">Mazda</t>
        </is>
      </c>
      <c r="G18939" s="0" t="s">
        <v>171</v>
      </c>
      <c r="H18939" s="5">
        <v>174.937800</v>
      </c>
    </row>
    <row r="18940" spans="1:9">
      <c r="A18940" s="22" t="str">
        <f>HYPERLINK("https://app.vivvix.com/360/KMI/IntelliDrive/ApplUI/Pages/CreativePages/CustomReportCreativeDetail.aspx?App=23&amp;ReportView=4&amp;Qid=1711279&amp;Row=18932&amp;Col=1","No Title Assigned - #15278096556")</f>
        <v/>
      </c>
      <c r="B18940" s="0" t="s">
        <v>25015</v>
      </c>
      <c r="E18940" s="0" t="inlineStr">
        <is>
          <t xml:space="preserve">Mazda</t>
        </is>
      </c>
      <c r="F18940" s="0" t="inlineStr">
        <is>
          <t xml:space="preserve">Mazda</t>
        </is>
      </c>
      <c r="G18940" s="0" t="s">
        <v>171</v>
      </c>
      <c r="H18940" s="5">
        <v>37677.785600</v>
      </c>
    </row>
    <row r="18941" spans="1:9">
      <c r="A18941" s="22" t="str">
        <f>HYPERLINK("https://app.vivvix.com/360/KMI/IntelliDrive/ApplUI/Pages/CreativePages/CustomReportCreativeDetail.aspx?App=23&amp;ReportView=4&amp;Qid=1711279&amp;Row=18933&amp;Col=1","No Title Assigned - #15278096556")</f>
        <v/>
      </c>
      <c r="B18941" s="0" t="s">
        <v>25015</v>
      </c>
      <c r="E18941" s="0" t="inlineStr">
        <is>
          <t xml:space="preserve">Mazda</t>
        </is>
      </c>
      <c r="F18941" s="0" t="inlineStr">
        <is>
          <t xml:space="preserve">Mazda</t>
        </is>
      </c>
      <c r="G18941" s="0" t="s">
        <v>171</v>
      </c>
      <c r="H18941" s="5">
        <v>819.634400</v>
      </c>
    </row>
    <row r="18942" spans="1:9">
      <c r="A18942" s="22" t="str">
        <f>HYPERLINK("https://app.vivvix.com/360/KMI/IntelliDrive/ApplUI/Pages/CreativePages/CustomReportCreativeDetail.aspx?App=23&amp;ReportView=4&amp;Qid=1711279&amp;Row=18934&amp;Col=1","No Title Assigned - #15278096691")</f>
        <v/>
      </c>
      <c r="B18942" s="0" t="s">
        <v>25016</v>
      </c>
      <c r="E18942" s="0" t="inlineStr">
        <is>
          <t xml:space="preserve">Mazda</t>
        </is>
      </c>
      <c r="F18942" s="0" t="inlineStr">
        <is>
          <t xml:space="preserve">Mazda</t>
        </is>
      </c>
      <c r="G18942" s="0" t="s">
        <v>171</v>
      </c>
      <c r="H18942" s="5">
        <v>53.895100</v>
      </c>
    </row>
    <row r="18943" spans="1:9">
      <c r="A18943" s="22" t="str">
        <f>HYPERLINK("https://app.vivvix.com/360/KMI/IntelliDrive/ApplUI/Pages/CreativePages/CustomReportCreativeDetail.aspx?App=23&amp;ReportView=4&amp;Qid=1711279&amp;Row=18935&amp;Col=1","No Title Assigned - #15278097017")</f>
        <v/>
      </c>
      <c r="B18943" s="0" t="s">
        <v>25017</v>
      </c>
      <c r="C18943" s="0" t="s">
        <v>25018</v>
      </c>
      <c r="D18943" s="0" t="s">
        <v>25018</v>
      </c>
      <c r="E18943" s="0" t="inlineStr">
        <is>
          <t xml:space="preserve">Mazda</t>
        </is>
      </c>
      <c r="F18943" s="0" t="inlineStr">
        <is>
          <t xml:space="preserve">Mazda</t>
        </is>
      </c>
      <c r="G18943" s="0" t="s">
        <v>171</v>
      </c>
      <c r="H18943" s="5">
        <v>494.135300</v>
      </c>
    </row>
    <row r="18944" spans="1:9">
      <c r="A18944" s="22" t="str">
        <f>HYPERLINK("https://app.vivvix.com/360/KMI/IntelliDrive/ApplUI/Pages/CreativePages/CustomReportCreativeDetail.aspx?App=23&amp;ReportView=4&amp;Qid=1711279&amp;Row=18936&amp;Col=1","No Title Assigned - #15278097017")</f>
        <v/>
      </c>
      <c r="B18944" s="0" t="s">
        <v>25017</v>
      </c>
      <c r="E18944" s="0" t="inlineStr">
        <is>
          <t xml:space="preserve">Mazda</t>
        </is>
      </c>
      <c r="F18944" s="0" t="inlineStr">
        <is>
          <t xml:space="preserve">Mazda</t>
        </is>
      </c>
      <c r="G18944" s="0" t="s">
        <v>171</v>
      </c>
      <c r="H18944" s="5">
        <v>17.119200</v>
      </c>
    </row>
    <row r="18945" spans="1:9">
      <c r="A18945" s="22" t="str">
        <f>HYPERLINK("https://app.vivvix.com/360/KMI/IntelliDrive/ApplUI/Pages/CreativePages/CustomReportCreativeDetail.aspx?App=23&amp;ReportView=4&amp;Qid=1711279&amp;Row=18937&amp;Col=1","No Title Assigned - #15278097112")</f>
        <v/>
      </c>
      <c r="B18945" s="0" t="s">
        <v>25019</v>
      </c>
      <c r="E18945" s="0" t="inlineStr">
        <is>
          <t xml:space="preserve">Mazda</t>
        </is>
      </c>
      <c r="F18945" s="0" t="inlineStr">
        <is>
          <t xml:space="preserve">Mazda</t>
        </is>
      </c>
      <c r="G18945" s="0" t="s">
        <v>171</v>
      </c>
      <c r="H18945" s="5">
        <v>184.518000</v>
      </c>
    </row>
    <row r="18946" spans="1:9">
      <c r="A18946" s="22" t="str">
        <f>HYPERLINK("https://app.vivvix.com/360/KMI/IntelliDrive/ApplUI/Pages/CreativePages/CustomReportCreativeDetail.aspx?App=23&amp;ReportView=4&amp;Qid=1711279&amp;Row=18938&amp;Col=1","No Title Assigned - #15278097112")</f>
        <v/>
      </c>
      <c r="B18946" s="0" t="s">
        <v>25019</v>
      </c>
      <c r="E18946" s="0" t="inlineStr">
        <is>
          <t xml:space="preserve">Mazda</t>
        </is>
      </c>
      <c r="F18946" s="0" t="inlineStr">
        <is>
          <t xml:space="preserve">Mazda</t>
        </is>
      </c>
      <c r="G18946" s="0" t="s">
        <v>171</v>
      </c>
      <c r="H18946" s="5">
        <v>118.254900</v>
      </c>
    </row>
    <row r="18947" spans="1:9">
      <c r="A18947" s="22" t="str">
        <f>HYPERLINK("https://app.vivvix.com/360/KMI/IntelliDrive/ApplUI/Pages/CreativePages/CustomReportCreativeDetail.aspx?App=23&amp;ReportView=4&amp;Qid=1711279&amp;Row=18939&amp;Col=1","No Title Assigned - #15278097636")</f>
        <v/>
      </c>
      <c r="B18947" s="0" t="s">
        <v>25020</v>
      </c>
      <c r="E18947" s="0" t="inlineStr">
        <is>
          <t xml:space="preserve">Mazda</t>
        </is>
      </c>
      <c r="F18947" s="0" t="inlineStr">
        <is>
          <t xml:space="preserve">Mazda</t>
        </is>
      </c>
      <c r="G18947" s="0" t="s">
        <v>171</v>
      </c>
      <c r="H18947" s="5">
        <v>4651.374200</v>
      </c>
    </row>
    <row r="18948" spans="1:9">
      <c r="A18948" s="22" t="str">
        <f>HYPERLINK("https://app.vivvix.com/360/KMI/IntelliDrive/ApplUI/Pages/CreativePages/CustomReportCreativeDetail.aspx?App=23&amp;ReportView=4&amp;Qid=1711279&amp;Row=18940&amp;Col=1","No Title Assigned - #15278097636")</f>
        <v/>
      </c>
      <c r="B18948" s="0" t="s">
        <v>25020</v>
      </c>
      <c r="E18948" s="0" t="inlineStr">
        <is>
          <t xml:space="preserve">Mazda</t>
        </is>
      </c>
      <c r="F18948" s="0" t="inlineStr">
        <is>
          <t xml:space="preserve">Mazda</t>
        </is>
      </c>
      <c r="G18948" s="0" t="s">
        <v>171</v>
      </c>
      <c r="H18948" s="5">
        <v>1020.185900</v>
      </c>
    </row>
    <row r="18949" spans="1:9">
      <c r="A18949" s="22" t="str">
        <f>HYPERLINK("https://app.vivvix.com/360/KMI/IntelliDrive/ApplUI/Pages/CreativePages/CustomReportCreativeDetail.aspx?App=23&amp;ReportView=4&amp;Qid=1711279&amp;Row=18941&amp;Col=1","No Title Assigned - #15278097644")</f>
        <v/>
      </c>
      <c r="B18949" s="0" t="s">
        <v>25021</v>
      </c>
      <c r="C18949" s="0" t="s">
        <v>25022</v>
      </c>
      <c r="D18949" s="0" t="s">
        <v>5068</v>
      </c>
      <c r="E18949" s="0" t="inlineStr">
        <is>
          <t xml:space="preserve">Mazda</t>
        </is>
      </c>
      <c r="F18949" s="0" t="s">
        <v>28</v>
      </c>
      <c r="G18949" s="0" t="s">
        <v>29</v>
      </c>
      <c r="H18949" s="5">
        <v>122.291300</v>
      </c>
    </row>
    <row r="18950" spans="1:9">
      <c r="A18950" s="22" t="str">
        <f>HYPERLINK("https://app.vivvix.com/360/KMI/IntelliDrive/ApplUI/Pages/CreativePages/CustomReportCreativeDetail.aspx?App=23&amp;ReportView=4&amp;Qid=1711279&amp;Row=18942&amp;Col=1","No Title Assigned - #15278097644")</f>
        <v/>
      </c>
      <c r="B18950" s="0" t="s">
        <v>25021</v>
      </c>
      <c r="E18950" s="0" t="inlineStr">
        <is>
          <t xml:space="preserve">Mazda</t>
        </is>
      </c>
      <c r="F18950" s="0" t="s">
        <v>28</v>
      </c>
      <c r="G18950" s="0" t="s">
        <v>29</v>
      </c>
      <c r="H18950" s="5">
        <v>820.670100</v>
      </c>
    </row>
    <row r="18951" spans="1:9">
      <c r="A18951" s="22" t="str">
        <f>HYPERLINK("https://app.vivvix.com/360/KMI/IntelliDrive/ApplUI/Pages/CreativePages/CustomReportCreativeDetail.aspx?App=23&amp;ReportView=4&amp;Qid=1711279&amp;Row=18943&amp;Col=1","No Title Assigned - #15278097806")</f>
        <v/>
      </c>
      <c r="B18951" s="0" t="s">
        <v>25023</v>
      </c>
      <c r="E18951" s="0" t="inlineStr">
        <is>
          <t xml:space="preserve">Mazda</t>
        </is>
      </c>
      <c r="F18951" s="0" t="inlineStr">
        <is>
          <t xml:space="preserve">Mazda</t>
        </is>
      </c>
      <c r="G18951" s="0" t="s">
        <v>171</v>
      </c>
      <c r="H18951" s="5">
        <v>66865.339000</v>
      </c>
    </row>
    <row r="18952" spans="1:9">
      <c r="A18952" s="22" t="str">
        <f>HYPERLINK("https://app.vivvix.com/360/KMI/IntelliDrive/ApplUI/Pages/CreativePages/CustomReportCreativeDetail.aspx?App=23&amp;ReportView=4&amp;Qid=1711279&amp;Row=18944&amp;Col=1","No Title Assigned - #15278097806")</f>
        <v/>
      </c>
      <c r="B18952" s="0" t="s">
        <v>25023</v>
      </c>
      <c r="E18952" s="0" t="inlineStr">
        <is>
          <t xml:space="preserve">Mazda</t>
        </is>
      </c>
      <c r="F18952" s="0" t="inlineStr">
        <is>
          <t xml:space="preserve">Mazda</t>
        </is>
      </c>
      <c r="G18952" s="0" t="s">
        <v>171</v>
      </c>
      <c r="H18952" s="5">
        <v>30318.670200</v>
      </c>
    </row>
    <row r="18953" spans="1:9">
      <c r="A18953" s="22" t="str">
        <f>HYPERLINK("https://app.vivvix.com/360/KMI/IntelliDrive/ApplUI/Pages/CreativePages/CustomReportCreativeDetail.aspx?App=23&amp;ReportView=4&amp;Qid=1711279&amp;Row=18945&amp;Col=1","No Title Assigned - #15278097870")</f>
        <v/>
      </c>
      <c r="B18953" s="0" t="s">
        <v>25024</v>
      </c>
      <c r="E18953" s="0" t="inlineStr">
        <is>
          <t xml:space="preserve">Mazda</t>
        </is>
      </c>
      <c r="F18953" s="0" t="inlineStr">
        <is>
          <t xml:space="preserve">Mazda</t>
        </is>
      </c>
      <c r="G18953" s="0" t="s">
        <v>171</v>
      </c>
      <c r="H18953" s="5">
        <v>169.536500</v>
      </c>
    </row>
    <row r="18954" spans="1:9">
      <c r="A18954" s="22" t="str">
        <f>HYPERLINK("https://app.vivvix.com/360/KMI/IntelliDrive/ApplUI/Pages/CreativePages/CustomReportCreativeDetail.aspx?App=23&amp;ReportView=4&amp;Qid=1711279&amp;Row=18946&amp;Col=1","No Title Assigned - #15278097913")</f>
        <v/>
      </c>
      <c r="B18954" s="0" t="s">
        <v>25025</v>
      </c>
      <c r="E18954" s="0" t="inlineStr">
        <is>
          <t xml:space="preserve">Mazda</t>
        </is>
      </c>
      <c r="F18954" s="0" t="inlineStr">
        <is>
          <t xml:space="preserve">Mazda</t>
        </is>
      </c>
      <c r="G18954" s="0" t="s">
        <v>171</v>
      </c>
      <c r="H18954" s="5">
        <v>7974.716400</v>
      </c>
    </row>
    <row r="18955" spans="1:9">
      <c r="A18955" s="22" t="str">
        <f>HYPERLINK("https://app.vivvix.com/360/KMI/IntelliDrive/ApplUI/Pages/CreativePages/CustomReportCreativeDetail.aspx?App=23&amp;ReportView=4&amp;Qid=1711279&amp;Row=18947&amp;Col=1","No Title Assigned - #15278097913")</f>
        <v/>
      </c>
      <c r="B18955" s="0" t="s">
        <v>25025</v>
      </c>
      <c r="E18955" s="0" t="inlineStr">
        <is>
          <t xml:space="preserve">Mazda</t>
        </is>
      </c>
      <c r="F18955" s="0" t="inlineStr">
        <is>
          <t xml:space="preserve">Mazda</t>
        </is>
      </c>
      <c r="G18955" s="0" t="s">
        <v>171</v>
      </c>
      <c r="H18955" s="5">
        <v>1198.682200</v>
      </c>
    </row>
    <row r="18956" spans="1:9">
      <c r="A18956" s="22" t="str">
        <f>HYPERLINK("https://app.vivvix.com/360/KMI/IntelliDrive/ApplUI/Pages/CreativePages/CustomReportCreativeDetail.aspx?App=23&amp;ReportView=4&amp;Qid=1711279&amp;Row=18948&amp;Col=1","No Title Assigned - #15278098015")</f>
        <v/>
      </c>
      <c r="B18956" s="0" t="s">
        <v>25026</v>
      </c>
      <c r="E18956" s="0" t="inlineStr">
        <is>
          <t xml:space="preserve">Mazda</t>
        </is>
      </c>
      <c r="F18956" s="0" t="inlineStr">
        <is>
          <t xml:space="preserve">Mazda</t>
        </is>
      </c>
      <c r="G18956" s="0" t="s">
        <v>171</v>
      </c>
      <c r="H18956" s="5">
        <v>946.461600</v>
      </c>
    </row>
    <row r="18957" spans="1:9">
      <c r="A18957" s="22" t="str">
        <f>HYPERLINK("https://app.vivvix.com/360/KMI/IntelliDrive/ApplUI/Pages/CreativePages/CustomReportCreativeDetail.aspx?App=23&amp;ReportView=4&amp;Qid=1711279&amp;Row=18949&amp;Col=1","No Title Assigned - #15278098015")</f>
        <v/>
      </c>
      <c r="B18957" s="0" t="s">
        <v>25026</v>
      </c>
      <c r="E18957" s="0" t="inlineStr">
        <is>
          <t xml:space="preserve">Mazda</t>
        </is>
      </c>
      <c r="F18957" s="0" t="inlineStr">
        <is>
          <t xml:space="preserve">Mazda</t>
        </is>
      </c>
      <c r="G18957" s="0" t="s">
        <v>171</v>
      </c>
      <c r="H18957" s="5">
        <v>276.332900</v>
      </c>
    </row>
    <row r="18958" spans="1:9">
      <c r="A18958" s="22" t="str">
        <f>HYPERLINK("https://app.vivvix.com/360/KMI/IntelliDrive/ApplUI/Pages/CreativePages/CustomReportCreativeDetail.aspx?App=23&amp;ReportView=4&amp;Qid=1711279&amp;Row=18950&amp;Col=1","No Title Assigned - #15278098016")</f>
        <v/>
      </c>
      <c r="B18958" s="0" t="s">
        <v>25027</v>
      </c>
      <c r="E18958" s="0" t="inlineStr">
        <is>
          <t xml:space="preserve">Mazda</t>
        </is>
      </c>
      <c r="F18958" s="0" t="inlineStr">
        <is>
          <t xml:space="preserve">Mazda</t>
        </is>
      </c>
      <c r="G18958" s="0" t="s">
        <v>171</v>
      </c>
      <c r="H18958" s="5">
        <v>3645.571700</v>
      </c>
    </row>
    <row r="18959" spans="1:9">
      <c r="A18959" s="22" t="str">
        <f>HYPERLINK("https://app.vivvix.com/360/KMI/IntelliDrive/ApplUI/Pages/CreativePages/CustomReportCreativeDetail.aspx?App=23&amp;ReportView=4&amp;Qid=1711279&amp;Row=18951&amp;Col=1","No Title Assigned - #15278098237")</f>
        <v/>
      </c>
      <c r="B18959" s="0" t="s">
        <v>25028</v>
      </c>
      <c r="E18959" s="0" t="inlineStr">
        <is>
          <t xml:space="preserve">Mazda</t>
        </is>
      </c>
      <c r="F18959" s="0" t="inlineStr">
        <is>
          <t xml:space="preserve">Mazda</t>
        </is>
      </c>
      <c r="G18959" s="0" t="s">
        <v>171</v>
      </c>
      <c r="H18959" s="5">
        <v>2.724300</v>
      </c>
    </row>
    <row r="18960" spans="1:9">
      <c r="A18960" s="22" t="str">
        <f>HYPERLINK("https://app.vivvix.com/360/KMI/IntelliDrive/ApplUI/Pages/CreativePages/CustomReportCreativeDetail.aspx?App=23&amp;ReportView=4&amp;Qid=1711279&amp;Row=18952&amp;Col=1","No Title Assigned - #15278098239")</f>
        <v/>
      </c>
      <c r="B18960" s="0" t="s">
        <v>25029</v>
      </c>
      <c r="E18960" s="0" t="inlineStr">
        <is>
          <t xml:space="preserve">Mazda</t>
        </is>
      </c>
      <c r="F18960" s="0" t="inlineStr">
        <is>
          <t xml:space="preserve">Mazda</t>
        </is>
      </c>
      <c r="G18960" s="0" t="s">
        <v>171</v>
      </c>
      <c r="H18960" s="5">
        <v>46437.549200</v>
      </c>
    </row>
    <row r="18961" spans="1:9">
      <c r="A18961" s="22" t="str">
        <f>HYPERLINK("https://app.vivvix.com/360/KMI/IntelliDrive/ApplUI/Pages/CreativePages/CustomReportCreativeDetail.aspx?App=23&amp;ReportView=4&amp;Qid=1711279&amp;Row=18953&amp;Col=1","No Title Assigned - #15278098239")</f>
        <v/>
      </c>
      <c r="B18961" s="0" t="s">
        <v>25029</v>
      </c>
      <c r="E18961" s="0" t="inlineStr">
        <is>
          <t xml:space="preserve">Mazda</t>
        </is>
      </c>
      <c r="F18961" s="0" t="inlineStr">
        <is>
          <t xml:space="preserve">Mazda</t>
        </is>
      </c>
      <c r="G18961" s="0" t="s">
        <v>171</v>
      </c>
      <c r="H18961" s="5">
        <v>125076.981800</v>
      </c>
    </row>
    <row r="18962" spans="1:9">
      <c r="A18962" s="22" t="str">
        <f>HYPERLINK("https://app.vivvix.com/360/KMI/IntelliDrive/ApplUI/Pages/CreativePages/CustomReportCreativeDetail.aspx?App=23&amp;ReportView=4&amp;Qid=1711279&amp;Row=18954&amp;Col=1","No Title Assigned - #15278098372")</f>
        <v/>
      </c>
      <c r="B18962" s="0" t="s">
        <v>25030</v>
      </c>
      <c r="E18962" s="0" t="inlineStr">
        <is>
          <t xml:space="preserve">Mazda</t>
        </is>
      </c>
      <c r="F18962" s="0" t="inlineStr">
        <is>
          <t xml:space="preserve">Mazda</t>
        </is>
      </c>
      <c r="G18962" s="0" t="s">
        <v>171</v>
      </c>
      <c r="H18962" s="5">
        <v>2032.589500</v>
      </c>
    </row>
    <row r="18963" spans="1:9">
      <c r="A18963" s="22" t="str">
        <f>HYPERLINK("https://app.vivvix.com/360/KMI/IntelliDrive/ApplUI/Pages/CreativePages/CustomReportCreativeDetail.aspx?App=23&amp;ReportView=4&amp;Qid=1711279&amp;Row=18955&amp;Col=1","No Title Assigned - #15278098403")</f>
        <v/>
      </c>
      <c r="B18963" s="0" t="s">
        <v>25031</v>
      </c>
      <c r="E18963" s="0" t="inlineStr">
        <is>
          <t xml:space="preserve">Mazda</t>
        </is>
      </c>
      <c r="F18963" s="0" t="inlineStr">
        <is>
          <t xml:space="preserve">Mazda</t>
        </is>
      </c>
      <c r="G18963" s="0" t="s">
        <v>171</v>
      </c>
      <c r="H18963" s="5">
        <v>1060.141500</v>
      </c>
    </row>
    <row r="18964" spans="1:9">
      <c r="A18964" s="22" t="str">
        <f>HYPERLINK("https://app.vivvix.com/360/KMI/IntelliDrive/ApplUI/Pages/CreativePages/CustomReportCreativeDetail.aspx?App=23&amp;ReportView=4&amp;Qid=1711279&amp;Row=18956&amp;Col=1","No Title Assigned - #15278098461")</f>
        <v/>
      </c>
      <c r="B18964" s="0" t="s">
        <v>25032</v>
      </c>
      <c r="C18964" s="0" t="s">
        <v>25033</v>
      </c>
      <c r="D18964" s="0" t="s">
        <v>25033</v>
      </c>
      <c r="E18964" s="0" t="inlineStr">
        <is>
          <t xml:space="preserve">Mazda</t>
        </is>
      </c>
      <c r="F18964" s="0" t="inlineStr">
        <is>
          <t xml:space="preserve">Mazda</t>
        </is>
      </c>
      <c r="G18964" s="0" t="s">
        <v>171</v>
      </c>
      <c r="H18964" s="5">
        <v>61.406400</v>
      </c>
    </row>
    <row r="18965" spans="1:9">
      <c r="A18965" s="22" t="str">
        <f>HYPERLINK("https://app.vivvix.com/360/KMI/IntelliDrive/ApplUI/Pages/CreativePages/CustomReportCreativeDetail.aspx?App=23&amp;ReportView=4&amp;Qid=1711279&amp;Row=18957&amp;Col=1","No Title Assigned - #15278098731")</f>
        <v/>
      </c>
      <c r="B18965" s="0" t="s">
        <v>25034</v>
      </c>
      <c r="C18965" s="0" t="s">
        <v>25035</v>
      </c>
      <c r="D18965" s="0" t="s">
        <v>25035</v>
      </c>
      <c r="E18965" s="0" t="inlineStr">
        <is>
          <t xml:space="preserve">Mazda</t>
        </is>
      </c>
      <c r="F18965" s="0" t="inlineStr">
        <is>
          <t xml:space="preserve">Mazda</t>
        </is>
      </c>
      <c r="G18965" s="0" t="s">
        <v>171</v>
      </c>
      <c r="H18965" s="5">
        <v>34558.909800</v>
      </c>
    </row>
    <row r="18966" spans="1:9">
      <c r="A18966" s="22" t="str">
        <f>HYPERLINK("https://app.vivvix.com/360/KMI/IntelliDrive/ApplUI/Pages/CreativePages/CustomReportCreativeDetail.aspx?App=23&amp;ReportView=4&amp;Qid=1711279&amp;Row=18958&amp;Col=1","No Title Assigned - #15278098731")</f>
        <v/>
      </c>
      <c r="B18966" s="0" t="s">
        <v>25034</v>
      </c>
      <c r="E18966" s="0" t="inlineStr">
        <is>
          <t xml:space="preserve">Mazda</t>
        </is>
      </c>
      <c r="F18966" s="0" t="inlineStr">
        <is>
          <t xml:space="preserve">Mazda</t>
        </is>
      </c>
      <c r="G18966" s="0" t="s">
        <v>171</v>
      </c>
      <c r="H18966" s="5">
        <v>113.176600</v>
      </c>
    </row>
    <row r="18967" spans="1:9">
      <c r="A18967" s="22" t="str">
        <f>HYPERLINK("https://app.vivvix.com/360/KMI/IntelliDrive/ApplUI/Pages/CreativePages/CustomReportCreativeDetail.aspx?App=23&amp;ReportView=4&amp;Qid=1711279&amp;Row=18959&amp;Col=1","No Title Assigned - #15278098971")</f>
        <v/>
      </c>
      <c r="B18967" s="0" t="s">
        <v>25036</v>
      </c>
      <c r="E18967" s="0" t="inlineStr">
        <is>
          <t xml:space="preserve">Mazda</t>
        </is>
      </c>
      <c r="F18967" s="0" t="inlineStr">
        <is>
          <t xml:space="preserve">Mazda</t>
        </is>
      </c>
      <c r="G18967" s="0" t="s">
        <v>171</v>
      </c>
      <c r="H18967" s="5">
        <v>50.720200</v>
      </c>
    </row>
    <row r="18968" spans="1:9">
      <c r="A18968" s="22" t="str">
        <f>HYPERLINK("https://app.vivvix.com/360/KMI/IntelliDrive/ApplUI/Pages/CreativePages/CustomReportCreativeDetail.aspx?App=23&amp;ReportView=4&amp;Qid=1711279&amp;Row=18960&amp;Col=1","No Title Assigned - #15278099184")</f>
        <v/>
      </c>
      <c r="B18968" s="0" t="s">
        <v>25037</v>
      </c>
      <c r="E18968" s="0" t="inlineStr">
        <is>
          <t xml:space="preserve">Mazda</t>
        </is>
      </c>
      <c r="F18968" s="0" t="inlineStr">
        <is>
          <t xml:space="preserve">Mazda</t>
        </is>
      </c>
      <c r="G18968" s="0" t="s">
        <v>171</v>
      </c>
      <c r="H18968" s="5">
        <v>348.546700</v>
      </c>
    </row>
    <row r="18969" spans="1:9">
      <c r="A18969" s="22" t="str">
        <f>HYPERLINK("https://app.vivvix.com/360/KMI/IntelliDrive/ApplUI/Pages/CreativePages/CustomReportCreativeDetail.aspx?App=23&amp;ReportView=4&amp;Qid=1711279&amp;Row=18961&amp;Col=1","No Title Assigned - #15278099736")</f>
        <v/>
      </c>
      <c r="B18969" s="0" t="s">
        <v>25038</v>
      </c>
      <c r="E18969" s="0" t="inlineStr">
        <is>
          <t xml:space="preserve">Mazda</t>
        </is>
      </c>
      <c r="F18969" s="0" t="inlineStr">
        <is>
          <t xml:space="preserve">Mazda</t>
        </is>
      </c>
      <c r="G18969" s="0" t="s">
        <v>171</v>
      </c>
      <c r="H18969" s="5">
        <v>9.691000</v>
      </c>
    </row>
    <row r="18970" spans="1:9">
      <c r="A18970" s="22" t="str">
        <f>HYPERLINK("https://app.vivvix.com/360/KMI/IntelliDrive/ApplUI/Pages/CreativePages/CustomReportCreativeDetail.aspx?App=23&amp;ReportView=4&amp;Qid=1711279&amp;Row=18962&amp;Col=1","No Title Assigned - #15278100927")</f>
        <v/>
      </c>
      <c r="B18970" s="0" t="s">
        <v>25039</v>
      </c>
      <c r="C18970" s="0" t="s">
        <v>25040</v>
      </c>
      <c r="D18970" s="0" t="s">
        <v>25040</v>
      </c>
      <c r="E18970" s="0" t="inlineStr">
        <is>
          <t xml:space="preserve">Mazda</t>
        </is>
      </c>
      <c r="F18970" s="0" t="inlineStr">
        <is>
          <t xml:space="preserve">Mazda</t>
        </is>
      </c>
      <c r="G18970" s="0" t="s">
        <v>171</v>
      </c>
      <c r="H18970" s="5">
        <v>2282.855700</v>
      </c>
    </row>
    <row r="18971" spans="1:9">
      <c r="A18971" s="22" t="str">
        <f>HYPERLINK("https://app.vivvix.com/360/KMI/IntelliDrive/ApplUI/Pages/CreativePages/CustomReportCreativeDetail.aspx?App=23&amp;ReportView=4&amp;Qid=1711279&amp;Row=18963&amp;Col=1","No Title Assigned - #15278118464")</f>
        <v/>
      </c>
      <c r="B18971" s="0" t="s">
        <v>25041</v>
      </c>
      <c r="E18971" s="0" t="inlineStr">
        <is>
          <t xml:space="preserve">Mazda</t>
        </is>
      </c>
      <c r="F18971" s="0" t="inlineStr">
        <is>
          <t xml:space="preserve">Mazda</t>
        </is>
      </c>
      <c r="G18971" s="0" t="s">
        <v>171</v>
      </c>
      <c r="H18971" s="5">
        <v>40.175600</v>
      </c>
    </row>
    <row r="18972" spans="1:9">
      <c r="A18972" s="22" t="str">
        <f>HYPERLINK("https://app.vivvix.com/360/KMI/IntelliDrive/ApplUI/Pages/CreativePages/CustomReportCreativeDetail.aspx?App=23&amp;ReportView=4&amp;Qid=1711279&amp;Row=18964&amp;Col=1","No Title Assigned - #15278118465")</f>
        <v/>
      </c>
      <c r="B18972" s="0" t="s">
        <v>25042</v>
      </c>
      <c r="E18972" s="0" t="inlineStr">
        <is>
          <t xml:space="preserve">Mazda</t>
        </is>
      </c>
      <c r="F18972" s="0" t="inlineStr">
        <is>
          <t xml:space="preserve">Mazda</t>
        </is>
      </c>
      <c r="G18972" s="0" t="s">
        <v>171</v>
      </c>
      <c r="H18972" s="5">
        <v>20.087800</v>
      </c>
    </row>
    <row r="18973" spans="1:9">
      <c r="A18973" s="22" t="str">
        <f>HYPERLINK("https://app.vivvix.com/360/KMI/IntelliDrive/ApplUI/Pages/CreativePages/CustomReportCreativeDetail.aspx?App=23&amp;ReportView=4&amp;Qid=1711279&amp;Row=18965&amp;Col=1","No Title Assigned - #15278118466")</f>
        <v/>
      </c>
      <c r="B18973" s="0" t="s">
        <v>25043</v>
      </c>
      <c r="E18973" s="0" t="inlineStr">
        <is>
          <t xml:space="preserve">Mazda</t>
        </is>
      </c>
      <c r="F18973" s="0" t="inlineStr">
        <is>
          <t xml:space="preserve">Mazda</t>
        </is>
      </c>
      <c r="G18973" s="0" t="s">
        <v>171</v>
      </c>
      <c r="H18973" s="5">
        <v>1991.555000</v>
      </c>
    </row>
    <row r="18974" spans="1:9">
      <c r="A18974" s="22" t="str">
        <f>HYPERLINK("https://app.vivvix.com/360/KMI/IntelliDrive/ApplUI/Pages/CreativePages/CustomReportCreativeDetail.aspx?App=23&amp;ReportView=4&amp;Qid=1711279&amp;Row=18966&amp;Col=1","No Title Assigned - #15278118466")</f>
        <v/>
      </c>
      <c r="B18974" s="0" t="s">
        <v>25043</v>
      </c>
      <c r="E18974" s="0" t="inlineStr">
        <is>
          <t xml:space="preserve">Mazda</t>
        </is>
      </c>
      <c r="F18974" s="0" t="inlineStr">
        <is>
          <t xml:space="preserve">Mazda</t>
        </is>
      </c>
      <c r="G18974" s="0" t="s">
        <v>171</v>
      </c>
      <c r="H18974" s="5">
        <v>62.304300</v>
      </c>
    </row>
    <row r="18975" spans="1:9">
      <c r="A18975" s="22" t="str">
        <f>HYPERLINK("https://app.vivvix.com/360/KMI/IntelliDrive/ApplUI/Pages/CreativePages/CustomReportCreativeDetail.aspx?App=23&amp;ReportView=4&amp;Qid=1711279&amp;Row=18967&amp;Col=1","No Title Assigned - #15278118793")</f>
        <v/>
      </c>
      <c r="B18975" s="0" t="s">
        <v>25044</v>
      </c>
      <c r="E18975" s="0" t="inlineStr">
        <is>
          <t xml:space="preserve">Mazda</t>
        </is>
      </c>
      <c r="F18975" s="0" t="inlineStr">
        <is>
          <t xml:space="preserve">Mazda</t>
        </is>
      </c>
      <c r="G18975" s="0" t="s">
        <v>171</v>
      </c>
      <c r="H18975" s="5">
        <v>1065.596600</v>
      </c>
    </row>
    <row r="18976" spans="1:9">
      <c r="A18976" s="22" t="str">
        <f>HYPERLINK("https://app.vivvix.com/360/KMI/IntelliDrive/ApplUI/Pages/CreativePages/CustomReportCreativeDetail.aspx?App=23&amp;ReportView=4&amp;Qid=1711279&amp;Row=18968&amp;Col=1","No Title Assigned - #15278118793")</f>
        <v/>
      </c>
      <c r="B18976" s="0" t="s">
        <v>25044</v>
      </c>
      <c r="E18976" s="0" t="inlineStr">
        <is>
          <t xml:space="preserve">Mazda</t>
        </is>
      </c>
      <c r="F18976" s="0" t="inlineStr">
        <is>
          <t xml:space="preserve">Mazda</t>
        </is>
      </c>
      <c r="G18976" s="0" t="s">
        <v>171</v>
      </c>
      <c r="H18976" s="5">
        <v>7024.138100</v>
      </c>
    </row>
    <row r="18977" spans="1:9">
      <c r="A18977" s="22" t="str">
        <f>HYPERLINK("https://app.vivvix.com/360/KMI/IntelliDrive/ApplUI/Pages/CreativePages/CustomReportCreativeDetail.aspx?App=23&amp;ReportView=4&amp;Qid=1711279&amp;Row=18969&amp;Col=1","No Title Assigned - #15278118799")</f>
        <v/>
      </c>
      <c r="B18977" s="0" t="s">
        <v>25045</v>
      </c>
      <c r="E18977" s="0" t="inlineStr">
        <is>
          <t xml:space="preserve">Mazda</t>
        </is>
      </c>
      <c r="F18977" s="0" t="inlineStr">
        <is>
          <t xml:space="preserve">Mazda</t>
        </is>
      </c>
      <c r="G18977" s="0" t="s">
        <v>171</v>
      </c>
      <c r="H18977" s="5">
        <v>1675.533600</v>
      </c>
    </row>
    <row r="18978" spans="1:9">
      <c r="A18978" s="22" t="str">
        <f>HYPERLINK("https://app.vivvix.com/360/KMI/IntelliDrive/ApplUI/Pages/CreativePages/CustomReportCreativeDetail.aspx?App=23&amp;ReportView=4&amp;Qid=1711279&amp;Row=18970&amp;Col=1","No Title Assigned - #15278119263")</f>
        <v/>
      </c>
      <c r="B18978" s="0" t="s">
        <v>25046</v>
      </c>
      <c r="E18978" s="0" t="inlineStr">
        <is>
          <t xml:space="preserve">Mazda</t>
        </is>
      </c>
      <c r="F18978" s="0" t="inlineStr">
        <is>
          <t xml:space="preserve">Mazda</t>
        </is>
      </c>
      <c r="G18978" s="0" t="s">
        <v>171</v>
      </c>
      <c r="H18978" s="5">
        <v>30.723900</v>
      </c>
    </row>
    <row r="18979" spans="1:9">
      <c r="A18979" s="22" t="str">
        <f>HYPERLINK("https://app.vivvix.com/360/KMI/IntelliDrive/ApplUI/Pages/CreativePages/CustomReportCreativeDetail.aspx?App=23&amp;ReportView=4&amp;Qid=1711279&amp;Row=18971&amp;Col=1","No Title Assigned - #15278119263")</f>
        <v/>
      </c>
      <c r="B18979" s="0" t="s">
        <v>25046</v>
      </c>
      <c r="E18979" s="0" t="inlineStr">
        <is>
          <t xml:space="preserve">Mazda</t>
        </is>
      </c>
      <c r="F18979" s="0" t="inlineStr">
        <is>
          <t xml:space="preserve">Mazda</t>
        </is>
      </c>
      <c r="G18979" s="0" t="s">
        <v>171</v>
      </c>
      <c r="H18979" s="5">
        <v>85.007400</v>
      </c>
    </row>
    <row r="18980" spans="1:9">
      <c r="A18980" s="22" t="str">
        <f>HYPERLINK("https://app.vivvix.com/360/KMI/IntelliDrive/ApplUI/Pages/CreativePages/CustomReportCreativeDetail.aspx?App=23&amp;ReportView=4&amp;Qid=1711279&amp;Row=18972&amp;Col=1","No Title Assigned - #15278119682")</f>
        <v/>
      </c>
      <c r="B18980" s="0" t="s">
        <v>25047</v>
      </c>
      <c r="E18980" s="0" t="inlineStr">
        <is>
          <t xml:space="preserve">Mazda</t>
        </is>
      </c>
      <c r="F18980" s="0" t="inlineStr">
        <is>
          <t xml:space="preserve">Mazda</t>
        </is>
      </c>
      <c r="G18980" s="0" t="s">
        <v>171</v>
      </c>
      <c r="H18980" s="5">
        <v>85745.441700</v>
      </c>
    </row>
    <row r="18981" spans="1:9">
      <c r="A18981" s="22" t="str">
        <f>HYPERLINK("https://app.vivvix.com/360/KMI/IntelliDrive/ApplUI/Pages/CreativePages/CustomReportCreativeDetail.aspx?App=23&amp;ReportView=4&amp;Qid=1711279&amp;Row=18973&amp;Col=1","No Title Assigned - #15278119682")</f>
        <v/>
      </c>
      <c r="B18981" s="0" t="s">
        <v>25047</v>
      </c>
      <c r="C18981" s="0" t="s">
        <v>25048</v>
      </c>
      <c r="D18981" s="0" t="s">
        <v>25048</v>
      </c>
      <c r="E18981" s="0" t="inlineStr">
        <is>
          <t xml:space="preserve">Mazda</t>
        </is>
      </c>
      <c r="F18981" s="0" t="inlineStr">
        <is>
          <t xml:space="preserve">Mazda</t>
        </is>
      </c>
      <c r="G18981" s="0" t="s">
        <v>171</v>
      </c>
      <c r="H18981" s="5">
        <v>2439.875100</v>
      </c>
    </row>
    <row r="18982" spans="1:9">
      <c r="A18982" s="22" t="str">
        <f>HYPERLINK("https://app.vivvix.com/360/KMI/IntelliDrive/ApplUI/Pages/CreativePages/CustomReportCreativeDetail.aspx?App=23&amp;ReportView=4&amp;Qid=1711279&amp;Row=18974&amp;Col=1","No Title Assigned - #15278120396")</f>
        <v/>
      </c>
      <c r="B18982" s="0" t="s">
        <v>25049</v>
      </c>
      <c r="E18982" s="0" t="inlineStr">
        <is>
          <t xml:space="preserve">Mazda</t>
        </is>
      </c>
      <c r="F18982" s="0" t="inlineStr">
        <is>
          <t xml:space="preserve">Mazda</t>
        </is>
      </c>
      <c r="G18982" s="0" t="s">
        <v>171</v>
      </c>
      <c r="H18982" s="5">
        <v>978.664300</v>
      </c>
    </row>
    <row r="18983" spans="1:9">
      <c r="A18983" s="22" t="str">
        <f>HYPERLINK("https://app.vivvix.com/360/KMI/IntelliDrive/ApplUI/Pages/CreativePages/CustomReportCreativeDetail.aspx?App=23&amp;ReportView=4&amp;Qid=1711279&amp;Row=18975&amp;Col=1","No Title Assigned - #15278120423")</f>
        <v/>
      </c>
      <c r="B18983" s="0" t="s">
        <v>25050</v>
      </c>
      <c r="E18983" s="0" t="inlineStr">
        <is>
          <t xml:space="preserve">Mazda</t>
        </is>
      </c>
      <c r="F18983" s="0" t="inlineStr">
        <is>
          <t xml:space="preserve">Mazda</t>
        </is>
      </c>
      <c r="G18983" s="0" t="s">
        <v>171</v>
      </c>
      <c r="H18983" s="5">
        <v>221.927900</v>
      </c>
    </row>
    <row r="18984" spans="1:9">
      <c r="A18984" s="22" t="str">
        <f>HYPERLINK("https://app.vivvix.com/360/KMI/IntelliDrive/ApplUI/Pages/CreativePages/CustomReportCreativeDetail.aspx?App=23&amp;ReportView=4&amp;Qid=1711279&amp;Row=18976&amp;Col=1","No Title Assigned - #15278120423")</f>
        <v/>
      </c>
      <c r="B18984" s="0" t="s">
        <v>25050</v>
      </c>
      <c r="E18984" s="0" t="inlineStr">
        <is>
          <t xml:space="preserve">Mazda</t>
        </is>
      </c>
      <c r="F18984" s="0" t="inlineStr">
        <is>
          <t xml:space="preserve">Mazda</t>
        </is>
      </c>
      <c r="G18984" s="0" t="s">
        <v>171</v>
      </c>
      <c r="H18984" s="5">
        <v>888.773000</v>
      </c>
    </row>
    <row r="18985" spans="1:9">
      <c r="A18985" s="22" t="str">
        <f>HYPERLINK("https://app.vivvix.com/360/KMI/IntelliDrive/ApplUI/Pages/CreativePages/CustomReportCreativeDetail.aspx?App=23&amp;ReportView=4&amp;Qid=1711279&amp;Row=18977&amp;Col=1","No Title Assigned - #15278120843")</f>
        <v/>
      </c>
      <c r="B18985" s="0" t="s">
        <v>25051</v>
      </c>
      <c r="E18985" s="0" t="inlineStr">
        <is>
          <t xml:space="preserve">Mazda</t>
        </is>
      </c>
      <c r="F18985" s="0" t="inlineStr">
        <is>
          <t xml:space="preserve">Mazda</t>
        </is>
      </c>
      <c r="G18985" s="0" t="s">
        <v>171</v>
      </c>
      <c r="H18985" s="5">
        <v>736.996700</v>
      </c>
    </row>
    <row r="18986" spans="1:9">
      <c r="A18986" s="22" t="str">
        <f>HYPERLINK("https://app.vivvix.com/360/KMI/IntelliDrive/ApplUI/Pages/CreativePages/CustomReportCreativeDetail.aspx?App=23&amp;ReportView=4&amp;Qid=1711279&amp;Row=18978&amp;Col=1","No Title Assigned - #15278120896")</f>
        <v/>
      </c>
      <c r="B18986" s="0" t="s">
        <v>25052</v>
      </c>
      <c r="E18986" s="0" t="inlineStr">
        <is>
          <t xml:space="preserve">Mazda</t>
        </is>
      </c>
      <c r="F18986" s="0" t="inlineStr">
        <is>
          <t xml:space="preserve">Mazda</t>
        </is>
      </c>
      <c r="G18986" s="0" t="s">
        <v>171</v>
      </c>
      <c r="H18986" s="5">
        <v>207.698400</v>
      </c>
    </row>
    <row r="18987" spans="1:9">
      <c r="A18987" s="22" t="str">
        <f>HYPERLINK("https://app.vivvix.com/360/KMI/IntelliDrive/ApplUI/Pages/CreativePages/CustomReportCreativeDetail.aspx?App=23&amp;ReportView=4&amp;Qid=1711279&amp;Row=18979&amp;Col=1","No Title Assigned - #15278121213")</f>
        <v/>
      </c>
      <c r="B18987" s="0" t="s">
        <v>25053</v>
      </c>
      <c r="E18987" s="0" t="inlineStr">
        <is>
          <t xml:space="preserve">Mazda</t>
        </is>
      </c>
      <c r="F18987" s="0" t="inlineStr">
        <is>
          <t xml:space="preserve">Mazda</t>
        </is>
      </c>
      <c r="G18987" s="0" t="s">
        <v>171</v>
      </c>
      <c r="H18987" s="5">
        <v>69.479300</v>
      </c>
    </row>
    <row r="18988" spans="1:9">
      <c r="A18988" s="22" t="str">
        <f>HYPERLINK("https://app.vivvix.com/360/KMI/IntelliDrive/ApplUI/Pages/CreativePages/CustomReportCreativeDetail.aspx?App=23&amp;ReportView=4&amp;Qid=1711279&amp;Row=18980&amp;Col=1","No Title Assigned - #15278121271")</f>
        <v/>
      </c>
      <c r="B18988" s="0" t="s">
        <v>25054</v>
      </c>
      <c r="E18988" s="0" t="inlineStr">
        <is>
          <t xml:space="preserve">Mazda</t>
        </is>
      </c>
      <c r="F18988" s="0" t="inlineStr">
        <is>
          <t xml:space="preserve">Mazda</t>
        </is>
      </c>
      <c r="G18988" s="0" t="s">
        <v>171</v>
      </c>
      <c r="H18988" s="5">
        <v>89.576100</v>
      </c>
    </row>
    <row r="18989" spans="1:9">
      <c r="A18989" s="22" t="str">
        <f>HYPERLINK("https://app.vivvix.com/360/KMI/IntelliDrive/ApplUI/Pages/CreativePages/CustomReportCreativeDetail.aspx?App=23&amp;ReportView=4&amp;Qid=1711279&amp;Row=18981&amp;Col=1","No Title Assigned - #15278121279")</f>
        <v/>
      </c>
      <c r="B18989" s="0" t="s">
        <v>25055</v>
      </c>
      <c r="E18989" s="0" t="inlineStr">
        <is>
          <t xml:space="preserve">Mazda</t>
        </is>
      </c>
      <c r="F18989" s="0" t="inlineStr">
        <is>
          <t xml:space="preserve">Mazda</t>
        </is>
      </c>
      <c r="G18989" s="0" t="s">
        <v>171</v>
      </c>
      <c r="H18989" s="5">
        <v>43.456100</v>
      </c>
    </row>
    <row r="18990" spans="1:9">
      <c r="A18990" s="22" t="str">
        <f>HYPERLINK("https://app.vivvix.com/360/KMI/IntelliDrive/ApplUI/Pages/CreativePages/CustomReportCreativeDetail.aspx?App=23&amp;ReportView=4&amp;Qid=1711279&amp;Row=18982&amp;Col=1","No Title Assigned - #15278121288")</f>
        <v/>
      </c>
      <c r="B18990" s="0" t="s">
        <v>25056</v>
      </c>
      <c r="E18990" s="0" t="inlineStr">
        <is>
          <t xml:space="preserve">Mazda</t>
        </is>
      </c>
      <c r="F18990" s="0" t="inlineStr">
        <is>
          <t xml:space="preserve">Mazda</t>
        </is>
      </c>
      <c r="G18990" s="0" t="s">
        <v>171</v>
      </c>
      <c r="H18990" s="5">
        <v>59.717400</v>
      </c>
    </row>
    <row r="18991" spans="1:9">
      <c r="A18991" s="22" t="str">
        <f>HYPERLINK("https://app.vivvix.com/360/KMI/IntelliDrive/ApplUI/Pages/CreativePages/CustomReportCreativeDetail.aspx?App=23&amp;ReportView=4&amp;Qid=1711279&amp;Row=18983&amp;Col=1","No Title Assigned - #15278121351")</f>
        <v/>
      </c>
      <c r="B18991" s="0" t="s">
        <v>25057</v>
      </c>
      <c r="E18991" s="0" t="inlineStr">
        <is>
          <t xml:space="preserve">Mazda</t>
        </is>
      </c>
      <c r="F18991" s="0" t="inlineStr">
        <is>
          <t xml:space="preserve">Mazda</t>
        </is>
      </c>
      <c r="G18991" s="0" t="s">
        <v>171</v>
      </c>
      <c r="H18991" s="5">
        <v>29.858700</v>
      </c>
    </row>
    <row r="18992" spans="1:9">
      <c r="A18992" s="22" t="str">
        <f>HYPERLINK("https://app.vivvix.com/360/KMI/IntelliDrive/ApplUI/Pages/CreativePages/CustomReportCreativeDetail.aspx?App=23&amp;ReportView=4&amp;Qid=1711279&amp;Row=18984&amp;Col=1","No Title Assigned - #15278121749")</f>
        <v/>
      </c>
      <c r="B18992" s="0" t="s">
        <v>25058</v>
      </c>
      <c r="C18992" s="0" t="s">
        <v>25059</v>
      </c>
      <c r="D18992" s="0" t="s">
        <v>4200</v>
      </c>
      <c r="E18992" s="0" t="inlineStr">
        <is>
          <t xml:space="preserve">Mazda</t>
        </is>
      </c>
      <c r="F18992" s="0" t="s">
        <v>28</v>
      </c>
      <c r="G18992" s="0" t="s">
        <v>29</v>
      </c>
      <c r="H18992" s="5">
        <v>429.472300</v>
      </c>
    </row>
    <row r="18993" spans="1:9">
      <c r="A18993" s="22" t="str">
        <f>HYPERLINK("https://app.vivvix.com/360/KMI/IntelliDrive/ApplUI/Pages/CreativePages/CustomReportCreativeDetail.aspx?App=23&amp;ReportView=4&amp;Qid=1711279&amp;Row=18985&amp;Col=1","No Title Assigned - #15278122493")</f>
        <v/>
      </c>
      <c r="B18993" s="0" t="s">
        <v>25060</v>
      </c>
      <c r="C18993" s="0" t="s">
        <v>25061</v>
      </c>
      <c r="D18993" s="0" t="s">
        <v>24212</v>
      </c>
      <c r="E18993" s="0" t="inlineStr">
        <is>
          <t xml:space="preserve">Mazda</t>
        </is>
      </c>
      <c r="F18993" s="0" t="s">
        <v>13</v>
      </c>
      <c r="G18993" s="0" t="s">
        <v>49</v>
      </c>
      <c r="H18993" s="5">
        <v>44.089500</v>
      </c>
    </row>
    <row r="18994" spans="1:9">
      <c r="A18994" s="22" t="str">
        <f>HYPERLINK("https://app.vivvix.com/360/KMI/IntelliDrive/ApplUI/Pages/CreativePages/CustomReportCreativeDetail.aspx?App=23&amp;ReportView=4&amp;Qid=1711279&amp;Row=18986&amp;Col=1","No Title Assigned - #15278122607")</f>
        <v/>
      </c>
      <c r="B18994" s="0" t="s">
        <v>25062</v>
      </c>
      <c r="C18994" s="0" t="s">
        <v>25063</v>
      </c>
      <c r="D18994" s="0" t="s">
        <v>25063</v>
      </c>
      <c r="E18994" s="0" t="inlineStr">
        <is>
          <t xml:space="preserve">Mazda</t>
        </is>
      </c>
      <c r="F18994" s="0" t="s">
        <v>28</v>
      </c>
      <c r="G18994" s="0" t="s">
        <v>29</v>
      </c>
      <c r="H18994" s="5">
        <v>29.823100</v>
      </c>
    </row>
    <row r="18995" spans="1:9">
      <c r="A18995" s="22" t="str">
        <f>HYPERLINK("https://app.vivvix.com/360/KMI/IntelliDrive/ApplUI/Pages/CreativePages/CustomReportCreativeDetail.aspx?App=23&amp;ReportView=4&amp;Qid=1711279&amp;Row=18987&amp;Col=1","No Title Assigned - #15278122661")</f>
        <v/>
      </c>
      <c r="B18995" s="0" t="s">
        <v>25064</v>
      </c>
      <c r="C18995" s="0" t="s">
        <v>25065</v>
      </c>
      <c r="D18995" s="0" t="s">
        <v>12567</v>
      </c>
      <c r="E18995" s="0" t="inlineStr">
        <is>
          <t xml:space="preserve">Mazda</t>
        </is>
      </c>
      <c r="F18995" s="0" t="s">
        <v>28</v>
      </c>
      <c r="G18995" s="0" t="s">
        <v>29</v>
      </c>
      <c r="H18995" s="5">
        <v>481.034200</v>
      </c>
    </row>
    <row r="18996" spans="1:9">
      <c r="A18996" s="22" t="str">
        <f>HYPERLINK("https://app.vivvix.com/360/KMI/IntelliDrive/ApplUI/Pages/CreativePages/CustomReportCreativeDetail.aspx?App=23&amp;ReportView=4&amp;Qid=1711279&amp;Row=18988&amp;Col=1","No Title Assigned - #15278122772")</f>
        <v/>
      </c>
      <c r="B18996" s="0" t="s">
        <v>25066</v>
      </c>
      <c r="C18996" s="0" t="s">
        <v>25067</v>
      </c>
      <c r="D18996" s="0" t="s">
        <v>25067</v>
      </c>
      <c r="E18996" s="0" t="inlineStr">
        <is>
          <t xml:space="preserve">Mazda</t>
        </is>
      </c>
      <c r="F18996" s="0" t="s">
        <v>28</v>
      </c>
      <c r="G18996" s="0" t="s">
        <v>29</v>
      </c>
      <c r="H18996" s="5">
        <v>3881.840600</v>
      </c>
    </row>
    <row r="18997" spans="1:9">
      <c r="A18997" s="22" t="str">
        <f>HYPERLINK("https://app.vivvix.com/360/KMI/IntelliDrive/ApplUI/Pages/CreativePages/CustomReportCreativeDetail.aspx?App=23&amp;ReportView=4&amp;Qid=1711279&amp;Row=18989&amp;Col=1","No Title Assigned - #15278122827")</f>
        <v/>
      </c>
      <c r="B18997" s="0" t="s">
        <v>25068</v>
      </c>
      <c r="C18997" s="0" t="s">
        <v>25069</v>
      </c>
      <c r="D18997" s="0" t="s">
        <v>25069</v>
      </c>
      <c r="E18997" s="0" t="inlineStr">
        <is>
          <t xml:space="preserve">Mazda</t>
        </is>
      </c>
      <c r="F18997" s="0" t="s">
        <v>28</v>
      </c>
      <c r="G18997" s="0" t="s">
        <v>29</v>
      </c>
      <c r="H18997" s="5">
        <v>426.258200</v>
      </c>
    </row>
    <row r="18998" spans="1:9">
      <c r="A18998" s="22" t="str">
        <f>HYPERLINK("https://app.vivvix.com/360/KMI/IntelliDrive/ApplUI/Pages/CreativePages/CustomReportCreativeDetail.aspx?App=23&amp;ReportView=4&amp;Qid=1711279&amp;Row=18990&amp;Col=1","No Title Assigned - #15278123953")</f>
        <v/>
      </c>
      <c r="B18998" s="0" t="s">
        <v>25070</v>
      </c>
      <c r="C18998" s="0" t="s">
        <v>25071</v>
      </c>
      <c r="D18998" s="0" t="s">
        <v>25071</v>
      </c>
      <c r="E18998" s="0" t="inlineStr">
        <is>
          <t xml:space="preserve">Mazda</t>
        </is>
      </c>
      <c r="F18998" s="0" t="s">
        <v>13</v>
      </c>
      <c r="G18998" s="0" t="s">
        <v>49</v>
      </c>
      <c r="H18998" s="5">
        <v>523.513800</v>
      </c>
    </row>
    <row r="18999" spans="1:9">
      <c r="A18999" s="22" t="str">
        <f>HYPERLINK("https://app.vivvix.com/360/KMI/IntelliDrive/ApplUI/Pages/CreativePages/CustomReportCreativeDetail.aspx?App=23&amp;ReportView=4&amp;Qid=1711279&amp;Row=18991&amp;Col=1","No Title Assigned - #15278124654")</f>
        <v/>
      </c>
      <c r="B18999" s="0" t="s">
        <v>25072</v>
      </c>
      <c r="C18999" s="0" t="s">
        <v>25073</v>
      </c>
      <c r="D18999" s="0" t="s">
        <v>9364</v>
      </c>
      <c r="E18999" s="0" t="inlineStr">
        <is>
          <t xml:space="preserve">Mazda</t>
        </is>
      </c>
      <c r="F18999" s="0" t="s">
        <v>13</v>
      </c>
      <c r="G18999" s="0" t="s">
        <v>49</v>
      </c>
      <c r="H18999" s="5">
        <v>10.710300</v>
      </c>
    </row>
    <row r="19000" spans="1:9">
      <c r="A19000" s="22" t="str">
        <f>HYPERLINK("https://app.vivvix.com/360/KMI/IntelliDrive/ApplUI/Pages/CreativePages/CustomReportCreativeDetail.aspx?App=23&amp;ReportView=4&amp;Qid=1711279&amp;Row=18992&amp;Col=1","No Title Assigned - #15278124748")</f>
        <v/>
      </c>
      <c r="B19000" s="0" t="s">
        <v>25074</v>
      </c>
      <c r="C19000" s="0" t="s">
        <v>25075</v>
      </c>
      <c r="D19000" s="0" t="s">
        <v>25075</v>
      </c>
      <c r="E19000" s="0" t="inlineStr">
        <is>
          <t xml:space="preserve">Mazda</t>
        </is>
      </c>
      <c r="F19000" s="0" t="s">
        <v>28</v>
      </c>
      <c r="G19000" s="0" t="s">
        <v>29</v>
      </c>
      <c r="H19000" s="5">
        <v>2620.649000</v>
      </c>
    </row>
    <row r="19001" spans="1:9">
      <c r="A19001" s="22" t="str">
        <f>HYPERLINK("https://app.vivvix.com/360/KMI/IntelliDrive/ApplUI/Pages/CreativePages/CustomReportCreativeDetail.aspx?App=23&amp;ReportView=4&amp;Qid=1711279&amp;Row=18993&amp;Col=1","No Title Assigned - #15278124748")</f>
        <v/>
      </c>
      <c r="B19001" s="0" t="s">
        <v>25074</v>
      </c>
      <c r="E19001" s="0" t="inlineStr">
        <is>
          <t xml:space="preserve">Mazda</t>
        </is>
      </c>
      <c r="F19001" s="0" t="s">
        <v>28</v>
      </c>
      <c r="G19001" s="0" t="s">
        <v>29</v>
      </c>
      <c r="H19001" s="5">
        <v>49.007400</v>
      </c>
    </row>
    <row r="19002" spans="1:9">
      <c r="A19002" s="22" t="str">
        <f>HYPERLINK("https://app.vivvix.com/360/KMI/IntelliDrive/ApplUI/Pages/CreativePages/CustomReportCreativeDetail.aspx?App=23&amp;ReportView=4&amp;Qid=1711279&amp;Row=18994&amp;Col=1","No Title Assigned - #15278125690")</f>
        <v/>
      </c>
      <c r="B19002" s="0" t="s">
        <v>25076</v>
      </c>
      <c r="C19002" s="0" t="s">
        <v>25077</v>
      </c>
      <c r="D19002" s="0" t="s">
        <v>4200</v>
      </c>
      <c r="E19002" s="0" t="inlineStr">
        <is>
          <t xml:space="preserve">Mazda</t>
        </is>
      </c>
      <c r="F19002" s="0" t="s">
        <v>28</v>
      </c>
      <c r="G19002" s="0" t="s">
        <v>29</v>
      </c>
      <c r="H19002" s="5">
        <v>436.697900</v>
      </c>
    </row>
    <row r="19003" spans="1:9">
      <c r="A19003" s="22" t="str">
        <f>HYPERLINK("https://app.vivvix.com/360/KMI/IntelliDrive/ApplUI/Pages/CreativePages/CustomReportCreativeDetail.aspx?App=23&amp;ReportView=4&amp;Qid=1711279&amp;Row=18995&amp;Col=1","No Title Assigned - #15278126524")</f>
        <v/>
      </c>
      <c r="B19003" s="0" t="s">
        <v>25078</v>
      </c>
      <c r="C19003" s="0" t="s">
        <v>25079</v>
      </c>
      <c r="D19003" s="0" t="s">
        <v>11708</v>
      </c>
      <c r="E19003" s="0" t="inlineStr">
        <is>
          <t xml:space="preserve">Mazda</t>
        </is>
      </c>
      <c r="F19003" s="0" t="s">
        <v>13</v>
      </c>
      <c r="G19003" s="0" t="s">
        <v>49</v>
      </c>
      <c r="H19003" s="5">
        <v>29.814200</v>
      </c>
    </row>
    <row r="19004" spans="1:9">
      <c r="A19004" s="22" t="str">
        <f>HYPERLINK("https://app.vivvix.com/360/KMI/IntelliDrive/ApplUI/Pages/CreativePages/CustomReportCreativeDetail.aspx?App=23&amp;ReportView=4&amp;Qid=1711279&amp;Row=18996&amp;Col=1","No Title Assigned - #15278127289")</f>
        <v/>
      </c>
      <c r="B19004" s="0" t="s">
        <v>25080</v>
      </c>
      <c r="C19004" s="0" t="s">
        <v>25081</v>
      </c>
      <c r="D19004" s="0" t="s">
        <v>25081</v>
      </c>
      <c r="E19004" s="0" t="inlineStr">
        <is>
          <t xml:space="preserve">Mazda</t>
        </is>
      </c>
      <c r="F19004" s="0" t="s">
        <v>28</v>
      </c>
      <c r="G19004" s="0" t="s">
        <v>29</v>
      </c>
      <c r="H19004" s="5">
        <v>7399.882700</v>
      </c>
    </row>
    <row r="19005" spans="1:9">
      <c r="A19005" s="22" t="str">
        <f>HYPERLINK("https://app.vivvix.com/360/KMI/IntelliDrive/ApplUI/Pages/CreativePages/CustomReportCreativeDetail.aspx?App=23&amp;ReportView=4&amp;Qid=1711279&amp;Row=18997&amp;Col=1","No Title Assigned - #15278129439")</f>
        <v/>
      </c>
      <c r="B19005" s="0" t="s">
        <v>25082</v>
      </c>
      <c r="C19005" s="0" t="s">
        <v>25083</v>
      </c>
      <c r="D19005" s="0" t="s">
        <v>25083</v>
      </c>
      <c r="E19005" s="0" t="inlineStr">
        <is>
          <t xml:space="preserve">Mazda</t>
        </is>
      </c>
      <c r="F19005" s="0" t="inlineStr">
        <is>
          <t xml:space="preserve">Mazda</t>
        </is>
      </c>
      <c r="G19005" s="0" t="s">
        <v>171</v>
      </c>
      <c r="H19005" s="5">
        <v>186.899300</v>
      </c>
    </row>
    <row r="19006" spans="1:9">
      <c r="A19006" s="22" t="str">
        <f>HYPERLINK("https://app.vivvix.com/360/KMI/IntelliDrive/ApplUI/Pages/CreativePages/CustomReportCreativeDetail.aspx?App=23&amp;ReportView=4&amp;Qid=1711279&amp;Row=18998&amp;Col=1","No Title Assigned - #15278129943")</f>
        <v/>
      </c>
      <c r="B19006" s="0" t="s">
        <v>25084</v>
      </c>
      <c r="E19006" s="0" t="inlineStr">
        <is>
          <t xml:space="preserve">Mazda</t>
        </is>
      </c>
      <c r="F19006" s="0" t="inlineStr">
        <is>
          <t xml:space="preserve">Mazda</t>
        </is>
      </c>
      <c r="G19006" s="0" t="s">
        <v>171</v>
      </c>
      <c r="H19006" s="5">
        <v>122.180400</v>
      </c>
    </row>
    <row r="19007" spans="1:9">
      <c r="A19007" s="22" t="str">
        <f>HYPERLINK("https://app.vivvix.com/360/KMI/IntelliDrive/ApplUI/Pages/CreativePages/CustomReportCreativeDetail.aspx?App=23&amp;ReportView=4&amp;Qid=1711279&amp;Row=18999&amp;Col=1","No Title Assigned - #15278130025")</f>
        <v/>
      </c>
      <c r="B19007" s="0" t="s">
        <v>25085</v>
      </c>
      <c r="E19007" s="0" t="inlineStr">
        <is>
          <t xml:space="preserve">Mazda</t>
        </is>
      </c>
      <c r="F19007" s="0" t="inlineStr">
        <is>
          <t xml:space="preserve">Mazda</t>
        </is>
      </c>
      <c r="G19007" s="0" t="s">
        <v>171</v>
      </c>
      <c r="H19007" s="5">
        <v>1772.074300</v>
      </c>
    </row>
    <row r="19008" spans="1:9">
      <c r="A19008" s="22" t="str">
        <f>HYPERLINK("https://app.vivvix.com/360/KMI/IntelliDrive/ApplUI/Pages/CreativePages/CustomReportCreativeDetail.aspx?App=23&amp;ReportView=4&amp;Qid=1711279&amp;Row=19000&amp;Col=1","No Title Assigned - #15278130046")</f>
        <v/>
      </c>
      <c r="B19008" s="0" t="s">
        <v>25086</v>
      </c>
      <c r="E19008" s="0" t="inlineStr">
        <is>
          <t xml:space="preserve">Mazda</t>
        </is>
      </c>
      <c r="F19008" s="0" t="inlineStr">
        <is>
          <t xml:space="preserve">Mazda</t>
        </is>
      </c>
      <c r="G19008" s="0" t="s">
        <v>171</v>
      </c>
      <c r="H19008" s="5">
        <v>3.407800</v>
      </c>
    </row>
    <row r="19009" spans="1:9">
      <c r="A19009" s="22" t="str">
        <f>HYPERLINK("https://app.vivvix.com/360/KMI/IntelliDrive/ApplUI/Pages/CreativePages/CustomReportCreativeDetail.aspx?App=23&amp;ReportView=4&amp;Qid=1711279&amp;Row=19001&amp;Col=1","No Title Assigned - #15278130278")</f>
        <v/>
      </c>
      <c r="B19009" s="0" t="s">
        <v>25087</v>
      </c>
      <c r="E19009" s="0" t="inlineStr">
        <is>
          <t xml:space="preserve">Mazda</t>
        </is>
      </c>
      <c r="F19009" s="0" t="inlineStr">
        <is>
          <t xml:space="preserve">Mazda</t>
        </is>
      </c>
      <c r="G19009" s="0" t="s">
        <v>171</v>
      </c>
      <c r="H19009" s="5">
        <v>20.699000</v>
      </c>
    </row>
    <row r="19010" spans="1:9">
      <c r="A19010" s="22" t="str">
        <f>HYPERLINK("https://app.vivvix.com/360/KMI/IntelliDrive/ApplUI/Pages/CreativePages/CustomReportCreativeDetail.aspx?App=23&amp;ReportView=4&amp;Qid=1711279&amp;Row=19002&amp;Col=1","No Title Assigned - #15278130297")</f>
        <v/>
      </c>
      <c r="B19010" s="0" t="s">
        <v>25088</v>
      </c>
      <c r="C19010" s="0" t="s">
        <v>25089</v>
      </c>
      <c r="D19010" s="0" t="s">
        <v>25089</v>
      </c>
      <c r="E19010" s="0" t="inlineStr">
        <is>
          <t xml:space="preserve">Mazda</t>
        </is>
      </c>
      <c r="F19010" s="0" t="s">
        <v>28</v>
      </c>
      <c r="G19010" s="0" t="s">
        <v>29</v>
      </c>
      <c r="H19010" s="5">
        <v>20.072500</v>
      </c>
    </row>
    <row r="19011" spans="1:9">
      <c r="A19011" s="22" t="str">
        <f>HYPERLINK("https://app.vivvix.com/360/KMI/IntelliDrive/ApplUI/Pages/CreativePages/CustomReportCreativeDetail.aspx?App=23&amp;ReportView=4&amp;Qid=1711279&amp;Row=19003&amp;Col=1","No Title Assigned - #15278130428")</f>
        <v/>
      </c>
      <c r="B19011" s="0" t="s">
        <v>25090</v>
      </c>
      <c r="E19011" s="0" t="inlineStr">
        <is>
          <t xml:space="preserve">Mazda</t>
        </is>
      </c>
      <c r="F19011" s="0" t="inlineStr">
        <is>
          <t xml:space="preserve">Mazda</t>
        </is>
      </c>
      <c r="G19011" s="0" t="s">
        <v>171</v>
      </c>
      <c r="H19011" s="5">
        <v>331.290600</v>
      </c>
    </row>
    <row r="19012" spans="1:9">
      <c r="A19012" s="22" t="str">
        <f>HYPERLINK("https://app.vivvix.com/360/KMI/IntelliDrive/ApplUI/Pages/CreativePages/CustomReportCreativeDetail.aspx?App=23&amp;ReportView=4&amp;Qid=1711279&amp;Row=19004&amp;Col=1","No Title Assigned - #15278130696")</f>
        <v/>
      </c>
      <c r="B19012" s="0" t="s">
        <v>25091</v>
      </c>
      <c r="C19012" s="0" t="s">
        <v>25092</v>
      </c>
      <c r="D19012" s="0" t="s">
        <v>4225</v>
      </c>
      <c r="E19012" s="0" t="inlineStr">
        <is>
          <t xml:space="preserve">Mazda</t>
        </is>
      </c>
      <c r="F19012" s="0" t="s">
        <v>28</v>
      </c>
      <c r="G19012" s="0" t="s">
        <v>29</v>
      </c>
      <c r="H19012" s="5">
        <v>199.044900</v>
      </c>
    </row>
    <row r="19013" spans="1:9">
      <c r="A19013" s="22" t="str">
        <f>HYPERLINK("https://app.vivvix.com/360/KMI/IntelliDrive/ApplUI/Pages/CreativePages/CustomReportCreativeDetail.aspx?App=23&amp;ReportView=4&amp;Qid=1711279&amp;Row=19005&amp;Col=1","No Title Assigned - #15278131080")</f>
        <v/>
      </c>
      <c r="B19013" s="0" t="s">
        <v>25093</v>
      </c>
      <c r="E19013" s="0" t="inlineStr">
        <is>
          <t xml:space="preserve">Mazda</t>
        </is>
      </c>
      <c r="F19013" s="0" t="inlineStr">
        <is>
          <t xml:space="preserve">Mazda</t>
        </is>
      </c>
      <c r="G19013" s="0" t="s">
        <v>171</v>
      </c>
      <c r="H19013" s="5">
        <v>653.620000</v>
      </c>
    </row>
    <row r="19014" spans="1:9">
      <c r="A19014" s="22" t="str">
        <f>HYPERLINK("https://app.vivvix.com/360/KMI/IntelliDrive/ApplUI/Pages/CreativePages/CustomReportCreativeDetail.aspx?App=23&amp;ReportView=4&amp;Qid=1711279&amp;Row=19006&amp;Col=1","No Title Assigned - #15278131093")</f>
        <v/>
      </c>
      <c r="B19014" s="0" t="s">
        <v>25094</v>
      </c>
      <c r="E19014" s="0" t="inlineStr">
        <is>
          <t xml:space="preserve">Mazda</t>
        </is>
      </c>
      <c r="F19014" s="0" t="inlineStr">
        <is>
          <t xml:space="preserve">Mazda</t>
        </is>
      </c>
      <c r="G19014" s="0" t="s">
        <v>171</v>
      </c>
      <c r="H19014" s="5">
        <v>806.686000</v>
      </c>
    </row>
    <row r="19015" spans="1:9">
      <c r="A19015" s="22" t="str">
        <f>HYPERLINK("https://app.vivvix.com/360/KMI/IntelliDrive/ApplUI/Pages/CreativePages/CustomReportCreativeDetail.aspx?App=23&amp;ReportView=4&amp;Qid=1711279&amp;Row=19007&amp;Col=1","No Title Assigned - #15278131100")</f>
        <v/>
      </c>
      <c r="B19015" s="0" t="s">
        <v>25095</v>
      </c>
      <c r="E19015" s="0" t="inlineStr">
        <is>
          <t xml:space="preserve">Mazda</t>
        </is>
      </c>
      <c r="F19015" s="0" t="inlineStr">
        <is>
          <t xml:space="preserve">Mazda</t>
        </is>
      </c>
      <c r="G19015" s="0" t="s">
        <v>171</v>
      </c>
      <c r="H19015" s="5">
        <v>573.715800</v>
      </c>
    </row>
    <row r="19016" spans="1:9">
      <c r="A19016" s="22" t="str">
        <f>HYPERLINK("https://app.vivvix.com/360/KMI/IntelliDrive/ApplUI/Pages/CreativePages/CustomReportCreativeDetail.aspx?App=23&amp;ReportView=4&amp;Qid=1711279&amp;Row=19008&amp;Col=1","No Title Assigned - #15278131222")</f>
        <v/>
      </c>
      <c r="B19016" s="0" t="s">
        <v>25096</v>
      </c>
      <c r="E19016" s="0" t="inlineStr">
        <is>
          <t xml:space="preserve">Mazda</t>
        </is>
      </c>
      <c r="F19016" s="0" t="inlineStr">
        <is>
          <t xml:space="preserve">Mazda</t>
        </is>
      </c>
      <c r="G19016" s="0" t="s">
        <v>171</v>
      </c>
      <c r="H19016" s="5">
        <v>40.726800</v>
      </c>
    </row>
    <row r="19017" spans="1:9">
      <c r="A19017" s="22" t="str">
        <f>HYPERLINK("https://app.vivvix.com/360/KMI/IntelliDrive/ApplUI/Pages/CreativePages/CustomReportCreativeDetail.aspx?App=23&amp;ReportView=4&amp;Qid=1711279&amp;Row=19009&amp;Col=1","No Title Assigned - #15278131732")</f>
        <v/>
      </c>
      <c r="B19017" s="0" t="s">
        <v>25097</v>
      </c>
      <c r="E19017" s="0" t="inlineStr">
        <is>
          <t xml:space="preserve">Mazda</t>
        </is>
      </c>
      <c r="F19017" s="0" t="inlineStr">
        <is>
          <t xml:space="preserve">Mazda</t>
        </is>
      </c>
      <c r="G19017" s="0" t="s">
        <v>171</v>
      </c>
      <c r="H19017" s="5">
        <v>616.326200</v>
      </c>
    </row>
    <row r="19018" spans="1:9">
      <c r="A19018" s="22" t="str">
        <f>HYPERLINK("https://app.vivvix.com/360/KMI/IntelliDrive/ApplUI/Pages/CreativePages/CustomReportCreativeDetail.aspx?App=23&amp;ReportView=4&amp;Qid=1711279&amp;Row=19010&amp;Col=1","No Title Assigned - #15278131899")</f>
        <v/>
      </c>
      <c r="B19018" s="0" t="s">
        <v>25098</v>
      </c>
      <c r="E19018" s="0" t="inlineStr">
        <is>
          <t xml:space="preserve">Mazda</t>
        </is>
      </c>
      <c r="F19018" s="0" t="inlineStr">
        <is>
          <t xml:space="preserve">Mazda</t>
        </is>
      </c>
      <c r="G19018" s="0" t="s">
        <v>171</v>
      </c>
      <c r="H19018" s="5">
        <v>900.616300</v>
      </c>
    </row>
    <row r="19019" spans="1:9">
      <c r="A19019" s="22" t="str">
        <f>HYPERLINK("https://app.vivvix.com/360/KMI/IntelliDrive/ApplUI/Pages/CreativePages/CustomReportCreativeDetail.aspx?App=23&amp;ReportView=4&amp;Qid=1711279&amp;Row=19011&amp;Col=1","No Title Assigned - #15278132818")</f>
        <v/>
      </c>
      <c r="B19019" s="0" t="s">
        <v>25099</v>
      </c>
      <c r="E19019" s="0" t="inlineStr">
        <is>
          <t xml:space="preserve">Mazda</t>
        </is>
      </c>
      <c r="F19019" s="0" t="inlineStr">
        <is>
          <t xml:space="preserve">Mazda</t>
        </is>
      </c>
      <c r="G19019" s="0" t="s">
        <v>171</v>
      </c>
      <c r="H19019" s="5">
        <v>636.249500</v>
      </c>
    </row>
    <row r="19020" spans="1:9">
      <c r="A19020" s="22" t="str">
        <f>HYPERLINK("https://app.vivvix.com/360/KMI/IntelliDrive/ApplUI/Pages/CreativePages/CustomReportCreativeDetail.aspx?App=23&amp;ReportView=4&amp;Qid=1711279&amp;Row=19012&amp;Col=1","No Title Assigned - #15278133774")</f>
        <v/>
      </c>
      <c r="B19020" s="0" t="s">
        <v>25100</v>
      </c>
      <c r="E19020" s="0" t="inlineStr">
        <is>
          <t xml:space="preserve">Mazda</t>
        </is>
      </c>
      <c r="F19020" s="0" t="inlineStr">
        <is>
          <t xml:space="preserve">Mazda</t>
        </is>
      </c>
      <c r="G19020" s="0" t="s">
        <v>171</v>
      </c>
      <c r="H19020" s="5">
        <v>59.717400</v>
      </c>
    </row>
    <row r="19021" spans="1:9">
      <c r="A19021" s="22" t="str">
        <f>HYPERLINK("https://app.vivvix.com/360/KMI/IntelliDrive/ApplUI/Pages/CreativePages/CustomReportCreativeDetail.aspx?App=23&amp;ReportView=4&amp;Qid=1711279&amp;Row=19013&amp;Col=1","No Title Assigned - #15278134291")</f>
        <v/>
      </c>
      <c r="B19021" s="0" t="s">
        <v>25101</v>
      </c>
      <c r="E19021" s="0" t="inlineStr">
        <is>
          <t xml:space="preserve">Mazda</t>
        </is>
      </c>
      <c r="F19021" s="0" t="inlineStr">
        <is>
          <t xml:space="preserve">Mazda</t>
        </is>
      </c>
      <c r="G19021" s="0" t="s">
        <v>171</v>
      </c>
      <c r="H19021" s="5">
        <v>61388.122100</v>
      </c>
    </row>
    <row r="19022" spans="1:9">
      <c r="A19022" s="22" t="str">
        <f>HYPERLINK("https://app.vivvix.com/360/KMI/IntelliDrive/ApplUI/Pages/CreativePages/CustomReportCreativeDetail.aspx?App=23&amp;ReportView=4&amp;Qid=1711279&amp;Row=19014&amp;Col=1","No Title Assigned - #15278134614")</f>
        <v/>
      </c>
      <c r="B19022" s="0" t="s">
        <v>25102</v>
      </c>
      <c r="E19022" s="0" t="inlineStr">
        <is>
          <t xml:space="preserve">Mazda</t>
        </is>
      </c>
      <c r="F19022" s="0" t="inlineStr">
        <is>
          <t xml:space="preserve">Mazda</t>
        </is>
      </c>
      <c r="G19022" s="0" t="s">
        <v>171</v>
      </c>
      <c r="H19022" s="5">
        <v>42617.522700</v>
      </c>
    </row>
    <row r="19023" spans="1:9">
      <c r="A19023" s="22" t="str">
        <f>HYPERLINK("https://app.vivvix.com/360/KMI/IntelliDrive/ApplUI/Pages/CreativePages/CustomReportCreativeDetail.aspx?App=23&amp;ReportView=4&amp;Qid=1711279&amp;Row=19015&amp;Col=1","No Title Assigned - #15278134614")</f>
        <v/>
      </c>
      <c r="B19023" s="0" t="s">
        <v>25102</v>
      </c>
      <c r="E19023" s="0" t="inlineStr">
        <is>
          <t xml:space="preserve">Mazda</t>
        </is>
      </c>
      <c r="F19023" s="0" t="inlineStr">
        <is>
          <t xml:space="preserve">Mazda</t>
        </is>
      </c>
      <c r="G19023" s="0" t="s">
        <v>171</v>
      </c>
      <c r="H19023" s="5">
        <v>296665.944500</v>
      </c>
    </row>
    <row r="19024" spans="1:9">
      <c r="A19024" s="22" t="str">
        <f>HYPERLINK("https://app.vivvix.com/360/KMI/IntelliDrive/ApplUI/Pages/CreativePages/CustomReportCreativeDetail.aspx?App=23&amp;ReportView=4&amp;Qid=1711279&amp;Row=19016&amp;Col=1","No Title Assigned - #15278134714")</f>
        <v/>
      </c>
      <c r="B19024" s="0" t="s">
        <v>25103</v>
      </c>
      <c r="C19024" s="0" t="s">
        <v>25104</v>
      </c>
      <c r="D19024" s="0" t="s">
        <v>25104</v>
      </c>
      <c r="E19024" s="0" t="inlineStr">
        <is>
          <t xml:space="preserve">Mazda</t>
        </is>
      </c>
      <c r="F19024" s="0" t="inlineStr">
        <is>
          <t xml:space="preserve">Mazda</t>
        </is>
      </c>
      <c r="G19024" s="0" t="s">
        <v>171</v>
      </c>
      <c r="H19024" s="5">
        <v>5098.772300</v>
      </c>
    </row>
    <row r="19025" spans="1:9">
      <c r="A19025" s="22" t="str">
        <f>HYPERLINK("https://app.vivvix.com/360/KMI/IntelliDrive/ApplUI/Pages/CreativePages/CustomReportCreativeDetail.aspx?App=23&amp;ReportView=4&amp;Qid=1711279&amp;Row=19017&amp;Col=1","No Title Assigned - #15278134717")</f>
        <v/>
      </c>
      <c r="B19025" s="0" t="s">
        <v>25105</v>
      </c>
      <c r="C19025" s="0" t="s">
        <v>25106</v>
      </c>
      <c r="D19025" s="0" t="s">
        <v>25106</v>
      </c>
      <c r="E19025" s="0" t="inlineStr">
        <is>
          <t xml:space="preserve">Mazda</t>
        </is>
      </c>
      <c r="F19025" s="0" t="inlineStr">
        <is>
          <t xml:space="preserve">Mazda</t>
        </is>
      </c>
      <c r="G19025" s="0" t="s">
        <v>171</v>
      </c>
      <c r="H19025" s="5">
        <v>1201.134400</v>
      </c>
    </row>
    <row r="19026" spans="1:9">
      <c r="A19026" s="22" t="str">
        <f>HYPERLINK("https://app.vivvix.com/360/KMI/IntelliDrive/ApplUI/Pages/CreativePages/CustomReportCreativeDetail.aspx?App=23&amp;ReportView=4&amp;Qid=1711279&amp;Row=19018&amp;Col=1","No Title Assigned - #15278134834")</f>
        <v/>
      </c>
      <c r="B19026" s="0" t="s">
        <v>25107</v>
      </c>
      <c r="E19026" s="0" t="inlineStr">
        <is>
          <t xml:space="preserve">Mazda</t>
        </is>
      </c>
      <c r="F19026" s="0" t="inlineStr">
        <is>
          <t xml:space="preserve">Mazda</t>
        </is>
      </c>
      <c r="G19026" s="0" t="s">
        <v>171</v>
      </c>
      <c r="H19026" s="5">
        <v>1074.282300</v>
      </c>
    </row>
    <row r="19027" spans="1:9">
      <c r="A19027" s="22" t="str">
        <f>HYPERLINK("https://app.vivvix.com/360/KMI/IntelliDrive/ApplUI/Pages/CreativePages/CustomReportCreativeDetail.aspx?App=23&amp;ReportView=4&amp;Qid=1711279&amp;Row=19019&amp;Col=1","No Title Assigned - #15278135168")</f>
        <v/>
      </c>
      <c r="B19027" s="0" t="s">
        <v>25108</v>
      </c>
      <c r="C19027" s="0" t="s">
        <v>25109</v>
      </c>
      <c r="D19027" s="0" t="s">
        <v>25109</v>
      </c>
      <c r="E19027" s="0" t="inlineStr">
        <is>
          <t xml:space="preserve">Mazda</t>
        </is>
      </c>
      <c r="F19027" s="0" t="inlineStr">
        <is>
          <t xml:space="preserve">Mazda</t>
        </is>
      </c>
      <c r="G19027" s="0" t="s">
        <v>171</v>
      </c>
      <c r="H19027" s="5">
        <v>1928.884200</v>
      </c>
    </row>
    <row r="19028" spans="1:9">
      <c r="A19028" s="22" t="str">
        <f>HYPERLINK("https://app.vivvix.com/360/KMI/IntelliDrive/ApplUI/Pages/CreativePages/CustomReportCreativeDetail.aspx?App=23&amp;ReportView=4&amp;Qid=1711279&amp;Row=19020&amp;Col=1","No Title Assigned - #15278135168")</f>
        <v/>
      </c>
      <c r="B19028" s="0" t="s">
        <v>25108</v>
      </c>
      <c r="E19028" s="0" t="inlineStr">
        <is>
          <t xml:space="preserve">Mazda</t>
        </is>
      </c>
      <c r="F19028" s="0" t="inlineStr">
        <is>
          <t xml:space="preserve">Mazda</t>
        </is>
      </c>
      <c r="G19028" s="0" t="s">
        <v>171</v>
      </c>
      <c r="H19028" s="5">
        <v>470.985400</v>
      </c>
    </row>
    <row r="19029" spans="1:9">
      <c r="A19029" s="22" t="str">
        <f>HYPERLINK("https://app.vivvix.com/360/KMI/IntelliDrive/ApplUI/Pages/CreativePages/CustomReportCreativeDetail.aspx?App=23&amp;ReportView=4&amp;Qid=1711279&amp;Row=19021&amp;Col=1","No Title Assigned - #15278135429")</f>
        <v/>
      </c>
      <c r="B19029" s="0" t="s">
        <v>25110</v>
      </c>
      <c r="E19029" s="0" t="inlineStr">
        <is>
          <t xml:space="preserve">Mazda</t>
        </is>
      </c>
      <c r="F19029" s="0" t="inlineStr">
        <is>
          <t xml:space="preserve">Mazda</t>
        </is>
      </c>
      <c r="G19029" s="0" t="s">
        <v>171</v>
      </c>
      <c r="H19029" s="5">
        <v>3.407800</v>
      </c>
    </row>
    <row r="19030" spans="1:9">
      <c r="A19030" s="22" t="str">
        <f>HYPERLINK("https://app.vivvix.com/360/KMI/IntelliDrive/ApplUI/Pages/CreativePages/CustomReportCreativeDetail.aspx?App=23&amp;ReportView=4&amp;Qid=1711279&amp;Row=19022&amp;Col=1","No Title Assigned - #15278135492")</f>
        <v/>
      </c>
      <c r="B19030" s="0" t="s">
        <v>25111</v>
      </c>
      <c r="E19030" s="0" t="inlineStr">
        <is>
          <t xml:space="preserve">Mazda</t>
        </is>
      </c>
      <c r="F19030" s="0" t="inlineStr">
        <is>
          <t xml:space="preserve">Mazda</t>
        </is>
      </c>
      <c r="G19030" s="0" t="s">
        <v>171</v>
      </c>
      <c r="H19030" s="5">
        <v>5441.549900</v>
      </c>
    </row>
    <row r="19031" spans="1:9">
      <c r="A19031" s="22" t="str">
        <f>HYPERLINK("https://app.vivvix.com/360/KMI/IntelliDrive/ApplUI/Pages/CreativePages/CustomReportCreativeDetail.aspx?App=23&amp;ReportView=4&amp;Qid=1711279&amp;Row=19023&amp;Col=1","No Title Assigned - #15278135492")</f>
        <v/>
      </c>
      <c r="B19031" s="0" t="s">
        <v>25111</v>
      </c>
      <c r="E19031" s="0" t="inlineStr">
        <is>
          <t xml:space="preserve">Mazda</t>
        </is>
      </c>
      <c r="F19031" s="0" t="inlineStr">
        <is>
          <t xml:space="preserve">Mazda</t>
        </is>
      </c>
      <c r="G19031" s="0" t="s">
        <v>171</v>
      </c>
      <c r="H19031" s="5">
        <v>2353.431400</v>
      </c>
    </row>
    <row r="19032" spans="1:9">
      <c r="A19032" s="22" t="str">
        <f>HYPERLINK("https://app.vivvix.com/360/KMI/IntelliDrive/ApplUI/Pages/CreativePages/CustomReportCreativeDetail.aspx?App=23&amp;ReportView=4&amp;Qid=1711279&amp;Row=19024&amp;Col=1","No Title Assigned - #15278135668")</f>
        <v/>
      </c>
      <c r="B19032" s="0" t="s">
        <v>25112</v>
      </c>
      <c r="E19032" s="0" t="inlineStr">
        <is>
          <t xml:space="preserve">Mazda</t>
        </is>
      </c>
      <c r="F19032" s="0" t="inlineStr">
        <is>
          <t xml:space="preserve">Mazda</t>
        </is>
      </c>
      <c r="G19032" s="0" t="s">
        <v>171</v>
      </c>
      <c r="H19032" s="5">
        <v>225.601600</v>
      </c>
    </row>
    <row r="19033" spans="1:9">
      <c r="A19033" s="22" t="str">
        <f>HYPERLINK("https://app.vivvix.com/360/KMI/IntelliDrive/ApplUI/Pages/CreativePages/CustomReportCreativeDetail.aspx?App=23&amp;ReportView=4&amp;Qid=1711279&amp;Row=19025&amp;Col=1","No Title Assigned - #15278135721")</f>
        <v/>
      </c>
      <c r="B19033" s="0" t="s">
        <v>25113</v>
      </c>
      <c r="E19033" s="0" t="inlineStr">
        <is>
          <t xml:space="preserve">Mazda</t>
        </is>
      </c>
      <c r="F19033" s="0" t="inlineStr">
        <is>
          <t xml:space="preserve">Mazda</t>
        </is>
      </c>
      <c r="G19033" s="0" t="s">
        <v>171</v>
      </c>
      <c r="H19033" s="5">
        <v>209.010900</v>
      </c>
    </row>
    <row r="19034" spans="1:9">
      <c r="A19034" s="22" t="str">
        <f>HYPERLINK("https://app.vivvix.com/360/KMI/IntelliDrive/ApplUI/Pages/CreativePages/CustomReportCreativeDetail.aspx?App=23&amp;ReportView=4&amp;Qid=1711279&amp;Row=19026&amp;Col=1","No Title Assigned - #15278135892")</f>
        <v/>
      </c>
      <c r="B19034" s="0" t="s">
        <v>25114</v>
      </c>
      <c r="E19034" s="0" t="inlineStr">
        <is>
          <t xml:space="preserve">Mazda</t>
        </is>
      </c>
      <c r="F19034" s="0" t="inlineStr">
        <is>
          <t xml:space="preserve">Mazda</t>
        </is>
      </c>
      <c r="G19034" s="0" t="s">
        <v>171</v>
      </c>
      <c r="H19034" s="5">
        <v>29.858700</v>
      </c>
    </row>
    <row r="19035" spans="1:9">
      <c r="A19035" s="22" t="str">
        <f>HYPERLINK("https://app.vivvix.com/360/KMI/IntelliDrive/ApplUI/Pages/CreativePages/CustomReportCreativeDetail.aspx?App=23&amp;ReportView=4&amp;Qid=1711279&amp;Row=19027&amp;Col=1","No Title Assigned - #15278135931")</f>
        <v/>
      </c>
      <c r="B19035" s="0" t="s">
        <v>25115</v>
      </c>
      <c r="E19035" s="0" t="inlineStr">
        <is>
          <t xml:space="preserve">Mazda</t>
        </is>
      </c>
      <c r="F19035" s="0" t="inlineStr">
        <is>
          <t xml:space="preserve">Mazda</t>
        </is>
      </c>
      <c r="G19035" s="0" t="s">
        <v>171</v>
      </c>
      <c r="H19035" s="5">
        <v>939.121400</v>
      </c>
    </row>
    <row r="19036" spans="1:9">
      <c r="A19036" s="22" t="str">
        <f>HYPERLINK("https://app.vivvix.com/360/KMI/IntelliDrive/ApplUI/Pages/CreativePages/CustomReportCreativeDetail.aspx?App=23&amp;ReportView=4&amp;Qid=1711279&amp;Row=19028&amp;Col=1","No Title Assigned - #15278135943")</f>
        <v/>
      </c>
      <c r="B19036" s="0" t="s">
        <v>25116</v>
      </c>
      <c r="E19036" s="0" t="inlineStr">
        <is>
          <t xml:space="preserve">Mazda</t>
        </is>
      </c>
      <c r="F19036" s="0" t="inlineStr">
        <is>
          <t xml:space="preserve">Mazda</t>
        </is>
      </c>
      <c r="G19036" s="0" t="s">
        <v>171</v>
      </c>
      <c r="H19036" s="5">
        <v>9041.653600</v>
      </c>
    </row>
    <row r="19037" spans="1:9">
      <c r="A19037" s="22" t="str">
        <f>HYPERLINK("https://app.vivvix.com/360/KMI/IntelliDrive/ApplUI/Pages/CreativePages/CustomReportCreativeDetail.aspx?App=23&amp;ReportView=4&amp;Qid=1711279&amp;Row=19029&amp;Col=1","No Title Assigned - #15278136012")</f>
        <v/>
      </c>
      <c r="B19037" s="0" t="s">
        <v>25117</v>
      </c>
      <c r="E19037" s="0" t="inlineStr">
        <is>
          <t xml:space="preserve">Mazda</t>
        </is>
      </c>
      <c r="F19037" s="0" t="inlineStr">
        <is>
          <t xml:space="preserve">Mazda</t>
        </is>
      </c>
      <c r="G19037" s="0" t="s">
        <v>171</v>
      </c>
      <c r="H19037" s="5">
        <v>17.039000</v>
      </c>
    </row>
    <row r="19038" spans="1:9">
      <c r="A19038" s="22" t="str">
        <f>HYPERLINK("https://app.vivvix.com/360/KMI/IntelliDrive/ApplUI/Pages/CreativePages/CustomReportCreativeDetail.aspx?App=23&amp;ReportView=4&amp;Qid=1711279&amp;Row=19030&amp;Col=1","No Title Assigned - #15278136200")</f>
        <v/>
      </c>
      <c r="B19038" s="0" t="s">
        <v>25118</v>
      </c>
      <c r="C19038" s="0" t="s">
        <v>25119</v>
      </c>
      <c r="D19038" s="0" t="s">
        <v>25119</v>
      </c>
      <c r="E19038" s="0" t="inlineStr">
        <is>
          <t xml:space="preserve">Mazda</t>
        </is>
      </c>
      <c r="F19038" s="0" t="s">
        <v>28</v>
      </c>
      <c r="G19038" s="0" t="s">
        <v>29</v>
      </c>
      <c r="H19038" s="5">
        <v>89.469300</v>
      </c>
    </row>
    <row r="19039" spans="1:9">
      <c r="A19039" s="22" t="str">
        <f>HYPERLINK("https://app.vivvix.com/360/KMI/IntelliDrive/ApplUI/Pages/CreativePages/CustomReportCreativeDetail.aspx?App=23&amp;ReportView=4&amp;Qid=1711279&amp;Row=19031&amp;Col=1","No Title Assigned - #15278136940")</f>
        <v/>
      </c>
      <c r="B19039" s="0" t="s">
        <v>25120</v>
      </c>
      <c r="C19039" s="0" t="s">
        <v>25121</v>
      </c>
      <c r="D19039" s="0" t="s">
        <v>4333</v>
      </c>
      <c r="E19039" s="0" t="inlineStr">
        <is>
          <t xml:space="preserve">Mazda</t>
        </is>
      </c>
      <c r="F19039" s="0" t="s">
        <v>28</v>
      </c>
      <c r="G19039" s="0" t="s">
        <v>29</v>
      </c>
      <c r="H19039" s="5">
        <v>5157.349400</v>
      </c>
    </row>
    <row r="19040" spans="1:9">
      <c r="A19040" s="22" t="str">
        <f>HYPERLINK("https://app.vivvix.com/360/KMI/IntelliDrive/ApplUI/Pages/CreativePages/CustomReportCreativeDetail.aspx?App=23&amp;ReportView=4&amp;Qid=1711279&amp;Row=19032&amp;Col=1","No Title Assigned - #15278136941")</f>
        <v/>
      </c>
      <c r="B19040" s="0" t="s">
        <v>25122</v>
      </c>
      <c r="C19040" s="0" t="s">
        <v>25123</v>
      </c>
      <c r="D19040" s="0" t="s">
        <v>4200</v>
      </c>
      <c r="E19040" s="0" t="inlineStr">
        <is>
          <t xml:space="preserve">Mazda</t>
        </is>
      </c>
      <c r="F19040" s="0" t="s">
        <v>28</v>
      </c>
      <c r="G19040" s="0" t="s">
        <v>29</v>
      </c>
      <c r="H19040" s="5">
        <v>745.508400</v>
      </c>
    </row>
    <row r="19041" spans="1:9">
      <c r="A19041" s="22" t="str">
        <f>HYPERLINK("https://app.vivvix.com/360/KMI/IntelliDrive/ApplUI/Pages/CreativePages/CustomReportCreativeDetail.aspx?App=23&amp;ReportView=4&amp;Qid=1711279&amp;Row=19033&amp;Col=1","No Title Assigned - #15278137204")</f>
        <v/>
      </c>
      <c r="B19041" s="0" t="s">
        <v>25124</v>
      </c>
      <c r="C19041" s="0" t="s">
        <v>25125</v>
      </c>
      <c r="D19041" s="0" t="s">
        <v>25125</v>
      </c>
      <c r="E19041" s="0" t="inlineStr">
        <is>
          <t xml:space="preserve">Mazda</t>
        </is>
      </c>
      <c r="F19041" s="0" t="s">
        <v>28</v>
      </c>
      <c r="G19041" s="0" t="s">
        <v>29</v>
      </c>
      <c r="H19041" s="5">
        <v>2964.756500</v>
      </c>
    </row>
    <row r="19042" spans="1:9">
      <c r="A19042" s="22" t="str">
        <f>HYPERLINK("https://app.vivvix.com/360/KMI/IntelliDrive/ApplUI/Pages/CreativePages/CustomReportCreativeDetail.aspx?App=23&amp;ReportView=4&amp;Qid=1711279&amp;Row=19034&amp;Col=1","No Title Assigned - #15278137276")</f>
        <v/>
      </c>
      <c r="B19042" s="0" t="s">
        <v>25126</v>
      </c>
      <c r="C19042" s="0" t="s">
        <v>25127</v>
      </c>
      <c r="D19042" s="0" t="s">
        <v>25127</v>
      </c>
      <c r="E19042" s="0" t="inlineStr">
        <is>
          <t xml:space="preserve">Mazda</t>
        </is>
      </c>
      <c r="F19042" s="0" t="s">
        <v>28</v>
      </c>
      <c r="G19042" s="0" t="s">
        <v>29</v>
      </c>
      <c r="H19042" s="5">
        <v>507.098800</v>
      </c>
    </row>
    <row r="19043" spans="1:9">
      <c r="A19043" s="22" t="str">
        <f>HYPERLINK("https://app.vivvix.com/360/KMI/IntelliDrive/ApplUI/Pages/CreativePages/CustomReportCreativeDetail.aspx?App=23&amp;ReportView=4&amp;Qid=1711279&amp;Row=19035&amp;Col=1","No Title Assigned - #15278137508")</f>
        <v/>
      </c>
      <c r="B19043" s="0" t="s">
        <v>25128</v>
      </c>
      <c r="C19043" s="0" t="s">
        <v>25129</v>
      </c>
      <c r="D19043" s="0" t="s">
        <v>25129</v>
      </c>
      <c r="E19043" s="0" t="inlineStr">
        <is>
          <t xml:space="preserve">Mazda</t>
        </is>
      </c>
      <c r="F19043" s="0" t="s">
        <v>13</v>
      </c>
      <c r="G19043" s="0" t="s">
        <v>49</v>
      </c>
      <c r="H19043" s="5">
        <v>464.807300</v>
      </c>
    </row>
    <row r="19044" spans="1:9">
      <c r="A19044" s="22" t="str">
        <f>HYPERLINK("https://app.vivvix.com/360/KMI/IntelliDrive/ApplUI/Pages/CreativePages/CustomReportCreativeDetail.aspx?App=23&amp;ReportView=4&amp;Qid=1711279&amp;Row=19036&amp;Col=1","No Title Assigned - #15278137571")</f>
        <v/>
      </c>
      <c r="B19044" s="0" t="s">
        <v>25130</v>
      </c>
      <c r="C19044" s="0" t="s">
        <v>25131</v>
      </c>
      <c r="D19044" s="0" t="s">
        <v>25131</v>
      </c>
      <c r="E19044" s="0" t="inlineStr">
        <is>
          <t xml:space="preserve">Mazda</t>
        </is>
      </c>
      <c r="F19044" s="0" t="s">
        <v>28</v>
      </c>
      <c r="G19044" s="0" t="s">
        <v>29</v>
      </c>
      <c r="H19044" s="5">
        <v>932.003600</v>
      </c>
    </row>
    <row r="19045" spans="1:9">
      <c r="A19045" s="22" t="str">
        <f>HYPERLINK("https://app.vivvix.com/360/KMI/IntelliDrive/ApplUI/Pages/CreativePages/CustomReportCreativeDetail.aspx?App=23&amp;ReportView=4&amp;Qid=1711279&amp;Row=19037&amp;Col=1","No Title Assigned - #15278137710")</f>
        <v/>
      </c>
      <c r="B19045" s="0" t="s">
        <v>25132</v>
      </c>
      <c r="C19045" s="0" t="s">
        <v>25133</v>
      </c>
      <c r="D19045" s="0" t="s">
        <v>25133</v>
      </c>
      <c r="E19045" s="0" t="inlineStr">
        <is>
          <t xml:space="preserve">Mazda</t>
        </is>
      </c>
      <c r="F19045" s="0" t="s">
        <v>28</v>
      </c>
      <c r="G19045" s="0" t="s">
        <v>29</v>
      </c>
      <c r="H19045" s="5">
        <v>46.766600</v>
      </c>
    </row>
    <row r="19046" spans="1:9">
      <c r="A19046" s="22" t="str">
        <f>HYPERLINK("https://app.vivvix.com/360/KMI/IntelliDrive/ApplUI/Pages/CreativePages/CustomReportCreativeDetail.aspx?App=23&amp;ReportView=4&amp;Qid=1711279&amp;Row=19038&amp;Col=1","No Title Assigned - #15278137887")</f>
        <v/>
      </c>
      <c r="B19046" s="0" t="s">
        <v>25134</v>
      </c>
      <c r="C19046" s="0" t="s">
        <v>25135</v>
      </c>
      <c r="D19046" s="0" t="s">
        <v>25135</v>
      </c>
      <c r="E19046" s="0" t="inlineStr">
        <is>
          <t xml:space="preserve">Mazda</t>
        </is>
      </c>
      <c r="F19046" s="0" t="s">
        <v>28</v>
      </c>
      <c r="G19046" s="0" t="s">
        <v>29</v>
      </c>
      <c r="H19046" s="5">
        <v>2381.454000</v>
      </c>
    </row>
    <row r="19047" spans="1:9">
      <c r="A19047" s="22" t="str">
        <f>HYPERLINK("https://app.vivvix.com/360/KMI/IntelliDrive/ApplUI/Pages/CreativePages/CustomReportCreativeDetail.aspx?App=23&amp;ReportView=4&amp;Qid=1711279&amp;Row=19039&amp;Col=1","No Title Assigned - #15278137895")</f>
        <v/>
      </c>
      <c r="B19047" s="0" t="s">
        <v>25136</v>
      </c>
      <c r="C19047" s="0" t="s">
        <v>25137</v>
      </c>
      <c r="D19047" s="0" t="s">
        <v>25137</v>
      </c>
      <c r="E19047" s="0" t="inlineStr">
        <is>
          <t xml:space="preserve">Mazda</t>
        </is>
      </c>
      <c r="F19047" s="0" t="s">
        <v>28</v>
      </c>
      <c r="G19047" s="0" t="s">
        <v>29</v>
      </c>
      <c r="H19047" s="5">
        <v>245.702200</v>
      </c>
    </row>
    <row r="19048" spans="1:9">
      <c r="A19048" s="22" t="str">
        <f>HYPERLINK("https://app.vivvix.com/360/KMI/IntelliDrive/ApplUI/Pages/CreativePages/CustomReportCreativeDetail.aspx?App=23&amp;ReportView=4&amp;Qid=1711279&amp;Row=19040&amp;Col=1","No Title Assigned - #15278138457")</f>
        <v/>
      </c>
      <c r="B19048" s="0" t="s">
        <v>25138</v>
      </c>
      <c r="C19048" s="0" t="s">
        <v>25139</v>
      </c>
      <c r="D19048" s="0" t="s">
        <v>25139</v>
      </c>
      <c r="E19048" s="0" t="inlineStr">
        <is>
          <t xml:space="preserve">Mazda</t>
        </is>
      </c>
      <c r="F19048" s="0" t="s">
        <v>13</v>
      </c>
      <c r="G19048" s="0" t="s">
        <v>49</v>
      </c>
      <c r="H19048" s="5">
        <v>29398.849100</v>
      </c>
    </row>
    <row r="19049" spans="1:9">
      <c r="A19049" s="22" t="str">
        <f>HYPERLINK("https://app.vivvix.com/360/KMI/IntelliDrive/ApplUI/Pages/CreativePages/CustomReportCreativeDetail.aspx?App=23&amp;ReportView=4&amp;Qid=1711279&amp;Row=19041&amp;Col=1","No Title Assigned - #15278138735")</f>
        <v/>
      </c>
      <c r="B19049" s="0" t="s">
        <v>25140</v>
      </c>
      <c r="C19049" s="0" t="s">
        <v>25141</v>
      </c>
      <c r="D19049" s="0" t="s">
        <v>25141</v>
      </c>
      <c r="E19049" s="0" t="inlineStr">
        <is>
          <t xml:space="preserve">Mazda</t>
        </is>
      </c>
      <c r="F19049" s="0" t="s">
        <v>28</v>
      </c>
      <c r="G19049" s="0" t="s">
        <v>29</v>
      </c>
      <c r="H19049" s="5">
        <v>696.017400</v>
      </c>
    </row>
    <row r="19050" spans="1:9">
      <c r="A19050" s="22" t="str">
        <f>HYPERLINK("https://app.vivvix.com/360/KMI/IntelliDrive/ApplUI/Pages/CreativePages/CustomReportCreativeDetail.aspx?App=23&amp;ReportView=4&amp;Qid=1711279&amp;Row=19042&amp;Col=1","No Title Assigned - #15278139161")</f>
        <v/>
      </c>
      <c r="B19050" s="0" t="s">
        <v>25142</v>
      </c>
      <c r="C19050" s="0" t="s">
        <v>25143</v>
      </c>
      <c r="D19050" s="0" t="s">
        <v>25143</v>
      </c>
      <c r="E19050" s="0" t="inlineStr">
        <is>
          <t xml:space="preserve">Mazda</t>
        </is>
      </c>
      <c r="F19050" s="0" t="s">
        <v>13</v>
      </c>
      <c r="G19050" s="0" t="s">
        <v>49</v>
      </c>
      <c r="H19050" s="5">
        <v>642.871000</v>
      </c>
    </row>
    <row r="19051" spans="1:9">
      <c r="A19051" s="22" t="str">
        <f>HYPERLINK("https://app.vivvix.com/360/KMI/IntelliDrive/ApplUI/Pages/CreativePages/CustomReportCreativeDetail.aspx?App=23&amp;ReportView=4&amp;Qid=1711279&amp;Row=19043&amp;Col=1","No Title Assigned - #15278139161")</f>
        <v/>
      </c>
      <c r="B19051" s="0" t="s">
        <v>25142</v>
      </c>
      <c r="C19051" s="0" t="s">
        <v>25144</v>
      </c>
      <c r="D19051" s="0" t="s">
        <v>25144</v>
      </c>
      <c r="E19051" s="0" t="inlineStr">
        <is>
          <t xml:space="preserve">Mazda</t>
        </is>
      </c>
      <c r="F19051" s="0" t="s">
        <v>13</v>
      </c>
      <c r="G19051" s="0" t="s">
        <v>49</v>
      </c>
      <c r="H19051" s="5">
        <v>152.661000</v>
      </c>
    </row>
    <row r="19052" spans="1:9">
      <c r="A19052" s="22" t="str">
        <f>HYPERLINK("https://app.vivvix.com/360/KMI/IntelliDrive/ApplUI/Pages/CreativePages/CustomReportCreativeDetail.aspx?App=23&amp;ReportView=4&amp;Qid=1711279&amp;Row=19044&amp;Col=1","No Title Assigned - #15278140025")</f>
        <v/>
      </c>
      <c r="B19052" s="0" t="s">
        <v>25145</v>
      </c>
      <c r="C19052" s="0" t="s">
        <v>25146</v>
      </c>
      <c r="D19052" s="0" t="s">
        <v>25146</v>
      </c>
      <c r="E19052" s="0" t="inlineStr">
        <is>
          <t xml:space="preserve">Mazda</t>
        </is>
      </c>
      <c r="F19052" s="0" t="s">
        <v>13</v>
      </c>
      <c r="G19052" s="0" t="s">
        <v>49</v>
      </c>
      <c r="H19052" s="5">
        <v>31487.600500</v>
      </c>
    </row>
    <row r="19053" spans="1:9">
      <c r="A19053" s="22" t="str">
        <f>HYPERLINK("https://app.vivvix.com/360/KMI/IntelliDrive/ApplUI/Pages/CreativePages/CustomReportCreativeDetail.aspx?App=23&amp;ReportView=4&amp;Qid=1711279&amp;Row=19045&amp;Col=1","No Title Assigned - #15278140549")</f>
        <v/>
      </c>
      <c r="B19053" s="0" t="s">
        <v>25147</v>
      </c>
      <c r="C19053" s="0" t="s">
        <v>25148</v>
      </c>
      <c r="D19053" s="0" t="s">
        <v>4200</v>
      </c>
      <c r="E19053" s="0" t="inlineStr">
        <is>
          <t xml:space="preserve">Mazda</t>
        </is>
      </c>
      <c r="F19053" s="0" t="s">
        <v>28</v>
      </c>
      <c r="G19053" s="0" t="s">
        <v>29</v>
      </c>
      <c r="H19053" s="5">
        <v>699.368200</v>
      </c>
    </row>
    <row r="19054" spans="1:9">
      <c r="A19054" s="22" t="str">
        <f>HYPERLINK("https://app.vivvix.com/360/KMI/IntelliDrive/ApplUI/Pages/CreativePages/CustomReportCreativeDetail.aspx?App=23&amp;ReportView=4&amp;Qid=1711279&amp;Row=19046&amp;Col=1","No Title Assigned - #15278140572")</f>
        <v/>
      </c>
      <c r="B19054" s="0" t="s">
        <v>25149</v>
      </c>
      <c r="C19054" s="0" t="s">
        <v>25150</v>
      </c>
      <c r="D19054" s="0" t="s">
        <v>25150</v>
      </c>
      <c r="E19054" s="0" t="inlineStr">
        <is>
          <t xml:space="preserve">Mazda</t>
        </is>
      </c>
      <c r="F19054" s="0" t="s">
        <v>28</v>
      </c>
      <c r="G19054" s="0" t="s">
        <v>29</v>
      </c>
      <c r="H19054" s="5">
        <v>543.547300</v>
      </c>
    </row>
    <row r="19055" spans="1:9">
      <c r="A19055" s="22" t="str">
        <f>HYPERLINK("https://app.vivvix.com/360/KMI/IntelliDrive/ApplUI/Pages/CreativePages/CustomReportCreativeDetail.aspx?App=23&amp;ReportView=4&amp;Qid=1711279&amp;Row=19047&amp;Col=1","No Title Assigned - #15278140589")</f>
        <v/>
      </c>
      <c r="B19055" s="0" t="s">
        <v>25151</v>
      </c>
      <c r="C19055" s="0" t="s">
        <v>25152</v>
      </c>
      <c r="D19055" s="0" t="s">
        <v>10813</v>
      </c>
      <c r="E19055" s="0" t="inlineStr">
        <is>
          <t xml:space="preserve">Mazda</t>
        </is>
      </c>
      <c r="F19055" s="0" t="s">
        <v>28</v>
      </c>
      <c r="G19055" s="0" t="s">
        <v>29</v>
      </c>
      <c r="H19055" s="5">
        <v>1397.771700</v>
      </c>
    </row>
    <row r="19056" spans="1:9">
      <c r="A19056" s="22" t="str">
        <f>HYPERLINK("https://app.vivvix.com/360/KMI/IntelliDrive/ApplUI/Pages/CreativePages/CustomReportCreativeDetail.aspx?App=23&amp;ReportView=4&amp;Qid=1711279&amp;Row=19048&amp;Col=1","No Title Assigned - #15278140787")</f>
        <v/>
      </c>
      <c r="B19056" s="0" t="s">
        <v>25153</v>
      </c>
      <c r="C19056" s="0" t="s">
        <v>25154</v>
      </c>
      <c r="D19056" s="0" t="s">
        <v>25154</v>
      </c>
      <c r="E19056" s="0" t="inlineStr">
        <is>
          <t xml:space="preserve">Mazda</t>
        </is>
      </c>
      <c r="F19056" s="0" t="s">
        <v>13</v>
      </c>
      <c r="G19056" s="0" t="s">
        <v>49</v>
      </c>
      <c r="H19056" s="5">
        <v>687.724000</v>
      </c>
    </row>
    <row r="19057" spans="1:9">
      <c r="A19057" s="22" t="str">
        <f>HYPERLINK("https://app.vivvix.com/360/KMI/IntelliDrive/ApplUI/Pages/CreativePages/CustomReportCreativeDetail.aspx?App=23&amp;ReportView=4&amp;Qid=1711279&amp;Row=19049&amp;Col=1","No Title Assigned - #15278140787")</f>
        <v/>
      </c>
      <c r="B19057" s="0" t="s">
        <v>25153</v>
      </c>
      <c r="E19057" s="0" t="inlineStr">
        <is>
          <t xml:space="preserve">Mazda</t>
        </is>
      </c>
      <c r="F19057" s="0" t="s">
        <v>13</v>
      </c>
      <c r="G19057" s="0" t="s">
        <v>49</v>
      </c>
      <c r="H19057" s="5">
        <v>868.421400</v>
      </c>
    </row>
    <row r="19058" spans="1:9">
      <c r="A19058" s="22" t="str">
        <f>HYPERLINK("https://app.vivvix.com/360/KMI/IntelliDrive/ApplUI/Pages/CreativePages/CustomReportCreativeDetail.aspx?App=23&amp;ReportView=4&amp;Qid=1711279&amp;Row=19050&amp;Col=1","No Title Assigned - #15278140830")</f>
        <v/>
      </c>
      <c r="B19058" s="0" t="s">
        <v>25155</v>
      </c>
      <c r="C19058" s="0" t="s">
        <v>25156</v>
      </c>
      <c r="D19058" s="0" t="s">
        <v>25156</v>
      </c>
      <c r="E19058" s="0" t="inlineStr">
        <is>
          <t xml:space="preserve">Mazda</t>
        </is>
      </c>
      <c r="F19058" s="0" t="s">
        <v>28</v>
      </c>
      <c r="G19058" s="0" t="s">
        <v>29</v>
      </c>
      <c r="H19058" s="5">
        <v>55.089100</v>
      </c>
    </row>
    <row r="19059" spans="1:9">
      <c r="A19059" s="22" t="str">
        <f>HYPERLINK("https://app.vivvix.com/360/KMI/IntelliDrive/ApplUI/Pages/CreativePages/CustomReportCreativeDetail.aspx?App=23&amp;ReportView=4&amp;Qid=1711279&amp;Row=19051&amp;Col=1","No Title Assigned - #15278142562")</f>
        <v/>
      </c>
      <c r="B19059" s="0" t="s">
        <v>25157</v>
      </c>
      <c r="C19059" s="0" t="s">
        <v>25158</v>
      </c>
      <c r="D19059" s="0" t="s">
        <v>25158</v>
      </c>
      <c r="E19059" s="0" t="inlineStr">
        <is>
          <t xml:space="preserve">Mazda</t>
        </is>
      </c>
      <c r="F19059" s="0" t="s">
        <v>28</v>
      </c>
      <c r="G19059" s="0" t="s">
        <v>29</v>
      </c>
      <c r="H19059" s="5">
        <v>118.873600</v>
      </c>
    </row>
    <row r="19060" spans="1:9">
      <c r="A19060" s="22" t="str">
        <f>HYPERLINK("https://app.vivvix.com/360/KMI/IntelliDrive/ApplUI/Pages/CreativePages/CustomReportCreativeDetail.aspx?App=23&amp;ReportView=4&amp;Qid=1711279&amp;Row=19052&amp;Col=1","No Title Assigned - #15278143623")</f>
        <v/>
      </c>
      <c r="B19060" s="0" t="s">
        <v>25159</v>
      </c>
      <c r="C19060" s="0" t="s">
        <v>25160</v>
      </c>
      <c r="D19060" s="0" t="s">
        <v>25160</v>
      </c>
      <c r="E19060" s="0" t="inlineStr">
        <is>
          <t xml:space="preserve">Mazda</t>
        </is>
      </c>
      <c r="F19060" s="0" t="s">
        <v>28</v>
      </c>
      <c r="G19060" s="0" t="s">
        <v>29</v>
      </c>
      <c r="H19060" s="5">
        <v>14.768400</v>
      </c>
    </row>
    <row r="19061" spans="1:9">
      <c r="A19061" s="22" t="str">
        <f>HYPERLINK("https://app.vivvix.com/360/KMI/IntelliDrive/ApplUI/Pages/CreativePages/CustomReportCreativeDetail.aspx?App=23&amp;ReportView=4&amp;Qid=1711279&amp;Row=19053&amp;Col=1","No Title Assigned - #15278143693")</f>
        <v/>
      </c>
      <c r="B19061" s="0" t="s">
        <v>25161</v>
      </c>
      <c r="C19061" s="0" t="s">
        <v>25162</v>
      </c>
      <c r="D19061" s="0" t="s">
        <v>25162</v>
      </c>
      <c r="E19061" s="0" t="inlineStr">
        <is>
          <t xml:space="preserve">Mazda</t>
        </is>
      </c>
      <c r="F19061" s="0" t="s">
        <v>3108</v>
      </c>
      <c r="G19061" s="0" t="s">
        <v>12635</v>
      </c>
      <c r="H19061" s="5">
        <v>423.103000</v>
      </c>
    </row>
    <row r="19062" spans="1:9">
      <c r="A19062" s="22" t="str">
        <f>HYPERLINK("https://app.vivvix.com/360/KMI/IntelliDrive/ApplUI/Pages/CreativePages/CustomReportCreativeDetail.aspx?App=23&amp;ReportView=4&amp;Qid=1711279&amp;Row=19054&amp;Col=1","No Title Assigned - #15278143781")</f>
        <v/>
      </c>
      <c r="B19062" s="0" t="s">
        <v>25163</v>
      </c>
      <c r="C19062" s="0" t="s">
        <v>25164</v>
      </c>
      <c r="D19062" s="0" t="s">
        <v>25164</v>
      </c>
      <c r="E19062" s="0" t="inlineStr">
        <is>
          <t xml:space="preserve">Mazda</t>
        </is>
      </c>
      <c r="F19062" s="0" t="s">
        <v>28</v>
      </c>
      <c r="G19062" s="0" t="s">
        <v>29</v>
      </c>
      <c r="H19062" s="5">
        <v>60.069000</v>
      </c>
    </row>
    <row r="19063" spans="1:9">
      <c r="A19063" s="22" t="str">
        <f>HYPERLINK("https://app.vivvix.com/360/KMI/IntelliDrive/ApplUI/Pages/CreativePages/CustomReportCreativeDetail.aspx?App=23&amp;ReportView=4&amp;Qid=1711279&amp;Row=19055&amp;Col=1","No Title Assigned - #15278143782")</f>
        <v/>
      </c>
      <c r="B19063" s="0" t="s">
        <v>25165</v>
      </c>
      <c r="C19063" s="0" t="s">
        <v>25166</v>
      </c>
      <c r="D19063" s="0" t="s">
        <v>25166</v>
      </c>
      <c r="E19063" s="0" t="inlineStr">
        <is>
          <t xml:space="preserve">Mazda</t>
        </is>
      </c>
      <c r="F19063" s="0" t="s">
        <v>28</v>
      </c>
      <c r="G19063" s="0" t="s">
        <v>29</v>
      </c>
      <c r="H19063" s="5">
        <v>78.133000</v>
      </c>
    </row>
    <row r="19064" spans="1:9">
      <c r="A19064" s="22" t="str">
        <f>HYPERLINK("https://app.vivvix.com/360/KMI/IntelliDrive/ApplUI/Pages/CreativePages/CustomReportCreativeDetail.aspx?App=23&amp;ReportView=4&amp;Qid=1711279&amp;Row=19056&amp;Col=1","No Title Assigned - #15278143808")</f>
        <v/>
      </c>
      <c r="B19064" s="0" t="s">
        <v>25167</v>
      </c>
      <c r="C19064" s="0" t="s">
        <v>25168</v>
      </c>
      <c r="D19064" s="0" t="s">
        <v>16549</v>
      </c>
      <c r="E19064" s="0" t="inlineStr">
        <is>
          <t xml:space="preserve">Mazda</t>
        </is>
      </c>
      <c r="F19064" s="0" t="s">
        <v>28</v>
      </c>
      <c r="G19064" s="0" t="s">
        <v>29</v>
      </c>
      <c r="H19064" s="5">
        <v>587.623200</v>
      </c>
    </row>
    <row r="19065" spans="1:9">
      <c r="A19065" s="22" t="str">
        <f>HYPERLINK("https://app.vivvix.com/360/KMI/IntelliDrive/ApplUI/Pages/CreativePages/CustomReportCreativeDetail.aspx?App=23&amp;ReportView=4&amp;Qid=1711279&amp;Row=19057&amp;Col=1","No Title Assigned - #15278144434")</f>
        <v/>
      </c>
      <c r="B19065" s="0" t="s">
        <v>25169</v>
      </c>
      <c r="C19065" s="0" t="s">
        <v>25170</v>
      </c>
      <c r="D19065" s="0" t="s">
        <v>25170</v>
      </c>
      <c r="E19065" s="0" t="inlineStr">
        <is>
          <t xml:space="preserve">Mazda</t>
        </is>
      </c>
      <c r="F19065" s="0" t="s">
        <v>13</v>
      </c>
      <c r="G19065" s="0" t="s">
        <v>49</v>
      </c>
      <c r="H19065" s="5">
        <v>60695.762100</v>
      </c>
    </row>
    <row r="19066" spans="1:9">
      <c r="A19066" s="22" t="str">
        <f>HYPERLINK("https://app.vivvix.com/360/KMI/IntelliDrive/ApplUI/Pages/CreativePages/CustomReportCreativeDetail.aspx?App=23&amp;ReportView=4&amp;Qid=1711279&amp;Row=19058&amp;Col=1","No Title Assigned - #15278144590")</f>
        <v/>
      </c>
      <c r="B19066" s="0" t="s">
        <v>25171</v>
      </c>
      <c r="C19066" s="0" t="s">
        <v>25172</v>
      </c>
      <c r="D19066" s="0" t="s">
        <v>4200</v>
      </c>
      <c r="E19066" s="0" t="inlineStr">
        <is>
          <t xml:space="preserve">Mazda</t>
        </is>
      </c>
      <c r="F19066" s="0" t="s">
        <v>28</v>
      </c>
      <c r="G19066" s="0" t="s">
        <v>29</v>
      </c>
      <c r="H19066" s="5">
        <v>29.823100</v>
      </c>
    </row>
    <row r="19067" spans="1:9">
      <c r="A19067" s="22" t="str">
        <f>HYPERLINK("https://app.vivvix.com/360/KMI/IntelliDrive/ApplUI/Pages/CreativePages/CustomReportCreativeDetail.aspx?App=23&amp;ReportView=4&amp;Qid=1711279&amp;Row=19059&amp;Col=1","No Title Assigned - #15278145118")</f>
        <v/>
      </c>
      <c r="B19067" s="0" t="s">
        <v>25173</v>
      </c>
      <c r="C19067" s="0" t="s">
        <v>25174</v>
      </c>
      <c r="D19067" s="0" t="s">
        <v>25174</v>
      </c>
      <c r="E19067" s="0" t="inlineStr">
        <is>
          <t xml:space="preserve">Mazda</t>
        </is>
      </c>
      <c r="F19067" s="0" t="s">
        <v>28</v>
      </c>
      <c r="G19067" s="0" t="s">
        <v>29</v>
      </c>
      <c r="H19067" s="5">
        <v>538.183400</v>
      </c>
    </row>
    <row r="19068" spans="1:9">
      <c r="A19068" s="22" t="str">
        <f>HYPERLINK("https://app.vivvix.com/360/KMI/IntelliDrive/ApplUI/Pages/CreativePages/CustomReportCreativeDetail.aspx?App=23&amp;ReportView=4&amp;Qid=1711279&amp;Row=19060&amp;Col=1","No Title Assigned - #15278145975")</f>
        <v/>
      </c>
      <c r="B19068" s="0" t="s">
        <v>25175</v>
      </c>
      <c r="C19068" s="0" t="s">
        <v>25176</v>
      </c>
      <c r="D19068" s="0" t="s">
        <v>25176</v>
      </c>
      <c r="E19068" s="0" t="inlineStr">
        <is>
          <t xml:space="preserve">Mazda</t>
        </is>
      </c>
      <c r="F19068" s="0" t="s">
        <v>13</v>
      </c>
      <c r="G19068" s="0" t="s">
        <v>49</v>
      </c>
      <c r="H19068" s="5">
        <v>2761.179600</v>
      </c>
    </row>
    <row r="19069" spans="1:9">
      <c r="A19069" s="22" t="str">
        <f>HYPERLINK("https://app.vivvix.com/360/KMI/IntelliDrive/ApplUI/Pages/CreativePages/CustomReportCreativeDetail.aspx?App=23&amp;ReportView=4&amp;Qid=1711279&amp;Row=19061&amp;Col=1","No Title Assigned - #15278146416")</f>
        <v/>
      </c>
      <c r="B19069" s="0" t="s">
        <v>25177</v>
      </c>
      <c r="C19069" s="0" t="s">
        <v>25178</v>
      </c>
      <c r="D19069" s="0" t="s">
        <v>25178</v>
      </c>
      <c r="E19069" s="0" t="inlineStr">
        <is>
          <t xml:space="preserve">Mazda</t>
        </is>
      </c>
      <c r="F19069" s="0" t="s">
        <v>28</v>
      </c>
      <c r="G19069" s="0" t="s">
        <v>29</v>
      </c>
      <c r="H19069" s="5">
        <v>89.469300</v>
      </c>
    </row>
    <row r="19070" spans="1:9">
      <c r="A19070" s="22" t="str">
        <f>HYPERLINK("https://app.vivvix.com/360/KMI/IntelliDrive/ApplUI/Pages/CreativePages/CustomReportCreativeDetail.aspx?App=23&amp;ReportView=4&amp;Qid=1711279&amp;Row=19062&amp;Col=1","No Title Assigned - #15278146513")</f>
        <v/>
      </c>
      <c r="B19070" s="0" t="s">
        <v>25179</v>
      </c>
      <c r="E19070" s="0" t="inlineStr">
        <is>
          <t xml:space="preserve">Mazda</t>
        </is>
      </c>
      <c r="F19070" s="0" t="s">
        <v>28</v>
      </c>
      <c r="G19070" s="0" t="s">
        <v>29</v>
      </c>
      <c r="H19070" s="5">
        <v>8528.289500</v>
      </c>
    </row>
    <row r="19071" spans="1:9">
      <c r="A19071" s="22" t="str">
        <f>HYPERLINK("https://app.vivvix.com/360/KMI/IntelliDrive/ApplUI/Pages/CreativePages/CustomReportCreativeDetail.aspx?App=23&amp;ReportView=4&amp;Qid=1711279&amp;Row=19063&amp;Col=1","No Title Assigned - #15278146513")</f>
        <v/>
      </c>
      <c r="B19071" s="0" t="s">
        <v>25179</v>
      </c>
      <c r="C19071" s="0" t="s">
        <v>25180</v>
      </c>
      <c r="D19071" s="0" t="s">
        <v>25180</v>
      </c>
      <c r="E19071" s="0" t="inlineStr">
        <is>
          <t xml:space="preserve">Mazda</t>
        </is>
      </c>
      <c r="F19071" s="0" t="s">
        <v>28</v>
      </c>
      <c r="G19071" s="0" t="s">
        <v>29</v>
      </c>
      <c r="H19071" s="5">
        <v>3661.719100</v>
      </c>
    </row>
    <row r="19072" spans="1:9">
      <c r="A19072" s="22" t="str">
        <f>HYPERLINK("https://app.vivvix.com/360/KMI/IntelliDrive/ApplUI/Pages/CreativePages/CustomReportCreativeDetail.aspx?App=23&amp;ReportView=4&amp;Qid=1711279&amp;Row=19064&amp;Col=1","No Title Assigned - #15278146546")</f>
        <v/>
      </c>
      <c r="B19072" s="0" t="s">
        <v>25181</v>
      </c>
      <c r="C19072" s="0" t="s">
        <v>25182</v>
      </c>
      <c r="D19072" s="0" t="s">
        <v>25182</v>
      </c>
      <c r="E19072" s="0" t="inlineStr">
        <is>
          <t xml:space="preserve">Mazda</t>
        </is>
      </c>
      <c r="F19072" s="0" t="s">
        <v>28</v>
      </c>
      <c r="G19072" s="0" t="s">
        <v>29</v>
      </c>
      <c r="H19072" s="5">
        <v>3.692100</v>
      </c>
    </row>
    <row r="19073" spans="1:9">
      <c r="A19073" s="22" t="str">
        <f>HYPERLINK("https://app.vivvix.com/360/KMI/IntelliDrive/ApplUI/Pages/CreativePages/CustomReportCreativeDetail.aspx?App=23&amp;ReportView=4&amp;Qid=1711279&amp;Row=19065&amp;Col=1","No Title Assigned - #15278146691")</f>
        <v/>
      </c>
      <c r="B19073" s="0" t="s">
        <v>25183</v>
      </c>
      <c r="C19073" s="0" t="s">
        <v>25184</v>
      </c>
      <c r="D19073" s="0" t="s">
        <v>25184</v>
      </c>
      <c r="E19073" s="0" t="inlineStr">
        <is>
          <t xml:space="preserve">Mazda</t>
        </is>
      </c>
      <c r="F19073" s="0" t="s">
        <v>28</v>
      </c>
      <c r="G19073" s="0" t="s">
        <v>29</v>
      </c>
      <c r="H19073" s="5">
        <v>455.024300</v>
      </c>
    </row>
    <row r="19074" spans="1:9">
      <c r="A19074" s="22" t="str">
        <f>HYPERLINK("https://app.vivvix.com/360/KMI/IntelliDrive/ApplUI/Pages/CreativePages/CustomReportCreativeDetail.aspx?App=23&amp;ReportView=4&amp;Qid=1711279&amp;Row=19066&amp;Col=1","No Title Assigned - #15278147086")</f>
        <v/>
      </c>
      <c r="B19074" s="0" t="s">
        <v>25185</v>
      </c>
      <c r="C19074" s="0" t="s">
        <v>25186</v>
      </c>
      <c r="D19074" s="0" t="s">
        <v>25186</v>
      </c>
      <c r="E19074" s="0" t="inlineStr">
        <is>
          <t xml:space="preserve">Mazda</t>
        </is>
      </c>
      <c r="F19074" s="0" t="s">
        <v>28</v>
      </c>
      <c r="G19074" s="0" t="s">
        <v>29</v>
      </c>
      <c r="H19074" s="5">
        <v>66230.488300</v>
      </c>
    </row>
    <row r="19075" spans="1:9">
      <c r="A19075" s="22" t="str">
        <f>HYPERLINK("https://app.vivvix.com/360/KMI/IntelliDrive/ApplUI/Pages/CreativePages/CustomReportCreativeDetail.aspx?App=23&amp;ReportView=4&amp;Qid=1711279&amp;Row=19067&amp;Col=1","No Title Assigned - #15278147114")</f>
        <v/>
      </c>
      <c r="B19075" s="0" t="s">
        <v>25187</v>
      </c>
      <c r="C19075" s="0" t="s">
        <v>25188</v>
      </c>
      <c r="D19075" s="0" t="s">
        <v>25188</v>
      </c>
      <c r="E19075" s="0" t="inlineStr">
        <is>
          <t xml:space="preserve">Mazda</t>
        </is>
      </c>
      <c r="F19075" s="0" t="s">
        <v>28</v>
      </c>
      <c r="G19075" s="0" t="s">
        <v>29</v>
      </c>
      <c r="H19075" s="5">
        <v>142.677600</v>
      </c>
    </row>
    <row r="19076" spans="1:9">
      <c r="A19076" s="22" t="str">
        <f>HYPERLINK("https://app.vivvix.com/360/KMI/IntelliDrive/ApplUI/Pages/CreativePages/CustomReportCreativeDetail.aspx?App=23&amp;ReportView=4&amp;Qid=1711279&amp;Row=19068&amp;Col=1","No Title Assigned - #15278147193")</f>
        <v/>
      </c>
      <c r="B19076" s="0" t="s">
        <v>25189</v>
      </c>
      <c r="C19076" s="0" t="s">
        <v>25190</v>
      </c>
      <c r="D19076" s="0" t="s">
        <v>25190</v>
      </c>
      <c r="E19076" s="0" t="inlineStr">
        <is>
          <t xml:space="preserve">Mazda</t>
        </is>
      </c>
      <c r="F19076" s="0" t="s">
        <v>28</v>
      </c>
      <c r="G19076" s="0" t="s">
        <v>29</v>
      </c>
      <c r="H19076" s="5">
        <v>3623.434600</v>
      </c>
    </row>
    <row r="19077" spans="1:9">
      <c r="A19077" s="22" t="str">
        <f>HYPERLINK("https://app.vivvix.com/360/KMI/IntelliDrive/ApplUI/Pages/CreativePages/CustomReportCreativeDetail.aspx?App=23&amp;ReportView=4&amp;Qid=1711279&amp;Row=19069&amp;Col=1","No Title Assigned - #15278147282")</f>
        <v/>
      </c>
      <c r="B19077" s="0" t="s">
        <v>25191</v>
      </c>
      <c r="C19077" s="0" t="s">
        <v>25192</v>
      </c>
      <c r="D19077" s="0" t="s">
        <v>25192</v>
      </c>
      <c r="E19077" s="0" t="inlineStr">
        <is>
          <t xml:space="preserve">Mazda</t>
        </is>
      </c>
      <c r="F19077" s="0" t="s">
        <v>13</v>
      </c>
      <c r="G19077" s="0" t="s">
        <v>49</v>
      </c>
      <c r="H19077" s="5">
        <v>290.200300</v>
      </c>
    </row>
    <row r="19078" spans="1:9">
      <c r="A19078" s="22" t="str">
        <f>HYPERLINK("https://app.vivvix.com/360/KMI/IntelliDrive/ApplUI/Pages/CreativePages/CustomReportCreativeDetail.aspx?App=23&amp;ReportView=4&amp;Qid=1711279&amp;Row=19070&amp;Col=1","No Title Assigned - #15278147998")</f>
        <v/>
      </c>
      <c r="B19078" s="0" t="s">
        <v>25193</v>
      </c>
      <c r="C19078" s="0" t="s">
        <v>25194</v>
      </c>
      <c r="D19078" s="0" t="s">
        <v>25194</v>
      </c>
      <c r="E19078" s="0" t="inlineStr">
        <is>
          <t xml:space="preserve">Mazda</t>
        </is>
      </c>
      <c r="F19078" s="0" t="s">
        <v>28</v>
      </c>
      <c r="G19078" s="0" t="s">
        <v>29</v>
      </c>
      <c r="H19078" s="5">
        <v>92.027500</v>
      </c>
    </row>
    <row r="19079" spans="1:9">
      <c r="A19079" s="22" t="str">
        <f>HYPERLINK("https://app.vivvix.com/360/KMI/IntelliDrive/ApplUI/Pages/CreativePages/CustomReportCreativeDetail.aspx?App=23&amp;ReportView=4&amp;Qid=1711279&amp;Row=19071&amp;Col=1","No Title Assigned - #15278148107")</f>
        <v/>
      </c>
      <c r="B19079" s="0" t="s">
        <v>25195</v>
      </c>
      <c r="C19079" s="0" t="s">
        <v>25196</v>
      </c>
      <c r="D19079" s="0" t="s">
        <v>25196</v>
      </c>
      <c r="E19079" s="0" t="inlineStr">
        <is>
          <t xml:space="preserve">Mazda</t>
        </is>
      </c>
      <c r="F19079" s="0" t="s">
        <v>28</v>
      </c>
      <c r="G19079" s="0" t="s">
        <v>29</v>
      </c>
      <c r="H19079" s="5">
        <v>70.729800</v>
      </c>
    </row>
    <row r="19080" spans="1:9">
      <c r="A19080" s="22" t="str">
        <f>HYPERLINK("https://app.vivvix.com/360/KMI/IntelliDrive/ApplUI/Pages/CreativePages/CustomReportCreativeDetail.aspx?App=23&amp;ReportView=4&amp;Qid=1711279&amp;Row=19072&amp;Col=1","No Title Assigned - #15278148185")</f>
        <v/>
      </c>
      <c r="B19080" s="0" t="s">
        <v>25197</v>
      </c>
      <c r="C19080" s="0" t="s">
        <v>25198</v>
      </c>
      <c r="D19080" s="0" t="s">
        <v>4200</v>
      </c>
      <c r="E19080" s="0" t="inlineStr">
        <is>
          <t xml:space="preserve">Mazda</t>
        </is>
      </c>
      <c r="F19080" s="0" t="s">
        <v>28</v>
      </c>
      <c r="G19080" s="0" t="s">
        <v>29</v>
      </c>
      <c r="H19080" s="5">
        <v>2385.017300</v>
      </c>
    </row>
    <row r="19081" spans="1:9">
      <c r="A19081" s="22" t="str">
        <f>HYPERLINK("https://app.vivvix.com/360/KMI/IntelliDrive/ApplUI/Pages/CreativePages/CustomReportCreativeDetail.aspx?App=23&amp;ReportView=4&amp;Qid=1711279&amp;Row=19073&amp;Col=1","No Title Assigned - #15278148194")</f>
        <v/>
      </c>
      <c r="B19081" s="0" t="s">
        <v>25199</v>
      </c>
      <c r="C19081" s="0" t="s">
        <v>25200</v>
      </c>
      <c r="D19081" s="0" t="s">
        <v>25200</v>
      </c>
      <c r="E19081" s="0" t="inlineStr">
        <is>
          <t xml:space="preserve">Mazda</t>
        </is>
      </c>
      <c r="F19081" s="0" t="s">
        <v>28</v>
      </c>
      <c r="G19081" s="0" t="s">
        <v>29</v>
      </c>
      <c r="H19081" s="5">
        <v>59.646200</v>
      </c>
    </row>
    <row r="19082" spans="1:9">
      <c r="A19082" s="22" t="str">
        <f>HYPERLINK("https://app.vivvix.com/360/KMI/IntelliDrive/ApplUI/Pages/CreativePages/CustomReportCreativeDetail.aspx?App=23&amp;ReportView=4&amp;Qid=1711279&amp;Row=19074&amp;Col=1","No Title Assigned - #15278148196")</f>
        <v/>
      </c>
      <c r="B19082" s="0" t="s">
        <v>25201</v>
      </c>
      <c r="C19082" s="0" t="s">
        <v>25202</v>
      </c>
      <c r="D19082" s="0" t="s">
        <v>25202</v>
      </c>
      <c r="E19082" s="0" t="inlineStr">
        <is>
          <t xml:space="preserve">Mazda</t>
        </is>
      </c>
      <c r="F19082" s="0" t="s">
        <v>28</v>
      </c>
      <c r="G19082" s="0" t="s">
        <v>29</v>
      </c>
      <c r="H19082" s="5">
        <v>149.115500</v>
      </c>
    </row>
    <row r="19083" spans="1:9">
      <c r="A19083" s="22" t="str">
        <f>HYPERLINK("https://app.vivvix.com/360/KMI/IntelliDrive/ApplUI/Pages/CreativePages/CustomReportCreativeDetail.aspx?App=23&amp;ReportView=4&amp;Qid=1711279&amp;Row=19075&amp;Col=1","No Title Assigned - #15278148233")</f>
        <v/>
      </c>
      <c r="B19083" s="0" t="s">
        <v>25203</v>
      </c>
      <c r="C19083" s="0" t="s">
        <v>25204</v>
      </c>
      <c r="D19083" s="0" t="s">
        <v>4200</v>
      </c>
      <c r="E19083" s="0" t="inlineStr">
        <is>
          <t xml:space="preserve">Mazda</t>
        </is>
      </c>
      <c r="F19083" s="0" t="s">
        <v>28</v>
      </c>
      <c r="G19083" s="0" t="s">
        <v>29</v>
      </c>
      <c r="H19083" s="5">
        <v>2260.332300</v>
      </c>
    </row>
    <row r="19084" spans="1:9">
      <c r="A19084" s="22" t="str">
        <f>HYPERLINK("https://app.vivvix.com/360/KMI/IntelliDrive/ApplUI/Pages/CreativePages/CustomReportCreativeDetail.aspx?App=23&amp;ReportView=4&amp;Qid=1711279&amp;Row=19076&amp;Col=1","No Title Assigned - #15278148262")</f>
        <v/>
      </c>
      <c r="B19084" s="0" t="s">
        <v>25205</v>
      </c>
      <c r="E19084" s="0" t="inlineStr">
        <is>
          <t xml:space="preserve">Mazda</t>
        </is>
      </c>
      <c r="F19084" s="0" t="s">
        <v>28</v>
      </c>
      <c r="G19084" s="0" t="s">
        <v>29</v>
      </c>
      <c r="H19084" s="5">
        <v>494.036900</v>
      </c>
    </row>
    <row r="19085" spans="1:9">
      <c r="A19085" s="22" t="str">
        <f>HYPERLINK("https://app.vivvix.com/360/KMI/IntelliDrive/ApplUI/Pages/CreativePages/CustomReportCreativeDetail.aspx?App=23&amp;ReportView=4&amp;Qid=1711279&amp;Row=19077&amp;Col=1","No Title Assigned - #15278148262")</f>
        <v/>
      </c>
      <c r="B19085" s="0" t="s">
        <v>25205</v>
      </c>
      <c r="C19085" s="0" t="s">
        <v>25206</v>
      </c>
      <c r="D19085" s="0" t="s">
        <v>12807</v>
      </c>
      <c r="E19085" s="0" t="inlineStr">
        <is>
          <t xml:space="preserve">Mazda</t>
        </is>
      </c>
      <c r="F19085" s="0" t="s">
        <v>28</v>
      </c>
      <c r="G19085" s="0" t="s">
        <v>29</v>
      </c>
      <c r="H19085" s="5">
        <v>797.490700</v>
      </c>
    </row>
    <row r="19086" spans="1:9">
      <c r="A19086" s="22" t="str">
        <f>HYPERLINK("https://app.vivvix.com/360/KMI/IntelliDrive/ApplUI/Pages/CreativePages/CustomReportCreativeDetail.aspx?App=23&amp;ReportView=4&amp;Qid=1711279&amp;Row=19078&amp;Col=1","No Title Assigned - #15278148287")</f>
        <v/>
      </c>
      <c r="B19086" s="0" t="s">
        <v>25207</v>
      </c>
      <c r="C19086" s="0" t="s">
        <v>25208</v>
      </c>
      <c r="D19086" s="0" t="s">
        <v>25208</v>
      </c>
      <c r="E19086" s="0" t="inlineStr">
        <is>
          <t xml:space="preserve">Mazda</t>
        </is>
      </c>
      <c r="F19086" s="0" t="s">
        <v>28</v>
      </c>
      <c r="G19086" s="0" t="s">
        <v>29</v>
      </c>
      <c r="H19086" s="5">
        <v>36.393100</v>
      </c>
    </row>
    <row r="19087" spans="1:9">
      <c r="A19087" s="22" t="str">
        <f>HYPERLINK("https://app.vivvix.com/360/KMI/IntelliDrive/ApplUI/Pages/CreativePages/CustomReportCreativeDetail.aspx?App=23&amp;ReportView=4&amp;Qid=1711279&amp;Row=19079&amp;Col=1","No Title Assigned - #15278148429")</f>
        <v/>
      </c>
      <c r="B19087" s="0" t="s">
        <v>25209</v>
      </c>
      <c r="C19087" s="0" t="s">
        <v>25210</v>
      </c>
      <c r="D19087" s="0" t="s">
        <v>25210</v>
      </c>
      <c r="E19087" s="0" t="inlineStr">
        <is>
          <t xml:space="preserve">Mazda</t>
        </is>
      </c>
      <c r="F19087" s="0" t="s">
        <v>13</v>
      </c>
      <c r="G19087" s="0" t="s">
        <v>49</v>
      </c>
      <c r="H19087" s="5">
        <v>10980.592100</v>
      </c>
    </row>
    <row r="19088" spans="1:9">
      <c r="A19088" s="22" t="str">
        <f>HYPERLINK("https://app.vivvix.com/360/KMI/IntelliDrive/ApplUI/Pages/CreativePages/CustomReportCreativeDetail.aspx?App=23&amp;ReportView=4&amp;Qid=1711279&amp;Row=19080&amp;Col=1","No Title Assigned - #15278148618")</f>
        <v/>
      </c>
      <c r="B19088" s="0" t="s">
        <v>25211</v>
      </c>
      <c r="C19088" s="0" t="s">
        <v>25212</v>
      </c>
      <c r="D19088" s="0" t="s">
        <v>25212</v>
      </c>
      <c r="E19088" s="0" t="inlineStr">
        <is>
          <t xml:space="preserve">Mazda</t>
        </is>
      </c>
      <c r="F19088" s="0" t="s">
        <v>28</v>
      </c>
      <c r="G19088" s="0" t="s">
        <v>29</v>
      </c>
      <c r="H19088" s="5">
        <v>26.999300</v>
      </c>
    </row>
    <row r="19089" spans="1:9">
      <c r="A19089" s="22" t="str">
        <f>HYPERLINK("https://app.vivvix.com/360/KMI/IntelliDrive/ApplUI/Pages/CreativePages/CustomReportCreativeDetail.aspx?App=23&amp;ReportView=4&amp;Qid=1711279&amp;Row=19081&amp;Col=1","No Title Assigned - #15278148658")</f>
        <v/>
      </c>
      <c r="B19089" s="0" t="s">
        <v>25213</v>
      </c>
      <c r="C19089" s="0" t="s">
        <v>25214</v>
      </c>
      <c r="D19089" s="0" t="s">
        <v>25214</v>
      </c>
      <c r="E19089" s="0" t="inlineStr">
        <is>
          <t xml:space="preserve">Mazda</t>
        </is>
      </c>
      <c r="F19089" s="0" t="s">
        <v>28</v>
      </c>
      <c r="G19089" s="0" t="s">
        <v>29</v>
      </c>
      <c r="H19089" s="5">
        <v>243.743200</v>
      </c>
    </row>
    <row r="19090" spans="1:9">
      <c r="A19090" s="22" t="str">
        <f>HYPERLINK("https://app.vivvix.com/360/KMI/IntelliDrive/ApplUI/Pages/CreativePages/CustomReportCreativeDetail.aspx?App=23&amp;ReportView=4&amp;Qid=1711279&amp;Row=19082&amp;Col=1","No Title Assigned - #15278148830")</f>
        <v/>
      </c>
      <c r="B19090" s="0" t="s">
        <v>25215</v>
      </c>
      <c r="C19090" s="0" t="s">
        <v>25216</v>
      </c>
      <c r="D19090" s="0" t="s">
        <v>25216</v>
      </c>
      <c r="E19090" s="0" t="inlineStr">
        <is>
          <t xml:space="preserve">Mazda</t>
        </is>
      </c>
      <c r="F19090" s="0" t="s">
        <v>28</v>
      </c>
      <c r="G19090" s="0" t="s">
        <v>29</v>
      </c>
      <c r="H19090" s="5">
        <v>212.376100</v>
      </c>
    </row>
    <row r="19091" spans="1:9">
      <c r="A19091" s="22" t="str">
        <f>HYPERLINK("https://app.vivvix.com/360/KMI/IntelliDrive/ApplUI/Pages/CreativePages/CustomReportCreativeDetail.aspx?App=23&amp;ReportView=4&amp;Qid=1711279&amp;Row=19083&amp;Col=1","No Title Assigned - #15278149070")</f>
        <v/>
      </c>
      <c r="B19091" s="0" t="s">
        <v>25217</v>
      </c>
      <c r="C19091" s="0" t="s">
        <v>25218</v>
      </c>
      <c r="D19091" s="0" t="s">
        <v>25218</v>
      </c>
      <c r="E19091" s="0" t="inlineStr">
        <is>
          <t xml:space="preserve">Mazda</t>
        </is>
      </c>
      <c r="F19091" s="0" t="s">
        <v>28</v>
      </c>
      <c r="G19091" s="0" t="s">
        <v>29</v>
      </c>
      <c r="H19091" s="5">
        <v>2752.172100</v>
      </c>
    </row>
    <row r="19092" spans="1:9">
      <c r="A19092" s="22" t="str">
        <f>HYPERLINK("https://app.vivvix.com/360/KMI/IntelliDrive/ApplUI/Pages/CreativePages/CustomReportCreativeDetail.aspx?App=23&amp;ReportView=4&amp;Qid=1711279&amp;Row=19084&amp;Col=1","No Title Assigned - #15278149600")</f>
        <v/>
      </c>
      <c r="B19092" s="0" t="s">
        <v>25219</v>
      </c>
      <c r="C19092" s="0" t="s">
        <v>25220</v>
      </c>
      <c r="D19092" s="0" t="s">
        <v>25220</v>
      </c>
      <c r="E19092" s="0" t="inlineStr">
        <is>
          <t xml:space="preserve">Mazda</t>
        </is>
      </c>
      <c r="F19092" s="0" t="s">
        <v>28</v>
      </c>
      <c r="G19092" s="0" t="s">
        <v>29</v>
      </c>
      <c r="H19092" s="5">
        <v>678.307700</v>
      </c>
    </row>
    <row r="19093" spans="1:9">
      <c r="A19093" s="22" t="str">
        <f>HYPERLINK("https://app.vivvix.com/360/KMI/IntelliDrive/ApplUI/Pages/CreativePages/CustomReportCreativeDetail.aspx?App=23&amp;ReportView=4&amp;Qid=1711279&amp;Row=19085&amp;Col=1","No Title Assigned - #15278149628")</f>
        <v/>
      </c>
      <c r="B19093" s="0" t="s">
        <v>25221</v>
      </c>
      <c r="C19093" s="0" t="s">
        <v>25222</v>
      </c>
      <c r="D19093" s="0" t="s">
        <v>25222</v>
      </c>
      <c r="E19093" s="0" t="inlineStr">
        <is>
          <t xml:space="preserve">Mazda</t>
        </is>
      </c>
      <c r="F19093" s="0" t="s">
        <v>28</v>
      </c>
      <c r="G19093" s="0" t="s">
        <v>29</v>
      </c>
      <c r="H19093" s="5">
        <v>11.076300</v>
      </c>
    </row>
    <row r="19094" spans="1:9">
      <c r="A19094" s="22" t="str">
        <f>HYPERLINK("https://app.vivvix.com/360/KMI/IntelliDrive/ApplUI/Pages/CreativePages/CustomReportCreativeDetail.aspx?App=23&amp;ReportView=4&amp;Qid=1711279&amp;Row=19086&amp;Col=1","No Title Assigned - #15278149643")</f>
        <v/>
      </c>
      <c r="B19094" s="0" t="s">
        <v>25223</v>
      </c>
      <c r="C19094" s="0" t="s">
        <v>25224</v>
      </c>
      <c r="D19094" s="0" t="s">
        <v>14339</v>
      </c>
      <c r="E19094" s="0" t="inlineStr">
        <is>
          <t xml:space="preserve">Mazda</t>
        </is>
      </c>
      <c r="F19094" s="0" t="s">
        <v>28</v>
      </c>
      <c r="G19094" s="0" t="s">
        <v>29</v>
      </c>
      <c r="H19094" s="5">
        <v>1969.217700</v>
      </c>
    </row>
    <row r="19095" spans="1:9">
      <c r="A19095" s="22" t="str">
        <f>HYPERLINK("https://app.vivvix.com/360/KMI/IntelliDrive/ApplUI/Pages/CreativePages/CustomReportCreativeDetail.aspx?App=23&amp;ReportView=4&amp;Qid=1711279&amp;Row=19087&amp;Col=1","No Title Assigned - #15278149643")</f>
        <v/>
      </c>
      <c r="B19095" s="0" t="s">
        <v>25223</v>
      </c>
      <c r="E19095" s="0" t="inlineStr">
        <is>
          <t xml:space="preserve">Mazda</t>
        </is>
      </c>
      <c r="F19095" s="0" t="s">
        <v>28</v>
      </c>
      <c r="G19095" s="0" t="s">
        <v>29</v>
      </c>
      <c r="H19095" s="5">
        <v>1035.694300</v>
      </c>
    </row>
    <row r="19096" spans="1:9">
      <c r="A19096" s="22" t="str">
        <f>HYPERLINK("https://app.vivvix.com/360/KMI/IntelliDrive/ApplUI/Pages/CreativePages/CustomReportCreativeDetail.aspx?App=23&amp;ReportView=4&amp;Qid=1711279&amp;Row=19088&amp;Col=1","No Title Assigned - #15278149888")</f>
        <v/>
      </c>
      <c r="B19096" s="0" t="s">
        <v>25225</v>
      </c>
      <c r="C19096" s="0" t="s">
        <v>25226</v>
      </c>
      <c r="D19096" s="0" t="s">
        <v>4200</v>
      </c>
      <c r="E19096" s="0" t="inlineStr">
        <is>
          <t xml:space="preserve">Mazda</t>
        </is>
      </c>
      <c r="F19096" s="0" t="s">
        <v>28</v>
      </c>
      <c r="G19096" s="0" t="s">
        <v>29</v>
      </c>
      <c r="H19096" s="5">
        <v>138.584500</v>
      </c>
    </row>
    <row r="19097" spans="1:9">
      <c r="A19097" s="22" t="str">
        <f>HYPERLINK("https://app.vivvix.com/360/KMI/IntelliDrive/ApplUI/Pages/CreativePages/CustomReportCreativeDetail.aspx?App=23&amp;ReportView=4&amp;Qid=1711279&amp;Row=19089&amp;Col=1","No Title Assigned - #15278149965")</f>
        <v/>
      </c>
      <c r="B19097" s="0" t="s">
        <v>25227</v>
      </c>
      <c r="C19097" s="0" t="s">
        <v>25228</v>
      </c>
      <c r="D19097" s="0" t="s">
        <v>4850</v>
      </c>
      <c r="E19097" s="0" t="inlineStr">
        <is>
          <t xml:space="preserve">Mazda</t>
        </is>
      </c>
      <c r="F19097" s="0" t="s">
        <v>28</v>
      </c>
      <c r="G19097" s="0" t="s">
        <v>29</v>
      </c>
      <c r="H19097" s="5">
        <v>553.225300</v>
      </c>
    </row>
    <row r="19098" spans="1:9">
      <c r="A19098" s="22" t="str">
        <f>HYPERLINK("https://app.vivvix.com/360/KMI/IntelliDrive/ApplUI/Pages/CreativePages/CustomReportCreativeDetail.aspx?App=23&amp;ReportView=4&amp;Qid=1711279&amp;Row=19090&amp;Col=1","No Title Assigned - #15278149999")</f>
        <v/>
      </c>
      <c r="B19098" s="0" t="s">
        <v>25229</v>
      </c>
      <c r="C19098" s="0" t="s">
        <v>25230</v>
      </c>
      <c r="D19098" s="0" t="s">
        <v>25230</v>
      </c>
      <c r="E19098" s="0" t="inlineStr">
        <is>
          <t xml:space="preserve">Mazda</t>
        </is>
      </c>
      <c r="F19098" s="0" t="s">
        <v>13</v>
      </c>
      <c r="G19098" s="0" t="s">
        <v>49</v>
      </c>
      <c r="H19098" s="5">
        <v>46.846800</v>
      </c>
    </row>
    <row r="19099" spans="1:9">
      <c r="A19099" s="22" t="str">
        <f>HYPERLINK("https://app.vivvix.com/360/KMI/IntelliDrive/ApplUI/Pages/CreativePages/CustomReportCreativeDetail.aspx?App=23&amp;ReportView=4&amp;Qid=1711279&amp;Row=19091&amp;Col=1","No Title Assigned - #15278150043")</f>
        <v/>
      </c>
      <c r="B19099" s="0" t="s">
        <v>25231</v>
      </c>
      <c r="C19099" s="0" t="s">
        <v>25232</v>
      </c>
      <c r="D19099" s="0" t="s">
        <v>25232</v>
      </c>
      <c r="E19099" s="0" t="inlineStr">
        <is>
          <t xml:space="preserve">Mazda</t>
        </is>
      </c>
      <c r="F19099" s="0" t="s">
        <v>28</v>
      </c>
      <c r="G19099" s="0" t="s">
        <v>29</v>
      </c>
      <c r="H19099" s="5">
        <v>1624.515400</v>
      </c>
    </row>
    <row r="19100" spans="1:9">
      <c r="A19100" s="22" t="str">
        <f>HYPERLINK("https://app.vivvix.com/360/KMI/IntelliDrive/ApplUI/Pages/CreativePages/CustomReportCreativeDetail.aspx?App=23&amp;ReportView=4&amp;Qid=1711279&amp;Row=19092&amp;Col=1","No Title Assigned - #15278150072")</f>
        <v/>
      </c>
      <c r="B19100" s="0" t="s">
        <v>25233</v>
      </c>
      <c r="C19100" s="0" t="s">
        <v>25234</v>
      </c>
      <c r="D19100" s="0" t="s">
        <v>25234</v>
      </c>
      <c r="E19100" s="0" t="inlineStr">
        <is>
          <t xml:space="preserve">Mazda</t>
        </is>
      </c>
      <c r="F19100" s="0" t="s">
        <v>28</v>
      </c>
      <c r="G19100" s="0" t="s">
        <v>29</v>
      </c>
      <c r="H19100" s="5">
        <v>709.263400</v>
      </c>
    </row>
    <row r="19101" spans="1:9">
      <c r="A19101" s="22" t="str">
        <f>HYPERLINK("https://app.vivvix.com/360/KMI/IntelliDrive/ApplUI/Pages/CreativePages/CustomReportCreativeDetail.aspx?App=23&amp;ReportView=4&amp;Qid=1711279&amp;Row=19093&amp;Col=1","No Title Assigned - #15278150100")</f>
        <v/>
      </c>
      <c r="B19101" s="0" t="s">
        <v>25235</v>
      </c>
      <c r="C19101" s="0" t="s">
        <v>25236</v>
      </c>
      <c r="D19101" s="0" t="s">
        <v>6317</v>
      </c>
      <c r="E19101" s="0" t="inlineStr">
        <is>
          <t xml:space="preserve">Mazda</t>
        </is>
      </c>
      <c r="F19101" s="0" t="s">
        <v>28</v>
      </c>
      <c r="G19101" s="0" t="s">
        <v>29</v>
      </c>
      <c r="H19101" s="5">
        <v>202.224700</v>
      </c>
    </row>
    <row r="19102" spans="1:9">
      <c r="A19102" s="22" t="str">
        <f>HYPERLINK("https://app.vivvix.com/360/KMI/IntelliDrive/ApplUI/Pages/CreativePages/CustomReportCreativeDetail.aspx?App=23&amp;ReportView=4&amp;Qid=1711279&amp;Row=19094&amp;Col=1","No Title Assigned - #15278150100")</f>
        <v/>
      </c>
      <c r="B19102" s="0" t="s">
        <v>25235</v>
      </c>
      <c r="E19102" s="0" t="inlineStr">
        <is>
          <t xml:space="preserve">Mazda</t>
        </is>
      </c>
      <c r="F19102" s="0" t="s">
        <v>28</v>
      </c>
      <c r="G19102" s="0" t="s">
        <v>29</v>
      </c>
      <c r="H19102" s="5">
        <v>818.434900</v>
      </c>
    </row>
    <row r="19103" spans="1:9">
      <c r="A19103" s="22" t="str">
        <f>HYPERLINK("https://app.vivvix.com/360/KMI/IntelliDrive/ApplUI/Pages/CreativePages/CustomReportCreativeDetail.aspx?App=23&amp;ReportView=4&amp;Qid=1711279&amp;Row=19095&amp;Col=1","No Title Assigned - #15278150144")</f>
        <v/>
      </c>
      <c r="B19103" s="0" t="s">
        <v>25237</v>
      </c>
      <c r="C19103" s="0" t="s">
        <v>25238</v>
      </c>
      <c r="D19103" s="0" t="s">
        <v>25238</v>
      </c>
      <c r="E19103" s="0" t="inlineStr">
        <is>
          <t xml:space="preserve">Mazda</t>
        </is>
      </c>
      <c r="F19103" s="0" t="s">
        <v>28</v>
      </c>
      <c r="G19103" s="0" t="s">
        <v>29</v>
      </c>
      <c r="H19103" s="5">
        <v>73.888000</v>
      </c>
    </row>
    <row r="19104" spans="1:9">
      <c r="A19104" s="22" t="str">
        <f>HYPERLINK("https://app.vivvix.com/360/KMI/IntelliDrive/ApplUI/Pages/CreativePages/CustomReportCreativeDetail.aspx?App=23&amp;ReportView=4&amp;Qid=1711279&amp;Row=19096&amp;Col=1","No Title Assigned - #15278150162")</f>
        <v/>
      </c>
      <c r="B19104" s="0" t="s">
        <v>25239</v>
      </c>
      <c r="C19104" s="0" t="s">
        <v>25240</v>
      </c>
      <c r="D19104" s="0" t="s">
        <v>15532</v>
      </c>
      <c r="E19104" s="0" t="inlineStr">
        <is>
          <t xml:space="preserve">Mazda</t>
        </is>
      </c>
      <c r="F19104" s="0" t="s">
        <v>28</v>
      </c>
      <c r="G19104" s="0" t="s">
        <v>29</v>
      </c>
      <c r="H19104" s="5">
        <v>29.823100</v>
      </c>
    </row>
    <row r="19105" spans="1:9">
      <c r="A19105" s="22" t="str">
        <f>HYPERLINK("https://app.vivvix.com/360/KMI/IntelliDrive/ApplUI/Pages/CreativePages/CustomReportCreativeDetail.aspx?App=23&amp;ReportView=4&amp;Qid=1711279&amp;Row=19097&amp;Col=1","No Title Assigned - #15278151380")</f>
        <v/>
      </c>
      <c r="B19105" s="0" t="s">
        <v>25241</v>
      </c>
      <c r="C19105" s="0" t="s">
        <v>25242</v>
      </c>
      <c r="D19105" s="0" t="s">
        <v>4333</v>
      </c>
      <c r="E19105" s="0" t="inlineStr">
        <is>
          <t xml:space="preserve">Mazda</t>
        </is>
      </c>
      <c r="F19105" s="0" t="s">
        <v>28</v>
      </c>
      <c r="G19105" s="0" t="s">
        <v>29</v>
      </c>
      <c r="H19105" s="5">
        <v>417.218200</v>
      </c>
    </row>
    <row r="19106" spans="1:9">
      <c r="A19106" s="22" t="str">
        <f>HYPERLINK("https://app.vivvix.com/360/KMI/IntelliDrive/ApplUI/Pages/CreativePages/CustomReportCreativeDetail.aspx?App=23&amp;ReportView=4&amp;Qid=1711279&amp;Row=19098&amp;Col=1","No Title Assigned - #15278152445")</f>
        <v/>
      </c>
      <c r="B19106" s="0" t="s">
        <v>25243</v>
      </c>
      <c r="C19106" s="0" t="s">
        <v>25244</v>
      </c>
      <c r="D19106" s="0" t="s">
        <v>6317</v>
      </c>
      <c r="E19106" s="0" t="inlineStr">
        <is>
          <t xml:space="preserve">Mazda</t>
        </is>
      </c>
      <c r="F19106" s="0" t="s">
        <v>28</v>
      </c>
      <c r="G19106" s="0" t="s">
        <v>29</v>
      </c>
      <c r="H19106" s="5">
        <v>142.189500</v>
      </c>
    </row>
    <row r="19107" spans="1:9">
      <c r="A19107" s="22" t="str">
        <f>HYPERLINK("https://app.vivvix.com/360/KMI/IntelliDrive/ApplUI/Pages/CreativePages/CustomReportCreativeDetail.aspx?App=23&amp;ReportView=4&amp;Qid=1711279&amp;Row=19099&amp;Col=1","No Title Assigned - #15278152521")</f>
        <v/>
      </c>
      <c r="B19107" s="0" t="s">
        <v>25245</v>
      </c>
      <c r="C19107" s="0" t="s">
        <v>25246</v>
      </c>
      <c r="D19107" s="0" t="s">
        <v>25246</v>
      </c>
      <c r="E19107" s="0" t="inlineStr">
        <is>
          <t xml:space="preserve">Mazda</t>
        </is>
      </c>
      <c r="F19107" s="0" t="s">
        <v>28</v>
      </c>
      <c r="G19107" s="0" t="s">
        <v>29</v>
      </c>
      <c r="H19107" s="5">
        <v>153.002100</v>
      </c>
    </row>
    <row r="19108" spans="1:9">
      <c r="A19108" s="22" t="str">
        <f>HYPERLINK("https://app.vivvix.com/360/KMI/IntelliDrive/ApplUI/Pages/CreativePages/CustomReportCreativeDetail.aspx?App=23&amp;ReportView=4&amp;Qid=1711279&amp;Row=19100&amp;Col=1","No Title Assigned - #15278152866")</f>
        <v/>
      </c>
      <c r="B19108" s="0" t="s">
        <v>25247</v>
      </c>
      <c r="C19108" s="0" t="s">
        <v>25248</v>
      </c>
      <c r="D19108" s="0" t="s">
        <v>25248</v>
      </c>
      <c r="E19108" s="0" t="inlineStr">
        <is>
          <t xml:space="preserve">Mazda</t>
        </is>
      </c>
      <c r="F19108" s="0" t="s">
        <v>28</v>
      </c>
      <c r="G19108" s="0" t="s">
        <v>29</v>
      </c>
      <c r="H19108" s="5">
        <v>340.336200</v>
      </c>
    </row>
    <row r="19109" spans="1:9">
      <c r="A19109" s="22" t="str">
        <f>HYPERLINK("https://app.vivvix.com/360/KMI/IntelliDrive/ApplUI/Pages/CreativePages/CustomReportCreativeDetail.aspx?App=23&amp;ReportView=4&amp;Qid=1711279&amp;Row=19101&amp;Col=1","No Title Assigned - #15278152954")</f>
        <v/>
      </c>
      <c r="B19109" s="0" t="s">
        <v>25249</v>
      </c>
      <c r="E19109" s="0" t="inlineStr">
        <is>
          <t xml:space="preserve">Mazda</t>
        </is>
      </c>
      <c r="F19109" s="0" t="s">
        <v>17</v>
      </c>
      <c r="G19109" s="0" t="s">
        <v>33</v>
      </c>
      <c r="H19109" s="5">
        <v>211.849000</v>
      </c>
    </row>
    <row r="19110" spans="1:9">
      <c r="A19110" s="22" t="str">
        <f>HYPERLINK("https://app.vivvix.com/360/KMI/IntelliDrive/ApplUI/Pages/CreativePages/CustomReportCreativeDetail.aspx?App=23&amp;ReportView=4&amp;Qid=1711279&amp;Row=19102&amp;Col=1","No Title Assigned - #15278153115")</f>
        <v/>
      </c>
      <c r="B19110" s="0" t="s">
        <v>25250</v>
      </c>
      <c r="C19110" s="0" t="s">
        <v>25251</v>
      </c>
      <c r="D19110" s="0" t="s">
        <v>25135</v>
      </c>
      <c r="E19110" s="0" t="inlineStr">
        <is>
          <t xml:space="preserve">Mazda</t>
        </is>
      </c>
      <c r="F19110" s="0" t="s">
        <v>28</v>
      </c>
      <c r="G19110" s="0" t="s">
        <v>29</v>
      </c>
      <c r="H19110" s="5">
        <v>29.823100</v>
      </c>
    </row>
    <row r="19111" spans="1:9">
      <c r="A19111" s="22" t="str">
        <f>HYPERLINK("https://app.vivvix.com/360/KMI/IntelliDrive/ApplUI/Pages/CreativePages/CustomReportCreativeDetail.aspx?App=23&amp;ReportView=4&amp;Qid=1711279&amp;Row=19103&amp;Col=1","No Title Assigned - #15278153225")</f>
        <v/>
      </c>
      <c r="B19111" s="0" t="s">
        <v>25252</v>
      </c>
      <c r="C19111" s="0" t="s">
        <v>25253</v>
      </c>
      <c r="D19111" s="0" t="s">
        <v>6317</v>
      </c>
      <c r="E19111" s="0" t="inlineStr">
        <is>
          <t xml:space="preserve">Mazda</t>
        </is>
      </c>
      <c r="F19111" s="0" t="s">
        <v>28</v>
      </c>
      <c r="G19111" s="0" t="s">
        <v>29</v>
      </c>
      <c r="H19111" s="5">
        <v>2023.369100</v>
      </c>
    </row>
    <row r="19112" spans="1:9">
      <c r="A19112" s="22" t="str">
        <f>HYPERLINK("https://app.vivvix.com/360/KMI/IntelliDrive/ApplUI/Pages/CreativePages/CustomReportCreativeDetail.aspx?App=23&amp;ReportView=4&amp;Qid=1711279&amp;Row=19104&amp;Col=1","No Title Assigned - #15278153497")</f>
        <v/>
      </c>
      <c r="B19112" s="0" t="s">
        <v>25254</v>
      </c>
      <c r="C19112" s="0" t="s">
        <v>25255</v>
      </c>
      <c r="D19112" s="0" t="s">
        <v>6317</v>
      </c>
      <c r="E19112" s="0" t="inlineStr">
        <is>
          <t xml:space="preserve">Mazda</t>
        </is>
      </c>
      <c r="F19112" s="0" t="s">
        <v>28</v>
      </c>
      <c r="G19112" s="0" t="s">
        <v>29</v>
      </c>
      <c r="H19112" s="5">
        <v>59.646200</v>
      </c>
    </row>
    <row r="19113" spans="1:9">
      <c r="A19113" s="22" t="str">
        <f>HYPERLINK("https://app.vivvix.com/360/KMI/IntelliDrive/ApplUI/Pages/CreativePages/CustomReportCreativeDetail.aspx?App=23&amp;ReportView=4&amp;Qid=1711279&amp;Row=19105&amp;Col=1","No Title Assigned - #15278153511")</f>
        <v/>
      </c>
      <c r="B19113" s="0" t="s">
        <v>25256</v>
      </c>
      <c r="C19113" s="0" t="s">
        <v>25257</v>
      </c>
      <c r="D19113" s="0" t="s">
        <v>25257</v>
      </c>
      <c r="E19113" s="0" t="inlineStr">
        <is>
          <t xml:space="preserve">Mazda</t>
        </is>
      </c>
      <c r="F19113" s="0" t="s">
        <v>13</v>
      </c>
      <c r="G19113" s="0" t="s">
        <v>49</v>
      </c>
      <c r="H19113" s="5">
        <v>57.022500</v>
      </c>
    </row>
    <row r="19114" spans="1:9">
      <c r="A19114" s="22" t="str">
        <f>HYPERLINK("https://app.vivvix.com/360/KMI/IntelliDrive/ApplUI/Pages/CreativePages/CustomReportCreativeDetail.aspx?App=23&amp;ReportView=4&amp;Qid=1711279&amp;Row=19106&amp;Col=1","No Title Assigned - #15278153656")</f>
        <v/>
      </c>
      <c r="B19114" s="0" t="s">
        <v>25258</v>
      </c>
      <c r="C19114" s="0" t="s">
        <v>25259</v>
      </c>
      <c r="D19114" s="0" t="s">
        <v>4200</v>
      </c>
      <c r="E19114" s="0" t="inlineStr">
        <is>
          <t xml:space="preserve">Mazda</t>
        </is>
      </c>
      <c r="F19114" s="0" t="s">
        <v>28</v>
      </c>
      <c r="G19114" s="0" t="s">
        <v>29</v>
      </c>
      <c r="H19114" s="5">
        <v>4690.811400</v>
      </c>
    </row>
    <row r="19115" spans="1:9">
      <c r="A19115" s="22" t="str">
        <f>HYPERLINK("https://app.vivvix.com/360/KMI/IntelliDrive/ApplUI/Pages/CreativePages/CustomReportCreativeDetail.aspx?App=23&amp;ReportView=4&amp;Qid=1711279&amp;Row=19107&amp;Col=1","No Title Assigned - #15278154111")</f>
        <v/>
      </c>
      <c r="B19115" s="0" t="s">
        <v>25260</v>
      </c>
      <c r="C19115" s="0" t="s">
        <v>25261</v>
      </c>
      <c r="D19115" s="0" t="s">
        <v>25261</v>
      </c>
      <c r="E19115" s="0" t="inlineStr">
        <is>
          <t xml:space="preserve">Mazda</t>
        </is>
      </c>
      <c r="F19115" s="0" t="s">
        <v>28</v>
      </c>
      <c r="G19115" s="0" t="s">
        <v>29</v>
      </c>
      <c r="H19115" s="5">
        <v>414.831800</v>
      </c>
    </row>
    <row r="19116" spans="1:9">
      <c r="A19116" s="22" t="str">
        <f>HYPERLINK("https://app.vivvix.com/360/KMI/IntelliDrive/ApplUI/Pages/CreativePages/CustomReportCreativeDetail.aspx?App=23&amp;ReportView=4&amp;Qid=1711279&amp;Row=19108&amp;Col=1","No Title Assigned - #15278154313")</f>
        <v/>
      </c>
      <c r="B19116" s="0" t="s">
        <v>25262</v>
      </c>
      <c r="E19116" s="0" t="inlineStr">
        <is>
          <t xml:space="preserve">Mazda</t>
        </is>
      </c>
      <c r="F19116" s="0" t="inlineStr">
        <is>
          <t xml:space="preserve">Mazda</t>
        </is>
      </c>
      <c r="G19116" s="0" t="s">
        <v>171</v>
      </c>
      <c r="H19116" s="5">
        <v>149.293500</v>
      </c>
    </row>
    <row r="19117" spans="1:9">
      <c r="A19117" s="22" t="str">
        <f>HYPERLINK("https://app.vivvix.com/360/KMI/IntelliDrive/ApplUI/Pages/CreativePages/CustomReportCreativeDetail.aspx?App=23&amp;ReportView=4&amp;Qid=1711279&amp;Row=19109&amp;Col=1","No Title Assigned - #15278154395")</f>
        <v/>
      </c>
      <c r="B19117" s="0" t="s">
        <v>25263</v>
      </c>
      <c r="E19117" s="0" t="inlineStr">
        <is>
          <t xml:space="preserve">Mazda</t>
        </is>
      </c>
      <c r="F19117" s="0" t="inlineStr">
        <is>
          <t xml:space="preserve">Mazda</t>
        </is>
      </c>
      <c r="G19117" s="0" t="s">
        <v>171</v>
      </c>
      <c r="H19117" s="5">
        <v>18114.133000</v>
      </c>
    </row>
    <row r="19118" spans="1:9">
      <c r="A19118" s="22" t="str">
        <f>HYPERLINK("https://app.vivvix.com/360/KMI/IntelliDrive/ApplUI/Pages/CreativePages/CustomReportCreativeDetail.aspx?App=23&amp;ReportView=4&amp;Qid=1711279&amp;Row=19110&amp;Col=1","No Title Assigned - #15278154749")</f>
        <v/>
      </c>
      <c r="B19118" s="0" t="s">
        <v>25264</v>
      </c>
      <c r="E19118" s="0" t="inlineStr">
        <is>
          <t xml:space="preserve">Mazda</t>
        </is>
      </c>
      <c r="F19118" s="0" t="inlineStr">
        <is>
          <t xml:space="preserve">Mazda</t>
        </is>
      </c>
      <c r="G19118" s="0" t="s">
        <v>171</v>
      </c>
      <c r="H19118" s="5">
        <v>93.655100</v>
      </c>
    </row>
    <row r="19119" spans="1:9">
      <c r="A19119" s="22" t="str">
        <f>HYPERLINK("https://app.vivvix.com/360/KMI/IntelliDrive/ApplUI/Pages/CreativePages/CustomReportCreativeDetail.aspx?App=23&amp;ReportView=4&amp;Qid=1711279&amp;Row=19111&amp;Col=1","No Title Assigned - #15278154958")</f>
        <v/>
      </c>
      <c r="B19119" s="0" t="s">
        <v>25265</v>
      </c>
      <c r="C19119" s="0" t="s">
        <v>25266</v>
      </c>
      <c r="D19119" s="0" t="s">
        <v>25266</v>
      </c>
      <c r="E19119" s="0" t="inlineStr">
        <is>
          <t xml:space="preserve">Mazda</t>
        </is>
      </c>
      <c r="F19119" s="0" t="s">
        <v>28</v>
      </c>
      <c r="G19119" s="0" t="s">
        <v>29</v>
      </c>
      <c r="H19119" s="5">
        <v>3090.929700</v>
      </c>
    </row>
    <row r="19120" spans="1:9">
      <c r="A19120" s="22" t="str">
        <f>HYPERLINK("https://app.vivvix.com/360/KMI/IntelliDrive/ApplUI/Pages/CreativePages/CustomReportCreativeDetail.aspx?App=23&amp;ReportView=4&amp;Qid=1711279&amp;Row=19112&amp;Col=1","No Title Assigned - #15278155226")</f>
        <v/>
      </c>
      <c r="B19120" s="0" t="s">
        <v>25267</v>
      </c>
      <c r="E19120" s="0" t="inlineStr">
        <is>
          <t xml:space="preserve">Mazda</t>
        </is>
      </c>
      <c r="F19120" s="0" t="inlineStr">
        <is>
          <t xml:space="preserve">Mazda</t>
        </is>
      </c>
      <c r="G19120" s="0" t="s">
        <v>171</v>
      </c>
      <c r="H19120" s="5">
        <v>13.631200</v>
      </c>
    </row>
    <row r="19121" spans="1:9">
      <c r="A19121" s="22" t="str">
        <f>HYPERLINK("https://app.vivvix.com/360/KMI/IntelliDrive/ApplUI/Pages/CreativePages/CustomReportCreativeDetail.aspx?App=23&amp;ReportView=4&amp;Qid=1711279&amp;Row=19113&amp;Col=1","No Title Assigned - #15278155394")</f>
        <v/>
      </c>
      <c r="B19121" s="0" t="s">
        <v>25268</v>
      </c>
      <c r="C19121" s="0" t="s">
        <v>25269</v>
      </c>
      <c r="D19121" s="0" t="s">
        <v>25269</v>
      </c>
      <c r="E19121" s="0" t="inlineStr">
        <is>
          <t xml:space="preserve">Mazda</t>
        </is>
      </c>
      <c r="F19121" s="0" t="inlineStr">
        <is>
          <t xml:space="preserve">Mazda</t>
        </is>
      </c>
      <c r="G19121" s="0" t="s">
        <v>171</v>
      </c>
      <c r="H19121" s="5">
        <v>14.239800</v>
      </c>
    </row>
    <row r="19122" spans="1:9">
      <c r="A19122" s="22" t="str">
        <f>HYPERLINK("https://app.vivvix.com/360/KMI/IntelliDrive/ApplUI/Pages/CreativePages/CustomReportCreativeDetail.aspx?App=23&amp;ReportView=4&amp;Qid=1711279&amp;Row=19114&amp;Col=1","No Title Assigned - #15278155439")</f>
        <v/>
      </c>
      <c r="B19122" s="0" t="s">
        <v>25270</v>
      </c>
      <c r="E19122" s="0" t="inlineStr">
        <is>
          <t xml:space="preserve">Mazda</t>
        </is>
      </c>
      <c r="F19122" s="0" t="inlineStr">
        <is>
          <t xml:space="preserve">Mazda</t>
        </is>
      </c>
      <c r="G19122" s="0" t="s">
        <v>171</v>
      </c>
      <c r="H19122" s="5">
        <v>43.551200</v>
      </c>
    </row>
    <row r="19123" spans="1:9">
      <c r="A19123" s="22" t="str">
        <f>HYPERLINK("https://app.vivvix.com/360/KMI/IntelliDrive/ApplUI/Pages/CreativePages/CustomReportCreativeDetail.aspx?App=23&amp;ReportView=4&amp;Qid=1711279&amp;Row=19115&amp;Col=1","No Title Assigned - #15278155688")</f>
        <v/>
      </c>
      <c r="B19123" s="0" t="s">
        <v>25271</v>
      </c>
      <c r="E19123" s="0" t="inlineStr">
        <is>
          <t xml:space="preserve">Mazda</t>
        </is>
      </c>
      <c r="F19123" s="0" t="inlineStr">
        <is>
          <t xml:space="preserve">Mazda</t>
        </is>
      </c>
      <c r="G19123" s="0" t="s">
        <v>171</v>
      </c>
      <c r="H19123" s="5">
        <v>643.658200</v>
      </c>
    </row>
    <row r="19124" spans="1:9">
      <c r="A19124" s="22" t="str">
        <f>HYPERLINK("https://app.vivvix.com/360/KMI/IntelliDrive/ApplUI/Pages/CreativePages/CustomReportCreativeDetail.aspx?App=23&amp;ReportView=4&amp;Qid=1711279&amp;Row=19116&amp;Col=1","No Title Assigned - #15278155688")</f>
        <v/>
      </c>
      <c r="B19124" s="0" t="s">
        <v>25271</v>
      </c>
      <c r="E19124" s="0" t="inlineStr">
        <is>
          <t xml:space="preserve">Mazda</t>
        </is>
      </c>
      <c r="F19124" s="0" t="inlineStr">
        <is>
          <t xml:space="preserve">Mazda</t>
        </is>
      </c>
      <c r="G19124" s="0" t="s">
        <v>171</v>
      </c>
      <c r="H19124" s="5">
        <v>62.304300</v>
      </c>
    </row>
    <row r="19125" spans="1:9">
      <c r="A19125" s="22" t="str">
        <f>HYPERLINK("https://app.vivvix.com/360/KMI/IntelliDrive/ApplUI/Pages/CreativePages/CustomReportCreativeDetail.aspx?App=23&amp;ReportView=4&amp;Qid=1711279&amp;Row=19117&amp;Col=1","No Title Assigned - #15278155702")</f>
        <v/>
      </c>
      <c r="B19125" s="0" t="s">
        <v>25272</v>
      </c>
      <c r="E19125" s="0" t="inlineStr">
        <is>
          <t xml:space="preserve">Mazda</t>
        </is>
      </c>
      <c r="F19125" s="0" t="inlineStr">
        <is>
          <t xml:space="preserve">Mazda</t>
        </is>
      </c>
      <c r="G19125" s="0" t="s">
        <v>171</v>
      </c>
      <c r="H19125" s="5">
        <v>17267.902200</v>
      </c>
    </row>
    <row r="19126" spans="1:9">
      <c r="A19126" s="22" t="str">
        <f>HYPERLINK("https://app.vivvix.com/360/KMI/IntelliDrive/ApplUI/Pages/CreativePages/CustomReportCreativeDetail.aspx?App=23&amp;ReportView=4&amp;Qid=1711279&amp;Row=19118&amp;Col=1","No Title Assigned - #15278155948")</f>
        <v/>
      </c>
      <c r="B19126" s="0" t="s">
        <v>25273</v>
      </c>
      <c r="E19126" s="0" t="inlineStr">
        <is>
          <t xml:space="preserve">Mazda</t>
        </is>
      </c>
      <c r="F19126" s="0" t="inlineStr">
        <is>
          <t xml:space="preserve">Mazda</t>
        </is>
      </c>
      <c r="G19126" s="0" t="s">
        <v>171</v>
      </c>
      <c r="H19126" s="5">
        <v>106.395000</v>
      </c>
    </row>
    <row r="19127" spans="1:9">
      <c r="A19127" s="22" t="str">
        <f>HYPERLINK("https://app.vivvix.com/360/KMI/IntelliDrive/ApplUI/Pages/CreativePages/CustomReportCreativeDetail.aspx?App=23&amp;ReportView=4&amp;Qid=1711279&amp;Row=19119&amp;Col=1","No Title Assigned - #15278155964")</f>
        <v/>
      </c>
      <c r="B19127" s="0" t="s">
        <v>25274</v>
      </c>
      <c r="E19127" s="0" t="inlineStr">
        <is>
          <t xml:space="preserve">Mazda</t>
        </is>
      </c>
      <c r="F19127" s="0" t="inlineStr">
        <is>
          <t xml:space="preserve">Mazda</t>
        </is>
      </c>
      <c r="G19127" s="0" t="s">
        <v>171</v>
      </c>
      <c r="H19127" s="5">
        <v>268.349100</v>
      </c>
    </row>
    <row r="19128" spans="1:9">
      <c r="A19128" s="22" t="str">
        <f>HYPERLINK("https://app.vivvix.com/360/KMI/IntelliDrive/ApplUI/Pages/CreativePages/CustomReportCreativeDetail.aspx?App=23&amp;ReportView=4&amp;Qid=1711279&amp;Row=19120&amp;Col=1","No Title Assigned - #15278155988")</f>
        <v/>
      </c>
      <c r="B19128" s="0" t="s">
        <v>25275</v>
      </c>
      <c r="E19128" s="0" t="inlineStr">
        <is>
          <t xml:space="preserve">Mazda</t>
        </is>
      </c>
      <c r="F19128" s="0" t="inlineStr">
        <is>
          <t xml:space="preserve">Mazda</t>
        </is>
      </c>
      <c r="G19128" s="0" t="s">
        <v>171</v>
      </c>
      <c r="H19128" s="5">
        <v>5454.211400</v>
      </c>
    </row>
    <row r="19129" spans="1:9">
      <c r="A19129" s="22" t="str">
        <f>HYPERLINK("https://app.vivvix.com/360/KMI/IntelliDrive/ApplUI/Pages/CreativePages/CustomReportCreativeDetail.aspx?App=23&amp;ReportView=4&amp;Qid=1711279&amp;Row=19121&amp;Col=1","No Title Assigned - #15278156204")</f>
        <v/>
      </c>
      <c r="B19129" s="0" t="s">
        <v>25276</v>
      </c>
      <c r="E19129" s="0" t="inlineStr">
        <is>
          <t xml:space="preserve">Mazda</t>
        </is>
      </c>
      <c r="F19129" s="0" t="inlineStr">
        <is>
          <t xml:space="preserve">Mazda</t>
        </is>
      </c>
      <c r="G19129" s="0" t="s">
        <v>171</v>
      </c>
      <c r="H19129" s="5">
        <v>29.858700</v>
      </c>
    </row>
    <row r="19130" spans="1:9">
      <c r="A19130" s="22" t="str">
        <f>HYPERLINK("https://app.vivvix.com/360/KMI/IntelliDrive/ApplUI/Pages/CreativePages/CustomReportCreativeDetail.aspx?App=23&amp;ReportView=4&amp;Qid=1711279&amp;Row=19122&amp;Col=1","No Title Assigned - #15278156285")</f>
        <v/>
      </c>
      <c r="B19130" s="0" t="s">
        <v>25277</v>
      </c>
      <c r="E19130" s="0" t="inlineStr">
        <is>
          <t xml:space="preserve">Mazda</t>
        </is>
      </c>
      <c r="F19130" s="0" t="inlineStr">
        <is>
          <t xml:space="preserve">Mazda</t>
        </is>
      </c>
      <c r="G19130" s="0" t="s">
        <v>171</v>
      </c>
      <c r="H19130" s="5">
        <v>354.170800</v>
      </c>
    </row>
    <row r="19131" spans="1:9">
      <c r="A19131" s="22" t="str">
        <f>HYPERLINK("https://app.vivvix.com/360/KMI/IntelliDrive/ApplUI/Pages/CreativePages/CustomReportCreativeDetail.aspx?App=23&amp;ReportView=4&amp;Qid=1711279&amp;Row=19123&amp;Col=1","No Title Assigned - #15278157225")</f>
        <v/>
      </c>
      <c r="B19131" s="0" t="s">
        <v>25278</v>
      </c>
      <c r="E19131" s="0" t="inlineStr">
        <is>
          <t xml:space="preserve">Mazda</t>
        </is>
      </c>
      <c r="F19131" s="0" t="inlineStr">
        <is>
          <t xml:space="preserve">Mazda</t>
        </is>
      </c>
      <c r="G19131" s="0" t="s">
        <v>171</v>
      </c>
      <c r="H19131" s="5">
        <v>119.434800</v>
      </c>
    </row>
    <row r="19132" spans="1:9">
      <c r="A19132" s="22" t="str">
        <f>HYPERLINK("https://app.vivvix.com/360/KMI/IntelliDrive/ApplUI/Pages/CreativePages/CustomReportCreativeDetail.aspx?App=23&amp;ReportView=4&amp;Qid=1711279&amp;Row=19124&amp;Col=1","No Title Assigned - #15278157453")</f>
        <v/>
      </c>
      <c r="B19132" s="0" t="s">
        <v>25279</v>
      </c>
      <c r="E19132" s="0" t="inlineStr">
        <is>
          <t xml:space="preserve">Mazda</t>
        </is>
      </c>
      <c r="F19132" s="0" t="inlineStr">
        <is>
          <t xml:space="preserve">Mazda</t>
        </is>
      </c>
      <c r="G19132" s="0" t="s">
        <v>171</v>
      </c>
      <c r="H19132" s="5">
        <v>676.816000</v>
      </c>
    </row>
    <row r="19133" spans="1:9">
      <c r="A19133" s="22" t="str">
        <f>HYPERLINK("https://app.vivvix.com/360/KMI/IntelliDrive/ApplUI/Pages/CreativePages/CustomReportCreativeDetail.aspx?App=23&amp;ReportView=4&amp;Qid=1711279&amp;Row=19125&amp;Col=1","No Title Assigned - #15278157591")</f>
        <v/>
      </c>
      <c r="B19133" s="0" t="s">
        <v>25280</v>
      </c>
      <c r="E19133" s="0" t="inlineStr">
        <is>
          <t xml:space="preserve">Mazda</t>
        </is>
      </c>
      <c r="F19133" s="0" t="inlineStr">
        <is>
          <t xml:space="preserve">Mazda</t>
        </is>
      </c>
      <c r="G19133" s="0" t="s">
        <v>171</v>
      </c>
      <c r="H19133" s="5">
        <v>413.740000</v>
      </c>
    </row>
    <row r="19134" spans="1:9">
      <c r="A19134" s="22" t="str">
        <f>HYPERLINK("https://app.vivvix.com/360/KMI/IntelliDrive/ApplUI/Pages/CreativePages/CustomReportCreativeDetail.aspx?App=23&amp;ReportView=4&amp;Qid=1711279&amp;Row=19126&amp;Col=1","No Title Assigned - #15278157591")</f>
        <v/>
      </c>
      <c r="B19134" s="0" t="s">
        <v>25280</v>
      </c>
      <c r="E19134" s="0" t="inlineStr">
        <is>
          <t xml:space="preserve">Mazda</t>
        </is>
      </c>
      <c r="F19134" s="0" t="inlineStr">
        <is>
          <t xml:space="preserve">Mazda</t>
        </is>
      </c>
      <c r="G19134" s="0" t="s">
        <v>171</v>
      </c>
      <c r="H19134" s="5">
        <v>3.716400</v>
      </c>
    </row>
    <row r="19135" spans="1:9">
      <c r="A19135" s="22" t="str">
        <f>HYPERLINK("https://app.vivvix.com/360/KMI/IntelliDrive/ApplUI/Pages/CreativePages/CustomReportCreativeDetail.aspx?App=23&amp;ReportView=4&amp;Qid=1711279&amp;Row=19127&amp;Col=1","No Title Assigned - #15278157881")</f>
        <v/>
      </c>
      <c r="B19135" s="0" t="s">
        <v>25281</v>
      </c>
      <c r="E19135" s="0" t="inlineStr">
        <is>
          <t xml:space="preserve">Mazda</t>
        </is>
      </c>
      <c r="F19135" s="0" t="inlineStr">
        <is>
          <t xml:space="preserve">Mazda</t>
        </is>
      </c>
      <c r="G19135" s="0" t="s">
        <v>171</v>
      </c>
      <c r="H19135" s="5">
        <v>33.379300</v>
      </c>
    </row>
    <row r="19136" spans="1:9">
      <c r="A19136" s="22" t="str">
        <f>HYPERLINK("https://app.vivvix.com/360/KMI/IntelliDrive/ApplUI/Pages/CreativePages/CustomReportCreativeDetail.aspx?App=23&amp;ReportView=4&amp;Qid=1711279&amp;Row=19128&amp;Col=1","No Title Assigned - #15278158310")</f>
        <v/>
      </c>
      <c r="B19136" s="0" t="s">
        <v>25282</v>
      </c>
      <c r="C19136" s="0" t="s">
        <v>25283</v>
      </c>
      <c r="D19136" s="0" t="s">
        <v>25283</v>
      </c>
      <c r="E19136" s="0" t="inlineStr">
        <is>
          <t xml:space="preserve">Mazda</t>
        </is>
      </c>
      <c r="F19136" s="0" t="inlineStr">
        <is>
          <t xml:space="preserve">Mazda</t>
        </is>
      </c>
      <c r="G19136" s="0" t="s">
        <v>171</v>
      </c>
      <c r="H19136" s="5">
        <v>427.132500</v>
      </c>
    </row>
    <row r="19137" spans="1:9">
      <c r="A19137" s="22" t="str">
        <f>HYPERLINK("https://app.vivvix.com/360/KMI/IntelliDrive/ApplUI/Pages/CreativePages/CustomReportCreativeDetail.aspx?App=23&amp;ReportView=4&amp;Qid=1711279&amp;Row=19129&amp;Col=1","No Title Assigned - #15278158361")</f>
        <v/>
      </c>
      <c r="B19137" s="0" t="s">
        <v>25284</v>
      </c>
      <c r="C19137" s="0" t="s">
        <v>25285</v>
      </c>
      <c r="D19137" s="0" t="s">
        <v>25285</v>
      </c>
      <c r="E19137" s="0" t="inlineStr">
        <is>
          <t xml:space="preserve">Mazda</t>
        </is>
      </c>
      <c r="F19137" s="0" t="inlineStr">
        <is>
          <t xml:space="preserve">Mazda</t>
        </is>
      </c>
      <c r="G19137" s="0" t="s">
        <v>171</v>
      </c>
      <c r="H19137" s="5">
        <v>179.338100</v>
      </c>
    </row>
    <row r="19138" spans="1:9">
      <c r="A19138" s="22" t="str">
        <f>HYPERLINK("https://app.vivvix.com/360/KMI/IntelliDrive/ApplUI/Pages/CreativePages/CustomReportCreativeDetail.aspx?App=23&amp;ReportView=4&amp;Qid=1711279&amp;Row=19130&amp;Col=1","No Title Assigned - #15278158433")</f>
        <v/>
      </c>
      <c r="B19138" s="0" t="s">
        <v>25286</v>
      </c>
      <c r="E19138" s="0" t="inlineStr">
        <is>
          <t xml:space="preserve">Mazda</t>
        </is>
      </c>
      <c r="F19138" s="0" t="inlineStr">
        <is>
          <t xml:space="preserve">Mazda</t>
        </is>
      </c>
      <c r="G19138" s="0" t="s">
        <v>171</v>
      </c>
      <c r="H19138" s="5">
        <v>14.239800</v>
      </c>
    </row>
    <row r="19139" spans="1:9">
      <c r="A19139" s="22" t="str">
        <f>HYPERLINK("https://app.vivvix.com/360/KMI/IntelliDrive/ApplUI/Pages/CreativePages/CustomReportCreativeDetail.aspx?App=23&amp;ReportView=4&amp;Qid=1711279&amp;Row=19131&amp;Col=1","No Title Assigned - #15278158463")</f>
        <v/>
      </c>
      <c r="B19139" s="0" t="s">
        <v>25287</v>
      </c>
      <c r="E19139" s="0" t="inlineStr">
        <is>
          <t xml:space="preserve">Mazda</t>
        </is>
      </c>
      <c r="F19139" s="0" t="inlineStr">
        <is>
          <t xml:space="preserve">Mazda</t>
        </is>
      </c>
      <c r="G19139" s="0" t="s">
        <v>171</v>
      </c>
      <c r="H19139" s="5">
        <v>698.277800</v>
      </c>
    </row>
    <row r="19140" spans="1:9">
      <c r="A19140" s="22" t="str">
        <f>HYPERLINK("https://app.vivvix.com/360/KMI/IntelliDrive/ApplUI/Pages/CreativePages/CustomReportCreativeDetail.aspx?App=23&amp;ReportView=4&amp;Qid=1711279&amp;Row=19132&amp;Col=1","No Title Assigned - #15278158580")</f>
        <v/>
      </c>
      <c r="B19140" s="0" t="s">
        <v>25288</v>
      </c>
      <c r="E19140" s="0" t="inlineStr">
        <is>
          <t xml:space="preserve">Mazda</t>
        </is>
      </c>
      <c r="F19140" s="0" t="inlineStr">
        <is>
          <t xml:space="preserve">Mazda</t>
        </is>
      </c>
      <c r="G19140" s="0" t="s">
        <v>171</v>
      </c>
      <c r="H19140" s="5">
        <v>87.827000</v>
      </c>
    </row>
    <row r="19141" spans="1:9">
      <c r="A19141" s="22" t="str">
        <f>HYPERLINK("https://app.vivvix.com/360/KMI/IntelliDrive/ApplUI/Pages/CreativePages/CustomReportCreativeDetail.aspx?App=23&amp;ReportView=4&amp;Qid=1711279&amp;Row=19133&amp;Col=1","No Title Assigned - #15278158678")</f>
        <v/>
      </c>
      <c r="B19141" s="0" t="s">
        <v>25289</v>
      </c>
      <c r="E19141" s="0" t="inlineStr">
        <is>
          <t xml:space="preserve">Mazda</t>
        </is>
      </c>
      <c r="F19141" s="0" t="inlineStr">
        <is>
          <t xml:space="preserve">Mazda</t>
        </is>
      </c>
      <c r="G19141" s="0" t="s">
        <v>171</v>
      </c>
      <c r="H19141" s="5">
        <v>143.610700</v>
      </c>
    </row>
    <row r="19142" spans="1:9">
      <c r="A19142" s="22" t="str">
        <f>HYPERLINK("https://app.vivvix.com/360/KMI/IntelliDrive/ApplUI/Pages/CreativePages/CustomReportCreativeDetail.aspx?App=23&amp;ReportView=4&amp;Qid=1711279&amp;Row=19134&amp;Col=1","No Title Assigned - #15278158870")</f>
        <v/>
      </c>
      <c r="B19142" s="0" t="s">
        <v>25290</v>
      </c>
      <c r="C19142" s="0" t="s">
        <v>25291</v>
      </c>
      <c r="D19142" s="0" t="s">
        <v>25291</v>
      </c>
      <c r="E19142" s="0" t="inlineStr">
        <is>
          <t xml:space="preserve">Mazda</t>
        </is>
      </c>
      <c r="F19142" s="0" t="inlineStr">
        <is>
          <t xml:space="preserve">Mazda</t>
        </is>
      </c>
      <c r="G19142" s="0" t="s">
        <v>171</v>
      </c>
      <c r="H19142" s="5">
        <v>815.366200</v>
      </c>
    </row>
    <row r="19143" spans="1:9">
      <c r="A19143" s="22" t="str">
        <f>HYPERLINK("https://app.vivvix.com/360/KMI/IntelliDrive/ApplUI/Pages/CreativePages/CustomReportCreativeDetail.aspx?App=23&amp;ReportView=4&amp;Qid=1711279&amp;Row=19135&amp;Col=1","No Title Assigned - #15278158960")</f>
        <v/>
      </c>
      <c r="B19143" s="0" t="s">
        <v>25292</v>
      </c>
      <c r="E19143" s="0" t="inlineStr">
        <is>
          <t xml:space="preserve">Mazda</t>
        </is>
      </c>
      <c r="F19143" s="0" t="inlineStr">
        <is>
          <t xml:space="preserve">Mazda</t>
        </is>
      </c>
      <c r="G19143" s="0" t="s">
        <v>171</v>
      </c>
      <c r="H19143" s="5">
        <v>21.775600</v>
      </c>
    </row>
    <row r="19144" spans="1:9">
      <c r="A19144" s="22" t="str">
        <f>HYPERLINK("https://app.vivvix.com/360/KMI/IntelliDrive/ApplUI/Pages/CreativePages/CustomReportCreativeDetail.aspx?App=23&amp;ReportView=4&amp;Qid=1711279&amp;Row=19136&amp;Col=1","No Title Assigned - #15278159150")</f>
        <v/>
      </c>
      <c r="B19144" s="0" t="s">
        <v>25293</v>
      </c>
      <c r="E19144" s="0" t="inlineStr">
        <is>
          <t xml:space="preserve">Mazda</t>
        </is>
      </c>
      <c r="F19144" s="0" t="inlineStr">
        <is>
          <t xml:space="preserve">Mazda</t>
        </is>
      </c>
      <c r="G19144" s="0" t="s">
        <v>171</v>
      </c>
      <c r="H19144" s="5">
        <v>423.691200</v>
      </c>
    </row>
    <row r="19145" spans="1:9">
      <c r="A19145" s="22" t="str">
        <f>HYPERLINK("https://app.vivvix.com/360/KMI/IntelliDrive/ApplUI/Pages/CreativePages/CustomReportCreativeDetail.aspx?App=23&amp;ReportView=4&amp;Qid=1711279&amp;Row=19137&amp;Col=1","No Title Assigned - #15278159257")</f>
        <v/>
      </c>
      <c r="B19145" s="0" t="s">
        <v>25294</v>
      </c>
      <c r="E19145" s="0" t="inlineStr">
        <is>
          <t xml:space="preserve">Mazda</t>
        </is>
      </c>
      <c r="F19145" s="0" t="inlineStr">
        <is>
          <t xml:space="preserve">Mazda</t>
        </is>
      </c>
      <c r="G19145" s="0" t="s">
        <v>171</v>
      </c>
      <c r="H19145" s="5">
        <v>14.239800</v>
      </c>
    </row>
    <row r="19146" spans="1:9">
      <c r="A19146" s="22" t="str">
        <f>HYPERLINK("https://app.vivvix.com/360/KMI/IntelliDrive/ApplUI/Pages/CreativePages/CustomReportCreativeDetail.aspx?App=23&amp;ReportView=4&amp;Qid=1711279&amp;Row=19138&amp;Col=1","No Title Assigned - #15278159313")</f>
        <v/>
      </c>
      <c r="B19146" s="0" t="s">
        <v>25295</v>
      </c>
      <c r="C19146" s="0" t="s">
        <v>25296</v>
      </c>
      <c r="D19146" s="0" t="s">
        <v>25296</v>
      </c>
      <c r="E19146" s="0" t="inlineStr">
        <is>
          <t xml:space="preserve">Mazda</t>
        </is>
      </c>
      <c r="F19146" s="0" t="inlineStr">
        <is>
          <t xml:space="preserve">Mazda</t>
        </is>
      </c>
      <c r="G19146" s="0" t="s">
        <v>171</v>
      </c>
      <c r="H19146" s="5">
        <v>224.683100</v>
      </c>
    </row>
    <row r="19147" spans="1:9">
      <c r="A19147" s="22" t="str">
        <f>HYPERLINK("https://app.vivvix.com/360/KMI/IntelliDrive/ApplUI/Pages/CreativePages/CustomReportCreativeDetail.aspx?App=23&amp;ReportView=4&amp;Qid=1711279&amp;Row=19139&amp;Col=1","No Title Assigned - #15278159313")</f>
        <v/>
      </c>
      <c r="B19147" s="0" t="s">
        <v>25295</v>
      </c>
      <c r="E19147" s="0" t="inlineStr">
        <is>
          <t xml:space="preserve">Mazda</t>
        </is>
      </c>
      <c r="F19147" s="0" t="inlineStr">
        <is>
          <t xml:space="preserve">Mazda</t>
        </is>
      </c>
      <c r="G19147" s="0" t="s">
        <v>171</v>
      </c>
      <c r="H19147" s="5">
        <v>41.390100</v>
      </c>
    </row>
    <row r="19148" spans="1:9">
      <c r="A19148" s="22" t="str">
        <f>HYPERLINK("https://app.vivvix.com/360/KMI/IntelliDrive/ApplUI/Pages/CreativePages/CustomReportCreativeDetail.aspx?App=23&amp;ReportView=4&amp;Qid=1711279&amp;Row=19140&amp;Col=1","No Title Assigned - #15278159721")</f>
        <v/>
      </c>
      <c r="B19148" s="0" t="s">
        <v>25297</v>
      </c>
      <c r="E19148" s="0" t="inlineStr">
        <is>
          <t xml:space="preserve">Mazda</t>
        </is>
      </c>
      <c r="F19148" s="0" t="inlineStr">
        <is>
          <t xml:space="preserve">Mazda</t>
        </is>
      </c>
      <c r="G19148" s="0" t="s">
        <v>171</v>
      </c>
      <c r="H19148" s="5">
        <v>33.963900</v>
      </c>
    </row>
    <row r="19149" spans="1:9">
      <c r="A19149" s="22" t="str">
        <f>HYPERLINK("https://app.vivvix.com/360/KMI/IntelliDrive/ApplUI/Pages/CreativePages/CustomReportCreativeDetail.aspx?App=23&amp;ReportView=4&amp;Qid=1711279&amp;Row=19141&amp;Col=1","No Title Assigned - #15278159784")</f>
        <v/>
      </c>
      <c r="B19149" s="0" t="s">
        <v>25298</v>
      </c>
      <c r="C19149" s="0" t="s">
        <v>25299</v>
      </c>
      <c r="D19149" s="0" t="s">
        <v>25299</v>
      </c>
      <c r="E19149" s="0" t="inlineStr">
        <is>
          <t xml:space="preserve">Mazda</t>
        </is>
      </c>
      <c r="F19149" s="0" t="inlineStr">
        <is>
          <t xml:space="preserve">Mazda</t>
        </is>
      </c>
      <c r="G19149" s="0" t="s">
        <v>171</v>
      </c>
      <c r="H19149" s="5">
        <v>1360.754200</v>
      </c>
    </row>
    <row r="19150" spans="1:9">
      <c r="A19150" s="22" t="str">
        <f>HYPERLINK("https://app.vivvix.com/360/KMI/IntelliDrive/ApplUI/Pages/CreativePages/CustomReportCreativeDetail.aspx?App=23&amp;ReportView=4&amp;Qid=1711279&amp;Row=19142&amp;Col=1","No Title Assigned - #15278159784")</f>
        <v/>
      </c>
      <c r="B19150" s="0" t="s">
        <v>25298</v>
      </c>
      <c r="E19150" s="0" t="inlineStr">
        <is>
          <t xml:space="preserve">Mazda</t>
        </is>
      </c>
      <c r="F19150" s="0" t="inlineStr">
        <is>
          <t xml:space="preserve">Mazda</t>
        </is>
      </c>
      <c r="G19150" s="0" t="s">
        <v>171</v>
      </c>
      <c r="H19150" s="5">
        <v>169.554000</v>
      </c>
    </row>
    <row r="19151" spans="1:9">
      <c r="A19151" s="22" t="str">
        <f>HYPERLINK("https://app.vivvix.com/360/KMI/IntelliDrive/ApplUI/Pages/CreativePages/CustomReportCreativeDetail.aspx?App=23&amp;ReportView=4&amp;Qid=1711279&amp;Row=19143&amp;Col=1","No Title Assigned - #15278159870")</f>
        <v/>
      </c>
      <c r="B19151" s="0" t="s">
        <v>25300</v>
      </c>
      <c r="E19151" s="0" t="inlineStr">
        <is>
          <t xml:space="preserve">Mazda</t>
        </is>
      </c>
      <c r="F19151" s="0" t="inlineStr">
        <is>
          <t xml:space="preserve">Mazda</t>
        </is>
      </c>
      <c r="G19151" s="0" t="s">
        <v>171</v>
      </c>
      <c r="H19151" s="5">
        <v>20.087800</v>
      </c>
    </row>
    <row r="19152" spans="1:9">
      <c r="A19152" s="22" t="str">
        <f>HYPERLINK("https://app.vivvix.com/360/KMI/IntelliDrive/ApplUI/Pages/CreativePages/CustomReportCreativeDetail.aspx?App=23&amp;ReportView=4&amp;Qid=1711279&amp;Row=19144&amp;Col=1","No Title Assigned - #15278159933")</f>
        <v/>
      </c>
      <c r="B19152" s="0" t="s">
        <v>25301</v>
      </c>
      <c r="E19152" s="0" t="inlineStr">
        <is>
          <t xml:space="preserve">Mazda</t>
        </is>
      </c>
      <c r="F19152" s="0" t="inlineStr">
        <is>
          <t xml:space="preserve">Mazda</t>
        </is>
      </c>
      <c r="G19152" s="0" t="s">
        <v>171</v>
      </c>
      <c r="H19152" s="5">
        <v>76.297900</v>
      </c>
    </row>
    <row r="19153" spans="1:9">
      <c r="A19153" s="22" t="str">
        <f>HYPERLINK("https://app.vivvix.com/360/KMI/IntelliDrive/ApplUI/Pages/CreativePages/CustomReportCreativeDetail.aspx?App=23&amp;ReportView=4&amp;Qid=1711279&amp;Row=19145&amp;Col=1","No Title Assigned - #15278159933")</f>
        <v/>
      </c>
      <c r="B19153" s="0" t="s">
        <v>25301</v>
      </c>
      <c r="E19153" s="0" t="inlineStr">
        <is>
          <t xml:space="preserve">Mazda</t>
        </is>
      </c>
      <c r="F19153" s="0" t="inlineStr">
        <is>
          <t xml:space="preserve">Mazda</t>
        </is>
      </c>
      <c r="G19153" s="0" t="s">
        <v>171</v>
      </c>
      <c r="H19153" s="5">
        <v>316.480200</v>
      </c>
    </row>
    <row r="19154" spans="1:9">
      <c r="A19154" s="22" t="str">
        <f>HYPERLINK("https://app.vivvix.com/360/KMI/IntelliDrive/ApplUI/Pages/CreativePages/CustomReportCreativeDetail.aspx?App=23&amp;ReportView=4&amp;Qid=1711279&amp;Row=19146&amp;Col=1","No Title Assigned - #15278159964")</f>
        <v/>
      </c>
      <c r="B19154" s="0" t="s">
        <v>25302</v>
      </c>
      <c r="E19154" s="0" t="inlineStr">
        <is>
          <t xml:space="preserve">Mazda</t>
        </is>
      </c>
      <c r="F19154" s="0" t="inlineStr">
        <is>
          <t xml:space="preserve">Mazda</t>
        </is>
      </c>
      <c r="G19154" s="0" t="s">
        <v>171</v>
      </c>
      <c r="H19154" s="5">
        <v>217.578700</v>
      </c>
    </row>
    <row r="19155" spans="1:9">
      <c r="A19155" s="22" t="str">
        <f>HYPERLINK("https://app.vivvix.com/360/KMI/IntelliDrive/ApplUI/Pages/CreativePages/CustomReportCreativeDetail.aspx?App=23&amp;ReportView=4&amp;Qid=1711279&amp;Row=19147&amp;Col=1","No Title Assigned - #15278160259")</f>
        <v/>
      </c>
      <c r="B19155" s="0" t="s">
        <v>25303</v>
      </c>
      <c r="C19155" s="0" t="s">
        <v>25304</v>
      </c>
      <c r="D19155" s="0" t="s">
        <v>4200</v>
      </c>
      <c r="E19155" s="0" t="inlineStr">
        <is>
          <t xml:space="preserve">Mazda</t>
        </is>
      </c>
      <c r="F19155" s="0" t="s">
        <v>28</v>
      </c>
      <c r="G19155" s="0" t="s">
        <v>29</v>
      </c>
      <c r="H19155" s="5">
        <v>14.337500</v>
      </c>
    </row>
    <row r="19156" spans="1:9">
      <c r="A19156" s="22" t="str">
        <f>HYPERLINK("https://app.vivvix.com/360/KMI/IntelliDrive/ApplUI/Pages/CreativePages/CustomReportCreativeDetail.aspx?App=23&amp;ReportView=4&amp;Qid=1711279&amp;Row=19148&amp;Col=1","No Title Assigned - #15278160276")</f>
        <v/>
      </c>
      <c r="B19156" s="0" t="s">
        <v>25305</v>
      </c>
      <c r="C19156" s="0" t="s">
        <v>25306</v>
      </c>
      <c r="D19156" s="0" t="s">
        <v>25306</v>
      </c>
      <c r="E19156" s="0" t="inlineStr">
        <is>
          <t xml:space="preserve">Mazda</t>
        </is>
      </c>
      <c r="F19156" s="0" t="inlineStr">
        <is>
          <t xml:space="preserve">Mazda</t>
        </is>
      </c>
      <c r="G19156" s="0" t="s">
        <v>171</v>
      </c>
      <c r="H19156" s="5">
        <v>151.735000</v>
      </c>
    </row>
    <row r="19157" spans="1:9">
      <c r="A19157" s="22" t="str">
        <f>HYPERLINK("https://app.vivvix.com/360/KMI/IntelliDrive/ApplUI/Pages/CreativePages/CustomReportCreativeDetail.aspx?App=23&amp;ReportView=4&amp;Qid=1711279&amp;Row=19149&amp;Col=1","No Title Assigned - #15278160400")</f>
        <v/>
      </c>
      <c r="B19157" s="0" t="s">
        <v>25307</v>
      </c>
      <c r="E19157" s="0" t="inlineStr">
        <is>
          <t xml:space="preserve">Mazda</t>
        </is>
      </c>
      <c r="F19157" s="0" t="inlineStr">
        <is>
          <t xml:space="preserve">Mazda</t>
        </is>
      </c>
      <c r="G19157" s="0" t="s">
        <v>171</v>
      </c>
      <c r="H19157" s="5">
        <v>8.559600</v>
      </c>
    </row>
    <row r="19158" spans="1:9">
      <c r="A19158" s="22" t="str">
        <f>HYPERLINK("https://app.vivvix.com/360/KMI/IntelliDrive/ApplUI/Pages/CreativePages/CustomReportCreativeDetail.aspx?App=23&amp;ReportView=4&amp;Qid=1711279&amp;Row=19150&amp;Col=1","No Title Assigned - #15278160400")</f>
        <v/>
      </c>
      <c r="B19158" s="0" t="s">
        <v>25307</v>
      </c>
      <c r="E19158" s="0" t="inlineStr">
        <is>
          <t xml:space="preserve">Mazda</t>
        </is>
      </c>
      <c r="F19158" s="0" t="inlineStr">
        <is>
          <t xml:space="preserve">Mazda</t>
        </is>
      </c>
      <c r="G19158" s="0" t="s">
        <v>171</v>
      </c>
      <c r="H19158" s="5">
        <v>294.932000</v>
      </c>
    </row>
    <row r="19159" spans="1:9">
      <c r="A19159" s="22" t="str">
        <f>HYPERLINK("https://app.vivvix.com/360/KMI/IntelliDrive/ApplUI/Pages/CreativePages/CustomReportCreativeDetail.aspx?App=23&amp;ReportView=4&amp;Qid=1711279&amp;Row=19151&amp;Col=1","No Title Assigned - #15278160519")</f>
        <v/>
      </c>
      <c r="B19159" s="0" t="s">
        <v>25308</v>
      </c>
      <c r="E19159" s="0" t="inlineStr">
        <is>
          <t xml:space="preserve">Mazda</t>
        </is>
      </c>
      <c r="F19159" s="0" t="inlineStr">
        <is>
          <t xml:space="preserve">Mazda</t>
        </is>
      </c>
      <c r="G19159" s="0" t="s">
        <v>171</v>
      </c>
      <c r="H19159" s="5">
        <v>526.614900</v>
      </c>
    </row>
    <row r="19160" spans="1:9">
      <c r="A19160" s="22" t="str">
        <f>HYPERLINK("https://app.vivvix.com/360/KMI/IntelliDrive/ApplUI/Pages/CreativePages/CustomReportCreativeDetail.aspx?App=23&amp;ReportView=4&amp;Qid=1711279&amp;Row=19152&amp;Col=1","No Title Assigned - #15278160519")</f>
        <v/>
      </c>
      <c r="B19160" s="0" t="s">
        <v>25308</v>
      </c>
      <c r="E19160" s="0" t="inlineStr">
        <is>
          <t xml:space="preserve">Mazda</t>
        </is>
      </c>
      <c r="F19160" s="0" t="inlineStr">
        <is>
          <t xml:space="preserve">Mazda</t>
        </is>
      </c>
      <c r="G19160" s="0" t="s">
        <v>171</v>
      </c>
      <c r="H19160" s="5">
        <v>62.304300</v>
      </c>
    </row>
    <row r="19161" spans="1:9">
      <c r="A19161" s="22" t="str">
        <f>HYPERLINK("https://app.vivvix.com/360/KMI/IntelliDrive/ApplUI/Pages/CreativePages/CustomReportCreativeDetail.aspx?App=23&amp;ReportView=4&amp;Qid=1711279&amp;Row=19153&amp;Col=1","No Title Assigned - #15278160668")</f>
        <v/>
      </c>
      <c r="B19161" s="0" t="s">
        <v>25309</v>
      </c>
      <c r="E19161" s="0" t="inlineStr">
        <is>
          <t xml:space="preserve">Mazda</t>
        </is>
      </c>
      <c r="F19161" s="0" t="inlineStr">
        <is>
          <t xml:space="preserve">Mazda</t>
        </is>
      </c>
      <c r="G19161" s="0" t="s">
        <v>171</v>
      </c>
      <c r="H19161" s="5">
        <v>15131.294500</v>
      </c>
    </row>
    <row r="19162" spans="1:9">
      <c r="A19162" s="22" t="str">
        <f>HYPERLINK("https://app.vivvix.com/360/KMI/IntelliDrive/ApplUI/Pages/CreativePages/CustomReportCreativeDetail.aspx?App=23&amp;ReportView=4&amp;Qid=1711279&amp;Row=19154&amp;Col=1","No Title Assigned - #15278160703")</f>
        <v/>
      </c>
      <c r="B19162" s="0" t="s">
        <v>25310</v>
      </c>
      <c r="E19162" s="0" t="inlineStr">
        <is>
          <t xml:space="preserve">Mazda</t>
        </is>
      </c>
      <c r="F19162" s="0" t="inlineStr">
        <is>
          <t xml:space="preserve">Mazda</t>
        </is>
      </c>
      <c r="G19162" s="0" t="s">
        <v>171</v>
      </c>
      <c r="H19162" s="5">
        <v>250.441100</v>
      </c>
    </row>
    <row r="19163" spans="1:9">
      <c r="A19163" s="22" t="str">
        <f>HYPERLINK("https://app.vivvix.com/360/KMI/IntelliDrive/ApplUI/Pages/CreativePages/CustomReportCreativeDetail.aspx?App=23&amp;ReportView=4&amp;Qid=1711279&amp;Row=19155&amp;Col=1","No Title Assigned - #15278161001")</f>
        <v/>
      </c>
      <c r="B19163" s="0" t="s">
        <v>25311</v>
      </c>
      <c r="C19163" s="0" t="s">
        <v>25312</v>
      </c>
      <c r="D19163" s="0" t="s">
        <v>25312</v>
      </c>
      <c r="E19163" s="0" t="inlineStr">
        <is>
          <t xml:space="preserve">Mazda</t>
        </is>
      </c>
      <c r="F19163" s="0" t="s">
        <v>28</v>
      </c>
      <c r="G19163" s="0" t="s">
        <v>29</v>
      </c>
      <c r="H19163" s="5">
        <v>458.751100</v>
      </c>
    </row>
    <row r="19164" spans="1:9">
      <c r="A19164" s="22" t="str">
        <f>HYPERLINK("https://app.vivvix.com/360/KMI/IntelliDrive/ApplUI/Pages/CreativePages/CustomReportCreativeDetail.aspx?App=23&amp;ReportView=4&amp;Qid=1711279&amp;Row=19156&amp;Col=1","No Title Assigned - #15278161214")</f>
        <v/>
      </c>
      <c r="B19164" s="0" t="s">
        <v>25313</v>
      </c>
      <c r="C19164" s="0" t="s">
        <v>25314</v>
      </c>
      <c r="D19164" s="0" t="s">
        <v>25314</v>
      </c>
      <c r="E19164" s="0" t="inlineStr">
        <is>
          <t xml:space="preserve">Mazda</t>
        </is>
      </c>
      <c r="F19164" s="0" t="s">
        <v>28</v>
      </c>
      <c r="G19164" s="0" t="s">
        <v>29</v>
      </c>
      <c r="H19164" s="5">
        <v>2954.946200</v>
      </c>
    </row>
    <row r="19165" spans="1:9">
      <c r="A19165" s="22" t="str">
        <f>HYPERLINK("https://app.vivvix.com/360/KMI/IntelliDrive/ApplUI/Pages/CreativePages/CustomReportCreativeDetail.aspx?App=23&amp;ReportView=4&amp;Qid=1711279&amp;Row=19157&amp;Col=1","No Title Assigned - #15278161393")</f>
        <v/>
      </c>
      <c r="B19165" s="0" t="s">
        <v>25315</v>
      </c>
      <c r="C19165" s="0" t="s">
        <v>25316</v>
      </c>
      <c r="D19165" s="0" t="s">
        <v>25316</v>
      </c>
      <c r="E19165" s="0" t="inlineStr">
        <is>
          <t xml:space="preserve">Mazda</t>
        </is>
      </c>
      <c r="F19165" s="0" t="s">
        <v>28</v>
      </c>
      <c r="G19165" s="0" t="s">
        <v>29</v>
      </c>
      <c r="H19165" s="5">
        <v>1399.726100</v>
      </c>
    </row>
    <row r="19166" spans="1:9">
      <c r="A19166" s="22" t="str">
        <f>HYPERLINK("https://app.vivvix.com/360/KMI/IntelliDrive/ApplUI/Pages/CreativePages/CustomReportCreativeDetail.aspx?App=23&amp;ReportView=4&amp;Qid=1711279&amp;Row=19158&amp;Col=1","No Title Assigned - #15278161402")</f>
        <v/>
      </c>
      <c r="B19166" s="0" t="s">
        <v>25317</v>
      </c>
      <c r="C19166" s="0" t="s">
        <v>25318</v>
      </c>
      <c r="D19166" s="0" t="s">
        <v>25318</v>
      </c>
      <c r="E19166" s="0" t="inlineStr">
        <is>
          <t xml:space="preserve">Mazda</t>
        </is>
      </c>
      <c r="F19166" s="0" t="s">
        <v>28</v>
      </c>
      <c r="G19166" s="0" t="s">
        <v>29</v>
      </c>
      <c r="H19166" s="5">
        <v>813.192100</v>
      </c>
    </row>
    <row r="19167" spans="1:9">
      <c r="A19167" s="22" t="str">
        <f>HYPERLINK("https://app.vivvix.com/360/KMI/IntelliDrive/ApplUI/Pages/CreativePages/CustomReportCreativeDetail.aspx?App=23&amp;ReportView=4&amp;Qid=1711279&amp;Row=19159&amp;Col=1","No Title Assigned - #15278161544")</f>
        <v/>
      </c>
      <c r="B19167" s="0" t="s">
        <v>25319</v>
      </c>
      <c r="C19167" s="0" t="s">
        <v>25320</v>
      </c>
      <c r="D19167" s="0" t="s">
        <v>25320</v>
      </c>
      <c r="E19167" s="0" t="inlineStr">
        <is>
          <t xml:space="preserve">Mazda</t>
        </is>
      </c>
      <c r="F19167" s="0" t="s">
        <v>28</v>
      </c>
      <c r="G19167" s="0" t="s">
        <v>29</v>
      </c>
      <c r="H19167" s="5">
        <v>29.823100</v>
      </c>
    </row>
    <row r="19168" spans="1:9">
      <c r="A19168" s="22" t="str">
        <f>HYPERLINK("https://app.vivvix.com/360/KMI/IntelliDrive/ApplUI/Pages/CreativePages/CustomReportCreativeDetail.aspx?App=23&amp;ReportView=4&amp;Qid=1711279&amp;Row=19160&amp;Col=1","No Title Assigned - #15278161559")</f>
        <v/>
      </c>
      <c r="B19168" s="0" t="s">
        <v>25321</v>
      </c>
      <c r="C19168" s="0" t="s">
        <v>25322</v>
      </c>
      <c r="D19168" s="0" t="s">
        <v>4200</v>
      </c>
      <c r="E19168" s="0" t="inlineStr">
        <is>
          <t xml:space="preserve">Mazda</t>
        </is>
      </c>
      <c r="F19168" s="0" t="s">
        <v>28</v>
      </c>
      <c r="G19168" s="0" t="s">
        <v>29</v>
      </c>
      <c r="H19168" s="5">
        <v>1220.350300</v>
      </c>
    </row>
    <row r="19169" spans="1:9">
      <c r="A19169" s="22" t="str">
        <f>HYPERLINK("https://app.vivvix.com/360/KMI/IntelliDrive/ApplUI/Pages/CreativePages/CustomReportCreativeDetail.aspx?App=23&amp;ReportView=4&amp;Qid=1711279&amp;Row=19161&amp;Col=1","No Title Assigned - #15278161669")</f>
        <v/>
      </c>
      <c r="B19169" s="0" t="s">
        <v>25323</v>
      </c>
      <c r="C19169" s="0" t="s">
        <v>25324</v>
      </c>
      <c r="D19169" s="0" t="s">
        <v>25324</v>
      </c>
      <c r="E19169" s="0" t="inlineStr">
        <is>
          <t xml:space="preserve">Mazda</t>
        </is>
      </c>
      <c r="F19169" s="0" t="s">
        <v>28</v>
      </c>
      <c r="G19169" s="0" t="s">
        <v>29</v>
      </c>
      <c r="H19169" s="5">
        <v>2.142400</v>
      </c>
    </row>
    <row r="19170" spans="1:9">
      <c r="A19170" s="22" t="str">
        <f>HYPERLINK("https://app.vivvix.com/360/KMI/IntelliDrive/ApplUI/Pages/CreativePages/CustomReportCreativeDetail.aspx?App=23&amp;ReportView=4&amp;Qid=1711279&amp;Row=19162&amp;Col=1","No Title Assigned - #15278161701")</f>
        <v/>
      </c>
      <c r="B19170" s="0" t="s">
        <v>25325</v>
      </c>
      <c r="C19170" s="0" t="s">
        <v>25326</v>
      </c>
      <c r="D19170" s="0" t="s">
        <v>4333</v>
      </c>
      <c r="E19170" s="0" t="inlineStr">
        <is>
          <t xml:space="preserve">Mazda</t>
        </is>
      </c>
      <c r="F19170" s="0" t="s">
        <v>28</v>
      </c>
      <c r="G19170" s="0" t="s">
        <v>29</v>
      </c>
      <c r="H19170" s="5">
        <v>136.955100</v>
      </c>
    </row>
    <row r="19171" spans="1:9">
      <c r="A19171" s="22" t="str">
        <f>HYPERLINK("https://app.vivvix.com/360/KMI/IntelliDrive/ApplUI/Pages/CreativePages/CustomReportCreativeDetail.aspx?App=23&amp;ReportView=4&amp;Qid=1711279&amp;Row=19163&amp;Col=1","No Title Assigned - #15278161759")</f>
        <v/>
      </c>
      <c r="B19171" s="0" t="s">
        <v>25327</v>
      </c>
      <c r="C19171" s="0" t="s">
        <v>25328</v>
      </c>
      <c r="D19171" s="0" t="s">
        <v>25328</v>
      </c>
      <c r="E19171" s="0" t="inlineStr">
        <is>
          <t xml:space="preserve">Mazda</t>
        </is>
      </c>
      <c r="F19171" s="0" t="s">
        <v>13</v>
      </c>
      <c r="G19171" s="0" t="s">
        <v>49</v>
      </c>
      <c r="H19171" s="5">
        <v>72.146500</v>
      </c>
    </row>
    <row r="19172" spans="1:9">
      <c r="A19172" s="22" t="str">
        <f>HYPERLINK("https://app.vivvix.com/360/KMI/IntelliDrive/ApplUI/Pages/CreativePages/CustomReportCreativeDetail.aspx?App=23&amp;ReportView=4&amp;Qid=1711279&amp;Row=19164&amp;Col=1","No Title Assigned - #15278162039")</f>
        <v/>
      </c>
      <c r="B19172" s="0" t="s">
        <v>25329</v>
      </c>
      <c r="C19172" s="0" t="s">
        <v>25330</v>
      </c>
      <c r="D19172" s="0" t="s">
        <v>25330</v>
      </c>
      <c r="E19172" s="0" t="inlineStr">
        <is>
          <t xml:space="preserve">Mazda</t>
        </is>
      </c>
      <c r="F19172" s="0" t="s">
        <v>28</v>
      </c>
      <c r="G19172" s="0" t="s">
        <v>29</v>
      </c>
      <c r="H19172" s="5">
        <v>203.809400</v>
      </c>
    </row>
    <row r="19173" spans="1:9">
      <c r="A19173" s="22" t="str">
        <f>HYPERLINK("https://app.vivvix.com/360/KMI/IntelliDrive/ApplUI/Pages/CreativePages/CustomReportCreativeDetail.aspx?App=23&amp;ReportView=4&amp;Qid=1711279&amp;Row=19165&amp;Col=1","No Title Assigned - #15278162133")</f>
        <v/>
      </c>
      <c r="B19173" s="0" t="s">
        <v>25331</v>
      </c>
      <c r="E19173" s="0" t="inlineStr">
        <is>
          <t xml:space="preserve">Mazda</t>
        </is>
      </c>
      <c r="F19173" s="0" t="s">
        <v>1568</v>
      </c>
      <c r="G19173" s="0" t="s">
        <v>1569</v>
      </c>
      <c r="H19173" s="5">
        <v>502.434000</v>
      </c>
    </row>
    <row r="19174" spans="1:9">
      <c r="A19174" s="22" t="str">
        <f>HYPERLINK("https://app.vivvix.com/360/KMI/IntelliDrive/ApplUI/Pages/CreativePages/CustomReportCreativeDetail.aspx?App=23&amp;ReportView=4&amp;Qid=1711279&amp;Row=19166&amp;Col=1","No Title Assigned - #15278162330")</f>
        <v/>
      </c>
      <c r="B19174" s="0" t="s">
        <v>25332</v>
      </c>
      <c r="C19174" s="0" t="s">
        <v>25333</v>
      </c>
      <c r="D19174" s="0" t="s">
        <v>25333</v>
      </c>
      <c r="E19174" s="0" t="inlineStr">
        <is>
          <t xml:space="preserve">Mazda</t>
        </is>
      </c>
      <c r="F19174" s="0" t="s">
        <v>28</v>
      </c>
      <c r="G19174" s="0" t="s">
        <v>29</v>
      </c>
      <c r="H19174" s="5">
        <v>554.460300</v>
      </c>
    </row>
    <row r="19175" spans="1:9">
      <c r="A19175" s="22" t="str">
        <f>HYPERLINK("https://app.vivvix.com/360/KMI/IntelliDrive/ApplUI/Pages/CreativePages/CustomReportCreativeDetail.aspx?App=23&amp;ReportView=4&amp;Qid=1711279&amp;Row=19167&amp;Col=1","No Title Assigned - #15278162890")</f>
        <v/>
      </c>
      <c r="B19175" s="0" t="s">
        <v>25334</v>
      </c>
      <c r="C19175" s="0" t="s">
        <v>25335</v>
      </c>
      <c r="D19175" s="0" t="s">
        <v>15532</v>
      </c>
      <c r="E19175" s="0" t="inlineStr">
        <is>
          <t xml:space="preserve">Mazda</t>
        </is>
      </c>
      <c r="F19175" s="0" t="s">
        <v>28</v>
      </c>
      <c r="G19175" s="0" t="s">
        <v>29</v>
      </c>
      <c r="H19175" s="5">
        <v>145.280300</v>
      </c>
    </row>
    <row r="19176" spans="1:9">
      <c r="A19176" s="22" t="str">
        <f>HYPERLINK("https://app.vivvix.com/360/KMI/IntelliDrive/ApplUI/Pages/CreativePages/CustomReportCreativeDetail.aspx?App=23&amp;ReportView=4&amp;Qid=1711279&amp;Row=19168&amp;Col=1","No Title Assigned - #15278162891")</f>
        <v/>
      </c>
      <c r="B19176" s="0" t="s">
        <v>25336</v>
      </c>
      <c r="C19176" s="0" t="s">
        <v>25337</v>
      </c>
      <c r="D19176" s="0" t="s">
        <v>4202</v>
      </c>
      <c r="E19176" s="0" t="inlineStr">
        <is>
          <t xml:space="preserve">Mazda</t>
        </is>
      </c>
      <c r="F19176" s="0" t="s">
        <v>28</v>
      </c>
      <c r="G19176" s="0" t="s">
        <v>29</v>
      </c>
      <c r="H19176" s="5">
        <v>145.280300</v>
      </c>
    </row>
    <row r="19177" spans="1:9">
      <c r="A19177" s="22" t="str">
        <f>HYPERLINK("https://app.vivvix.com/360/KMI/IntelliDrive/ApplUI/Pages/CreativePages/CustomReportCreativeDetail.aspx?App=23&amp;ReportView=4&amp;Qid=1711279&amp;Row=19169&amp;Col=1","No Title Assigned - #15278162892")</f>
        <v/>
      </c>
      <c r="B19177" s="0" t="s">
        <v>25338</v>
      </c>
      <c r="C19177" s="0" t="s">
        <v>25339</v>
      </c>
      <c r="D19177" s="0" t="s">
        <v>4225</v>
      </c>
      <c r="E19177" s="0" t="inlineStr">
        <is>
          <t xml:space="preserve">Mazda</t>
        </is>
      </c>
      <c r="F19177" s="0" t="s">
        <v>28</v>
      </c>
      <c r="G19177" s="0" t="s">
        <v>29</v>
      </c>
      <c r="H19177" s="5">
        <v>145.280300</v>
      </c>
    </row>
    <row r="19178" spans="1:9">
      <c r="A19178" s="22" t="str">
        <f>HYPERLINK("https://app.vivvix.com/360/KMI/IntelliDrive/ApplUI/Pages/CreativePages/CustomReportCreativeDetail.aspx?App=23&amp;ReportView=4&amp;Qid=1711279&amp;Row=19170&amp;Col=1","No Title Assigned - #15278162914")</f>
        <v/>
      </c>
      <c r="B19178" s="0" t="s">
        <v>25340</v>
      </c>
      <c r="C19178" s="0" t="s">
        <v>25341</v>
      </c>
      <c r="D19178" s="0" t="s">
        <v>25341</v>
      </c>
      <c r="E19178" s="0" t="inlineStr">
        <is>
          <t xml:space="preserve">Mazda</t>
        </is>
      </c>
      <c r="F19178" s="0" t="s">
        <v>28</v>
      </c>
      <c r="G19178" s="0" t="s">
        <v>29</v>
      </c>
      <c r="H19178" s="5">
        <v>2493.343400</v>
      </c>
    </row>
    <row r="19179" spans="1:9">
      <c r="A19179" s="22" t="str">
        <f>HYPERLINK("https://app.vivvix.com/360/KMI/IntelliDrive/ApplUI/Pages/CreativePages/CustomReportCreativeDetail.aspx?App=23&amp;ReportView=4&amp;Qid=1711279&amp;Row=19171&amp;Col=1","No Title Assigned - #15278162978")</f>
        <v/>
      </c>
      <c r="B19179" s="0" t="s">
        <v>25342</v>
      </c>
      <c r="C19179" s="0" t="s">
        <v>25343</v>
      </c>
      <c r="D19179" s="0" t="s">
        <v>4200</v>
      </c>
      <c r="E19179" s="0" t="inlineStr">
        <is>
          <t xml:space="preserve">Mazda</t>
        </is>
      </c>
      <c r="F19179" s="0" t="s">
        <v>28</v>
      </c>
      <c r="G19179" s="0" t="s">
        <v>29</v>
      </c>
      <c r="H19179" s="5">
        <v>103.150200</v>
      </c>
    </row>
    <row r="19180" spans="1:9">
      <c r="A19180" s="22" t="str">
        <f>HYPERLINK("https://app.vivvix.com/360/KMI/IntelliDrive/ApplUI/Pages/CreativePages/CustomReportCreativeDetail.aspx?App=23&amp;ReportView=4&amp;Qid=1711279&amp;Row=19172&amp;Col=1","No Title Assigned - #15278163204")</f>
        <v/>
      </c>
      <c r="B19180" s="0" t="s">
        <v>25344</v>
      </c>
      <c r="C19180" s="0" t="s">
        <v>25345</v>
      </c>
      <c r="D19180" s="0" t="s">
        <v>16579</v>
      </c>
      <c r="E19180" s="0" t="inlineStr">
        <is>
          <t xml:space="preserve">Mazda</t>
        </is>
      </c>
      <c r="F19180" s="0" t="s">
        <v>28</v>
      </c>
      <c r="G19180" s="0" t="s">
        <v>29</v>
      </c>
      <c r="H19180" s="5">
        <v>145.279800</v>
      </c>
    </row>
    <row r="19181" spans="1:9">
      <c r="A19181" s="22" t="str">
        <f>HYPERLINK("https://app.vivvix.com/360/KMI/IntelliDrive/ApplUI/Pages/CreativePages/CustomReportCreativeDetail.aspx?App=23&amp;ReportView=4&amp;Qid=1711279&amp;Row=19173&amp;Col=1","No Title Assigned - #15278163876")</f>
        <v/>
      </c>
      <c r="B19181" s="0" t="s">
        <v>25346</v>
      </c>
      <c r="C19181" s="0" t="s">
        <v>25347</v>
      </c>
      <c r="D19181" s="0" t="s">
        <v>4204</v>
      </c>
      <c r="E19181" s="0" t="inlineStr">
        <is>
          <t xml:space="preserve">Mazda</t>
        </is>
      </c>
      <c r="F19181" s="0" t="s">
        <v>28</v>
      </c>
      <c r="G19181" s="0" t="s">
        <v>29</v>
      </c>
      <c r="H19181" s="5">
        <v>1753.074800</v>
      </c>
    </row>
    <row r="19182" spans="1:9">
      <c r="A19182" s="22" t="str">
        <f>HYPERLINK("https://app.vivvix.com/360/KMI/IntelliDrive/ApplUI/Pages/CreativePages/CustomReportCreativeDetail.aspx?App=23&amp;ReportView=4&amp;Qid=1711279&amp;Row=19174&amp;Col=1","No Title Assigned - #15278163929")</f>
        <v/>
      </c>
      <c r="B19182" s="0" t="s">
        <v>25348</v>
      </c>
      <c r="C19182" s="0" t="s">
        <v>25349</v>
      </c>
      <c r="D19182" s="0" t="s">
        <v>25349</v>
      </c>
      <c r="E19182" s="0" t="inlineStr">
        <is>
          <t xml:space="preserve">Mazda</t>
        </is>
      </c>
      <c r="F19182" s="0" t="s">
        <v>28</v>
      </c>
      <c r="G19182" s="0" t="s">
        <v>29</v>
      </c>
      <c r="H19182" s="5">
        <v>59.646200</v>
      </c>
    </row>
    <row r="19183" spans="1:9">
      <c r="A19183" s="22" t="str">
        <f>HYPERLINK("https://app.vivvix.com/360/KMI/IntelliDrive/ApplUI/Pages/CreativePages/CustomReportCreativeDetail.aspx?App=23&amp;ReportView=4&amp;Qid=1711279&amp;Row=19175&amp;Col=1","No Title Assigned - #15278163930")</f>
        <v/>
      </c>
      <c r="B19183" s="0" t="s">
        <v>25350</v>
      </c>
      <c r="C19183" s="0" t="s">
        <v>25351</v>
      </c>
      <c r="D19183" s="0" t="s">
        <v>25351</v>
      </c>
      <c r="E19183" s="0" t="inlineStr">
        <is>
          <t xml:space="preserve">Mazda</t>
        </is>
      </c>
      <c r="F19183" s="0" t="s">
        <v>28</v>
      </c>
      <c r="G19183" s="0" t="s">
        <v>29</v>
      </c>
      <c r="H19183" s="5">
        <v>29.823100</v>
      </c>
    </row>
    <row r="19184" spans="1:9">
      <c r="A19184" s="22" t="str">
        <f>HYPERLINK("https://app.vivvix.com/360/KMI/IntelliDrive/ApplUI/Pages/CreativePages/CustomReportCreativeDetail.aspx?App=23&amp;ReportView=4&amp;Qid=1711279&amp;Row=19176&amp;Col=1","No Title Assigned - #15278163956")</f>
        <v/>
      </c>
      <c r="B19184" s="0" t="s">
        <v>25352</v>
      </c>
      <c r="C19184" s="0" t="s">
        <v>25353</v>
      </c>
      <c r="D19184" s="0" t="s">
        <v>6339</v>
      </c>
      <c r="E19184" s="0" t="inlineStr">
        <is>
          <t xml:space="preserve">Mazda</t>
        </is>
      </c>
      <c r="F19184" s="0" t="s">
        <v>28</v>
      </c>
      <c r="G19184" s="0" t="s">
        <v>29</v>
      </c>
      <c r="H19184" s="5">
        <v>29.823100</v>
      </c>
    </row>
    <row r="19185" spans="1:9">
      <c r="A19185" s="22" t="str">
        <f>HYPERLINK("https://app.vivvix.com/360/KMI/IntelliDrive/ApplUI/Pages/CreativePages/CustomReportCreativeDetail.aspx?App=23&amp;ReportView=4&amp;Qid=1711279&amp;Row=19177&amp;Col=1","No Title Assigned - #15278164857")</f>
        <v/>
      </c>
      <c r="B19185" s="0" t="s">
        <v>25354</v>
      </c>
      <c r="E19185" s="0" t="inlineStr">
        <is>
          <t xml:space="preserve">Mazda</t>
        </is>
      </c>
      <c r="F19185" s="0" t="inlineStr">
        <is>
          <t xml:space="preserve">Mazda</t>
        </is>
      </c>
      <c r="G19185" s="0" t="s">
        <v>171</v>
      </c>
      <c r="H19185" s="5">
        <v>29.480000</v>
      </c>
    </row>
    <row r="19186" spans="1:9">
      <c r="A19186" s="22" t="str">
        <f>HYPERLINK("https://app.vivvix.com/360/KMI/IntelliDrive/ApplUI/Pages/CreativePages/CustomReportCreativeDetail.aspx?App=23&amp;ReportView=4&amp;Qid=1711279&amp;Row=19178&amp;Col=1","No Title Assigned - #15278165214")</f>
        <v/>
      </c>
      <c r="B19186" s="0" t="s">
        <v>25355</v>
      </c>
      <c r="E19186" s="0" t="inlineStr">
        <is>
          <t xml:space="preserve">Mazda</t>
        </is>
      </c>
      <c r="F19186" s="0" t="inlineStr">
        <is>
          <t xml:space="preserve">Mazda</t>
        </is>
      </c>
      <c r="G19186" s="0" t="s">
        <v>171</v>
      </c>
      <c r="H19186" s="5">
        <v>58.362100</v>
      </c>
    </row>
    <row r="19187" spans="1:9">
      <c r="A19187" s="22" t="str">
        <f>HYPERLINK("https://app.vivvix.com/360/KMI/IntelliDrive/ApplUI/Pages/CreativePages/CustomReportCreativeDetail.aspx?App=23&amp;ReportView=4&amp;Qid=1711279&amp;Row=19179&amp;Col=1","No Title Assigned - #15278165827")</f>
        <v/>
      </c>
      <c r="B19187" s="0" t="s">
        <v>25356</v>
      </c>
      <c r="E19187" s="0" t="inlineStr">
        <is>
          <t xml:space="preserve">Mazda</t>
        </is>
      </c>
      <c r="F19187" s="0" t="inlineStr">
        <is>
          <t xml:space="preserve">Mazda</t>
        </is>
      </c>
      <c r="G19187" s="0" t="s">
        <v>171</v>
      </c>
      <c r="H19187" s="5">
        <v>61.691500</v>
      </c>
    </row>
    <row r="19188" spans="1:9">
      <c r="A19188" s="22" t="str">
        <f>HYPERLINK("https://app.vivvix.com/360/KMI/IntelliDrive/ApplUI/Pages/CreativePages/CustomReportCreativeDetail.aspx?App=23&amp;ReportView=4&amp;Qid=1711279&amp;Row=19180&amp;Col=1","No Title Assigned - #15278165920")</f>
        <v/>
      </c>
      <c r="B19188" s="0" t="s">
        <v>25357</v>
      </c>
      <c r="E19188" s="0" t="inlineStr">
        <is>
          <t xml:space="preserve">Mazda</t>
        </is>
      </c>
      <c r="F19188" s="0" t="inlineStr">
        <is>
          <t xml:space="preserve">Mazda</t>
        </is>
      </c>
      <c r="G19188" s="0" t="s">
        <v>171</v>
      </c>
      <c r="H19188" s="5">
        <v>122.013600</v>
      </c>
    </row>
    <row r="19189" spans="1:9">
      <c r="A19189" s="22" t="str">
        <f>HYPERLINK("https://app.vivvix.com/360/KMI/IntelliDrive/ApplUI/Pages/CreativePages/CustomReportCreativeDetail.aspx?App=23&amp;ReportView=4&amp;Qid=1711279&amp;Row=19181&amp;Col=1","No Title Assigned - #15278166022")</f>
        <v/>
      </c>
      <c r="B19189" s="0" t="s">
        <v>25358</v>
      </c>
      <c r="E19189" s="0" t="inlineStr">
        <is>
          <t xml:space="preserve">Mazda</t>
        </is>
      </c>
      <c r="F19189" s="0" t="inlineStr">
        <is>
          <t xml:space="preserve">Mazda</t>
        </is>
      </c>
      <c r="G19189" s="0" t="s">
        <v>171</v>
      </c>
      <c r="H19189" s="5">
        <v>31.636600</v>
      </c>
    </row>
    <row r="19190" spans="1:9">
      <c r="A19190" s="22" t="str">
        <f>HYPERLINK("https://app.vivvix.com/360/KMI/IntelliDrive/ApplUI/Pages/CreativePages/CustomReportCreativeDetail.aspx?App=23&amp;ReportView=4&amp;Qid=1711279&amp;Row=19182&amp;Col=1","No Title Assigned - #15278166058")</f>
        <v/>
      </c>
      <c r="B19190" s="0" t="s">
        <v>25359</v>
      </c>
      <c r="E19190" s="0" t="inlineStr">
        <is>
          <t xml:space="preserve">Mazda</t>
        </is>
      </c>
      <c r="F19190" s="0" t="inlineStr">
        <is>
          <t xml:space="preserve">Mazda</t>
        </is>
      </c>
      <c r="G19190" s="0" t="s">
        <v>171</v>
      </c>
      <c r="H19190" s="5">
        <v>2.724300</v>
      </c>
    </row>
    <row r="19191" spans="1:9">
      <c r="A19191" s="22" t="str">
        <f>HYPERLINK("https://app.vivvix.com/360/KMI/IntelliDrive/ApplUI/Pages/CreativePages/CustomReportCreativeDetail.aspx?App=23&amp;ReportView=4&amp;Qid=1711279&amp;Row=19183&amp;Col=1","No Title Assigned - #15278166360")</f>
        <v/>
      </c>
      <c r="B19191" s="0" t="s">
        <v>25360</v>
      </c>
      <c r="E19191" s="0" t="inlineStr">
        <is>
          <t xml:space="preserve">Mazda</t>
        </is>
      </c>
      <c r="F19191" s="0" t="inlineStr">
        <is>
          <t xml:space="preserve">Mazda</t>
        </is>
      </c>
      <c r="G19191" s="0" t="s">
        <v>171</v>
      </c>
      <c r="H19191" s="5">
        <v>62.164100</v>
      </c>
    </row>
    <row r="19192" spans="1:9">
      <c r="A19192" s="22" t="str">
        <f>HYPERLINK("https://app.vivvix.com/360/KMI/IntelliDrive/ApplUI/Pages/CreativePages/CustomReportCreativeDetail.aspx?App=23&amp;ReportView=4&amp;Qid=1711279&amp;Row=19184&amp;Col=1","No Title Assigned - #15278167318")</f>
        <v/>
      </c>
      <c r="B19192" s="0" t="s">
        <v>25361</v>
      </c>
      <c r="E19192" s="0" t="inlineStr">
        <is>
          <t xml:space="preserve">Mazda</t>
        </is>
      </c>
      <c r="F19192" s="0" t="inlineStr">
        <is>
          <t xml:space="preserve">Mazda</t>
        </is>
      </c>
      <c r="G19192" s="0" t="s">
        <v>171</v>
      </c>
      <c r="H19192" s="5">
        <v>234.579100</v>
      </c>
    </row>
    <row r="19193" spans="1:9">
      <c r="A19193" s="22" t="str">
        <f>HYPERLINK("https://app.vivvix.com/360/KMI/IntelliDrive/ApplUI/Pages/CreativePages/CustomReportCreativeDetail.aspx?App=23&amp;ReportView=4&amp;Qid=1711279&amp;Row=19185&amp;Col=1","No Title Assigned - #15278167536")</f>
        <v/>
      </c>
      <c r="B19193" s="0" t="s">
        <v>25362</v>
      </c>
      <c r="E19193" s="0" t="inlineStr">
        <is>
          <t xml:space="preserve">Mazda</t>
        </is>
      </c>
      <c r="F19193" s="0" t="inlineStr">
        <is>
          <t xml:space="preserve">Mazda</t>
        </is>
      </c>
      <c r="G19193" s="0" t="s">
        <v>171</v>
      </c>
      <c r="H19193" s="5">
        <v>437.214300</v>
      </c>
    </row>
    <row r="19194" spans="1:9">
      <c r="A19194" s="22" t="str">
        <f>HYPERLINK("https://app.vivvix.com/360/KMI/IntelliDrive/ApplUI/Pages/CreativePages/CustomReportCreativeDetail.aspx?App=23&amp;ReportView=4&amp;Qid=1711279&amp;Row=19186&amp;Col=1","No Title Assigned - #15278168043")</f>
        <v/>
      </c>
      <c r="B19194" s="0" t="s">
        <v>25363</v>
      </c>
      <c r="E19194" s="0" t="inlineStr">
        <is>
          <t xml:space="preserve">Mazda</t>
        </is>
      </c>
      <c r="F19194" s="0" t="inlineStr">
        <is>
          <t xml:space="preserve">Mazda</t>
        </is>
      </c>
      <c r="G19194" s="0" t="s">
        <v>171</v>
      </c>
      <c r="H19194" s="5">
        <v>574.854000</v>
      </c>
    </row>
    <row r="19195" spans="1:9">
      <c r="A19195" s="22" t="str">
        <f>HYPERLINK("https://app.vivvix.com/360/KMI/IntelliDrive/ApplUI/Pages/CreativePages/CustomReportCreativeDetail.aspx?App=23&amp;ReportView=4&amp;Qid=1711279&amp;Row=19187&amp;Col=1","No Title Assigned - #15278168175")</f>
        <v/>
      </c>
      <c r="B19195" s="0" t="s">
        <v>25364</v>
      </c>
      <c r="E19195" s="0" t="inlineStr">
        <is>
          <t xml:space="preserve">Mazda</t>
        </is>
      </c>
      <c r="F19195" s="0" t="inlineStr">
        <is>
          <t xml:space="preserve">Mazda</t>
        </is>
      </c>
      <c r="G19195" s="0" t="s">
        <v>171</v>
      </c>
      <c r="H19195" s="5">
        <v>30.703200</v>
      </c>
    </row>
    <row r="19196" spans="1:9">
      <c r="A19196" s="22" t="str">
        <f>HYPERLINK("https://app.vivvix.com/360/KMI/IntelliDrive/ApplUI/Pages/CreativePages/CustomReportCreativeDetail.aspx?App=23&amp;ReportView=4&amp;Qid=1711279&amp;Row=19188&amp;Col=1","No Title Assigned - #15278168494")</f>
        <v/>
      </c>
      <c r="B19196" s="0" t="s">
        <v>25365</v>
      </c>
      <c r="C19196" s="0" t="s">
        <v>25366</v>
      </c>
      <c r="D19196" s="0" t="s">
        <v>25366</v>
      </c>
      <c r="E19196" s="0" t="inlineStr">
        <is>
          <t xml:space="preserve">Mazda</t>
        </is>
      </c>
      <c r="F19196" s="0" t="inlineStr">
        <is>
          <t xml:space="preserve">Mazda</t>
        </is>
      </c>
      <c r="G19196" s="0" t="s">
        <v>171</v>
      </c>
      <c r="H19196" s="5">
        <v>705.643800</v>
      </c>
    </row>
    <row r="19197" spans="1:9">
      <c r="A19197" s="22" t="str">
        <f>HYPERLINK("https://app.vivvix.com/360/KMI/IntelliDrive/ApplUI/Pages/CreativePages/CustomReportCreativeDetail.aspx?App=23&amp;ReportView=4&amp;Qid=1711279&amp;Row=19189&amp;Col=1","No Title Assigned - #15278168549")</f>
        <v/>
      </c>
      <c r="B19197" s="0" t="s">
        <v>25367</v>
      </c>
      <c r="C19197" s="0" t="s">
        <v>25368</v>
      </c>
      <c r="D19197" s="0" t="s">
        <v>25368</v>
      </c>
      <c r="E19197" s="0" t="inlineStr">
        <is>
          <t xml:space="preserve">Mazda</t>
        </is>
      </c>
      <c r="F19197" s="0" t="inlineStr">
        <is>
          <t xml:space="preserve">Mazda</t>
        </is>
      </c>
      <c r="G19197" s="0" t="s">
        <v>171</v>
      </c>
      <c r="H19197" s="5">
        <v>6785.489500</v>
      </c>
    </row>
    <row r="19198" spans="1:9">
      <c r="A19198" s="22" t="str">
        <f>HYPERLINK("https://app.vivvix.com/360/KMI/IntelliDrive/ApplUI/Pages/CreativePages/CustomReportCreativeDetail.aspx?App=23&amp;ReportView=4&amp;Qid=1711279&amp;Row=19190&amp;Col=1","No Title Assigned - #15278168604")</f>
        <v/>
      </c>
      <c r="B19198" s="0" t="s">
        <v>25369</v>
      </c>
      <c r="E19198" s="0" t="inlineStr">
        <is>
          <t xml:space="preserve">Mazda</t>
        </is>
      </c>
      <c r="F19198" s="0" t="inlineStr">
        <is>
          <t xml:space="preserve">Mazda</t>
        </is>
      </c>
      <c r="G19198" s="0" t="s">
        <v>171</v>
      </c>
      <c r="H19198" s="5">
        <v>942.809700</v>
      </c>
    </row>
    <row r="19199" spans="1:9">
      <c r="A19199" s="22" t="str">
        <f>HYPERLINK("https://app.vivvix.com/360/KMI/IntelliDrive/ApplUI/Pages/CreativePages/CustomReportCreativeDetail.aspx?App=23&amp;ReportView=4&amp;Qid=1711279&amp;Row=19191&amp;Col=1","No Title Assigned - #15278168978")</f>
        <v/>
      </c>
      <c r="B19199" s="0" t="s">
        <v>25370</v>
      </c>
      <c r="E19199" s="0" t="inlineStr">
        <is>
          <t xml:space="preserve">Mazda</t>
        </is>
      </c>
      <c r="F19199" s="0" t="inlineStr">
        <is>
          <t xml:space="preserve">Mazda</t>
        </is>
      </c>
      <c r="G19199" s="0" t="s">
        <v>171</v>
      </c>
      <c r="H19199" s="5">
        <v>3669.588400</v>
      </c>
    </row>
    <row r="19200" spans="1:9">
      <c r="A19200" s="22" t="str">
        <f>HYPERLINK("https://app.vivvix.com/360/KMI/IntelliDrive/ApplUI/Pages/CreativePages/CustomReportCreativeDetail.aspx?App=23&amp;ReportView=4&amp;Qid=1711279&amp;Row=19192&amp;Col=1","No Title Assigned - #15278169002")</f>
        <v/>
      </c>
      <c r="B19200" s="0" t="s">
        <v>25371</v>
      </c>
      <c r="E19200" s="0" t="inlineStr">
        <is>
          <t xml:space="preserve">Mazda</t>
        </is>
      </c>
      <c r="F19200" s="0" t="inlineStr">
        <is>
          <t xml:space="preserve">Mazda</t>
        </is>
      </c>
      <c r="G19200" s="0" t="s">
        <v>171</v>
      </c>
      <c r="H19200" s="5">
        <v>15.818300</v>
      </c>
    </row>
    <row r="19201" spans="1:9">
      <c r="A19201" s="22" t="str">
        <f>HYPERLINK("https://app.vivvix.com/360/KMI/IntelliDrive/ApplUI/Pages/CreativePages/CustomReportCreativeDetail.aspx?App=23&amp;ReportView=4&amp;Qid=1711279&amp;Row=19193&amp;Col=1","No Title Assigned - #15278169213")</f>
        <v/>
      </c>
      <c r="B19201" s="0" t="s">
        <v>25372</v>
      </c>
      <c r="E19201" s="0" t="inlineStr">
        <is>
          <t xml:space="preserve">Mazda</t>
        </is>
      </c>
      <c r="F19201" s="0" t="inlineStr">
        <is>
          <t xml:space="preserve">Mazda</t>
        </is>
      </c>
      <c r="G19201" s="0" t="s">
        <v>171</v>
      </c>
      <c r="H19201" s="5">
        <v>97.378000</v>
      </c>
    </row>
    <row r="19202" spans="1:9">
      <c r="A19202" s="22" t="str">
        <f>HYPERLINK("https://app.vivvix.com/360/KMI/IntelliDrive/ApplUI/Pages/CreativePages/CustomReportCreativeDetail.aspx?App=23&amp;ReportView=4&amp;Qid=1711279&amp;Row=19194&amp;Col=1","No Title Assigned - #15278169287")</f>
        <v/>
      </c>
      <c r="B19202" s="0" t="s">
        <v>25373</v>
      </c>
      <c r="E19202" s="0" t="inlineStr">
        <is>
          <t xml:space="preserve">Mazda</t>
        </is>
      </c>
      <c r="F19202" s="0" t="inlineStr">
        <is>
          <t xml:space="preserve">Mazda</t>
        </is>
      </c>
      <c r="G19202" s="0" t="s">
        <v>171</v>
      </c>
      <c r="H19202" s="5">
        <v>90.085700</v>
      </c>
    </row>
    <row r="19203" spans="1:9">
      <c r="A19203" s="22" t="str">
        <f>HYPERLINK("https://app.vivvix.com/360/KMI/IntelliDrive/ApplUI/Pages/CreativePages/CustomReportCreativeDetail.aspx?App=23&amp;ReportView=4&amp;Qid=1711279&amp;Row=19195&amp;Col=1","No Title Assigned - #15278171269")</f>
        <v/>
      </c>
      <c r="B19203" s="0" t="s">
        <v>25374</v>
      </c>
      <c r="C19203" s="0" t="s">
        <v>25375</v>
      </c>
      <c r="D19203" s="0" t="s">
        <v>25375</v>
      </c>
      <c r="E19203" s="0" t="inlineStr">
        <is>
          <t xml:space="preserve">Mazda</t>
        </is>
      </c>
      <c r="F19203" s="0" t="inlineStr">
        <is>
          <t xml:space="preserve">Mazda</t>
        </is>
      </c>
      <c r="G19203" s="0" t="s">
        <v>171</v>
      </c>
      <c r="H19203" s="5">
        <v>134.433800</v>
      </c>
    </row>
    <row r="19204" spans="1:9">
      <c r="A19204" s="22" t="str">
        <f>HYPERLINK("https://app.vivvix.com/360/KMI/IntelliDrive/ApplUI/Pages/CreativePages/CustomReportCreativeDetail.aspx?App=23&amp;ReportView=4&amp;Qid=1711279&amp;Row=19196&amp;Col=1","No Title Assigned - #15278171276")</f>
        <v/>
      </c>
      <c r="B19204" s="0" t="s">
        <v>25376</v>
      </c>
      <c r="E19204" s="0" t="inlineStr">
        <is>
          <t xml:space="preserve">Mazda</t>
        </is>
      </c>
      <c r="F19204" s="0" t="inlineStr">
        <is>
          <t xml:space="preserve">Mazda</t>
        </is>
      </c>
      <c r="G19204" s="0" t="s">
        <v>171</v>
      </c>
      <c r="H19204" s="5">
        <v>58.960000</v>
      </c>
    </row>
    <row r="19205" spans="1:9">
      <c r="A19205" s="22" t="str">
        <f>HYPERLINK("https://app.vivvix.com/360/KMI/IntelliDrive/ApplUI/Pages/CreativePages/CustomReportCreativeDetail.aspx?App=23&amp;ReportView=4&amp;Qid=1711279&amp;Row=19197&amp;Col=1","No Title Assigned - #15278171311")</f>
        <v/>
      </c>
      <c r="B19205" s="0" t="s">
        <v>25377</v>
      </c>
      <c r="E19205" s="0" t="inlineStr">
        <is>
          <t xml:space="preserve">Mazda</t>
        </is>
      </c>
      <c r="F19205" s="0" t="inlineStr">
        <is>
          <t xml:space="preserve">Mazda</t>
        </is>
      </c>
      <c r="G19205" s="0" t="s">
        <v>171</v>
      </c>
      <c r="H19205" s="5">
        <v>115.908900</v>
      </c>
    </row>
    <row r="19206" spans="1:9">
      <c r="A19206" s="22" t="str">
        <f>HYPERLINK("https://app.vivvix.com/360/KMI/IntelliDrive/ApplUI/Pages/CreativePages/CustomReportCreativeDetail.aspx?App=23&amp;ReportView=4&amp;Qid=1711279&amp;Row=19198&amp;Col=1","No Title Assigned - #15278171539")</f>
        <v/>
      </c>
      <c r="B19206" s="0" t="s">
        <v>25378</v>
      </c>
      <c r="C19206" s="0" t="s">
        <v>25379</v>
      </c>
      <c r="D19206" s="0" t="s">
        <v>25379</v>
      </c>
      <c r="E19206" s="0" t="inlineStr">
        <is>
          <t xml:space="preserve">Mazda</t>
        </is>
      </c>
      <c r="F19206" s="0" t="s">
        <v>13</v>
      </c>
      <c r="G19206" s="0" t="s">
        <v>49</v>
      </c>
      <c r="H19206" s="5">
        <v>920.759600</v>
      </c>
    </row>
    <row r="19207" spans="1:9">
      <c r="A19207" s="22" t="str">
        <f>HYPERLINK("https://app.vivvix.com/360/KMI/IntelliDrive/ApplUI/Pages/CreativePages/CustomReportCreativeDetail.aspx?App=23&amp;ReportView=4&amp;Qid=1711279&amp;Row=19199&amp;Col=1","No Title Assigned - #15278171600")</f>
        <v/>
      </c>
      <c r="B19207" s="0" t="s">
        <v>25380</v>
      </c>
      <c r="E19207" s="0" t="inlineStr">
        <is>
          <t xml:space="preserve">Mazda</t>
        </is>
      </c>
      <c r="F19207" s="0" t="inlineStr">
        <is>
          <t xml:space="preserve">Mazda</t>
        </is>
      </c>
      <c r="G19207" s="0" t="s">
        <v>171</v>
      </c>
      <c r="H19207" s="5">
        <v>323.878400</v>
      </c>
    </row>
    <row r="19208" spans="1:9">
      <c r="A19208" s="22" t="str">
        <f>HYPERLINK("https://app.vivvix.com/360/KMI/IntelliDrive/ApplUI/Pages/CreativePages/CustomReportCreativeDetail.aspx?App=23&amp;ReportView=4&amp;Qid=1711279&amp;Row=19200&amp;Col=1","No Title Assigned - #15278171648")</f>
        <v/>
      </c>
      <c r="B19208" s="0" t="s">
        <v>25381</v>
      </c>
      <c r="E19208" s="0" t="inlineStr">
        <is>
          <t xml:space="preserve">Mazda</t>
        </is>
      </c>
      <c r="F19208" s="0" t="inlineStr">
        <is>
          <t xml:space="preserve">Mazda</t>
        </is>
      </c>
      <c r="G19208" s="0" t="s">
        <v>171</v>
      </c>
      <c r="H19208" s="5">
        <v>88.440000</v>
      </c>
    </row>
    <row r="19209" spans="1:9">
      <c r="A19209" s="22" t="str">
        <f>HYPERLINK("https://app.vivvix.com/360/KMI/IntelliDrive/ApplUI/Pages/CreativePages/CustomReportCreativeDetail.aspx?App=23&amp;ReportView=4&amp;Qid=1711279&amp;Row=19201&amp;Col=1","No Title Assigned - #15278171745")</f>
        <v/>
      </c>
      <c r="B19209" s="0" t="s">
        <v>25382</v>
      </c>
      <c r="E19209" s="0" t="inlineStr">
        <is>
          <t xml:space="preserve">Mazda</t>
        </is>
      </c>
      <c r="F19209" s="0" t="inlineStr">
        <is>
          <t xml:space="preserve">Mazda</t>
        </is>
      </c>
      <c r="G19209" s="0" t="s">
        <v>171</v>
      </c>
      <c r="H19209" s="5">
        <v>210.003900</v>
      </c>
    </row>
    <row r="19210" spans="1:9">
      <c r="A19210" s="22" t="str">
        <f>HYPERLINK("https://app.vivvix.com/360/KMI/IntelliDrive/ApplUI/Pages/CreativePages/CustomReportCreativeDetail.aspx?App=23&amp;ReportView=4&amp;Qid=1711279&amp;Row=19202&amp;Col=1","No Title Assigned - #15278171876")</f>
        <v/>
      </c>
      <c r="B19210" s="0" t="s">
        <v>25383</v>
      </c>
      <c r="E19210" s="0" t="inlineStr">
        <is>
          <t xml:space="preserve">Mazda</t>
        </is>
      </c>
      <c r="F19210" s="0" t="inlineStr">
        <is>
          <t xml:space="preserve">Mazda</t>
        </is>
      </c>
      <c r="G19210" s="0" t="s">
        <v>171</v>
      </c>
      <c r="H19210" s="5">
        <v>23510.316400</v>
      </c>
    </row>
    <row r="19211" spans="1:9">
      <c r="A19211" s="22" t="str">
        <f>HYPERLINK("https://app.vivvix.com/360/KMI/IntelliDrive/ApplUI/Pages/CreativePages/CustomReportCreativeDetail.aspx?App=23&amp;ReportView=4&amp;Qid=1711279&amp;Row=19203&amp;Col=1","No Title Assigned - #15278172008")</f>
        <v/>
      </c>
      <c r="B19211" s="0" t="s">
        <v>25384</v>
      </c>
      <c r="E19211" s="0" t="inlineStr">
        <is>
          <t xml:space="preserve">Mazda</t>
        </is>
      </c>
      <c r="F19211" s="0" t="inlineStr">
        <is>
          <t xml:space="preserve">Mazda</t>
        </is>
      </c>
      <c r="G19211" s="0" t="s">
        <v>171</v>
      </c>
      <c r="H19211" s="5">
        <v>1388.631300</v>
      </c>
    </row>
    <row r="19212" spans="1:9">
      <c r="A19212" s="22" t="str">
        <f>HYPERLINK("https://app.vivvix.com/360/KMI/IntelliDrive/ApplUI/Pages/CreativePages/CustomReportCreativeDetail.aspx?App=23&amp;ReportView=4&amp;Qid=1711279&amp;Row=19204&amp;Col=1","No Title Assigned - #15278172101")</f>
        <v/>
      </c>
      <c r="B19212" s="0" t="s">
        <v>25385</v>
      </c>
      <c r="E19212" s="0" t="inlineStr">
        <is>
          <t xml:space="preserve">Mazda</t>
        </is>
      </c>
      <c r="F19212" s="0" t="inlineStr">
        <is>
          <t xml:space="preserve">Mazda</t>
        </is>
      </c>
      <c r="G19212" s="0" t="s">
        <v>171</v>
      </c>
      <c r="H19212" s="5">
        <v>146.369000</v>
      </c>
    </row>
    <row r="19213" spans="1:9">
      <c r="A19213" s="22" t="str">
        <f>HYPERLINK("https://app.vivvix.com/360/KMI/IntelliDrive/ApplUI/Pages/CreativePages/CustomReportCreativeDetail.aspx?App=23&amp;ReportView=4&amp;Qid=1711279&amp;Row=19205&amp;Col=1","No Title Assigned - #15278172378")</f>
        <v/>
      </c>
      <c r="B19213" s="0" t="s">
        <v>25386</v>
      </c>
      <c r="E19213" s="0" t="inlineStr">
        <is>
          <t xml:space="preserve">Mazda</t>
        </is>
      </c>
      <c r="F19213" s="0" t="inlineStr">
        <is>
          <t xml:space="preserve">Mazda</t>
        </is>
      </c>
      <c r="G19213" s="0" t="s">
        <v>171</v>
      </c>
      <c r="H19213" s="5">
        <v>29.858700</v>
      </c>
    </row>
    <row r="19214" spans="1:9">
      <c r="A19214" s="22" t="str">
        <f>HYPERLINK("https://app.vivvix.com/360/KMI/IntelliDrive/ApplUI/Pages/CreativePages/CustomReportCreativeDetail.aspx?App=23&amp;ReportView=4&amp;Qid=1711279&amp;Row=19206&amp;Col=1","No Title Assigned - #15278172579")</f>
        <v/>
      </c>
      <c r="B19214" s="0" t="s">
        <v>25387</v>
      </c>
      <c r="E19214" s="0" t="inlineStr">
        <is>
          <t xml:space="preserve">Mazda</t>
        </is>
      </c>
      <c r="F19214" s="0" t="inlineStr">
        <is>
          <t xml:space="preserve">Mazda</t>
        </is>
      </c>
      <c r="G19214" s="0" t="s">
        <v>171</v>
      </c>
      <c r="H19214" s="5">
        <v>78268.945000</v>
      </c>
    </row>
    <row r="19215" spans="1:9">
      <c r="A19215" s="22" t="str">
        <f>HYPERLINK("https://app.vivvix.com/360/KMI/IntelliDrive/ApplUI/Pages/CreativePages/CustomReportCreativeDetail.aspx?App=23&amp;ReportView=4&amp;Qid=1711279&amp;Row=19207&amp;Col=1","No Title Assigned - #15278172579")</f>
        <v/>
      </c>
      <c r="B19215" s="0" t="s">
        <v>25387</v>
      </c>
      <c r="E19215" s="0" t="inlineStr">
        <is>
          <t xml:space="preserve">Mazda</t>
        </is>
      </c>
      <c r="F19215" s="0" t="inlineStr">
        <is>
          <t xml:space="preserve">Mazda</t>
        </is>
      </c>
      <c r="G19215" s="0" t="s">
        <v>171</v>
      </c>
      <c r="H19215" s="5">
        <v>30886.139600</v>
      </c>
    </row>
    <row r="19216" spans="1:9">
      <c r="A19216" s="22" t="str">
        <f>HYPERLINK("https://app.vivvix.com/360/KMI/IntelliDrive/ApplUI/Pages/CreativePages/CustomReportCreativeDetail.aspx?App=23&amp;ReportView=4&amp;Qid=1711279&amp;Row=19208&amp;Col=1","No Title Assigned - #15278172831")</f>
        <v/>
      </c>
      <c r="B19216" s="0" t="s">
        <v>25388</v>
      </c>
      <c r="E19216" s="0" t="inlineStr">
        <is>
          <t xml:space="preserve">Mazda</t>
        </is>
      </c>
      <c r="F19216" s="0" t="inlineStr">
        <is>
          <t xml:space="preserve">Mazda</t>
        </is>
      </c>
      <c r="G19216" s="0" t="s">
        <v>171</v>
      </c>
      <c r="H19216" s="5">
        <v>165.032100</v>
      </c>
    </row>
    <row r="19217" spans="1:9">
      <c r="A19217" s="22" t="str">
        <f>HYPERLINK("https://app.vivvix.com/360/KMI/IntelliDrive/ApplUI/Pages/CreativePages/CustomReportCreativeDetail.aspx?App=23&amp;ReportView=4&amp;Qid=1711279&amp;Row=19209&amp;Col=1","No Title Assigned - #15278173036")</f>
        <v/>
      </c>
      <c r="B19217" s="0" t="s">
        <v>25389</v>
      </c>
      <c r="E19217" s="0" t="inlineStr">
        <is>
          <t xml:space="preserve">Mazda</t>
        </is>
      </c>
      <c r="F19217" s="0" t="inlineStr">
        <is>
          <t xml:space="preserve">Mazda</t>
        </is>
      </c>
      <c r="G19217" s="0" t="s">
        <v>171</v>
      </c>
      <c r="H19217" s="5">
        <v>784.976800</v>
      </c>
    </row>
    <row r="19218" spans="1:9">
      <c r="A19218" s="22" t="str">
        <f>HYPERLINK("https://app.vivvix.com/360/KMI/IntelliDrive/ApplUI/Pages/CreativePages/CustomReportCreativeDetail.aspx?App=23&amp;ReportView=4&amp;Qid=1711279&amp;Row=19210&amp;Col=1","No Title Assigned - #15278173265")</f>
        <v/>
      </c>
      <c r="B19218" s="0" t="s">
        <v>25390</v>
      </c>
      <c r="E19218" s="0" t="inlineStr">
        <is>
          <t xml:space="preserve">Mazda</t>
        </is>
      </c>
      <c r="F19218" s="0" t="inlineStr">
        <is>
          <t xml:space="preserve">Mazda</t>
        </is>
      </c>
      <c r="G19218" s="0" t="s">
        <v>171</v>
      </c>
      <c r="H19218" s="5">
        <v>47.367800</v>
      </c>
    </row>
    <row r="19219" spans="1:9">
      <c r="A19219" s="22" t="str">
        <f>HYPERLINK("https://app.vivvix.com/360/KMI/IntelliDrive/ApplUI/Pages/CreativePages/CustomReportCreativeDetail.aspx?App=23&amp;ReportView=4&amp;Qid=1711279&amp;Row=19211&amp;Col=1","No Title Assigned - #15278179246")</f>
        <v/>
      </c>
      <c r="B19219" s="0" t="s">
        <v>25391</v>
      </c>
      <c r="E19219" s="0" t="inlineStr">
        <is>
          <t xml:space="preserve">Mazda</t>
        </is>
      </c>
      <c r="F19219" s="0" t="inlineStr">
        <is>
          <t xml:space="preserve">Mazda</t>
        </is>
      </c>
      <c r="G19219" s="0" t="s">
        <v>171</v>
      </c>
      <c r="H19219" s="5">
        <v>1542.086500</v>
      </c>
    </row>
    <row r="19220" spans="1:9">
      <c r="A19220" s="22" t="str">
        <f>HYPERLINK("https://app.vivvix.com/360/KMI/IntelliDrive/ApplUI/Pages/CreativePages/CustomReportCreativeDetail.aspx?App=23&amp;ReportView=4&amp;Qid=1711279&amp;Row=19212&amp;Col=1","No Title Assigned - #15278179607")</f>
        <v/>
      </c>
      <c r="B19220" s="0" t="s">
        <v>25392</v>
      </c>
      <c r="E19220" s="0" t="inlineStr">
        <is>
          <t xml:space="preserve">Mazda</t>
        </is>
      </c>
      <c r="F19220" s="0" t="inlineStr">
        <is>
          <t xml:space="preserve">Mazda</t>
        </is>
      </c>
      <c r="G19220" s="0" t="s">
        <v>171</v>
      </c>
      <c r="H19220" s="5">
        <v>2078.111000</v>
      </c>
    </row>
    <row r="19221" spans="1:9">
      <c r="A19221" s="22" t="str">
        <f>HYPERLINK("https://app.vivvix.com/360/KMI/IntelliDrive/ApplUI/Pages/CreativePages/CustomReportCreativeDetail.aspx?App=23&amp;ReportView=4&amp;Qid=1711279&amp;Row=19213&amp;Col=1","No Title Assigned - #15278179939")</f>
        <v/>
      </c>
      <c r="B19221" s="0" t="s">
        <v>25393</v>
      </c>
      <c r="E19221" s="0" t="inlineStr">
        <is>
          <t xml:space="preserve">Mazda</t>
        </is>
      </c>
      <c r="F19221" s="0" t="inlineStr">
        <is>
          <t xml:space="preserve">Mazda</t>
        </is>
      </c>
      <c r="G19221" s="0" t="s">
        <v>171</v>
      </c>
      <c r="H19221" s="5">
        <v>3787.021200</v>
      </c>
    </row>
    <row r="19222" spans="1:9">
      <c r="A19222" s="22" t="str">
        <f>HYPERLINK("https://app.vivvix.com/360/KMI/IntelliDrive/ApplUI/Pages/CreativePages/CustomReportCreativeDetail.aspx?App=23&amp;ReportView=4&amp;Qid=1711279&amp;Row=19214&amp;Col=1","No Title Assigned - #15278192175")</f>
        <v/>
      </c>
      <c r="B19222" s="0" t="s">
        <v>25394</v>
      </c>
      <c r="E19222" s="0" t="inlineStr">
        <is>
          <t xml:space="preserve">Mazda</t>
        </is>
      </c>
      <c r="F19222" s="0" t="inlineStr">
        <is>
          <t xml:space="preserve">Mazda</t>
        </is>
      </c>
      <c r="G19222" s="0" t="s">
        <v>171</v>
      </c>
      <c r="H19222" s="5">
        <v>8.691900</v>
      </c>
    </row>
    <row r="19223" spans="1:9">
      <c r="A19223" s="22" t="str">
        <f>HYPERLINK("https://app.vivvix.com/360/KMI/IntelliDrive/ApplUI/Pages/CreativePages/CustomReportCreativeDetail.aspx?App=23&amp;ReportView=4&amp;Qid=1711279&amp;Row=19215&amp;Col=1","No Title Assigned - #15278192849")</f>
        <v/>
      </c>
      <c r="B19223" s="0" t="s">
        <v>25395</v>
      </c>
      <c r="E19223" s="0" t="inlineStr">
        <is>
          <t xml:space="preserve">Mazda</t>
        </is>
      </c>
      <c r="F19223" s="0" t="inlineStr">
        <is>
          <t xml:space="preserve">Mazda</t>
        </is>
      </c>
      <c r="G19223" s="0" t="s">
        <v>171</v>
      </c>
      <c r="H19223" s="5">
        <v>250.441100</v>
      </c>
    </row>
    <row r="19224" spans="1:9">
      <c r="A19224" s="22" t="str">
        <f>HYPERLINK("https://app.vivvix.com/360/KMI/IntelliDrive/ApplUI/Pages/CreativePages/CustomReportCreativeDetail.aspx?App=23&amp;ReportView=4&amp;Qid=1711279&amp;Row=19216&amp;Col=1","No Title Assigned - #15278193169")</f>
        <v/>
      </c>
      <c r="B19224" s="0" t="s">
        <v>25396</v>
      </c>
      <c r="E19224" s="0" t="inlineStr">
        <is>
          <t xml:space="preserve">Mazda</t>
        </is>
      </c>
      <c r="F19224" s="0" t="inlineStr">
        <is>
          <t xml:space="preserve">Mazda</t>
        </is>
      </c>
      <c r="G19224" s="0" t="s">
        <v>171</v>
      </c>
      <c r="H19224" s="5">
        <v>874.512000</v>
      </c>
    </row>
    <row r="19225" spans="1:9">
      <c r="A19225" s="22" t="str">
        <f>HYPERLINK("https://app.vivvix.com/360/KMI/IntelliDrive/ApplUI/Pages/CreativePages/CustomReportCreativeDetail.aspx?App=23&amp;ReportView=4&amp;Qid=1711279&amp;Row=19217&amp;Col=1","No Title Assigned - #15278194318")</f>
        <v/>
      </c>
      <c r="B19225" s="0" t="s">
        <v>25397</v>
      </c>
      <c r="E19225" s="0" t="inlineStr">
        <is>
          <t xml:space="preserve">Mazda</t>
        </is>
      </c>
      <c r="F19225" s="0" t="inlineStr">
        <is>
          <t xml:space="preserve">Mazda</t>
        </is>
      </c>
      <c r="G19225" s="0" t="s">
        <v>171</v>
      </c>
      <c r="H19225" s="5">
        <v>329.980200</v>
      </c>
    </row>
    <row r="19226" spans="1:9">
      <c r="A19226" s="22" t="str">
        <f>HYPERLINK("https://app.vivvix.com/360/KMI/IntelliDrive/ApplUI/Pages/CreativePages/CustomReportCreativeDetail.aspx?App=23&amp;ReportView=4&amp;Qid=1711279&amp;Row=19218&amp;Col=1","No Title Assigned - #15278194708")</f>
        <v/>
      </c>
      <c r="B19226" s="0" t="s">
        <v>25398</v>
      </c>
      <c r="E19226" s="0" t="inlineStr">
        <is>
          <t xml:space="preserve">Mazda</t>
        </is>
      </c>
      <c r="F19226" s="0" t="inlineStr">
        <is>
          <t xml:space="preserve">Mazda</t>
        </is>
      </c>
      <c r="G19226" s="0" t="s">
        <v>171</v>
      </c>
      <c r="H19226" s="5">
        <v>175.410000</v>
      </c>
    </row>
    <row r="19227" spans="1:9">
      <c r="A19227" s="22" t="str">
        <f>HYPERLINK("https://app.vivvix.com/360/KMI/IntelliDrive/ApplUI/Pages/CreativePages/CustomReportCreativeDetail.aspx?App=23&amp;ReportView=4&amp;Qid=1711279&amp;Row=19219&amp;Col=1","No Title Assigned - #15278194834")</f>
        <v/>
      </c>
      <c r="B19227" s="0" t="s">
        <v>25399</v>
      </c>
      <c r="E19227" s="0" t="inlineStr">
        <is>
          <t xml:space="preserve">Mazda</t>
        </is>
      </c>
      <c r="F19227" s="0" t="inlineStr">
        <is>
          <t xml:space="preserve">Mazda</t>
        </is>
      </c>
      <c r="G19227" s="0" t="s">
        <v>171</v>
      </c>
      <c r="H19227" s="5">
        <v>166.909700</v>
      </c>
    </row>
    <row r="19228" spans="1:9">
      <c r="A19228" s="22" t="str">
        <f>HYPERLINK("https://app.vivvix.com/360/KMI/IntelliDrive/ApplUI/Pages/CreativePages/CustomReportCreativeDetail.aspx?App=23&amp;ReportView=4&amp;Qid=1711279&amp;Row=19220&amp;Col=1","No Title Assigned - #15278194932")</f>
        <v/>
      </c>
      <c r="B19228" s="0" t="s">
        <v>25400</v>
      </c>
      <c r="C19228" s="0" t="s">
        <v>25401</v>
      </c>
      <c r="D19228" s="0" t="s">
        <v>4200</v>
      </c>
      <c r="E19228" s="0" t="inlineStr">
        <is>
          <t xml:space="preserve">Mazda</t>
        </is>
      </c>
      <c r="F19228" s="0" t="s">
        <v>28</v>
      </c>
      <c r="G19228" s="0" t="s">
        <v>29</v>
      </c>
      <c r="H19228" s="5">
        <v>2.867500</v>
      </c>
    </row>
    <row r="19229" spans="1:9">
      <c r="A19229" s="22" t="str">
        <f>HYPERLINK("https://app.vivvix.com/360/KMI/IntelliDrive/ApplUI/Pages/CreativePages/CustomReportCreativeDetail.aspx?App=23&amp;ReportView=4&amp;Qid=1711279&amp;Row=19221&amp;Col=1","No Title Assigned - #15278195331")</f>
        <v/>
      </c>
      <c r="B19229" s="0" t="s">
        <v>25402</v>
      </c>
      <c r="E19229" s="0" t="inlineStr">
        <is>
          <t xml:space="preserve">Mazda</t>
        </is>
      </c>
      <c r="F19229" s="0" t="inlineStr">
        <is>
          <t xml:space="preserve">Mazda</t>
        </is>
      </c>
      <c r="G19229" s="0" t="s">
        <v>171</v>
      </c>
      <c r="H19229" s="5">
        <v>7.109800</v>
      </c>
    </row>
    <row r="19230" spans="1:9">
      <c r="A19230" s="22" t="str">
        <f>HYPERLINK("https://app.vivvix.com/360/KMI/IntelliDrive/ApplUI/Pages/CreativePages/CustomReportCreativeDetail.aspx?App=23&amp;ReportView=4&amp;Qid=1711279&amp;Row=19222&amp;Col=1","No Title Assigned - #15278195625")</f>
        <v/>
      </c>
      <c r="B19230" s="0" t="s">
        <v>25403</v>
      </c>
      <c r="C19230" s="0" t="s">
        <v>25404</v>
      </c>
      <c r="D19230" s="0" t="s">
        <v>25404</v>
      </c>
      <c r="E19230" s="0" t="inlineStr">
        <is>
          <t xml:space="preserve">Mazda</t>
        </is>
      </c>
      <c r="F19230" s="0" t="inlineStr">
        <is>
          <t xml:space="preserve">Mazda</t>
        </is>
      </c>
      <c r="G19230" s="0" t="s">
        <v>171</v>
      </c>
      <c r="H19230" s="5">
        <v>63.606200</v>
      </c>
    </row>
    <row r="19231" spans="1:9">
      <c r="A19231" s="22" t="str">
        <f>HYPERLINK("https://app.vivvix.com/360/KMI/IntelliDrive/ApplUI/Pages/CreativePages/CustomReportCreativeDetail.aspx?App=23&amp;ReportView=4&amp;Qid=1711279&amp;Row=19223&amp;Col=1","No Title Assigned - #15278196538")</f>
        <v/>
      </c>
      <c r="B19231" s="0" t="s">
        <v>25405</v>
      </c>
      <c r="C19231" s="0" t="s">
        <v>25406</v>
      </c>
      <c r="D19231" s="0" t="s">
        <v>25406</v>
      </c>
      <c r="E19231" s="0" t="inlineStr">
        <is>
          <t xml:space="preserve">Mazda</t>
        </is>
      </c>
      <c r="F19231" s="0" t="inlineStr">
        <is>
          <t xml:space="preserve">Mazda</t>
        </is>
      </c>
      <c r="G19231" s="0" t="s">
        <v>171</v>
      </c>
      <c r="H19231" s="5">
        <v>533.009300</v>
      </c>
    </row>
    <row r="19232" spans="1:9">
      <c r="A19232" s="22" t="str">
        <f>HYPERLINK("https://app.vivvix.com/360/KMI/IntelliDrive/ApplUI/Pages/CreativePages/CustomReportCreativeDetail.aspx?App=23&amp;ReportView=4&amp;Qid=1711279&amp;Row=19224&amp;Col=1","No Title Assigned - #15278196819")</f>
        <v/>
      </c>
      <c r="B19232" s="0" t="s">
        <v>25407</v>
      </c>
      <c r="E19232" s="0" t="inlineStr">
        <is>
          <t xml:space="preserve">Mazda</t>
        </is>
      </c>
      <c r="F19232" s="0" t="inlineStr">
        <is>
          <t xml:space="preserve">Mazda</t>
        </is>
      </c>
      <c r="G19232" s="0" t="s">
        <v>171</v>
      </c>
      <c r="H19232" s="5">
        <v>9.677400</v>
      </c>
    </row>
    <row r="19233" spans="1:9">
      <c r="A19233" s="22" t="str">
        <f>HYPERLINK("https://app.vivvix.com/360/KMI/IntelliDrive/ApplUI/Pages/CreativePages/CustomReportCreativeDetail.aspx?App=23&amp;ReportView=4&amp;Qid=1711279&amp;Row=19225&amp;Col=1","No Title Assigned - #15278197008")</f>
        <v/>
      </c>
      <c r="B19233" s="0" t="s">
        <v>25408</v>
      </c>
      <c r="E19233" s="0" t="inlineStr">
        <is>
          <t xml:space="preserve">Mazda</t>
        </is>
      </c>
      <c r="F19233" s="0" t="inlineStr">
        <is>
          <t xml:space="preserve">Mazda</t>
        </is>
      </c>
      <c r="G19233" s="0" t="s">
        <v>171</v>
      </c>
      <c r="H19233" s="5">
        <v>427.287200</v>
      </c>
    </row>
    <row r="19234" spans="1:9">
      <c r="A19234" s="22" t="str">
        <f>HYPERLINK("https://app.vivvix.com/360/KMI/IntelliDrive/ApplUI/Pages/CreativePages/CustomReportCreativeDetail.aspx?App=23&amp;ReportView=4&amp;Qid=1711279&amp;Row=19226&amp;Col=1","No Title Assigned - #15278197073")</f>
        <v/>
      </c>
      <c r="B19234" s="0" t="s">
        <v>25409</v>
      </c>
      <c r="E19234" s="0" t="inlineStr">
        <is>
          <t xml:space="preserve">Mazda</t>
        </is>
      </c>
      <c r="F19234" s="0" t="inlineStr">
        <is>
          <t xml:space="preserve">Mazda</t>
        </is>
      </c>
      <c r="G19234" s="0" t="s">
        <v>171</v>
      </c>
      <c r="H19234" s="5">
        <v>28.479600</v>
      </c>
    </row>
    <row r="19235" spans="1:9">
      <c r="A19235" s="22" t="str">
        <f>HYPERLINK("https://app.vivvix.com/360/KMI/IntelliDrive/ApplUI/Pages/CreativePages/CustomReportCreativeDetail.aspx?App=23&amp;ReportView=4&amp;Qid=1711279&amp;Row=19227&amp;Col=1","No Title Assigned - #15278197189")</f>
        <v/>
      </c>
      <c r="B19235" s="0" t="s">
        <v>25410</v>
      </c>
      <c r="E19235" s="0" t="inlineStr">
        <is>
          <t xml:space="preserve">Mazda</t>
        </is>
      </c>
      <c r="F19235" s="0" t="inlineStr">
        <is>
          <t xml:space="preserve">Mazda</t>
        </is>
      </c>
      <c r="G19235" s="0" t="s">
        <v>171</v>
      </c>
      <c r="H19235" s="5">
        <v>61.019400</v>
      </c>
    </row>
    <row r="19236" spans="1:9">
      <c r="A19236" s="22" t="str">
        <f>HYPERLINK("https://app.vivvix.com/360/KMI/IntelliDrive/ApplUI/Pages/CreativePages/CustomReportCreativeDetail.aspx?App=23&amp;ReportView=4&amp;Qid=1711279&amp;Row=19228&amp;Col=1","No Title Assigned - #15278197277")</f>
        <v/>
      </c>
      <c r="B19236" s="0" t="s">
        <v>25411</v>
      </c>
      <c r="E19236" s="0" t="inlineStr">
        <is>
          <t xml:space="preserve">Mazda</t>
        </is>
      </c>
      <c r="F19236" s="0" t="inlineStr">
        <is>
          <t xml:space="preserve">Mazda</t>
        </is>
      </c>
      <c r="G19236" s="0" t="s">
        <v>171</v>
      </c>
      <c r="H19236" s="5">
        <v>200.275800</v>
      </c>
    </row>
    <row r="19237" spans="1:9">
      <c r="A19237" s="22" t="str">
        <f>HYPERLINK("https://app.vivvix.com/360/KMI/IntelliDrive/ApplUI/Pages/CreativePages/CustomReportCreativeDetail.aspx?App=23&amp;ReportView=4&amp;Qid=1711279&amp;Row=19229&amp;Col=1","No Title Assigned - #15278197343")</f>
        <v/>
      </c>
      <c r="B19237" s="0" t="s">
        <v>25412</v>
      </c>
      <c r="E19237" s="0" t="inlineStr">
        <is>
          <t xml:space="preserve">Mazda</t>
        </is>
      </c>
      <c r="F19237" s="0" t="inlineStr">
        <is>
          <t xml:space="preserve">Mazda</t>
        </is>
      </c>
      <c r="G19237" s="0" t="s">
        <v>171</v>
      </c>
      <c r="H19237" s="5">
        <v>28.810000</v>
      </c>
    </row>
    <row r="19238" spans="1:9">
      <c r="A19238" s="22" t="str">
        <f>HYPERLINK("https://app.vivvix.com/360/KMI/IntelliDrive/ApplUI/Pages/CreativePages/CustomReportCreativeDetail.aspx?App=23&amp;ReportView=4&amp;Qid=1711279&amp;Row=19230&amp;Col=1","No Title Assigned - #15278197595")</f>
        <v/>
      </c>
      <c r="B19238" s="0" t="s">
        <v>25413</v>
      </c>
      <c r="E19238" s="0" t="inlineStr">
        <is>
          <t xml:space="preserve">Mazda</t>
        </is>
      </c>
      <c r="F19238" s="0" t="inlineStr">
        <is>
          <t xml:space="preserve">Mazda</t>
        </is>
      </c>
      <c r="G19238" s="0" t="s">
        <v>171</v>
      </c>
      <c r="H19238" s="5">
        <v>81.361300</v>
      </c>
    </row>
    <row r="19239" spans="1:9">
      <c r="A19239" s="22" t="str">
        <f>HYPERLINK("https://app.vivvix.com/360/KMI/IntelliDrive/ApplUI/Pages/CreativePages/CustomReportCreativeDetail.aspx?App=23&amp;ReportView=4&amp;Qid=1711279&amp;Row=19231&amp;Col=1","No Title Assigned - #15278199329")</f>
        <v/>
      </c>
      <c r="B19239" s="0" t="s">
        <v>25414</v>
      </c>
      <c r="E19239" s="0" t="inlineStr">
        <is>
          <t xml:space="preserve">Mazda</t>
        </is>
      </c>
      <c r="F19239" s="0" t="inlineStr">
        <is>
          <t xml:space="preserve">Mazda</t>
        </is>
      </c>
      <c r="G19239" s="0" t="s">
        <v>171</v>
      </c>
      <c r="H19239" s="5">
        <v>169.769700</v>
      </c>
    </row>
    <row r="19240" spans="1:9">
      <c r="A19240" s="22" t="str">
        <f>HYPERLINK("https://app.vivvix.com/360/KMI/IntelliDrive/ApplUI/Pages/CreativePages/CustomReportCreativeDetail.aspx?App=23&amp;ReportView=4&amp;Qid=1711279&amp;Row=19232&amp;Col=1","No Title Assigned - #15278200592")</f>
        <v/>
      </c>
      <c r="B19240" s="0" t="s">
        <v>25415</v>
      </c>
      <c r="C19240" s="0" t="s">
        <v>25416</v>
      </c>
      <c r="D19240" s="0" t="s">
        <v>7920</v>
      </c>
      <c r="E19240" s="0" t="inlineStr">
        <is>
          <t xml:space="preserve">Mazda</t>
        </is>
      </c>
      <c r="F19240" s="0" t="s">
        <v>28</v>
      </c>
      <c r="G19240" s="0" t="s">
        <v>29</v>
      </c>
      <c r="H19240" s="5">
        <v>118.873600</v>
      </c>
    </row>
    <row r="19241" spans="1:9">
      <c r="A19241" s="22" t="str">
        <f>HYPERLINK("https://app.vivvix.com/360/KMI/IntelliDrive/ApplUI/Pages/CreativePages/CustomReportCreativeDetail.aspx?App=23&amp;ReportView=4&amp;Qid=1711279&amp;Row=19233&amp;Col=1","No Title Assigned - #15278200812")</f>
        <v/>
      </c>
      <c r="B19241" s="0" t="s">
        <v>25417</v>
      </c>
      <c r="C19241" s="0" t="s">
        <v>25418</v>
      </c>
      <c r="D19241" s="0" t="s">
        <v>25418</v>
      </c>
      <c r="E19241" s="0" t="inlineStr">
        <is>
          <t xml:space="preserve">Mazda</t>
        </is>
      </c>
      <c r="F19241" s="0" t="s">
        <v>28</v>
      </c>
      <c r="G19241" s="0" t="s">
        <v>29</v>
      </c>
      <c r="H19241" s="5">
        <v>876.157400</v>
      </c>
    </row>
    <row r="19242" spans="1:9">
      <c r="A19242" s="22" t="str">
        <f>HYPERLINK("https://app.vivvix.com/360/KMI/IntelliDrive/ApplUI/Pages/CreativePages/CustomReportCreativeDetail.aspx?App=23&amp;ReportView=4&amp;Qid=1711279&amp;Row=19234&amp;Col=1","No Title Assigned - #15278200953")</f>
        <v/>
      </c>
      <c r="B19242" s="0" t="s">
        <v>25419</v>
      </c>
      <c r="C19242" s="0" t="s">
        <v>25420</v>
      </c>
      <c r="D19242" s="0" t="s">
        <v>25420</v>
      </c>
      <c r="E19242" s="0" t="inlineStr">
        <is>
          <t xml:space="preserve">Mazda</t>
        </is>
      </c>
      <c r="F19242" s="0" t="s">
        <v>28</v>
      </c>
      <c r="G19242" s="0" t="s">
        <v>29</v>
      </c>
      <c r="H19242" s="5">
        <v>2.867500</v>
      </c>
    </row>
    <row r="19243" spans="1:9">
      <c r="A19243" s="22" t="str">
        <f>HYPERLINK("https://app.vivvix.com/360/KMI/IntelliDrive/ApplUI/Pages/CreativePages/CustomReportCreativeDetail.aspx?App=23&amp;ReportView=4&amp;Qid=1711279&amp;Row=19235&amp;Col=1","No Title Assigned - #15278202213")</f>
        <v/>
      </c>
      <c r="B19243" s="0" t="s">
        <v>25421</v>
      </c>
      <c r="E19243" s="0" t="inlineStr">
        <is>
          <t xml:space="preserve">Mazda</t>
        </is>
      </c>
      <c r="F19243" s="0" t="inlineStr">
        <is>
          <t xml:space="preserve">Mazda</t>
        </is>
      </c>
      <c r="G19243" s="0" t="s">
        <v>171</v>
      </c>
      <c r="H19243" s="5">
        <v>59.019900</v>
      </c>
    </row>
    <row r="19244" spans="1:9">
      <c r="A19244" s="22" t="str">
        <f>HYPERLINK("https://app.vivvix.com/360/KMI/IntelliDrive/ApplUI/Pages/CreativePages/CustomReportCreativeDetail.aspx?App=23&amp;ReportView=4&amp;Qid=1711279&amp;Row=19236&amp;Col=1","No Title Assigned - #15278203252")</f>
        <v/>
      </c>
      <c r="B19244" s="0" t="s">
        <v>25422</v>
      </c>
      <c r="C19244" s="0" t="s">
        <v>25423</v>
      </c>
      <c r="D19244" s="0" t="s">
        <v>25423</v>
      </c>
      <c r="E19244" s="0" t="inlineStr">
        <is>
          <t xml:space="preserve">Mazda</t>
        </is>
      </c>
      <c r="F19244" s="0" t="s">
        <v>28</v>
      </c>
      <c r="G19244" s="0" t="s">
        <v>29</v>
      </c>
      <c r="H19244" s="5">
        <v>521.693200</v>
      </c>
    </row>
    <row r="19245" spans="1:9">
      <c r="A19245" s="22" t="str">
        <f>HYPERLINK("https://app.vivvix.com/360/KMI/IntelliDrive/ApplUI/Pages/CreativePages/CustomReportCreativeDetail.aspx?App=23&amp;ReportView=4&amp;Qid=1711279&amp;Row=19237&amp;Col=1","No Title Assigned - #15278203291")</f>
        <v/>
      </c>
      <c r="B19245" s="0" t="s">
        <v>25424</v>
      </c>
      <c r="C19245" s="0" t="s">
        <v>25425</v>
      </c>
      <c r="D19245" s="0" t="s">
        <v>25425</v>
      </c>
      <c r="E19245" s="0" t="inlineStr">
        <is>
          <t xml:space="preserve">Mazda</t>
        </is>
      </c>
      <c r="F19245" s="0" t="s">
        <v>28</v>
      </c>
      <c r="G19245" s="0" t="s">
        <v>29</v>
      </c>
      <c r="H19245" s="5">
        <v>166.400600</v>
      </c>
    </row>
    <row r="19246" spans="1:9">
      <c r="A19246" s="22" t="str">
        <f>HYPERLINK("https://app.vivvix.com/360/KMI/IntelliDrive/ApplUI/Pages/CreativePages/CustomReportCreativeDetail.aspx?App=23&amp;ReportView=4&amp;Qid=1711279&amp;Row=19238&amp;Col=1","No Title Assigned - #15278203291")</f>
        <v/>
      </c>
      <c r="B19246" s="0" t="s">
        <v>25424</v>
      </c>
      <c r="E19246" s="0" t="inlineStr">
        <is>
          <t xml:space="preserve">Mazda</t>
        </is>
      </c>
      <c r="F19246" s="0" t="s">
        <v>28</v>
      </c>
      <c r="G19246" s="0" t="s">
        <v>29</v>
      </c>
      <c r="H19246" s="5">
        <v>146.628700</v>
      </c>
    </row>
    <row r="19247" spans="1:9">
      <c r="A19247" s="22" t="str">
        <f>HYPERLINK("https://app.vivvix.com/360/KMI/IntelliDrive/ApplUI/Pages/CreativePages/CustomReportCreativeDetail.aspx?App=23&amp;ReportView=4&amp;Qid=1711279&amp;Row=19239&amp;Col=1","No Title Assigned - #15278203535")</f>
        <v/>
      </c>
      <c r="B19247" s="0" t="s">
        <v>25426</v>
      </c>
      <c r="C19247" s="0" t="s">
        <v>25427</v>
      </c>
      <c r="D19247" s="0" t="s">
        <v>25427</v>
      </c>
      <c r="E19247" s="0" t="inlineStr">
        <is>
          <t xml:space="preserve">Mazda</t>
        </is>
      </c>
      <c r="F19247" s="0" t="s">
        <v>28</v>
      </c>
      <c r="G19247" s="0" t="s">
        <v>29</v>
      </c>
      <c r="H19247" s="5">
        <v>19.204000</v>
      </c>
    </row>
    <row r="19248" spans="1:9">
      <c r="A19248" s="22" t="str">
        <f>HYPERLINK("https://app.vivvix.com/360/KMI/IntelliDrive/ApplUI/Pages/CreativePages/CustomReportCreativeDetail.aspx?App=23&amp;ReportView=4&amp;Qid=1711279&amp;Row=19240&amp;Col=1","No Title Assigned - #15278203768")</f>
        <v/>
      </c>
      <c r="B19248" s="0" t="s">
        <v>25428</v>
      </c>
      <c r="C19248" s="0" t="s">
        <v>25429</v>
      </c>
      <c r="D19248" s="0" t="s">
        <v>25429</v>
      </c>
      <c r="E19248" s="0" t="inlineStr">
        <is>
          <t xml:space="preserve">Mazda</t>
        </is>
      </c>
      <c r="F19248" s="0" t="s">
        <v>13</v>
      </c>
      <c r="G19248" s="0" t="s">
        <v>49</v>
      </c>
      <c r="H19248" s="5">
        <v>158.151700</v>
      </c>
    </row>
    <row r="19249" spans="1:9">
      <c r="A19249" s="22" t="str">
        <f>HYPERLINK("https://app.vivvix.com/360/KMI/IntelliDrive/ApplUI/Pages/CreativePages/CustomReportCreativeDetail.aspx?App=23&amp;ReportView=4&amp;Qid=1711279&amp;Row=19241&amp;Col=1","No Title Assigned - #15278203916")</f>
        <v/>
      </c>
      <c r="B19249" s="0" t="s">
        <v>25430</v>
      </c>
      <c r="C19249" s="0" t="s">
        <v>25431</v>
      </c>
      <c r="D19249" s="0" t="s">
        <v>25431</v>
      </c>
      <c r="E19249" s="0" t="inlineStr">
        <is>
          <t xml:space="preserve">Mazda</t>
        </is>
      </c>
      <c r="F19249" s="0" t="s">
        <v>28</v>
      </c>
      <c r="G19249" s="0" t="s">
        <v>29</v>
      </c>
      <c r="H19249" s="5">
        <v>29.823100</v>
      </c>
    </row>
    <row r="19250" spans="1:9">
      <c r="A19250" s="22" t="str">
        <f>HYPERLINK("https://app.vivvix.com/360/KMI/IntelliDrive/ApplUI/Pages/CreativePages/CustomReportCreativeDetail.aspx?App=23&amp;ReportView=4&amp;Qid=1711279&amp;Row=19242&amp;Col=1","No Title Assigned - #15278204647")</f>
        <v/>
      </c>
      <c r="B19250" s="0" t="s">
        <v>25432</v>
      </c>
      <c r="C19250" s="0" t="s">
        <v>25433</v>
      </c>
      <c r="D19250" s="0" t="s">
        <v>25433</v>
      </c>
      <c r="E19250" s="0" t="inlineStr">
        <is>
          <t xml:space="preserve">Mazda</t>
        </is>
      </c>
      <c r="F19250" s="0" t="s">
        <v>28</v>
      </c>
      <c r="G19250" s="0" t="s">
        <v>29</v>
      </c>
      <c r="H19250" s="5">
        <v>752.212600</v>
      </c>
    </row>
    <row r="19251" spans="1:9">
      <c r="A19251" s="22" t="str">
        <f>HYPERLINK("https://app.vivvix.com/360/KMI/IntelliDrive/ApplUI/Pages/CreativePages/CustomReportCreativeDetail.aspx?App=23&amp;ReportView=4&amp;Qid=1711279&amp;Row=19243&amp;Col=1","No Title Assigned - #15278204850")</f>
        <v/>
      </c>
      <c r="B19251" s="0" t="s">
        <v>25434</v>
      </c>
      <c r="E19251" s="0" t="inlineStr">
        <is>
          <t xml:space="preserve">Mazda</t>
        </is>
      </c>
      <c r="F19251" s="0" t="inlineStr">
        <is>
          <t xml:space="preserve">Mazda</t>
        </is>
      </c>
      <c r="G19251" s="0" t="s">
        <v>171</v>
      </c>
      <c r="H19251" s="5">
        <v>183.644200</v>
      </c>
    </row>
    <row r="19252" spans="1:9">
      <c r="A19252" s="22" t="str">
        <f>HYPERLINK("https://app.vivvix.com/360/KMI/IntelliDrive/ApplUI/Pages/CreativePages/CustomReportCreativeDetail.aspx?App=23&amp;ReportView=4&amp;Qid=1711279&amp;Row=19244&amp;Col=1","No Title Assigned - #15278205248")</f>
        <v/>
      </c>
      <c r="B19252" s="0" t="s">
        <v>25435</v>
      </c>
      <c r="E19252" s="0" t="inlineStr">
        <is>
          <t xml:space="preserve">Mazda</t>
        </is>
      </c>
      <c r="F19252" s="0" t="inlineStr">
        <is>
          <t xml:space="preserve">Mazda</t>
        </is>
      </c>
      <c r="G19252" s="0" t="s">
        <v>171</v>
      </c>
      <c r="H19252" s="5">
        <v>364.604200</v>
      </c>
    </row>
    <row r="19253" spans="1:9">
      <c r="A19253" s="22" t="str">
        <f>HYPERLINK("https://app.vivvix.com/360/KMI/IntelliDrive/ApplUI/Pages/CreativePages/CustomReportCreativeDetail.aspx?App=23&amp;ReportView=4&amp;Qid=1711279&amp;Row=19245&amp;Col=1","No Title Assigned - #15278205255")</f>
        <v/>
      </c>
      <c r="B19253" s="0" t="s">
        <v>25436</v>
      </c>
      <c r="C19253" s="0" t="s">
        <v>25437</v>
      </c>
      <c r="D19253" s="0" t="s">
        <v>4225</v>
      </c>
      <c r="E19253" s="0" t="inlineStr">
        <is>
          <t xml:space="preserve">Mazda</t>
        </is>
      </c>
      <c r="F19253" s="0" t="s">
        <v>28</v>
      </c>
      <c r="G19253" s="0" t="s">
        <v>29</v>
      </c>
      <c r="H19253" s="5">
        <v>427.582500</v>
      </c>
    </row>
    <row r="19254" spans="1:9">
      <c r="A19254" s="22" t="str">
        <f>HYPERLINK("https://app.vivvix.com/360/KMI/IntelliDrive/ApplUI/Pages/CreativePages/CustomReportCreativeDetail.aspx?App=23&amp;ReportView=4&amp;Qid=1711279&amp;Row=19246&amp;Col=1","No Title Assigned - #15278205426")</f>
        <v/>
      </c>
      <c r="B19254" s="0" t="s">
        <v>25438</v>
      </c>
      <c r="C19254" s="0" t="s">
        <v>25439</v>
      </c>
      <c r="D19254" s="0" t="s">
        <v>4200</v>
      </c>
      <c r="E19254" s="0" t="inlineStr">
        <is>
          <t xml:space="preserve">Mazda</t>
        </is>
      </c>
      <c r="F19254" s="0" t="s">
        <v>28</v>
      </c>
      <c r="G19254" s="0" t="s">
        <v>29</v>
      </c>
      <c r="H19254" s="5">
        <v>505.047300</v>
      </c>
    </row>
    <row r="19255" spans="1:9">
      <c r="A19255" s="22" t="str">
        <f>HYPERLINK("https://app.vivvix.com/360/KMI/IntelliDrive/ApplUI/Pages/CreativePages/CustomReportCreativeDetail.aspx?App=23&amp;ReportView=4&amp;Qid=1711279&amp;Row=19247&amp;Col=1","No Title Assigned - #15278205657")</f>
        <v/>
      </c>
      <c r="B19255" s="0" t="s">
        <v>25440</v>
      </c>
      <c r="C19255" s="0" t="s">
        <v>25441</v>
      </c>
      <c r="D19255" s="0" t="s">
        <v>25441</v>
      </c>
      <c r="E19255" s="0" t="inlineStr">
        <is>
          <t xml:space="preserve">Mazda</t>
        </is>
      </c>
      <c r="F19255" s="0" t="s">
        <v>13</v>
      </c>
      <c r="G19255" s="0" t="s">
        <v>49</v>
      </c>
      <c r="H19255" s="5">
        <v>1741.141300</v>
      </c>
    </row>
    <row r="19256" spans="1:9">
      <c r="A19256" s="22" t="str">
        <f>HYPERLINK("https://app.vivvix.com/360/KMI/IntelliDrive/ApplUI/Pages/CreativePages/CustomReportCreativeDetail.aspx?App=23&amp;ReportView=4&amp;Qid=1711279&amp;Row=19248&amp;Col=1","No Title Assigned - #15278206456")</f>
        <v/>
      </c>
      <c r="B19256" s="0" t="s">
        <v>25442</v>
      </c>
      <c r="C19256" s="0" t="s">
        <v>25443</v>
      </c>
      <c r="D19256" s="0" t="s">
        <v>13898</v>
      </c>
      <c r="E19256" s="0" t="inlineStr">
        <is>
          <t xml:space="preserve">Mazda</t>
        </is>
      </c>
      <c r="F19256" s="0" t="s">
        <v>28</v>
      </c>
      <c r="G19256" s="0" t="s">
        <v>29</v>
      </c>
      <c r="H19256" s="5">
        <v>622.687900</v>
      </c>
    </row>
    <row r="19257" spans="1:9">
      <c r="A19257" s="22" t="str">
        <f>HYPERLINK("https://app.vivvix.com/360/KMI/IntelliDrive/ApplUI/Pages/CreativePages/CustomReportCreativeDetail.aspx?App=23&amp;ReportView=4&amp;Qid=1711279&amp;Row=19249&amp;Col=1","No Title Assigned - #15278207503")</f>
        <v/>
      </c>
      <c r="B19257" s="0" t="s">
        <v>25444</v>
      </c>
      <c r="C19257" s="0" t="s">
        <v>25445</v>
      </c>
      <c r="D19257" s="0" t="s">
        <v>16691</v>
      </c>
      <c r="E19257" s="0" t="inlineStr">
        <is>
          <t xml:space="preserve">Mazda</t>
        </is>
      </c>
      <c r="F19257" s="0" t="s">
        <v>28</v>
      </c>
      <c r="G19257" s="0" t="s">
        <v>29</v>
      </c>
      <c r="H19257" s="5">
        <v>39.471600</v>
      </c>
    </row>
    <row r="19258" spans="1:9">
      <c r="A19258" s="22" t="str">
        <f>HYPERLINK("https://app.vivvix.com/360/KMI/IntelliDrive/ApplUI/Pages/CreativePages/CustomReportCreativeDetail.aspx?App=23&amp;ReportView=4&amp;Qid=1711279&amp;Row=19250&amp;Col=1","No Title Assigned - #15278207655")</f>
        <v/>
      </c>
      <c r="B19258" s="0" t="s">
        <v>25446</v>
      </c>
      <c r="C19258" s="0" t="s">
        <v>25447</v>
      </c>
      <c r="D19258" s="0" t="s">
        <v>4225</v>
      </c>
      <c r="E19258" s="0" t="inlineStr">
        <is>
          <t xml:space="preserve">Mazda</t>
        </is>
      </c>
      <c r="F19258" s="0" t="s">
        <v>28</v>
      </c>
      <c r="G19258" s="0" t="s">
        <v>29</v>
      </c>
      <c r="H19258" s="5">
        <v>800.087300</v>
      </c>
    </row>
    <row r="19259" spans="1:9">
      <c r="A19259" s="22" t="str">
        <f>HYPERLINK("https://app.vivvix.com/360/KMI/IntelliDrive/ApplUI/Pages/CreativePages/CustomReportCreativeDetail.aspx?App=23&amp;ReportView=4&amp;Qid=1711279&amp;Row=19251&amp;Col=1","No Title Assigned - #15278207742")</f>
        <v/>
      </c>
      <c r="B19259" s="0" t="s">
        <v>25448</v>
      </c>
      <c r="E19259" s="0" t="inlineStr">
        <is>
          <t xml:space="preserve">Mazda</t>
        </is>
      </c>
      <c r="F19259" s="0" t="s">
        <v>28</v>
      </c>
      <c r="G19259" s="0" t="s">
        <v>29</v>
      </c>
      <c r="H19259" s="5">
        <v>677.897400</v>
      </c>
    </row>
    <row r="19260" spans="1:9">
      <c r="A19260" s="22" t="str">
        <f>HYPERLINK("https://app.vivvix.com/360/KMI/IntelliDrive/ApplUI/Pages/CreativePages/CustomReportCreativeDetail.aspx?App=23&amp;ReportView=4&amp;Qid=1711279&amp;Row=19252&amp;Col=1","No Title Assigned - #15278207742")</f>
        <v/>
      </c>
      <c r="B19260" s="0" t="s">
        <v>25448</v>
      </c>
      <c r="C19260" s="0" t="s">
        <v>25449</v>
      </c>
      <c r="D19260" s="0" t="s">
        <v>4202</v>
      </c>
      <c r="E19260" s="0" t="inlineStr">
        <is>
          <t xml:space="preserve">Mazda</t>
        </is>
      </c>
      <c r="F19260" s="0" t="s">
        <v>28</v>
      </c>
      <c r="G19260" s="0" t="s">
        <v>29</v>
      </c>
      <c r="H19260" s="5">
        <v>443.629600</v>
      </c>
    </row>
    <row r="19261" spans="1:9">
      <c r="A19261" s="22" t="str">
        <f>HYPERLINK("https://app.vivvix.com/360/KMI/IntelliDrive/ApplUI/Pages/CreativePages/CustomReportCreativeDetail.aspx?App=23&amp;ReportView=4&amp;Qid=1711279&amp;Row=19253&amp;Col=1","No Title Assigned - #15278207801")</f>
        <v/>
      </c>
      <c r="B19261" s="0" t="s">
        <v>25450</v>
      </c>
      <c r="C19261" s="0" t="s">
        <v>25451</v>
      </c>
      <c r="D19261" s="0" t="s">
        <v>25451</v>
      </c>
      <c r="E19261" s="0" t="inlineStr">
        <is>
          <t xml:space="preserve">Mazda</t>
        </is>
      </c>
      <c r="F19261" s="0" t="s">
        <v>13</v>
      </c>
      <c r="G19261" s="0" t="s">
        <v>49</v>
      </c>
      <c r="H19261" s="5">
        <v>5126.465200</v>
      </c>
    </row>
    <row r="19262" spans="1:9">
      <c r="A19262" s="22" t="str">
        <f>HYPERLINK("https://app.vivvix.com/360/KMI/IntelliDrive/ApplUI/Pages/CreativePages/CustomReportCreativeDetail.aspx?App=23&amp;ReportView=4&amp;Qid=1711279&amp;Row=19254&amp;Col=1","No Title Assigned - #15278208925")</f>
        <v/>
      </c>
      <c r="B19262" s="0" t="s">
        <v>25452</v>
      </c>
      <c r="C19262" s="0" t="s">
        <v>25453</v>
      </c>
      <c r="D19262" s="0" t="s">
        <v>25453</v>
      </c>
      <c r="E19262" s="0" t="inlineStr">
        <is>
          <t xml:space="preserve">Mazda</t>
        </is>
      </c>
      <c r="F19262" s="0" t="s">
        <v>28</v>
      </c>
      <c r="G19262" s="0" t="s">
        <v>29</v>
      </c>
      <c r="H19262" s="5">
        <v>2120.680400</v>
      </c>
    </row>
    <row r="19263" spans="1:9">
      <c r="A19263" s="22" t="str">
        <f>HYPERLINK("https://app.vivvix.com/360/KMI/IntelliDrive/ApplUI/Pages/CreativePages/CustomReportCreativeDetail.aspx?App=23&amp;ReportView=4&amp;Qid=1711279&amp;Row=19255&amp;Col=1","No Title Assigned - #15278209244")</f>
        <v/>
      </c>
      <c r="B19263" s="0" t="s">
        <v>25454</v>
      </c>
      <c r="C19263" s="0" t="s">
        <v>25455</v>
      </c>
      <c r="D19263" s="0" t="s">
        <v>21131</v>
      </c>
      <c r="E19263" s="0" t="inlineStr">
        <is>
          <t xml:space="preserve">Mazda</t>
        </is>
      </c>
      <c r="F19263" s="0" t="s">
        <v>13</v>
      </c>
      <c r="G19263" s="0" t="s">
        <v>49</v>
      </c>
      <c r="H19263" s="5">
        <v>3803.199800</v>
      </c>
    </row>
    <row r="19264" spans="1:9">
      <c r="A19264" s="22" t="str">
        <f>HYPERLINK("https://app.vivvix.com/360/KMI/IntelliDrive/ApplUI/Pages/CreativePages/CustomReportCreativeDetail.aspx?App=23&amp;ReportView=4&amp;Qid=1711279&amp;Row=19256&amp;Col=1","No Title Assigned - #15278209337")</f>
        <v/>
      </c>
      <c r="B19264" s="0" t="s">
        <v>25456</v>
      </c>
      <c r="C19264" s="0" t="s">
        <v>25457</v>
      </c>
      <c r="D19264" s="0" t="s">
        <v>25457</v>
      </c>
      <c r="E19264" s="0" t="inlineStr">
        <is>
          <t xml:space="preserve">Mazda</t>
        </is>
      </c>
      <c r="F19264" s="0" t="s">
        <v>13</v>
      </c>
      <c r="G19264" s="0" t="s">
        <v>49</v>
      </c>
      <c r="H19264" s="5">
        <v>613.253400</v>
      </c>
    </row>
    <row r="19265" spans="1:9">
      <c r="A19265" s="22" t="str">
        <f>HYPERLINK("https://app.vivvix.com/360/KMI/IntelliDrive/ApplUI/Pages/CreativePages/CustomReportCreativeDetail.aspx?App=23&amp;ReportView=4&amp;Qid=1711279&amp;Row=19257&amp;Col=1","No Title Assigned - #15278209564")</f>
        <v/>
      </c>
      <c r="B19265" s="0" t="s">
        <v>25458</v>
      </c>
      <c r="C19265" s="0" t="s">
        <v>25459</v>
      </c>
      <c r="D19265" s="0" t="s">
        <v>25459</v>
      </c>
      <c r="E19265" s="0" t="inlineStr">
        <is>
          <t xml:space="preserve">Mazda</t>
        </is>
      </c>
      <c r="F19265" s="0" t="s">
        <v>13</v>
      </c>
      <c r="G19265" s="0" t="s">
        <v>49</v>
      </c>
      <c r="H19265" s="5">
        <v>4113.276700</v>
      </c>
    </row>
    <row r="19266" spans="1:9">
      <c r="A19266" s="22" t="str">
        <f>HYPERLINK("https://app.vivvix.com/360/KMI/IntelliDrive/ApplUI/Pages/CreativePages/CustomReportCreativeDetail.aspx?App=23&amp;ReportView=4&amp;Qid=1711279&amp;Row=19258&amp;Col=1","No Title Assigned - #15278209565")</f>
        <v/>
      </c>
      <c r="B19266" s="0" t="s">
        <v>25460</v>
      </c>
      <c r="C19266" s="0" t="s">
        <v>25461</v>
      </c>
      <c r="D19266" s="0" t="s">
        <v>25461</v>
      </c>
      <c r="E19266" s="0" t="inlineStr">
        <is>
          <t xml:space="preserve">Mazda</t>
        </is>
      </c>
      <c r="F19266" s="0" t="s">
        <v>13</v>
      </c>
      <c r="G19266" s="0" t="s">
        <v>49</v>
      </c>
      <c r="H19266" s="5">
        <v>6093.166400</v>
      </c>
    </row>
    <row r="19267" spans="1:9">
      <c r="A19267" s="22" t="str">
        <f>HYPERLINK("https://app.vivvix.com/360/KMI/IntelliDrive/ApplUI/Pages/CreativePages/CustomReportCreativeDetail.aspx?App=23&amp;ReportView=4&amp;Qid=1711279&amp;Row=19259&amp;Col=1","No Title Assigned - #15278210081")</f>
        <v/>
      </c>
      <c r="B19267" s="0" t="s">
        <v>25462</v>
      </c>
      <c r="C19267" s="0" t="s">
        <v>25463</v>
      </c>
      <c r="D19267" s="0" t="s">
        <v>25463</v>
      </c>
      <c r="E19267" s="0" t="inlineStr">
        <is>
          <t xml:space="preserve">Mazda</t>
        </is>
      </c>
      <c r="F19267" s="0" t="s">
        <v>13</v>
      </c>
      <c r="G19267" s="0" t="s">
        <v>49</v>
      </c>
      <c r="H19267" s="5">
        <v>111.366200</v>
      </c>
    </row>
    <row r="19268" spans="1:9">
      <c r="A19268" s="22" t="str">
        <f>HYPERLINK("https://app.vivvix.com/360/KMI/IntelliDrive/ApplUI/Pages/CreativePages/CustomReportCreativeDetail.aspx?App=23&amp;ReportView=4&amp;Qid=1711279&amp;Row=19260&amp;Col=1","No Title Assigned - #15278211217")</f>
        <v/>
      </c>
      <c r="B19268" s="0" t="s">
        <v>25464</v>
      </c>
      <c r="C19268" s="0" t="s">
        <v>25465</v>
      </c>
      <c r="D19268" s="0" t="s">
        <v>25465</v>
      </c>
      <c r="E19268" s="0" t="inlineStr">
        <is>
          <t xml:space="preserve">Mazda</t>
        </is>
      </c>
      <c r="F19268" s="0" t="s">
        <v>28</v>
      </c>
      <c r="G19268" s="0" t="s">
        <v>29</v>
      </c>
      <c r="H19268" s="5">
        <v>2752.172100</v>
      </c>
    </row>
    <row r="19269" spans="1:9">
      <c r="A19269" s="22" t="str">
        <f>HYPERLINK("https://app.vivvix.com/360/KMI/IntelliDrive/ApplUI/Pages/CreativePages/CustomReportCreativeDetail.aspx?App=23&amp;ReportView=4&amp;Qid=1711279&amp;Row=19261&amp;Col=1","No Title Assigned - #15278212713")</f>
        <v/>
      </c>
      <c r="B19269" s="0" t="s">
        <v>25466</v>
      </c>
      <c r="C19269" s="0" t="s">
        <v>25467</v>
      </c>
      <c r="D19269" s="0" t="s">
        <v>25467</v>
      </c>
      <c r="E19269" s="0" t="inlineStr">
        <is>
          <t xml:space="preserve">Mazda</t>
        </is>
      </c>
      <c r="F19269" s="0" t="s">
        <v>13</v>
      </c>
      <c r="G19269" s="0" t="s">
        <v>49</v>
      </c>
      <c r="H19269" s="5">
        <v>268.784900</v>
      </c>
    </row>
    <row r="19270" spans="1:9">
      <c r="A19270" s="22" t="str">
        <f>HYPERLINK("https://app.vivvix.com/360/KMI/IntelliDrive/ApplUI/Pages/CreativePages/CustomReportCreativeDetail.aspx?App=23&amp;ReportView=4&amp;Qid=1711279&amp;Row=19262&amp;Col=1","No Title Assigned - #15278212714")</f>
        <v/>
      </c>
      <c r="B19270" s="0" t="s">
        <v>25468</v>
      </c>
      <c r="C19270" s="0" t="s">
        <v>25469</v>
      </c>
      <c r="D19270" s="0" t="s">
        <v>25469</v>
      </c>
      <c r="E19270" s="0" t="inlineStr">
        <is>
          <t xml:space="preserve">Mazda</t>
        </is>
      </c>
      <c r="F19270" s="0" t="inlineStr">
        <is>
          <t xml:space="preserve">Mazda</t>
        </is>
      </c>
      <c r="G19270" s="0" t="s">
        <v>210</v>
      </c>
      <c r="H19270" s="5">
        <v>3435.909500</v>
      </c>
    </row>
    <row r="19271" spans="1:9">
      <c r="A19271" s="22" t="str">
        <f>HYPERLINK("https://app.vivvix.com/360/KMI/IntelliDrive/ApplUI/Pages/CreativePages/CustomReportCreativeDetail.aspx?App=23&amp;ReportView=4&amp;Qid=1711279&amp;Row=19263&amp;Col=1","No Title Assigned - #15278213616")</f>
        <v/>
      </c>
      <c r="B19271" s="0" t="s">
        <v>25470</v>
      </c>
      <c r="C19271" s="0" t="s">
        <v>25471</v>
      </c>
      <c r="D19271" s="0" t="s">
        <v>19161</v>
      </c>
      <c r="E19271" s="0" t="inlineStr">
        <is>
          <t xml:space="preserve">Mazda</t>
        </is>
      </c>
      <c r="F19271" s="0" t="s">
        <v>28</v>
      </c>
      <c r="G19271" s="0" t="s">
        <v>29</v>
      </c>
      <c r="H19271" s="5">
        <v>1277.667000</v>
      </c>
    </row>
    <row r="19272" spans="1:9">
      <c r="A19272" s="22" t="str">
        <f>HYPERLINK("https://app.vivvix.com/360/KMI/IntelliDrive/ApplUI/Pages/CreativePages/CustomReportCreativeDetail.aspx?App=23&amp;ReportView=4&amp;Qid=1711279&amp;Row=19264&amp;Col=1","No Title Assigned - #15278214000")</f>
        <v/>
      </c>
      <c r="B19272" s="0" t="s">
        <v>25472</v>
      </c>
      <c r="C19272" s="0" t="s">
        <v>25473</v>
      </c>
      <c r="D19272" s="0" t="s">
        <v>25473</v>
      </c>
      <c r="E19272" s="0" t="inlineStr">
        <is>
          <t xml:space="preserve">Mazda</t>
        </is>
      </c>
      <c r="F19272" s="0" t="s">
        <v>28</v>
      </c>
      <c r="G19272" s="0" t="s">
        <v>29</v>
      </c>
      <c r="H19272" s="5">
        <v>1151.609300</v>
      </c>
    </row>
    <row r="19273" spans="1:9">
      <c r="A19273" s="22" t="str">
        <f>HYPERLINK("https://app.vivvix.com/360/KMI/IntelliDrive/ApplUI/Pages/CreativePages/CustomReportCreativeDetail.aspx?App=23&amp;ReportView=4&amp;Qid=1711279&amp;Row=19265&amp;Col=1","No Title Assigned - #15278214223")</f>
        <v/>
      </c>
      <c r="B19273" s="0" t="s">
        <v>25474</v>
      </c>
      <c r="C19273" s="0" t="s">
        <v>25475</v>
      </c>
      <c r="D19273" s="0" t="s">
        <v>25475</v>
      </c>
      <c r="E19273" s="0" t="inlineStr">
        <is>
          <t xml:space="preserve">Mazda</t>
        </is>
      </c>
      <c r="F19273" s="0" t="s">
        <v>13</v>
      </c>
      <c r="G19273" s="0" t="s">
        <v>49</v>
      </c>
      <c r="H19273" s="5">
        <v>72.146500</v>
      </c>
    </row>
    <row r="19274" spans="1:9">
      <c r="A19274" s="22" t="str">
        <f>HYPERLINK("https://app.vivvix.com/360/KMI/IntelliDrive/ApplUI/Pages/CreativePages/CustomReportCreativeDetail.aspx?App=23&amp;ReportView=4&amp;Qid=1711279&amp;Row=19266&amp;Col=1","No Title Assigned - #15278214326")</f>
        <v/>
      </c>
      <c r="B19274" s="0" t="s">
        <v>25476</v>
      </c>
      <c r="C19274" s="0" t="s">
        <v>25477</v>
      </c>
      <c r="D19274" s="0" t="s">
        <v>25477</v>
      </c>
      <c r="E19274" s="0" t="inlineStr">
        <is>
          <t xml:space="preserve">Mazda</t>
        </is>
      </c>
      <c r="F19274" s="0" t="s">
        <v>28</v>
      </c>
      <c r="G19274" s="0" t="s">
        <v>29</v>
      </c>
      <c r="H19274" s="5">
        <v>224.951600</v>
      </c>
    </row>
    <row r="19275" spans="1:9">
      <c r="A19275" s="22" t="str">
        <f>HYPERLINK("https://app.vivvix.com/360/KMI/IntelliDrive/ApplUI/Pages/CreativePages/CustomReportCreativeDetail.aspx?App=23&amp;ReportView=4&amp;Qid=1711279&amp;Row=19267&amp;Col=1","No Title Assigned - #15278214365")</f>
        <v/>
      </c>
      <c r="B19275" s="0" t="s">
        <v>25478</v>
      </c>
      <c r="C19275" s="0" t="s">
        <v>25479</v>
      </c>
      <c r="D19275" s="0" t="s">
        <v>25479</v>
      </c>
      <c r="E19275" s="0" t="inlineStr">
        <is>
          <t xml:space="preserve">Mazda</t>
        </is>
      </c>
      <c r="F19275" s="0" t="s">
        <v>28</v>
      </c>
      <c r="G19275" s="0" t="s">
        <v>29</v>
      </c>
      <c r="H19275" s="5">
        <v>46391.855500</v>
      </c>
    </row>
    <row r="19276" spans="1:9">
      <c r="A19276" s="22" t="str">
        <f>HYPERLINK("https://app.vivvix.com/360/KMI/IntelliDrive/ApplUI/Pages/CreativePages/CustomReportCreativeDetail.aspx?App=23&amp;ReportView=4&amp;Qid=1711279&amp;Row=19268&amp;Col=1","No Title Assigned - #15278214365")</f>
        <v/>
      </c>
      <c r="B19276" s="0" t="s">
        <v>25478</v>
      </c>
      <c r="E19276" s="0" t="inlineStr">
        <is>
          <t xml:space="preserve">Mazda</t>
        </is>
      </c>
      <c r="F19276" s="0" t="s">
        <v>28</v>
      </c>
      <c r="G19276" s="0" t="s">
        <v>29</v>
      </c>
      <c r="H19276" s="5">
        <v>95.563200</v>
      </c>
    </row>
    <row r="19277" spans="1:9">
      <c r="A19277" s="22" t="str">
        <f>HYPERLINK("https://app.vivvix.com/360/KMI/IntelliDrive/ApplUI/Pages/CreativePages/CustomReportCreativeDetail.aspx?App=23&amp;ReportView=4&amp;Qid=1711279&amp;Row=19269&amp;Col=1","No Title Assigned - #15278214418")</f>
        <v/>
      </c>
      <c r="B19277" s="0" t="s">
        <v>25480</v>
      </c>
      <c r="C19277" s="0" t="s">
        <v>25481</v>
      </c>
      <c r="D19277" s="0" t="s">
        <v>25481</v>
      </c>
      <c r="E19277" s="0" t="inlineStr">
        <is>
          <t xml:space="preserve">Mazda</t>
        </is>
      </c>
      <c r="F19277" s="0" t="s">
        <v>13</v>
      </c>
      <c r="G19277" s="0" t="s">
        <v>49</v>
      </c>
      <c r="H19277" s="5">
        <v>151.718500</v>
      </c>
    </row>
    <row r="19278" spans="1:9">
      <c r="A19278" s="22" t="str">
        <f>HYPERLINK("https://app.vivvix.com/360/KMI/IntelliDrive/ApplUI/Pages/CreativePages/CustomReportCreativeDetail.aspx?App=23&amp;ReportView=4&amp;Qid=1711279&amp;Row=19270&amp;Col=1","No Title Assigned - #15278215148")</f>
        <v/>
      </c>
      <c r="B19278" s="0" t="s">
        <v>25482</v>
      </c>
      <c r="C19278" s="0" t="s">
        <v>25483</v>
      </c>
      <c r="D19278" s="0" t="s">
        <v>4200</v>
      </c>
      <c r="E19278" s="0" t="inlineStr">
        <is>
          <t xml:space="preserve">Mazda</t>
        </is>
      </c>
      <c r="F19278" s="0" t="s">
        <v>28</v>
      </c>
      <c r="G19278" s="0" t="s">
        <v>29</v>
      </c>
      <c r="H19278" s="5">
        <v>240.634400</v>
      </c>
    </row>
    <row r="19279" spans="1:9">
      <c r="A19279" s="22" t="str">
        <f>HYPERLINK("https://app.vivvix.com/360/KMI/IntelliDrive/ApplUI/Pages/CreativePages/CustomReportCreativeDetail.aspx?App=23&amp;ReportView=4&amp;Qid=1711279&amp;Row=19271&amp;Col=1","No Title Assigned - #15278215320")</f>
        <v/>
      </c>
      <c r="B19279" s="0" t="s">
        <v>25484</v>
      </c>
      <c r="C19279" s="0" t="s">
        <v>25485</v>
      </c>
      <c r="D19279" s="0" t="s">
        <v>25485</v>
      </c>
      <c r="E19279" s="0" t="inlineStr">
        <is>
          <t xml:space="preserve">Mazda</t>
        </is>
      </c>
      <c r="F19279" s="0" t="s">
        <v>28</v>
      </c>
      <c r="G19279" s="0" t="s">
        <v>29</v>
      </c>
      <c r="H19279" s="5">
        <v>27.972300</v>
      </c>
    </row>
    <row r="19280" spans="1:9">
      <c r="A19280" s="22" t="str">
        <f>HYPERLINK("https://app.vivvix.com/360/KMI/IntelliDrive/ApplUI/Pages/CreativePages/CustomReportCreativeDetail.aspx?App=23&amp;ReportView=4&amp;Qid=1711279&amp;Row=19272&amp;Col=1","No Title Assigned - #15278215510")</f>
        <v/>
      </c>
      <c r="B19280" s="0" t="s">
        <v>25486</v>
      </c>
      <c r="C19280" s="0" t="s">
        <v>25487</v>
      </c>
      <c r="D19280" s="0" t="s">
        <v>25487</v>
      </c>
      <c r="E19280" s="0" t="inlineStr">
        <is>
          <t xml:space="preserve">Mazda</t>
        </is>
      </c>
      <c r="F19280" s="0" t="s">
        <v>13</v>
      </c>
      <c r="G19280" s="0" t="s">
        <v>49</v>
      </c>
      <c r="H19280" s="5">
        <v>1404.391200</v>
      </c>
    </row>
    <row r="19281" spans="1:9">
      <c r="A19281" s="22" t="str">
        <f>HYPERLINK("https://app.vivvix.com/360/KMI/IntelliDrive/ApplUI/Pages/CreativePages/CustomReportCreativeDetail.aspx?App=23&amp;ReportView=4&amp;Qid=1711279&amp;Row=19273&amp;Col=1","No Title Assigned - #15278215646")</f>
        <v/>
      </c>
      <c r="B19281" s="0" t="s">
        <v>25488</v>
      </c>
      <c r="C19281" s="0" t="s">
        <v>25489</v>
      </c>
      <c r="D19281" s="0" t="s">
        <v>25489</v>
      </c>
      <c r="E19281" s="0" t="inlineStr">
        <is>
          <t xml:space="preserve">Mazda</t>
        </is>
      </c>
      <c r="F19281" s="0" t="s">
        <v>13</v>
      </c>
      <c r="G19281" s="0" t="s">
        <v>49</v>
      </c>
      <c r="H19281" s="5">
        <v>4250.897000</v>
      </c>
    </row>
    <row r="19282" spans="1:9">
      <c r="A19282" s="22" t="str">
        <f>HYPERLINK("https://app.vivvix.com/360/KMI/IntelliDrive/ApplUI/Pages/CreativePages/CustomReportCreativeDetail.aspx?App=23&amp;ReportView=4&amp;Qid=1711279&amp;Row=19274&amp;Col=1","No Title Assigned - #15278217471")</f>
        <v/>
      </c>
      <c r="B19282" s="0" t="s">
        <v>25490</v>
      </c>
      <c r="C19282" s="0" t="s">
        <v>25491</v>
      </c>
      <c r="D19282" s="0" t="s">
        <v>25491</v>
      </c>
      <c r="E19282" s="0" t="inlineStr">
        <is>
          <t xml:space="preserve">Mazda</t>
        </is>
      </c>
      <c r="F19282" s="0" t="s">
        <v>13</v>
      </c>
      <c r="G19282" s="0" t="s">
        <v>49</v>
      </c>
      <c r="H19282" s="5">
        <v>1195.788700</v>
      </c>
    </row>
    <row r="19283" spans="1:9">
      <c r="A19283" s="22" t="str">
        <f>HYPERLINK("https://app.vivvix.com/360/KMI/IntelliDrive/ApplUI/Pages/CreativePages/CustomReportCreativeDetail.aspx?App=23&amp;ReportView=4&amp;Qid=1711279&amp;Row=19275&amp;Col=1","No Title Assigned - #15278217637")</f>
        <v/>
      </c>
      <c r="B19283" s="0" t="s">
        <v>25492</v>
      </c>
      <c r="C19283" s="0" t="s">
        <v>25493</v>
      </c>
      <c r="D19283" s="0" t="s">
        <v>25493</v>
      </c>
      <c r="E19283" s="0" t="inlineStr">
        <is>
          <t xml:space="preserve">Mazda</t>
        </is>
      </c>
      <c r="F19283" s="0" t="s">
        <v>13</v>
      </c>
      <c r="G19283" s="0" t="s">
        <v>49</v>
      </c>
      <c r="H19283" s="5">
        <v>158.567500</v>
      </c>
    </row>
    <row r="19284" spans="1:9">
      <c r="A19284" s="22" t="str">
        <f>HYPERLINK("https://app.vivvix.com/360/KMI/IntelliDrive/ApplUI/Pages/CreativePages/CustomReportCreativeDetail.aspx?App=23&amp;ReportView=4&amp;Qid=1711279&amp;Row=19276&amp;Col=1","No Title Assigned - #15278218837")</f>
        <v/>
      </c>
      <c r="B19284" s="0" t="s">
        <v>25494</v>
      </c>
      <c r="C19284" s="0" t="s">
        <v>25495</v>
      </c>
      <c r="D19284" s="0" t="s">
        <v>25495</v>
      </c>
      <c r="E19284" s="0" t="inlineStr">
        <is>
          <t xml:space="preserve">Mazda</t>
        </is>
      </c>
      <c r="F19284" s="0" t="s">
        <v>13</v>
      </c>
      <c r="G19284" s="0" t="s">
        <v>49</v>
      </c>
      <c r="H19284" s="5">
        <v>268.784900</v>
      </c>
    </row>
    <row r="19285" spans="1:9">
      <c r="A19285" s="22" t="str">
        <f>HYPERLINK("https://app.vivvix.com/360/KMI/IntelliDrive/ApplUI/Pages/CreativePages/CustomReportCreativeDetail.aspx?App=23&amp;ReportView=4&amp;Qid=1711279&amp;Row=19277&amp;Col=1","No Title Assigned - #15278219021")</f>
        <v/>
      </c>
      <c r="B19285" s="0" t="s">
        <v>25496</v>
      </c>
      <c r="C19285" s="0" t="s">
        <v>25497</v>
      </c>
      <c r="D19285" s="0" t="s">
        <v>4200</v>
      </c>
      <c r="E19285" s="0" t="inlineStr">
        <is>
          <t xml:space="preserve">Mazda</t>
        </is>
      </c>
      <c r="F19285" s="0" t="s">
        <v>28</v>
      </c>
      <c r="G19285" s="0" t="s">
        <v>29</v>
      </c>
      <c r="H19285" s="5">
        <v>385.206500</v>
      </c>
    </row>
    <row r="19286" spans="1:9">
      <c r="A19286" s="22" t="str">
        <f>HYPERLINK("https://app.vivvix.com/360/KMI/IntelliDrive/ApplUI/Pages/CreativePages/CustomReportCreativeDetail.aspx?App=23&amp;ReportView=4&amp;Qid=1711279&amp;Row=19278&amp;Col=1","No Title Assigned - #15278220046")</f>
        <v/>
      </c>
      <c r="B19286" s="0" t="s">
        <v>25498</v>
      </c>
      <c r="C19286" s="0" t="s">
        <v>25499</v>
      </c>
      <c r="D19286" s="0" t="s">
        <v>25499</v>
      </c>
      <c r="E19286" s="0" t="inlineStr">
        <is>
          <t xml:space="preserve">Mazda</t>
        </is>
      </c>
      <c r="F19286" s="0" t="s">
        <v>13</v>
      </c>
      <c r="G19286" s="0" t="s">
        <v>49</v>
      </c>
      <c r="H19286" s="5">
        <v>24197.560500</v>
      </c>
    </row>
    <row r="19287" spans="1:9">
      <c r="A19287" s="22" t="str">
        <f>HYPERLINK("https://app.vivvix.com/360/KMI/IntelliDrive/ApplUI/Pages/CreativePages/CustomReportCreativeDetail.aspx?App=23&amp;ReportView=4&amp;Qid=1711279&amp;Row=19279&amp;Col=1","No Title Assigned - #15278221109")</f>
        <v/>
      </c>
      <c r="B19287" s="0" t="s">
        <v>25500</v>
      </c>
      <c r="C19287" s="0" t="s">
        <v>25501</v>
      </c>
      <c r="D19287" s="0" t="s">
        <v>4225</v>
      </c>
      <c r="E19287" s="0" t="inlineStr">
        <is>
          <t xml:space="preserve">Mazda</t>
        </is>
      </c>
      <c r="F19287" s="0" t="s">
        <v>28</v>
      </c>
      <c r="G19287" s="0" t="s">
        <v>29</v>
      </c>
      <c r="H19287" s="5">
        <v>212.107200</v>
      </c>
    </row>
    <row r="19288" spans="1:9">
      <c r="A19288" s="22" t="str">
        <f>HYPERLINK("https://app.vivvix.com/360/KMI/IntelliDrive/ApplUI/Pages/CreativePages/CustomReportCreativeDetail.aspx?App=23&amp;ReportView=4&amp;Qid=1711279&amp;Row=19280&amp;Col=1","No Title Assigned - #15278221190")</f>
        <v/>
      </c>
      <c r="B19288" s="0" t="s">
        <v>25502</v>
      </c>
      <c r="C19288" s="0" t="s">
        <v>25503</v>
      </c>
      <c r="D19288" s="0" t="s">
        <v>25503</v>
      </c>
      <c r="E19288" s="0" t="inlineStr">
        <is>
          <t xml:space="preserve">Mazda</t>
        </is>
      </c>
      <c r="F19288" s="0" t="s">
        <v>13</v>
      </c>
      <c r="G19288" s="0" t="s">
        <v>49</v>
      </c>
      <c r="H19288" s="5">
        <v>846.563100</v>
      </c>
    </row>
    <row r="19289" spans="1:9">
      <c r="A19289" s="22" t="str">
        <f>HYPERLINK("https://app.vivvix.com/360/KMI/IntelliDrive/ApplUI/Pages/CreativePages/CustomReportCreativeDetail.aspx?App=23&amp;ReportView=4&amp;Qid=1711279&amp;Row=19281&amp;Col=1","No Title Assigned - #15278221229")</f>
        <v/>
      </c>
      <c r="B19289" s="0" t="s">
        <v>25504</v>
      </c>
      <c r="C19289" s="0" t="s">
        <v>25505</v>
      </c>
      <c r="D19289" s="0" t="s">
        <v>4202</v>
      </c>
      <c r="E19289" s="0" t="inlineStr">
        <is>
          <t xml:space="preserve">Mazda</t>
        </is>
      </c>
      <c r="F19289" s="0" t="s">
        <v>28</v>
      </c>
      <c r="G19289" s="0" t="s">
        <v>29</v>
      </c>
      <c r="H19289" s="5">
        <v>1570.236400</v>
      </c>
    </row>
    <row r="19290" spans="1:9">
      <c r="A19290" s="22" t="str">
        <f>HYPERLINK("https://app.vivvix.com/360/KMI/IntelliDrive/ApplUI/Pages/CreativePages/CustomReportCreativeDetail.aspx?App=23&amp;ReportView=4&amp;Qid=1711279&amp;Row=19282&amp;Col=1","No Title Assigned - #15278221431")</f>
        <v/>
      </c>
      <c r="B19290" s="0" t="s">
        <v>25506</v>
      </c>
      <c r="C19290" s="0" t="s">
        <v>25507</v>
      </c>
      <c r="D19290" s="0" t="s">
        <v>4204</v>
      </c>
      <c r="E19290" s="0" t="inlineStr">
        <is>
          <t xml:space="preserve">Mazda</t>
        </is>
      </c>
      <c r="F19290" s="0" t="s">
        <v>28</v>
      </c>
      <c r="G19290" s="0" t="s">
        <v>29</v>
      </c>
      <c r="H19290" s="5">
        <v>692.724800</v>
      </c>
    </row>
    <row r="19291" spans="1:9">
      <c r="A19291" s="22" t="str">
        <f>HYPERLINK("https://app.vivvix.com/360/KMI/IntelliDrive/ApplUI/Pages/CreativePages/CustomReportCreativeDetail.aspx?App=23&amp;ReportView=4&amp;Qid=1711279&amp;Row=19283&amp;Col=1","No Title Assigned - #15278221821")</f>
        <v/>
      </c>
      <c r="B19291" s="0" t="s">
        <v>25508</v>
      </c>
      <c r="C19291" s="0" t="s">
        <v>25509</v>
      </c>
      <c r="D19291" s="0" t="s">
        <v>25509</v>
      </c>
      <c r="E19291" s="0" t="inlineStr">
        <is>
          <t xml:space="preserve">Mazda</t>
        </is>
      </c>
      <c r="F19291" s="0" t="s">
        <v>13</v>
      </c>
      <c r="G19291" s="0" t="s">
        <v>49</v>
      </c>
      <c r="H19291" s="5">
        <v>63.352800</v>
      </c>
    </row>
    <row r="19292" spans="1:9">
      <c r="A19292" s="22" t="str">
        <f>HYPERLINK("https://app.vivvix.com/360/KMI/IntelliDrive/ApplUI/Pages/CreativePages/CustomReportCreativeDetail.aspx?App=23&amp;ReportView=4&amp;Qid=1711279&amp;Row=19284&amp;Col=1","No Title Assigned - #15278221969")</f>
        <v/>
      </c>
      <c r="B19292" s="0" t="s">
        <v>25510</v>
      </c>
      <c r="C19292" s="0" t="s">
        <v>25511</v>
      </c>
      <c r="D19292" s="0" t="s">
        <v>25511</v>
      </c>
      <c r="E19292" s="0" t="inlineStr">
        <is>
          <t xml:space="preserve">Mazda</t>
        </is>
      </c>
      <c r="F19292" s="0" t="s">
        <v>28</v>
      </c>
      <c r="G19292" s="0" t="s">
        <v>29</v>
      </c>
      <c r="H19292" s="5">
        <v>211.277200</v>
      </c>
    </row>
    <row r="19293" spans="1:9">
      <c r="A19293" s="22" t="str">
        <f>HYPERLINK("https://app.vivvix.com/360/KMI/IntelliDrive/ApplUI/Pages/CreativePages/CustomReportCreativeDetail.aspx?App=23&amp;ReportView=4&amp;Qid=1711279&amp;Row=19285&amp;Col=1","No Title Assigned - #15278222218")</f>
        <v/>
      </c>
      <c r="B19293" s="0" t="s">
        <v>25512</v>
      </c>
      <c r="C19293" s="0" t="s">
        <v>25513</v>
      </c>
      <c r="D19293" s="0" t="s">
        <v>25513</v>
      </c>
      <c r="E19293" s="0" t="inlineStr">
        <is>
          <t xml:space="preserve">Mazda</t>
        </is>
      </c>
      <c r="F19293" s="0" t="s">
        <v>28</v>
      </c>
      <c r="G19293" s="0" t="s">
        <v>29</v>
      </c>
      <c r="H19293" s="5">
        <v>29.823100</v>
      </c>
    </row>
    <row r="19294" spans="1:9">
      <c r="A19294" s="22" t="str">
        <f>HYPERLINK("https://app.vivvix.com/360/KMI/IntelliDrive/ApplUI/Pages/CreativePages/CustomReportCreativeDetail.aspx?App=23&amp;ReportView=4&amp;Qid=1711279&amp;Row=19286&amp;Col=1","No Title Assigned - #15278222736")</f>
        <v/>
      </c>
      <c r="B19294" s="0" t="s">
        <v>25514</v>
      </c>
      <c r="C19294" s="0" t="s">
        <v>25515</v>
      </c>
      <c r="D19294" s="0" t="s">
        <v>25515</v>
      </c>
      <c r="E19294" s="0" t="inlineStr">
        <is>
          <t xml:space="preserve">Mazda</t>
        </is>
      </c>
      <c r="F19294" s="0" t="s">
        <v>28</v>
      </c>
      <c r="G19294" s="0" t="s">
        <v>29</v>
      </c>
      <c r="H19294" s="5">
        <v>247.635200</v>
      </c>
    </row>
    <row r="19295" spans="1:9">
      <c r="A19295" s="22" t="str">
        <f>HYPERLINK("https://app.vivvix.com/360/KMI/IntelliDrive/ApplUI/Pages/CreativePages/CustomReportCreativeDetail.aspx?App=23&amp;ReportView=4&amp;Qid=1711279&amp;Row=19287&amp;Col=1","No Title Assigned - #15278222976")</f>
        <v/>
      </c>
      <c r="B19295" s="0" t="s">
        <v>25516</v>
      </c>
      <c r="C19295" s="0" t="s">
        <v>25517</v>
      </c>
      <c r="D19295" s="0" t="s">
        <v>25517</v>
      </c>
      <c r="E19295" s="0" t="inlineStr">
        <is>
          <t xml:space="preserve">Mazda</t>
        </is>
      </c>
      <c r="F19295" s="0" t="s">
        <v>28</v>
      </c>
      <c r="G19295" s="0" t="s">
        <v>29</v>
      </c>
      <c r="H19295" s="5">
        <v>489.711200</v>
      </c>
    </row>
    <row r="19296" spans="1:9">
      <c r="A19296" s="22" t="str">
        <f>HYPERLINK("https://app.vivvix.com/360/KMI/IntelliDrive/ApplUI/Pages/CreativePages/CustomReportCreativeDetail.aspx?App=23&amp;ReportView=4&amp;Qid=1711279&amp;Row=19288&amp;Col=1","No Title Assigned - #15278223308")</f>
        <v/>
      </c>
      <c r="B19296" s="0" t="s">
        <v>25518</v>
      </c>
      <c r="C19296" s="0" t="s">
        <v>25519</v>
      </c>
      <c r="D19296" s="0" t="s">
        <v>13431</v>
      </c>
      <c r="E19296" s="0" t="inlineStr">
        <is>
          <t xml:space="preserve">Mazda</t>
        </is>
      </c>
      <c r="F19296" s="0" t="s">
        <v>28</v>
      </c>
      <c r="G19296" s="0" t="s">
        <v>29</v>
      </c>
      <c r="H19296" s="5">
        <v>138.584500</v>
      </c>
    </row>
    <row r="19297" spans="1:9">
      <c r="A19297" s="22" t="str">
        <f>HYPERLINK("https://app.vivvix.com/360/KMI/IntelliDrive/ApplUI/Pages/CreativePages/CustomReportCreativeDetail.aspx?App=23&amp;ReportView=4&amp;Qid=1711279&amp;Row=19289&amp;Col=1","No Title Assigned - #15278223326")</f>
        <v/>
      </c>
      <c r="B19297" s="0" t="s">
        <v>25520</v>
      </c>
      <c r="C19297" s="0" t="s">
        <v>25521</v>
      </c>
      <c r="D19297" s="0" t="s">
        <v>25521</v>
      </c>
      <c r="E19297" s="0" t="inlineStr">
        <is>
          <t xml:space="preserve">Mazda</t>
        </is>
      </c>
      <c r="F19297" s="0" t="s">
        <v>13</v>
      </c>
      <c r="G19297" s="0" t="s">
        <v>49</v>
      </c>
      <c r="H19297" s="5">
        <v>268.784900</v>
      </c>
    </row>
    <row r="19298" spans="1:9">
      <c r="A19298" s="22" t="str">
        <f>HYPERLINK("https://app.vivvix.com/360/KMI/IntelliDrive/ApplUI/Pages/CreativePages/CustomReportCreativeDetail.aspx?App=23&amp;ReportView=4&amp;Qid=1711279&amp;Row=19290&amp;Col=1","No Title Assigned - #15278223328")</f>
        <v/>
      </c>
      <c r="B19298" s="0" t="s">
        <v>25522</v>
      </c>
      <c r="C19298" s="0" t="s">
        <v>25523</v>
      </c>
      <c r="D19298" s="0" t="s">
        <v>25523</v>
      </c>
      <c r="E19298" s="0" t="inlineStr">
        <is>
          <t xml:space="preserve">Mazda</t>
        </is>
      </c>
      <c r="F19298" s="0" t="s">
        <v>13</v>
      </c>
      <c r="G19298" s="0" t="s">
        <v>49</v>
      </c>
      <c r="H19298" s="5">
        <v>698.203100</v>
      </c>
    </row>
    <row r="19299" spans="1:9">
      <c r="A19299" s="22" t="str">
        <f>HYPERLINK("https://app.vivvix.com/360/KMI/IntelliDrive/ApplUI/Pages/CreativePages/CustomReportCreativeDetail.aspx?App=23&amp;ReportView=4&amp;Qid=1711279&amp;Row=19291&amp;Col=1","No Title Assigned - #15278223364")</f>
        <v/>
      </c>
      <c r="B19299" s="0" t="s">
        <v>25524</v>
      </c>
      <c r="C19299" s="0" t="s">
        <v>25525</v>
      </c>
      <c r="D19299" s="0" t="s">
        <v>16169</v>
      </c>
      <c r="E19299" s="0" t="inlineStr">
        <is>
          <t xml:space="preserve">Mazda</t>
        </is>
      </c>
      <c r="F19299" s="0" t="s">
        <v>28</v>
      </c>
      <c r="G19299" s="0" t="s">
        <v>29</v>
      </c>
      <c r="H19299" s="5">
        <v>444.800500</v>
      </c>
    </row>
    <row r="19300" spans="1:9">
      <c r="A19300" s="22" t="str">
        <f>HYPERLINK("https://app.vivvix.com/360/KMI/IntelliDrive/ApplUI/Pages/CreativePages/CustomReportCreativeDetail.aspx?App=23&amp;ReportView=4&amp;Qid=1711279&amp;Row=19292&amp;Col=1","No Title Assigned - #15278223368")</f>
        <v/>
      </c>
      <c r="B19300" s="0" t="s">
        <v>25526</v>
      </c>
      <c r="C19300" s="0" t="s">
        <v>25527</v>
      </c>
      <c r="D19300" s="0" t="s">
        <v>4333</v>
      </c>
      <c r="E19300" s="0" t="inlineStr">
        <is>
          <t xml:space="preserve">Mazda</t>
        </is>
      </c>
      <c r="F19300" s="0" t="s">
        <v>28</v>
      </c>
      <c r="G19300" s="0" t="s">
        <v>29</v>
      </c>
      <c r="H19300" s="5">
        <v>70.378500</v>
      </c>
    </row>
    <row r="19301" spans="1:9">
      <c r="A19301" s="22" t="str">
        <f>HYPERLINK("https://app.vivvix.com/360/KMI/IntelliDrive/ApplUI/Pages/CreativePages/CustomReportCreativeDetail.aspx?App=23&amp;ReportView=4&amp;Qid=1711279&amp;Row=19293&amp;Col=1","No Title Assigned - #15278223737")</f>
        <v/>
      </c>
      <c r="B19301" s="0" t="s">
        <v>25528</v>
      </c>
      <c r="C19301" s="0" t="s">
        <v>25529</v>
      </c>
      <c r="D19301" s="0" t="s">
        <v>4204</v>
      </c>
      <c r="E19301" s="0" t="inlineStr">
        <is>
          <t xml:space="preserve">Mazda</t>
        </is>
      </c>
      <c r="F19301" s="0" t="s">
        <v>28</v>
      </c>
      <c r="G19301" s="0" t="s">
        <v>29</v>
      </c>
      <c r="H19301" s="5">
        <v>634.219600</v>
      </c>
    </row>
    <row r="19302" spans="1:9">
      <c r="A19302" s="22" t="str">
        <f>HYPERLINK("https://app.vivvix.com/360/KMI/IntelliDrive/ApplUI/Pages/CreativePages/CustomReportCreativeDetail.aspx?App=23&amp;ReportView=4&amp;Qid=1711279&amp;Row=19294&amp;Col=1","No Title Assigned - #15278223749")</f>
        <v/>
      </c>
      <c r="B19302" s="0" t="s">
        <v>25530</v>
      </c>
      <c r="E19302" s="0" t="inlineStr">
        <is>
          <t xml:space="preserve">Mazda</t>
        </is>
      </c>
      <c r="F19302" s="0" t="s">
        <v>28</v>
      </c>
      <c r="G19302" s="0" t="s">
        <v>29</v>
      </c>
      <c r="H19302" s="5">
        <v>54.229400</v>
      </c>
    </row>
    <row r="19303" spans="1:9">
      <c r="A19303" s="22" t="str">
        <f>HYPERLINK("https://app.vivvix.com/360/KMI/IntelliDrive/ApplUI/Pages/CreativePages/CustomReportCreativeDetail.aspx?App=23&amp;ReportView=4&amp;Qid=1711279&amp;Row=19295&amp;Col=1","No Title Assigned - #15278223749")</f>
        <v/>
      </c>
      <c r="B19303" s="0" t="s">
        <v>25530</v>
      </c>
      <c r="C19303" s="0" t="s">
        <v>25531</v>
      </c>
      <c r="D19303" s="0" t="s">
        <v>25531</v>
      </c>
      <c r="E19303" s="0" t="inlineStr">
        <is>
          <t xml:space="preserve">Mazda</t>
        </is>
      </c>
      <c r="F19303" s="0" t="s">
        <v>28</v>
      </c>
      <c r="G19303" s="0" t="s">
        <v>29</v>
      </c>
      <c r="H19303" s="5">
        <v>419.601000</v>
      </c>
    </row>
    <row r="19304" spans="1:9">
      <c r="A19304" s="22" t="str">
        <f>HYPERLINK("https://app.vivvix.com/360/KMI/IntelliDrive/ApplUI/Pages/CreativePages/CustomReportCreativeDetail.aspx?App=23&amp;ReportView=4&amp;Qid=1711279&amp;Row=19296&amp;Col=1","No Title Assigned - #15278224298")</f>
        <v/>
      </c>
      <c r="B19304" s="0" t="s">
        <v>25532</v>
      </c>
      <c r="C19304" s="0" t="s">
        <v>25533</v>
      </c>
      <c r="D19304" s="0" t="s">
        <v>25533</v>
      </c>
      <c r="E19304" s="0" t="inlineStr">
        <is>
          <t xml:space="preserve">Mazda</t>
        </is>
      </c>
      <c r="F19304" s="0" t="s">
        <v>28</v>
      </c>
      <c r="G19304" s="0" t="s">
        <v>29</v>
      </c>
      <c r="H19304" s="5">
        <v>385.206500</v>
      </c>
    </row>
    <row r="19305" spans="1:9">
      <c r="A19305" s="22" t="str">
        <f>HYPERLINK("https://app.vivvix.com/360/KMI/IntelliDrive/ApplUI/Pages/CreativePages/CustomReportCreativeDetail.aspx?App=23&amp;ReportView=4&amp;Qid=1711279&amp;Row=19297&amp;Col=1","No Title Assigned - #15278226123")</f>
        <v/>
      </c>
      <c r="B19305" s="0" t="s">
        <v>25534</v>
      </c>
      <c r="C19305" s="0" t="s">
        <v>25535</v>
      </c>
      <c r="D19305" s="0" t="s">
        <v>25535</v>
      </c>
      <c r="E19305" s="0" t="inlineStr">
        <is>
          <t xml:space="preserve">Mazda</t>
        </is>
      </c>
      <c r="F19305" s="0" t="s">
        <v>13</v>
      </c>
      <c r="G19305" s="0" t="s">
        <v>49</v>
      </c>
      <c r="H19305" s="5">
        <v>698.203100</v>
      </c>
    </row>
    <row r="19306" spans="1:9">
      <c r="A19306" s="22" t="str">
        <f>HYPERLINK("https://app.vivvix.com/360/KMI/IntelliDrive/ApplUI/Pages/CreativePages/CustomReportCreativeDetail.aspx?App=23&amp;ReportView=4&amp;Qid=1711279&amp;Row=19298&amp;Col=1","No Title Assigned - #15278226124")</f>
        <v/>
      </c>
      <c r="B19306" s="0" t="s">
        <v>25536</v>
      </c>
      <c r="C19306" s="0" t="s">
        <v>25537</v>
      </c>
      <c r="D19306" s="0" t="s">
        <v>25537</v>
      </c>
      <c r="E19306" s="0" t="inlineStr">
        <is>
          <t xml:space="preserve">Mazda</t>
        </is>
      </c>
      <c r="F19306" s="0" t="s">
        <v>13</v>
      </c>
      <c r="G19306" s="0" t="s">
        <v>49</v>
      </c>
      <c r="H19306" s="5">
        <v>698.203100</v>
      </c>
    </row>
    <row r="19307" spans="1:9">
      <c r="A19307" s="22" t="str">
        <f>HYPERLINK("https://app.vivvix.com/360/KMI/IntelliDrive/ApplUI/Pages/CreativePages/CustomReportCreativeDetail.aspx?App=23&amp;ReportView=4&amp;Qid=1711279&amp;Row=19299&amp;Col=1","No Title Assigned - #15278226137")</f>
        <v/>
      </c>
      <c r="B19307" s="0" t="s">
        <v>25538</v>
      </c>
      <c r="C19307" s="0" t="s">
        <v>25539</v>
      </c>
      <c r="D19307" s="0" t="s">
        <v>14061</v>
      </c>
      <c r="E19307" s="0" t="inlineStr">
        <is>
          <t xml:space="preserve">Mazda</t>
        </is>
      </c>
      <c r="F19307" s="0" t="s">
        <v>28</v>
      </c>
      <c r="G19307" s="0" t="s">
        <v>29</v>
      </c>
      <c r="H19307" s="5">
        <v>1025.259100</v>
      </c>
    </row>
    <row r="19308" spans="1:9">
      <c r="A19308" s="22" t="str">
        <f>HYPERLINK("https://app.vivvix.com/360/KMI/IntelliDrive/ApplUI/Pages/CreativePages/CustomReportCreativeDetail.aspx?App=23&amp;ReportView=4&amp;Qid=1711279&amp;Row=19300&amp;Col=1","No Title Assigned - #15278226270")</f>
        <v/>
      </c>
      <c r="B19308" s="0" t="s">
        <v>25540</v>
      </c>
      <c r="C19308" s="0" t="s">
        <v>25541</v>
      </c>
      <c r="D19308" s="0" t="s">
        <v>14339</v>
      </c>
      <c r="E19308" s="0" t="inlineStr">
        <is>
          <t xml:space="preserve">Mazda</t>
        </is>
      </c>
      <c r="F19308" s="0" t="s">
        <v>28</v>
      </c>
      <c r="G19308" s="0" t="s">
        <v>29</v>
      </c>
      <c r="H19308" s="5">
        <v>424.930900</v>
      </c>
    </row>
    <row r="19309" spans="1:9">
      <c r="A19309" s="22" t="str">
        <f>HYPERLINK("https://app.vivvix.com/360/KMI/IntelliDrive/ApplUI/Pages/CreativePages/CustomReportCreativeDetail.aspx?App=23&amp;ReportView=4&amp;Qid=1711279&amp;Row=19301&amp;Col=1","No Title Assigned - #15278226288")</f>
        <v/>
      </c>
      <c r="B19309" s="0" t="s">
        <v>25542</v>
      </c>
      <c r="E19309" s="0" t="inlineStr">
        <is>
          <t xml:space="preserve">Mazda</t>
        </is>
      </c>
      <c r="F19309" s="0" t="s">
        <v>28</v>
      </c>
      <c r="G19309" s="0" t="s">
        <v>29</v>
      </c>
      <c r="H19309" s="5">
        <v>273.746700</v>
      </c>
    </row>
    <row r="19310" spans="1:9">
      <c r="A19310" s="22" t="str">
        <f>HYPERLINK("https://app.vivvix.com/360/KMI/IntelliDrive/ApplUI/Pages/CreativePages/CustomReportCreativeDetail.aspx?App=23&amp;ReportView=4&amp;Qid=1711279&amp;Row=19302&amp;Col=1","No Title Assigned - #15278226288")</f>
        <v/>
      </c>
      <c r="B19310" s="0" t="s">
        <v>25542</v>
      </c>
      <c r="C19310" s="0" t="s">
        <v>25543</v>
      </c>
      <c r="D19310" s="0" t="s">
        <v>4200</v>
      </c>
      <c r="E19310" s="0" t="inlineStr">
        <is>
          <t xml:space="preserve">Mazda</t>
        </is>
      </c>
      <c r="F19310" s="0" t="s">
        <v>28</v>
      </c>
      <c r="G19310" s="0" t="s">
        <v>29</v>
      </c>
      <c r="H19310" s="5">
        <v>415.039300</v>
      </c>
    </row>
    <row r="19311" spans="1:9">
      <c r="A19311" s="22" t="str">
        <f>HYPERLINK("https://app.vivvix.com/360/KMI/IntelliDrive/ApplUI/Pages/CreativePages/CustomReportCreativeDetail.aspx?App=23&amp;ReportView=4&amp;Qid=1711279&amp;Row=19303&amp;Col=1","No Title Assigned - #15278226328")</f>
        <v/>
      </c>
      <c r="B19311" s="0" t="s">
        <v>25544</v>
      </c>
      <c r="C19311" s="0" t="s">
        <v>25545</v>
      </c>
      <c r="D19311" s="0" t="s">
        <v>4225</v>
      </c>
      <c r="E19311" s="0" t="inlineStr">
        <is>
          <t xml:space="preserve">Mazda</t>
        </is>
      </c>
      <c r="F19311" s="0" t="s">
        <v>28</v>
      </c>
      <c r="G19311" s="0" t="s">
        <v>29</v>
      </c>
      <c r="H19311" s="5">
        <v>29.823100</v>
      </c>
    </row>
    <row r="19312" spans="1:9">
      <c r="A19312" s="22" t="str">
        <f>HYPERLINK("https://app.vivvix.com/360/KMI/IntelliDrive/ApplUI/Pages/CreativePages/CustomReportCreativeDetail.aspx?App=23&amp;ReportView=4&amp;Qid=1711279&amp;Row=19304&amp;Col=1","No Title Assigned - #15278226376")</f>
        <v/>
      </c>
      <c r="B19312" s="0" t="s">
        <v>25546</v>
      </c>
      <c r="C19312" s="0" t="s">
        <v>25547</v>
      </c>
      <c r="D19312" s="0" t="s">
        <v>25547</v>
      </c>
      <c r="E19312" s="0" t="inlineStr">
        <is>
          <t xml:space="preserve">Mazda</t>
        </is>
      </c>
      <c r="F19312" s="0" t="s">
        <v>28</v>
      </c>
      <c r="G19312" s="0" t="s">
        <v>29</v>
      </c>
      <c r="H19312" s="5">
        <v>13.397200</v>
      </c>
    </row>
    <row r="19313" spans="1:9">
      <c r="A19313" s="22" t="str">
        <f>HYPERLINK("https://app.vivvix.com/360/KMI/IntelliDrive/ApplUI/Pages/CreativePages/CustomReportCreativeDetail.aspx?App=23&amp;ReportView=4&amp;Qid=1711279&amp;Row=19305&amp;Col=1","No Title Assigned - #15278226390")</f>
        <v/>
      </c>
      <c r="B19313" s="0" t="s">
        <v>25548</v>
      </c>
      <c r="C19313" s="0" t="s">
        <v>25549</v>
      </c>
      <c r="D19313" s="0" t="s">
        <v>4333</v>
      </c>
      <c r="E19313" s="0" t="inlineStr">
        <is>
          <t xml:space="preserve">Mazda</t>
        </is>
      </c>
      <c r="F19313" s="0" t="s">
        <v>28</v>
      </c>
      <c r="G19313" s="0" t="s">
        <v>29</v>
      </c>
      <c r="H19313" s="5">
        <v>109.269300</v>
      </c>
    </row>
    <row r="19314" spans="1:9">
      <c r="A19314" s="22" t="str">
        <f>HYPERLINK("https://app.vivvix.com/360/KMI/IntelliDrive/ApplUI/Pages/CreativePages/CustomReportCreativeDetail.aspx?App=23&amp;ReportView=4&amp;Qid=1711279&amp;Row=19306&amp;Col=1","No Title Assigned - #15278226689")</f>
        <v/>
      </c>
      <c r="B19314" s="0" t="s">
        <v>25550</v>
      </c>
      <c r="C19314" s="0" t="s">
        <v>25551</v>
      </c>
      <c r="D19314" s="0" t="s">
        <v>4200</v>
      </c>
      <c r="E19314" s="0" t="inlineStr">
        <is>
          <t xml:space="preserve">Mazda</t>
        </is>
      </c>
      <c r="F19314" s="0" t="s">
        <v>28</v>
      </c>
      <c r="G19314" s="0" t="s">
        <v>29</v>
      </c>
      <c r="H19314" s="5">
        <v>25.919200</v>
      </c>
    </row>
    <row r="19315" spans="1:9">
      <c r="A19315" s="22" t="str">
        <f>HYPERLINK("https://app.vivvix.com/360/KMI/IntelliDrive/ApplUI/Pages/CreativePages/CustomReportCreativeDetail.aspx?App=23&amp;ReportView=4&amp;Qid=1711279&amp;Row=19307&amp;Col=1","No Title Assigned - #15278226861")</f>
        <v/>
      </c>
      <c r="B19315" s="0" t="s">
        <v>25552</v>
      </c>
      <c r="C19315" s="0" t="s">
        <v>25553</v>
      </c>
      <c r="D19315" s="0" t="s">
        <v>4202</v>
      </c>
      <c r="E19315" s="0" t="inlineStr">
        <is>
          <t xml:space="preserve">Mazda</t>
        </is>
      </c>
      <c r="F19315" s="0" t="s">
        <v>28</v>
      </c>
      <c r="G19315" s="0" t="s">
        <v>29</v>
      </c>
      <c r="H19315" s="5">
        <v>425.984400</v>
      </c>
    </row>
    <row r="19316" spans="1:9">
      <c r="A19316" s="22" t="str">
        <f>HYPERLINK("https://app.vivvix.com/360/KMI/IntelliDrive/ApplUI/Pages/CreativePages/CustomReportCreativeDetail.aspx?App=23&amp;ReportView=4&amp;Qid=1711279&amp;Row=19308&amp;Col=1","No Title Assigned - #15278226929")</f>
        <v/>
      </c>
      <c r="B19316" s="0" t="s">
        <v>25554</v>
      </c>
      <c r="E19316" s="0" t="inlineStr">
        <is>
          <t xml:space="preserve">Mazda</t>
        </is>
      </c>
      <c r="F19316" s="0" t="s">
        <v>28</v>
      </c>
      <c r="G19316" s="0" t="s">
        <v>29</v>
      </c>
      <c r="H19316" s="5">
        <v>491.507000</v>
      </c>
    </row>
    <row r="19317" spans="1:9">
      <c r="A19317" s="22" t="str">
        <f>HYPERLINK("https://app.vivvix.com/360/KMI/IntelliDrive/ApplUI/Pages/CreativePages/CustomReportCreativeDetail.aspx?App=23&amp;ReportView=4&amp;Qid=1711279&amp;Row=19309&amp;Col=1","No Title Assigned - #15278226929")</f>
        <v/>
      </c>
      <c r="B19317" s="0" t="s">
        <v>25554</v>
      </c>
      <c r="C19317" s="0" t="s">
        <v>25555</v>
      </c>
      <c r="D19317" s="0" t="s">
        <v>25555</v>
      </c>
      <c r="E19317" s="0" t="inlineStr">
        <is>
          <t xml:space="preserve">Mazda</t>
        </is>
      </c>
      <c r="F19317" s="0" t="s">
        <v>28</v>
      </c>
      <c r="G19317" s="0" t="s">
        <v>29</v>
      </c>
      <c r="H19317" s="5">
        <v>60.973300</v>
      </c>
    </row>
    <row r="19318" spans="1:9">
      <c r="A19318" s="22" t="str">
        <f>HYPERLINK("https://app.vivvix.com/360/KMI/IntelliDrive/ApplUI/Pages/CreativePages/CustomReportCreativeDetail.aspx?App=23&amp;ReportView=4&amp;Qid=1711279&amp;Row=19310&amp;Col=1","No Title Assigned - #15278227538")</f>
        <v/>
      </c>
      <c r="B19318" s="0" t="s">
        <v>25556</v>
      </c>
      <c r="C19318" s="0" t="s">
        <v>25557</v>
      </c>
      <c r="D19318" s="0" t="s">
        <v>4204</v>
      </c>
      <c r="E19318" s="0" t="inlineStr">
        <is>
          <t xml:space="preserve">Mazda</t>
        </is>
      </c>
      <c r="F19318" s="0" t="s">
        <v>28</v>
      </c>
      <c r="G19318" s="0" t="s">
        <v>29</v>
      </c>
      <c r="H19318" s="5">
        <v>303.054100</v>
      </c>
    </row>
    <row r="19319" spans="1:9">
      <c r="A19319" s="22" t="str">
        <f>HYPERLINK("https://app.vivvix.com/360/KMI/IntelliDrive/ApplUI/Pages/CreativePages/CustomReportCreativeDetail.aspx?App=23&amp;ReportView=4&amp;Qid=1711279&amp;Row=19311&amp;Col=1","No Title Assigned - #15278228592")</f>
        <v/>
      </c>
      <c r="B19319" s="0" t="s">
        <v>25558</v>
      </c>
      <c r="E19319" s="0" t="inlineStr">
        <is>
          <t xml:space="preserve">Mazda</t>
        </is>
      </c>
      <c r="F19319" s="0" t="inlineStr">
        <is>
          <t xml:space="preserve">Mazda</t>
        </is>
      </c>
      <c r="G19319" s="0" t="s">
        <v>171</v>
      </c>
      <c r="H19319" s="5">
        <v>202.957600</v>
      </c>
    </row>
    <row r="19320" spans="1:9">
      <c r="A19320" s="22" t="str">
        <f>HYPERLINK("https://app.vivvix.com/360/KMI/IntelliDrive/ApplUI/Pages/CreativePages/CustomReportCreativeDetail.aspx?App=23&amp;ReportView=4&amp;Qid=1711279&amp;Row=19312&amp;Col=1","No Title Assigned - #15278228804")</f>
        <v/>
      </c>
      <c r="B19320" s="0" t="s">
        <v>25559</v>
      </c>
      <c r="E19320" s="0" t="inlineStr">
        <is>
          <t xml:space="preserve">Mazda</t>
        </is>
      </c>
      <c r="F19320" s="0" t="inlineStr">
        <is>
          <t xml:space="preserve">Mazda</t>
        </is>
      </c>
      <c r="G19320" s="0" t="s">
        <v>171</v>
      </c>
      <c r="H19320" s="5">
        <v>385.206500</v>
      </c>
    </row>
    <row r="19321" spans="1:9">
      <c r="A19321" s="22" t="str">
        <f>HYPERLINK("https://app.vivvix.com/360/KMI/IntelliDrive/ApplUI/Pages/CreativePages/CustomReportCreativeDetail.aspx?App=23&amp;ReportView=4&amp;Qid=1711279&amp;Row=19313&amp;Col=1","No Title Assigned - #15278228856")</f>
        <v/>
      </c>
      <c r="B19321" s="0" t="s">
        <v>25560</v>
      </c>
      <c r="E19321" s="0" t="inlineStr">
        <is>
          <t xml:space="preserve">Mazda</t>
        </is>
      </c>
      <c r="F19321" s="0" t="inlineStr">
        <is>
          <t xml:space="preserve">Mazda</t>
        </is>
      </c>
      <c r="G19321" s="0" t="s">
        <v>171</v>
      </c>
      <c r="H19321" s="5">
        <v>762.386200</v>
      </c>
    </row>
    <row r="19322" spans="1:9">
      <c r="A19322" s="22" t="str">
        <f>HYPERLINK("https://app.vivvix.com/360/KMI/IntelliDrive/ApplUI/Pages/CreativePages/CustomReportCreativeDetail.aspx?App=23&amp;ReportView=4&amp;Qid=1711279&amp;Row=19314&amp;Col=1","No Title Assigned - #15278228856")</f>
        <v/>
      </c>
      <c r="B19322" s="0" t="s">
        <v>25560</v>
      </c>
      <c r="E19322" s="0" t="inlineStr">
        <is>
          <t xml:space="preserve">Mazda</t>
        </is>
      </c>
      <c r="F19322" s="0" t="inlineStr">
        <is>
          <t xml:space="preserve">Mazda</t>
        </is>
      </c>
      <c r="G19322" s="0" t="s">
        <v>171</v>
      </c>
      <c r="H19322" s="5">
        <v>206.323100</v>
      </c>
    </row>
    <row r="19323" spans="1:9">
      <c r="A19323" s="22" t="str">
        <f>HYPERLINK("https://app.vivvix.com/360/KMI/IntelliDrive/ApplUI/Pages/CreativePages/CustomReportCreativeDetail.aspx?App=23&amp;ReportView=4&amp;Qid=1711279&amp;Row=19315&amp;Col=1","No Title Assigned - #15278228857")</f>
        <v/>
      </c>
      <c r="B19323" s="0" t="s">
        <v>25561</v>
      </c>
      <c r="E19323" s="0" t="inlineStr">
        <is>
          <t xml:space="preserve">Mazda</t>
        </is>
      </c>
      <c r="F19323" s="0" t="inlineStr">
        <is>
          <t xml:space="preserve">Mazda</t>
        </is>
      </c>
      <c r="G19323" s="0" t="s">
        <v>171</v>
      </c>
      <c r="H19323" s="5">
        <v>170.072700</v>
      </c>
    </row>
    <row r="19324" spans="1:9">
      <c r="A19324" s="22" t="str">
        <f>HYPERLINK("https://app.vivvix.com/360/KMI/IntelliDrive/ApplUI/Pages/CreativePages/CustomReportCreativeDetail.aspx?App=23&amp;ReportView=4&amp;Qid=1711279&amp;Row=19316&amp;Col=1","No Title Assigned - #15278229181")</f>
        <v/>
      </c>
      <c r="B19324" s="0" t="s">
        <v>25562</v>
      </c>
      <c r="E19324" s="0" t="inlineStr">
        <is>
          <t xml:space="preserve">Mazda</t>
        </is>
      </c>
      <c r="F19324" s="0" t="inlineStr">
        <is>
          <t xml:space="preserve">Mazda</t>
        </is>
      </c>
      <c r="G19324" s="0" t="s">
        <v>171</v>
      </c>
      <c r="H19324" s="5">
        <v>16.629300</v>
      </c>
    </row>
    <row r="19325" spans="1:9">
      <c r="A19325" s="22" t="str">
        <f>HYPERLINK("https://app.vivvix.com/360/KMI/IntelliDrive/ApplUI/Pages/CreativePages/CustomReportCreativeDetail.aspx?App=23&amp;ReportView=4&amp;Qid=1711279&amp;Row=19317&amp;Col=1","No Title Assigned - #15278229216")</f>
        <v/>
      </c>
      <c r="B19325" s="0" t="s">
        <v>25563</v>
      </c>
      <c r="E19325" s="0" t="inlineStr">
        <is>
          <t xml:space="preserve">Mazda</t>
        </is>
      </c>
      <c r="F19325" s="0" t="inlineStr">
        <is>
          <t xml:space="preserve">Mazda</t>
        </is>
      </c>
      <c r="G19325" s="0" t="s">
        <v>171</v>
      </c>
      <c r="H19325" s="5">
        <v>24.495500</v>
      </c>
    </row>
    <row r="19326" spans="1:9">
      <c r="A19326" s="22" t="str">
        <f>HYPERLINK("https://app.vivvix.com/360/KMI/IntelliDrive/ApplUI/Pages/CreativePages/CustomReportCreativeDetail.aspx?App=23&amp;ReportView=4&amp;Qid=1711279&amp;Row=19318&amp;Col=1","No Title Assigned - #15278229246")</f>
        <v/>
      </c>
      <c r="B19326" s="0" t="s">
        <v>25564</v>
      </c>
      <c r="E19326" s="0" t="inlineStr">
        <is>
          <t xml:space="preserve">Mazda</t>
        </is>
      </c>
      <c r="F19326" s="0" t="inlineStr">
        <is>
          <t xml:space="preserve">Mazda</t>
        </is>
      </c>
      <c r="G19326" s="0" t="s">
        <v>171</v>
      </c>
      <c r="H19326" s="5">
        <v>869.575000</v>
      </c>
    </row>
    <row r="19327" spans="1:9">
      <c r="A19327" s="22" t="str">
        <f>HYPERLINK("https://app.vivvix.com/360/KMI/IntelliDrive/ApplUI/Pages/CreativePages/CustomReportCreativeDetail.aspx?App=23&amp;ReportView=4&amp;Qid=1711279&amp;Row=19319&amp;Col=1","No Title Assigned - #15278229496")</f>
        <v/>
      </c>
      <c r="B19327" s="0" t="s">
        <v>25565</v>
      </c>
      <c r="E19327" s="0" t="inlineStr">
        <is>
          <t xml:space="preserve">Mazda</t>
        </is>
      </c>
      <c r="F19327" s="0" t="inlineStr">
        <is>
          <t xml:space="preserve">Mazda</t>
        </is>
      </c>
      <c r="G19327" s="0" t="s">
        <v>171</v>
      </c>
      <c r="H19327" s="5">
        <v>14.239800</v>
      </c>
    </row>
    <row r="19328" spans="1:9">
      <c r="A19328" s="22" t="str">
        <f>HYPERLINK("https://app.vivvix.com/360/KMI/IntelliDrive/ApplUI/Pages/CreativePages/CustomReportCreativeDetail.aspx?App=23&amp;ReportView=4&amp;Qid=1711279&amp;Row=19320&amp;Col=1","No Title Assigned - #15278229604")</f>
        <v/>
      </c>
      <c r="B19328" s="0" t="s">
        <v>25566</v>
      </c>
      <c r="C19328" s="0" t="s">
        <v>25567</v>
      </c>
      <c r="D19328" s="0" t="s">
        <v>25567</v>
      </c>
      <c r="E19328" s="0" t="inlineStr">
        <is>
          <t xml:space="preserve">Mazda</t>
        </is>
      </c>
      <c r="F19328" s="0" t="s">
        <v>28</v>
      </c>
      <c r="G19328" s="0" t="s">
        <v>29</v>
      </c>
      <c r="H19328" s="5">
        <v>226.254800</v>
      </c>
    </row>
    <row r="19329" spans="1:9">
      <c r="A19329" s="22" t="str">
        <f>HYPERLINK("https://app.vivvix.com/360/KMI/IntelliDrive/ApplUI/Pages/CreativePages/CustomReportCreativeDetail.aspx?App=23&amp;ReportView=4&amp;Qid=1711279&amp;Row=19321&amp;Col=1","No Title Assigned - #15278229688")</f>
        <v/>
      </c>
      <c r="B19329" s="0" t="s">
        <v>25568</v>
      </c>
      <c r="C19329" s="0" t="s">
        <v>25569</v>
      </c>
      <c r="D19329" s="0" t="s">
        <v>25569</v>
      </c>
      <c r="E19329" s="0" t="inlineStr">
        <is>
          <t xml:space="preserve">Mazda</t>
        </is>
      </c>
      <c r="F19329" s="0" t="inlineStr">
        <is>
          <t xml:space="preserve">Mazda</t>
        </is>
      </c>
      <c r="G19329" s="0" t="s">
        <v>171</v>
      </c>
      <c r="H19329" s="5">
        <v>20.087800</v>
      </c>
    </row>
    <row r="19330" spans="1:9">
      <c r="A19330" s="22" t="str">
        <f>HYPERLINK("https://app.vivvix.com/360/KMI/IntelliDrive/ApplUI/Pages/CreativePages/CustomReportCreativeDetail.aspx?App=23&amp;ReportView=4&amp;Qid=1711279&amp;Row=19322&amp;Col=1","No Title Assigned - #15278229689")</f>
        <v/>
      </c>
      <c r="B19330" s="0" t="s">
        <v>25570</v>
      </c>
      <c r="E19330" s="0" t="inlineStr">
        <is>
          <t xml:space="preserve">Mazda</t>
        </is>
      </c>
      <c r="F19330" s="0" t="inlineStr">
        <is>
          <t xml:space="preserve">Mazda</t>
        </is>
      </c>
      <c r="G19330" s="0" t="s">
        <v>171</v>
      </c>
      <c r="H19330" s="5">
        <v>20.087800</v>
      </c>
    </row>
    <row r="19331" spans="1:9">
      <c r="A19331" s="22" t="str">
        <f>HYPERLINK("https://app.vivvix.com/360/KMI/IntelliDrive/ApplUI/Pages/CreativePages/CustomReportCreativeDetail.aspx?App=23&amp;ReportView=4&amp;Qid=1711279&amp;Row=19323&amp;Col=1","No Title Assigned - #15278229836")</f>
        <v/>
      </c>
      <c r="B19331" s="0" t="s">
        <v>25571</v>
      </c>
      <c r="C19331" s="0" t="s">
        <v>25572</v>
      </c>
      <c r="D19331" s="0" t="s">
        <v>25572</v>
      </c>
      <c r="E19331" s="0" t="inlineStr">
        <is>
          <t xml:space="preserve">Mazda</t>
        </is>
      </c>
      <c r="F19331" s="0" t="inlineStr">
        <is>
          <t xml:space="preserve">Mazda</t>
        </is>
      </c>
      <c r="G19331" s="0" t="s">
        <v>171</v>
      </c>
      <c r="H19331" s="5">
        <v>193.384000</v>
      </c>
    </row>
    <row r="19332" spans="1:9">
      <c r="A19332" s="22" t="str">
        <f>HYPERLINK("https://app.vivvix.com/360/KMI/IntelliDrive/ApplUI/Pages/CreativePages/CustomReportCreativeDetail.aspx?App=23&amp;ReportView=4&amp;Qid=1711279&amp;Row=19324&amp;Col=1","No Title Assigned - #15278230375")</f>
        <v/>
      </c>
      <c r="B19332" s="0" t="s">
        <v>25573</v>
      </c>
      <c r="E19332" s="0" t="inlineStr">
        <is>
          <t xml:space="preserve">Mazda</t>
        </is>
      </c>
      <c r="F19332" s="0" t="inlineStr">
        <is>
          <t xml:space="preserve">Mazda</t>
        </is>
      </c>
      <c r="G19332" s="0" t="s">
        <v>171</v>
      </c>
      <c r="H19332" s="5">
        <v>205.635300</v>
      </c>
    </row>
    <row r="19333" spans="1:9">
      <c r="A19333" s="22" t="str">
        <f>HYPERLINK("https://app.vivvix.com/360/KMI/IntelliDrive/ApplUI/Pages/CreativePages/CustomReportCreativeDetail.aspx?App=23&amp;ReportView=4&amp;Qid=1711279&amp;Row=19325&amp;Col=1","No Title Assigned - #15278230386")</f>
        <v/>
      </c>
      <c r="B19333" s="0" t="s">
        <v>25574</v>
      </c>
      <c r="E19333" s="0" t="inlineStr">
        <is>
          <t xml:space="preserve">Mazda</t>
        </is>
      </c>
      <c r="F19333" s="0" t="inlineStr">
        <is>
          <t xml:space="preserve">Mazda</t>
        </is>
      </c>
      <c r="G19333" s="0" t="s">
        <v>171</v>
      </c>
      <c r="H19333" s="5">
        <v>11.086200</v>
      </c>
    </row>
    <row r="19334" spans="1:9">
      <c r="A19334" s="22" t="str">
        <f>HYPERLINK("https://app.vivvix.com/360/KMI/IntelliDrive/ApplUI/Pages/CreativePages/CustomReportCreativeDetail.aspx?App=23&amp;ReportView=4&amp;Qid=1711279&amp;Row=19326&amp;Col=1","No Title Assigned - #15278230386")</f>
        <v/>
      </c>
      <c r="B19334" s="0" t="s">
        <v>25574</v>
      </c>
      <c r="E19334" s="0" t="inlineStr">
        <is>
          <t xml:space="preserve">Mazda</t>
        </is>
      </c>
      <c r="F19334" s="0" t="inlineStr">
        <is>
          <t xml:space="preserve">Mazda</t>
        </is>
      </c>
      <c r="G19334" s="0" t="s">
        <v>171</v>
      </c>
      <c r="H19334" s="5">
        <v>100.291000</v>
      </c>
    </row>
    <row r="19335" spans="1:9">
      <c r="A19335" s="22" t="str">
        <f>HYPERLINK("https://app.vivvix.com/360/KMI/IntelliDrive/ApplUI/Pages/CreativePages/CustomReportCreativeDetail.aspx?App=23&amp;ReportView=4&amp;Qid=1711279&amp;Row=19327&amp;Col=1","No Title Assigned - #15278230460")</f>
        <v/>
      </c>
      <c r="B19335" s="0" t="s">
        <v>25575</v>
      </c>
      <c r="E19335" s="0" t="inlineStr">
        <is>
          <t xml:space="preserve">Mazda</t>
        </is>
      </c>
      <c r="F19335" s="0" t="inlineStr">
        <is>
          <t xml:space="preserve">Mazda</t>
        </is>
      </c>
      <c r="G19335" s="0" t="s">
        <v>171</v>
      </c>
      <c r="H19335" s="5">
        <v>40.806500</v>
      </c>
    </row>
    <row r="19336" spans="1:9">
      <c r="A19336" s="22" t="str">
        <f>HYPERLINK("https://app.vivvix.com/360/KMI/IntelliDrive/ApplUI/Pages/CreativePages/CustomReportCreativeDetail.aspx?App=23&amp;ReportView=4&amp;Qid=1711279&amp;Row=19328&amp;Col=1","No Title Assigned - #15278230518")</f>
        <v/>
      </c>
      <c r="B19336" s="0" t="s">
        <v>25576</v>
      </c>
      <c r="E19336" s="0" t="inlineStr">
        <is>
          <t xml:space="preserve">Mazda</t>
        </is>
      </c>
      <c r="F19336" s="0" t="inlineStr">
        <is>
          <t xml:space="preserve">Mazda</t>
        </is>
      </c>
      <c r="G19336" s="0" t="s">
        <v>171</v>
      </c>
      <c r="H19336" s="5">
        <v>651.307400</v>
      </c>
    </row>
    <row r="19337" spans="1:9">
      <c r="A19337" s="22" t="str">
        <f>HYPERLINK("https://app.vivvix.com/360/KMI/IntelliDrive/ApplUI/Pages/CreativePages/CustomReportCreativeDetail.aspx?App=23&amp;ReportView=4&amp;Qid=1711279&amp;Row=19329&amp;Col=1","No Title Assigned - #15278230626")</f>
        <v/>
      </c>
      <c r="B19337" s="0" t="s">
        <v>25577</v>
      </c>
      <c r="E19337" s="0" t="inlineStr">
        <is>
          <t xml:space="preserve">Mazda</t>
        </is>
      </c>
      <c r="F19337" s="0" t="inlineStr">
        <is>
          <t xml:space="preserve">Mazda</t>
        </is>
      </c>
      <c r="G19337" s="0" t="s">
        <v>171</v>
      </c>
      <c r="H19337" s="5">
        <v>227.675100</v>
      </c>
    </row>
    <row r="19338" spans="1:9">
      <c r="A19338" s="22" t="str">
        <f>HYPERLINK("https://app.vivvix.com/360/KMI/IntelliDrive/ApplUI/Pages/CreativePages/CustomReportCreativeDetail.aspx?App=23&amp;ReportView=4&amp;Qid=1711279&amp;Row=19330&amp;Col=1","No Title Assigned - #15278230759")</f>
        <v/>
      </c>
      <c r="B19338" s="0" t="s">
        <v>25578</v>
      </c>
      <c r="E19338" s="0" t="inlineStr">
        <is>
          <t xml:space="preserve">Mazda</t>
        </is>
      </c>
      <c r="F19338" s="0" t="inlineStr">
        <is>
          <t xml:space="preserve">Mazda</t>
        </is>
      </c>
      <c r="G19338" s="0" t="s">
        <v>171</v>
      </c>
      <c r="H19338" s="5">
        <v>24.495500</v>
      </c>
    </row>
    <row r="19339" spans="1:9">
      <c r="A19339" s="22" t="str">
        <f>HYPERLINK("https://app.vivvix.com/360/KMI/IntelliDrive/ApplUI/Pages/CreativePages/CustomReportCreativeDetail.aspx?App=23&amp;ReportView=4&amp;Qid=1711279&amp;Row=19331&amp;Col=1","No Title Assigned - #15278231441")</f>
        <v/>
      </c>
      <c r="B19339" s="0" t="s">
        <v>25579</v>
      </c>
      <c r="E19339" s="0" t="inlineStr">
        <is>
          <t xml:space="preserve">Mazda</t>
        </is>
      </c>
      <c r="F19339" s="0" t="inlineStr">
        <is>
          <t xml:space="preserve">Mazda</t>
        </is>
      </c>
      <c r="G19339" s="0" t="s">
        <v>171</v>
      </c>
      <c r="H19339" s="5">
        <v>71.379800</v>
      </c>
    </row>
    <row r="19340" spans="1:9">
      <c r="A19340" s="22" t="str">
        <f>HYPERLINK("https://app.vivvix.com/360/KMI/IntelliDrive/ApplUI/Pages/CreativePages/CustomReportCreativeDetail.aspx?App=23&amp;ReportView=4&amp;Qid=1711279&amp;Row=19332&amp;Col=1","No Title Assigned - #15278231635")</f>
        <v/>
      </c>
      <c r="B19340" s="0" t="s">
        <v>25580</v>
      </c>
      <c r="E19340" s="0" t="inlineStr">
        <is>
          <t xml:space="preserve">Mazda</t>
        </is>
      </c>
      <c r="F19340" s="0" t="inlineStr">
        <is>
          <t xml:space="preserve">Mazda</t>
        </is>
      </c>
      <c r="G19340" s="0" t="s">
        <v>171</v>
      </c>
      <c r="H19340" s="5">
        <v>1870.097200</v>
      </c>
    </row>
    <row r="19341" spans="1:9">
      <c r="A19341" s="22" t="str">
        <f>HYPERLINK("https://app.vivvix.com/360/KMI/IntelliDrive/ApplUI/Pages/CreativePages/CustomReportCreativeDetail.aspx?App=23&amp;ReportView=4&amp;Qid=1711279&amp;Row=19333&amp;Col=1","No Title Assigned - #15278231760")</f>
        <v/>
      </c>
      <c r="B19341" s="0" t="s">
        <v>25581</v>
      </c>
      <c r="E19341" s="0" t="inlineStr">
        <is>
          <t xml:space="preserve">Mazda</t>
        </is>
      </c>
      <c r="F19341" s="0" t="inlineStr">
        <is>
          <t xml:space="preserve">Mazda</t>
        </is>
      </c>
      <c r="G19341" s="0" t="s">
        <v>171</v>
      </c>
      <c r="H19341" s="5">
        <v>62.304300</v>
      </c>
    </row>
    <row r="19342" spans="1:9">
      <c r="A19342" s="22" t="str">
        <f>HYPERLINK("https://app.vivvix.com/360/KMI/IntelliDrive/ApplUI/Pages/CreativePages/CustomReportCreativeDetail.aspx?App=23&amp;ReportView=4&amp;Qid=1711279&amp;Row=19334&amp;Col=1","No Title Assigned - #15278231834")</f>
        <v/>
      </c>
      <c r="B19342" s="0" t="s">
        <v>25582</v>
      </c>
      <c r="E19342" s="0" t="inlineStr">
        <is>
          <t xml:space="preserve">Mazda</t>
        </is>
      </c>
      <c r="F19342" s="0" t="inlineStr">
        <is>
          <t xml:space="preserve">Mazda</t>
        </is>
      </c>
      <c r="G19342" s="0" t="s">
        <v>171</v>
      </c>
      <c r="H19342" s="5">
        <v>469.158200</v>
      </c>
    </row>
    <row r="19343" spans="1:9">
      <c r="A19343" s="22" t="str">
        <f>HYPERLINK("https://app.vivvix.com/360/KMI/IntelliDrive/ApplUI/Pages/CreativePages/CustomReportCreativeDetail.aspx?App=23&amp;ReportView=4&amp;Qid=1711279&amp;Row=19335&amp;Col=1","No Title Assigned - #15278231992")</f>
        <v/>
      </c>
      <c r="B19343" s="0" t="s">
        <v>25583</v>
      </c>
      <c r="E19343" s="0" t="inlineStr">
        <is>
          <t xml:space="preserve">Mazda</t>
        </is>
      </c>
      <c r="F19343" s="0" t="inlineStr">
        <is>
          <t xml:space="preserve">Mazda</t>
        </is>
      </c>
      <c r="G19343" s="0" t="s">
        <v>171</v>
      </c>
      <c r="H19343" s="5">
        <v>21.775600</v>
      </c>
    </row>
    <row r="19344" spans="1:9">
      <c r="A19344" s="22" t="str">
        <f>HYPERLINK("https://app.vivvix.com/360/KMI/IntelliDrive/ApplUI/Pages/CreativePages/CustomReportCreativeDetail.aspx?App=23&amp;ReportView=4&amp;Qid=1711279&amp;Row=19336&amp;Col=1","No Title Assigned - #15278233102")</f>
        <v/>
      </c>
      <c r="B19344" s="0" t="s">
        <v>25584</v>
      </c>
      <c r="E19344" s="0" t="inlineStr">
        <is>
          <t xml:space="preserve">Mazda</t>
        </is>
      </c>
      <c r="F19344" s="0" t="inlineStr">
        <is>
          <t xml:space="preserve">Mazda</t>
        </is>
      </c>
      <c r="G19344" s="0" t="s">
        <v>171</v>
      </c>
      <c r="H19344" s="5">
        <v>313.263000</v>
      </c>
    </row>
    <row r="19345" spans="1:9">
      <c r="A19345" s="22" t="str">
        <f>HYPERLINK("https://app.vivvix.com/360/KMI/IntelliDrive/ApplUI/Pages/CreativePages/CustomReportCreativeDetail.aspx?App=23&amp;ReportView=4&amp;Qid=1711279&amp;Row=19337&amp;Col=1","No Title Assigned - #15278233151")</f>
        <v/>
      </c>
      <c r="B19345" s="0" t="s">
        <v>25585</v>
      </c>
      <c r="E19345" s="0" t="inlineStr">
        <is>
          <t xml:space="preserve">Mazda</t>
        </is>
      </c>
      <c r="F19345" s="0" t="inlineStr">
        <is>
          <t xml:space="preserve">Mazda</t>
        </is>
      </c>
      <c r="G19345" s="0" t="s">
        <v>171</v>
      </c>
      <c r="H19345" s="5">
        <v>10676.662100</v>
      </c>
    </row>
    <row r="19346" spans="1:9">
      <c r="A19346" s="22" t="str">
        <f>HYPERLINK("https://app.vivvix.com/360/KMI/IntelliDrive/ApplUI/Pages/CreativePages/CustomReportCreativeDetail.aspx?App=23&amp;ReportView=4&amp;Qid=1711279&amp;Row=19338&amp;Col=1","No Title Assigned - #15278233657")</f>
        <v/>
      </c>
      <c r="B19346" s="0" t="s">
        <v>25586</v>
      </c>
      <c r="E19346" s="0" t="inlineStr">
        <is>
          <t xml:space="preserve">Mazda</t>
        </is>
      </c>
      <c r="F19346" s="0" t="inlineStr">
        <is>
          <t xml:space="preserve">Mazda</t>
        </is>
      </c>
      <c r="G19346" s="0" t="s">
        <v>171</v>
      </c>
      <c r="H19346" s="5">
        <v>602.874500</v>
      </c>
    </row>
    <row r="19347" spans="1:9">
      <c r="A19347" s="22" t="str">
        <f>HYPERLINK("https://app.vivvix.com/360/KMI/IntelliDrive/ApplUI/Pages/CreativePages/CustomReportCreativeDetail.aspx?App=23&amp;ReportView=4&amp;Qid=1711279&amp;Row=19339&amp;Col=1","No Title Assigned - #15278233746")</f>
        <v/>
      </c>
      <c r="B19347" s="0" t="s">
        <v>25587</v>
      </c>
      <c r="E19347" s="0" t="inlineStr">
        <is>
          <t xml:space="preserve">Mazda</t>
        </is>
      </c>
      <c r="F19347" s="0" t="inlineStr">
        <is>
          <t xml:space="preserve">Mazda</t>
        </is>
      </c>
      <c r="G19347" s="0" t="s">
        <v>171</v>
      </c>
      <c r="H19347" s="5">
        <v>8.691900</v>
      </c>
    </row>
    <row r="19348" spans="1:9">
      <c r="A19348" s="22" t="str">
        <f>HYPERLINK("https://app.vivvix.com/360/KMI/IntelliDrive/ApplUI/Pages/CreativePages/CustomReportCreativeDetail.aspx?App=23&amp;ReportView=4&amp;Qid=1711279&amp;Row=19340&amp;Col=1","No Title Assigned - #15278234267")</f>
        <v/>
      </c>
      <c r="B19348" s="0" t="s">
        <v>25588</v>
      </c>
      <c r="E19348" s="0" t="inlineStr">
        <is>
          <t xml:space="preserve">Mazda</t>
        </is>
      </c>
      <c r="F19348" s="0" t="inlineStr">
        <is>
          <t xml:space="preserve">Mazda</t>
        </is>
      </c>
      <c r="G19348" s="0" t="s">
        <v>171</v>
      </c>
      <c r="H19348" s="5">
        <v>24.495500</v>
      </c>
    </row>
    <row r="19349" spans="1:9">
      <c r="A19349" s="22" t="str">
        <f>HYPERLINK("https://app.vivvix.com/360/KMI/IntelliDrive/ApplUI/Pages/CreativePages/CustomReportCreativeDetail.aspx?App=23&amp;ReportView=4&amp;Qid=1711279&amp;Row=19341&amp;Col=1","No Title Assigned - #15278234478")</f>
        <v/>
      </c>
      <c r="B19349" s="0" t="s">
        <v>25589</v>
      </c>
      <c r="E19349" s="0" t="inlineStr">
        <is>
          <t xml:space="preserve">Mazda</t>
        </is>
      </c>
      <c r="F19349" s="0" t="inlineStr">
        <is>
          <t xml:space="preserve">Mazda</t>
        </is>
      </c>
      <c r="G19349" s="0" t="s">
        <v>171</v>
      </c>
      <c r="H19349" s="5">
        <v>705.025400</v>
      </c>
    </row>
    <row r="19350" spans="1:9">
      <c r="A19350" s="22" t="str">
        <f>HYPERLINK("https://app.vivvix.com/360/KMI/IntelliDrive/ApplUI/Pages/CreativePages/CustomReportCreativeDetail.aspx?App=23&amp;ReportView=4&amp;Qid=1711279&amp;Row=19342&amp;Col=1","No Title Assigned - #15278234983")</f>
        <v/>
      </c>
      <c r="B19350" s="0" t="s">
        <v>25590</v>
      </c>
      <c r="E19350" s="0" t="inlineStr">
        <is>
          <t xml:space="preserve">Mazda</t>
        </is>
      </c>
      <c r="F19350" s="0" t="inlineStr">
        <is>
          <t xml:space="preserve">Mazda</t>
        </is>
      </c>
      <c r="G19350" s="0" t="s">
        <v>171</v>
      </c>
      <c r="H19350" s="5">
        <v>109.924700</v>
      </c>
    </row>
    <row r="19351" spans="1:9">
      <c r="A19351" s="22" t="str">
        <f>HYPERLINK("https://app.vivvix.com/360/KMI/IntelliDrive/ApplUI/Pages/CreativePages/CustomReportCreativeDetail.aspx?App=23&amp;ReportView=4&amp;Qid=1711279&amp;Row=19343&amp;Col=1","No Title Assigned - #15278235330")</f>
        <v/>
      </c>
      <c r="B19351" s="0" t="s">
        <v>25591</v>
      </c>
      <c r="E19351" s="0" t="inlineStr">
        <is>
          <t xml:space="preserve">Mazda</t>
        </is>
      </c>
      <c r="F19351" s="0" t="inlineStr">
        <is>
          <t xml:space="preserve">Mazda</t>
        </is>
      </c>
      <c r="G19351" s="0" t="s">
        <v>171</v>
      </c>
      <c r="H19351" s="5">
        <v>444.500600</v>
      </c>
    </row>
    <row r="19352" spans="1:9">
      <c r="A19352" s="22" t="str">
        <f>HYPERLINK("https://app.vivvix.com/360/KMI/IntelliDrive/ApplUI/Pages/CreativePages/CustomReportCreativeDetail.aspx?App=23&amp;ReportView=4&amp;Qid=1711279&amp;Row=19344&amp;Col=1","No Title Assigned - #15278235337")</f>
        <v/>
      </c>
      <c r="B19352" s="0" t="s">
        <v>25592</v>
      </c>
      <c r="E19352" s="0" t="inlineStr">
        <is>
          <t xml:space="preserve">Mazda</t>
        </is>
      </c>
      <c r="F19352" s="0" t="inlineStr">
        <is>
          <t xml:space="preserve">Mazda</t>
        </is>
      </c>
      <c r="G19352" s="0" t="s">
        <v>171</v>
      </c>
      <c r="H19352" s="5">
        <v>72.074600</v>
      </c>
    </row>
    <row r="19353" spans="1:9">
      <c r="A19353" s="22" t="str">
        <f>HYPERLINK("https://app.vivvix.com/360/KMI/IntelliDrive/ApplUI/Pages/CreativePages/CustomReportCreativeDetail.aspx?App=23&amp;ReportView=4&amp;Qid=1711279&amp;Row=19345&amp;Col=1","No Title Assigned - #15278235532")</f>
        <v/>
      </c>
      <c r="B19353" s="0" t="s">
        <v>25593</v>
      </c>
      <c r="E19353" s="0" t="inlineStr">
        <is>
          <t xml:space="preserve">Mazda</t>
        </is>
      </c>
      <c r="F19353" s="0" t="inlineStr">
        <is>
          <t xml:space="preserve">Mazda</t>
        </is>
      </c>
      <c r="G19353" s="0" t="s">
        <v>171</v>
      </c>
      <c r="H19353" s="5">
        <v>68.851800</v>
      </c>
    </row>
    <row r="19354" spans="1:9">
      <c r="A19354" s="22" t="str">
        <f>HYPERLINK("https://app.vivvix.com/360/KMI/IntelliDrive/ApplUI/Pages/CreativePages/CustomReportCreativeDetail.aspx?App=23&amp;ReportView=4&amp;Qid=1711279&amp;Row=19346&amp;Col=1","No Title Assigned - #15278236004")</f>
        <v/>
      </c>
      <c r="B19354" s="0" t="s">
        <v>25594</v>
      </c>
      <c r="E19354" s="0" t="inlineStr">
        <is>
          <t xml:space="preserve">Mazda</t>
        </is>
      </c>
      <c r="F19354" s="0" t="inlineStr">
        <is>
          <t xml:space="preserve">Mazda</t>
        </is>
      </c>
      <c r="G19354" s="0" t="s">
        <v>171</v>
      </c>
      <c r="H19354" s="5">
        <v>94.956400</v>
      </c>
    </row>
    <row r="19355" spans="1:9">
      <c r="A19355" s="22" t="str">
        <f>HYPERLINK("https://app.vivvix.com/360/KMI/IntelliDrive/ApplUI/Pages/CreativePages/CustomReportCreativeDetail.aspx?App=23&amp;ReportView=4&amp;Qid=1711279&amp;Row=19347&amp;Col=1","No Title Assigned - #15278236014")</f>
        <v/>
      </c>
      <c r="B19355" s="0" t="s">
        <v>25595</v>
      </c>
      <c r="E19355" s="0" t="inlineStr">
        <is>
          <t xml:space="preserve">Mazda</t>
        </is>
      </c>
      <c r="F19355" s="0" t="inlineStr">
        <is>
          <t xml:space="preserve">Mazda</t>
        </is>
      </c>
      <c r="G19355" s="0" t="s">
        <v>171</v>
      </c>
      <c r="H19355" s="5">
        <v>244.027200</v>
      </c>
    </row>
    <row r="19356" spans="1:9">
      <c r="A19356" s="22" t="str">
        <f>HYPERLINK("https://app.vivvix.com/360/KMI/IntelliDrive/ApplUI/Pages/CreativePages/CustomReportCreativeDetail.aspx?App=23&amp;ReportView=4&amp;Qid=1711279&amp;Row=19348&amp;Col=1","No Title Assigned - #15278236021")</f>
        <v/>
      </c>
      <c r="B19356" s="0" t="s">
        <v>25596</v>
      </c>
      <c r="E19356" s="0" t="inlineStr">
        <is>
          <t xml:space="preserve">Mazda</t>
        </is>
      </c>
      <c r="F19356" s="0" t="inlineStr">
        <is>
          <t xml:space="preserve">Mazda</t>
        </is>
      </c>
      <c r="G19356" s="0" t="s">
        <v>171</v>
      </c>
      <c r="H19356" s="5">
        <v>165.575900</v>
      </c>
    </row>
    <row r="19357" spans="1:9">
      <c r="A19357" s="22" t="str">
        <f>HYPERLINK("https://app.vivvix.com/360/KMI/IntelliDrive/ApplUI/Pages/CreativePages/CustomReportCreativeDetail.aspx?App=23&amp;ReportView=4&amp;Qid=1711279&amp;Row=19349&amp;Col=1","No Title Assigned - #15278236022")</f>
        <v/>
      </c>
      <c r="B19357" s="0" t="s">
        <v>25597</v>
      </c>
      <c r="E19357" s="0" t="inlineStr">
        <is>
          <t xml:space="preserve">Mazda</t>
        </is>
      </c>
      <c r="F19357" s="0" t="inlineStr">
        <is>
          <t xml:space="preserve">Mazda</t>
        </is>
      </c>
      <c r="G19357" s="0" t="s">
        <v>171</v>
      </c>
      <c r="H19357" s="5">
        <v>84.198400</v>
      </c>
    </row>
    <row r="19358" spans="1:9">
      <c r="A19358" s="22" t="str">
        <f>HYPERLINK("https://app.vivvix.com/360/KMI/IntelliDrive/ApplUI/Pages/CreativePages/CustomReportCreativeDetail.aspx?App=23&amp;ReportView=4&amp;Qid=1711279&amp;Row=19350&amp;Col=1","No Title Assigned - #15278236310")</f>
        <v/>
      </c>
      <c r="B19358" s="0" t="s">
        <v>25598</v>
      </c>
      <c r="E19358" s="0" t="inlineStr">
        <is>
          <t xml:space="preserve">Mazda</t>
        </is>
      </c>
      <c r="F19358" s="0" t="inlineStr">
        <is>
          <t xml:space="preserve">Mazda</t>
        </is>
      </c>
      <c r="G19358" s="0" t="s">
        <v>171</v>
      </c>
      <c r="H19358" s="5">
        <v>149.648500</v>
      </c>
    </row>
    <row r="19359" spans="1:9">
      <c r="A19359" s="22" t="str">
        <f>HYPERLINK("https://app.vivvix.com/360/KMI/IntelliDrive/ApplUI/Pages/CreativePages/CustomReportCreativeDetail.aspx?App=23&amp;ReportView=4&amp;Qid=1711279&amp;Row=19351&amp;Col=1","No Title Assigned - #15278236474")</f>
        <v/>
      </c>
      <c r="B19359" s="0" t="s">
        <v>25599</v>
      </c>
      <c r="E19359" s="0" t="inlineStr">
        <is>
          <t xml:space="preserve">Mazda</t>
        </is>
      </c>
      <c r="F19359" s="0" t="inlineStr">
        <is>
          <t xml:space="preserve">Mazda</t>
        </is>
      </c>
      <c r="G19359" s="0" t="s">
        <v>171</v>
      </c>
      <c r="H19359" s="5">
        <v>1307.177700</v>
      </c>
    </row>
    <row r="19360" spans="1:9">
      <c r="A19360" s="22" t="str">
        <f>HYPERLINK("https://app.vivvix.com/360/KMI/IntelliDrive/ApplUI/Pages/CreativePages/CustomReportCreativeDetail.aspx?App=23&amp;ReportView=4&amp;Qid=1711279&amp;Row=19352&amp;Col=1","No Title Assigned - #15278236791")</f>
        <v/>
      </c>
      <c r="B19360" s="0" t="s">
        <v>25600</v>
      </c>
      <c r="E19360" s="0" t="inlineStr">
        <is>
          <t xml:space="preserve">Mazda</t>
        </is>
      </c>
      <c r="F19360" s="0" t="inlineStr">
        <is>
          <t xml:space="preserve">Mazda</t>
        </is>
      </c>
      <c r="G19360" s="0" t="s">
        <v>171</v>
      </c>
      <c r="H19360" s="5">
        <v>234.579100</v>
      </c>
    </row>
    <row r="19361" spans="1:9">
      <c r="A19361" s="22" t="str">
        <f>HYPERLINK("https://app.vivvix.com/360/KMI/IntelliDrive/ApplUI/Pages/CreativePages/CustomReportCreativeDetail.aspx?App=23&amp;ReportView=4&amp;Qid=1711279&amp;Row=19353&amp;Col=1","No Title Assigned - #15278236862")</f>
        <v/>
      </c>
      <c r="B19361" s="0" t="s">
        <v>25601</v>
      </c>
      <c r="E19361" s="0" t="inlineStr">
        <is>
          <t xml:space="preserve">Mazda</t>
        </is>
      </c>
      <c r="F19361" s="0" t="inlineStr">
        <is>
          <t xml:space="preserve">Mazda</t>
        </is>
      </c>
      <c r="G19361" s="0" t="s">
        <v>171</v>
      </c>
      <c r="H19361" s="5">
        <v>1737.628400</v>
      </c>
    </row>
    <row r="19362" spans="1:9">
      <c r="A19362" s="22" t="str">
        <f>HYPERLINK("https://app.vivvix.com/360/KMI/IntelliDrive/ApplUI/Pages/CreativePages/CustomReportCreativeDetail.aspx?App=23&amp;ReportView=4&amp;Qid=1711279&amp;Row=19354&amp;Col=1","No Title Assigned - #15278237065")</f>
        <v/>
      </c>
      <c r="B19362" s="0" t="s">
        <v>25602</v>
      </c>
      <c r="E19362" s="0" t="inlineStr">
        <is>
          <t xml:space="preserve">Mazda</t>
        </is>
      </c>
      <c r="F19362" s="0" t="inlineStr">
        <is>
          <t xml:space="preserve">Mazda</t>
        </is>
      </c>
      <c r="G19362" s="0" t="s">
        <v>171</v>
      </c>
      <c r="H19362" s="5">
        <v>8.691900</v>
      </c>
    </row>
    <row r="19363" spans="1:9">
      <c r="A19363" s="22" t="str">
        <f>HYPERLINK("https://app.vivvix.com/360/KMI/IntelliDrive/ApplUI/Pages/CreativePages/CustomReportCreativeDetail.aspx?App=23&amp;ReportView=4&amp;Qid=1711279&amp;Row=19355&amp;Col=1","No Title Assigned - #15278237147")</f>
        <v/>
      </c>
      <c r="B19363" s="0" t="s">
        <v>25603</v>
      </c>
      <c r="E19363" s="0" t="inlineStr">
        <is>
          <t xml:space="preserve">Mazda</t>
        </is>
      </c>
      <c r="F19363" s="0" t="inlineStr">
        <is>
          <t xml:space="preserve">Mazda</t>
        </is>
      </c>
      <c r="G19363" s="0" t="s">
        <v>171</v>
      </c>
      <c r="H19363" s="5">
        <v>72204.007800</v>
      </c>
    </row>
    <row r="19364" spans="1:9">
      <c r="A19364" s="22" t="str">
        <f>HYPERLINK("https://app.vivvix.com/360/KMI/IntelliDrive/ApplUI/Pages/CreativePages/CustomReportCreativeDetail.aspx?App=23&amp;ReportView=4&amp;Qid=1711279&amp;Row=19356&amp;Col=1","No Title Assigned - #15278238059")</f>
        <v/>
      </c>
      <c r="B19364" s="0" t="s">
        <v>25604</v>
      </c>
      <c r="E19364" s="0" t="inlineStr">
        <is>
          <t xml:space="preserve">Mazda</t>
        </is>
      </c>
      <c r="F19364" s="0" t="inlineStr">
        <is>
          <t xml:space="preserve">Mazda</t>
        </is>
      </c>
      <c r="G19364" s="0" t="s">
        <v>171</v>
      </c>
      <c r="H19364" s="5">
        <v>1538.798800</v>
      </c>
    </row>
    <row r="19365" spans="1:9">
      <c r="A19365" s="22" t="str">
        <f>HYPERLINK("https://app.vivvix.com/360/KMI/IntelliDrive/ApplUI/Pages/CreativePages/CustomReportCreativeDetail.aspx?App=23&amp;ReportView=4&amp;Qid=1711279&amp;Row=19357&amp;Col=1","No Title Assigned - #15278238255")</f>
        <v/>
      </c>
      <c r="B19365" s="0" t="s">
        <v>25605</v>
      </c>
      <c r="E19365" s="0" t="inlineStr">
        <is>
          <t xml:space="preserve">Mazda</t>
        </is>
      </c>
      <c r="F19365" s="0" t="inlineStr">
        <is>
          <t xml:space="preserve">Mazda</t>
        </is>
      </c>
      <c r="G19365" s="0" t="s">
        <v>171</v>
      </c>
      <c r="H19365" s="5">
        <v>263.481000</v>
      </c>
    </row>
    <row r="19366" spans="1:9">
      <c r="A19366" s="22" t="str">
        <f>HYPERLINK("https://app.vivvix.com/360/KMI/IntelliDrive/ApplUI/Pages/CreativePages/CustomReportCreativeDetail.aspx?App=23&amp;ReportView=4&amp;Qid=1711279&amp;Row=19358&amp;Col=1","No Title Assigned - #15278239463")</f>
        <v/>
      </c>
      <c r="B19366" s="0" t="s">
        <v>25606</v>
      </c>
      <c r="E19366" s="0" t="inlineStr">
        <is>
          <t xml:space="preserve">Mazda</t>
        </is>
      </c>
      <c r="F19366" s="0" t="inlineStr">
        <is>
          <t xml:space="preserve">Mazda</t>
        </is>
      </c>
      <c r="G19366" s="0" t="s">
        <v>171</v>
      </c>
      <c r="H19366" s="5">
        <v>215.541000</v>
      </c>
    </row>
    <row r="19367" spans="1:9">
      <c r="A19367" s="22" t="str">
        <f>HYPERLINK("https://app.vivvix.com/360/KMI/IntelliDrive/ApplUI/Pages/CreativePages/CustomReportCreativeDetail.aspx?App=23&amp;ReportView=4&amp;Qid=1711279&amp;Row=19359&amp;Col=1","No Title Assigned - #15278240535")</f>
        <v/>
      </c>
      <c r="B19367" s="0" t="s">
        <v>25607</v>
      </c>
      <c r="E19367" s="0" t="inlineStr">
        <is>
          <t xml:space="preserve">Mazda</t>
        </is>
      </c>
      <c r="F19367" s="0" t="inlineStr">
        <is>
          <t xml:space="preserve">Mazda</t>
        </is>
      </c>
      <c r="G19367" s="0" t="s">
        <v>171</v>
      </c>
      <c r="H19367" s="5">
        <v>145.914300</v>
      </c>
    </row>
    <row r="19368" spans="1:9">
      <c r="A19368" s="22" t="str">
        <f>HYPERLINK("https://app.vivvix.com/360/KMI/IntelliDrive/ApplUI/Pages/CreativePages/CustomReportCreativeDetail.aspx?App=23&amp;ReportView=4&amp;Qid=1711279&amp;Row=19360&amp;Col=1","No Title Assigned - #15278240690")</f>
        <v/>
      </c>
      <c r="B19368" s="0" t="s">
        <v>25608</v>
      </c>
      <c r="E19368" s="0" t="inlineStr">
        <is>
          <t xml:space="preserve">Mazda</t>
        </is>
      </c>
      <c r="F19368" s="0" t="inlineStr">
        <is>
          <t xml:space="preserve">Mazda</t>
        </is>
      </c>
      <c r="G19368" s="0" t="s">
        <v>171</v>
      </c>
      <c r="H19368" s="5">
        <v>234.579100</v>
      </c>
    </row>
    <row r="19369" spans="1:9">
      <c r="A19369" s="22" t="str">
        <f>HYPERLINK("https://app.vivvix.com/360/KMI/IntelliDrive/ApplUI/Pages/CreativePages/CustomReportCreativeDetail.aspx?App=23&amp;ReportView=4&amp;Qid=1711279&amp;Row=19361&amp;Col=1","No Title Assigned - #15278240834")</f>
        <v/>
      </c>
      <c r="B19369" s="0" t="s">
        <v>25609</v>
      </c>
      <c r="E19369" s="0" t="inlineStr">
        <is>
          <t xml:space="preserve">Mazda</t>
        </is>
      </c>
      <c r="F19369" s="0" t="inlineStr">
        <is>
          <t xml:space="preserve">Mazda</t>
        </is>
      </c>
      <c r="G19369" s="0" t="s">
        <v>171</v>
      </c>
      <c r="H19369" s="5">
        <v>424.714600</v>
      </c>
    </row>
    <row r="19370" spans="1:9">
      <c r="A19370" s="22" t="str">
        <f>HYPERLINK("https://app.vivvix.com/360/KMI/IntelliDrive/ApplUI/Pages/CreativePages/CustomReportCreativeDetail.aspx?App=23&amp;ReportView=4&amp;Qid=1711279&amp;Row=19362&amp;Col=1","No Title Assigned - #15278240876")</f>
        <v/>
      </c>
      <c r="B19370" s="0" t="s">
        <v>25610</v>
      </c>
      <c r="E19370" s="0" t="inlineStr">
        <is>
          <t xml:space="preserve">Mazda</t>
        </is>
      </c>
      <c r="F19370" s="0" t="inlineStr">
        <is>
          <t xml:space="preserve">Mazda</t>
        </is>
      </c>
      <c r="G19370" s="0" t="s">
        <v>171</v>
      </c>
      <c r="H19370" s="5">
        <v>230.880000</v>
      </c>
    </row>
    <row r="19371" spans="1:9">
      <c r="A19371" s="22" t="str">
        <f>HYPERLINK("https://app.vivvix.com/360/KMI/IntelliDrive/ApplUI/Pages/CreativePages/CustomReportCreativeDetail.aspx?App=23&amp;ReportView=4&amp;Qid=1711279&amp;Row=19363&amp;Col=1","No Title Assigned - #15278241864")</f>
        <v/>
      </c>
      <c r="B19371" s="0" t="s">
        <v>25611</v>
      </c>
      <c r="E19371" s="0" t="inlineStr">
        <is>
          <t xml:space="preserve">Mazda</t>
        </is>
      </c>
      <c r="F19371" s="0" t="inlineStr">
        <is>
          <t xml:space="preserve">Mazda</t>
        </is>
      </c>
      <c r="G19371" s="0" t="s">
        <v>171</v>
      </c>
      <c r="H19371" s="5">
        <v>21.567700</v>
      </c>
    </row>
    <row r="19372" spans="1:9">
      <c r="A19372" s="22" t="str">
        <f>HYPERLINK("https://app.vivvix.com/360/KMI/IntelliDrive/ApplUI/Pages/CreativePages/CustomReportCreativeDetail.aspx?App=23&amp;ReportView=4&amp;Qid=1711279&amp;Row=19364&amp;Col=1","No Title Assigned - #15278241869")</f>
        <v/>
      </c>
      <c r="B19372" s="0" t="s">
        <v>25612</v>
      </c>
      <c r="E19372" s="0" t="inlineStr">
        <is>
          <t xml:space="preserve">Mazda</t>
        </is>
      </c>
      <c r="F19372" s="0" t="s">
        <v>1568</v>
      </c>
      <c r="G19372" s="0" t="s">
        <v>1569</v>
      </c>
      <c r="H19372" s="5">
        <v>502.434000</v>
      </c>
    </row>
    <row r="19373" spans="1:9">
      <c r="A19373" s="22" t="str">
        <f>HYPERLINK("https://app.vivvix.com/360/KMI/IntelliDrive/ApplUI/Pages/CreativePages/CustomReportCreativeDetail.aspx?App=23&amp;ReportView=4&amp;Qid=1711279&amp;Row=19365&amp;Col=1","No Title Assigned - #15278242530")</f>
        <v/>
      </c>
      <c r="B19373" s="0" t="s">
        <v>25613</v>
      </c>
      <c r="E19373" s="0" t="inlineStr">
        <is>
          <t xml:space="preserve">Mazda</t>
        </is>
      </c>
      <c r="F19373" s="0" t="inlineStr">
        <is>
          <t xml:space="preserve">Mazda</t>
        </is>
      </c>
      <c r="G19373" s="0" t="s">
        <v>171</v>
      </c>
      <c r="H19373" s="5">
        <v>183.020400</v>
      </c>
    </row>
    <row r="19374" spans="1:9">
      <c r="A19374" s="22" t="str">
        <f>HYPERLINK("https://app.vivvix.com/360/KMI/IntelliDrive/ApplUI/Pages/CreativePages/CustomReportCreativeDetail.aspx?App=23&amp;ReportView=4&amp;Qid=1711279&amp;Row=19366&amp;Col=1","No Title Assigned - #15278243598")</f>
        <v/>
      </c>
      <c r="B19374" s="0" t="s">
        <v>25614</v>
      </c>
      <c r="E19374" s="0" t="inlineStr">
        <is>
          <t xml:space="preserve">Mazda</t>
        </is>
      </c>
      <c r="F19374" s="0" t="inlineStr">
        <is>
          <t xml:space="preserve">Mazda</t>
        </is>
      </c>
      <c r="G19374" s="0" t="s">
        <v>171</v>
      </c>
      <c r="H19374" s="5">
        <v>612.279700</v>
      </c>
    </row>
    <row r="19375" spans="1:9">
      <c r="A19375" s="22" t="str">
        <f>HYPERLINK("https://app.vivvix.com/360/KMI/IntelliDrive/ApplUI/Pages/CreativePages/CustomReportCreativeDetail.aspx?App=23&amp;ReportView=4&amp;Qid=1711279&amp;Row=19367&amp;Col=1","No Title Assigned - #15278243763")</f>
        <v/>
      </c>
      <c r="B19375" s="0" t="s">
        <v>25615</v>
      </c>
      <c r="E19375" s="0" t="inlineStr">
        <is>
          <t xml:space="preserve">Mazda</t>
        </is>
      </c>
      <c r="F19375" s="0" t="inlineStr">
        <is>
          <t xml:space="preserve">Mazda</t>
        </is>
      </c>
      <c r="G19375" s="0" t="s">
        <v>171</v>
      </c>
      <c r="H19375" s="5">
        <v>19.681800</v>
      </c>
    </row>
    <row r="19376" spans="1:9">
      <c r="A19376" s="22" t="str">
        <f>HYPERLINK("https://app.vivvix.com/360/KMI/IntelliDrive/ApplUI/Pages/CreativePages/CustomReportCreativeDetail.aspx?App=23&amp;ReportView=4&amp;Qid=1711279&amp;Row=19368&amp;Col=1","No Title Assigned - #15278244854")</f>
        <v/>
      </c>
      <c r="B19376" s="0" t="s">
        <v>25616</v>
      </c>
      <c r="E19376" s="0" t="inlineStr">
        <is>
          <t xml:space="preserve">Mazda</t>
        </is>
      </c>
      <c r="F19376" s="0" t="inlineStr">
        <is>
          <t xml:space="preserve">Mazda</t>
        </is>
      </c>
      <c r="G19376" s="0" t="s">
        <v>171</v>
      </c>
      <c r="H19376" s="5">
        <v>234.579100</v>
      </c>
    </row>
    <row r="19377" spans="1:9">
      <c r="A19377" s="22" t="str">
        <f>HYPERLINK("https://app.vivvix.com/360/KMI/IntelliDrive/ApplUI/Pages/CreativePages/CustomReportCreativeDetail.aspx?App=23&amp;ReportView=4&amp;Qid=1711279&amp;Row=19369&amp;Col=1","No Title Assigned - #15278245198")</f>
        <v/>
      </c>
      <c r="B19377" s="0" t="s">
        <v>25617</v>
      </c>
      <c r="E19377" s="0" t="inlineStr">
        <is>
          <t xml:space="preserve">Mazda</t>
        </is>
      </c>
      <c r="F19377" s="0" t="inlineStr">
        <is>
          <t xml:space="preserve">Mazda</t>
        </is>
      </c>
      <c r="G19377" s="0" t="s">
        <v>171</v>
      </c>
      <c r="H19377" s="5">
        <v>23949.654300</v>
      </c>
    </row>
    <row r="19378" spans="1:9">
      <c r="A19378" s="22" t="str">
        <f>HYPERLINK("https://app.vivvix.com/360/KMI/IntelliDrive/ApplUI/Pages/CreativePages/CustomReportCreativeDetail.aspx?App=23&amp;ReportView=4&amp;Qid=1711279&amp;Row=19370&amp;Col=1","No Title Assigned - #15278245199")</f>
        <v/>
      </c>
      <c r="B19378" s="0" t="s">
        <v>25618</v>
      </c>
      <c r="E19378" s="0" t="inlineStr">
        <is>
          <t xml:space="preserve">Mazda</t>
        </is>
      </c>
      <c r="F19378" s="0" t="inlineStr">
        <is>
          <t xml:space="preserve">Mazda</t>
        </is>
      </c>
      <c r="G19378" s="0" t="s">
        <v>171</v>
      </c>
      <c r="H19378" s="5">
        <v>23949.654300</v>
      </c>
    </row>
    <row r="19379" spans="1:9">
      <c r="A19379" s="22" t="str">
        <f>HYPERLINK("https://app.vivvix.com/360/KMI/IntelliDrive/ApplUI/Pages/CreativePages/CustomReportCreativeDetail.aspx?App=23&amp;ReportView=4&amp;Qid=1711279&amp;Row=19371&amp;Col=1","No Title Assigned - #15278246346")</f>
        <v/>
      </c>
      <c r="B19379" s="0" t="s">
        <v>25619</v>
      </c>
      <c r="E19379" s="0" t="inlineStr">
        <is>
          <t xml:space="preserve">Mazda</t>
        </is>
      </c>
      <c r="F19379" s="0" t="inlineStr">
        <is>
          <t xml:space="preserve">Mazda</t>
        </is>
      </c>
      <c r="G19379" s="0" t="s">
        <v>171</v>
      </c>
      <c r="H19379" s="5">
        <v>66.314400</v>
      </c>
    </row>
    <row r="19380" spans="1:9">
      <c r="A19380" s="22" t="str">
        <f>HYPERLINK("https://app.vivvix.com/360/KMI/IntelliDrive/ApplUI/Pages/CreativePages/CustomReportCreativeDetail.aspx?App=23&amp;ReportView=4&amp;Qid=1711279&amp;Row=19372&amp;Col=1","No Title Assigned - #15278247402")</f>
        <v/>
      </c>
      <c r="B19380" s="0" t="s">
        <v>25620</v>
      </c>
      <c r="E19380" s="0" t="inlineStr">
        <is>
          <t xml:space="preserve">Mazda</t>
        </is>
      </c>
      <c r="F19380" s="0" t="inlineStr">
        <is>
          <t xml:space="preserve">Mazda</t>
        </is>
      </c>
      <c r="G19380" s="0" t="s">
        <v>171</v>
      </c>
      <c r="H19380" s="5">
        <v>450.502700</v>
      </c>
    </row>
    <row r="19381" spans="1:9">
      <c r="A19381" s="22" t="str">
        <f>HYPERLINK("https://app.vivvix.com/360/KMI/IntelliDrive/ApplUI/Pages/CreativePages/CustomReportCreativeDetail.aspx?App=23&amp;ReportView=4&amp;Qid=1711279&amp;Row=19373&amp;Col=1","No Title Assigned - #15278247402")</f>
        <v/>
      </c>
      <c r="B19381" s="0" t="s">
        <v>25620</v>
      </c>
      <c r="E19381" s="0" t="inlineStr">
        <is>
          <t xml:space="preserve">Mazda</t>
        </is>
      </c>
      <c r="F19381" s="0" t="inlineStr">
        <is>
          <t xml:space="preserve">Mazda</t>
        </is>
      </c>
      <c r="G19381" s="0" t="s">
        <v>171</v>
      </c>
      <c r="H19381" s="5">
        <v>707.847200</v>
      </c>
    </row>
    <row r="19382" spans="1:9">
      <c r="A19382" s="22" t="str">
        <f>HYPERLINK("https://app.vivvix.com/360/KMI/IntelliDrive/ApplUI/Pages/CreativePages/CustomReportCreativeDetail.aspx?App=23&amp;ReportView=4&amp;Qid=1711279&amp;Row=19374&amp;Col=1","No Title Assigned - #15278263850")</f>
        <v/>
      </c>
      <c r="B19382" s="0" t="s">
        <v>25621</v>
      </c>
      <c r="E19382" s="0" t="inlineStr">
        <is>
          <t xml:space="preserve">Mazda</t>
        </is>
      </c>
      <c r="F19382" s="0" t="inlineStr">
        <is>
          <t xml:space="preserve">Mazda</t>
        </is>
      </c>
      <c r="G19382" s="0" t="s">
        <v>171</v>
      </c>
      <c r="H19382" s="5">
        <v>3.407800</v>
      </c>
    </row>
    <row r="19383" spans="1:9">
      <c r="A19383" s="22" t="str">
        <f>HYPERLINK("https://app.vivvix.com/360/KMI/IntelliDrive/ApplUI/Pages/CreativePages/CustomReportCreativeDetail.aspx?App=23&amp;ReportView=4&amp;Qid=1711279&amp;Row=19375&amp;Col=1","No Title Assigned - #15278266875")</f>
        <v/>
      </c>
      <c r="B19383" s="0" t="s">
        <v>25622</v>
      </c>
      <c r="C19383" s="0" t="s">
        <v>25623</v>
      </c>
      <c r="D19383" s="0" t="s">
        <v>4768</v>
      </c>
      <c r="E19383" s="0" t="inlineStr">
        <is>
          <t xml:space="preserve">Mazda</t>
        </is>
      </c>
      <c r="F19383" s="0" t="s">
        <v>13</v>
      </c>
      <c r="G19383" s="0" t="s">
        <v>49</v>
      </c>
      <c r="H19383" s="5">
        <v>822.385200</v>
      </c>
    </row>
    <row r="19384" spans="1:9">
      <c r="A19384" s="22" t="str">
        <f>HYPERLINK("https://app.vivvix.com/360/KMI/IntelliDrive/ApplUI/Pages/CreativePages/CustomReportCreativeDetail.aspx?App=23&amp;ReportView=4&amp;Qid=1711279&amp;Row=19376&amp;Col=1","No Title Assigned - #15278267093")</f>
        <v/>
      </c>
      <c r="B19384" s="0" t="s">
        <v>25624</v>
      </c>
      <c r="C19384" s="0" t="s">
        <v>25625</v>
      </c>
      <c r="D19384" s="0" t="s">
        <v>25625</v>
      </c>
      <c r="E19384" s="0" t="inlineStr">
        <is>
          <t xml:space="preserve">Mazda</t>
        </is>
      </c>
      <c r="F19384" s="0" t="s">
        <v>28</v>
      </c>
      <c r="G19384" s="0" t="s">
        <v>29</v>
      </c>
      <c r="H19384" s="5">
        <v>2.867500</v>
      </c>
    </row>
    <row r="19385" spans="1:9">
      <c r="A19385" s="22" t="str">
        <f>HYPERLINK("https://app.vivvix.com/360/KMI/IntelliDrive/ApplUI/Pages/CreativePages/CustomReportCreativeDetail.aspx?App=23&amp;ReportView=4&amp;Qid=1711279&amp;Row=19377&amp;Col=1","No Title Assigned - #15278270503")</f>
        <v/>
      </c>
      <c r="B19385" s="0" t="s">
        <v>25626</v>
      </c>
      <c r="C19385" s="0" t="s">
        <v>25627</v>
      </c>
      <c r="D19385" s="0" t="s">
        <v>25627</v>
      </c>
      <c r="E19385" s="0" t="inlineStr">
        <is>
          <t xml:space="preserve">Mazda</t>
        </is>
      </c>
      <c r="F19385" s="0" t="s">
        <v>28</v>
      </c>
      <c r="G19385" s="0" t="s">
        <v>29</v>
      </c>
      <c r="H19385" s="5">
        <v>2.867500</v>
      </c>
    </row>
    <row r="19386" spans="1:9">
      <c r="A19386" s="22" t="str">
        <f>HYPERLINK("https://app.vivvix.com/360/KMI/IntelliDrive/ApplUI/Pages/CreativePages/CustomReportCreativeDetail.aspx?App=23&amp;ReportView=4&amp;Qid=1711279&amp;Row=19378&amp;Col=1","No Title Assigned - #15278271628")</f>
        <v/>
      </c>
      <c r="B19386" s="0" t="s">
        <v>25628</v>
      </c>
      <c r="C19386" s="0" t="s">
        <v>25629</v>
      </c>
      <c r="D19386" s="0" t="s">
        <v>25629</v>
      </c>
      <c r="E19386" s="0" t="inlineStr">
        <is>
          <t xml:space="preserve">Mazda</t>
        </is>
      </c>
      <c r="F19386" s="0" t="s">
        <v>28</v>
      </c>
      <c r="G19386" s="0" t="s">
        <v>29</v>
      </c>
      <c r="H19386" s="5">
        <v>30.034500</v>
      </c>
    </row>
    <row r="19387" spans="1:9">
      <c r="A19387" s="22" t="str">
        <f>HYPERLINK("https://app.vivvix.com/360/KMI/IntelliDrive/ApplUI/Pages/CreativePages/CustomReportCreativeDetail.aspx?App=23&amp;ReportView=4&amp;Qid=1711279&amp;Row=19379&amp;Col=1","No Title Assigned - #15278276157")</f>
        <v/>
      </c>
      <c r="B19387" s="0" t="s">
        <v>25630</v>
      </c>
      <c r="C19387" s="0" t="s">
        <v>25631</v>
      </c>
      <c r="D19387" s="0" t="s">
        <v>25631</v>
      </c>
      <c r="E19387" s="0" t="inlineStr">
        <is>
          <t xml:space="preserve">Mazda</t>
        </is>
      </c>
      <c r="F19387" s="0" t="s">
        <v>13</v>
      </c>
      <c r="G19387" s="0" t="s">
        <v>49</v>
      </c>
      <c r="H19387" s="5">
        <v>41.762000</v>
      </c>
    </row>
    <row r="19388" spans="1:9">
      <c r="A19388" s="22" t="str">
        <f>HYPERLINK("https://app.vivvix.com/360/KMI/IntelliDrive/ApplUI/Pages/CreativePages/CustomReportCreativeDetail.aspx?App=23&amp;ReportView=4&amp;Qid=1711279&amp;Row=19380&amp;Col=1","No Title Assigned - #15278278422")</f>
        <v/>
      </c>
      <c r="B19388" s="0" t="s">
        <v>25632</v>
      </c>
      <c r="C19388" s="0" t="s">
        <v>25633</v>
      </c>
      <c r="D19388" s="0" t="s">
        <v>13326</v>
      </c>
      <c r="E19388" s="0" t="inlineStr">
        <is>
          <t xml:space="preserve">Mazda</t>
        </is>
      </c>
      <c r="F19388" s="0" t="s">
        <v>13</v>
      </c>
      <c r="G19388" s="0" t="s">
        <v>49</v>
      </c>
      <c r="H19388" s="5">
        <v>11.178100</v>
      </c>
    </row>
    <row r="19389" spans="1:9">
      <c r="A19389" s="22" t="str">
        <f>HYPERLINK("https://app.vivvix.com/360/KMI/IntelliDrive/ApplUI/Pages/CreativePages/CustomReportCreativeDetail.aspx?App=23&amp;ReportView=4&amp;Qid=1711279&amp;Row=19381&amp;Col=1","No Title Assigned - #15278278525")</f>
        <v/>
      </c>
      <c r="B19389" s="0" t="s">
        <v>25634</v>
      </c>
      <c r="C19389" s="0" t="s">
        <v>25635</v>
      </c>
      <c r="D19389" s="0" t="s">
        <v>25635</v>
      </c>
      <c r="E19389" s="0" t="inlineStr">
        <is>
          <t xml:space="preserve">Mazda</t>
        </is>
      </c>
      <c r="F19389" s="0" t="s">
        <v>13</v>
      </c>
      <c r="G19389" s="0" t="s">
        <v>49</v>
      </c>
      <c r="H19389" s="5">
        <v>590.567700</v>
      </c>
    </row>
    <row r="19390" spans="1:9">
      <c r="A19390" s="22" t="str">
        <f>HYPERLINK("https://app.vivvix.com/360/KMI/IntelliDrive/ApplUI/Pages/CreativePages/CustomReportCreativeDetail.aspx?App=23&amp;ReportView=4&amp;Qid=1711279&amp;Row=19382&amp;Col=1","No Title Assigned - #15278279135")</f>
        <v/>
      </c>
      <c r="B19390" s="0" t="s">
        <v>25636</v>
      </c>
      <c r="C19390" s="0" t="s">
        <v>25637</v>
      </c>
      <c r="D19390" s="0" t="s">
        <v>25637</v>
      </c>
      <c r="E19390" s="0" t="inlineStr">
        <is>
          <t xml:space="preserve">Mazda</t>
        </is>
      </c>
      <c r="F19390" s="0" t="s">
        <v>13</v>
      </c>
      <c r="G19390" s="0" t="s">
        <v>49</v>
      </c>
      <c r="H19390" s="5">
        <v>31.676400</v>
      </c>
    </row>
    <row r="19391" spans="1:9">
      <c r="A19391" s="22" t="str">
        <f>HYPERLINK("https://app.vivvix.com/360/KMI/IntelliDrive/ApplUI/Pages/CreativePages/CustomReportCreativeDetail.aspx?App=23&amp;ReportView=4&amp;Qid=1711279&amp;Row=19383&amp;Col=1","No Title Assigned - #15278279386")</f>
        <v/>
      </c>
      <c r="B19391" s="0" t="s">
        <v>25638</v>
      </c>
      <c r="C19391" s="0" t="s">
        <v>25639</v>
      </c>
      <c r="D19391" s="0" t="s">
        <v>25639</v>
      </c>
      <c r="E19391" s="0" t="inlineStr">
        <is>
          <t xml:space="preserve">Mazda</t>
        </is>
      </c>
      <c r="F19391" s="0" t="s">
        <v>13</v>
      </c>
      <c r="G19391" s="0" t="s">
        <v>49</v>
      </c>
      <c r="H19391" s="5">
        <v>93819.656300</v>
      </c>
    </row>
    <row r="19392" spans="1:9">
      <c r="A19392" s="22" t="str">
        <f>HYPERLINK("https://app.vivvix.com/360/KMI/IntelliDrive/ApplUI/Pages/CreativePages/CustomReportCreativeDetail.aspx?App=23&amp;ReportView=4&amp;Qid=1711279&amp;Row=19384&amp;Col=1","No Title Assigned - #15278281337")</f>
        <v/>
      </c>
      <c r="B19392" s="0" t="s">
        <v>25640</v>
      </c>
      <c r="C19392" s="0" t="s">
        <v>25641</v>
      </c>
      <c r="D19392" s="0" t="s">
        <v>25641</v>
      </c>
      <c r="E19392" s="0" t="inlineStr">
        <is>
          <t xml:space="preserve">Mazda</t>
        </is>
      </c>
      <c r="F19392" s="0" t="s">
        <v>13</v>
      </c>
      <c r="G19392" s="0" t="s">
        <v>49</v>
      </c>
      <c r="H19392" s="5">
        <v>72.146500</v>
      </c>
    </row>
    <row r="19393" spans="1:9">
      <c r="A19393" s="22" t="str">
        <f>HYPERLINK("https://app.vivvix.com/360/KMI/IntelliDrive/ApplUI/Pages/CreativePages/CustomReportCreativeDetail.aspx?App=23&amp;ReportView=4&amp;Qid=1711279&amp;Row=19385&amp;Col=1","No Title Assigned - #15278282043")</f>
        <v/>
      </c>
      <c r="B19393" s="0" t="s">
        <v>25642</v>
      </c>
      <c r="C19393" s="0" t="s">
        <v>25643</v>
      </c>
      <c r="D19393" s="0" t="s">
        <v>25643</v>
      </c>
      <c r="E19393" s="0" t="inlineStr">
        <is>
          <t xml:space="preserve">Mazda</t>
        </is>
      </c>
      <c r="F19393" s="0" t="s">
        <v>13</v>
      </c>
      <c r="G19393" s="0" t="s">
        <v>49</v>
      </c>
      <c r="H19393" s="5">
        <v>68706.039100</v>
      </c>
    </row>
    <row r="19394" spans="1:9">
      <c r="A19394" s="22" t="str">
        <f>HYPERLINK("https://app.vivvix.com/360/KMI/IntelliDrive/ApplUI/Pages/CreativePages/CustomReportCreativeDetail.aspx?App=23&amp;ReportView=4&amp;Qid=1711279&amp;Row=19386&amp;Col=1","No Title Assigned - #15278282469")</f>
        <v/>
      </c>
      <c r="B19394" s="0" t="s">
        <v>25644</v>
      </c>
      <c r="C19394" s="0" t="s">
        <v>25645</v>
      </c>
      <c r="D19394" s="0" t="s">
        <v>25645</v>
      </c>
      <c r="E19394" s="0" t="inlineStr">
        <is>
          <t xml:space="preserve">Mazda</t>
        </is>
      </c>
      <c r="F19394" s="0" t="s">
        <v>13</v>
      </c>
      <c r="G19394" s="0" t="s">
        <v>49</v>
      </c>
      <c r="H19394" s="5">
        <v>72.146500</v>
      </c>
    </row>
    <row r="19395" spans="1:9">
      <c r="A19395" s="22" t="str">
        <f>HYPERLINK("https://app.vivvix.com/360/KMI/IntelliDrive/ApplUI/Pages/CreativePages/CustomReportCreativeDetail.aspx?App=23&amp;ReportView=4&amp;Qid=1711279&amp;Row=19387&amp;Col=1","No Title Assigned - #15278283268")</f>
        <v/>
      </c>
      <c r="B19395" s="0" t="s">
        <v>25646</v>
      </c>
      <c r="C19395" s="0" t="s">
        <v>25647</v>
      </c>
      <c r="D19395" s="0" t="s">
        <v>25647</v>
      </c>
      <c r="E19395" s="0" t="inlineStr">
        <is>
          <t xml:space="preserve">Mazda</t>
        </is>
      </c>
      <c r="F19395" s="0" t="s">
        <v>28</v>
      </c>
      <c r="G19395" s="0" t="s">
        <v>29</v>
      </c>
      <c r="H19395" s="5">
        <v>53.741400</v>
      </c>
    </row>
    <row r="19396" spans="1:9">
      <c r="A19396" s="22" t="str">
        <f>HYPERLINK("https://app.vivvix.com/360/KMI/IntelliDrive/ApplUI/Pages/CreativePages/CustomReportCreativeDetail.aspx?App=23&amp;ReportView=4&amp;Qid=1711279&amp;Row=19388&amp;Col=1","No Title Assigned - #15278283814")</f>
        <v/>
      </c>
      <c r="B19396" s="0" t="s">
        <v>25648</v>
      </c>
      <c r="C19396" s="0" t="s">
        <v>25649</v>
      </c>
      <c r="D19396" s="0" t="s">
        <v>25649</v>
      </c>
      <c r="E19396" s="0" t="inlineStr">
        <is>
          <t xml:space="preserve">Mazda</t>
        </is>
      </c>
      <c r="F19396" s="0" t="s">
        <v>13</v>
      </c>
      <c r="G19396" s="0" t="s">
        <v>49</v>
      </c>
      <c r="H19396" s="5">
        <v>144.293000</v>
      </c>
    </row>
    <row r="19397" spans="1:9">
      <c r="A19397" s="22" t="str">
        <f>HYPERLINK("https://app.vivvix.com/360/KMI/IntelliDrive/ApplUI/Pages/CreativePages/CustomReportCreativeDetail.aspx?App=23&amp;ReportView=4&amp;Qid=1711279&amp;Row=19389&amp;Col=1","No Title Assigned - #15278284365")</f>
        <v/>
      </c>
      <c r="B19397" s="0" t="s">
        <v>25650</v>
      </c>
      <c r="C19397" s="0" t="s">
        <v>25651</v>
      </c>
      <c r="D19397" s="0" t="s">
        <v>25651</v>
      </c>
      <c r="E19397" s="0" t="inlineStr">
        <is>
          <t xml:space="preserve">Mazda</t>
        </is>
      </c>
      <c r="F19397" s="0" t="s">
        <v>13</v>
      </c>
      <c r="G19397" s="0" t="s">
        <v>49</v>
      </c>
      <c r="H19397" s="5">
        <v>40.710600</v>
      </c>
    </row>
    <row r="19398" spans="1:9">
      <c r="A19398" s="22" t="str">
        <f>HYPERLINK("https://app.vivvix.com/360/KMI/IntelliDrive/ApplUI/Pages/CreativePages/CustomReportCreativeDetail.aspx?App=23&amp;ReportView=4&amp;Qid=1711279&amp;Row=19390&amp;Col=1","No Title Assigned - #15278286260")</f>
        <v/>
      </c>
      <c r="B19398" s="0" t="s">
        <v>25652</v>
      </c>
      <c r="C19398" s="0" t="s">
        <v>25653</v>
      </c>
      <c r="D19398" s="0" t="s">
        <v>25653</v>
      </c>
      <c r="E19398" s="0" t="inlineStr">
        <is>
          <t xml:space="preserve">Mazda</t>
        </is>
      </c>
      <c r="F19398" s="0" t="s">
        <v>13</v>
      </c>
      <c r="G19398" s="0" t="s">
        <v>49</v>
      </c>
      <c r="H19398" s="5">
        <v>1267.160200</v>
      </c>
    </row>
    <row r="19399" spans="1:9">
      <c r="A19399" s="22" t="str">
        <f>HYPERLINK("https://app.vivvix.com/360/KMI/IntelliDrive/ApplUI/Pages/CreativePages/CustomReportCreativeDetail.aspx?App=23&amp;ReportView=4&amp;Qid=1711279&amp;Row=19391&amp;Col=1","No Title Assigned - #15278286887")</f>
        <v/>
      </c>
      <c r="B19399" s="0" t="s">
        <v>25654</v>
      </c>
      <c r="C19399" s="0" t="s">
        <v>25655</v>
      </c>
      <c r="D19399" s="0" t="s">
        <v>25515</v>
      </c>
      <c r="E19399" s="0" t="inlineStr">
        <is>
          <t xml:space="preserve">Mazda</t>
        </is>
      </c>
      <c r="F19399" s="0" t="s">
        <v>28</v>
      </c>
      <c r="G19399" s="0" t="s">
        <v>29</v>
      </c>
      <c r="H19399" s="5">
        <v>29.823100</v>
      </c>
    </row>
    <row r="19400" spans="1:9">
      <c r="A19400" s="22" t="str">
        <f>HYPERLINK("https://app.vivvix.com/360/KMI/IntelliDrive/ApplUI/Pages/CreativePages/CustomReportCreativeDetail.aspx?App=23&amp;ReportView=4&amp;Qid=1711279&amp;Row=19392&amp;Col=1","No Title Assigned - #15278286888")</f>
        <v/>
      </c>
      <c r="B19400" s="0" t="s">
        <v>25656</v>
      </c>
      <c r="C19400" s="0" t="s">
        <v>25657</v>
      </c>
      <c r="D19400" s="0" t="s">
        <v>15415</v>
      </c>
      <c r="E19400" s="0" t="inlineStr">
        <is>
          <t xml:space="preserve">Mazda</t>
        </is>
      </c>
      <c r="F19400" s="0" t="s">
        <v>28</v>
      </c>
      <c r="G19400" s="0" t="s">
        <v>29</v>
      </c>
      <c r="H19400" s="5">
        <v>29.823100</v>
      </c>
    </row>
    <row r="19401" spans="1:9">
      <c r="A19401" s="22" t="str">
        <f>HYPERLINK("https://app.vivvix.com/360/KMI/IntelliDrive/ApplUI/Pages/CreativePages/CustomReportCreativeDetail.aspx?App=23&amp;ReportView=4&amp;Qid=1711279&amp;Row=19393&amp;Col=1","No Title Assigned - #15278289183")</f>
        <v/>
      </c>
      <c r="B19401" s="0" t="s">
        <v>25658</v>
      </c>
      <c r="C19401" s="0" t="s">
        <v>25659</v>
      </c>
      <c r="D19401" s="0" t="s">
        <v>24777</v>
      </c>
      <c r="E19401" s="0" t="inlineStr">
        <is>
          <t xml:space="preserve">Mazda</t>
        </is>
      </c>
      <c r="F19401" s="0" t="s">
        <v>28</v>
      </c>
      <c r="G19401" s="0" t="s">
        <v>29</v>
      </c>
      <c r="H19401" s="5">
        <v>70.260200</v>
      </c>
    </row>
    <row r="19402" spans="1:9">
      <c r="A19402" s="22" t="str">
        <f>HYPERLINK("https://app.vivvix.com/360/KMI/IntelliDrive/ApplUI/Pages/CreativePages/CustomReportCreativeDetail.aspx?App=23&amp;ReportView=4&amp;Qid=1711279&amp;Row=19394&amp;Col=1","No Title Assigned - #15278289328")</f>
        <v/>
      </c>
      <c r="B19402" s="0" t="s">
        <v>25660</v>
      </c>
      <c r="C19402" s="0" t="s">
        <v>25661</v>
      </c>
      <c r="D19402" s="0" t="s">
        <v>7920</v>
      </c>
      <c r="E19402" s="0" t="inlineStr">
        <is>
          <t xml:space="preserve">Mazda</t>
        </is>
      </c>
      <c r="F19402" s="0" t="s">
        <v>28</v>
      </c>
      <c r="G19402" s="0" t="s">
        <v>29</v>
      </c>
      <c r="H19402" s="5">
        <v>19.204000</v>
      </c>
    </row>
    <row r="19403" spans="1:9">
      <c r="A19403" s="22" t="str">
        <f>HYPERLINK("https://app.vivvix.com/360/KMI/IntelliDrive/ApplUI/Pages/CreativePages/CustomReportCreativeDetail.aspx?App=23&amp;ReportView=4&amp;Qid=1711279&amp;Row=19395&amp;Col=1","No Title Assigned - #15278289484")</f>
        <v/>
      </c>
      <c r="B19403" s="0" t="s">
        <v>25662</v>
      </c>
      <c r="C19403" s="0" t="s">
        <v>25663</v>
      </c>
      <c r="D19403" s="0" t="s">
        <v>14152</v>
      </c>
      <c r="E19403" s="0" t="inlineStr">
        <is>
          <t xml:space="preserve">Mazda</t>
        </is>
      </c>
      <c r="F19403" s="0" t="s">
        <v>28</v>
      </c>
      <c r="G19403" s="0" t="s">
        <v>29</v>
      </c>
      <c r="H19403" s="5">
        <v>59.646200</v>
      </c>
    </row>
    <row r="19404" spans="1:9">
      <c r="A19404" s="22" t="str">
        <f>HYPERLINK("https://app.vivvix.com/360/KMI/IntelliDrive/ApplUI/Pages/CreativePages/CustomReportCreativeDetail.aspx?App=23&amp;ReportView=4&amp;Qid=1711279&amp;Row=19396&amp;Col=1","No Title Assigned - #15278289485")</f>
        <v/>
      </c>
      <c r="B19404" s="0" t="s">
        <v>25664</v>
      </c>
      <c r="C19404" s="0" t="s">
        <v>25665</v>
      </c>
      <c r="D19404" s="0" t="s">
        <v>4200</v>
      </c>
      <c r="E19404" s="0" t="inlineStr">
        <is>
          <t xml:space="preserve">Mazda</t>
        </is>
      </c>
      <c r="F19404" s="0" t="s">
        <v>28</v>
      </c>
      <c r="G19404" s="0" t="s">
        <v>29</v>
      </c>
      <c r="H19404" s="5">
        <v>29.823100</v>
      </c>
    </row>
    <row r="19405" spans="1:9">
      <c r="A19405" s="22" t="str">
        <f>HYPERLINK("https://app.vivvix.com/360/KMI/IntelliDrive/ApplUI/Pages/CreativePages/CustomReportCreativeDetail.aspx?App=23&amp;ReportView=4&amp;Qid=1711279&amp;Row=19397&amp;Col=1","No Title Assigned - #15278289634")</f>
        <v/>
      </c>
      <c r="B19405" s="0" t="s">
        <v>25666</v>
      </c>
      <c r="C19405" s="0" t="s">
        <v>25667</v>
      </c>
      <c r="D19405" s="0" t="s">
        <v>4225</v>
      </c>
      <c r="E19405" s="0" t="inlineStr">
        <is>
          <t xml:space="preserve">Mazda</t>
        </is>
      </c>
      <c r="F19405" s="0" t="s">
        <v>28</v>
      </c>
      <c r="G19405" s="0" t="s">
        <v>29</v>
      </c>
      <c r="H19405" s="5">
        <v>70.260200</v>
      </c>
    </row>
    <row r="19406" spans="1:9">
      <c r="A19406" s="22" t="str">
        <f>HYPERLINK("https://app.vivvix.com/360/KMI/IntelliDrive/ApplUI/Pages/CreativePages/CustomReportCreativeDetail.aspx?App=23&amp;ReportView=4&amp;Qid=1711279&amp;Row=19398&amp;Col=1","No Title Assigned - #15278289959")</f>
        <v/>
      </c>
      <c r="B19406" s="0" t="s">
        <v>25668</v>
      </c>
      <c r="C19406" s="0" t="s">
        <v>25669</v>
      </c>
      <c r="D19406" s="0" t="s">
        <v>4200</v>
      </c>
      <c r="E19406" s="0" t="inlineStr">
        <is>
          <t xml:space="preserve">Mazda</t>
        </is>
      </c>
      <c r="F19406" s="0" t="s">
        <v>28</v>
      </c>
      <c r="G19406" s="0" t="s">
        <v>29</v>
      </c>
      <c r="H19406" s="5">
        <v>59.646200</v>
      </c>
    </row>
    <row r="19407" spans="1:9">
      <c r="A19407" s="22" t="str">
        <f>HYPERLINK("https://app.vivvix.com/360/KMI/IntelliDrive/ApplUI/Pages/CreativePages/CustomReportCreativeDetail.aspx?App=23&amp;ReportView=4&amp;Qid=1711279&amp;Row=19399&amp;Col=1","No Title Assigned - #15278290049")</f>
        <v/>
      </c>
      <c r="B19407" s="0" t="s">
        <v>25670</v>
      </c>
      <c r="C19407" s="0" t="s">
        <v>25671</v>
      </c>
      <c r="D19407" s="0" t="s">
        <v>13898</v>
      </c>
      <c r="E19407" s="0" t="inlineStr">
        <is>
          <t xml:space="preserve">Mazda</t>
        </is>
      </c>
      <c r="F19407" s="0" t="s">
        <v>28</v>
      </c>
      <c r="G19407" s="0" t="s">
        <v>29</v>
      </c>
      <c r="H19407" s="5">
        <v>61.129200</v>
      </c>
    </row>
    <row r="19408" spans="1:9">
      <c r="A19408" s="22" t="str">
        <f>HYPERLINK("https://app.vivvix.com/360/KMI/IntelliDrive/ApplUI/Pages/CreativePages/CustomReportCreativeDetail.aspx?App=23&amp;ReportView=4&amp;Qid=1711279&amp;Row=19400&amp;Col=1","No Title Assigned - #15278290377")</f>
        <v/>
      </c>
      <c r="B19408" s="0" t="s">
        <v>25672</v>
      </c>
      <c r="C19408" s="0" t="s">
        <v>25673</v>
      </c>
      <c r="D19408" s="0" t="s">
        <v>25673</v>
      </c>
      <c r="E19408" s="0" t="inlineStr">
        <is>
          <t xml:space="preserve">Mazda</t>
        </is>
      </c>
      <c r="F19408" s="0" t="s">
        <v>28</v>
      </c>
      <c r="G19408" s="0" t="s">
        <v>29</v>
      </c>
      <c r="H19408" s="5">
        <v>133.511300</v>
      </c>
    </row>
    <row r="19409" spans="1:9">
      <c r="A19409" s="22" t="str">
        <f>HYPERLINK("https://app.vivvix.com/360/KMI/IntelliDrive/ApplUI/Pages/CreativePages/CustomReportCreativeDetail.aspx?App=23&amp;ReportView=4&amp;Qid=1711279&amp;Row=19401&amp;Col=1","No Title Assigned - #15278290403")</f>
        <v/>
      </c>
      <c r="B19409" s="0" t="s">
        <v>25674</v>
      </c>
      <c r="C19409" s="0" t="s">
        <v>25675</v>
      </c>
      <c r="D19409" s="0" t="s">
        <v>25675</v>
      </c>
      <c r="E19409" s="0" t="inlineStr">
        <is>
          <t xml:space="preserve">Mazda</t>
        </is>
      </c>
      <c r="F19409" s="0" t="s">
        <v>28</v>
      </c>
      <c r="G19409" s="0" t="s">
        <v>29</v>
      </c>
      <c r="H19409" s="5">
        <v>11.927500</v>
      </c>
    </row>
    <row r="19410" spans="1:9">
      <c r="A19410" s="22" t="str">
        <f>HYPERLINK("https://app.vivvix.com/360/KMI/IntelliDrive/ApplUI/Pages/CreativePages/CustomReportCreativeDetail.aspx?App=23&amp;ReportView=4&amp;Qid=1711279&amp;Row=19402&amp;Col=1","No Title Assigned - #15278290488")</f>
        <v/>
      </c>
      <c r="B19410" s="0" t="s">
        <v>25676</v>
      </c>
      <c r="C19410" s="0" t="s">
        <v>25677</v>
      </c>
      <c r="D19410" s="0" t="s">
        <v>25174</v>
      </c>
      <c r="E19410" s="0" t="inlineStr">
        <is>
          <t xml:space="preserve">Mazda</t>
        </is>
      </c>
      <c r="F19410" s="0" t="s">
        <v>28</v>
      </c>
      <c r="G19410" s="0" t="s">
        <v>29</v>
      </c>
      <c r="H19410" s="5">
        <v>133.511300</v>
      </c>
    </row>
    <row r="19411" spans="1:9">
      <c r="A19411" s="22" t="str">
        <f>HYPERLINK("https://app.vivvix.com/360/KMI/IntelliDrive/ApplUI/Pages/CreativePages/CustomReportCreativeDetail.aspx?App=23&amp;ReportView=4&amp;Qid=1711279&amp;Row=19403&amp;Col=1","No Title Assigned - #15278291355")</f>
        <v/>
      </c>
      <c r="B19411" s="0" t="s">
        <v>25678</v>
      </c>
      <c r="C19411" s="0" t="s">
        <v>25679</v>
      </c>
      <c r="D19411" s="0" t="s">
        <v>25679</v>
      </c>
      <c r="E19411" s="0" t="inlineStr">
        <is>
          <t xml:space="preserve">Mazda</t>
        </is>
      </c>
      <c r="F19411" s="0" t="s">
        <v>28</v>
      </c>
      <c r="G19411" s="0" t="s">
        <v>29</v>
      </c>
      <c r="H19411" s="5">
        <v>1003.855200</v>
      </c>
    </row>
    <row r="19412" spans="1:9">
      <c r="A19412" s="22" t="str">
        <f>HYPERLINK("https://app.vivvix.com/360/KMI/IntelliDrive/ApplUI/Pages/CreativePages/CustomReportCreativeDetail.aspx?App=23&amp;ReportView=4&amp;Qid=1711279&amp;Row=19404&amp;Col=1","No Title Assigned - #15278291493")</f>
        <v/>
      </c>
      <c r="B19412" s="0" t="s">
        <v>25680</v>
      </c>
      <c r="C19412" s="0" t="s">
        <v>25681</v>
      </c>
      <c r="D19412" s="0" t="s">
        <v>25681</v>
      </c>
      <c r="E19412" s="0" t="inlineStr">
        <is>
          <t xml:space="preserve">Mazda</t>
        </is>
      </c>
      <c r="F19412" s="0" t="s">
        <v>13</v>
      </c>
      <c r="G19412" s="0" t="s">
        <v>49</v>
      </c>
      <c r="H19412" s="5">
        <v>15.838200</v>
      </c>
    </row>
    <row r="19413" spans="1:9">
      <c r="A19413" s="22" t="str">
        <f>HYPERLINK("https://app.vivvix.com/360/KMI/IntelliDrive/ApplUI/Pages/CreativePages/CustomReportCreativeDetail.aspx?App=23&amp;ReportView=4&amp;Qid=1711279&amp;Row=19405&amp;Col=1","No Title Assigned - #15278291916")</f>
        <v/>
      </c>
      <c r="B19413" s="0" t="s">
        <v>25682</v>
      </c>
      <c r="C19413" s="0" t="s">
        <v>25683</v>
      </c>
      <c r="D19413" s="0" t="s">
        <v>25684</v>
      </c>
      <c r="E19413" s="0" t="inlineStr">
        <is>
          <t xml:space="preserve">Mazda</t>
        </is>
      </c>
      <c r="F19413" s="0" t="s">
        <v>28</v>
      </c>
      <c r="G19413" s="0" t="s">
        <v>29</v>
      </c>
      <c r="H19413" s="5">
        <v>146.953800</v>
      </c>
    </row>
    <row r="19414" spans="1:9">
      <c r="A19414" s="22" t="str">
        <f>HYPERLINK("https://app.vivvix.com/360/KMI/IntelliDrive/ApplUI/Pages/CreativePages/CustomReportCreativeDetail.aspx?App=23&amp;ReportView=4&amp;Qid=1711279&amp;Row=19406&amp;Col=1","No Title Assigned - #15278292125")</f>
        <v/>
      </c>
      <c r="B19414" s="0" t="s">
        <v>25685</v>
      </c>
      <c r="C19414" s="0" t="s">
        <v>25686</v>
      </c>
      <c r="D19414" s="0" t="s">
        <v>24706</v>
      </c>
      <c r="E19414" s="0" t="inlineStr">
        <is>
          <t xml:space="preserve">Mazda</t>
        </is>
      </c>
      <c r="F19414" s="0" t="s">
        <v>28</v>
      </c>
      <c r="G19414" s="0" t="s">
        <v>29</v>
      </c>
      <c r="H19414" s="5">
        <v>27.972300</v>
      </c>
    </row>
    <row r="19415" spans="1:9">
      <c r="A19415" s="22" t="str">
        <f>HYPERLINK("https://app.vivvix.com/360/KMI/IntelliDrive/ApplUI/Pages/CreativePages/CustomReportCreativeDetail.aspx?App=23&amp;ReportView=4&amp;Qid=1711279&amp;Row=19407&amp;Col=1","No Title Assigned - #15278292437")</f>
        <v/>
      </c>
      <c r="B19415" s="0" t="s">
        <v>25687</v>
      </c>
      <c r="C19415" s="0" t="s">
        <v>25688</v>
      </c>
      <c r="D19415" s="0" t="s">
        <v>4225</v>
      </c>
      <c r="E19415" s="0" t="inlineStr">
        <is>
          <t xml:space="preserve">Mazda</t>
        </is>
      </c>
      <c r="F19415" s="0" t="s">
        <v>28</v>
      </c>
      <c r="G19415" s="0" t="s">
        <v>29</v>
      </c>
      <c r="H19415" s="5">
        <v>687.412400</v>
      </c>
    </row>
    <row r="19416" spans="1:9">
      <c r="A19416" s="22" t="str">
        <f>HYPERLINK("https://app.vivvix.com/360/KMI/IntelliDrive/ApplUI/Pages/CreativePages/CustomReportCreativeDetail.aspx?App=23&amp;ReportView=4&amp;Qid=1711279&amp;Row=19408&amp;Col=1","No Title Assigned - #15278295454")</f>
        <v/>
      </c>
      <c r="B19416" s="0" t="s">
        <v>25689</v>
      </c>
      <c r="C19416" s="0" t="s">
        <v>25690</v>
      </c>
      <c r="D19416" s="0" t="s">
        <v>25690</v>
      </c>
      <c r="E19416" s="0" t="inlineStr">
        <is>
          <t xml:space="preserve">Mazda</t>
        </is>
      </c>
      <c r="F19416" s="0" t="s">
        <v>13</v>
      </c>
      <c r="G19416" s="0" t="s">
        <v>49</v>
      </c>
      <c r="H19416" s="5">
        <v>3998.161900</v>
      </c>
    </row>
    <row r="19417" spans="1:9">
      <c r="A19417" s="22" t="str">
        <f>HYPERLINK("https://app.vivvix.com/360/KMI/IntelliDrive/ApplUI/Pages/CreativePages/CustomReportCreativeDetail.aspx?App=23&amp;ReportView=4&amp;Qid=1711279&amp;Row=19409&amp;Col=1","No Title Assigned - #15278296184")</f>
        <v/>
      </c>
      <c r="B19417" s="0" t="s">
        <v>25691</v>
      </c>
      <c r="C19417" s="0" t="s">
        <v>25692</v>
      </c>
      <c r="D19417" s="0" t="s">
        <v>25692</v>
      </c>
      <c r="E19417" s="0" t="inlineStr">
        <is>
          <t xml:space="preserve">Mazda</t>
        </is>
      </c>
      <c r="F19417" s="0" t="s">
        <v>13</v>
      </c>
      <c r="G19417" s="0" t="s">
        <v>49</v>
      </c>
      <c r="H19417" s="5">
        <v>57.555300</v>
      </c>
    </row>
    <row r="19418" spans="1:9">
      <c r="A19418" s="22" t="str">
        <f>HYPERLINK("https://app.vivvix.com/360/KMI/IntelliDrive/ApplUI/Pages/CreativePages/CustomReportCreativeDetail.aspx?App=23&amp;ReportView=4&amp;Qid=1711279&amp;Row=19410&amp;Col=1","No Title Assigned - #15278297316")</f>
        <v/>
      </c>
      <c r="B19418" s="0" t="s">
        <v>25693</v>
      </c>
      <c r="C19418" s="0" t="s">
        <v>25694</v>
      </c>
      <c r="D19418" s="0" t="s">
        <v>4335</v>
      </c>
      <c r="E19418" s="0" t="inlineStr">
        <is>
          <t xml:space="preserve">Mazda</t>
        </is>
      </c>
      <c r="F19418" s="0" t="s">
        <v>13</v>
      </c>
      <c r="G19418" s="0" t="s">
        <v>49</v>
      </c>
      <c r="H19418" s="5">
        <v>708.278400</v>
      </c>
    </row>
    <row r="19419" spans="1:9">
      <c r="A19419" s="22" t="str">
        <f>HYPERLINK("https://app.vivvix.com/360/KMI/IntelliDrive/ApplUI/Pages/CreativePages/CustomReportCreativeDetail.aspx?App=23&amp;ReportView=4&amp;Qid=1711279&amp;Row=19411&amp;Col=1","No Title Assigned - #15278298359")</f>
        <v/>
      </c>
      <c r="B19419" s="0" t="s">
        <v>25695</v>
      </c>
      <c r="C19419" s="0" t="s">
        <v>25696</v>
      </c>
      <c r="D19419" s="0" t="s">
        <v>25696</v>
      </c>
      <c r="E19419" s="0" t="inlineStr">
        <is>
          <t xml:space="preserve">Mazda</t>
        </is>
      </c>
      <c r="F19419" s="0" t="s">
        <v>13</v>
      </c>
      <c r="G19419" s="0" t="s">
        <v>49</v>
      </c>
      <c r="H19419" s="5">
        <v>268.784900</v>
      </c>
    </row>
    <row r="19420" spans="1:9">
      <c r="A19420" s="22" t="str">
        <f>HYPERLINK("https://app.vivvix.com/360/KMI/IntelliDrive/ApplUI/Pages/CreativePages/CustomReportCreativeDetail.aspx?App=23&amp;ReportView=4&amp;Qid=1711279&amp;Row=19412&amp;Col=1","No Title Assigned - #15278299168")</f>
        <v/>
      </c>
      <c r="B19420" s="0" t="s">
        <v>25697</v>
      </c>
      <c r="C19420" s="0" t="s">
        <v>25698</v>
      </c>
      <c r="D19420" s="0" t="s">
        <v>25698</v>
      </c>
      <c r="E19420" s="0" t="inlineStr">
        <is>
          <t xml:space="preserve">Mazda</t>
        </is>
      </c>
      <c r="F19420" s="0" t="s">
        <v>13</v>
      </c>
      <c r="G19420" s="0" t="s">
        <v>49</v>
      </c>
      <c r="H19420" s="5">
        <v>379.743300</v>
      </c>
    </row>
    <row r="19421" spans="1:9">
      <c r="A19421" s="22" t="str">
        <f>HYPERLINK("https://app.vivvix.com/360/KMI/IntelliDrive/ApplUI/Pages/CreativePages/CustomReportCreativeDetail.aspx?App=23&amp;ReportView=4&amp;Qid=1711279&amp;Row=19413&amp;Col=1","No Title Assigned - #15278299355")</f>
        <v/>
      </c>
      <c r="B19421" s="0" t="s">
        <v>25699</v>
      </c>
      <c r="C19421" s="0" t="s">
        <v>25700</v>
      </c>
      <c r="D19421" s="0" t="s">
        <v>25700</v>
      </c>
      <c r="E19421" s="0" t="inlineStr">
        <is>
          <t xml:space="preserve">Mazda</t>
        </is>
      </c>
      <c r="F19421" s="0" t="inlineStr">
        <is>
          <t xml:space="preserve">Mazda</t>
        </is>
      </c>
      <c r="G19421" s="0" t="s">
        <v>210</v>
      </c>
      <c r="H19421" s="5">
        <v>137.482300</v>
      </c>
    </row>
    <row r="19422" spans="1:9">
      <c r="A19422" s="22" t="str">
        <f>HYPERLINK("https://app.vivvix.com/360/KMI/IntelliDrive/ApplUI/Pages/CreativePages/CustomReportCreativeDetail.aspx?App=23&amp;ReportView=4&amp;Qid=1711279&amp;Row=19414&amp;Col=1","No Title Assigned - #15278299370")</f>
        <v/>
      </c>
      <c r="B19422" s="0" t="s">
        <v>25701</v>
      </c>
      <c r="C19422" s="0" t="s">
        <v>25702</v>
      </c>
      <c r="D19422" s="0" t="s">
        <v>25702</v>
      </c>
      <c r="E19422" s="0" t="inlineStr">
        <is>
          <t xml:space="preserve">Mazda</t>
        </is>
      </c>
      <c r="F19422" s="0" t="s">
        <v>13</v>
      </c>
      <c r="G19422" s="0" t="s">
        <v>49</v>
      </c>
      <c r="H19422" s="5">
        <v>39.155400</v>
      </c>
    </row>
    <row r="19423" spans="1:9">
      <c r="A19423" s="22" t="str">
        <f>HYPERLINK("https://app.vivvix.com/360/KMI/IntelliDrive/ApplUI/Pages/CreativePages/CustomReportCreativeDetail.aspx?App=23&amp;ReportView=4&amp;Qid=1711279&amp;Row=19415&amp;Col=1","No Title Assigned - #15278299371")</f>
        <v/>
      </c>
      <c r="B19423" s="0" t="s">
        <v>25703</v>
      </c>
      <c r="C19423" s="0" t="s">
        <v>25704</v>
      </c>
      <c r="D19423" s="0" t="s">
        <v>25704</v>
      </c>
      <c r="E19423" s="0" t="inlineStr">
        <is>
          <t xml:space="preserve">Mazda</t>
        </is>
      </c>
      <c r="F19423" s="0" t="s">
        <v>13</v>
      </c>
      <c r="G19423" s="0" t="s">
        <v>49</v>
      </c>
      <c r="H19423" s="5">
        <v>39.155400</v>
      </c>
    </row>
    <row r="19424" spans="1:9">
      <c r="A19424" s="22" t="str">
        <f>HYPERLINK("https://app.vivvix.com/360/KMI/IntelliDrive/ApplUI/Pages/CreativePages/CustomReportCreativeDetail.aspx?App=23&amp;ReportView=4&amp;Qid=1711279&amp;Row=19416&amp;Col=1","No Title Assigned - #15278299643")</f>
        <v/>
      </c>
      <c r="B19424" s="0" t="s">
        <v>25705</v>
      </c>
      <c r="C19424" s="0" t="s">
        <v>25706</v>
      </c>
      <c r="D19424" s="0" t="s">
        <v>16549</v>
      </c>
      <c r="E19424" s="0" t="inlineStr">
        <is>
          <t xml:space="preserve">Mazda</t>
        </is>
      </c>
      <c r="F19424" s="0" t="s">
        <v>28</v>
      </c>
      <c r="G19424" s="0" t="s">
        <v>29</v>
      </c>
      <c r="H19424" s="5">
        <v>227.740300</v>
      </c>
    </row>
    <row r="19425" spans="1:9">
      <c r="A19425" s="22" t="str">
        <f>HYPERLINK("https://app.vivvix.com/360/KMI/IntelliDrive/ApplUI/Pages/CreativePages/CustomReportCreativeDetail.aspx?App=23&amp;ReportView=4&amp;Qid=1711279&amp;Row=19417&amp;Col=1","No Title Assigned - #15278299934")</f>
        <v/>
      </c>
      <c r="B19425" s="0" t="s">
        <v>25707</v>
      </c>
      <c r="C19425" s="0" t="s">
        <v>25708</v>
      </c>
      <c r="D19425" s="0" t="s">
        <v>25708</v>
      </c>
      <c r="E19425" s="0" t="inlineStr">
        <is>
          <t xml:space="preserve">Mazda</t>
        </is>
      </c>
      <c r="F19425" s="0" t="s">
        <v>13</v>
      </c>
      <c r="G19425" s="0" t="s">
        <v>49</v>
      </c>
      <c r="H19425" s="5">
        <v>16.444300</v>
      </c>
    </row>
    <row r="19426" spans="1:9">
      <c r="A19426" s="22" t="str">
        <f>HYPERLINK("https://app.vivvix.com/360/KMI/IntelliDrive/ApplUI/Pages/CreativePages/CustomReportCreativeDetail.aspx?App=23&amp;ReportView=4&amp;Qid=1711279&amp;Row=19418&amp;Col=1","No Title Assigned - #15278299985")</f>
        <v/>
      </c>
      <c r="B19426" s="0" t="s">
        <v>25709</v>
      </c>
      <c r="C19426" s="0" t="s">
        <v>25710</v>
      </c>
      <c r="D19426" s="0" t="s">
        <v>25710</v>
      </c>
      <c r="E19426" s="0" t="inlineStr">
        <is>
          <t xml:space="preserve">Mazda</t>
        </is>
      </c>
      <c r="F19426" s="0" t="s">
        <v>28</v>
      </c>
      <c r="G19426" s="0" t="s">
        <v>29</v>
      </c>
      <c r="H19426" s="5">
        <v>142.677600</v>
      </c>
    </row>
    <row r="19427" spans="1:9">
      <c r="A19427" s="22" t="str">
        <f>HYPERLINK("https://app.vivvix.com/360/KMI/IntelliDrive/ApplUI/Pages/CreativePages/CustomReportCreativeDetail.aspx?App=23&amp;ReportView=4&amp;Qid=1711279&amp;Row=19419&amp;Col=1","No Title Assigned - #15278300845")</f>
        <v/>
      </c>
      <c r="B19427" s="0" t="s">
        <v>25711</v>
      </c>
      <c r="C19427" s="0" t="s">
        <v>25712</v>
      </c>
      <c r="D19427" s="0" t="s">
        <v>4335</v>
      </c>
      <c r="E19427" s="0" t="inlineStr">
        <is>
          <t xml:space="preserve">Mazda</t>
        </is>
      </c>
      <c r="F19427" s="0" t="s">
        <v>13</v>
      </c>
      <c r="G19427" s="0" t="s">
        <v>49</v>
      </c>
      <c r="H19427" s="5">
        <v>6328.004600</v>
      </c>
    </row>
    <row r="19428" spans="1:9">
      <c r="A19428" s="22" t="str">
        <f>HYPERLINK("https://app.vivvix.com/360/KMI/IntelliDrive/ApplUI/Pages/CreativePages/CustomReportCreativeDetail.aspx?App=23&amp;ReportView=4&amp;Qid=1711279&amp;Row=19420&amp;Col=1","No Title Assigned - #15278300845")</f>
        <v/>
      </c>
      <c r="B19428" s="0" t="s">
        <v>25711</v>
      </c>
      <c r="E19428" s="0" t="inlineStr">
        <is>
          <t xml:space="preserve">Mazda</t>
        </is>
      </c>
      <c r="F19428" s="0" t="s">
        <v>13</v>
      </c>
      <c r="G19428" s="0" t="s">
        <v>49</v>
      </c>
      <c r="H19428" s="5">
        <v>904.707600</v>
      </c>
    </row>
    <row r="19429" spans="1:9">
      <c r="A19429" s="22" t="str">
        <f>HYPERLINK("https://app.vivvix.com/360/KMI/IntelliDrive/ApplUI/Pages/CreativePages/CustomReportCreativeDetail.aspx?App=23&amp;ReportView=4&amp;Qid=1711279&amp;Row=19421&amp;Col=1","No Title Assigned - #15278300984")</f>
        <v/>
      </c>
      <c r="B19429" s="0" t="s">
        <v>25713</v>
      </c>
      <c r="C19429" s="0" t="s">
        <v>25714</v>
      </c>
      <c r="D19429" s="0" t="s">
        <v>25714</v>
      </c>
      <c r="E19429" s="0" t="inlineStr">
        <is>
          <t xml:space="preserve">Mazda</t>
        </is>
      </c>
      <c r="F19429" s="0" t="s">
        <v>13</v>
      </c>
      <c r="G19429" s="0" t="s">
        <v>49</v>
      </c>
      <c r="H19429" s="5">
        <v>1413.817800</v>
      </c>
    </row>
    <row r="19430" spans="1:9">
      <c r="A19430" s="22" t="str">
        <f>HYPERLINK("https://app.vivvix.com/360/KMI/IntelliDrive/ApplUI/Pages/CreativePages/CustomReportCreativeDetail.aspx?App=23&amp;ReportView=4&amp;Qid=1711279&amp;Row=19422&amp;Col=1","No Title Assigned - #15278300984")</f>
        <v/>
      </c>
      <c r="B19430" s="0" t="s">
        <v>25713</v>
      </c>
      <c r="E19430" s="0" t="inlineStr">
        <is>
          <t xml:space="preserve">Mazda</t>
        </is>
      </c>
      <c r="F19430" s="0" t="s">
        <v>13</v>
      </c>
      <c r="G19430" s="0" t="s">
        <v>49</v>
      </c>
      <c r="H19430" s="5">
        <v>6678.801900</v>
      </c>
    </row>
    <row r="19431" spans="1:9">
      <c r="A19431" s="22" t="str">
        <f>HYPERLINK("https://app.vivvix.com/360/KMI/IntelliDrive/ApplUI/Pages/CreativePages/CustomReportCreativeDetail.aspx?App=23&amp;ReportView=4&amp;Qid=1711279&amp;Row=19423&amp;Col=1","No Title Assigned - #15278302425")</f>
        <v/>
      </c>
      <c r="B19431" s="0" t="s">
        <v>25715</v>
      </c>
      <c r="E19431" s="0" t="inlineStr">
        <is>
          <t xml:space="preserve">Mazda</t>
        </is>
      </c>
      <c r="F19431" s="0" t="s">
        <v>1568</v>
      </c>
      <c r="G19431" s="0" t="s">
        <v>1569</v>
      </c>
      <c r="H19431" s="5">
        <v>502.434000</v>
      </c>
    </row>
    <row r="19432" spans="1:9">
      <c r="A19432" s="22" t="str">
        <f>HYPERLINK("https://app.vivvix.com/360/KMI/IntelliDrive/ApplUI/Pages/CreativePages/CustomReportCreativeDetail.aspx?App=23&amp;ReportView=4&amp;Qid=1711279&amp;Row=19424&amp;Col=1","No Title Assigned - #15278302675")</f>
        <v/>
      </c>
      <c r="B19432" s="0" t="s">
        <v>25716</v>
      </c>
      <c r="C19432" s="0" t="s">
        <v>25717</v>
      </c>
      <c r="D19432" s="0" t="s">
        <v>25717</v>
      </c>
      <c r="E19432" s="0" t="inlineStr">
        <is>
          <t xml:space="preserve">Mazda</t>
        </is>
      </c>
      <c r="F19432" s="0" t="s">
        <v>13</v>
      </c>
      <c r="G19432" s="0" t="s">
        <v>49</v>
      </c>
      <c r="H19432" s="5">
        <v>45.923100</v>
      </c>
    </row>
    <row r="19433" spans="1:9">
      <c r="A19433" s="22" t="str">
        <f>HYPERLINK("https://app.vivvix.com/360/KMI/IntelliDrive/ApplUI/Pages/CreativePages/CustomReportCreativeDetail.aspx?App=23&amp;ReportView=4&amp;Qid=1711279&amp;Row=19425&amp;Col=1","No Title Assigned - #15278303544")</f>
        <v/>
      </c>
      <c r="B19433" s="0" t="s">
        <v>25718</v>
      </c>
      <c r="C19433" s="0" t="s">
        <v>25719</v>
      </c>
      <c r="D19433" s="0" t="s">
        <v>10371</v>
      </c>
      <c r="E19433" s="0" t="inlineStr">
        <is>
          <t xml:space="preserve">Mazda</t>
        </is>
      </c>
      <c r="F19433" s="0" t="s">
        <v>13</v>
      </c>
      <c r="G19433" s="0" t="s">
        <v>49</v>
      </c>
      <c r="H19433" s="5">
        <v>472.731500</v>
      </c>
    </row>
    <row r="19434" spans="1:9">
      <c r="A19434" s="22" t="str">
        <f>HYPERLINK("https://app.vivvix.com/360/KMI/IntelliDrive/ApplUI/Pages/CreativePages/CustomReportCreativeDetail.aspx?App=23&amp;ReportView=4&amp;Qid=1711279&amp;Row=19426&amp;Col=1","No Title Assigned - #15278303599")</f>
        <v/>
      </c>
      <c r="B19434" s="0" t="s">
        <v>25720</v>
      </c>
      <c r="C19434" s="0" t="s">
        <v>25721</v>
      </c>
      <c r="D19434" s="0" t="s">
        <v>9998</v>
      </c>
      <c r="E19434" s="0" t="inlineStr">
        <is>
          <t xml:space="preserve">Mazda</t>
        </is>
      </c>
      <c r="F19434" s="0" t="s">
        <v>13</v>
      </c>
      <c r="G19434" s="0" t="s">
        <v>49</v>
      </c>
      <c r="H19434" s="5">
        <v>500.559400</v>
      </c>
    </row>
    <row r="19435" spans="1:9">
      <c r="A19435" s="22" t="str">
        <f>HYPERLINK("https://app.vivvix.com/360/KMI/IntelliDrive/ApplUI/Pages/CreativePages/CustomReportCreativeDetail.aspx?App=23&amp;ReportView=4&amp;Qid=1711279&amp;Row=19427&amp;Col=1","No Title Assigned - #15278303689")</f>
        <v/>
      </c>
      <c r="B19435" s="0" t="s">
        <v>25722</v>
      </c>
      <c r="C19435" s="0" t="s">
        <v>25723</v>
      </c>
      <c r="D19435" s="0" t="s">
        <v>4335</v>
      </c>
      <c r="E19435" s="0" t="inlineStr">
        <is>
          <t xml:space="preserve">Mazda</t>
        </is>
      </c>
      <c r="F19435" s="0" t="s">
        <v>13</v>
      </c>
      <c r="G19435" s="0" t="s">
        <v>49</v>
      </c>
      <c r="H19435" s="5">
        <v>34.454200</v>
      </c>
    </row>
    <row r="19436" spans="1:9">
      <c r="A19436" s="22" t="str">
        <f>HYPERLINK("https://app.vivvix.com/360/KMI/IntelliDrive/ApplUI/Pages/CreativePages/CustomReportCreativeDetail.aspx?App=23&amp;ReportView=4&amp;Qid=1711279&amp;Row=19428&amp;Col=1","No Title Assigned - #15278303962")</f>
        <v/>
      </c>
      <c r="B19436" s="0" t="s">
        <v>25724</v>
      </c>
      <c r="C19436" s="0" t="s">
        <v>25725</v>
      </c>
      <c r="D19436" s="0" t="s">
        <v>25725</v>
      </c>
      <c r="E19436" s="0" t="inlineStr">
        <is>
          <t xml:space="preserve">Mazda</t>
        </is>
      </c>
      <c r="F19436" s="0" t="s">
        <v>13</v>
      </c>
      <c r="G19436" s="0" t="s">
        <v>49</v>
      </c>
      <c r="H19436" s="5">
        <v>14.460700</v>
      </c>
    </row>
    <row r="19437" spans="1:9">
      <c r="A19437" s="22" t="str">
        <f>HYPERLINK("https://app.vivvix.com/360/KMI/IntelliDrive/ApplUI/Pages/CreativePages/CustomReportCreativeDetail.aspx?App=23&amp;ReportView=4&amp;Qid=1711279&amp;Row=19429&amp;Col=1","No Title Assigned - #15278306188")</f>
        <v/>
      </c>
      <c r="B19437" s="0" t="s">
        <v>25726</v>
      </c>
      <c r="C19437" s="0" t="s">
        <v>25727</v>
      </c>
      <c r="D19437" s="0" t="s">
        <v>23398</v>
      </c>
      <c r="E19437" s="0" t="inlineStr">
        <is>
          <t xml:space="preserve">Mazda</t>
        </is>
      </c>
      <c r="F19437" s="0" t="s">
        <v>13</v>
      </c>
      <c r="G19437" s="0" t="s">
        <v>49</v>
      </c>
      <c r="H19437" s="5">
        <v>441.267700</v>
      </c>
    </row>
    <row r="19438" spans="1:9">
      <c r="A19438" s="22" t="str">
        <f>HYPERLINK("https://app.vivvix.com/360/KMI/IntelliDrive/ApplUI/Pages/CreativePages/CustomReportCreativeDetail.aspx?App=23&amp;ReportView=4&amp;Qid=1711279&amp;Row=19430&amp;Col=1","No Title Assigned - #15278308872")</f>
        <v/>
      </c>
      <c r="B19438" s="0" t="s">
        <v>25728</v>
      </c>
      <c r="C19438" s="0" t="s">
        <v>25729</v>
      </c>
      <c r="D19438" s="0" t="s">
        <v>25729</v>
      </c>
      <c r="E19438" s="0" t="inlineStr">
        <is>
          <t xml:space="preserve">Mazda</t>
        </is>
      </c>
      <c r="F19438" s="0" t="s">
        <v>13</v>
      </c>
      <c r="G19438" s="0" t="s">
        <v>49</v>
      </c>
      <c r="H19438" s="5">
        <v>268.784900</v>
      </c>
    </row>
    <row r="19439" spans="1:9">
      <c r="A19439" s="22" t="str">
        <f>HYPERLINK("https://app.vivvix.com/360/KMI/IntelliDrive/ApplUI/Pages/CreativePages/CustomReportCreativeDetail.aspx?App=23&amp;ReportView=4&amp;Qid=1711279&amp;Row=19431&amp;Col=1","No Title Assigned - #15278316375")</f>
        <v/>
      </c>
      <c r="B19439" s="0" t="s">
        <v>25730</v>
      </c>
      <c r="C19439" s="0" t="s">
        <v>25731</v>
      </c>
      <c r="D19439" s="0" t="s">
        <v>4204</v>
      </c>
      <c r="E19439" s="0" t="inlineStr">
        <is>
          <t xml:space="preserve">Mazda</t>
        </is>
      </c>
      <c r="F19439" s="0" t="s">
        <v>28</v>
      </c>
      <c r="G19439" s="0" t="s">
        <v>29</v>
      </c>
      <c r="H19439" s="5">
        <v>417.492200</v>
      </c>
    </row>
    <row r="19440" spans="1:9">
      <c r="A19440" s="22" t="str">
        <f>HYPERLINK("https://app.vivvix.com/360/KMI/IntelliDrive/ApplUI/Pages/CreativePages/CustomReportCreativeDetail.aspx?App=23&amp;ReportView=4&amp;Qid=1711279&amp;Row=19432&amp;Col=1","No Title Assigned - #15278325836")</f>
        <v/>
      </c>
      <c r="B19440" s="0" t="s">
        <v>25732</v>
      </c>
      <c r="C19440" s="0" t="s">
        <v>25733</v>
      </c>
      <c r="D19440" s="0" t="s">
        <v>4200</v>
      </c>
      <c r="E19440" s="0" t="inlineStr">
        <is>
          <t xml:space="preserve">Mazda</t>
        </is>
      </c>
      <c r="F19440" s="0" t="s">
        <v>28</v>
      </c>
      <c r="G19440" s="0" t="s">
        <v>29</v>
      </c>
      <c r="H19440" s="5">
        <v>126.170400</v>
      </c>
    </row>
    <row r="19441" spans="1:9">
      <c r="A19441" s="22" t="str">
        <f>HYPERLINK("https://app.vivvix.com/360/KMI/IntelliDrive/ApplUI/Pages/CreativePages/CustomReportCreativeDetail.aspx?App=23&amp;ReportView=4&amp;Qid=1711279&amp;Row=19433&amp;Col=1","No Title Assigned - #15278327066")</f>
        <v/>
      </c>
      <c r="B19441" s="0" t="s">
        <v>25734</v>
      </c>
      <c r="C19441" s="0" t="s">
        <v>25735</v>
      </c>
      <c r="D19441" s="0" t="s">
        <v>24706</v>
      </c>
      <c r="E19441" s="0" t="inlineStr">
        <is>
          <t xml:space="preserve">Mazda</t>
        </is>
      </c>
      <c r="F19441" s="0" t="s">
        <v>28</v>
      </c>
      <c r="G19441" s="0" t="s">
        <v>29</v>
      </c>
      <c r="H19441" s="5">
        <v>212.255200</v>
      </c>
    </row>
    <row r="19442" spans="1:9">
      <c r="A19442" s="22" t="str">
        <f>HYPERLINK("https://app.vivvix.com/360/KMI/IntelliDrive/ApplUI/Pages/CreativePages/CustomReportCreativeDetail.aspx?App=23&amp;ReportView=4&amp;Qid=1711279&amp;Row=19434&amp;Col=1","No Title Assigned - #15278330989")</f>
        <v/>
      </c>
      <c r="B19442" s="0" t="s">
        <v>25736</v>
      </c>
      <c r="E19442" s="0" t="inlineStr">
        <is>
          <t xml:space="preserve">Mazda</t>
        </is>
      </c>
      <c r="F19442" s="0" t="inlineStr">
        <is>
          <t xml:space="preserve">Mazda</t>
        </is>
      </c>
      <c r="G19442" s="0" t="s">
        <v>171</v>
      </c>
      <c r="H19442" s="5">
        <v>226.448500</v>
      </c>
    </row>
    <row r="19443" spans="1:9">
      <c r="A19443" s="22" t="str">
        <f>HYPERLINK("https://app.vivvix.com/360/KMI/IntelliDrive/ApplUI/Pages/CreativePages/CustomReportCreativeDetail.aspx?App=23&amp;ReportView=4&amp;Qid=1711279&amp;Row=19435&amp;Col=1","No Title Assigned - #15278331893")</f>
        <v/>
      </c>
      <c r="B19443" s="0" t="s">
        <v>25737</v>
      </c>
      <c r="E19443" s="0" t="inlineStr">
        <is>
          <t xml:space="preserve">Mazda</t>
        </is>
      </c>
      <c r="F19443" s="0" t="inlineStr">
        <is>
          <t xml:space="preserve">Mazda</t>
        </is>
      </c>
      <c r="G19443" s="0" t="s">
        <v>171</v>
      </c>
      <c r="H19443" s="5">
        <v>57.515200</v>
      </c>
    </row>
    <row r="19444" spans="1:9">
      <c r="A19444" s="22" t="str">
        <f>HYPERLINK("https://app.vivvix.com/360/KMI/IntelliDrive/ApplUI/Pages/CreativePages/CustomReportCreativeDetail.aspx?App=23&amp;ReportView=4&amp;Qid=1711279&amp;Row=19436&amp;Col=1","No Title Assigned - #15278332527")</f>
        <v/>
      </c>
      <c r="B19444" s="0" t="s">
        <v>25738</v>
      </c>
      <c r="E19444" s="0" t="inlineStr">
        <is>
          <t xml:space="preserve">Mazda</t>
        </is>
      </c>
      <c r="F19444" s="0" t="inlineStr">
        <is>
          <t xml:space="preserve">Mazda</t>
        </is>
      </c>
      <c r="G19444" s="0" t="s">
        <v>171</v>
      </c>
      <c r="H19444" s="5">
        <v>31295.562300</v>
      </c>
    </row>
    <row r="19445" spans="1:9">
      <c r="A19445" s="22" t="str">
        <f>HYPERLINK("https://app.vivvix.com/360/KMI/IntelliDrive/ApplUI/Pages/CreativePages/CustomReportCreativeDetail.aspx?App=23&amp;ReportView=4&amp;Qid=1711279&amp;Row=19437&amp;Col=1","No Title Assigned - #15278333746")</f>
        <v/>
      </c>
      <c r="B19445" s="0" t="s">
        <v>25739</v>
      </c>
      <c r="E19445" s="0" t="inlineStr">
        <is>
          <t xml:space="preserve">Mazda</t>
        </is>
      </c>
      <c r="F19445" s="0" t="inlineStr">
        <is>
          <t xml:space="preserve">Mazda</t>
        </is>
      </c>
      <c r="G19445" s="0" t="s">
        <v>171</v>
      </c>
      <c r="H19445" s="5">
        <v>2978.267900</v>
      </c>
    </row>
    <row r="19446" spans="1:9">
      <c r="A19446" s="22" t="str">
        <f>HYPERLINK("https://app.vivvix.com/360/KMI/IntelliDrive/ApplUI/Pages/CreativePages/CustomReportCreativeDetail.aspx?App=23&amp;ReportView=4&amp;Qid=1711279&amp;Row=19438&amp;Col=1","No Title Assigned - #15278349727")</f>
        <v/>
      </c>
      <c r="B19446" s="0" t="s">
        <v>25740</v>
      </c>
      <c r="E19446" s="0" t="inlineStr">
        <is>
          <t xml:space="preserve">Mazda</t>
        </is>
      </c>
      <c r="F19446" s="0" t="inlineStr">
        <is>
          <t xml:space="preserve">Mazda</t>
        </is>
      </c>
      <c r="G19446" s="0" t="s">
        <v>171</v>
      </c>
      <c r="H19446" s="5">
        <v>34.659800</v>
      </c>
    </row>
    <row r="19447" spans="1:9">
      <c r="A19447" s="22" t="str">
        <f>HYPERLINK("https://app.vivvix.com/360/KMI/IntelliDrive/ApplUI/Pages/CreativePages/CustomReportCreativeDetail.aspx?App=23&amp;ReportView=4&amp;Qid=1711279&amp;Row=19439&amp;Col=1","No Title Assigned - #15278349861")</f>
        <v/>
      </c>
      <c r="B19447" s="0" t="s">
        <v>25741</v>
      </c>
      <c r="E19447" s="0" t="inlineStr">
        <is>
          <t xml:space="preserve">Mazda</t>
        </is>
      </c>
      <c r="F19447" s="0" t="inlineStr">
        <is>
          <t xml:space="preserve">Mazda</t>
        </is>
      </c>
      <c r="G19447" s="0" t="s">
        <v>171</v>
      </c>
      <c r="H19447" s="5">
        <v>470.137600</v>
      </c>
    </row>
    <row r="19448" spans="1:9">
      <c r="A19448" s="22" t="str">
        <f>HYPERLINK("https://app.vivvix.com/360/KMI/IntelliDrive/ApplUI/Pages/CreativePages/CustomReportCreativeDetail.aspx?App=23&amp;ReportView=4&amp;Qid=1711279&amp;Row=19440&amp;Col=1","No Title Assigned - #15278351482")</f>
        <v/>
      </c>
      <c r="B19448" s="0" t="s">
        <v>25742</v>
      </c>
      <c r="C19448" s="0" t="s">
        <v>25743</v>
      </c>
      <c r="D19448" s="0" t="s">
        <v>25743</v>
      </c>
      <c r="E19448" s="0" t="inlineStr">
        <is>
          <t xml:space="preserve">Mazda</t>
        </is>
      </c>
      <c r="F19448" s="0" t="inlineStr">
        <is>
          <t xml:space="preserve">Mazda</t>
        </is>
      </c>
      <c r="G19448" s="0" t="s">
        <v>171</v>
      </c>
      <c r="H19448" s="5">
        <v>45.465800</v>
      </c>
    </row>
    <row r="19449" spans="1:9">
      <c r="A19449" s="22" t="str">
        <f>HYPERLINK("https://app.vivvix.com/360/KMI/IntelliDrive/ApplUI/Pages/CreativePages/CustomReportCreativeDetail.aspx?App=23&amp;ReportView=4&amp;Qid=1711279&amp;Row=19441&amp;Col=1","No Title Assigned - #15278351832")</f>
        <v/>
      </c>
      <c r="B19449" s="0" t="s">
        <v>25744</v>
      </c>
      <c r="E19449" s="0" t="inlineStr">
        <is>
          <t xml:space="preserve">Mazda</t>
        </is>
      </c>
      <c r="F19449" s="0" t="inlineStr">
        <is>
          <t xml:space="preserve">Mazda</t>
        </is>
      </c>
      <c r="G19449" s="0" t="s">
        <v>171</v>
      </c>
      <c r="H19449" s="5">
        <v>169.554000</v>
      </c>
    </row>
    <row r="19450" spans="1:9">
      <c r="A19450" s="22" t="str">
        <f>HYPERLINK("https://app.vivvix.com/360/KMI/IntelliDrive/ApplUI/Pages/CreativePages/CustomReportCreativeDetail.aspx?App=23&amp;ReportView=4&amp;Qid=1711279&amp;Row=19442&amp;Col=1","No Title Assigned - #15278352526")</f>
        <v/>
      </c>
      <c r="B19450" s="0" t="s">
        <v>25745</v>
      </c>
      <c r="E19450" s="0" t="inlineStr">
        <is>
          <t xml:space="preserve">Mazda</t>
        </is>
      </c>
      <c r="F19450" s="0" t="inlineStr">
        <is>
          <t xml:space="preserve">Mazda</t>
        </is>
      </c>
      <c r="G19450" s="0" t="s">
        <v>171</v>
      </c>
      <c r="H19450" s="5">
        <v>99.237900</v>
      </c>
    </row>
    <row r="19451" spans="1:9">
      <c r="A19451" s="22" t="str">
        <f>HYPERLINK("https://app.vivvix.com/360/KMI/IntelliDrive/ApplUI/Pages/CreativePages/CustomReportCreativeDetail.aspx?App=23&amp;ReportView=4&amp;Qid=1711279&amp;Row=19443&amp;Col=1","No Title Assigned - #15278352836")</f>
        <v/>
      </c>
      <c r="B19451" s="0" t="s">
        <v>25746</v>
      </c>
      <c r="E19451" s="0" t="inlineStr">
        <is>
          <t xml:space="preserve">Mazda</t>
        </is>
      </c>
      <c r="F19451" s="0" t="inlineStr">
        <is>
          <t xml:space="preserve">Mazda</t>
        </is>
      </c>
      <c r="G19451" s="0" t="s">
        <v>171</v>
      </c>
      <c r="H19451" s="5">
        <v>146.375900</v>
      </c>
    </row>
    <row r="19452" spans="1:9">
      <c r="A19452" s="22" t="str">
        <f>HYPERLINK("https://app.vivvix.com/360/KMI/IntelliDrive/ApplUI/Pages/CreativePages/CustomReportCreativeDetail.aspx?App=23&amp;ReportView=4&amp;Qid=1711279&amp;Row=19444&amp;Col=1","No Title Assigned - #15278353412")</f>
        <v/>
      </c>
      <c r="B19452" s="0" t="s">
        <v>25747</v>
      </c>
      <c r="C19452" s="0" t="s">
        <v>25748</v>
      </c>
      <c r="D19452" s="0" t="s">
        <v>25748</v>
      </c>
      <c r="E19452" s="0" t="inlineStr">
        <is>
          <t xml:space="preserve">Mazda</t>
        </is>
      </c>
      <c r="F19452" s="0" t="inlineStr">
        <is>
          <t xml:space="preserve">Mazda</t>
        </is>
      </c>
      <c r="G19452" s="0" t="s">
        <v>171</v>
      </c>
      <c r="H19452" s="5">
        <v>231.394200</v>
      </c>
    </row>
    <row r="19453" spans="1:9">
      <c r="A19453" s="22" t="str">
        <f>HYPERLINK("https://app.vivvix.com/360/KMI/IntelliDrive/ApplUI/Pages/CreativePages/CustomReportCreativeDetail.aspx?App=23&amp;ReportView=4&amp;Qid=1711279&amp;Row=19445&amp;Col=1","No Title Assigned - #15278353994")</f>
        <v/>
      </c>
      <c r="B19453" s="0" t="s">
        <v>25749</v>
      </c>
      <c r="E19453" s="0" t="inlineStr">
        <is>
          <t xml:space="preserve">Mazda</t>
        </is>
      </c>
      <c r="F19453" s="0" t="inlineStr">
        <is>
          <t xml:space="preserve">Mazda</t>
        </is>
      </c>
      <c r="G19453" s="0" t="s">
        <v>171</v>
      </c>
      <c r="H19453" s="5">
        <v>118.159100</v>
      </c>
    </row>
    <row r="19454" spans="1:9">
      <c r="A19454" s="22" t="str">
        <f>HYPERLINK("https://app.vivvix.com/360/KMI/IntelliDrive/ApplUI/Pages/CreativePages/CustomReportCreativeDetail.aspx?App=23&amp;ReportView=4&amp;Qid=1711279&amp;Row=19446&amp;Col=1","No Title Assigned - #15278354555")</f>
        <v/>
      </c>
      <c r="B19454" s="0" t="s">
        <v>25750</v>
      </c>
      <c r="E19454" s="0" t="inlineStr">
        <is>
          <t xml:space="preserve">Mazda</t>
        </is>
      </c>
      <c r="F19454" s="0" t="inlineStr">
        <is>
          <t xml:space="preserve">Mazda</t>
        </is>
      </c>
      <c r="G19454" s="0" t="s">
        <v>171</v>
      </c>
      <c r="H19454" s="5">
        <v>1.216000</v>
      </c>
    </row>
    <row r="19455" spans="1:9">
      <c r="A19455" s="22" t="str">
        <f>HYPERLINK("https://app.vivvix.com/360/KMI/IntelliDrive/ApplUI/Pages/CreativePages/CustomReportCreativeDetail.aspx?App=23&amp;ReportView=4&amp;Qid=1711279&amp;Row=19447&amp;Col=1","No Title Assigned - #15278355205")</f>
        <v/>
      </c>
      <c r="B19455" s="0" t="s">
        <v>25751</v>
      </c>
      <c r="E19455" s="0" t="inlineStr">
        <is>
          <t xml:space="preserve">Mazda</t>
        </is>
      </c>
      <c r="F19455" s="0" t="inlineStr">
        <is>
          <t xml:space="preserve">Mazda</t>
        </is>
      </c>
      <c r="G19455" s="0" t="s">
        <v>171</v>
      </c>
      <c r="H19455" s="5">
        <v>175.935000</v>
      </c>
    </row>
    <row r="19456" spans="1:9">
      <c r="A19456" s="22" t="str">
        <f>HYPERLINK("https://app.vivvix.com/360/KMI/IntelliDrive/ApplUI/Pages/CreativePages/CustomReportCreativeDetail.aspx?App=23&amp;ReportView=4&amp;Qid=1711279&amp;Row=19448&amp;Col=1","No Title Assigned - #15278357581")</f>
        <v/>
      </c>
      <c r="B19456" s="0" t="s">
        <v>25752</v>
      </c>
      <c r="E19456" s="0" t="inlineStr">
        <is>
          <t xml:space="preserve">Mazda</t>
        </is>
      </c>
      <c r="F19456" s="0" t="inlineStr">
        <is>
          <t xml:space="preserve">Mazda</t>
        </is>
      </c>
      <c r="G19456" s="0" t="s">
        <v>171</v>
      </c>
      <c r="H19456" s="5">
        <v>5580.568600</v>
      </c>
    </row>
    <row r="19457" spans="1:9">
      <c r="A19457" s="22" t="str">
        <f>HYPERLINK("https://app.vivvix.com/360/KMI/IntelliDrive/ApplUI/Pages/CreativePages/CustomReportCreativeDetail.aspx?App=23&amp;ReportView=4&amp;Qid=1711279&amp;Row=19449&amp;Col=1","No Title Assigned - #15278357600")</f>
        <v/>
      </c>
      <c r="B19457" s="0" t="s">
        <v>25753</v>
      </c>
      <c r="E19457" s="0" t="inlineStr">
        <is>
          <t xml:space="preserve">Mazda</t>
        </is>
      </c>
      <c r="F19457" s="0" t="inlineStr">
        <is>
          <t xml:space="preserve">Mazda</t>
        </is>
      </c>
      <c r="G19457" s="0" t="s">
        <v>171</v>
      </c>
      <c r="H19457" s="5">
        <v>177.523300</v>
      </c>
    </row>
    <row r="19458" spans="1:9">
      <c r="A19458" s="22" t="str">
        <f>HYPERLINK("https://app.vivvix.com/360/KMI/IntelliDrive/ApplUI/Pages/CreativePages/CustomReportCreativeDetail.aspx?App=23&amp;ReportView=4&amp;Qid=1711279&amp;Row=19450&amp;Col=1","No Title Assigned - #15278358218")</f>
        <v/>
      </c>
      <c r="B19458" s="0" t="s">
        <v>25754</v>
      </c>
      <c r="E19458" s="0" t="inlineStr">
        <is>
          <t xml:space="preserve">Mazda</t>
        </is>
      </c>
      <c r="F19458" s="0" t="inlineStr">
        <is>
          <t xml:space="preserve">Mazda</t>
        </is>
      </c>
      <c r="G19458" s="0" t="s">
        <v>171</v>
      </c>
      <c r="H19458" s="5">
        <v>163.547800</v>
      </c>
    </row>
    <row r="19459" spans="1:9">
      <c r="A19459" s="22" t="str">
        <f>HYPERLINK("https://app.vivvix.com/360/KMI/IntelliDrive/ApplUI/Pages/CreativePages/CustomReportCreativeDetail.aspx?App=23&amp;ReportView=4&amp;Qid=1711279&amp;Row=19451&amp;Col=1","No Title Assigned - #15278358263")</f>
        <v/>
      </c>
      <c r="B19459" s="0" t="s">
        <v>25755</v>
      </c>
      <c r="C19459" s="0" t="s">
        <v>25756</v>
      </c>
      <c r="D19459" s="0" t="s">
        <v>25756</v>
      </c>
      <c r="E19459" s="0" t="inlineStr">
        <is>
          <t xml:space="preserve">Mazda</t>
        </is>
      </c>
      <c r="F19459" s="0" t="inlineStr">
        <is>
          <t xml:space="preserve">Mazda</t>
        </is>
      </c>
      <c r="G19459" s="0" t="s">
        <v>171</v>
      </c>
      <c r="H19459" s="5">
        <v>92.483200</v>
      </c>
    </row>
    <row r="19460" spans="1:9">
      <c r="A19460" s="22" t="str">
        <f>HYPERLINK("https://app.vivvix.com/360/KMI/IntelliDrive/ApplUI/Pages/CreativePages/CustomReportCreativeDetail.aspx?App=23&amp;ReportView=4&amp;Qid=1711279&amp;Row=19452&amp;Col=1","No Title Assigned - #15278358282")</f>
        <v/>
      </c>
      <c r="B19460" s="0" t="s">
        <v>25757</v>
      </c>
      <c r="E19460" s="0" t="inlineStr">
        <is>
          <t xml:space="preserve">Mazda</t>
        </is>
      </c>
      <c r="F19460" s="0" t="inlineStr">
        <is>
          <t xml:space="preserve">Mazda</t>
        </is>
      </c>
      <c r="G19460" s="0" t="s">
        <v>171</v>
      </c>
      <c r="H19460" s="5">
        <v>92.483200</v>
      </c>
    </row>
    <row r="19461" spans="1:9">
      <c r="A19461" s="22" t="str">
        <f>HYPERLINK("https://app.vivvix.com/360/KMI/IntelliDrive/ApplUI/Pages/CreativePages/CustomReportCreativeDetail.aspx?App=23&amp;ReportView=4&amp;Qid=1711279&amp;Row=19453&amp;Col=1","No Title Assigned - #15278365501")</f>
        <v/>
      </c>
      <c r="B19461" s="0" t="s">
        <v>25758</v>
      </c>
      <c r="E19461" s="0" t="inlineStr">
        <is>
          <t xml:space="preserve">Mazda</t>
        </is>
      </c>
      <c r="F19461" s="0" t="inlineStr">
        <is>
          <t xml:space="preserve">Mazda</t>
        </is>
      </c>
      <c r="G19461" s="0" t="s">
        <v>171</v>
      </c>
      <c r="H19461" s="5">
        <v>99.237900</v>
      </c>
    </row>
    <row r="19462" spans="1:9">
      <c r="A19462" s="22" t="str">
        <f>HYPERLINK("https://app.vivvix.com/360/KMI/IntelliDrive/ApplUI/Pages/CreativePages/CustomReportCreativeDetail.aspx?App=23&amp;ReportView=4&amp;Qid=1711279&amp;Row=19454&amp;Col=1","No Title Assigned - #15278365892")</f>
        <v/>
      </c>
      <c r="B19462" s="0" t="s">
        <v>25759</v>
      </c>
      <c r="E19462" s="0" t="inlineStr">
        <is>
          <t xml:space="preserve">Mazda</t>
        </is>
      </c>
      <c r="F19462" s="0" t="inlineStr">
        <is>
          <t xml:space="preserve">Mazda</t>
        </is>
      </c>
      <c r="G19462" s="0" t="s">
        <v>171</v>
      </c>
      <c r="H19462" s="5">
        <v>137.257000</v>
      </c>
    </row>
    <row r="19463" spans="1:9">
      <c r="A19463" s="22" t="str">
        <f>HYPERLINK("https://app.vivvix.com/360/KMI/IntelliDrive/ApplUI/Pages/CreativePages/CustomReportCreativeDetail.aspx?App=23&amp;ReportView=4&amp;Qid=1711279&amp;Row=19455&amp;Col=1","No Title Assigned - #15278366287")</f>
        <v/>
      </c>
      <c r="B19463" s="0" t="s">
        <v>25760</v>
      </c>
      <c r="E19463" s="0" t="inlineStr">
        <is>
          <t xml:space="preserve">Mazda</t>
        </is>
      </c>
      <c r="F19463" s="0" t="inlineStr">
        <is>
          <t xml:space="preserve">Mazda</t>
        </is>
      </c>
      <c r="G19463" s="0" t="s">
        <v>171</v>
      </c>
      <c r="H19463" s="5">
        <v>9.677400</v>
      </c>
    </row>
    <row r="19464" spans="1:9">
      <c r="A19464" s="22" t="str">
        <f>HYPERLINK("https://app.vivvix.com/360/KMI/IntelliDrive/ApplUI/Pages/CreativePages/CustomReportCreativeDetail.aspx?App=23&amp;ReportView=4&amp;Qid=1711279&amp;Row=19456&amp;Col=1","No Title Assigned - #15278385989")</f>
        <v/>
      </c>
      <c r="B19464" s="0" t="s">
        <v>25761</v>
      </c>
      <c r="E19464" s="0" t="inlineStr">
        <is>
          <t xml:space="preserve">Mazda</t>
        </is>
      </c>
      <c r="F19464" s="0" t="inlineStr">
        <is>
          <t xml:space="preserve">Mazda</t>
        </is>
      </c>
      <c r="G19464" s="0" t="s">
        <v>171</v>
      </c>
      <c r="H19464" s="5">
        <v>5.543100</v>
      </c>
    </row>
    <row r="19465" spans="1:9">
      <c r="A19465" s="22" t="str">
        <f>HYPERLINK("https://app.vivvix.com/360/KMI/IntelliDrive/ApplUI/Pages/CreativePages/CustomReportCreativeDetail.aspx?App=23&amp;ReportView=4&amp;Qid=1711279&amp;Row=19457&amp;Col=1","No Title Assigned - #15278389855")</f>
        <v/>
      </c>
      <c r="B19465" s="0" t="s">
        <v>25762</v>
      </c>
      <c r="C19465" s="0" t="s">
        <v>25763</v>
      </c>
      <c r="D19465" s="0" t="s">
        <v>8930</v>
      </c>
      <c r="E19465" s="0" t="inlineStr">
        <is>
          <t xml:space="preserve">Mazda</t>
        </is>
      </c>
      <c r="F19465" s="0" t="s">
        <v>13</v>
      </c>
      <c r="G19465" s="0" t="s">
        <v>49</v>
      </c>
      <c r="H19465" s="5">
        <v>1023.788300</v>
      </c>
    </row>
    <row r="19466" spans="1:9">
      <c r="A19466" s="22" t="str">
        <f>HYPERLINK("https://app.vivvix.com/360/KMI/IntelliDrive/ApplUI/Pages/CreativePages/CustomReportCreativeDetail.aspx?App=23&amp;ReportView=4&amp;Qid=1711279&amp;Row=19458&amp;Col=1","No Title Assigned - #15278390269")</f>
        <v/>
      </c>
      <c r="B19466" s="0" t="s">
        <v>25764</v>
      </c>
      <c r="C19466" s="0" t="s">
        <v>25765</v>
      </c>
      <c r="D19466" s="0" t="s">
        <v>25765</v>
      </c>
      <c r="E19466" s="0" t="inlineStr">
        <is>
          <t xml:space="preserve">Mazda</t>
        </is>
      </c>
      <c r="F19466" s="0" t="s">
        <v>13</v>
      </c>
      <c r="G19466" s="0" t="s">
        <v>49</v>
      </c>
      <c r="H19466" s="5">
        <v>463.903700</v>
      </c>
    </row>
    <row r="19467" spans="1:9">
      <c r="A19467" s="22" t="str">
        <f>HYPERLINK("https://app.vivvix.com/360/KMI/IntelliDrive/ApplUI/Pages/CreativePages/CustomReportCreativeDetail.aspx?App=23&amp;ReportView=4&amp;Qid=1711279&amp;Row=19459&amp;Col=1","No Title Assigned - #15278397228")</f>
        <v/>
      </c>
      <c r="B19467" s="0" t="s">
        <v>25766</v>
      </c>
      <c r="C19467" s="0" t="s">
        <v>25767</v>
      </c>
      <c r="D19467" s="0" t="s">
        <v>25767</v>
      </c>
      <c r="E19467" s="0" t="inlineStr">
        <is>
          <t xml:space="preserve">Mazda</t>
        </is>
      </c>
      <c r="F19467" s="0" t="s">
        <v>28</v>
      </c>
      <c r="G19467" s="0" t="s">
        <v>29</v>
      </c>
      <c r="H19467" s="5">
        <v>492.616000</v>
      </c>
    </row>
    <row r="19468" spans="1:9">
      <c r="A19468" s="22" t="str">
        <f>HYPERLINK("https://app.vivvix.com/360/KMI/IntelliDrive/ApplUI/Pages/CreativePages/CustomReportCreativeDetail.aspx?App=23&amp;ReportView=4&amp;Qid=1711279&amp;Row=19460&amp;Col=1","No Title Assigned - #15278402109")</f>
        <v/>
      </c>
      <c r="B19468" s="0" t="s">
        <v>25768</v>
      </c>
      <c r="C19468" s="0" t="s">
        <v>25769</v>
      </c>
      <c r="D19468" s="0" t="s">
        <v>4200</v>
      </c>
      <c r="E19468" s="0" t="inlineStr">
        <is>
          <t xml:space="preserve">Mazda</t>
        </is>
      </c>
      <c r="F19468" s="0" t="s">
        <v>28</v>
      </c>
      <c r="G19468" s="0" t="s">
        <v>29</v>
      </c>
      <c r="H19468" s="5">
        <v>212.255200</v>
      </c>
    </row>
    <row r="19469" spans="1:9">
      <c r="A19469" s="22" t="str">
        <f>HYPERLINK("https://app.vivvix.com/360/KMI/IntelliDrive/ApplUI/Pages/CreativePages/CustomReportCreativeDetail.aspx?App=23&amp;ReportView=4&amp;Qid=1711279&amp;Row=19461&amp;Col=1","No Title Assigned - #15278402769")</f>
        <v/>
      </c>
      <c r="B19469" s="0" t="s">
        <v>25770</v>
      </c>
      <c r="C19469" s="0" t="s">
        <v>25771</v>
      </c>
      <c r="D19469" s="0" t="s">
        <v>13770</v>
      </c>
      <c r="E19469" s="0" t="inlineStr">
        <is>
          <t xml:space="preserve">Mazda</t>
        </is>
      </c>
      <c r="F19469" s="0" t="s">
        <v>28</v>
      </c>
      <c r="G19469" s="0" t="s">
        <v>29</v>
      </c>
      <c r="H19469" s="5">
        <v>547.460600</v>
      </c>
    </row>
    <row r="19470" spans="1:9">
      <c r="A19470" s="22" t="str">
        <f>HYPERLINK("https://app.vivvix.com/360/KMI/IntelliDrive/ApplUI/Pages/CreativePages/CustomReportCreativeDetail.aspx?App=23&amp;ReportView=4&amp;Qid=1711279&amp;Row=19462&amp;Col=1","No Title Assigned - #15278403548")</f>
        <v/>
      </c>
      <c r="B19470" s="0" t="s">
        <v>25772</v>
      </c>
      <c r="C19470" s="0" t="s">
        <v>25773</v>
      </c>
      <c r="D19470" s="0" t="s">
        <v>25773</v>
      </c>
      <c r="E19470" s="0" t="inlineStr">
        <is>
          <t xml:space="preserve">Mazda</t>
        </is>
      </c>
      <c r="F19470" s="0" t="s">
        <v>13</v>
      </c>
      <c r="G19470" s="0" t="s">
        <v>49</v>
      </c>
      <c r="H19470" s="5">
        <v>54.293300</v>
      </c>
    </row>
    <row r="19471" spans="1:9">
      <c r="A19471" s="22" t="str">
        <f>HYPERLINK("https://app.vivvix.com/360/KMI/IntelliDrive/ApplUI/Pages/CreativePages/CustomReportCreativeDetail.aspx?App=23&amp;ReportView=4&amp;Qid=1711279&amp;Row=19463&amp;Col=1","No Title Assigned - #15278403548")</f>
        <v/>
      </c>
      <c r="B19471" s="0" t="s">
        <v>25772</v>
      </c>
      <c r="E19471" s="0" t="inlineStr">
        <is>
          <t xml:space="preserve">Mazda</t>
        </is>
      </c>
      <c r="F19471" s="0" t="s">
        <v>13</v>
      </c>
      <c r="G19471" s="0" t="s">
        <v>49</v>
      </c>
      <c r="H19471" s="5">
        <v>45.923100</v>
      </c>
    </row>
    <row r="19472" spans="1:9">
      <c r="A19472" s="22" t="str">
        <f>HYPERLINK("https://app.vivvix.com/360/KMI/IntelliDrive/ApplUI/Pages/CreativePages/CustomReportCreativeDetail.aspx?App=23&amp;ReportView=4&amp;Qid=1711279&amp;Row=19464&amp;Col=1","No Title Assigned - #15278403830")</f>
        <v/>
      </c>
      <c r="B19472" s="0" t="s">
        <v>25774</v>
      </c>
      <c r="C19472" s="0" t="s">
        <v>25775</v>
      </c>
      <c r="D19472" s="0" t="s">
        <v>25775</v>
      </c>
      <c r="E19472" s="0" t="inlineStr">
        <is>
          <t xml:space="preserve">Mazda</t>
        </is>
      </c>
      <c r="F19472" s="0" t="s">
        <v>13</v>
      </c>
      <c r="G19472" s="0" t="s">
        <v>49</v>
      </c>
      <c r="H19472" s="5">
        <v>337.416300</v>
      </c>
    </row>
    <row r="19473" spans="1:9">
      <c r="A19473" s="22" t="str">
        <f>HYPERLINK("https://app.vivvix.com/360/KMI/IntelliDrive/ApplUI/Pages/CreativePages/CustomReportCreativeDetail.aspx?App=23&amp;ReportView=4&amp;Qid=1711279&amp;Row=19465&amp;Col=1","No Title Assigned - #15278404952")</f>
        <v/>
      </c>
      <c r="B19473" s="0" t="s">
        <v>25776</v>
      </c>
      <c r="C19473" s="0" t="s">
        <v>25777</v>
      </c>
      <c r="D19473" s="0" t="s">
        <v>25777</v>
      </c>
      <c r="E19473" s="0" t="inlineStr">
        <is>
          <t xml:space="preserve">Mazda</t>
        </is>
      </c>
      <c r="F19473" s="0" t="s">
        <v>13</v>
      </c>
      <c r="G19473" s="0" t="s">
        <v>49</v>
      </c>
      <c r="H19473" s="5">
        <v>15.838200</v>
      </c>
    </row>
    <row r="19474" spans="1:9">
      <c r="A19474" s="22" t="str">
        <f>HYPERLINK("https://app.vivvix.com/360/KMI/IntelliDrive/ApplUI/Pages/CreativePages/CustomReportCreativeDetail.aspx?App=23&amp;ReportView=4&amp;Qid=1711279&amp;Row=19466&amp;Col=1","No Title Assigned - #15278406396")</f>
        <v/>
      </c>
      <c r="B19474" s="0" t="s">
        <v>25778</v>
      </c>
      <c r="C19474" s="0" t="s">
        <v>25779</v>
      </c>
      <c r="D19474" s="0" t="s">
        <v>14152</v>
      </c>
      <c r="E19474" s="0" t="inlineStr">
        <is>
          <t xml:space="preserve">Mazda</t>
        </is>
      </c>
      <c r="F19474" s="0" t="s">
        <v>28</v>
      </c>
      <c r="G19474" s="0" t="s">
        <v>29</v>
      </c>
      <c r="H19474" s="5">
        <v>153.002100</v>
      </c>
    </row>
    <row r="19475" spans="1:9">
      <c r="A19475" s="22" t="str">
        <f>HYPERLINK("https://app.vivvix.com/360/KMI/IntelliDrive/ApplUI/Pages/CreativePages/CustomReportCreativeDetail.aspx?App=23&amp;ReportView=4&amp;Qid=1711279&amp;Row=19467&amp;Col=1","No Title Assigned - #15278406426")</f>
        <v/>
      </c>
      <c r="B19475" s="0" t="s">
        <v>25780</v>
      </c>
      <c r="C19475" s="0" t="s">
        <v>25781</v>
      </c>
      <c r="D19475" s="0" t="s">
        <v>25781</v>
      </c>
      <c r="E19475" s="0" t="inlineStr">
        <is>
          <t xml:space="preserve">Mazda</t>
        </is>
      </c>
      <c r="F19475" s="0" t="s">
        <v>13</v>
      </c>
      <c r="G19475" s="0" t="s">
        <v>49</v>
      </c>
      <c r="H19475" s="5">
        <v>7143.420400</v>
      </c>
    </row>
    <row r="19476" spans="1:9">
      <c r="A19476" s="22" t="str">
        <f>HYPERLINK("https://app.vivvix.com/360/KMI/IntelliDrive/ApplUI/Pages/CreativePages/CustomReportCreativeDetail.aspx?App=23&amp;ReportView=4&amp;Qid=1711279&amp;Row=19468&amp;Col=1","No Title Assigned - #15278407435")</f>
        <v/>
      </c>
      <c r="B19476" s="0" t="s">
        <v>25782</v>
      </c>
      <c r="C19476" s="0" t="s">
        <v>25783</v>
      </c>
      <c r="D19476" s="0" t="s">
        <v>25783</v>
      </c>
      <c r="E19476" s="0" t="inlineStr">
        <is>
          <t xml:space="preserve">Mazda</t>
        </is>
      </c>
      <c r="F19476" s="0" t="s">
        <v>13</v>
      </c>
      <c r="G19476" s="0" t="s">
        <v>49</v>
      </c>
      <c r="H19476" s="5">
        <v>18.278100</v>
      </c>
    </row>
    <row r="19477" spans="1:9">
      <c r="A19477" s="22" t="str">
        <f>HYPERLINK("https://app.vivvix.com/360/KMI/IntelliDrive/ApplUI/Pages/CreativePages/CustomReportCreativeDetail.aspx?App=23&amp;ReportView=4&amp;Qid=1711279&amp;Row=19469&amp;Col=1","No Title Assigned - #15278407534")</f>
        <v/>
      </c>
      <c r="B19477" s="0" t="s">
        <v>25784</v>
      </c>
      <c r="C19477" s="0" t="s">
        <v>25785</v>
      </c>
      <c r="D19477" s="0" t="s">
        <v>4202</v>
      </c>
      <c r="E19477" s="0" t="inlineStr">
        <is>
          <t xml:space="preserve">Mazda</t>
        </is>
      </c>
      <c r="F19477" s="0" t="s">
        <v>28</v>
      </c>
      <c r="G19477" s="0" t="s">
        <v>29</v>
      </c>
      <c r="H19477" s="5">
        <v>138.584500</v>
      </c>
    </row>
    <row r="19478" spans="1:9">
      <c r="A19478" s="22" t="str">
        <f>HYPERLINK("https://app.vivvix.com/360/KMI/IntelliDrive/ApplUI/Pages/CreativePages/CustomReportCreativeDetail.aspx?App=23&amp;ReportView=4&amp;Qid=1711279&amp;Row=19470&amp;Col=1","No Title Assigned - #15278409619")</f>
        <v/>
      </c>
      <c r="B19478" s="0" t="s">
        <v>25786</v>
      </c>
      <c r="C19478" s="0" t="s">
        <v>25787</v>
      </c>
      <c r="D19478" s="0" t="s">
        <v>25788</v>
      </c>
      <c r="E19478" s="0" t="inlineStr">
        <is>
          <t xml:space="preserve">Mazda</t>
        </is>
      </c>
      <c r="F19478" s="0" t="s">
        <v>28</v>
      </c>
      <c r="G19478" s="0" t="s">
        <v>29</v>
      </c>
      <c r="H19478" s="5">
        <v>470.043600</v>
      </c>
    </row>
    <row r="19479" spans="1:9">
      <c r="A19479" s="22" t="str">
        <f>HYPERLINK("https://app.vivvix.com/360/KMI/IntelliDrive/ApplUI/Pages/CreativePages/CustomReportCreativeDetail.aspx?App=23&amp;ReportView=4&amp;Qid=1711279&amp;Row=19471&amp;Col=1","No Title Assigned - #15278411998")</f>
        <v/>
      </c>
      <c r="B19479" s="0" t="s">
        <v>25789</v>
      </c>
      <c r="C19479" s="0" t="s">
        <v>25790</v>
      </c>
      <c r="D19479" s="0" t="s">
        <v>10311</v>
      </c>
      <c r="E19479" s="0" t="inlineStr">
        <is>
          <t xml:space="preserve">Mazda</t>
        </is>
      </c>
      <c r="F19479" s="0" t="s">
        <v>13</v>
      </c>
      <c r="G19479" s="0" t="s">
        <v>49</v>
      </c>
      <c r="H19479" s="5">
        <v>468.627000</v>
      </c>
    </row>
    <row r="19480" spans="1:9">
      <c r="A19480" s="22" t="str">
        <f>HYPERLINK("https://app.vivvix.com/360/KMI/IntelliDrive/ApplUI/Pages/CreativePages/CustomReportCreativeDetail.aspx?App=23&amp;ReportView=4&amp;Qid=1711279&amp;Row=19472&amp;Col=1","No Title Assigned - #15278414612")</f>
        <v/>
      </c>
      <c r="B19480" s="0" t="s">
        <v>25791</v>
      </c>
      <c r="E19480" s="0" t="inlineStr">
        <is>
          <t xml:space="preserve">Mazda</t>
        </is>
      </c>
      <c r="F19480" s="0" t="inlineStr">
        <is>
          <t xml:space="preserve">Mazda</t>
        </is>
      </c>
      <c r="G19480" s="0" t="s">
        <v>171</v>
      </c>
      <c r="H19480" s="5">
        <v>169.769700</v>
      </c>
    </row>
    <row r="19481" spans="1:9">
      <c r="A19481" s="22" t="str">
        <f>HYPERLINK("https://app.vivvix.com/360/KMI/IntelliDrive/ApplUI/Pages/CreativePages/CustomReportCreativeDetail.aspx?App=23&amp;ReportView=4&amp;Qid=1711279&amp;Row=19473&amp;Col=1","No Title Assigned - #15278415384")</f>
        <v/>
      </c>
      <c r="B19481" s="0" t="s">
        <v>25792</v>
      </c>
      <c r="E19481" s="0" t="inlineStr">
        <is>
          <t xml:space="preserve">Mazda</t>
        </is>
      </c>
      <c r="F19481" s="0" t="inlineStr">
        <is>
          <t xml:space="preserve">Mazda</t>
        </is>
      </c>
      <c r="G19481" s="0" t="s">
        <v>171</v>
      </c>
      <c r="H19481" s="5">
        <v>87.128800</v>
      </c>
    </row>
    <row r="19482" spans="1:9">
      <c r="A19482" s="22" t="str">
        <f>HYPERLINK("https://app.vivvix.com/360/KMI/IntelliDrive/ApplUI/Pages/CreativePages/CustomReportCreativeDetail.aspx?App=23&amp;ReportView=4&amp;Qid=1711279&amp;Row=19474&amp;Col=1","No Title Assigned - #15278416617")</f>
        <v/>
      </c>
      <c r="B19482" s="0" t="s">
        <v>25793</v>
      </c>
      <c r="E19482" s="0" t="inlineStr">
        <is>
          <t xml:space="preserve">Mazda</t>
        </is>
      </c>
      <c r="F19482" s="0" t="inlineStr">
        <is>
          <t xml:space="preserve">Mazda</t>
        </is>
      </c>
      <c r="G19482" s="0" t="s">
        <v>171</v>
      </c>
      <c r="H19482" s="5">
        <v>255.478400</v>
      </c>
    </row>
    <row r="19483" spans="1:9">
      <c r="A19483" s="22" t="str">
        <f>HYPERLINK("https://app.vivvix.com/360/KMI/IntelliDrive/ApplUI/Pages/CreativePages/CustomReportCreativeDetail.aspx?App=23&amp;ReportView=4&amp;Qid=1711279&amp;Row=19475&amp;Col=1","No Title Assigned - #15278417224")</f>
        <v/>
      </c>
      <c r="B19483" s="0" t="s">
        <v>25794</v>
      </c>
      <c r="E19483" s="0" t="inlineStr">
        <is>
          <t xml:space="preserve">Mazda</t>
        </is>
      </c>
      <c r="F19483" s="0" t="inlineStr">
        <is>
          <t xml:space="preserve">Mazda</t>
        </is>
      </c>
      <c r="G19483" s="0" t="s">
        <v>171</v>
      </c>
      <c r="H19483" s="5">
        <v>200.900800</v>
      </c>
    </row>
    <row r="19484" spans="1:9">
      <c r="A19484" s="22" t="str">
        <f>HYPERLINK("https://app.vivvix.com/360/KMI/IntelliDrive/ApplUI/Pages/CreativePages/CustomReportCreativeDetail.aspx?App=23&amp;ReportView=4&amp;Qid=1711279&amp;Row=19476&amp;Col=1","No Title Assigned - #15278417487")</f>
        <v/>
      </c>
      <c r="B19484" s="0" t="s">
        <v>25795</v>
      </c>
      <c r="E19484" s="0" t="inlineStr">
        <is>
          <t xml:space="preserve">Mazda</t>
        </is>
      </c>
      <c r="F19484" s="0" t="inlineStr">
        <is>
          <t xml:space="preserve">Mazda</t>
        </is>
      </c>
      <c r="G19484" s="0" t="s">
        <v>171</v>
      </c>
      <c r="H19484" s="5">
        <v>2150.048800</v>
      </c>
    </row>
    <row r="19485" spans="1:9">
      <c r="A19485" s="22" t="str">
        <f>HYPERLINK("https://app.vivvix.com/360/KMI/IntelliDrive/ApplUI/Pages/CreativePages/CustomReportCreativeDetail.aspx?App=23&amp;ReportView=4&amp;Qid=1711279&amp;Row=19477&amp;Col=1","No Title Assigned - #15278420018")</f>
        <v/>
      </c>
      <c r="B19485" s="0" t="s">
        <v>25796</v>
      </c>
      <c r="E19485" s="0" t="inlineStr">
        <is>
          <t xml:space="preserve">Mazda</t>
        </is>
      </c>
      <c r="F19485" s="0" t="inlineStr">
        <is>
          <t xml:space="preserve">Mazda</t>
        </is>
      </c>
      <c r="G19485" s="0" t="s">
        <v>171</v>
      </c>
      <c r="H19485" s="5">
        <v>84.901900</v>
      </c>
    </row>
    <row r="19486" spans="1:9">
      <c r="A19486" s="22" t="str">
        <f>HYPERLINK("https://app.vivvix.com/360/KMI/IntelliDrive/ApplUI/Pages/CreativePages/CustomReportCreativeDetail.aspx?App=23&amp;ReportView=4&amp;Qid=1711279&amp;Row=19478&amp;Col=1","No Title Assigned - #15278420338")</f>
        <v/>
      </c>
      <c r="B19486" s="0" t="s">
        <v>25797</v>
      </c>
      <c r="E19486" s="0" t="inlineStr">
        <is>
          <t xml:space="preserve">Mazda</t>
        </is>
      </c>
      <c r="F19486" s="0" t="inlineStr">
        <is>
          <t xml:space="preserve">Mazda</t>
        </is>
      </c>
      <c r="G19486" s="0" t="s">
        <v>171</v>
      </c>
      <c r="H19486" s="5">
        <v>25353.136200</v>
      </c>
    </row>
    <row r="19487" spans="1:9">
      <c r="A19487" s="22" t="str">
        <f>HYPERLINK("https://app.vivvix.com/360/KMI/IntelliDrive/ApplUI/Pages/CreativePages/CustomReportCreativeDetail.aspx?App=23&amp;ReportView=4&amp;Qid=1711279&amp;Row=19479&amp;Col=1","No Title Assigned - #15278420338")</f>
        <v/>
      </c>
      <c r="B19487" s="0" t="s">
        <v>25797</v>
      </c>
      <c r="E19487" s="0" t="inlineStr">
        <is>
          <t xml:space="preserve">Mazda</t>
        </is>
      </c>
      <c r="F19487" s="0" t="inlineStr">
        <is>
          <t xml:space="preserve">Mazda</t>
        </is>
      </c>
      <c r="G19487" s="0" t="s">
        <v>171</v>
      </c>
      <c r="H19487" s="5">
        <v>2144.171900</v>
      </c>
    </row>
    <row r="19488" spans="1:9">
      <c r="A19488" s="22" t="str">
        <f>HYPERLINK("https://app.vivvix.com/360/KMI/IntelliDrive/ApplUI/Pages/CreativePages/CustomReportCreativeDetail.aspx?App=23&amp;ReportView=4&amp;Qid=1711279&amp;Row=19480&amp;Col=1","No Title Assigned - #15278431528")</f>
        <v/>
      </c>
      <c r="B19488" s="0" t="s">
        <v>25798</v>
      </c>
      <c r="E19488" s="0" t="inlineStr">
        <is>
          <t xml:space="preserve">Mazda</t>
        </is>
      </c>
      <c r="F19488" s="0" t="inlineStr">
        <is>
          <t xml:space="preserve">Mazda</t>
        </is>
      </c>
      <c r="G19488" s="0" t="s">
        <v>171</v>
      </c>
      <c r="H19488" s="5">
        <v>330.720700</v>
      </c>
    </row>
    <row r="19489" spans="1:9">
      <c r="A19489" s="22" t="str">
        <f>HYPERLINK("https://app.vivvix.com/360/KMI/IntelliDrive/ApplUI/Pages/CreativePages/CustomReportCreativeDetail.aspx?App=23&amp;ReportView=4&amp;Qid=1711279&amp;Row=19481&amp;Col=1","No Title Assigned - #15278432204")</f>
        <v/>
      </c>
      <c r="B19489" s="0" t="s">
        <v>25799</v>
      </c>
      <c r="E19489" s="0" t="inlineStr">
        <is>
          <t xml:space="preserve">Mazda</t>
        </is>
      </c>
      <c r="F19489" s="0" t="inlineStr">
        <is>
          <t xml:space="preserve">Mazda</t>
        </is>
      </c>
      <c r="G19489" s="0" t="s">
        <v>171</v>
      </c>
      <c r="H19489" s="5">
        <v>397.762500</v>
      </c>
    </row>
    <row r="19490" spans="1:9">
      <c r="A19490" s="22" t="str">
        <f>HYPERLINK("https://app.vivvix.com/360/KMI/IntelliDrive/ApplUI/Pages/CreativePages/CustomReportCreativeDetail.aspx?App=23&amp;ReportView=4&amp;Qid=1711279&amp;Row=19482&amp;Col=1","No Title Assigned - #15278432949")</f>
        <v/>
      </c>
      <c r="B19490" s="0" t="s">
        <v>25800</v>
      </c>
      <c r="E19490" s="0" t="inlineStr">
        <is>
          <t xml:space="preserve">Mazda</t>
        </is>
      </c>
      <c r="F19490" s="0" t="inlineStr">
        <is>
          <t xml:space="preserve">Mazda</t>
        </is>
      </c>
      <c r="G19490" s="0" t="s">
        <v>171</v>
      </c>
      <c r="H19490" s="5">
        <v>15882.178300</v>
      </c>
    </row>
    <row r="19491" spans="1:9">
      <c r="A19491" s="22" t="str">
        <f>HYPERLINK("https://app.vivvix.com/360/KMI/IntelliDrive/ApplUI/Pages/CreativePages/CustomReportCreativeDetail.aspx?App=23&amp;ReportView=4&amp;Qid=1711279&amp;Row=19483&amp;Col=1","No Title Assigned - #15278432949")</f>
        <v/>
      </c>
      <c r="B19491" s="0" t="s">
        <v>25800</v>
      </c>
      <c r="E19491" s="0" t="inlineStr">
        <is>
          <t xml:space="preserve">Mazda</t>
        </is>
      </c>
      <c r="F19491" s="0" t="inlineStr">
        <is>
          <t xml:space="preserve">Mazda</t>
        </is>
      </c>
      <c r="G19491" s="0" t="s">
        <v>171</v>
      </c>
      <c r="H19491" s="5">
        <v>19577.063200</v>
      </c>
    </row>
    <row r="19492" spans="1:9">
      <c r="A19492" s="22" t="str">
        <f>HYPERLINK("https://app.vivvix.com/360/KMI/IntelliDrive/ApplUI/Pages/CreativePages/CustomReportCreativeDetail.aspx?App=23&amp;ReportView=4&amp;Qid=1711279&amp;Row=19484&amp;Col=1","No Title Assigned - #15278433169")</f>
        <v/>
      </c>
      <c r="B19492" s="0" t="s">
        <v>25801</v>
      </c>
      <c r="E19492" s="0" t="inlineStr">
        <is>
          <t xml:space="preserve">Mazda</t>
        </is>
      </c>
      <c r="F19492" s="0" t="inlineStr">
        <is>
          <t xml:space="preserve">Mazda</t>
        </is>
      </c>
      <c r="G19492" s="0" t="s">
        <v>171</v>
      </c>
      <c r="H19492" s="5">
        <v>17.889000</v>
      </c>
    </row>
    <row r="19493" spans="1:9">
      <c r="A19493" s="22" t="str">
        <f>HYPERLINK("https://app.vivvix.com/360/KMI/IntelliDrive/ApplUI/Pages/CreativePages/CustomReportCreativeDetail.aspx?App=23&amp;ReportView=4&amp;Qid=1711279&amp;Row=19485&amp;Col=1","No Title Assigned - #15278433499")</f>
        <v/>
      </c>
      <c r="B19493" s="0" t="s">
        <v>25802</v>
      </c>
      <c r="E19493" s="0" t="inlineStr">
        <is>
          <t xml:space="preserve">Mazda</t>
        </is>
      </c>
      <c r="F19493" s="0" t="inlineStr">
        <is>
          <t xml:space="preserve">Mazda</t>
        </is>
      </c>
      <c r="G19493" s="0" t="s">
        <v>171</v>
      </c>
      <c r="H19493" s="5">
        <v>11.086200</v>
      </c>
    </row>
    <row r="19494" spans="1:9">
      <c r="A19494" s="22" t="str">
        <f>HYPERLINK("https://app.vivvix.com/360/KMI/IntelliDrive/ApplUI/Pages/CreativePages/CustomReportCreativeDetail.aspx?App=23&amp;ReportView=4&amp;Qid=1711279&amp;Row=19486&amp;Col=1","No Title Assigned - #15278434557")</f>
        <v/>
      </c>
      <c r="B19494" s="0" t="s">
        <v>25803</v>
      </c>
      <c r="C19494" s="0" t="s">
        <v>25804</v>
      </c>
      <c r="D19494" s="0" t="s">
        <v>25804</v>
      </c>
      <c r="E19494" s="0" t="inlineStr">
        <is>
          <t xml:space="preserve">Mazda</t>
        </is>
      </c>
      <c r="F19494" s="0" t="inlineStr">
        <is>
          <t xml:space="preserve">Mazda</t>
        </is>
      </c>
      <c r="G19494" s="0" t="s">
        <v>210</v>
      </c>
      <c r="H19494" s="5">
        <v>52.299300</v>
      </c>
    </row>
    <row r="19495" spans="1:9">
      <c r="A19495" s="22" t="str">
        <f>HYPERLINK("https://app.vivvix.com/360/KMI/IntelliDrive/ApplUI/Pages/CreativePages/CustomReportCreativeDetail.aspx?App=23&amp;ReportView=4&amp;Qid=1711279&amp;Row=19487&amp;Col=1","No Title Assigned - #15278437910")</f>
        <v/>
      </c>
      <c r="B19495" s="0" t="s">
        <v>25805</v>
      </c>
      <c r="E19495" s="0" t="inlineStr">
        <is>
          <t xml:space="preserve">Mazda</t>
        </is>
      </c>
      <c r="F19495" s="0" t="inlineStr">
        <is>
          <t xml:space="preserve">Mazda</t>
        </is>
      </c>
      <c r="G19495" s="0" t="s">
        <v>171</v>
      </c>
      <c r="H19495" s="5">
        <v>2512.091300</v>
      </c>
    </row>
    <row r="19496" spans="1:9">
      <c r="A19496" s="22" t="str">
        <f>HYPERLINK("https://app.vivvix.com/360/KMI/IntelliDrive/ApplUI/Pages/CreativePages/CustomReportCreativeDetail.aspx?App=23&amp;ReportView=4&amp;Qid=1711279&amp;Row=19488&amp;Col=1","No Title Assigned - #15278437910")</f>
        <v/>
      </c>
      <c r="B19496" s="0" t="s">
        <v>25805</v>
      </c>
      <c r="E19496" s="0" t="inlineStr">
        <is>
          <t xml:space="preserve">Mazda</t>
        </is>
      </c>
      <c r="F19496" s="0" t="inlineStr">
        <is>
          <t xml:space="preserve">Mazda</t>
        </is>
      </c>
      <c r="G19496" s="0" t="s">
        <v>171</v>
      </c>
      <c r="H19496" s="5">
        <v>257.546000</v>
      </c>
    </row>
    <row r="19497" spans="1:9">
      <c r="A19497" s="22" t="str">
        <f>HYPERLINK("https://app.vivvix.com/360/KMI/IntelliDrive/ApplUI/Pages/CreativePages/CustomReportCreativeDetail.aspx?App=23&amp;ReportView=4&amp;Qid=1711279&amp;Row=19489&amp;Col=1","No Title Assigned - #15278443931")</f>
        <v/>
      </c>
      <c r="B19497" s="0" t="s">
        <v>25806</v>
      </c>
      <c r="E19497" s="0" t="inlineStr">
        <is>
          <t xml:space="preserve">Mazda</t>
        </is>
      </c>
      <c r="F19497" s="0" t="inlineStr">
        <is>
          <t xml:space="preserve">Mazda</t>
        </is>
      </c>
      <c r="G19497" s="0" t="s">
        <v>171</v>
      </c>
      <c r="H19497" s="5">
        <v>7.109800</v>
      </c>
    </row>
    <row r="19498" spans="1:9">
      <c r="A19498" s="22" t="str">
        <f>HYPERLINK("https://app.vivvix.com/360/KMI/IntelliDrive/ApplUI/Pages/CreativePages/CustomReportCreativeDetail.aspx?App=23&amp;ReportView=4&amp;Qid=1711279&amp;Row=19490&amp;Col=1","No Title Assigned - #15278448831")</f>
        <v/>
      </c>
      <c r="B19498" s="0" t="s">
        <v>25807</v>
      </c>
      <c r="C19498" s="0" t="s">
        <v>25808</v>
      </c>
      <c r="D19498" s="0" t="s">
        <v>13614</v>
      </c>
      <c r="E19498" s="0" t="inlineStr">
        <is>
          <t xml:space="preserve">Mazda</t>
        </is>
      </c>
      <c r="F19498" s="0" t="s">
        <v>28</v>
      </c>
      <c r="G19498" s="0" t="s">
        <v>29</v>
      </c>
      <c r="H19498" s="5">
        <v>142.677600</v>
      </c>
    </row>
    <row r="19499" spans="1:9">
      <c r="A19499" s="22" t="str">
        <f>HYPERLINK("https://app.vivvix.com/360/KMI/IntelliDrive/ApplUI/Pages/CreativePages/CustomReportCreativeDetail.aspx?App=23&amp;ReportView=4&amp;Qid=1711279&amp;Row=19491&amp;Col=1","No Title Assigned - #15278449625")</f>
        <v/>
      </c>
      <c r="B19499" s="0" t="s">
        <v>25809</v>
      </c>
      <c r="C19499" s="0" t="s">
        <v>25810</v>
      </c>
      <c r="D19499" s="0" t="s">
        <v>4850</v>
      </c>
      <c r="E19499" s="0" t="inlineStr">
        <is>
          <t xml:space="preserve">Mazda</t>
        </is>
      </c>
      <c r="F19499" s="0" t="s">
        <v>28</v>
      </c>
      <c r="G19499" s="0" t="s">
        <v>29</v>
      </c>
      <c r="H19499" s="5">
        <v>126.633500</v>
      </c>
    </row>
    <row r="19500" spans="1:9">
      <c r="A19500" s="22" t="str">
        <f>HYPERLINK("https://app.vivvix.com/360/KMI/IntelliDrive/ApplUI/Pages/CreativePages/CustomReportCreativeDetail.aspx?App=23&amp;ReportView=4&amp;Qid=1711279&amp;Row=19492&amp;Col=1","No Title Assigned - #15278452944")</f>
        <v/>
      </c>
      <c r="B19500" s="0" t="s">
        <v>25811</v>
      </c>
      <c r="C19500" s="0" t="s">
        <v>25812</v>
      </c>
      <c r="D19500" s="0" t="s">
        <v>4200</v>
      </c>
      <c r="E19500" s="0" t="inlineStr">
        <is>
          <t xml:space="preserve">Mazda</t>
        </is>
      </c>
      <c r="F19500" s="0" t="s">
        <v>28</v>
      </c>
      <c r="G19500" s="0" t="s">
        <v>29</v>
      </c>
      <c r="H19500" s="5">
        <v>411.502900</v>
      </c>
    </row>
    <row r="19501" spans="1:9">
      <c r="A19501" s="22" t="str">
        <f>HYPERLINK("https://app.vivvix.com/360/KMI/IntelliDrive/ApplUI/Pages/CreativePages/CustomReportCreativeDetail.aspx?App=23&amp;ReportView=4&amp;Qid=1711279&amp;Row=19493&amp;Col=1","No Title Assigned - #15278463192")</f>
        <v/>
      </c>
      <c r="B19501" s="0" t="s">
        <v>25813</v>
      </c>
      <c r="C19501" s="0" t="s">
        <v>25814</v>
      </c>
      <c r="D19501" s="0" t="s">
        <v>25814</v>
      </c>
      <c r="E19501" s="0" t="inlineStr">
        <is>
          <t xml:space="preserve">Mazda</t>
        </is>
      </c>
      <c r="F19501" s="0" t="s">
        <v>28</v>
      </c>
      <c r="G19501" s="0" t="s">
        <v>29</v>
      </c>
      <c r="H19501" s="5">
        <v>89.553400</v>
      </c>
    </row>
    <row r="19502" spans="1:9">
      <c r="A19502" s="22" t="str">
        <f>HYPERLINK("https://app.vivvix.com/360/KMI/IntelliDrive/ApplUI/Pages/CreativePages/CustomReportCreativeDetail.aspx?App=23&amp;ReportView=4&amp;Qid=1711279&amp;Row=19494&amp;Col=1","No Title Assigned - #15278464705")</f>
        <v/>
      </c>
      <c r="B19502" s="0" t="s">
        <v>25815</v>
      </c>
      <c r="C19502" s="0" t="s">
        <v>25816</v>
      </c>
      <c r="D19502" s="0" t="s">
        <v>10004</v>
      </c>
      <c r="E19502" s="0" t="inlineStr">
        <is>
          <t xml:space="preserve">Mazda</t>
        </is>
      </c>
      <c r="F19502" s="0" t="s">
        <v>13</v>
      </c>
      <c r="G19502" s="0" t="s">
        <v>49</v>
      </c>
      <c r="H19502" s="5">
        <v>766.001300</v>
      </c>
    </row>
    <row r="19503" spans="1:9">
      <c r="A19503" s="22" t="str">
        <f>HYPERLINK("https://app.vivvix.com/360/KMI/IntelliDrive/ApplUI/Pages/CreativePages/CustomReportCreativeDetail.aspx?App=23&amp;ReportView=4&amp;Qid=1711279&amp;Row=19495&amp;Col=1","No Title Assigned - #15278465251")</f>
        <v/>
      </c>
      <c r="B19503" s="0" t="s">
        <v>25817</v>
      </c>
      <c r="C19503" s="0" t="s">
        <v>25818</v>
      </c>
      <c r="D19503" s="0" t="s">
        <v>25818</v>
      </c>
      <c r="E19503" s="0" t="inlineStr">
        <is>
          <t xml:space="preserve">Mazda</t>
        </is>
      </c>
      <c r="F19503" s="0" t="s">
        <v>28</v>
      </c>
      <c r="G19503" s="0" t="s">
        <v>29</v>
      </c>
      <c r="H19503" s="5">
        <v>29.823100</v>
      </c>
    </row>
    <row r="19504" spans="1:9">
      <c r="A19504" s="22" t="str">
        <f>HYPERLINK("https://app.vivvix.com/360/KMI/IntelliDrive/ApplUI/Pages/CreativePages/CustomReportCreativeDetail.aspx?App=23&amp;ReportView=4&amp;Qid=1711279&amp;Row=19496&amp;Col=1","No Title Assigned - #15278466114")</f>
        <v/>
      </c>
      <c r="B19504" s="0" t="s">
        <v>25819</v>
      </c>
      <c r="C19504" s="0" t="s">
        <v>25820</v>
      </c>
      <c r="D19504" s="0" t="s">
        <v>25820</v>
      </c>
      <c r="E19504" s="0" t="inlineStr">
        <is>
          <t xml:space="preserve">Mazda</t>
        </is>
      </c>
      <c r="F19504" s="0" t="s">
        <v>28</v>
      </c>
      <c r="G19504" s="0" t="s">
        <v>29</v>
      </c>
      <c r="H19504" s="5">
        <v>1099.513900</v>
      </c>
    </row>
    <row r="19505" spans="1:9">
      <c r="A19505" s="22" t="str">
        <f>HYPERLINK("https://app.vivvix.com/360/KMI/IntelliDrive/ApplUI/Pages/CreativePages/CustomReportCreativeDetail.aspx?App=23&amp;ReportView=4&amp;Qid=1711279&amp;Row=19497&amp;Col=1","No Title Assigned - #15278468061")</f>
        <v/>
      </c>
      <c r="B19505" s="0" t="s">
        <v>25821</v>
      </c>
      <c r="C19505" s="0" t="s">
        <v>25822</v>
      </c>
      <c r="D19505" s="0" t="s">
        <v>4200</v>
      </c>
      <c r="E19505" s="0" t="inlineStr">
        <is>
          <t xml:space="preserve">Mazda</t>
        </is>
      </c>
      <c r="F19505" s="0" t="s">
        <v>28</v>
      </c>
      <c r="G19505" s="0" t="s">
        <v>29</v>
      </c>
      <c r="H19505" s="5">
        <v>14.525300</v>
      </c>
    </row>
    <row r="19506" spans="1:9">
      <c r="A19506" s="22" t="str">
        <f>HYPERLINK("https://app.vivvix.com/360/KMI/IntelliDrive/ApplUI/Pages/CreativePages/CustomReportCreativeDetail.aspx?App=23&amp;ReportView=4&amp;Qid=1711279&amp;Row=19498&amp;Col=1","No Title Assigned - #15278474559")</f>
        <v/>
      </c>
      <c r="B19506" s="0" t="s">
        <v>25823</v>
      </c>
      <c r="C19506" s="0" t="s">
        <v>25824</v>
      </c>
      <c r="D19506" s="0" t="s">
        <v>25824</v>
      </c>
      <c r="E19506" s="0" t="inlineStr">
        <is>
          <t xml:space="preserve">Mazda</t>
        </is>
      </c>
      <c r="F19506" s="0" t="s">
        <v>28</v>
      </c>
      <c r="G19506" s="0" t="s">
        <v>29</v>
      </c>
      <c r="H19506" s="5">
        <v>11138.393600</v>
      </c>
    </row>
    <row r="19507" spans="1:9">
      <c r="A19507" s="22" t="str">
        <f>HYPERLINK("https://app.vivvix.com/360/KMI/IntelliDrive/ApplUI/Pages/CreativePages/CustomReportCreativeDetail.aspx?App=23&amp;ReportView=4&amp;Qid=1711279&amp;Row=19499&amp;Col=1","No Title Assigned - #15278479863")</f>
        <v/>
      </c>
      <c r="B19507" s="0" t="s">
        <v>25825</v>
      </c>
      <c r="C19507" s="0" t="s">
        <v>25826</v>
      </c>
      <c r="D19507" s="0" t="s">
        <v>4200</v>
      </c>
      <c r="E19507" s="0" t="inlineStr">
        <is>
          <t xml:space="preserve">Mazda</t>
        </is>
      </c>
      <c r="F19507" s="0" t="s">
        <v>28</v>
      </c>
      <c r="G19507" s="0" t="s">
        <v>29</v>
      </c>
      <c r="H19507" s="5">
        <v>3.692100</v>
      </c>
    </row>
    <row r="19508" spans="1:9">
      <c r="A19508" s="22" t="str">
        <f>HYPERLINK("https://app.vivvix.com/360/KMI/IntelliDrive/ApplUI/Pages/CreativePages/CustomReportCreativeDetail.aspx?App=23&amp;ReportView=4&amp;Qid=1711279&amp;Row=19500&amp;Col=1","No Title Assigned - #15278479934")</f>
        <v/>
      </c>
      <c r="B19508" s="0" t="s">
        <v>25827</v>
      </c>
      <c r="C19508" s="0" t="s">
        <v>25828</v>
      </c>
      <c r="D19508" s="0" t="s">
        <v>25828</v>
      </c>
      <c r="E19508" s="0" t="inlineStr">
        <is>
          <t xml:space="preserve">Mazda</t>
        </is>
      </c>
      <c r="F19508" s="0" t="s">
        <v>28</v>
      </c>
      <c r="G19508" s="0" t="s">
        <v>29</v>
      </c>
      <c r="H19508" s="5">
        <v>11.927500</v>
      </c>
    </row>
    <row r="19509" spans="1:9">
      <c r="A19509" s="22" t="str">
        <f>HYPERLINK("https://app.vivvix.com/360/KMI/IntelliDrive/ApplUI/Pages/CreativePages/CustomReportCreativeDetail.aspx?App=23&amp;ReportView=4&amp;Qid=1711279&amp;Row=19501&amp;Col=1","No Title Assigned - #15278480836")</f>
        <v/>
      </c>
      <c r="B19509" s="0" t="s">
        <v>25829</v>
      </c>
      <c r="E19509" s="0" t="inlineStr">
        <is>
          <t xml:space="preserve">Mazda</t>
        </is>
      </c>
      <c r="F19509" s="0" t="s">
        <v>28</v>
      </c>
      <c r="G19509" s="0" t="s">
        <v>29</v>
      </c>
      <c r="H19509" s="5">
        <v>70.030600</v>
      </c>
    </row>
    <row r="19510" spans="1:9">
      <c r="A19510" s="22" t="str">
        <f>HYPERLINK("https://app.vivvix.com/360/KMI/IntelliDrive/ApplUI/Pages/CreativePages/CustomReportCreativeDetail.aspx?App=23&amp;ReportView=4&amp;Qid=1711279&amp;Row=19502&amp;Col=1","No Title Assigned - #15278480838")</f>
        <v/>
      </c>
      <c r="B19510" s="0" t="s">
        <v>25830</v>
      </c>
      <c r="C19510" s="0" t="s">
        <v>25831</v>
      </c>
      <c r="D19510" s="0" t="s">
        <v>7497</v>
      </c>
      <c r="E19510" s="0" t="inlineStr">
        <is>
          <t xml:space="preserve">Mazda</t>
        </is>
      </c>
      <c r="F19510" s="0" t="s">
        <v>28</v>
      </c>
      <c r="G19510" s="0" t="s">
        <v>29</v>
      </c>
      <c r="H19510" s="5">
        <v>70.030600</v>
      </c>
    </row>
    <row r="19511" spans="1:9">
      <c r="A19511" s="22" t="str">
        <f>HYPERLINK("https://app.vivvix.com/360/KMI/IntelliDrive/ApplUI/Pages/CreativePages/CustomReportCreativeDetail.aspx?App=23&amp;ReportView=4&amp;Qid=1711279&amp;Row=19503&amp;Col=1","No Title Assigned - #15278488577")</f>
        <v/>
      </c>
      <c r="B19511" s="0" t="s">
        <v>25832</v>
      </c>
      <c r="C19511" s="0" t="s">
        <v>25833</v>
      </c>
      <c r="D19511" s="0" t="s">
        <v>25833</v>
      </c>
      <c r="E19511" s="0" t="inlineStr">
        <is>
          <t xml:space="preserve">Mazda</t>
        </is>
      </c>
      <c r="F19511" s="0" t="inlineStr">
        <is>
          <t xml:space="preserve">Mazda</t>
        </is>
      </c>
      <c r="G19511" s="0" t="s">
        <v>171</v>
      </c>
      <c r="H19511" s="5">
        <v>307.441800</v>
      </c>
    </row>
    <row r="19512" spans="1:9">
      <c r="A19512" s="22" t="str">
        <f>HYPERLINK("https://app.vivvix.com/360/KMI/IntelliDrive/ApplUI/Pages/CreativePages/CustomReportCreativeDetail.aspx?App=23&amp;ReportView=4&amp;Qid=1711279&amp;Row=19504&amp;Col=1","No Title Assigned - #15278488577")</f>
        <v/>
      </c>
      <c r="B19512" s="0" t="s">
        <v>25832</v>
      </c>
      <c r="E19512" s="0" t="inlineStr">
        <is>
          <t xml:space="preserve">Mazda</t>
        </is>
      </c>
      <c r="F19512" s="0" t="inlineStr">
        <is>
          <t xml:space="preserve">Mazda</t>
        </is>
      </c>
      <c r="G19512" s="0" t="s">
        <v>171</v>
      </c>
      <c r="H19512" s="5">
        <v>83.080100</v>
      </c>
    </row>
    <row r="19513" spans="1:9">
      <c r="A19513" s="22" t="str">
        <f>HYPERLINK("https://app.vivvix.com/360/KMI/IntelliDrive/ApplUI/Pages/CreativePages/CustomReportCreativeDetail.aspx?App=23&amp;ReportView=4&amp;Qid=1711279&amp;Row=19505&amp;Col=1","No Title Assigned - #15278488875")</f>
        <v/>
      </c>
      <c r="B19513" s="0" t="s">
        <v>25834</v>
      </c>
      <c r="E19513" s="0" t="inlineStr">
        <is>
          <t xml:space="preserve">Mazda</t>
        </is>
      </c>
      <c r="F19513" s="0" t="inlineStr">
        <is>
          <t xml:space="preserve">Mazda</t>
        </is>
      </c>
      <c r="G19513" s="0" t="s">
        <v>171</v>
      </c>
      <c r="H19513" s="5">
        <v>1.216000</v>
      </c>
    </row>
    <row r="19514" spans="1:9">
      <c r="A19514" s="22" t="str">
        <f>HYPERLINK("https://app.vivvix.com/360/KMI/IntelliDrive/ApplUI/Pages/CreativePages/CustomReportCreativeDetail.aspx?App=23&amp;ReportView=4&amp;Qid=1711279&amp;Row=19506&amp;Col=1","No Title Assigned - #15278490872")</f>
        <v/>
      </c>
      <c r="B19514" s="0" t="s">
        <v>25835</v>
      </c>
      <c r="E19514" s="0" t="inlineStr">
        <is>
          <t xml:space="preserve">Mazda</t>
        </is>
      </c>
      <c r="F19514" s="0" t="inlineStr">
        <is>
          <t xml:space="preserve">Mazda</t>
        </is>
      </c>
      <c r="G19514" s="0" t="s">
        <v>171</v>
      </c>
      <c r="H19514" s="5">
        <v>2.724300</v>
      </c>
    </row>
    <row r="19515" spans="1:9">
      <c r="A19515" s="22" t="str">
        <f>HYPERLINK("https://app.vivvix.com/360/KMI/IntelliDrive/ApplUI/Pages/CreativePages/CustomReportCreativeDetail.aspx?App=23&amp;ReportView=4&amp;Qid=1711279&amp;Row=19507&amp;Col=1","No Title Assigned - #15278490967")</f>
        <v/>
      </c>
      <c r="B19515" s="0" t="s">
        <v>25836</v>
      </c>
      <c r="E19515" s="0" t="inlineStr">
        <is>
          <t xml:space="preserve">Mazda</t>
        </is>
      </c>
      <c r="F19515" s="0" t="inlineStr">
        <is>
          <t xml:space="preserve">Mazda</t>
        </is>
      </c>
      <c r="G19515" s="0" t="s">
        <v>171</v>
      </c>
      <c r="H19515" s="5">
        <v>1.216000</v>
      </c>
    </row>
    <row r="19516" spans="1:9">
      <c r="A19516" s="22" t="str">
        <f>HYPERLINK("https://app.vivvix.com/360/KMI/IntelliDrive/ApplUI/Pages/CreativePages/CustomReportCreativeDetail.aspx?App=23&amp;ReportView=4&amp;Qid=1711279&amp;Row=19508&amp;Col=1","No Title Assigned - #15278491149")</f>
        <v/>
      </c>
      <c r="B19516" s="0" t="s">
        <v>25837</v>
      </c>
      <c r="E19516" s="0" t="inlineStr">
        <is>
          <t xml:space="preserve">Mazda</t>
        </is>
      </c>
      <c r="F19516" s="0" t="inlineStr">
        <is>
          <t xml:space="preserve">Mazda</t>
        </is>
      </c>
      <c r="G19516" s="0" t="s">
        <v>171</v>
      </c>
      <c r="H19516" s="5">
        <v>15.884700</v>
      </c>
    </row>
    <row r="19517" spans="1:9">
      <c r="A19517" s="22" t="str">
        <f>HYPERLINK("https://app.vivvix.com/360/KMI/IntelliDrive/ApplUI/Pages/CreativePages/CustomReportCreativeDetail.aspx?App=23&amp;ReportView=4&amp;Qid=1711279&amp;Row=19509&amp;Col=1","No Title Assigned - #15278491149")</f>
        <v/>
      </c>
      <c r="B19517" s="0" t="s">
        <v>25837</v>
      </c>
      <c r="E19517" s="0" t="inlineStr">
        <is>
          <t xml:space="preserve">Mazda</t>
        </is>
      </c>
      <c r="F19517" s="0" t="inlineStr">
        <is>
          <t xml:space="preserve">Mazda</t>
        </is>
      </c>
      <c r="G19517" s="0" t="s">
        <v>171</v>
      </c>
      <c r="H19517" s="5">
        <v>872.979000</v>
      </c>
    </row>
    <row r="19518" spans="1:9">
      <c r="A19518" s="22" t="str">
        <f>HYPERLINK("https://app.vivvix.com/360/KMI/IntelliDrive/ApplUI/Pages/CreativePages/CustomReportCreativeDetail.aspx?App=23&amp;ReportView=4&amp;Qid=1711279&amp;Row=19510&amp;Col=1","No Title Assigned - #15278491683")</f>
        <v/>
      </c>
      <c r="B19518" s="0" t="s">
        <v>25838</v>
      </c>
      <c r="E19518" s="0" t="inlineStr">
        <is>
          <t xml:space="preserve">Mazda</t>
        </is>
      </c>
      <c r="F19518" s="0" t="inlineStr">
        <is>
          <t xml:space="preserve">Mazda</t>
        </is>
      </c>
      <c r="G19518" s="0" t="s">
        <v>171</v>
      </c>
      <c r="H19518" s="5">
        <v>1054.272300</v>
      </c>
    </row>
    <row r="19519" spans="1:9">
      <c r="A19519" s="22" t="str">
        <f>HYPERLINK("https://app.vivvix.com/360/KMI/IntelliDrive/ApplUI/Pages/CreativePages/CustomReportCreativeDetail.aspx?App=23&amp;ReportView=4&amp;Qid=1711279&amp;Row=19511&amp;Col=1","No Title Assigned - #15278493320")</f>
        <v/>
      </c>
      <c r="B19519" s="0" t="s">
        <v>25839</v>
      </c>
      <c r="E19519" s="0" t="inlineStr">
        <is>
          <t xml:space="preserve">Mazda</t>
        </is>
      </c>
      <c r="F19519" s="0" t="inlineStr">
        <is>
          <t xml:space="preserve">Mazda</t>
        </is>
      </c>
      <c r="G19519" s="0" t="s">
        <v>171</v>
      </c>
      <c r="H19519" s="5">
        <v>9.677400</v>
      </c>
    </row>
    <row r="19520" spans="1:9">
      <c r="A19520" s="22" t="str">
        <f>HYPERLINK("https://app.vivvix.com/360/KMI/IntelliDrive/ApplUI/Pages/CreativePages/CustomReportCreativeDetail.aspx?App=23&amp;ReportView=4&amp;Qid=1711279&amp;Row=19512&amp;Col=1","No Title Assigned - #15278498729")</f>
        <v/>
      </c>
      <c r="B19520" s="0" t="s">
        <v>25840</v>
      </c>
      <c r="E19520" s="0" t="inlineStr">
        <is>
          <t xml:space="preserve">Mazda</t>
        </is>
      </c>
      <c r="F19520" s="0" t="inlineStr">
        <is>
          <t xml:space="preserve">Mazda</t>
        </is>
      </c>
      <c r="G19520" s="0" t="s">
        <v>171</v>
      </c>
      <c r="H19520" s="5">
        <v>1049.430100</v>
      </c>
    </row>
    <row r="19521" spans="1:9">
      <c r="A19521" s="22" t="str">
        <f>HYPERLINK("https://app.vivvix.com/360/KMI/IntelliDrive/ApplUI/Pages/CreativePages/CustomReportCreativeDetail.aspx?App=23&amp;ReportView=4&amp;Qid=1711279&amp;Row=19513&amp;Col=1","No Title Assigned - #15278499891")</f>
        <v/>
      </c>
      <c r="B19521" s="0" t="s">
        <v>25841</v>
      </c>
      <c r="E19521" s="0" t="inlineStr">
        <is>
          <t xml:space="preserve">Mazda</t>
        </is>
      </c>
      <c r="F19521" s="0" t="inlineStr">
        <is>
          <t xml:space="preserve">Mazda</t>
        </is>
      </c>
      <c r="G19521" s="0" t="s">
        <v>171</v>
      </c>
      <c r="H19521" s="5">
        <v>287.208200</v>
      </c>
    </row>
    <row r="19522" spans="1:9">
      <c r="A19522" s="22" t="str">
        <f>HYPERLINK("https://app.vivvix.com/360/KMI/IntelliDrive/ApplUI/Pages/CreativePages/CustomReportCreativeDetail.aspx?App=23&amp;ReportView=4&amp;Qid=1711279&amp;Row=19514&amp;Col=1","No Title Assigned - #15278499892")</f>
        <v/>
      </c>
      <c r="B19522" s="0" t="s">
        <v>25842</v>
      </c>
      <c r="E19522" s="0" t="inlineStr">
        <is>
          <t xml:space="preserve">Mazda</t>
        </is>
      </c>
      <c r="F19522" s="0" t="inlineStr">
        <is>
          <t xml:space="preserve">Mazda</t>
        </is>
      </c>
      <c r="G19522" s="0" t="s">
        <v>171</v>
      </c>
      <c r="H19522" s="5">
        <v>143.604100</v>
      </c>
    </row>
    <row r="19523" spans="1:9">
      <c r="A19523" s="22" t="str">
        <f>HYPERLINK("https://app.vivvix.com/360/KMI/IntelliDrive/ApplUI/Pages/CreativePages/CustomReportCreativeDetail.aspx?App=23&amp;ReportView=4&amp;Qid=1711279&amp;Row=19515&amp;Col=1","No Title Assigned - #15278500146")</f>
        <v/>
      </c>
      <c r="B19523" s="0" t="s">
        <v>25843</v>
      </c>
      <c r="E19523" s="0" t="inlineStr">
        <is>
          <t xml:space="preserve">Mazda</t>
        </is>
      </c>
      <c r="F19523" s="0" t="inlineStr">
        <is>
          <t xml:space="preserve">Mazda</t>
        </is>
      </c>
      <c r="G19523" s="0" t="s">
        <v>171</v>
      </c>
      <c r="H19523" s="5">
        <v>15.337400</v>
      </c>
    </row>
    <row r="19524" spans="1:9">
      <c r="A19524" s="22" t="str">
        <f>HYPERLINK("https://app.vivvix.com/360/KMI/IntelliDrive/ApplUI/Pages/CreativePages/CustomReportCreativeDetail.aspx?App=23&amp;ReportView=4&amp;Qid=1711279&amp;Row=19516&amp;Col=1","No Title Assigned - #15278515667")</f>
        <v/>
      </c>
      <c r="B19524" s="0" t="s">
        <v>25844</v>
      </c>
      <c r="C19524" s="0" t="s">
        <v>25845</v>
      </c>
      <c r="D19524" s="0" t="s">
        <v>25845</v>
      </c>
      <c r="E19524" s="0" t="inlineStr">
        <is>
          <t xml:space="preserve">Mazda</t>
        </is>
      </c>
      <c r="F19524" s="0" t="s">
        <v>28</v>
      </c>
      <c r="G19524" s="0" t="s">
        <v>29</v>
      </c>
      <c r="H19524" s="5">
        <v>93.848400</v>
      </c>
    </row>
    <row r="19525" spans="1:9">
      <c r="A19525" s="22" t="str">
        <f>HYPERLINK("https://app.vivvix.com/360/KMI/IntelliDrive/ApplUI/Pages/CreativePages/CustomReportCreativeDetail.aspx?App=23&amp;ReportView=4&amp;Qid=1711279&amp;Row=19517&amp;Col=1","No Title Assigned - #15278519848")</f>
        <v/>
      </c>
      <c r="B19525" s="0" t="s">
        <v>25846</v>
      </c>
      <c r="C19525" s="0" t="s">
        <v>25847</v>
      </c>
      <c r="D19525" s="0" t="s">
        <v>4200</v>
      </c>
      <c r="E19525" s="0" t="inlineStr">
        <is>
          <t xml:space="preserve">Mazda</t>
        </is>
      </c>
      <c r="F19525" s="0" t="s">
        <v>28</v>
      </c>
      <c r="G19525" s="0" t="s">
        <v>29</v>
      </c>
      <c r="H19525" s="5">
        <v>1533.223200</v>
      </c>
    </row>
    <row r="19526" spans="1:9">
      <c r="A19526" s="22" t="str">
        <f>HYPERLINK("https://app.vivvix.com/360/KMI/IntelliDrive/ApplUI/Pages/CreativePages/CustomReportCreativeDetail.aspx?App=23&amp;ReportView=4&amp;Qid=1711279&amp;Row=19518&amp;Col=1","No Title Assigned - #15278528054")</f>
        <v/>
      </c>
      <c r="B19526" s="0" t="s">
        <v>25848</v>
      </c>
      <c r="C19526" s="0" t="s">
        <v>25849</v>
      </c>
      <c r="D19526" s="0" t="s">
        <v>25849</v>
      </c>
      <c r="E19526" s="0" t="inlineStr">
        <is>
          <t xml:space="preserve">Mazda</t>
        </is>
      </c>
      <c r="F19526" s="0" t="s">
        <v>28</v>
      </c>
      <c r="G19526" s="0" t="s">
        <v>29</v>
      </c>
      <c r="H19526" s="5">
        <v>250.346000</v>
      </c>
    </row>
    <row r="19527" spans="1:9">
      <c r="A19527" s="22" t="str">
        <f>HYPERLINK("https://app.vivvix.com/360/KMI/IntelliDrive/ApplUI/Pages/CreativePages/CustomReportCreativeDetail.aspx?App=23&amp;ReportView=4&amp;Qid=1711279&amp;Row=19519&amp;Col=1","No Title Assigned - #15278528481")</f>
        <v/>
      </c>
      <c r="B19527" s="0" t="s">
        <v>25850</v>
      </c>
      <c r="E19527" s="0" t="inlineStr">
        <is>
          <t xml:space="preserve">Mazda</t>
        </is>
      </c>
      <c r="F19527" s="0" t="s">
        <v>204</v>
      </c>
      <c r="G19527" s="0" t="s">
        <v>205</v>
      </c>
      <c r="H19527" s="5">
        <v>1024.290500</v>
      </c>
    </row>
    <row r="19528" spans="1:9">
      <c r="A19528" s="22" t="str">
        <f>HYPERLINK("https://app.vivvix.com/360/KMI/IntelliDrive/ApplUI/Pages/CreativePages/CustomReportCreativeDetail.aspx?App=23&amp;ReportView=4&amp;Qid=1711279&amp;Row=19520&amp;Col=1","No Title Assigned - #15278530259")</f>
        <v/>
      </c>
      <c r="B19528" s="0" t="s">
        <v>25851</v>
      </c>
      <c r="C19528" s="0" t="s">
        <v>25852</v>
      </c>
      <c r="D19528" s="0" t="s">
        <v>4850</v>
      </c>
      <c r="E19528" s="0" t="inlineStr">
        <is>
          <t xml:space="preserve">Mazda</t>
        </is>
      </c>
      <c r="F19528" s="0" t="s">
        <v>28</v>
      </c>
      <c r="G19528" s="0" t="s">
        <v>29</v>
      </c>
      <c r="H19528" s="5">
        <v>98.887900</v>
      </c>
    </row>
    <row r="19529" spans="1:9">
      <c r="A19529" s="22" t="str">
        <f>HYPERLINK("https://app.vivvix.com/360/KMI/IntelliDrive/ApplUI/Pages/CreativePages/CustomReportCreativeDetail.aspx?App=23&amp;ReportView=4&amp;Qid=1711279&amp;Row=19521&amp;Col=1","No Title Assigned - #15278530412")</f>
        <v/>
      </c>
      <c r="B19529" s="0" t="s">
        <v>25853</v>
      </c>
      <c r="C19529" s="0" t="s">
        <v>25854</v>
      </c>
      <c r="D19529" s="0" t="s">
        <v>6703</v>
      </c>
      <c r="E19529" s="0" t="inlineStr">
        <is>
          <t xml:space="preserve">Mazda</t>
        </is>
      </c>
      <c r="F19529" s="0" t="s">
        <v>28</v>
      </c>
      <c r="G19529" s="0" t="s">
        <v>29</v>
      </c>
      <c r="H19529" s="5">
        <v>2740.089000</v>
      </c>
    </row>
    <row r="19530" spans="1:9">
      <c r="A19530" s="22" t="str">
        <f>HYPERLINK("https://app.vivvix.com/360/KMI/IntelliDrive/ApplUI/Pages/CreativePages/CustomReportCreativeDetail.aspx?App=23&amp;ReportView=4&amp;Qid=1711279&amp;Row=19522&amp;Col=1","No Title Assigned - #15278530412")</f>
        <v/>
      </c>
      <c r="B19530" s="0" t="s">
        <v>25853</v>
      </c>
      <c r="E19530" s="0" t="inlineStr">
        <is>
          <t xml:space="preserve">Mazda</t>
        </is>
      </c>
      <c r="F19530" s="0" t="s">
        <v>28</v>
      </c>
      <c r="G19530" s="0" t="s">
        <v>29</v>
      </c>
      <c r="H19530" s="5">
        <v>409.641500</v>
      </c>
    </row>
    <row r="19531" spans="1:9">
      <c r="A19531" s="22" t="str">
        <f>HYPERLINK("https://app.vivvix.com/360/KMI/IntelliDrive/ApplUI/Pages/CreativePages/CustomReportCreativeDetail.aspx?App=23&amp;ReportView=4&amp;Qid=1711279&amp;Row=19523&amp;Col=1","No Title Assigned - #15278531350")</f>
        <v/>
      </c>
      <c r="B19531" s="0" t="s">
        <v>25855</v>
      </c>
      <c r="C19531" s="0" t="s">
        <v>25856</v>
      </c>
      <c r="D19531" s="0" t="s">
        <v>25856</v>
      </c>
      <c r="E19531" s="0" t="inlineStr">
        <is>
          <t xml:space="preserve">Mazda</t>
        </is>
      </c>
      <c r="F19531" s="0" t="s">
        <v>13</v>
      </c>
      <c r="G19531" s="0" t="s">
        <v>49</v>
      </c>
      <c r="H19531" s="5">
        <v>2690.666000</v>
      </c>
    </row>
    <row r="19532" spans="1:9">
      <c r="A19532" s="22" t="str">
        <f>HYPERLINK("https://app.vivvix.com/360/KMI/IntelliDrive/ApplUI/Pages/CreativePages/CustomReportCreativeDetail.aspx?App=23&amp;ReportView=4&amp;Qid=1711279&amp;Row=19524&amp;Col=1","No Title Assigned - #15278531357")</f>
        <v/>
      </c>
      <c r="B19532" s="0" t="s">
        <v>25857</v>
      </c>
      <c r="E19532" s="0" t="inlineStr">
        <is>
          <t xml:space="preserve">Mazda</t>
        </is>
      </c>
      <c r="F19532" s="0" t="inlineStr">
        <is>
          <t xml:space="preserve">Mazda</t>
        </is>
      </c>
      <c r="G19532" s="0" t="s">
        <v>210</v>
      </c>
      <c r="H19532" s="5">
        <v>3740.194400</v>
      </c>
    </row>
    <row r="19533" spans="1:9">
      <c r="A19533" s="22" t="str">
        <f>HYPERLINK("https://app.vivvix.com/360/KMI/IntelliDrive/ApplUI/Pages/CreativePages/CustomReportCreativeDetail.aspx?App=23&amp;ReportView=4&amp;Qid=1711279&amp;Row=19525&amp;Col=1","No Title Assigned - #15278531409")</f>
        <v/>
      </c>
      <c r="B19533" s="0" t="s">
        <v>25858</v>
      </c>
      <c r="C19533" s="0" t="s">
        <v>25684</v>
      </c>
      <c r="D19533" s="0" t="s">
        <v>25684</v>
      </c>
      <c r="E19533" s="0" t="inlineStr">
        <is>
          <t xml:space="preserve">Mazda</t>
        </is>
      </c>
      <c r="F19533" s="0" t="s">
        <v>28</v>
      </c>
      <c r="G19533" s="0" t="s">
        <v>29</v>
      </c>
      <c r="H19533" s="5">
        <v>1993.387200</v>
      </c>
    </row>
    <row r="19534" spans="1:9">
      <c r="A19534" s="22" t="str">
        <f>HYPERLINK("https://app.vivvix.com/360/KMI/IntelliDrive/ApplUI/Pages/CreativePages/CustomReportCreativeDetail.aspx?App=23&amp;ReportView=4&amp;Qid=1711279&amp;Row=19526&amp;Col=1","No Title Assigned - #15278531823")</f>
        <v/>
      </c>
      <c r="B19534" s="0" t="s">
        <v>25859</v>
      </c>
      <c r="C19534" s="0" t="s">
        <v>25860</v>
      </c>
      <c r="D19534" s="0" t="s">
        <v>25860</v>
      </c>
      <c r="E19534" s="0" t="inlineStr">
        <is>
          <t xml:space="preserve">Mazda</t>
        </is>
      </c>
      <c r="F19534" s="0" t="s">
        <v>28</v>
      </c>
      <c r="G19534" s="0" t="s">
        <v>29</v>
      </c>
      <c r="H19534" s="5">
        <v>3234.844300</v>
      </c>
    </row>
    <row r="19535" spans="1:9">
      <c r="A19535" s="22" t="str">
        <f>HYPERLINK("https://app.vivvix.com/360/KMI/IntelliDrive/ApplUI/Pages/CreativePages/CustomReportCreativeDetail.aspx?App=23&amp;ReportView=4&amp;Qid=1711279&amp;Row=19527&amp;Col=1","No Title Assigned - #15278532404")</f>
        <v/>
      </c>
      <c r="B19535" s="0" t="s">
        <v>25861</v>
      </c>
      <c r="C19535" s="0" t="s">
        <v>25862</v>
      </c>
      <c r="D19535" s="0" t="s">
        <v>25862</v>
      </c>
      <c r="E19535" s="0" t="inlineStr">
        <is>
          <t xml:space="preserve">Mazda</t>
        </is>
      </c>
      <c r="F19535" s="0" t="s">
        <v>28</v>
      </c>
      <c r="G19535" s="0" t="s">
        <v>29</v>
      </c>
      <c r="H19535" s="5">
        <v>2159.244900</v>
      </c>
    </row>
    <row r="19536" spans="1:9">
      <c r="A19536" s="22" t="str">
        <f>HYPERLINK("https://app.vivvix.com/360/KMI/IntelliDrive/ApplUI/Pages/CreativePages/CustomReportCreativeDetail.aspx?App=23&amp;ReportView=4&amp;Qid=1711279&amp;Row=19528&amp;Col=1","No Title Assigned - #15278532972")</f>
        <v/>
      </c>
      <c r="B19536" s="0" t="s">
        <v>25863</v>
      </c>
      <c r="C19536" s="0" t="s">
        <v>25864</v>
      </c>
      <c r="D19536" s="0" t="s">
        <v>4200</v>
      </c>
      <c r="E19536" s="0" t="inlineStr">
        <is>
          <t xml:space="preserve">Mazda</t>
        </is>
      </c>
      <c r="F19536" s="0" t="s">
        <v>28</v>
      </c>
      <c r="G19536" s="0" t="s">
        <v>29</v>
      </c>
      <c r="H19536" s="5">
        <v>743.346800</v>
      </c>
    </row>
    <row r="19537" spans="1:9">
      <c r="A19537" s="22" t="str">
        <f>HYPERLINK("https://app.vivvix.com/360/KMI/IntelliDrive/ApplUI/Pages/CreativePages/CustomReportCreativeDetail.aspx?App=23&amp;ReportView=4&amp;Qid=1711279&amp;Row=19529&amp;Col=1","No Title Assigned - #15278536828")</f>
        <v/>
      </c>
      <c r="B19537" s="0" t="s">
        <v>25865</v>
      </c>
      <c r="C19537" s="0" t="s">
        <v>25866</v>
      </c>
      <c r="D19537" s="0" t="s">
        <v>17856</v>
      </c>
      <c r="E19537" s="0" t="inlineStr">
        <is>
          <t xml:space="preserve">Mazda</t>
        </is>
      </c>
      <c r="F19537" s="0" t="s">
        <v>13</v>
      </c>
      <c r="G19537" s="0" t="s">
        <v>49</v>
      </c>
      <c r="H19537" s="5">
        <v>11.524400</v>
      </c>
    </row>
    <row r="19538" spans="1:9">
      <c r="A19538" s="22" t="str">
        <f>HYPERLINK("https://app.vivvix.com/360/KMI/IntelliDrive/ApplUI/Pages/CreativePages/CustomReportCreativeDetail.aspx?App=23&amp;ReportView=4&amp;Qid=1711279&amp;Row=19530&amp;Col=1","No Title Assigned - #15278538208")</f>
        <v/>
      </c>
      <c r="B19538" s="0" t="s">
        <v>25867</v>
      </c>
      <c r="C19538" s="0" t="s">
        <v>25868</v>
      </c>
      <c r="D19538" s="0" t="s">
        <v>25868</v>
      </c>
      <c r="E19538" s="0" t="inlineStr">
        <is>
          <t xml:space="preserve">Mazda</t>
        </is>
      </c>
      <c r="F19538" s="0" t="s">
        <v>28</v>
      </c>
      <c r="G19538" s="0" t="s">
        <v>29</v>
      </c>
      <c r="H19538" s="5">
        <v>153.002100</v>
      </c>
    </row>
    <row r="19539" spans="1:9">
      <c r="A19539" s="22" t="str">
        <f>HYPERLINK("https://app.vivvix.com/360/KMI/IntelliDrive/ApplUI/Pages/CreativePages/CustomReportCreativeDetail.aspx?App=23&amp;ReportView=4&amp;Qid=1711279&amp;Row=19531&amp;Col=1","No Title Assigned - #15278540321")</f>
        <v/>
      </c>
      <c r="B19539" s="0" t="s">
        <v>25869</v>
      </c>
      <c r="C19539" s="0" t="s">
        <v>25870</v>
      </c>
      <c r="D19539" s="0" t="s">
        <v>15924</v>
      </c>
      <c r="E19539" s="0" t="inlineStr">
        <is>
          <t xml:space="preserve">Mazda</t>
        </is>
      </c>
      <c r="F19539" s="0" t="s">
        <v>28</v>
      </c>
      <c r="G19539" s="0" t="s">
        <v>29</v>
      </c>
      <c r="H19539" s="5">
        <v>476.294700</v>
      </c>
    </row>
    <row r="19540" spans="1:9">
      <c r="A19540" s="22" t="str">
        <f>HYPERLINK("https://app.vivvix.com/360/KMI/IntelliDrive/ApplUI/Pages/CreativePages/CustomReportCreativeDetail.aspx?App=23&amp;ReportView=4&amp;Qid=1711279&amp;Row=19532&amp;Col=1","No Title Assigned - #15278541673")</f>
        <v/>
      </c>
      <c r="B19540" s="0" t="s">
        <v>25871</v>
      </c>
      <c r="C19540" s="0" t="s">
        <v>25872</v>
      </c>
      <c r="D19540" s="0" t="s">
        <v>25872</v>
      </c>
      <c r="E19540" s="0" t="inlineStr">
        <is>
          <t xml:space="preserve">Mazda</t>
        </is>
      </c>
      <c r="F19540" s="0" t="s">
        <v>28</v>
      </c>
      <c r="G19540" s="0" t="s">
        <v>29</v>
      </c>
      <c r="H19540" s="5">
        <v>267.444000</v>
      </c>
    </row>
    <row r="19541" spans="1:9">
      <c r="A19541" s="22" t="str">
        <f>HYPERLINK("https://app.vivvix.com/360/KMI/IntelliDrive/ApplUI/Pages/CreativePages/CustomReportCreativeDetail.aspx?App=23&amp;ReportView=4&amp;Qid=1711279&amp;Row=19533&amp;Col=1","No Title Assigned - #15278542345")</f>
        <v/>
      </c>
      <c r="B19541" s="0" t="s">
        <v>25873</v>
      </c>
      <c r="C19541" s="0" t="s">
        <v>25874</v>
      </c>
      <c r="D19541" s="0" t="s">
        <v>25874</v>
      </c>
      <c r="E19541" s="0" t="inlineStr">
        <is>
          <t xml:space="preserve">Mazda</t>
        </is>
      </c>
      <c r="F19541" s="0" t="s">
        <v>13</v>
      </c>
      <c r="G19541" s="0" t="s">
        <v>49</v>
      </c>
      <c r="H19541" s="5">
        <v>417.361500</v>
      </c>
    </row>
    <row r="19542" spans="1:9">
      <c r="A19542" s="22" t="str">
        <f>HYPERLINK("https://app.vivvix.com/360/KMI/IntelliDrive/ApplUI/Pages/CreativePages/CustomReportCreativeDetail.aspx?App=23&amp;ReportView=4&amp;Qid=1711279&amp;Row=19534&amp;Col=1","No Title Assigned - #15278542590")</f>
        <v/>
      </c>
      <c r="B19542" s="0" t="s">
        <v>25875</v>
      </c>
      <c r="E19542" s="0" t="inlineStr">
        <is>
          <t xml:space="preserve">Mazda</t>
        </is>
      </c>
      <c r="F19542" s="0" t="s">
        <v>28</v>
      </c>
      <c r="G19542" s="0" t="s">
        <v>29</v>
      </c>
      <c r="H19542" s="5">
        <v>751.675900</v>
      </c>
    </row>
    <row r="19543" spans="1:9">
      <c r="A19543" s="22" t="str">
        <f>HYPERLINK("https://app.vivvix.com/360/KMI/IntelliDrive/ApplUI/Pages/CreativePages/CustomReportCreativeDetail.aspx?App=23&amp;ReportView=4&amp;Qid=1711279&amp;Row=19535&amp;Col=1","No Title Assigned - #15278542590")</f>
        <v/>
      </c>
      <c r="B19543" s="0" t="s">
        <v>25875</v>
      </c>
      <c r="C19543" s="0" t="s">
        <v>25876</v>
      </c>
      <c r="D19543" s="0" t="s">
        <v>16579</v>
      </c>
      <c r="E19543" s="0" t="inlineStr">
        <is>
          <t xml:space="preserve">Mazda</t>
        </is>
      </c>
      <c r="F19543" s="0" t="s">
        <v>28</v>
      </c>
      <c r="G19543" s="0" t="s">
        <v>29</v>
      </c>
      <c r="H19543" s="5">
        <v>556.587300</v>
      </c>
    </row>
    <row r="19544" spans="1:9">
      <c r="A19544" s="22" t="str">
        <f>HYPERLINK("https://app.vivvix.com/360/KMI/IntelliDrive/ApplUI/Pages/CreativePages/CustomReportCreativeDetail.aspx?App=23&amp;ReportView=4&amp;Qid=1711279&amp;Row=19536&amp;Col=1","No Title Assigned - #15278543041")</f>
        <v/>
      </c>
      <c r="B19544" s="0" t="s">
        <v>25877</v>
      </c>
      <c r="C19544" s="0" t="s">
        <v>25878</v>
      </c>
      <c r="D19544" s="0" t="s">
        <v>25878</v>
      </c>
      <c r="E19544" s="0" t="inlineStr">
        <is>
          <t xml:space="preserve">Mazda</t>
        </is>
      </c>
      <c r="F19544" s="0" t="s">
        <v>28</v>
      </c>
      <c r="G19544" s="0" t="s">
        <v>29</v>
      </c>
      <c r="H19544" s="5">
        <v>2937.621600</v>
      </c>
    </row>
    <row r="19545" spans="1:9">
      <c r="A19545" s="22" t="str">
        <f>HYPERLINK("https://app.vivvix.com/360/KMI/IntelliDrive/ApplUI/Pages/CreativePages/CustomReportCreativeDetail.aspx?App=23&amp;ReportView=4&amp;Qid=1711279&amp;Row=19537&amp;Col=1","No Title Assigned - #15278543041")</f>
        <v/>
      </c>
      <c r="B19545" s="0" t="s">
        <v>25877</v>
      </c>
      <c r="E19545" s="0" t="inlineStr">
        <is>
          <t xml:space="preserve">Mazda</t>
        </is>
      </c>
      <c r="F19545" s="0" t="s">
        <v>28</v>
      </c>
      <c r="G19545" s="0" t="s">
        <v>29</v>
      </c>
      <c r="H19545" s="5">
        <v>54.690700</v>
      </c>
    </row>
    <row r="19546" spans="1:9">
      <c r="A19546" s="22" t="str">
        <f>HYPERLINK("https://app.vivvix.com/360/KMI/IntelliDrive/ApplUI/Pages/CreativePages/CustomReportCreativeDetail.aspx?App=23&amp;ReportView=4&amp;Qid=1711279&amp;Row=19538&amp;Col=1","No Title Assigned - #15278543231")</f>
        <v/>
      </c>
      <c r="B19546" s="0" t="s">
        <v>25879</v>
      </c>
      <c r="C19546" s="0" t="s">
        <v>25880</v>
      </c>
      <c r="D19546" s="0" t="s">
        <v>25880</v>
      </c>
      <c r="E19546" s="0" t="inlineStr">
        <is>
          <t xml:space="preserve">Mazda</t>
        </is>
      </c>
      <c r="F19546" s="0" t="s">
        <v>13</v>
      </c>
      <c r="G19546" s="0" t="s">
        <v>49</v>
      </c>
      <c r="H19546" s="5">
        <v>910.066500</v>
      </c>
    </row>
    <row r="19547" spans="1:9">
      <c r="A19547" s="22" t="str">
        <f>HYPERLINK("https://app.vivvix.com/360/KMI/IntelliDrive/ApplUI/Pages/CreativePages/CustomReportCreativeDetail.aspx?App=23&amp;ReportView=4&amp;Qid=1711279&amp;Row=19539&amp;Col=1","No Title Assigned - #15278543303")</f>
        <v/>
      </c>
      <c r="B19547" s="0" t="s">
        <v>25881</v>
      </c>
      <c r="C19547" s="0" t="s">
        <v>25882</v>
      </c>
      <c r="D19547" s="0" t="s">
        <v>24767</v>
      </c>
      <c r="E19547" s="0" t="inlineStr">
        <is>
          <t xml:space="preserve">Mazda</t>
        </is>
      </c>
      <c r="F19547" s="0" t="s">
        <v>28</v>
      </c>
      <c r="G19547" s="0" t="s">
        <v>29</v>
      </c>
      <c r="H19547" s="5">
        <v>29.823100</v>
      </c>
    </row>
    <row r="19548" spans="1:9">
      <c r="A19548" s="22" t="str">
        <f>HYPERLINK("https://app.vivvix.com/360/KMI/IntelliDrive/ApplUI/Pages/CreativePages/CustomReportCreativeDetail.aspx?App=23&amp;ReportView=4&amp;Qid=1711279&amp;Row=19540&amp;Col=1","No Title Assigned - #15278544629")</f>
        <v/>
      </c>
      <c r="B19548" s="0" t="s">
        <v>25883</v>
      </c>
      <c r="C19548" s="0" t="s">
        <v>25884</v>
      </c>
      <c r="D19548" s="0" t="s">
        <v>4333</v>
      </c>
      <c r="E19548" s="0" t="inlineStr">
        <is>
          <t xml:space="preserve">Mazda</t>
        </is>
      </c>
      <c r="F19548" s="0" t="s">
        <v>28</v>
      </c>
      <c r="G19548" s="0" t="s">
        <v>29</v>
      </c>
      <c r="H19548" s="5">
        <v>5659.784100</v>
      </c>
    </row>
    <row r="19549" spans="1:9">
      <c r="A19549" s="22" t="str">
        <f>HYPERLINK("https://app.vivvix.com/360/KMI/IntelliDrive/ApplUI/Pages/CreativePages/CustomReportCreativeDetail.aspx?App=23&amp;ReportView=4&amp;Qid=1711279&amp;Row=19541&amp;Col=1","No Title Assigned - #15278544629")</f>
        <v/>
      </c>
      <c r="B19549" s="0" t="s">
        <v>25883</v>
      </c>
      <c r="E19549" s="0" t="inlineStr">
        <is>
          <t xml:space="preserve">Mazda</t>
        </is>
      </c>
      <c r="F19549" s="0" t="s">
        <v>28</v>
      </c>
      <c r="G19549" s="0" t="s">
        <v>29</v>
      </c>
      <c r="H19549" s="5">
        <v>1131.886400</v>
      </c>
    </row>
    <row r="19550" spans="1:9">
      <c r="A19550" s="22" t="str">
        <f>HYPERLINK("https://app.vivvix.com/360/KMI/IntelliDrive/ApplUI/Pages/CreativePages/CustomReportCreativeDetail.aspx?App=23&amp;ReportView=4&amp;Qid=1711279&amp;Row=19542&amp;Col=1","No Title Assigned - #15278544635")</f>
        <v/>
      </c>
      <c r="B19550" s="0" t="s">
        <v>25885</v>
      </c>
      <c r="C19550" s="0" t="s">
        <v>25886</v>
      </c>
      <c r="D19550" s="0" t="s">
        <v>4335</v>
      </c>
      <c r="E19550" s="0" t="inlineStr">
        <is>
          <t xml:space="preserve">Mazda</t>
        </is>
      </c>
      <c r="F19550" s="0" t="s">
        <v>13</v>
      </c>
      <c r="G19550" s="0" t="s">
        <v>49</v>
      </c>
      <c r="H19550" s="5">
        <v>556.790100</v>
      </c>
    </row>
    <row r="19551" spans="1:9">
      <c r="A19551" s="22" t="str">
        <f>HYPERLINK("https://app.vivvix.com/360/KMI/IntelliDrive/ApplUI/Pages/CreativePages/CustomReportCreativeDetail.aspx?App=23&amp;ReportView=4&amp;Qid=1711279&amp;Row=19543&amp;Col=1","No Title Assigned - #15278544762")</f>
        <v/>
      </c>
      <c r="B19551" s="0" t="s">
        <v>25887</v>
      </c>
      <c r="C19551" s="0" t="s">
        <v>25888</v>
      </c>
      <c r="D19551" s="0" t="s">
        <v>25888</v>
      </c>
      <c r="E19551" s="0" t="inlineStr">
        <is>
          <t xml:space="preserve">Mazda</t>
        </is>
      </c>
      <c r="F19551" s="0" t="s">
        <v>28</v>
      </c>
      <c r="G19551" s="0" t="s">
        <v>29</v>
      </c>
      <c r="H19551" s="5">
        <v>1045.159200</v>
      </c>
    </row>
    <row r="19552" spans="1:9">
      <c r="A19552" s="22" t="str">
        <f>HYPERLINK("https://app.vivvix.com/360/KMI/IntelliDrive/ApplUI/Pages/CreativePages/CustomReportCreativeDetail.aspx?App=23&amp;ReportView=4&amp;Qid=1711279&amp;Row=19544&amp;Col=1","No Title Assigned - #15278545769")</f>
        <v/>
      </c>
      <c r="B19552" s="0" t="s">
        <v>25889</v>
      </c>
      <c r="C19552" s="0" t="s">
        <v>25890</v>
      </c>
      <c r="D19552" s="0" t="s">
        <v>25890</v>
      </c>
      <c r="E19552" s="0" t="inlineStr">
        <is>
          <t xml:space="preserve">Mazda</t>
        </is>
      </c>
      <c r="F19552" s="0" t="s">
        <v>28</v>
      </c>
      <c r="G19552" s="0" t="s">
        <v>29</v>
      </c>
      <c r="H19552" s="5">
        <v>609954.750000</v>
      </c>
    </row>
    <row r="19553" spans="1:9">
      <c r="A19553" s="22" t="str">
        <f>HYPERLINK("https://app.vivvix.com/360/KMI/IntelliDrive/ApplUI/Pages/CreativePages/CustomReportCreativeDetail.aspx?App=23&amp;ReportView=4&amp;Qid=1711279&amp;Row=19545&amp;Col=1","No Title Assigned - #15278545769")</f>
        <v/>
      </c>
      <c r="B19553" s="0" t="s">
        <v>25889</v>
      </c>
      <c r="E19553" s="0" t="inlineStr">
        <is>
          <t xml:space="preserve">Mazda</t>
        </is>
      </c>
      <c r="F19553" s="0" t="s">
        <v>28</v>
      </c>
      <c r="G19553" s="0" t="s">
        <v>29</v>
      </c>
      <c r="H19553" s="5">
        <v>868.606800</v>
      </c>
    </row>
    <row r="19554" spans="1:9">
      <c r="A19554" s="22" t="str">
        <f>HYPERLINK("https://app.vivvix.com/360/KMI/IntelliDrive/ApplUI/Pages/CreativePages/CustomReportCreativeDetail.aspx?App=23&amp;ReportView=4&amp;Qid=1711279&amp;Row=19546&amp;Col=1","No Title Assigned - #15278545814")</f>
        <v/>
      </c>
      <c r="B19554" s="0" t="s">
        <v>25891</v>
      </c>
      <c r="C19554" s="0" t="s">
        <v>25892</v>
      </c>
      <c r="D19554" s="0" t="s">
        <v>11005</v>
      </c>
      <c r="E19554" s="0" t="inlineStr">
        <is>
          <t xml:space="preserve">Mazda</t>
        </is>
      </c>
      <c r="F19554" s="0" t="s">
        <v>28</v>
      </c>
      <c r="G19554" s="0" t="s">
        <v>29</v>
      </c>
      <c r="H19554" s="5">
        <v>78.943200</v>
      </c>
    </row>
    <row r="19555" spans="1:9">
      <c r="A19555" s="22" t="str">
        <f>HYPERLINK("https://app.vivvix.com/360/KMI/IntelliDrive/ApplUI/Pages/CreativePages/CustomReportCreativeDetail.aspx?App=23&amp;ReportView=4&amp;Qid=1711279&amp;Row=19547&amp;Col=1","No Title Assigned - #15278546415")</f>
        <v/>
      </c>
      <c r="B19555" s="0" t="s">
        <v>25893</v>
      </c>
      <c r="E19555" s="0" t="inlineStr">
        <is>
          <t xml:space="preserve">Mazda</t>
        </is>
      </c>
      <c r="F19555" s="0" t="s">
        <v>28</v>
      </c>
      <c r="G19555" s="0" t="s">
        <v>29</v>
      </c>
      <c r="H19555" s="5">
        <v>1059.344400</v>
      </c>
    </row>
    <row r="19556" spans="1:9">
      <c r="A19556" s="22" t="str">
        <f>HYPERLINK("https://app.vivvix.com/360/KMI/IntelliDrive/ApplUI/Pages/CreativePages/CustomReportCreativeDetail.aspx?App=23&amp;ReportView=4&amp;Qid=1711279&amp;Row=19548&amp;Col=1","No Title Assigned - #15278546415")</f>
        <v/>
      </c>
      <c r="B19556" s="0" t="s">
        <v>25893</v>
      </c>
      <c r="C19556" s="0" t="s">
        <v>25894</v>
      </c>
      <c r="D19556" s="0" t="s">
        <v>25894</v>
      </c>
      <c r="E19556" s="0" t="inlineStr">
        <is>
          <t xml:space="preserve">Mazda</t>
        </is>
      </c>
      <c r="F19556" s="0" t="s">
        <v>28</v>
      </c>
      <c r="G19556" s="0" t="s">
        <v>29</v>
      </c>
      <c r="H19556" s="5">
        <v>90423.637500</v>
      </c>
    </row>
    <row r="19557" spans="1:9">
      <c r="A19557" s="22" t="str">
        <f>HYPERLINK("https://app.vivvix.com/360/KMI/IntelliDrive/ApplUI/Pages/CreativePages/CustomReportCreativeDetail.aspx?App=23&amp;ReportView=4&amp;Qid=1711279&amp;Row=19549&amp;Col=1","No Title Assigned - #15278546720")</f>
        <v/>
      </c>
      <c r="B19557" s="0" t="s">
        <v>25895</v>
      </c>
      <c r="C19557" s="0" t="s">
        <v>25788</v>
      </c>
      <c r="D19557" s="0" t="s">
        <v>25788</v>
      </c>
      <c r="E19557" s="0" t="inlineStr">
        <is>
          <t xml:space="preserve">Mazda</t>
        </is>
      </c>
      <c r="F19557" s="0" t="s">
        <v>28</v>
      </c>
      <c r="G19557" s="0" t="s">
        <v>29</v>
      </c>
      <c r="H19557" s="5">
        <v>1489.603500</v>
      </c>
    </row>
    <row r="19558" spans="1:9">
      <c r="A19558" s="22" t="str">
        <f>HYPERLINK("https://app.vivvix.com/360/KMI/IntelliDrive/ApplUI/Pages/CreativePages/CustomReportCreativeDetail.aspx?App=23&amp;ReportView=4&amp;Qid=1711279&amp;Row=19550&amp;Col=1","No Title Assigned - #15278546750")</f>
        <v/>
      </c>
      <c r="B19558" s="0" t="s">
        <v>25896</v>
      </c>
      <c r="C19558" s="0" t="s">
        <v>25897</v>
      </c>
      <c r="D19558" s="0" t="s">
        <v>25897</v>
      </c>
      <c r="E19558" s="0" t="inlineStr">
        <is>
          <t xml:space="preserve">Mazda</t>
        </is>
      </c>
      <c r="F19558" s="0" t="s">
        <v>13</v>
      </c>
      <c r="G19558" s="0" t="s">
        <v>49</v>
      </c>
      <c r="H19558" s="5">
        <v>24.627600</v>
      </c>
    </row>
    <row r="19559" spans="1:9">
      <c r="A19559" s="22" t="str">
        <f>HYPERLINK("https://app.vivvix.com/360/KMI/IntelliDrive/ApplUI/Pages/CreativePages/CustomReportCreativeDetail.aspx?App=23&amp;ReportView=4&amp;Qid=1711279&amp;Row=19551&amp;Col=1","No Title Assigned - #15278547163")</f>
        <v/>
      </c>
      <c r="B19559" s="0" t="s">
        <v>25898</v>
      </c>
      <c r="C19559" s="0" t="s">
        <v>25899</v>
      </c>
      <c r="D19559" s="0" t="s">
        <v>18549</v>
      </c>
      <c r="E19559" s="0" t="inlineStr">
        <is>
          <t xml:space="preserve">Mazda</t>
        </is>
      </c>
      <c r="F19559" s="0" t="s">
        <v>13</v>
      </c>
      <c r="G19559" s="0" t="s">
        <v>49</v>
      </c>
      <c r="H19559" s="5">
        <v>20.050200</v>
      </c>
    </row>
    <row r="19560" spans="1:9">
      <c r="A19560" s="22" t="str">
        <f>HYPERLINK("https://app.vivvix.com/360/KMI/IntelliDrive/ApplUI/Pages/CreativePages/CustomReportCreativeDetail.aspx?App=23&amp;ReportView=4&amp;Qid=1711279&amp;Row=19552&amp;Col=1","No Title Assigned - #15278547466")</f>
        <v/>
      </c>
      <c r="B19560" s="0" t="s">
        <v>25900</v>
      </c>
      <c r="E19560" s="0" t="inlineStr">
        <is>
          <t xml:space="preserve">Mazda</t>
        </is>
      </c>
      <c r="F19560" s="0" t="s">
        <v>13</v>
      </c>
      <c r="G19560" s="0" t="s">
        <v>49</v>
      </c>
      <c r="H19560" s="5">
        <v>288.347200</v>
      </c>
    </row>
    <row r="19561" spans="1:9">
      <c r="A19561" s="22" t="str">
        <f>HYPERLINK("https://app.vivvix.com/360/KMI/IntelliDrive/ApplUI/Pages/CreativePages/CustomReportCreativeDetail.aspx?App=23&amp;ReportView=4&amp;Qid=1711279&amp;Row=19553&amp;Col=1","No Title Assigned - #15278547466")</f>
        <v/>
      </c>
      <c r="B19561" s="0" t="s">
        <v>25900</v>
      </c>
      <c r="C19561" s="0" t="s">
        <v>25901</v>
      </c>
      <c r="D19561" s="0" t="s">
        <v>9167</v>
      </c>
      <c r="E19561" s="0" t="inlineStr">
        <is>
          <t xml:space="preserve">Mazda</t>
        </is>
      </c>
      <c r="F19561" s="0" t="s">
        <v>13</v>
      </c>
      <c r="G19561" s="0" t="s">
        <v>49</v>
      </c>
      <c r="H19561" s="5">
        <v>356.507800</v>
      </c>
    </row>
    <row r="19562" spans="1:9">
      <c r="A19562" s="22" t="str">
        <f>HYPERLINK("https://app.vivvix.com/360/KMI/IntelliDrive/ApplUI/Pages/CreativePages/CustomReportCreativeDetail.aspx?App=23&amp;ReportView=4&amp;Qid=1711279&amp;Row=19554&amp;Col=1","No Title Assigned - #15278548228")</f>
        <v/>
      </c>
      <c r="B19562" s="0" t="s">
        <v>25902</v>
      </c>
      <c r="E19562" s="0" t="inlineStr">
        <is>
          <t xml:space="preserve">Mazda</t>
        </is>
      </c>
      <c r="F19562" s="0" t="inlineStr">
        <is>
          <t xml:space="preserve">Mazda</t>
        </is>
      </c>
      <c r="G19562" s="0" t="s">
        <v>171</v>
      </c>
      <c r="H19562" s="5">
        <v>9.677400</v>
      </c>
    </row>
    <row r="19563" spans="1:9">
      <c r="A19563" s="22" t="str">
        <f>HYPERLINK("https://app.vivvix.com/360/KMI/IntelliDrive/ApplUI/Pages/CreativePages/CustomReportCreativeDetail.aspx?App=23&amp;ReportView=4&amp;Qid=1711279&amp;Row=19555&amp;Col=1","No Title Assigned - #15278548372")</f>
        <v/>
      </c>
      <c r="B19563" s="0" t="s">
        <v>25903</v>
      </c>
      <c r="C19563" s="0" t="s">
        <v>25904</v>
      </c>
      <c r="D19563" s="0" t="s">
        <v>25904</v>
      </c>
      <c r="E19563" s="0" t="inlineStr">
        <is>
          <t xml:space="preserve">Mazda</t>
        </is>
      </c>
      <c r="F19563" s="0" t="inlineStr">
        <is>
          <t xml:space="preserve">Mazda</t>
        </is>
      </c>
      <c r="G19563" s="0" t="s">
        <v>171</v>
      </c>
      <c r="H19563" s="5">
        <v>1176.059400</v>
      </c>
    </row>
    <row r="19564" spans="1:9">
      <c r="A19564" s="22" t="str">
        <f>HYPERLINK("https://app.vivvix.com/360/KMI/IntelliDrive/ApplUI/Pages/CreativePages/CustomReportCreativeDetail.aspx?App=23&amp;ReportView=4&amp;Qid=1711279&amp;Row=19556&amp;Col=1","No Title Assigned - #15278548479")</f>
        <v/>
      </c>
      <c r="B19564" s="0" t="s">
        <v>25905</v>
      </c>
      <c r="E19564" s="0" t="inlineStr">
        <is>
          <t xml:space="preserve">Mazda</t>
        </is>
      </c>
      <c r="F19564" s="0" t="inlineStr">
        <is>
          <t xml:space="preserve">Mazda</t>
        </is>
      </c>
      <c r="G19564" s="0" t="s">
        <v>171</v>
      </c>
      <c r="H19564" s="5">
        <v>2314.342200</v>
      </c>
    </row>
    <row r="19565" spans="1:9">
      <c r="A19565" s="22" t="str">
        <f>HYPERLINK("https://app.vivvix.com/360/KMI/IntelliDrive/ApplUI/Pages/CreativePages/CustomReportCreativeDetail.aspx?App=23&amp;ReportView=4&amp;Qid=1711279&amp;Row=19557&amp;Col=1","No Title Assigned - #15278548538")</f>
        <v/>
      </c>
      <c r="B19565" s="0" t="s">
        <v>25906</v>
      </c>
      <c r="E19565" s="0" t="inlineStr">
        <is>
          <t xml:space="preserve">Mazda</t>
        </is>
      </c>
      <c r="F19565" s="0" t="inlineStr">
        <is>
          <t xml:space="preserve">Mazda</t>
        </is>
      </c>
      <c r="G19565" s="0" t="s">
        <v>171</v>
      </c>
      <c r="H19565" s="5">
        <v>1166.646200</v>
      </c>
    </row>
    <row r="19566" spans="1:9">
      <c r="A19566" s="22" t="str">
        <f>HYPERLINK("https://app.vivvix.com/360/KMI/IntelliDrive/ApplUI/Pages/CreativePages/CustomReportCreativeDetail.aspx?App=23&amp;ReportView=4&amp;Qid=1711279&amp;Row=19558&amp;Col=1","No Title Assigned - #15278548538")</f>
        <v/>
      </c>
      <c r="B19566" s="0" t="s">
        <v>25906</v>
      </c>
      <c r="E19566" s="0" t="inlineStr">
        <is>
          <t xml:space="preserve">Mazda</t>
        </is>
      </c>
      <c r="F19566" s="0" t="inlineStr">
        <is>
          <t xml:space="preserve">Mazda</t>
        </is>
      </c>
      <c r="G19566" s="0" t="s">
        <v>171</v>
      </c>
      <c r="H19566" s="5">
        <v>3812.932600</v>
      </c>
    </row>
    <row r="19567" spans="1:9">
      <c r="A19567" s="22" t="str">
        <f>HYPERLINK("https://app.vivvix.com/360/KMI/IntelliDrive/ApplUI/Pages/CreativePages/CustomReportCreativeDetail.aspx?App=23&amp;ReportView=4&amp;Qid=1711279&amp;Row=19559&amp;Col=1","No Title Assigned - #15278549299")</f>
        <v/>
      </c>
      <c r="B19567" s="0" t="s">
        <v>25907</v>
      </c>
      <c r="E19567" s="0" t="inlineStr">
        <is>
          <t xml:space="preserve">Mazda</t>
        </is>
      </c>
      <c r="F19567" s="0" t="inlineStr">
        <is>
          <t xml:space="preserve">Mazda</t>
        </is>
      </c>
      <c r="G19567" s="0" t="s">
        <v>171</v>
      </c>
      <c r="H19567" s="5">
        <v>55.731100</v>
      </c>
    </row>
    <row r="19568" spans="1:9">
      <c r="A19568" s="22" t="str">
        <f>HYPERLINK("https://app.vivvix.com/360/KMI/IntelliDrive/ApplUI/Pages/CreativePages/CustomReportCreativeDetail.aspx?App=23&amp;ReportView=4&amp;Qid=1711279&amp;Row=19560&amp;Col=1","No Title Assigned - #15278549738")</f>
        <v/>
      </c>
      <c r="B19568" s="0" t="s">
        <v>25908</v>
      </c>
      <c r="C19568" s="0" t="s">
        <v>25909</v>
      </c>
      <c r="D19568" s="0" t="s">
        <v>25909</v>
      </c>
      <c r="E19568" s="0" t="inlineStr">
        <is>
          <t xml:space="preserve">Mazda</t>
        </is>
      </c>
      <c r="F19568" s="0" t="inlineStr">
        <is>
          <t xml:space="preserve">Mazda</t>
        </is>
      </c>
      <c r="G19568" s="0" t="s">
        <v>171</v>
      </c>
      <c r="H19568" s="5">
        <v>55.731100</v>
      </c>
    </row>
    <row r="19569" spans="1:9">
      <c r="A19569" s="22" t="str">
        <f>HYPERLINK("https://app.vivvix.com/360/KMI/IntelliDrive/ApplUI/Pages/CreativePages/CustomReportCreativeDetail.aspx?App=23&amp;ReportView=4&amp;Qid=1711279&amp;Row=19561&amp;Col=1","No Title Assigned - #15278550602")</f>
        <v/>
      </c>
      <c r="B19569" s="0" t="s">
        <v>25910</v>
      </c>
      <c r="E19569" s="0" t="inlineStr">
        <is>
          <t xml:space="preserve">Mazda</t>
        </is>
      </c>
      <c r="F19569" s="0" t="inlineStr">
        <is>
          <t xml:space="preserve">Mazda</t>
        </is>
      </c>
      <c r="G19569" s="0" t="s">
        <v>171</v>
      </c>
      <c r="H19569" s="5">
        <v>84.530700</v>
      </c>
    </row>
    <row r="19570" spans="1:9">
      <c r="A19570" s="22" t="str">
        <f>HYPERLINK("https://app.vivvix.com/360/KMI/IntelliDrive/ApplUI/Pages/CreativePages/CustomReportCreativeDetail.aspx?App=23&amp;ReportView=4&amp;Qid=1711279&amp;Row=19562&amp;Col=1","No Title Assigned - #15278561691")</f>
        <v/>
      </c>
      <c r="B19570" s="0" t="s">
        <v>25911</v>
      </c>
      <c r="E19570" s="0" t="inlineStr">
        <is>
          <t xml:space="preserve">Mazda</t>
        </is>
      </c>
      <c r="F19570" s="0" t="inlineStr">
        <is>
          <t xml:space="preserve">Mazda</t>
        </is>
      </c>
      <c r="G19570" s="0" t="s">
        <v>171</v>
      </c>
      <c r="H19570" s="5">
        <v>5.543100</v>
      </c>
    </row>
    <row r="19571" spans="1:9">
      <c r="A19571" s="22" t="str">
        <f>HYPERLINK("https://app.vivvix.com/360/KMI/IntelliDrive/ApplUI/Pages/CreativePages/CustomReportCreativeDetail.aspx?App=23&amp;ReportView=4&amp;Qid=1711279&amp;Row=19563&amp;Col=1","No Title Assigned - #15278562194")</f>
        <v/>
      </c>
      <c r="B19571" s="0" t="s">
        <v>25912</v>
      </c>
      <c r="C19571" s="0" t="s">
        <v>25913</v>
      </c>
      <c r="D19571" s="0" t="s">
        <v>4225</v>
      </c>
      <c r="E19571" s="0" t="inlineStr">
        <is>
          <t xml:space="preserve">Mazda</t>
        </is>
      </c>
      <c r="F19571" s="0" t="s">
        <v>28</v>
      </c>
      <c r="G19571" s="0" t="s">
        <v>29</v>
      </c>
      <c r="H19571" s="5">
        <v>317.736700</v>
      </c>
    </row>
    <row r="19572" spans="1:9">
      <c r="A19572" s="22" t="str">
        <f>HYPERLINK("https://app.vivvix.com/360/KMI/IntelliDrive/ApplUI/Pages/CreativePages/CustomReportCreativeDetail.aspx?App=23&amp;ReportView=4&amp;Qid=1711279&amp;Row=19564&amp;Col=1","No Title Assigned - #15278563087")</f>
        <v/>
      </c>
      <c r="B19572" s="0" t="s">
        <v>25914</v>
      </c>
      <c r="E19572" s="0" t="inlineStr">
        <is>
          <t xml:space="preserve">Mazda</t>
        </is>
      </c>
      <c r="F19572" s="0" t="inlineStr">
        <is>
          <t xml:space="preserve">Mazda</t>
        </is>
      </c>
      <c r="G19572" s="0" t="s">
        <v>171</v>
      </c>
      <c r="H19572" s="5">
        <v>69.136200</v>
      </c>
    </row>
    <row r="19573" spans="1:9">
      <c r="A19573" s="22" t="str">
        <f>HYPERLINK("https://app.vivvix.com/360/KMI/IntelliDrive/ApplUI/Pages/CreativePages/CustomReportCreativeDetail.aspx?App=23&amp;ReportView=4&amp;Qid=1711279&amp;Row=19565&amp;Col=1","No Title Assigned - #15278567211")</f>
        <v/>
      </c>
      <c r="B19573" s="0" t="s">
        <v>25915</v>
      </c>
      <c r="E19573" s="0" t="inlineStr">
        <is>
          <t xml:space="preserve">Mazda</t>
        </is>
      </c>
      <c r="F19573" s="0" t="inlineStr">
        <is>
          <t xml:space="preserve">Mazda</t>
        </is>
      </c>
      <c r="G19573" s="0" t="s">
        <v>171</v>
      </c>
      <c r="H19573" s="5">
        <v>5.543100</v>
      </c>
    </row>
    <row r="19574" spans="1:9">
      <c r="A19574" s="22" t="str">
        <f>HYPERLINK("https://app.vivvix.com/360/KMI/IntelliDrive/ApplUI/Pages/CreativePages/CustomReportCreativeDetail.aspx?App=23&amp;ReportView=4&amp;Qid=1711279&amp;Row=19566&amp;Col=1","No Title Assigned - #15278567276")</f>
        <v/>
      </c>
      <c r="B19574" s="0" t="s">
        <v>25916</v>
      </c>
      <c r="C19574" s="0" t="s">
        <v>25917</v>
      </c>
      <c r="D19574" s="0" t="s">
        <v>4407</v>
      </c>
      <c r="E19574" s="0" t="inlineStr">
        <is>
          <t xml:space="preserve">Mazda</t>
        </is>
      </c>
      <c r="F19574" s="0" t="s">
        <v>28</v>
      </c>
      <c r="G19574" s="0" t="s">
        <v>29</v>
      </c>
      <c r="H19574" s="5">
        <v>39.471600</v>
      </c>
    </row>
    <row r="19575" spans="1:9">
      <c r="A19575" s="22" t="str">
        <f>HYPERLINK("https://app.vivvix.com/360/KMI/IntelliDrive/ApplUI/Pages/CreativePages/CustomReportCreativeDetail.aspx?App=23&amp;ReportView=4&amp;Qid=1711279&amp;Row=19567&amp;Col=1","No Title Assigned - #15278572796")</f>
        <v/>
      </c>
      <c r="B19575" s="0" t="s">
        <v>25918</v>
      </c>
      <c r="E19575" s="0" t="inlineStr">
        <is>
          <t xml:space="preserve">Mazda</t>
        </is>
      </c>
      <c r="F19575" s="0" t="inlineStr">
        <is>
          <t xml:space="preserve">Mazda</t>
        </is>
      </c>
      <c r="G19575" s="0" t="s">
        <v>171</v>
      </c>
      <c r="H19575" s="5">
        <v>8.559600</v>
      </c>
    </row>
    <row r="19576" spans="1:9">
      <c r="A19576" s="22" t="str">
        <f>HYPERLINK("https://app.vivvix.com/360/KMI/IntelliDrive/ApplUI/Pages/CreativePages/CustomReportCreativeDetail.aspx?App=23&amp;ReportView=4&amp;Qid=1711279&amp;Row=19568&amp;Col=1","No Title Assigned - #15278576666")</f>
        <v/>
      </c>
      <c r="B19576" s="0" t="s">
        <v>25919</v>
      </c>
      <c r="C19576" s="0" t="s">
        <v>25920</v>
      </c>
      <c r="D19576" s="0" t="s">
        <v>4200</v>
      </c>
      <c r="E19576" s="0" t="inlineStr">
        <is>
          <t xml:space="preserve">Mazda</t>
        </is>
      </c>
      <c r="F19576" s="0" t="s">
        <v>28</v>
      </c>
      <c r="G19576" s="0" t="s">
        <v>29</v>
      </c>
      <c r="H19576" s="5">
        <v>29.050600</v>
      </c>
    </row>
    <row r="19577" spans="1:9">
      <c r="A19577" s="22" t="str">
        <f>HYPERLINK("https://app.vivvix.com/360/KMI/IntelliDrive/ApplUI/Pages/CreativePages/CustomReportCreativeDetail.aspx?App=23&amp;ReportView=4&amp;Qid=1711279&amp;Row=19569&amp;Col=1","No Title Assigned - #15278580235")</f>
        <v/>
      </c>
      <c r="B19577" s="0" t="s">
        <v>25921</v>
      </c>
      <c r="C19577" s="0" t="s">
        <v>25922</v>
      </c>
      <c r="D19577" s="0" t="s">
        <v>4202</v>
      </c>
      <c r="E19577" s="0" t="inlineStr">
        <is>
          <t xml:space="preserve">Mazda</t>
        </is>
      </c>
      <c r="F19577" s="0" t="s">
        <v>28</v>
      </c>
      <c r="G19577" s="0" t="s">
        <v>29</v>
      </c>
      <c r="H19577" s="5">
        <v>1050.122600</v>
      </c>
    </row>
    <row r="19578" spans="1:9">
      <c r="A19578" s="22" t="str">
        <f>HYPERLINK("https://app.vivvix.com/360/KMI/IntelliDrive/ApplUI/Pages/CreativePages/CustomReportCreativeDetail.aspx?App=23&amp;ReportView=4&amp;Qid=1711279&amp;Row=19570&amp;Col=1","No Title Assigned - #15278581881")</f>
        <v/>
      </c>
      <c r="B19578" s="0" t="s">
        <v>25923</v>
      </c>
      <c r="C19578" s="0" t="s">
        <v>25924</v>
      </c>
      <c r="D19578" s="0" t="s">
        <v>25924</v>
      </c>
      <c r="E19578" s="0" t="inlineStr">
        <is>
          <t xml:space="preserve">Mazda</t>
        </is>
      </c>
      <c r="F19578" s="0" t="s">
        <v>28</v>
      </c>
      <c r="G19578" s="0" t="s">
        <v>29</v>
      </c>
      <c r="H19578" s="5">
        <v>11.927500</v>
      </c>
    </row>
    <row r="19579" spans="1:9">
      <c r="A19579" s="22" t="str">
        <f>HYPERLINK("https://app.vivvix.com/360/KMI/IntelliDrive/ApplUI/Pages/CreativePages/CustomReportCreativeDetail.aspx?App=23&amp;ReportView=4&amp;Qid=1711279&amp;Row=19571&amp;Col=1","No Title Assigned - #15278582042")</f>
        <v/>
      </c>
      <c r="B19579" s="0" t="s">
        <v>25925</v>
      </c>
      <c r="C19579" s="0" t="s">
        <v>25926</v>
      </c>
      <c r="D19579" s="0" t="s">
        <v>25926</v>
      </c>
      <c r="E19579" s="0" t="inlineStr">
        <is>
          <t xml:space="preserve">Mazda</t>
        </is>
      </c>
      <c r="F19579" s="0" t="s">
        <v>28</v>
      </c>
      <c r="G19579" s="0" t="s">
        <v>29</v>
      </c>
      <c r="H19579" s="5">
        <v>545.681100</v>
      </c>
    </row>
    <row r="19580" spans="1:9">
      <c r="A19580" s="22" t="str">
        <f>HYPERLINK("https://app.vivvix.com/360/KMI/IntelliDrive/ApplUI/Pages/CreativePages/CustomReportCreativeDetail.aspx?App=23&amp;ReportView=4&amp;Qid=1711279&amp;Row=19572&amp;Col=1","No Title Assigned - #15278582562")</f>
        <v/>
      </c>
      <c r="B19580" s="0" t="s">
        <v>25927</v>
      </c>
      <c r="C19580" s="0" t="s">
        <v>25928</v>
      </c>
      <c r="D19580" s="0" t="s">
        <v>25928</v>
      </c>
      <c r="E19580" s="0" t="inlineStr">
        <is>
          <t xml:space="preserve">Mazda</t>
        </is>
      </c>
      <c r="F19580" s="0" t="s">
        <v>28</v>
      </c>
      <c r="G19580" s="0" t="s">
        <v>29</v>
      </c>
      <c r="H19580" s="5">
        <v>1349.790400</v>
      </c>
    </row>
    <row r="19581" spans="1:9">
      <c r="A19581" s="22" t="str">
        <f>HYPERLINK("https://app.vivvix.com/360/KMI/IntelliDrive/ApplUI/Pages/CreativePages/CustomReportCreativeDetail.aspx?App=23&amp;ReportView=4&amp;Qid=1711279&amp;Row=19573&amp;Col=1","No Title Assigned - #15278585706")</f>
        <v/>
      </c>
      <c r="B19581" s="0" t="s">
        <v>25929</v>
      </c>
      <c r="C19581" s="0" t="s">
        <v>25930</v>
      </c>
      <c r="D19581" s="0" t="s">
        <v>25930</v>
      </c>
      <c r="E19581" s="0" t="inlineStr">
        <is>
          <t xml:space="preserve">Mazda</t>
        </is>
      </c>
      <c r="F19581" s="0" t="s">
        <v>28</v>
      </c>
      <c r="G19581" s="0" t="s">
        <v>29</v>
      </c>
      <c r="H19581" s="5">
        <v>470.043600</v>
      </c>
    </row>
    <row r="19582" spans="1:9">
      <c r="A19582" s="22" t="str">
        <f>HYPERLINK("https://app.vivvix.com/360/KMI/IntelliDrive/ApplUI/Pages/CreativePages/CustomReportCreativeDetail.aspx?App=23&amp;ReportView=4&amp;Qid=1711279&amp;Row=19574&amp;Col=1","No Title Assigned - #15278586581")</f>
        <v/>
      </c>
      <c r="B19582" s="0" t="s">
        <v>25931</v>
      </c>
      <c r="C19582" s="0" t="s">
        <v>25932</v>
      </c>
      <c r="D19582" s="0" t="s">
        <v>4200</v>
      </c>
      <c r="E19582" s="0" t="inlineStr">
        <is>
          <t xml:space="preserve">Mazda</t>
        </is>
      </c>
      <c r="F19582" s="0" t="s">
        <v>28</v>
      </c>
      <c r="G19582" s="0" t="s">
        <v>29</v>
      </c>
      <c r="H19582" s="5">
        <v>244.872900</v>
      </c>
    </row>
    <row r="19583" spans="1:9">
      <c r="A19583" s="22" t="str">
        <f>HYPERLINK("https://app.vivvix.com/360/KMI/IntelliDrive/ApplUI/Pages/CreativePages/CustomReportCreativeDetail.aspx?App=23&amp;ReportView=4&amp;Qid=1711279&amp;Row=19575&amp;Col=1","No Title Assigned - #15278588918")</f>
        <v/>
      </c>
      <c r="B19583" s="0" t="s">
        <v>25933</v>
      </c>
      <c r="C19583" s="0" t="s">
        <v>25934</v>
      </c>
      <c r="D19583" s="0" t="s">
        <v>25934</v>
      </c>
      <c r="E19583" s="0" t="inlineStr">
        <is>
          <t xml:space="preserve">Mazda</t>
        </is>
      </c>
      <c r="F19583" s="0" t="s">
        <v>28</v>
      </c>
      <c r="G19583" s="0" t="s">
        <v>29</v>
      </c>
      <c r="H19583" s="5">
        <v>227.740300</v>
      </c>
    </row>
    <row r="19584" spans="1:9">
      <c r="A19584" s="22" t="str">
        <f>HYPERLINK("https://app.vivvix.com/360/KMI/IntelliDrive/ApplUI/Pages/CreativePages/CustomReportCreativeDetail.aspx?App=23&amp;ReportView=4&amp;Qid=1711279&amp;Row=19576&amp;Col=1","No Title Assigned - #15278590783")</f>
        <v/>
      </c>
      <c r="B19584" s="0" t="s">
        <v>25935</v>
      </c>
      <c r="C19584" s="0" t="s">
        <v>25936</v>
      </c>
      <c r="D19584" s="0" t="s">
        <v>4274</v>
      </c>
      <c r="E19584" s="0" t="inlineStr">
        <is>
          <t xml:space="preserve">Mazda</t>
        </is>
      </c>
      <c r="F19584" s="0" t="s">
        <v>28</v>
      </c>
      <c r="G19584" s="0" t="s">
        <v>29</v>
      </c>
      <c r="H19584" s="5">
        <v>227.808900</v>
      </c>
    </row>
    <row r="19585" spans="1:9">
      <c r="A19585" s="22" t="str">
        <f>HYPERLINK("https://app.vivvix.com/360/KMI/IntelliDrive/ApplUI/Pages/CreativePages/CustomReportCreativeDetail.aspx?App=23&amp;ReportView=4&amp;Qid=1711279&amp;Row=19577&amp;Col=1","No Title Assigned - #15278593877")</f>
        <v/>
      </c>
      <c r="B19585" s="0" t="s">
        <v>25937</v>
      </c>
      <c r="C19585" s="0" t="s">
        <v>25938</v>
      </c>
      <c r="D19585" s="0" t="s">
        <v>25938</v>
      </c>
      <c r="E19585" s="0" t="inlineStr">
        <is>
          <t xml:space="preserve">Mazda</t>
        </is>
      </c>
      <c r="F19585" s="0" t="s">
        <v>28</v>
      </c>
      <c r="G19585" s="0" t="s">
        <v>29</v>
      </c>
      <c r="H19585" s="5">
        <v>221.664000</v>
      </c>
    </row>
    <row r="19586" spans="1:9">
      <c r="A19586" s="22" t="str">
        <f>HYPERLINK("https://app.vivvix.com/360/KMI/IntelliDrive/ApplUI/Pages/CreativePages/CustomReportCreativeDetail.aspx?App=23&amp;ReportView=4&amp;Qid=1711279&amp;Row=19578&amp;Col=1","No Title Assigned - #15278594514")</f>
        <v/>
      </c>
      <c r="B19586" s="0" t="s">
        <v>25939</v>
      </c>
      <c r="C19586" s="0" t="s">
        <v>25940</v>
      </c>
      <c r="D19586" s="0" t="s">
        <v>4418</v>
      </c>
      <c r="E19586" s="0" t="inlineStr">
        <is>
          <t xml:space="preserve">Mazda</t>
        </is>
      </c>
      <c r="F19586" s="0" t="s">
        <v>28</v>
      </c>
      <c r="G19586" s="0" t="s">
        <v>29</v>
      </c>
      <c r="H19586" s="5">
        <v>29.249000</v>
      </c>
    </row>
    <row r="19587" spans="1:9">
      <c r="A19587" s="22" t="str">
        <f>HYPERLINK("https://app.vivvix.com/360/KMI/IntelliDrive/ApplUI/Pages/CreativePages/CustomReportCreativeDetail.aspx?App=23&amp;ReportView=4&amp;Qid=1711279&amp;Row=19579&amp;Col=1","No Title Assigned - #15278596628")</f>
        <v/>
      </c>
      <c r="B19587" s="0" t="s">
        <v>25941</v>
      </c>
      <c r="C19587" s="0" t="s">
        <v>25942</v>
      </c>
      <c r="D19587" s="0" t="s">
        <v>25942</v>
      </c>
      <c r="E19587" s="0" t="inlineStr">
        <is>
          <t xml:space="preserve">Mazda</t>
        </is>
      </c>
      <c r="F19587" s="0" t="s">
        <v>28</v>
      </c>
      <c r="G19587" s="0" t="s">
        <v>29</v>
      </c>
      <c r="H19587" s="5">
        <v>232.005800</v>
      </c>
    </row>
    <row r="19588" spans="1:9">
      <c r="A19588" s="22" t="str">
        <f>HYPERLINK("https://app.vivvix.com/360/KMI/IntelliDrive/ApplUI/Pages/CreativePages/CustomReportCreativeDetail.aspx?App=23&amp;ReportView=4&amp;Qid=1711279&amp;Row=19580&amp;Col=1","No Title Assigned - #15278597349")</f>
        <v/>
      </c>
      <c r="B19588" s="0" t="s">
        <v>25943</v>
      </c>
      <c r="C19588" s="0" t="s">
        <v>25944</v>
      </c>
      <c r="D19588" s="0" t="s">
        <v>10809</v>
      </c>
      <c r="E19588" s="0" t="inlineStr">
        <is>
          <t xml:space="preserve">Mazda</t>
        </is>
      </c>
      <c r="F19588" s="0" t="s">
        <v>28</v>
      </c>
      <c r="G19588" s="0" t="s">
        <v>29</v>
      </c>
      <c r="H19588" s="5">
        <v>216.957700</v>
      </c>
    </row>
    <row r="19589" spans="1:9">
      <c r="A19589" s="22" t="str">
        <f>HYPERLINK("https://app.vivvix.com/360/KMI/IntelliDrive/ApplUI/Pages/CreativePages/CustomReportCreativeDetail.aspx?App=23&amp;ReportView=4&amp;Qid=1711279&amp;Row=19581&amp;Col=1","No Title Assigned - #15278598098")</f>
        <v/>
      </c>
      <c r="B19589" s="0" t="s">
        <v>25945</v>
      </c>
      <c r="C19589" s="0" t="s">
        <v>25946</v>
      </c>
      <c r="D19589" s="0" t="s">
        <v>4200</v>
      </c>
      <c r="E19589" s="0" t="inlineStr">
        <is>
          <t xml:space="preserve">Mazda</t>
        </is>
      </c>
      <c r="F19589" s="0" t="s">
        <v>28</v>
      </c>
      <c r="G19589" s="0" t="s">
        <v>29</v>
      </c>
      <c r="H19589" s="5">
        <v>3.692100</v>
      </c>
    </row>
    <row r="19590" spans="1:9">
      <c r="A19590" s="22" t="str">
        <f>HYPERLINK("https://app.vivvix.com/360/KMI/IntelliDrive/ApplUI/Pages/CreativePages/CustomReportCreativeDetail.aspx?App=23&amp;ReportView=4&amp;Qid=1711279&amp;Row=19582&amp;Col=1","No Title Assigned - #15278598277")</f>
        <v/>
      </c>
      <c r="B19590" s="0" t="s">
        <v>25947</v>
      </c>
      <c r="C19590" s="0" t="s">
        <v>25948</v>
      </c>
      <c r="D19590" s="0" t="s">
        <v>11005</v>
      </c>
      <c r="E19590" s="0" t="inlineStr">
        <is>
          <t xml:space="preserve">Mazda</t>
        </is>
      </c>
      <c r="F19590" s="0" t="s">
        <v>28</v>
      </c>
      <c r="G19590" s="0" t="s">
        <v>29</v>
      </c>
      <c r="H19590" s="5">
        <v>18.407100</v>
      </c>
    </row>
    <row r="19591" spans="1:9">
      <c r="A19591" s="22" t="str">
        <f>HYPERLINK("https://app.vivvix.com/360/KMI/IntelliDrive/ApplUI/Pages/CreativePages/CustomReportCreativeDetail.aspx?App=23&amp;ReportView=4&amp;Qid=1711279&amp;Row=19583&amp;Col=1","No Title Assigned - #15278598277")</f>
        <v/>
      </c>
      <c r="B19591" s="0" t="s">
        <v>25947</v>
      </c>
      <c r="E19591" s="0" t="inlineStr">
        <is>
          <t xml:space="preserve">Mazda</t>
        </is>
      </c>
      <c r="F19591" s="0" t="s">
        <v>28</v>
      </c>
      <c r="G19591" s="0" t="s">
        <v>29</v>
      </c>
      <c r="H19591" s="5">
        <v>1011.384900</v>
      </c>
    </row>
    <row r="19592" spans="1:9">
      <c r="A19592" s="22" t="str">
        <f>HYPERLINK("https://app.vivvix.com/360/KMI/IntelliDrive/ApplUI/Pages/CreativePages/CustomReportCreativeDetail.aspx?App=23&amp;ReportView=4&amp;Qid=1711279&amp;Row=19584&amp;Col=1","No Title Assigned - #15278598789")</f>
        <v/>
      </c>
      <c r="B19592" s="0" t="s">
        <v>25949</v>
      </c>
      <c r="C19592" s="0" t="s">
        <v>25950</v>
      </c>
      <c r="D19592" s="0" t="s">
        <v>4202</v>
      </c>
      <c r="E19592" s="0" t="inlineStr">
        <is>
          <t xml:space="preserve">Mazda</t>
        </is>
      </c>
      <c r="F19592" s="0" t="s">
        <v>28</v>
      </c>
      <c r="G19592" s="0" t="s">
        <v>29</v>
      </c>
      <c r="H19592" s="5">
        <v>29.249000</v>
      </c>
    </row>
    <row r="19593" spans="1:9">
      <c r="A19593" s="22" t="str">
        <f>HYPERLINK("https://app.vivvix.com/360/KMI/IntelliDrive/ApplUI/Pages/CreativePages/CustomReportCreativeDetail.aspx?App=23&amp;ReportView=4&amp;Qid=1711279&amp;Row=19585&amp;Col=1","No Title Assigned - #15278599443")</f>
        <v/>
      </c>
      <c r="B19593" s="0" t="s">
        <v>25951</v>
      </c>
      <c r="C19593" s="0" t="s">
        <v>25952</v>
      </c>
      <c r="D19593" s="0" t="s">
        <v>4850</v>
      </c>
      <c r="E19593" s="0" t="inlineStr">
        <is>
          <t xml:space="preserve">Mazda</t>
        </is>
      </c>
      <c r="F19593" s="0" t="s">
        <v>28</v>
      </c>
      <c r="G19593" s="0" t="s">
        <v>29</v>
      </c>
      <c r="H19593" s="5">
        <v>226.448500</v>
      </c>
    </row>
    <row r="19594" spans="1:9">
      <c r="A19594" s="22" t="str">
        <f>HYPERLINK("https://app.vivvix.com/360/KMI/IntelliDrive/ApplUI/Pages/CreativePages/CustomReportCreativeDetail.aspx?App=23&amp;ReportView=4&amp;Qid=1711279&amp;Row=19586&amp;Col=1","No Title Assigned - #15278599915")</f>
        <v/>
      </c>
      <c r="B19594" s="0" t="s">
        <v>25953</v>
      </c>
      <c r="C19594" s="0" t="s">
        <v>25954</v>
      </c>
      <c r="D19594" s="0" t="s">
        <v>25954</v>
      </c>
      <c r="E19594" s="0" t="inlineStr">
        <is>
          <t xml:space="preserve">Mazda</t>
        </is>
      </c>
      <c r="F19594" s="0" t="s">
        <v>28</v>
      </c>
      <c r="G19594" s="0" t="s">
        <v>29</v>
      </c>
      <c r="H19594" s="5">
        <v>11.927500</v>
      </c>
    </row>
    <row r="19595" spans="1:9">
      <c r="A19595" s="22" t="str">
        <f>HYPERLINK("https://app.vivvix.com/360/KMI/IntelliDrive/ApplUI/Pages/CreativePages/CustomReportCreativeDetail.aspx?App=23&amp;ReportView=4&amp;Qid=1711279&amp;Row=19587&amp;Col=1","No Title Assigned - #15278603716")</f>
        <v/>
      </c>
      <c r="B19595" s="0" t="s">
        <v>25955</v>
      </c>
      <c r="C19595" s="0" t="s">
        <v>25956</v>
      </c>
      <c r="D19595" s="0" t="s">
        <v>25261</v>
      </c>
      <c r="E19595" s="0" t="inlineStr">
        <is>
          <t xml:space="preserve">Mazda</t>
        </is>
      </c>
      <c r="F19595" s="0" t="s">
        <v>28</v>
      </c>
      <c r="G19595" s="0" t="s">
        <v>29</v>
      </c>
      <c r="H19595" s="5">
        <v>1312.994500</v>
      </c>
    </row>
    <row r="19596" spans="1:9">
      <c r="A19596" s="22" t="str">
        <f>HYPERLINK("https://app.vivvix.com/360/KMI/IntelliDrive/ApplUI/Pages/CreativePages/CustomReportCreativeDetail.aspx?App=23&amp;ReportView=4&amp;Qid=1711279&amp;Row=19588&amp;Col=1","No Title Assigned - #15278605086")</f>
        <v/>
      </c>
      <c r="B19596" s="0" t="s">
        <v>25957</v>
      </c>
      <c r="C19596" s="0" t="s">
        <v>25958</v>
      </c>
      <c r="D19596" s="0" t="s">
        <v>25958</v>
      </c>
      <c r="E19596" s="0" t="inlineStr">
        <is>
          <t xml:space="preserve">Mazda</t>
        </is>
      </c>
      <c r="F19596" s="0" t="s">
        <v>28</v>
      </c>
      <c r="G19596" s="0" t="s">
        <v>29</v>
      </c>
      <c r="H19596" s="5">
        <v>178393.501200</v>
      </c>
    </row>
    <row r="19597" spans="1:9">
      <c r="A19597" s="22" t="str">
        <f>HYPERLINK("https://app.vivvix.com/360/KMI/IntelliDrive/ApplUI/Pages/CreativePages/CustomReportCreativeDetail.aspx?App=23&amp;ReportView=4&amp;Qid=1711279&amp;Row=19589&amp;Col=1","No Title Assigned - #15278605086")</f>
        <v/>
      </c>
      <c r="B19597" s="0" t="s">
        <v>25957</v>
      </c>
      <c r="E19597" s="0" t="inlineStr">
        <is>
          <t xml:space="preserve">Mazda</t>
        </is>
      </c>
      <c r="F19597" s="0" t="s">
        <v>28</v>
      </c>
      <c r="G19597" s="0" t="s">
        <v>29</v>
      </c>
      <c r="H19597" s="5">
        <v>2873.147800</v>
      </c>
    </row>
    <row r="19598" spans="1:9">
      <c r="A19598" s="22" t="str">
        <f>HYPERLINK("https://app.vivvix.com/360/KMI/IntelliDrive/ApplUI/Pages/CreativePages/CustomReportCreativeDetail.aspx?App=23&amp;ReportView=4&amp;Qid=1711279&amp;Row=19590&amp;Col=1","No Title Assigned - #15278605231")</f>
        <v/>
      </c>
      <c r="B19598" s="0" t="s">
        <v>25959</v>
      </c>
      <c r="C19598" s="0" t="s">
        <v>25960</v>
      </c>
      <c r="D19598" s="0" t="s">
        <v>4333</v>
      </c>
      <c r="E19598" s="0" t="inlineStr">
        <is>
          <t xml:space="preserve">Mazda</t>
        </is>
      </c>
      <c r="F19598" s="0" t="s">
        <v>28</v>
      </c>
      <c r="G19598" s="0" t="s">
        <v>29</v>
      </c>
      <c r="H19598" s="5">
        <v>119.586500</v>
      </c>
    </row>
    <row r="19599" spans="1:9">
      <c r="A19599" s="22" t="str">
        <f>HYPERLINK("https://app.vivvix.com/360/KMI/IntelliDrive/ApplUI/Pages/CreativePages/CustomReportCreativeDetail.aspx?App=23&amp;ReportView=4&amp;Qid=1711279&amp;Row=19591&amp;Col=1","No Title Assigned - #15278605759")</f>
        <v/>
      </c>
      <c r="B19599" s="0" t="s">
        <v>25961</v>
      </c>
      <c r="E19599" s="0" t="inlineStr">
        <is>
          <t xml:space="preserve">Mazda</t>
        </is>
      </c>
      <c r="F19599" s="0" t="inlineStr">
        <is>
          <t xml:space="preserve">Mazda</t>
        </is>
      </c>
      <c r="G19599" s="0" t="s">
        <v>171</v>
      </c>
      <c r="H19599" s="5">
        <v>147.990000</v>
      </c>
    </row>
    <row r="19600" spans="1:9">
      <c r="A19600" s="22" t="str">
        <f>HYPERLINK("https://app.vivvix.com/360/KMI/IntelliDrive/ApplUI/Pages/CreativePages/CustomReportCreativeDetail.aspx?App=23&amp;ReportView=4&amp;Qid=1711279&amp;Row=19592&amp;Col=1","No Title Assigned - #15278605867")</f>
        <v/>
      </c>
      <c r="B19600" s="0" t="s">
        <v>25962</v>
      </c>
      <c r="E19600" s="0" t="inlineStr">
        <is>
          <t xml:space="preserve">Mazda</t>
        </is>
      </c>
      <c r="F19600" s="0" t="inlineStr">
        <is>
          <t xml:space="preserve">Mazda</t>
        </is>
      </c>
      <c r="G19600" s="0" t="s">
        <v>171</v>
      </c>
      <c r="H19600" s="5">
        <v>190.631700</v>
      </c>
    </row>
    <row r="19601" spans="1:9">
      <c r="A19601" s="22" t="str">
        <f>HYPERLINK("https://app.vivvix.com/360/KMI/IntelliDrive/ApplUI/Pages/CreativePages/CustomReportCreativeDetail.aspx?App=23&amp;ReportView=4&amp;Qid=1711279&amp;Row=19593&amp;Col=1","No Title Assigned - #15278606248")</f>
        <v/>
      </c>
      <c r="B19601" s="0" t="s">
        <v>25963</v>
      </c>
      <c r="E19601" s="0" t="inlineStr">
        <is>
          <t xml:space="preserve">Mazda</t>
        </is>
      </c>
      <c r="F19601" s="0" t="inlineStr">
        <is>
          <t xml:space="preserve">Mazda</t>
        </is>
      </c>
      <c r="G19601" s="0" t="s">
        <v>171</v>
      </c>
      <c r="H19601" s="5">
        <v>496.368500</v>
      </c>
    </row>
    <row r="19602" spans="1:9">
      <c r="A19602" s="22" t="str">
        <f>HYPERLINK("https://app.vivvix.com/360/KMI/IntelliDrive/ApplUI/Pages/CreativePages/CustomReportCreativeDetail.aspx?App=23&amp;ReportView=4&amp;Qid=1711279&amp;Row=19594&amp;Col=1","No Title Assigned - #15278607331")</f>
        <v/>
      </c>
      <c r="B19602" s="0" t="s">
        <v>25964</v>
      </c>
      <c r="E19602" s="0" t="inlineStr">
        <is>
          <t xml:space="preserve">Mazda</t>
        </is>
      </c>
      <c r="F19602" s="0" t="inlineStr">
        <is>
          <t xml:space="preserve">Mazda</t>
        </is>
      </c>
      <c r="G19602" s="0" t="s">
        <v>171</v>
      </c>
      <c r="H19602" s="5">
        <v>88.184100</v>
      </c>
    </row>
    <row r="19603" spans="1:9">
      <c r="A19603" s="22" t="str">
        <f>HYPERLINK("https://app.vivvix.com/360/KMI/IntelliDrive/ApplUI/Pages/CreativePages/CustomReportCreativeDetail.aspx?App=23&amp;ReportView=4&amp;Qid=1711279&amp;Row=19595&amp;Col=1","No Title Assigned - #15278607476")</f>
        <v/>
      </c>
      <c r="B19603" s="0" t="s">
        <v>25965</v>
      </c>
      <c r="E19603" s="0" t="inlineStr">
        <is>
          <t xml:space="preserve">Mazda</t>
        </is>
      </c>
      <c r="F19603" s="0" t="inlineStr">
        <is>
          <t xml:space="preserve">Mazda</t>
        </is>
      </c>
      <c r="G19603" s="0" t="s">
        <v>171</v>
      </c>
      <c r="H19603" s="5">
        <v>21.915000</v>
      </c>
    </row>
    <row r="19604" spans="1:9">
      <c r="A19604" s="22" t="str">
        <f>HYPERLINK("https://app.vivvix.com/360/KMI/IntelliDrive/ApplUI/Pages/CreativePages/CustomReportCreativeDetail.aspx?App=23&amp;ReportView=4&amp;Qid=1711279&amp;Row=19596&amp;Col=1","No Title Assigned - #15278607630")</f>
        <v/>
      </c>
      <c r="B19604" s="0" t="s">
        <v>25966</v>
      </c>
      <c r="E19604" s="0" t="inlineStr">
        <is>
          <t xml:space="preserve">Mazda</t>
        </is>
      </c>
      <c r="F19604" s="0" t="inlineStr">
        <is>
          <t xml:space="preserve">Mazda</t>
        </is>
      </c>
      <c r="G19604" s="0" t="s">
        <v>171</v>
      </c>
      <c r="H19604" s="5">
        <v>10.234400</v>
      </c>
    </row>
    <row r="19605" spans="1:9">
      <c r="A19605" s="22" t="str">
        <f>HYPERLINK("https://app.vivvix.com/360/KMI/IntelliDrive/ApplUI/Pages/CreativePages/CustomReportCreativeDetail.aspx?App=23&amp;ReportView=4&amp;Qid=1711279&amp;Row=19597&amp;Col=1","No Title Assigned - #15278607870")</f>
        <v/>
      </c>
      <c r="B19605" s="0" t="s">
        <v>25967</v>
      </c>
      <c r="E19605" s="0" t="inlineStr">
        <is>
          <t xml:space="preserve">Mazda</t>
        </is>
      </c>
      <c r="F19605" s="0" t="inlineStr">
        <is>
          <t xml:space="preserve">Mazda</t>
        </is>
      </c>
      <c r="G19605" s="0" t="s">
        <v>171</v>
      </c>
      <c r="H19605" s="5">
        <v>290.427400</v>
      </c>
    </row>
    <row r="19606" spans="1:9">
      <c r="A19606" s="22" t="str">
        <f>HYPERLINK("https://app.vivvix.com/360/KMI/IntelliDrive/ApplUI/Pages/CreativePages/CustomReportCreativeDetail.aspx?App=23&amp;ReportView=4&amp;Qid=1711279&amp;Row=19598&amp;Col=1","No Title Assigned - #15278609038")</f>
        <v/>
      </c>
      <c r="B19606" s="0" t="s">
        <v>25968</v>
      </c>
      <c r="E19606" s="0" t="inlineStr">
        <is>
          <t xml:space="preserve">Mazda</t>
        </is>
      </c>
      <c r="F19606" s="0" t="inlineStr">
        <is>
          <t xml:space="preserve">Mazda</t>
        </is>
      </c>
      <c r="G19606" s="0" t="s">
        <v>171</v>
      </c>
      <c r="H19606" s="5">
        <v>700.685700</v>
      </c>
    </row>
    <row r="19607" spans="1:9">
      <c r="A19607" s="22" t="str">
        <f>HYPERLINK("https://app.vivvix.com/360/KMI/IntelliDrive/ApplUI/Pages/CreativePages/CustomReportCreativeDetail.aspx?App=23&amp;ReportView=4&amp;Qid=1711279&amp;Row=19599&amp;Col=1","No Title Assigned - #15278610932")</f>
        <v/>
      </c>
      <c r="B19607" s="0" t="s">
        <v>25969</v>
      </c>
      <c r="E19607" s="0" t="inlineStr">
        <is>
          <t xml:space="preserve">Mazda</t>
        </is>
      </c>
      <c r="F19607" s="0" t="inlineStr">
        <is>
          <t xml:space="preserve">Mazda</t>
        </is>
      </c>
      <c r="G19607" s="0" t="s">
        <v>171</v>
      </c>
      <c r="H19607" s="5">
        <v>183.676900</v>
      </c>
    </row>
    <row r="19608" spans="1:9">
      <c r="A19608" s="22" t="str">
        <f>HYPERLINK("https://app.vivvix.com/360/KMI/IntelliDrive/ApplUI/Pages/CreativePages/CustomReportCreativeDetail.aspx?App=23&amp;ReportView=4&amp;Qid=1711279&amp;Row=19600&amp;Col=1","No Title Assigned - #15278612146")</f>
        <v/>
      </c>
      <c r="B19608" s="0" t="s">
        <v>25970</v>
      </c>
      <c r="E19608" s="0" t="inlineStr">
        <is>
          <t xml:space="preserve">Mazda</t>
        </is>
      </c>
      <c r="F19608" s="0" t="inlineStr">
        <is>
          <t xml:space="preserve">Mazda</t>
        </is>
      </c>
      <c r="G19608" s="0" t="s">
        <v>171</v>
      </c>
      <c r="H19608" s="5">
        <v>1.216000</v>
      </c>
    </row>
    <row r="19609" spans="1:9">
      <c r="A19609" s="22" t="str">
        <f>HYPERLINK("https://app.vivvix.com/360/KMI/IntelliDrive/ApplUI/Pages/CreativePages/CustomReportCreativeDetail.aspx?App=23&amp;ReportView=4&amp;Qid=1711279&amp;Row=19601&amp;Col=1","No Title Assigned - #15278612289")</f>
        <v/>
      </c>
      <c r="B19609" s="0" t="s">
        <v>25971</v>
      </c>
      <c r="E19609" s="0" t="inlineStr">
        <is>
          <t xml:space="preserve">Mazda</t>
        </is>
      </c>
      <c r="F19609" s="0" t="inlineStr">
        <is>
          <t xml:space="preserve">Mazda</t>
        </is>
      </c>
      <c r="G19609" s="0" t="s">
        <v>171</v>
      </c>
      <c r="H19609" s="5">
        <v>1.216000</v>
      </c>
    </row>
    <row r="19610" spans="1:9">
      <c r="A19610" s="22" t="str">
        <f>HYPERLINK("https://app.vivvix.com/360/KMI/IntelliDrive/ApplUI/Pages/CreativePages/CustomReportCreativeDetail.aspx?App=23&amp;ReportView=4&amp;Qid=1711279&amp;Row=19602&amp;Col=1","No Title Assigned - #15278626601")</f>
        <v/>
      </c>
      <c r="B19610" s="0" t="s">
        <v>25972</v>
      </c>
      <c r="E19610" s="0" t="inlineStr">
        <is>
          <t xml:space="preserve">Mazda</t>
        </is>
      </c>
      <c r="F19610" s="0" t="inlineStr">
        <is>
          <t xml:space="preserve">Mazda</t>
        </is>
      </c>
      <c r="G19610" s="0" t="s">
        <v>171</v>
      </c>
      <c r="H19610" s="5">
        <v>78.901400</v>
      </c>
    </row>
    <row r="19611" spans="1:9">
      <c r="A19611" s="22" t="str">
        <f>HYPERLINK("https://app.vivvix.com/360/KMI/IntelliDrive/ApplUI/Pages/CreativePages/CustomReportCreativeDetail.aspx?App=23&amp;ReportView=4&amp;Qid=1711279&amp;Row=19603&amp;Col=1","No Title Assigned - #15278628171")</f>
        <v/>
      </c>
      <c r="B19611" s="0" t="s">
        <v>25973</v>
      </c>
      <c r="E19611" s="0" t="inlineStr">
        <is>
          <t xml:space="preserve">Mazda</t>
        </is>
      </c>
      <c r="F19611" s="0" t="inlineStr">
        <is>
          <t xml:space="preserve">Mazda</t>
        </is>
      </c>
      <c r="G19611" s="0" t="s">
        <v>171</v>
      </c>
      <c r="H19611" s="5">
        <v>88.521800</v>
      </c>
    </row>
    <row r="19612" spans="1:9">
      <c r="A19612" s="22" t="str">
        <f>HYPERLINK("https://app.vivvix.com/360/KMI/IntelliDrive/ApplUI/Pages/CreativePages/CustomReportCreativeDetail.aspx?App=23&amp;ReportView=4&amp;Qid=1711279&amp;Row=19604&amp;Col=1","No Title Assigned - #15278632136")</f>
        <v/>
      </c>
      <c r="B19612" s="0" t="s">
        <v>25974</v>
      </c>
      <c r="C19612" s="0" t="s">
        <v>25975</v>
      </c>
      <c r="D19612" s="0" t="s">
        <v>4200</v>
      </c>
      <c r="E19612" s="0" t="inlineStr">
        <is>
          <t xml:space="preserve">Mazda</t>
        </is>
      </c>
      <c r="F19612" s="0" t="s">
        <v>28</v>
      </c>
      <c r="G19612" s="0" t="s">
        <v>29</v>
      </c>
      <c r="H19612" s="5">
        <v>122.258400</v>
      </c>
    </row>
    <row r="19613" spans="1:9">
      <c r="A19613" s="22" t="str">
        <f>HYPERLINK("https://app.vivvix.com/360/KMI/IntelliDrive/ApplUI/Pages/CreativePages/CustomReportCreativeDetail.aspx?App=23&amp;ReportView=4&amp;Qid=1711279&amp;Row=19605&amp;Col=1","No Title Assigned - #15278634182")</f>
        <v/>
      </c>
      <c r="B19613" s="0" t="s">
        <v>25976</v>
      </c>
      <c r="C19613" s="0" t="s">
        <v>25977</v>
      </c>
      <c r="D19613" s="0" t="s">
        <v>25977</v>
      </c>
      <c r="E19613" s="0" t="inlineStr">
        <is>
          <t xml:space="preserve">Mazda</t>
        </is>
      </c>
      <c r="F19613" s="0" t="s">
        <v>28</v>
      </c>
      <c r="G19613" s="0" t="s">
        <v>29</v>
      </c>
      <c r="H19613" s="5">
        <v>1752.314800</v>
      </c>
    </row>
    <row r="19614" spans="1:9">
      <c r="A19614" s="22" t="str">
        <f>HYPERLINK("https://app.vivvix.com/360/KMI/IntelliDrive/ApplUI/Pages/CreativePages/CustomReportCreativeDetail.aspx?App=23&amp;ReportView=4&amp;Qid=1711279&amp;Row=19606&amp;Col=1","No Title Assigned - #15278636726")</f>
        <v/>
      </c>
      <c r="B19614" s="0" t="s">
        <v>25978</v>
      </c>
      <c r="C19614" s="0" t="s">
        <v>25979</v>
      </c>
      <c r="D19614" s="0" t="s">
        <v>25979</v>
      </c>
      <c r="E19614" s="0" t="inlineStr">
        <is>
          <t xml:space="preserve">Mazda</t>
        </is>
      </c>
      <c r="F19614" s="0" t="s">
        <v>28</v>
      </c>
      <c r="G19614" s="0" t="s">
        <v>29</v>
      </c>
      <c r="H19614" s="5">
        <v>60.069000</v>
      </c>
    </row>
    <row r="19615" spans="1:9">
      <c r="A19615" s="22" t="str">
        <f>HYPERLINK("https://app.vivvix.com/360/KMI/IntelliDrive/ApplUI/Pages/CreativePages/CustomReportCreativeDetail.aspx?App=23&amp;ReportView=4&amp;Qid=1711279&amp;Row=19607&amp;Col=1","No Title Assigned - #15278637828")</f>
        <v/>
      </c>
      <c r="B19615" s="0" t="s">
        <v>25980</v>
      </c>
      <c r="C19615" s="0" t="s">
        <v>25981</v>
      </c>
      <c r="D19615" s="0" t="s">
        <v>25075</v>
      </c>
      <c r="E19615" s="0" t="inlineStr">
        <is>
          <t xml:space="preserve">Mazda</t>
        </is>
      </c>
      <c r="F19615" s="0" t="s">
        <v>28</v>
      </c>
      <c r="G19615" s="0" t="s">
        <v>29</v>
      </c>
      <c r="H19615" s="5">
        <v>230.790200</v>
      </c>
    </row>
    <row r="19616" spans="1:9">
      <c r="A19616" s="22" t="str">
        <f>HYPERLINK("https://app.vivvix.com/360/KMI/IntelliDrive/ApplUI/Pages/CreativePages/CustomReportCreativeDetail.aspx?App=23&amp;ReportView=4&amp;Qid=1711279&amp;Row=19608&amp;Col=1","No Title Assigned - #15278638140")</f>
        <v/>
      </c>
      <c r="B19616" s="0" t="s">
        <v>25982</v>
      </c>
      <c r="E19616" s="0" t="inlineStr">
        <is>
          <t xml:space="preserve">Mazda</t>
        </is>
      </c>
      <c r="F19616" s="0" t="s">
        <v>28</v>
      </c>
      <c r="G19616" s="0" t="s">
        <v>29</v>
      </c>
      <c r="H19616" s="5">
        <v>59.888100</v>
      </c>
    </row>
    <row r="19617" spans="1:9">
      <c r="A19617" s="22" t="str">
        <f>HYPERLINK("https://app.vivvix.com/360/KMI/IntelliDrive/ApplUI/Pages/CreativePages/CustomReportCreativeDetail.aspx?App=23&amp;ReportView=4&amp;Qid=1711279&amp;Row=19609&amp;Col=1","No Title Assigned - #15278638140")</f>
        <v/>
      </c>
      <c r="B19617" s="0" t="s">
        <v>25982</v>
      </c>
      <c r="C19617" s="0" t="s">
        <v>25983</v>
      </c>
      <c r="D19617" s="0" t="s">
        <v>25983</v>
      </c>
      <c r="E19617" s="0" t="inlineStr">
        <is>
          <t xml:space="preserve">Mazda</t>
        </is>
      </c>
      <c r="F19617" s="0" t="s">
        <v>28</v>
      </c>
      <c r="G19617" s="0" t="s">
        <v>29</v>
      </c>
      <c r="H19617" s="5">
        <v>751.675900</v>
      </c>
    </row>
    <row r="19618" spans="1:9">
      <c r="A19618" s="22" t="str">
        <f>HYPERLINK("https://app.vivvix.com/360/KMI/IntelliDrive/ApplUI/Pages/CreativePages/CustomReportCreativeDetail.aspx?App=23&amp;ReportView=4&amp;Qid=1711279&amp;Row=19610&amp;Col=1","No Title Assigned - #15278638737")</f>
        <v/>
      </c>
      <c r="B19618" s="0" t="s">
        <v>25984</v>
      </c>
      <c r="C19618" s="0" t="s">
        <v>25985</v>
      </c>
      <c r="D19618" s="0" t="s">
        <v>25985</v>
      </c>
      <c r="E19618" s="0" t="inlineStr">
        <is>
          <t xml:space="preserve">Mazda</t>
        </is>
      </c>
      <c r="F19618" s="0" t="s">
        <v>28</v>
      </c>
      <c r="G19618" s="0" t="s">
        <v>29</v>
      </c>
      <c r="H19618" s="5">
        <v>338.048300</v>
      </c>
    </row>
    <row r="19619" spans="1:9">
      <c r="A19619" s="22" t="str">
        <f>HYPERLINK("https://app.vivvix.com/360/KMI/IntelliDrive/ApplUI/Pages/CreativePages/CustomReportCreativeDetail.aspx?App=23&amp;ReportView=4&amp;Qid=1711279&amp;Row=19611&amp;Col=1","No Title Assigned - #15278638992")</f>
        <v/>
      </c>
      <c r="B19619" s="0" t="s">
        <v>25986</v>
      </c>
      <c r="C19619" s="0" t="s">
        <v>25987</v>
      </c>
      <c r="D19619" s="0" t="s">
        <v>25987</v>
      </c>
      <c r="E19619" s="0" t="inlineStr">
        <is>
          <t xml:space="preserve">Mazda</t>
        </is>
      </c>
      <c r="F19619" s="0" t="s">
        <v>28</v>
      </c>
      <c r="G19619" s="0" t="s">
        <v>29</v>
      </c>
      <c r="H19619" s="5">
        <v>1242.297900</v>
      </c>
    </row>
    <row r="19620" spans="1:9">
      <c r="A19620" s="22" t="str">
        <f>HYPERLINK("https://app.vivvix.com/360/KMI/IntelliDrive/ApplUI/Pages/CreativePages/CustomReportCreativeDetail.aspx?App=23&amp;ReportView=4&amp;Qid=1711279&amp;Row=19612&amp;Col=1","No Title Assigned - #15278639099")</f>
        <v/>
      </c>
      <c r="B19620" s="0" t="s">
        <v>25988</v>
      </c>
      <c r="C19620" s="0" t="s">
        <v>25989</v>
      </c>
      <c r="D19620" s="0" t="s">
        <v>25989</v>
      </c>
      <c r="E19620" s="0" t="inlineStr">
        <is>
          <t xml:space="preserve">Mazda</t>
        </is>
      </c>
      <c r="F19620" s="0" t="s">
        <v>28</v>
      </c>
      <c r="G19620" s="0" t="s">
        <v>29</v>
      </c>
      <c r="H19620" s="5">
        <v>23.855000</v>
      </c>
    </row>
    <row r="19621" spans="1:9">
      <c r="A19621" s="22" t="str">
        <f>HYPERLINK("https://app.vivvix.com/360/KMI/IntelliDrive/ApplUI/Pages/CreativePages/CustomReportCreativeDetail.aspx?App=23&amp;ReportView=4&amp;Qid=1711279&amp;Row=19613&amp;Col=1","No Title Assigned - #15278641943")</f>
        <v/>
      </c>
      <c r="B19621" s="0" t="s">
        <v>25990</v>
      </c>
      <c r="C19621" s="0" t="s">
        <v>25991</v>
      </c>
      <c r="D19621" s="0" t="s">
        <v>16579</v>
      </c>
      <c r="E19621" s="0" t="inlineStr">
        <is>
          <t xml:space="preserve">Mazda</t>
        </is>
      </c>
      <c r="F19621" s="0" t="s">
        <v>28</v>
      </c>
      <c r="G19621" s="0" t="s">
        <v>29</v>
      </c>
      <c r="H19621" s="5">
        <v>350.531100</v>
      </c>
    </row>
    <row r="19622" spans="1:9">
      <c r="A19622" s="22" t="str">
        <f>HYPERLINK("https://app.vivvix.com/360/KMI/IntelliDrive/ApplUI/Pages/CreativePages/CustomReportCreativeDetail.aspx?App=23&amp;ReportView=4&amp;Qid=1711279&amp;Row=19614&amp;Col=1","No Title Assigned - #15278642406")</f>
        <v/>
      </c>
      <c r="B19622" s="0" t="s">
        <v>25992</v>
      </c>
      <c r="C19622" s="0" t="s">
        <v>25993</v>
      </c>
      <c r="D19622" s="0" t="s">
        <v>6317</v>
      </c>
      <c r="E19622" s="0" t="inlineStr">
        <is>
          <t xml:space="preserve">Mazda</t>
        </is>
      </c>
      <c r="F19622" s="0" t="s">
        <v>28</v>
      </c>
      <c r="G19622" s="0" t="s">
        <v>29</v>
      </c>
      <c r="H19622" s="5">
        <v>23.197500</v>
      </c>
    </row>
    <row r="19623" spans="1:9">
      <c r="A19623" s="22" t="str">
        <f>HYPERLINK("https://app.vivvix.com/360/KMI/IntelliDrive/ApplUI/Pages/CreativePages/CustomReportCreativeDetail.aspx?App=23&amp;ReportView=4&amp;Qid=1711279&amp;Row=19615&amp;Col=1","No Title Assigned - #15278644185")</f>
        <v/>
      </c>
      <c r="B19623" s="0" t="s">
        <v>25994</v>
      </c>
      <c r="C19623" s="0" t="s">
        <v>25995</v>
      </c>
      <c r="D19623" s="0" t="s">
        <v>25995</v>
      </c>
      <c r="E19623" s="0" t="inlineStr">
        <is>
          <t xml:space="preserve">Mazda</t>
        </is>
      </c>
      <c r="F19623" s="0" t="s">
        <v>28</v>
      </c>
      <c r="G19623" s="0" t="s">
        <v>29</v>
      </c>
      <c r="H19623" s="5">
        <v>2.142400</v>
      </c>
    </row>
    <row r="19624" spans="1:9">
      <c r="A19624" s="22" t="str">
        <f>HYPERLINK("https://app.vivvix.com/360/KMI/IntelliDrive/ApplUI/Pages/CreativePages/CustomReportCreativeDetail.aspx?App=23&amp;ReportView=4&amp;Qid=1711279&amp;Row=19616&amp;Col=1","No Title Assigned - #15278644268")</f>
        <v/>
      </c>
      <c r="B19624" s="0" t="s">
        <v>25996</v>
      </c>
      <c r="C19624" s="0" t="s">
        <v>25997</v>
      </c>
      <c r="D19624" s="0" t="s">
        <v>25997</v>
      </c>
      <c r="E19624" s="0" t="inlineStr">
        <is>
          <t xml:space="preserve">Mazda</t>
        </is>
      </c>
      <c r="F19624" s="0" t="s">
        <v>28</v>
      </c>
      <c r="G19624" s="0" t="s">
        <v>29</v>
      </c>
      <c r="H19624" s="5">
        <v>36.944000</v>
      </c>
    </row>
    <row r="19625" spans="1:9">
      <c r="A19625" s="22" t="str">
        <f>HYPERLINK("https://app.vivvix.com/360/KMI/IntelliDrive/ApplUI/Pages/CreativePages/CustomReportCreativeDetail.aspx?App=23&amp;ReportView=4&amp;Qid=1711279&amp;Row=19617&amp;Col=1","No Title Assigned - #15278644629")</f>
        <v/>
      </c>
      <c r="B19625" s="0" t="s">
        <v>25998</v>
      </c>
      <c r="C19625" s="0" t="s">
        <v>25999</v>
      </c>
      <c r="D19625" s="0" t="s">
        <v>16691</v>
      </c>
      <c r="E19625" s="0" t="inlineStr">
        <is>
          <t xml:space="preserve">Mazda</t>
        </is>
      </c>
      <c r="F19625" s="0" t="s">
        <v>28</v>
      </c>
      <c r="G19625" s="0" t="s">
        <v>29</v>
      </c>
      <c r="H19625" s="5">
        <v>434.603400</v>
      </c>
    </row>
    <row r="19626" spans="1:9">
      <c r="A19626" s="22" t="str">
        <f>HYPERLINK("https://app.vivvix.com/360/KMI/IntelliDrive/ApplUI/Pages/CreativePages/CustomReportCreativeDetail.aspx?App=23&amp;ReportView=4&amp;Qid=1711279&amp;Row=19618&amp;Col=1","No Title Assigned - #15278645141")</f>
        <v/>
      </c>
      <c r="B19626" s="0" t="s">
        <v>26000</v>
      </c>
      <c r="C19626" s="0" t="s">
        <v>26001</v>
      </c>
      <c r="D19626" s="0" t="s">
        <v>26001</v>
      </c>
      <c r="E19626" s="0" t="inlineStr">
        <is>
          <t xml:space="preserve">Mazda</t>
        </is>
      </c>
      <c r="F19626" s="0" t="s">
        <v>28</v>
      </c>
      <c r="G19626" s="0" t="s">
        <v>29</v>
      </c>
      <c r="H19626" s="5">
        <v>432.353600</v>
      </c>
    </row>
    <row r="19627" spans="1:9">
      <c r="A19627" s="22" t="str">
        <f>HYPERLINK("https://app.vivvix.com/360/KMI/IntelliDrive/ApplUI/Pages/CreativePages/CustomReportCreativeDetail.aspx?App=23&amp;ReportView=4&amp;Qid=1711279&amp;Row=19619&amp;Col=1","No Title Assigned - #15278645452")</f>
        <v/>
      </c>
      <c r="B19627" s="0" t="s">
        <v>26002</v>
      </c>
      <c r="C19627" s="0" t="s">
        <v>26003</v>
      </c>
      <c r="D19627" s="0" t="s">
        <v>4225</v>
      </c>
      <c r="E19627" s="0" t="inlineStr">
        <is>
          <t xml:space="preserve">Mazda</t>
        </is>
      </c>
      <c r="F19627" s="0" t="s">
        <v>28</v>
      </c>
      <c r="G19627" s="0" t="s">
        <v>29</v>
      </c>
      <c r="H19627" s="5">
        <v>254.225200</v>
      </c>
    </row>
    <row r="19628" spans="1:9">
      <c r="A19628" s="22" t="str">
        <f>HYPERLINK("https://app.vivvix.com/360/KMI/IntelliDrive/ApplUI/Pages/CreativePages/CustomReportCreativeDetail.aspx?App=23&amp;ReportView=4&amp;Qid=1711279&amp;Row=19620&amp;Col=1","No Title Assigned - #15278646179")</f>
        <v/>
      </c>
      <c r="B19628" s="0" t="s">
        <v>26004</v>
      </c>
      <c r="C19628" s="0" t="s">
        <v>26005</v>
      </c>
      <c r="D19628" s="0" t="s">
        <v>4781</v>
      </c>
      <c r="E19628" s="0" t="inlineStr">
        <is>
          <t xml:space="preserve">Mazda</t>
        </is>
      </c>
      <c r="F19628" s="0" t="s">
        <v>28</v>
      </c>
      <c r="G19628" s="0" t="s">
        <v>29</v>
      </c>
      <c r="H19628" s="5">
        <v>126.633500</v>
      </c>
    </row>
    <row r="19629" spans="1:9">
      <c r="A19629" s="22" t="str">
        <f>HYPERLINK("https://app.vivvix.com/360/KMI/IntelliDrive/ApplUI/Pages/CreativePages/CustomReportCreativeDetail.aspx?App=23&amp;ReportView=4&amp;Qid=1711279&amp;Row=19621&amp;Col=1","No Title Assigned - #15278646648")</f>
        <v/>
      </c>
      <c r="B19629" s="0" t="s">
        <v>26006</v>
      </c>
      <c r="C19629" s="0" t="s">
        <v>26007</v>
      </c>
      <c r="D19629" s="0" t="s">
        <v>26007</v>
      </c>
      <c r="E19629" s="0" t="inlineStr">
        <is>
          <t xml:space="preserve">Mazda</t>
        </is>
      </c>
      <c r="F19629" s="0" t="s">
        <v>28</v>
      </c>
      <c r="G19629" s="0" t="s">
        <v>29</v>
      </c>
      <c r="H19629" s="5">
        <v>910.108500</v>
      </c>
    </row>
    <row r="19630" spans="1:9">
      <c r="A19630" s="22" t="str">
        <f>HYPERLINK("https://app.vivvix.com/360/KMI/IntelliDrive/ApplUI/Pages/CreativePages/CustomReportCreativeDetail.aspx?App=23&amp;ReportView=4&amp;Qid=1711279&amp;Row=19622&amp;Col=1","No Title Assigned - #15278646648")</f>
        <v/>
      </c>
      <c r="B19630" s="0" t="s">
        <v>26006</v>
      </c>
      <c r="E19630" s="0" t="inlineStr">
        <is>
          <t xml:space="preserve">Mazda</t>
        </is>
      </c>
      <c r="F19630" s="0" t="s">
        <v>28</v>
      </c>
      <c r="G19630" s="0" t="s">
        <v>29</v>
      </c>
      <c r="H19630" s="5">
        <v>1089.277500</v>
      </c>
    </row>
    <row r="19631" spans="1:9">
      <c r="A19631" s="22" t="str">
        <f>HYPERLINK("https://app.vivvix.com/360/KMI/IntelliDrive/ApplUI/Pages/CreativePages/CustomReportCreativeDetail.aspx?App=23&amp;ReportView=4&amp;Qid=1711279&amp;Row=19623&amp;Col=1","No Title Assigned - #15278646732")</f>
        <v/>
      </c>
      <c r="B19631" s="0" t="s">
        <v>26008</v>
      </c>
      <c r="C19631" s="0" t="s">
        <v>26009</v>
      </c>
      <c r="D19631" s="0" t="s">
        <v>16579</v>
      </c>
      <c r="E19631" s="0" t="inlineStr">
        <is>
          <t xml:space="preserve">Mazda</t>
        </is>
      </c>
      <c r="F19631" s="0" t="s">
        <v>28</v>
      </c>
      <c r="G19631" s="0" t="s">
        <v>29</v>
      </c>
      <c r="H19631" s="5">
        <v>581.764000</v>
      </c>
    </row>
    <row r="19632" spans="1:9">
      <c r="A19632" s="22" t="str">
        <f>HYPERLINK("https://app.vivvix.com/360/KMI/IntelliDrive/ApplUI/Pages/CreativePages/CustomReportCreativeDetail.aspx?App=23&amp;ReportView=4&amp;Qid=1711279&amp;Row=19624&amp;Col=1","No Title Assigned - #15278647410")</f>
        <v/>
      </c>
      <c r="B19632" s="0" t="s">
        <v>26010</v>
      </c>
      <c r="C19632" s="0" t="s">
        <v>26011</v>
      </c>
      <c r="D19632" s="0" t="s">
        <v>26011</v>
      </c>
      <c r="E19632" s="0" t="inlineStr">
        <is>
          <t xml:space="preserve">Mazda</t>
        </is>
      </c>
      <c r="F19632" s="0" t="s">
        <v>28</v>
      </c>
      <c r="G19632" s="0" t="s">
        <v>29</v>
      </c>
      <c r="H19632" s="5">
        <v>71.565000</v>
      </c>
    </row>
    <row r="19633" spans="1:9">
      <c r="A19633" s="22" t="str">
        <f>HYPERLINK("https://app.vivvix.com/360/KMI/IntelliDrive/ApplUI/Pages/CreativePages/CustomReportCreativeDetail.aspx?App=23&amp;ReportView=4&amp;Qid=1711279&amp;Row=19625&amp;Col=1","No Title Assigned - #15278648078")</f>
        <v/>
      </c>
      <c r="B19633" s="0" t="s">
        <v>26012</v>
      </c>
      <c r="C19633" s="0" t="s">
        <v>26013</v>
      </c>
      <c r="D19633" s="0" t="s">
        <v>17743</v>
      </c>
      <c r="E19633" s="0" t="inlineStr">
        <is>
          <t xml:space="preserve">Mazda</t>
        </is>
      </c>
      <c r="F19633" s="0" t="s">
        <v>13</v>
      </c>
      <c r="G19633" s="0" t="s">
        <v>49</v>
      </c>
      <c r="H19633" s="5">
        <v>0.770800</v>
      </c>
    </row>
    <row r="19634" spans="1:9">
      <c r="A19634" s="22" t="str">
        <f>HYPERLINK("https://app.vivvix.com/360/KMI/IntelliDrive/ApplUI/Pages/CreativePages/CustomReportCreativeDetail.aspx?App=23&amp;ReportView=4&amp;Qid=1711279&amp;Row=19626&amp;Col=1","No Title Assigned - #15278648866")</f>
        <v/>
      </c>
      <c r="B19634" s="0" t="s">
        <v>26014</v>
      </c>
      <c r="C19634" s="0" t="s">
        <v>26015</v>
      </c>
      <c r="D19634" s="0" t="s">
        <v>26015</v>
      </c>
      <c r="E19634" s="0" t="inlineStr">
        <is>
          <t xml:space="preserve">Mazda</t>
        </is>
      </c>
      <c r="F19634" s="0" t="s">
        <v>28</v>
      </c>
      <c r="G19634" s="0" t="s">
        <v>29</v>
      </c>
      <c r="H19634" s="5">
        <v>11.927500</v>
      </c>
    </row>
    <row r="19635" spans="1:9">
      <c r="A19635" s="22" t="str">
        <f>HYPERLINK("https://app.vivvix.com/360/KMI/IntelliDrive/ApplUI/Pages/CreativePages/CustomReportCreativeDetail.aspx?App=23&amp;ReportView=4&amp;Qid=1711279&amp;Row=19627&amp;Col=1","No Title Assigned - #15278648867")</f>
        <v/>
      </c>
      <c r="B19635" s="0" t="s">
        <v>26016</v>
      </c>
      <c r="C19635" s="0" t="s">
        <v>26017</v>
      </c>
      <c r="D19635" s="0" t="s">
        <v>26017</v>
      </c>
      <c r="E19635" s="0" t="inlineStr">
        <is>
          <t xml:space="preserve">Mazda</t>
        </is>
      </c>
      <c r="F19635" s="0" t="s">
        <v>28</v>
      </c>
      <c r="G19635" s="0" t="s">
        <v>29</v>
      </c>
      <c r="H19635" s="5">
        <v>11.927500</v>
      </c>
    </row>
    <row r="19636" spans="1:9">
      <c r="A19636" s="22" t="str">
        <f>HYPERLINK("https://app.vivvix.com/360/KMI/IntelliDrive/ApplUI/Pages/CreativePages/CustomReportCreativeDetail.aspx?App=23&amp;ReportView=4&amp;Qid=1711279&amp;Row=19628&amp;Col=1","No Title Assigned - #15278648869")</f>
        <v/>
      </c>
      <c r="B19636" s="0" t="s">
        <v>26018</v>
      </c>
      <c r="C19636" s="0" t="s">
        <v>26019</v>
      </c>
      <c r="D19636" s="0" t="s">
        <v>26019</v>
      </c>
      <c r="E19636" s="0" t="inlineStr">
        <is>
          <t xml:space="preserve">Mazda</t>
        </is>
      </c>
      <c r="F19636" s="0" t="s">
        <v>28</v>
      </c>
      <c r="G19636" s="0" t="s">
        <v>29</v>
      </c>
      <c r="H19636" s="5">
        <v>11.927500</v>
      </c>
    </row>
    <row r="19637" spans="1:9">
      <c r="A19637" s="22" t="str">
        <f>HYPERLINK("https://app.vivvix.com/360/KMI/IntelliDrive/ApplUI/Pages/CreativePages/CustomReportCreativeDetail.aspx?App=23&amp;ReportView=4&amp;Qid=1711279&amp;Row=19629&amp;Col=1","No Title Assigned - #15278651219")</f>
        <v/>
      </c>
      <c r="B19637" s="0" t="s">
        <v>26020</v>
      </c>
      <c r="C19637" s="0" t="s">
        <v>26021</v>
      </c>
      <c r="D19637" s="0" t="s">
        <v>4202</v>
      </c>
      <c r="E19637" s="0" t="inlineStr">
        <is>
          <t xml:space="preserve">Mazda</t>
        </is>
      </c>
      <c r="F19637" s="0" t="s">
        <v>28</v>
      </c>
      <c r="G19637" s="0" t="s">
        <v>29</v>
      </c>
      <c r="H19637" s="5">
        <v>172.537100</v>
      </c>
    </row>
    <row r="19638" spans="1:9">
      <c r="A19638" s="22" t="str">
        <f>HYPERLINK("https://app.vivvix.com/360/KMI/IntelliDrive/ApplUI/Pages/CreativePages/CustomReportCreativeDetail.aspx?App=23&amp;ReportView=4&amp;Qid=1711279&amp;Row=19630&amp;Col=1","No Title Assigned - #15278651588")</f>
        <v/>
      </c>
      <c r="B19638" s="0" t="s">
        <v>26022</v>
      </c>
      <c r="C19638" s="0" t="s">
        <v>26023</v>
      </c>
      <c r="D19638" s="0" t="s">
        <v>6204</v>
      </c>
      <c r="E19638" s="0" t="inlineStr">
        <is>
          <t xml:space="preserve">Mazda</t>
        </is>
      </c>
      <c r="F19638" s="0" t="s">
        <v>28</v>
      </c>
      <c r="G19638" s="0" t="s">
        <v>29</v>
      </c>
      <c r="H19638" s="5">
        <v>63.085200</v>
      </c>
    </row>
    <row r="19639" spans="1:9">
      <c r="A19639" s="22" t="str">
        <f>HYPERLINK("https://app.vivvix.com/360/KMI/IntelliDrive/ApplUI/Pages/CreativePages/CustomReportCreativeDetail.aspx?App=23&amp;ReportView=4&amp;Qid=1711279&amp;Row=19631&amp;Col=1","No Title Assigned - #15278652230")</f>
        <v/>
      </c>
      <c r="B19639" s="0" t="s">
        <v>26024</v>
      </c>
      <c r="C19639" s="0" t="s">
        <v>26025</v>
      </c>
      <c r="D19639" s="0" t="s">
        <v>10311</v>
      </c>
      <c r="E19639" s="0" t="inlineStr">
        <is>
          <t xml:space="preserve">Mazda</t>
        </is>
      </c>
      <c r="F19639" s="0" t="s">
        <v>13</v>
      </c>
      <c r="G19639" s="0" t="s">
        <v>49</v>
      </c>
      <c r="H19639" s="5">
        <v>89.280900</v>
      </c>
    </row>
    <row r="19640" spans="1:9">
      <c r="A19640" s="22" t="str">
        <f>HYPERLINK("https://app.vivvix.com/360/KMI/IntelliDrive/ApplUI/Pages/CreativePages/CustomReportCreativeDetail.aspx?App=23&amp;ReportView=4&amp;Qid=1711279&amp;Row=19632&amp;Col=1","No Title Assigned - #15278655047")</f>
        <v/>
      </c>
      <c r="B19640" s="0" t="s">
        <v>26026</v>
      </c>
      <c r="C19640" s="0" t="s">
        <v>26027</v>
      </c>
      <c r="D19640" s="0" t="s">
        <v>26027</v>
      </c>
      <c r="E19640" s="0" t="inlineStr">
        <is>
          <t xml:space="preserve">Mazda</t>
        </is>
      </c>
      <c r="F19640" s="0" t="s">
        <v>13</v>
      </c>
      <c r="G19640" s="0" t="s">
        <v>49</v>
      </c>
      <c r="H19640" s="5">
        <v>58.195100</v>
      </c>
    </row>
    <row r="19641" spans="1:9">
      <c r="A19641" s="22" t="str">
        <f>HYPERLINK("https://app.vivvix.com/360/KMI/IntelliDrive/ApplUI/Pages/CreativePages/CustomReportCreativeDetail.aspx?App=23&amp;ReportView=4&amp;Qid=1711279&amp;Row=19633&amp;Col=1","No Title Assigned - #15278655047")</f>
        <v/>
      </c>
      <c r="B19641" s="0" t="s">
        <v>26026</v>
      </c>
      <c r="E19641" s="0" t="inlineStr">
        <is>
          <t xml:space="preserve">Mazda</t>
        </is>
      </c>
      <c r="F19641" s="0" t="s">
        <v>13</v>
      </c>
      <c r="G19641" s="0" t="s">
        <v>49</v>
      </c>
      <c r="H19641" s="5">
        <v>50.404100</v>
      </c>
    </row>
    <row r="19642" spans="1:9">
      <c r="A19642" s="22" t="str">
        <f>HYPERLINK("https://app.vivvix.com/360/KMI/IntelliDrive/ApplUI/Pages/CreativePages/CustomReportCreativeDetail.aspx?App=23&amp;ReportView=4&amp;Qid=1711279&amp;Row=19634&amp;Col=1","No Title Assigned - #15278655419")</f>
        <v/>
      </c>
      <c r="B19642" s="0" t="s">
        <v>26028</v>
      </c>
      <c r="C19642" s="0" t="s">
        <v>26029</v>
      </c>
      <c r="D19642" s="0" t="s">
        <v>26029</v>
      </c>
      <c r="E19642" s="0" t="inlineStr">
        <is>
          <t xml:space="preserve">Mazda</t>
        </is>
      </c>
      <c r="F19642" s="0" t="s">
        <v>28</v>
      </c>
      <c r="G19642" s="0" t="s">
        <v>29</v>
      </c>
      <c r="H19642" s="5">
        <v>2.142400</v>
      </c>
    </row>
    <row r="19643" spans="1:9">
      <c r="A19643" s="22" t="str">
        <f>HYPERLINK("https://app.vivvix.com/360/KMI/IntelliDrive/ApplUI/Pages/CreativePages/CustomReportCreativeDetail.aspx?App=23&amp;ReportView=4&amp;Qid=1711279&amp;Row=19635&amp;Col=1","No Title Assigned - #15278655741")</f>
        <v/>
      </c>
      <c r="B19643" s="0" t="s">
        <v>26030</v>
      </c>
      <c r="C19643" s="0" t="s">
        <v>26031</v>
      </c>
      <c r="D19643" s="0" t="s">
        <v>26031</v>
      </c>
      <c r="E19643" s="0" t="inlineStr">
        <is>
          <t xml:space="preserve">Mazda</t>
        </is>
      </c>
      <c r="F19643" s="0" t="s">
        <v>28</v>
      </c>
      <c r="G19643" s="0" t="s">
        <v>29</v>
      </c>
      <c r="H19643" s="5">
        <v>11.927500</v>
      </c>
    </row>
    <row r="19644" spans="1:9">
      <c r="A19644" s="22" t="str">
        <f>HYPERLINK("https://app.vivvix.com/360/KMI/IntelliDrive/ApplUI/Pages/CreativePages/CustomReportCreativeDetail.aspx?App=23&amp;ReportView=4&amp;Qid=1711279&amp;Row=19636&amp;Col=1","No Title Assigned - #15278655742")</f>
        <v/>
      </c>
      <c r="B19644" s="0" t="s">
        <v>26032</v>
      </c>
      <c r="C19644" s="0" t="s">
        <v>26033</v>
      </c>
      <c r="D19644" s="0" t="s">
        <v>26033</v>
      </c>
      <c r="E19644" s="0" t="inlineStr">
        <is>
          <t xml:space="preserve">Mazda</t>
        </is>
      </c>
      <c r="F19644" s="0" t="s">
        <v>28</v>
      </c>
      <c r="G19644" s="0" t="s">
        <v>29</v>
      </c>
      <c r="H19644" s="5">
        <v>11.927500</v>
      </c>
    </row>
    <row r="19645" spans="1:9">
      <c r="A19645" s="22" t="str">
        <f>HYPERLINK("https://app.vivvix.com/360/KMI/IntelliDrive/ApplUI/Pages/CreativePages/CustomReportCreativeDetail.aspx?App=23&amp;ReportView=4&amp;Qid=1711279&amp;Row=19637&amp;Col=1","No Title Assigned - #15278655743")</f>
        <v/>
      </c>
      <c r="B19645" s="0" t="s">
        <v>26034</v>
      </c>
      <c r="C19645" s="0" t="s">
        <v>26035</v>
      </c>
      <c r="D19645" s="0" t="s">
        <v>26035</v>
      </c>
      <c r="E19645" s="0" t="inlineStr">
        <is>
          <t xml:space="preserve">Mazda</t>
        </is>
      </c>
      <c r="F19645" s="0" t="s">
        <v>28</v>
      </c>
      <c r="G19645" s="0" t="s">
        <v>29</v>
      </c>
      <c r="H19645" s="5">
        <v>11.927500</v>
      </c>
    </row>
    <row r="19646" spans="1:9">
      <c r="A19646" s="22" t="str">
        <f>HYPERLINK("https://app.vivvix.com/360/KMI/IntelliDrive/ApplUI/Pages/CreativePages/CustomReportCreativeDetail.aspx?App=23&amp;ReportView=4&amp;Qid=1711279&amp;Row=19638&amp;Col=1","No Title Assigned - #15278657578")</f>
        <v/>
      </c>
      <c r="B19646" s="0" t="s">
        <v>26036</v>
      </c>
      <c r="C19646" s="0" t="s">
        <v>26037</v>
      </c>
      <c r="D19646" s="0" t="s">
        <v>26037</v>
      </c>
      <c r="E19646" s="0" t="inlineStr">
        <is>
          <t xml:space="preserve">Mazda</t>
        </is>
      </c>
      <c r="F19646" s="0" t="s">
        <v>28</v>
      </c>
      <c r="G19646" s="0" t="s">
        <v>29</v>
      </c>
      <c r="H19646" s="5">
        <v>6.427200</v>
      </c>
    </row>
    <row r="19647" spans="1:9">
      <c r="A19647" s="22" t="str">
        <f>HYPERLINK("https://app.vivvix.com/360/KMI/IntelliDrive/ApplUI/Pages/CreativePages/CustomReportCreativeDetail.aspx?App=23&amp;ReportView=4&amp;Qid=1711279&amp;Row=19639&amp;Col=1","No Title Assigned - #15278657593")</f>
        <v/>
      </c>
      <c r="B19647" s="0" t="s">
        <v>26038</v>
      </c>
      <c r="E19647" s="0" t="inlineStr">
        <is>
          <t xml:space="preserve">Mazda</t>
        </is>
      </c>
      <c r="F19647" s="0" t="s">
        <v>13</v>
      </c>
      <c r="G19647" s="0" t="s">
        <v>49</v>
      </c>
      <c r="H19647" s="5">
        <v>9067.755700</v>
      </c>
    </row>
    <row r="19648" spans="1:9">
      <c r="A19648" s="22" t="str">
        <f>HYPERLINK("https://app.vivvix.com/360/KMI/IntelliDrive/ApplUI/Pages/CreativePages/CustomReportCreativeDetail.aspx?App=23&amp;ReportView=4&amp;Qid=1711279&amp;Row=19640&amp;Col=1","No Title Assigned - #15278657593")</f>
        <v/>
      </c>
      <c r="B19648" s="0" t="s">
        <v>26038</v>
      </c>
      <c r="C19648" s="0" t="s">
        <v>26039</v>
      </c>
      <c r="D19648" s="0" t="s">
        <v>26039</v>
      </c>
      <c r="E19648" s="0" t="inlineStr">
        <is>
          <t xml:space="preserve">Mazda</t>
        </is>
      </c>
      <c r="F19648" s="0" t="s">
        <v>13</v>
      </c>
      <c r="G19648" s="0" t="s">
        <v>49</v>
      </c>
      <c r="H19648" s="5">
        <v>5326.603700</v>
      </c>
    </row>
    <row r="19649" spans="1:9">
      <c r="A19649" s="22" t="str">
        <f>HYPERLINK("https://app.vivvix.com/360/KMI/IntelliDrive/ApplUI/Pages/CreativePages/CustomReportCreativeDetail.aspx?App=23&amp;ReportView=4&amp;Qid=1711279&amp;Row=19641&amp;Col=1","No Title Assigned - #15278657988")</f>
        <v/>
      </c>
      <c r="B19649" s="0" t="s">
        <v>26040</v>
      </c>
      <c r="C19649" s="0" t="s">
        <v>26041</v>
      </c>
      <c r="D19649" s="0" t="s">
        <v>4225</v>
      </c>
      <c r="E19649" s="0" t="inlineStr">
        <is>
          <t xml:space="preserve">Mazda</t>
        </is>
      </c>
      <c r="F19649" s="0" t="s">
        <v>28</v>
      </c>
      <c r="G19649" s="0" t="s">
        <v>29</v>
      </c>
      <c r="H19649" s="5">
        <v>284.144100</v>
      </c>
    </row>
    <row r="19650" spans="1:9">
      <c r="A19650" s="22" t="str">
        <f>HYPERLINK("https://app.vivvix.com/360/KMI/IntelliDrive/ApplUI/Pages/CreativePages/CustomReportCreativeDetail.aspx?App=23&amp;ReportView=4&amp;Qid=1711279&amp;Row=19642&amp;Col=1","No Title Assigned - #15278658719")</f>
        <v/>
      </c>
      <c r="B19650" s="0" t="s">
        <v>26042</v>
      </c>
      <c r="C19650" s="0" t="s">
        <v>26043</v>
      </c>
      <c r="D19650" s="0" t="s">
        <v>26043</v>
      </c>
      <c r="E19650" s="0" t="inlineStr">
        <is>
          <t xml:space="preserve">Mazda</t>
        </is>
      </c>
      <c r="F19650" s="0" t="s">
        <v>28</v>
      </c>
      <c r="G19650" s="0" t="s">
        <v>29</v>
      </c>
      <c r="H19650" s="5">
        <v>115.882500</v>
      </c>
    </row>
    <row r="19651" spans="1:9">
      <c r="A19651" s="22" t="str">
        <f>HYPERLINK("https://app.vivvix.com/360/KMI/IntelliDrive/ApplUI/Pages/CreativePages/CustomReportCreativeDetail.aspx?App=23&amp;ReportView=4&amp;Qid=1711279&amp;Row=19643&amp;Col=1","No Title Assigned - #15278658719")</f>
        <v/>
      </c>
      <c r="B19651" s="0" t="s">
        <v>26042</v>
      </c>
      <c r="E19651" s="0" t="inlineStr">
        <is>
          <t xml:space="preserve">Mazda</t>
        </is>
      </c>
      <c r="F19651" s="0" t="s">
        <v>28</v>
      </c>
      <c r="G19651" s="0" t="s">
        <v>29</v>
      </c>
      <c r="H19651" s="5">
        <v>566.184500</v>
      </c>
    </row>
    <row r="19652" spans="1:9">
      <c r="A19652" s="22" t="str">
        <f>HYPERLINK("https://app.vivvix.com/360/KMI/IntelliDrive/ApplUI/Pages/CreativePages/CustomReportCreativeDetail.aspx?App=23&amp;ReportView=4&amp;Qid=1711279&amp;Row=19644&amp;Col=1","No Title Assigned - #15278659774")</f>
        <v/>
      </c>
      <c r="B19652" s="0" t="s">
        <v>26044</v>
      </c>
      <c r="C19652" s="0" t="s">
        <v>26045</v>
      </c>
      <c r="D19652" s="0" t="s">
        <v>4418</v>
      </c>
      <c r="E19652" s="0" t="inlineStr">
        <is>
          <t xml:space="preserve">Mazda</t>
        </is>
      </c>
      <c r="F19652" s="0" t="s">
        <v>28</v>
      </c>
      <c r="G19652" s="0" t="s">
        <v>29</v>
      </c>
      <c r="H19652" s="5">
        <v>25.919200</v>
      </c>
    </row>
    <row r="19653" spans="1:9">
      <c r="A19653" s="22" t="str">
        <f>HYPERLINK("https://app.vivvix.com/360/KMI/IntelliDrive/ApplUI/Pages/CreativePages/CustomReportCreativeDetail.aspx?App=23&amp;ReportView=4&amp;Qid=1711279&amp;Row=19645&amp;Col=1","No Title Assigned - #15278659818")</f>
        <v/>
      </c>
      <c r="B19653" s="0" t="s">
        <v>26046</v>
      </c>
      <c r="C19653" s="0" t="s">
        <v>26047</v>
      </c>
      <c r="D19653" s="0" t="s">
        <v>26047</v>
      </c>
      <c r="E19653" s="0" t="inlineStr">
        <is>
          <t xml:space="preserve">Mazda</t>
        </is>
      </c>
      <c r="F19653" s="0" t="s">
        <v>28</v>
      </c>
      <c r="G19653" s="0" t="s">
        <v>29</v>
      </c>
      <c r="H19653" s="5">
        <v>11.927500</v>
      </c>
    </row>
    <row r="19654" spans="1:9">
      <c r="A19654" s="22" t="str">
        <f>HYPERLINK("https://app.vivvix.com/360/KMI/IntelliDrive/ApplUI/Pages/CreativePages/CustomReportCreativeDetail.aspx?App=23&amp;ReportView=4&amp;Qid=1711279&amp;Row=19646&amp;Col=1","No Title Assigned - #15278661460")</f>
        <v/>
      </c>
      <c r="B19654" s="0" t="s">
        <v>26048</v>
      </c>
      <c r="C19654" s="0" t="s">
        <v>26049</v>
      </c>
      <c r="D19654" s="0" t="s">
        <v>26049</v>
      </c>
      <c r="E19654" s="0" t="inlineStr">
        <is>
          <t xml:space="preserve">Mazda</t>
        </is>
      </c>
      <c r="F19654" s="0" t="s">
        <v>28</v>
      </c>
      <c r="G19654" s="0" t="s">
        <v>29</v>
      </c>
      <c r="H19654" s="5">
        <v>2150.048800</v>
      </c>
    </row>
    <row r="19655" spans="1:9">
      <c r="A19655" s="22" t="str">
        <f>HYPERLINK("https://app.vivvix.com/360/KMI/IntelliDrive/ApplUI/Pages/CreativePages/CustomReportCreativeDetail.aspx?App=23&amp;ReportView=4&amp;Qid=1711279&amp;Row=19647&amp;Col=1","No Title Assigned - #15278662272")</f>
        <v/>
      </c>
      <c r="B19655" s="0" t="s">
        <v>26050</v>
      </c>
      <c r="C19655" s="0" t="s">
        <v>26051</v>
      </c>
      <c r="D19655" s="0" t="s">
        <v>26051</v>
      </c>
      <c r="E19655" s="0" t="inlineStr">
        <is>
          <t xml:space="preserve">Mazda</t>
        </is>
      </c>
      <c r="F19655" s="0" t="s">
        <v>28</v>
      </c>
      <c r="G19655" s="0" t="s">
        <v>29</v>
      </c>
      <c r="H19655" s="5">
        <v>47.710000</v>
      </c>
    </row>
    <row r="19656" spans="1:9">
      <c r="A19656" s="22" t="str">
        <f>HYPERLINK("https://app.vivvix.com/360/KMI/IntelliDrive/ApplUI/Pages/CreativePages/CustomReportCreativeDetail.aspx?App=23&amp;ReportView=4&amp;Qid=1711279&amp;Row=19648&amp;Col=1","No Title Assigned - #15278662272")</f>
        <v/>
      </c>
      <c r="B19656" s="0" t="s">
        <v>26050</v>
      </c>
      <c r="E19656" s="0" t="inlineStr">
        <is>
          <t xml:space="preserve">Mazda</t>
        </is>
      </c>
      <c r="F19656" s="0" t="s">
        <v>28</v>
      </c>
      <c r="G19656" s="0" t="s">
        <v>29</v>
      </c>
      <c r="H19656" s="5">
        <v>826.358700</v>
      </c>
    </row>
    <row r="19657" spans="1:9">
      <c r="A19657" s="22" t="str">
        <f>HYPERLINK("https://app.vivvix.com/360/KMI/IntelliDrive/ApplUI/Pages/CreativePages/CustomReportCreativeDetail.aspx?App=23&amp;ReportView=4&amp;Qid=1711279&amp;Row=19649&amp;Col=1","No Title Assigned - #15278663161")</f>
        <v/>
      </c>
      <c r="B19657" s="0" t="s">
        <v>26052</v>
      </c>
      <c r="C19657" s="0" t="s">
        <v>26053</v>
      </c>
      <c r="D19657" s="0" t="s">
        <v>26053</v>
      </c>
      <c r="E19657" s="0" t="inlineStr">
        <is>
          <t xml:space="preserve">Mazda</t>
        </is>
      </c>
      <c r="F19657" s="0" t="inlineStr">
        <is>
          <t xml:space="preserve">Mazda</t>
        </is>
      </c>
      <c r="G19657" s="0" t="s">
        <v>171</v>
      </c>
      <c r="H19657" s="5">
        <v>349.849600</v>
      </c>
    </row>
    <row r="19658" spans="1:9">
      <c r="A19658" s="22" t="str">
        <f>HYPERLINK("https://app.vivvix.com/360/KMI/IntelliDrive/ApplUI/Pages/CreativePages/CustomReportCreativeDetail.aspx?App=23&amp;ReportView=4&amp;Qid=1711279&amp;Row=19650&amp;Col=1","No Title Assigned - #15278663162")</f>
        <v/>
      </c>
      <c r="B19658" s="0" t="s">
        <v>26054</v>
      </c>
      <c r="C19658" s="0" t="s">
        <v>26055</v>
      </c>
      <c r="D19658" s="0" t="s">
        <v>26055</v>
      </c>
      <c r="E19658" s="0" t="inlineStr">
        <is>
          <t xml:space="preserve">Mazda</t>
        </is>
      </c>
      <c r="F19658" s="0" t="inlineStr">
        <is>
          <t xml:space="preserve">Mazda</t>
        </is>
      </c>
      <c r="G19658" s="0" t="s">
        <v>171</v>
      </c>
      <c r="H19658" s="5">
        <v>75.482500</v>
      </c>
    </row>
    <row r="19659" spans="1:9">
      <c r="A19659" s="22" t="str">
        <f>HYPERLINK("https://app.vivvix.com/360/KMI/IntelliDrive/ApplUI/Pages/CreativePages/CustomReportCreativeDetail.aspx?App=23&amp;ReportView=4&amp;Qid=1711279&amp;Row=19651&amp;Col=1","No Title Assigned - #15278663539")</f>
        <v/>
      </c>
      <c r="B19659" s="0" t="s">
        <v>26056</v>
      </c>
      <c r="E19659" s="0" t="inlineStr">
        <is>
          <t xml:space="preserve">Mazda</t>
        </is>
      </c>
      <c r="F19659" s="0" t="inlineStr">
        <is>
          <t xml:space="preserve">Mazda</t>
        </is>
      </c>
      <c r="G19659" s="0" t="s">
        <v>171</v>
      </c>
      <c r="H19659" s="5">
        <v>637.092100</v>
      </c>
    </row>
    <row r="19660" spans="1:9">
      <c r="A19660" s="22" t="str">
        <f>HYPERLINK("https://app.vivvix.com/360/KMI/IntelliDrive/ApplUI/Pages/CreativePages/CustomReportCreativeDetail.aspx?App=23&amp;ReportView=4&amp;Qid=1711279&amp;Row=19652&amp;Col=1","No Title Assigned - #15278663734")</f>
        <v/>
      </c>
      <c r="B19660" s="0" t="s">
        <v>26057</v>
      </c>
      <c r="C19660" s="0" t="s">
        <v>26058</v>
      </c>
      <c r="D19660" s="0" t="s">
        <v>26058</v>
      </c>
      <c r="E19660" s="0" t="inlineStr">
        <is>
          <t xml:space="preserve">Mazda</t>
        </is>
      </c>
      <c r="F19660" s="0" t="inlineStr">
        <is>
          <t xml:space="preserve">Mazda</t>
        </is>
      </c>
      <c r="G19660" s="0" t="s">
        <v>171</v>
      </c>
      <c r="H19660" s="5">
        <v>77.742600</v>
      </c>
    </row>
    <row r="19661" spans="1:9">
      <c r="A19661" s="22" t="str">
        <f>HYPERLINK("https://app.vivvix.com/360/KMI/IntelliDrive/ApplUI/Pages/CreativePages/CustomReportCreativeDetail.aspx?App=23&amp;ReportView=4&amp;Qid=1711279&amp;Row=19653&amp;Col=1","No Title Assigned - #15278663734")</f>
        <v/>
      </c>
      <c r="B19661" s="0" t="s">
        <v>26057</v>
      </c>
      <c r="E19661" s="0" t="inlineStr">
        <is>
          <t xml:space="preserve">Mazda</t>
        </is>
      </c>
      <c r="F19661" s="0" t="inlineStr">
        <is>
          <t xml:space="preserve">Mazda</t>
        </is>
      </c>
      <c r="G19661" s="0" t="s">
        <v>171</v>
      </c>
      <c r="H19661" s="5">
        <v>59398.617200</v>
      </c>
    </row>
    <row r="19662" spans="1:9">
      <c r="A19662" s="22" t="str">
        <f>HYPERLINK("https://app.vivvix.com/360/KMI/IntelliDrive/ApplUI/Pages/CreativePages/CustomReportCreativeDetail.aspx?App=23&amp;ReportView=4&amp;Qid=1711279&amp;Row=19654&amp;Col=1","No Title Assigned - #15278663761")</f>
        <v/>
      </c>
      <c r="B19662" s="0" t="s">
        <v>26059</v>
      </c>
      <c r="E19662" s="0" t="inlineStr">
        <is>
          <t xml:space="preserve">Mazda</t>
        </is>
      </c>
      <c r="F19662" s="0" t="inlineStr">
        <is>
          <t xml:space="preserve">Mazda</t>
        </is>
      </c>
      <c r="G19662" s="0" t="s">
        <v>171</v>
      </c>
      <c r="H19662" s="5">
        <v>397.189800</v>
      </c>
    </row>
    <row r="19663" spans="1:9">
      <c r="A19663" s="22" t="str">
        <f>HYPERLINK("https://app.vivvix.com/360/KMI/IntelliDrive/ApplUI/Pages/CreativePages/CustomReportCreativeDetail.aspx?App=23&amp;ReportView=4&amp;Qid=1711279&amp;Row=19655&amp;Col=1","No Title Assigned - #15278664250")</f>
        <v/>
      </c>
      <c r="B19663" s="0" t="s">
        <v>26060</v>
      </c>
      <c r="E19663" s="0" t="inlineStr">
        <is>
          <t xml:space="preserve">Mazda</t>
        </is>
      </c>
      <c r="F19663" s="0" t="inlineStr">
        <is>
          <t xml:space="preserve">Mazda</t>
        </is>
      </c>
      <c r="G19663" s="0" t="s">
        <v>171</v>
      </c>
      <c r="H19663" s="5">
        <v>346.137600</v>
      </c>
    </row>
    <row r="19664" spans="1:9">
      <c r="A19664" s="22" t="str">
        <f>HYPERLINK("https://app.vivvix.com/360/KMI/IntelliDrive/ApplUI/Pages/CreativePages/CustomReportCreativeDetail.aspx?App=23&amp;ReportView=4&amp;Qid=1711279&amp;Row=19656&amp;Col=1","No Title Assigned - #15278664616")</f>
        <v/>
      </c>
      <c r="B19664" s="0" t="s">
        <v>26061</v>
      </c>
      <c r="E19664" s="0" t="inlineStr">
        <is>
          <t xml:space="preserve">Mazda</t>
        </is>
      </c>
      <c r="F19664" s="0" t="inlineStr">
        <is>
          <t xml:space="preserve">Mazda</t>
        </is>
      </c>
      <c r="G19664" s="0" t="s">
        <v>171</v>
      </c>
      <c r="H19664" s="5">
        <v>53.668200</v>
      </c>
    </row>
    <row r="19665" spans="1:9">
      <c r="A19665" s="22" t="str">
        <f>HYPERLINK("https://app.vivvix.com/360/KMI/IntelliDrive/ApplUI/Pages/CreativePages/CustomReportCreativeDetail.aspx?App=23&amp;ReportView=4&amp;Qid=1711279&amp;Row=19657&amp;Col=1","No Title Assigned - #15278664929")</f>
        <v/>
      </c>
      <c r="B19665" s="0" t="s">
        <v>26062</v>
      </c>
      <c r="E19665" s="0" t="inlineStr">
        <is>
          <t xml:space="preserve">Mazda</t>
        </is>
      </c>
      <c r="F19665" s="0" t="inlineStr">
        <is>
          <t xml:space="preserve">Mazda</t>
        </is>
      </c>
      <c r="G19665" s="0" t="s">
        <v>171</v>
      </c>
      <c r="H19665" s="5">
        <v>60.597400</v>
      </c>
    </row>
    <row r="19666" spans="1:9">
      <c r="A19666" s="22" t="str">
        <f>HYPERLINK("https://app.vivvix.com/360/KMI/IntelliDrive/ApplUI/Pages/CreativePages/CustomReportCreativeDetail.aspx?App=23&amp;ReportView=4&amp;Qid=1711279&amp;Row=19658&amp;Col=1","No Title Assigned - #15278664959")</f>
        <v/>
      </c>
      <c r="B19666" s="0" t="s">
        <v>26063</v>
      </c>
      <c r="E19666" s="0" t="inlineStr">
        <is>
          <t xml:space="preserve">Mazda</t>
        </is>
      </c>
      <c r="F19666" s="0" t="inlineStr">
        <is>
          <t xml:space="preserve">Mazda</t>
        </is>
      </c>
      <c r="G19666" s="0" t="s">
        <v>171</v>
      </c>
      <c r="H19666" s="5">
        <v>5.543100</v>
      </c>
    </row>
    <row r="19667" spans="1:9">
      <c r="A19667" s="22" t="str">
        <f>HYPERLINK("https://app.vivvix.com/360/KMI/IntelliDrive/ApplUI/Pages/CreativePages/CustomReportCreativeDetail.aspx?App=23&amp;ReportView=4&amp;Qid=1711279&amp;Row=19659&amp;Col=1","No Title Assigned - #15278665133")</f>
        <v/>
      </c>
      <c r="B19667" s="0" t="s">
        <v>26064</v>
      </c>
      <c r="E19667" s="0" t="inlineStr">
        <is>
          <t xml:space="preserve">Mazda</t>
        </is>
      </c>
      <c r="F19667" s="0" t="inlineStr">
        <is>
          <t xml:space="preserve">Mazda</t>
        </is>
      </c>
      <c r="G19667" s="0" t="s">
        <v>171</v>
      </c>
      <c r="H19667" s="5">
        <v>3.407800</v>
      </c>
    </row>
    <row r="19668" spans="1:9">
      <c r="A19668" s="22" t="str">
        <f>HYPERLINK("https://app.vivvix.com/360/KMI/IntelliDrive/ApplUI/Pages/CreativePages/CustomReportCreativeDetail.aspx?App=23&amp;ReportView=4&amp;Qid=1711279&amp;Row=19660&amp;Col=1","No Title Assigned - #15278665685")</f>
        <v/>
      </c>
      <c r="B19668" s="0" t="s">
        <v>26065</v>
      </c>
      <c r="E19668" s="0" t="inlineStr">
        <is>
          <t xml:space="preserve">Mazda</t>
        </is>
      </c>
      <c r="F19668" s="0" t="inlineStr">
        <is>
          <t xml:space="preserve">Mazda</t>
        </is>
      </c>
      <c r="G19668" s="0" t="s">
        <v>171</v>
      </c>
      <c r="H19668" s="5">
        <v>2.724300</v>
      </c>
    </row>
    <row r="19669" spans="1:9">
      <c r="A19669" s="22" t="str">
        <f>HYPERLINK("https://app.vivvix.com/360/KMI/IntelliDrive/ApplUI/Pages/CreativePages/CustomReportCreativeDetail.aspx?App=23&amp;ReportView=4&amp;Qid=1711279&amp;Row=19661&amp;Col=1","No Title Assigned - #15278666099")</f>
        <v/>
      </c>
      <c r="B19669" s="0" t="s">
        <v>26066</v>
      </c>
      <c r="E19669" s="0" t="inlineStr">
        <is>
          <t xml:space="preserve">Mazda</t>
        </is>
      </c>
      <c r="F19669" s="0" t="inlineStr">
        <is>
          <t xml:space="preserve">Mazda</t>
        </is>
      </c>
      <c r="G19669" s="0" t="s">
        <v>171</v>
      </c>
      <c r="H19669" s="5">
        <v>658.863200</v>
      </c>
    </row>
    <row r="19670" spans="1:9">
      <c r="A19670" s="22" t="str">
        <f>HYPERLINK("https://app.vivvix.com/360/KMI/IntelliDrive/ApplUI/Pages/CreativePages/CustomReportCreativeDetail.aspx?App=23&amp;ReportView=4&amp;Qid=1711279&amp;Row=19662&amp;Col=1","No Title Assigned - #15278666465")</f>
        <v/>
      </c>
      <c r="B19670" s="0" t="s">
        <v>26067</v>
      </c>
      <c r="E19670" s="0" t="inlineStr">
        <is>
          <t xml:space="preserve">Mazda</t>
        </is>
      </c>
      <c r="F19670" s="0" t="inlineStr">
        <is>
          <t xml:space="preserve">Mazda</t>
        </is>
      </c>
      <c r="G19670" s="0" t="s">
        <v>171</v>
      </c>
      <c r="H19670" s="5">
        <v>1450.344600</v>
      </c>
    </row>
    <row r="19671" spans="1:9">
      <c r="A19671" s="22" t="str">
        <f>HYPERLINK("https://app.vivvix.com/360/KMI/IntelliDrive/ApplUI/Pages/CreativePages/CustomReportCreativeDetail.aspx?App=23&amp;ReportView=4&amp;Qid=1711279&amp;Row=19663&amp;Col=1","No Title Assigned - #15278666486")</f>
        <v/>
      </c>
      <c r="B19671" s="0" t="s">
        <v>26068</v>
      </c>
      <c r="E19671" s="0" t="inlineStr">
        <is>
          <t xml:space="preserve">Mazda</t>
        </is>
      </c>
      <c r="F19671" s="0" t="inlineStr">
        <is>
          <t xml:space="preserve">Mazda</t>
        </is>
      </c>
      <c r="G19671" s="0" t="s">
        <v>171</v>
      </c>
      <c r="H19671" s="5">
        <v>886.981200</v>
      </c>
    </row>
    <row r="19672" spans="1:9">
      <c r="A19672" s="22" t="str">
        <f>HYPERLINK("https://app.vivvix.com/360/KMI/IntelliDrive/ApplUI/Pages/CreativePages/CustomReportCreativeDetail.aspx?App=23&amp;ReportView=4&amp;Qid=1711279&amp;Row=19664&amp;Col=1","No Title Assigned - #15278666486")</f>
        <v/>
      </c>
      <c r="B19672" s="0" t="s">
        <v>26068</v>
      </c>
      <c r="E19672" s="0" t="inlineStr">
        <is>
          <t xml:space="preserve">Mazda</t>
        </is>
      </c>
      <c r="F19672" s="0" t="inlineStr">
        <is>
          <t xml:space="preserve">Mazda</t>
        </is>
      </c>
      <c r="G19672" s="0" t="s">
        <v>171</v>
      </c>
      <c r="H19672" s="5">
        <v>1098.241800</v>
      </c>
    </row>
    <row r="19673" spans="1:9">
      <c r="A19673" s="22" t="str">
        <f>HYPERLINK("https://app.vivvix.com/360/KMI/IntelliDrive/ApplUI/Pages/CreativePages/CustomReportCreativeDetail.aspx?App=23&amp;ReportView=4&amp;Qid=1711279&amp;Row=19665&amp;Col=1","No Title Assigned - #15278666551")</f>
        <v/>
      </c>
      <c r="B19673" s="0" t="s">
        <v>26069</v>
      </c>
      <c r="E19673" s="0" t="inlineStr">
        <is>
          <t xml:space="preserve">Mazda</t>
        </is>
      </c>
      <c r="F19673" s="0" t="inlineStr">
        <is>
          <t xml:space="preserve">Mazda</t>
        </is>
      </c>
      <c r="G19673" s="0" t="s">
        <v>171</v>
      </c>
      <c r="H19673" s="5">
        <v>38783.507100</v>
      </c>
    </row>
    <row r="19674" spans="1:9">
      <c r="A19674" s="22" t="str">
        <f>HYPERLINK("https://app.vivvix.com/360/KMI/IntelliDrive/ApplUI/Pages/CreativePages/CustomReportCreativeDetail.aspx?App=23&amp;ReportView=4&amp;Qid=1711279&amp;Row=19666&amp;Col=1","No Title Assigned - #15278670357")</f>
        <v/>
      </c>
      <c r="B19674" s="0" t="s">
        <v>26070</v>
      </c>
      <c r="C19674" s="0" t="s">
        <v>26071</v>
      </c>
      <c r="D19674" s="0" t="s">
        <v>26071</v>
      </c>
      <c r="E19674" s="0" t="inlineStr">
        <is>
          <t xml:space="preserve">Mazda</t>
        </is>
      </c>
      <c r="F19674" s="0" t="inlineStr">
        <is>
          <t xml:space="preserve">Mazda</t>
        </is>
      </c>
      <c r="G19674" s="0" t="s">
        <v>171</v>
      </c>
      <c r="H19674" s="5">
        <v>71.431500</v>
      </c>
    </row>
    <row r="19675" spans="1:9">
      <c r="A19675" s="22" t="str">
        <f>HYPERLINK("https://app.vivvix.com/360/KMI/IntelliDrive/ApplUI/Pages/CreativePages/CustomReportCreativeDetail.aspx?App=23&amp;ReportView=4&amp;Qid=1711279&amp;Row=19667&amp;Col=1","No Title Assigned - #15278672247")</f>
        <v/>
      </c>
      <c r="B19675" s="0" t="s">
        <v>26072</v>
      </c>
      <c r="C19675" s="0" t="s">
        <v>26073</v>
      </c>
      <c r="D19675" s="0" t="s">
        <v>26073</v>
      </c>
      <c r="E19675" s="0" t="inlineStr">
        <is>
          <t xml:space="preserve">Mazda</t>
        </is>
      </c>
      <c r="F19675" s="0" t="inlineStr">
        <is>
          <t xml:space="preserve">Mazda</t>
        </is>
      </c>
      <c r="G19675" s="0" t="s">
        <v>171</v>
      </c>
      <c r="H19675" s="5">
        <v>403.772000</v>
      </c>
    </row>
    <row r="19676" spans="1:9">
      <c r="A19676" s="22" t="str">
        <f>HYPERLINK("https://app.vivvix.com/360/KMI/IntelliDrive/ApplUI/Pages/CreativePages/CustomReportCreativeDetail.aspx?App=23&amp;ReportView=4&amp;Qid=1711279&amp;Row=19668&amp;Col=1","No Title Assigned - #15278689181")</f>
        <v/>
      </c>
      <c r="B19676" s="0" t="s">
        <v>26074</v>
      </c>
      <c r="E19676" s="0" t="inlineStr">
        <is>
          <t xml:space="preserve">Mazda</t>
        </is>
      </c>
      <c r="F19676" s="0" t="inlineStr">
        <is>
          <t xml:space="preserve">Mazda</t>
        </is>
      </c>
      <c r="G19676" s="0" t="s">
        <v>171</v>
      </c>
      <c r="H19676" s="5">
        <v>1426.708000</v>
      </c>
    </row>
    <row r="19677" spans="1:9">
      <c r="A19677" s="22" t="str">
        <f>HYPERLINK("https://app.vivvix.com/360/KMI/IntelliDrive/ApplUI/Pages/CreativePages/CustomReportCreativeDetail.aspx?App=23&amp;ReportView=4&amp;Qid=1711279&amp;Row=19669&amp;Col=1","No Title Assigned - #15278693478")</f>
        <v/>
      </c>
      <c r="B19677" s="0" t="s">
        <v>26075</v>
      </c>
      <c r="C19677" s="0" t="s">
        <v>26076</v>
      </c>
      <c r="D19677" s="0" t="s">
        <v>26076</v>
      </c>
      <c r="E19677" s="0" t="inlineStr">
        <is>
          <t xml:space="preserve">Mazda</t>
        </is>
      </c>
      <c r="F19677" s="0" t="s">
        <v>28</v>
      </c>
      <c r="G19677" s="0" t="s">
        <v>29</v>
      </c>
      <c r="H19677" s="5">
        <v>819.621700</v>
      </c>
    </row>
    <row r="19678" spans="1:9">
      <c r="A19678" s="22" t="str">
        <f>HYPERLINK("https://app.vivvix.com/360/KMI/IntelliDrive/ApplUI/Pages/CreativePages/CustomReportCreativeDetail.aspx?App=23&amp;ReportView=4&amp;Qid=1711279&amp;Row=19670&amp;Col=1","No Title Assigned - #15278695322")</f>
        <v/>
      </c>
      <c r="B19678" s="0" t="s">
        <v>26077</v>
      </c>
      <c r="C19678" s="0" t="s">
        <v>26078</v>
      </c>
      <c r="D19678" s="0" t="s">
        <v>26078</v>
      </c>
      <c r="E19678" s="0" t="inlineStr">
        <is>
          <t xml:space="preserve">Mazda</t>
        </is>
      </c>
      <c r="F19678" s="0" t="s">
        <v>28</v>
      </c>
      <c r="G19678" s="0" t="s">
        <v>29</v>
      </c>
      <c r="H19678" s="5">
        <v>392.662200</v>
      </c>
    </row>
    <row r="19679" spans="1:9">
      <c r="A19679" s="22" t="str">
        <f>HYPERLINK("https://app.vivvix.com/360/KMI/IntelliDrive/ApplUI/Pages/CreativePages/CustomReportCreativeDetail.aspx?App=23&amp;ReportView=4&amp;Qid=1711279&amp;Row=19671&amp;Col=1","No Title Assigned - #15278695383")</f>
        <v/>
      </c>
      <c r="B19679" s="0" t="s">
        <v>26079</v>
      </c>
      <c r="C19679" s="0" t="s">
        <v>26080</v>
      </c>
      <c r="D19679" s="0" t="s">
        <v>26080</v>
      </c>
      <c r="E19679" s="0" t="inlineStr">
        <is>
          <t xml:space="preserve">Mazda</t>
        </is>
      </c>
      <c r="F19679" s="0" t="s">
        <v>28</v>
      </c>
      <c r="G19679" s="0" t="s">
        <v>29</v>
      </c>
      <c r="H19679" s="5">
        <v>523.683900</v>
      </c>
    </row>
    <row r="19680" spans="1:9">
      <c r="A19680" s="22" t="str">
        <f>HYPERLINK("https://app.vivvix.com/360/KMI/IntelliDrive/ApplUI/Pages/CreativePages/CustomReportCreativeDetail.aspx?App=23&amp;ReportView=4&amp;Qid=1711279&amp;Row=19672&amp;Col=1","No Title Assigned - #15278696175")</f>
        <v/>
      </c>
      <c r="B19680" s="0" t="s">
        <v>26081</v>
      </c>
      <c r="C19680" s="0" t="s">
        <v>26082</v>
      </c>
      <c r="D19680" s="0" t="s">
        <v>26082</v>
      </c>
      <c r="E19680" s="0" t="inlineStr">
        <is>
          <t xml:space="preserve">Mazda</t>
        </is>
      </c>
      <c r="F19680" s="0" t="s">
        <v>28</v>
      </c>
      <c r="G19680" s="0" t="s">
        <v>29</v>
      </c>
      <c r="H19680" s="5">
        <v>11.927500</v>
      </c>
    </row>
    <row r="19681" spans="1:9">
      <c r="A19681" s="22" t="str">
        <f>HYPERLINK("https://app.vivvix.com/360/KMI/IntelliDrive/ApplUI/Pages/CreativePages/CustomReportCreativeDetail.aspx?App=23&amp;ReportView=4&amp;Qid=1711279&amp;Row=19673&amp;Col=1","No Title Assigned - #15278696583")</f>
        <v/>
      </c>
      <c r="B19681" s="0" t="s">
        <v>26083</v>
      </c>
      <c r="C19681" s="0" t="s">
        <v>26084</v>
      </c>
      <c r="D19681" s="0" t="s">
        <v>26084</v>
      </c>
      <c r="E19681" s="0" t="inlineStr">
        <is>
          <t xml:space="preserve">Mazda</t>
        </is>
      </c>
      <c r="F19681" s="0" t="s">
        <v>28</v>
      </c>
      <c r="G19681" s="0" t="s">
        <v>29</v>
      </c>
      <c r="H19681" s="5">
        <v>11.927500</v>
      </c>
    </row>
    <row r="19682" spans="1:9">
      <c r="A19682" s="22" t="str">
        <f>HYPERLINK("https://app.vivvix.com/360/KMI/IntelliDrive/ApplUI/Pages/CreativePages/CustomReportCreativeDetail.aspx?App=23&amp;ReportView=4&amp;Qid=1711279&amp;Row=19674&amp;Col=1","No Title Assigned - #15278699901")</f>
        <v/>
      </c>
      <c r="B19682" s="0" t="s">
        <v>26085</v>
      </c>
      <c r="C19682" s="0" t="s">
        <v>26086</v>
      </c>
      <c r="D19682" s="0" t="s">
        <v>26086</v>
      </c>
      <c r="E19682" s="0" t="inlineStr">
        <is>
          <t xml:space="preserve">Mazda</t>
        </is>
      </c>
      <c r="F19682" s="0" t="s">
        <v>115</v>
      </c>
      <c r="G19682" s="0" t="s">
        <v>365</v>
      </c>
      <c r="H19682" s="5">
        <v>591.791800</v>
      </c>
    </row>
    <row r="19683" spans="1:9">
      <c r="A19683" s="22" t="str">
        <f>HYPERLINK("https://app.vivvix.com/360/KMI/IntelliDrive/ApplUI/Pages/CreativePages/CustomReportCreativeDetail.aspx?App=23&amp;ReportView=4&amp;Qid=1711279&amp;Row=19675&amp;Col=1","No Title Assigned - #15278700997")</f>
        <v/>
      </c>
      <c r="B19683" s="0" t="s">
        <v>26087</v>
      </c>
      <c r="C19683" s="0" t="s">
        <v>26088</v>
      </c>
      <c r="D19683" s="0" t="s">
        <v>4202</v>
      </c>
      <c r="E19683" s="0" t="inlineStr">
        <is>
          <t xml:space="preserve">Mazda</t>
        </is>
      </c>
      <c r="F19683" s="0" t="s">
        <v>28</v>
      </c>
      <c r="G19683" s="0" t="s">
        <v>29</v>
      </c>
      <c r="H19683" s="5">
        <v>211.724300</v>
      </c>
    </row>
    <row r="19684" spans="1:9">
      <c r="A19684" s="22" t="str">
        <f>HYPERLINK("https://app.vivvix.com/360/KMI/IntelliDrive/ApplUI/Pages/CreativePages/CustomReportCreativeDetail.aspx?App=23&amp;ReportView=4&amp;Qid=1711279&amp;Row=19676&amp;Col=1","No Title Assigned - #15278701657")</f>
        <v/>
      </c>
      <c r="B19684" s="0" t="s">
        <v>26089</v>
      </c>
      <c r="C19684" s="0" t="s">
        <v>26090</v>
      </c>
      <c r="D19684" s="0" t="s">
        <v>26090</v>
      </c>
      <c r="E19684" s="0" t="inlineStr">
        <is>
          <t xml:space="preserve">Mazda</t>
        </is>
      </c>
      <c r="F19684" s="0" t="s">
        <v>13</v>
      </c>
      <c r="G19684" s="0" t="s">
        <v>49</v>
      </c>
      <c r="H19684" s="5">
        <v>7073.376500</v>
      </c>
    </row>
    <row r="19685" spans="1:9">
      <c r="A19685" s="22" t="str">
        <f>HYPERLINK("https://app.vivvix.com/360/KMI/IntelliDrive/ApplUI/Pages/CreativePages/CustomReportCreativeDetail.aspx?App=23&amp;ReportView=4&amp;Qid=1711279&amp;Row=19677&amp;Col=1","No Title Assigned - #15278703979")</f>
        <v/>
      </c>
      <c r="B19685" s="0" t="s">
        <v>26091</v>
      </c>
      <c r="E19685" s="0" t="inlineStr">
        <is>
          <t xml:space="preserve">Mazda</t>
        </is>
      </c>
      <c r="F19685" s="0" t="s">
        <v>1568</v>
      </c>
      <c r="G19685" s="0" t="s">
        <v>1569</v>
      </c>
      <c r="H19685" s="5">
        <v>502.434000</v>
      </c>
    </row>
    <row r="19686" spans="1:9">
      <c r="A19686" s="22" t="str">
        <f>HYPERLINK("https://app.vivvix.com/360/KMI/IntelliDrive/ApplUI/Pages/CreativePages/CustomReportCreativeDetail.aspx?App=23&amp;ReportView=4&amp;Qid=1711279&amp;Row=19678&amp;Col=1","No Title Assigned - #15278704779")</f>
        <v/>
      </c>
      <c r="B19686" s="0" t="s">
        <v>26092</v>
      </c>
      <c r="C19686" s="0" t="s">
        <v>26093</v>
      </c>
      <c r="D19686" s="0" t="s">
        <v>26093</v>
      </c>
      <c r="E19686" s="0" t="inlineStr">
        <is>
          <t xml:space="preserve">Mazda</t>
        </is>
      </c>
      <c r="F19686" s="0" t="s">
        <v>28</v>
      </c>
      <c r="G19686" s="0" t="s">
        <v>29</v>
      </c>
      <c r="H19686" s="5">
        <v>54.690700</v>
      </c>
    </row>
    <row r="19687" spans="1:9">
      <c r="A19687" s="22" t="str">
        <f>HYPERLINK("https://app.vivvix.com/360/KMI/IntelliDrive/ApplUI/Pages/CreativePages/CustomReportCreativeDetail.aspx?App=23&amp;ReportView=4&amp;Qid=1711279&amp;Row=19679&amp;Col=1","No Title Assigned - #15278704926")</f>
        <v/>
      </c>
      <c r="B19687" s="0" t="s">
        <v>26094</v>
      </c>
      <c r="C19687" s="0" t="s">
        <v>26095</v>
      </c>
      <c r="D19687" s="0" t="s">
        <v>15482</v>
      </c>
      <c r="E19687" s="0" t="inlineStr">
        <is>
          <t xml:space="preserve">Mazda</t>
        </is>
      </c>
      <c r="F19687" s="0" t="s">
        <v>28</v>
      </c>
      <c r="G19687" s="0" t="s">
        <v>29</v>
      </c>
      <c r="H19687" s="5">
        <v>51.575100</v>
      </c>
    </row>
    <row r="19688" spans="1:9">
      <c r="A19688" s="22" t="str">
        <f>HYPERLINK("https://app.vivvix.com/360/KMI/IntelliDrive/ApplUI/Pages/CreativePages/CustomReportCreativeDetail.aspx?App=23&amp;ReportView=4&amp;Qid=1711279&amp;Row=19680&amp;Col=1","No Title Assigned - #15278705058")</f>
        <v/>
      </c>
      <c r="B19688" s="0" t="s">
        <v>26096</v>
      </c>
      <c r="C19688" s="0" t="s">
        <v>26097</v>
      </c>
      <c r="D19688" s="0" t="s">
        <v>26097</v>
      </c>
      <c r="E19688" s="0" t="inlineStr">
        <is>
          <t xml:space="preserve">Mazda</t>
        </is>
      </c>
      <c r="F19688" s="0" t="s">
        <v>28</v>
      </c>
      <c r="G19688" s="0" t="s">
        <v>29</v>
      </c>
      <c r="H19688" s="5">
        <v>98.640900</v>
      </c>
    </row>
    <row r="19689" spans="1:9">
      <c r="A19689" s="22" t="str">
        <f>HYPERLINK("https://app.vivvix.com/360/KMI/IntelliDrive/ApplUI/Pages/CreativePages/CustomReportCreativeDetail.aspx?App=23&amp;ReportView=4&amp;Qid=1711279&amp;Row=19681&amp;Col=1","No Title Assigned - #15278706270")</f>
        <v/>
      </c>
      <c r="B19689" s="0" t="s">
        <v>26098</v>
      </c>
      <c r="C19689" s="0" t="s">
        <v>26099</v>
      </c>
      <c r="D19689" s="0" t="s">
        <v>26099</v>
      </c>
      <c r="E19689" s="0" t="inlineStr">
        <is>
          <t xml:space="preserve">Mazda</t>
        </is>
      </c>
      <c r="F19689" s="0" t="inlineStr">
        <is>
          <t xml:space="preserve">Mazda</t>
        </is>
      </c>
      <c r="G19689" s="0" t="s">
        <v>210</v>
      </c>
      <c r="H19689" s="5">
        <v>94770.765600</v>
      </c>
    </row>
    <row r="19690" spans="1:9">
      <c r="A19690" s="22" t="str">
        <f>HYPERLINK("https://app.vivvix.com/360/KMI/IntelliDrive/ApplUI/Pages/CreativePages/CustomReportCreativeDetail.aspx?App=23&amp;ReportView=4&amp;Qid=1711279&amp;Row=19682&amp;Col=1","No Title Assigned - #15278706501")</f>
        <v/>
      </c>
      <c r="B19690" s="0" t="s">
        <v>26100</v>
      </c>
      <c r="C19690" s="0" t="s">
        <v>26101</v>
      </c>
      <c r="D19690" s="0" t="s">
        <v>24777</v>
      </c>
      <c r="E19690" s="0" t="inlineStr">
        <is>
          <t xml:space="preserve">Mazda</t>
        </is>
      </c>
      <c r="F19690" s="0" t="s">
        <v>28</v>
      </c>
      <c r="G19690" s="0" t="s">
        <v>29</v>
      </c>
      <c r="H19690" s="5">
        <v>2.142400</v>
      </c>
    </row>
    <row r="19691" spans="1:9">
      <c r="A19691" s="22" t="str">
        <f>HYPERLINK("https://app.vivvix.com/360/KMI/IntelliDrive/ApplUI/Pages/CreativePages/CustomReportCreativeDetail.aspx?App=23&amp;ReportView=4&amp;Qid=1711279&amp;Row=19683&amp;Col=1","No Title Assigned - #15278707836")</f>
        <v/>
      </c>
      <c r="B19691" s="0" t="s">
        <v>26102</v>
      </c>
      <c r="C19691" s="0" t="s">
        <v>26103</v>
      </c>
      <c r="D19691" s="0" t="s">
        <v>26103</v>
      </c>
      <c r="E19691" s="0" t="inlineStr">
        <is>
          <t xml:space="preserve">Mazda</t>
        </is>
      </c>
      <c r="F19691" s="0" t="s">
        <v>28</v>
      </c>
      <c r="G19691" s="0" t="s">
        <v>29</v>
      </c>
      <c r="H19691" s="5">
        <v>876.157400</v>
      </c>
    </row>
    <row r="19692" spans="1:9">
      <c r="A19692" s="22" t="str">
        <f>HYPERLINK("https://app.vivvix.com/360/KMI/IntelliDrive/ApplUI/Pages/CreativePages/CustomReportCreativeDetail.aspx?App=23&amp;ReportView=4&amp;Qid=1711279&amp;Row=19684&amp;Col=1","No Title Assigned - #15278708420")</f>
        <v/>
      </c>
      <c r="B19692" s="0" t="s">
        <v>26104</v>
      </c>
      <c r="C19692" s="0" t="s">
        <v>26105</v>
      </c>
      <c r="D19692" s="0" t="s">
        <v>26105</v>
      </c>
      <c r="E19692" s="0" t="inlineStr">
        <is>
          <t xml:space="preserve">Mazda</t>
        </is>
      </c>
      <c r="F19692" s="0" t="s">
        <v>28</v>
      </c>
      <c r="G19692" s="0" t="s">
        <v>29</v>
      </c>
      <c r="H19692" s="5">
        <v>282.488900</v>
      </c>
    </row>
    <row r="19693" spans="1:9">
      <c r="A19693" s="22" t="str">
        <f>HYPERLINK("https://app.vivvix.com/360/KMI/IntelliDrive/ApplUI/Pages/CreativePages/CustomReportCreativeDetail.aspx?App=23&amp;ReportView=4&amp;Qid=1711279&amp;Row=19685&amp;Col=1","No Title Assigned - #15278709339")</f>
        <v/>
      </c>
      <c r="B19693" s="0" t="s">
        <v>26106</v>
      </c>
      <c r="C19693" s="0" t="s">
        <v>26107</v>
      </c>
      <c r="D19693" s="0" t="s">
        <v>26107</v>
      </c>
      <c r="E19693" s="0" t="inlineStr">
        <is>
          <t xml:space="preserve">Mazda</t>
        </is>
      </c>
      <c r="F19693" s="0" t="s">
        <v>13</v>
      </c>
      <c r="G19693" s="0" t="s">
        <v>49</v>
      </c>
      <c r="H19693" s="5">
        <v>187.555100</v>
      </c>
    </row>
    <row r="19694" spans="1:9">
      <c r="A19694" s="22" t="str">
        <f>HYPERLINK("https://app.vivvix.com/360/KMI/IntelliDrive/ApplUI/Pages/CreativePages/CustomReportCreativeDetail.aspx?App=23&amp;ReportView=4&amp;Qid=1711279&amp;Row=19686&amp;Col=1","No Title Assigned - #15278709406")</f>
        <v/>
      </c>
      <c r="B19694" s="0" t="s">
        <v>26108</v>
      </c>
      <c r="C19694" s="0" t="s">
        <v>26109</v>
      </c>
      <c r="D19694" s="0" t="s">
        <v>26109</v>
      </c>
      <c r="E19694" s="0" t="inlineStr">
        <is>
          <t xml:space="preserve">Mazda</t>
        </is>
      </c>
      <c r="F19694" s="0" t="s">
        <v>13</v>
      </c>
      <c r="G19694" s="0" t="s">
        <v>49</v>
      </c>
      <c r="H19694" s="5">
        <v>274.042000</v>
      </c>
    </row>
    <row r="19695" spans="1:9">
      <c r="A19695" s="22" t="str">
        <f>HYPERLINK("https://app.vivvix.com/360/KMI/IntelliDrive/ApplUI/Pages/CreativePages/CustomReportCreativeDetail.aspx?App=23&amp;ReportView=4&amp;Qid=1711279&amp;Row=19687&amp;Col=1","No Title Assigned - #15278709695")</f>
        <v/>
      </c>
      <c r="B19695" s="0" t="s">
        <v>26110</v>
      </c>
      <c r="C19695" s="0" t="s">
        <v>26111</v>
      </c>
      <c r="D19695" s="0" t="s">
        <v>4202</v>
      </c>
      <c r="E19695" s="0" t="inlineStr">
        <is>
          <t xml:space="preserve">Mazda</t>
        </is>
      </c>
      <c r="F19695" s="0" t="s">
        <v>28</v>
      </c>
      <c r="G19695" s="0" t="s">
        <v>29</v>
      </c>
      <c r="H19695" s="5">
        <v>95.495000</v>
      </c>
    </row>
    <row r="19696" spans="1:9">
      <c r="A19696" s="22" t="str">
        <f>HYPERLINK("https://app.vivvix.com/360/KMI/IntelliDrive/ApplUI/Pages/CreativePages/CustomReportCreativeDetail.aspx?App=23&amp;ReportView=4&amp;Qid=1711279&amp;Row=19688&amp;Col=1","No Title Assigned - #15278711415")</f>
        <v/>
      </c>
      <c r="B19696" s="0" t="s">
        <v>26112</v>
      </c>
      <c r="C19696" s="0" t="s">
        <v>26113</v>
      </c>
      <c r="D19696" s="0" t="s">
        <v>26113</v>
      </c>
      <c r="E19696" s="0" t="inlineStr">
        <is>
          <t xml:space="preserve">Mazda</t>
        </is>
      </c>
      <c r="F19696" s="0" t="s">
        <v>28</v>
      </c>
      <c r="G19696" s="0" t="s">
        <v>29</v>
      </c>
      <c r="H19696" s="5">
        <v>293.907600</v>
      </c>
    </row>
    <row r="19697" spans="1:9">
      <c r="A19697" s="22" t="str">
        <f>HYPERLINK("https://app.vivvix.com/360/KMI/IntelliDrive/ApplUI/Pages/CreativePages/CustomReportCreativeDetail.aspx?App=23&amp;ReportView=4&amp;Qid=1711279&amp;Row=19689&amp;Col=1","No Title Assigned - #15278712558")</f>
        <v/>
      </c>
      <c r="B19697" s="0" t="s">
        <v>26114</v>
      </c>
      <c r="E19697" s="0" t="inlineStr">
        <is>
          <t xml:space="preserve">Mazda</t>
        </is>
      </c>
      <c r="F19697" s="0" t="s">
        <v>28</v>
      </c>
      <c r="G19697" s="0" t="s">
        <v>29</v>
      </c>
      <c r="H19697" s="5">
        <v>250.489700</v>
      </c>
    </row>
    <row r="19698" spans="1:9">
      <c r="A19698" s="22" t="str">
        <f>HYPERLINK("https://app.vivvix.com/360/KMI/IntelliDrive/ApplUI/Pages/CreativePages/CustomReportCreativeDetail.aspx?App=23&amp;ReportView=4&amp;Qid=1711279&amp;Row=19690&amp;Col=1","No Title Assigned - #15278712558")</f>
        <v/>
      </c>
      <c r="B19698" s="0" t="s">
        <v>26114</v>
      </c>
      <c r="C19698" s="0" t="s">
        <v>26115</v>
      </c>
      <c r="D19698" s="0" t="s">
        <v>26115</v>
      </c>
      <c r="E19698" s="0" t="inlineStr">
        <is>
          <t xml:space="preserve">Mazda</t>
        </is>
      </c>
      <c r="F19698" s="0" t="s">
        <v>28</v>
      </c>
      <c r="G19698" s="0" t="s">
        <v>29</v>
      </c>
      <c r="H19698" s="5">
        <v>1088.933100</v>
      </c>
    </row>
    <row r="19699" spans="1:9">
      <c r="A19699" s="22" t="str">
        <f>HYPERLINK("https://app.vivvix.com/360/KMI/IntelliDrive/ApplUI/Pages/CreativePages/CustomReportCreativeDetail.aspx?App=23&amp;ReportView=4&amp;Qid=1711279&amp;Row=19691&amp;Col=1","No Title Assigned - #15278713134")</f>
        <v/>
      </c>
      <c r="B19699" s="0" t="s">
        <v>26116</v>
      </c>
      <c r="C19699" s="0" t="s">
        <v>26117</v>
      </c>
      <c r="D19699" s="0" t="s">
        <v>26117</v>
      </c>
      <c r="E19699" s="0" t="inlineStr">
        <is>
          <t xml:space="preserve">Mazda</t>
        </is>
      </c>
      <c r="F19699" s="0" t="s">
        <v>28</v>
      </c>
      <c r="G19699" s="0" t="s">
        <v>29</v>
      </c>
      <c r="H19699" s="5">
        <v>1212.838400</v>
      </c>
    </row>
    <row r="19700" spans="1:9">
      <c r="A19700" s="22" t="str">
        <f>HYPERLINK("https://app.vivvix.com/360/KMI/IntelliDrive/ApplUI/Pages/CreativePages/CustomReportCreativeDetail.aspx?App=23&amp;ReportView=4&amp;Qid=1711279&amp;Row=19692&amp;Col=1","No Title Assigned - #15278713569")</f>
        <v/>
      </c>
      <c r="B19700" s="0" t="s">
        <v>26118</v>
      </c>
      <c r="C19700" s="0" t="s">
        <v>26119</v>
      </c>
      <c r="D19700" s="0" t="s">
        <v>26119</v>
      </c>
      <c r="E19700" s="0" t="inlineStr">
        <is>
          <t xml:space="preserve">Mazda</t>
        </is>
      </c>
      <c r="F19700" s="0" t="s">
        <v>28</v>
      </c>
      <c r="G19700" s="0" t="s">
        <v>29</v>
      </c>
      <c r="H19700" s="5">
        <v>245.702200</v>
      </c>
    </row>
    <row r="19701" spans="1:9">
      <c r="A19701" s="22" t="str">
        <f>HYPERLINK("https://app.vivvix.com/360/KMI/IntelliDrive/ApplUI/Pages/CreativePages/CustomReportCreativeDetail.aspx?App=23&amp;ReportView=4&amp;Qid=1711279&amp;Row=19693&amp;Col=1","No Title Assigned - #15278713678")</f>
        <v/>
      </c>
      <c r="B19701" s="0" t="s">
        <v>26120</v>
      </c>
      <c r="C19701" s="0" t="s">
        <v>26121</v>
      </c>
      <c r="D19701" s="0" t="s">
        <v>26121</v>
      </c>
      <c r="E19701" s="0" t="inlineStr">
        <is>
          <t xml:space="preserve">Mazda</t>
        </is>
      </c>
      <c r="F19701" s="0" t="s">
        <v>28</v>
      </c>
      <c r="G19701" s="0" t="s">
        <v>29</v>
      </c>
      <c r="H19701" s="5">
        <v>590.723800</v>
      </c>
    </row>
    <row r="19702" spans="1:9">
      <c r="A19702" s="22" t="str">
        <f>HYPERLINK("https://app.vivvix.com/360/KMI/IntelliDrive/ApplUI/Pages/CreativePages/CustomReportCreativeDetail.aspx?App=23&amp;ReportView=4&amp;Qid=1711279&amp;Row=19694&amp;Col=1","No Title Assigned - #15278714165")</f>
        <v/>
      </c>
      <c r="B19702" s="0" t="s">
        <v>26122</v>
      </c>
      <c r="C19702" s="0" t="s">
        <v>26123</v>
      </c>
      <c r="D19702" s="0" t="s">
        <v>26123</v>
      </c>
      <c r="E19702" s="0" t="inlineStr">
        <is>
          <t xml:space="preserve">Mazda</t>
        </is>
      </c>
      <c r="F19702" s="0" t="s">
        <v>28</v>
      </c>
      <c r="G19702" s="0" t="s">
        <v>29</v>
      </c>
      <c r="H19702" s="5">
        <v>44.638700</v>
      </c>
    </row>
    <row r="19703" spans="1:9">
      <c r="A19703" s="22" t="str">
        <f>HYPERLINK("https://app.vivvix.com/360/KMI/IntelliDrive/ApplUI/Pages/CreativePages/CustomReportCreativeDetail.aspx?App=23&amp;ReportView=4&amp;Qid=1711279&amp;Row=19695&amp;Col=1","No Title Assigned - #15278714394")</f>
        <v/>
      </c>
      <c r="B19703" s="0" t="s">
        <v>26124</v>
      </c>
      <c r="C19703" s="0" t="s">
        <v>26125</v>
      </c>
      <c r="D19703" s="0" t="s">
        <v>4200</v>
      </c>
      <c r="E19703" s="0" t="inlineStr">
        <is>
          <t xml:space="preserve">Mazda</t>
        </is>
      </c>
      <c r="F19703" s="0" t="s">
        <v>28</v>
      </c>
      <c r="G19703" s="0" t="s">
        <v>29</v>
      </c>
      <c r="H19703" s="5">
        <v>488.242400</v>
      </c>
    </row>
    <row r="19704" spans="1:9">
      <c r="A19704" s="22" t="str">
        <f>HYPERLINK("https://app.vivvix.com/360/KMI/IntelliDrive/ApplUI/Pages/CreativePages/CustomReportCreativeDetail.aspx?App=23&amp;ReportView=4&amp;Qid=1711279&amp;Row=19696&amp;Col=1","No Title Assigned - #15278714413")</f>
        <v/>
      </c>
      <c r="B19704" s="0" t="s">
        <v>26126</v>
      </c>
      <c r="C19704" s="0" t="s">
        <v>26127</v>
      </c>
      <c r="D19704" s="0" t="s">
        <v>26127</v>
      </c>
      <c r="E19704" s="0" t="inlineStr">
        <is>
          <t xml:space="preserve">Mazda</t>
        </is>
      </c>
      <c r="F19704" s="0" t="s">
        <v>28</v>
      </c>
      <c r="G19704" s="0" t="s">
        <v>29</v>
      </c>
      <c r="H19704" s="5">
        <v>14.525300</v>
      </c>
    </row>
    <row r="19705" spans="1:9">
      <c r="A19705" s="22" t="str">
        <f>HYPERLINK("https://app.vivvix.com/360/KMI/IntelliDrive/ApplUI/Pages/CreativePages/CustomReportCreativeDetail.aspx?App=23&amp;ReportView=4&amp;Qid=1711279&amp;Row=19697&amp;Col=1","No Title Assigned - #15278714454")</f>
        <v/>
      </c>
      <c r="B19705" s="0" t="s">
        <v>26128</v>
      </c>
      <c r="C19705" s="0" t="s">
        <v>26129</v>
      </c>
      <c r="D19705" s="0" t="s">
        <v>26129</v>
      </c>
      <c r="E19705" s="0" t="inlineStr">
        <is>
          <t xml:space="preserve">Mazda</t>
        </is>
      </c>
      <c r="F19705" s="0" t="s">
        <v>28</v>
      </c>
      <c r="G19705" s="0" t="s">
        <v>29</v>
      </c>
      <c r="H19705" s="5">
        <v>625.942400</v>
      </c>
    </row>
    <row r="19706" spans="1:9">
      <c r="A19706" s="22" t="str">
        <f>HYPERLINK("https://app.vivvix.com/360/KMI/IntelliDrive/ApplUI/Pages/CreativePages/CustomReportCreativeDetail.aspx?App=23&amp;ReportView=4&amp;Qid=1711279&amp;Row=19698&amp;Col=1","No Title Assigned - #15278714467")</f>
        <v/>
      </c>
      <c r="B19706" s="0" t="s">
        <v>26130</v>
      </c>
      <c r="C19706" s="0" t="s">
        <v>26131</v>
      </c>
      <c r="D19706" s="0" t="s">
        <v>4333</v>
      </c>
      <c r="E19706" s="0" t="inlineStr">
        <is>
          <t xml:space="preserve">Mazda</t>
        </is>
      </c>
      <c r="F19706" s="0" t="s">
        <v>28</v>
      </c>
      <c r="G19706" s="0" t="s">
        <v>29</v>
      </c>
      <c r="H19706" s="5">
        <v>55.089100</v>
      </c>
    </row>
    <row r="19707" spans="1:9">
      <c r="A19707" s="22" t="str">
        <f>HYPERLINK("https://app.vivvix.com/360/KMI/IntelliDrive/ApplUI/Pages/CreativePages/CustomReportCreativeDetail.aspx?App=23&amp;ReportView=4&amp;Qid=1711279&amp;Row=19699&amp;Col=1","No Title Assigned - #15278714469")</f>
        <v/>
      </c>
      <c r="B19707" s="0" t="s">
        <v>26132</v>
      </c>
      <c r="C19707" s="0" t="s">
        <v>26133</v>
      </c>
      <c r="D19707" s="0" t="s">
        <v>26133</v>
      </c>
      <c r="E19707" s="0" t="inlineStr">
        <is>
          <t xml:space="preserve">Mazda</t>
        </is>
      </c>
      <c r="F19707" s="0" t="s">
        <v>28</v>
      </c>
      <c r="G19707" s="0" t="s">
        <v>29</v>
      </c>
      <c r="H19707" s="5">
        <v>635.015700</v>
      </c>
    </row>
    <row r="19708" spans="1:9">
      <c r="A19708" s="22" t="str">
        <f>HYPERLINK("https://app.vivvix.com/360/KMI/IntelliDrive/ApplUI/Pages/CreativePages/CustomReportCreativeDetail.aspx?App=23&amp;ReportView=4&amp;Qid=1711279&amp;Row=19700&amp;Col=1","No Title Assigned - #15278715712")</f>
        <v/>
      </c>
      <c r="B19708" s="0" t="s">
        <v>26134</v>
      </c>
      <c r="C19708" s="0" t="s">
        <v>26135</v>
      </c>
      <c r="D19708" s="0" t="s">
        <v>26135</v>
      </c>
      <c r="E19708" s="0" t="inlineStr">
        <is>
          <t xml:space="preserve">Mazda</t>
        </is>
      </c>
      <c r="F19708" s="0" t="s">
        <v>28</v>
      </c>
      <c r="G19708" s="0" t="s">
        <v>29</v>
      </c>
      <c r="H19708" s="5">
        <v>11.927500</v>
      </c>
    </row>
    <row r="19709" spans="1:9">
      <c r="A19709" s="22" t="str">
        <f>HYPERLINK("https://app.vivvix.com/360/KMI/IntelliDrive/ApplUI/Pages/CreativePages/CustomReportCreativeDetail.aspx?App=23&amp;ReportView=4&amp;Qid=1711279&amp;Row=19701&amp;Col=1","No Title Assigned - #15278716210")</f>
        <v/>
      </c>
      <c r="B19709" s="0" t="s">
        <v>26136</v>
      </c>
      <c r="C19709" s="0" t="s">
        <v>26137</v>
      </c>
      <c r="D19709" s="0" t="s">
        <v>26137</v>
      </c>
      <c r="E19709" s="0" t="inlineStr">
        <is>
          <t xml:space="preserve">Mazda</t>
        </is>
      </c>
      <c r="F19709" s="0" t="s">
        <v>28</v>
      </c>
      <c r="G19709" s="0" t="s">
        <v>29</v>
      </c>
      <c r="H19709" s="5">
        <v>36.393100</v>
      </c>
    </row>
    <row r="19710" spans="1:9">
      <c r="A19710" s="22" t="str">
        <f>HYPERLINK("https://app.vivvix.com/360/KMI/IntelliDrive/ApplUI/Pages/CreativePages/CustomReportCreativeDetail.aspx?App=23&amp;ReportView=4&amp;Qid=1711279&amp;Row=19702&amp;Col=1","No Title Assigned - #15278716764")</f>
        <v/>
      </c>
      <c r="B19710" s="0" t="s">
        <v>26138</v>
      </c>
      <c r="C19710" s="0" t="s">
        <v>26139</v>
      </c>
      <c r="D19710" s="0" t="s">
        <v>26139</v>
      </c>
      <c r="E19710" s="0" t="inlineStr">
        <is>
          <t xml:space="preserve">Mazda</t>
        </is>
      </c>
      <c r="F19710" s="0" t="s">
        <v>28</v>
      </c>
      <c r="G19710" s="0" t="s">
        <v>29</v>
      </c>
      <c r="H19710" s="5">
        <v>48.100400</v>
      </c>
    </row>
    <row r="19711" spans="1:9">
      <c r="A19711" s="22" t="str">
        <f>HYPERLINK("https://app.vivvix.com/360/KMI/IntelliDrive/ApplUI/Pages/CreativePages/CustomReportCreativeDetail.aspx?App=23&amp;ReportView=4&amp;Qid=1711279&amp;Row=19703&amp;Col=1","No Title Assigned - #15278717173")</f>
        <v/>
      </c>
      <c r="B19711" s="0" t="s">
        <v>26140</v>
      </c>
      <c r="C19711" s="0" t="s">
        <v>26141</v>
      </c>
      <c r="D19711" s="0" t="s">
        <v>26141</v>
      </c>
      <c r="E19711" s="0" t="inlineStr">
        <is>
          <t xml:space="preserve">Mazda</t>
        </is>
      </c>
      <c r="F19711" s="0" t="s">
        <v>28</v>
      </c>
      <c r="G19711" s="0" t="s">
        <v>29</v>
      </c>
      <c r="H19711" s="5">
        <v>53.588800</v>
      </c>
    </row>
    <row r="19712" spans="1:9">
      <c r="A19712" s="22" t="str">
        <f>HYPERLINK("https://app.vivvix.com/360/KMI/IntelliDrive/ApplUI/Pages/CreativePages/CustomReportCreativeDetail.aspx?App=23&amp;ReportView=4&amp;Qid=1711279&amp;Row=19704&amp;Col=1","No Title Assigned - #15278717219")</f>
        <v/>
      </c>
      <c r="B19712" s="0" t="s">
        <v>26142</v>
      </c>
      <c r="C19712" s="0" t="s">
        <v>26143</v>
      </c>
      <c r="D19712" s="0" t="s">
        <v>4200</v>
      </c>
      <c r="E19712" s="0" t="inlineStr">
        <is>
          <t xml:space="preserve">Mazda</t>
        </is>
      </c>
      <c r="F19712" s="0" t="s">
        <v>28</v>
      </c>
      <c r="G19712" s="0" t="s">
        <v>29</v>
      </c>
      <c r="H19712" s="5">
        <v>11.076300</v>
      </c>
    </row>
    <row r="19713" spans="1:9">
      <c r="A19713" s="22" t="str">
        <f>HYPERLINK("https://app.vivvix.com/360/KMI/IntelliDrive/ApplUI/Pages/CreativePages/CustomReportCreativeDetail.aspx?App=23&amp;ReportView=4&amp;Qid=1711279&amp;Row=19705&amp;Col=1","No Title Assigned - #15278717393")</f>
        <v/>
      </c>
      <c r="B19713" s="0" t="s">
        <v>26144</v>
      </c>
      <c r="C19713" s="0" t="s">
        <v>26145</v>
      </c>
      <c r="D19713" s="0" t="s">
        <v>26145</v>
      </c>
      <c r="E19713" s="0" t="inlineStr">
        <is>
          <t xml:space="preserve">Mazda</t>
        </is>
      </c>
      <c r="F19713" s="0" t="s">
        <v>28</v>
      </c>
      <c r="G19713" s="0" t="s">
        <v>29</v>
      </c>
      <c r="H19713" s="5">
        <v>11.076300</v>
      </c>
    </row>
    <row r="19714" spans="1:9">
      <c r="A19714" s="22" t="str">
        <f>HYPERLINK("https://app.vivvix.com/360/KMI/IntelliDrive/ApplUI/Pages/CreativePages/CustomReportCreativeDetail.aspx?App=23&amp;ReportView=4&amp;Qid=1711279&amp;Row=19706&amp;Col=1","No Title Assigned - #15278717873")</f>
        <v/>
      </c>
      <c r="B19714" s="0" t="s">
        <v>26146</v>
      </c>
      <c r="C19714" s="0" t="s">
        <v>26147</v>
      </c>
      <c r="D19714" s="0" t="s">
        <v>26147</v>
      </c>
      <c r="E19714" s="0" t="inlineStr">
        <is>
          <t xml:space="preserve">Mazda</t>
        </is>
      </c>
      <c r="F19714" s="0" t="s">
        <v>28</v>
      </c>
      <c r="G19714" s="0" t="s">
        <v>29</v>
      </c>
      <c r="H19714" s="5">
        <v>464.807700</v>
      </c>
    </row>
    <row r="19715" spans="1:9">
      <c r="A19715" s="22" t="str">
        <f>HYPERLINK("https://app.vivvix.com/360/KMI/IntelliDrive/ApplUI/Pages/CreativePages/CustomReportCreativeDetail.aspx?App=23&amp;ReportView=4&amp;Qid=1711279&amp;Row=19707&amp;Col=1","No Title Assigned - #15278717926")</f>
        <v/>
      </c>
      <c r="B19715" s="0" t="s">
        <v>26148</v>
      </c>
      <c r="C19715" s="0" t="s">
        <v>26149</v>
      </c>
      <c r="D19715" s="0" t="s">
        <v>26149</v>
      </c>
      <c r="E19715" s="0" t="inlineStr">
        <is>
          <t xml:space="preserve">Mazda</t>
        </is>
      </c>
      <c r="F19715" s="0" t="s">
        <v>28</v>
      </c>
      <c r="G19715" s="0" t="s">
        <v>29</v>
      </c>
      <c r="H19715" s="5">
        <v>212.250200</v>
      </c>
    </row>
    <row r="19716" spans="1:9">
      <c r="A19716" s="22" t="str">
        <f>HYPERLINK("https://app.vivvix.com/360/KMI/IntelliDrive/ApplUI/Pages/CreativePages/CustomReportCreativeDetail.aspx?App=23&amp;ReportView=4&amp;Qid=1711279&amp;Row=19708&amp;Col=1","No Title Assigned - #15278717951")</f>
        <v/>
      </c>
      <c r="B19716" s="0" t="s">
        <v>26150</v>
      </c>
      <c r="C19716" s="0" t="s">
        <v>26151</v>
      </c>
      <c r="D19716" s="0" t="s">
        <v>26151</v>
      </c>
      <c r="E19716" s="0" t="inlineStr">
        <is>
          <t xml:space="preserve">Mazda</t>
        </is>
      </c>
      <c r="F19716" s="0" t="s">
        <v>28</v>
      </c>
      <c r="G19716" s="0" t="s">
        <v>29</v>
      </c>
      <c r="H19716" s="5">
        <v>212.250200</v>
      </c>
    </row>
    <row r="19717" spans="1:9">
      <c r="A19717" s="22" t="str">
        <f>HYPERLINK("https://app.vivvix.com/360/KMI/IntelliDrive/ApplUI/Pages/CreativePages/CustomReportCreativeDetail.aspx?App=23&amp;ReportView=4&amp;Qid=1711279&amp;Row=19709&amp;Col=1","No Title Assigned - #15278718091")</f>
        <v/>
      </c>
      <c r="B19717" s="0" t="s">
        <v>26152</v>
      </c>
      <c r="C19717" s="0" t="s">
        <v>26153</v>
      </c>
      <c r="D19717" s="0" t="s">
        <v>4200</v>
      </c>
      <c r="E19717" s="0" t="inlineStr">
        <is>
          <t xml:space="preserve">Mazda</t>
        </is>
      </c>
      <c r="F19717" s="0" t="s">
        <v>28</v>
      </c>
      <c r="G19717" s="0" t="s">
        <v>29</v>
      </c>
      <c r="H19717" s="5">
        <v>297.946500</v>
      </c>
    </row>
    <row r="19718" spans="1:9">
      <c r="A19718" s="22" t="str">
        <f>HYPERLINK("https://app.vivvix.com/360/KMI/IntelliDrive/ApplUI/Pages/CreativePages/CustomReportCreativeDetail.aspx?App=23&amp;ReportView=4&amp;Qid=1711279&amp;Row=19710&amp;Col=1","No Title Assigned - #15278718201")</f>
        <v/>
      </c>
      <c r="B19718" s="0" t="s">
        <v>26154</v>
      </c>
      <c r="C19718" s="0" t="s">
        <v>26155</v>
      </c>
      <c r="D19718" s="0" t="s">
        <v>26155</v>
      </c>
      <c r="E19718" s="0" t="inlineStr">
        <is>
          <t xml:space="preserve">Mazda</t>
        </is>
      </c>
      <c r="F19718" s="0" t="s">
        <v>28</v>
      </c>
      <c r="G19718" s="0" t="s">
        <v>29</v>
      </c>
      <c r="H19718" s="5">
        <v>451.087600</v>
      </c>
    </row>
    <row r="19719" spans="1:9">
      <c r="A19719" s="22" t="str">
        <f>HYPERLINK("https://app.vivvix.com/360/KMI/IntelliDrive/ApplUI/Pages/CreativePages/CustomReportCreativeDetail.aspx?App=23&amp;ReportView=4&amp;Qid=1711279&amp;Row=19711&amp;Col=1","No Title Assigned - #15278718203")</f>
        <v/>
      </c>
      <c r="B19719" s="0" t="s">
        <v>26156</v>
      </c>
      <c r="C19719" s="0" t="s">
        <v>26157</v>
      </c>
      <c r="D19719" s="0" t="s">
        <v>4200</v>
      </c>
      <c r="E19719" s="0" t="inlineStr">
        <is>
          <t xml:space="preserve">Mazda</t>
        </is>
      </c>
      <c r="F19719" s="0" t="s">
        <v>28</v>
      </c>
      <c r="G19719" s="0" t="s">
        <v>29</v>
      </c>
      <c r="H19719" s="5">
        <v>345.485500</v>
      </c>
    </row>
    <row r="19720" spans="1:9">
      <c r="A19720" s="22" t="str">
        <f>HYPERLINK("https://app.vivvix.com/360/KMI/IntelliDrive/ApplUI/Pages/CreativePages/CustomReportCreativeDetail.aspx?App=23&amp;ReportView=4&amp;Qid=1711279&amp;Row=19712&amp;Col=1","No Title Assigned - #15278718306")</f>
        <v/>
      </c>
      <c r="B19720" s="0" t="s">
        <v>26158</v>
      </c>
      <c r="C19720" s="0" t="s">
        <v>26159</v>
      </c>
      <c r="D19720" s="0" t="s">
        <v>4225</v>
      </c>
      <c r="E19720" s="0" t="inlineStr">
        <is>
          <t xml:space="preserve">Mazda</t>
        </is>
      </c>
      <c r="F19720" s="0" t="s">
        <v>28</v>
      </c>
      <c r="G19720" s="0" t="s">
        <v>29</v>
      </c>
      <c r="H19720" s="5">
        <v>39.471600</v>
      </c>
    </row>
    <row r="19721" spans="1:9">
      <c r="A19721" s="22" t="str">
        <f>HYPERLINK("https://app.vivvix.com/360/KMI/IntelliDrive/ApplUI/Pages/CreativePages/CustomReportCreativeDetail.aspx?App=23&amp;ReportView=4&amp;Qid=1711279&amp;Row=19713&amp;Col=1","No Title Assigned - #15278718419")</f>
        <v/>
      </c>
      <c r="B19721" s="0" t="s">
        <v>26160</v>
      </c>
      <c r="C19721" s="0" t="s">
        <v>26161</v>
      </c>
      <c r="D19721" s="0" t="s">
        <v>26161</v>
      </c>
      <c r="E19721" s="0" t="inlineStr">
        <is>
          <t xml:space="preserve">Mazda</t>
        </is>
      </c>
      <c r="F19721" s="0" t="s">
        <v>28</v>
      </c>
      <c r="G19721" s="0" t="s">
        <v>29</v>
      </c>
      <c r="H19721" s="5">
        <v>3.692100</v>
      </c>
    </row>
    <row r="19722" spans="1:9">
      <c r="A19722" s="22" t="str">
        <f>HYPERLINK("https://app.vivvix.com/360/KMI/IntelliDrive/ApplUI/Pages/CreativePages/CustomReportCreativeDetail.aspx?App=23&amp;ReportView=4&amp;Qid=1711279&amp;Row=19714&amp;Col=1","No Title Assigned - #15278718796")</f>
        <v/>
      </c>
      <c r="B19722" s="0" t="s">
        <v>26162</v>
      </c>
      <c r="C19722" s="0" t="s">
        <v>26163</v>
      </c>
      <c r="D19722" s="0" t="s">
        <v>26163</v>
      </c>
      <c r="E19722" s="0" t="inlineStr">
        <is>
          <t xml:space="preserve">Mazda</t>
        </is>
      </c>
      <c r="F19722" s="0" t="s">
        <v>28</v>
      </c>
      <c r="G19722" s="0" t="s">
        <v>29</v>
      </c>
      <c r="H19722" s="5">
        <v>866.788200</v>
      </c>
    </row>
    <row r="19723" spans="1:9">
      <c r="A19723" s="22" t="str">
        <f>HYPERLINK("https://app.vivvix.com/360/KMI/IntelliDrive/ApplUI/Pages/CreativePages/CustomReportCreativeDetail.aspx?App=23&amp;ReportView=4&amp;Qid=1711279&amp;Row=19715&amp;Col=1","No Title Assigned - #15278718869")</f>
        <v/>
      </c>
      <c r="B19723" s="0" t="s">
        <v>26164</v>
      </c>
      <c r="C19723" s="0" t="s">
        <v>26165</v>
      </c>
      <c r="D19723" s="0" t="s">
        <v>26165</v>
      </c>
      <c r="E19723" s="0" t="inlineStr">
        <is>
          <t xml:space="preserve">Mazda</t>
        </is>
      </c>
      <c r="F19723" s="0" t="s">
        <v>28</v>
      </c>
      <c r="G19723" s="0" t="s">
        <v>29</v>
      </c>
      <c r="H19723" s="5">
        <v>467.100900</v>
      </c>
    </row>
    <row r="19724" spans="1:9">
      <c r="A19724" s="22" t="str">
        <f>HYPERLINK("https://app.vivvix.com/360/KMI/IntelliDrive/ApplUI/Pages/CreativePages/CustomReportCreativeDetail.aspx?App=23&amp;ReportView=4&amp;Qid=1711279&amp;Row=19716&amp;Col=1","No Title Assigned - #15278719455")</f>
        <v/>
      </c>
      <c r="B19724" s="0" t="s">
        <v>26166</v>
      </c>
      <c r="C19724" s="0" t="s">
        <v>26167</v>
      </c>
      <c r="D19724" s="0" t="s">
        <v>5855</v>
      </c>
      <c r="E19724" s="0" t="inlineStr">
        <is>
          <t xml:space="preserve">Mazda</t>
        </is>
      </c>
      <c r="F19724" s="0" t="s">
        <v>28</v>
      </c>
      <c r="G19724" s="0" t="s">
        <v>29</v>
      </c>
      <c r="H19724" s="5">
        <v>178.938600</v>
      </c>
    </row>
    <row r="19725" spans="1:9">
      <c r="A19725" s="22" t="str">
        <f>HYPERLINK("https://app.vivvix.com/360/KMI/IntelliDrive/ApplUI/Pages/CreativePages/CustomReportCreativeDetail.aspx?App=23&amp;ReportView=4&amp;Qid=1711279&amp;Row=19717&amp;Col=1","No Title Assigned - #15278719482")</f>
        <v/>
      </c>
      <c r="B19725" s="0" t="s">
        <v>26168</v>
      </c>
      <c r="C19725" s="0" t="s">
        <v>26169</v>
      </c>
      <c r="D19725" s="0" t="s">
        <v>4200</v>
      </c>
      <c r="E19725" s="0" t="inlineStr">
        <is>
          <t xml:space="preserve">Mazda</t>
        </is>
      </c>
      <c r="F19725" s="0" t="s">
        <v>28</v>
      </c>
      <c r="G19725" s="0" t="s">
        <v>29</v>
      </c>
      <c r="H19725" s="5">
        <v>25.919200</v>
      </c>
    </row>
    <row r="19726" spans="1:9">
      <c r="A19726" s="22" t="str">
        <f>HYPERLINK("https://app.vivvix.com/360/KMI/IntelliDrive/ApplUI/Pages/CreativePages/CustomReportCreativeDetail.aspx?App=23&amp;ReportView=4&amp;Qid=1711279&amp;Row=19718&amp;Col=1","No Title Assigned - #15278719941")</f>
        <v/>
      </c>
      <c r="B19726" s="0" t="s">
        <v>26170</v>
      </c>
      <c r="C19726" s="0" t="s">
        <v>26171</v>
      </c>
      <c r="D19726" s="0" t="s">
        <v>26171</v>
      </c>
      <c r="E19726" s="0" t="inlineStr">
        <is>
          <t xml:space="preserve">Mazda</t>
        </is>
      </c>
      <c r="F19726" s="0" t="s">
        <v>28</v>
      </c>
      <c r="G19726" s="0" t="s">
        <v>29</v>
      </c>
      <c r="H19726" s="5">
        <v>46.468900</v>
      </c>
    </row>
    <row r="19727" spans="1:9">
      <c r="A19727" s="22" t="str">
        <f>HYPERLINK("https://app.vivvix.com/360/KMI/IntelliDrive/ApplUI/Pages/CreativePages/CustomReportCreativeDetail.aspx?App=23&amp;ReportView=4&amp;Qid=1711279&amp;Row=19719&amp;Col=1","No Title Assigned - #15278720101")</f>
        <v/>
      </c>
      <c r="B19727" s="0" t="s">
        <v>26172</v>
      </c>
      <c r="C19727" s="0" t="s">
        <v>26173</v>
      </c>
      <c r="D19727" s="0" t="s">
        <v>4202</v>
      </c>
      <c r="E19727" s="0" t="inlineStr">
        <is>
          <t xml:space="preserve">Mazda</t>
        </is>
      </c>
      <c r="F19727" s="0" t="s">
        <v>28</v>
      </c>
      <c r="G19727" s="0" t="s">
        <v>29</v>
      </c>
      <c r="H19727" s="5">
        <v>24.167300</v>
      </c>
    </row>
    <row r="19728" spans="1:9">
      <c r="A19728" s="22" t="str">
        <f>HYPERLINK("https://app.vivvix.com/360/KMI/IntelliDrive/ApplUI/Pages/CreativePages/CustomReportCreativeDetail.aspx?App=23&amp;ReportView=4&amp;Qid=1711279&amp;Row=19720&amp;Col=1","No Title Assigned - #15278720201")</f>
        <v/>
      </c>
      <c r="B19728" s="0" t="s">
        <v>26174</v>
      </c>
      <c r="C19728" s="0" t="s">
        <v>26175</v>
      </c>
      <c r="D19728" s="0" t="s">
        <v>26175</v>
      </c>
      <c r="E19728" s="0" t="inlineStr">
        <is>
          <t xml:space="preserve">Mazda</t>
        </is>
      </c>
      <c r="F19728" s="0" t="s">
        <v>28</v>
      </c>
      <c r="G19728" s="0" t="s">
        <v>29</v>
      </c>
      <c r="H19728" s="5">
        <v>1293.007300</v>
      </c>
    </row>
    <row r="19729" spans="1:9">
      <c r="A19729" s="22" t="str">
        <f>HYPERLINK("https://app.vivvix.com/360/KMI/IntelliDrive/ApplUI/Pages/CreativePages/CustomReportCreativeDetail.aspx?App=23&amp;ReportView=4&amp;Qid=1711279&amp;Row=19721&amp;Col=1","No Title Assigned - #15278722925")</f>
        <v/>
      </c>
      <c r="B19729" s="0" t="s">
        <v>26176</v>
      </c>
      <c r="C19729" s="0" t="s">
        <v>26177</v>
      </c>
      <c r="D19729" s="0" t="s">
        <v>8203</v>
      </c>
      <c r="E19729" s="0" t="inlineStr">
        <is>
          <t xml:space="preserve">Mazda</t>
        </is>
      </c>
      <c r="F19729" s="0" t="s">
        <v>28</v>
      </c>
      <c r="G19729" s="0" t="s">
        <v>29</v>
      </c>
      <c r="H19729" s="5">
        <v>220.455200</v>
      </c>
    </row>
    <row r="19730" spans="1:9">
      <c r="A19730" s="22" t="str">
        <f>HYPERLINK("https://app.vivvix.com/360/KMI/IntelliDrive/ApplUI/Pages/CreativePages/CustomReportCreativeDetail.aspx?App=23&amp;ReportView=4&amp;Qid=1711279&amp;Row=19722&amp;Col=1","No Title Assigned - #15278723322")</f>
        <v/>
      </c>
      <c r="B19730" s="0" t="s">
        <v>26178</v>
      </c>
      <c r="C19730" s="0" t="s">
        <v>26179</v>
      </c>
      <c r="D19730" s="0" t="s">
        <v>4202</v>
      </c>
      <c r="E19730" s="0" t="inlineStr">
        <is>
          <t xml:space="preserve">Mazda</t>
        </is>
      </c>
      <c r="F19730" s="0" t="s">
        <v>28</v>
      </c>
      <c r="G19730" s="0" t="s">
        <v>29</v>
      </c>
      <c r="H19730" s="5">
        <v>119.292400</v>
      </c>
    </row>
    <row r="19731" spans="1:9">
      <c r="A19731" s="22" t="str">
        <f>HYPERLINK("https://app.vivvix.com/360/KMI/IntelliDrive/ApplUI/Pages/CreativePages/CustomReportCreativeDetail.aspx?App=23&amp;ReportView=4&amp;Qid=1711279&amp;Row=19723&amp;Col=1","No Title Assigned - #15278727957")</f>
        <v/>
      </c>
      <c r="B19731" s="0" t="s">
        <v>26180</v>
      </c>
      <c r="C19731" s="0" t="s">
        <v>26181</v>
      </c>
      <c r="D19731" s="0" t="s">
        <v>4225</v>
      </c>
      <c r="E19731" s="0" t="inlineStr">
        <is>
          <t xml:space="preserve">Mazda</t>
        </is>
      </c>
      <c r="F19731" s="0" t="s">
        <v>28</v>
      </c>
      <c r="G19731" s="0" t="s">
        <v>29</v>
      </c>
      <c r="H19731" s="5">
        <v>59.646200</v>
      </c>
    </row>
    <row r="19732" spans="1:9">
      <c r="A19732" s="22" t="str">
        <f>HYPERLINK("https://app.vivvix.com/360/KMI/IntelliDrive/ApplUI/Pages/CreativePages/CustomReportCreativeDetail.aspx?App=23&amp;ReportView=4&amp;Qid=1711279&amp;Row=19724&amp;Col=1","No Title Assigned - #15278728005")</f>
        <v/>
      </c>
      <c r="B19732" s="0" t="s">
        <v>26182</v>
      </c>
      <c r="C19732" s="0" t="s">
        <v>26183</v>
      </c>
      <c r="D19732" s="0" t="s">
        <v>4225</v>
      </c>
      <c r="E19732" s="0" t="inlineStr">
        <is>
          <t xml:space="preserve">Mazda</t>
        </is>
      </c>
      <c r="F19732" s="0" t="s">
        <v>28</v>
      </c>
      <c r="G19732" s="0" t="s">
        <v>29</v>
      </c>
      <c r="H19732" s="5">
        <v>59.646200</v>
      </c>
    </row>
    <row r="19733" spans="1:9">
      <c r="A19733" s="22" t="str">
        <f>HYPERLINK("https://app.vivvix.com/360/KMI/IntelliDrive/ApplUI/Pages/CreativePages/CustomReportCreativeDetail.aspx?App=23&amp;ReportView=4&amp;Qid=1711279&amp;Row=19725&amp;Col=1","No Title Assigned - #15278728022")</f>
        <v/>
      </c>
      <c r="B19733" s="0" t="s">
        <v>26184</v>
      </c>
      <c r="C19733" s="0" t="s">
        <v>26185</v>
      </c>
      <c r="D19733" s="0" t="s">
        <v>26185</v>
      </c>
      <c r="E19733" s="0" t="inlineStr">
        <is>
          <t xml:space="preserve">Mazda</t>
        </is>
      </c>
      <c r="F19733" s="0" t="s">
        <v>28</v>
      </c>
      <c r="G19733" s="0" t="s">
        <v>29</v>
      </c>
      <c r="H19733" s="5">
        <v>11.927500</v>
      </c>
    </row>
    <row r="19734" spans="1:9">
      <c r="A19734" s="22" t="str">
        <f>HYPERLINK("https://app.vivvix.com/360/KMI/IntelliDrive/ApplUI/Pages/CreativePages/CustomReportCreativeDetail.aspx?App=23&amp;ReportView=4&amp;Qid=1711279&amp;Row=19726&amp;Col=1","No Title Assigned - #15278729678")</f>
        <v/>
      </c>
      <c r="B19734" s="0" t="s">
        <v>26186</v>
      </c>
      <c r="C19734" s="0" t="s">
        <v>26187</v>
      </c>
      <c r="D19734" s="0" t="s">
        <v>8886</v>
      </c>
      <c r="E19734" s="0" t="inlineStr">
        <is>
          <t xml:space="preserve">Mazda</t>
        </is>
      </c>
      <c r="F19734" s="0" t="s">
        <v>21</v>
      </c>
      <c r="G19734" s="0" t="s">
        <v>22</v>
      </c>
      <c r="H19734" s="5">
        <v>487.741800</v>
      </c>
    </row>
    <row r="19735" spans="1:9">
      <c r="A19735" s="22" t="str">
        <f>HYPERLINK("https://app.vivvix.com/360/KMI/IntelliDrive/ApplUI/Pages/CreativePages/CustomReportCreativeDetail.aspx?App=23&amp;ReportView=4&amp;Qid=1711279&amp;Row=19727&amp;Col=1","No Title Assigned - #15278747025")</f>
        <v/>
      </c>
      <c r="B19735" s="0" t="s">
        <v>26188</v>
      </c>
      <c r="C19735" s="0" t="s">
        <v>26189</v>
      </c>
      <c r="D19735" s="0" t="s">
        <v>26189</v>
      </c>
      <c r="E19735" s="0" t="inlineStr">
        <is>
          <t xml:space="preserve">Mazda</t>
        </is>
      </c>
      <c r="F19735" s="0" t="s">
        <v>28</v>
      </c>
      <c r="G19735" s="0" t="s">
        <v>29</v>
      </c>
      <c r="H19735" s="5">
        <v>470.043600</v>
      </c>
    </row>
    <row r="19736" spans="1:9">
      <c r="A19736" s="22" t="str">
        <f>HYPERLINK("https://app.vivvix.com/360/KMI/IntelliDrive/ApplUI/Pages/CreativePages/CustomReportCreativeDetail.aspx?App=23&amp;ReportView=4&amp;Qid=1711279&amp;Row=19728&amp;Col=1","No Title Assigned - #15278747030")</f>
        <v/>
      </c>
      <c r="B19736" s="0" t="s">
        <v>26190</v>
      </c>
      <c r="C19736" s="0" t="s">
        <v>26191</v>
      </c>
      <c r="D19736" s="0" t="s">
        <v>26191</v>
      </c>
      <c r="E19736" s="0" t="inlineStr">
        <is>
          <t xml:space="preserve">Mazda</t>
        </is>
      </c>
      <c r="F19736" s="0" t="s">
        <v>28</v>
      </c>
      <c r="G19736" s="0" t="s">
        <v>29</v>
      </c>
      <c r="H19736" s="5">
        <v>470.043600</v>
      </c>
    </row>
    <row r="19737" spans="1:9">
      <c r="A19737" s="22" t="str">
        <f>HYPERLINK("https://app.vivvix.com/360/KMI/IntelliDrive/ApplUI/Pages/CreativePages/CustomReportCreativeDetail.aspx?App=23&amp;ReportView=4&amp;Qid=1711279&amp;Row=19729&amp;Col=1","No Title Assigned - #15278747034")</f>
        <v/>
      </c>
      <c r="B19737" s="0" t="s">
        <v>26192</v>
      </c>
      <c r="C19737" s="0" t="s">
        <v>26193</v>
      </c>
      <c r="D19737" s="0" t="s">
        <v>26193</v>
      </c>
      <c r="E19737" s="0" t="inlineStr">
        <is>
          <t xml:space="preserve">Mazda</t>
        </is>
      </c>
      <c r="F19737" s="0" t="s">
        <v>28</v>
      </c>
      <c r="G19737" s="0" t="s">
        <v>29</v>
      </c>
      <c r="H19737" s="5">
        <v>470.043600</v>
      </c>
    </row>
    <row r="19738" spans="1:9">
      <c r="A19738" s="22" t="str">
        <f>HYPERLINK("https://app.vivvix.com/360/KMI/IntelliDrive/ApplUI/Pages/CreativePages/CustomReportCreativeDetail.aspx?App=23&amp;ReportView=4&amp;Qid=1711279&amp;Row=19730&amp;Col=1","No Title Assigned - #15278747051")</f>
        <v/>
      </c>
      <c r="B19738" s="0" t="s">
        <v>26194</v>
      </c>
      <c r="C19738" s="0" t="s">
        <v>26195</v>
      </c>
      <c r="D19738" s="0" t="s">
        <v>26195</v>
      </c>
      <c r="E19738" s="0" t="inlineStr">
        <is>
          <t xml:space="preserve">Mazda</t>
        </is>
      </c>
      <c r="F19738" s="0" t="s">
        <v>28</v>
      </c>
      <c r="G19738" s="0" t="s">
        <v>29</v>
      </c>
      <c r="H19738" s="5">
        <v>999.261200</v>
      </c>
    </row>
    <row r="19739" spans="1:9">
      <c r="A19739" s="22" t="str">
        <f>HYPERLINK("https://app.vivvix.com/360/KMI/IntelliDrive/ApplUI/Pages/CreativePages/CustomReportCreativeDetail.aspx?App=23&amp;ReportView=4&amp;Qid=1711279&amp;Row=19731&amp;Col=1","No Title Assigned - #15278748668")</f>
        <v/>
      </c>
      <c r="B19739" s="0" t="s">
        <v>26196</v>
      </c>
      <c r="C19739" s="0" t="s">
        <v>26197</v>
      </c>
      <c r="D19739" s="0" t="s">
        <v>26197</v>
      </c>
      <c r="E19739" s="0" t="inlineStr">
        <is>
          <t xml:space="preserve">Mazda</t>
        </is>
      </c>
      <c r="F19739" s="0" t="s">
        <v>28</v>
      </c>
      <c r="G19739" s="0" t="s">
        <v>29</v>
      </c>
      <c r="H19739" s="5">
        <v>11.927500</v>
      </c>
    </row>
    <row r="19740" spans="1:9">
      <c r="A19740" s="22" t="str">
        <f>HYPERLINK("https://app.vivvix.com/360/KMI/IntelliDrive/ApplUI/Pages/CreativePages/CustomReportCreativeDetail.aspx?App=23&amp;ReportView=4&amp;Qid=1711279&amp;Row=19732&amp;Col=1","No Title Assigned - #15278748942")</f>
        <v/>
      </c>
      <c r="B19740" s="0" t="s">
        <v>26198</v>
      </c>
      <c r="C19740" s="0" t="s">
        <v>26199</v>
      </c>
      <c r="D19740" s="0" t="s">
        <v>12567</v>
      </c>
      <c r="E19740" s="0" t="inlineStr">
        <is>
          <t xml:space="preserve">Mazda</t>
        </is>
      </c>
      <c r="F19740" s="0" t="s">
        <v>28</v>
      </c>
      <c r="G19740" s="0" t="s">
        <v>29</v>
      </c>
      <c r="H19740" s="5">
        <v>7.384200</v>
      </c>
    </row>
    <row r="19741" spans="1:9">
      <c r="A19741" s="22" t="str">
        <f>HYPERLINK("https://app.vivvix.com/360/KMI/IntelliDrive/ApplUI/Pages/CreativePages/CustomReportCreativeDetail.aspx?App=23&amp;ReportView=4&amp;Qid=1711279&amp;Row=19733&amp;Col=1","No Title Assigned - #15278749673")</f>
        <v/>
      </c>
      <c r="B19741" s="0" t="s">
        <v>26200</v>
      </c>
      <c r="C19741" s="0" t="s">
        <v>26201</v>
      </c>
      <c r="D19741" s="0" t="s">
        <v>26201</v>
      </c>
      <c r="E19741" s="0" t="inlineStr">
        <is>
          <t xml:space="preserve">Mazda</t>
        </is>
      </c>
      <c r="F19741" s="0" t="s">
        <v>28</v>
      </c>
      <c r="G19741" s="0" t="s">
        <v>29</v>
      </c>
      <c r="H19741" s="5">
        <v>20.072500</v>
      </c>
    </row>
    <row r="19742" spans="1:9">
      <c r="A19742" s="22" t="str">
        <f>HYPERLINK("https://app.vivvix.com/360/KMI/IntelliDrive/ApplUI/Pages/CreativePages/CustomReportCreativeDetail.aspx?App=23&amp;ReportView=4&amp;Qid=1711279&amp;Row=19734&amp;Col=1","No Title Assigned - #15278750970")</f>
        <v/>
      </c>
      <c r="B19742" s="0" t="s">
        <v>26202</v>
      </c>
      <c r="C19742" s="0" t="s">
        <v>26203</v>
      </c>
      <c r="D19742" s="0" t="s">
        <v>26203</v>
      </c>
      <c r="E19742" s="0" t="inlineStr">
        <is>
          <t xml:space="preserve">Mazda</t>
        </is>
      </c>
      <c r="F19742" s="0" t="s">
        <v>13</v>
      </c>
      <c r="G19742" s="0" t="s">
        <v>49</v>
      </c>
      <c r="H19742" s="5">
        <v>2428.200400</v>
      </c>
    </row>
    <row r="19743" spans="1:9">
      <c r="A19743" s="22" t="str">
        <f>HYPERLINK("https://app.vivvix.com/360/KMI/IntelliDrive/ApplUI/Pages/CreativePages/CustomReportCreativeDetail.aspx?App=23&amp;ReportView=4&amp;Qid=1711279&amp;Row=19735&amp;Col=1","No Title Assigned - #15278751098")</f>
        <v/>
      </c>
      <c r="B19743" s="0" t="s">
        <v>26204</v>
      </c>
      <c r="C19743" s="0" t="s">
        <v>26205</v>
      </c>
      <c r="D19743" s="0" t="s">
        <v>26205</v>
      </c>
      <c r="E19743" s="0" t="inlineStr">
        <is>
          <t xml:space="preserve">Mazda</t>
        </is>
      </c>
      <c r="F19743" s="0" t="s">
        <v>13</v>
      </c>
      <c r="G19743" s="0" t="s">
        <v>49</v>
      </c>
      <c r="H19743" s="5">
        <v>590.567700</v>
      </c>
    </row>
    <row r="19744" spans="1:9">
      <c r="A19744" s="22" t="str">
        <f>HYPERLINK("https://app.vivvix.com/360/KMI/IntelliDrive/ApplUI/Pages/CreativePages/CustomReportCreativeDetail.aspx?App=23&amp;ReportView=4&amp;Qid=1711279&amp;Row=19736&amp;Col=1","No Title Assigned - #15278753911")</f>
        <v/>
      </c>
      <c r="B19744" s="0" t="s">
        <v>26206</v>
      </c>
      <c r="C19744" s="0" t="s">
        <v>26207</v>
      </c>
      <c r="D19744" s="0" t="s">
        <v>26207</v>
      </c>
      <c r="E19744" s="0" t="inlineStr">
        <is>
          <t xml:space="preserve">Mazda</t>
        </is>
      </c>
      <c r="F19744" s="0" t="s">
        <v>28</v>
      </c>
      <c r="G19744" s="0" t="s">
        <v>29</v>
      </c>
      <c r="H19744" s="5">
        <v>3.692100</v>
      </c>
    </row>
    <row r="19745" spans="1:9">
      <c r="A19745" s="22" t="str">
        <f>HYPERLINK("https://app.vivvix.com/360/KMI/IntelliDrive/ApplUI/Pages/CreativePages/CustomReportCreativeDetail.aspx?App=23&amp;ReportView=4&amp;Qid=1711279&amp;Row=19737&amp;Col=1","No Title Assigned - #15278757141")</f>
        <v/>
      </c>
      <c r="B19745" s="0" t="s">
        <v>26208</v>
      </c>
      <c r="C19745" s="0" t="s">
        <v>26209</v>
      </c>
      <c r="D19745" s="0" t="s">
        <v>21081</v>
      </c>
      <c r="E19745" s="0" t="inlineStr">
        <is>
          <t xml:space="preserve">Mazda</t>
        </is>
      </c>
      <c r="F19745" s="0" t="s">
        <v>13</v>
      </c>
      <c r="G19745" s="0" t="s">
        <v>49</v>
      </c>
      <c r="H19745" s="5">
        <v>2199.343300</v>
      </c>
    </row>
    <row r="19746" spans="1:9">
      <c r="A19746" s="22" t="str">
        <f>HYPERLINK("https://app.vivvix.com/360/KMI/IntelliDrive/ApplUI/Pages/CreativePages/CustomReportCreativeDetail.aspx?App=23&amp;ReportView=4&amp;Qid=1711279&amp;Row=19738&amp;Col=1","No Title Assigned - #15278759817")</f>
        <v/>
      </c>
      <c r="B19746" s="0" t="s">
        <v>26210</v>
      </c>
      <c r="E19746" s="0" t="inlineStr">
        <is>
          <t xml:space="preserve">Mazda</t>
        </is>
      </c>
      <c r="F19746" s="0" t="inlineStr">
        <is>
          <t xml:space="preserve">Mazda</t>
        </is>
      </c>
      <c r="G19746" s="0" t="s">
        <v>171</v>
      </c>
      <c r="H19746" s="5">
        <v>10.234400</v>
      </c>
    </row>
    <row r="19747" spans="1:9">
      <c r="A19747" s="22" t="str">
        <f>HYPERLINK("https://app.vivvix.com/360/KMI/IntelliDrive/ApplUI/Pages/CreativePages/CustomReportCreativeDetail.aspx?App=23&amp;ReportView=4&amp;Qid=1711279&amp;Row=19739&amp;Col=1","No Title Assigned - #15278759818")</f>
        <v/>
      </c>
      <c r="B19747" s="0" t="s">
        <v>26211</v>
      </c>
      <c r="E19747" s="0" t="inlineStr">
        <is>
          <t xml:space="preserve">Mazda</t>
        </is>
      </c>
      <c r="F19747" s="0" t="inlineStr">
        <is>
          <t xml:space="preserve">Mazda</t>
        </is>
      </c>
      <c r="G19747" s="0" t="s">
        <v>171</v>
      </c>
      <c r="H19747" s="5">
        <v>15.683000</v>
      </c>
    </row>
    <row r="19748" spans="1:9">
      <c r="A19748" s="22" t="str">
        <f>HYPERLINK("https://app.vivvix.com/360/KMI/IntelliDrive/ApplUI/Pages/CreativePages/CustomReportCreativeDetail.aspx?App=23&amp;ReportView=4&amp;Qid=1711279&amp;Row=19740&amp;Col=1","No Title Assigned - #15278759894")</f>
        <v/>
      </c>
      <c r="B19748" s="0" t="s">
        <v>26212</v>
      </c>
      <c r="E19748" s="0" t="inlineStr">
        <is>
          <t xml:space="preserve">Mazda</t>
        </is>
      </c>
      <c r="F19748" s="0" t="inlineStr">
        <is>
          <t xml:space="preserve">Mazda</t>
        </is>
      </c>
      <c r="G19748" s="0" t="s">
        <v>171</v>
      </c>
      <c r="H19748" s="5">
        <v>401.923000</v>
      </c>
    </row>
    <row r="19749" spans="1:9">
      <c r="A19749" s="22" t="str">
        <f>HYPERLINK("https://app.vivvix.com/360/KMI/IntelliDrive/ApplUI/Pages/CreativePages/CustomReportCreativeDetail.aspx?App=23&amp;ReportView=4&amp;Qid=1711279&amp;Row=19741&amp;Col=1","No Title Assigned - #15278759954")</f>
        <v/>
      </c>
      <c r="B19749" s="0" t="s">
        <v>26213</v>
      </c>
      <c r="E19749" s="0" t="inlineStr">
        <is>
          <t xml:space="preserve">Mazda</t>
        </is>
      </c>
      <c r="F19749" s="0" t="inlineStr">
        <is>
          <t xml:space="preserve">Mazda</t>
        </is>
      </c>
      <c r="G19749" s="0" t="s">
        <v>171</v>
      </c>
      <c r="H19749" s="5">
        <v>17.677100</v>
      </c>
    </row>
    <row r="19750" spans="1:9">
      <c r="A19750" s="22" t="str">
        <f>HYPERLINK("https://app.vivvix.com/360/KMI/IntelliDrive/ApplUI/Pages/CreativePages/CustomReportCreativeDetail.aspx?App=23&amp;ReportView=4&amp;Qid=1711279&amp;Row=19742&amp;Col=1","No Title Assigned - #15278761424")</f>
        <v/>
      </c>
      <c r="B19750" s="0" t="s">
        <v>26214</v>
      </c>
      <c r="E19750" s="0" t="inlineStr">
        <is>
          <t xml:space="preserve">Mazda</t>
        </is>
      </c>
      <c r="F19750" s="0" t="inlineStr">
        <is>
          <t xml:space="preserve">Mazda</t>
        </is>
      </c>
      <c r="G19750" s="0" t="s">
        <v>171</v>
      </c>
      <c r="H19750" s="5">
        <v>88.701700</v>
      </c>
    </row>
    <row r="19751" spans="1:9">
      <c r="A19751" s="22" t="str">
        <f>HYPERLINK("https://app.vivvix.com/360/KMI/IntelliDrive/ApplUI/Pages/CreativePages/CustomReportCreativeDetail.aspx?App=23&amp;ReportView=4&amp;Qid=1711279&amp;Row=19743&amp;Col=1","No Title Assigned - #15278761439")</f>
        <v/>
      </c>
      <c r="B19751" s="0" t="s">
        <v>26215</v>
      </c>
      <c r="E19751" s="0" t="inlineStr">
        <is>
          <t xml:space="preserve">Mazda</t>
        </is>
      </c>
      <c r="F19751" s="0" t="inlineStr">
        <is>
          <t xml:space="preserve">Mazda</t>
        </is>
      </c>
      <c r="G19751" s="0" t="s">
        <v>171</v>
      </c>
      <c r="H19751" s="5">
        <v>26.834100</v>
      </c>
    </row>
    <row r="19752" spans="1:9">
      <c r="A19752" s="22" t="str">
        <f>HYPERLINK("https://app.vivvix.com/360/KMI/IntelliDrive/ApplUI/Pages/CreativePages/CustomReportCreativeDetail.aspx?App=23&amp;ReportView=4&amp;Qid=1711279&amp;Row=19744&amp;Col=1","No Title Assigned - #15278761749")</f>
        <v/>
      </c>
      <c r="B19752" s="0" t="s">
        <v>26216</v>
      </c>
      <c r="E19752" s="0" t="inlineStr">
        <is>
          <t xml:space="preserve">Mazda</t>
        </is>
      </c>
      <c r="F19752" s="0" t="inlineStr">
        <is>
          <t xml:space="preserve">Mazda</t>
        </is>
      </c>
      <c r="G19752" s="0" t="s">
        <v>171</v>
      </c>
      <c r="H19752" s="5">
        <v>216.957700</v>
      </c>
    </row>
    <row r="19753" spans="1:9">
      <c r="A19753" s="22" t="str">
        <f>HYPERLINK("https://app.vivvix.com/360/KMI/IntelliDrive/ApplUI/Pages/CreativePages/CustomReportCreativeDetail.aspx?App=23&amp;ReportView=4&amp;Qid=1711279&amp;Row=19745&amp;Col=1","No Title Assigned - #15278762106")</f>
        <v/>
      </c>
      <c r="B19753" s="0" t="s">
        <v>26217</v>
      </c>
      <c r="E19753" s="0" t="inlineStr">
        <is>
          <t xml:space="preserve">Mazda</t>
        </is>
      </c>
      <c r="F19753" s="0" t="inlineStr">
        <is>
          <t xml:space="preserve">Mazda</t>
        </is>
      </c>
      <c r="G19753" s="0" t="s">
        <v>171</v>
      </c>
      <c r="H19753" s="5">
        <v>434.007300</v>
      </c>
    </row>
    <row r="19754" spans="1:9">
      <c r="A19754" s="22" t="str">
        <f>HYPERLINK("https://app.vivvix.com/360/KMI/IntelliDrive/ApplUI/Pages/CreativePages/CustomReportCreativeDetail.aspx?App=23&amp;ReportView=4&amp;Qid=1711279&amp;Row=19746&amp;Col=1","No Title Assigned - #15278762579")</f>
        <v/>
      </c>
      <c r="B19754" s="0" t="s">
        <v>26218</v>
      </c>
      <c r="C19754" s="0" t="s">
        <v>26219</v>
      </c>
      <c r="D19754" s="0" t="s">
        <v>26219</v>
      </c>
      <c r="E19754" s="0" t="inlineStr">
        <is>
          <t xml:space="preserve">Mazda</t>
        </is>
      </c>
      <c r="F19754" s="0" t="inlineStr">
        <is>
          <t xml:space="preserve">Mazda</t>
        </is>
      </c>
      <c r="G19754" s="0" t="s">
        <v>171</v>
      </c>
      <c r="H19754" s="5">
        <v>431.445700</v>
      </c>
    </row>
    <row r="19755" spans="1:9">
      <c r="A19755" s="22" t="str">
        <f>HYPERLINK("https://app.vivvix.com/360/KMI/IntelliDrive/ApplUI/Pages/CreativePages/CustomReportCreativeDetail.aspx?App=23&amp;ReportView=4&amp;Qid=1711279&amp;Row=19747&amp;Col=1","No Title Assigned - #15278762864")</f>
        <v/>
      </c>
      <c r="B19755" s="0" t="s">
        <v>26220</v>
      </c>
      <c r="E19755" s="0" t="inlineStr">
        <is>
          <t xml:space="preserve">Mazda</t>
        </is>
      </c>
      <c r="F19755" s="0" t="inlineStr">
        <is>
          <t xml:space="preserve">Mazda</t>
        </is>
      </c>
      <c r="G19755" s="0" t="s">
        <v>171</v>
      </c>
      <c r="H19755" s="5">
        <v>17.355800</v>
      </c>
    </row>
    <row r="19756" spans="1:9">
      <c r="A19756" s="22" t="str">
        <f>HYPERLINK("https://app.vivvix.com/360/KMI/IntelliDrive/ApplUI/Pages/CreativePages/CustomReportCreativeDetail.aspx?App=23&amp;ReportView=4&amp;Qid=1711279&amp;Row=19748&amp;Col=1","No Title Assigned - #15278763989")</f>
        <v/>
      </c>
      <c r="B19756" s="0" t="s">
        <v>26221</v>
      </c>
      <c r="E19756" s="0" t="inlineStr">
        <is>
          <t xml:space="preserve">Mazda</t>
        </is>
      </c>
      <c r="F19756" s="0" t="inlineStr">
        <is>
          <t xml:space="preserve">Mazda</t>
        </is>
      </c>
      <c r="G19756" s="0" t="s">
        <v>171</v>
      </c>
      <c r="H19756" s="5">
        <v>28.888600</v>
      </c>
    </row>
    <row r="19757" spans="1:9">
      <c r="A19757" s="22" t="str">
        <f>HYPERLINK("https://app.vivvix.com/360/KMI/IntelliDrive/ApplUI/Pages/CreativePages/CustomReportCreativeDetail.aspx?App=23&amp;ReportView=4&amp;Qid=1711279&amp;Row=19749&amp;Col=1","No Title Assigned - #15278763990")</f>
        <v/>
      </c>
      <c r="B19757" s="0" t="s">
        <v>26222</v>
      </c>
      <c r="E19757" s="0" t="inlineStr">
        <is>
          <t xml:space="preserve">Mazda</t>
        </is>
      </c>
      <c r="F19757" s="0" t="inlineStr">
        <is>
          <t xml:space="preserve">Mazda</t>
        </is>
      </c>
      <c r="G19757" s="0" t="s">
        <v>171</v>
      </c>
      <c r="H19757" s="5">
        <v>14.444300</v>
      </c>
    </row>
    <row r="19758" spans="1:9">
      <c r="A19758" s="22" t="str">
        <f>HYPERLINK("https://app.vivvix.com/360/KMI/IntelliDrive/ApplUI/Pages/CreativePages/CustomReportCreativeDetail.aspx?App=23&amp;ReportView=4&amp;Qid=1711279&amp;Row=19750&amp;Col=1","No Title Assigned - #15278764636")</f>
        <v/>
      </c>
      <c r="B19758" s="0" t="s">
        <v>26223</v>
      </c>
      <c r="E19758" s="0" t="inlineStr">
        <is>
          <t xml:space="preserve">Mazda</t>
        </is>
      </c>
      <c r="F19758" s="0" t="inlineStr">
        <is>
          <t xml:space="preserve">Mazda</t>
        </is>
      </c>
      <c r="G19758" s="0" t="s">
        <v>171</v>
      </c>
      <c r="H19758" s="5">
        <v>930.031600</v>
      </c>
    </row>
    <row r="19759" spans="1:9">
      <c r="A19759" s="22" t="str">
        <f>HYPERLINK("https://app.vivvix.com/360/KMI/IntelliDrive/ApplUI/Pages/CreativePages/CustomReportCreativeDetail.aspx?App=23&amp;ReportView=4&amp;Qid=1711279&amp;Row=19751&amp;Col=1","No Title Assigned - #15278764840")</f>
        <v/>
      </c>
      <c r="B19759" s="0" t="s">
        <v>26224</v>
      </c>
      <c r="E19759" s="0" t="inlineStr">
        <is>
          <t xml:space="preserve">Mazda</t>
        </is>
      </c>
      <c r="F19759" s="0" t="inlineStr">
        <is>
          <t xml:space="preserve">Mazda</t>
        </is>
      </c>
      <c r="G19759" s="0" t="s">
        <v>171</v>
      </c>
      <c r="H19759" s="5">
        <v>204.080700</v>
      </c>
    </row>
    <row r="19760" spans="1:9">
      <c r="A19760" s="22" t="str">
        <f>HYPERLINK("https://app.vivvix.com/360/KMI/IntelliDrive/ApplUI/Pages/CreativePages/CustomReportCreativeDetail.aspx?App=23&amp;ReportView=4&amp;Qid=1711279&amp;Row=19752&amp;Col=1","No Title Assigned - #15278766227")</f>
        <v/>
      </c>
      <c r="B19760" s="0" t="s">
        <v>26225</v>
      </c>
      <c r="E19760" s="0" t="inlineStr">
        <is>
          <t xml:space="preserve">Mazda</t>
        </is>
      </c>
      <c r="F19760" s="0" t="inlineStr">
        <is>
          <t xml:space="preserve">Mazda</t>
        </is>
      </c>
      <c r="G19760" s="0" t="s">
        <v>171</v>
      </c>
      <c r="H19760" s="5">
        <v>1019.893100</v>
      </c>
    </row>
    <row r="19761" spans="1:9">
      <c r="A19761" s="22" t="str">
        <f>HYPERLINK("https://app.vivvix.com/360/KMI/IntelliDrive/ApplUI/Pages/CreativePages/CustomReportCreativeDetail.aspx?App=23&amp;ReportView=4&amp;Qid=1711279&amp;Row=19753&amp;Col=1","No Title Assigned - #15278766604")</f>
        <v/>
      </c>
      <c r="B19761" s="0" t="s">
        <v>26226</v>
      </c>
      <c r="E19761" s="0" t="inlineStr">
        <is>
          <t xml:space="preserve">Mazda</t>
        </is>
      </c>
      <c r="F19761" s="0" t="inlineStr">
        <is>
          <t xml:space="preserve">Mazda</t>
        </is>
      </c>
      <c r="G19761" s="0" t="s">
        <v>171</v>
      </c>
      <c r="H19761" s="5">
        <v>877.874600</v>
      </c>
    </row>
    <row r="19762" spans="1:9">
      <c r="A19762" s="22" t="str">
        <f>HYPERLINK("https://app.vivvix.com/360/KMI/IntelliDrive/ApplUI/Pages/CreativePages/CustomReportCreativeDetail.aspx?App=23&amp;ReportView=4&amp;Qid=1711279&amp;Row=19754&amp;Col=1","No Title Assigned - #15278766688")</f>
        <v/>
      </c>
      <c r="B19762" s="0" t="s">
        <v>26227</v>
      </c>
      <c r="E19762" s="0" t="inlineStr">
        <is>
          <t xml:space="preserve">Mazda</t>
        </is>
      </c>
      <c r="F19762" s="0" t="inlineStr">
        <is>
          <t xml:space="preserve">Mazda</t>
        </is>
      </c>
      <c r="G19762" s="0" t="s">
        <v>171</v>
      </c>
      <c r="H19762" s="5">
        <v>28.888600</v>
      </c>
    </row>
    <row r="19763" spans="1:9">
      <c r="A19763" s="22" t="str">
        <f>HYPERLINK("https://app.vivvix.com/360/KMI/IntelliDrive/ApplUI/Pages/CreativePages/CustomReportCreativeDetail.aspx?App=23&amp;ReportView=4&amp;Qid=1711279&amp;Row=19755&amp;Col=1","No Title Assigned - #15278767924")</f>
        <v/>
      </c>
      <c r="B19763" s="0" t="s">
        <v>26228</v>
      </c>
      <c r="E19763" s="0" t="inlineStr">
        <is>
          <t xml:space="preserve">Mazda</t>
        </is>
      </c>
      <c r="F19763" s="0" t="inlineStr">
        <is>
          <t xml:space="preserve">Mazda</t>
        </is>
      </c>
      <c r="G19763" s="0" t="s">
        <v>171</v>
      </c>
      <c r="H19763" s="5">
        <v>981.901700</v>
      </c>
    </row>
    <row r="19764" spans="1:9">
      <c r="A19764" s="22" t="str">
        <f>HYPERLINK("https://app.vivvix.com/360/KMI/IntelliDrive/ApplUI/Pages/CreativePages/CustomReportCreativeDetail.aspx?App=23&amp;ReportView=4&amp;Qid=1711279&amp;Row=19756&amp;Col=1","No Title Assigned - #15278768191")</f>
        <v/>
      </c>
      <c r="B19764" s="0" t="s">
        <v>26229</v>
      </c>
      <c r="E19764" s="0" t="inlineStr">
        <is>
          <t xml:space="preserve">Mazda</t>
        </is>
      </c>
      <c r="F19764" s="0" t="inlineStr">
        <is>
          <t xml:space="preserve">Mazda</t>
        </is>
      </c>
      <c r="G19764" s="0" t="s">
        <v>171</v>
      </c>
      <c r="H19764" s="5">
        <v>1602.161100</v>
      </c>
    </row>
    <row r="19765" spans="1:9">
      <c r="A19765" s="22" t="str">
        <f>HYPERLINK("https://app.vivvix.com/360/KMI/IntelliDrive/ApplUI/Pages/CreativePages/CustomReportCreativeDetail.aspx?App=23&amp;ReportView=4&amp;Qid=1711279&amp;Row=19757&amp;Col=1","No Title Assigned - #15278768833")</f>
        <v/>
      </c>
      <c r="B19765" s="0" t="s">
        <v>26230</v>
      </c>
      <c r="E19765" s="0" t="inlineStr">
        <is>
          <t xml:space="preserve">Mazda</t>
        </is>
      </c>
      <c r="F19765" s="0" t="inlineStr">
        <is>
          <t xml:space="preserve">Mazda</t>
        </is>
      </c>
      <c r="G19765" s="0" t="s">
        <v>171</v>
      </c>
      <c r="H19765" s="5">
        <v>1149.363800</v>
      </c>
    </row>
    <row r="19766" spans="1:9">
      <c r="A19766" s="22" t="str">
        <f>HYPERLINK("https://app.vivvix.com/360/KMI/IntelliDrive/ApplUI/Pages/CreativePages/CustomReportCreativeDetail.aspx?App=23&amp;ReportView=4&amp;Qid=1711279&amp;Row=19758&amp;Col=1","No Title Assigned - #15278769610")</f>
        <v/>
      </c>
      <c r="B19766" s="0" t="s">
        <v>26231</v>
      </c>
      <c r="E19766" s="0" t="inlineStr">
        <is>
          <t xml:space="preserve">Mazda</t>
        </is>
      </c>
      <c r="F19766" s="0" t="inlineStr">
        <is>
          <t xml:space="preserve">Mazda</t>
        </is>
      </c>
      <c r="G19766" s="0" t="s">
        <v>171</v>
      </c>
      <c r="H19766" s="5">
        <v>2043.598000</v>
      </c>
    </row>
    <row r="19767" spans="1:9">
      <c r="A19767" s="22" t="str">
        <f>HYPERLINK("https://app.vivvix.com/360/KMI/IntelliDrive/ApplUI/Pages/CreativePages/CustomReportCreativeDetail.aspx?App=23&amp;ReportView=4&amp;Qid=1711279&amp;Row=19759&amp;Col=1","No Title Assigned - #15278770676")</f>
        <v/>
      </c>
      <c r="B19767" s="0" t="s">
        <v>26232</v>
      </c>
      <c r="E19767" s="0" t="inlineStr">
        <is>
          <t xml:space="preserve">Mazda</t>
        </is>
      </c>
      <c r="F19767" s="0" t="inlineStr">
        <is>
          <t xml:space="preserve">Mazda</t>
        </is>
      </c>
      <c r="G19767" s="0" t="s">
        <v>171</v>
      </c>
      <c r="H19767" s="5">
        <v>87.827000</v>
      </c>
    </row>
    <row r="19768" spans="1:9">
      <c r="A19768" s="22" t="str">
        <f>HYPERLINK("https://app.vivvix.com/360/KMI/IntelliDrive/ApplUI/Pages/CreativePages/CustomReportCreativeDetail.aspx?App=23&amp;ReportView=4&amp;Qid=1711279&amp;Row=19760&amp;Col=1","No Title Assigned - #15278771003")</f>
        <v/>
      </c>
      <c r="B19768" s="0" t="s">
        <v>26233</v>
      </c>
      <c r="E19768" s="0" t="inlineStr">
        <is>
          <t xml:space="preserve">Mazda</t>
        </is>
      </c>
      <c r="F19768" s="0" t="inlineStr">
        <is>
          <t xml:space="preserve">Mazda</t>
        </is>
      </c>
      <c r="G19768" s="0" t="s">
        <v>171</v>
      </c>
      <c r="H19768" s="5">
        <v>13.880200</v>
      </c>
    </row>
    <row r="19769" spans="1:9">
      <c r="A19769" s="22" t="str">
        <f>HYPERLINK("https://app.vivvix.com/360/KMI/IntelliDrive/ApplUI/Pages/CreativePages/CustomReportCreativeDetail.aspx?App=23&amp;ReportView=4&amp;Qid=1711279&amp;Row=19761&amp;Col=1","No Title Assigned - #15278771004")</f>
        <v/>
      </c>
      <c r="B19769" s="0" t="s">
        <v>26234</v>
      </c>
      <c r="E19769" s="0" t="inlineStr">
        <is>
          <t xml:space="preserve">Mazda</t>
        </is>
      </c>
      <c r="F19769" s="0" t="inlineStr">
        <is>
          <t xml:space="preserve">Mazda</t>
        </is>
      </c>
      <c r="G19769" s="0" t="s">
        <v>171</v>
      </c>
      <c r="H19769" s="5">
        <v>13.880200</v>
      </c>
    </row>
    <row r="19770" spans="1:9">
      <c r="A19770" s="22" t="str">
        <f>HYPERLINK("https://app.vivvix.com/360/KMI/IntelliDrive/ApplUI/Pages/CreativePages/CustomReportCreativeDetail.aspx?App=23&amp;ReportView=4&amp;Qid=1711279&amp;Row=19762&amp;Col=1","No Title Assigned - #15278771238")</f>
        <v/>
      </c>
      <c r="B19770" s="0" t="s">
        <v>26235</v>
      </c>
      <c r="E19770" s="0" t="inlineStr">
        <is>
          <t xml:space="preserve">Mazda</t>
        </is>
      </c>
      <c r="F19770" s="0" t="inlineStr">
        <is>
          <t xml:space="preserve">Mazda</t>
        </is>
      </c>
      <c r="G19770" s="0" t="s">
        <v>171</v>
      </c>
      <c r="H19770" s="5">
        <v>73.921300</v>
      </c>
    </row>
    <row r="19771" spans="1:9">
      <c r="A19771" s="22" t="str">
        <f>HYPERLINK("https://app.vivvix.com/360/KMI/IntelliDrive/ApplUI/Pages/CreativePages/CustomReportCreativeDetail.aspx?App=23&amp;ReportView=4&amp;Qid=1711279&amp;Row=19763&amp;Col=1","No Title Assigned - #15278771361")</f>
        <v/>
      </c>
      <c r="B19771" s="0" t="s">
        <v>26236</v>
      </c>
      <c r="E19771" s="0" t="inlineStr">
        <is>
          <t xml:space="preserve">Mazda</t>
        </is>
      </c>
      <c r="F19771" s="0" t="inlineStr">
        <is>
          <t xml:space="preserve">Mazda</t>
        </is>
      </c>
      <c r="G19771" s="0" t="s">
        <v>171</v>
      </c>
      <c r="H19771" s="5">
        <v>47.869500</v>
      </c>
    </row>
    <row r="19772" spans="1:9">
      <c r="A19772" s="22" t="str">
        <f>HYPERLINK("https://app.vivvix.com/360/KMI/IntelliDrive/ApplUI/Pages/CreativePages/CustomReportCreativeDetail.aspx?App=23&amp;ReportView=4&amp;Qid=1711279&amp;Row=19764&amp;Col=1","No Title Assigned - #15278771542")</f>
        <v/>
      </c>
      <c r="B19772" s="0" t="s">
        <v>26237</v>
      </c>
      <c r="C19772" s="0" t="s">
        <v>26238</v>
      </c>
      <c r="D19772" s="0" t="s">
        <v>26238</v>
      </c>
      <c r="E19772" s="0" t="inlineStr">
        <is>
          <t xml:space="preserve">Mazda</t>
        </is>
      </c>
      <c r="F19772" s="0" t="inlineStr">
        <is>
          <t xml:space="preserve">Mazda</t>
        </is>
      </c>
      <c r="G19772" s="0" t="s">
        <v>171</v>
      </c>
      <c r="H19772" s="5">
        <v>127.139600</v>
      </c>
    </row>
    <row r="19773" spans="1:9">
      <c r="A19773" s="22" t="str">
        <f>HYPERLINK("https://app.vivvix.com/360/KMI/IntelliDrive/ApplUI/Pages/CreativePages/CustomReportCreativeDetail.aspx?App=23&amp;ReportView=4&amp;Qid=1711279&amp;Row=19765&amp;Col=1","No Title Assigned - #15278771636")</f>
        <v/>
      </c>
      <c r="B19773" s="0" t="s">
        <v>26239</v>
      </c>
      <c r="E19773" s="0" t="inlineStr">
        <is>
          <t xml:space="preserve">Mazda</t>
        </is>
      </c>
      <c r="F19773" s="0" t="inlineStr">
        <is>
          <t xml:space="preserve">Mazda</t>
        </is>
      </c>
      <c r="G19773" s="0" t="s">
        <v>171</v>
      </c>
      <c r="H19773" s="5">
        <v>22.732900</v>
      </c>
    </row>
    <row r="19774" spans="1:9">
      <c r="A19774" s="22" t="str">
        <f>HYPERLINK("https://app.vivvix.com/360/KMI/IntelliDrive/ApplUI/Pages/CreativePages/CustomReportCreativeDetail.aspx?App=23&amp;ReportView=4&amp;Qid=1711279&amp;Row=19766&amp;Col=1","No Title Assigned - #15278771646")</f>
        <v/>
      </c>
      <c r="B19774" s="0" t="s">
        <v>26240</v>
      </c>
      <c r="E19774" s="0" t="inlineStr">
        <is>
          <t xml:space="preserve">Mazda</t>
        </is>
      </c>
      <c r="F19774" s="0" t="inlineStr">
        <is>
          <t xml:space="preserve">Mazda</t>
        </is>
      </c>
      <c r="G19774" s="0" t="s">
        <v>171</v>
      </c>
      <c r="H19774" s="5">
        <v>72.542500</v>
      </c>
    </row>
    <row r="19775" spans="1:9">
      <c r="A19775" s="22" t="str">
        <f>HYPERLINK("https://app.vivvix.com/360/KMI/IntelliDrive/ApplUI/Pages/CreativePages/CustomReportCreativeDetail.aspx?App=23&amp;ReportView=4&amp;Qid=1711279&amp;Row=19767&amp;Col=1","No Title Assigned - #15278771677")</f>
        <v/>
      </c>
      <c r="B19775" s="0" t="s">
        <v>26241</v>
      </c>
      <c r="E19775" s="0" t="inlineStr">
        <is>
          <t xml:space="preserve">Mazda</t>
        </is>
      </c>
      <c r="F19775" s="0" t="inlineStr">
        <is>
          <t xml:space="preserve">Mazda</t>
        </is>
      </c>
      <c r="G19775" s="0" t="s">
        <v>171</v>
      </c>
      <c r="H19775" s="5">
        <v>191.462300</v>
      </c>
    </row>
    <row r="19776" spans="1:9">
      <c r="A19776" s="22" t="str">
        <f>HYPERLINK("https://app.vivvix.com/360/KMI/IntelliDrive/ApplUI/Pages/CreativePages/CustomReportCreativeDetail.aspx?App=23&amp;ReportView=4&amp;Qid=1711279&amp;Row=19768&amp;Col=1","No Title Assigned - #15278771927")</f>
        <v/>
      </c>
      <c r="B19776" s="0" t="s">
        <v>26242</v>
      </c>
      <c r="E19776" s="0" t="inlineStr">
        <is>
          <t xml:space="preserve">Mazda</t>
        </is>
      </c>
      <c r="F19776" s="0" t="inlineStr">
        <is>
          <t xml:space="preserve">Mazda</t>
        </is>
      </c>
      <c r="G19776" s="0" t="s">
        <v>171</v>
      </c>
      <c r="H19776" s="5">
        <v>141.296000</v>
      </c>
    </row>
    <row r="19777" spans="1:9">
      <c r="A19777" s="22" t="str">
        <f>HYPERLINK("https://app.vivvix.com/360/KMI/IntelliDrive/ApplUI/Pages/CreativePages/CustomReportCreativeDetail.aspx?App=23&amp;ReportView=4&amp;Qid=1711279&amp;Row=19769&amp;Col=1","No Title Assigned - #15278772209")</f>
        <v/>
      </c>
      <c r="B19777" s="0" t="s">
        <v>26243</v>
      </c>
      <c r="E19777" s="0" t="inlineStr">
        <is>
          <t xml:space="preserve">Mazda</t>
        </is>
      </c>
      <c r="F19777" s="0" t="inlineStr">
        <is>
          <t xml:space="preserve">Mazda</t>
        </is>
      </c>
      <c r="G19777" s="0" t="s">
        <v>171</v>
      </c>
      <c r="H19777" s="5">
        <v>62.164100</v>
      </c>
    </row>
    <row r="19778" spans="1:9">
      <c r="A19778" s="22" t="str">
        <f>HYPERLINK("https://app.vivvix.com/360/KMI/IntelliDrive/ApplUI/Pages/CreativePages/CustomReportCreativeDetail.aspx?App=23&amp;ReportView=4&amp;Qid=1711279&amp;Row=19770&amp;Col=1","No Title Assigned - #15278772245")</f>
        <v/>
      </c>
      <c r="B19778" s="0" t="s">
        <v>26244</v>
      </c>
      <c r="E19778" s="0" t="inlineStr">
        <is>
          <t xml:space="preserve">Mazda</t>
        </is>
      </c>
      <c r="F19778" s="0" t="inlineStr">
        <is>
          <t xml:space="preserve">Mazda</t>
        </is>
      </c>
      <c r="G19778" s="0" t="s">
        <v>171</v>
      </c>
      <c r="H19778" s="5">
        <v>29.858700</v>
      </c>
    </row>
    <row r="19779" spans="1:9">
      <c r="A19779" s="22" t="str">
        <f>HYPERLINK("https://app.vivvix.com/360/KMI/IntelliDrive/ApplUI/Pages/CreativePages/CustomReportCreativeDetail.aspx?App=23&amp;ReportView=4&amp;Qid=1711279&amp;Row=19771&amp;Col=1","No Title Assigned - #15278772255")</f>
        <v/>
      </c>
      <c r="B19779" s="0" t="s">
        <v>26245</v>
      </c>
      <c r="E19779" s="0" t="inlineStr">
        <is>
          <t xml:space="preserve">Mazda</t>
        </is>
      </c>
      <c r="F19779" s="0" t="inlineStr">
        <is>
          <t xml:space="preserve">Mazda</t>
        </is>
      </c>
      <c r="G19779" s="0" t="s">
        <v>171</v>
      </c>
      <c r="H19779" s="5">
        <v>29.858700</v>
      </c>
    </row>
    <row r="19780" spans="1:9">
      <c r="A19780" s="22" t="str">
        <f>HYPERLINK("https://app.vivvix.com/360/KMI/IntelliDrive/ApplUI/Pages/CreativePages/CustomReportCreativeDetail.aspx?App=23&amp;ReportView=4&amp;Qid=1711279&amp;Row=19772&amp;Col=1","No Title Assigned - #15278772315")</f>
        <v/>
      </c>
      <c r="B19780" s="0" t="s">
        <v>26246</v>
      </c>
      <c r="E19780" s="0" t="inlineStr">
        <is>
          <t xml:space="preserve">Mazda</t>
        </is>
      </c>
      <c r="F19780" s="0" t="inlineStr">
        <is>
          <t xml:space="preserve">Mazda</t>
        </is>
      </c>
      <c r="G19780" s="0" t="s">
        <v>171</v>
      </c>
      <c r="H19780" s="5">
        <v>211.382200</v>
      </c>
    </row>
    <row r="19781" spans="1:9">
      <c r="A19781" s="22" t="str">
        <f>HYPERLINK("https://app.vivvix.com/360/KMI/IntelliDrive/ApplUI/Pages/CreativePages/CustomReportCreativeDetail.aspx?App=23&amp;ReportView=4&amp;Qid=1711279&amp;Row=19773&amp;Col=1","No Title Assigned - #15278772416")</f>
        <v/>
      </c>
      <c r="B19781" s="0" t="s">
        <v>26247</v>
      </c>
      <c r="E19781" s="0" t="inlineStr">
        <is>
          <t xml:space="preserve">Mazda</t>
        </is>
      </c>
      <c r="F19781" s="0" t="inlineStr">
        <is>
          <t xml:space="preserve">Mazda</t>
        </is>
      </c>
      <c r="G19781" s="0" t="s">
        <v>171</v>
      </c>
      <c r="H19781" s="5">
        <v>29.858700</v>
      </c>
    </row>
    <row r="19782" spans="1:9">
      <c r="A19782" s="22" t="str">
        <f>HYPERLINK("https://app.vivvix.com/360/KMI/IntelliDrive/ApplUI/Pages/CreativePages/CustomReportCreativeDetail.aspx?App=23&amp;ReportView=4&amp;Qid=1711279&amp;Row=19774&amp;Col=1","No Title Assigned - #15278772420")</f>
        <v/>
      </c>
      <c r="B19782" s="0" t="s">
        <v>26248</v>
      </c>
      <c r="E19782" s="0" t="inlineStr">
        <is>
          <t xml:space="preserve">Mazda</t>
        </is>
      </c>
      <c r="F19782" s="0" t="inlineStr">
        <is>
          <t xml:space="preserve">Mazda</t>
        </is>
      </c>
      <c r="G19782" s="0" t="s">
        <v>171</v>
      </c>
      <c r="H19782" s="5">
        <v>179.152200</v>
      </c>
    </row>
    <row r="19783" spans="1:9">
      <c r="A19783" s="22" t="str">
        <f>HYPERLINK("https://app.vivvix.com/360/KMI/IntelliDrive/ApplUI/Pages/CreativePages/CustomReportCreativeDetail.aspx?App=23&amp;ReportView=4&amp;Qid=1711279&amp;Row=19775&amp;Col=1","No Title Assigned - #15278772429")</f>
        <v/>
      </c>
      <c r="B19783" s="0" t="s">
        <v>26249</v>
      </c>
      <c r="E19783" s="0" t="inlineStr">
        <is>
          <t xml:space="preserve">Mazda</t>
        </is>
      </c>
      <c r="F19783" s="0" t="inlineStr">
        <is>
          <t xml:space="preserve">Mazda</t>
        </is>
      </c>
      <c r="G19783" s="0" t="s">
        <v>171</v>
      </c>
      <c r="H19783" s="5">
        <v>29.858700</v>
      </c>
    </row>
    <row r="19784" spans="1:9">
      <c r="A19784" s="22" t="str">
        <f>HYPERLINK("https://app.vivvix.com/360/KMI/IntelliDrive/ApplUI/Pages/CreativePages/CustomReportCreativeDetail.aspx?App=23&amp;ReportView=4&amp;Qid=1711279&amp;Row=19776&amp;Col=1","No Title Assigned - #15278772445")</f>
        <v/>
      </c>
      <c r="B19784" s="0" t="s">
        <v>26250</v>
      </c>
      <c r="E19784" s="0" t="inlineStr">
        <is>
          <t xml:space="preserve">Mazda</t>
        </is>
      </c>
      <c r="F19784" s="0" t="inlineStr">
        <is>
          <t xml:space="preserve">Mazda</t>
        </is>
      </c>
      <c r="G19784" s="0" t="s">
        <v>171</v>
      </c>
      <c r="H19784" s="5">
        <v>59.717400</v>
      </c>
    </row>
    <row r="19785" spans="1:9">
      <c r="A19785" s="22" t="str">
        <f>HYPERLINK("https://app.vivvix.com/360/KMI/IntelliDrive/ApplUI/Pages/CreativePages/CustomReportCreativeDetail.aspx?App=23&amp;ReportView=4&amp;Qid=1711279&amp;Row=19777&amp;Col=1","No Title Assigned - #15278772509")</f>
        <v/>
      </c>
      <c r="B19785" s="0" t="s">
        <v>26251</v>
      </c>
      <c r="E19785" s="0" t="inlineStr">
        <is>
          <t xml:space="preserve">Mazda</t>
        </is>
      </c>
      <c r="F19785" s="0" t="inlineStr">
        <is>
          <t xml:space="preserve">Mazda</t>
        </is>
      </c>
      <c r="G19785" s="0" t="s">
        <v>171</v>
      </c>
      <c r="H19785" s="5">
        <v>586.100900</v>
      </c>
    </row>
    <row r="19786" spans="1:9">
      <c r="A19786" s="22" t="str">
        <f>HYPERLINK("https://app.vivvix.com/360/KMI/IntelliDrive/ApplUI/Pages/CreativePages/CustomReportCreativeDetail.aspx?App=23&amp;ReportView=4&amp;Qid=1711279&amp;Row=19778&amp;Col=1","No Title Assigned - #15278772713")</f>
        <v/>
      </c>
      <c r="B19786" s="0" t="s">
        <v>26252</v>
      </c>
      <c r="E19786" s="0" t="inlineStr">
        <is>
          <t xml:space="preserve">Mazda</t>
        </is>
      </c>
      <c r="F19786" s="0" t="inlineStr">
        <is>
          <t xml:space="preserve">Mazda</t>
        </is>
      </c>
      <c r="G19786" s="0" t="s">
        <v>171</v>
      </c>
      <c r="H19786" s="5">
        <v>5.543100</v>
      </c>
    </row>
    <row r="19787" spans="1:9">
      <c r="A19787" s="22" t="str">
        <f>HYPERLINK("https://app.vivvix.com/360/KMI/IntelliDrive/ApplUI/Pages/CreativePages/CustomReportCreativeDetail.aspx?App=23&amp;ReportView=4&amp;Qid=1711279&amp;Row=19779&amp;Col=1","No Title Assigned - #15278772786")</f>
        <v/>
      </c>
      <c r="B19787" s="0" t="s">
        <v>26253</v>
      </c>
      <c r="E19787" s="0" t="inlineStr">
        <is>
          <t xml:space="preserve">Mazda</t>
        </is>
      </c>
      <c r="F19787" s="0" t="inlineStr">
        <is>
          <t xml:space="preserve">Mazda</t>
        </is>
      </c>
      <c r="G19787" s="0" t="s">
        <v>171</v>
      </c>
      <c r="H19787" s="5">
        <v>5.543100</v>
      </c>
    </row>
    <row r="19788" spans="1:9">
      <c r="A19788" s="22" t="str">
        <f>HYPERLINK("https://app.vivvix.com/360/KMI/IntelliDrive/ApplUI/Pages/CreativePages/CustomReportCreativeDetail.aspx?App=23&amp;ReportView=4&amp;Qid=1711279&amp;Row=19780&amp;Col=1","No Title Assigned - #15278772791")</f>
        <v/>
      </c>
      <c r="B19788" s="0" t="s">
        <v>26254</v>
      </c>
      <c r="E19788" s="0" t="inlineStr">
        <is>
          <t xml:space="preserve">Mazda</t>
        </is>
      </c>
      <c r="F19788" s="0" t="inlineStr">
        <is>
          <t xml:space="preserve">Mazda</t>
        </is>
      </c>
      <c r="G19788" s="0" t="s">
        <v>171</v>
      </c>
      <c r="H19788" s="5">
        <v>147.990000</v>
      </c>
    </row>
    <row r="19789" spans="1:9">
      <c r="A19789" s="22" t="str">
        <f>HYPERLINK("https://app.vivvix.com/360/KMI/IntelliDrive/ApplUI/Pages/CreativePages/CustomReportCreativeDetail.aspx?App=23&amp;ReportView=4&amp;Qid=1711279&amp;Row=19781&amp;Col=1","No Title Assigned - #15278772806")</f>
        <v/>
      </c>
      <c r="B19789" s="0" t="s">
        <v>26255</v>
      </c>
      <c r="E19789" s="0" t="inlineStr">
        <is>
          <t xml:space="preserve">Mazda</t>
        </is>
      </c>
      <c r="F19789" s="0" t="inlineStr">
        <is>
          <t xml:space="preserve">Mazda</t>
        </is>
      </c>
      <c r="G19789" s="0" t="s">
        <v>171</v>
      </c>
      <c r="H19789" s="5">
        <v>7.703000</v>
      </c>
    </row>
    <row r="19790" spans="1:9">
      <c r="A19790" s="22" t="str">
        <f>HYPERLINK("https://app.vivvix.com/360/KMI/IntelliDrive/ApplUI/Pages/CreativePages/CustomReportCreativeDetail.aspx?App=23&amp;ReportView=4&amp;Qid=1711279&amp;Row=19782&amp;Col=1","No Title Assigned - #15278772975")</f>
        <v/>
      </c>
      <c r="B19790" s="0" t="s">
        <v>26256</v>
      </c>
      <c r="E19790" s="0" t="inlineStr">
        <is>
          <t xml:space="preserve">Mazda</t>
        </is>
      </c>
      <c r="F19790" s="0" t="inlineStr">
        <is>
          <t xml:space="preserve">Mazda</t>
        </is>
      </c>
      <c r="G19790" s="0" t="s">
        <v>171</v>
      </c>
      <c r="H19790" s="5">
        <v>102.786900</v>
      </c>
    </row>
    <row r="19791" spans="1:9">
      <c r="A19791" s="22" t="str">
        <f>HYPERLINK("https://app.vivvix.com/360/KMI/IntelliDrive/ApplUI/Pages/CreativePages/CustomReportCreativeDetail.aspx?App=23&amp;ReportView=4&amp;Qid=1711279&amp;Row=19783&amp;Col=1","No Title Assigned - #15278773028")</f>
        <v/>
      </c>
      <c r="B19791" s="0" t="s">
        <v>26257</v>
      </c>
      <c r="E19791" s="0" t="inlineStr">
        <is>
          <t xml:space="preserve">Mazda</t>
        </is>
      </c>
      <c r="F19791" s="0" t="inlineStr">
        <is>
          <t xml:space="preserve">Mazda</t>
        </is>
      </c>
      <c r="G19791" s="0" t="s">
        <v>171</v>
      </c>
      <c r="H19791" s="5">
        <v>43.328300</v>
      </c>
    </row>
    <row r="19792" spans="1:9">
      <c r="A19792" s="22" t="str">
        <f>HYPERLINK("https://app.vivvix.com/360/KMI/IntelliDrive/ApplUI/Pages/CreativePages/CustomReportCreativeDetail.aspx?App=23&amp;ReportView=4&amp;Qid=1711279&amp;Row=19784&amp;Col=1","No Title Assigned - #15278773031")</f>
        <v/>
      </c>
      <c r="B19792" s="0" t="s">
        <v>26258</v>
      </c>
      <c r="E19792" s="0" t="inlineStr">
        <is>
          <t xml:space="preserve">Mazda</t>
        </is>
      </c>
      <c r="F19792" s="0" t="inlineStr">
        <is>
          <t xml:space="preserve">Mazda</t>
        </is>
      </c>
      <c r="G19792" s="0" t="s">
        <v>171</v>
      </c>
      <c r="H19792" s="5">
        <v>21.567700</v>
      </c>
    </row>
    <row r="19793" spans="1:9">
      <c r="A19793" s="22" t="str">
        <f>HYPERLINK("https://app.vivvix.com/360/KMI/IntelliDrive/ApplUI/Pages/CreativePages/CustomReportCreativeDetail.aspx?App=23&amp;ReportView=4&amp;Qid=1711279&amp;Row=19785&amp;Col=1","No Title Assigned - #15278773781")</f>
        <v/>
      </c>
      <c r="B19793" s="0" t="s">
        <v>26259</v>
      </c>
      <c r="E19793" s="0" t="inlineStr">
        <is>
          <t xml:space="preserve">Mazda</t>
        </is>
      </c>
      <c r="F19793" s="0" t="inlineStr">
        <is>
          <t xml:space="preserve">Mazda</t>
        </is>
      </c>
      <c r="G19793" s="0" t="s">
        <v>171</v>
      </c>
      <c r="H19793" s="5">
        <v>805.258700</v>
      </c>
    </row>
    <row r="19794" spans="1:9">
      <c r="A19794" s="22" t="str">
        <f>HYPERLINK("https://app.vivvix.com/360/KMI/IntelliDrive/ApplUI/Pages/CreativePages/CustomReportCreativeDetail.aspx?App=23&amp;ReportView=4&amp;Qid=1711279&amp;Row=19786&amp;Col=1","No Title Assigned - #15278774329")</f>
        <v/>
      </c>
      <c r="B19794" s="0" t="s">
        <v>26260</v>
      </c>
      <c r="C19794" s="0" t="s">
        <v>26261</v>
      </c>
      <c r="D19794" s="0" t="s">
        <v>26261</v>
      </c>
      <c r="E19794" s="0" t="inlineStr">
        <is>
          <t xml:space="preserve">Mazda</t>
        </is>
      </c>
      <c r="F19794" s="0" t="inlineStr">
        <is>
          <t xml:space="preserve">Mazda</t>
        </is>
      </c>
      <c r="G19794" s="0" t="s">
        <v>171</v>
      </c>
      <c r="H19794" s="5">
        <v>4882.553200</v>
      </c>
    </row>
    <row r="19795" spans="1:9">
      <c r="A19795" s="22" t="str">
        <f>HYPERLINK("https://app.vivvix.com/360/KMI/IntelliDrive/ApplUI/Pages/CreativePages/CustomReportCreativeDetail.aspx?App=23&amp;ReportView=4&amp;Qid=1711279&amp;Row=19787&amp;Col=1","No Title Assigned - #15278774673")</f>
        <v/>
      </c>
      <c r="B19795" s="0" t="s">
        <v>26262</v>
      </c>
      <c r="E19795" s="0" t="inlineStr">
        <is>
          <t xml:space="preserve">Mazda</t>
        </is>
      </c>
      <c r="F19795" s="0" t="inlineStr">
        <is>
          <t xml:space="preserve">Mazda</t>
        </is>
      </c>
      <c r="G19795" s="0" t="s">
        <v>171</v>
      </c>
      <c r="H19795" s="5">
        <v>55.362300</v>
      </c>
    </row>
    <row r="19796" spans="1:9">
      <c r="A19796" s="22" t="str">
        <f>HYPERLINK("https://app.vivvix.com/360/KMI/IntelliDrive/ApplUI/Pages/CreativePages/CustomReportCreativeDetail.aspx?App=23&amp;ReportView=4&amp;Qid=1711279&amp;Row=19788&amp;Col=1","No Title Assigned - #15278775130")</f>
        <v/>
      </c>
      <c r="B19796" s="0" t="s">
        <v>26263</v>
      </c>
      <c r="E19796" s="0" t="inlineStr">
        <is>
          <t xml:space="preserve">Mazda</t>
        </is>
      </c>
      <c r="F19796" s="0" t="inlineStr">
        <is>
          <t xml:space="preserve">Mazda</t>
        </is>
      </c>
      <c r="G19796" s="0" t="s">
        <v>171</v>
      </c>
      <c r="H19796" s="5">
        <v>30.703200</v>
      </c>
    </row>
    <row r="19797" spans="1:9">
      <c r="A19797" s="22" t="str">
        <f>HYPERLINK("https://app.vivvix.com/360/KMI/IntelliDrive/ApplUI/Pages/CreativePages/CustomReportCreativeDetail.aspx?App=23&amp;ReportView=4&amp;Qid=1711279&amp;Row=19789&amp;Col=1","No Title Assigned - #15278775344")</f>
        <v/>
      </c>
      <c r="B19797" s="0" t="s">
        <v>26264</v>
      </c>
      <c r="E19797" s="0" t="inlineStr">
        <is>
          <t xml:space="preserve">Mazda</t>
        </is>
      </c>
      <c r="F19797" s="0" t="inlineStr">
        <is>
          <t xml:space="preserve">Mazda</t>
        </is>
      </c>
      <c r="G19797" s="0" t="s">
        <v>171</v>
      </c>
      <c r="H19797" s="5">
        <v>27.250900</v>
      </c>
    </row>
    <row r="19798" spans="1:9">
      <c r="A19798" s="22" t="str">
        <f>HYPERLINK("https://app.vivvix.com/360/KMI/IntelliDrive/ApplUI/Pages/CreativePages/CustomReportCreativeDetail.aspx?App=23&amp;ReportView=4&amp;Qid=1711279&amp;Row=19790&amp;Col=1","No Title Assigned - #15278775424")</f>
        <v/>
      </c>
      <c r="B19798" s="0" t="s">
        <v>26265</v>
      </c>
      <c r="C19798" s="0" t="s">
        <v>26266</v>
      </c>
      <c r="D19798" s="0" t="s">
        <v>26266</v>
      </c>
      <c r="E19798" s="0" t="inlineStr">
        <is>
          <t xml:space="preserve">Mazda</t>
        </is>
      </c>
      <c r="F19798" s="0" t="s">
        <v>28</v>
      </c>
      <c r="G19798" s="0" t="s">
        <v>29</v>
      </c>
      <c r="H19798" s="5">
        <v>2.142400</v>
      </c>
    </row>
    <row r="19799" spans="1:9">
      <c r="A19799" s="22" t="str">
        <f>HYPERLINK("https://app.vivvix.com/360/KMI/IntelliDrive/ApplUI/Pages/CreativePages/CustomReportCreativeDetail.aspx?App=23&amp;ReportView=4&amp;Qid=1711279&amp;Row=19791&amp;Col=1","No Title Assigned - #15278775606")</f>
        <v/>
      </c>
      <c r="B19799" s="0" t="s">
        <v>26267</v>
      </c>
      <c r="E19799" s="0" t="inlineStr">
        <is>
          <t xml:space="preserve">Mazda</t>
        </is>
      </c>
      <c r="F19799" s="0" t="inlineStr">
        <is>
          <t xml:space="preserve">Mazda</t>
        </is>
      </c>
      <c r="G19799" s="0" t="s">
        <v>171</v>
      </c>
      <c r="H19799" s="5">
        <v>14.239800</v>
      </c>
    </row>
    <row r="19800" spans="1:9">
      <c r="A19800" s="22" t="str">
        <f>HYPERLINK("https://app.vivvix.com/360/KMI/IntelliDrive/ApplUI/Pages/CreativePages/CustomReportCreativeDetail.aspx?App=23&amp;ReportView=4&amp;Qid=1711279&amp;Row=19792&amp;Col=1","No Title Assigned - #15278775643")</f>
        <v/>
      </c>
      <c r="B19800" s="0" t="s">
        <v>26268</v>
      </c>
      <c r="C19800" s="0" t="s">
        <v>26269</v>
      </c>
      <c r="D19800" s="0" t="s">
        <v>14152</v>
      </c>
      <c r="E19800" s="0" t="inlineStr">
        <is>
          <t xml:space="preserve">Mazda</t>
        </is>
      </c>
      <c r="F19800" s="0" t="s">
        <v>28</v>
      </c>
      <c r="G19800" s="0" t="s">
        <v>29</v>
      </c>
      <c r="H19800" s="5">
        <v>61.129200</v>
      </c>
    </row>
    <row r="19801" spans="1:9">
      <c r="A19801" s="22" t="str">
        <f>HYPERLINK("https://app.vivvix.com/360/KMI/IntelliDrive/ApplUI/Pages/CreativePages/CustomReportCreativeDetail.aspx?App=23&amp;ReportView=4&amp;Qid=1711279&amp;Row=19793&amp;Col=1","No Title Assigned - #15278775681")</f>
        <v/>
      </c>
      <c r="B19801" s="0" t="s">
        <v>26270</v>
      </c>
      <c r="E19801" s="0" t="inlineStr">
        <is>
          <t xml:space="preserve">Mazda</t>
        </is>
      </c>
      <c r="F19801" s="0" t="inlineStr">
        <is>
          <t xml:space="preserve">Mazda</t>
        </is>
      </c>
      <c r="G19801" s="0" t="s">
        <v>171</v>
      </c>
      <c r="H19801" s="5">
        <v>153.969400</v>
      </c>
    </row>
    <row r="19802" spans="1:9">
      <c r="A19802" s="22" t="str">
        <f>HYPERLINK("https://app.vivvix.com/360/KMI/IntelliDrive/ApplUI/Pages/CreativePages/CustomReportCreativeDetail.aspx?App=23&amp;ReportView=4&amp;Qid=1711279&amp;Row=19794&amp;Col=1","No Title Assigned - #15278775682")</f>
        <v/>
      </c>
      <c r="B19802" s="0" t="s">
        <v>26271</v>
      </c>
      <c r="E19802" s="0" t="inlineStr">
        <is>
          <t xml:space="preserve">Mazda</t>
        </is>
      </c>
      <c r="F19802" s="0" t="inlineStr">
        <is>
          <t xml:space="preserve">Mazda</t>
        </is>
      </c>
      <c r="G19802" s="0" t="s">
        <v>171</v>
      </c>
      <c r="H19802" s="5">
        <v>153.969400</v>
      </c>
    </row>
    <row r="19803" spans="1:9">
      <c r="A19803" s="22" t="str">
        <f>HYPERLINK("https://app.vivvix.com/360/KMI/IntelliDrive/ApplUI/Pages/CreativePages/CustomReportCreativeDetail.aspx?App=23&amp;ReportView=4&amp;Qid=1711279&amp;Row=19795&amp;Col=1","No Title Assigned - #15278775908")</f>
        <v/>
      </c>
      <c r="B19803" s="0" t="s">
        <v>26272</v>
      </c>
      <c r="C19803" s="0" t="s">
        <v>26273</v>
      </c>
      <c r="D19803" s="0" t="s">
        <v>13354</v>
      </c>
      <c r="E19803" s="0" t="inlineStr">
        <is>
          <t xml:space="preserve">Mazda</t>
        </is>
      </c>
      <c r="F19803" s="0" t="s">
        <v>28</v>
      </c>
      <c r="G19803" s="0" t="s">
        <v>29</v>
      </c>
      <c r="H19803" s="5">
        <v>14.525300</v>
      </c>
    </row>
    <row r="19804" spans="1:9">
      <c r="A19804" s="22" t="str">
        <f>HYPERLINK("https://app.vivvix.com/360/KMI/IntelliDrive/ApplUI/Pages/CreativePages/CustomReportCreativeDetail.aspx?App=23&amp;ReportView=4&amp;Qid=1711279&amp;Row=19796&amp;Col=1","No Title Assigned - #15278775974")</f>
        <v/>
      </c>
      <c r="B19804" s="0" t="s">
        <v>26274</v>
      </c>
      <c r="E19804" s="0" t="inlineStr">
        <is>
          <t xml:space="preserve">Mazda</t>
        </is>
      </c>
      <c r="F19804" s="0" t="inlineStr">
        <is>
          <t xml:space="preserve">Mazda</t>
        </is>
      </c>
      <c r="G19804" s="0" t="s">
        <v>171</v>
      </c>
      <c r="H19804" s="5">
        <v>1.216000</v>
      </c>
    </row>
    <row r="19805" spans="1:9">
      <c r="A19805" s="22" t="str">
        <f>HYPERLINK("https://app.vivvix.com/360/KMI/IntelliDrive/ApplUI/Pages/CreativePages/CustomReportCreativeDetail.aspx?App=23&amp;ReportView=4&amp;Qid=1711279&amp;Row=19797&amp;Col=1","No Title Assigned - #15278775987")</f>
        <v/>
      </c>
      <c r="B19805" s="0" t="s">
        <v>26275</v>
      </c>
      <c r="C19805" s="0" t="s">
        <v>26276</v>
      </c>
      <c r="D19805" s="0" t="s">
        <v>12807</v>
      </c>
      <c r="E19805" s="0" t="inlineStr">
        <is>
          <t xml:space="preserve">Mazda</t>
        </is>
      </c>
      <c r="F19805" s="0" t="s">
        <v>28</v>
      </c>
      <c r="G19805" s="0" t="s">
        <v>29</v>
      </c>
      <c r="H19805" s="5">
        <v>74.181400</v>
      </c>
    </row>
    <row r="19806" spans="1:9">
      <c r="A19806" s="22" t="str">
        <f>HYPERLINK("https://app.vivvix.com/360/KMI/IntelliDrive/ApplUI/Pages/CreativePages/CustomReportCreativeDetail.aspx?App=23&amp;ReportView=4&amp;Qid=1711279&amp;Row=19798&amp;Col=1","No Title Assigned - #15278776230")</f>
        <v/>
      </c>
      <c r="B19806" s="0" t="s">
        <v>26277</v>
      </c>
      <c r="C19806" s="0" t="s">
        <v>26278</v>
      </c>
      <c r="D19806" s="0" t="s">
        <v>26278</v>
      </c>
      <c r="E19806" s="0" t="inlineStr">
        <is>
          <t xml:space="preserve">Mazda</t>
        </is>
      </c>
      <c r="F19806" s="0" t="s">
        <v>28</v>
      </c>
      <c r="G19806" s="0" t="s">
        <v>29</v>
      </c>
      <c r="H19806" s="5">
        <v>677.897400</v>
      </c>
    </row>
    <row r="19807" spans="1:9">
      <c r="A19807" s="22" t="str">
        <f>HYPERLINK("https://app.vivvix.com/360/KMI/IntelliDrive/ApplUI/Pages/CreativePages/CustomReportCreativeDetail.aspx?App=23&amp;ReportView=4&amp;Qid=1711279&amp;Row=19799&amp;Col=1","No Title Assigned - #15278776230")</f>
        <v/>
      </c>
      <c r="B19807" s="0" t="s">
        <v>26277</v>
      </c>
      <c r="E19807" s="0" t="inlineStr">
        <is>
          <t xml:space="preserve">Mazda</t>
        </is>
      </c>
      <c r="F19807" s="0" t="s">
        <v>28</v>
      </c>
      <c r="G19807" s="0" t="s">
        <v>29</v>
      </c>
      <c r="H19807" s="5">
        <v>870.018500</v>
      </c>
    </row>
    <row r="19808" spans="1:9">
      <c r="A19808" s="22" t="str">
        <f>HYPERLINK("https://app.vivvix.com/360/KMI/IntelliDrive/ApplUI/Pages/CreativePages/CustomReportCreativeDetail.aspx?App=23&amp;ReportView=4&amp;Qid=1711279&amp;Row=19800&amp;Col=1","No Title Assigned - #15278776257")</f>
        <v/>
      </c>
      <c r="B19808" s="0" t="s">
        <v>26279</v>
      </c>
      <c r="E19808" s="0" t="inlineStr">
        <is>
          <t xml:space="preserve">Mazda</t>
        </is>
      </c>
      <c r="F19808" s="0" t="inlineStr">
        <is>
          <t xml:space="preserve">Mazda</t>
        </is>
      </c>
      <c r="G19808" s="0" t="s">
        <v>171</v>
      </c>
      <c r="H19808" s="5">
        <v>189.353600</v>
      </c>
    </row>
    <row r="19809" spans="1:9">
      <c r="A19809" s="22" t="str">
        <f>HYPERLINK("https://app.vivvix.com/360/KMI/IntelliDrive/ApplUI/Pages/CreativePages/CustomReportCreativeDetail.aspx?App=23&amp;ReportView=4&amp;Qid=1711279&amp;Row=19801&amp;Col=1","No Title Assigned - #15278776507")</f>
        <v/>
      </c>
      <c r="B19809" s="0" t="s">
        <v>26280</v>
      </c>
      <c r="E19809" s="0" t="inlineStr">
        <is>
          <t xml:space="preserve">Mazda</t>
        </is>
      </c>
      <c r="F19809" s="0" t="inlineStr">
        <is>
          <t xml:space="preserve">Mazda</t>
        </is>
      </c>
      <c r="G19809" s="0" t="s">
        <v>171</v>
      </c>
      <c r="H19809" s="5">
        <v>442.759200</v>
      </c>
    </row>
    <row r="19810" spans="1:9">
      <c r="A19810" s="22" t="str">
        <f>HYPERLINK("https://app.vivvix.com/360/KMI/IntelliDrive/ApplUI/Pages/CreativePages/CustomReportCreativeDetail.aspx?App=23&amp;ReportView=4&amp;Qid=1711279&amp;Row=19802&amp;Col=1","No Title Assigned - #15278776527")</f>
        <v/>
      </c>
      <c r="B19810" s="0" t="s">
        <v>26281</v>
      </c>
      <c r="E19810" s="0" t="inlineStr">
        <is>
          <t xml:space="preserve">Mazda</t>
        </is>
      </c>
      <c r="F19810" s="0" t="inlineStr">
        <is>
          <t xml:space="preserve">Mazda</t>
        </is>
      </c>
      <c r="G19810" s="0" t="s">
        <v>171</v>
      </c>
      <c r="H19810" s="5">
        <v>15.884700</v>
      </c>
    </row>
    <row r="19811" spans="1:9">
      <c r="A19811" s="22" t="str">
        <f>HYPERLINK("https://app.vivvix.com/360/KMI/IntelliDrive/ApplUI/Pages/CreativePages/CustomReportCreativeDetail.aspx?App=23&amp;ReportView=4&amp;Qid=1711279&amp;Row=19803&amp;Col=1","No Title Assigned - #15278776549")</f>
        <v/>
      </c>
      <c r="B19811" s="0" t="s">
        <v>26282</v>
      </c>
      <c r="E19811" s="0" t="inlineStr">
        <is>
          <t xml:space="preserve">Mazda</t>
        </is>
      </c>
      <c r="F19811" s="0" t="inlineStr">
        <is>
          <t xml:space="preserve">Mazda</t>
        </is>
      </c>
      <c r="G19811" s="0" t="s">
        <v>171</v>
      </c>
      <c r="H19811" s="5">
        <v>121.499200</v>
      </c>
    </row>
    <row r="19812" spans="1:9">
      <c r="A19812" s="22" t="str">
        <f>HYPERLINK("https://app.vivvix.com/360/KMI/IntelliDrive/ApplUI/Pages/CreativePages/CustomReportCreativeDetail.aspx?App=23&amp;ReportView=4&amp;Qid=1711279&amp;Row=19804&amp;Col=1","No Title Assigned - #15278776610")</f>
        <v/>
      </c>
      <c r="B19812" s="0" t="s">
        <v>26283</v>
      </c>
      <c r="C19812" s="0" t="s">
        <v>26284</v>
      </c>
      <c r="D19812" s="0" t="s">
        <v>26284</v>
      </c>
      <c r="E19812" s="0" t="inlineStr">
        <is>
          <t xml:space="preserve">Mazda</t>
        </is>
      </c>
      <c r="F19812" s="0" t="s">
        <v>28</v>
      </c>
      <c r="G19812" s="0" t="s">
        <v>29</v>
      </c>
      <c r="H19812" s="5">
        <v>102.634400</v>
      </c>
    </row>
    <row r="19813" spans="1:9">
      <c r="A19813" s="22" t="str">
        <f>HYPERLINK("https://app.vivvix.com/360/KMI/IntelliDrive/ApplUI/Pages/CreativePages/CustomReportCreativeDetail.aspx?App=23&amp;ReportView=4&amp;Qid=1711279&amp;Row=19805&amp;Col=1","No Title Assigned - #15278776623")</f>
        <v/>
      </c>
      <c r="B19813" s="0" t="s">
        <v>26285</v>
      </c>
      <c r="E19813" s="0" t="inlineStr">
        <is>
          <t xml:space="preserve">Mazda</t>
        </is>
      </c>
      <c r="F19813" s="0" t="inlineStr">
        <is>
          <t xml:space="preserve">Mazda</t>
        </is>
      </c>
      <c r="G19813" s="0" t="s">
        <v>171</v>
      </c>
      <c r="H19813" s="5">
        <v>561.666800</v>
      </c>
    </row>
    <row r="19814" spans="1:9">
      <c r="A19814" s="22" t="str">
        <f>HYPERLINK("https://app.vivvix.com/360/KMI/IntelliDrive/ApplUI/Pages/CreativePages/CustomReportCreativeDetail.aspx?App=23&amp;ReportView=4&amp;Qid=1711279&amp;Row=19806&amp;Col=1","No Title Assigned - #15278776649")</f>
        <v/>
      </c>
      <c r="B19814" s="0" t="s">
        <v>26286</v>
      </c>
      <c r="C19814" s="0" t="s">
        <v>26287</v>
      </c>
      <c r="D19814" s="0" t="s">
        <v>26287</v>
      </c>
      <c r="E19814" s="0" t="inlineStr">
        <is>
          <t xml:space="preserve">Mazda</t>
        </is>
      </c>
      <c r="F19814" s="0" t="s">
        <v>28</v>
      </c>
      <c r="G19814" s="0" t="s">
        <v>29</v>
      </c>
      <c r="H19814" s="5">
        <v>800.087300</v>
      </c>
    </row>
    <row r="19815" spans="1:9">
      <c r="A19815" s="22" t="str">
        <f>HYPERLINK("https://app.vivvix.com/360/KMI/IntelliDrive/ApplUI/Pages/CreativePages/CustomReportCreativeDetail.aspx?App=23&amp;ReportView=4&amp;Qid=1711279&amp;Row=19807&amp;Col=1","No Title Assigned - #15278776654")</f>
        <v/>
      </c>
      <c r="B19815" s="0" t="s">
        <v>26288</v>
      </c>
      <c r="E19815" s="0" t="inlineStr">
        <is>
          <t xml:space="preserve">Mazda</t>
        </is>
      </c>
      <c r="F19815" s="0" t="inlineStr">
        <is>
          <t xml:space="preserve">Mazda</t>
        </is>
      </c>
      <c r="G19815" s="0" t="s">
        <v>171</v>
      </c>
      <c r="H19815" s="5">
        <v>43.549200</v>
      </c>
    </row>
    <row r="19816" spans="1:9">
      <c r="A19816" s="22" t="str">
        <f>HYPERLINK("https://app.vivvix.com/360/KMI/IntelliDrive/ApplUI/Pages/CreativePages/CustomReportCreativeDetail.aspx?App=23&amp;ReportView=4&amp;Qid=1711279&amp;Row=19808&amp;Col=1","No Title Assigned - #15278776659")</f>
        <v/>
      </c>
      <c r="B19816" s="0" t="s">
        <v>26289</v>
      </c>
      <c r="E19816" s="0" t="inlineStr">
        <is>
          <t xml:space="preserve">Mazda</t>
        </is>
      </c>
      <c r="F19816" s="0" t="inlineStr">
        <is>
          <t xml:space="preserve">Mazda</t>
        </is>
      </c>
      <c r="G19816" s="0" t="s">
        <v>171</v>
      </c>
      <c r="H19816" s="5">
        <v>795.525000</v>
      </c>
    </row>
    <row r="19817" spans="1:9">
      <c r="A19817" s="22" t="str">
        <f>HYPERLINK("https://app.vivvix.com/360/KMI/IntelliDrive/ApplUI/Pages/CreativePages/CustomReportCreativeDetail.aspx?App=23&amp;ReportView=4&amp;Qid=1711279&amp;Row=19809&amp;Col=1","No Title Assigned - #15278776667")</f>
        <v/>
      </c>
      <c r="B19817" s="0" t="s">
        <v>26290</v>
      </c>
      <c r="C19817" s="0" t="s">
        <v>26291</v>
      </c>
      <c r="D19817" s="0" t="s">
        <v>26291</v>
      </c>
      <c r="E19817" s="0" t="inlineStr">
        <is>
          <t xml:space="preserve">Mazda</t>
        </is>
      </c>
      <c r="F19817" s="0" t="s">
        <v>28</v>
      </c>
      <c r="G19817" s="0" t="s">
        <v>29</v>
      </c>
      <c r="H19817" s="5">
        <v>52.077200</v>
      </c>
    </row>
    <row r="19818" spans="1:9">
      <c r="A19818" s="22" t="str">
        <f>HYPERLINK("https://app.vivvix.com/360/KMI/IntelliDrive/ApplUI/Pages/CreativePages/CustomReportCreativeDetail.aspx?App=23&amp;ReportView=4&amp;Qid=1711279&amp;Row=19810&amp;Col=1","No Title Assigned - #15278776737")</f>
        <v/>
      </c>
      <c r="B19818" s="0" t="s">
        <v>26292</v>
      </c>
      <c r="E19818" s="0" t="inlineStr">
        <is>
          <t xml:space="preserve">Mazda</t>
        </is>
      </c>
      <c r="F19818" s="0" t="inlineStr">
        <is>
          <t xml:space="preserve">Mazda</t>
        </is>
      </c>
      <c r="G19818" s="0" t="s">
        <v>171</v>
      </c>
      <c r="H19818" s="5">
        <v>96.045000</v>
      </c>
    </row>
    <row r="19819" spans="1:9">
      <c r="A19819" s="22" t="str">
        <f>HYPERLINK("https://app.vivvix.com/360/KMI/IntelliDrive/ApplUI/Pages/CreativePages/CustomReportCreativeDetail.aspx?App=23&amp;ReportView=4&amp;Qid=1711279&amp;Row=19811&amp;Col=1","No Title Assigned - #15278776894")</f>
        <v/>
      </c>
      <c r="B19819" s="0" t="s">
        <v>26293</v>
      </c>
      <c r="E19819" s="0" t="inlineStr">
        <is>
          <t xml:space="preserve">Mazda</t>
        </is>
      </c>
      <c r="F19819" s="0" t="inlineStr">
        <is>
          <t xml:space="preserve">Mazda</t>
        </is>
      </c>
      <c r="G19819" s="0" t="s">
        <v>171</v>
      </c>
      <c r="H19819" s="5">
        <v>46.587400</v>
      </c>
    </row>
    <row r="19820" spans="1:9">
      <c r="A19820" s="22" t="str">
        <f>HYPERLINK("https://app.vivvix.com/360/KMI/IntelliDrive/ApplUI/Pages/CreativePages/CustomReportCreativeDetail.aspx?App=23&amp;ReportView=4&amp;Qid=1711279&amp;Row=19812&amp;Col=1","No Title Assigned - #15278777304")</f>
        <v/>
      </c>
      <c r="B19820" s="0" t="s">
        <v>26294</v>
      </c>
      <c r="C19820" s="0" t="s">
        <v>26295</v>
      </c>
      <c r="D19820" s="0" t="s">
        <v>6165</v>
      </c>
      <c r="E19820" s="0" t="inlineStr">
        <is>
          <t xml:space="preserve">Mazda</t>
        </is>
      </c>
      <c r="F19820" s="0" t="s">
        <v>28</v>
      </c>
      <c r="G19820" s="0" t="s">
        <v>29</v>
      </c>
      <c r="H19820" s="5">
        <v>539.870900</v>
      </c>
    </row>
    <row r="19821" spans="1:9">
      <c r="A19821" s="22" t="str">
        <f>HYPERLINK("https://app.vivvix.com/360/KMI/IntelliDrive/ApplUI/Pages/CreativePages/CustomReportCreativeDetail.aspx?App=23&amp;ReportView=4&amp;Qid=1711279&amp;Row=19813&amp;Col=1","No Title Assigned - #15278777328")</f>
        <v/>
      </c>
      <c r="B19821" s="0" t="s">
        <v>26296</v>
      </c>
      <c r="C19821" s="0" t="s">
        <v>26297</v>
      </c>
      <c r="D19821" s="0" t="s">
        <v>4202</v>
      </c>
      <c r="E19821" s="0" t="inlineStr">
        <is>
          <t xml:space="preserve">Mazda</t>
        </is>
      </c>
      <c r="F19821" s="0" t="s">
        <v>28</v>
      </c>
      <c r="G19821" s="0" t="s">
        <v>29</v>
      </c>
      <c r="H19821" s="5">
        <v>1512.955200</v>
      </c>
    </row>
    <row r="19822" spans="1:9">
      <c r="A19822" s="22" t="str">
        <f>HYPERLINK("https://app.vivvix.com/360/KMI/IntelliDrive/ApplUI/Pages/CreativePages/CustomReportCreativeDetail.aspx?App=23&amp;ReportView=4&amp;Qid=1711279&amp;Row=19814&amp;Col=1","No Title Assigned - #15278777522")</f>
        <v/>
      </c>
      <c r="B19822" s="0" t="s">
        <v>26298</v>
      </c>
      <c r="C19822" s="0" t="s">
        <v>26299</v>
      </c>
      <c r="D19822" s="0" t="s">
        <v>26299</v>
      </c>
      <c r="E19822" s="0" t="inlineStr">
        <is>
          <t xml:space="preserve">Mazda</t>
        </is>
      </c>
      <c r="F19822" s="0" t="s">
        <v>28</v>
      </c>
      <c r="G19822" s="0" t="s">
        <v>29</v>
      </c>
      <c r="H19822" s="5">
        <v>302.608700</v>
      </c>
    </row>
    <row r="19823" spans="1:9">
      <c r="A19823" s="22" t="str">
        <f>HYPERLINK("https://app.vivvix.com/360/KMI/IntelliDrive/ApplUI/Pages/CreativePages/CustomReportCreativeDetail.aspx?App=23&amp;ReportView=4&amp;Qid=1711279&amp;Row=19815&amp;Col=1","No Title Assigned - #15278777533")</f>
        <v/>
      </c>
      <c r="B19823" s="0" t="s">
        <v>26300</v>
      </c>
      <c r="E19823" s="0" t="inlineStr">
        <is>
          <t xml:space="preserve">Mazda</t>
        </is>
      </c>
      <c r="F19823" s="0" t="inlineStr">
        <is>
          <t xml:space="preserve">Mazda</t>
        </is>
      </c>
      <c r="G19823" s="0" t="s">
        <v>171</v>
      </c>
      <c r="H19823" s="5">
        <v>5223.891100</v>
      </c>
    </row>
    <row r="19824" spans="1:9">
      <c r="A19824" s="22" t="str">
        <f>HYPERLINK("https://app.vivvix.com/360/KMI/IntelliDrive/ApplUI/Pages/CreativePages/CustomReportCreativeDetail.aspx?App=23&amp;ReportView=4&amp;Qid=1711279&amp;Row=19816&amp;Col=1","No Title Assigned - #15278777760")</f>
        <v/>
      </c>
      <c r="B19824" s="0" t="s">
        <v>26301</v>
      </c>
      <c r="C19824" s="0" t="s">
        <v>26302</v>
      </c>
      <c r="D19824" s="0" t="s">
        <v>26302</v>
      </c>
      <c r="E19824" s="0" t="inlineStr">
        <is>
          <t xml:space="preserve">Mazda</t>
        </is>
      </c>
      <c r="F19824" s="0" t="s">
        <v>13</v>
      </c>
      <c r="G19824" s="0" t="s">
        <v>49</v>
      </c>
      <c r="H19824" s="5">
        <v>470.278600</v>
      </c>
    </row>
    <row r="19825" spans="1:9">
      <c r="A19825" s="22" t="str">
        <f>HYPERLINK("https://app.vivvix.com/360/KMI/IntelliDrive/ApplUI/Pages/CreativePages/CustomReportCreativeDetail.aspx?App=23&amp;ReportView=4&amp;Qid=1711279&amp;Row=19817&amp;Col=1","No Title Assigned - #15278778291")</f>
        <v/>
      </c>
      <c r="B19825" s="0" t="s">
        <v>26303</v>
      </c>
      <c r="E19825" s="0" t="inlineStr">
        <is>
          <t xml:space="preserve">Mazda</t>
        </is>
      </c>
      <c r="F19825" s="0" t="inlineStr">
        <is>
          <t xml:space="preserve">Mazda</t>
        </is>
      </c>
      <c r="G19825" s="0" t="s">
        <v>171</v>
      </c>
      <c r="H19825" s="5">
        <v>370.716100</v>
      </c>
    </row>
    <row r="19826" spans="1:9">
      <c r="A19826" s="22" t="str">
        <f>HYPERLINK("https://app.vivvix.com/360/KMI/IntelliDrive/ApplUI/Pages/CreativePages/CustomReportCreativeDetail.aspx?App=23&amp;ReportView=4&amp;Qid=1711279&amp;Row=19818&amp;Col=1","No Title Assigned - #15278778389")</f>
        <v/>
      </c>
      <c r="B19826" s="0" t="s">
        <v>26304</v>
      </c>
      <c r="C19826" s="0" t="s">
        <v>26305</v>
      </c>
      <c r="D19826" s="0" t="s">
        <v>26305</v>
      </c>
      <c r="E19826" s="0" t="inlineStr">
        <is>
          <t xml:space="preserve">Mazda</t>
        </is>
      </c>
      <c r="F19826" s="0" t="s">
        <v>28</v>
      </c>
      <c r="G19826" s="0" t="s">
        <v>29</v>
      </c>
      <c r="H19826" s="5">
        <v>61.168900</v>
      </c>
    </row>
    <row r="19827" spans="1:9">
      <c r="A19827" s="22" t="str">
        <f>HYPERLINK("https://app.vivvix.com/360/KMI/IntelliDrive/ApplUI/Pages/CreativePages/CustomReportCreativeDetail.aspx?App=23&amp;ReportView=4&amp;Qid=1711279&amp;Row=19819&amp;Col=1","No Title Assigned - #15278778432")</f>
        <v/>
      </c>
      <c r="B19827" s="0" t="s">
        <v>26306</v>
      </c>
      <c r="C19827" s="0" t="s">
        <v>26307</v>
      </c>
      <c r="D19827" s="0" t="s">
        <v>24706</v>
      </c>
      <c r="E19827" s="0" t="inlineStr">
        <is>
          <t xml:space="preserve">Mazda</t>
        </is>
      </c>
      <c r="F19827" s="0" t="s">
        <v>28</v>
      </c>
      <c r="G19827" s="0" t="s">
        <v>29</v>
      </c>
      <c r="H19827" s="5">
        <v>59.703300</v>
      </c>
    </row>
    <row r="19828" spans="1:9">
      <c r="A19828" s="22" t="str">
        <f>HYPERLINK("https://app.vivvix.com/360/KMI/IntelliDrive/ApplUI/Pages/CreativePages/CustomReportCreativeDetail.aspx?App=23&amp;ReportView=4&amp;Qid=1711279&amp;Row=19820&amp;Col=1","No Title Assigned - #15278778469")</f>
        <v/>
      </c>
      <c r="B19828" s="0" t="s">
        <v>26308</v>
      </c>
      <c r="E19828" s="0" t="inlineStr">
        <is>
          <t xml:space="preserve">Mazda</t>
        </is>
      </c>
      <c r="F19828" s="0" t="inlineStr">
        <is>
          <t xml:space="preserve">Mazda</t>
        </is>
      </c>
      <c r="G19828" s="0" t="s">
        <v>171</v>
      </c>
      <c r="H19828" s="5">
        <v>141.945000</v>
      </c>
    </row>
    <row r="19829" spans="1:9">
      <c r="A19829" s="22" t="str">
        <f>HYPERLINK("https://app.vivvix.com/360/KMI/IntelliDrive/ApplUI/Pages/CreativePages/CustomReportCreativeDetail.aspx?App=23&amp;ReportView=4&amp;Qid=1711279&amp;Row=19821&amp;Col=1","No Title Assigned - #15278778599")</f>
        <v/>
      </c>
      <c r="B19829" s="0" t="s">
        <v>26309</v>
      </c>
      <c r="E19829" s="0" t="inlineStr">
        <is>
          <t xml:space="preserve">Mazda</t>
        </is>
      </c>
      <c r="F19829" s="0" t="inlineStr">
        <is>
          <t xml:space="preserve">Mazda</t>
        </is>
      </c>
      <c r="G19829" s="0" t="s">
        <v>171</v>
      </c>
      <c r="H19829" s="5">
        <v>85.273400</v>
      </c>
    </row>
    <row r="19830" spans="1:9">
      <c r="A19830" s="22" t="str">
        <f>HYPERLINK("https://app.vivvix.com/360/KMI/IntelliDrive/ApplUI/Pages/CreativePages/CustomReportCreativeDetail.aspx?App=23&amp;ReportView=4&amp;Qid=1711279&amp;Row=19822&amp;Col=1","No Title Assigned - #15278778615")</f>
        <v/>
      </c>
      <c r="B19830" s="0" t="s">
        <v>26310</v>
      </c>
      <c r="C19830" s="0" t="s">
        <v>26311</v>
      </c>
      <c r="D19830" s="0" t="s">
        <v>4200</v>
      </c>
      <c r="E19830" s="0" t="inlineStr">
        <is>
          <t xml:space="preserve">Mazda</t>
        </is>
      </c>
      <c r="F19830" s="0" t="s">
        <v>28</v>
      </c>
      <c r="G19830" s="0" t="s">
        <v>29</v>
      </c>
      <c r="H19830" s="5">
        <v>312.408000</v>
      </c>
    </row>
    <row r="19831" spans="1:9">
      <c r="A19831" s="22" t="str">
        <f>HYPERLINK("https://app.vivvix.com/360/KMI/IntelliDrive/ApplUI/Pages/CreativePages/CustomReportCreativeDetail.aspx?App=23&amp;ReportView=4&amp;Qid=1711279&amp;Row=19823&amp;Col=1","No Title Assigned - #15278778664")</f>
        <v/>
      </c>
      <c r="B19831" s="0" t="s">
        <v>26312</v>
      </c>
      <c r="E19831" s="0" t="inlineStr">
        <is>
          <t xml:space="preserve">Mazda</t>
        </is>
      </c>
      <c r="F19831" s="0" t="inlineStr">
        <is>
          <t xml:space="preserve">Mazda</t>
        </is>
      </c>
      <c r="G19831" s="0" t="s">
        <v>171</v>
      </c>
      <c r="H19831" s="5">
        <v>41.445300</v>
      </c>
    </row>
    <row r="19832" spans="1:9">
      <c r="A19832" s="22" t="str">
        <f>HYPERLINK("https://app.vivvix.com/360/KMI/IntelliDrive/ApplUI/Pages/CreativePages/CustomReportCreativeDetail.aspx?App=23&amp;ReportView=4&amp;Qid=1711279&amp;Row=19824&amp;Col=1","No Title Assigned - #15278778765")</f>
        <v/>
      </c>
      <c r="B19832" s="0" t="s">
        <v>26313</v>
      </c>
      <c r="C19832" s="0" t="s">
        <v>26314</v>
      </c>
      <c r="D19832" s="0" t="s">
        <v>26314</v>
      </c>
      <c r="E19832" s="0" t="inlineStr">
        <is>
          <t xml:space="preserve">Mazda</t>
        </is>
      </c>
      <c r="F19832" s="0" t="s">
        <v>28</v>
      </c>
      <c r="G19832" s="0" t="s">
        <v>29</v>
      </c>
      <c r="H19832" s="5">
        <v>273.746700</v>
      </c>
    </row>
    <row r="19833" spans="1:9">
      <c r="A19833" s="22" t="str">
        <f>HYPERLINK("https://app.vivvix.com/360/KMI/IntelliDrive/ApplUI/Pages/CreativePages/CustomReportCreativeDetail.aspx?App=23&amp;ReportView=4&amp;Qid=1711279&amp;Row=19825&amp;Col=1","No Title Assigned - #15278778789")</f>
        <v/>
      </c>
      <c r="B19833" s="0" t="s">
        <v>26315</v>
      </c>
      <c r="C19833" s="0" t="s">
        <v>26316</v>
      </c>
      <c r="D19833" s="0" t="s">
        <v>19929</v>
      </c>
      <c r="E19833" s="0" t="inlineStr">
        <is>
          <t xml:space="preserve">Mazda</t>
        </is>
      </c>
      <c r="F19833" s="0" t="s">
        <v>28</v>
      </c>
      <c r="G19833" s="0" t="s">
        <v>29</v>
      </c>
      <c r="H19833" s="5">
        <v>23.197500</v>
      </c>
    </row>
    <row r="19834" spans="1:9">
      <c r="A19834" s="22" t="str">
        <f>HYPERLINK("https://app.vivvix.com/360/KMI/IntelliDrive/ApplUI/Pages/CreativePages/CustomReportCreativeDetail.aspx?App=23&amp;ReportView=4&amp;Qid=1711279&amp;Row=19826&amp;Col=1","No Title Assigned - #15278778805")</f>
        <v/>
      </c>
      <c r="B19834" s="0" t="s">
        <v>26317</v>
      </c>
      <c r="E19834" s="0" t="inlineStr">
        <is>
          <t xml:space="preserve">Mazda</t>
        </is>
      </c>
      <c r="F19834" s="0" t="inlineStr">
        <is>
          <t xml:space="preserve">Mazda</t>
        </is>
      </c>
      <c r="G19834" s="0" t="s">
        <v>171</v>
      </c>
      <c r="H19834" s="5">
        <v>236.318200</v>
      </c>
    </row>
    <row r="19835" spans="1:9">
      <c r="A19835" s="22" t="str">
        <f>HYPERLINK("https://app.vivvix.com/360/KMI/IntelliDrive/ApplUI/Pages/CreativePages/CustomReportCreativeDetail.aspx?App=23&amp;ReportView=4&amp;Qid=1711279&amp;Row=19827&amp;Col=1","No Title Assigned - #15278778837")</f>
        <v/>
      </c>
      <c r="B19835" s="0" t="s">
        <v>26318</v>
      </c>
      <c r="C19835" s="0" t="s">
        <v>26319</v>
      </c>
      <c r="D19835" s="0" t="s">
        <v>26319</v>
      </c>
      <c r="E19835" s="0" t="inlineStr">
        <is>
          <t xml:space="preserve">Mazda</t>
        </is>
      </c>
      <c r="F19835" s="0" t="inlineStr">
        <is>
          <t xml:space="preserve">Mazda</t>
        </is>
      </c>
      <c r="G19835" s="0" t="s">
        <v>171</v>
      </c>
      <c r="H19835" s="5">
        <v>397.762500</v>
      </c>
    </row>
    <row r="19836" spans="1:9">
      <c r="A19836" s="22" t="str">
        <f>HYPERLINK("https://app.vivvix.com/360/KMI/IntelliDrive/ApplUI/Pages/CreativePages/CustomReportCreativeDetail.aspx?App=23&amp;ReportView=4&amp;Qid=1711279&amp;Row=19828&amp;Col=1","No Title Assigned - #15278778961")</f>
        <v/>
      </c>
      <c r="B19836" s="0" t="s">
        <v>26320</v>
      </c>
      <c r="C19836" s="0" t="s">
        <v>26321</v>
      </c>
      <c r="D19836" s="0" t="s">
        <v>26321</v>
      </c>
      <c r="E19836" s="0" t="inlineStr">
        <is>
          <t xml:space="preserve">Mazda</t>
        </is>
      </c>
      <c r="F19836" s="0" t="s">
        <v>13</v>
      </c>
      <c r="G19836" s="0" t="s">
        <v>49</v>
      </c>
      <c r="H19836" s="5">
        <v>112236.362000</v>
      </c>
    </row>
    <row r="19837" spans="1:9">
      <c r="A19837" s="22" t="str">
        <f>HYPERLINK("https://app.vivvix.com/360/KMI/IntelliDrive/ApplUI/Pages/CreativePages/CustomReportCreativeDetail.aspx?App=23&amp;ReportView=4&amp;Qid=1711279&amp;Row=19829&amp;Col=1","No Title Assigned - #15278778978")</f>
        <v/>
      </c>
      <c r="B19837" s="0" t="s">
        <v>26322</v>
      </c>
      <c r="E19837" s="0" t="inlineStr">
        <is>
          <t xml:space="preserve">Mazda</t>
        </is>
      </c>
      <c r="F19837" s="0" t="s">
        <v>28</v>
      </c>
      <c r="G19837" s="0" t="s">
        <v>29</v>
      </c>
      <c r="H19837" s="5">
        <v>62.450000</v>
      </c>
    </row>
    <row r="19838" spans="1:9">
      <c r="A19838" s="22" t="str">
        <f>HYPERLINK("https://app.vivvix.com/360/KMI/IntelliDrive/ApplUI/Pages/CreativePages/CustomReportCreativeDetail.aspx?App=23&amp;ReportView=4&amp;Qid=1711279&amp;Row=19830&amp;Col=1","No Title Assigned - #15278779020")</f>
        <v/>
      </c>
      <c r="B19838" s="0" t="s">
        <v>26323</v>
      </c>
      <c r="C19838" s="0" t="s">
        <v>26324</v>
      </c>
      <c r="D19838" s="0" t="s">
        <v>26324</v>
      </c>
      <c r="E19838" s="0" t="inlineStr">
        <is>
          <t xml:space="preserve">Mazda</t>
        </is>
      </c>
      <c r="F19838" s="0" t="inlineStr">
        <is>
          <t xml:space="preserve">Mazda</t>
        </is>
      </c>
      <c r="G19838" s="0" t="s">
        <v>171</v>
      </c>
      <c r="H19838" s="5">
        <v>3414.688300</v>
      </c>
    </row>
    <row r="19839" spans="1:9">
      <c r="A19839" s="22" t="str">
        <f>HYPERLINK("https://app.vivvix.com/360/KMI/IntelliDrive/ApplUI/Pages/CreativePages/CustomReportCreativeDetail.aspx?App=23&amp;ReportView=4&amp;Qid=1711279&amp;Row=19831&amp;Col=1","No Title Assigned - #15278779040")</f>
        <v/>
      </c>
      <c r="B19839" s="0" t="s">
        <v>26325</v>
      </c>
      <c r="C19839" s="0" t="s">
        <v>26326</v>
      </c>
      <c r="D19839" s="0" t="s">
        <v>10813</v>
      </c>
      <c r="E19839" s="0" t="inlineStr">
        <is>
          <t xml:space="preserve">Mazda</t>
        </is>
      </c>
      <c r="F19839" s="0" t="s">
        <v>28</v>
      </c>
      <c r="G19839" s="0" t="s">
        <v>29</v>
      </c>
      <c r="H19839" s="5">
        <v>800.087300</v>
      </c>
    </row>
    <row r="19840" spans="1:9">
      <c r="A19840" s="22" t="str">
        <f>HYPERLINK("https://app.vivvix.com/360/KMI/IntelliDrive/ApplUI/Pages/CreativePages/CustomReportCreativeDetail.aspx?App=23&amp;ReportView=4&amp;Qid=1711279&amp;Row=19832&amp;Col=1","No Title Assigned - #15278779070")</f>
        <v/>
      </c>
      <c r="B19840" s="0" t="s">
        <v>26327</v>
      </c>
      <c r="E19840" s="0" t="inlineStr">
        <is>
          <t xml:space="preserve">Mazda</t>
        </is>
      </c>
      <c r="F19840" s="0" t="inlineStr">
        <is>
          <t xml:space="preserve">Mazda</t>
        </is>
      </c>
      <c r="G19840" s="0" t="s">
        <v>171</v>
      </c>
      <c r="H19840" s="5">
        <v>142.995600</v>
      </c>
    </row>
    <row r="19841" spans="1:9">
      <c r="A19841" s="22" t="str">
        <f>HYPERLINK("https://app.vivvix.com/360/KMI/IntelliDrive/ApplUI/Pages/CreativePages/CustomReportCreativeDetail.aspx?App=23&amp;ReportView=4&amp;Qid=1711279&amp;Row=19833&amp;Col=1","No Title Assigned - #15278779224")</f>
        <v/>
      </c>
      <c r="B19841" s="0" t="s">
        <v>26328</v>
      </c>
      <c r="E19841" s="0" t="inlineStr">
        <is>
          <t xml:space="preserve">Mazda</t>
        </is>
      </c>
      <c r="F19841" s="0" t="inlineStr">
        <is>
          <t xml:space="preserve">Mazda</t>
        </is>
      </c>
      <c r="G19841" s="0" t="s">
        <v>171</v>
      </c>
      <c r="H19841" s="5">
        <v>10753.527500</v>
      </c>
    </row>
    <row r="19842" spans="1:9">
      <c r="A19842" s="22" t="str">
        <f>HYPERLINK("https://app.vivvix.com/360/KMI/IntelliDrive/ApplUI/Pages/CreativePages/CustomReportCreativeDetail.aspx?App=23&amp;ReportView=4&amp;Qid=1711279&amp;Row=19834&amp;Col=1","No Title Assigned - #15278779237")</f>
        <v/>
      </c>
      <c r="B19842" s="0" t="s">
        <v>26329</v>
      </c>
      <c r="E19842" s="0" t="inlineStr">
        <is>
          <t xml:space="preserve">Mazda</t>
        </is>
      </c>
      <c r="F19842" s="0" t="inlineStr">
        <is>
          <t xml:space="preserve">Mazda</t>
        </is>
      </c>
      <c r="G19842" s="0" t="s">
        <v>171</v>
      </c>
      <c r="H19842" s="5">
        <v>615.789400</v>
      </c>
    </row>
    <row r="19843" spans="1:9">
      <c r="A19843" s="22" t="str">
        <f>HYPERLINK("https://app.vivvix.com/360/KMI/IntelliDrive/ApplUI/Pages/CreativePages/CustomReportCreativeDetail.aspx?App=23&amp;ReportView=4&amp;Qid=1711279&amp;Row=19835&amp;Col=1","No Title Assigned - #15278779266")</f>
        <v/>
      </c>
      <c r="B19843" s="0" t="s">
        <v>26330</v>
      </c>
      <c r="E19843" s="0" t="inlineStr">
        <is>
          <t xml:space="preserve">Mazda</t>
        </is>
      </c>
      <c r="F19843" s="0" t="inlineStr">
        <is>
          <t xml:space="preserve">Mazda</t>
        </is>
      </c>
      <c r="G19843" s="0" t="s">
        <v>171</v>
      </c>
      <c r="H19843" s="5">
        <v>138.275000</v>
      </c>
    </row>
    <row r="19844" spans="1:9">
      <c r="A19844" s="22" t="str">
        <f>HYPERLINK("https://app.vivvix.com/360/KMI/IntelliDrive/ApplUI/Pages/CreativePages/CustomReportCreativeDetail.aspx?App=23&amp;ReportView=4&amp;Qid=1711279&amp;Row=19836&amp;Col=1","No Title Assigned - #15278780172")</f>
        <v/>
      </c>
      <c r="B19844" s="0" t="s">
        <v>26331</v>
      </c>
      <c r="E19844" s="0" t="inlineStr">
        <is>
          <t xml:space="preserve">Mazda</t>
        </is>
      </c>
      <c r="F19844" s="0" t="inlineStr">
        <is>
          <t xml:space="preserve">Mazda</t>
        </is>
      </c>
      <c r="G19844" s="0" t="s">
        <v>171</v>
      </c>
      <c r="H19844" s="5">
        <v>2.432000</v>
      </c>
    </row>
    <row r="19845" spans="1:9">
      <c r="A19845" s="22" t="str">
        <f>HYPERLINK("https://app.vivvix.com/360/KMI/IntelliDrive/ApplUI/Pages/CreativePages/CustomReportCreativeDetail.aspx?App=23&amp;ReportView=4&amp;Qid=1711279&amp;Row=19837&amp;Col=1","No Title Assigned - #15278784789")</f>
        <v/>
      </c>
      <c r="B19845" s="0" t="s">
        <v>26332</v>
      </c>
      <c r="E19845" s="0" t="inlineStr">
        <is>
          <t xml:space="preserve">Mazda</t>
        </is>
      </c>
      <c r="F19845" s="0" t="inlineStr">
        <is>
          <t xml:space="preserve">Mazda</t>
        </is>
      </c>
      <c r="G19845" s="0" t="s">
        <v>171</v>
      </c>
      <c r="H19845" s="5">
        <v>235.155600</v>
      </c>
    </row>
    <row r="19846" spans="1:9">
      <c r="A19846" s="22" t="str">
        <f>HYPERLINK("https://app.vivvix.com/360/KMI/IntelliDrive/ApplUI/Pages/CreativePages/CustomReportCreativeDetail.aspx?App=23&amp;ReportView=4&amp;Qid=1711279&amp;Row=19838&amp;Col=1","No Title Assigned - #15278790316")</f>
        <v/>
      </c>
      <c r="B19846" s="0" t="s">
        <v>26333</v>
      </c>
      <c r="E19846" s="0" t="inlineStr">
        <is>
          <t xml:space="preserve">Mazda</t>
        </is>
      </c>
      <c r="F19846" s="0" t="inlineStr">
        <is>
          <t xml:space="preserve">Mazda</t>
        </is>
      </c>
      <c r="G19846" s="0" t="s">
        <v>171</v>
      </c>
      <c r="H19846" s="5">
        <v>60.597400</v>
      </c>
    </row>
    <row r="19847" spans="1:9">
      <c r="A19847" s="22" t="str">
        <f>HYPERLINK("https://app.vivvix.com/360/KMI/IntelliDrive/ApplUI/Pages/CreativePages/CustomReportCreativeDetail.aspx?App=23&amp;ReportView=4&amp;Qid=1711279&amp;Row=19839&amp;Col=1","No Title Assigned - #15278792681")</f>
        <v/>
      </c>
      <c r="B19847" s="0" t="s">
        <v>26334</v>
      </c>
      <c r="C19847" s="0" t="s">
        <v>26335</v>
      </c>
      <c r="D19847" s="0" t="s">
        <v>26335</v>
      </c>
      <c r="E19847" s="0" t="inlineStr">
        <is>
          <t xml:space="preserve">Mazda</t>
        </is>
      </c>
      <c r="F19847" s="0" t="inlineStr">
        <is>
          <t xml:space="preserve">Mazda</t>
        </is>
      </c>
      <c r="G19847" s="0" t="s">
        <v>171</v>
      </c>
      <c r="H19847" s="5">
        <v>99.303800</v>
      </c>
    </row>
    <row r="19848" spans="1:9">
      <c r="A19848" s="22" t="str">
        <f>HYPERLINK("https://app.vivvix.com/360/KMI/IntelliDrive/ApplUI/Pages/CreativePages/CustomReportCreativeDetail.aspx?App=23&amp;ReportView=4&amp;Qid=1711279&amp;Row=19840&amp;Col=1","No Title Assigned - #15278792684")</f>
        <v/>
      </c>
      <c r="B19848" s="0" t="s">
        <v>26336</v>
      </c>
      <c r="E19848" s="0" t="inlineStr">
        <is>
          <t xml:space="preserve">Mazda</t>
        </is>
      </c>
      <c r="F19848" s="0" t="inlineStr">
        <is>
          <t xml:space="preserve">Mazda</t>
        </is>
      </c>
      <c r="G19848" s="0" t="s">
        <v>171</v>
      </c>
      <c r="H19848" s="5">
        <v>99.303800</v>
      </c>
    </row>
    <row r="19849" spans="1:9">
      <c r="A19849" s="22" t="str">
        <f>HYPERLINK("https://app.vivvix.com/360/KMI/IntelliDrive/ApplUI/Pages/CreativePages/CustomReportCreativeDetail.aspx?App=23&amp;ReportView=4&amp;Qid=1711279&amp;Row=19841&amp;Col=1","No Title Assigned - #15278799641")</f>
        <v/>
      </c>
      <c r="B19849" s="0" t="s">
        <v>26337</v>
      </c>
      <c r="C19849" s="0" t="s">
        <v>26338</v>
      </c>
      <c r="D19849" s="0" t="s">
        <v>4200</v>
      </c>
      <c r="E19849" s="0" t="inlineStr">
        <is>
          <t xml:space="preserve">Mazda</t>
        </is>
      </c>
      <c r="F19849" s="0" t="s">
        <v>28</v>
      </c>
      <c r="G19849" s="0" t="s">
        <v>29</v>
      </c>
      <c r="H19849" s="5">
        <v>126.633500</v>
      </c>
    </row>
    <row r="19850" spans="1:9">
      <c r="A19850" s="22" t="str">
        <f>HYPERLINK("https://app.vivvix.com/360/KMI/IntelliDrive/ApplUI/Pages/CreativePages/CustomReportCreativeDetail.aspx?App=23&amp;ReportView=4&amp;Qid=1711279&amp;Row=19842&amp;Col=1","No Title Assigned - #15278815574")</f>
        <v/>
      </c>
      <c r="B19850" s="0" t="s">
        <v>26339</v>
      </c>
      <c r="C19850" s="0" t="s">
        <v>26340</v>
      </c>
      <c r="D19850" s="0" t="s">
        <v>24131</v>
      </c>
      <c r="E19850" s="0" t="inlineStr">
        <is>
          <t xml:space="preserve">Mazda</t>
        </is>
      </c>
      <c r="F19850" s="0" t="s">
        <v>13</v>
      </c>
      <c r="G19850" s="0" t="s">
        <v>49</v>
      </c>
      <c r="H19850" s="5">
        <v>154.159300</v>
      </c>
    </row>
    <row r="19851" spans="1:9">
      <c r="A19851" s="22" t="str">
        <f>HYPERLINK("https://app.vivvix.com/360/KMI/IntelliDrive/ApplUI/Pages/CreativePages/CustomReportCreativeDetail.aspx?App=23&amp;ReportView=4&amp;Qid=1711279&amp;Row=19843&amp;Col=1","No Title Assigned - #15278815575")</f>
        <v/>
      </c>
      <c r="B19851" s="0" t="s">
        <v>26341</v>
      </c>
      <c r="C19851" s="0" t="s">
        <v>26342</v>
      </c>
      <c r="D19851" s="0" t="s">
        <v>26342</v>
      </c>
      <c r="E19851" s="0" t="inlineStr">
        <is>
          <t xml:space="preserve">Mazda</t>
        </is>
      </c>
      <c r="F19851" s="0" t="inlineStr">
        <is>
          <t xml:space="preserve">Mazda</t>
        </is>
      </c>
      <c r="G19851" s="0" t="s">
        <v>210</v>
      </c>
      <c r="H19851" s="5">
        <v>674.412600</v>
      </c>
    </row>
    <row r="19852" spans="1:9">
      <c r="A19852" s="22" t="str">
        <f>HYPERLINK("https://app.vivvix.com/360/KMI/IntelliDrive/ApplUI/Pages/CreativePages/CustomReportCreativeDetail.aspx?App=23&amp;ReportView=4&amp;Qid=1711279&amp;Row=19844&amp;Col=1","No Title Assigned - #15278815576")</f>
        <v/>
      </c>
      <c r="B19852" s="0" t="s">
        <v>26343</v>
      </c>
      <c r="C19852" s="0" t="s">
        <v>26344</v>
      </c>
      <c r="D19852" s="0" t="s">
        <v>22073</v>
      </c>
      <c r="E19852" s="0" t="inlineStr">
        <is>
          <t xml:space="preserve">Mazda</t>
        </is>
      </c>
      <c r="F19852" s="0" t="s">
        <v>13</v>
      </c>
      <c r="G19852" s="0" t="s">
        <v>49</v>
      </c>
      <c r="H19852" s="5">
        <v>154.159300</v>
      </c>
    </row>
    <row r="19853" spans="1:9">
      <c r="A19853" s="22" t="str">
        <f>HYPERLINK("https://app.vivvix.com/360/KMI/IntelliDrive/ApplUI/Pages/CreativePages/CustomReportCreativeDetail.aspx?App=23&amp;ReportView=4&amp;Qid=1711279&amp;Row=19845&amp;Col=1","No Title Assigned - #15278816845")</f>
        <v/>
      </c>
      <c r="B19853" s="0" t="s">
        <v>26345</v>
      </c>
      <c r="C19853" s="0" t="s">
        <v>26346</v>
      </c>
      <c r="D19853" s="0" t="s">
        <v>26346</v>
      </c>
      <c r="E19853" s="0" t="inlineStr">
        <is>
          <t xml:space="preserve">Mazda</t>
        </is>
      </c>
      <c r="F19853" s="0" t="s">
        <v>28</v>
      </c>
      <c r="G19853" s="0" t="s">
        <v>29</v>
      </c>
      <c r="H19853" s="5">
        <v>470.043600</v>
      </c>
    </row>
    <row r="19854" spans="1:9">
      <c r="A19854" s="22" t="str">
        <f>HYPERLINK("https://app.vivvix.com/360/KMI/IntelliDrive/ApplUI/Pages/CreativePages/CustomReportCreativeDetail.aspx?App=23&amp;ReportView=4&amp;Qid=1711279&amp;Row=19846&amp;Col=1","No Title Assigned - #15278817152")</f>
        <v/>
      </c>
      <c r="B19854" s="0" t="s">
        <v>26347</v>
      </c>
      <c r="C19854" s="0" t="s">
        <v>26348</v>
      </c>
      <c r="D19854" s="0" t="s">
        <v>26348</v>
      </c>
      <c r="E19854" s="0" t="inlineStr">
        <is>
          <t xml:space="preserve">Mazda</t>
        </is>
      </c>
      <c r="F19854" s="0" t="inlineStr">
        <is>
          <t xml:space="preserve">Mazda</t>
        </is>
      </c>
      <c r="G19854" s="0" t="s">
        <v>210</v>
      </c>
      <c r="H19854" s="5">
        <v>1399.433500</v>
      </c>
    </row>
    <row r="19855" spans="1:9">
      <c r="A19855" s="22" t="str">
        <f>HYPERLINK("https://app.vivvix.com/360/KMI/IntelliDrive/ApplUI/Pages/CreativePages/CustomReportCreativeDetail.aspx?App=23&amp;ReportView=4&amp;Qid=1711279&amp;Row=19847&amp;Col=1","No Title Assigned - #15278817171")</f>
        <v/>
      </c>
      <c r="B19855" s="0" t="s">
        <v>26349</v>
      </c>
      <c r="C19855" s="0" t="s">
        <v>26350</v>
      </c>
      <c r="D19855" s="0" t="s">
        <v>26350</v>
      </c>
      <c r="E19855" s="0" t="inlineStr">
        <is>
          <t xml:space="preserve">Mazda</t>
        </is>
      </c>
      <c r="F19855" s="0" t="s">
        <v>28</v>
      </c>
      <c r="G19855" s="0" t="s">
        <v>29</v>
      </c>
      <c r="H19855" s="5">
        <v>549.516300</v>
      </c>
    </row>
    <row r="19856" spans="1:9">
      <c r="A19856" s="22" t="str">
        <f>HYPERLINK("https://app.vivvix.com/360/KMI/IntelliDrive/ApplUI/Pages/CreativePages/CustomReportCreativeDetail.aspx?App=23&amp;ReportView=4&amp;Qid=1711279&amp;Row=19848&amp;Col=1","No Title Assigned - #15278817250")</f>
        <v/>
      </c>
      <c r="B19856" s="0" t="s">
        <v>26351</v>
      </c>
      <c r="C19856" s="0" t="s">
        <v>26352</v>
      </c>
      <c r="D19856" s="0" t="s">
        <v>26352</v>
      </c>
      <c r="E19856" s="0" t="inlineStr">
        <is>
          <t xml:space="preserve">Mazda</t>
        </is>
      </c>
      <c r="F19856" s="0" t="s">
        <v>28</v>
      </c>
      <c r="G19856" s="0" t="s">
        <v>29</v>
      </c>
      <c r="H19856" s="5">
        <v>1228.834800</v>
      </c>
    </row>
    <row r="19857" spans="1:9">
      <c r="A19857" s="22" t="str">
        <f>HYPERLINK("https://app.vivvix.com/360/KMI/IntelliDrive/ApplUI/Pages/CreativePages/CustomReportCreativeDetail.aspx?App=23&amp;ReportView=4&amp;Qid=1711279&amp;Row=19849&amp;Col=1","No Title Assigned - #15278817405")</f>
        <v/>
      </c>
      <c r="B19857" s="0" t="s">
        <v>26353</v>
      </c>
      <c r="C19857" s="0" t="s">
        <v>26354</v>
      </c>
      <c r="D19857" s="0" t="s">
        <v>14231</v>
      </c>
      <c r="E19857" s="0" t="inlineStr">
        <is>
          <t xml:space="preserve">Mazda</t>
        </is>
      </c>
      <c r="F19857" s="0" t="s">
        <v>28</v>
      </c>
      <c r="G19857" s="0" t="s">
        <v>29</v>
      </c>
      <c r="H19857" s="5">
        <v>549.516300</v>
      </c>
    </row>
    <row r="19858" spans="1:9">
      <c r="A19858" s="22" t="str">
        <f>HYPERLINK("https://app.vivvix.com/360/KMI/IntelliDrive/ApplUI/Pages/CreativePages/CustomReportCreativeDetail.aspx?App=23&amp;ReportView=4&amp;Qid=1711279&amp;Row=19850&amp;Col=1","No Title Assigned - #15278819079")</f>
        <v/>
      </c>
      <c r="B19858" s="0" t="s">
        <v>26355</v>
      </c>
      <c r="C19858" s="0" t="s">
        <v>26356</v>
      </c>
      <c r="D19858" s="0" t="s">
        <v>26356</v>
      </c>
      <c r="E19858" s="0" t="inlineStr">
        <is>
          <t xml:space="preserve">Mazda</t>
        </is>
      </c>
      <c r="F19858" s="0" t="inlineStr">
        <is>
          <t xml:space="preserve">Mazda</t>
        </is>
      </c>
      <c r="G19858" s="0" t="s">
        <v>210</v>
      </c>
      <c r="H19858" s="5">
        <v>415.039300</v>
      </c>
    </row>
    <row r="19859" spans="1:9">
      <c r="A19859" s="22" t="str">
        <f>HYPERLINK("https://app.vivvix.com/360/KMI/IntelliDrive/ApplUI/Pages/CreativePages/CustomReportCreativeDetail.aspx?App=23&amp;ReportView=4&amp;Qid=1711279&amp;Row=19851&amp;Col=1","No Title Assigned - #15278822265")</f>
        <v/>
      </c>
      <c r="B19859" s="0" t="s">
        <v>26357</v>
      </c>
      <c r="E19859" s="0" t="inlineStr">
        <is>
          <t xml:space="preserve">Mazda</t>
        </is>
      </c>
      <c r="F19859" s="0" t="inlineStr">
        <is>
          <t xml:space="preserve">Mazda</t>
        </is>
      </c>
      <c r="G19859" s="0" t="s">
        <v>171</v>
      </c>
      <c r="H19859" s="5">
        <v>352.639200</v>
      </c>
    </row>
    <row r="19860" spans="1:9">
      <c r="A19860" s="22" t="str">
        <f>HYPERLINK("https://app.vivvix.com/360/KMI/IntelliDrive/ApplUI/Pages/CreativePages/CustomReportCreativeDetail.aspx?App=23&amp;ReportView=4&amp;Qid=1711279&amp;Row=19852&amp;Col=1","No Title Assigned - #15278826023")</f>
        <v/>
      </c>
      <c r="B19860" s="0" t="s">
        <v>26358</v>
      </c>
      <c r="C19860" s="0" t="s">
        <v>26359</v>
      </c>
      <c r="D19860" s="0" t="s">
        <v>26359</v>
      </c>
      <c r="E19860" s="0" t="inlineStr">
        <is>
          <t xml:space="preserve">Mazda</t>
        </is>
      </c>
      <c r="F19860" s="0" t="s">
        <v>28</v>
      </c>
      <c r="G19860" s="0" t="s">
        <v>29</v>
      </c>
      <c r="H19860" s="5">
        <v>1392.749600</v>
      </c>
    </row>
    <row r="19861" spans="1:9">
      <c r="A19861" s="22" t="str">
        <f>HYPERLINK("https://app.vivvix.com/360/KMI/IntelliDrive/ApplUI/Pages/CreativePages/CustomReportCreativeDetail.aspx?App=23&amp;ReportView=4&amp;Qid=1711279&amp;Row=19853&amp;Col=1","No Title Assigned - #15278826215")</f>
        <v/>
      </c>
      <c r="B19861" s="0" t="s">
        <v>26360</v>
      </c>
      <c r="C19861" s="0" t="s">
        <v>26361</v>
      </c>
      <c r="D19861" s="0" t="s">
        <v>26361</v>
      </c>
      <c r="E19861" s="0" t="inlineStr">
        <is>
          <t xml:space="preserve">Mazda</t>
        </is>
      </c>
      <c r="F19861" s="0" t="s">
        <v>28</v>
      </c>
      <c r="G19861" s="0" t="s">
        <v>29</v>
      </c>
      <c r="H19861" s="5">
        <v>39.471600</v>
      </c>
    </row>
    <row r="19862" spans="1:9">
      <c r="A19862" s="22" t="str">
        <f>HYPERLINK("https://app.vivvix.com/360/KMI/IntelliDrive/ApplUI/Pages/CreativePages/CustomReportCreativeDetail.aspx?App=23&amp;ReportView=4&amp;Qid=1711279&amp;Row=19854&amp;Col=1","No Title Assigned - #15278826532")</f>
        <v/>
      </c>
      <c r="B19862" s="0" t="s">
        <v>26362</v>
      </c>
      <c r="E19862" s="0" t="inlineStr">
        <is>
          <t xml:space="preserve">Mazda</t>
        </is>
      </c>
      <c r="F19862" s="0" t="inlineStr">
        <is>
          <t xml:space="preserve">Mazda</t>
        </is>
      </c>
      <c r="G19862" s="0" t="s">
        <v>171</v>
      </c>
      <c r="H19862" s="5">
        <v>11.086200</v>
      </c>
    </row>
    <row r="19863" spans="1:9">
      <c r="A19863" s="22" t="str">
        <f>HYPERLINK("https://app.vivvix.com/360/KMI/IntelliDrive/ApplUI/Pages/CreativePages/CustomReportCreativeDetail.aspx?App=23&amp;ReportView=4&amp;Qid=1711279&amp;Row=19855&amp;Col=1","No Title Assigned - #15278826601")</f>
        <v/>
      </c>
      <c r="B19863" s="0" t="s">
        <v>26363</v>
      </c>
      <c r="E19863" s="0" t="inlineStr">
        <is>
          <t xml:space="preserve">Mazda</t>
        </is>
      </c>
      <c r="F19863" s="0" t="inlineStr">
        <is>
          <t xml:space="preserve">Mazda</t>
        </is>
      </c>
      <c r="G19863" s="0" t="s">
        <v>171</v>
      </c>
      <c r="H19863" s="5">
        <v>85.007400</v>
      </c>
    </row>
    <row r="19864" spans="1:9">
      <c r="A19864" s="22" t="str">
        <f>HYPERLINK("https://app.vivvix.com/360/KMI/IntelliDrive/ApplUI/Pages/CreativePages/CustomReportCreativeDetail.aspx?App=23&amp;ReportView=4&amp;Qid=1711279&amp;Row=19856&amp;Col=1","No Title Assigned - #15278826653")</f>
        <v/>
      </c>
      <c r="B19864" s="0" t="s">
        <v>26364</v>
      </c>
      <c r="E19864" s="0" t="inlineStr">
        <is>
          <t xml:space="preserve">Mazda</t>
        </is>
      </c>
      <c r="F19864" s="0" t="inlineStr">
        <is>
          <t xml:space="preserve">Mazda</t>
        </is>
      </c>
      <c r="G19864" s="0" t="s">
        <v>171</v>
      </c>
      <c r="H19864" s="5">
        <v>26.834100</v>
      </c>
    </row>
    <row r="19865" spans="1:9">
      <c r="A19865" s="22" t="str">
        <f>HYPERLINK("https://app.vivvix.com/360/KMI/IntelliDrive/ApplUI/Pages/CreativePages/CustomReportCreativeDetail.aspx?App=23&amp;ReportView=4&amp;Qid=1711279&amp;Row=19857&amp;Col=1","No Title Assigned - #15278826725")</f>
        <v/>
      </c>
      <c r="B19865" s="0" t="s">
        <v>26365</v>
      </c>
      <c r="C19865" s="0" t="s">
        <v>26366</v>
      </c>
      <c r="D19865" s="0" t="s">
        <v>26366</v>
      </c>
      <c r="E19865" s="0" t="inlineStr">
        <is>
          <t xml:space="preserve">Mazda</t>
        </is>
      </c>
      <c r="F19865" s="0" t="inlineStr">
        <is>
          <t xml:space="preserve">Mazda</t>
        </is>
      </c>
      <c r="G19865" s="0" t="s">
        <v>171</v>
      </c>
      <c r="H19865" s="5">
        <v>120.177400</v>
      </c>
    </row>
    <row r="19866" spans="1:9">
      <c r="A19866" s="22" t="str">
        <f>HYPERLINK("https://app.vivvix.com/360/KMI/IntelliDrive/ApplUI/Pages/CreativePages/CustomReportCreativeDetail.aspx?App=23&amp;ReportView=4&amp;Qid=1711279&amp;Row=19858&amp;Col=1","No Title Assigned - #15278830368")</f>
        <v/>
      </c>
      <c r="B19866" s="0" t="s">
        <v>26367</v>
      </c>
      <c r="E19866" s="0" t="inlineStr">
        <is>
          <t xml:space="preserve">Mazda</t>
        </is>
      </c>
      <c r="F19866" s="0" t="inlineStr">
        <is>
          <t xml:space="preserve">Mazda</t>
        </is>
      </c>
      <c r="G19866" s="0" t="s">
        <v>171</v>
      </c>
      <c r="H19866" s="5">
        <v>231.394200</v>
      </c>
    </row>
    <row r="19867" spans="1:9">
      <c r="A19867" s="22" t="str">
        <f>HYPERLINK("https://app.vivvix.com/360/KMI/IntelliDrive/ApplUI/Pages/CreativePages/CustomReportCreativeDetail.aspx?App=23&amp;ReportView=4&amp;Qid=1711279&amp;Row=19859&amp;Col=1","No Title Assigned - #15278830371")</f>
        <v/>
      </c>
      <c r="B19867" s="0" t="s">
        <v>26368</v>
      </c>
      <c r="C19867" s="0" t="s">
        <v>26369</v>
      </c>
      <c r="D19867" s="0" t="s">
        <v>26369</v>
      </c>
      <c r="E19867" s="0" t="inlineStr">
        <is>
          <t xml:space="preserve">Mazda</t>
        </is>
      </c>
      <c r="F19867" s="0" t="s">
        <v>28</v>
      </c>
      <c r="G19867" s="0" t="s">
        <v>29</v>
      </c>
      <c r="H19867" s="5">
        <v>49.007400</v>
      </c>
    </row>
    <row r="19868" spans="1:9">
      <c r="A19868" s="22" t="str">
        <f>HYPERLINK("https://app.vivvix.com/360/KMI/IntelliDrive/ApplUI/Pages/CreativePages/CustomReportCreativeDetail.aspx?App=23&amp;ReportView=4&amp;Qid=1711279&amp;Row=19860&amp;Col=1","No Title Assigned - #15278830371")</f>
        <v/>
      </c>
      <c r="B19868" s="0" t="s">
        <v>26368</v>
      </c>
      <c r="E19868" s="0" t="inlineStr">
        <is>
          <t xml:space="preserve">Mazda</t>
        </is>
      </c>
      <c r="F19868" s="0" t="s">
        <v>28</v>
      </c>
      <c r="G19868" s="0" t="s">
        <v>29</v>
      </c>
      <c r="H19868" s="5">
        <v>2.867500</v>
      </c>
    </row>
    <row r="19869" spans="1:9">
      <c r="A19869" s="22" t="str">
        <f>HYPERLINK("https://app.vivvix.com/360/KMI/IntelliDrive/ApplUI/Pages/CreativePages/CustomReportCreativeDetail.aspx?App=23&amp;ReportView=4&amp;Qid=1711279&amp;Row=19861&amp;Col=1","No Title Assigned - #15278830374")</f>
        <v/>
      </c>
      <c r="B19869" s="0" t="s">
        <v>26370</v>
      </c>
      <c r="E19869" s="0" t="inlineStr">
        <is>
          <t xml:space="preserve">Mazda</t>
        </is>
      </c>
      <c r="F19869" s="0" t="inlineStr">
        <is>
          <t xml:space="preserve">Mazda</t>
        </is>
      </c>
      <c r="G19869" s="0" t="s">
        <v>171</v>
      </c>
      <c r="H19869" s="5">
        <v>465.015800</v>
      </c>
    </row>
    <row r="19870" spans="1:9">
      <c r="A19870" s="22" t="str">
        <f>HYPERLINK("https://app.vivvix.com/360/KMI/IntelliDrive/ApplUI/Pages/CreativePages/CustomReportCreativeDetail.aspx?App=23&amp;ReportView=4&amp;Qid=1711279&amp;Row=19862&amp;Col=1","No Title Assigned - #15278831870")</f>
        <v/>
      </c>
      <c r="B19870" s="0" t="s">
        <v>26371</v>
      </c>
      <c r="E19870" s="0" t="inlineStr">
        <is>
          <t xml:space="preserve">Mazda</t>
        </is>
      </c>
      <c r="F19870" s="0" t="inlineStr">
        <is>
          <t xml:space="preserve">Mazda</t>
        </is>
      </c>
      <c r="G19870" s="0" t="s">
        <v>171</v>
      </c>
      <c r="H19870" s="5">
        <v>88.701700</v>
      </c>
    </row>
    <row r="19871" spans="1:9">
      <c r="A19871" s="22" t="str">
        <f>HYPERLINK("https://app.vivvix.com/360/KMI/IntelliDrive/ApplUI/Pages/CreativePages/CustomReportCreativeDetail.aspx?App=23&amp;ReportView=4&amp;Qid=1711279&amp;Row=19863&amp;Col=1","No Title Assigned - #15278832361")</f>
        <v/>
      </c>
      <c r="B19871" s="0" t="s">
        <v>26372</v>
      </c>
      <c r="E19871" s="0" t="inlineStr">
        <is>
          <t xml:space="preserve">Mazda</t>
        </is>
      </c>
      <c r="F19871" s="0" t="inlineStr">
        <is>
          <t xml:space="preserve">Mazda</t>
        </is>
      </c>
      <c r="G19871" s="0" t="s">
        <v>171</v>
      </c>
      <c r="H19871" s="5">
        <v>42.677800</v>
      </c>
    </row>
    <row r="19872" spans="1:9">
      <c r="A19872" s="22" t="str">
        <f>HYPERLINK("https://app.vivvix.com/360/KMI/IntelliDrive/ApplUI/Pages/CreativePages/CustomReportCreativeDetail.aspx?App=23&amp;ReportView=4&amp;Qid=1711279&amp;Row=19864&amp;Col=1","No Title Assigned - #15278832528")</f>
        <v/>
      </c>
      <c r="B19872" s="0" t="s">
        <v>26373</v>
      </c>
      <c r="C19872" s="0" t="s">
        <v>26374</v>
      </c>
      <c r="D19872" s="0" t="s">
        <v>26374</v>
      </c>
      <c r="E19872" s="0" t="inlineStr">
        <is>
          <t xml:space="preserve">Mazda</t>
        </is>
      </c>
      <c r="F19872" s="0" t="inlineStr">
        <is>
          <t xml:space="preserve">Mazda</t>
        </is>
      </c>
      <c r="G19872" s="0" t="s">
        <v>171</v>
      </c>
      <c r="H19872" s="5">
        <v>86.080600</v>
      </c>
    </row>
    <row r="19873" spans="1:9">
      <c r="A19873" s="22" t="str">
        <f>HYPERLINK("https://app.vivvix.com/360/KMI/IntelliDrive/ApplUI/Pages/CreativePages/CustomReportCreativeDetail.aspx?App=23&amp;ReportView=4&amp;Qid=1711279&amp;Row=19865&amp;Col=1","No Title Assigned - #15278832677")</f>
        <v/>
      </c>
      <c r="B19873" s="0" t="s">
        <v>26375</v>
      </c>
      <c r="E19873" s="0" t="inlineStr">
        <is>
          <t xml:space="preserve">Mazda</t>
        </is>
      </c>
      <c r="F19873" s="0" t="inlineStr">
        <is>
          <t xml:space="preserve">Mazda</t>
        </is>
      </c>
      <c r="G19873" s="0" t="s">
        <v>171</v>
      </c>
      <c r="H19873" s="5">
        <v>505.117400</v>
      </c>
    </row>
    <row r="19874" spans="1:9">
      <c r="A19874" s="22" t="str">
        <f>HYPERLINK("https://app.vivvix.com/360/KMI/IntelliDrive/ApplUI/Pages/CreativePages/CustomReportCreativeDetail.aspx?App=23&amp;ReportView=4&amp;Qid=1711279&amp;Row=19866&amp;Col=1","No Title Assigned - #15278833520")</f>
        <v/>
      </c>
      <c r="B19874" s="0" t="s">
        <v>26376</v>
      </c>
      <c r="E19874" s="0" t="inlineStr">
        <is>
          <t xml:space="preserve">Mazda</t>
        </is>
      </c>
      <c r="F19874" s="0" t="inlineStr">
        <is>
          <t xml:space="preserve">Mazda</t>
        </is>
      </c>
      <c r="G19874" s="0" t="s">
        <v>171</v>
      </c>
      <c r="H19874" s="5">
        <v>5.543100</v>
      </c>
    </row>
    <row r="19875" spans="1:9">
      <c r="A19875" s="22" t="str">
        <f>HYPERLINK("https://app.vivvix.com/360/KMI/IntelliDrive/ApplUI/Pages/CreativePages/CustomReportCreativeDetail.aspx?App=23&amp;ReportView=4&amp;Qid=1711279&amp;Row=19867&amp;Col=1","No Title Assigned - #15278833929")</f>
        <v/>
      </c>
      <c r="B19875" s="0" t="s">
        <v>26377</v>
      </c>
      <c r="E19875" s="0" t="inlineStr">
        <is>
          <t xml:space="preserve">Mazda</t>
        </is>
      </c>
      <c r="F19875" s="0" t="inlineStr">
        <is>
          <t xml:space="preserve">Mazda</t>
        </is>
      </c>
      <c r="G19875" s="0" t="s">
        <v>171</v>
      </c>
      <c r="H19875" s="5">
        <v>58.431600</v>
      </c>
    </row>
    <row r="19876" spans="1:9">
      <c r="A19876" s="22" t="str">
        <f>HYPERLINK("https://app.vivvix.com/360/KMI/IntelliDrive/ApplUI/Pages/CreativePages/CustomReportCreativeDetail.aspx?App=23&amp;ReportView=4&amp;Qid=1711279&amp;Row=19868&amp;Col=1","No Title Assigned - #15278833949")</f>
        <v/>
      </c>
      <c r="B19876" s="0" t="s">
        <v>26378</v>
      </c>
      <c r="E19876" s="0" t="inlineStr">
        <is>
          <t xml:space="preserve">Mazda</t>
        </is>
      </c>
      <c r="F19876" s="0" t="inlineStr">
        <is>
          <t xml:space="preserve">Mazda</t>
        </is>
      </c>
      <c r="G19876" s="0" t="s">
        <v>171</v>
      </c>
      <c r="H19876" s="5">
        <v>213.910900</v>
      </c>
    </row>
    <row r="19877" spans="1:9">
      <c r="A19877" s="22" t="str">
        <f>HYPERLINK("https://app.vivvix.com/360/KMI/IntelliDrive/ApplUI/Pages/CreativePages/CustomReportCreativeDetail.aspx?App=23&amp;ReportView=4&amp;Qid=1711279&amp;Row=19869&amp;Col=1","No Title Assigned - #15278834014")</f>
        <v/>
      </c>
      <c r="B19877" s="0" t="s">
        <v>26379</v>
      </c>
      <c r="E19877" s="0" t="inlineStr">
        <is>
          <t xml:space="preserve">Mazda</t>
        </is>
      </c>
      <c r="F19877" s="0" t="inlineStr">
        <is>
          <t xml:space="preserve">Mazda</t>
        </is>
      </c>
      <c r="G19877" s="0" t="s">
        <v>171</v>
      </c>
      <c r="H19877" s="5">
        <v>81.461400</v>
      </c>
    </row>
    <row r="19878" spans="1:9">
      <c r="A19878" s="22" t="str">
        <f>HYPERLINK("https://app.vivvix.com/360/KMI/IntelliDrive/ApplUI/Pages/CreativePages/CustomReportCreativeDetail.aspx?App=23&amp;ReportView=4&amp;Qid=1711279&amp;Row=19870&amp;Col=1","No Title Assigned - #15278834015")</f>
        <v/>
      </c>
      <c r="B19878" s="0" t="s">
        <v>26380</v>
      </c>
      <c r="C19878" s="0" t="s">
        <v>26381</v>
      </c>
      <c r="D19878" s="0" t="s">
        <v>26381</v>
      </c>
      <c r="E19878" s="0" t="inlineStr">
        <is>
          <t xml:space="preserve">Mazda</t>
        </is>
      </c>
      <c r="F19878" s="0" t="inlineStr">
        <is>
          <t xml:space="preserve">Mazda</t>
        </is>
      </c>
      <c r="G19878" s="0" t="s">
        <v>171</v>
      </c>
      <c r="H19878" s="5">
        <v>335.761200</v>
      </c>
    </row>
    <row r="19879" spans="1:9">
      <c r="A19879" s="22" t="str">
        <f>HYPERLINK("https://app.vivvix.com/360/KMI/IntelliDrive/ApplUI/Pages/CreativePages/CustomReportCreativeDetail.aspx?App=23&amp;ReportView=4&amp;Qid=1711279&amp;Row=19871&amp;Col=1","No Title Assigned - #15278834225")</f>
        <v/>
      </c>
      <c r="B19879" s="0" t="s">
        <v>26382</v>
      </c>
      <c r="E19879" s="0" t="inlineStr">
        <is>
          <t xml:space="preserve">Mazda</t>
        </is>
      </c>
      <c r="F19879" s="0" t="inlineStr">
        <is>
          <t xml:space="preserve">Mazda</t>
        </is>
      </c>
      <c r="G19879" s="0" t="s">
        <v>171</v>
      </c>
      <c r="H19879" s="5">
        <v>21.338900</v>
      </c>
    </row>
    <row r="19880" spans="1:9">
      <c r="A19880" s="22" t="str">
        <f>HYPERLINK("https://app.vivvix.com/360/KMI/IntelliDrive/ApplUI/Pages/CreativePages/CustomReportCreativeDetail.aspx?App=23&amp;ReportView=4&amp;Qid=1711279&amp;Row=19872&amp;Col=1","No Title Assigned - #15278834357")</f>
        <v/>
      </c>
      <c r="B19880" s="0" t="s">
        <v>26383</v>
      </c>
      <c r="E19880" s="0" t="inlineStr">
        <is>
          <t xml:space="preserve">Mazda</t>
        </is>
      </c>
      <c r="F19880" s="0" t="inlineStr">
        <is>
          <t xml:space="preserve">Mazda</t>
        </is>
      </c>
      <c r="G19880" s="0" t="s">
        <v>171</v>
      </c>
      <c r="H19880" s="5">
        <v>60.233300</v>
      </c>
    </row>
    <row r="19881" spans="1:9">
      <c r="A19881" s="22" t="str">
        <f>HYPERLINK("https://app.vivvix.com/360/KMI/IntelliDrive/ApplUI/Pages/CreativePages/CustomReportCreativeDetail.aspx?App=23&amp;ReportView=4&amp;Qid=1711279&amp;Row=19873&amp;Col=1","No Title Assigned - #15278834520")</f>
        <v/>
      </c>
      <c r="B19881" s="0" t="s">
        <v>26384</v>
      </c>
      <c r="E19881" s="0" t="inlineStr">
        <is>
          <t xml:space="preserve">Mazda</t>
        </is>
      </c>
      <c r="F19881" s="0" t="inlineStr">
        <is>
          <t xml:space="preserve">Mazda</t>
        </is>
      </c>
      <c r="G19881" s="0" t="s">
        <v>171</v>
      </c>
      <c r="H19881" s="5">
        <v>5.543100</v>
      </c>
    </row>
    <row r="19882" spans="1:9">
      <c r="A19882" s="22" t="str">
        <f>HYPERLINK("https://app.vivvix.com/360/KMI/IntelliDrive/ApplUI/Pages/CreativePages/CustomReportCreativeDetail.aspx?App=23&amp;ReportView=4&amp;Qid=1711279&amp;Row=19874&amp;Col=1","No Title Assigned - #15278834524")</f>
        <v/>
      </c>
      <c r="B19882" s="0" t="s">
        <v>26385</v>
      </c>
      <c r="E19882" s="0" t="inlineStr">
        <is>
          <t xml:space="preserve">Mazda</t>
        </is>
      </c>
      <c r="F19882" s="0" t="inlineStr">
        <is>
          <t xml:space="preserve">Mazda</t>
        </is>
      </c>
      <c r="G19882" s="0" t="s">
        <v>171</v>
      </c>
      <c r="H19882" s="5">
        <v>5.543100</v>
      </c>
    </row>
    <row r="19883" spans="1:9">
      <c r="A19883" s="22" t="str">
        <f>HYPERLINK("https://app.vivvix.com/360/KMI/IntelliDrive/ApplUI/Pages/CreativePages/CustomReportCreativeDetail.aspx?App=23&amp;ReportView=4&amp;Qid=1711279&amp;Row=19875&amp;Col=1","No Title Assigned - #15278834560")</f>
        <v/>
      </c>
      <c r="B19883" s="0" t="s">
        <v>26386</v>
      </c>
      <c r="E19883" s="0" t="inlineStr">
        <is>
          <t xml:space="preserve">Mazda</t>
        </is>
      </c>
      <c r="F19883" s="0" t="inlineStr">
        <is>
          <t xml:space="preserve">Mazda</t>
        </is>
      </c>
      <c r="G19883" s="0" t="s">
        <v>171</v>
      </c>
      <c r="H19883" s="5">
        <v>5.543100</v>
      </c>
    </row>
    <row r="19884" spans="1:9">
      <c r="A19884" s="22" t="str">
        <f>HYPERLINK("https://app.vivvix.com/360/KMI/IntelliDrive/ApplUI/Pages/CreativePages/CustomReportCreativeDetail.aspx?App=23&amp;ReportView=4&amp;Qid=1711279&amp;Row=19876&amp;Col=1","No Title Assigned - #15278835103")</f>
        <v/>
      </c>
      <c r="B19884" s="0" t="s">
        <v>26387</v>
      </c>
      <c r="E19884" s="0" t="inlineStr">
        <is>
          <t xml:space="preserve">Mazda</t>
        </is>
      </c>
      <c r="F19884" s="0" t="inlineStr">
        <is>
          <t xml:space="preserve">Mazda</t>
        </is>
      </c>
      <c r="G19884" s="0" t="s">
        <v>171</v>
      </c>
      <c r="H19884" s="5">
        <v>230.572400</v>
      </c>
    </row>
    <row r="19885" spans="1:9">
      <c r="A19885" s="22" t="str">
        <f>HYPERLINK("https://app.vivvix.com/360/KMI/IntelliDrive/ApplUI/Pages/CreativePages/CustomReportCreativeDetail.aspx?App=23&amp;ReportView=4&amp;Qid=1711279&amp;Row=19877&amp;Col=1","No Title Assigned - #15278835108")</f>
        <v/>
      </c>
      <c r="B19885" s="0" t="s">
        <v>26388</v>
      </c>
      <c r="E19885" s="0" t="inlineStr">
        <is>
          <t xml:space="preserve">Mazda</t>
        </is>
      </c>
      <c r="F19885" s="0" t="inlineStr">
        <is>
          <t xml:space="preserve">Mazda</t>
        </is>
      </c>
      <c r="G19885" s="0" t="s">
        <v>171</v>
      </c>
      <c r="H19885" s="5">
        <v>34.720600</v>
      </c>
    </row>
    <row r="19886" spans="1:9">
      <c r="A19886" s="22" t="str">
        <f>HYPERLINK("https://app.vivvix.com/360/KMI/IntelliDrive/ApplUI/Pages/CreativePages/CustomReportCreativeDetail.aspx?App=23&amp;ReportView=4&amp;Qid=1711279&amp;Row=19878&amp;Col=1","No Title Assigned - #15278835135")</f>
        <v/>
      </c>
      <c r="B19886" s="0" t="s">
        <v>26389</v>
      </c>
      <c r="E19886" s="0" t="inlineStr">
        <is>
          <t xml:space="preserve">Mazda</t>
        </is>
      </c>
      <c r="F19886" s="0" t="inlineStr">
        <is>
          <t xml:space="preserve">Mazda</t>
        </is>
      </c>
      <c r="G19886" s="0" t="s">
        <v>171</v>
      </c>
      <c r="H19886" s="5">
        <v>11.063100</v>
      </c>
    </row>
    <row r="19887" spans="1:9">
      <c r="A19887" s="22" t="str">
        <f>HYPERLINK("https://app.vivvix.com/360/KMI/IntelliDrive/ApplUI/Pages/CreativePages/CustomReportCreativeDetail.aspx?App=23&amp;ReportView=4&amp;Qid=1711279&amp;Row=19879&amp;Col=1","No Title Assigned - #15278835445")</f>
        <v/>
      </c>
      <c r="B19887" s="0" t="s">
        <v>26390</v>
      </c>
      <c r="E19887" s="0" t="inlineStr">
        <is>
          <t xml:space="preserve">Mazda</t>
        </is>
      </c>
      <c r="F19887" s="0" t="inlineStr">
        <is>
          <t xml:space="preserve">Mazda</t>
        </is>
      </c>
      <c r="G19887" s="0" t="s">
        <v>171</v>
      </c>
      <c r="H19887" s="5">
        <v>54.662800</v>
      </c>
    </row>
    <row r="19888" spans="1:9">
      <c r="A19888" s="22" t="str">
        <f>HYPERLINK("https://app.vivvix.com/360/KMI/IntelliDrive/ApplUI/Pages/CreativePages/CustomReportCreativeDetail.aspx?App=23&amp;ReportView=4&amp;Qid=1711279&amp;Row=19880&amp;Col=1","No Title Assigned - #15278835469")</f>
        <v/>
      </c>
      <c r="B19888" s="0" t="s">
        <v>26391</v>
      </c>
      <c r="E19888" s="0" t="inlineStr">
        <is>
          <t xml:space="preserve">Mazda</t>
        </is>
      </c>
      <c r="F19888" s="0" t="inlineStr">
        <is>
          <t xml:space="preserve">Mazda</t>
        </is>
      </c>
      <c r="G19888" s="0" t="s">
        <v>171</v>
      </c>
      <c r="H19888" s="5">
        <v>43.456100</v>
      </c>
    </row>
    <row r="19889" spans="1:9">
      <c r="A19889" s="22" t="str">
        <f>HYPERLINK("https://app.vivvix.com/360/KMI/IntelliDrive/ApplUI/Pages/CreativePages/CustomReportCreativeDetail.aspx?App=23&amp;ReportView=4&amp;Qid=1711279&amp;Row=19881&amp;Col=1","No Title Assigned - #15278835488")</f>
        <v/>
      </c>
      <c r="B19889" s="0" t="s">
        <v>26392</v>
      </c>
      <c r="E19889" s="0" t="inlineStr">
        <is>
          <t xml:space="preserve">Mazda</t>
        </is>
      </c>
      <c r="F19889" s="0" t="inlineStr">
        <is>
          <t xml:space="preserve">Mazda</t>
        </is>
      </c>
      <c r="G19889" s="0" t="s">
        <v>171</v>
      </c>
      <c r="H19889" s="5">
        <v>33.379300</v>
      </c>
    </row>
    <row r="19890" spans="1:9">
      <c r="A19890" s="22" t="str">
        <f>HYPERLINK("https://app.vivvix.com/360/KMI/IntelliDrive/ApplUI/Pages/CreativePages/CustomReportCreativeDetail.aspx?App=23&amp;ReportView=4&amp;Qid=1711279&amp;Row=19882&amp;Col=1","No Title Assigned - #15278835572")</f>
        <v/>
      </c>
      <c r="B19890" s="0" t="s">
        <v>26393</v>
      </c>
      <c r="E19890" s="0" t="inlineStr">
        <is>
          <t xml:space="preserve">Mazda</t>
        </is>
      </c>
      <c r="F19890" s="0" t="inlineStr">
        <is>
          <t xml:space="preserve">Mazda</t>
        </is>
      </c>
      <c r="G19890" s="0" t="s">
        <v>171</v>
      </c>
      <c r="H19890" s="5">
        <v>8.691900</v>
      </c>
    </row>
    <row r="19891" spans="1:9">
      <c r="A19891" s="22" t="str">
        <f>HYPERLINK("https://app.vivvix.com/360/KMI/IntelliDrive/ApplUI/Pages/CreativePages/CustomReportCreativeDetail.aspx?App=23&amp;ReportView=4&amp;Qid=1711279&amp;Row=19883&amp;Col=1","No Title Assigned - #15278835647")</f>
        <v/>
      </c>
      <c r="B19891" s="0" t="s">
        <v>26394</v>
      </c>
      <c r="E19891" s="0" t="inlineStr">
        <is>
          <t xml:space="preserve">Mazda</t>
        </is>
      </c>
      <c r="F19891" s="0" t="inlineStr">
        <is>
          <t xml:space="preserve">Mazda</t>
        </is>
      </c>
      <c r="G19891" s="0" t="s">
        <v>171</v>
      </c>
      <c r="H19891" s="5">
        <v>70.284200</v>
      </c>
    </row>
    <row r="19892" spans="1:9">
      <c r="A19892" s="22" t="str">
        <f>HYPERLINK("https://app.vivvix.com/360/KMI/IntelliDrive/ApplUI/Pages/CreativePages/CustomReportCreativeDetail.aspx?App=23&amp;ReportView=4&amp;Qid=1711279&amp;Row=19884&amp;Col=1","No Title Assigned - #15278835927")</f>
        <v/>
      </c>
      <c r="B19892" s="0" t="s">
        <v>26395</v>
      </c>
      <c r="E19892" s="0" t="inlineStr">
        <is>
          <t xml:space="preserve">Mazda</t>
        </is>
      </c>
      <c r="F19892" s="0" t="inlineStr">
        <is>
          <t xml:space="preserve">Mazda</t>
        </is>
      </c>
      <c r="G19892" s="0" t="s">
        <v>171</v>
      </c>
      <c r="H19892" s="5">
        <v>88.199100</v>
      </c>
    </row>
    <row r="19893" spans="1:9">
      <c r="A19893" s="22" t="str">
        <f>HYPERLINK("https://app.vivvix.com/360/KMI/IntelliDrive/ApplUI/Pages/CreativePages/CustomReportCreativeDetail.aspx?App=23&amp;ReportView=4&amp;Qid=1711279&amp;Row=19885&amp;Col=1","No Title Assigned - #15278836001")</f>
        <v/>
      </c>
      <c r="B19893" s="0" t="s">
        <v>26396</v>
      </c>
      <c r="E19893" s="0" t="inlineStr">
        <is>
          <t xml:space="preserve">Mazda</t>
        </is>
      </c>
      <c r="F19893" s="0" t="inlineStr">
        <is>
          <t xml:space="preserve">Mazda</t>
        </is>
      </c>
      <c r="G19893" s="0" t="s">
        <v>171</v>
      </c>
      <c r="H19893" s="5">
        <v>75.117000</v>
      </c>
    </row>
    <row r="19894" spans="1:9">
      <c r="A19894" s="22" t="str">
        <f>HYPERLINK("https://app.vivvix.com/360/KMI/IntelliDrive/ApplUI/Pages/CreativePages/CustomReportCreativeDetail.aspx?App=23&amp;ReportView=4&amp;Qid=1711279&amp;Row=19886&amp;Col=1","No Title Assigned - #15278836949")</f>
        <v/>
      </c>
      <c r="B19894" s="0" t="s">
        <v>26397</v>
      </c>
      <c r="E19894" s="0" t="inlineStr">
        <is>
          <t xml:space="preserve">Mazda</t>
        </is>
      </c>
      <c r="F19894" s="0" t="inlineStr">
        <is>
          <t xml:space="preserve">Mazda</t>
        </is>
      </c>
      <c r="G19894" s="0" t="s">
        <v>171</v>
      </c>
      <c r="H19894" s="5">
        <v>1364.265100</v>
      </c>
    </row>
    <row r="19895" spans="1:9">
      <c r="A19895" s="22" t="str">
        <f>HYPERLINK("https://app.vivvix.com/360/KMI/IntelliDrive/ApplUI/Pages/CreativePages/CustomReportCreativeDetail.aspx?App=23&amp;ReportView=4&amp;Qid=1711279&amp;Row=19887&amp;Col=1","No Title Assigned - #15278837471")</f>
        <v/>
      </c>
      <c r="B19895" s="0" t="s">
        <v>26398</v>
      </c>
      <c r="E19895" s="0" t="inlineStr">
        <is>
          <t xml:space="preserve">Mazda</t>
        </is>
      </c>
      <c r="F19895" s="0" t="inlineStr">
        <is>
          <t xml:space="preserve">Mazda</t>
        </is>
      </c>
      <c r="G19895" s="0" t="s">
        <v>171</v>
      </c>
      <c r="H19895" s="5">
        <v>198.547400</v>
      </c>
    </row>
    <row r="19896" spans="1:9">
      <c r="A19896" s="22" t="str">
        <f>HYPERLINK("https://app.vivvix.com/360/KMI/IntelliDrive/ApplUI/Pages/CreativePages/CustomReportCreativeDetail.aspx?App=23&amp;ReportView=4&amp;Qid=1711279&amp;Row=19888&amp;Col=1","No Title Assigned - #15278837619")</f>
        <v/>
      </c>
      <c r="B19896" s="0" t="s">
        <v>26399</v>
      </c>
      <c r="C19896" s="0" t="s">
        <v>26400</v>
      </c>
      <c r="D19896" s="0" t="s">
        <v>4200</v>
      </c>
      <c r="E19896" s="0" t="inlineStr">
        <is>
          <t xml:space="preserve">Mazda</t>
        </is>
      </c>
      <c r="F19896" s="0" t="s">
        <v>28</v>
      </c>
      <c r="G19896" s="0" t="s">
        <v>29</v>
      </c>
      <c r="H19896" s="5">
        <v>5.735000</v>
      </c>
    </row>
    <row r="19897" spans="1:9">
      <c r="A19897" s="22" t="str">
        <f>HYPERLINK("https://app.vivvix.com/360/KMI/IntelliDrive/ApplUI/Pages/CreativePages/CustomReportCreativeDetail.aspx?App=23&amp;ReportView=4&amp;Qid=1711279&amp;Row=19889&amp;Col=1","No Title Assigned - #15278837928")</f>
        <v/>
      </c>
      <c r="B19897" s="0" t="s">
        <v>26401</v>
      </c>
      <c r="E19897" s="0" t="inlineStr">
        <is>
          <t xml:space="preserve">Mazda</t>
        </is>
      </c>
      <c r="F19897" s="0" t="inlineStr">
        <is>
          <t xml:space="preserve">Mazda</t>
        </is>
      </c>
      <c r="G19897" s="0" t="s">
        <v>171</v>
      </c>
      <c r="H19897" s="5">
        <v>8.691900</v>
      </c>
    </row>
    <row r="19898" spans="1:9">
      <c r="A19898" s="22" t="str">
        <f>HYPERLINK("https://app.vivvix.com/360/KMI/IntelliDrive/ApplUI/Pages/CreativePages/CustomReportCreativeDetail.aspx?App=23&amp;ReportView=4&amp;Qid=1711279&amp;Row=19890&amp;Col=1","No Title Assigned - #15278837939")</f>
        <v/>
      </c>
      <c r="B19898" s="0" t="s">
        <v>26402</v>
      </c>
      <c r="E19898" s="0" t="inlineStr">
        <is>
          <t xml:space="preserve">Mazda</t>
        </is>
      </c>
      <c r="F19898" s="0" t="inlineStr">
        <is>
          <t xml:space="preserve">Mazda</t>
        </is>
      </c>
      <c r="G19898" s="0" t="s">
        <v>171</v>
      </c>
      <c r="H19898" s="5">
        <v>42.677800</v>
      </c>
    </row>
    <row r="19899" spans="1:9">
      <c r="A19899" s="22" t="str">
        <f>HYPERLINK("https://app.vivvix.com/360/KMI/IntelliDrive/ApplUI/Pages/CreativePages/CustomReportCreativeDetail.aspx?App=23&amp;ReportView=4&amp;Qid=1711279&amp;Row=19891&amp;Col=1","No Title Assigned - #15278837952")</f>
        <v/>
      </c>
      <c r="B19899" s="0" t="s">
        <v>26403</v>
      </c>
      <c r="E19899" s="0" t="inlineStr">
        <is>
          <t xml:space="preserve">Mazda</t>
        </is>
      </c>
      <c r="F19899" s="0" t="inlineStr">
        <is>
          <t xml:space="preserve">Mazda</t>
        </is>
      </c>
      <c r="G19899" s="0" t="s">
        <v>171</v>
      </c>
      <c r="H19899" s="5">
        <v>15.956500</v>
      </c>
    </row>
    <row r="19900" spans="1:9">
      <c r="A19900" s="22" t="str">
        <f>HYPERLINK("https://app.vivvix.com/360/KMI/IntelliDrive/ApplUI/Pages/CreativePages/CustomReportCreativeDetail.aspx?App=23&amp;ReportView=4&amp;Qid=1711279&amp;Row=19892&amp;Col=1","No Title Assigned - #15278838055")</f>
        <v/>
      </c>
      <c r="B19900" s="0" t="s">
        <v>26404</v>
      </c>
      <c r="C19900" s="0" t="s">
        <v>26405</v>
      </c>
      <c r="D19900" s="0" t="s">
        <v>26405</v>
      </c>
      <c r="E19900" s="0" t="inlineStr">
        <is>
          <t xml:space="preserve">Mazda</t>
        </is>
      </c>
      <c r="F19900" s="0" t="inlineStr">
        <is>
          <t xml:space="preserve">Mazda</t>
        </is>
      </c>
      <c r="G19900" s="0" t="s">
        <v>171</v>
      </c>
      <c r="H19900" s="5">
        <v>43.328300</v>
      </c>
    </row>
    <row r="19901" spans="1:9">
      <c r="A19901" s="22" t="str">
        <f>HYPERLINK("https://app.vivvix.com/360/KMI/IntelliDrive/ApplUI/Pages/CreativePages/CustomReportCreativeDetail.aspx?App=23&amp;ReportView=4&amp;Qid=1711279&amp;Row=19893&amp;Col=1","No Title Assigned - #15278839349")</f>
        <v/>
      </c>
      <c r="B19901" s="0" t="s">
        <v>26406</v>
      </c>
      <c r="E19901" s="0" t="inlineStr">
        <is>
          <t xml:space="preserve">Mazda</t>
        </is>
      </c>
      <c r="F19901" s="0" t="inlineStr">
        <is>
          <t xml:space="preserve">Mazda</t>
        </is>
      </c>
      <c r="G19901" s="0" t="s">
        <v>171</v>
      </c>
      <c r="H19901" s="5">
        <v>102.394500</v>
      </c>
    </row>
    <row r="19902" spans="1:9">
      <c r="A19902" s="22" t="str">
        <f>HYPERLINK("https://app.vivvix.com/360/KMI/IntelliDrive/ApplUI/Pages/CreativePages/CustomReportCreativeDetail.aspx?App=23&amp;ReportView=4&amp;Qid=1711279&amp;Row=19894&amp;Col=1","No Title Assigned - #15278839527")</f>
        <v/>
      </c>
      <c r="B19902" s="0" t="s">
        <v>26407</v>
      </c>
      <c r="E19902" s="0" t="inlineStr">
        <is>
          <t xml:space="preserve">Mazda</t>
        </is>
      </c>
      <c r="F19902" s="0" t="inlineStr">
        <is>
          <t xml:space="preserve">Mazda</t>
        </is>
      </c>
      <c r="G19902" s="0" t="s">
        <v>171</v>
      </c>
      <c r="H19902" s="5">
        <v>109.769500</v>
      </c>
    </row>
    <row r="19903" spans="1:9">
      <c r="A19903" s="22" t="str">
        <f>HYPERLINK("https://app.vivvix.com/360/KMI/IntelliDrive/ApplUI/Pages/CreativePages/CustomReportCreativeDetail.aspx?App=23&amp;ReportView=4&amp;Qid=1711279&amp;Row=19895&amp;Col=1","No Title Assigned - #15278839591")</f>
        <v/>
      </c>
      <c r="B19903" s="0" t="s">
        <v>26408</v>
      </c>
      <c r="E19903" s="0" t="inlineStr">
        <is>
          <t xml:space="preserve">Mazda</t>
        </is>
      </c>
      <c r="F19903" s="0" t="inlineStr">
        <is>
          <t xml:space="preserve">Mazda</t>
        </is>
      </c>
      <c r="G19903" s="0" t="s">
        <v>171</v>
      </c>
      <c r="H19903" s="5">
        <v>20.803800</v>
      </c>
    </row>
    <row r="19904" spans="1:9">
      <c r="A19904" s="22" t="str">
        <f>HYPERLINK("https://app.vivvix.com/360/KMI/IntelliDrive/ApplUI/Pages/CreativePages/CustomReportCreativeDetail.aspx?App=23&amp;ReportView=4&amp;Qid=1711279&amp;Row=19896&amp;Col=1","No Title Assigned - #15278839667")</f>
        <v/>
      </c>
      <c r="B19904" s="0" t="s">
        <v>26409</v>
      </c>
      <c r="E19904" s="0" t="inlineStr">
        <is>
          <t xml:space="preserve">Mazda</t>
        </is>
      </c>
      <c r="F19904" s="0" t="inlineStr">
        <is>
          <t xml:space="preserve">Mazda</t>
        </is>
      </c>
      <c r="G19904" s="0" t="s">
        <v>171</v>
      </c>
      <c r="H19904" s="5">
        <v>10.234400</v>
      </c>
    </row>
    <row r="19905" spans="1:9">
      <c r="A19905" s="22" t="str">
        <f>HYPERLINK("https://app.vivvix.com/360/KMI/IntelliDrive/ApplUI/Pages/CreativePages/CustomReportCreativeDetail.aspx?App=23&amp;ReportView=4&amp;Qid=1711279&amp;Row=19897&amp;Col=1","No Title Assigned - #15278839930")</f>
        <v/>
      </c>
      <c r="B19905" s="0" t="s">
        <v>26410</v>
      </c>
      <c r="E19905" s="0" t="inlineStr">
        <is>
          <t xml:space="preserve">Mazda</t>
        </is>
      </c>
      <c r="F19905" s="0" t="inlineStr">
        <is>
          <t xml:space="preserve">Mazda</t>
        </is>
      </c>
      <c r="G19905" s="0" t="s">
        <v>171</v>
      </c>
      <c r="H19905" s="5">
        <v>1052.705800</v>
      </c>
    </row>
    <row r="19906" spans="1:9">
      <c r="A19906" s="22" t="str">
        <f>HYPERLINK("https://app.vivvix.com/360/KMI/IntelliDrive/ApplUI/Pages/CreativePages/CustomReportCreativeDetail.aspx?App=23&amp;ReportView=4&amp;Qid=1711279&amp;Row=19898&amp;Col=1","No Title Assigned - #15278840071")</f>
        <v/>
      </c>
      <c r="B19906" s="0" t="s">
        <v>26411</v>
      </c>
      <c r="E19906" s="0" t="inlineStr">
        <is>
          <t xml:space="preserve">Mazda</t>
        </is>
      </c>
      <c r="F19906" s="0" t="inlineStr">
        <is>
          <t xml:space="preserve">Mazda</t>
        </is>
      </c>
      <c r="G19906" s="0" t="s">
        <v>171</v>
      </c>
      <c r="H19906" s="5">
        <v>410.539000</v>
      </c>
    </row>
    <row r="19907" spans="1:9">
      <c r="A19907" s="22" t="str">
        <f>HYPERLINK("https://app.vivvix.com/360/KMI/IntelliDrive/ApplUI/Pages/CreativePages/CustomReportCreativeDetail.aspx?App=23&amp;ReportView=4&amp;Qid=1711279&amp;Row=19899&amp;Col=1","No Title Assigned - #15278840146")</f>
        <v/>
      </c>
      <c r="B19907" s="0" t="s">
        <v>26412</v>
      </c>
      <c r="E19907" s="0" t="inlineStr">
        <is>
          <t xml:space="preserve">Mazda</t>
        </is>
      </c>
      <c r="F19907" s="0" t="inlineStr">
        <is>
          <t xml:space="preserve">Mazda</t>
        </is>
      </c>
      <c r="G19907" s="0" t="s">
        <v>171</v>
      </c>
      <c r="H19907" s="5">
        <v>174.323100</v>
      </c>
    </row>
    <row r="19908" spans="1:9">
      <c r="A19908" s="22" t="str">
        <f>HYPERLINK("https://app.vivvix.com/360/KMI/IntelliDrive/ApplUI/Pages/CreativePages/CustomReportCreativeDetail.aspx?App=23&amp;ReportView=4&amp;Qid=1711279&amp;Row=19900&amp;Col=1","No Title Assigned - #15278840353")</f>
        <v/>
      </c>
      <c r="B19908" s="0" t="s">
        <v>26413</v>
      </c>
      <c r="E19908" s="0" t="inlineStr">
        <is>
          <t xml:space="preserve">Mazda</t>
        </is>
      </c>
      <c r="F19908" s="0" t="inlineStr">
        <is>
          <t xml:space="preserve">Mazda</t>
        </is>
      </c>
      <c r="G19908" s="0" t="s">
        <v>171</v>
      </c>
      <c r="H19908" s="5">
        <v>5.448600</v>
      </c>
    </row>
    <row r="19909" spans="1:9">
      <c r="A19909" s="22" t="str">
        <f>HYPERLINK("https://app.vivvix.com/360/KMI/IntelliDrive/ApplUI/Pages/CreativePages/CustomReportCreativeDetail.aspx?App=23&amp;ReportView=4&amp;Qid=1711279&amp;Row=19901&amp;Col=1","No Title Assigned - #15278840386")</f>
        <v/>
      </c>
      <c r="B19909" s="0" t="s">
        <v>26414</v>
      </c>
      <c r="C19909" s="0" t="s">
        <v>26415</v>
      </c>
      <c r="D19909" s="0" t="s">
        <v>26415</v>
      </c>
      <c r="E19909" s="0" t="inlineStr">
        <is>
          <t xml:space="preserve">Mazda</t>
        </is>
      </c>
      <c r="F19909" s="0" t="inlineStr">
        <is>
          <t xml:space="preserve">Mazda</t>
        </is>
      </c>
      <c r="G19909" s="0" t="s">
        <v>171</v>
      </c>
      <c r="H19909" s="5">
        <v>370.716100</v>
      </c>
    </row>
    <row r="19910" spans="1:9">
      <c r="A19910" s="22" t="str">
        <f>HYPERLINK("https://app.vivvix.com/360/KMI/IntelliDrive/ApplUI/Pages/CreativePages/CustomReportCreativeDetail.aspx?App=23&amp;ReportView=4&amp;Qid=1711279&amp;Row=19902&amp;Col=1","No Title Assigned - #15278840392")</f>
        <v/>
      </c>
      <c r="B19910" s="0" t="s">
        <v>26416</v>
      </c>
      <c r="E19910" s="0" t="inlineStr">
        <is>
          <t xml:space="preserve">Mazda</t>
        </is>
      </c>
      <c r="F19910" s="0" t="inlineStr">
        <is>
          <t xml:space="preserve">Mazda</t>
        </is>
      </c>
      <c r="G19910" s="0" t="s">
        <v>171</v>
      </c>
      <c r="H19910" s="5">
        <v>11.063100</v>
      </c>
    </row>
    <row r="19911" spans="1:9">
      <c r="A19911" s="22" t="str">
        <f>HYPERLINK("https://app.vivvix.com/360/KMI/IntelliDrive/ApplUI/Pages/CreativePages/CustomReportCreativeDetail.aspx?App=23&amp;ReportView=4&amp;Qid=1711279&amp;Row=19903&amp;Col=1","No Title Assigned - #15278840444")</f>
        <v/>
      </c>
      <c r="B19911" s="0" t="s">
        <v>26417</v>
      </c>
      <c r="E19911" s="0" t="inlineStr">
        <is>
          <t xml:space="preserve">Mazda</t>
        </is>
      </c>
      <c r="F19911" s="0" t="inlineStr">
        <is>
          <t xml:space="preserve">Mazda</t>
        </is>
      </c>
      <c r="G19911" s="0" t="s">
        <v>171</v>
      </c>
      <c r="H19911" s="5">
        <v>489.374500</v>
      </c>
    </row>
    <row r="19912" spans="1:9">
      <c r="A19912" s="22" t="str">
        <f>HYPERLINK("https://app.vivvix.com/360/KMI/IntelliDrive/ApplUI/Pages/CreativePages/CustomReportCreativeDetail.aspx?App=23&amp;ReportView=4&amp;Qid=1711279&amp;Row=19904&amp;Col=1","No Title Assigned - #15278840502")</f>
        <v/>
      </c>
      <c r="B19912" s="0" t="s">
        <v>26418</v>
      </c>
      <c r="E19912" s="0" t="inlineStr">
        <is>
          <t xml:space="preserve">Mazda</t>
        </is>
      </c>
      <c r="F19912" s="0" t="inlineStr">
        <is>
          <t xml:space="preserve">Mazda</t>
        </is>
      </c>
      <c r="G19912" s="0" t="s">
        <v>171</v>
      </c>
      <c r="H19912" s="5">
        <v>69.136200</v>
      </c>
    </row>
    <row r="19913" spans="1:9">
      <c r="A19913" s="22" t="str">
        <f>HYPERLINK("https://app.vivvix.com/360/KMI/IntelliDrive/ApplUI/Pages/CreativePages/CustomReportCreativeDetail.aspx?App=23&amp;ReportView=4&amp;Qid=1711279&amp;Row=19905&amp;Col=1","No Title Assigned - #15278840776")</f>
        <v/>
      </c>
      <c r="B19913" s="0" t="s">
        <v>26419</v>
      </c>
      <c r="E19913" s="0" t="inlineStr">
        <is>
          <t xml:space="preserve">Mazda</t>
        </is>
      </c>
      <c r="F19913" s="0" t="inlineStr">
        <is>
          <t xml:space="preserve">Mazda</t>
        </is>
      </c>
      <c r="G19913" s="0" t="s">
        <v>171</v>
      </c>
      <c r="H19913" s="5">
        <v>1.216000</v>
      </c>
    </row>
    <row r="19914" spans="1:9">
      <c r="A19914" s="22" t="str">
        <f>HYPERLINK("https://app.vivvix.com/360/KMI/IntelliDrive/ApplUI/Pages/CreativePages/CustomReportCreativeDetail.aspx?App=23&amp;ReportView=4&amp;Qid=1711279&amp;Row=19906&amp;Col=1","No Title Assigned - #15278842199")</f>
        <v/>
      </c>
      <c r="B19914" s="0" t="s">
        <v>26420</v>
      </c>
      <c r="E19914" s="0" t="inlineStr">
        <is>
          <t xml:space="preserve">Mazda</t>
        </is>
      </c>
      <c r="F19914" s="0" t="inlineStr">
        <is>
          <t xml:space="preserve">Mazda</t>
        </is>
      </c>
      <c r="G19914" s="0" t="s">
        <v>171</v>
      </c>
      <c r="H19914" s="5">
        <v>5.543100</v>
      </c>
    </row>
    <row r="19915" spans="1:9">
      <c r="A19915" s="22" t="str">
        <f>HYPERLINK("https://app.vivvix.com/360/KMI/IntelliDrive/ApplUI/Pages/CreativePages/CustomReportCreativeDetail.aspx?App=23&amp;ReportView=4&amp;Qid=1711279&amp;Row=19907&amp;Col=1","No Title Assigned - #15278842757")</f>
        <v/>
      </c>
      <c r="B19915" s="0" t="s">
        <v>26421</v>
      </c>
      <c r="E19915" s="0" t="inlineStr">
        <is>
          <t xml:space="preserve">Mazda</t>
        </is>
      </c>
      <c r="F19915" s="0" t="inlineStr">
        <is>
          <t xml:space="preserve">Mazda</t>
        </is>
      </c>
      <c r="G19915" s="0" t="s">
        <v>171</v>
      </c>
      <c r="H19915" s="5">
        <v>99.315500</v>
      </c>
    </row>
    <row r="19916" spans="1:9">
      <c r="A19916" s="22" t="str">
        <f>HYPERLINK("https://app.vivvix.com/360/KMI/IntelliDrive/ApplUI/Pages/CreativePages/CustomReportCreativeDetail.aspx?App=23&amp;ReportView=4&amp;Qid=1711279&amp;Row=19908&amp;Col=1","No Title Assigned - #15278844327")</f>
        <v/>
      </c>
      <c r="B19916" s="0" t="s">
        <v>26422</v>
      </c>
      <c r="E19916" s="0" t="inlineStr">
        <is>
          <t xml:space="preserve">Mazda</t>
        </is>
      </c>
      <c r="F19916" s="0" t="inlineStr">
        <is>
          <t xml:space="preserve">Mazda</t>
        </is>
      </c>
      <c r="G19916" s="0" t="s">
        <v>171</v>
      </c>
      <c r="H19916" s="5">
        <v>136.133900</v>
      </c>
    </row>
    <row r="19917" spans="1:9">
      <c r="A19917" s="22" t="str">
        <f>HYPERLINK("https://app.vivvix.com/360/KMI/IntelliDrive/ApplUI/Pages/CreativePages/CustomReportCreativeDetail.aspx?App=23&amp;ReportView=4&amp;Qid=1711279&amp;Row=19909&amp;Col=1","No Title Assigned - #15278844495")</f>
        <v/>
      </c>
      <c r="B19917" s="0" t="s">
        <v>26423</v>
      </c>
      <c r="E19917" s="0" t="inlineStr">
        <is>
          <t xml:space="preserve">Mazda</t>
        </is>
      </c>
      <c r="F19917" s="0" t="inlineStr">
        <is>
          <t xml:space="preserve">Mazda</t>
        </is>
      </c>
      <c r="G19917" s="0" t="s">
        <v>171</v>
      </c>
      <c r="H19917" s="5">
        <v>50.691700</v>
      </c>
    </row>
    <row r="19918" spans="1:9">
      <c r="A19918" s="22" t="str">
        <f>HYPERLINK("https://app.vivvix.com/360/KMI/IntelliDrive/ApplUI/Pages/CreativePages/CustomReportCreativeDetail.aspx?App=23&amp;ReportView=4&amp;Qid=1711279&amp;Row=19910&amp;Col=1","No Title Assigned - #15278844498")</f>
        <v/>
      </c>
      <c r="B19918" s="0" t="s">
        <v>26424</v>
      </c>
      <c r="E19918" s="0" t="inlineStr">
        <is>
          <t xml:space="preserve">Mazda</t>
        </is>
      </c>
      <c r="F19918" s="0" t="inlineStr">
        <is>
          <t xml:space="preserve">Mazda</t>
        </is>
      </c>
      <c r="G19918" s="0" t="s">
        <v>171</v>
      </c>
      <c r="H19918" s="5">
        <v>50.691700</v>
      </c>
    </row>
    <row r="19919" spans="1:9">
      <c r="A19919" s="22" t="str">
        <f>HYPERLINK("https://app.vivvix.com/360/KMI/IntelliDrive/ApplUI/Pages/CreativePages/CustomReportCreativeDetail.aspx?App=23&amp;ReportView=4&amp;Qid=1711279&amp;Row=19911&amp;Col=1","No Title Assigned - #15278845555")</f>
        <v/>
      </c>
      <c r="B19919" s="0" t="s">
        <v>26425</v>
      </c>
      <c r="E19919" s="0" t="inlineStr">
        <is>
          <t xml:space="preserve">Mazda</t>
        </is>
      </c>
      <c r="F19919" s="0" t="inlineStr">
        <is>
          <t xml:space="preserve">Mazda</t>
        </is>
      </c>
      <c r="G19919" s="0" t="s">
        <v>171</v>
      </c>
      <c r="H19919" s="5">
        <v>216.507700</v>
      </c>
    </row>
    <row r="19920" spans="1:9">
      <c r="A19920" s="22" t="str">
        <f>HYPERLINK("https://app.vivvix.com/360/KMI/IntelliDrive/ApplUI/Pages/CreativePages/CustomReportCreativeDetail.aspx?App=23&amp;ReportView=4&amp;Qid=1711279&amp;Row=19912&amp;Col=1","No Title Assigned - #15278845586")</f>
        <v/>
      </c>
      <c r="B19920" s="0" t="s">
        <v>26426</v>
      </c>
      <c r="E19920" s="0" t="inlineStr">
        <is>
          <t xml:space="preserve">Mazda</t>
        </is>
      </c>
      <c r="F19920" s="0" t="inlineStr">
        <is>
          <t xml:space="preserve">Mazda</t>
        </is>
      </c>
      <c r="G19920" s="0" t="s">
        <v>171</v>
      </c>
      <c r="H19920" s="5">
        <v>14.444300</v>
      </c>
    </row>
    <row r="19921" spans="1:9">
      <c r="A19921" s="22" t="str">
        <f>HYPERLINK("https://app.vivvix.com/360/KMI/IntelliDrive/ApplUI/Pages/CreativePages/CustomReportCreativeDetail.aspx?App=23&amp;ReportView=4&amp;Qid=1711279&amp;Row=19913&amp;Col=1","No Title Assigned - #15278845726")</f>
        <v/>
      </c>
      <c r="B19921" s="0" t="s">
        <v>26427</v>
      </c>
      <c r="E19921" s="0" t="inlineStr">
        <is>
          <t xml:space="preserve">Mazda</t>
        </is>
      </c>
      <c r="F19921" s="0" t="inlineStr">
        <is>
          <t xml:space="preserve">Mazda</t>
        </is>
      </c>
      <c r="G19921" s="0" t="s">
        <v>171</v>
      </c>
      <c r="H19921" s="5">
        <v>10.234400</v>
      </c>
    </row>
    <row r="19922" spans="1:9">
      <c r="A19922" s="22" t="str">
        <f>HYPERLINK("https://app.vivvix.com/360/KMI/IntelliDrive/ApplUI/Pages/CreativePages/CustomReportCreativeDetail.aspx?App=23&amp;ReportView=4&amp;Qid=1711279&amp;Row=19914&amp;Col=1","No Title Assigned - #15278845735")</f>
        <v/>
      </c>
      <c r="B19922" s="0" t="s">
        <v>26428</v>
      </c>
      <c r="E19922" s="0" t="inlineStr">
        <is>
          <t xml:space="preserve">Mazda</t>
        </is>
      </c>
      <c r="F19922" s="0" t="inlineStr">
        <is>
          <t xml:space="preserve">Mazda</t>
        </is>
      </c>
      <c r="G19922" s="0" t="s">
        <v>171</v>
      </c>
      <c r="H19922" s="5">
        <v>67.221600</v>
      </c>
    </row>
    <row r="19923" spans="1:9">
      <c r="A19923" s="22" t="str">
        <f>HYPERLINK("https://app.vivvix.com/360/KMI/IntelliDrive/ApplUI/Pages/CreativePages/CustomReportCreativeDetail.aspx?App=23&amp;ReportView=4&amp;Qid=1711279&amp;Row=19915&amp;Col=1","No Title Assigned - #15278846253")</f>
        <v/>
      </c>
      <c r="B19923" s="0" t="s">
        <v>26429</v>
      </c>
      <c r="E19923" s="0" t="inlineStr">
        <is>
          <t xml:space="preserve">Mazda</t>
        </is>
      </c>
      <c r="F19923" s="0" t="inlineStr">
        <is>
          <t xml:space="preserve">Mazda</t>
        </is>
      </c>
      <c r="G19923" s="0" t="s">
        <v>171</v>
      </c>
      <c r="H19923" s="5">
        <v>85.041500</v>
      </c>
    </row>
    <row r="19924" spans="1:9">
      <c r="A19924" s="22" t="str">
        <f>HYPERLINK("https://app.vivvix.com/360/KMI/IntelliDrive/ApplUI/Pages/CreativePages/CustomReportCreativeDetail.aspx?App=23&amp;ReportView=4&amp;Qid=1711279&amp;Row=19916&amp;Col=1","No Title Assigned - #15278846486")</f>
        <v/>
      </c>
      <c r="B19924" s="0" t="s">
        <v>26430</v>
      </c>
      <c r="E19924" s="0" t="inlineStr">
        <is>
          <t xml:space="preserve">Mazda</t>
        </is>
      </c>
      <c r="F19924" s="0" t="inlineStr">
        <is>
          <t xml:space="preserve">Mazda</t>
        </is>
      </c>
      <c r="G19924" s="0" t="s">
        <v>171</v>
      </c>
      <c r="H19924" s="5">
        <v>12.535100</v>
      </c>
    </row>
    <row r="19925" spans="1:9">
      <c r="A19925" s="22" t="str">
        <f>HYPERLINK("https://app.vivvix.com/360/KMI/IntelliDrive/ApplUI/Pages/CreativePages/CustomReportCreativeDetail.aspx?App=23&amp;ReportView=4&amp;Qid=1711279&amp;Row=19917&amp;Col=1","No Title Assigned - #15278847294")</f>
        <v/>
      </c>
      <c r="B19925" s="0" t="s">
        <v>26431</v>
      </c>
      <c r="E19925" s="0" t="inlineStr">
        <is>
          <t xml:space="preserve">Mazda</t>
        </is>
      </c>
      <c r="F19925" s="0" t="inlineStr">
        <is>
          <t xml:space="preserve">Mazda</t>
        </is>
      </c>
      <c r="G19925" s="0" t="s">
        <v>171</v>
      </c>
      <c r="H19925" s="5">
        <v>146.953800</v>
      </c>
    </row>
    <row r="19926" spans="1:9">
      <c r="A19926" s="22" t="str">
        <f>HYPERLINK("https://app.vivvix.com/360/KMI/IntelliDrive/ApplUI/Pages/CreativePages/CustomReportCreativeDetail.aspx?App=23&amp;ReportView=4&amp;Qid=1711279&amp;Row=19918&amp;Col=1","No Title Assigned - #15278847479")</f>
        <v/>
      </c>
      <c r="B19926" s="0" t="s">
        <v>26432</v>
      </c>
      <c r="E19926" s="0" t="inlineStr">
        <is>
          <t xml:space="preserve">Mazda</t>
        </is>
      </c>
      <c r="F19926" s="0" t="inlineStr">
        <is>
          <t xml:space="preserve">Mazda</t>
        </is>
      </c>
      <c r="G19926" s="0" t="s">
        <v>171</v>
      </c>
      <c r="H19926" s="5">
        <v>178.138700</v>
      </c>
    </row>
    <row r="19927" spans="1:9">
      <c r="A19927" s="22" t="str">
        <f>HYPERLINK("https://app.vivvix.com/360/KMI/IntelliDrive/ApplUI/Pages/CreativePages/CustomReportCreativeDetail.aspx?App=23&amp;ReportView=4&amp;Qid=1711279&amp;Row=19919&amp;Col=1","No Title Assigned - #15278847739")</f>
        <v/>
      </c>
      <c r="B19927" s="0" t="s">
        <v>26433</v>
      </c>
      <c r="C19927" s="0" t="s">
        <v>26434</v>
      </c>
      <c r="D19927" s="0" t="s">
        <v>26434</v>
      </c>
      <c r="E19927" s="0" t="inlineStr">
        <is>
          <t xml:space="preserve">Mazda</t>
        </is>
      </c>
      <c r="F19927" s="0" t="inlineStr">
        <is>
          <t xml:space="preserve">Mazda</t>
        </is>
      </c>
      <c r="G19927" s="0" t="s">
        <v>171</v>
      </c>
      <c r="H19927" s="5">
        <v>465.015800</v>
      </c>
    </row>
    <row r="19928" spans="1:9">
      <c r="A19928" s="22" t="str">
        <f>HYPERLINK("https://app.vivvix.com/360/KMI/IntelliDrive/ApplUI/Pages/CreativePages/CustomReportCreativeDetail.aspx?App=23&amp;ReportView=4&amp;Qid=1711279&amp;Row=19920&amp;Col=1","No Title Assigned - #15278850155")</f>
        <v/>
      </c>
      <c r="B19928" s="0" t="s">
        <v>26435</v>
      </c>
      <c r="E19928" s="0" t="inlineStr">
        <is>
          <t xml:space="preserve">Mazda</t>
        </is>
      </c>
      <c r="F19928" s="0" t="inlineStr">
        <is>
          <t xml:space="preserve">Mazda</t>
        </is>
      </c>
      <c r="G19928" s="0" t="s">
        <v>171</v>
      </c>
      <c r="H19928" s="5">
        <v>81.361300</v>
      </c>
    </row>
    <row r="19929" spans="1:9">
      <c r="A19929" s="22" t="str">
        <f>HYPERLINK("https://app.vivvix.com/360/KMI/IntelliDrive/ApplUI/Pages/CreativePages/CustomReportCreativeDetail.aspx?App=23&amp;ReportView=4&amp;Qid=1711279&amp;Row=19921&amp;Col=1","No Title Assigned - #15278850617")</f>
        <v/>
      </c>
      <c r="B19929" s="0" t="s">
        <v>26436</v>
      </c>
      <c r="C19929" s="0" t="s">
        <v>26437</v>
      </c>
      <c r="D19929" s="0" t="s">
        <v>4407</v>
      </c>
      <c r="E19929" s="0" t="inlineStr">
        <is>
          <t xml:space="preserve">Mazda</t>
        </is>
      </c>
      <c r="F19929" s="0" t="s">
        <v>28</v>
      </c>
      <c r="G19929" s="0" t="s">
        <v>29</v>
      </c>
      <c r="H19929" s="5">
        <v>59.703300</v>
      </c>
    </row>
    <row r="19930" spans="1:9">
      <c r="A19930" s="22" t="str">
        <f>HYPERLINK("https://app.vivvix.com/360/KMI/IntelliDrive/ApplUI/Pages/CreativePages/CustomReportCreativeDetail.aspx?App=23&amp;ReportView=4&amp;Qid=1711279&amp;Row=19922&amp;Col=1","No Title Assigned - #15278850732")</f>
        <v/>
      </c>
      <c r="B19930" s="0" t="s">
        <v>26438</v>
      </c>
      <c r="E19930" s="0" t="inlineStr">
        <is>
          <t xml:space="preserve">Mazda</t>
        </is>
      </c>
      <c r="F19930" s="0" t="inlineStr">
        <is>
          <t xml:space="preserve">Mazda</t>
        </is>
      </c>
      <c r="G19930" s="0" t="s">
        <v>171</v>
      </c>
      <c r="H19930" s="5">
        <v>1.216000</v>
      </c>
    </row>
    <row r="19931" spans="1:9">
      <c r="A19931" s="22" t="str">
        <f>HYPERLINK("https://app.vivvix.com/360/KMI/IntelliDrive/ApplUI/Pages/CreativePages/CustomReportCreativeDetail.aspx?App=23&amp;ReportView=4&amp;Qid=1711279&amp;Row=19923&amp;Col=1","No Title Assigned - #15278858948")</f>
        <v/>
      </c>
      <c r="B19931" s="0" t="s">
        <v>26439</v>
      </c>
      <c r="C19931" s="0" t="s">
        <v>26440</v>
      </c>
      <c r="D19931" s="0" t="s">
        <v>26440</v>
      </c>
      <c r="E19931" s="0" t="inlineStr">
        <is>
          <t xml:space="preserve">Mazda</t>
        </is>
      </c>
      <c r="F19931" s="0" t="s">
        <v>28</v>
      </c>
      <c r="G19931" s="0" t="s">
        <v>29</v>
      </c>
      <c r="H19931" s="5">
        <v>5.735000</v>
      </c>
    </row>
    <row r="19932" spans="1:9">
      <c r="A19932" s="22" t="str">
        <f>HYPERLINK("https://app.vivvix.com/360/KMI/IntelliDrive/ApplUI/Pages/CreativePages/CustomReportCreativeDetail.aspx?App=23&amp;ReportView=4&amp;Qid=1711279&amp;Row=19924&amp;Col=1","No Title Assigned - #15278860787")</f>
        <v/>
      </c>
      <c r="B19932" s="0" t="s">
        <v>26441</v>
      </c>
      <c r="E19932" s="0" t="inlineStr">
        <is>
          <t xml:space="preserve">Mazda</t>
        </is>
      </c>
      <c r="F19932" s="0" t="inlineStr">
        <is>
          <t xml:space="preserve">Mazda</t>
        </is>
      </c>
      <c r="G19932" s="0" t="s">
        <v>171</v>
      </c>
      <c r="H19932" s="5">
        <v>138.345600</v>
      </c>
    </row>
    <row r="19933" spans="1:9">
      <c r="A19933" s="22" t="str">
        <f>HYPERLINK("https://app.vivvix.com/360/KMI/IntelliDrive/ApplUI/Pages/CreativePages/CustomReportCreativeDetail.aspx?App=23&amp;ReportView=4&amp;Qid=1711279&amp;Row=19925&amp;Col=1","No Title Assigned - #15278865076")</f>
        <v/>
      </c>
      <c r="B19933" s="0" t="s">
        <v>26442</v>
      </c>
      <c r="C19933" s="0" t="s">
        <v>26443</v>
      </c>
      <c r="D19933" s="0" t="s">
        <v>26443</v>
      </c>
      <c r="E19933" s="0" t="inlineStr">
        <is>
          <t xml:space="preserve">Mazda</t>
        </is>
      </c>
      <c r="F19933" s="0" t="s">
        <v>28</v>
      </c>
      <c r="G19933" s="0" t="s">
        <v>29</v>
      </c>
      <c r="H19933" s="5">
        <v>418.343800</v>
      </c>
    </row>
    <row r="19934" spans="1:9">
      <c r="A19934" s="22" t="str">
        <f>HYPERLINK("https://app.vivvix.com/360/KMI/IntelliDrive/ApplUI/Pages/CreativePages/CustomReportCreativeDetail.aspx?App=23&amp;ReportView=4&amp;Qid=1711279&amp;Row=19926&amp;Col=1","No Title Assigned - #15278866122")</f>
        <v/>
      </c>
      <c r="B19934" s="0" t="s">
        <v>26444</v>
      </c>
      <c r="C19934" s="0" t="s">
        <v>26445</v>
      </c>
      <c r="D19934" s="0" t="s">
        <v>5735</v>
      </c>
      <c r="E19934" s="0" t="inlineStr">
        <is>
          <t xml:space="preserve">Mazda</t>
        </is>
      </c>
      <c r="F19934" s="0" t="s">
        <v>28</v>
      </c>
      <c r="G19934" s="0" t="s">
        <v>29</v>
      </c>
      <c r="H19934" s="5">
        <v>89.277400</v>
      </c>
    </row>
    <row r="19935" spans="1:9">
      <c r="A19935" s="22" t="str">
        <f>HYPERLINK("https://app.vivvix.com/360/KMI/IntelliDrive/ApplUI/Pages/CreativePages/CustomReportCreativeDetail.aspx?App=23&amp;ReportView=4&amp;Qid=1711279&amp;Row=19927&amp;Col=1","No Title Assigned - #15278866569")</f>
        <v/>
      </c>
      <c r="B19935" s="0" t="s">
        <v>26446</v>
      </c>
      <c r="C19935" s="0" t="s">
        <v>26447</v>
      </c>
      <c r="D19935" s="0" t="s">
        <v>15823</v>
      </c>
      <c r="E19935" s="0" t="inlineStr">
        <is>
          <t xml:space="preserve">Mazda</t>
        </is>
      </c>
      <c r="F19935" s="0" t="s">
        <v>28</v>
      </c>
      <c r="G19935" s="0" t="s">
        <v>29</v>
      </c>
      <c r="H19935" s="5">
        <v>253.083500</v>
      </c>
    </row>
    <row r="19936" spans="1:9">
      <c r="A19936" s="22" t="str">
        <f>HYPERLINK("https://app.vivvix.com/360/KMI/IntelliDrive/ApplUI/Pages/CreativePages/CustomReportCreativeDetail.aspx?App=23&amp;ReportView=4&amp;Qid=1711279&amp;Row=19928&amp;Col=1","No Title Assigned - #15278866741")</f>
        <v/>
      </c>
      <c r="B19936" s="0" t="s">
        <v>26448</v>
      </c>
      <c r="C19936" s="0" t="s">
        <v>26449</v>
      </c>
      <c r="D19936" s="0" t="s">
        <v>4333</v>
      </c>
      <c r="E19936" s="0" t="inlineStr">
        <is>
          <t xml:space="preserve">Mazda</t>
        </is>
      </c>
      <c r="F19936" s="0" t="s">
        <v>28</v>
      </c>
      <c r="G19936" s="0" t="s">
        <v>29</v>
      </c>
      <c r="H19936" s="5">
        <v>119.586500</v>
      </c>
    </row>
    <row r="19937" spans="1:9">
      <c r="A19937" s="22" t="str">
        <f>HYPERLINK("https://app.vivvix.com/360/KMI/IntelliDrive/ApplUI/Pages/CreativePages/CustomReportCreativeDetail.aspx?App=23&amp;ReportView=4&amp;Qid=1711279&amp;Row=19929&amp;Col=1","No Title Assigned - #15278868867")</f>
        <v/>
      </c>
      <c r="B19937" s="0" t="s">
        <v>26450</v>
      </c>
      <c r="C19937" s="0" t="s">
        <v>26451</v>
      </c>
      <c r="D19937" s="0" t="s">
        <v>26451</v>
      </c>
      <c r="E19937" s="0" t="inlineStr">
        <is>
          <t xml:space="preserve">Mazda</t>
        </is>
      </c>
      <c r="F19937" s="0" t="s">
        <v>28</v>
      </c>
      <c r="G19937" s="0" t="s">
        <v>29</v>
      </c>
      <c r="H19937" s="5">
        <v>537.459700</v>
      </c>
    </row>
    <row r="19938" spans="1:9">
      <c r="A19938" s="22" t="str">
        <f>HYPERLINK("https://app.vivvix.com/360/KMI/IntelliDrive/ApplUI/Pages/CreativePages/CustomReportCreativeDetail.aspx?App=23&amp;ReportView=4&amp;Qid=1711279&amp;Row=19930&amp;Col=1","No Title Assigned - #15278871953")</f>
        <v/>
      </c>
      <c r="B19938" s="0" t="s">
        <v>26452</v>
      </c>
      <c r="C19938" s="0" t="s">
        <v>26453</v>
      </c>
      <c r="D19938" s="0" t="s">
        <v>26453</v>
      </c>
      <c r="E19938" s="0" t="inlineStr">
        <is>
          <t xml:space="preserve">Mazda</t>
        </is>
      </c>
      <c r="F19938" s="0" t="s">
        <v>52</v>
      </c>
      <c r="G19938" s="0" t="s">
        <v>325</v>
      </c>
      <c r="H19938" s="5">
        <v>622.734000</v>
      </c>
    </row>
    <row r="19939" spans="1:9">
      <c r="A19939" s="22" t="str">
        <f>HYPERLINK("https://app.vivvix.com/360/KMI/IntelliDrive/ApplUI/Pages/CreativePages/CustomReportCreativeDetail.aspx?App=23&amp;ReportView=4&amp;Qid=1711279&amp;Row=19931&amp;Col=1","No Title Assigned - #15278872386")</f>
        <v/>
      </c>
      <c r="B19939" s="0" t="s">
        <v>26454</v>
      </c>
      <c r="C19939" s="0" t="s">
        <v>26455</v>
      </c>
      <c r="D19939" s="0" t="s">
        <v>26455</v>
      </c>
      <c r="E19939" s="0" t="inlineStr">
        <is>
          <t xml:space="preserve">Mazda</t>
        </is>
      </c>
      <c r="F19939" s="0" t="s">
        <v>28</v>
      </c>
      <c r="G19939" s="0" t="s">
        <v>29</v>
      </c>
      <c r="H19939" s="5">
        <v>139.341600</v>
      </c>
    </row>
    <row r="19940" spans="1:9">
      <c r="A19940" s="22" t="str">
        <f>HYPERLINK("https://app.vivvix.com/360/KMI/IntelliDrive/ApplUI/Pages/CreativePages/CustomReportCreativeDetail.aspx?App=23&amp;ReportView=4&amp;Qid=1711279&amp;Row=19932&amp;Col=1","No Title Assigned - #15278875051")</f>
        <v/>
      </c>
      <c r="B19940" s="0" t="s">
        <v>26456</v>
      </c>
      <c r="C19940" s="0" t="s">
        <v>26457</v>
      </c>
      <c r="D19940" s="0" t="s">
        <v>26457</v>
      </c>
      <c r="E19940" s="0" t="inlineStr">
        <is>
          <t xml:space="preserve">Mazda</t>
        </is>
      </c>
      <c r="F19940" s="0" t="s">
        <v>28</v>
      </c>
      <c r="G19940" s="0" t="s">
        <v>29</v>
      </c>
      <c r="H19940" s="5">
        <v>1371.414600</v>
      </c>
    </row>
    <row r="19941" spans="1:9">
      <c r="A19941" s="22" t="str">
        <f>HYPERLINK("https://app.vivvix.com/360/KMI/IntelliDrive/ApplUI/Pages/CreativePages/CustomReportCreativeDetail.aspx?App=23&amp;ReportView=4&amp;Qid=1711279&amp;Row=19933&amp;Col=1","No Title Assigned - #15278877355")</f>
        <v/>
      </c>
      <c r="B19941" s="0" t="s">
        <v>26458</v>
      </c>
      <c r="C19941" s="0" t="s">
        <v>26459</v>
      </c>
      <c r="D19941" s="0" t="s">
        <v>4202</v>
      </c>
      <c r="E19941" s="0" t="inlineStr">
        <is>
          <t xml:space="preserve">Mazda</t>
        </is>
      </c>
      <c r="F19941" s="0" t="s">
        <v>28</v>
      </c>
      <c r="G19941" s="0" t="s">
        <v>29</v>
      </c>
      <c r="H19941" s="5">
        <v>419.575100</v>
      </c>
    </row>
    <row r="19942" spans="1:9">
      <c r="A19942" s="22" t="str">
        <f>HYPERLINK("https://app.vivvix.com/360/KMI/IntelliDrive/ApplUI/Pages/CreativePages/CustomReportCreativeDetail.aspx?App=23&amp;ReportView=4&amp;Qid=1711279&amp;Row=19934&amp;Col=1","No Title Assigned - #15278878194")</f>
        <v/>
      </c>
      <c r="B19942" s="0" t="s">
        <v>26460</v>
      </c>
      <c r="C19942" s="0" t="s">
        <v>26461</v>
      </c>
      <c r="D19942" s="0" t="s">
        <v>26461</v>
      </c>
      <c r="E19942" s="0" t="inlineStr">
        <is>
          <t xml:space="preserve">Mazda</t>
        </is>
      </c>
      <c r="F19942" s="0" t="s">
        <v>28</v>
      </c>
      <c r="G19942" s="0" t="s">
        <v>29</v>
      </c>
      <c r="H19942" s="5">
        <v>11.927500</v>
      </c>
    </row>
    <row r="19943" spans="1:9">
      <c r="A19943" s="22" t="str">
        <f>HYPERLINK("https://app.vivvix.com/360/KMI/IntelliDrive/ApplUI/Pages/CreativePages/CustomReportCreativeDetail.aspx?App=23&amp;ReportView=4&amp;Qid=1711279&amp;Row=19935&amp;Col=1","No Title Assigned - #15278882944")</f>
        <v/>
      </c>
      <c r="B19943" s="0" t="s">
        <v>26462</v>
      </c>
      <c r="C19943" s="0" t="s">
        <v>26463</v>
      </c>
      <c r="D19943" s="0" t="s">
        <v>26463</v>
      </c>
      <c r="E19943" s="0" t="inlineStr">
        <is>
          <t xml:space="preserve">Mazda</t>
        </is>
      </c>
      <c r="F19943" s="0" t="s">
        <v>13</v>
      </c>
      <c r="G19943" s="0" t="s">
        <v>49</v>
      </c>
      <c r="H19943" s="5">
        <v>32.167500</v>
      </c>
    </row>
    <row r="19944" spans="1:9">
      <c r="A19944" s="22" t="str">
        <f>HYPERLINK("https://app.vivvix.com/360/KMI/IntelliDrive/ApplUI/Pages/CreativePages/CustomReportCreativeDetail.aspx?App=23&amp;ReportView=4&amp;Qid=1711279&amp;Row=19936&amp;Col=1","No Title Assigned - #15278883441")</f>
        <v/>
      </c>
      <c r="B19944" s="0" t="s">
        <v>26464</v>
      </c>
      <c r="E19944" s="0" t="inlineStr">
        <is>
          <t xml:space="preserve">Mazda</t>
        </is>
      </c>
      <c r="F19944" s="0" t="s">
        <v>204</v>
      </c>
      <c r="G19944" s="0" t="s">
        <v>205</v>
      </c>
      <c r="H19944" s="5">
        <v>747.325600</v>
      </c>
    </row>
    <row r="19945" spans="1:9">
      <c r="A19945" s="22" t="str">
        <f>HYPERLINK("https://app.vivvix.com/360/KMI/IntelliDrive/ApplUI/Pages/CreativePages/CustomReportCreativeDetail.aspx?App=23&amp;ReportView=4&amp;Qid=1711279&amp;Row=19937&amp;Col=1","No Title Assigned - #15278885774")</f>
        <v/>
      </c>
      <c r="B19945" s="0" t="s">
        <v>26465</v>
      </c>
      <c r="C19945" s="0" t="s">
        <v>26466</v>
      </c>
      <c r="D19945" s="0" t="s">
        <v>26466</v>
      </c>
      <c r="E19945" s="0" t="inlineStr">
        <is>
          <t xml:space="preserve">Mazda</t>
        </is>
      </c>
      <c r="F19945" s="0" t="s">
        <v>13</v>
      </c>
      <c r="G19945" s="0" t="s">
        <v>49</v>
      </c>
      <c r="H19945" s="5">
        <v>8.209200</v>
      </c>
    </row>
    <row r="19946" spans="1:9">
      <c r="A19946" s="22" t="str">
        <f>HYPERLINK("https://app.vivvix.com/360/KMI/IntelliDrive/ApplUI/Pages/CreativePages/CustomReportCreativeDetail.aspx?App=23&amp;ReportView=4&amp;Qid=1711279&amp;Row=19938&amp;Col=1","No Title Assigned - #15278885934")</f>
        <v/>
      </c>
      <c r="B19946" s="0" t="s">
        <v>26467</v>
      </c>
      <c r="C19946" s="0" t="s">
        <v>26468</v>
      </c>
      <c r="D19946" s="0" t="s">
        <v>26440</v>
      </c>
      <c r="E19946" s="0" t="inlineStr">
        <is>
          <t xml:space="preserve">Mazda</t>
        </is>
      </c>
      <c r="F19946" s="0" t="s">
        <v>28</v>
      </c>
      <c r="G19946" s="0" t="s">
        <v>29</v>
      </c>
      <c r="H19946" s="5">
        <v>449.445000</v>
      </c>
    </row>
    <row r="19947" spans="1:9">
      <c r="A19947" s="22" t="str">
        <f>HYPERLINK("https://app.vivvix.com/360/KMI/IntelliDrive/ApplUI/Pages/CreativePages/CustomReportCreativeDetail.aspx?App=23&amp;ReportView=4&amp;Qid=1711279&amp;Row=19939&amp;Col=1","No Title Assigned - #15278887501")</f>
        <v/>
      </c>
      <c r="B19947" s="0" t="s">
        <v>26469</v>
      </c>
      <c r="C19947" s="0" t="s">
        <v>26470</v>
      </c>
      <c r="D19947" s="0" t="s">
        <v>26470</v>
      </c>
      <c r="E19947" s="0" t="inlineStr">
        <is>
          <t xml:space="preserve">Mazda</t>
        </is>
      </c>
      <c r="F19947" s="0" t="s">
        <v>13</v>
      </c>
      <c r="G19947" s="0" t="s">
        <v>49</v>
      </c>
      <c r="H19947" s="5">
        <v>16.418400</v>
      </c>
    </row>
    <row r="19948" spans="1:9">
      <c r="A19948" s="22" t="str">
        <f>HYPERLINK("https://app.vivvix.com/360/KMI/IntelliDrive/ApplUI/Pages/CreativePages/CustomReportCreativeDetail.aspx?App=23&amp;ReportView=4&amp;Qid=1711279&amp;Row=19940&amp;Col=1","No Title Assigned - #15278887711")</f>
        <v/>
      </c>
      <c r="B19948" s="0" t="s">
        <v>26471</v>
      </c>
      <c r="C19948" s="0" t="s">
        <v>26472</v>
      </c>
      <c r="D19948" s="0" t="s">
        <v>11639</v>
      </c>
      <c r="E19948" s="0" t="inlineStr">
        <is>
          <t xml:space="preserve">Mazda</t>
        </is>
      </c>
      <c r="F19948" s="0" t="s">
        <v>13</v>
      </c>
      <c r="G19948" s="0" t="s">
        <v>49</v>
      </c>
      <c r="H19948" s="5">
        <v>34.454200</v>
      </c>
    </row>
    <row r="19949" spans="1:9">
      <c r="A19949" s="22" t="str">
        <f>HYPERLINK("https://app.vivvix.com/360/KMI/IntelliDrive/ApplUI/Pages/CreativePages/CustomReportCreativeDetail.aspx?App=23&amp;ReportView=4&amp;Qid=1711279&amp;Row=19941&amp;Col=1","No Title Assigned - #15278889761")</f>
        <v/>
      </c>
      <c r="B19949" s="0" t="s">
        <v>26473</v>
      </c>
      <c r="C19949" s="0" t="s">
        <v>26474</v>
      </c>
      <c r="D19949" s="0" t="s">
        <v>19651</v>
      </c>
      <c r="E19949" s="0" t="inlineStr">
        <is>
          <t xml:space="preserve">Mazda</t>
        </is>
      </c>
      <c r="F19949" s="0" t="s">
        <v>13</v>
      </c>
      <c r="G19949" s="0" t="s">
        <v>49</v>
      </c>
      <c r="H19949" s="5">
        <v>376.642000</v>
      </c>
    </row>
    <row r="19950" spans="1:9">
      <c r="A19950" s="22" t="str">
        <f>HYPERLINK("https://app.vivvix.com/360/KMI/IntelliDrive/ApplUI/Pages/CreativePages/CustomReportCreativeDetail.aspx?App=23&amp;ReportView=4&amp;Qid=1711279&amp;Row=19942&amp;Col=1","No Title Assigned - #15278890639")</f>
        <v/>
      </c>
      <c r="B19950" s="0" t="s">
        <v>26475</v>
      </c>
      <c r="C19950" s="0" t="s">
        <v>26476</v>
      </c>
      <c r="D19950" s="0" t="s">
        <v>22485</v>
      </c>
      <c r="E19950" s="0" t="inlineStr">
        <is>
          <t xml:space="preserve">Mazda</t>
        </is>
      </c>
      <c r="F19950" s="0" t="s">
        <v>13</v>
      </c>
      <c r="G19950" s="0" t="s">
        <v>49</v>
      </c>
      <c r="H19950" s="5">
        <v>8.883600</v>
      </c>
    </row>
    <row r="19951" spans="1:9">
      <c r="A19951" s="22" t="str">
        <f>HYPERLINK("https://app.vivvix.com/360/KMI/IntelliDrive/ApplUI/Pages/CreativePages/CustomReportCreativeDetail.aspx?App=23&amp;ReportView=4&amp;Qid=1711279&amp;Row=19943&amp;Col=1","No Title Assigned - #15278892379")</f>
        <v/>
      </c>
      <c r="B19951" s="0" t="s">
        <v>26477</v>
      </c>
      <c r="C19951" s="0" t="s">
        <v>26478</v>
      </c>
      <c r="D19951" s="0" t="s">
        <v>26478</v>
      </c>
      <c r="E19951" s="0" t="inlineStr">
        <is>
          <t xml:space="preserve">Mazda</t>
        </is>
      </c>
      <c r="F19951" s="0" t="s">
        <v>13</v>
      </c>
      <c r="G19951" s="0" t="s">
        <v>49</v>
      </c>
      <c r="H19951" s="5">
        <v>190.883400</v>
      </c>
    </row>
    <row r="19952" spans="1:9">
      <c r="A19952" s="22" t="str">
        <f>HYPERLINK("https://app.vivvix.com/360/KMI/IntelliDrive/ApplUI/Pages/CreativePages/CustomReportCreativeDetail.aspx?App=23&amp;ReportView=4&amp;Qid=1711279&amp;Row=19944&amp;Col=1","No Title Assigned - #15278895917")</f>
        <v/>
      </c>
      <c r="B19952" s="0" t="s">
        <v>26479</v>
      </c>
      <c r="E19952" s="0" t="inlineStr">
        <is>
          <t xml:space="preserve">Mazda</t>
        </is>
      </c>
      <c r="F19952" s="0" t="inlineStr">
        <is>
          <t xml:space="preserve">Mazda</t>
        </is>
      </c>
      <c r="G19952" s="0" t="s">
        <v>171</v>
      </c>
      <c r="H19952" s="5">
        <v>62.875600</v>
      </c>
    </row>
    <row r="19953" spans="1:9">
      <c r="A19953" s="22" t="str">
        <f>HYPERLINK("https://app.vivvix.com/360/KMI/IntelliDrive/ApplUI/Pages/CreativePages/CustomReportCreativeDetail.aspx?App=23&amp;ReportView=4&amp;Qid=1711279&amp;Row=19945&amp;Col=1","No Title Assigned - #15278899044")</f>
        <v/>
      </c>
      <c r="B19953" s="0" t="s">
        <v>26480</v>
      </c>
      <c r="C19953" s="0" t="s">
        <v>26481</v>
      </c>
      <c r="D19953" s="0" t="s">
        <v>26481</v>
      </c>
      <c r="E19953" s="0" t="inlineStr">
        <is>
          <t xml:space="preserve">Mazda</t>
        </is>
      </c>
      <c r="F19953" s="0" t="s">
        <v>13</v>
      </c>
      <c r="G19953" s="0" t="s">
        <v>49</v>
      </c>
      <c r="H19953" s="5">
        <v>976.650100</v>
      </c>
    </row>
    <row r="19954" spans="1:9">
      <c r="A19954" s="22" t="str">
        <f>HYPERLINK("https://app.vivvix.com/360/KMI/IntelliDrive/ApplUI/Pages/CreativePages/CustomReportCreativeDetail.aspx?App=23&amp;ReportView=4&amp;Qid=1711279&amp;Row=19946&amp;Col=1","No Title Assigned - #15278899044")</f>
        <v/>
      </c>
      <c r="B19954" s="0" t="s">
        <v>26480</v>
      </c>
      <c r="E19954" s="0" t="inlineStr">
        <is>
          <t xml:space="preserve">Mazda</t>
        </is>
      </c>
      <c r="F19954" s="0" t="s">
        <v>13</v>
      </c>
      <c r="G19954" s="0" t="s">
        <v>49</v>
      </c>
      <c r="H19954" s="5">
        <v>418.426300</v>
      </c>
    </row>
    <row r="19955" spans="1:9">
      <c r="A19955" s="22" t="str">
        <f>HYPERLINK("https://app.vivvix.com/360/KMI/IntelliDrive/ApplUI/Pages/CreativePages/CustomReportCreativeDetail.aspx?App=23&amp;ReportView=4&amp;Qid=1711279&amp;Row=19947&amp;Col=1","No Title Assigned - #15278899712")</f>
        <v/>
      </c>
      <c r="B19955" s="0" t="s">
        <v>26482</v>
      </c>
      <c r="C19955" s="0" t="s">
        <v>26483</v>
      </c>
      <c r="D19955" s="0" t="s">
        <v>26483</v>
      </c>
      <c r="E19955" s="0" t="inlineStr">
        <is>
          <t xml:space="preserve">Mazda</t>
        </is>
      </c>
      <c r="F19955" s="0" t="s">
        <v>13</v>
      </c>
      <c r="G19955" s="0" t="s">
        <v>49</v>
      </c>
      <c r="H19955" s="5">
        <v>191.505800</v>
      </c>
    </row>
    <row r="19956" spans="1:9">
      <c r="A19956" s="22" t="str">
        <f>HYPERLINK("https://app.vivvix.com/360/KMI/IntelliDrive/ApplUI/Pages/CreativePages/CustomReportCreativeDetail.aspx?App=23&amp;ReportView=4&amp;Qid=1711279&amp;Row=19948&amp;Col=1","No Title Assigned - #15278903322")</f>
        <v/>
      </c>
      <c r="B19956" s="0" t="s">
        <v>26484</v>
      </c>
      <c r="E19956" s="0" t="inlineStr">
        <is>
          <t xml:space="preserve">Mazda</t>
        </is>
      </c>
      <c r="F19956" s="0" t="inlineStr">
        <is>
          <t xml:space="preserve">Mazda</t>
        </is>
      </c>
      <c r="G19956" s="0" t="s">
        <v>171</v>
      </c>
      <c r="H19956" s="5">
        <v>47.367800</v>
      </c>
    </row>
    <row r="19957" spans="1:9">
      <c r="A19957" s="22" t="str">
        <f>HYPERLINK("https://app.vivvix.com/360/KMI/IntelliDrive/ApplUI/Pages/CreativePages/CustomReportCreativeDetail.aspx?App=23&amp;ReportView=4&amp;Qid=1711279&amp;Row=19949&amp;Col=1","No Title Assigned - #15278906220")</f>
        <v/>
      </c>
      <c r="B19957" s="0" t="s">
        <v>26485</v>
      </c>
      <c r="E19957" s="0" t="inlineStr">
        <is>
          <t xml:space="preserve">Mazda</t>
        </is>
      </c>
      <c r="F19957" s="0" t="inlineStr">
        <is>
          <t xml:space="preserve">Mazda</t>
        </is>
      </c>
      <c r="G19957" s="0" t="s">
        <v>171</v>
      </c>
      <c r="H19957" s="5">
        <v>13.207900</v>
      </c>
    </row>
    <row r="19958" spans="1:9">
      <c r="A19958" s="22" t="str">
        <f>HYPERLINK("https://app.vivvix.com/360/KMI/IntelliDrive/ApplUI/Pages/CreativePages/CustomReportCreativeDetail.aspx?App=23&amp;ReportView=4&amp;Qid=1711279&amp;Row=19950&amp;Col=1","No Title Assigned - #15278910147")</f>
        <v/>
      </c>
      <c r="B19958" s="0" t="s">
        <v>26486</v>
      </c>
      <c r="E19958" s="0" t="inlineStr">
        <is>
          <t xml:space="preserve">Mazda</t>
        </is>
      </c>
      <c r="F19958" s="0" t="inlineStr">
        <is>
          <t xml:space="preserve">Mazda</t>
        </is>
      </c>
      <c r="G19958" s="0" t="s">
        <v>171</v>
      </c>
      <c r="H19958" s="5">
        <v>1092.440400</v>
      </c>
    </row>
    <row r="19959" spans="1:9">
      <c r="A19959" s="22" t="str">
        <f>HYPERLINK("https://app.vivvix.com/360/KMI/IntelliDrive/ApplUI/Pages/CreativePages/CustomReportCreativeDetail.aspx?App=23&amp;ReportView=4&amp;Qid=1711279&amp;Row=19951&amp;Col=1","No Title Assigned - #15278910147")</f>
        <v/>
      </c>
      <c r="B19959" s="0" t="s">
        <v>26486</v>
      </c>
      <c r="E19959" s="0" t="inlineStr">
        <is>
          <t xml:space="preserve">Mazda</t>
        </is>
      </c>
      <c r="F19959" s="0" t="inlineStr">
        <is>
          <t xml:space="preserve">Mazda</t>
        </is>
      </c>
      <c r="G19959" s="0" t="s">
        <v>171</v>
      </c>
      <c r="H19959" s="5">
        <v>61.006800</v>
      </c>
    </row>
    <row r="19960" spans="1:9">
      <c r="A19960" s="22" t="str">
        <f>HYPERLINK("https://app.vivvix.com/360/KMI/IntelliDrive/ApplUI/Pages/CreativePages/CustomReportCreativeDetail.aspx?App=23&amp;ReportView=4&amp;Qid=1711279&amp;Row=19952&amp;Col=1","No Title Assigned - #15278910917")</f>
        <v/>
      </c>
      <c r="B19960" s="0" t="s">
        <v>26487</v>
      </c>
      <c r="C19960" s="0" t="s">
        <v>26488</v>
      </c>
      <c r="D19960" s="0" t="s">
        <v>26488</v>
      </c>
      <c r="E19960" s="0" t="inlineStr">
        <is>
          <t xml:space="preserve">Mazda</t>
        </is>
      </c>
      <c r="F19960" s="0" t="s">
        <v>13</v>
      </c>
      <c r="G19960" s="0" t="s">
        <v>49</v>
      </c>
      <c r="H19960" s="5">
        <v>6.662700</v>
      </c>
    </row>
    <row r="19961" spans="1:9">
      <c r="A19961" s="22" t="str">
        <f>HYPERLINK("https://app.vivvix.com/360/KMI/IntelliDrive/ApplUI/Pages/CreativePages/CustomReportCreativeDetail.aspx?App=23&amp;ReportView=4&amp;Qid=1711279&amp;Row=19953&amp;Col=1","No Title Assigned - #15278912610")</f>
        <v/>
      </c>
      <c r="B19961" s="0" t="s">
        <v>26489</v>
      </c>
      <c r="E19961" s="0" t="inlineStr">
        <is>
          <t xml:space="preserve">Mazda</t>
        </is>
      </c>
      <c r="F19961" s="0" t="inlineStr">
        <is>
          <t xml:space="preserve">Mazda</t>
        </is>
      </c>
      <c r="G19961" s="0" t="s">
        <v>171</v>
      </c>
      <c r="H19961" s="5">
        <v>11.086200</v>
      </c>
    </row>
    <row r="19962" spans="1:9">
      <c r="A19962" s="22" t="str">
        <f>HYPERLINK("https://app.vivvix.com/360/KMI/IntelliDrive/ApplUI/Pages/CreativePages/CustomReportCreativeDetail.aspx?App=23&amp;ReportView=4&amp;Qid=1711279&amp;Row=19954&amp;Col=1","No Title Assigned - #15278944616")</f>
        <v/>
      </c>
      <c r="B19962" s="0" t="s">
        <v>26490</v>
      </c>
      <c r="E19962" s="0" t="inlineStr">
        <is>
          <t xml:space="preserve">Mazda</t>
        </is>
      </c>
      <c r="F19962" s="0" t="s">
        <v>17</v>
      </c>
      <c r="G19962" s="0" t="s">
        <v>26491</v>
      </c>
      <c r="H19962" s="5">
        <v>5134.674000</v>
      </c>
    </row>
    <row r="19963" spans="1:9">
      <c r="A19963" s="22" t="str">
        <f>HYPERLINK("https://app.vivvix.com/360/KMI/IntelliDrive/ApplUI/Pages/CreativePages/CustomReportCreativeDetail.aspx?App=23&amp;ReportView=4&amp;Qid=1711279&amp;Row=19955&amp;Col=1","No Title Assigned - #15278956052")</f>
        <v/>
      </c>
      <c r="B19963" s="0" t="s">
        <v>26492</v>
      </c>
      <c r="C19963" s="0" t="s">
        <v>26493</v>
      </c>
      <c r="D19963" s="0" t="s">
        <v>26493</v>
      </c>
      <c r="E19963" s="0" t="inlineStr">
        <is>
          <t xml:space="preserve">Mazda</t>
        </is>
      </c>
      <c r="F19963" s="0" t="s">
        <v>13</v>
      </c>
      <c r="G19963" s="0" t="s">
        <v>49</v>
      </c>
      <c r="H19963" s="5">
        <v>8272.797500</v>
      </c>
    </row>
    <row r="19964" spans="1:9">
      <c r="A19964" s="22" t="str">
        <f>HYPERLINK("https://app.vivvix.com/360/KMI/IntelliDrive/ApplUI/Pages/CreativePages/CustomReportCreativeDetail.aspx?App=23&amp;ReportView=4&amp;Qid=1711279&amp;Row=19956&amp;Col=1","No Title Assigned - #15278956134")</f>
        <v/>
      </c>
      <c r="B19964" s="0" t="s">
        <v>26494</v>
      </c>
      <c r="C19964" s="0" t="s">
        <v>26495</v>
      </c>
      <c r="D19964" s="0" t="s">
        <v>26495</v>
      </c>
      <c r="E19964" s="0" t="inlineStr">
        <is>
          <t xml:space="preserve">Mazda</t>
        </is>
      </c>
      <c r="F19964" s="0" t="s">
        <v>13</v>
      </c>
      <c r="G19964" s="0" t="s">
        <v>49</v>
      </c>
      <c r="H19964" s="5">
        <v>54277.251400</v>
      </c>
    </row>
    <row r="19965" spans="1:9">
      <c r="A19965" s="22" t="str">
        <f>HYPERLINK("https://app.vivvix.com/360/KMI/IntelliDrive/ApplUI/Pages/CreativePages/CustomReportCreativeDetail.aspx?App=23&amp;ReportView=4&amp;Qid=1711279&amp;Row=19957&amp;Col=1","No Title Assigned - #15278956716")</f>
        <v/>
      </c>
      <c r="B19965" s="0" t="s">
        <v>26496</v>
      </c>
      <c r="C19965" s="0" t="s">
        <v>24838</v>
      </c>
      <c r="D19965" s="0" t="s">
        <v>24838</v>
      </c>
      <c r="E19965" s="0" t="inlineStr">
        <is>
          <t xml:space="preserve">Mazda</t>
        </is>
      </c>
      <c r="F19965" s="0" t="s">
        <v>13</v>
      </c>
      <c r="G19965" s="0" t="s">
        <v>49</v>
      </c>
      <c r="H19965" s="5">
        <v>2752.066000</v>
      </c>
    </row>
    <row r="19966" spans="1:9">
      <c r="A19966" s="22" t="str">
        <f>HYPERLINK("https://app.vivvix.com/360/KMI/IntelliDrive/ApplUI/Pages/CreativePages/CustomReportCreativeDetail.aspx?App=23&amp;ReportView=4&amp;Qid=1711279&amp;Row=19958&amp;Col=1","No Title Assigned - #15278962079")</f>
        <v/>
      </c>
      <c r="B19966" s="0" t="s">
        <v>26497</v>
      </c>
      <c r="E19966" s="0" t="inlineStr">
        <is>
          <t xml:space="preserve">Mazda</t>
        </is>
      </c>
      <c r="F19966" s="0" t="inlineStr">
        <is>
          <t xml:space="preserve">Mazda</t>
        </is>
      </c>
      <c r="G19966" s="0" t="s">
        <v>171</v>
      </c>
      <c r="H19966" s="5">
        <v>2528.458400</v>
      </c>
    </row>
    <row r="19967" spans="1:9">
      <c r="A19967" s="22" t="str">
        <f>HYPERLINK("https://app.vivvix.com/360/KMI/IntelliDrive/ApplUI/Pages/CreativePages/CustomReportCreativeDetail.aspx?App=23&amp;ReportView=4&amp;Qid=1711279&amp;Row=19959&amp;Col=1","No Title Assigned - #15278962616")</f>
        <v/>
      </c>
      <c r="B19967" s="0" t="s">
        <v>26498</v>
      </c>
      <c r="C19967" s="0" t="s">
        <v>26499</v>
      </c>
      <c r="D19967" s="0" t="s">
        <v>26499</v>
      </c>
      <c r="E19967" s="0" t="inlineStr">
        <is>
          <t xml:space="preserve">Mazda</t>
        </is>
      </c>
      <c r="F19967" s="0" t="s">
        <v>13</v>
      </c>
      <c r="G19967" s="0" t="s">
        <v>49</v>
      </c>
      <c r="H19967" s="5">
        <v>2.220900</v>
      </c>
    </row>
    <row r="19968" spans="1:9">
      <c r="A19968" s="22" t="str">
        <f>HYPERLINK("https://app.vivvix.com/360/KMI/IntelliDrive/ApplUI/Pages/CreativePages/CustomReportCreativeDetail.aspx?App=23&amp;ReportView=4&amp;Qid=1711279&amp;Row=19960&amp;Col=1","No Title Assigned - #15278962715")</f>
        <v/>
      </c>
      <c r="B19968" s="0" t="s">
        <v>26500</v>
      </c>
      <c r="C19968" s="0" t="s">
        <v>26501</v>
      </c>
      <c r="D19968" s="0" t="s">
        <v>26501</v>
      </c>
      <c r="E19968" s="0" t="inlineStr">
        <is>
          <t xml:space="preserve">Mazda</t>
        </is>
      </c>
      <c r="F19968" s="0" t="inlineStr">
        <is>
          <t xml:space="preserve">Mazda</t>
        </is>
      </c>
      <c r="G19968" s="0" t="s">
        <v>210</v>
      </c>
      <c r="H19968" s="5">
        <v>52.299300</v>
      </c>
    </row>
    <row r="19969" spans="1:9">
      <c r="A19969" s="22" t="str">
        <f>HYPERLINK("https://app.vivvix.com/360/KMI/IntelliDrive/ApplUI/Pages/CreativePages/CustomReportCreativeDetail.aspx?App=23&amp;ReportView=4&amp;Qid=1711279&amp;Row=19961&amp;Col=1","No Title Assigned - #15278963320")</f>
        <v/>
      </c>
      <c r="B19969" s="0" t="s">
        <v>26502</v>
      </c>
      <c r="E19969" s="0" t="inlineStr">
        <is>
          <t xml:space="preserve">Mazda</t>
        </is>
      </c>
      <c r="F19969" s="0" t="inlineStr">
        <is>
          <t xml:space="preserve">Mazda</t>
        </is>
      </c>
      <c r="G19969" s="0" t="s">
        <v>171</v>
      </c>
      <c r="H19969" s="5">
        <v>537402.250000</v>
      </c>
    </row>
    <row r="19970" spans="1:9">
      <c r="A19970" s="22" t="str">
        <f>HYPERLINK("https://app.vivvix.com/360/KMI/IntelliDrive/ApplUI/Pages/CreativePages/CustomReportCreativeDetail.aspx?App=23&amp;ReportView=4&amp;Qid=1711279&amp;Row=19962&amp;Col=1","No Title Assigned - #15278963320")</f>
        <v/>
      </c>
      <c r="B19970" s="0" t="s">
        <v>26502</v>
      </c>
      <c r="E19970" s="0" t="inlineStr">
        <is>
          <t xml:space="preserve">Mazda</t>
        </is>
      </c>
      <c r="F19970" s="0" t="inlineStr">
        <is>
          <t xml:space="preserve">Mazda</t>
        </is>
      </c>
      <c r="G19970" s="0" t="s">
        <v>171</v>
      </c>
      <c r="H19970" s="5">
        <v>6474.362700</v>
      </c>
    </row>
    <row r="19971" spans="1:9">
      <c r="A19971" s="22" t="str">
        <f>HYPERLINK("https://app.vivvix.com/360/KMI/IntelliDrive/ApplUI/Pages/CreativePages/CustomReportCreativeDetail.aspx?App=23&amp;ReportView=4&amp;Qid=1711279&amp;Row=19963&amp;Col=1","No Title Assigned - #15278966357")</f>
        <v/>
      </c>
      <c r="B19971" s="0" t="s">
        <v>26503</v>
      </c>
      <c r="E19971" s="0" t="inlineStr">
        <is>
          <t xml:space="preserve">Mazda</t>
        </is>
      </c>
      <c r="F19971" s="0" t="inlineStr">
        <is>
          <t xml:space="preserve">Mazda</t>
        </is>
      </c>
      <c r="G19971" s="0" t="s">
        <v>171</v>
      </c>
      <c r="H19971" s="5">
        <v>285.845700</v>
      </c>
    </row>
    <row r="19972" spans="1:9">
      <c r="A19972" s="22" t="str">
        <f>HYPERLINK("https://app.vivvix.com/360/KMI/IntelliDrive/ApplUI/Pages/CreativePages/CustomReportCreativeDetail.aspx?App=23&amp;ReportView=4&amp;Qid=1711279&amp;Row=19964&amp;Col=1","No Title Assigned - #15278966357")</f>
        <v/>
      </c>
      <c r="B19972" s="0" t="s">
        <v>26503</v>
      </c>
      <c r="E19972" s="0" t="inlineStr">
        <is>
          <t xml:space="preserve">Mazda</t>
        </is>
      </c>
      <c r="F19972" s="0" t="inlineStr">
        <is>
          <t xml:space="preserve">Mazda</t>
        </is>
      </c>
      <c r="G19972" s="0" t="s">
        <v>171</v>
      </c>
      <c r="H19972" s="5">
        <v>28.169200</v>
      </c>
    </row>
    <row r="19973" spans="1:9">
      <c r="A19973" s="22" t="str">
        <f>HYPERLINK("https://app.vivvix.com/360/KMI/IntelliDrive/ApplUI/Pages/CreativePages/CustomReportCreativeDetail.aspx?App=23&amp;ReportView=4&amp;Qid=1711279&amp;Row=19965&amp;Col=1","No Title Assigned - #15278966750")</f>
        <v/>
      </c>
      <c r="B19973" s="0" t="s">
        <v>26504</v>
      </c>
      <c r="E19973" s="0" t="inlineStr">
        <is>
          <t xml:space="preserve">Mazda</t>
        </is>
      </c>
      <c r="F19973" s="0" t="inlineStr">
        <is>
          <t xml:space="preserve">Mazda</t>
        </is>
      </c>
      <c r="G19973" s="0" t="s">
        <v>171</v>
      </c>
      <c r="H19973" s="5">
        <v>85.007400</v>
      </c>
    </row>
    <row r="19974" spans="1:9">
      <c r="A19974" s="22" t="str">
        <f>HYPERLINK("https://app.vivvix.com/360/KMI/IntelliDrive/ApplUI/Pages/CreativePages/CustomReportCreativeDetail.aspx?App=23&amp;ReportView=4&amp;Qid=1711279&amp;Row=19966&amp;Col=1","No Title Assigned - #15278966750")</f>
        <v/>
      </c>
      <c r="B19974" s="0" t="s">
        <v>26504</v>
      </c>
      <c r="E19974" s="0" t="inlineStr">
        <is>
          <t xml:space="preserve">Mazda</t>
        </is>
      </c>
      <c r="F19974" s="0" t="inlineStr">
        <is>
          <t xml:space="preserve">Mazda</t>
        </is>
      </c>
      <c r="G19974" s="0" t="s">
        <v>171</v>
      </c>
      <c r="H19974" s="5">
        <v>799.611000</v>
      </c>
    </row>
    <row r="19975" spans="1:9">
      <c r="A19975" s="22" t="str">
        <f>HYPERLINK("https://app.vivvix.com/360/KMI/IntelliDrive/ApplUI/Pages/CreativePages/CustomReportCreativeDetail.aspx?App=23&amp;ReportView=4&amp;Qid=1711279&amp;Row=19967&amp;Col=1","No Title Assigned - #15278966808")</f>
        <v/>
      </c>
      <c r="B19975" s="0" t="s">
        <v>26505</v>
      </c>
      <c r="E19975" s="0" t="inlineStr">
        <is>
          <t xml:space="preserve">Mazda</t>
        </is>
      </c>
      <c r="F19975" s="0" t="inlineStr">
        <is>
          <t xml:space="preserve">Mazda</t>
        </is>
      </c>
      <c r="G19975" s="0" t="s">
        <v>171</v>
      </c>
      <c r="H19975" s="5">
        <v>21.628700</v>
      </c>
    </row>
    <row r="19976" spans="1:9">
      <c r="A19976" s="22" t="str">
        <f>HYPERLINK("https://app.vivvix.com/360/KMI/IntelliDrive/ApplUI/Pages/CreativePages/CustomReportCreativeDetail.aspx?App=23&amp;ReportView=4&amp;Qid=1711279&amp;Row=19968&amp;Col=1","No Title Assigned - #15278966815")</f>
        <v/>
      </c>
      <c r="B19976" s="0" t="s">
        <v>26506</v>
      </c>
      <c r="E19976" s="0" t="inlineStr">
        <is>
          <t xml:space="preserve">Mazda</t>
        </is>
      </c>
      <c r="F19976" s="0" t="inlineStr">
        <is>
          <t xml:space="preserve">Mazda</t>
        </is>
      </c>
      <c r="G19976" s="0" t="s">
        <v>171</v>
      </c>
      <c r="H19976" s="5">
        <v>14.444300</v>
      </c>
    </row>
    <row r="19977" spans="1:9">
      <c r="A19977" s="22" t="str">
        <f>HYPERLINK("https://app.vivvix.com/360/KMI/IntelliDrive/ApplUI/Pages/CreativePages/CustomReportCreativeDetail.aspx?App=23&amp;ReportView=4&amp;Qid=1711279&amp;Row=19969&amp;Col=1","No Title Assigned - #15278967899")</f>
        <v/>
      </c>
      <c r="B19977" s="0" t="s">
        <v>26507</v>
      </c>
      <c r="E19977" s="0" t="inlineStr">
        <is>
          <t xml:space="preserve">Mazda</t>
        </is>
      </c>
      <c r="F19977" s="0" t="inlineStr">
        <is>
          <t xml:space="preserve">Mazda</t>
        </is>
      </c>
      <c r="G19977" s="0" t="s">
        <v>171</v>
      </c>
      <c r="H19977" s="5">
        <v>11.086200</v>
      </c>
    </row>
    <row r="19978" spans="1:9">
      <c r="A19978" s="22" t="str">
        <f>HYPERLINK("https://app.vivvix.com/360/KMI/IntelliDrive/ApplUI/Pages/CreativePages/CustomReportCreativeDetail.aspx?App=23&amp;ReportView=4&amp;Qid=1711279&amp;Row=19970&amp;Col=1","No Title Assigned - #15278969661")</f>
        <v/>
      </c>
      <c r="B19978" s="0" t="s">
        <v>26508</v>
      </c>
      <c r="E19978" s="0" t="inlineStr">
        <is>
          <t xml:space="preserve">Mazda</t>
        </is>
      </c>
      <c r="F19978" s="0" t="inlineStr">
        <is>
          <t xml:space="preserve">Mazda</t>
        </is>
      </c>
      <c r="G19978" s="0" t="s">
        <v>171</v>
      </c>
      <c r="H19978" s="5">
        <v>174.436400</v>
      </c>
    </row>
    <row r="19979" spans="1:9">
      <c r="A19979" s="22" t="str">
        <f>HYPERLINK("https://app.vivvix.com/360/KMI/IntelliDrive/ApplUI/Pages/CreativePages/CustomReportCreativeDetail.aspx?App=23&amp;ReportView=4&amp;Qid=1711279&amp;Row=19971&amp;Col=1","No Title Assigned - #15278970185")</f>
        <v/>
      </c>
      <c r="B19979" s="0" t="s">
        <v>26509</v>
      </c>
      <c r="E19979" s="0" t="inlineStr">
        <is>
          <t xml:space="preserve">Mazda</t>
        </is>
      </c>
      <c r="F19979" s="0" t="inlineStr">
        <is>
          <t xml:space="preserve">Mazda</t>
        </is>
      </c>
      <c r="G19979" s="0" t="s">
        <v>171</v>
      </c>
      <c r="H19979" s="5">
        <v>109.769500</v>
      </c>
    </row>
    <row r="19980" spans="1:9">
      <c r="A19980" s="22" t="str">
        <f>HYPERLINK("https://app.vivvix.com/360/KMI/IntelliDrive/ApplUI/Pages/CreativePages/CustomReportCreativeDetail.aspx?App=23&amp;ReportView=4&amp;Qid=1711279&amp;Row=19972&amp;Col=1","No Title Assigned - #15278972198")</f>
        <v/>
      </c>
      <c r="B19980" s="0" t="s">
        <v>26510</v>
      </c>
      <c r="E19980" s="0" t="inlineStr">
        <is>
          <t xml:space="preserve">Mazda</t>
        </is>
      </c>
      <c r="F19980" s="0" t="inlineStr">
        <is>
          <t xml:space="preserve">Mazda</t>
        </is>
      </c>
      <c r="G19980" s="0" t="s">
        <v>171</v>
      </c>
      <c r="H19980" s="5">
        <v>35.469400</v>
      </c>
    </row>
    <row r="19981" spans="1:9">
      <c r="A19981" s="22" t="str">
        <f>HYPERLINK("https://app.vivvix.com/360/KMI/IntelliDrive/ApplUI/Pages/CreativePages/CustomReportCreativeDetail.aspx?App=23&amp;ReportView=4&amp;Qid=1711279&amp;Row=19973&amp;Col=1","No Title Assigned - #15278977346")</f>
        <v/>
      </c>
      <c r="B19981" s="0" t="s">
        <v>26511</v>
      </c>
      <c r="C19981" s="0" t="s">
        <v>26512</v>
      </c>
      <c r="D19981" s="0" t="s">
        <v>26512</v>
      </c>
      <c r="E19981" s="0" t="inlineStr">
        <is>
          <t xml:space="preserve">Mazda</t>
        </is>
      </c>
      <c r="F19981" s="0" t="inlineStr">
        <is>
          <t xml:space="preserve">Mazda</t>
        </is>
      </c>
      <c r="G19981" s="0" t="s">
        <v>171</v>
      </c>
      <c r="H19981" s="5">
        <v>62.031000</v>
      </c>
    </row>
    <row r="19982" spans="1:9">
      <c r="A19982" s="22" t="str">
        <f>HYPERLINK("https://app.vivvix.com/360/KMI/IntelliDrive/ApplUI/Pages/CreativePages/CustomReportCreativeDetail.aspx?App=23&amp;ReportView=4&amp;Qid=1711279&amp;Row=19974&amp;Col=1","No Title Assigned - #15278985722")</f>
        <v/>
      </c>
      <c r="B19982" s="0" t="s">
        <v>26513</v>
      </c>
      <c r="E19982" s="0" t="inlineStr">
        <is>
          <t xml:space="preserve">Mazda</t>
        </is>
      </c>
      <c r="F19982" s="0" t="inlineStr">
        <is>
          <t xml:space="preserve">Mazda</t>
        </is>
      </c>
      <c r="G19982" s="0" t="s">
        <v>171</v>
      </c>
      <c r="H19982" s="5">
        <v>2927.674400</v>
      </c>
    </row>
    <row r="19983" spans="1:9">
      <c r="A19983" s="22" t="str">
        <f>HYPERLINK("https://app.vivvix.com/360/KMI/IntelliDrive/ApplUI/Pages/CreativePages/CustomReportCreativeDetail.aspx?App=23&amp;ReportView=4&amp;Qid=1711279&amp;Row=19975&amp;Col=1","No Title Assigned - #15278985722")</f>
        <v/>
      </c>
      <c r="B19983" s="0" t="s">
        <v>26513</v>
      </c>
      <c r="E19983" s="0" t="inlineStr">
        <is>
          <t xml:space="preserve">Mazda</t>
        </is>
      </c>
      <c r="F19983" s="0" t="inlineStr">
        <is>
          <t xml:space="preserve">Mazda</t>
        </is>
      </c>
      <c r="G19983" s="0" t="s">
        <v>171</v>
      </c>
      <c r="H19983" s="5">
        <v>67.058100</v>
      </c>
    </row>
    <row r="19984" spans="1:9">
      <c r="A19984" s="22" t="str">
        <f>HYPERLINK("https://app.vivvix.com/360/KMI/IntelliDrive/ApplUI/Pages/CreativePages/CustomReportCreativeDetail.aspx?App=23&amp;ReportView=4&amp;Qid=1711279&amp;Row=19976&amp;Col=1","No Title Assigned - #15278996416")</f>
        <v/>
      </c>
      <c r="B19984" s="0" t="s">
        <v>26514</v>
      </c>
      <c r="C19984" s="0" t="s">
        <v>26515</v>
      </c>
      <c r="D19984" s="0" t="s">
        <v>19918</v>
      </c>
      <c r="E19984" s="0" t="inlineStr">
        <is>
          <t xml:space="preserve">Mazda</t>
        </is>
      </c>
      <c r="F19984" s="0" t="inlineStr">
        <is>
          <t xml:space="preserve">Mazda</t>
        </is>
      </c>
      <c r="G19984" s="0" t="s">
        <v>210</v>
      </c>
      <c r="H19984" s="5">
        <v>570.276400</v>
      </c>
    </row>
    <row r="19985" spans="1:9">
      <c r="A19985" s="22" t="str">
        <f>HYPERLINK("https://app.vivvix.com/360/KMI/IntelliDrive/ApplUI/Pages/CreativePages/CustomReportCreativeDetail.aspx?App=23&amp;ReportView=4&amp;Qid=1711279&amp;Row=19977&amp;Col=1","No Title Assigned - #15279002246")</f>
        <v/>
      </c>
      <c r="B19985" s="0" t="s">
        <v>26516</v>
      </c>
      <c r="C19985" s="0" t="s">
        <v>26517</v>
      </c>
      <c r="D19985" s="0" t="s">
        <v>26517</v>
      </c>
      <c r="E19985" s="0" t="inlineStr">
        <is>
          <t xml:space="preserve">Mazda</t>
        </is>
      </c>
      <c r="F19985" s="0" t="s">
        <v>115</v>
      </c>
      <c r="G19985" s="0" t="s">
        <v>365</v>
      </c>
      <c r="H19985" s="5">
        <v>280.815500</v>
      </c>
    </row>
    <row r="19986" spans="1:9">
      <c r="A19986" s="22" t="str">
        <f>HYPERLINK("https://app.vivvix.com/360/KMI/IntelliDrive/ApplUI/Pages/CreativePages/CustomReportCreativeDetail.aspx?App=23&amp;ReportView=4&amp;Qid=1711279&amp;Row=19978&amp;Col=1","No Title Assigned - #15279004300")</f>
        <v/>
      </c>
      <c r="B19986" s="0" t="s">
        <v>26518</v>
      </c>
      <c r="C19986" s="0" t="s">
        <v>26519</v>
      </c>
      <c r="D19986" s="0" t="s">
        <v>21125</v>
      </c>
      <c r="E19986" s="0" t="inlineStr">
        <is>
          <t xml:space="preserve">Mazda</t>
        </is>
      </c>
      <c r="F19986" s="0" t="s">
        <v>13</v>
      </c>
      <c r="G19986" s="0" t="s">
        <v>49</v>
      </c>
      <c r="H19986" s="5">
        <v>286.388100</v>
      </c>
    </row>
    <row r="19987" spans="1:9">
      <c r="A19987" s="22" t="str">
        <f>HYPERLINK("https://app.vivvix.com/360/KMI/IntelliDrive/ApplUI/Pages/CreativePages/CustomReportCreativeDetail.aspx?App=23&amp;ReportView=4&amp;Qid=1711279&amp;Row=19979&amp;Col=1","No Title Assigned - #15279009196")</f>
        <v/>
      </c>
      <c r="B19987" s="0" t="s">
        <v>26520</v>
      </c>
      <c r="C19987" s="0" t="s">
        <v>26521</v>
      </c>
      <c r="D19987" s="0" t="s">
        <v>26521</v>
      </c>
      <c r="E19987" s="0" t="inlineStr">
        <is>
          <t xml:space="preserve">Mazda</t>
        </is>
      </c>
      <c r="F19987" s="0" t="s">
        <v>13</v>
      </c>
      <c r="G19987" s="0" t="s">
        <v>49</v>
      </c>
      <c r="H19987" s="5">
        <v>22.230800</v>
      </c>
    </row>
    <row r="19988" spans="1:9">
      <c r="A19988" s="22" t="str">
        <f>HYPERLINK("https://app.vivvix.com/360/KMI/IntelliDrive/ApplUI/Pages/CreativePages/CustomReportCreativeDetail.aspx?App=23&amp;ReportView=4&amp;Qid=1711279&amp;Row=19980&amp;Col=1","No Title Assigned - #15279010981")</f>
        <v/>
      </c>
      <c r="B19988" s="0" t="s">
        <v>26522</v>
      </c>
      <c r="C19988" s="0" t="s">
        <v>26523</v>
      </c>
      <c r="D19988" s="0" t="s">
        <v>26523</v>
      </c>
      <c r="E19988" s="0" t="inlineStr">
        <is>
          <t xml:space="preserve">Mazda</t>
        </is>
      </c>
      <c r="F19988" s="0" t="s">
        <v>28</v>
      </c>
      <c r="G19988" s="0" t="s">
        <v>29</v>
      </c>
      <c r="H19988" s="5">
        <v>3236.657700</v>
      </c>
    </row>
    <row r="19989" spans="1:9">
      <c r="A19989" s="22" t="str">
        <f>HYPERLINK("https://app.vivvix.com/360/KMI/IntelliDrive/ApplUI/Pages/CreativePages/CustomReportCreativeDetail.aspx?App=23&amp;ReportView=4&amp;Qid=1711279&amp;Row=19981&amp;Col=1","No Title Assigned - #15279012808")</f>
        <v/>
      </c>
      <c r="B19989" s="0" t="s">
        <v>26524</v>
      </c>
      <c r="C19989" s="0" t="s">
        <v>26525</v>
      </c>
      <c r="D19989" s="0" t="s">
        <v>9047</v>
      </c>
      <c r="E19989" s="0" t="inlineStr">
        <is>
          <t xml:space="preserve">Mazda</t>
        </is>
      </c>
      <c r="F19989" s="0" t="s">
        <v>13</v>
      </c>
      <c r="G19989" s="0" t="s">
        <v>49</v>
      </c>
      <c r="H19989" s="5">
        <v>2.220900</v>
      </c>
    </row>
    <row r="19990" spans="1:9">
      <c r="A19990" s="22" t="str">
        <f>HYPERLINK("https://app.vivvix.com/360/KMI/IntelliDrive/ApplUI/Pages/CreativePages/CustomReportCreativeDetail.aspx?App=23&amp;ReportView=4&amp;Qid=1711279&amp;Row=19982&amp;Col=1","No Title Assigned - #15279018403")</f>
        <v/>
      </c>
      <c r="B19990" s="0" t="s">
        <v>26526</v>
      </c>
      <c r="C19990" s="0" t="s">
        <v>26527</v>
      </c>
      <c r="D19990" s="0" t="s">
        <v>10004</v>
      </c>
      <c r="E19990" s="0" t="inlineStr">
        <is>
          <t xml:space="preserve">Mazda</t>
        </is>
      </c>
      <c r="F19990" s="0" t="s">
        <v>13</v>
      </c>
      <c r="G19990" s="0" t="s">
        <v>49</v>
      </c>
      <c r="H19990" s="5">
        <v>267.826600</v>
      </c>
    </row>
    <row r="19991" spans="1:9">
      <c r="A19991" s="22" t="str">
        <f>HYPERLINK("https://app.vivvix.com/360/KMI/IntelliDrive/ApplUI/Pages/CreativePages/CustomReportCreativeDetail.aspx?App=23&amp;ReportView=4&amp;Qid=1711279&amp;Row=19983&amp;Col=1","No Title Assigned - #15279022388")</f>
        <v/>
      </c>
      <c r="B19991" s="0" t="s">
        <v>26528</v>
      </c>
      <c r="C19991" s="0" t="s">
        <v>26529</v>
      </c>
      <c r="D19991" s="0" t="s">
        <v>26529</v>
      </c>
      <c r="E19991" s="0" t="inlineStr">
        <is>
          <t xml:space="preserve">Mazda</t>
        </is>
      </c>
      <c r="F19991" s="0" t="s">
        <v>13</v>
      </c>
      <c r="G19991" s="0" t="s">
        <v>49</v>
      </c>
      <c r="H19991" s="5">
        <v>6708.947100</v>
      </c>
    </row>
    <row r="19992" spans="1:9">
      <c r="A19992" s="22" t="str">
        <f>HYPERLINK("https://app.vivvix.com/360/KMI/IntelliDrive/ApplUI/Pages/CreativePages/CustomReportCreativeDetail.aspx?App=23&amp;ReportView=4&amp;Qid=1711279&amp;Row=19984&amp;Col=1","No Title Assigned - #15279022388")</f>
        <v/>
      </c>
      <c r="B19992" s="0" t="s">
        <v>26528</v>
      </c>
      <c r="C19992" s="0" t="s">
        <v>26530</v>
      </c>
      <c r="D19992" s="0" t="s">
        <v>26530</v>
      </c>
      <c r="E19992" s="0" t="inlineStr">
        <is>
          <t xml:space="preserve">Mazda</t>
        </is>
      </c>
      <c r="F19992" s="0" t="s">
        <v>13</v>
      </c>
      <c r="G19992" s="0" t="s">
        <v>49</v>
      </c>
      <c r="H19992" s="5">
        <v>6273.120000</v>
      </c>
    </row>
    <row r="19993" spans="1:9">
      <c r="A19993" s="22" t="str">
        <f>HYPERLINK("https://app.vivvix.com/360/KMI/IntelliDrive/ApplUI/Pages/CreativePages/CustomReportCreativeDetail.aspx?App=23&amp;ReportView=4&amp;Qid=1711279&amp;Row=19985&amp;Col=1","No Title Assigned - #15279022749")</f>
        <v/>
      </c>
      <c r="B19993" s="0" t="s">
        <v>26531</v>
      </c>
      <c r="C19993" s="0" t="s">
        <v>26532</v>
      </c>
      <c r="D19993" s="0" t="s">
        <v>26532</v>
      </c>
      <c r="E19993" s="0" t="inlineStr">
        <is>
          <t xml:space="preserve">Mazda</t>
        </is>
      </c>
      <c r="F19993" s="0" t="s">
        <v>13</v>
      </c>
      <c r="G19993" s="0" t="s">
        <v>49</v>
      </c>
      <c r="H19993" s="5">
        <v>784.791700</v>
      </c>
    </row>
    <row r="19994" spans="1:9">
      <c r="A19994" s="22" t="str">
        <f>HYPERLINK("https://app.vivvix.com/360/KMI/IntelliDrive/ApplUI/Pages/CreativePages/CustomReportCreativeDetail.aspx?App=23&amp;ReportView=4&amp;Qid=1711279&amp;Row=19986&amp;Col=1","No Title Assigned - #15279023324")</f>
        <v/>
      </c>
      <c r="B19994" s="0" t="s">
        <v>26533</v>
      </c>
      <c r="C19994" s="0" t="s">
        <v>26534</v>
      </c>
      <c r="D19994" s="0" t="s">
        <v>9881</v>
      </c>
      <c r="E19994" s="0" t="inlineStr">
        <is>
          <t xml:space="preserve">Mazda</t>
        </is>
      </c>
      <c r="F19994" s="0" t="s">
        <v>13</v>
      </c>
      <c r="G19994" s="0" t="s">
        <v>49</v>
      </c>
      <c r="H19994" s="5">
        <v>2.220900</v>
      </c>
    </row>
    <row r="19995" spans="1:9">
      <c r="A19995" s="22" t="str">
        <f>HYPERLINK("https://app.vivvix.com/360/KMI/IntelliDrive/ApplUI/Pages/CreativePages/CustomReportCreativeDetail.aspx?App=23&amp;ReportView=4&amp;Qid=1711279&amp;Row=19987&amp;Col=1","No Title Assigned - #15279023520")</f>
        <v/>
      </c>
      <c r="B19995" s="0" t="s">
        <v>26535</v>
      </c>
      <c r="C19995" s="0" t="s">
        <v>26536</v>
      </c>
      <c r="D19995" s="0" t="s">
        <v>4225</v>
      </c>
      <c r="E19995" s="0" t="inlineStr">
        <is>
          <t xml:space="preserve">Mazda</t>
        </is>
      </c>
      <c r="F19995" s="0" t="s">
        <v>28</v>
      </c>
      <c r="G19995" s="0" t="s">
        <v>29</v>
      </c>
      <c r="H19995" s="5">
        <v>63.953200</v>
      </c>
    </row>
    <row r="19996" spans="1:9">
      <c r="A19996" s="22" t="str">
        <f>HYPERLINK("https://app.vivvix.com/360/KMI/IntelliDrive/ApplUI/Pages/CreativePages/CustomReportCreativeDetail.aspx?App=23&amp;ReportView=4&amp;Qid=1711279&amp;Row=19988&amp;Col=1","No Title Assigned - #15279025394")</f>
        <v/>
      </c>
      <c r="B19996" s="0" t="s">
        <v>26537</v>
      </c>
      <c r="E19996" s="0" t="inlineStr">
        <is>
          <t xml:space="preserve">Mazda</t>
        </is>
      </c>
      <c r="F19996" s="0" t="inlineStr">
        <is>
          <t xml:space="preserve">Mazda</t>
        </is>
      </c>
      <c r="G19996" s="0" t="s">
        <v>171</v>
      </c>
      <c r="H19996" s="5">
        <v>349.002800</v>
      </c>
    </row>
    <row r="19997" spans="1:9">
      <c r="A19997" s="22" t="str">
        <f>HYPERLINK("https://app.vivvix.com/360/KMI/IntelliDrive/ApplUI/Pages/CreativePages/CustomReportCreativeDetail.aspx?App=23&amp;ReportView=4&amp;Qid=1711279&amp;Row=19989&amp;Col=1","No Title Assigned - #15279025394")</f>
        <v/>
      </c>
      <c r="B19997" s="0" t="s">
        <v>26537</v>
      </c>
      <c r="E19997" s="0" t="inlineStr">
        <is>
          <t xml:space="preserve">Mazda</t>
        </is>
      </c>
      <c r="F19997" s="0" t="inlineStr">
        <is>
          <t xml:space="preserve">Mazda</t>
        </is>
      </c>
      <c r="G19997" s="0" t="s">
        <v>171</v>
      </c>
      <c r="H19997" s="5">
        <v>1066.812000</v>
      </c>
    </row>
    <row r="19998" spans="1:9">
      <c r="A19998" s="22" t="str">
        <f>HYPERLINK("https://app.vivvix.com/360/KMI/IntelliDrive/ApplUI/Pages/CreativePages/CustomReportCreativeDetail.aspx?App=23&amp;ReportView=4&amp;Qid=1711279&amp;Row=19990&amp;Col=1","No Title Assigned - #15279025395")</f>
        <v/>
      </c>
      <c r="B19998" s="0" t="s">
        <v>26538</v>
      </c>
      <c r="E19998" s="0" t="inlineStr">
        <is>
          <t xml:space="preserve">Mazda</t>
        </is>
      </c>
      <c r="F19998" s="0" t="inlineStr">
        <is>
          <t xml:space="preserve">Mazda</t>
        </is>
      </c>
      <c r="G19998" s="0" t="s">
        <v>171</v>
      </c>
      <c r="H19998" s="5">
        <v>142.248800</v>
      </c>
    </row>
    <row r="19999" spans="1:9">
      <c r="A19999" s="22" t="str">
        <f>HYPERLINK("https://app.vivvix.com/360/KMI/IntelliDrive/ApplUI/Pages/CreativePages/CustomReportCreativeDetail.aspx?App=23&amp;ReportView=4&amp;Qid=1711279&amp;Row=19991&amp;Col=1","No Title Assigned - #15279025396")</f>
        <v/>
      </c>
      <c r="B19999" s="0" t="s">
        <v>26539</v>
      </c>
      <c r="E19999" s="0" t="inlineStr">
        <is>
          <t xml:space="preserve">Mazda</t>
        </is>
      </c>
      <c r="F19999" s="0" t="inlineStr">
        <is>
          <t xml:space="preserve">Mazda</t>
        </is>
      </c>
      <c r="G19999" s="0" t="s">
        <v>171</v>
      </c>
      <c r="H19999" s="5">
        <v>89.089400</v>
      </c>
    </row>
    <row r="20000" spans="1:9">
      <c r="A20000" s="22" t="str">
        <f>HYPERLINK("https://app.vivvix.com/360/KMI/IntelliDrive/ApplUI/Pages/CreativePages/CustomReportCreativeDetail.aspx?App=23&amp;ReportView=4&amp;Qid=1711279&amp;Row=19992&amp;Col=1","No Title Assigned - #15279027362")</f>
        <v/>
      </c>
      <c r="B20000" s="0" t="s">
        <v>26540</v>
      </c>
      <c r="E20000" s="0" t="inlineStr">
        <is>
          <t xml:space="preserve">Mazda</t>
        </is>
      </c>
      <c r="F20000" s="0" t="inlineStr">
        <is>
          <t xml:space="preserve">Mazda</t>
        </is>
      </c>
      <c r="G20000" s="0" t="s">
        <v>171</v>
      </c>
      <c r="H20000" s="5">
        <v>562.812500</v>
      </c>
    </row>
    <row r="20001" spans="1:9">
      <c r="A20001" s="22" t="str">
        <f>HYPERLINK("https://app.vivvix.com/360/KMI/IntelliDrive/ApplUI/Pages/CreativePages/CustomReportCreativeDetail.aspx?App=23&amp;ReportView=4&amp;Qid=1711279&amp;Row=19993&amp;Col=1","No Title Assigned - #15279027375")</f>
        <v/>
      </c>
      <c r="B20001" s="0" t="s">
        <v>26541</v>
      </c>
      <c r="E20001" s="0" t="inlineStr">
        <is>
          <t xml:space="preserve">Mazda</t>
        </is>
      </c>
      <c r="F20001" s="0" t="inlineStr">
        <is>
          <t xml:space="preserve">Mazda</t>
        </is>
      </c>
      <c r="G20001" s="0" t="s">
        <v>171</v>
      </c>
      <c r="H20001" s="5">
        <v>2.432000</v>
      </c>
    </row>
    <row r="20002" spans="1:9">
      <c r="A20002" s="22" t="str">
        <f>HYPERLINK("https://app.vivvix.com/360/KMI/IntelliDrive/ApplUI/Pages/CreativePages/CustomReportCreativeDetail.aspx?App=23&amp;ReportView=4&amp;Qid=1711279&amp;Row=19994&amp;Col=1","No Title Assigned - #15279028024")</f>
        <v/>
      </c>
      <c r="B20002" s="0" t="s">
        <v>26542</v>
      </c>
      <c r="E20002" s="0" t="inlineStr">
        <is>
          <t xml:space="preserve">Mazda</t>
        </is>
      </c>
      <c r="F20002" s="0" t="inlineStr">
        <is>
          <t xml:space="preserve">Mazda</t>
        </is>
      </c>
      <c r="G20002" s="0" t="s">
        <v>171</v>
      </c>
      <c r="H20002" s="5">
        <v>77.142800</v>
      </c>
    </row>
    <row r="20003" spans="1:9">
      <c r="A20003" s="22" t="str">
        <f>HYPERLINK("https://app.vivvix.com/360/KMI/IntelliDrive/ApplUI/Pages/CreativePages/CustomReportCreativeDetail.aspx?App=23&amp;ReportView=4&amp;Qid=1711279&amp;Row=19995&amp;Col=1","No Title Assigned - #15279028393")</f>
        <v/>
      </c>
      <c r="B20003" s="0" t="s">
        <v>26543</v>
      </c>
      <c r="E20003" s="0" t="inlineStr">
        <is>
          <t xml:space="preserve">Mazda</t>
        </is>
      </c>
      <c r="F20003" s="0" t="inlineStr">
        <is>
          <t xml:space="preserve">Mazda</t>
        </is>
      </c>
      <c r="G20003" s="0" t="s">
        <v>171</v>
      </c>
      <c r="H20003" s="5">
        <v>1.216000</v>
      </c>
    </row>
    <row r="20004" spans="1:9">
      <c r="A20004" s="22" t="str">
        <f>HYPERLINK("https://app.vivvix.com/360/KMI/IntelliDrive/ApplUI/Pages/CreativePages/CustomReportCreativeDetail.aspx?App=23&amp;ReportView=4&amp;Qid=1711279&amp;Row=19996&amp;Col=1","No Title Assigned - #15279028393")</f>
        <v/>
      </c>
      <c r="B20004" s="0" t="s">
        <v>26543</v>
      </c>
      <c r="E20004" s="0" t="inlineStr">
        <is>
          <t xml:space="preserve">Mazda</t>
        </is>
      </c>
      <c r="F20004" s="0" t="inlineStr">
        <is>
          <t xml:space="preserve">Mazda</t>
        </is>
      </c>
      <c r="G20004" s="0" t="s">
        <v>171</v>
      </c>
      <c r="H20004" s="5">
        <v>150.519000</v>
      </c>
    </row>
    <row r="20005" spans="1:9">
      <c r="A20005" s="22" t="str">
        <f>HYPERLINK("https://app.vivvix.com/360/KMI/IntelliDrive/ApplUI/Pages/CreativePages/CustomReportCreativeDetail.aspx?App=23&amp;ReportView=4&amp;Qid=1711279&amp;Row=19997&amp;Col=1","No Title Assigned - #15279028777")</f>
        <v/>
      </c>
      <c r="B20005" s="0" t="s">
        <v>26544</v>
      </c>
      <c r="E20005" s="0" t="inlineStr">
        <is>
          <t xml:space="preserve">Mazda</t>
        </is>
      </c>
      <c r="F20005" s="0" t="inlineStr">
        <is>
          <t xml:space="preserve">Mazda</t>
        </is>
      </c>
      <c r="G20005" s="0" t="s">
        <v>171</v>
      </c>
      <c r="H20005" s="5">
        <v>1.216000</v>
      </c>
    </row>
    <row r="20006" spans="1:9">
      <c r="A20006" s="22" t="str">
        <f>HYPERLINK("https://app.vivvix.com/360/KMI/IntelliDrive/ApplUI/Pages/CreativePages/CustomReportCreativeDetail.aspx?App=23&amp;ReportView=4&amp;Qid=1711279&amp;Row=19998&amp;Col=1","No Title Assigned - #15279031137")</f>
        <v/>
      </c>
      <c r="B20006" s="0" t="s">
        <v>26545</v>
      </c>
      <c r="E20006" s="0" t="inlineStr">
        <is>
          <t xml:space="preserve">Mazda</t>
        </is>
      </c>
      <c r="F20006" s="0" t="inlineStr">
        <is>
          <t xml:space="preserve">Mazda</t>
        </is>
      </c>
      <c r="G20006" s="0" t="s">
        <v>171</v>
      </c>
      <c r="H20006" s="5">
        <v>5.543100</v>
      </c>
    </row>
    <row r="20007" spans="1:9">
      <c r="A20007" s="22" t="str">
        <f>HYPERLINK("https://app.vivvix.com/360/KMI/IntelliDrive/ApplUI/Pages/CreativePages/CustomReportCreativeDetail.aspx?App=23&amp;ReportView=4&amp;Qid=1711279&amp;Row=19999&amp;Col=1","No Title Assigned - #15279038897")</f>
        <v/>
      </c>
      <c r="B20007" s="0" t="s">
        <v>26546</v>
      </c>
      <c r="E20007" s="0" t="inlineStr">
        <is>
          <t xml:space="preserve">Mazda</t>
        </is>
      </c>
      <c r="F20007" s="0" t="inlineStr">
        <is>
          <t xml:space="preserve">Mazda</t>
        </is>
      </c>
      <c r="G20007" s="0" t="s">
        <v>171</v>
      </c>
      <c r="H20007" s="5">
        <v>2.432000</v>
      </c>
    </row>
    <row r="20008" spans="1:9">
      <c r="A20008" s="22" t="str">
        <f>HYPERLINK("https://app.vivvix.com/360/KMI/IntelliDrive/ApplUI/Pages/CreativePages/CustomReportCreativeDetail.aspx?App=23&amp;ReportView=4&amp;Qid=1711279&amp;Row=20000&amp;Col=1","No Title Assigned - #15279053694")</f>
        <v/>
      </c>
      <c r="B20008" s="0" t="s">
        <v>26547</v>
      </c>
      <c r="C20008" s="0" t="s">
        <v>26548</v>
      </c>
      <c r="D20008" s="0" t="s">
        <v>26548</v>
      </c>
      <c r="E20008" s="0" t="inlineStr">
        <is>
          <t xml:space="preserve">Mazda</t>
        </is>
      </c>
      <c r="F20008" s="0" t="s">
        <v>13</v>
      </c>
      <c r="G20008" s="0" t="s">
        <v>49</v>
      </c>
      <c r="H20008" s="5">
        <v>2.220900</v>
      </c>
    </row>
    <row r="20009" spans="1:9">
      <c r="A20009" s="22" t="str">
        <f>HYPERLINK("https://app.vivvix.com/360/KMI/IntelliDrive/ApplUI/Pages/CreativePages/CustomReportCreativeDetail.aspx?App=23&amp;ReportView=4&amp;Qid=1711279&amp;Row=20001&amp;Col=1","No Title Assigned - #15279056803")</f>
        <v/>
      </c>
      <c r="B20009" s="0" t="s">
        <v>26549</v>
      </c>
      <c r="C20009" s="0" t="s">
        <v>26550</v>
      </c>
      <c r="D20009" s="0" t="s">
        <v>9364</v>
      </c>
      <c r="E20009" s="0" t="inlineStr">
        <is>
          <t xml:space="preserve">Mazda</t>
        </is>
      </c>
      <c r="F20009" s="0" t="s">
        <v>13</v>
      </c>
      <c r="G20009" s="0" t="s">
        <v>49</v>
      </c>
      <c r="H20009" s="5">
        <v>3947.881900</v>
      </c>
    </row>
    <row r="20010" spans="1:9">
      <c r="A20010" s="22" t="str">
        <f>HYPERLINK("https://app.vivvix.com/360/KMI/IntelliDrive/ApplUI/Pages/CreativePages/CustomReportCreativeDetail.aspx?App=23&amp;ReportView=4&amp;Qid=1711279&amp;Row=20002&amp;Col=1","No Title Assigned - #15279061065")</f>
        <v/>
      </c>
      <c r="B20010" s="0" t="s">
        <v>26551</v>
      </c>
      <c r="C20010" s="0" t="s">
        <v>26552</v>
      </c>
      <c r="D20010" s="0" t="s">
        <v>14103</v>
      </c>
      <c r="E20010" s="0" t="inlineStr">
        <is>
          <t xml:space="preserve">Mazda</t>
        </is>
      </c>
      <c r="F20010" s="0" t="s">
        <v>369</v>
      </c>
      <c r="G20010" s="0" t="s">
        <v>370</v>
      </c>
      <c r="H20010" s="5">
        <v>831.934100</v>
      </c>
    </row>
    <row r="20011" spans="1:9">
      <c r="A20011" s="22" t="str">
        <f>HYPERLINK("https://app.vivvix.com/360/KMI/IntelliDrive/ApplUI/Pages/CreativePages/CustomReportCreativeDetail.aspx?App=23&amp;ReportView=4&amp;Qid=1711279&amp;Row=20003&amp;Col=1","No Title Assigned - #15279061881")</f>
        <v/>
      </c>
      <c r="B20011" s="0" t="s">
        <v>26553</v>
      </c>
      <c r="C20011" s="0" t="s">
        <v>26554</v>
      </c>
      <c r="D20011" s="0" t="s">
        <v>26554</v>
      </c>
      <c r="E20011" s="0" t="inlineStr">
        <is>
          <t xml:space="preserve">Mazda</t>
        </is>
      </c>
      <c r="F20011" s="0" t="s">
        <v>21</v>
      </c>
      <c r="G20011" s="0" t="s">
        <v>22</v>
      </c>
      <c r="H20011" s="5">
        <v>470.607500</v>
      </c>
    </row>
    <row r="20012" spans="1:9">
      <c r="A20012" s="22" t="str">
        <f>HYPERLINK("https://app.vivvix.com/360/KMI/IntelliDrive/ApplUI/Pages/CreativePages/CustomReportCreativeDetail.aspx?App=23&amp;ReportView=4&amp;Qid=1711279&amp;Row=20004&amp;Col=1","No Title Assigned - #15279062613")</f>
        <v/>
      </c>
      <c r="B20012" s="0" t="s">
        <v>26555</v>
      </c>
      <c r="C20012" s="0" t="s">
        <v>26556</v>
      </c>
      <c r="D20012" s="0" t="s">
        <v>26556</v>
      </c>
      <c r="E20012" s="0" t="inlineStr">
        <is>
          <t xml:space="preserve">Mazda</t>
        </is>
      </c>
      <c r="F20012" s="0" t="s">
        <v>115</v>
      </c>
      <c r="G20012" s="0" t="s">
        <v>365</v>
      </c>
      <c r="H20012" s="5">
        <v>898.010900</v>
      </c>
    </row>
    <row r="20013" spans="1:9">
      <c r="A20013" s="22" t="str">
        <f>HYPERLINK("https://app.vivvix.com/360/KMI/IntelliDrive/ApplUI/Pages/CreativePages/CustomReportCreativeDetail.aspx?App=23&amp;ReportView=4&amp;Qid=1711279&amp;Row=20005&amp;Col=1","No Title Assigned - #15279063694")</f>
        <v/>
      </c>
      <c r="B20013" s="0" t="s">
        <v>26557</v>
      </c>
      <c r="C20013" s="0" t="s">
        <v>26558</v>
      </c>
      <c r="D20013" s="0" t="s">
        <v>26558</v>
      </c>
      <c r="E20013" s="0" t="inlineStr">
        <is>
          <t xml:space="preserve">Mazda</t>
        </is>
      </c>
      <c r="F20013" s="0" t="inlineStr">
        <is>
          <t xml:space="preserve">Mazda</t>
        </is>
      </c>
      <c r="G20013" s="0" t="s">
        <v>210</v>
      </c>
      <c r="H20013" s="5">
        <v>438.274400</v>
      </c>
    </row>
    <row r="20014" spans="1:9">
      <c r="A20014" s="22" t="str">
        <f>HYPERLINK("https://app.vivvix.com/360/KMI/IntelliDrive/ApplUI/Pages/CreativePages/CustomReportCreativeDetail.aspx?App=23&amp;ReportView=4&amp;Qid=1711279&amp;Row=20006&amp;Col=1","No Title Assigned - #15279074393")</f>
        <v/>
      </c>
      <c r="B20014" s="0" t="s">
        <v>26559</v>
      </c>
      <c r="C20014" s="0" t="s">
        <v>26560</v>
      </c>
      <c r="D20014" s="0" t="s">
        <v>4774</v>
      </c>
      <c r="E20014" s="0" t="inlineStr">
        <is>
          <t xml:space="preserve">Mazda</t>
        </is>
      </c>
      <c r="F20014" s="0" t="s">
        <v>13</v>
      </c>
      <c r="G20014" s="0" t="s">
        <v>49</v>
      </c>
      <c r="H20014" s="5">
        <v>62.687500</v>
      </c>
    </row>
    <row r="20015" spans="1:9">
      <c r="A20015" s="22" t="str">
        <f>HYPERLINK("https://app.vivvix.com/360/KMI/IntelliDrive/ApplUI/Pages/CreativePages/CustomReportCreativeDetail.aspx?App=23&amp;ReportView=4&amp;Qid=1711279&amp;Row=20007&amp;Col=1","No Title Assigned - #15279077642")</f>
        <v/>
      </c>
      <c r="B20015" s="0" t="s">
        <v>26561</v>
      </c>
      <c r="C20015" s="0" t="s">
        <v>26562</v>
      </c>
      <c r="D20015" s="0" t="s">
        <v>26562</v>
      </c>
      <c r="E20015" s="0" t="inlineStr">
        <is>
          <t xml:space="preserve">Mazda</t>
        </is>
      </c>
      <c r="F20015" s="0" t="s">
        <v>13</v>
      </c>
      <c r="G20015" s="0" t="s">
        <v>49</v>
      </c>
      <c r="H20015" s="5">
        <v>20.050200</v>
      </c>
    </row>
    <row r="20016" spans="1:9">
      <c r="A20016" s="22" t="str">
        <f>HYPERLINK("https://app.vivvix.com/360/KMI/IntelliDrive/ApplUI/Pages/CreativePages/CustomReportCreativeDetail.aspx?App=23&amp;ReportView=4&amp;Qid=1711279&amp;Row=20008&amp;Col=1","No Title Assigned - #15279079964")</f>
        <v/>
      </c>
      <c r="B20016" s="0" t="s">
        <v>26563</v>
      </c>
      <c r="C20016" s="0" t="s">
        <v>26564</v>
      </c>
      <c r="D20016" s="0" t="s">
        <v>11469</v>
      </c>
      <c r="E20016" s="0" t="inlineStr">
        <is>
          <t xml:space="preserve">Mazda</t>
        </is>
      </c>
      <c r="F20016" s="0" t="s">
        <v>13</v>
      </c>
      <c r="G20016" s="0" t="s">
        <v>49</v>
      </c>
      <c r="H20016" s="5">
        <v>32.167500</v>
      </c>
    </row>
    <row r="20017" spans="1:9">
      <c r="A20017" s="22" t="str">
        <f>HYPERLINK("https://app.vivvix.com/360/KMI/IntelliDrive/ApplUI/Pages/CreativePages/CustomReportCreativeDetail.aspx?App=23&amp;ReportView=4&amp;Qid=1711279&amp;Row=20009&amp;Col=1","No Title Assigned - #15279082818")</f>
        <v/>
      </c>
      <c r="B20017" s="0" t="s">
        <v>26565</v>
      </c>
      <c r="E20017" s="0" t="inlineStr">
        <is>
          <t xml:space="preserve">Mazda</t>
        </is>
      </c>
      <c r="F20017" s="0" t="inlineStr">
        <is>
          <t xml:space="preserve">Mazda</t>
        </is>
      </c>
      <c r="G20017" s="0" t="s">
        <v>171</v>
      </c>
      <c r="H20017" s="5">
        <v>388.176100</v>
      </c>
    </row>
    <row r="20018" spans="1:9">
      <c r="A20018" s="22" t="str">
        <f>HYPERLINK("https://app.vivvix.com/360/KMI/IntelliDrive/ApplUI/Pages/CreativePages/CustomReportCreativeDetail.aspx?App=23&amp;ReportView=4&amp;Qid=1711279&amp;Row=20010&amp;Col=1","No Title Assigned - #15279084441")</f>
        <v/>
      </c>
      <c r="B20018" s="0" t="s">
        <v>26566</v>
      </c>
      <c r="E20018" s="0" t="inlineStr">
        <is>
          <t xml:space="preserve">Mazda</t>
        </is>
      </c>
      <c r="F20018" s="0" t="inlineStr">
        <is>
          <t xml:space="preserve">Mazda</t>
        </is>
      </c>
      <c r="G20018" s="0" t="s">
        <v>171</v>
      </c>
      <c r="H20018" s="5">
        <v>490.024300</v>
      </c>
    </row>
    <row r="20019" spans="1:9">
      <c r="A20019" s="22" t="str">
        <f>HYPERLINK("https://app.vivvix.com/360/KMI/IntelliDrive/ApplUI/Pages/CreativePages/CustomReportCreativeDetail.aspx?App=23&amp;ReportView=4&amp;Qid=1711279&amp;Row=20011&amp;Col=1","No Title Assigned - #15279084628")</f>
        <v/>
      </c>
      <c r="B20019" s="0" t="s">
        <v>26567</v>
      </c>
      <c r="E20019" s="0" t="inlineStr">
        <is>
          <t xml:space="preserve">Mazda</t>
        </is>
      </c>
      <c r="F20019" s="0" t="inlineStr">
        <is>
          <t xml:space="preserve">Mazda</t>
        </is>
      </c>
      <c r="G20019" s="0" t="s">
        <v>171</v>
      </c>
      <c r="H20019" s="5">
        <v>23.571200</v>
      </c>
    </row>
    <row r="20020" spans="1:9">
      <c r="A20020" s="22" t="str">
        <f>HYPERLINK("https://app.vivvix.com/360/KMI/IntelliDrive/ApplUI/Pages/CreativePages/CustomReportCreativeDetail.aspx?App=23&amp;ReportView=4&amp;Qid=1711279&amp;Row=20012&amp;Col=1","No Title Assigned - #15279086416")</f>
        <v/>
      </c>
      <c r="B20020" s="0" t="s">
        <v>26568</v>
      </c>
      <c r="E20020" s="0" t="inlineStr">
        <is>
          <t xml:space="preserve">Mazda</t>
        </is>
      </c>
      <c r="F20020" s="0" t="inlineStr">
        <is>
          <t xml:space="preserve">Mazda</t>
        </is>
      </c>
      <c r="G20020" s="0" t="s">
        <v>171</v>
      </c>
      <c r="H20020" s="5">
        <v>14.444300</v>
      </c>
    </row>
    <row r="20021" spans="1:9">
      <c r="A20021" s="22" t="str">
        <f>HYPERLINK("https://app.vivvix.com/360/KMI/IntelliDrive/ApplUI/Pages/CreativePages/CustomReportCreativeDetail.aspx?App=23&amp;ReportView=4&amp;Qid=1711279&amp;Row=20013&amp;Col=1","No Title Assigned - #15279086492")</f>
        <v/>
      </c>
      <c r="B20021" s="0" t="s">
        <v>26569</v>
      </c>
      <c r="E20021" s="0" t="inlineStr">
        <is>
          <t xml:space="preserve">Mazda</t>
        </is>
      </c>
      <c r="F20021" s="0" t="inlineStr">
        <is>
          <t xml:space="preserve">Mazda</t>
        </is>
      </c>
      <c r="G20021" s="0" t="s">
        <v>171</v>
      </c>
      <c r="H20021" s="5">
        <v>21.501800</v>
      </c>
    </row>
    <row r="20022" spans="1:9">
      <c r="A20022" s="22" t="str">
        <f>HYPERLINK("https://app.vivvix.com/360/KMI/IntelliDrive/ApplUI/Pages/CreativePages/CustomReportCreativeDetail.aspx?App=23&amp;ReportView=4&amp;Qid=1711279&amp;Row=20014&amp;Col=1","No Title Assigned - #15279086608")</f>
        <v/>
      </c>
      <c r="B20022" s="0" t="s">
        <v>26570</v>
      </c>
      <c r="E20022" s="0" t="inlineStr">
        <is>
          <t xml:space="preserve">Mazda</t>
        </is>
      </c>
      <c r="F20022" s="0" t="inlineStr">
        <is>
          <t xml:space="preserve">Mazda</t>
        </is>
      </c>
      <c r="G20022" s="0" t="s">
        <v>171</v>
      </c>
      <c r="H20022" s="5">
        <v>55.525500</v>
      </c>
    </row>
    <row r="20023" spans="1:9">
      <c r="A20023" s="22" t="str">
        <f>HYPERLINK("https://app.vivvix.com/360/KMI/IntelliDrive/ApplUI/Pages/CreativePages/CustomReportCreativeDetail.aspx?App=23&amp;ReportView=4&amp;Qid=1711279&amp;Row=20015&amp;Col=1","No Title Assigned - #15279087223")</f>
        <v/>
      </c>
      <c r="B20023" s="0" t="s">
        <v>26571</v>
      </c>
      <c r="E20023" s="0" t="inlineStr">
        <is>
          <t xml:space="preserve">Mazda</t>
        </is>
      </c>
      <c r="F20023" s="0" t="inlineStr">
        <is>
          <t xml:space="preserve">Mazda</t>
        </is>
      </c>
      <c r="G20023" s="0" t="s">
        <v>171</v>
      </c>
      <c r="H20023" s="5">
        <v>6257.778800</v>
      </c>
    </row>
    <row r="20024" spans="1:9">
      <c r="A20024" s="22" t="str">
        <f>HYPERLINK("https://app.vivvix.com/360/KMI/IntelliDrive/ApplUI/Pages/CreativePages/CustomReportCreativeDetail.aspx?App=23&amp;ReportView=4&amp;Qid=1711279&amp;Row=20016&amp;Col=1","No Title Assigned - #15279088195")</f>
        <v/>
      </c>
      <c r="B20024" s="0" t="s">
        <v>26572</v>
      </c>
      <c r="E20024" s="0" t="inlineStr">
        <is>
          <t xml:space="preserve">Mazda</t>
        </is>
      </c>
      <c r="F20024" s="0" t="inlineStr">
        <is>
          <t xml:space="preserve">Mazda</t>
        </is>
      </c>
      <c r="G20024" s="0" t="s">
        <v>171</v>
      </c>
      <c r="H20024" s="5">
        <v>28.169200</v>
      </c>
    </row>
    <row r="20025" spans="1:9">
      <c r="A20025" s="22" t="str">
        <f>HYPERLINK("https://app.vivvix.com/360/KMI/IntelliDrive/ApplUI/Pages/CreativePages/CustomReportCreativeDetail.aspx?App=23&amp;ReportView=4&amp;Qid=1711279&amp;Row=20017&amp;Col=1","No Title Assigned - #15279088201")</f>
        <v/>
      </c>
      <c r="B20025" s="0" t="s">
        <v>26573</v>
      </c>
      <c r="E20025" s="0" t="inlineStr">
        <is>
          <t xml:space="preserve">Mazda</t>
        </is>
      </c>
      <c r="F20025" s="0" t="inlineStr">
        <is>
          <t xml:space="preserve">Mazda</t>
        </is>
      </c>
      <c r="G20025" s="0" t="s">
        <v>171</v>
      </c>
      <c r="H20025" s="5">
        <v>60.597400</v>
      </c>
    </row>
    <row r="20026" spans="1:9">
      <c r="A20026" s="22" t="str">
        <f>HYPERLINK("https://app.vivvix.com/360/KMI/IntelliDrive/ApplUI/Pages/CreativePages/CustomReportCreativeDetail.aspx?App=23&amp;ReportView=4&amp;Qid=1711279&amp;Row=20018&amp;Col=1","No Title Assigned - #15279088357")</f>
        <v/>
      </c>
      <c r="B20026" s="0" t="s">
        <v>26574</v>
      </c>
      <c r="E20026" s="0" t="inlineStr">
        <is>
          <t xml:space="preserve">Mazda</t>
        </is>
      </c>
      <c r="F20026" s="0" t="inlineStr">
        <is>
          <t xml:space="preserve">Mazda</t>
        </is>
      </c>
      <c r="G20026" s="0" t="s">
        <v>171</v>
      </c>
      <c r="H20026" s="5">
        <v>666.440500</v>
      </c>
    </row>
    <row r="20027" spans="1:9">
      <c r="A20027" s="22" t="str">
        <f>HYPERLINK("https://app.vivvix.com/360/KMI/IntelliDrive/ApplUI/Pages/CreativePages/CustomReportCreativeDetail.aspx?App=23&amp;ReportView=4&amp;Qid=1711279&amp;Row=20019&amp;Col=1","No Title Assigned - #15279089299")</f>
        <v/>
      </c>
      <c r="B20027" s="0" t="s">
        <v>26575</v>
      </c>
      <c r="E20027" s="0" t="inlineStr">
        <is>
          <t xml:space="preserve">Mazda</t>
        </is>
      </c>
      <c r="F20027" s="0" t="inlineStr">
        <is>
          <t xml:space="preserve">Mazda</t>
        </is>
      </c>
      <c r="G20027" s="0" t="s">
        <v>171</v>
      </c>
      <c r="H20027" s="5">
        <v>3555.258500</v>
      </c>
    </row>
    <row r="20028" spans="1:9">
      <c r="A20028" s="22" t="str">
        <f>HYPERLINK("https://app.vivvix.com/360/KMI/IntelliDrive/ApplUI/Pages/CreativePages/CustomReportCreativeDetail.aspx?App=23&amp;ReportView=4&amp;Qid=1711279&amp;Row=20020&amp;Col=1","No Title Assigned - #15279091602")</f>
        <v/>
      </c>
      <c r="B20028" s="0" t="s">
        <v>26576</v>
      </c>
      <c r="E20028" s="0" t="inlineStr">
        <is>
          <t xml:space="preserve">Mazda</t>
        </is>
      </c>
      <c r="F20028" s="0" t="inlineStr">
        <is>
          <t xml:space="preserve">Mazda</t>
        </is>
      </c>
      <c r="G20028" s="0" t="s">
        <v>171</v>
      </c>
      <c r="H20028" s="5">
        <v>4343.876400</v>
      </c>
    </row>
    <row r="20029" spans="1:9">
      <c r="A20029" s="22" t="str">
        <f>HYPERLINK("https://app.vivvix.com/360/KMI/IntelliDrive/ApplUI/Pages/CreativePages/CustomReportCreativeDetail.aspx?App=23&amp;ReportView=4&amp;Qid=1711279&amp;Row=20021&amp;Col=1","No Title Assigned - #15279094513")</f>
        <v/>
      </c>
      <c r="B20029" s="0" t="s">
        <v>26577</v>
      </c>
      <c r="E20029" s="0" t="inlineStr">
        <is>
          <t xml:space="preserve">Mazda</t>
        </is>
      </c>
      <c r="F20029" s="0" t="inlineStr">
        <is>
          <t xml:space="preserve">Mazda</t>
        </is>
      </c>
      <c r="G20029" s="0" t="s">
        <v>171</v>
      </c>
      <c r="H20029" s="5">
        <v>1525.135200</v>
      </c>
    </row>
    <row r="20030" spans="1:9">
      <c r="A20030" s="22" t="str">
        <f>HYPERLINK("https://app.vivvix.com/360/KMI/IntelliDrive/ApplUI/Pages/CreativePages/CustomReportCreativeDetail.aspx?App=23&amp;ReportView=4&amp;Qid=1711279&amp;Row=20022&amp;Col=1","No Title Assigned - #15279097989")</f>
        <v/>
      </c>
      <c r="B20030" s="0" t="s">
        <v>26578</v>
      </c>
      <c r="E20030" s="0" t="inlineStr">
        <is>
          <t xml:space="preserve">Mazda</t>
        </is>
      </c>
      <c r="F20030" s="0" t="inlineStr">
        <is>
          <t xml:space="preserve">Mazda</t>
        </is>
      </c>
      <c r="G20030" s="0" t="s">
        <v>171</v>
      </c>
      <c r="H20030" s="5">
        <v>112.676800</v>
      </c>
    </row>
    <row r="20031" spans="1:9">
      <c r="A20031" s="22" t="str">
        <f>HYPERLINK("https://app.vivvix.com/360/KMI/IntelliDrive/ApplUI/Pages/CreativePages/CustomReportCreativeDetail.aspx?App=23&amp;ReportView=4&amp;Qid=1711279&amp;Row=20023&amp;Col=1","No Title Assigned - #15279099834")</f>
        <v/>
      </c>
      <c r="B20031" s="0" t="s">
        <v>26579</v>
      </c>
      <c r="E20031" s="0" t="inlineStr">
        <is>
          <t xml:space="preserve">Mazda</t>
        </is>
      </c>
      <c r="F20031" s="0" t="inlineStr">
        <is>
          <t xml:space="preserve">Mazda</t>
        </is>
      </c>
      <c r="G20031" s="0" t="s">
        <v>171</v>
      </c>
      <c r="H20031" s="5">
        <v>109.769500</v>
      </c>
    </row>
    <row r="20032" spans="1:9">
      <c r="A20032" s="22" t="str">
        <f>HYPERLINK("https://app.vivvix.com/360/KMI/IntelliDrive/ApplUI/Pages/CreativePages/CustomReportCreativeDetail.aspx?App=23&amp;ReportView=4&amp;Qid=1711279&amp;Row=20024&amp;Col=1","No Title Assigned - #15279103562")</f>
        <v/>
      </c>
      <c r="B20032" s="0" t="s">
        <v>26580</v>
      </c>
      <c r="C20032" s="0" t="s">
        <v>26581</v>
      </c>
      <c r="D20032" s="0" t="s">
        <v>26581</v>
      </c>
      <c r="E20032" s="0" t="inlineStr">
        <is>
          <t xml:space="preserve">Mazda</t>
        </is>
      </c>
      <c r="F20032" s="0" t="s">
        <v>13</v>
      </c>
      <c r="G20032" s="0" t="s">
        <v>49</v>
      </c>
      <c r="H20032" s="5">
        <v>32.167500</v>
      </c>
    </row>
    <row r="20033" spans="1:9">
      <c r="A20033" s="22" t="str">
        <f>HYPERLINK("https://app.vivvix.com/360/KMI/IntelliDrive/ApplUI/Pages/CreativePages/CustomReportCreativeDetail.aspx?App=23&amp;ReportView=4&amp;Qid=1711279&amp;Row=20025&amp;Col=1","No Title Assigned - #15279103803")</f>
        <v/>
      </c>
      <c r="B20033" s="0" t="s">
        <v>26582</v>
      </c>
      <c r="C20033" s="0" t="s">
        <v>26583</v>
      </c>
      <c r="D20033" s="0" t="s">
        <v>26583</v>
      </c>
      <c r="E20033" s="0" t="inlineStr">
        <is>
          <t xml:space="preserve">Mazda</t>
        </is>
      </c>
      <c r="F20033" s="0" t="s">
        <v>13</v>
      </c>
      <c r="G20033" s="0" t="s">
        <v>49</v>
      </c>
      <c r="H20033" s="5">
        <v>133.927200</v>
      </c>
    </row>
    <row r="20034" spans="1:9">
      <c r="A20034" s="22" t="str">
        <f>HYPERLINK("https://app.vivvix.com/360/KMI/IntelliDrive/ApplUI/Pages/CreativePages/CustomReportCreativeDetail.aspx?App=23&amp;ReportView=4&amp;Qid=1711279&amp;Row=20026&amp;Col=1","No Title Assigned - #15279104140")</f>
        <v/>
      </c>
      <c r="B20034" s="0" t="s">
        <v>26584</v>
      </c>
      <c r="E20034" s="0" t="inlineStr">
        <is>
          <t xml:space="preserve">Mazda</t>
        </is>
      </c>
      <c r="F20034" s="0" t="s">
        <v>13</v>
      </c>
      <c r="G20034" s="0" t="s">
        <v>49</v>
      </c>
      <c r="H20034" s="5">
        <v>237.703600</v>
      </c>
    </row>
    <row r="20035" spans="1:9">
      <c r="A20035" s="22" t="str">
        <f>HYPERLINK("https://app.vivvix.com/360/KMI/IntelliDrive/ApplUI/Pages/CreativePages/CustomReportCreativeDetail.aspx?App=23&amp;ReportView=4&amp;Qid=1711279&amp;Row=20027&amp;Col=1","No Title Assigned - #15279104140")</f>
        <v/>
      </c>
      <c r="B20035" s="0" t="s">
        <v>26584</v>
      </c>
      <c r="C20035" s="0" t="s">
        <v>26585</v>
      </c>
      <c r="D20035" s="0" t="s">
        <v>26585</v>
      </c>
      <c r="E20035" s="0" t="inlineStr">
        <is>
          <t xml:space="preserve">Mazda</t>
        </is>
      </c>
      <c r="F20035" s="0" t="s">
        <v>13</v>
      </c>
      <c r="G20035" s="0" t="s">
        <v>49</v>
      </c>
      <c r="H20035" s="5">
        <v>88.179000</v>
      </c>
    </row>
    <row r="20036" spans="1:9">
      <c r="A20036" s="22" t="str">
        <f>HYPERLINK("https://app.vivvix.com/360/KMI/IntelliDrive/ApplUI/Pages/CreativePages/CustomReportCreativeDetail.aspx?App=23&amp;ReportView=4&amp;Qid=1711279&amp;Row=20028&amp;Col=1","No Title Assigned - #15279107026")</f>
        <v/>
      </c>
      <c r="B20036" s="0" t="s">
        <v>26586</v>
      </c>
      <c r="C20036" s="0" t="s">
        <v>26587</v>
      </c>
      <c r="D20036" s="0" t="s">
        <v>5013</v>
      </c>
      <c r="E20036" s="0" t="inlineStr">
        <is>
          <t xml:space="preserve">Mazda</t>
        </is>
      </c>
      <c r="F20036" s="0" t="s">
        <v>13</v>
      </c>
      <c r="G20036" s="0" t="s">
        <v>49</v>
      </c>
      <c r="H20036" s="5">
        <v>380.177200</v>
      </c>
    </row>
    <row r="20037" spans="1:9">
      <c r="A20037" s="22" t="str">
        <f>HYPERLINK("https://app.vivvix.com/360/KMI/IntelliDrive/ApplUI/Pages/CreativePages/CustomReportCreativeDetail.aspx?App=23&amp;ReportView=4&amp;Qid=1711279&amp;Row=20029&amp;Col=1","No Title Assigned - #15279111050")</f>
        <v/>
      </c>
      <c r="B20037" s="0" t="s">
        <v>26588</v>
      </c>
      <c r="C20037" s="0" t="s">
        <v>26589</v>
      </c>
      <c r="D20037" s="0" t="s">
        <v>9749</v>
      </c>
      <c r="E20037" s="0" t="inlineStr">
        <is>
          <t xml:space="preserve">Mazda</t>
        </is>
      </c>
      <c r="F20037" s="0" t="s">
        <v>13</v>
      </c>
      <c r="G20037" s="0" t="s">
        <v>49</v>
      </c>
      <c r="H20037" s="5">
        <v>1449.710000</v>
      </c>
    </row>
    <row r="20038" spans="1:9">
      <c r="A20038" s="22" t="str">
        <f>HYPERLINK("https://app.vivvix.com/360/KMI/IntelliDrive/ApplUI/Pages/CreativePages/CustomReportCreativeDetail.aspx?App=23&amp;ReportView=4&amp;Qid=1711279&amp;Row=20030&amp;Col=1","No Title Assigned - #15279112153")</f>
        <v/>
      </c>
      <c r="B20038" s="0" t="s">
        <v>26590</v>
      </c>
      <c r="C20038" s="0" t="s">
        <v>26591</v>
      </c>
      <c r="D20038" s="0" t="s">
        <v>6183</v>
      </c>
      <c r="E20038" s="0" t="inlineStr">
        <is>
          <t xml:space="preserve">Mazda</t>
        </is>
      </c>
      <c r="F20038" s="0" t="s">
        <v>13</v>
      </c>
      <c r="G20038" s="0" t="s">
        <v>49</v>
      </c>
      <c r="H20038" s="5">
        <v>6712.191800</v>
      </c>
    </row>
    <row r="20039" spans="1:9">
      <c r="A20039" s="22" t="str">
        <f>HYPERLINK("https://app.vivvix.com/360/KMI/IntelliDrive/ApplUI/Pages/CreativePages/CustomReportCreativeDetail.aspx?App=23&amp;ReportView=4&amp;Qid=1711279&amp;Row=20031&amp;Col=1","No Title Assigned - #15279112153")</f>
        <v/>
      </c>
      <c r="B20039" s="0" t="s">
        <v>26590</v>
      </c>
      <c r="E20039" s="0" t="inlineStr">
        <is>
          <t xml:space="preserve">Mazda</t>
        </is>
      </c>
      <c r="F20039" s="0" t="s">
        <v>13</v>
      </c>
      <c r="G20039" s="0" t="s">
        <v>49</v>
      </c>
      <c r="H20039" s="5">
        <v>1511.031900</v>
      </c>
    </row>
    <row r="20040" spans="1:9">
      <c r="A20040" s="22" t="str">
        <f>HYPERLINK("https://app.vivvix.com/360/KMI/IntelliDrive/ApplUI/Pages/CreativePages/CustomReportCreativeDetail.aspx?App=23&amp;ReportView=4&amp;Qid=1711279&amp;Row=20032&amp;Col=1","No Title Assigned - #15279113024")</f>
        <v/>
      </c>
      <c r="B20040" s="0" t="s">
        <v>26592</v>
      </c>
      <c r="C20040" s="0" t="s">
        <v>26593</v>
      </c>
      <c r="D20040" s="0" t="s">
        <v>26593</v>
      </c>
      <c r="E20040" s="0" t="inlineStr">
        <is>
          <t xml:space="preserve">Mazda</t>
        </is>
      </c>
      <c r="F20040" s="0" t="s">
        <v>13</v>
      </c>
      <c r="G20040" s="0" t="s">
        <v>49</v>
      </c>
      <c r="H20040" s="5">
        <v>174.050400</v>
      </c>
    </row>
    <row r="20041" spans="1:9">
      <c r="A20041" s="22" t="str">
        <f>HYPERLINK("https://app.vivvix.com/360/KMI/IntelliDrive/ApplUI/Pages/CreativePages/CustomReportCreativeDetail.aspx?App=23&amp;ReportView=4&amp;Qid=1711279&amp;Row=20033&amp;Col=1","No Title Assigned - #15279113201")</f>
        <v/>
      </c>
      <c r="B20041" s="0" t="s">
        <v>26594</v>
      </c>
      <c r="C20041" s="0" t="s">
        <v>26595</v>
      </c>
      <c r="D20041" s="0" t="s">
        <v>26595</v>
      </c>
      <c r="E20041" s="0" t="inlineStr">
        <is>
          <t xml:space="preserve">Mazda</t>
        </is>
      </c>
      <c r="F20041" s="0" t="s">
        <v>13</v>
      </c>
      <c r="G20041" s="0" t="s">
        <v>49</v>
      </c>
      <c r="H20041" s="5">
        <v>16.418400</v>
      </c>
    </row>
    <row r="20042" spans="1:9">
      <c r="A20042" s="22" t="str">
        <f>HYPERLINK("https://app.vivvix.com/360/KMI/IntelliDrive/ApplUI/Pages/CreativePages/CustomReportCreativeDetail.aspx?App=23&amp;ReportView=4&amp;Qid=1711279&amp;Row=20034&amp;Col=1","No Title Assigned - #15279114834")</f>
        <v/>
      </c>
      <c r="B20042" s="0" t="s">
        <v>26596</v>
      </c>
      <c r="C20042" s="0" t="s">
        <v>26597</v>
      </c>
      <c r="D20042" s="0" t="s">
        <v>6183</v>
      </c>
      <c r="E20042" s="0" t="inlineStr">
        <is>
          <t xml:space="preserve">Mazda</t>
        </is>
      </c>
      <c r="F20042" s="0" t="s">
        <v>13</v>
      </c>
      <c r="G20042" s="0" t="s">
        <v>49</v>
      </c>
      <c r="H20042" s="5">
        <v>27.984300</v>
      </c>
    </row>
    <row r="20043" spans="1:9">
      <c r="A20043" s="22" t="str">
        <f>HYPERLINK("https://app.vivvix.com/360/KMI/IntelliDrive/ApplUI/Pages/CreativePages/CustomReportCreativeDetail.aspx?App=23&amp;ReportView=4&amp;Qid=1711279&amp;Row=20035&amp;Col=1","No Title Assigned - #15279114834")</f>
        <v/>
      </c>
      <c r="B20043" s="0" t="s">
        <v>26596</v>
      </c>
      <c r="E20043" s="0" t="inlineStr">
        <is>
          <t xml:space="preserve">Mazda</t>
        </is>
      </c>
      <c r="F20043" s="0" t="s">
        <v>13</v>
      </c>
      <c r="G20043" s="0" t="s">
        <v>49</v>
      </c>
      <c r="H20043" s="5">
        <v>145.664400</v>
      </c>
    </row>
    <row r="20044" spans="1:9">
      <c r="A20044" s="22" t="str">
        <f>HYPERLINK("https://app.vivvix.com/360/KMI/IntelliDrive/ApplUI/Pages/CreativePages/CustomReportCreativeDetail.aspx?App=23&amp;ReportView=4&amp;Qid=1711279&amp;Row=20036&amp;Col=1","No Title Assigned - #15279120508")</f>
        <v/>
      </c>
      <c r="B20044" s="0" t="s">
        <v>26598</v>
      </c>
      <c r="E20044" s="0" t="inlineStr">
        <is>
          <t xml:space="preserve">Mazda</t>
        </is>
      </c>
      <c r="F20044" s="0" t="s">
        <v>13</v>
      </c>
      <c r="G20044" s="0" t="s">
        <v>49</v>
      </c>
      <c r="H20044" s="5">
        <v>1059.758500</v>
      </c>
    </row>
    <row r="20045" spans="1:9">
      <c r="A20045" s="22" t="str">
        <f>HYPERLINK("https://app.vivvix.com/360/KMI/IntelliDrive/ApplUI/Pages/CreativePages/CustomReportCreativeDetail.aspx?App=23&amp;ReportView=4&amp;Qid=1711279&amp;Row=20037&amp;Col=1","No Title Assigned - #15279121273")</f>
        <v/>
      </c>
      <c r="B20045" s="0" t="s">
        <v>26599</v>
      </c>
      <c r="C20045" s="0" t="s">
        <v>26600</v>
      </c>
      <c r="D20045" s="0" t="s">
        <v>26600</v>
      </c>
      <c r="E20045" s="0" t="inlineStr">
        <is>
          <t xml:space="preserve">Mazda</t>
        </is>
      </c>
      <c r="F20045" s="0" t="s">
        <v>13</v>
      </c>
      <c r="G20045" s="0" t="s">
        <v>49</v>
      </c>
      <c r="H20045" s="5">
        <v>3684.983500</v>
      </c>
    </row>
    <row r="20046" spans="1:9">
      <c r="A20046" s="22" t="str">
        <f>HYPERLINK("https://app.vivvix.com/360/KMI/IntelliDrive/ApplUI/Pages/CreativePages/CustomReportCreativeDetail.aspx?App=23&amp;ReportView=4&amp;Qid=1711279&amp;Row=20038&amp;Col=1","No Title Assigned - #15279121379")</f>
        <v/>
      </c>
      <c r="B20046" s="0" t="s">
        <v>26601</v>
      </c>
      <c r="E20046" s="0" t="inlineStr">
        <is>
          <t xml:space="preserve">Mazda</t>
        </is>
      </c>
      <c r="F20046" s="0" t="s">
        <v>13</v>
      </c>
      <c r="G20046" s="0" t="s">
        <v>49</v>
      </c>
      <c r="H20046" s="5">
        <v>120.920100</v>
      </c>
    </row>
    <row r="20047" spans="1:9">
      <c r="A20047" s="22" t="str">
        <f>HYPERLINK("https://app.vivvix.com/360/KMI/IntelliDrive/ApplUI/Pages/CreativePages/CustomReportCreativeDetail.aspx?App=23&amp;ReportView=4&amp;Qid=1711279&amp;Row=20039&amp;Col=1","No Title Assigned - #15279122509")</f>
        <v/>
      </c>
      <c r="B20047" s="0" t="s">
        <v>26602</v>
      </c>
      <c r="E20047" s="0" t="inlineStr">
        <is>
          <t xml:space="preserve">Mazda</t>
        </is>
      </c>
      <c r="F20047" s="0" t="s">
        <v>13</v>
      </c>
      <c r="G20047" s="0" t="s">
        <v>49</v>
      </c>
      <c r="H20047" s="5">
        <v>1.216000</v>
      </c>
    </row>
    <row r="20048" spans="1:9">
      <c r="A20048" s="22" t="str">
        <f>HYPERLINK("https://app.vivvix.com/360/KMI/IntelliDrive/ApplUI/Pages/CreativePages/CustomReportCreativeDetail.aspx?App=23&amp;ReportView=4&amp;Qid=1711279&amp;Row=20040&amp;Col=1","No Title Assigned - #15279130129")</f>
        <v/>
      </c>
      <c r="B20048" s="0" t="s">
        <v>26603</v>
      </c>
      <c r="E20048" s="0" t="inlineStr">
        <is>
          <t xml:space="preserve">Mazda</t>
        </is>
      </c>
      <c r="F20048" s="0" t="s">
        <v>13</v>
      </c>
      <c r="G20048" s="0" t="s">
        <v>49</v>
      </c>
      <c r="H20048" s="5">
        <v>3054.907400</v>
      </c>
    </row>
    <row r="20049" spans="1:9">
      <c r="A20049" s="22" t="str">
        <f>HYPERLINK("https://app.vivvix.com/360/KMI/IntelliDrive/ApplUI/Pages/CreativePages/CustomReportCreativeDetail.aspx?App=23&amp;ReportView=4&amp;Qid=1711279&amp;Row=20041&amp;Col=1","No Title Assigned - #15279130438")</f>
        <v/>
      </c>
      <c r="B20049" s="0" t="s">
        <v>26604</v>
      </c>
      <c r="E20049" s="0" t="inlineStr">
        <is>
          <t xml:space="preserve">Mazda</t>
        </is>
      </c>
      <c r="F20049" s="0" t="s">
        <v>13</v>
      </c>
      <c r="G20049" s="0" t="s">
        <v>49</v>
      </c>
      <c r="H20049" s="5">
        <v>129.454000</v>
      </c>
    </row>
    <row r="20050" spans="1:9">
      <c r="A20050" s="22" t="str">
        <f>HYPERLINK("https://app.vivvix.com/360/KMI/IntelliDrive/ApplUI/Pages/CreativePages/CustomReportCreativeDetail.aspx?App=23&amp;ReportView=4&amp;Qid=1711279&amp;Row=20042&amp;Col=1","No Title Assigned - #15279130464")</f>
        <v/>
      </c>
      <c r="B20050" s="0" t="s">
        <v>26605</v>
      </c>
      <c r="C20050" s="0" t="s">
        <v>26606</v>
      </c>
      <c r="D20050" s="0" t="s">
        <v>26606</v>
      </c>
      <c r="E20050" s="0" t="inlineStr">
        <is>
          <t xml:space="preserve">Mazda</t>
        </is>
      </c>
      <c r="F20050" s="0" t="s">
        <v>13</v>
      </c>
      <c r="G20050" s="0" t="s">
        <v>49</v>
      </c>
      <c r="H20050" s="5">
        <v>36669.973600</v>
      </c>
    </row>
    <row r="20051" spans="1:9">
      <c r="A20051" s="22" t="str">
        <f>HYPERLINK("https://app.vivvix.com/360/KMI/IntelliDrive/ApplUI/Pages/CreativePages/CustomReportCreativeDetail.aspx?App=23&amp;ReportView=4&amp;Qid=1711279&amp;Row=20043&amp;Col=1","No Title Assigned - #15279130464")</f>
        <v/>
      </c>
      <c r="B20051" s="0" t="s">
        <v>26605</v>
      </c>
      <c r="E20051" s="0" t="inlineStr">
        <is>
          <t xml:space="preserve">Mazda</t>
        </is>
      </c>
      <c r="F20051" s="0" t="s">
        <v>13</v>
      </c>
      <c r="G20051" s="0" t="s">
        <v>49</v>
      </c>
      <c r="H20051" s="5">
        <v>582.865200</v>
      </c>
    </row>
    <row r="20052" spans="1:9">
      <c r="A20052" s="22" t="str">
        <f>HYPERLINK("https://app.vivvix.com/360/KMI/IntelliDrive/ApplUI/Pages/CreativePages/CustomReportCreativeDetail.aspx?App=23&amp;ReportView=4&amp;Qid=1711279&amp;Row=20044&amp;Col=1","No Title Assigned - #15279130651")</f>
        <v/>
      </c>
      <c r="B20052" s="0" t="s">
        <v>26607</v>
      </c>
      <c r="E20052" s="0" t="inlineStr">
        <is>
          <t xml:space="preserve">Mazda</t>
        </is>
      </c>
      <c r="F20052" s="0" t="s">
        <v>13</v>
      </c>
      <c r="G20052" s="0" t="s">
        <v>49</v>
      </c>
      <c r="H20052" s="5">
        <v>2924.253000</v>
      </c>
    </row>
    <row r="20053" spans="1:9">
      <c r="A20053" s="22" t="str">
        <f>HYPERLINK("https://app.vivvix.com/360/KMI/IntelliDrive/ApplUI/Pages/CreativePages/CustomReportCreativeDetail.aspx?App=23&amp;ReportView=4&amp;Qid=1711279&amp;Row=20045&amp;Col=1","No Title Assigned - #15279131094")</f>
        <v/>
      </c>
      <c r="B20053" s="0" t="s">
        <v>26608</v>
      </c>
      <c r="C20053" s="0" t="s">
        <v>26609</v>
      </c>
      <c r="D20053" s="0" t="s">
        <v>26609</v>
      </c>
      <c r="E20053" s="0" t="inlineStr">
        <is>
          <t xml:space="preserve">Mazda</t>
        </is>
      </c>
      <c r="F20053" s="0" t="s">
        <v>13</v>
      </c>
      <c r="G20053" s="0" t="s">
        <v>49</v>
      </c>
      <c r="H20053" s="5">
        <v>1016.384500</v>
      </c>
    </row>
    <row r="20054" spans="1:9">
      <c r="A20054" s="22" t="str">
        <f>HYPERLINK("https://app.vivvix.com/360/KMI/IntelliDrive/ApplUI/Pages/CreativePages/CustomReportCreativeDetail.aspx?App=23&amp;ReportView=4&amp;Qid=1711279&amp;Row=20046&amp;Col=1","No Title Assigned - #15279133127")</f>
        <v/>
      </c>
      <c r="B20054" s="0" t="s">
        <v>26610</v>
      </c>
      <c r="E20054" s="0" t="inlineStr">
        <is>
          <t xml:space="preserve">Mazda</t>
        </is>
      </c>
      <c r="F20054" s="0" t="s">
        <v>13</v>
      </c>
      <c r="G20054" s="0" t="s">
        <v>49</v>
      </c>
      <c r="H20054" s="5">
        <v>132.079000</v>
      </c>
    </row>
    <row r="20055" spans="1:9">
      <c r="A20055" s="22" t="str">
        <f>HYPERLINK("https://app.vivvix.com/360/KMI/IntelliDrive/ApplUI/Pages/CreativePages/CustomReportCreativeDetail.aspx?App=23&amp;ReportView=4&amp;Qid=1711279&amp;Row=20047&amp;Col=1","No Title Assigned - #15279133549")</f>
        <v/>
      </c>
      <c r="B20055" s="0" t="s">
        <v>26611</v>
      </c>
      <c r="E20055" s="0" t="inlineStr">
        <is>
          <t xml:space="preserve">Mazda</t>
        </is>
      </c>
      <c r="F20055" s="0" t="s">
        <v>13</v>
      </c>
      <c r="G20055" s="0" t="s">
        <v>49</v>
      </c>
      <c r="H20055" s="5">
        <v>421.719100</v>
      </c>
    </row>
    <row r="20056" spans="1:9">
      <c r="A20056" s="22" t="str">
        <f>HYPERLINK("https://app.vivvix.com/360/KMI/IntelliDrive/ApplUI/Pages/CreativePages/CustomReportCreativeDetail.aspx?App=23&amp;ReportView=4&amp;Qid=1711279&amp;Row=20048&amp;Col=1","No Title Assigned - #15279133579")</f>
        <v/>
      </c>
      <c r="B20056" s="0" t="s">
        <v>26612</v>
      </c>
      <c r="E20056" s="0" t="inlineStr">
        <is>
          <t xml:space="preserve">Mazda</t>
        </is>
      </c>
      <c r="F20056" s="0" t="s">
        <v>13</v>
      </c>
      <c r="G20056" s="0" t="s">
        <v>49</v>
      </c>
      <c r="H20056" s="5">
        <v>174.323100</v>
      </c>
    </row>
    <row r="20057" spans="1:9">
      <c r="A20057" s="22" t="str">
        <f>HYPERLINK("https://app.vivvix.com/360/KMI/IntelliDrive/ApplUI/Pages/CreativePages/CustomReportCreativeDetail.aspx?App=23&amp;ReportView=4&amp;Qid=1711279&amp;Row=20049&amp;Col=1","No Title Assigned - #15279133811")</f>
        <v/>
      </c>
      <c r="B20057" s="0" t="s">
        <v>26613</v>
      </c>
      <c r="E20057" s="0" t="inlineStr">
        <is>
          <t xml:space="preserve">Mazda</t>
        </is>
      </c>
      <c r="F20057" s="0" t="s">
        <v>13</v>
      </c>
      <c r="G20057" s="0" t="s">
        <v>49</v>
      </c>
      <c r="H20057" s="5">
        <v>1945.455400</v>
      </c>
    </row>
    <row r="20058" spans="1:9">
      <c r="A20058" s="22" t="str">
        <f>HYPERLINK("https://app.vivvix.com/360/KMI/IntelliDrive/ApplUI/Pages/CreativePages/CustomReportCreativeDetail.aspx?App=23&amp;ReportView=4&amp;Qid=1711279&amp;Row=20050&amp;Col=1","No Title Assigned - #15279135095")</f>
        <v/>
      </c>
      <c r="B20058" s="0" t="s">
        <v>26614</v>
      </c>
      <c r="C20058" s="0" t="s">
        <v>26615</v>
      </c>
      <c r="D20058" s="0" t="s">
        <v>26615</v>
      </c>
      <c r="E20058" s="0" t="inlineStr">
        <is>
          <t xml:space="preserve">Mazda</t>
        </is>
      </c>
      <c r="F20058" s="0" t="s">
        <v>13</v>
      </c>
      <c r="G20058" s="0" t="s">
        <v>49</v>
      </c>
      <c r="H20058" s="5">
        <v>45.923100</v>
      </c>
    </row>
    <row r="20059" spans="1:9">
      <c r="A20059" s="22" t="str">
        <f>HYPERLINK("https://app.vivvix.com/360/KMI/IntelliDrive/ApplUI/Pages/CreativePages/CustomReportCreativeDetail.aspx?App=23&amp;ReportView=4&amp;Qid=1711279&amp;Row=20051&amp;Col=1","No Title Assigned - #15279135774")</f>
        <v/>
      </c>
      <c r="B20059" s="0" t="s">
        <v>26616</v>
      </c>
      <c r="C20059" s="0" t="s">
        <v>26617</v>
      </c>
      <c r="D20059" s="0" t="s">
        <v>8453</v>
      </c>
      <c r="E20059" s="0" t="inlineStr">
        <is>
          <t xml:space="preserve">Mazda</t>
        </is>
      </c>
      <c r="F20059" s="0" t="s">
        <v>13</v>
      </c>
      <c r="G20059" s="0" t="s">
        <v>49</v>
      </c>
      <c r="H20059" s="5">
        <v>13391.577800</v>
      </c>
    </row>
    <row r="20060" spans="1:9">
      <c r="A20060" s="22" t="str">
        <f>HYPERLINK("https://app.vivvix.com/360/KMI/IntelliDrive/ApplUI/Pages/CreativePages/CustomReportCreativeDetail.aspx?App=23&amp;ReportView=4&amp;Qid=1711279&amp;Row=20052&amp;Col=1","No Title Assigned - #15279135774")</f>
        <v/>
      </c>
      <c r="B20060" s="0" t="s">
        <v>26616</v>
      </c>
      <c r="E20060" s="0" t="inlineStr">
        <is>
          <t xml:space="preserve">Mazda</t>
        </is>
      </c>
      <c r="F20060" s="0" t="s">
        <v>13</v>
      </c>
      <c r="G20060" s="0" t="s">
        <v>49</v>
      </c>
      <c r="H20060" s="5">
        <v>827.335800</v>
      </c>
    </row>
    <row r="20061" spans="1:9">
      <c r="A20061" s="22" t="str">
        <f>HYPERLINK("https://app.vivvix.com/360/KMI/IntelliDrive/ApplUI/Pages/CreativePages/CustomReportCreativeDetail.aspx?App=23&amp;ReportView=4&amp;Qid=1711279&amp;Row=20053&amp;Col=1","No Title Assigned - #15279135914")</f>
        <v/>
      </c>
      <c r="B20061" s="0" t="s">
        <v>26618</v>
      </c>
      <c r="C20061" s="0" t="s">
        <v>26619</v>
      </c>
      <c r="D20061" s="0" t="s">
        <v>4335</v>
      </c>
      <c r="E20061" s="0" t="inlineStr">
        <is>
          <t xml:space="preserve">Mazda</t>
        </is>
      </c>
      <c r="F20061" s="0" t="s">
        <v>13</v>
      </c>
      <c r="G20061" s="0" t="s">
        <v>49</v>
      </c>
      <c r="H20061" s="5">
        <v>125328.035500</v>
      </c>
    </row>
    <row r="20062" spans="1:9">
      <c r="A20062" s="22" t="str">
        <f>HYPERLINK("https://app.vivvix.com/360/KMI/IntelliDrive/ApplUI/Pages/CreativePages/CustomReportCreativeDetail.aspx?App=23&amp;ReportView=4&amp;Qid=1711279&amp;Row=20054&amp;Col=1","No Title Assigned - #15279136241")</f>
        <v/>
      </c>
      <c r="B20062" s="0" t="s">
        <v>26620</v>
      </c>
      <c r="C20062" s="0" t="s">
        <v>26621</v>
      </c>
      <c r="D20062" s="0" t="s">
        <v>26621</v>
      </c>
      <c r="E20062" s="0" t="inlineStr">
        <is>
          <t xml:space="preserve">Mazda</t>
        </is>
      </c>
      <c r="F20062" s="0" t="s">
        <v>13</v>
      </c>
      <c r="G20062" s="0" t="s">
        <v>49</v>
      </c>
      <c r="H20062" s="5">
        <v>8.209200</v>
      </c>
    </row>
    <row r="20063" spans="1:9">
      <c r="A20063" s="22" t="str">
        <f>HYPERLINK("https://app.vivvix.com/360/KMI/IntelliDrive/ApplUI/Pages/CreativePages/CustomReportCreativeDetail.aspx?App=23&amp;ReportView=4&amp;Qid=1711279&amp;Row=20055&amp;Col=1","No Title Assigned - #15279137278")</f>
        <v/>
      </c>
      <c r="B20063" s="0" t="s">
        <v>26622</v>
      </c>
      <c r="C20063" s="0" t="s">
        <v>26623</v>
      </c>
      <c r="D20063" s="0" t="s">
        <v>21331</v>
      </c>
      <c r="E20063" s="0" t="inlineStr">
        <is>
          <t xml:space="preserve">Mazda</t>
        </is>
      </c>
      <c r="F20063" s="0" t="s">
        <v>13</v>
      </c>
      <c r="G20063" s="0" t="s">
        <v>49</v>
      </c>
      <c r="H20063" s="5">
        <v>307.408800</v>
      </c>
    </row>
    <row r="20064" spans="1:9">
      <c r="A20064" s="22" t="str">
        <f>HYPERLINK("https://app.vivvix.com/360/KMI/IntelliDrive/ApplUI/Pages/CreativePages/CustomReportCreativeDetail.aspx?App=23&amp;ReportView=4&amp;Qid=1711279&amp;Row=20056&amp;Col=1","No Title Assigned - #15279137561")</f>
        <v/>
      </c>
      <c r="B20064" s="0" t="s">
        <v>26624</v>
      </c>
      <c r="C20064" s="0" t="s">
        <v>26625</v>
      </c>
      <c r="D20064" s="0" t="s">
        <v>4768</v>
      </c>
      <c r="E20064" s="0" t="inlineStr">
        <is>
          <t xml:space="preserve">Mazda</t>
        </is>
      </c>
      <c r="F20064" s="0" t="s">
        <v>13</v>
      </c>
      <c r="G20064" s="0" t="s">
        <v>49</v>
      </c>
      <c r="H20064" s="5">
        <v>24.490600</v>
      </c>
    </row>
    <row r="20065" spans="1:9">
      <c r="A20065" s="22" t="str">
        <f>HYPERLINK("https://app.vivvix.com/360/KMI/IntelliDrive/ApplUI/Pages/CreativePages/CustomReportCreativeDetail.aspx?App=23&amp;ReportView=4&amp;Qid=1711279&amp;Row=20057&amp;Col=1","No Title Assigned - #15279137634")</f>
        <v/>
      </c>
      <c r="B20065" s="0" t="s">
        <v>26626</v>
      </c>
      <c r="C20065" s="0" t="s">
        <v>26627</v>
      </c>
      <c r="D20065" s="0" t="s">
        <v>26627</v>
      </c>
      <c r="E20065" s="0" t="inlineStr">
        <is>
          <t xml:space="preserve">Mazda</t>
        </is>
      </c>
      <c r="F20065" s="0" t="s">
        <v>13</v>
      </c>
      <c r="G20065" s="0" t="s">
        <v>49</v>
      </c>
      <c r="H20065" s="5">
        <v>581.110400</v>
      </c>
    </row>
    <row r="20066" spans="1:9">
      <c r="A20066" s="22" t="str">
        <f>HYPERLINK("https://app.vivvix.com/360/KMI/IntelliDrive/ApplUI/Pages/CreativePages/CustomReportCreativeDetail.aspx?App=23&amp;ReportView=4&amp;Qid=1711279&amp;Row=20058&amp;Col=1","No Title Assigned - #15279137748")</f>
        <v/>
      </c>
      <c r="B20066" s="0" t="s">
        <v>26628</v>
      </c>
      <c r="C20066" s="0" t="s">
        <v>26629</v>
      </c>
      <c r="D20066" s="0" t="s">
        <v>10101</v>
      </c>
      <c r="E20066" s="0" t="inlineStr">
        <is>
          <t xml:space="preserve">Mazda</t>
        </is>
      </c>
      <c r="F20066" s="0" t="s">
        <v>13</v>
      </c>
      <c r="G20066" s="0" t="s">
        <v>49</v>
      </c>
      <c r="H20066" s="5">
        <v>16400.566700</v>
      </c>
    </row>
    <row r="20067" spans="1:9">
      <c r="A20067" s="22" t="str">
        <f>HYPERLINK("https://app.vivvix.com/360/KMI/IntelliDrive/ApplUI/Pages/CreativePages/CustomReportCreativeDetail.aspx?App=23&amp;ReportView=4&amp;Qid=1711279&amp;Row=20059&amp;Col=1","No Title Assigned - #15279137748")</f>
        <v/>
      </c>
      <c r="B20067" s="0" t="s">
        <v>26628</v>
      </c>
      <c r="E20067" s="0" t="inlineStr">
        <is>
          <t xml:space="preserve">Mazda</t>
        </is>
      </c>
      <c r="F20067" s="0" t="s">
        <v>13</v>
      </c>
      <c r="G20067" s="0" t="s">
        <v>49</v>
      </c>
      <c r="H20067" s="5">
        <v>1380.500100</v>
      </c>
    </row>
    <row r="20068" spans="1:9">
      <c r="A20068" s="22" t="str">
        <f>HYPERLINK("https://app.vivvix.com/360/KMI/IntelliDrive/ApplUI/Pages/CreativePages/CustomReportCreativeDetail.aspx?App=23&amp;ReportView=4&amp;Qid=1711279&amp;Row=20060&amp;Col=1","No Title Assigned - #15279138111")</f>
        <v/>
      </c>
      <c r="B20068" s="0" t="s">
        <v>26630</v>
      </c>
      <c r="C20068" s="0" t="s">
        <v>26631</v>
      </c>
      <c r="D20068" s="0" t="s">
        <v>10988</v>
      </c>
      <c r="E20068" s="0" t="inlineStr">
        <is>
          <t xml:space="preserve">Mazda</t>
        </is>
      </c>
      <c r="F20068" s="0" t="s">
        <v>13</v>
      </c>
      <c r="G20068" s="0" t="s">
        <v>49</v>
      </c>
      <c r="H20068" s="5">
        <v>769.224100</v>
      </c>
    </row>
    <row r="20069" spans="1:9">
      <c r="A20069" s="22" t="str">
        <f>HYPERLINK("https://app.vivvix.com/360/KMI/IntelliDrive/ApplUI/Pages/CreativePages/CustomReportCreativeDetail.aspx?App=23&amp;ReportView=4&amp;Qid=1711279&amp;Row=20061&amp;Col=1","No Title Assigned - #15279138163")</f>
        <v/>
      </c>
      <c r="B20069" s="0" t="s">
        <v>26632</v>
      </c>
      <c r="C20069" s="0" t="s">
        <v>26633</v>
      </c>
      <c r="D20069" s="0" t="s">
        <v>4335</v>
      </c>
      <c r="E20069" s="0" t="inlineStr">
        <is>
          <t xml:space="preserve">Mazda</t>
        </is>
      </c>
      <c r="F20069" s="0" t="s">
        <v>13</v>
      </c>
      <c r="G20069" s="0" t="s">
        <v>49</v>
      </c>
      <c r="H20069" s="5">
        <v>892.635000</v>
      </c>
    </row>
    <row r="20070" spans="1:9">
      <c r="A20070" s="22" t="str">
        <f>HYPERLINK("https://app.vivvix.com/360/KMI/IntelliDrive/ApplUI/Pages/CreativePages/CustomReportCreativeDetail.aspx?App=23&amp;ReportView=4&amp;Qid=1711279&amp;Row=20062&amp;Col=1","No Title Assigned - #15279139464")</f>
        <v/>
      </c>
      <c r="B20070" s="0" t="s">
        <v>26634</v>
      </c>
      <c r="C20070" s="0" t="s">
        <v>26635</v>
      </c>
      <c r="D20070" s="0" t="s">
        <v>5013</v>
      </c>
      <c r="E20070" s="0" t="inlineStr">
        <is>
          <t xml:space="preserve">Mazda</t>
        </is>
      </c>
      <c r="F20070" s="0" t="s">
        <v>13</v>
      </c>
      <c r="G20070" s="0" t="s">
        <v>49</v>
      </c>
      <c r="H20070" s="5">
        <v>237.927900</v>
      </c>
    </row>
    <row r="20071" spans="1:9">
      <c r="A20071" s="22" t="str">
        <f>HYPERLINK("https://app.vivvix.com/360/KMI/IntelliDrive/ApplUI/Pages/CreativePages/CustomReportCreativeDetail.aspx?App=23&amp;ReportView=4&amp;Qid=1711279&amp;Row=20063&amp;Col=1","No Title Assigned - #15279139669")</f>
        <v/>
      </c>
      <c r="B20071" s="0" t="s">
        <v>26636</v>
      </c>
      <c r="C20071" s="0" t="s">
        <v>26637</v>
      </c>
      <c r="D20071" s="0" t="s">
        <v>20566</v>
      </c>
      <c r="E20071" s="0" t="inlineStr">
        <is>
          <t xml:space="preserve">Mazda</t>
        </is>
      </c>
      <c r="F20071" s="0" t="s">
        <v>13</v>
      </c>
      <c r="G20071" s="0" t="s">
        <v>49</v>
      </c>
      <c r="H20071" s="5">
        <v>18.403400</v>
      </c>
    </row>
    <row r="20072" spans="1:9">
      <c r="A20072" s="22" t="str">
        <f>HYPERLINK("https://app.vivvix.com/360/KMI/IntelliDrive/ApplUI/Pages/CreativePages/CustomReportCreativeDetail.aspx?App=23&amp;ReportView=4&amp;Qid=1711279&amp;Row=20064&amp;Col=1","No Title Assigned - #15279139863")</f>
        <v/>
      </c>
      <c r="B20072" s="0" t="s">
        <v>26638</v>
      </c>
      <c r="C20072" s="0" t="s">
        <v>26639</v>
      </c>
      <c r="D20072" s="0" t="s">
        <v>26639</v>
      </c>
      <c r="E20072" s="0" t="inlineStr">
        <is>
          <t xml:space="preserve">Mazda</t>
        </is>
      </c>
      <c r="F20072" s="0" t="s">
        <v>13</v>
      </c>
      <c r="G20072" s="0" t="s">
        <v>49</v>
      </c>
      <c r="H20072" s="5">
        <v>8.209200</v>
      </c>
    </row>
    <row r="20073" spans="1:9">
      <c r="A20073" s="22" t="str">
        <f>HYPERLINK("https://app.vivvix.com/360/KMI/IntelliDrive/ApplUI/Pages/CreativePages/CustomReportCreativeDetail.aspx?App=23&amp;ReportView=4&amp;Qid=1711279&amp;Row=20065&amp;Col=1","No Title Assigned - #15279140150")</f>
        <v/>
      </c>
      <c r="B20073" s="0" t="s">
        <v>26640</v>
      </c>
      <c r="C20073" s="0" t="s">
        <v>26641</v>
      </c>
      <c r="D20073" s="0" t="s">
        <v>10004</v>
      </c>
      <c r="E20073" s="0" t="inlineStr">
        <is>
          <t xml:space="preserve">Mazda</t>
        </is>
      </c>
      <c r="F20073" s="0" t="s">
        <v>13</v>
      </c>
      <c r="G20073" s="0" t="s">
        <v>49</v>
      </c>
      <c r="H20073" s="5">
        <v>506.578100</v>
      </c>
    </row>
    <row r="20074" spans="1:9">
      <c r="A20074" s="22" t="str">
        <f>HYPERLINK("https://app.vivvix.com/360/KMI/IntelliDrive/ApplUI/Pages/CreativePages/CustomReportCreativeDetail.aspx?App=23&amp;ReportView=4&amp;Qid=1711279&amp;Row=20066&amp;Col=1","No Title Assigned - #15279140292")</f>
        <v/>
      </c>
      <c r="B20074" s="0" t="s">
        <v>26642</v>
      </c>
      <c r="C20074" s="0" t="s">
        <v>26643</v>
      </c>
      <c r="D20074" s="0" t="s">
        <v>26643</v>
      </c>
      <c r="E20074" s="0" t="inlineStr">
        <is>
          <t xml:space="preserve">Mazda</t>
        </is>
      </c>
      <c r="F20074" s="0" t="s">
        <v>13</v>
      </c>
      <c r="G20074" s="0" t="s">
        <v>49</v>
      </c>
      <c r="H20074" s="5">
        <v>5509.300100</v>
      </c>
    </row>
    <row r="20075" spans="1:9">
      <c r="A20075" s="22" t="str">
        <f>HYPERLINK("https://app.vivvix.com/360/KMI/IntelliDrive/ApplUI/Pages/CreativePages/CustomReportCreativeDetail.aspx?App=23&amp;ReportView=4&amp;Qid=1711279&amp;Row=20067&amp;Col=1","No Title Assigned - #15279140776")</f>
        <v/>
      </c>
      <c r="B20075" s="0" t="s">
        <v>26644</v>
      </c>
      <c r="C20075" s="0" t="s">
        <v>26645</v>
      </c>
      <c r="D20075" s="0" t="s">
        <v>6404</v>
      </c>
      <c r="E20075" s="0" t="inlineStr">
        <is>
          <t xml:space="preserve">Mazda</t>
        </is>
      </c>
      <c r="F20075" s="0" t="s">
        <v>13</v>
      </c>
      <c r="G20075" s="0" t="s">
        <v>49</v>
      </c>
      <c r="H20075" s="5">
        <v>89.442600</v>
      </c>
    </row>
    <row r="20076" spans="1:9">
      <c r="A20076" s="22" t="str">
        <f>HYPERLINK("https://app.vivvix.com/360/KMI/IntelliDrive/ApplUI/Pages/CreativePages/CustomReportCreativeDetail.aspx?App=23&amp;ReportView=4&amp;Qid=1711279&amp;Row=20068&amp;Col=1","No Title Assigned - #15279140880")</f>
        <v/>
      </c>
      <c r="B20076" s="0" t="s">
        <v>26646</v>
      </c>
      <c r="C20076" s="0" t="s">
        <v>26647</v>
      </c>
      <c r="D20076" s="0" t="s">
        <v>6404</v>
      </c>
      <c r="E20076" s="0" t="inlineStr">
        <is>
          <t xml:space="preserve">Mazda</t>
        </is>
      </c>
      <c r="F20076" s="0" t="s">
        <v>13</v>
      </c>
      <c r="G20076" s="0" t="s">
        <v>49</v>
      </c>
      <c r="H20076" s="5">
        <v>543.995800</v>
      </c>
    </row>
    <row r="20077" spans="1:9">
      <c r="A20077" s="22" t="str">
        <f>HYPERLINK("https://app.vivvix.com/360/KMI/IntelliDrive/ApplUI/Pages/CreativePages/CustomReportCreativeDetail.aspx?App=23&amp;ReportView=4&amp;Qid=1711279&amp;Row=20069&amp;Col=1","No Title Assigned - #15279140961")</f>
        <v/>
      </c>
      <c r="B20077" s="0" t="s">
        <v>26648</v>
      </c>
      <c r="C20077" s="0" t="s">
        <v>26649</v>
      </c>
      <c r="D20077" s="0" t="s">
        <v>6183</v>
      </c>
      <c r="E20077" s="0" t="inlineStr">
        <is>
          <t xml:space="preserve">Mazda</t>
        </is>
      </c>
      <c r="F20077" s="0" t="s">
        <v>13</v>
      </c>
      <c r="G20077" s="0" t="s">
        <v>49</v>
      </c>
      <c r="H20077" s="5">
        <v>1610.183000</v>
      </c>
    </row>
    <row r="20078" spans="1:9">
      <c r="A20078" s="22" t="str">
        <f>HYPERLINK("https://app.vivvix.com/360/KMI/IntelliDrive/ApplUI/Pages/CreativePages/CustomReportCreativeDetail.aspx?App=23&amp;ReportView=4&amp;Qid=1711279&amp;Row=20070&amp;Col=1","No Title Assigned - #15279140989")</f>
        <v/>
      </c>
      <c r="B20078" s="0" t="s">
        <v>26650</v>
      </c>
      <c r="C20078" s="0" t="s">
        <v>26651</v>
      </c>
      <c r="D20078" s="0" t="s">
        <v>26651</v>
      </c>
      <c r="E20078" s="0" t="inlineStr">
        <is>
          <t xml:space="preserve">Mazda</t>
        </is>
      </c>
      <c r="F20078" s="0" t="s">
        <v>13</v>
      </c>
      <c r="G20078" s="0" t="s">
        <v>49</v>
      </c>
      <c r="H20078" s="5">
        <v>9134.085400</v>
      </c>
    </row>
    <row r="20079" spans="1:9">
      <c r="A20079" s="22" t="str">
        <f>HYPERLINK("https://app.vivvix.com/360/KMI/IntelliDrive/ApplUI/Pages/CreativePages/CustomReportCreativeDetail.aspx?App=23&amp;ReportView=4&amp;Qid=1711279&amp;Row=20071&amp;Col=1","No Title Assigned - #15279140998")</f>
        <v/>
      </c>
      <c r="B20079" s="0" t="s">
        <v>26652</v>
      </c>
      <c r="E20079" s="0" t="inlineStr">
        <is>
          <t xml:space="preserve">Mazda</t>
        </is>
      </c>
      <c r="F20079" s="0" t="inlineStr">
        <is>
          <t xml:space="preserve">Mazda</t>
        </is>
      </c>
      <c r="G20079" s="0" t="s">
        <v>210</v>
      </c>
      <c r="H20079" s="5">
        <v>6244.062600</v>
      </c>
    </row>
    <row r="20080" spans="1:9">
      <c r="A20080" s="22" t="str">
        <f>HYPERLINK("https://app.vivvix.com/360/KMI/IntelliDrive/ApplUI/Pages/CreativePages/CustomReportCreativeDetail.aspx?App=23&amp;ReportView=4&amp;Qid=1711279&amp;Row=20072&amp;Col=1","No Title Assigned - #15279140998")</f>
        <v/>
      </c>
      <c r="B20080" s="0" t="s">
        <v>26652</v>
      </c>
      <c r="C20080" s="0" t="s">
        <v>26653</v>
      </c>
      <c r="D20080" s="0" t="s">
        <v>26653</v>
      </c>
      <c r="E20080" s="0" t="inlineStr">
        <is>
          <t xml:space="preserve">Mazda</t>
        </is>
      </c>
      <c r="F20080" s="0" t="inlineStr">
        <is>
          <t xml:space="preserve">Mazda</t>
        </is>
      </c>
      <c r="G20080" s="0" t="s">
        <v>210</v>
      </c>
      <c r="H20080" s="5">
        <v>47811.554400</v>
      </c>
    </row>
    <row r="20081" spans="1:9">
      <c r="A20081" s="22" t="str">
        <f>HYPERLINK("https://app.vivvix.com/360/KMI/IntelliDrive/ApplUI/Pages/CreativePages/CustomReportCreativeDetail.aspx?App=23&amp;ReportView=4&amp;Qid=1711279&amp;Row=20073&amp;Col=1","No Title Assigned - #15279141071")</f>
        <v/>
      </c>
      <c r="B20081" s="0" t="s">
        <v>26654</v>
      </c>
      <c r="C20081" s="0" t="s">
        <v>26655</v>
      </c>
      <c r="D20081" s="0" t="s">
        <v>5013</v>
      </c>
      <c r="E20081" s="0" t="inlineStr">
        <is>
          <t xml:space="preserve">Mazda</t>
        </is>
      </c>
      <c r="F20081" s="0" t="s">
        <v>13</v>
      </c>
      <c r="G20081" s="0" t="s">
        <v>49</v>
      </c>
      <c r="H20081" s="5">
        <v>113.096000</v>
      </c>
    </row>
    <row r="20082" spans="1:9">
      <c r="A20082" s="22" t="str">
        <f>HYPERLINK("https://app.vivvix.com/360/KMI/IntelliDrive/ApplUI/Pages/CreativePages/CustomReportCreativeDetail.aspx?App=23&amp;ReportView=4&amp;Qid=1711279&amp;Row=20074&amp;Col=1","No Title Assigned - #15279141118")</f>
        <v/>
      </c>
      <c r="B20082" s="0" t="s">
        <v>26656</v>
      </c>
      <c r="C20082" s="0" t="s">
        <v>26657</v>
      </c>
      <c r="D20082" s="0" t="s">
        <v>9749</v>
      </c>
      <c r="E20082" s="0" t="inlineStr">
        <is>
          <t xml:space="preserve">Mazda</t>
        </is>
      </c>
      <c r="F20082" s="0" t="s">
        <v>13</v>
      </c>
      <c r="G20082" s="0" t="s">
        <v>49</v>
      </c>
      <c r="H20082" s="5">
        <v>1872.246900</v>
      </c>
    </row>
    <row r="20083" spans="1:9">
      <c r="A20083" s="22" t="str">
        <f>HYPERLINK("https://app.vivvix.com/360/KMI/IntelliDrive/ApplUI/Pages/CreativePages/CustomReportCreativeDetail.aspx?App=23&amp;ReportView=4&amp;Qid=1711279&amp;Row=20075&amp;Col=1","No Title Assigned - #15279141475")</f>
        <v/>
      </c>
      <c r="B20083" s="0" t="s">
        <v>26658</v>
      </c>
      <c r="C20083" s="0" t="s">
        <v>26659</v>
      </c>
      <c r="D20083" s="0" t="s">
        <v>5013</v>
      </c>
      <c r="E20083" s="0" t="inlineStr">
        <is>
          <t xml:space="preserve">Mazda</t>
        </is>
      </c>
      <c r="F20083" s="0" t="s">
        <v>13</v>
      </c>
      <c r="G20083" s="0" t="s">
        <v>49</v>
      </c>
      <c r="H20083" s="5">
        <v>4850.985700</v>
      </c>
    </row>
    <row r="20084" spans="1:9">
      <c r="A20084" s="22" t="str">
        <f>HYPERLINK("https://app.vivvix.com/360/KMI/IntelliDrive/ApplUI/Pages/CreativePages/CustomReportCreativeDetail.aspx?App=23&amp;ReportView=4&amp;Qid=1711279&amp;Row=20076&amp;Col=1","No Title Assigned - #15279141856")</f>
        <v/>
      </c>
      <c r="B20084" s="0" t="s">
        <v>26660</v>
      </c>
      <c r="C20084" s="0" t="s">
        <v>26661</v>
      </c>
      <c r="D20084" s="0" t="s">
        <v>4774</v>
      </c>
      <c r="E20084" s="0" t="inlineStr">
        <is>
          <t xml:space="preserve">Mazda</t>
        </is>
      </c>
      <c r="F20084" s="0" t="s">
        <v>13</v>
      </c>
      <c r="G20084" s="0" t="s">
        <v>49</v>
      </c>
      <c r="H20084" s="5">
        <v>117.188900</v>
      </c>
    </row>
    <row r="20085" spans="1:9">
      <c r="A20085" s="22" t="str">
        <f>HYPERLINK("https://app.vivvix.com/360/KMI/IntelliDrive/ApplUI/Pages/CreativePages/CustomReportCreativeDetail.aspx?App=23&amp;ReportView=4&amp;Qid=1711279&amp;Row=20077&amp;Col=1","No Title Assigned - #15279142128")</f>
        <v/>
      </c>
      <c r="B20085" s="0" t="s">
        <v>26662</v>
      </c>
      <c r="C20085" s="0" t="s">
        <v>26663</v>
      </c>
      <c r="D20085" s="0" t="s">
        <v>26663</v>
      </c>
      <c r="E20085" s="0" t="inlineStr">
        <is>
          <t xml:space="preserve">Mazda</t>
        </is>
      </c>
      <c r="F20085" s="0" t="inlineStr">
        <is>
          <t xml:space="preserve">Mazda</t>
        </is>
      </c>
      <c r="G20085" s="0" t="s">
        <v>210</v>
      </c>
      <c r="H20085" s="5">
        <v>1763.408300</v>
      </c>
    </row>
    <row r="20086" spans="1:9">
      <c r="A20086" s="22" t="str">
        <f>HYPERLINK("https://app.vivvix.com/360/KMI/IntelliDrive/ApplUI/Pages/CreativePages/CustomReportCreativeDetail.aspx?App=23&amp;ReportView=4&amp;Qid=1711279&amp;Row=20078&amp;Col=1","No Title Assigned - #15279142270")</f>
        <v/>
      </c>
      <c r="B20086" s="0" t="s">
        <v>26664</v>
      </c>
      <c r="C20086" s="0" t="s">
        <v>26665</v>
      </c>
      <c r="D20086" s="0" t="s">
        <v>22153</v>
      </c>
      <c r="E20086" s="0" t="inlineStr">
        <is>
          <t xml:space="preserve">Mazda</t>
        </is>
      </c>
      <c r="F20086" s="0" t="s">
        <v>13</v>
      </c>
      <c r="G20086" s="0" t="s">
        <v>49</v>
      </c>
      <c r="H20086" s="5">
        <v>582.575100</v>
      </c>
    </row>
    <row r="20087" spans="1:9">
      <c r="A20087" s="22" t="str">
        <f>HYPERLINK("https://app.vivvix.com/360/KMI/IntelliDrive/ApplUI/Pages/CreativePages/CustomReportCreativeDetail.aspx?App=23&amp;ReportView=4&amp;Qid=1711279&amp;Row=20079&amp;Col=1","No Title Assigned - #15279142541")</f>
        <v/>
      </c>
      <c r="B20087" s="0" t="s">
        <v>26666</v>
      </c>
      <c r="C20087" s="0" t="s">
        <v>26667</v>
      </c>
      <c r="D20087" s="0" t="s">
        <v>4774</v>
      </c>
      <c r="E20087" s="0" t="inlineStr">
        <is>
          <t xml:space="preserve">Mazda</t>
        </is>
      </c>
      <c r="F20087" s="0" t="s">
        <v>13</v>
      </c>
      <c r="G20087" s="0" t="s">
        <v>49</v>
      </c>
      <c r="H20087" s="5">
        <v>165.553000</v>
      </c>
    </row>
    <row r="20088" spans="1:9">
      <c r="A20088" s="22" t="str">
        <f>HYPERLINK("https://app.vivvix.com/360/KMI/IntelliDrive/ApplUI/Pages/CreativePages/CustomReportCreativeDetail.aspx?App=23&amp;ReportView=4&amp;Qid=1711279&amp;Row=20080&amp;Col=1","No Title Assigned - #15279143273")</f>
        <v/>
      </c>
      <c r="B20088" s="0" t="s">
        <v>26668</v>
      </c>
      <c r="C20088" s="0" t="s">
        <v>26669</v>
      </c>
      <c r="D20088" s="0" t="s">
        <v>20566</v>
      </c>
      <c r="E20088" s="0" t="inlineStr">
        <is>
          <t xml:space="preserve">Mazda</t>
        </is>
      </c>
      <c r="F20088" s="0" t="s">
        <v>13</v>
      </c>
      <c r="G20088" s="0" t="s">
        <v>49</v>
      </c>
      <c r="H20088" s="5">
        <v>114.941200</v>
      </c>
    </row>
    <row r="20089" spans="1:9">
      <c r="A20089" s="22" t="str">
        <f>HYPERLINK("https://app.vivvix.com/360/KMI/IntelliDrive/ApplUI/Pages/CreativePages/CustomReportCreativeDetail.aspx?App=23&amp;ReportView=4&amp;Qid=1711279&amp;Row=20081&amp;Col=1","No Title Assigned - #15279143383")</f>
        <v/>
      </c>
      <c r="B20089" s="0" t="s">
        <v>26670</v>
      </c>
      <c r="C20089" s="0" t="s">
        <v>26671</v>
      </c>
      <c r="D20089" s="0" t="s">
        <v>9729</v>
      </c>
      <c r="E20089" s="0" t="inlineStr">
        <is>
          <t xml:space="preserve">Mazda</t>
        </is>
      </c>
      <c r="F20089" s="0" t="s">
        <v>13</v>
      </c>
      <c r="G20089" s="0" t="s">
        <v>49</v>
      </c>
      <c r="H20089" s="5">
        <v>404.777000</v>
      </c>
    </row>
    <row r="20090" spans="1:9">
      <c r="A20090" s="22" t="str">
        <f>HYPERLINK("https://app.vivvix.com/360/KMI/IntelliDrive/ApplUI/Pages/CreativePages/CustomReportCreativeDetail.aspx?App=23&amp;ReportView=4&amp;Qid=1711279&amp;Row=20082&amp;Col=1","No Title Assigned - #15279143475")</f>
        <v/>
      </c>
      <c r="B20090" s="0" t="s">
        <v>26672</v>
      </c>
      <c r="C20090" s="0" t="s">
        <v>26673</v>
      </c>
      <c r="D20090" s="0" t="s">
        <v>6183</v>
      </c>
      <c r="E20090" s="0" t="inlineStr">
        <is>
          <t xml:space="preserve">Mazda</t>
        </is>
      </c>
      <c r="F20090" s="0" t="s">
        <v>13</v>
      </c>
      <c r="G20090" s="0" t="s">
        <v>49</v>
      </c>
      <c r="H20090" s="5">
        <v>1414.599600</v>
      </c>
    </row>
    <row r="20091" spans="1:9">
      <c r="A20091" s="22" t="str">
        <f>HYPERLINK("https://app.vivvix.com/360/KMI/IntelliDrive/ApplUI/Pages/CreativePages/CustomReportCreativeDetail.aspx?App=23&amp;ReportView=4&amp;Qid=1711279&amp;Row=20083&amp;Col=1","No Title Assigned - #15279143494")</f>
        <v/>
      </c>
      <c r="B20091" s="0" t="s">
        <v>26674</v>
      </c>
      <c r="C20091" s="0" t="s">
        <v>26675</v>
      </c>
      <c r="D20091" s="0" t="s">
        <v>26675</v>
      </c>
      <c r="E20091" s="0" t="inlineStr">
        <is>
          <t xml:space="preserve">Mazda</t>
        </is>
      </c>
      <c r="F20091" s="0" t="inlineStr">
        <is>
          <t xml:space="preserve">Mazda</t>
        </is>
      </c>
      <c r="G20091" s="0" t="s">
        <v>210</v>
      </c>
      <c r="H20091" s="5">
        <v>9839.182400</v>
      </c>
    </row>
    <row r="20092" spans="1:9">
      <c r="A20092" s="22" t="str">
        <f>HYPERLINK("https://app.vivvix.com/360/KMI/IntelliDrive/ApplUI/Pages/CreativePages/CustomReportCreativeDetail.aspx?App=23&amp;ReportView=4&amp;Qid=1711279&amp;Row=20084&amp;Col=1","No Title Assigned - #15279143494")</f>
        <v/>
      </c>
      <c r="B20092" s="0" t="s">
        <v>26674</v>
      </c>
      <c r="E20092" s="0" t="inlineStr">
        <is>
          <t xml:space="preserve">Mazda</t>
        </is>
      </c>
      <c r="F20092" s="0" t="inlineStr">
        <is>
          <t xml:space="preserve">Mazda</t>
        </is>
      </c>
      <c r="G20092" s="0" t="s">
        <v>210</v>
      </c>
      <c r="H20092" s="5">
        <v>818.083300</v>
      </c>
    </row>
    <row r="20093" spans="1:9">
      <c r="A20093" s="22" t="str">
        <f>HYPERLINK("https://app.vivvix.com/360/KMI/IntelliDrive/ApplUI/Pages/CreativePages/CustomReportCreativeDetail.aspx?App=23&amp;ReportView=4&amp;Qid=1711279&amp;Row=20085&amp;Col=1","No Title Assigned - #15279144010")</f>
        <v/>
      </c>
      <c r="B20093" s="0" t="s">
        <v>26676</v>
      </c>
      <c r="C20093" s="0" t="s">
        <v>26677</v>
      </c>
      <c r="D20093" s="0" t="s">
        <v>6183</v>
      </c>
      <c r="E20093" s="0" t="inlineStr">
        <is>
          <t xml:space="preserve">Mazda</t>
        </is>
      </c>
      <c r="F20093" s="0" t="s">
        <v>13</v>
      </c>
      <c r="G20093" s="0" t="s">
        <v>49</v>
      </c>
      <c r="H20093" s="5">
        <v>154326.572800</v>
      </c>
    </row>
    <row r="20094" spans="1:9">
      <c r="A20094" s="22" t="str">
        <f>HYPERLINK("https://app.vivvix.com/360/KMI/IntelliDrive/ApplUI/Pages/CreativePages/CustomReportCreativeDetail.aspx?App=23&amp;ReportView=4&amp;Qid=1711279&amp;Row=20086&amp;Col=1","No Title Assigned - #15279145399")</f>
        <v/>
      </c>
      <c r="B20094" s="0" t="s">
        <v>26678</v>
      </c>
      <c r="C20094" s="0" t="s">
        <v>26679</v>
      </c>
      <c r="D20094" s="0" t="s">
        <v>9364</v>
      </c>
      <c r="E20094" s="0" t="inlineStr">
        <is>
          <t xml:space="preserve">Mazda</t>
        </is>
      </c>
      <c r="F20094" s="0" t="s">
        <v>13</v>
      </c>
      <c r="G20094" s="0" t="s">
        <v>49</v>
      </c>
      <c r="H20094" s="5">
        <v>989.300400</v>
      </c>
    </row>
    <row r="20095" spans="1:9">
      <c r="A20095" s="22" t="str">
        <f>HYPERLINK("https://app.vivvix.com/360/KMI/IntelliDrive/ApplUI/Pages/CreativePages/CustomReportCreativeDetail.aspx?App=23&amp;ReportView=4&amp;Qid=1711279&amp;Row=20087&amp;Col=1","No Title Assigned - #15279148137")</f>
        <v/>
      </c>
      <c r="B20095" s="0" t="s">
        <v>26680</v>
      </c>
      <c r="C20095" s="0" t="s">
        <v>26681</v>
      </c>
      <c r="D20095" s="0" t="s">
        <v>21329</v>
      </c>
      <c r="E20095" s="0" t="inlineStr">
        <is>
          <t xml:space="preserve">Mazda</t>
        </is>
      </c>
      <c r="F20095" s="0" t="s">
        <v>13</v>
      </c>
      <c r="G20095" s="0" t="s">
        <v>49</v>
      </c>
      <c r="H20095" s="5">
        <v>402.029700</v>
      </c>
    </row>
    <row r="20096" spans="1:9">
      <c r="A20096" s="22" t="str">
        <f>HYPERLINK("https://app.vivvix.com/360/KMI/IntelliDrive/ApplUI/Pages/CreativePages/CustomReportCreativeDetail.aspx?App=23&amp;ReportView=4&amp;Qid=1711279&amp;Row=20088&amp;Col=1","No Title Assigned - #15279168875")</f>
        <v/>
      </c>
      <c r="B20096" s="0" t="s">
        <v>26682</v>
      </c>
      <c r="C20096" s="0" t="s">
        <v>26683</v>
      </c>
      <c r="D20096" s="0" t="s">
        <v>26683</v>
      </c>
      <c r="E20096" s="0" t="inlineStr">
        <is>
          <t xml:space="preserve">Mazda</t>
        </is>
      </c>
      <c r="F20096" s="0" t="s">
        <v>28</v>
      </c>
      <c r="G20096" s="0" t="s">
        <v>29</v>
      </c>
      <c r="H20096" s="5">
        <v>324.904800</v>
      </c>
    </row>
    <row r="20097" spans="1:9">
      <c r="A20097" s="22" t="str">
        <f>HYPERLINK("https://app.vivvix.com/360/KMI/IntelliDrive/ApplUI/Pages/CreativePages/CustomReportCreativeDetail.aspx?App=23&amp;ReportView=4&amp;Qid=1711279&amp;Row=20089&amp;Col=1","No Title Assigned - #15279169435")</f>
        <v/>
      </c>
      <c r="B20097" s="0" t="s">
        <v>26684</v>
      </c>
      <c r="C20097" s="0" t="s">
        <v>26685</v>
      </c>
      <c r="D20097" s="0" t="s">
        <v>26685</v>
      </c>
      <c r="E20097" s="0" t="inlineStr">
        <is>
          <t xml:space="preserve">Mazda</t>
        </is>
      </c>
      <c r="F20097" s="0" t="s">
        <v>13</v>
      </c>
      <c r="G20097" s="0" t="s">
        <v>49</v>
      </c>
      <c r="H20097" s="5">
        <v>921.196300</v>
      </c>
    </row>
    <row r="20098" spans="1:9">
      <c r="A20098" s="22" t="str">
        <f>HYPERLINK("https://app.vivvix.com/360/KMI/IntelliDrive/ApplUI/Pages/CreativePages/CustomReportCreativeDetail.aspx?App=23&amp;ReportView=4&amp;Qid=1711279&amp;Row=20090&amp;Col=1","No Title Assigned - #15279170443")</f>
        <v/>
      </c>
      <c r="B20098" s="0" t="s">
        <v>26686</v>
      </c>
      <c r="C20098" s="0" t="s">
        <v>26687</v>
      </c>
      <c r="D20098" s="0" t="s">
        <v>21519</v>
      </c>
      <c r="E20098" s="0" t="inlineStr">
        <is>
          <t xml:space="preserve">Mazda</t>
        </is>
      </c>
      <c r="F20098" s="0" t="s">
        <v>13</v>
      </c>
      <c r="G20098" s="0" t="s">
        <v>49</v>
      </c>
      <c r="H20098" s="5">
        <v>427.798900</v>
      </c>
    </row>
    <row r="20099" spans="1:9">
      <c r="A20099" s="22" t="str">
        <f>HYPERLINK("https://app.vivvix.com/360/KMI/IntelliDrive/ApplUI/Pages/CreativePages/CustomReportCreativeDetail.aspx?App=23&amp;ReportView=4&amp;Qid=1711279&amp;Row=20091&amp;Col=1","No Title Assigned - #15279171492")</f>
        <v/>
      </c>
      <c r="B20099" s="0" t="s">
        <v>26688</v>
      </c>
      <c r="C20099" s="0" t="s">
        <v>26689</v>
      </c>
      <c r="D20099" s="0" t="s">
        <v>5013</v>
      </c>
      <c r="E20099" s="0" t="inlineStr">
        <is>
          <t xml:space="preserve">Mazda</t>
        </is>
      </c>
      <c r="F20099" s="0" t="s">
        <v>13</v>
      </c>
      <c r="G20099" s="0" t="s">
        <v>49</v>
      </c>
      <c r="H20099" s="5">
        <v>545.681100</v>
      </c>
    </row>
    <row r="20100" spans="1:9">
      <c r="A20100" s="22" t="str">
        <f>HYPERLINK("https://app.vivvix.com/360/KMI/IntelliDrive/ApplUI/Pages/CreativePages/CustomReportCreativeDetail.aspx?App=23&amp;ReportView=4&amp;Qid=1711279&amp;Row=20092&amp;Col=1","No Title Assigned - #15279173639")</f>
        <v/>
      </c>
      <c r="B20100" s="0" t="s">
        <v>26690</v>
      </c>
      <c r="C20100" s="0" t="s">
        <v>26691</v>
      </c>
      <c r="D20100" s="0" t="s">
        <v>26691</v>
      </c>
      <c r="E20100" s="0" t="inlineStr">
        <is>
          <t xml:space="preserve">Mazda</t>
        </is>
      </c>
      <c r="F20100" s="0" t="s">
        <v>13</v>
      </c>
      <c r="G20100" s="0" t="s">
        <v>49</v>
      </c>
      <c r="H20100" s="5">
        <v>12.022400</v>
      </c>
    </row>
    <row r="20101" spans="1:9">
      <c r="A20101" s="22" t="str">
        <f>HYPERLINK("https://app.vivvix.com/360/KMI/IntelliDrive/ApplUI/Pages/CreativePages/CustomReportCreativeDetail.aspx?App=23&amp;ReportView=4&amp;Qid=1711279&amp;Row=20093&amp;Col=1","No Title Assigned - #15279175546")</f>
        <v/>
      </c>
      <c r="B20101" s="0" t="s">
        <v>26692</v>
      </c>
      <c r="E20101" s="0" t="inlineStr">
        <is>
          <t xml:space="preserve">Mazda</t>
        </is>
      </c>
      <c r="F20101" s="0" t="s">
        <v>13</v>
      </c>
      <c r="G20101" s="0" t="s">
        <v>49</v>
      </c>
      <c r="H20101" s="5">
        <v>316.044200</v>
      </c>
    </row>
    <row r="20102" spans="1:9">
      <c r="A20102" s="22" t="str">
        <f>HYPERLINK("https://app.vivvix.com/360/KMI/IntelliDrive/ApplUI/Pages/CreativePages/CustomReportCreativeDetail.aspx?App=23&amp;ReportView=4&amp;Qid=1711279&amp;Row=20094&amp;Col=1","No Title Assigned - #15279179475")</f>
        <v/>
      </c>
      <c r="B20102" s="0" t="s">
        <v>26693</v>
      </c>
      <c r="C20102" s="0" t="s">
        <v>26694</v>
      </c>
      <c r="D20102" s="0" t="s">
        <v>5013</v>
      </c>
      <c r="E20102" s="0" t="inlineStr">
        <is>
          <t xml:space="preserve">Mazda</t>
        </is>
      </c>
      <c r="F20102" s="0" t="s">
        <v>13</v>
      </c>
      <c r="G20102" s="0" t="s">
        <v>49</v>
      </c>
      <c r="H20102" s="5">
        <v>448.385700</v>
      </c>
    </row>
    <row r="20103" spans="1:9">
      <c r="A20103" s="22" t="str">
        <f>HYPERLINK("https://app.vivvix.com/360/KMI/IntelliDrive/ApplUI/Pages/CreativePages/CustomReportCreativeDetail.aspx?App=23&amp;ReportView=4&amp;Qid=1711279&amp;Row=20095&amp;Col=1","No Title Assigned - #15279181141")</f>
        <v/>
      </c>
      <c r="B20103" s="0" t="s">
        <v>26695</v>
      </c>
      <c r="C20103" s="0" t="s">
        <v>26696</v>
      </c>
      <c r="D20103" s="0" t="s">
        <v>5013</v>
      </c>
      <c r="E20103" s="0" t="inlineStr">
        <is>
          <t xml:space="preserve">Mazda</t>
        </is>
      </c>
      <c r="F20103" s="0" t="s">
        <v>13</v>
      </c>
      <c r="G20103" s="0" t="s">
        <v>49</v>
      </c>
      <c r="H20103" s="5">
        <v>2789.217800</v>
      </c>
    </row>
    <row r="20104" spans="1:9">
      <c r="A20104" s="22" t="str">
        <f>HYPERLINK("https://app.vivvix.com/360/KMI/IntelliDrive/ApplUI/Pages/CreativePages/CustomReportCreativeDetail.aspx?App=23&amp;ReportView=4&amp;Qid=1711279&amp;Row=20096&amp;Col=1","No Title Assigned - #15279182633")</f>
        <v/>
      </c>
      <c r="B20104" s="0" t="s">
        <v>26697</v>
      </c>
      <c r="C20104" s="0" t="s">
        <v>26698</v>
      </c>
      <c r="D20104" s="0" t="s">
        <v>9167</v>
      </c>
      <c r="E20104" s="0" t="inlineStr">
        <is>
          <t xml:space="preserve">Mazda</t>
        </is>
      </c>
      <c r="F20104" s="0" t="s">
        <v>13</v>
      </c>
      <c r="G20104" s="0" t="s">
        <v>49</v>
      </c>
      <c r="H20104" s="5">
        <v>2787.346300</v>
      </c>
    </row>
    <row r="20105" spans="1:9">
      <c r="A20105" s="22" t="str">
        <f>HYPERLINK("https://app.vivvix.com/360/KMI/IntelliDrive/ApplUI/Pages/CreativePages/CustomReportCreativeDetail.aspx?App=23&amp;ReportView=4&amp;Qid=1711279&amp;Row=20097&amp;Col=1","No Title Assigned - #15279182633")</f>
        <v/>
      </c>
      <c r="B20105" s="0" t="s">
        <v>26697</v>
      </c>
      <c r="E20105" s="0" t="inlineStr">
        <is>
          <t xml:space="preserve">Mazda</t>
        </is>
      </c>
      <c r="F20105" s="0" t="s">
        <v>13</v>
      </c>
      <c r="G20105" s="0" t="s">
        <v>49</v>
      </c>
      <c r="H20105" s="5">
        <v>675.992900</v>
      </c>
    </row>
    <row r="20106" spans="1:9">
      <c r="A20106" s="22" t="str">
        <f>HYPERLINK("https://app.vivvix.com/360/KMI/IntelliDrive/ApplUI/Pages/CreativePages/CustomReportCreativeDetail.aspx?App=23&amp;ReportView=4&amp;Qid=1711279&amp;Row=20098&amp;Col=1","No Title Assigned - #15279182951")</f>
        <v/>
      </c>
      <c r="B20106" s="0" t="s">
        <v>26699</v>
      </c>
      <c r="E20106" s="0" t="inlineStr">
        <is>
          <t xml:space="preserve">Mazda</t>
        </is>
      </c>
      <c r="F20106" s="0" t="s">
        <v>28</v>
      </c>
      <c r="G20106" s="0" t="s">
        <v>29</v>
      </c>
      <c r="H20106" s="5">
        <v>18000.627400</v>
      </c>
    </row>
    <row r="20107" spans="1:9">
      <c r="A20107" s="22" t="str">
        <f>HYPERLINK("https://app.vivvix.com/360/KMI/IntelliDrive/ApplUI/Pages/CreativePages/CustomReportCreativeDetail.aspx?App=23&amp;ReportView=4&amp;Qid=1711279&amp;Row=20099&amp;Col=1","No Title Assigned - #15279182951")</f>
        <v/>
      </c>
      <c r="B20107" s="0" t="s">
        <v>26699</v>
      </c>
      <c r="C20107" s="0" t="s">
        <v>26700</v>
      </c>
      <c r="D20107" s="0" t="s">
        <v>26701</v>
      </c>
      <c r="E20107" s="0" t="inlineStr">
        <is>
          <t xml:space="preserve">Mazda</t>
        </is>
      </c>
      <c r="F20107" s="0" t="s">
        <v>28</v>
      </c>
      <c r="G20107" s="0" t="s">
        <v>29</v>
      </c>
      <c r="H20107" s="5">
        <v>2798.116800</v>
      </c>
    </row>
    <row r="20108" spans="1:9">
      <c r="A20108" s="22" t="str">
        <f>HYPERLINK("https://app.vivvix.com/360/KMI/IntelliDrive/ApplUI/Pages/CreativePages/CustomReportCreativeDetail.aspx?App=23&amp;ReportView=4&amp;Qid=1711279&amp;Row=20100&amp;Col=1","No Title Assigned - #15279182972")</f>
        <v/>
      </c>
      <c r="B20108" s="0" t="s">
        <v>26702</v>
      </c>
      <c r="C20108" s="0" t="s">
        <v>26703</v>
      </c>
      <c r="D20108" s="0" t="s">
        <v>23199</v>
      </c>
      <c r="E20108" s="0" t="inlineStr">
        <is>
          <t xml:space="preserve">Mazda</t>
        </is>
      </c>
      <c r="F20108" s="0" t="s">
        <v>13</v>
      </c>
      <c r="G20108" s="0" t="s">
        <v>49</v>
      </c>
      <c r="H20108" s="5">
        <v>149.584900</v>
      </c>
    </row>
    <row r="20109" spans="1:9">
      <c r="A20109" s="22" t="str">
        <f>HYPERLINK("https://app.vivvix.com/360/KMI/IntelliDrive/ApplUI/Pages/CreativePages/CustomReportCreativeDetail.aspx?App=23&amp;ReportView=4&amp;Qid=1711279&amp;Row=20101&amp;Col=1","No Title Assigned - #15279183851")</f>
        <v/>
      </c>
      <c r="B20109" s="0" t="s">
        <v>26704</v>
      </c>
      <c r="C20109" s="0" t="s">
        <v>26705</v>
      </c>
      <c r="D20109" s="0" t="s">
        <v>26705</v>
      </c>
      <c r="E20109" s="0" t="inlineStr">
        <is>
          <t xml:space="preserve">Mazda</t>
        </is>
      </c>
      <c r="F20109" s="0" t="inlineStr">
        <is>
          <t xml:space="preserve">Mazda</t>
        </is>
      </c>
      <c r="G20109" s="0" t="s">
        <v>210</v>
      </c>
      <c r="H20109" s="5">
        <v>52.299300</v>
      </c>
    </row>
    <row r="20110" spans="1:9">
      <c r="A20110" s="22" t="str">
        <f>HYPERLINK("https://app.vivvix.com/360/KMI/IntelliDrive/ApplUI/Pages/CreativePages/CustomReportCreativeDetail.aspx?App=23&amp;ReportView=4&amp;Qid=1711279&amp;Row=20102&amp;Col=1","No Title Assigned - #15279184509")</f>
        <v/>
      </c>
      <c r="B20110" s="0" t="s">
        <v>26706</v>
      </c>
      <c r="C20110" s="0" t="s">
        <v>26707</v>
      </c>
      <c r="D20110" s="0" t="s">
        <v>26707</v>
      </c>
      <c r="E20110" s="0" t="inlineStr">
        <is>
          <t xml:space="preserve">Mazda</t>
        </is>
      </c>
      <c r="F20110" s="0" t="s">
        <v>13</v>
      </c>
      <c r="G20110" s="0" t="s">
        <v>49</v>
      </c>
      <c r="H20110" s="5">
        <v>17.408200</v>
      </c>
    </row>
    <row r="20111" spans="1:9">
      <c r="A20111" s="22" t="str">
        <f>HYPERLINK("https://app.vivvix.com/360/KMI/IntelliDrive/ApplUI/Pages/CreativePages/CustomReportCreativeDetail.aspx?App=23&amp;ReportView=4&amp;Qid=1711279&amp;Row=20103&amp;Col=1","No Title Assigned - #15279184511")</f>
        <v/>
      </c>
      <c r="B20111" s="0" t="s">
        <v>26708</v>
      </c>
      <c r="C20111" s="0" t="s">
        <v>26709</v>
      </c>
      <c r="D20111" s="0" t="s">
        <v>26709</v>
      </c>
      <c r="E20111" s="0" t="inlineStr">
        <is>
          <t xml:space="preserve">Mazda</t>
        </is>
      </c>
      <c r="F20111" s="0" t="s">
        <v>13</v>
      </c>
      <c r="G20111" s="0" t="s">
        <v>49</v>
      </c>
      <c r="H20111" s="5">
        <v>34.816400</v>
      </c>
    </row>
    <row r="20112" spans="1:9">
      <c r="A20112" s="22" t="str">
        <f>HYPERLINK("https://app.vivvix.com/360/KMI/IntelliDrive/ApplUI/Pages/CreativePages/CustomReportCreativeDetail.aspx?App=23&amp;ReportView=4&amp;Qid=1711279&amp;Row=20104&amp;Col=1","No Title Assigned - #15279184706")</f>
        <v/>
      </c>
      <c r="B20112" s="0" t="s">
        <v>26710</v>
      </c>
      <c r="C20112" s="0" t="s">
        <v>26711</v>
      </c>
      <c r="D20112" s="0" t="s">
        <v>26711</v>
      </c>
      <c r="E20112" s="0" t="inlineStr">
        <is>
          <t xml:space="preserve">Mazda</t>
        </is>
      </c>
      <c r="F20112" s="0" t="s">
        <v>13</v>
      </c>
      <c r="G20112" s="0" t="s">
        <v>49</v>
      </c>
      <c r="H20112" s="5">
        <v>236.300300</v>
      </c>
    </row>
    <row r="20113" spans="1:9">
      <c r="A20113" s="22" t="str">
        <f>HYPERLINK("https://app.vivvix.com/360/KMI/IntelliDrive/ApplUI/Pages/CreativePages/CustomReportCreativeDetail.aspx?App=23&amp;ReportView=4&amp;Qid=1711279&amp;Row=20105&amp;Col=1","No Title Assigned - #15279186283")</f>
        <v/>
      </c>
      <c r="B20113" s="0" t="s">
        <v>26712</v>
      </c>
      <c r="C20113" s="0" t="s">
        <v>26713</v>
      </c>
      <c r="D20113" s="0" t="s">
        <v>26713</v>
      </c>
      <c r="E20113" s="0" t="inlineStr">
        <is>
          <t xml:space="preserve">Mazda</t>
        </is>
      </c>
      <c r="F20113" s="0" t="s">
        <v>13</v>
      </c>
      <c r="G20113" s="0" t="s">
        <v>49</v>
      </c>
      <c r="H20113" s="5">
        <v>26.019900</v>
      </c>
    </row>
    <row r="20114" spans="1:9">
      <c r="A20114" s="22" t="str">
        <f>HYPERLINK("https://app.vivvix.com/360/KMI/IntelliDrive/ApplUI/Pages/CreativePages/CustomReportCreativeDetail.aspx?App=23&amp;ReportView=4&amp;Qid=1711279&amp;Row=20106&amp;Col=1","No Title Assigned - #15279186492")</f>
        <v/>
      </c>
      <c r="B20114" s="0" t="s">
        <v>26714</v>
      </c>
      <c r="C20114" s="0" t="s">
        <v>26715</v>
      </c>
      <c r="D20114" s="0" t="s">
        <v>18549</v>
      </c>
      <c r="E20114" s="0" t="inlineStr">
        <is>
          <t xml:space="preserve">Mazda</t>
        </is>
      </c>
      <c r="F20114" s="0" t="s">
        <v>13</v>
      </c>
      <c r="G20114" s="0" t="s">
        <v>49</v>
      </c>
      <c r="H20114" s="5">
        <v>29.617700</v>
      </c>
    </row>
    <row r="20115" spans="1:9">
      <c r="A20115" s="22" t="str">
        <f>HYPERLINK("https://app.vivvix.com/360/KMI/IntelliDrive/ApplUI/Pages/CreativePages/CustomReportCreativeDetail.aspx?App=23&amp;ReportView=4&amp;Qid=1711279&amp;Row=20107&amp;Col=1","No Title Assigned - #15279187264")</f>
        <v/>
      </c>
      <c r="B20115" s="0" t="s">
        <v>26716</v>
      </c>
      <c r="E20115" s="0" t="inlineStr">
        <is>
          <t xml:space="preserve">Mazda</t>
        </is>
      </c>
      <c r="F20115" s="0" t="inlineStr">
        <is>
          <t xml:space="preserve">Mazda</t>
        </is>
      </c>
      <c r="G20115" s="0" t="s">
        <v>210</v>
      </c>
      <c r="H20115" s="5">
        <v>64153.546400</v>
      </c>
    </row>
    <row r="20116" spans="1:9">
      <c r="A20116" s="22" t="str">
        <f>HYPERLINK("https://app.vivvix.com/360/KMI/IntelliDrive/ApplUI/Pages/CreativePages/CustomReportCreativeDetail.aspx?App=23&amp;ReportView=4&amp;Qid=1711279&amp;Row=20108&amp;Col=1","No Title Assigned - #15279187264")</f>
        <v/>
      </c>
      <c r="B20116" s="0" t="s">
        <v>26716</v>
      </c>
      <c r="E20116" s="0" t="inlineStr">
        <is>
          <t xml:space="preserve">Mazda</t>
        </is>
      </c>
      <c r="F20116" s="0" t="inlineStr">
        <is>
          <t xml:space="preserve">Mazda</t>
        </is>
      </c>
      <c r="G20116" s="0" t="s">
        <v>210</v>
      </c>
      <c r="H20116" s="5">
        <v>254818.303300</v>
      </c>
    </row>
    <row r="20117" spans="1:9">
      <c r="A20117" s="22" t="str">
        <f>HYPERLINK("https://app.vivvix.com/360/KMI/IntelliDrive/ApplUI/Pages/CreativePages/CustomReportCreativeDetail.aspx?App=23&amp;ReportView=4&amp;Qid=1711279&amp;Row=20109&amp;Col=1","No Title Assigned - #15279187450")</f>
        <v/>
      </c>
      <c r="B20117" s="0" t="s">
        <v>26717</v>
      </c>
      <c r="C20117" s="0" t="s">
        <v>26718</v>
      </c>
      <c r="D20117" s="0" t="s">
        <v>22120</v>
      </c>
      <c r="E20117" s="0" t="inlineStr">
        <is>
          <t xml:space="preserve">Mazda</t>
        </is>
      </c>
      <c r="F20117" s="0" t="s">
        <v>13</v>
      </c>
      <c r="G20117" s="0" t="s">
        <v>49</v>
      </c>
      <c r="H20117" s="5">
        <v>33.460000</v>
      </c>
    </row>
    <row r="20118" spans="1:9">
      <c r="A20118" s="22" t="str">
        <f>HYPERLINK("https://app.vivvix.com/360/KMI/IntelliDrive/ApplUI/Pages/CreativePages/CustomReportCreativeDetail.aspx?App=23&amp;ReportView=4&amp;Qid=1711279&amp;Row=20110&amp;Col=1","No Title Assigned - #15279187759")</f>
        <v/>
      </c>
      <c r="B20118" s="0" t="s">
        <v>26719</v>
      </c>
      <c r="E20118" s="0" t="inlineStr">
        <is>
          <t xml:space="preserve">Mazda</t>
        </is>
      </c>
      <c r="F20118" s="0" t="s">
        <v>28</v>
      </c>
      <c r="G20118" s="0" t="s">
        <v>29</v>
      </c>
      <c r="H20118" s="5">
        <v>31258.190100</v>
      </c>
    </row>
    <row r="20119" spans="1:9">
      <c r="A20119" s="22" t="str">
        <f>HYPERLINK("https://app.vivvix.com/360/KMI/IntelliDrive/ApplUI/Pages/CreativePages/CustomReportCreativeDetail.aspx?App=23&amp;ReportView=4&amp;Qid=1711279&amp;Row=20111&amp;Col=1","No Title Assigned - #15279187759")</f>
        <v/>
      </c>
      <c r="B20119" s="0" t="s">
        <v>26719</v>
      </c>
      <c r="C20119" s="0" t="s">
        <v>26720</v>
      </c>
      <c r="D20119" s="0" t="s">
        <v>26720</v>
      </c>
      <c r="E20119" s="0" t="inlineStr">
        <is>
          <t xml:space="preserve">Mazda</t>
        </is>
      </c>
      <c r="F20119" s="0" t="s">
        <v>28</v>
      </c>
      <c r="G20119" s="0" t="s">
        <v>29</v>
      </c>
      <c r="H20119" s="5">
        <v>18624.712600</v>
      </c>
    </row>
    <row r="20120" spans="1:9">
      <c r="A20120" s="22" t="str">
        <f>HYPERLINK("https://app.vivvix.com/360/KMI/IntelliDrive/ApplUI/Pages/CreativePages/CustomReportCreativeDetail.aspx?App=23&amp;ReportView=4&amp;Qid=1711279&amp;Row=20112&amp;Col=1","No Title Assigned - #15279187819")</f>
        <v/>
      </c>
      <c r="B20120" s="0" t="s">
        <v>26721</v>
      </c>
      <c r="C20120" s="0" t="s">
        <v>26722</v>
      </c>
      <c r="D20120" s="0" t="s">
        <v>21214</v>
      </c>
      <c r="E20120" s="0" t="inlineStr">
        <is>
          <t xml:space="preserve">Mazda</t>
        </is>
      </c>
      <c r="F20120" s="0" t="s">
        <v>17</v>
      </c>
      <c r="G20120" s="0" t="s">
        <v>33</v>
      </c>
      <c r="H20120" s="5">
        <v>66.522400</v>
      </c>
    </row>
    <row r="20121" spans="1:9">
      <c r="A20121" s="22" t="str">
        <f>HYPERLINK("https://app.vivvix.com/360/KMI/IntelliDrive/ApplUI/Pages/CreativePages/CustomReportCreativeDetail.aspx?App=23&amp;ReportView=4&amp;Qid=1711279&amp;Row=20113&amp;Col=1","No Title Assigned - #15279189066")</f>
        <v/>
      </c>
      <c r="B20121" s="0" t="s">
        <v>26723</v>
      </c>
      <c r="E20121" s="0" t="inlineStr">
        <is>
          <t xml:space="preserve">Mazda</t>
        </is>
      </c>
      <c r="F20121" s="0" t="s">
        <v>28</v>
      </c>
      <c r="G20121" s="0" t="s">
        <v>29</v>
      </c>
      <c r="H20121" s="5">
        <v>34057.924100</v>
      </c>
    </row>
    <row r="20122" spans="1:9">
      <c r="A20122" s="22" t="str">
        <f>HYPERLINK("https://app.vivvix.com/360/KMI/IntelliDrive/ApplUI/Pages/CreativePages/CustomReportCreativeDetail.aspx?App=23&amp;ReportView=4&amp;Qid=1711279&amp;Row=20114&amp;Col=1","No Title Assigned - #15279189066")</f>
        <v/>
      </c>
      <c r="B20122" s="0" t="s">
        <v>26723</v>
      </c>
      <c r="C20122" s="0" t="s">
        <v>26724</v>
      </c>
      <c r="D20122" s="0" t="s">
        <v>26724</v>
      </c>
      <c r="E20122" s="0" t="inlineStr">
        <is>
          <t xml:space="preserve">Mazda</t>
        </is>
      </c>
      <c r="F20122" s="0" t="s">
        <v>28</v>
      </c>
      <c r="G20122" s="0" t="s">
        <v>29</v>
      </c>
      <c r="H20122" s="5">
        <v>547.077000</v>
      </c>
    </row>
    <row r="20123" spans="1:9">
      <c r="A20123" s="22" t="str">
        <f>HYPERLINK("https://app.vivvix.com/360/KMI/IntelliDrive/ApplUI/Pages/CreativePages/CustomReportCreativeDetail.aspx?App=23&amp;ReportView=4&amp;Qid=1711279&amp;Row=20115&amp;Col=1","No Title Assigned - #15279189218")</f>
        <v/>
      </c>
      <c r="B20123" s="0" t="s">
        <v>26725</v>
      </c>
      <c r="C20123" s="0" t="s">
        <v>26726</v>
      </c>
      <c r="D20123" s="0" t="s">
        <v>11469</v>
      </c>
      <c r="E20123" s="0" t="inlineStr">
        <is>
          <t xml:space="preserve">Mazda</t>
        </is>
      </c>
      <c r="F20123" s="0" t="s">
        <v>13</v>
      </c>
      <c r="G20123" s="0" t="s">
        <v>49</v>
      </c>
      <c r="H20123" s="5">
        <v>1828.765500</v>
      </c>
    </row>
    <row r="20124" spans="1:9">
      <c r="A20124" s="22" t="str">
        <f>HYPERLINK("https://app.vivvix.com/360/KMI/IntelliDrive/ApplUI/Pages/CreativePages/CustomReportCreativeDetail.aspx?App=23&amp;ReportView=4&amp;Qid=1711279&amp;Row=20116&amp;Col=1","No Title Assigned - #15279189832")</f>
        <v/>
      </c>
      <c r="B20124" s="0" t="s">
        <v>26727</v>
      </c>
      <c r="C20124" s="0" t="s">
        <v>26728</v>
      </c>
      <c r="D20124" s="0" t="s">
        <v>20566</v>
      </c>
      <c r="E20124" s="0" t="inlineStr">
        <is>
          <t xml:space="preserve">Mazda</t>
        </is>
      </c>
      <c r="F20124" s="0" t="s">
        <v>13</v>
      </c>
      <c r="G20124" s="0" t="s">
        <v>49</v>
      </c>
      <c r="H20124" s="5">
        <v>18.403400</v>
      </c>
    </row>
    <row r="20125" spans="1:9">
      <c r="A20125" s="22" t="str">
        <f>HYPERLINK("https://app.vivvix.com/360/KMI/IntelliDrive/ApplUI/Pages/CreativePages/CustomReportCreativeDetail.aspx?App=23&amp;ReportView=4&amp;Qid=1711279&amp;Row=20117&amp;Col=1","No Title Assigned - #15279190069")</f>
        <v/>
      </c>
      <c r="B20125" s="0" t="s">
        <v>26729</v>
      </c>
      <c r="C20125" s="0" t="s">
        <v>26730</v>
      </c>
      <c r="D20125" s="0" t="s">
        <v>9699</v>
      </c>
      <c r="E20125" s="0" t="inlineStr">
        <is>
          <t xml:space="preserve">Mazda</t>
        </is>
      </c>
      <c r="F20125" s="0" t="s">
        <v>13</v>
      </c>
      <c r="G20125" s="0" t="s">
        <v>49</v>
      </c>
      <c r="H20125" s="5">
        <v>1442.093200</v>
      </c>
    </row>
    <row r="20126" spans="1:9">
      <c r="A20126" s="22" t="str">
        <f>HYPERLINK("https://app.vivvix.com/360/KMI/IntelliDrive/ApplUI/Pages/CreativePages/CustomReportCreativeDetail.aspx?App=23&amp;ReportView=4&amp;Qid=1711279&amp;Row=20118&amp;Col=1","No Title Assigned - #15279190192")</f>
        <v/>
      </c>
      <c r="B20126" s="0" t="s">
        <v>26731</v>
      </c>
      <c r="C20126" s="0" t="s">
        <v>26732</v>
      </c>
      <c r="D20126" s="0" t="s">
        <v>26732</v>
      </c>
      <c r="E20126" s="0" t="inlineStr">
        <is>
          <t xml:space="preserve">Mazda</t>
        </is>
      </c>
      <c r="F20126" s="0" t="s">
        <v>13</v>
      </c>
      <c r="G20126" s="0" t="s">
        <v>49</v>
      </c>
      <c r="H20126" s="5">
        <v>2394.046400</v>
      </c>
    </row>
    <row r="20127" spans="1:9">
      <c r="A20127" s="22" t="str">
        <f>HYPERLINK("https://app.vivvix.com/360/KMI/IntelliDrive/ApplUI/Pages/CreativePages/CustomReportCreativeDetail.aspx?App=23&amp;ReportView=4&amp;Qid=1711279&amp;Row=20119&amp;Col=1","No Title Assigned - #15279190234")</f>
        <v/>
      </c>
      <c r="B20127" s="0" t="s">
        <v>26733</v>
      </c>
      <c r="C20127" s="0" t="s">
        <v>26734</v>
      </c>
      <c r="D20127" s="0" t="s">
        <v>16585</v>
      </c>
      <c r="E20127" s="0" t="inlineStr">
        <is>
          <t xml:space="preserve">Mazda</t>
        </is>
      </c>
      <c r="F20127" s="0" t="inlineStr">
        <is>
          <t xml:space="preserve">Mazda</t>
        </is>
      </c>
      <c r="G20127" s="0" t="s">
        <v>210</v>
      </c>
      <c r="H20127" s="5">
        <v>216.483100</v>
      </c>
    </row>
    <row r="20128" spans="1:9">
      <c r="A20128" s="22" t="str">
        <f>HYPERLINK("https://app.vivvix.com/360/KMI/IntelliDrive/ApplUI/Pages/CreativePages/CustomReportCreativeDetail.aspx?App=23&amp;ReportView=4&amp;Qid=1711279&amp;Row=20120&amp;Col=1","No Title Assigned - #15279190270")</f>
        <v/>
      </c>
      <c r="B20128" s="0" t="s">
        <v>26735</v>
      </c>
      <c r="C20128" s="0" t="s">
        <v>26736</v>
      </c>
      <c r="D20128" s="0" t="s">
        <v>26736</v>
      </c>
      <c r="E20128" s="0" t="inlineStr">
        <is>
          <t xml:space="preserve">Mazda</t>
        </is>
      </c>
      <c r="F20128" s="0" t="s">
        <v>13</v>
      </c>
      <c r="G20128" s="0" t="s">
        <v>49</v>
      </c>
      <c r="H20128" s="5">
        <v>11.178100</v>
      </c>
    </row>
    <row r="20129" spans="1:9">
      <c r="A20129" s="22" t="str">
        <f>HYPERLINK("https://app.vivvix.com/360/KMI/IntelliDrive/ApplUI/Pages/CreativePages/CustomReportCreativeDetail.aspx?App=23&amp;ReportView=4&amp;Qid=1711279&amp;Row=20121&amp;Col=1","No Title Assigned - #15279190472")</f>
        <v/>
      </c>
      <c r="B20129" s="0" t="s">
        <v>26737</v>
      </c>
      <c r="C20129" s="0" t="s">
        <v>26738</v>
      </c>
      <c r="D20129" s="0" t="s">
        <v>5013</v>
      </c>
      <c r="E20129" s="0" t="inlineStr">
        <is>
          <t xml:space="preserve">Mazda</t>
        </is>
      </c>
      <c r="F20129" s="0" t="s">
        <v>13</v>
      </c>
      <c r="G20129" s="0" t="s">
        <v>49</v>
      </c>
      <c r="H20129" s="5">
        <v>143.826100</v>
      </c>
    </row>
    <row r="20130" spans="1:9">
      <c r="A20130" s="22" t="str">
        <f>HYPERLINK("https://app.vivvix.com/360/KMI/IntelliDrive/ApplUI/Pages/CreativePages/CustomReportCreativeDetail.aspx?App=23&amp;ReportView=4&amp;Qid=1711279&amp;Row=20122&amp;Col=1","No Title Assigned - #15279190890")</f>
        <v/>
      </c>
      <c r="B20130" s="0" t="s">
        <v>26739</v>
      </c>
      <c r="E20130" s="0" t="inlineStr">
        <is>
          <t xml:space="preserve">Mazda</t>
        </is>
      </c>
      <c r="F20130" s="0" t="s">
        <v>13</v>
      </c>
      <c r="G20130" s="0" t="s">
        <v>49</v>
      </c>
      <c r="H20130" s="5">
        <v>6.662700</v>
      </c>
    </row>
    <row r="20131" spans="1:9">
      <c r="A20131" s="22" t="str">
        <f>HYPERLINK("https://app.vivvix.com/360/KMI/IntelliDrive/ApplUI/Pages/CreativePages/CustomReportCreativeDetail.aspx?App=23&amp;ReportView=4&amp;Qid=1711279&amp;Row=20123&amp;Col=1","No Title Assigned - #15279190890")</f>
        <v/>
      </c>
      <c r="B20131" s="0" t="s">
        <v>26739</v>
      </c>
      <c r="C20131" s="0" t="s">
        <v>26740</v>
      </c>
      <c r="D20131" s="0" t="s">
        <v>26740</v>
      </c>
      <c r="E20131" s="0" t="inlineStr">
        <is>
          <t xml:space="preserve">Mazda</t>
        </is>
      </c>
      <c r="F20131" s="0" t="s">
        <v>13</v>
      </c>
      <c r="G20131" s="0" t="s">
        <v>49</v>
      </c>
      <c r="H20131" s="5">
        <v>51.654400</v>
      </c>
    </row>
    <row r="20132" spans="1:9">
      <c r="A20132" s="22" t="str">
        <f>HYPERLINK("https://app.vivvix.com/360/KMI/IntelliDrive/ApplUI/Pages/CreativePages/CustomReportCreativeDetail.aspx?App=23&amp;ReportView=4&amp;Qid=1711279&amp;Row=20124&amp;Col=1","No Title Assigned - #15279190898")</f>
        <v/>
      </c>
      <c r="B20132" s="0" t="s">
        <v>26741</v>
      </c>
      <c r="C20132" s="0" t="s">
        <v>26742</v>
      </c>
      <c r="D20132" s="0" t="s">
        <v>4774</v>
      </c>
      <c r="E20132" s="0" t="inlineStr">
        <is>
          <t xml:space="preserve">Mazda</t>
        </is>
      </c>
      <c r="F20132" s="0" t="s">
        <v>13</v>
      </c>
      <c r="G20132" s="0" t="s">
        <v>49</v>
      </c>
      <c r="H20132" s="5">
        <v>2375.259100</v>
      </c>
    </row>
    <row r="20133" spans="1:9">
      <c r="A20133" s="22" t="str">
        <f>HYPERLINK("https://app.vivvix.com/360/KMI/IntelliDrive/ApplUI/Pages/CreativePages/CustomReportCreativeDetail.aspx?App=23&amp;ReportView=4&amp;Qid=1711279&amp;Row=20125&amp;Col=1","No Title Assigned - #15279192157")</f>
        <v/>
      </c>
      <c r="B20133" s="0" t="s">
        <v>26743</v>
      </c>
      <c r="C20133" s="0" t="s">
        <v>26744</v>
      </c>
      <c r="D20133" s="0" t="s">
        <v>26744</v>
      </c>
      <c r="E20133" s="0" t="inlineStr">
        <is>
          <t xml:space="preserve">Mazda</t>
        </is>
      </c>
      <c r="F20133" s="0" t="s">
        <v>13</v>
      </c>
      <c r="G20133" s="0" t="s">
        <v>49</v>
      </c>
      <c r="H20133" s="5">
        <v>4486.867500</v>
      </c>
    </row>
    <row r="20134" spans="1:9">
      <c r="A20134" s="22" t="str">
        <f>HYPERLINK("https://app.vivvix.com/360/KMI/IntelliDrive/ApplUI/Pages/CreativePages/CustomReportCreativeDetail.aspx?App=23&amp;ReportView=4&amp;Qid=1711279&amp;Row=20126&amp;Col=1","No Title Assigned - #15279192157")</f>
        <v/>
      </c>
      <c r="B20134" s="0" t="s">
        <v>26743</v>
      </c>
      <c r="E20134" s="0" t="inlineStr">
        <is>
          <t xml:space="preserve">Mazda</t>
        </is>
      </c>
      <c r="F20134" s="0" t="s">
        <v>13</v>
      </c>
      <c r="G20134" s="0" t="s">
        <v>49</v>
      </c>
      <c r="H20134" s="5">
        <v>1808.300700</v>
      </c>
    </row>
    <row r="20135" spans="1:9">
      <c r="A20135" s="22" t="str">
        <f>HYPERLINK("https://app.vivvix.com/360/KMI/IntelliDrive/ApplUI/Pages/CreativePages/CustomReportCreativeDetail.aspx?App=23&amp;ReportView=4&amp;Qid=1711279&amp;Row=20127&amp;Col=1","No Title Assigned - #15279192204")</f>
        <v/>
      </c>
      <c r="B20135" s="0" t="s">
        <v>26745</v>
      </c>
      <c r="C20135" s="0" t="s">
        <v>26746</v>
      </c>
      <c r="D20135" s="0" t="s">
        <v>6044</v>
      </c>
      <c r="E20135" s="0" t="inlineStr">
        <is>
          <t xml:space="preserve">Mazda</t>
        </is>
      </c>
      <c r="F20135" s="0" t="s">
        <v>13</v>
      </c>
      <c r="G20135" s="0" t="s">
        <v>49</v>
      </c>
      <c r="H20135" s="5">
        <v>86935.511000</v>
      </c>
    </row>
    <row r="20136" spans="1:9">
      <c r="A20136" s="22" t="str">
        <f>HYPERLINK("https://app.vivvix.com/360/KMI/IntelliDrive/ApplUI/Pages/CreativePages/CustomReportCreativeDetail.aspx?App=23&amp;ReportView=4&amp;Qid=1711279&amp;Row=20128&amp;Col=1","No Title Assigned - #15279192414")</f>
        <v/>
      </c>
      <c r="B20136" s="0" t="s">
        <v>26747</v>
      </c>
      <c r="C20136" s="0" t="s">
        <v>26748</v>
      </c>
      <c r="D20136" s="0" t="s">
        <v>21329</v>
      </c>
      <c r="E20136" s="0" t="inlineStr">
        <is>
          <t xml:space="preserve">Mazda</t>
        </is>
      </c>
      <c r="F20136" s="0" t="s">
        <v>13</v>
      </c>
      <c r="G20136" s="0" t="s">
        <v>49</v>
      </c>
      <c r="H20136" s="5">
        <v>2299.076200</v>
      </c>
    </row>
    <row r="20137" spans="1:9">
      <c r="A20137" s="22" t="str">
        <f>HYPERLINK("https://app.vivvix.com/360/KMI/IntelliDrive/ApplUI/Pages/CreativePages/CustomReportCreativeDetail.aspx?App=23&amp;ReportView=4&amp;Qid=1711279&amp;Row=20129&amp;Col=1","No Title Assigned - #15279192682")</f>
        <v/>
      </c>
      <c r="B20137" s="0" t="s">
        <v>26749</v>
      </c>
      <c r="C20137" s="0" t="s">
        <v>26750</v>
      </c>
      <c r="D20137" s="0" t="s">
        <v>6183</v>
      </c>
      <c r="E20137" s="0" t="inlineStr">
        <is>
          <t xml:space="preserve">Mazda</t>
        </is>
      </c>
      <c r="F20137" s="0" t="s">
        <v>13</v>
      </c>
      <c r="G20137" s="0" t="s">
        <v>49</v>
      </c>
      <c r="H20137" s="5">
        <v>507.435200</v>
      </c>
    </row>
    <row r="20138" spans="1:9">
      <c r="A20138" s="22" t="str">
        <f>HYPERLINK("https://app.vivvix.com/360/KMI/IntelliDrive/ApplUI/Pages/CreativePages/CustomReportCreativeDetail.aspx?App=23&amp;ReportView=4&amp;Qid=1711279&amp;Row=20130&amp;Col=1","No Title Assigned - #15279192682")</f>
        <v/>
      </c>
      <c r="B20138" s="0" t="s">
        <v>26749</v>
      </c>
      <c r="E20138" s="0" t="inlineStr">
        <is>
          <t xml:space="preserve">Mazda</t>
        </is>
      </c>
      <c r="F20138" s="0" t="s">
        <v>13</v>
      </c>
      <c r="G20138" s="0" t="s">
        <v>49</v>
      </c>
      <c r="H20138" s="5">
        <v>113.369900</v>
      </c>
    </row>
    <row r="20139" spans="1:9">
      <c r="A20139" s="22" t="str">
        <f>HYPERLINK("https://app.vivvix.com/360/KMI/IntelliDrive/ApplUI/Pages/CreativePages/CustomReportCreativeDetail.aspx?App=23&amp;ReportView=4&amp;Qid=1711279&amp;Row=20131&amp;Col=1","No Title Assigned - #15279193305")</f>
        <v/>
      </c>
      <c r="B20139" s="0" t="s">
        <v>26751</v>
      </c>
      <c r="C20139" s="0" t="s">
        <v>26752</v>
      </c>
      <c r="D20139" s="0" t="s">
        <v>26752</v>
      </c>
      <c r="E20139" s="0" t="inlineStr">
        <is>
          <t xml:space="preserve">Mazda</t>
        </is>
      </c>
      <c r="F20139" s="0" t="inlineStr">
        <is>
          <t xml:space="preserve">Mazda</t>
        </is>
      </c>
      <c r="G20139" s="0" t="s">
        <v>210</v>
      </c>
      <c r="H20139" s="5">
        <v>52.299300</v>
      </c>
    </row>
    <row r="20140" spans="1:9">
      <c r="A20140" s="22" t="str">
        <f>HYPERLINK("https://app.vivvix.com/360/KMI/IntelliDrive/ApplUI/Pages/CreativePages/CustomReportCreativeDetail.aspx?App=23&amp;ReportView=4&amp;Qid=1711279&amp;Row=20132&amp;Col=1","No Title Assigned - #15279193466")</f>
        <v/>
      </c>
      <c r="B20140" s="0" t="s">
        <v>26753</v>
      </c>
      <c r="C20140" s="0" t="s">
        <v>26754</v>
      </c>
      <c r="D20140" s="0" t="s">
        <v>4774</v>
      </c>
      <c r="E20140" s="0" t="inlineStr">
        <is>
          <t xml:space="preserve">Mazda</t>
        </is>
      </c>
      <c r="F20140" s="0" t="s">
        <v>13</v>
      </c>
      <c r="G20140" s="0" t="s">
        <v>49</v>
      </c>
      <c r="H20140" s="5">
        <v>455.622900</v>
      </c>
    </row>
    <row r="20141" spans="1:9">
      <c r="A20141" s="22" t="str">
        <f>HYPERLINK("https://app.vivvix.com/360/KMI/IntelliDrive/ApplUI/Pages/CreativePages/CustomReportCreativeDetail.aspx?App=23&amp;ReportView=4&amp;Qid=1711279&amp;Row=20133&amp;Col=1","No Title Assigned - #15279193470")</f>
        <v/>
      </c>
      <c r="B20141" s="0" t="s">
        <v>26755</v>
      </c>
      <c r="C20141" s="0" t="s">
        <v>26756</v>
      </c>
      <c r="D20141" s="0" t="s">
        <v>26756</v>
      </c>
      <c r="E20141" s="0" t="inlineStr">
        <is>
          <t xml:space="preserve">Mazda</t>
        </is>
      </c>
      <c r="F20141" s="0" t="s">
        <v>13</v>
      </c>
      <c r="G20141" s="0" t="s">
        <v>49</v>
      </c>
      <c r="H20141" s="5">
        <v>27.987900</v>
      </c>
    </row>
    <row r="20142" spans="1:9">
      <c r="A20142" s="22" t="str">
        <f>HYPERLINK("https://app.vivvix.com/360/KMI/IntelliDrive/ApplUI/Pages/CreativePages/CustomReportCreativeDetail.aspx?App=23&amp;ReportView=4&amp;Qid=1711279&amp;Row=20134&amp;Col=1","No Title Assigned - #15279194382")</f>
        <v/>
      </c>
      <c r="B20142" s="0" t="s">
        <v>26757</v>
      </c>
      <c r="C20142" s="0" t="s">
        <v>26758</v>
      </c>
      <c r="D20142" s="0" t="s">
        <v>20647</v>
      </c>
      <c r="E20142" s="0" t="inlineStr">
        <is>
          <t xml:space="preserve">Mazda</t>
        </is>
      </c>
      <c r="F20142" s="0" t="s">
        <v>13</v>
      </c>
      <c r="G20142" s="0" t="s">
        <v>49</v>
      </c>
      <c r="H20142" s="5">
        <v>124.359700</v>
      </c>
    </row>
    <row r="20143" spans="1:9">
      <c r="A20143" s="22" t="str">
        <f>HYPERLINK("https://app.vivvix.com/360/KMI/IntelliDrive/ApplUI/Pages/CreativePages/CustomReportCreativeDetail.aspx?App=23&amp;ReportView=4&amp;Qid=1711279&amp;Row=20135&amp;Col=1","No Title Assigned - #15279194718")</f>
        <v/>
      </c>
      <c r="B20143" s="0" t="s">
        <v>26759</v>
      </c>
      <c r="C20143" s="0" t="s">
        <v>26701</v>
      </c>
      <c r="D20143" s="0" t="s">
        <v>26701</v>
      </c>
      <c r="E20143" s="0" t="inlineStr">
        <is>
          <t xml:space="preserve">Mazda</t>
        </is>
      </c>
      <c r="F20143" s="0" t="s">
        <v>28</v>
      </c>
      <c r="G20143" s="0" t="s">
        <v>29</v>
      </c>
      <c r="H20143" s="5">
        <v>181.877000</v>
      </c>
    </row>
    <row r="20144" spans="1:9">
      <c r="A20144" s="22" t="str">
        <f>HYPERLINK("https://app.vivvix.com/360/KMI/IntelliDrive/ApplUI/Pages/CreativePages/CustomReportCreativeDetail.aspx?App=23&amp;ReportView=4&amp;Qid=1711279&amp;Row=20136&amp;Col=1","No Title Assigned - #15279194816")</f>
        <v/>
      </c>
      <c r="B20144" s="0" t="s">
        <v>26760</v>
      </c>
      <c r="C20144" s="0" t="s">
        <v>26761</v>
      </c>
      <c r="D20144" s="0" t="s">
        <v>26761</v>
      </c>
      <c r="E20144" s="0" t="inlineStr">
        <is>
          <t xml:space="preserve">Mazda</t>
        </is>
      </c>
      <c r="F20144" s="0" t="s">
        <v>13</v>
      </c>
      <c r="G20144" s="0" t="s">
        <v>49</v>
      </c>
      <c r="H20144" s="5">
        <v>348.268600</v>
      </c>
    </row>
    <row r="20145" spans="1:9">
      <c r="A20145" s="22" t="str">
        <f>HYPERLINK("https://app.vivvix.com/360/KMI/IntelliDrive/ApplUI/Pages/CreativePages/CustomReportCreativeDetail.aspx?App=23&amp;ReportView=4&amp;Qid=1711279&amp;Row=20137&amp;Col=1","No Title Assigned - #15279194848")</f>
        <v/>
      </c>
      <c r="B20145" s="0" t="s">
        <v>26762</v>
      </c>
      <c r="C20145" s="0" t="s">
        <v>26763</v>
      </c>
      <c r="D20145" s="0" t="s">
        <v>5013</v>
      </c>
      <c r="E20145" s="0" t="inlineStr">
        <is>
          <t xml:space="preserve">Mazda</t>
        </is>
      </c>
      <c r="F20145" s="0" t="s">
        <v>13</v>
      </c>
      <c r="G20145" s="0" t="s">
        <v>49</v>
      </c>
      <c r="H20145" s="5">
        <v>245.723000</v>
      </c>
    </row>
    <row r="20146" spans="1:9">
      <c r="A20146" s="22" t="str">
        <f>HYPERLINK("https://app.vivvix.com/360/KMI/IntelliDrive/ApplUI/Pages/CreativePages/CustomReportCreativeDetail.aspx?App=23&amp;ReportView=4&amp;Qid=1711279&amp;Row=20138&amp;Col=1","No Title Assigned - #15279194899")</f>
        <v/>
      </c>
      <c r="B20146" s="0" t="s">
        <v>26764</v>
      </c>
      <c r="C20146" s="0" t="s">
        <v>26765</v>
      </c>
      <c r="D20146" s="0" t="s">
        <v>26765</v>
      </c>
      <c r="E20146" s="0" t="inlineStr">
        <is>
          <t xml:space="preserve">Mazda</t>
        </is>
      </c>
      <c r="F20146" s="0" t="s">
        <v>13</v>
      </c>
      <c r="G20146" s="0" t="s">
        <v>49</v>
      </c>
      <c r="H20146" s="5">
        <v>220.191700</v>
      </c>
    </row>
    <row r="20147" spans="1:9">
      <c r="A20147" s="22" t="str">
        <f>HYPERLINK("https://app.vivvix.com/360/KMI/IntelliDrive/ApplUI/Pages/CreativePages/CustomReportCreativeDetail.aspx?App=23&amp;ReportView=4&amp;Qid=1711279&amp;Row=20139&amp;Col=1","No Title Assigned - #15279195151")</f>
        <v/>
      </c>
      <c r="B20147" s="0" t="s">
        <v>26766</v>
      </c>
      <c r="C20147" s="0" t="s">
        <v>26767</v>
      </c>
      <c r="D20147" s="0" t="s">
        <v>26767</v>
      </c>
      <c r="E20147" s="0" t="inlineStr">
        <is>
          <t xml:space="preserve">Mazda</t>
        </is>
      </c>
      <c r="F20147" s="0" t="s">
        <v>28</v>
      </c>
      <c r="G20147" s="0" t="s">
        <v>29</v>
      </c>
      <c r="H20147" s="5">
        <v>4841.632700</v>
      </c>
    </row>
    <row r="20148" spans="1:9">
      <c r="A20148" s="22" t="str">
        <f>HYPERLINK("https://app.vivvix.com/360/KMI/IntelliDrive/ApplUI/Pages/CreativePages/CustomReportCreativeDetail.aspx?App=23&amp;ReportView=4&amp;Qid=1711279&amp;Row=20140&amp;Col=1","No Title Assigned - #15279195151")</f>
        <v/>
      </c>
      <c r="B20148" s="0" t="s">
        <v>26766</v>
      </c>
      <c r="E20148" s="0" t="inlineStr">
        <is>
          <t xml:space="preserve">Mazda</t>
        </is>
      </c>
      <c r="F20148" s="0" t="s">
        <v>28</v>
      </c>
      <c r="G20148" s="0" t="s">
        <v>29</v>
      </c>
      <c r="H20148" s="5">
        <v>1183.484600</v>
      </c>
    </row>
    <row r="20149" spans="1:9">
      <c r="A20149" s="22" t="str">
        <f>HYPERLINK("https://app.vivvix.com/360/KMI/IntelliDrive/ApplUI/Pages/CreativePages/CustomReportCreativeDetail.aspx?App=23&amp;ReportView=4&amp;Qid=1711279&amp;Row=20141&amp;Col=1","No Title Assigned - #15279195437")</f>
        <v/>
      </c>
      <c r="B20149" s="0" t="s">
        <v>26768</v>
      </c>
      <c r="C20149" s="0" t="s">
        <v>26769</v>
      </c>
      <c r="D20149" s="0" t="s">
        <v>26769</v>
      </c>
      <c r="E20149" s="0" t="inlineStr">
        <is>
          <t xml:space="preserve">Mazda</t>
        </is>
      </c>
      <c r="F20149" s="0" t="s">
        <v>13</v>
      </c>
      <c r="G20149" s="0" t="s">
        <v>49</v>
      </c>
      <c r="H20149" s="5">
        <v>23.434900</v>
      </c>
    </row>
    <row r="20150" spans="1:9">
      <c r="A20150" s="22" t="str">
        <f>HYPERLINK("https://app.vivvix.com/360/KMI/IntelliDrive/ApplUI/Pages/CreativePages/CustomReportCreativeDetail.aspx?App=23&amp;ReportView=4&amp;Qid=1711279&amp;Row=20142&amp;Col=1","No Title Assigned - #15279195645")</f>
        <v/>
      </c>
      <c r="B20150" s="0" t="s">
        <v>26770</v>
      </c>
      <c r="C20150" s="0" t="s">
        <v>26771</v>
      </c>
      <c r="D20150" s="0" t="s">
        <v>26771</v>
      </c>
      <c r="E20150" s="0" t="inlineStr">
        <is>
          <t xml:space="preserve">Mazda</t>
        </is>
      </c>
      <c r="F20150" s="0" t="s">
        <v>28</v>
      </c>
      <c r="G20150" s="0" t="s">
        <v>29</v>
      </c>
      <c r="H20150" s="5">
        <v>62752.411600</v>
      </c>
    </row>
    <row r="20151" spans="1:9">
      <c r="A20151" s="22" t="str">
        <f>HYPERLINK("https://app.vivvix.com/360/KMI/IntelliDrive/ApplUI/Pages/CreativePages/CustomReportCreativeDetail.aspx?App=23&amp;ReportView=4&amp;Qid=1711279&amp;Row=20143&amp;Col=1","No Title Assigned - #15279195645")</f>
        <v/>
      </c>
      <c r="B20151" s="0" t="s">
        <v>26770</v>
      </c>
      <c r="E20151" s="0" t="inlineStr">
        <is>
          <t xml:space="preserve">Mazda</t>
        </is>
      </c>
      <c r="F20151" s="0" t="s">
        <v>28</v>
      </c>
      <c r="G20151" s="0" t="s">
        <v>29</v>
      </c>
      <c r="H20151" s="5">
        <v>551.387200</v>
      </c>
    </row>
    <row r="20152" spans="1:9">
      <c r="A20152" s="22" t="str">
        <f>HYPERLINK("https://app.vivvix.com/360/KMI/IntelliDrive/ApplUI/Pages/CreativePages/CustomReportCreativeDetail.aspx?App=23&amp;ReportView=4&amp;Qid=1711279&amp;Row=20144&amp;Col=1","No Title Assigned - #15279195651")</f>
        <v/>
      </c>
      <c r="B20152" s="0" t="s">
        <v>26772</v>
      </c>
      <c r="C20152" s="0" t="s">
        <v>26773</v>
      </c>
      <c r="D20152" s="0" t="s">
        <v>26773</v>
      </c>
      <c r="E20152" s="0" t="inlineStr">
        <is>
          <t xml:space="preserve">Mazda</t>
        </is>
      </c>
      <c r="F20152" s="0" t="s">
        <v>28</v>
      </c>
      <c r="G20152" s="0" t="s">
        <v>29</v>
      </c>
      <c r="H20152" s="5">
        <v>180.628200</v>
      </c>
    </row>
    <row r="20153" spans="1:9">
      <c r="A20153" s="22" t="str">
        <f>HYPERLINK("https://app.vivvix.com/360/KMI/IntelliDrive/ApplUI/Pages/CreativePages/CustomReportCreativeDetail.aspx?App=23&amp;ReportView=4&amp;Qid=1711279&amp;Row=20145&amp;Col=1","No Title Assigned - #15279195706")</f>
        <v/>
      </c>
      <c r="B20153" s="0" t="s">
        <v>26774</v>
      </c>
      <c r="C20153" s="0" t="s">
        <v>26775</v>
      </c>
      <c r="D20153" s="0" t="s">
        <v>26775</v>
      </c>
      <c r="E20153" s="0" t="inlineStr">
        <is>
          <t xml:space="preserve">Mazda</t>
        </is>
      </c>
      <c r="F20153" s="0" t="s">
        <v>13</v>
      </c>
      <c r="G20153" s="0" t="s">
        <v>49</v>
      </c>
      <c r="H20153" s="5">
        <v>30.451400</v>
      </c>
    </row>
    <row r="20154" spans="1:9">
      <c r="A20154" s="22" t="str">
        <f>HYPERLINK("https://app.vivvix.com/360/KMI/IntelliDrive/ApplUI/Pages/CreativePages/CustomReportCreativeDetail.aspx?App=23&amp;ReportView=4&amp;Qid=1711279&amp;Row=20146&amp;Col=1","No Title Assigned - #15279195760")</f>
        <v/>
      </c>
      <c r="B20154" s="0" t="s">
        <v>26776</v>
      </c>
      <c r="C20154" s="0" t="s">
        <v>26777</v>
      </c>
      <c r="D20154" s="0" t="s">
        <v>15730</v>
      </c>
      <c r="E20154" s="0" t="inlineStr">
        <is>
          <t xml:space="preserve">Mazda</t>
        </is>
      </c>
      <c r="F20154" s="0" t="inlineStr">
        <is>
          <t xml:space="preserve">Mazda</t>
        </is>
      </c>
      <c r="G20154" s="0" t="s">
        <v>210</v>
      </c>
      <c r="H20154" s="5">
        <v>593.962900</v>
      </c>
    </row>
    <row r="20155" spans="1:9">
      <c r="A20155" s="22" t="str">
        <f>HYPERLINK("https://app.vivvix.com/360/KMI/IntelliDrive/ApplUI/Pages/CreativePages/CustomReportCreativeDetail.aspx?App=23&amp;ReportView=4&amp;Qid=1711279&amp;Row=20147&amp;Col=1","No Title Assigned - #15279195851")</f>
        <v/>
      </c>
      <c r="B20155" s="0" t="s">
        <v>26778</v>
      </c>
      <c r="C20155" s="0" t="s">
        <v>26779</v>
      </c>
      <c r="D20155" s="0" t="s">
        <v>6183</v>
      </c>
      <c r="E20155" s="0" t="inlineStr">
        <is>
          <t xml:space="preserve">Mazda</t>
        </is>
      </c>
      <c r="F20155" s="0" t="s">
        <v>13</v>
      </c>
      <c r="G20155" s="0" t="s">
        <v>49</v>
      </c>
      <c r="H20155" s="5">
        <v>2121.970100</v>
      </c>
    </row>
    <row r="20156" spans="1:9">
      <c r="A20156" s="22" t="str">
        <f>HYPERLINK("https://app.vivvix.com/360/KMI/IntelliDrive/ApplUI/Pages/CreativePages/CustomReportCreativeDetail.aspx?App=23&amp;ReportView=4&amp;Qid=1711279&amp;Row=20148&amp;Col=1","No Title Assigned - #15279195958")</f>
        <v/>
      </c>
      <c r="B20156" s="0" t="s">
        <v>26780</v>
      </c>
      <c r="C20156" s="0" t="s">
        <v>26781</v>
      </c>
      <c r="D20156" s="0" t="s">
        <v>26781</v>
      </c>
      <c r="E20156" s="0" t="inlineStr">
        <is>
          <t xml:space="preserve">Mazda</t>
        </is>
      </c>
      <c r="F20156" s="0" t="inlineStr">
        <is>
          <t xml:space="preserve">Mazda</t>
        </is>
      </c>
      <c r="G20156" s="0" t="s">
        <v>210</v>
      </c>
      <c r="H20156" s="5">
        <v>975.347400</v>
      </c>
    </row>
    <row r="20157" spans="1:9">
      <c r="A20157" s="22" t="str">
        <f>HYPERLINK("https://app.vivvix.com/360/KMI/IntelliDrive/ApplUI/Pages/CreativePages/CustomReportCreativeDetail.aspx?App=23&amp;ReportView=4&amp;Qid=1711279&amp;Row=20149&amp;Col=1","No Title Assigned - #15279196260")</f>
        <v/>
      </c>
      <c r="B20157" s="0" t="s">
        <v>26782</v>
      </c>
      <c r="C20157" s="0" t="s">
        <v>26783</v>
      </c>
      <c r="D20157" s="0" t="s">
        <v>9749</v>
      </c>
      <c r="E20157" s="0" t="inlineStr">
        <is>
          <t xml:space="preserve">Mazda</t>
        </is>
      </c>
      <c r="F20157" s="0" t="s">
        <v>13</v>
      </c>
      <c r="G20157" s="0" t="s">
        <v>49</v>
      </c>
      <c r="H20157" s="5">
        <v>99.851400</v>
      </c>
    </row>
    <row r="20158" spans="1:9">
      <c r="A20158" s="22" t="str">
        <f>HYPERLINK("https://app.vivvix.com/360/KMI/IntelliDrive/ApplUI/Pages/CreativePages/CustomReportCreativeDetail.aspx?App=23&amp;ReportView=4&amp;Qid=1711279&amp;Row=20150&amp;Col=1","No Title Assigned - #15279196635")</f>
        <v/>
      </c>
      <c r="B20158" s="0" t="s">
        <v>26784</v>
      </c>
      <c r="C20158" s="0" t="s">
        <v>26785</v>
      </c>
      <c r="D20158" s="0" t="s">
        <v>16644</v>
      </c>
      <c r="E20158" s="0" t="inlineStr">
        <is>
          <t xml:space="preserve">Mazda</t>
        </is>
      </c>
      <c r="F20158" s="0" t="inlineStr">
        <is>
          <t xml:space="preserve">Mazda</t>
        </is>
      </c>
      <c r="G20158" s="0" t="s">
        <v>210</v>
      </c>
      <c r="H20158" s="5">
        <v>778.397800</v>
      </c>
    </row>
    <row r="20159" spans="1:9">
      <c r="A20159" s="22" t="str">
        <f>HYPERLINK("https://app.vivvix.com/360/KMI/IntelliDrive/ApplUI/Pages/CreativePages/CustomReportCreativeDetail.aspx?App=23&amp;ReportView=4&amp;Qid=1711279&amp;Row=20151&amp;Col=1","No Title Assigned - #15279196841")</f>
        <v/>
      </c>
      <c r="B20159" s="0" t="s">
        <v>26786</v>
      </c>
      <c r="C20159" s="0" t="s">
        <v>26787</v>
      </c>
      <c r="D20159" s="0" t="s">
        <v>19651</v>
      </c>
      <c r="E20159" s="0" t="inlineStr">
        <is>
          <t xml:space="preserve">Mazda</t>
        </is>
      </c>
      <c r="F20159" s="0" t="s">
        <v>13</v>
      </c>
      <c r="G20159" s="0" t="s">
        <v>49</v>
      </c>
      <c r="H20159" s="5">
        <v>72.897500</v>
      </c>
    </row>
    <row r="20160" spans="1:9">
      <c r="A20160" s="22" t="str">
        <f>HYPERLINK("https://app.vivvix.com/360/KMI/IntelliDrive/ApplUI/Pages/CreativePages/CustomReportCreativeDetail.aspx?App=23&amp;ReportView=4&amp;Qid=1711279&amp;Row=20152&amp;Col=1","No Title Assigned - #15279196908")</f>
        <v/>
      </c>
      <c r="B20160" s="0" t="s">
        <v>26788</v>
      </c>
      <c r="C20160" s="0" t="s">
        <v>26789</v>
      </c>
      <c r="D20160" s="0" t="s">
        <v>5013</v>
      </c>
      <c r="E20160" s="0" t="inlineStr">
        <is>
          <t xml:space="preserve">Mazda</t>
        </is>
      </c>
      <c r="F20160" s="0" t="s">
        <v>13</v>
      </c>
      <c r="G20160" s="0" t="s">
        <v>49</v>
      </c>
      <c r="H20160" s="5">
        <v>16746.069900</v>
      </c>
    </row>
    <row r="20161" spans="1:9">
      <c r="A20161" s="22" t="str">
        <f>HYPERLINK("https://app.vivvix.com/360/KMI/IntelliDrive/ApplUI/Pages/CreativePages/CustomReportCreativeDetail.aspx?App=23&amp;ReportView=4&amp;Qid=1711279&amp;Row=20153&amp;Col=1","No Title Assigned - #15279197207")</f>
        <v/>
      </c>
      <c r="B20161" s="0" t="s">
        <v>26790</v>
      </c>
      <c r="C20161" s="0" t="s">
        <v>26791</v>
      </c>
      <c r="D20161" s="0" t="s">
        <v>4335</v>
      </c>
      <c r="E20161" s="0" t="inlineStr">
        <is>
          <t xml:space="preserve">Mazda</t>
        </is>
      </c>
      <c r="F20161" s="0" t="s">
        <v>13</v>
      </c>
      <c r="G20161" s="0" t="s">
        <v>49</v>
      </c>
      <c r="H20161" s="5">
        <v>3.570100</v>
      </c>
    </row>
    <row r="20162" spans="1:9">
      <c r="A20162" s="22" t="str">
        <f>HYPERLINK("https://app.vivvix.com/360/KMI/IntelliDrive/ApplUI/Pages/CreativePages/CustomReportCreativeDetail.aspx?App=23&amp;ReportView=4&amp;Qid=1711279&amp;Row=20154&amp;Col=1","No Title Assigned - #15279197259")</f>
        <v/>
      </c>
      <c r="B20162" s="0" t="s">
        <v>26792</v>
      </c>
      <c r="C20162" s="0" t="s">
        <v>26793</v>
      </c>
      <c r="D20162" s="0" t="s">
        <v>26793</v>
      </c>
      <c r="E20162" s="0" t="inlineStr">
        <is>
          <t xml:space="preserve">Mazda</t>
        </is>
      </c>
      <c r="F20162" s="0" t="s">
        <v>13</v>
      </c>
      <c r="G20162" s="0" t="s">
        <v>49</v>
      </c>
      <c r="H20162" s="5">
        <v>92.289600</v>
      </c>
    </row>
    <row r="20163" spans="1:9">
      <c r="A20163" s="22" t="str">
        <f>HYPERLINK("https://app.vivvix.com/360/KMI/IntelliDrive/ApplUI/Pages/CreativePages/CustomReportCreativeDetail.aspx?App=23&amp;ReportView=4&amp;Qid=1711279&amp;Row=20155&amp;Col=1","No Title Assigned - #15279197342")</f>
        <v/>
      </c>
      <c r="B20163" s="0" t="s">
        <v>26794</v>
      </c>
      <c r="C20163" s="0" t="s">
        <v>26795</v>
      </c>
      <c r="D20163" s="0" t="s">
        <v>4335</v>
      </c>
      <c r="E20163" s="0" t="inlineStr">
        <is>
          <t xml:space="preserve">Mazda</t>
        </is>
      </c>
      <c r="F20163" s="0" t="s">
        <v>13</v>
      </c>
      <c r="G20163" s="0" t="s">
        <v>49</v>
      </c>
      <c r="H20163" s="5">
        <v>197.753400</v>
      </c>
    </row>
    <row r="20164" spans="1:9">
      <c r="A20164" s="22" t="str">
        <f>HYPERLINK("https://app.vivvix.com/360/KMI/IntelliDrive/ApplUI/Pages/CreativePages/CustomReportCreativeDetail.aspx?App=23&amp;ReportView=4&amp;Qid=1711279&amp;Row=20156&amp;Col=1","No Title Assigned - #15279197397")</f>
        <v/>
      </c>
      <c r="B20164" s="0" t="s">
        <v>26796</v>
      </c>
      <c r="C20164" s="0" t="s">
        <v>26797</v>
      </c>
      <c r="D20164" s="0" t="s">
        <v>6183</v>
      </c>
      <c r="E20164" s="0" t="inlineStr">
        <is>
          <t xml:space="preserve">Mazda</t>
        </is>
      </c>
      <c r="F20164" s="0" t="s">
        <v>13</v>
      </c>
      <c r="G20164" s="0" t="s">
        <v>49</v>
      </c>
      <c r="H20164" s="5">
        <v>367.580100</v>
      </c>
    </row>
    <row r="20165" spans="1:9">
      <c r="A20165" s="22" t="str">
        <f>HYPERLINK("https://app.vivvix.com/360/KMI/IntelliDrive/ApplUI/Pages/CreativePages/CustomReportCreativeDetail.aspx?App=23&amp;ReportView=4&amp;Qid=1711279&amp;Row=20157&amp;Col=1","No Title Assigned - #15279197503")</f>
        <v/>
      </c>
      <c r="B20165" s="0" t="s">
        <v>26798</v>
      </c>
      <c r="C20165" s="0" t="s">
        <v>26799</v>
      </c>
      <c r="D20165" s="0" t="s">
        <v>26799</v>
      </c>
      <c r="E20165" s="0" t="inlineStr">
        <is>
          <t xml:space="preserve">Mazda</t>
        </is>
      </c>
      <c r="F20165" s="0" t="s">
        <v>13</v>
      </c>
      <c r="G20165" s="0" t="s">
        <v>49</v>
      </c>
      <c r="H20165" s="5">
        <v>2.220900</v>
      </c>
    </row>
    <row r="20166" spans="1:9">
      <c r="A20166" s="22" t="str">
        <f>HYPERLINK("https://app.vivvix.com/360/KMI/IntelliDrive/ApplUI/Pages/CreativePages/CustomReportCreativeDetail.aspx?App=23&amp;ReportView=4&amp;Qid=1711279&amp;Row=20158&amp;Col=1","No Title Assigned - #15279197686")</f>
        <v/>
      </c>
      <c r="B20166" s="0" t="s">
        <v>26800</v>
      </c>
      <c r="C20166" s="0" t="s">
        <v>26801</v>
      </c>
      <c r="D20166" s="0" t="s">
        <v>5013</v>
      </c>
      <c r="E20166" s="0" t="inlineStr">
        <is>
          <t xml:space="preserve">Mazda</t>
        </is>
      </c>
      <c r="F20166" s="0" t="s">
        <v>13</v>
      </c>
      <c r="G20166" s="0" t="s">
        <v>49</v>
      </c>
      <c r="H20166" s="5">
        <v>96.431900</v>
      </c>
    </row>
    <row r="20167" spans="1:9">
      <c r="A20167" s="22" t="str">
        <f>HYPERLINK("https://app.vivvix.com/360/KMI/IntelliDrive/ApplUI/Pages/CreativePages/CustomReportCreativeDetail.aspx?App=23&amp;ReportView=4&amp;Qid=1711279&amp;Row=20159&amp;Col=1","No Title Assigned - #15279197705")</f>
        <v/>
      </c>
      <c r="B20167" s="0" t="s">
        <v>26802</v>
      </c>
      <c r="C20167" s="0" t="s">
        <v>26803</v>
      </c>
      <c r="D20167" s="0" t="s">
        <v>26803</v>
      </c>
      <c r="E20167" s="0" t="inlineStr">
        <is>
          <t xml:space="preserve">Mazda</t>
        </is>
      </c>
      <c r="F20167" s="0" t="s">
        <v>26804</v>
      </c>
      <c r="G20167" s="0" t="s">
        <v>26805</v>
      </c>
      <c r="H20167" s="5">
        <v>2798.138400</v>
      </c>
    </row>
    <row r="20168" spans="1:9">
      <c r="A20168" s="22" t="str">
        <f>HYPERLINK("https://app.vivvix.com/360/KMI/IntelliDrive/ApplUI/Pages/CreativePages/CustomReportCreativeDetail.aspx?App=23&amp;ReportView=4&amp;Qid=1711279&amp;Row=20160&amp;Col=1","No Title Assigned - #15279198069")</f>
        <v/>
      </c>
      <c r="B20168" s="0" t="s">
        <v>26806</v>
      </c>
      <c r="E20168" s="0" t="inlineStr">
        <is>
          <t xml:space="preserve">Mazda</t>
        </is>
      </c>
      <c r="F20168" s="0" t="inlineStr">
        <is>
          <t xml:space="preserve">Mazda</t>
        </is>
      </c>
      <c r="G20168" s="0" t="s">
        <v>171</v>
      </c>
      <c r="H20168" s="5">
        <v>36.187000</v>
      </c>
    </row>
    <row r="20169" spans="1:9">
      <c r="A20169" s="22" t="str">
        <f>HYPERLINK("https://app.vivvix.com/360/KMI/IntelliDrive/ApplUI/Pages/CreativePages/CustomReportCreativeDetail.aspx?App=23&amp;ReportView=4&amp;Qid=1711279&amp;Row=20161&amp;Col=1","No Title Assigned - #15279198326")</f>
        <v/>
      </c>
      <c r="B20169" s="0" t="s">
        <v>26807</v>
      </c>
      <c r="C20169" s="0" t="s">
        <v>26808</v>
      </c>
      <c r="D20169" s="0" t="s">
        <v>26808</v>
      </c>
      <c r="E20169" s="0" t="inlineStr">
        <is>
          <t xml:space="preserve">Mazda</t>
        </is>
      </c>
      <c r="F20169" s="0" t="s">
        <v>13</v>
      </c>
      <c r="G20169" s="0" t="s">
        <v>49</v>
      </c>
      <c r="H20169" s="5">
        <v>428.299700</v>
      </c>
    </row>
    <row r="20170" spans="1:9">
      <c r="A20170" s="22" t="str">
        <f>HYPERLINK("https://app.vivvix.com/360/KMI/IntelliDrive/ApplUI/Pages/CreativePages/CustomReportCreativeDetail.aspx?App=23&amp;ReportView=4&amp;Qid=1711279&amp;Row=20162&amp;Col=1","No Title Assigned - #15279198851")</f>
        <v/>
      </c>
      <c r="B20170" s="0" t="s">
        <v>26809</v>
      </c>
      <c r="C20170" s="0" t="s">
        <v>26810</v>
      </c>
      <c r="D20170" s="0" t="s">
        <v>6183</v>
      </c>
      <c r="E20170" s="0" t="inlineStr">
        <is>
          <t xml:space="preserve">Mazda</t>
        </is>
      </c>
      <c r="F20170" s="0" t="s">
        <v>13</v>
      </c>
      <c r="G20170" s="0" t="s">
        <v>49</v>
      </c>
      <c r="H20170" s="5">
        <v>46.186900</v>
      </c>
    </row>
    <row r="20171" spans="1:9">
      <c r="A20171" s="22" t="str">
        <f>HYPERLINK("https://app.vivvix.com/360/KMI/IntelliDrive/ApplUI/Pages/CreativePages/CustomReportCreativeDetail.aspx?App=23&amp;ReportView=4&amp;Qid=1711279&amp;Row=20163&amp;Col=1","No Title Assigned - #15279201840")</f>
        <v/>
      </c>
      <c r="B20171" s="0" t="s">
        <v>26811</v>
      </c>
      <c r="C20171" s="0" t="s">
        <v>26812</v>
      </c>
      <c r="D20171" s="0" t="s">
        <v>9167</v>
      </c>
      <c r="E20171" s="0" t="inlineStr">
        <is>
          <t xml:space="preserve">Mazda</t>
        </is>
      </c>
      <c r="F20171" s="0" t="s">
        <v>13</v>
      </c>
      <c r="G20171" s="0" t="s">
        <v>49</v>
      </c>
      <c r="H20171" s="5">
        <v>574.944300</v>
      </c>
    </row>
    <row r="20172" spans="1:9">
      <c r="A20172" s="22" t="str">
        <f>HYPERLINK("https://app.vivvix.com/360/KMI/IntelliDrive/ApplUI/Pages/CreativePages/CustomReportCreativeDetail.aspx?App=23&amp;ReportView=4&amp;Qid=1711279&amp;Row=20164&amp;Col=1","No Title Assigned - #15279203419")</f>
        <v/>
      </c>
      <c r="B20172" s="0" t="s">
        <v>26813</v>
      </c>
      <c r="C20172" s="0" t="s">
        <v>26814</v>
      </c>
      <c r="D20172" s="0" t="s">
        <v>8439</v>
      </c>
      <c r="E20172" s="0" t="inlineStr">
        <is>
          <t xml:space="preserve">Mazda</t>
        </is>
      </c>
      <c r="F20172" s="0" t="s">
        <v>13</v>
      </c>
      <c r="G20172" s="0" t="s">
        <v>49</v>
      </c>
      <c r="H20172" s="5">
        <v>203.491900</v>
      </c>
    </row>
    <row r="20173" spans="1:9">
      <c r="A20173" s="22" t="str">
        <f>HYPERLINK("https://app.vivvix.com/360/KMI/IntelliDrive/ApplUI/Pages/CreativePages/CustomReportCreativeDetail.aspx?App=23&amp;ReportView=4&amp;Qid=1711279&amp;Row=20165&amp;Col=1","No Title Assigned - #15279203867")</f>
        <v/>
      </c>
      <c r="B20173" s="0" t="s">
        <v>26815</v>
      </c>
      <c r="C20173" s="0" t="s">
        <v>26816</v>
      </c>
      <c r="D20173" s="0" t="s">
        <v>26816</v>
      </c>
      <c r="E20173" s="0" t="inlineStr">
        <is>
          <t xml:space="preserve">Mazda</t>
        </is>
      </c>
      <c r="F20173" s="0" t="s">
        <v>13</v>
      </c>
      <c r="G20173" s="0" t="s">
        <v>49</v>
      </c>
      <c r="H20173" s="5">
        <v>665.105900</v>
      </c>
    </row>
    <row r="20174" spans="1:9">
      <c r="A20174" s="22" t="str">
        <f>HYPERLINK("https://app.vivvix.com/360/KMI/IntelliDrive/ApplUI/Pages/CreativePages/CustomReportCreativeDetail.aspx?App=23&amp;ReportView=4&amp;Qid=1711279&amp;Row=20166&amp;Col=1","No Title Assigned - #15279217733")</f>
        <v/>
      </c>
      <c r="B20174" s="0" t="s">
        <v>26817</v>
      </c>
      <c r="C20174" s="0" t="s">
        <v>26818</v>
      </c>
      <c r="D20174" s="0" t="s">
        <v>26818</v>
      </c>
      <c r="E20174" s="0" t="inlineStr">
        <is>
          <t xml:space="preserve">Mazda</t>
        </is>
      </c>
      <c r="F20174" s="0" t="s">
        <v>13</v>
      </c>
      <c r="G20174" s="0" t="s">
        <v>49</v>
      </c>
      <c r="H20174" s="5">
        <v>78001.656300</v>
      </c>
    </row>
    <row r="20175" spans="1:9">
      <c r="A20175" s="22" t="str">
        <f>HYPERLINK("https://app.vivvix.com/360/KMI/IntelliDrive/ApplUI/Pages/CreativePages/CustomReportCreativeDetail.aspx?App=23&amp;ReportView=4&amp;Qid=1711279&amp;Row=20167&amp;Col=1","No Title Assigned - #15279219808")</f>
        <v/>
      </c>
      <c r="B20175" s="0" t="s">
        <v>26819</v>
      </c>
      <c r="C20175" s="0" t="s">
        <v>26820</v>
      </c>
      <c r="D20175" s="0" t="s">
        <v>26820</v>
      </c>
      <c r="E20175" s="0" t="inlineStr">
        <is>
          <t xml:space="preserve">Mazda</t>
        </is>
      </c>
      <c r="F20175" s="0" t="s">
        <v>13</v>
      </c>
      <c r="G20175" s="0" t="s">
        <v>49</v>
      </c>
      <c r="H20175" s="5">
        <v>8.209200</v>
      </c>
    </row>
    <row r="20176" spans="1:9">
      <c r="A20176" s="22" t="str">
        <f>HYPERLINK("https://app.vivvix.com/360/KMI/IntelliDrive/ApplUI/Pages/CreativePages/CustomReportCreativeDetail.aspx?App=23&amp;ReportView=4&amp;Qid=1711279&amp;Row=20168&amp;Col=1","No Title Assigned - #15279224537")</f>
        <v/>
      </c>
      <c r="B20176" s="0" t="s">
        <v>26821</v>
      </c>
      <c r="C20176" s="0" t="s">
        <v>26822</v>
      </c>
      <c r="D20176" s="0" t="s">
        <v>26822</v>
      </c>
      <c r="E20176" s="0" t="inlineStr">
        <is>
          <t xml:space="preserve">Mazda</t>
        </is>
      </c>
      <c r="F20176" s="0" t="s">
        <v>13</v>
      </c>
      <c r="G20176" s="0" t="s">
        <v>49</v>
      </c>
      <c r="H20176" s="5">
        <v>94814.617200</v>
      </c>
    </row>
    <row r="20177" spans="1:9">
      <c r="A20177" s="22" t="str">
        <f>HYPERLINK("https://app.vivvix.com/360/KMI/IntelliDrive/ApplUI/Pages/CreativePages/CustomReportCreativeDetail.aspx?App=23&amp;ReportView=4&amp;Qid=1711279&amp;Row=20169&amp;Col=1","No Title Assigned - #15279224983")</f>
        <v/>
      </c>
      <c r="B20177" s="0" t="s">
        <v>26823</v>
      </c>
      <c r="C20177" s="0" t="s">
        <v>26824</v>
      </c>
      <c r="D20177" s="0" t="s">
        <v>26824</v>
      </c>
      <c r="E20177" s="0" t="inlineStr">
        <is>
          <t xml:space="preserve">Mazda</t>
        </is>
      </c>
      <c r="F20177" s="0" t="s">
        <v>13</v>
      </c>
      <c r="G20177" s="0" t="s">
        <v>49</v>
      </c>
      <c r="H20177" s="5">
        <v>130138.623800</v>
      </c>
    </row>
    <row r="20178" spans="1:9">
      <c r="A20178" s="22" t="str">
        <f>HYPERLINK("https://app.vivvix.com/360/KMI/IntelliDrive/ApplUI/Pages/CreativePages/CustomReportCreativeDetail.aspx?App=23&amp;ReportView=4&amp;Qid=1711279&amp;Row=20170&amp;Col=1","No Title Assigned - #15279224983")</f>
        <v/>
      </c>
      <c r="B20178" s="0" t="s">
        <v>26823</v>
      </c>
      <c r="E20178" s="0" t="inlineStr">
        <is>
          <t xml:space="preserve">Mazda</t>
        </is>
      </c>
      <c r="F20178" s="0" t="s">
        <v>13</v>
      </c>
      <c r="G20178" s="0" t="s">
        <v>49</v>
      </c>
      <c r="H20178" s="5">
        <v>10781.540500</v>
      </c>
    </row>
    <row r="20179" spans="1:9">
      <c r="A20179" s="22" t="str">
        <f>HYPERLINK("https://app.vivvix.com/360/KMI/IntelliDrive/ApplUI/Pages/CreativePages/CustomReportCreativeDetail.aspx?App=23&amp;ReportView=4&amp;Qid=1711279&amp;Row=20171&amp;Col=1","No Title Assigned - #15279225507")</f>
        <v/>
      </c>
      <c r="B20179" s="0" t="s">
        <v>26825</v>
      </c>
      <c r="C20179" s="0" t="s">
        <v>26826</v>
      </c>
      <c r="D20179" s="0" t="s">
        <v>4768</v>
      </c>
      <c r="E20179" s="0" t="inlineStr">
        <is>
          <t xml:space="preserve">Mazda</t>
        </is>
      </c>
      <c r="F20179" s="0" t="s">
        <v>13</v>
      </c>
      <c r="G20179" s="0" t="s">
        <v>49</v>
      </c>
      <c r="H20179" s="5">
        <v>219.986600</v>
      </c>
    </row>
    <row r="20180" spans="1:9">
      <c r="A20180" s="22" t="str">
        <f>HYPERLINK("https://app.vivvix.com/360/KMI/IntelliDrive/ApplUI/Pages/CreativePages/CustomReportCreativeDetail.aspx?App=23&amp;ReportView=4&amp;Qid=1711279&amp;Row=20172&amp;Col=1","No Title Assigned - #15279229450")</f>
        <v/>
      </c>
      <c r="B20180" s="0" t="s">
        <v>26827</v>
      </c>
      <c r="E20180" s="0" t="inlineStr">
        <is>
          <t xml:space="preserve">Mazda</t>
        </is>
      </c>
      <c r="F20180" s="0" t="s">
        <v>204</v>
      </c>
      <c r="G20180" s="0" t="s">
        <v>205</v>
      </c>
      <c r="H20180" s="5">
        <v>662.552200</v>
      </c>
    </row>
    <row r="20181" spans="1:9">
      <c r="A20181" s="22" t="str">
        <f>HYPERLINK("https://app.vivvix.com/360/KMI/IntelliDrive/ApplUI/Pages/CreativePages/CustomReportCreativeDetail.aspx?App=23&amp;ReportView=4&amp;Qid=1711279&amp;Row=20173&amp;Col=1","No Title Assigned - #15279231645")</f>
        <v/>
      </c>
      <c r="B20181" s="0" t="s">
        <v>26828</v>
      </c>
      <c r="E20181" s="0" t="inlineStr">
        <is>
          <t xml:space="preserve">Mazda</t>
        </is>
      </c>
      <c r="F20181" s="0" t="inlineStr">
        <is>
          <t xml:space="preserve">Mazda</t>
        </is>
      </c>
      <c r="G20181" s="0" t="s">
        <v>171</v>
      </c>
      <c r="H20181" s="5">
        <v>67.795800</v>
      </c>
    </row>
    <row r="20182" spans="1:9">
      <c r="A20182" s="22" t="str">
        <f>HYPERLINK("https://app.vivvix.com/360/KMI/IntelliDrive/ApplUI/Pages/CreativePages/CustomReportCreativeDetail.aspx?App=23&amp;ReportView=4&amp;Qid=1711279&amp;Row=20174&amp;Col=1","No Title Assigned - #15279232795")</f>
        <v/>
      </c>
      <c r="B20182" s="0" t="s">
        <v>26829</v>
      </c>
      <c r="E20182" s="0" t="inlineStr">
        <is>
          <t xml:space="preserve">Mazda</t>
        </is>
      </c>
      <c r="F20182" s="0" t="inlineStr">
        <is>
          <t xml:space="preserve">Mazda</t>
        </is>
      </c>
      <c r="G20182" s="0" t="s">
        <v>171</v>
      </c>
      <c r="H20182" s="5">
        <v>242.998400</v>
      </c>
    </row>
    <row r="20183" spans="1:9">
      <c r="A20183" s="22" t="str">
        <f>HYPERLINK("https://app.vivvix.com/360/KMI/IntelliDrive/ApplUI/Pages/CreativePages/CustomReportCreativeDetail.aspx?App=23&amp;ReportView=4&amp;Qid=1711279&amp;Row=20175&amp;Col=1","No Title Assigned - #15279232927")</f>
        <v/>
      </c>
      <c r="B20183" s="0" t="s">
        <v>26830</v>
      </c>
      <c r="E20183" s="0" t="inlineStr">
        <is>
          <t xml:space="preserve">Mazda</t>
        </is>
      </c>
      <c r="F20183" s="0" t="inlineStr">
        <is>
          <t xml:space="preserve">Mazda</t>
        </is>
      </c>
      <c r="G20183" s="0" t="s">
        <v>171</v>
      </c>
      <c r="H20183" s="5">
        <v>156.791100</v>
      </c>
    </row>
    <row r="20184" spans="1:9">
      <c r="A20184" s="22" t="str">
        <f>HYPERLINK("https://app.vivvix.com/360/KMI/IntelliDrive/ApplUI/Pages/CreativePages/CustomReportCreativeDetail.aspx?App=23&amp;ReportView=4&amp;Qid=1711279&amp;Row=20176&amp;Col=1","No Title Assigned - #15279235103")</f>
        <v/>
      </c>
      <c r="B20184" s="0" t="s">
        <v>26831</v>
      </c>
      <c r="C20184" s="0" t="s">
        <v>26832</v>
      </c>
      <c r="D20184" s="0" t="s">
        <v>26832</v>
      </c>
      <c r="E20184" s="0" t="inlineStr">
        <is>
          <t xml:space="preserve">Mazda</t>
        </is>
      </c>
      <c r="F20184" s="0" t="inlineStr">
        <is>
          <t xml:space="preserve">Mazda</t>
        </is>
      </c>
      <c r="G20184" s="0" t="s">
        <v>171</v>
      </c>
      <c r="H20184" s="5">
        <v>1217.856300</v>
      </c>
    </row>
    <row r="20185" spans="1:9">
      <c r="A20185" s="22" t="str">
        <f>HYPERLINK("https://app.vivvix.com/360/KMI/IntelliDrive/ApplUI/Pages/CreativePages/CustomReportCreativeDetail.aspx?App=23&amp;ReportView=4&amp;Qid=1711279&amp;Row=20177&amp;Col=1","No Title Assigned - #15279236047")</f>
        <v/>
      </c>
      <c r="B20185" s="0" t="s">
        <v>26833</v>
      </c>
      <c r="E20185" s="0" t="inlineStr">
        <is>
          <t xml:space="preserve">Mazda</t>
        </is>
      </c>
      <c r="F20185" s="0" t="inlineStr">
        <is>
          <t xml:space="preserve">Mazda</t>
        </is>
      </c>
      <c r="G20185" s="0" t="s">
        <v>171</v>
      </c>
      <c r="H20185" s="5">
        <v>85.981300</v>
      </c>
    </row>
    <row r="20186" spans="1:9">
      <c r="A20186" s="22" t="str">
        <f>HYPERLINK("https://app.vivvix.com/360/KMI/IntelliDrive/ApplUI/Pages/CreativePages/CustomReportCreativeDetail.aspx?App=23&amp;ReportView=4&amp;Qid=1711279&amp;Row=20178&amp;Col=1","No Title Assigned - #15279236798")</f>
        <v/>
      </c>
      <c r="B20186" s="0" t="s">
        <v>26834</v>
      </c>
      <c r="E20186" s="0" t="inlineStr">
        <is>
          <t xml:space="preserve">Mazda</t>
        </is>
      </c>
      <c r="F20186" s="0" t="inlineStr">
        <is>
          <t xml:space="preserve">Mazda</t>
        </is>
      </c>
      <c r="G20186" s="0" t="s">
        <v>171</v>
      </c>
      <c r="H20186" s="5">
        <v>7140.920100</v>
      </c>
    </row>
    <row r="20187" spans="1:9">
      <c r="A20187" s="22" t="str">
        <f>HYPERLINK("https://app.vivvix.com/360/KMI/IntelliDrive/ApplUI/Pages/CreativePages/CustomReportCreativeDetail.aspx?App=23&amp;ReportView=4&amp;Qid=1711279&amp;Row=20179&amp;Col=1","No Title Assigned - #15279236830")</f>
        <v/>
      </c>
      <c r="B20187" s="0" t="s">
        <v>26835</v>
      </c>
      <c r="E20187" s="0" t="inlineStr">
        <is>
          <t xml:space="preserve">Mazda</t>
        </is>
      </c>
      <c r="F20187" s="0" t="inlineStr">
        <is>
          <t xml:space="preserve">Mazda</t>
        </is>
      </c>
      <c r="G20187" s="0" t="s">
        <v>171</v>
      </c>
      <c r="H20187" s="5">
        <v>29.858700</v>
      </c>
    </row>
    <row r="20188" spans="1:9">
      <c r="A20188" s="22" t="str">
        <f>HYPERLINK("https://app.vivvix.com/360/KMI/IntelliDrive/ApplUI/Pages/CreativePages/CustomReportCreativeDetail.aspx?App=23&amp;ReportView=4&amp;Qid=1711279&amp;Row=20180&amp;Col=1","No Title Assigned - #15279237919")</f>
        <v/>
      </c>
      <c r="B20188" s="0" t="s">
        <v>26836</v>
      </c>
      <c r="E20188" s="0" t="inlineStr">
        <is>
          <t xml:space="preserve">Mazda</t>
        </is>
      </c>
      <c r="F20188" s="0" t="inlineStr">
        <is>
          <t xml:space="preserve">Mazda</t>
        </is>
      </c>
      <c r="G20188" s="0" t="s">
        <v>171</v>
      </c>
      <c r="H20188" s="5">
        <v>1057.679200</v>
      </c>
    </row>
    <row r="20189" spans="1:9">
      <c r="A20189" s="22" t="str">
        <f>HYPERLINK("https://app.vivvix.com/360/KMI/IntelliDrive/ApplUI/Pages/CreativePages/CustomReportCreativeDetail.aspx?App=23&amp;ReportView=4&amp;Qid=1711279&amp;Row=20181&amp;Col=1","No Title Assigned - #15279238525")</f>
        <v/>
      </c>
      <c r="B20189" s="0" t="s">
        <v>26837</v>
      </c>
      <c r="E20189" s="0" t="inlineStr">
        <is>
          <t xml:space="preserve">Mazda</t>
        </is>
      </c>
      <c r="F20189" s="0" t="inlineStr">
        <is>
          <t xml:space="preserve">Mazda</t>
        </is>
      </c>
      <c r="G20189" s="0" t="s">
        <v>171</v>
      </c>
      <c r="H20189" s="5">
        <v>16.629300</v>
      </c>
    </row>
    <row r="20190" spans="1:9">
      <c r="A20190" s="22" t="str">
        <f>HYPERLINK("https://app.vivvix.com/360/KMI/IntelliDrive/ApplUI/Pages/CreativePages/CustomReportCreativeDetail.aspx?App=23&amp;ReportView=4&amp;Qid=1711279&amp;Row=20182&amp;Col=1","No Title Assigned - #15279239312")</f>
        <v/>
      </c>
      <c r="B20190" s="0" t="s">
        <v>26838</v>
      </c>
      <c r="E20190" s="0" t="inlineStr">
        <is>
          <t xml:space="preserve">Mazda</t>
        </is>
      </c>
      <c r="F20190" s="0" t="inlineStr">
        <is>
          <t xml:space="preserve">Mazda</t>
        </is>
      </c>
      <c r="G20190" s="0" t="s">
        <v>171</v>
      </c>
      <c r="H20190" s="5">
        <v>29.858700</v>
      </c>
    </row>
    <row r="20191" spans="1:9">
      <c r="A20191" s="22" t="str">
        <f>HYPERLINK("https://app.vivvix.com/360/KMI/IntelliDrive/ApplUI/Pages/CreativePages/CustomReportCreativeDetail.aspx?App=23&amp;ReportView=4&amp;Qid=1711279&amp;Row=20183&amp;Col=1","No Title Assigned - #15279240008")</f>
        <v/>
      </c>
      <c r="B20191" s="0" t="s">
        <v>26839</v>
      </c>
      <c r="E20191" s="0" t="inlineStr">
        <is>
          <t xml:space="preserve">Mazda</t>
        </is>
      </c>
      <c r="F20191" s="0" t="inlineStr">
        <is>
          <t xml:space="preserve">Mazda</t>
        </is>
      </c>
      <c r="G20191" s="0" t="s">
        <v>171</v>
      </c>
      <c r="H20191" s="5">
        <v>6101.265700</v>
      </c>
    </row>
    <row r="20192" spans="1:9">
      <c r="A20192" s="22" t="str">
        <f>HYPERLINK("https://app.vivvix.com/360/KMI/IntelliDrive/ApplUI/Pages/CreativePages/CustomReportCreativeDetail.aspx?App=23&amp;ReportView=4&amp;Qid=1711279&amp;Row=20184&amp;Col=1","No Title Assigned - #15279240085")</f>
        <v/>
      </c>
      <c r="B20192" s="0" t="s">
        <v>26840</v>
      </c>
      <c r="C20192" s="0" t="s">
        <v>26841</v>
      </c>
      <c r="D20192" s="0" t="s">
        <v>19918</v>
      </c>
      <c r="E20192" s="0" t="inlineStr">
        <is>
          <t xml:space="preserve">Mazda</t>
        </is>
      </c>
      <c r="F20192" s="0" t="inlineStr">
        <is>
          <t xml:space="preserve">Mazda</t>
        </is>
      </c>
      <c r="G20192" s="0" t="s">
        <v>210</v>
      </c>
      <c r="H20192" s="5">
        <v>104.598600</v>
      </c>
    </row>
    <row r="20193" spans="1:9">
      <c r="A20193" s="22" t="str">
        <f>HYPERLINK("https://app.vivvix.com/360/KMI/IntelliDrive/ApplUI/Pages/CreativePages/CustomReportCreativeDetail.aspx?App=23&amp;ReportView=4&amp;Qid=1711279&amp;Row=20185&amp;Col=1","No Title Assigned - #15279240693")</f>
        <v/>
      </c>
      <c r="B20193" s="0" t="s">
        <v>26842</v>
      </c>
      <c r="C20193" s="0" t="s">
        <v>26843</v>
      </c>
      <c r="D20193" s="0" t="s">
        <v>10311</v>
      </c>
      <c r="E20193" s="0" t="inlineStr">
        <is>
          <t xml:space="preserve">Mazda</t>
        </is>
      </c>
      <c r="F20193" s="0" t="s">
        <v>13</v>
      </c>
      <c r="G20193" s="0" t="s">
        <v>49</v>
      </c>
      <c r="H20193" s="5">
        <v>462.829700</v>
      </c>
    </row>
    <row r="20194" spans="1:9">
      <c r="A20194" s="22" t="str">
        <f>HYPERLINK("https://app.vivvix.com/360/KMI/IntelliDrive/ApplUI/Pages/CreativePages/CustomReportCreativeDetail.aspx?App=23&amp;ReportView=4&amp;Qid=1711279&amp;Row=20186&amp;Col=1","No Title Assigned - #15279241282")</f>
        <v/>
      </c>
      <c r="B20194" s="0" t="s">
        <v>26844</v>
      </c>
      <c r="E20194" s="0" t="inlineStr">
        <is>
          <t xml:space="preserve">Mazda</t>
        </is>
      </c>
      <c r="F20194" s="0" t="inlineStr">
        <is>
          <t xml:space="preserve">Mazda</t>
        </is>
      </c>
      <c r="G20194" s="0" t="s">
        <v>171</v>
      </c>
      <c r="H20194" s="5">
        <v>723.815600</v>
      </c>
    </row>
    <row r="20195" spans="1:9">
      <c r="A20195" s="22" t="str">
        <f>HYPERLINK("https://app.vivvix.com/360/KMI/IntelliDrive/ApplUI/Pages/CreativePages/CustomReportCreativeDetail.aspx?App=23&amp;ReportView=4&amp;Qid=1711279&amp;Row=20187&amp;Col=1","No Title Assigned - #15279241560")</f>
        <v/>
      </c>
      <c r="B20195" s="0" t="s">
        <v>26845</v>
      </c>
      <c r="E20195" s="0" t="inlineStr">
        <is>
          <t xml:space="preserve">Mazda</t>
        </is>
      </c>
      <c r="F20195" s="0" t="inlineStr">
        <is>
          <t xml:space="preserve">Mazda</t>
        </is>
      </c>
      <c r="G20195" s="0" t="s">
        <v>171</v>
      </c>
      <c r="H20195" s="5">
        <v>142.759600</v>
      </c>
    </row>
    <row r="20196" spans="1:9">
      <c r="A20196" s="22" t="str">
        <f>HYPERLINK("https://app.vivvix.com/360/KMI/IntelliDrive/ApplUI/Pages/CreativePages/CustomReportCreativeDetail.aspx?App=23&amp;ReportView=4&amp;Qid=1711279&amp;Row=20188&amp;Col=1","No Title Assigned - #15279241929")</f>
        <v/>
      </c>
      <c r="B20196" s="0" t="s">
        <v>26846</v>
      </c>
      <c r="E20196" s="0" t="inlineStr">
        <is>
          <t xml:space="preserve">Mazda</t>
        </is>
      </c>
      <c r="F20196" s="0" t="inlineStr">
        <is>
          <t xml:space="preserve">Mazda</t>
        </is>
      </c>
      <c r="G20196" s="0" t="s">
        <v>171</v>
      </c>
      <c r="H20196" s="5">
        <v>7.435200</v>
      </c>
    </row>
    <row r="20197" spans="1:9">
      <c r="A20197" s="22" t="str">
        <f>HYPERLINK("https://app.vivvix.com/360/KMI/IntelliDrive/ApplUI/Pages/CreativePages/CustomReportCreativeDetail.aspx?App=23&amp;ReportView=4&amp;Qid=1711279&amp;Row=20189&amp;Col=1","No Title Assigned - #15279242112")</f>
        <v/>
      </c>
      <c r="B20197" s="0" t="s">
        <v>26847</v>
      </c>
      <c r="E20197" s="0" t="inlineStr">
        <is>
          <t xml:space="preserve">Mazda</t>
        </is>
      </c>
      <c r="F20197" s="0" t="inlineStr">
        <is>
          <t xml:space="preserve">Mazda</t>
        </is>
      </c>
      <c r="G20197" s="0" t="s">
        <v>171</v>
      </c>
      <c r="H20197" s="5">
        <v>985.902700</v>
      </c>
    </row>
    <row r="20198" spans="1:9">
      <c r="A20198" s="22" t="str">
        <f>HYPERLINK("https://app.vivvix.com/360/KMI/IntelliDrive/ApplUI/Pages/CreativePages/CustomReportCreativeDetail.aspx?App=23&amp;ReportView=4&amp;Qid=1711279&amp;Row=20190&amp;Col=1","No Title Assigned - #15279242389")</f>
        <v/>
      </c>
      <c r="B20198" s="0" t="s">
        <v>26848</v>
      </c>
      <c r="E20198" s="0" t="inlineStr">
        <is>
          <t xml:space="preserve">Mazda</t>
        </is>
      </c>
      <c r="F20198" s="0" t="inlineStr">
        <is>
          <t xml:space="preserve">Mazda</t>
        </is>
      </c>
      <c r="G20198" s="0" t="s">
        <v>171</v>
      </c>
      <c r="H20198" s="5">
        <v>69.136200</v>
      </c>
    </row>
    <row r="20199" spans="1:9">
      <c r="A20199" s="22" t="str">
        <f>HYPERLINK("https://app.vivvix.com/360/KMI/IntelliDrive/ApplUI/Pages/CreativePages/CustomReportCreativeDetail.aspx?App=23&amp;ReportView=4&amp;Qid=1711279&amp;Row=20191&amp;Col=1","No Title Assigned - #15279242862")</f>
        <v/>
      </c>
      <c r="B20199" s="0" t="s">
        <v>26849</v>
      </c>
      <c r="E20199" s="0" t="inlineStr">
        <is>
          <t xml:space="preserve">Mazda</t>
        </is>
      </c>
      <c r="F20199" s="0" t="inlineStr">
        <is>
          <t xml:space="preserve">Mazda</t>
        </is>
      </c>
      <c r="G20199" s="0" t="s">
        <v>171</v>
      </c>
      <c r="H20199" s="5">
        <v>65.217900</v>
      </c>
    </row>
    <row r="20200" spans="1:9">
      <c r="A20200" s="22" t="str">
        <f>HYPERLINK("https://app.vivvix.com/360/KMI/IntelliDrive/ApplUI/Pages/CreativePages/CustomReportCreativeDetail.aspx?App=23&amp;ReportView=4&amp;Qid=1711279&amp;Row=20192&amp;Col=1","No Title Assigned - #15279243098")</f>
        <v/>
      </c>
      <c r="B20200" s="0" t="s">
        <v>26850</v>
      </c>
      <c r="E20200" s="0" t="inlineStr">
        <is>
          <t xml:space="preserve">Mazda</t>
        </is>
      </c>
      <c r="F20200" s="0" t="inlineStr">
        <is>
          <t xml:space="preserve">Mazda</t>
        </is>
      </c>
      <c r="G20200" s="0" t="s">
        <v>171</v>
      </c>
      <c r="H20200" s="5">
        <v>24.495500</v>
      </c>
    </row>
    <row r="20201" spans="1:9">
      <c r="A20201" s="22" t="str">
        <f>HYPERLINK("https://app.vivvix.com/360/KMI/IntelliDrive/ApplUI/Pages/CreativePages/CustomReportCreativeDetail.aspx?App=23&amp;ReportView=4&amp;Qid=1711279&amp;Row=20193&amp;Col=1","No Title Assigned - #15279243247")</f>
        <v/>
      </c>
      <c r="B20201" s="0" t="s">
        <v>26851</v>
      </c>
      <c r="C20201" s="0" t="s">
        <v>26852</v>
      </c>
      <c r="D20201" s="0" t="s">
        <v>26852</v>
      </c>
      <c r="E20201" s="0" t="inlineStr">
        <is>
          <t xml:space="preserve">Mazda</t>
        </is>
      </c>
      <c r="F20201" s="0" t="inlineStr">
        <is>
          <t xml:space="preserve">Mazda</t>
        </is>
      </c>
      <c r="G20201" s="0" t="s">
        <v>171</v>
      </c>
      <c r="H20201" s="5">
        <v>25.070200</v>
      </c>
    </row>
    <row r="20202" spans="1:9">
      <c r="A20202" s="22" t="str">
        <f>HYPERLINK("https://app.vivvix.com/360/KMI/IntelliDrive/ApplUI/Pages/CreativePages/CustomReportCreativeDetail.aspx?App=23&amp;ReportView=4&amp;Qid=1711279&amp;Row=20194&amp;Col=1","No Title Assigned - #15279244122")</f>
        <v/>
      </c>
      <c r="B20202" s="0" t="s">
        <v>26853</v>
      </c>
      <c r="E20202" s="0" t="inlineStr">
        <is>
          <t xml:space="preserve">Mazda</t>
        </is>
      </c>
      <c r="F20202" s="0" t="inlineStr">
        <is>
          <t xml:space="preserve">Mazda</t>
        </is>
      </c>
      <c r="G20202" s="0" t="s">
        <v>171</v>
      </c>
      <c r="H20202" s="5">
        <v>45.522600</v>
      </c>
    </row>
    <row r="20203" spans="1:9">
      <c r="A20203" s="22" t="str">
        <f>HYPERLINK("https://app.vivvix.com/360/KMI/IntelliDrive/ApplUI/Pages/CreativePages/CustomReportCreativeDetail.aspx?App=23&amp;ReportView=4&amp;Qid=1711279&amp;Row=20195&amp;Col=1","No Title Assigned - #15279244143")</f>
        <v/>
      </c>
      <c r="B20203" s="0" t="s">
        <v>26854</v>
      </c>
      <c r="E20203" s="0" t="inlineStr">
        <is>
          <t xml:space="preserve">Mazda</t>
        </is>
      </c>
      <c r="F20203" s="0" t="inlineStr">
        <is>
          <t xml:space="preserve">Mazda</t>
        </is>
      </c>
      <c r="G20203" s="0" t="s">
        <v>171</v>
      </c>
      <c r="H20203" s="5">
        <v>157.843600</v>
      </c>
    </row>
    <row r="20204" spans="1:9">
      <c r="A20204" s="22" t="str">
        <f>HYPERLINK("https://app.vivvix.com/360/KMI/IntelliDrive/ApplUI/Pages/CreativePages/CustomReportCreativeDetail.aspx?App=23&amp;ReportView=4&amp;Qid=1711279&amp;Row=20196&amp;Col=1","No Title Assigned - #15279244328")</f>
        <v/>
      </c>
      <c r="B20204" s="0" t="s">
        <v>26855</v>
      </c>
      <c r="C20204" s="0" t="s">
        <v>26856</v>
      </c>
      <c r="D20204" s="0" t="s">
        <v>26856</v>
      </c>
      <c r="E20204" s="0" t="inlineStr">
        <is>
          <t xml:space="preserve">Mazda</t>
        </is>
      </c>
      <c r="F20204" s="0" t="s">
        <v>13</v>
      </c>
      <c r="G20204" s="0" t="s">
        <v>49</v>
      </c>
      <c r="H20204" s="5">
        <v>8194.591800</v>
      </c>
    </row>
    <row r="20205" spans="1:9">
      <c r="A20205" s="22" t="str">
        <f>HYPERLINK("https://app.vivvix.com/360/KMI/IntelliDrive/ApplUI/Pages/CreativePages/CustomReportCreativeDetail.aspx?App=23&amp;ReportView=4&amp;Qid=1711279&amp;Row=20197&amp;Col=1","No Title Assigned - #15279244333")</f>
        <v/>
      </c>
      <c r="B20205" s="0" t="s">
        <v>26857</v>
      </c>
      <c r="E20205" s="0" t="inlineStr">
        <is>
          <t xml:space="preserve">Mazda</t>
        </is>
      </c>
      <c r="F20205" s="0" t="inlineStr">
        <is>
          <t xml:space="preserve">Mazda</t>
        </is>
      </c>
      <c r="G20205" s="0" t="s">
        <v>171</v>
      </c>
      <c r="H20205" s="5">
        <v>45203.917600</v>
      </c>
    </row>
    <row r="20206" spans="1:9">
      <c r="A20206" s="22" t="str">
        <f>HYPERLINK("https://app.vivvix.com/360/KMI/IntelliDrive/ApplUI/Pages/CreativePages/CustomReportCreativeDetail.aspx?App=23&amp;ReportView=4&amp;Qid=1711279&amp;Row=20198&amp;Col=1","No Title Assigned - #15279244363")</f>
        <v/>
      </c>
      <c r="B20206" s="0" t="s">
        <v>26858</v>
      </c>
      <c r="E20206" s="0" t="inlineStr">
        <is>
          <t xml:space="preserve">Mazda</t>
        </is>
      </c>
      <c r="F20206" s="0" t="inlineStr">
        <is>
          <t xml:space="preserve">Mazda</t>
        </is>
      </c>
      <c r="G20206" s="0" t="s">
        <v>171</v>
      </c>
      <c r="H20206" s="5">
        <v>32746.781300</v>
      </c>
    </row>
    <row r="20207" spans="1:9">
      <c r="A20207" s="22" t="str">
        <f>HYPERLINK("https://app.vivvix.com/360/KMI/IntelliDrive/ApplUI/Pages/CreativePages/CustomReportCreativeDetail.aspx?App=23&amp;ReportView=4&amp;Qid=1711279&amp;Row=20199&amp;Col=1","No Title Assigned - #15279244491")</f>
        <v/>
      </c>
      <c r="B20207" s="0" t="s">
        <v>26859</v>
      </c>
      <c r="E20207" s="0" t="inlineStr">
        <is>
          <t xml:space="preserve">Mazda</t>
        </is>
      </c>
      <c r="F20207" s="0" t="inlineStr">
        <is>
          <t xml:space="preserve">Mazda</t>
        </is>
      </c>
      <c r="G20207" s="0" t="s">
        <v>171</v>
      </c>
      <c r="H20207" s="5">
        <v>485.717300</v>
      </c>
    </row>
    <row r="20208" spans="1:9">
      <c r="A20208" s="22" t="str">
        <f>HYPERLINK("https://app.vivvix.com/360/KMI/IntelliDrive/ApplUI/Pages/CreativePages/CustomReportCreativeDetail.aspx?App=23&amp;ReportView=4&amp;Qid=1711279&amp;Row=20200&amp;Col=1","No Title Assigned - #15279244681")</f>
        <v/>
      </c>
      <c r="B20208" s="0" t="s">
        <v>26860</v>
      </c>
      <c r="E20208" s="0" t="inlineStr">
        <is>
          <t xml:space="preserve">Mazda</t>
        </is>
      </c>
      <c r="F20208" s="0" t="inlineStr">
        <is>
          <t xml:space="preserve">Mazda</t>
        </is>
      </c>
      <c r="G20208" s="0" t="s">
        <v>171</v>
      </c>
      <c r="H20208" s="5">
        <v>365.628600</v>
      </c>
    </row>
    <row r="20209" spans="1:9">
      <c r="A20209" s="22" t="str">
        <f>HYPERLINK("https://app.vivvix.com/360/KMI/IntelliDrive/ApplUI/Pages/CreativePages/CustomReportCreativeDetail.aspx?App=23&amp;ReportView=4&amp;Qid=1711279&amp;Row=20201&amp;Col=1","No Title Assigned - #15279248385")</f>
        <v/>
      </c>
      <c r="B20209" s="0" t="s">
        <v>26861</v>
      </c>
      <c r="E20209" s="0" t="inlineStr">
        <is>
          <t xml:space="preserve">Mazda</t>
        </is>
      </c>
      <c r="F20209" s="0" t="inlineStr">
        <is>
          <t xml:space="preserve">Mazda</t>
        </is>
      </c>
      <c r="G20209" s="0" t="s">
        <v>171</v>
      </c>
      <c r="H20209" s="5">
        <v>174.148000</v>
      </c>
    </row>
    <row r="20210" spans="1:9">
      <c r="A20210" s="22" t="str">
        <f>HYPERLINK("https://app.vivvix.com/360/KMI/IntelliDrive/ApplUI/Pages/CreativePages/CustomReportCreativeDetail.aspx?App=23&amp;ReportView=4&amp;Qid=1711279&amp;Row=20202&amp;Col=1","No Title Assigned - #15279248496")</f>
        <v/>
      </c>
      <c r="B20210" s="0" t="s">
        <v>26862</v>
      </c>
      <c r="E20210" s="0" t="inlineStr">
        <is>
          <t xml:space="preserve">Mazda</t>
        </is>
      </c>
      <c r="F20210" s="0" t="inlineStr">
        <is>
          <t xml:space="preserve">Mazda</t>
        </is>
      </c>
      <c r="G20210" s="0" t="s">
        <v>171</v>
      </c>
      <c r="H20210" s="5">
        <v>277.440600</v>
      </c>
    </row>
    <row r="20211" spans="1:9">
      <c r="A20211" s="22" t="str">
        <f>HYPERLINK("https://app.vivvix.com/360/KMI/IntelliDrive/ApplUI/Pages/CreativePages/CustomReportCreativeDetail.aspx?App=23&amp;ReportView=4&amp;Qid=1711279&amp;Row=20203&amp;Col=1","No Title Assigned - #15279249394")</f>
        <v/>
      </c>
      <c r="B20211" s="0" t="s">
        <v>26863</v>
      </c>
      <c r="E20211" s="0" t="inlineStr">
        <is>
          <t xml:space="preserve">Mazda</t>
        </is>
      </c>
      <c r="F20211" s="0" t="inlineStr">
        <is>
          <t xml:space="preserve">Mazda</t>
        </is>
      </c>
      <c r="G20211" s="0" t="s">
        <v>171</v>
      </c>
      <c r="H20211" s="5">
        <v>714.504000</v>
      </c>
    </row>
    <row r="20212" spans="1:9">
      <c r="A20212" s="22" t="str">
        <f>HYPERLINK("https://app.vivvix.com/360/KMI/IntelliDrive/ApplUI/Pages/CreativePages/CustomReportCreativeDetail.aspx?App=23&amp;ReportView=4&amp;Qid=1711279&amp;Row=20204&amp;Col=1","No Title Assigned - #15279249442")</f>
        <v/>
      </c>
      <c r="B20212" s="0" t="s">
        <v>26864</v>
      </c>
      <c r="C20212" s="0" t="s">
        <v>26865</v>
      </c>
      <c r="D20212" s="0" t="s">
        <v>26865</v>
      </c>
      <c r="E20212" s="0" t="inlineStr">
        <is>
          <t xml:space="preserve">Mazda</t>
        </is>
      </c>
      <c r="F20212" s="0" t="s">
        <v>13</v>
      </c>
      <c r="G20212" s="0" t="s">
        <v>49</v>
      </c>
      <c r="H20212" s="5">
        <v>4097.295900</v>
      </c>
    </row>
    <row r="20213" spans="1:9">
      <c r="A20213" s="22" t="str">
        <f>HYPERLINK("https://app.vivvix.com/360/KMI/IntelliDrive/ApplUI/Pages/CreativePages/CustomReportCreativeDetail.aspx?App=23&amp;ReportView=4&amp;Qid=1711279&amp;Row=20205&amp;Col=1","No Title Assigned - #15279250078")</f>
        <v/>
      </c>
      <c r="B20213" s="0" t="s">
        <v>26866</v>
      </c>
      <c r="E20213" s="0" t="inlineStr">
        <is>
          <t xml:space="preserve">Mazda</t>
        </is>
      </c>
      <c r="F20213" s="0" t="inlineStr">
        <is>
          <t xml:space="preserve">Mazda</t>
        </is>
      </c>
      <c r="G20213" s="0" t="s">
        <v>171</v>
      </c>
      <c r="H20213" s="5">
        <v>348.546700</v>
      </c>
    </row>
    <row r="20214" spans="1:9">
      <c r="A20214" s="22" t="str">
        <f>HYPERLINK("https://app.vivvix.com/360/KMI/IntelliDrive/ApplUI/Pages/CreativePages/CustomReportCreativeDetail.aspx?App=23&amp;ReportView=4&amp;Qid=1711279&amp;Row=20206&amp;Col=1","No Title Assigned - #15279250275")</f>
        <v/>
      </c>
      <c r="B20214" s="0" t="s">
        <v>26867</v>
      </c>
      <c r="E20214" s="0" t="inlineStr">
        <is>
          <t xml:space="preserve">Mazda</t>
        </is>
      </c>
      <c r="F20214" s="0" t="inlineStr">
        <is>
          <t xml:space="preserve">Mazda</t>
        </is>
      </c>
      <c r="G20214" s="0" t="s">
        <v>171</v>
      </c>
      <c r="H20214" s="5">
        <v>2037.803800</v>
      </c>
    </row>
    <row r="20215" spans="1:9">
      <c r="A20215" s="22" t="str">
        <f>HYPERLINK("https://app.vivvix.com/360/KMI/IntelliDrive/ApplUI/Pages/CreativePages/CustomReportCreativeDetail.aspx?App=23&amp;ReportView=4&amp;Qid=1711279&amp;Row=20207&amp;Col=1","No Title Assigned - #15279250276")</f>
        <v/>
      </c>
      <c r="B20215" s="0" t="s">
        <v>26868</v>
      </c>
      <c r="E20215" s="0" t="inlineStr">
        <is>
          <t xml:space="preserve">Mazda</t>
        </is>
      </c>
      <c r="F20215" s="0" t="inlineStr">
        <is>
          <t xml:space="preserve">Mazda</t>
        </is>
      </c>
      <c r="G20215" s="0" t="s">
        <v>171</v>
      </c>
      <c r="H20215" s="5">
        <v>2079.043400</v>
      </c>
    </row>
    <row r="20216" spans="1:9">
      <c r="A20216" s="22" t="str">
        <f>HYPERLINK("https://app.vivvix.com/360/KMI/IntelliDrive/ApplUI/Pages/CreativePages/CustomReportCreativeDetail.aspx?App=23&amp;ReportView=4&amp;Qid=1711279&amp;Row=20208&amp;Col=1","No Title Assigned - #15279250346")</f>
        <v/>
      </c>
      <c r="B20216" s="0" t="s">
        <v>26869</v>
      </c>
      <c r="E20216" s="0" t="inlineStr">
        <is>
          <t xml:space="preserve">Mazda</t>
        </is>
      </c>
      <c r="F20216" s="0" t="inlineStr">
        <is>
          <t xml:space="preserve">Mazda</t>
        </is>
      </c>
      <c r="G20216" s="0" t="s">
        <v>171</v>
      </c>
      <c r="H20216" s="5">
        <v>870.763800</v>
      </c>
    </row>
    <row r="20217" spans="1:9">
      <c r="A20217" s="22" t="str">
        <f>HYPERLINK("https://app.vivvix.com/360/KMI/IntelliDrive/ApplUI/Pages/CreativePages/CustomReportCreativeDetail.aspx?App=23&amp;ReportView=4&amp;Qid=1711279&amp;Row=20209&amp;Col=1","No Title Assigned - #15279250547")</f>
        <v/>
      </c>
      <c r="B20217" s="0" t="s">
        <v>26870</v>
      </c>
      <c r="E20217" s="0" t="inlineStr">
        <is>
          <t xml:space="preserve">Mazda</t>
        </is>
      </c>
      <c r="F20217" s="0" t="inlineStr">
        <is>
          <t xml:space="preserve">Mazda</t>
        </is>
      </c>
      <c r="G20217" s="0" t="s">
        <v>171</v>
      </c>
      <c r="H20217" s="5">
        <v>2852.598600</v>
      </c>
    </row>
    <row r="20218" spans="1:9">
      <c r="A20218" s="22" t="str">
        <f>HYPERLINK("https://app.vivvix.com/360/KMI/IntelliDrive/ApplUI/Pages/CreativePages/CustomReportCreativeDetail.aspx?App=23&amp;ReportView=4&amp;Qid=1711279&amp;Row=20210&amp;Col=1","No Title Assigned - #15279250698")</f>
        <v/>
      </c>
      <c r="B20218" s="0" t="s">
        <v>26871</v>
      </c>
      <c r="E20218" s="0" t="inlineStr">
        <is>
          <t xml:space="preserve">Mazda</t>
        </is>
      </c>
      <c r="F20218" s="0" t="inlineStr">
        <is>
          <t xml:space="preserve">Mazda</t>
        </is>
      </c>
      <c r="G20218" s="0" t="s">
        <v>171</v>
      </c>
      <c r="H20218" s="5">
        <v>24.495500</v>
      </c>
    </row>
    <row r="20219" spans="1:9">
      <c r="A20219" s="22" t="str">
        <f>HYPERLINK("https://app.vivvix.com/360/KMI/IntelliDrive/ApplUI/Pages/CreativePages/CustomReportCreativeDetail.aspx?App=23&amp;ReportView=4&amp;Qid=1711279&amp;Row=20211&amp;Col=1","No Title Assigned - #15279250965")</f>
        <v/>
      </c>
      <c r="B20219" s="0" t="s">
        <v>26872</v>
      </c>
      <c r="E20219" s="0" t="inlineStr">
        <is>
          <t xml:space="preserve">Mazda</t>
        </is>
      </c>
      <c r="F20219" s="0" t="inlineStr">
        <is>
          <t xml:space="preserve">Mazda</t>
        </is>
      </c>
      <c r="G20219" s="0" t="s">
        <v>171</v>
      </c>
      <c r="H20219" s="5">
        <v>42.193200</v>
      </c>
    </row>
    <row r="20220" spans="1:9">
      <c r="A20220" s="22" t="str">
        <f>HYPERLINK("https://app.vivvix.com/360/KMI/IntelliDrive/ApplUI/Pages/CreativePages/CustomReportCreativeDetail.aspx?App=23&amp;ReportView=4&amp;Qid=1711279&amp;Row=20212&amp;Col=1","No Title Assigned - #15279251157")</f>
        <v/>
      </c>
      <c r="B20220" s="0" t="s">
        <v>26873</v>
      </c>
      <c r="E20220" s="0" t="inlineStr">
        <is>
          <t xml:space="preserve">Mazda</t>
        </is>
      </c>
      <c r="F20220" s="0" t="inlineStr">
        <is>
          <t xml:space="preserve">Mazda</t>
        </is>
      </c>
      <c r="G20220" s="0" t="s">
        <v>171</v>
      </c>
      <c r="H20220" s="5">
        <v>13.207900</v>
      </c>
    </row>
    <row r="20221" spans="1:9">
      <c r="A20221" s="22" t="str">
        <f>HYPERLINK("https://app.vivvix.com/360/KMI/IntelliDrive/ApplUI/Pages/CreativePages/CustomReportCreativeDetail.aspx?App=23&amp;ReportView=4&amp;Qid=1711279&amp;Row=20213&amp;Col=1","No Title Assigned - #15279252481")</f>
        <v/>
      </c>
      <c r="B20221" s="0" t="s">
        <v>26874</v>
      </c>
      <c r="E20221" s="0" t="inlineStr">
        <is>
          <t xml:space="preserve">Mazda</t>
        </is>
      </c>
      <c r="F20221" s="0" t="inlineStr">
        <is>
          <t xml:space="preserve">Mazda</t>
        </is>
      </c>
      <c r="G20221" s="0" t="s">
        <v>171</v>
      </c>
      <c r="H20221" s="5">
        <v>119.048200</v>
      </c>
    </row>
    <row r="20222" spans="1:9">
      <c r="A20222" s="22" t="str">
        <f>HYPERLINK("https://app.vivvix.com/360/KMI/IntelliDrive/ApplUI/Pages/CreativePages/CustomReportCreativeDetail.aspx?App=23&amp;ReportView=4&amp;Qid=1711279&amp;Row=20214&amp;Col=1","No Title Assigned - #15279252507")</f>
        <v/>
      </c>
      <c r="B20222" s="0" t="s">
        <v>26875</v>
      </c>
      <c r="E20222" s="0" t="inlineStr">
        <is>
          <t xml:space="preserve">Mazda</t>
        </is>
      </c>
      <c r="F20222" s="0" t="inlineStr">
        <is>
          <t xml:space="preserve">Mazda</t>
        </is>
      </c>
      <c r="G20222" s="0" t="s">
        <v>171</v>
      </c>
      <c r="H20222" s="5">
        <v>8912.979600</v>
      </c>
    </row>
    <row r="20223" spans="1:9">
      <c r="A20223" s="22" t="str">
        <f>HYPERLINK("https://app.vivvix.com/360/KMI/IntelliDrive/ApplUI/Pages/CreativePages/CustomReportCreativeDetail.aspx?App=23&amp;ReportView=4&amp;Qid=1711279&amp;Row=20215&amp;Col=1","No Title Assigned - #15279252678")</f>
        <v/>
      </c>
      <c r="B20223" s="0" t="s">
        <v>26876</v>
      </c>
      <c r="E20223" s="0" t="inlineStr">
        <is>
          <t xml:space="preserve">Mazda</t>
        </is>
      </c>
      <c r="F20223" s="0" t="inlineStr">
        <is>
          <t xml:space="preserve">Mazda</t>
        </is>
      </c>
      <c r="G20223" s="0" t="s">
        <v>171</v>
      </c>
      <c r="H20223" s="5">
        <v>15.818300</v>
      </c>
    </row>
    <row r="20224" spans="1:9">
      <c r="A20224" s="22" t="str">
        <f>HYPERLINK("https://app.vivvix.com/360/KMI/IntelliDrive/ApplUI/Pages/CreativePages/CustomReportCreativeDetail.aspx?App=23&amp;ReportView=4&amp;Qid=1711279&amp;Row=20216&amp;Col=1","No Title Assigned - #15279254158")</f>
        <v/>
      </c>
      <c r="B20224" s="0" t="s">
        <v>26877</v>
      </c>
      <c r="C20224" s="0" t="s">
        <v>26878</v>
      </c>
      <c r="D20224" s="0" t="s">
        <v>26878</v>
      </c>
      <c r="E20224" s="0" t="inlineStr">
        <is>
          <t xml:space="preserve">Mazda</t>
        </is>
      </c>
      <c r="F20224" s="0" t="inlineStr">
        <is>
          <t xml:space="preserve">Mazda</t>
        </is>
      </c>
      <c r="G20224" s="0" t="s">
        <v>171</v>
      </c>
      <c r="H20224" s="5">
        <v>383.352700</v>
      </c>
    </row>
    <row r="20225" spans="1:9">
      <c r="A20225" s="22" t="str">
        <f>HYPERLINK("https://app.vivvix.com/360/KMI/IntelliDrive/ApplUI/Pages/CreativePages/CustomReportCreativeDetail.aspx?App=23&amp;ReportView=4&amp;Qid=1711279&amp;Row=20217&amp;Col=1","No Title Assigned - #15279254432")</f>
        <v/>
      </c>
      <c r="B20225" s="0" t="s">
        <v>26879</v>
      </c>
      <c r="E20225" s="0" t="inlineStr">
        <is>
          <t xml:space="preserve">Mazda</t>
        </is>
      </c>
      <c r="F20225" s="0" t="inlineStr">
        <is>
          <t xml:space="preserve">Mazda</t>
        </is>
      </c>
      <c r="G20225" s="0" t="s">
        <v>171</v>
      </c>
      <c r="H20225" s="5">
        <v>241.827800</v>
      </c>
    </row>
    <row r="20226" spans="1:9">
      <c r="A20226" s="22" t="str">
        <f>HYPERLINK("https://app.vivvix.com/360/KMI/IntelliDrive/ApplUI/Pages/CreativePages/CustomReportCreativeDetail.aspx?App=23&amp;ReportView=4&amp;Qid=1711279&amp;Row=20218&amp;Col=1","No Title Assigned - #15279254611")</f>
        <v/>
      </c>
      <c r="B20226" s="0" t="s">
        <v>26880</v>
      </c>
      <c r="E20226" s="0" t="inlineStr">
        <is>
          <t xml:space="preserve">Mazda</t>
        </is>
      </c>
      <c r="F20226" s="0" t="inlineStr">
        <is>
          <t xml:space="preserve">Mazda</t>
        </is>
      </c>
      <c r="G20226" s="0" t="s">
        <v>171</v>
      </c>
      <c r="H20226" s="5">
        <v>373.235000</v>
      </c>
    </row>
    <row r="20227" spans="1:9">
      <c r="A20227" s="22" t="str">
        <f>HYPERLINK("https://app.vivvix.com/360/KMI/IntelliDrive/ApplUI/Pages/CreativePages/CustomReportCreativeDetail.aspx?App=23&amp;ReportView=4&amp;Qid=1711279&amp;Row=20219&amp;Col=1","No Title Assigned - #15279255017")</f>
        <v/>
      </c>
      <c r="B20227" s="0" t="s">
        <v>26881</v>
      </c>
      <c r="E20227" s="0" t="inlineStr">
        <is>
          <t xml:space="preserve">Mazda</t>
        </is>
      </c>
      <c r="F20227" s="0" t="inlineStr">
        <is>
          <t xml:space="preserve">Mazda</t>
        </is>
      </c>
      <c r="G20227" s="0" t="s">
        <v>171</v>
      </c>
      <c r="H20227" s="5">
        <v>4252.431000</v>
      </c>
    </row>
    <row r="20228" spans="1:9">
      <c r="A20228" s="22" t="str">
        <f>HYPERLINK("https://app.vivvix.com/360/KMI/IntelliDrive/ApplUI/Pages/CreativePages/CustomReportCreativeDetail.aspx?App=23&amp;ReportView=4&amp;Qid=1711279&amp;Row=20220&amp;Col=1","No Title Assigned - #15279255489")</f>
        <v/>
      </c>
      <c r="B20228" s="0" t="s">
        <v>26882</v>
      </c>
      <c r="E20228" s="0" t="inlineStr">
        <is>
          <t xml:space="preserve">Mazda</t>
        </is>
      </c>
      <c r="F20228" s="0" t="inlineStr">
        <is>
          <t xml:space="preserve">Mazda</t>
        </is>
      </c>
      <c r="G20228" s="0" t="s">
        <v>171</v>
      </c>
      <c r="H20228" s="5">
        <v>803.304600</v>
      </c>
    </row>
    <row r="20229" spans="1:9">
      <c r="A20229" s="22" t="str">
        <f>HYPERLINK("https://app.vivvix.com/360/KMI/IntelliDrive/ApplUI/Pages/CreativePages/CustomReportCreativeDetail.aspx?App=23&amp;ReportView=4&amp;Qid=1711279&amp;Row=20221&amp;Col=1","No Title Assigned - #15279256122")</f>
        <v/>
      </c>
      <c r="B20229" s="0" t="s">
        <v>26883</v>
      </c>
      <c r="E20229" s="0" t="inlineStr">
        <is>
          <t xml:space="preserve">Mazda</t>
        </is>
      </c>
      <c r="F20229" s="0" t="inlineStr">
        <is>
          <t xml:space="preserve">Mazda</t>
        </is>
      </c>
      <c r="G20229" s="0" t="s">
        <v>171</v>
      </c>
      <c r="H20229" s="5">
        <v>851.064900</v>
      </c>
    </row>
    <row r="20230" spans="1:9">
      <c r="A20230" s="22" t="str">
        <f>HYPERLINK("https://app.vivvix.com/360/KMI/IntelliDrive/ApplUI/Pages/CreativePages/CustomReportCreativeDetail.aspx?App=23&amp;ReportView=4&amp;Qid=1711279&amp;Row=20222&amp;Col=1","No Title Assigned - #15279256153")</f>
        <v/>
      </c>
      <c r="B20230" s="0" t="s">
        <v>26884</v>
      </c>
      <c r="E20230" s="0" t="inlineStr">
        <is>
          <t xml:space="preserve">Mazda</t>
        </is>
      </c>
      <c r="F20230" s="0" t="inlineStr">
        <is>
          <t xml:space="preserve">Mazda</t>
        </is>
      </c>
      <c r="G20230" s="0" t="s">
        <v>171</v>
      </c>
      <c r="H20230" s="5">
        <v>15310.034000</v>
      </c>
    </row>
    <row r="20231" spans="1:9">
      <c r="A20231" s="22" t="str">
        <f>HYPERLINK("https://app.vivvix.com/360/KMI/IntelliDrive/ApplUI/Pages/CreativePages/CustomReportCreativeDetail.aspx?App=23&amp;ReportView=4&amp;Qid=1711279&amp;Row=20223&amp;Col=1","No Title Assigned - #15279256158")</f>
        <v/>
      </c>
      <c r="B20231" s="0" t="s">
        <v>26885</v>
      </c>
      <c r="E20231" s="0" t="inlineStr">
        <is>
          <t xml:space="preserve">Mazda</t>
        </is>
      </c>
      <c r="F20231" s="0" t="inlineStr">
        <is>
          <t xml:space="preserve">Mazda</t>
        </is>
      </c>
      <c r="G20231" s="0" t="s">
        <v>171</v>
      </c>
      <c r="H20231" s="5">
        <v>1408.926600</v>
      </c>
    </row>
    <row r="20232" spans="1:9">
      <c r="A20232" s="22" t="str">
        <f>HYPERLINK("https://app.vivvix.com/360/KMI/IntelliDrive/ApplUI/Pages/CreativePages/CustomReportCreativeDetail.aspx?App=23&amp;ReportView=4&amp;Qid=1711279&amp;Row=20224&amp;Col=1","No Title Assigned - #15279256213")</f>
        <v/>
      </c>
      <c r="B20232" s="0" t="s">
        <v>26886</v>
      </c>
      <c r="E20232" s="0" t="inlineStr">
        <is>
          <t xml:space="preserve">Mazda</t>
        </is>
      </c>
      <c r="F20232" s="0" t="inlineStr">
        <is>
          <t xml:space="preserve">Mazda</t>
        </is>
      </c>
      <c r="G20232" s="0" t="s">
        <v>171</v>
      </c>
      <c r="H20232" s="5">
        <v>213.910900</v>
      </c>
    </row>
    <row r="20233" spans="1:9">
      <c r="A20233" s="22" t="str">
        <f>HYPERLINK("https://app.vivvix.com/360/KMI/IntelliDrive/ApplUI/Pages/CreativePages/CustomReportCreativeDetail.aspx?App=23&amp;ReportView=4&amp;Qid=1711279&amp;Row=20225&amp;Col=1","No Title Assigned - #15279256231")</f>
        <v/>
      </c>
      <c r="B20233" s="0" t="s">
        <v>26887</v>
      </c>
      <c r="E20233" s="0" t="inlineStr">
        <is>
          <t xml:space="preserve">Mazda</t>
        </is>
      </c>
      <c r="F20233" s="0" t="inlineStr">
        <is>
          <t xml:space="preserve">Mazda</t>
        </is>
      </c>
      <c r="G20233" s="0" t="s">
        <v>171</v>
      </c>
      <c r="H20233" s="5">
        <v>628.610400</v>
      </c>
    </row>
    <row r="20234" spans="1:9">
      <c r="A20234" s="22" t="str">
        <f>HYPERLINK("https://app.vivvix.com/360/KMI/IntelliDrive/ApplUI/Pages/CreativePages/CustomReportCreativeDetail.aspx?App=23&amp;ReportView=4&amp;Qid=1711279&amp;Row=20226&amp;Col=1","No Title Assigned - #15279256255")</f>
        <v/>
      </c>
      <c r="B20234" s="0" t="s">
        <v>26888</v>
      </c>
      <c r="E20234" s="0" t="inlineStr">
        <is>
          <t xml:space="preserve">Mazda</t>
        </is>
      </c>
      <c r="F20234" s="0" t="inlineStr">
        <is>
          <t xml:space="preserve">Mazda</t>
        </is>
      </c>
      <c r="G20234" s="0" t="s">
        <v>171</v>
      </c>
      <c r="H20234" s="5">
        <v>1719.962000</v>
      </c>
    </row>
    <row r="20235" spans="1:9">
      <c r="A20235" s="22" t="str">
        <f>HYPERLINK("https://app.vivvix.com/360/KMI/IntelliDrive/ApplUI/Pages/CreativePages/CustomReportCreativeDetail.aspx?App=23&amp;ReportView=4&amp;Qid=1711279&amp;Row=20227&amp;Col=1","No Title Assigned - #15279256266")</f>
        <v/>
      </c>
      <c r="B20235" s="0" t="s">
        <v>26889</v>
      </c>
      <c r="E20235" s="0" t="inlineStr">
        <is>
          <t xml:space="preserve">Mazda</t>
        </is>
      </c>
      <c r="F20235" s="0" t="inlineStr">
        <is>
          <t xml:space="preserve">Mazda</t>
        </is>
      </c>
      <c r="G20235" s="0" t="s">
        <v>171</v>
      </c>
      <c r="H20235" s="5">
        <v>21.628700</v>
      </c>
    </row>
    <row r="20236" spans="1:9">
      <c r="A20236" s="22" t="str">
        <f>HYPERLINK("https://app.vivvix.com/360/KMI/IntelliDrive/ApplUI/Pages/CreativePages/CustomReportCreativeDetail.aspx?App=23&amp;ReportView=4&amp;Qid=1711279&amp;Row=20228&amp;Col=1","No Title Assigned - #15279256395")</f>
        <v/>
      </c>
      <c r="B20236" s="0" t="s">
        <v>26890</v>
      </c>
      <c r="E20236" s="0" t="inlineStr">
        <is>
          <t xml:space="preserve">Mazda</t>
        </is>
      </c>
      <c r="F20236" s="0" t="inlineStr">
        <is>
          <t xml:space="preserve">Mazda</t>
        </is>
      </c>
      <c r="G20236" s="0" t="s">
        <v>171</v>
      </c>
      <c r="H20236" s="5">
        <v>235.413600</v>
      </c>
    </row>
    <row r="20237" spans="1:9">
      <c r="A20237" s="22" t="str">
        <f>HYPERLINK("https://app.vivvix.com/360/KMI/IntelliDrive/ApplUI/Pages/CreativePages/CustomReportCreativeDetail.aspx?App=23&amp;ReportView=4&amp;Qid=1711279&amp;Row=20229&amp;Col=1","No Title Assigned - #15279256448")</f>
        <v/>
      </c>
      <c r="B20237" s="0" t="s">
        <v>26891</v>
      </c>
      <c r="E20237" s="0" t="inlineStr">
        <is>
          <t xml:space="preserve">Mazda</t>
        </is>
      </c>
      <c r="F20237" s="0" t="inlineStr">
        <is>
          <t xml:space="preserve">Mazda</t>
        </is>
      </c>
      <c r="G20237" s="0" t="s">
        <v>171</v>
      </c>
      <c r="H20237" s="5">
        <v>776.091700</v>
      </c>
    </row>
    <row r="20238" spans="1:9">
      <c r="A20238" s="22" t="str">
        <f>HYPERLINK("https://app.vivvix.com/360/KMI/IntelliDrive/ApplUI/Pages/CreativePages/CustomReportCreativeDetail.aspx?App=23&amp;ReportView=4&amp;Qid=1711279&amp;Row=20230&amp;Col=1","No Title Assigned - #15279256454")</f>
        <v/>
      </c>
      <c r="B20238" s="0" t="s">
        <v>26892</v>
      </c>
      <c r="E20238" s="0" t="inlineStr">
        <is>
          <t xml:space="preserve">Mazda</t>
        </is>
      </c>
      <c r="F20238" s="0" t="inlineStr">
        <is>
          <t xml:space="preserve">Mazda</t>
        </is>
      </c>
      <c r="G20238" s="0" t="s">
        <v>171</v>
      </c>
      <c r="H20238" s="5">
        <v>69.136200</v>
      </c>
    </row>
    <row r="20239" spans="1:9">
      <c r="A20239" s="22" t="str">
        <f>HYPERLINK("https://app.vivvix.com/360/KMI/IntelliDrive/ApplUI/Pages/CreativePages/CustomReportCreativeDetail.aspx?App=23&amp;ReportView=4&amp;Qid=1711279&amp;Row=20231&amp;Col=1","No Title Assigned - #15279256455")</f>
        <v/>
      </c>
      <c r="B20239" s="0" t="s">
        <v>26893</v>
      </c>
      <c r="E20239" s="0" t="inlineStr">
        <is>
          <t xml:space="preserve">Mazda</t>
        </is>
      </c>
      <c r="F20239" s="0" t="inlineStr">
        <is>
          <t xml:space="preserve">Mazda</t>
        </is>
      </c>
      <c r="G20239" s="0" t="s">
        <v>171</v>
      </c>
      <c r="H20239" s="5">
        <v>69.136200</v>
      </c>
    </row>
    <row r="20240" spans="1:9">
      <c r="A20240" s="22" t="str">
        <f>HYPERLINK("https://app.vivvix.com/360/KMI/IntelliDrive/ApplUI/Pages/CreativePages/CustomReportCreativeDetail.aspx?App=23&amp;ReportView=4&amp;Qid=1711279&amp;Row=20232&amp;Col=1","No Title Assigned - #15279256468")</f>
        <v/>
      </c>
      <c r="B20240" s="0" t="s">
        <v>26894</v>
      </c>
      <c r="E20240" s="0" t="inlineStr">
        <is>
          <t xml:space="preserve">Mazda</t>
        </is>
      </c>
      <c r="F20240" s="0" t="inlineStr">
        <is>
          <t xml:space="preserve">Mazda</t>
        </is>
      </c>
      <c r="G20240" s="0" t="s">
        <v>171</v>
      </c>
      <c r="H20240" s="5">
        <v>168.703900</v>
      </c>
    </row>
    <row r="20241" spans="1:9">
      <c r="A20241" s="22" t="str">
        <f>HYPERLINK("https://app.vivvix.com/360/KMI/IntelliDrive/ApplUI/Pages/CreativePages/CustomReportCreativeDetail.aspx?App=23&amp;ReportView=4&amp;Qid=1711279&amp;Row=20233&amp;Col=1","No Title Assigned - #15279256491")</f>
        <v/>
      </c>
      <c r="B20241" s="0" t="s">
        <v>26895</v>
      </c>
      <c r="E20241" s="0" t="inlineStr">
        <is>
          <t xml:space="preserve">Mazda</t>
        </is>
      </c>
      <c r="F20241" s="0" t="inlineStr">
        <is>
          <t xml:space="preserve">Mazda</t>
        </is>
      </c>
      <c r="G20241" s="0" t="s">
        <v>171</v>
      </c>
      <c r="H20241" s="5">
        <v>43.551200</v>
      </c>
    </row>
    <row r="20242" spans="1:9">
      <c r="A20242" s="22" t="str">
        <f>HYPERLINK("https://app.vivvix.com/360/KMI/IntelliDrive/ApplUI/Pages/CreativePages/CustomReportCreativeDetail.aspx?App=23&amp;ReportView=4&amp;Qid=1711279&amp;Row=20234&amp;Col=1","No Title Assigned - #15279256492")</f>
        <v/>
      </c>
      <c r="B20242" s="0" t="s">
        <v>26896</v>
      </c>
      <c r="C20242" s="0" t="s">
        <v>26897</v>
      </c>
      <c r="D20242" s="0" t="s">
        <v>26897</v>
      </c>
      <c r="E20242" s="0" t="inlineStr">
        <is>
          <t xml:space="preserve">Mazda</t>
        </is>
      </c>
      <c r="F20242" s="0" t="inlineStr">
        <is>
          <t xml:space="preserve">Mazda</t>
        </is>
      </c>
      <c r="G20242" s="0" t="s">
        <v>171</v>
      </c>
      <c r="H20242" s="5">
        <v>152.429200</v>
      </c>
    </row>
    <row r="20243" spans="1:9">
      <c r="A20243" s="22" t="str">
        <f>HYPERLINK("https://app.vivvix.com/360/KMI/IntelliDrive/ApplUI/Pages/CreativePages/CustomReportCreativeDetail.aspx?App=23&amp;ReportView=4&amp;Qid=1711279&amp;Row=20235&amp;Col=1","No Title Assigned - #15279256493")</f>
        <v/>
      </c>
      <c r="B20243" s="0" t="s">
        <v>26898</v>
      </c>
      <c r="E20243" s="0" t="inlineStr">
        <is>
          <t xml:space="preserve">Mazda</t>
        </is>
      </c>
      <c r="F20243" s="0" t="inlineStr">
        <is>
          <t xml:space="preserve">Mazda</t>
        </is>
      </c>
      <c r="G20243" s="0" t="s">
        <v>171</v>
      </c>
      <c r="H20243" s="5">
        <v>32153.026700</v>
      </c>
    </row>
    <row r="20244" spans="1:9">
      <c r="A20244" s="22" t="str">
        <f>HYPERLINK("https://app.vivvix.com/360/KMI/IntelliDrive/ApplUI/Pages/CreativePages/CustomReportCreativeDetail.aspx?App=23&amp;ReportView=4&amp;Qid=1711279&amp;Row=20236&amp;Col=1","No Title Assigned - #15279256493")</f>
        <v/>
      </c>
      <c r="B20244" s="0" t="s">
        <v>26898</v>
      </c>
      <c r="C20244" s="0" t="s">
        <v>26899</v>
      </c>
      <c r="D20244" s="0" t="s">
        <v>26899</v>
      </c>
      <c r="E20244" s="0" t="inlineStr">
        <is>
          <t xml:space="preserve">Mazda</t>
        </is>
      </c>
      <c r="F20244" s="0" t="inlineStr">
        <is>
          <t xml:space="preserve">Mazda</t>
        </is>
      </c>
      <c r="G20244" s="0" t="s">
        <v>171</v>
      </c>
      <c r="H20244" s="5">
        <v>490.370100</v>
      </c>
    </row>
    <row r="20245" spans="1:9">
      <c r="A20245" s="22" t="str">
        <f>HYPERLINK("https://app.vivvix.com/360/KMI/IntelliDrive/ApplUI/Pages/CreativePages/CustomReportCreativeDetail.aspx?App=23&amp;ReportView=4&amp;Qid=1711279&amp;Row=20237&amp;Col=1","No Title Assigned - #15279256495")</f>
        <v/>
      </c>
      <c r="B20245" s="0" t="s">
        <v>26900</v>
      </c>
      <c r="E20245" s="0" t="inlineStr">
        <is>
          <t xml:space="preserve">Mazda</t>
        </is>
      </c>
      <c r="F20245" s="0" t="inlineStr">
        <is>
          <t xml:space="preserve">Mazda</t>
        </is>
      </c>
      <c r="G20245" s="0" t="s">
        <v>171</v>
      </c>
      <c r="H20245" s="5">
        <v>27.262400</v>
      </c>
    </row>
    <row r="20246" spans="1:9">
      <c r="A20246" s="22" t="str">
        <f>HYPERLINK("https://app.vivvix.com/360/KMI/IntelliDrive/ApplUI/Pages/CreativePages/CustomReportCreativeDetail.aspx?App=23&amp;ReportView=4&amp;Qid=1711279&amp;Row=20238&amp;Col=1","No Title Assigned - #15279256540")</f>
        <v/>
      </c>
      <c r="B20246" s="0" t="s">
        <v>26901</v>
      </c>
      <c r="E20246" s="0" t="inlineStr">
        <is>
          <t xml:space="preserve">Mazda</t>
        </is>
      </c>
      <c r="F20246" s="0" t="inlineStr">
        <is>
          <t xml:space="preserve">Mazda</t>
        </is>
      </c>
      <c r="G20246" s="0" t="s">
        <v>171</v>
      </c>
      <c r="H20246" s="5">
        <v>65.326800</v>
      </c>
    </row>
    <row r="20247" spans="1:9">
      <c r="A20247" s="22" t="str">
        <f>HYPERLINK("https://app.vivvix.com/360/KMI/IntelliDrive/ApplUI/Pages/CreativePages/CustomReportCreativeDetail.aspx?App=23&amp;ReportView=4&amp;Qid=1711279&amp;Row=20239&amp;Col=1","No Title Assigned - #15279256540")</f>
        <v/>
      </c>
      <c r="B20247" s="0" t="s">
        <v>26901</v>
      </c>
      <c r="E20247" s="0" t="inlineStr">
        <is>
          <t xml:space="preserve">Mazda</t>
        </is>
      </c>
      <c r="F20247" s="0" t="inlineStr">
        <is>
          <t xml:space="preserve">Mazda</t>
        </is>
      </c>
      <c r="G20247" s="0" t="s">
        <v>171</v>
      </c>
      <c r="H20247" s="5">
        <v>1866.979700</v>
      </c>
    </row>
    <row r="20248" spans="1:9">
      <c r="A20248" s="22" t="str">
        <f>HYPERLINK("https://app.vivvix.com/360/KMI/IntelliDrive/ApplUI/Pages/CreativePages/CustomReportCreativeDetail.aspx?App=23&amp;ReportView=4&amp;Qid=1711279&amp;Row=20240&amp;Col=1","No Title Assigned - #15279256572")</f>
        <v/>
      </c>
      <c r="B20248" s="0" t="s">
        <v>26902</v>
      </c>
      <c r="E20248" s="0" t="inlineStr">
        <is>
          <t xml:space="preserve">Mazda</t>
        </is>
      </c>
      <c r="F20248" s="0" t="inlineStr">
        <is>
          <t xml:space="preserve">Mazda</t>
        </is>
      </c>
      <c r="G20248" s="0" t="s">
        <v>171</v>
      </c>
      <c r="H20248" s="5">
        <v>7480.049600</v>
      </c>
    </row>
    <row r="20249" spans="1:9">
      <c r="A20249" s="22" t="str">
        <f>HYPERLINK("https://app.vivvix.com/360/KMI/IntelliDrive/ApplUI/Pages/CreativePages/CustomReportCreativeDetail.aspx?App=23&amp;ReportView=4&amp;Qid=1711279&amp;Row=20241&amp;Col=1","No Title Assigned - #15279256572")</f>
        <v/>
      </c>
      <c r="B20249" s="0" t="s">
        <v>26902</v>
      </c>
      <c r="C20249" s="0" t="s">
        <v>26903</v>
      </c>
      <c r="D20249" s="0" t="s">
        <v>26903</v>
      </c>
      <c r="E20249" s="0" t="inlineStr">
        <is>
          <t xml:space="preserve">Mazda</t>
        </is>
      </c>
      <c r="F20249" s="0" t="inlineStr">
        <is>
          <t xml:space="preserve">Mazda</t>
        </is>
      </c>
      <c r="G20249" s="0" t="s">
        <v>171</v>
      </c>
      <c r="H20249" s="5">
        <v>789.308200</v>
      </c>
    </row>
    <row r="20250" spans="1:9">
      <c r="A20250" s="22" t="str">
        <f>HYPERLINK("https://app.vivvix.com/360/KMI/IntelliDrive/ApplUI/Pages/CreativePages/CustomReportCreativeDetail.aspx?App=23&amp;ReportView=4&amp;Qid=1711279&amp;Row=20242&amp;Col=1","No Title Assigned - #15279256689")</f>
        <v/>
      </c>
      <c r="B20250" s="0" t="s">
        <v>26904</v>
      </c>
      <c r="C20250" s="0" t="s">
        <v>26905</v>
      </c>
      <c r="D20250" s="0" t="s">
        <v>26905</v>
      </c>
      <c r="E20250" s="0" t="inlineStr">
        <is>
          <t xml:space="preserve">Mazda</t>
        </is>
      </c>
      <c r="F20250" s="0" t="inlineStr">
        <is>
          <t xml:space="preserve">Mazda</t>
        </is>
      </c>
      <c r="G20250" s="0" t="s">
        <v>171</v>
      </c>
      <c r="H20250" s="5">
        <v>5447.165400</v>
      </c>
    </row>
    <row r="20251" spans="1:9">
      <c r="A20251" s="22" t="str">
        <f>HYPERLINK("https://app.vivvix.com/360/KMI/IntelliDrive/ApplUI/Pages/CreativePages/CustomReportCreativeDetail.aspx?App=23&amp;ReportView=4&amp;Qid=1711279&amp;Row=20243&amp;Col=1","No Title Assigned - #15279256689")</f>
        <v/>
      </c>
      <c r="B20251" s="0" t="s">
        <v>26904</v>
      </c>
      <c r="E20251" s="0" t="inlineStr">
        <is>
          <t xml:space="preserve">Mazda</t>
        </is>
      </c>
      <c r="F20251" s="0" t="inlineStr">
        <is>
          <t xml:space="preserve">Mazda</t>
        </is>
      </c>
      <c r="G20251" s="0" t="s">
        <v>171</v>
      </c>
      <c r="H20251" s="5">
        <v>100182.020800</v>
      </c>
    </row>
    <row r="20252" spans="1:9">
      <c r="A20252" s="22" t="str">
        <f>HYPERLINK("https://app.vivvix.com/360/KMI/IntelliDrive/ApplUI/Pages/CreativePages/CustomReportCreativeDetail.aspx?App=23&amp;ReportView=4&amp;Qid=1711279&amp;Row=20244&amp;Col=1","No Title Assigned - #15279256701")</f>
        <v/>
      </c>
      <c r="B20252" s="0" t="s">
        <v>26906</v>
      </c>
      <c r="E20252" s="0" t="inlineStr">
        <is>
          <t xml:space="preserve">Mazda</t>
        </is>
      </c>
      <c r="F20252" s="0" t="inlineStr">
        <is>
          <t xml:space="preserve">Mazda</t>
        </is>
      </c>
      <c r="G20252" s="0" t="s">
        <v>171</v>
      </c>
      <c r="H20252" s="5">
        <v>141.549300</v>
      </c>
    </row>
    <row r="20253" spans="1:9">
      <c r="A20253" s="22" t="str">
        <f>HYPERLINK("https://app.vivvix.com/360/KMI/IntelliDrive/ApplUI/Pages/CreativePages/CustomReportCreativeDetail.aspx?App=23&amp;ReportView=4&amp;Qid=1711279&amp;Row=20245&amp;Col=1","No Title Assigned - #15279256704")</f>
        <v/>
      </c>
      <c r="B20253" s="0" t="s">
        <v>26907</v>
      </c>
      <c r="E20253" s="0" t="inlineStr">
        <is>
          <t xml:space="preserve">Mazda</t>
        </is>
      </c>
      <c r="F20253" s="0" t="inlineStr">
        <is>
          <t xml:space="preserve">Mazda</t>
        </is>
      </c>
      <c r="G20253" s="0" t="s">
        <v>171</v>
      </c>
      <c r="H20253" s="5">
        <v>11926.735100</v>
      </c>
    </row>
    <row r="20254" spans="1:9">
      <c r="A20254" s="22" t="str">
        <f>HYPERLINK("https://app.vivvix.com/360/KMI/IntelliDrive/ApplUI/Pages/CreativePages/CustomReportCreativeDetail.aspx?App=23&amp;ReportView=4&amp;Qid=1711279&amp;Row=20246&amp;Col=1","No Title Assigned - #15279256704")</f>
        <v/>
      </c>
      <c r="B20254" s="0" t="s">
        <v>26907</v>
      </c>
      <c r="E20254" s="0" t="inlineStr">
        <is>
          <t xml:space="preserve">Mazda</t>
        </is>
      </c>
      <c r="F20254" s="0" t="inlineStr">
        <is>
          <t xml:space="preserve">Mazda</t>
        </is>
      </c>
      <c r="G20254" s="0" t="s">
        <v>171</v>
      </c>
      <c r="H20254" s="5">
        <v>1700.783100</v>
      </c>
    </row>
    <row r="20255" spans="1:9">
      <c r="A20255" s="22" t="str">
        <f>HYPERLINK("https://app.vivvix.com/360/KMI/IntelliDrive/ApplUI/Pages/CreativePages/CustomReportCreativeDetail.aspx?App=23&amp;ReportView=4&amp;Qid=1711279&amp;Row=20247&amp;Col=1","No Title Assigned - #15279258073")</f>
        <v/>
      </c>
      <c r="B20255" s="0" t="s">
        <v>26908</v>
      </c>
      <c r="E20255" s="0" t="inlineStr">
        <is>
          <t xml:space="preserve">Mazda</t>
        </is>
      </c>
      <c r="F20255" s="0" t="inlineStr">
        <is>
          <t xml:space="preserve">Mazda</t>
        </is>
      </c>
      <c r="G20255" s="0" t="s">
        <v>171</v>
      </c>
      <c r="H20255" s="5">
        <v>209.598200</v>
      </c>
    </row>
    <row r="20256" spans="1:9">
      <c r="A20256" s="22" t="str">
        <f>HYPERLINK("https://app.vivvix.com/360/KMI/IntelliDrive/ApplUI/Pages/CreativePages/CustomReportCreativeDetail.aspx?App=23&amp;ReportView=4&amp;Qid=1711279&amp;Row=20248&amp;Col=1","No Title Assigned - #15279258446")</f>
        <v/>
      </c>
      <c r="B20256" s="0" t="s">
        <v>26909</v>
      </c>
      <c r="E20256" s="0" t="inlineStr">
        <is>
          <t xml:space="preserve">Mazda</t>
        </is>
      </c>
      <c r="F20256" s="0" t="inlineStr">
        <is>
          <t xml:space="preserve">Mazda</t>
        </is>
      </c>
      <c r="G20256" s="0" t="s">
        <v>171</v>
      </c>
      <c r="H20256" s="5">
        <v>195.880300</v>
      </c>
    </row>
    <row r="20257" spans="1:9">
      <c r="A20257" s="22" t="str">
        <f>HYPERLINK("https://app.vivvix.com/360/KMI/IntelliDrive/ApplUI/Pages/CreativePages/CustomReportCreativeDetail.aspx?App=23&amp;ReportView=4&amp;Qid=1711279&amp;Row=20249&amp;Col=1","No Title Assigned - #15279258816")</f>
        <v/>
      </c>
      <c r="B20257" s="0" t="s">
        <v>26910</v>
      </c>
      <c r="E20257" s="0" t="inlineStr">
        <is>
          <t xml:space="preserve">Mazda</t>
        </is>
      </c>
      <c r="F20257" s="0" t="inlineStr">
        <is>
          <t xml:space="preserve">Mazda</t>
        </is>
      </c>
      <c r="G20257" s="0" t="s">
        <v>171</v>
      </c>
      <c r="H20257" s="5">
        <v>625.213700</v>
      </c>
    </row>
    <row r="20258" spans="1:9">
      <c r="A20258" s="22" t="str">
        <f>HYPERLINK("https://app.vivvix.com/360/KMI/IntelliDrive/ApplUI/Pages/CreativePages/CustomReportCreativeDetail.aspx?App=23&amp;ReportView=4&amp;Qid=1711279&amp;Row=20250&amp;Col=1","No Title Assigned - #15279259435")</f>
        <v/>
      </c>
      <c r="B20258" s="0" t="s">
        <v>26911</v>
      </c>
      <c r="C20258" s="0" t="s">
        <v>26912</v>
      </c>
      <c r="D20258" s="0" t="s">
        <v>26912</v>
      </c>
      <c r="E20258" s="0" t="inlineStr">
        <is>
          <t xml:space="preserve">Mazda</t>
        </is>
      </c>
      <c r="F20258" s="0" t="inlineStr">
        <is>
          <t xml:space="preserve">Mazda</t>
        </is>
      </c>
      <c r="G20258" s="0" t="s">
        <v>171</v>
      </c>
      <c r="H20258" s="5">
        <v>147.981000</v>
      </c>
    </row>
    <row r="20259" spans="1:9">
      <c r="A20259" s="22" t="str">
        <f>HYPERLINK("https://app.vivvix.com/360/KMI/IntelliDrive/ApplUI/Pages/CreativePages/CustomReportCreativeDetail.aspx?App=23&amp;ReportView=4&amp;Qid=1711279&amp;Row=20251&amp;Col=1","No Title Assigned - #15279259958")</f>
        <v/>
      </c>
      <c r="B20259" s="0" t="s">
        <v>26913</v>
      </c>
      <c r="E20259" s="0" t="inlineStr">
        <is>
          <t xml:space="preserve">Mazda</t>
        </is>
      </c>
      <c r="F20259" s="0" t="inlineStr">
        <is>
          <t xml:space="preserve">Mazda</t>
        </is>
      </c>
      <c r="G20259" s="0" t="s">
        <v>171</v>
      </c>
      <c r="H20259" s="5">
        <v>24.495500</v>
      </c>
    </row>
    <row r="20260" spans="1:9">
      <c r="A20260" s="22" t="str">
        <f>HYPERLINK("https://app.vivvix.com/360/KMI/IntelliDrive/ApplUI/Pages/CreativePages/CustomReportCreativeDetail.aspx?App=23&amp;ReportView=4&amp;Qid=1711279&amp;Row=20252&amp;Col=1","No Title Assigned - #15279260522")</f>
        <v/>
      </c>
      <c r="B20260" s="0" t="s">
        <v>26914</v>
      </c>
      <c r="E20260" s="0" t="inlineStr">
        <is>
          <t xml:space="preserve">Mazda</t>
        </is>
      </c>
      <c r="F20260" s="0" t="inlineStr">
        <is>
          <t xml:space="preserve">Mazda</t>
        </is>
      </c>
      <c r="G20260" s="0" t="s">
        <v>171</v>
      </c>
      <c r="H20260" s="5">
        <v>147.341500</v>
      </c>
    </row>
    <row r="20261" spans="1:9">
      <c r="A20261" s="22" t="str">
        <f>HYPERLINK("https://app.vivvix.com/360/KMI/IntelliDrive/ApplUI/Pages/CreativePages/CustomReportCreativeDetail.aspx?App=23&amp;ReportView=4&amp;Qid=1711279&amp;Row=20253&amp;Col=1","No Title Assigned - #15279261055")</f>
        <v/>
      </c>
      <c r="B20261" s="0" t="s">
        <v>26915</v>
      </c>
      <c r="E20261" s="0" t="inlineStr">
        <is>
          <t xml:space="preserve">Mazda</t>
        </is>
      </c>
      <c r="F20261" s="0" t="inlineStr">
        <is>
          <t xml:space="preserve">Mazda</t>
        </is>
      </c>
      <c r="G20261" s="0" t="s">
        <v>171</v>
      </c>
      <c r="H20261" s="5">
        <v>59.548300</v>
      </c>
    </row>
    <row r="20262" spans="1:9">
      <c r="A20262" s="22" t="str">
        <f>HYPERLINK("https://app.vivvix.com/360/KMI/IntelliDrive/ApplUI/Pages/CreativePages/CustomReportCreativeDetail.aspx?App=23&amp;ReportView=4&amp;Qid=1711279&amp;Row=20254&amp;Col=1","No Title Assigned - #15279270028")</f>
        <v/>
      </c>
      <c r="B20262" s="0" t="s">
        <v>26916</v>
      </c>
      <c r="E20262" s="0" t="inlineStr">
        <is>
          <t xml:space="preserve">Mazda</t>
        </is>
      </c>
      <c r="F20262" s="0" t="inlineStr">
        <is>
          <t xml:space="preserve">Mazda</t>
        </is>
      </c>
      <c r="G20262" s="0" t="s">
        <v>171</v>
      </c>
      <c r="H20262" s="5">
        <v>21.338900</v>
      </c>
    </row>
    <row r="20263" spans="1:9">
      <c r="A20263" s="22" t="str">
        <f>HYPERLINK("https://app.vivvix.com/360/KMI/IntelliDrive/ApplUI/Pages/CreativePages/CustomReportCreativeDetail.aspx?App=23&amp;ReportView=4&amp;Qid=1711279&amp;Row=20255&amp;Col=1","No Title Assigned - #15279272875")</f>
        <v/>
      </c>
      <c r="B20263" s="0" t="s">
        <v>26917</v>
      </c>
      <c r="E20263" s="0" t="inlineStr">
        <is>
          <t xml:space="preserve">Mazda</t>
        </is>
      </c>
      <c r="F20263" s="0" t="inlineStr">
        <is>
          <t xml:space="preserve">Mazda</t>
        </is>
      </c>
      <c r="G20263" s="0" t="s">
        <v>171</v>
      </c>
      <c r="H20263" s="5">
        <v>88.289600</v>
      </c>
    </row>
    <row r="20264" spans="1:9">
      <c r="A20264" s="22" t="str">
        <f>HYPERLINK("https://app.vivvix.com/360/KMI/IntelliDrive/ApplUI/Pages/CreativePages/CustomReportCreativeDetail.aspx?App=23&amp;ReportView=4&amp;Qid=1711279&amp;Row=20256&amp;Col=1","No Title Assigned - #15279275151")</f>
        <v/>
      </c>
      <c r="B20264" s="0" t="s">
        <v>26918</v>
      </c>
      <c r="E20264" s="0" t="inlineStr">
        <is>
          <t xml:space="preserve">Mazda</t>
        </is>
      </c>
      <c r="F20264" s="0" t="inlineStr">
        <is>
          <t xml:space="preserve">Mazda</t>
        </is>
      </c>
      <c r="G20264" s="0" t="s">
        <v>171</v>
      </c>
      <c r="H20264" s="5">
        <v>479.554800</v>
      </c>
    </row>
    <row r="20265" spans="1:9">
      <c r="A20265" s="22" t="str">
        <f>HYPERLINK("https://app.vivvix.com/360/KMI/IntelliDrive/ApplUI/Pages/CreativePages/CustomReportCreativeDetail.aspx?App=23&amp;ReportView=4&amp;Qid=1711279&amp;Row=20257&amp;Col=1","No Title Assigned - #15279276932")</f>
        <v/>
      </c>
      <c r="B20265" s="0" t="s">
        <v>26919</v>
      </c>
      <c r="C20265" s="0" t="s">
        <v>26920</v>
      </c>
      <c r="D20265" s="0" t="s">
        <v>9364</v>
      </c>
      <c r="E20265" s="0" t="inlineStr">
        <is>
          <t xml:space="preserve">Mazda</t>
        </is>
      </c>
      <c r="F20265" s="0" t="s">
        <v>13</v>
      </c>
      <c r="G20265" s="0" t="s">
        <v>49</v>
      </c>
      <c r="H20265" s="5">
        <v>2.220900</v>
      </c>
    </row>
    <row r="20266" spans="1:9">
      <c r="A20266" s="22" t="str">
        <f>HYPERLINK("https://app.vivvix.com/360/KMI/IntelliDrive/ApplUI/Pages/CreativePages/CustomReportCreativeDetail.aspx?App=23&amp;ReportView=4&amp;Qid=1711279&amp;Row=20258&amp;Col=1","No Title Assigned - #15279279998")</f>
        <v/>
      </c>
      <c r="B20266" s="0" t="s">
        <v>26921</v>
      </c>
      <c r="E20266" s="0" t="inlineStr">
        <is>
          <t xml:space="preserve">Mazda</t>
        </is>
      </c>
      <c r="F20266" s="0" t="inlineStr">
        <is>
          <t xml:space="preserve">Mazda</t>
        </is>
      </c>
      <c r="G20266" s="0" t="s">
        <v>171</v>
      </c>
      <c r="H20266" s="5">
        <v>20.937900</v>
      </c>
    </row>
    <row r="20267" spans="1:9">
      <c r="A20267" s="22" t="str">
        <f>HYPERLINK("https://app.vivvix.com/360/KMI/IntelliDrive/ApplUI/Pages/CreativePages/CustomReportCreativeDetail.aspx?App=23&amp;ReportView=4&amp;Qid=1711279&amp;Row=20259&amp;Col=1","No Title Assigned - #15279280235")</f>
        <v/>
      </c>
      <c r="B20267" s="0" t="s">
        <v>26922</v>
      </c>
      <c r="E20267" s="0" t="inlineStr">
        <is>
          <t xml:space="preserve">Mazda</t>
        </is>
      </c>
      <c r="F20267" s="0" t="inlineStr">
        <is>
          <t xml:space="preserve">Mazda</t>
        </is>
      </c>
      <c r="G20267" s="0" t="s">
        <v>171</v>
      </c>
      <c r="H20267" s="5">
        <v>11.086200</v>
      </c>
    </row>
    <row r="20268" spans="1:9">
      <c r="A20268" s="22" t="str">
        <f>HYPERLINK("https://app.vivvix.com/360/KMI/IntelliDrive/ApplUI/Pages/CreativePages/CustomReportCreativeDetail.aspx?App=23&amp;ReportView=4&amp;Qid=1711279&amp;Row=20260&amp;Col=1","No Title Assigned - #15279280449")</f>
        <v/>
      </c>
      <c r="B20268" s="0" t="s">
        <v>26923</v>
      </c>
      <c r="E20268" s="0" t="inlineStr">
        <is>
          <t xml:space="preserve">Mazda</t>
        </is>
      </c>
      <c r="F20268" s="0" t="inlineStr">
        <is>
          <t xml:space="preserve">Mazda</t>
        </is>
      </c>
      <c r="G20268" s="0" t="s">
        <v>171</v>
      </c>
      <c r="H20268" s="5">
        <v>13.207900</v>
      </c>
    </row>
    <row r="20269" spans="1:9">
      <c r="A20269" s="22" t="str">
        <f>HYPERLINK("https://app.vivvix.com/360/KMI/IntelliDrive/ApplUI/Pages/CreativePages/CustomReportCreativeDetail.aspx?App=23&amp;ReportView=4&amp;Qid=1711279&amp;Row=20261&amp;Col=1","No Title Assigned - #15279281248")</f>
        <v/>
      </c>
      <c r="B20269" s="0" t="s">
        <v>26924</v>
      </c>
      <c r="E20269" s="0" t="inlineStr">
        <is>
          <t xml:space="preserve">Mazda</t>
        </is>
      </c>
      <c r="F20269" s="0" t="inlineStr">
        <is>
          <t xml:space="preserve">Mazda</t>
        </is>
      </c>
      <c r="G20269" s="0" t="s">
        <v>171</v>
      </c>
      <c r="H20269" s="5">
        <v>1.216000</v>
      </c>
    </row>
    <row r="20270" spans="1:9">
      <c r="A20270" s="22" t="str">
        <f>HYPERLINK("https://app.vivvix.com/360/KMI/IntelliDrive/ApplUI/Pages/CreativePages/CustomReportCreativeDetail.aspx?App=23&amp;ReportView=4&amp;Qid=1711279&amp;Row=20262&amp;Col=1","No Title Assigned - #15279283805")</f>
        <v/>
      </c>
      <c r="B20270" s="0" t="s">
        <v>26925</v>
      </c>
      <c r="C20270" s="0" t="s">
        <v>26926</v>
      </c>
      <c r="D20270" s="0" t="s">
        <v>26926</v>
      </c>
      <c r="E20270" s="0" t="inlineStr">
        <is>
          <t xml:space="preserve">Mazda</t>
        </is>
      </c>
      <c r="F20270" s="0" t="inlineStr">
        <is>
          <t xml:space="preserve">Mazda</t>
        </is>
      </c>
      <c r="G20270" s="0" t="s">
        <v>171</v>
      </c>
      <c r="H20270" s="5">
        <v>1317.210200</v>
      </c>
    </row>
    <row r="20271" spans="1:9">
      <c r="A20271" s="22" t="str">
        <f>HYPERLINK("https://app.vivvix.com/360/KMI/IntelliDrive/ApplUI/Pages/CreativePages/CustomReportCreativeDetail.aspx?App=23&amp;ReportView=4&amp;Qid=1711279&amp;Row=20263&amp;Col=1","No Title Assigned - #15279284130")</f>
        <v/>
      </c>
      <c r="B20271" s="0" t="s">
        <v>26927</v>
      </c>
      <c r="E20271" s="0" t="inlineStr">
        <is>
          <t xml:space="preserve">Mazda</t>
        </is>
      </c>
      <c r="F20271" s="0" t="inlineStr">
        <is>
          <t xml:space="preserve">Mazda</t>
        </is>
      </c>
      <c r="G20271" s="0" t="s">
        <v>171</v>
      </c>
      <c r="H20271" s="5">
        <v>98.137900</v>
      </c>
    </row>
    <row r="20272" spans="1:9">
      <c r="A20272" s="22" t="str">
        <f>HYPERLINK("https://app.vivvix.com/360/KMI/IntelliDrive/ApplUI/Pages/CreativePages/CustomReportCreativeDetail.aspx?App=23&amp;ReportView=4&amp;Qid=1711279&amp;Row=20264&amp;Col=1","No Title Assigned - #15279288895")</f>
        <v/>
      </c>
      <c r="B20272" s="0" t="s">
        <v>26928</v>
      </c>
      <c r="E20272" s="0" t="inlineStr">
        <is>
          <t xml:space="preserve">Mazda</t>
        </is>
      </c>
      <c r="F20272" s="0" t="inlineStr">
        <is>
          <t xml:space="preserve">Mazda</t>
        </is>
      </c>
      <c r="G20272" s="0" t="s">
        <v>171</v>
      </c>
      <c r="H20272" s="5">
        <v>417.850400</v>
      </c>
    </row>
    <row r="20273" spans="1:9">
      <c r="A20273" s="22" t="str">
        <f>HYPERLINK("https://app.vivvix.com/360/KMI/IntelliDrive/ApplUI/Pages/CreativePages/CustomReportCreativeDetail.aspx?App=23&amp;ReportView=4&amp;Qid=1711279&amp;Row=20265&amp;Col=1","No Title Assigned - #15279289896")</f>
        <v/>
      </c>
      <c r="B20273" s="0" t="s">
        <v>26929</v>
      </c>
      <c r="E20273" s="0" t="inlineStr">
        <is>
          <t xml:space="preserve">Mazda</t>
        </is>
      </c>
      <c r="F20273" s="0" t="inlineStr">
        <is>
          <t xml:space="preserve">Mazda</t>
        </is>
      </c>
      <c r="G20273" s="0" t="s">
        <v>171</v>
      </c>
      <c r="H20273" s="5">
        <v>4519.071900</v>
      </c>
    </row>
    <row r="20274" spans="1:9">
      <c r="A20274" s="22" t="str">
        <f>HYPERLINK("https://app.vivvix.com/360/KMI/IntelliDrive/ApplUI/Pages/CreativePages/CustomReportCreativeDetail.aspx?App=23&amp;ReportView=4&amp;Qid=1711279&amp;Row=20266&amp;Col=1","No Title Assigned - #15279291197")</f>
        <v/>
      </c>
      <c r="B20274" s="0" t="s">
        <v>26930</v>
      </c>
      <c r="E20274" s="0" t="inlineStr">
        <is>
          <t xml:space="preserve">Mazda</t>
        </is>
      </c>
      <c r="F20274" s="0" t="inlineStr">
        <is>
          <t xml:space="preserve">Mazda</t>
        </is>
      </c>
      <c r="G20274" s="0" t="s">
        <v>171</v>
      </c>
      <c r="H20274" s="5">
        <v>316.352700</v>
      </c>
    </row>
    <row r="20275" spans="1:9">
      <c r="A20275" s="22" t="str">
        <f>HYPERLINK("https://app.vivvix.com/360/KMI/IntelliDrive/ApplUI/Pages/CreativePages/CustomReportCreativeDetail.aspx?App=23&amp;ReportView=4&amp;Qid=1711279&amp;Row=20267&amp;Col=1","No Title Assigned - #15279293778")</f>
        <v/>
      </c>
      <c r="B20275" s="0" t="s">
        <v>26931</v>
      </c>
      <c r="E20275" s="0" t="inlineStr">
        <is>
          <t xml:space="preserve">Mazda</t>
        </is>
      </c>
      <c r="F20275" s="0" t="inlineStr">
        <is>
          <t xml:space="preserve">Mazda</t>
        </is>
      </c>
      <c r="G20275" s="0" t="s">
        <v>171</v>
      </c>
      <c r="H20275" s="5">
        <v>142.677600</v>
      </c>
    </row>
    <row r="20276" spans="1:9">
      <c r="A20276" s="22" t="str">
        <f>HYPERLINK("https://app.vivvix.com/360/KMI/IntelliDrive/ApplUI/Pages/CreativePages/CustomReportCreativeDetail.aspx?App=23&amp;ReportView=4&amp;Qid=1711279&amp;Row=20268&amp;Col=1","No Title Assigned - #15279293780")</f>
        <v/>
      </c>
      <c r="B20276" s="0" t="s">
        <v>26932</v>
      </c>
      <c r="E20276" s="0" t="inlineStr">
        <is>
          <t xml:space="preserve">Mazda</t>
        </is>
      </c>
      <c r="F20276" s="0" t="inlineStr">
        <is>
          <t xml:space="preserve">Mazda</t>
        </is>
      </c>
      <c r="G20276" s="0" t="s">
        <v>171</v>
      </c>
      <c r="H20276" s="5">
        <v>445.334100</v>
      </c>
    </row>
    <row r="20277" spans="1:9">
      <c r="A20277" s="22" t="str">
        <f>HYPERLINK("https://app.vivvix.com/360/KMI/IntelliDrive/ApplUI/Pages/CreativePages/CustomReportCreativeDetail.aspx?App=23&amp;ReportView=4&amp;Qid=1711279&amp;Row=20269&amp;Col=1","No Title Assigned - #15279295594")</f>
        <v/>
      </c>
      <c r="B20277" s="0" t="s">
        <v>26933</v>
      </c>
      <c r="E20277" s="0" t="inlineStr">
        <is>
          <t xml:space="preserve">Mazda</t>
        </is>
      </c>
      <c r="F20277" s="0" t="inlineStr">
        <is>
          <t xml:space="preserve">Mazda</t>
        </is>
      </c>
      <c r="G20277" s="0" t="s">
        <v>171</v>
      </c>
      <c r="H20277" s="5">
        <v>5.543100</v>
      </c>
    </row>
    <row r="20278" spans="1:9">
      <c r="A20278" s="22" t="str">
        <f>HYPERLINK("https://app.vivvix.com/360/KMI/IntelliDrive/ApplUI/Pages/CreativePages/CustomReportCreativeDetail.aspx?App=23&amp;ReportView=4&amp;Qid=1711279&amp;Row=20270&amp;Col=1","No Title Assigned - #15279295603")</f>
        <v/>
      </c>
      <c r="B20278" s="0" t="s">
        <v>26934</v>
      </c>
      <c r="E20278" s="0" t="inlineStr">
        <is>
          <t xml:space="preserve">Mazda</t>
        </is>
      </c>
      <c r="F20278" s="0" t="inlineStr">
        <is>
          <t xml:space="preserve">Mazda</t>
        </is>
      </c>
      <c r="G20278" s="0" t="s">
        <v>171</v>
      </c>
      <c r="H20278" s="5">
        <v>3072.738500</v>
      </c>
    </row>
    <row r="20279" spans="1:9">
      <c r="A20279" s="22" t="str">
        <f>HYPERLINK("https://app.vivvix.com/360/KMI/IntelliDrive/ApplUI/Pages/CreativePages/CustomReportCreativeDetail.aspx?App=23&amp;ReportView=4&amp;Qid=1711279&amp;Row=20271&amp;Col=1","No Title Assigned - #15279295975")</f>
        <v/>
      </c>
      <c r="B20279" s="0" t="s">
        <v>26935</v>
      </c>
      <c r="E20279" s="0" t="inlineStr">
        <is>
          <t xml:space="preserve">Mazda</t>
        </is>
      </c>
      <c r="F20279" s="0" t="inlineStr">
        <is>
          <t xml:space="preserve">Mazda</t>
        </is>
      </c>
      <c r="G20279" s="0" t="s">
        <v>171</v>
      </c>
      <c r="H20279" s="5">
        <v>15.394800</v>
      </c>
    </row>
    <row r="20280" spans="1:9">
      <c r="A20280" s="22" t="str">
        <f>HYPERLINK("https://app.vivvix.com/360/KMI/IntelliDrive/ApplUI/Pages/CreativePages/CustomReportCreativeDetail.aspx?App=23&amp;ReportView=4&amp;Qid=1711279&amp;Row=20272&amp;Col=1","No Title Assigned - #15279296405")</f>
        <v/>
      </c>
      <c r="B20280" s="0" t="s">
        <v>26936</v>
      </c>
      <c r="E20280" s="0" t="inlineStr">
        <is>
          <t xml:space="preserve">Mazda</t>
        </is>
      </c>
      <c r="F20280" s="0" t="inlineStr">
        <is>
          <t xml:space="preserve">Mazda</t>
        </is>
      </c>
      <c r="G20280" s="0" t="s">
        <v>171</v>
      </c>
      <c r="H20280" s="5">
        <v>8828.320700</v>
      </c>
    </row>
    <row r="20281" spans="1:9">
      <c r="A20281" s="22" t="str">
        <f>HYPERLINK("https://app.vivvix.com/360/KMI/IntelliDrive/ApplUI/Pages/CreativePages/CustomReportCreativeDetail.aspx?App=23&amp;ReportView=4&amp;Qid=1711279&amp;Row=20273&amp;Col=1","No Title Assigned - #15279296536")</f>
        <v/>
      </c>
      <c r="B20281" s="0" t="s">
        <v>26937</v>
      </c>
      <c r="C20281" s="0" t="s">
        <v>26938</v>
      </c>
      <c r="D20281" s="0" t="s">
        <v>26938</v>
      </c>
      <c r="E20281" s="0" t="inlineStr">
        <is>
          <t xml:space="preserve">Mazda</t>
        </is>
      </c>
      <c r="F20281" s="0" t="inlineStr">
        <is>
          <t xml:space="preserve">Mazda</t>
        </is>
      </c>
      <c r="G20281" s="0" t="s">
        <v>171</v>
      </c>
      <c r="H20281" s="5">
        <v>96.045000</v>
      </c>
    </row>
    <row r="20282" spans="1:9">
      <c r="A20282" s="22" t="str">
        <f>HYPERLINK("https://app.vivvix.com/360/KMI/IntelliDrive/ApplUI/Pages/CreativePages/CustomReportCreativeDetail.aspx?App=23&amp;ReportView=4&amp;Qid=1711279&amp;Row=20274&amp;Col=1","No Title Assigned - #15279296536")</f>
        <v/>
      </c>
      <c r="B20282" s="0" t="s">
        <v>26937</v>
      </c>
      <c r="E20282" s="0" t="inlineStr">
        <is>
          <t xml:space="preserve">Mazda</t>
        </is>
      </c>
      <c r="F20282" s="0" t="inlineStr">
        <is>
          <t xml:space="preserve">Mazda</t>
        </is>
      </c>
      <c r="G20282" s="0" t="s">
        <v>171</v>
      </c>
      <c r="H20282" s="5">
        <v>39.255400</v>
      </c>
    </row>
    <row r="20283" spans="1:9">
      <c r="A20283" s="22" t="str">
        <f>HYPERLINK("https://app.vivvix.com/360/KMI/IntelliDrive/ApplUI/Pages/CreativePages/CustomReportCreativeDetail.aspx?App=23&amp;ReportView=4&amp;Qid=1711279&amp;Row=20275&amp;Col=1","No Title Assigned - #15279299428")</f>
        <v/>
      </c>
      <c r="B20283" s="0" t="s">
        <v>26939</v>
      </c>
      <c r="E20283" s="0" t="inlineStr">
        <is>
          <t xml:space="preserve">Mazda</t>
        </is>
      </c>
      <c r="F20283" s="0" t="inlineStr">
        <is>
          <t xml:space="preserve">Mazda</t>
        </is>
      </c>
      <c r="G20283" s="0" t="s">
        <v>171</v>
      </c>
      <c r="H20283" s="5">
        <v>5.543100</v>
      </c>
    </row>
    <row r="20284" spans="1:9">
      <c r="A20284" s="22" t="str">
        <f>HYPERLINK("https://app.vivvix.com/360/KMI/IntelliDrive/ApplUI/Pages/CreativePages/CustomReportCreativeDetail.aspx?App=23&amp;ReportView=4&amp;Qid=1711279&amp;Row=20276&amp;Col=1","No Title Assigned - #15279299429")</f>
        <v/>
      </c>
      <c r="B20284" s="0" t="s">
        <v>26940</v>
      </c>
      <c r="E20284" s="0" t="inlineStr">
        <is>
          <t xml:space="preserve">Mazda</t>
        </is>
      </c>
      <c r="F20284" s="0" t="inlineStr">
        <is>
          <t xml:space="preserve">Mazda</t>
        </is>
      </c>
      <c r="G20284" s="0" t="s">
        <v>171</v>
      </c>
      <c r="H20284" s="5">
        <v>5.543100</v>
      </c>
    </row>
    <row r="20285" spans="1:9">
      <c r="A20285" s="22" t="str">
        <f>HYPERLINK("https://app.vivvix.com/360/KMI/IntelliDrive/ApplUI/Pages/CreativePages/CustomReportCreativeDetail.aspx?App=23&amp;ReportView=4&amp;Qid=1711279&amp;Row=20277&amp;Col=1","No Title Assigned - #15279299919")</f>
        <v/>
      </c>
      <c r="B20285" s="0" t="s">
        <v>26941</v>
      </c>
      <c r="E20285" s="0" t="inlineStr">
        <is>
          <t xml:space="preserve">Mazda</t>
        </is>
      </c>
      <c r="F20285" s="0" t="inlineStr">
        <is>
          <t xml:space="preserve">Mazda</t>
        </is>
      </c>
      <c r="G20285" s="0" t="s">
        <v>171</v>
      </c>
      <c r="H20285" s="5">
        <v>64.249300</v>
      </c>
    </row>
    <row r="20286" spans="1:9">
      <c r="A20286" s="22" t="str">
        <f>HYPERLINK("https://app.vivvix.com/360/KMI/IntelliDrive/ApplUI/Pages/CreativePages/CustomReportCreativeDetail.aspx?App=23&amp;ReportView=4&amp;Qid=1711279&amp;Row=20278&amp;Col=1","No Title Assigned - #15279299919")</f>
        <v/>
      </c>
      <c r="B20286" s="0" t="s">
        <v>26941</v>
      </c>
      <c r="E20286" s="0" t="inlineStr">
        <is>
          <t xml:space="preserve">Mazda</t>
        </is>
      </c>
      <c r="F20286" s="0" t="inlineStr">
        <is>
          <t xml:space="preserve">Mazda</t>
        </is>
      </c>
      <c r="G20286" s="0" t="s">
        <v>171</v>
      </c>
      <c r="H20286" s="5">
        <v>5.543100</v>
      </c>
    </row>
    <row r="20287" spans="1:9">
      <c r="A20287" s="22" t="str">
        <f>HYPERLINK("https://app.vivvix.com/360/KMI/IntelliDrive/ApplUI/Pages/CreativePages/CustomReportCreativeDetail.aspx?App=23&amp;ReportView=4&amp;Qid=1711279&amp;Row=20279&amp;Col=1","No Title Assigned - #15279303292")</f>
        <v/>
      </c>
      <c r="B20287" s="0" t="s">
        <v>26942</v>
      </c>
      <c r="E20287" s="0" t="inlineStr">
        <is>
          <t xml:space="preserve">Mazda</t>
        </is>
      </c>
      <c r="F20287" s="0" t="inlineStr">
        <is>
          <t xml:space="preserve">Mazda</t>
        </is>
      </c>
      <c r="G20287" s="0" t="s">
        <v>171</v>
      </c>
      <c r="H20287" s="5">
        <v>138378.596800</v>
      </c>
    </row>
    <row r="20288" spans="1:9">
      <c r="A20288" s="22" t="str">
        <f>HYPERLINK("https://app.vivvix.com/360/KMI/IntelliDrive/ApplUI/Pages/CreativePages/CustomReportCreativeDetail.aspx?App=23&amp;ReportView=4&amp;Qid=1711279&amp;Row=20280&amp;Col=1","No Title Assigned - #15279303292")</f>
        <v/>
      </c>
      <c r="B20288" s="0" t="s">
        <v>26942</v>
      </c>
      <c r="E20288" s="0" t="inlineStr">
        <is>
          <t xml:space="preserve">Mazda</t>
        </is>
      </c>
      <c r="F20288" s="0" t="inlineStr">
        <is>
          <t xml:space="preserve">Mazda</t>
        </is>
      </c>
      <c r="G20288" s="0" t="s">
        <v>171</v>
      </c>
      <c r="H20288" s="5">
        <v>55266.841400</v>
      </c>
    </row>
    <row r="20289" spans="1:9">
      <c r="A20289" s="22" t="str">
        <f>HYPERLINK("https://app.vivvix.com/360/KMI/IntelliDrive/ApplUI/Pages/CreativePages/CustomReportCreativeDetail.aspx?App=23&amp;ReportView=4&amp;Qid=1711279&amp;Row=20281&amp;Col=1","No Title Assigned - #15279304538")</f>
        <v/>
      </c>
      <c r="B20289" s="0" t="s">
        <v>26943</v>
      </c>
      <c r="E20289" s="0" t="inlineStr">
        <is>
          <t xml:space="preserve">Mazda</t>
        </is>
      </c>
      <c r="F20289" s="0" t="inlineStr">
        <is>
          <t xml:space="preserve">Mazda</t>
        </is>
      </c>
      <c r="G20289" s="0" t="s">
        <v>171</v>
      </c>
      <c r="H20289" s="5">
        <v>328.565000</v>
      </c>
    </row>
    <row r="20290" spans="1:9">
      <c r="A20290" s="22" t="str">
        <f>HYPERLINK("https://app.vivvix.com/360/KMI/IntelliDrive/ApplUI/Pages/CreativePages/CustomReportCreativeDetail.aspx?App=23&amp;ReportView=4&amp;Qid=1711279&amp;Row=20282&amp;Col=1","No Title Assigned - #15279305540")</f>
        <v/>
      </c>
      <c r="B20290" s="0" t="s">
        <v>26944</v>
      </c>
      <c r="E20290" s="0" t="inlineStr">
        <is>
          <t xml:space="preserve">Mazda</t>
        </is>
      </c>
      <c r="F20290" s="0" t="inlineStr">
        <is>
          <t xml:space="preserve">Mazda</t>
        </is>
      </c>
      <c r="G20290" s="0" t="s">
        <v>171</v>
      </c>
      <c r="H20290" s="5">
        <v>65.326800</v>
      </c>
    </row>
    <row r="20291" spans="1:9">
      <c r="A20291" s="22" t="str">
        <f>HYPERLINK("https://app.vivvix.com/360/KMI/IntelliDrive/ApplUI/Pages/CreativePages/CustomReportCreativeDetail.aspx?App=23&amp;ReportView=4&amp;Qid=1711279&amp;Row=20283&amp;Col=1","No Title Assigned - #15279305905")</f>
        <v/>
      </c>
      <c r="B20291" s="0" t="s">
        <v>26945</v>
      </c>
      <c r="E20291" s="0" t="inlineStr">
        <is>
          <t xml:space="preserve">Mazda</t>
        </is>
      </c>
      <c r="F20291" s="0" t="inlineStr">
        <is>
          <t xml:space="preserve">Mazda</t>
        </is>
      </c>
      <c r="G20291" s="0" t="s">
        <v>171</v>
      </c>
      <c r="H20291" s="5">
        <v>974.443000</v>
      </c>
    </row>
    <row r="20292" spans="1:9">
      <c r="A20292" s="22" t="str">
        <f>HYPERLINK("https://app.vivvix.com/360/KMI/IntelliDrive/ApplUI/Pages/CreativePages/CustomReportCreativeDetail.aspx?App=23&amp;ReportView=4&amp;Qid=1711279&amp;Row=20284&amp;Col=1","No Title Assigned - #15279306017")</f>
        <v/>
      </c>
      <c r="B20292" s="0" t="s">
        <v>26946</v>
      </c>
      <c r="E20292" s="0" t="inlineStr">
        <is>
          <t xml:space="preserve">Mazda</t>
        </is>
      </c>
      <c r="F20292" s="0" t="inlineStr">
        <is>
          <t xml:space="preserve">Mazda</t>
        </is>
      </c>
      <c r="G20292" s="0" t="s">
        <v>171</v>
      </c>
      <c r="H20292" s="5">
        <v>881.716600</v>
      </c>
    </row>
    <row r="20293" spans="1:9">
      <c r="A20293" s="22" t="str">
        <f>HYPERLINK("https://app.vivvix.com/360/KMI/IntelliDrive/ApplUI/Pages/CreativePages/CustomReportCreativeDetail.aspx?App=23&amp;ReportView=4&amp;Qid=1711279&amp;Row=20285&amp;Col=1","No Title Assigned - #15279306387")</f>
        <v/>
      </c>
      <c r="B20293" s="0" t="s">
        <v>26947</v>
      </c>
      <c r="E20293" s="0" t="inlineStr">
        <is>
          <t xml:space="preserve">Mazda</t>
        </is>
      </c>
      <c r="F20293" s="0" t="inlineStr">
        <is>
          <t xml:space="preserve">Mazda</t>
        </is>
      </c>
      <c r="G20293" s="0" t="s">
        <v>171</v>
      </c>
      <c r="H20293" s="5">
        <v>328.565000</v>
      </c>
    </row>
    <row r="20294" spans="1:9">
      <c r="A20294" s="22" t="str">
        <f>HYPERLINK("https://app.vivvix.com/360/KMI/IntelliDrive/ApplUI/Pages/CreativePages/CustomReportCreativeDetail.aspx?App=23&amp;ReportView=4&amp;Qid=1711279&amp;Row=20286&amp;Col=1","No Title Assigned - #15279306547")</f>
        <v/>
      </c>
      <c r="B20294" s="0" t="s">
        <v>26948</v>
      </c>
      <c r="E20294" s="0" t="inlineStr">
        <is>
          <t xml:space="preserve">Mazda</t>
        </is>
      </c>
      <c r="F20294" s="0" t="inlineStr">
        <is>
          <t xml:space="preserve">Mazda</t>
        </is>
      </c>
      <c r="G20294" s="0" t="s">
        <v>171</v>
      </c>
      <c r="H20294" s="5">
        <v>43.332900</v>
      </c>
    </row>
    <row r="20295" spans="1:9">
      <c r="A20295" s="22" t="str">
        <f>HYPERLINK("https://app.vivvix.com/360/KMI/IntelliDrive/ApplUI/Pages/CreativePages/CustomReportCreativeDetail.aspx?App=23&amp;ReportView=4&amp;Qid=1711279&amp;Row=20287&amp;Col=1","No Title Assigned - #15279306548")</f>
        <v/>
      </c>
      <c r="B20295" s="0" t="s">
        <v>26949</v>
      </c>
      <c r="E20295" s="0" t="inlineStr">
        <is>
          <t xml:space="preserve">Mazda</t>
        </is>
      </c>
      <c r="F20295" s="0" t="inlineStr">
        <is>
          <t xml:space="preserve">Mazda</t>
        </is>
      </c>
      <c r="G20295" s="0" t="s">
        <v>171</v>
      </c>
      <c r="H20295" s="5">
        <v>14.444300</v>
      </c>
    </row>
    <row r="20296" spans="1:9">
      <c r="A20296" s="22" t="str">
        <f>HYPERLINK("https://app.vivvix.com/360/KMI/IntelliDrive/ApplUI/Pages/CreativePages/CustomReportCreativeDetail.aspx?App=23&amp;ReportView=4&amp;Qid=1711279&amp;Row=20288&amp;Col=1","No Title Assigned - #15279306602")</f>
        <v/>
      </c>
      <c r="B20296" s="0" t="s">
        <v>26950</v>
      </c>
      <c r="E20296" s="0" t="inlineStr">
        <is>
          <t xml:space="preserve">Mazda</t>
        </is>
      </c>
      <c r="F20296" s="0" t="inlineStr">
        <is>
          <t xml:space="preserve">Mazda</t>
        </is>
      </c>
      <c r="G20296" s="0" t="s">
        <v>171</v>
      </c>
      <c r="H20296" s="5">
        <v>1473.993400</v>
      </c>
    </row>
    <row r="20297" spans="1:9">
      <c r="A20297" s="22" t="str">
        <f>HYPERLINK("https://app.vivvix.com/360/KMI/IntelliDrive/ApplUI/Pages/CreativePages/CustomReportCreativeDetail.aspx?App=23&amp;ReportView=4&amp;Qid=1711279&amp;Row=20289&amp;Col=1","No Title Assigned - #15279306902")</f>
        <v/>
      </c>
      <c r="B20297" s="0" t="s">
        <v>26951</v>
      </c>
      <c r="C20297" s="0" t="s">
        <v>26952</v>
      </c>
      <c r="D20297" s="0" t="s">
        <v>5013</v>
      </c>
      <c r="E20297" s="0" t="inlineStr">
        <is>
          <t xml:space="preserve">Mazda</t>
        </is>
      </c>
      <c r="F20297" s="0" t="s">
        <v>13</v>
      </c>
      <c r="G20297" s="0" t="s">
        <v>49</v>
      </c>
      <c r="H20297" s="5">
        <v>87.025200</v>
      </c>
    </row>
    <row r="20298" spans="1:9">
      <c r="A20298" s="22" t="str">
        <f>HYPERLINK("https://app.vivvix.com/360/KMI/IntelliDrive/ApplUI/Pages/CreativePages/CustomReportCreativeDetail.aspx?App=23&amp;ReportView=4&amp;Qid=1711279&amp;Row=20290&amp;Col=1","No Title Assigned - #15279306976")</f>
        <v/>
      </c>
      <c r="B20298" s="0" t="s">
        <v>26953</v>
      </c>
      <c r="C20298" s="0" t="s">
        <v>26954</v>
      </c>
      <c r="D20298" s="0" t="s">
        <v>26954</v>
      </c>
      <c r="E20298" s="0" t="inlineStr">
        <is>
          <t xml:space="preserve">Mazda</t>
        </is>
      </c>
      <c r="F20298" s="0" t="s">
        <v>13</v>
      </c>
      <c r="G20298" s="0" t="s">
        <v>49</v>
      </c>
      <c r="H20298" s="5">
        <v>80.622300</v>
      </c>
    </row>
    <row r="20299" spans="1:9">
      <c r="A20299" s="22" t="str">
        <f>HYPERLINK("https://app.vivvix.com/360/KMI/IntelliDrive/ApplUI/Pages/CreativePages/CustomReportCreativeDetail.aspx?App=23&amp;ReportView=4&amp;Qid=1711279&amp;Row=20291&amp;Col=1","No Title Assigned - #15279307465")</f>
        <v/>
      </c>
      <c r="B20299" s="0" t="s">
        <v>26955</v>
      </c>
      <c r="C20299" s="0" t="s">
        <v>26956</v>
      </c>
      <c r="D20299" s="0" t="s">
        <v>26956</v>
      </c>
      <c r="E20299" s="0" t="inlineStr">
        <is>
          <t xml:space="preserve">Mazda</t>
        </is>
      </c>
      <c r="F20299" s="0" t="s">
        <v>13</v>
      </c>
      <c r="G20299" s="0" t="s">
        <v>49</v>
      </c>
      <c r="H20299" s="5">
        <v>629.495600</v>
      </c>
    </row>
    <row r="20300" spans="1:9">
      <c r="A20300" s="22" t="str">
        <f>HYPERLINK("https://app.vivvix.com/360/KMI/IntelliDrive/ApplUI/Pages/CreativePages/CustomReportCreativeDetail.aspx?App=23&amp;ReportView=4&amp;Qid=1711279&amp;Row=20292&amp;Col=1","No Title Assigned - #15279307717")</f>
        <v/>
      </c>
      <c r="B20300" s="0" t="s">
        <v>26957</v>
      </c>
      <c r="C20300" s="0" t="s">
        <v>26958</v>
      </c>
      <c r="D20300" s="0" t="s">
        <v>26958</v>
      </c>
      <c r="E20300" s="0" t="inlineStr">
        <is>
          <t xml:space="preserve">Mazda</t>
        </is>
      </c>
      <c r="F20300" s="0" t="s">
        <v>28</v>
      </c>
      <c r="G20300" s="0" t="s">
        <v>29</v>
      </c>
      <c r="H20300" s="5">
        <v>53.741400</v>
      </c>
    </row>
    <row r="20301" spans="1:9">
      <c r="A20301" s="22" t="str">
        <f>HYPERLINK("https://app.vivvix.com/360/KMI/IntelliDrive/ApplUI/Pages/CreativePages/CustomReportCreativeDetail.aspx?App=23&amp;ReportView=4&amp;Qid=1711279&amp;Row=20293&amp;Col=1","No Title Assigned - #15279308318")</f>
        <v/>
      </c>
      <c r="B20301" s="0" t="s">
        <v>26959</v>
      </c>
      <c r="C20301" s="0" t="s">
        <v>26960</v>
      </c>
      <c r="D20301" s="0" t="s">
        <v>26960</v>
      </c>
      <c r="E20301" s="0" t="inlineStr">
        <is>
          <t xml:space="preserve">Mazda</t>
        </is>
      </c>
      <c r="F20301" s="0" t="s">
        <v>28</v>
      </c>
      <c r="G20301" s="0" t="s">
        <v>29</v>
      </c>
      <c r="H20301" s="5">
        <v>819.422400</v>
      </c>
    </row>
    <row r="20302" spans="1:9">
      <c r="A20302" s="22" t="str">
        <f>HYPERLINK("https://app.vivvix.com/360/KMI/IntelliDrive/ApplUI/Pages/CreativePages/CustomReportCreativeDetail.aspx?App=23&amp;ReportView=4&amp;Qid=1711279&amp;Row=20294&amp;Col=1","No Title Assigned - #15279308412")</f>
        <v/>
      </c>
      <c r="B20302" s="0" t="s">
        <v>26961</v>
      </c>
      <c r="C20302" s="0" t="s">
        <v>26962</v>
      </c>
      <c r="D20302" s="0" t="s">
        <v>26962</v>
      </c>
      <c r="E20302" s="0" t="inlineStr">
        <is>
          <t xml:space="preserve">Mazda</t>
        </is>
      </c>
      <c r="F20302" s="0" t="s">
        <v>28</v>
      </c>
      <c r="G20302" s="0" t="s">
        <v>29</v>
      </c>
      <c r="H20302" s="5">
        <v>4278.194500</v>
      </c>
    </row>
    <row r="20303" spans="1:9">
      <c r="A20303" s="22" t="str">
        <f>HYPERLINK("https://app.vivvix.com/360/KMI/IntelliDrive/ApplUI/Pages/CreativePages/CustomReportCreativeDetail.aspx?App=23&amp;ReportView=4&amp;Qid=1711279&amp;Row=20295&amp;Col=1","No Title Assigned - #15279308515")</f>
        <v/>
      </c>
      <c r="B20303" s="0" t="s">
        <v>26963</v>
      </c>
      <c r="C20303" s="0" t="s">
        <v>26964</v>
      </c>
      <c r="D20303" s="0" t="s">
        <v>26964</v>
      </c>
      <c r="E20303" s="0" t="inlineStr">
        <is>
          <t xml:space="preserve">Mazda</t>
        </is>
      </c>
      <c r="F20303" s="0" t="s">
        <v>13</v>
      </c>
      <c r="G20303" s="0" t="s">
        <v>49</v>
      </c>
      <c r="H20303" s="5">
        <v>16.418400</v>
      </c>
    </row>
    <row r="20304" spans="1:9">
      <c r="A20304" s="22" t="str">
        <f>HYPERLINK("https://app.vivvix.com/360/KMI/IntelliDrive/ApplUI/Pages/CreativePages/CustomReportCreativeDetail.aspx?App=23&amp;ReportView=4&amp;Qid=1711279&amp;Row=20296&amp;Col=1","No Title Assigned - #15279308587")</f>
        <v/>
      </c>
      <c r="B20304" s="0" t="s">
        <v>26965</v>
      </c>
      <c r="C20304" s="0" t="s">
        <v>26966</v>
      </c>
      <c r="D20304" s="0" t="s">
        <v>5013</v>
      </c>
      <c r="E20304" s="0" t="inlineStr">
        <is>
          <t xml:space="preserve">Mazda</t>
        </is>
      </c>
      <c r="F20304" s="0" t="s">
        <v>13</v>
      </c>
      <c r="G20304" s="0" t="s">
        <v>49</v>
      </c>
      <c r="H20304" s="5">
        <v>1367.559700</v>
      </c>
    </row>
    <row r="20305" spans="1:9">
      <c r="A20305" s="22" t="str">
        <f>HYPERLINK("https://app.vivvix.com/360/KMI/IntelliDrive/ApplUI/Pages/CreativePages/CustomReportCreativeDetail.aspx?App=23&amp;ReportView=4&amp;Qid=1711279&amp;Row=20297&amp;Col=1","No Title Assigned - #15279309264")</f>
        <v/>
      </c>
      <c r="B20305" s="0" t="s">
        <v>26967</v>
      </c>
      <c r="C20305" s="0" t="s">
        <v>26968</v>
      </c>
      <c r="D20305" s="0" t="s">
        <v>9829</v>
      </c>
      <c r="E20305" s="0" t="inlineStr">
        <is>
          <t xml:space="preserve">Mazda</t>
        </is>
      </c>
      <c r="F20305" s="0" t="s">
        <v>13</v>
      </c>
      <c r="G20305" s="0" t="s">
        <v>49</v>
      </c>
      <c r="H20305" s="5">
        <v>80.622300</v>
      </c>
    </row>
    <row r="20306" spans="1:9">
      <c r="A20306" s="22" t="str">
        <f>HYPERLINK("https://app.vivvix.com/360/KMI/IntelliDrive/ApplUI/Pages/CreativePages/CustomReportCreativeDetail.aspx?App=23&amp;ReportView=4&amp;Qid=1711279&amp;Row=20298&amp;Col=1","No Title Assigned - #15279309411")</f>
        <v/>
      </c>
      <c r="B20306" s="0" t="s">
        <v>26969</v>
      </c>
      <c r="C20306" s="0" t="s">
        <v>26970</v>
      </c>
      <c r="D20306" s="0" t="s">
        <v>26970</v>
      </c>
      <c r="E20306" s="0" t="inlineStr">
        <is>
          <t xml:space="preserve">Mazda</t>
        </is>
      </c>
      <c r="F20306" s="0" t="s">
        <v>28</v>
      </c>
      <c r="G20306" s="0" t="s">
        <v>29</v>
      </c>
      <c r="H20306" s="5">
        <v>1197.132200</v>
      </c>
    </row>
    <row r="20307" spans="1:9">
      <c r="A20307" s="22" t="str">
        <f>HYPERLINK("https://app.vivvix.com/360/KMI/IntelliDrive/ApplUI/Pages/CreativePages/CustomReportCreativeDetail.aspx?App=23&amp;ReportView=4&amp;Qid=1711279&amp;Row=20299&amp;Col=1","No Title Assigned - #15279310011")</f>
        <v/>
      </c>
      <c r="B20307" s="0" t="s">
        <v>26971</v>
      </c>
      <c r="C20307" s="0" t="s">
        <v>26972</v>
      </c>
      <c r="D20307" s="0" t="s">
        <v>4335</v>
      </c>
      <c r="E20307" s="0" t="inlineStr">
        <is>
          <t xml:space="preserve">Mazda</t>
        </is>
      </c>
      <c r="F20307" s="0" t="s">
        <v>13</v>
      </c>
      <c r="G20307" s="0" t="s">
        <v>49</v>
      </c>
      <c r="H20307" s="5">
        <v>50.514500</v>
      </c>
    </row>
    <row r="20308" spans="1:9">
      <c r="A20308" s="22" t="str">
        <f>HYPERLINK("https://app.vivvix.com/360/KMI/IntelliDrive/ApplUI/Pages/CreativePages/CustomReportCreativeDetail.aspx?App=23&amp;ReportView=4&amp;Qid=1711279&amp;Row=20300&amp;Col=1","No Title Assigned - #15279310087")</f>
        <v/>
      </c>
      <c r="B20308" s="0" t="s">
        <v>26973</v>
      </c>
      <c r="C20308" s="0" t="s">
        <v>26974</v>
      </c>
      <c r="D20308" s="0" t="s">
        <v>26974</v>
      </c>
      <c r="E20308" s="0" t="inlineStr">
        <is>
          <t xml:space="preserve">Mazda</t>
        </is>
      </c>
      <c r="F20308" s="0" t="s">
        <v>369</v>
      </c>
      <c r="G20308" s="0" t="s">
        <v>370</v>
      </c>
      <c r="H20308" s="5">
        <v>7179.334700</v>
      </c>
    </row>
    <row r="20309" spans="1:9">
      <c r="A20309" s="22" t="str">
        <f>HYPERLINK("https://app.vivvix.com/360/KMI/IntelliDrive/ApplUI/Pages/CreativePages/CustomReportCreativeDetail.aspx?App=23&amp;ReportView=4&amp;Qid=1711279&amp;Row=20301&amp;Col=1","No Title Assigned - #15279310258")</f>
        <v/>
      </c>
      <c r="B20309" s="0" t="s">
        <v>26975</v>
      </c>
      <c r="C20309" s="0" t="s">
        <v>26976</v>
      </c>
      <c r="D20309" s="0" t="s">
        <v>22120</v>
      </c>
      <c r="E20309" s="0" t="inlineStr">
        <is>
          <t xml:space="preserve">Mazda</t>
        </is>
      </c>
      <c r="F20309" s="0" t="s">
        <v>13</v>
      </c>
      <c r="G20309" s="0" t="s">
        <v>49</v>
      </c>
      <c r="H20309" s="5">
        <v>11.262200</v>
      </c>
    </row>
    <row r="20310" spans="1:9">
      <c r="A20310" s="22" t="str">
        <f>HYPERLINK("https://app.vivvix.com/360/KMI/IntelliDrive/ApplUI/Pages/CreativePages/CustomReportCreativeDetail.aspx?App=23&amp;ReportView=4&amp;Qid=1711279&amp;Row=20302&amp;Col=1","No Title Assigned - #15279311024")</f>
        <v/>
      </c>
      <c r="B20310" s="0" t="s">
        <v>26977</v>
      </c>
      <c r="C20310" s="0" t="s">
        <v>26978</v>
      </c>
      <c r="D20310" s="0" t="s">
        <v>26978</v>
      </c>
      <c r="E20310" s="0" t="inlineStr">
        <is>
          <t xml:space="preserve">Mazda</t>
        </is>
      </c>
      <c r="F20310" s="0" t="s">
        <v>28</v>
      </c>
      <c r="G20310" s="0" t="s">
        <v>29</v>
      </c>
      <c r="H20310" s="5">
        <v>425.086600</v>
      </c>
    </row>
    <row r="20311" spans="1:9">
      <c r="A20311" s="22" t="str">
        <f>HYPERLINK("https://app.vivvix.com/360/KMI/IntelliDrive/ApplUI/Pages/CreativePages/CustomReportCreativeDetail.aspx?App=23&amp;ReportView=4&amp;Qid=1711279&amp;Row=20303&amp;Col=1","No Title Assigned - #15279311039")</f>
        <v/>
      </c>
      <c r="B20311" s="0" t="s">
        <v>26979</v>
      </c>
      <c r="C20311" s="0" t="s">
        <v>26980</v>
      </c>
      <c r="D20311" s="0" t="s">
        <v>26980</v>
      </c>
      <c r="E20311" s="0" t="inlineStr">
        <is>
          <t xml:space="preserve">Mazda</t>
        </is>
      </c>
      <c r="F20311" s="0" t="s">
        <v>28</v>
      </c>
      <c r="G20311" s="0" t="s">
        <v>29</v>
      </c>
      <c r="H20311" s="5">
        <v>697.678200</v>
      </c>
    </row>
    <row r="20312" spans="1:9">
      <c r="A20312" s="22" t="str">
        <f>HYPERLINK("https://app.vivvix.com/360/KMI/IntelliDrive/ApplUI/Pages/CreativePages/CustomReportCreativeDetail.aspx?App=23&amp;ReportView=4&amp;Qid=1711279&amp;Row=20304&amp;Col=1","No Title Assigned - #15279311520")</f>
        <v/>
      </c>
      <c r="B20312" s="0" t="s">
        <v>26981</v>
      </c>
      <c r="C20312" s="0" t="s">
        <v>26982</v>
      </c>
      <c r="D20312" s="0" t="s">
        <v>26982</v>
      </c>
      <c r="E20312" s="0" t="inlineStr">
        <is>
          <t xml:space="preserve">Mazda</t>
        </is>
      </c>
      <c r="F20312" s="0" t="s">
        <v>13</v>
      </c>
      <c r="G20312" s="0" t="s">
        <v>49</v>
      </c>
      <c r="H20312" s="5">
        <v>11.262200</v>
      </c>
    </row>
    <row r="20313" spans="1:9">
      <c r="A20313" s="22" t="str">
        <f>HYPERLINK("https://app.vivvix.com/360/KMI/IntelliDrive/ApplUI/Pages/CreativePages/CustomReportCreativeDetail.aspx?App=23&amp;ReportView=4&amp;Qid=1711279&amp;Row=20305&amp;Col=1","No Title Assigned - #15279311551")</f>
        <v/>
      </c>
      <c r="B20313" s="0" t="s">
        <v>26983</v>
      </c>
      <c r="C20313" s="0" t="s">
        <v>26984</v>
      </c>
      <c r="D20313" s="0" t="s">
        <v>10964</v>
      </c>
      <c r="E20313" s="0" t="inlineStr">
        <is>
          <t xml:space="preserve">Mazda</t>
        </is>
      </c>
      <c r="F20313" s="0" t="s">
        <v>13</v>
      </c>
      <c r="G20313" s="0" t="s">
        <v>49</v>
      </c>
      <c r="H20313" s="5">
        <v>1964.965800</v>
      </c>
    </row>
    <row r="20314" spans="1:9">
      <c r="A20314" s="22" t="str">
        <f>HYPERLINK("https://app.vivvix.com/360/KMI/IntelliDrive/ApplUI/Pages/CreativePages/CustomReportCreativeDetail.aspx?App=23&amp;ReportView=4&amp;Qid=1711279&amp;Row=20306&amp;Col=1","No Title Assigned - #15279311684")</f>
        <v/>
      </c>
      <c r="B20314" s="0" t="s">
        <v>26985</v>
      </c>
      <c r="C20314" s="0" t="s">
        <v>26986</v>
      </c>
      <c r="D20314" s="0" t="s">
        <v>26986</v>
      </c>
      <c r="E20314" s="0" t="inlineStr">
        <is>
          <t xml:space="preserve">Mazda</t>
        </is>
      </c>
      <c r="F20314" s="0" t="s">
        <v>28</v>
      </c>
      <c r="G20314" s="0" t="s">
        <v>29</v>
      </c>
      <c r="H20314" s="5">
        <v>974.630700</v>
      </c>
    </row>
    <row r="20315" spans="1:9">
      <c r="A20315" s="22" t="str">
        <f>HYPERLINK("https://app.vivvix.com/360/KMI/IntelliDrive/ApplUI/Pages/CreativePages/CustomReportCreativeDetail.aspx?App=23&amp;ReportView=4&amp;Qid=1711279&amp;Row=20307&amp;Col=1","No Title Assigned - #15279311953")</f>
        <v/>
      </c>
      <c r="B20315" s="0" t="s">
        <v>26987</v>
      </c>
      <c r="C20315" s="0" t="s">
        <v>26988</v>
      </c>
      <c r="D20315" s="0" t="s">
        <v>26988</v>
      </c>
      <c r="E20315" s="0" t="inlineStr">
        <is>
          <t xml:space="preserve">Mazda</t>
        </is>
      </c>
      <c r="F20315" s="0" t="s">
        <v>28</v>
      </c>
      <c r="G20315" s="0" t="s">
        <v>29</v>
      </c>
      <c r="H20315" s="5">
        <v>113.909100</v>
      </c>
    </row>
    <row r="20316" spans="1:9">
      <c r="A20316" s="22" t="str">
        <f>HYPERLINK("https://app.vivvix.com/360/KMI/IntelliDrive/ApplUI/Pages/CreativePages/CustomReportCreativeDetail.aspx?App=23&amp;ReportView=4&amp;Qid=1711279&amp;Row=20308&amp;Col=1","No Title Assigned - #15279313052")</f>
        <v/>
      </c>
      <c r="B20316" s="0" t="s">
        <v>26989</v>
      </c>
      <c r="C20316" s="0" t="s">
        <v>26990</v>
      </c>
      <c r="D20316" s="0" t="s">
        <v>26990</v>
      </c>
      <c r="E20316" s="0" t="inlineStr">
        <is>
          <t xml:space="preserve">Mazda</t>
        </is>
      </c>
      <c r="F20316" s="0" t="s">
        <v>28</v>
      </c>
      <c r="G20316" s="0" t="s">
        <v>29</v>
      </c>
      <c r="H20316" s="5">
        <v>286.260000</v>
      </c>
    </row>
    <row r="20317" spans="1:9">
      <c r="A20317" s="22" t="str">
        <f>HYPERLINK("https://app.vivvix.com/360/KMI/IntelliDrive/ApplUI/Pages/CreativePages/CustomReportCreativeDetail.aspx?App=23&amp;ReportView=4&amp;Qid=1711279&amp;Row=20309&amp;Col=1","No Title Assigned - #15279313118")</f>
        <v/>
      </c>
      <c r="B20317" s="0" t="s">
        <v>26991</v>
      </c>
      <c r="C20317" s="0" t="s">
        <v>26992</v>
      </c>
      <c r="D20317" s="0" t="s">
        <v>26992</v>
      </c>
      <c r="E20317" s="0" t="inlineStr">
        <is>
          <t xml:space="preserve">Mazda</t>
        </is>
      </c>
      <c r="F20317" s="0" t="s">
        <v>28</v>
      </c>
      <c r="G20317" s="0" t="s">
        <v>29</v>
      </c>
      <c r="H20317" s="5">
        <v>14898.260700</v>
      </c>
    </row>
    <row r="20318" spans="1:9">
      <c r="A20318" s="22" t="str">
        <f>HYPERLINK("https://app.vivvix.com/360/KMI/IntelliDrive/ApplUI/Pages/CreativePages/CustomReportCreativeDetail.aspx?App=23&amp;ReportView=4&amp;Qid=1711279&amp;Row=20310&amp;Col=1","No Title Assigned - #15279313123")</f>
        <v/>
      </c>
      <c r="B20318" s="0" t="s">
        <v>26993</v>
      </c>
      <c r="C20318" s="0" t="s">
        <v>26994</v>
      </c>
      <c r="D20318" s="0" t="s">
        <v>26994</v>
      </c>
      <c r="E20318" s="0" t="inlineStr">
        <is>
          <t xml:space="preserve">Mazda</t>
        </is>
      </c>
      <c r="F20318" s="0" t="s">
        <v>13</v>
      </c>
      <c r="G20318" s="0" t="s">
        <v>49</v>
      </c>
      <c r="H20318" s="5">
        <v>476.359700</v>
      </c>
    </row>
    <row r="20319" spans="1:9">
      <c r="A20319" s="22" t="str">
        <f>HYPERLINK("https://app.vivvix.com/360/KMI/IntelliDrive/ApplUI/Pages/CreativePages/CustomReportCreativeDetail.aspx?App=23&amp;ReportView=4&amp;Qid=1711279&amp;Row=20311&amp;Col=1","No Title Assigned - #15279313336")</f>
        <v/>
      </c>
      <c r="B20319" s="0" t="s">
        <v>26995</v>
      </c>
      <c r="C20319" s="0" t="s">
        <v>26996</v>
      </c>
      <c r="D20319" s="0" t="s">
        <v>5013</v>
      </c>
      <c r="E20319" s="0" t="inlineStr">
        <is>
          <t xml:space="preserve">Mazda</t>
        </is>
      </c>
      <c r="F20319" s="0" t="s">
        <v>13</v>
      </c>
      <c r="G20319" s="0" t="s">
        <v>49</v>
      </c>
      <c r="H20319" s="5">
        <v>1091.529900</v>
      </c>
    </row>
    <row r="20320" spans="1:9">
      <c r="A20320" s="22" t="str">
        <f>HYPERLINK("https://app.vivvix.com/360/KMI/IntelliDrive/ApplUI/Pages/CreativePages/CustomReportCreativeDetail.aspx?App=23&amp;ReportView=4&amp;Qid=1711279&amp;Row=20312&amp;Col=1","No Title Assigned - #15279313355")</f>
        <v/>
      </c>
      <c r="B20320" s="0" t="s">
        <v>26997</v>
      </c>
      <c r="C20320" s="0" t="s">
        <v>26998</v>
      </c>
      <c r="D20320" s="0" t="s">
        <v>26998</v>
      </c>
      <c r="E20320" s="0" t="inlineStr">
        <is>
          <t xml:space="preserve">Mazda</t>
        </is>
      </c>
      <c r="F20320" s="0" t="s">
        <v>28</v>
      </c>
      <c r="G20320" s="0" t="s">
        <v>29</v>
      </c>
      <c r="H20320" s="5">
        <v>115.256600</v>
      </c>
    </row>
    <row r="20321" spans="1:9">
      <c r="A20321" s="22" t="str">
        <f>HYPERLINK("https://app.vivvix.com/360/KMI/IntelliDrive/ApplUI/Pages/CreativePages/CustomReportCreativeDetail.aspx?App=23&amp;ReportView=4&amp;Qid=1711279&amp;Row=20313&amp;Col=1","No Title Assigned - #15279313599")</f>
        <v/>
      </c>
      <c r="B20321" s="0" t="s">
        <v>26999</v>
      </c>
      <c r="C20321" s="0" t="s">
        <v>27000</v>
      </c>
      <c r="D20321" s="0" t="s">
        <v>27000</v>
      </c>
      <c r="E20321" s="0" t="inlineStr">
        <is>
          <t xml:space="preserve">Mazda</t>
        </is>
      </c>
      <c r="F20321" s="0" t="s">
        <v>28</v>
      </c>
      <c r="G20321" s="0" t="s">
        <v>29</v>
      </c>
      <c r="H20321" s="5">
        <v>1992.735600</v>
      </c>
    </row>
    <row r="20322" spans="1:9">
      <c r="A20322" s="22" t="str">
        <f>HYPERLINK("https://app.vivvix.com/360/KMI/IntelliDrive/ApplUI/Pages/CreativePages/CustomReportCreativeDetail.aspx?App=23&amp;ReportView=4&amp;Qid=1711279&amp;Row=20314&amp;Col=1","No Title Assigned - #15279313599")</f>
        <v/>
      </c>
      <c r="B20322" s="0" t="s">
        <v>26999</v>
      </c>
      <c r="E20322" s="0" t="inlineStr">
        <is>
          <t xml:space="preserve">Mazda</t>
        </is>
      </c>
      <c r="F20322" s="0" t="s">
        <v>28</v>
      </c>
      <c r="G20322" s="0" t="s">
        <v>29</v>
      </c>
      <c r="H20322" s="5">
        <v>416.877600</v>
      </c>
    </row>
    <row r="20323" spans="1:9">
      <c r="A20323" s="22" t="str">
        <f>HYPERLINK("https://app.vivvix.com/360/KMI/IntelliDrive/ApplUI/Pages/CreativePages/CustomReportCreativeDetail.aspx?App=23&amp;ReportView=4&amp;Qid=1711279&amp;Row=20315&amp;Col=1","No Title Assigned - #15279313632")</f>
        <v/>
      </c>
      <c r="B20323" s="0" t="s">
        <v>27001</v>
      </c>
      <c r="E20323" s="0" t="inlineStr">
        <is>
          <t xml:space="preserve">Mazda</t>
        </is>
      </c>
      <c r="F20323" s="0" t="s">
        <v>28</v>
      </c>
      <c r="G20323" s="0" t="s">
        <v>29</v>
      </c>
      <c r="H20323" s="5">
        <v>5175.485300</v>
      </c>
    </row>
    <row r="20324" spans="1:9">
      <c r="A20324" s="22" t="str">
        <f>HYPERLINK("https://app.vivvix.com/360/KMI/IntelliDrive/ApplUI/Pages/CreativePages/CustomReportCreativeDetail.aspx?App=23&amp;ReportView=4&amp;Qid=1711279&amp;Row=20316&amp;Col=1","No Title Assigned - #15279313632")</f>
        <v/>
      </c>
      <c r="B20324" s="0" t="s">
        <v>27001</v>
      </c>
      <c r="C20324" s="0" t="s">
        <v>27002</v>
      </c>
      <c r="D20324" s="0" t="s">
        <v>27002</v>
      </c>
      <c r="E20324" s="0" t="inlineStr">
        <is>
          <t xml:space="preserve">Mazda</t>
        </is>
      </c>
      <c r="F20324" s="0" t="s">
        <v>28</v>
      </c>
      <c r="G20324" s="0" t="s">
        <v>29</v>
      </c>
      <c r="H20324" s="5">
        <v>48076.456300</v>
      </c>
    </row>
    <row r="20325" spans="1:9">
      <c r="A20325" s="22" t="str">
        <f>HYPERLINK("https://app.vivvix.com/360/KMI/IntelliDrive/ApplUI/Pages/CreativePages/CustomReportCreativeDetail.aspx?App=23&amp;ReportView=4&amp;Qid=1711279&amp;Row=20317&amp;Col=1","No Title Assigned - #15279313709")</f>
        <v/>
      </c>
      <c r="B20325" s="0" t="s">
        <v>27003</v>
      </c>
      <c r="C20325" s="0" t="s">
        <v>27004</v>
      </c>
      <c r="D20325" s="0" t="s">
        <v>27004</v>
      </c>
      <c r="E20325" s="0" t="inlineStr">
        <is>
          <t xml:space="preserve">Mazda</t>
        </is>
      </c>
      <c r="F20325" s="0" t="s">
        <v>28</v>
      </c>
      <c r="G20325" s="0" t="s">
        <v>29</v>
      </c>
      <c r="H20325" s="5">
        <v>1238.051900</v>
      </c>
    </row>
    <row r="20326" spans="1:9">
      <c r="A20326" s="22" t="str">
        <f>HYPERLINK("https://app.vivvix.com/360/KMI/IntelliDrive/ApplUI/Pages/CreativePages/CustomReportCreativeDetail.aspx?App=23&amp;ReportView=4&amp;Qid=1711279&amp;Row=20318&amp;Col=1","No Title Assigned - #15279313802")</f>
        <v/>
      </c>
      <c r="B20326" s="0" t="s">
        <v>27005</v>
      </c>
      <c r="C20326" s="0" t="s">
        <v>27006</v>
      </c>
      <c r="D20326" s="0" t="s">
        <v>10311</v>
      </c>
      <c r="E20326" s="0" t="inlineStr">
        <is>
          <t xml:space="preserve">Mazda</t>
        </is>
      </c>
      <c r="F20326" s="0" t="s">
        <v>13</v>
      </c>
      <c r="G20326" s="0" t="s">
        <v>49</v>
      </c>
      <c r="H20326" s="5">
        <v>227.403400</v>
      </c>
    </row>
    <row r="20327" spans="1:9">
      <c r="A20327" s="22" t="str">
        <f>HYPERLINK("https://app.vivvix.com/360/KMI/IntelliDrive/ApplUI/Pages/CreativePages/CustomReportCreativeDetail.aspx?App=23&amp;ReportView=4&amp;Qid=1711279&amp;Row=20319&amp;Col=1","No Title Assigned - #15279313874")</f>
        <v/>
      </c>
      <c r="B20327" s="0" t="s">
        <v>27007</v>
      </c>
      <c r="E20327" s="0" t="inlineStr">
        <is>
          <t xml:space="preserve">Mazda</t>
        </is>
      </c>
      <c r="F20327" s="0" t="s">
        <v>28</v>
      </c>
      <c r="G20327" s="0" t="s">
        <v>29</v>
      </c>
      <c r="H20327" s="5">
        <v>124504.477700</v>
      </c>
    </row>
    <row r="20328" spans="1:9">
      <c r="A20328" s="22" t="str">
        <f>HYPERLINK("https://app.vivvix.com/360/KMI/IntelliDrive/ApplUI/Pages/CreativePages/CustomReportCreativeDetail.aspx?App=23&amp;ReportView=4&amp;Qid=1711279&amp;Row=20320&amp;Col=1","No Title Assigned - #15279313874")</f>
        <v/>
      </c>
      <c r="B20328" s="0" t="s">
        <v>27007</v>
      </c>
      <c r="C20328" s="0" t="s">
        <v>27008</v>
      </c>
      <c r="D20328" s="0" t="s">
        <v>27008</v>
      </c>
      <c r="E20328" s="0" t="inlineStr">
        <is>
          <t xml:space="preserve">Mazda</t>
        </is>
      </c>
      <c r="F20328" s="0" t="s">
        <v>28</v>
      </c>
      <c r="G20328" s="0" t="s">
        <v>29</v>
      </c>
      <c r="H20328" s="5">
        <v>77721.875000</v>
      </c>
    </row>
    <row r="20329" spans="1:9">
      <c r="A20329" s="22" t="str">
        <f>HYPERLINK("https://app.vivvix.com/360/KMI/IntelliDrive/ApplUI/Pages/CreativePages/CustomReportCreativeDetail.aspx?App=23&amp;ReportView=4&amp;Qid=1711279&amp;Row=20321&amp;Col=1","No Title Assigned - #15279314190")</f>
        <v/>
      </c>
      <c r="B20329" s="0" t="s">
        <v>27009</v>
      </c>
      <c r="C20329" s="0" t="s">
        <v>27010</v>
      </c>
      <c r="D20329" s="0" t="s">
        <v>27010</v>
      </c>
      <c r="E20329" s="0" t="inlineStr">
        <is>
          <t xml:space="preserve">Mazda</t>
        </is>
      </c>
      <c r="F20329" s="0" t="s">
        <v>28</v>
      </c>
      <c r="G20329" s="0" t="s">
        <v>29</v>
      </c>
      <c r="H20329" s="5">
        <v>208.167500</v>
      </c>
    </row>
    <row r="20330" spans="1:9">
      <c r="A20330" s="22" t="str">
        <f>HYPERLINK("https://app.vivvix.com/360/KMI/IntelliDrive/ApplUI/Pages/CreativePages/CustomReportCreativeDetail.aspx?App=23&amp;ReportView=4&amp;Qid=1711279&amp;Row=20322&amp;Col=1","No Title Assigned - #15279314404")</f>
        <v/>
      </c>
      <c r="B20330" s="0" t="s">
        <v>27011</v>
      </c>
      <c r="E20330" s="0" t="inlineStr">
        <is>
          <t xml:space="preserve">Mazda</t>
        </is>
      </c>
      <c r="F20330" s="0" t="inlineStr">
        <is>
          <t xml:space="preserve">Mazda</t>
        </is>
      </c>
      <c r="G20330" s="0" t="s">
        <v>171</v>
      </c>
      <c r="H20330" s="5">
        <v>110.274100</v>
      </c>
    </row>
    <row r="20331" spans="1:9">
      <c r="A20331" s="22" t="str">
        <f>HYPERLINK("https://app.vivvix.com/360/KMI/IntelliDrive/ApplUI/Pages/CreativePages/CustomReportCreativeDetail.aspx?App=23&amp;ReportView=4&amp;Qid=1711279&amp;Row=20323&amp;Col=1","No Title Assigned - #15279314440")</f>
        <v/>
      </c>
      <c r="B20331" s="0" t="s">
        <v>27012</v>
      </c>
      <c r="E20331" s="0" t="inlineStr">
        <is>
          <t xml:space="preserve">Mazda</t>
        </is>
      </c>
      <c r="F20331" s="0" t="inlineStr">
        <is>
          <t xml:space="preserve">Mazda</t>
        </is>
      </c>
      <c r="G20331" s="0" t="s">
        <v>171</v>
      </c>
      <c r="H20331" s="5">
        <v>315.648100</v>
      </c>
    </row>
    <row r="20332" spans="1:9">
      <c r="A20332" s="22" t="str">
        <f>HYPERLINK("https://app.vivvix.com/360/KMI/IntelliDrive/ApplUI/Pages/CreativePages/CustomReportCreativeDetail.aspx?App=23&amp;ReportView=4&amp;Qid=1711279&amp;Row=20324&amp;Col=1","No Title Assigned - #15279314523")</f>
        <v/>
      </c>
      <c r="B20332" s="0" t="s">
        <v>27013</v>
      </c>
      <c r="E20332" s="0" t="inlineStr">
        <is>
          <t xml:space="preserve">Mazda</t>
        </is>
      </c>
      <c r="F20332" s="0" t="inlineStr">
        <is>
          <t xml:space="preserve">Mazda</t>
        </is>
      </c>
      <c r="G20332" s="0" t="s">
        <v>171</v>
      </c>
      <c r="H20332" s="5">
        <v>85.007400</v>
      </c>
    </row>
    <row r="20333" spans="1:9">
      <c r="A20333" s="22" t="str">
        <f>HYPERLINK("https://app.vivvix.com/360/KMI/IntelliDrive/ApplUI/Pages/CreativePages/CustomReportCreativeDetail.aspx?App=23&amp;ReportView=4&amp;Qid=1711279&amp;Row=20325&amp;Col=1","No Title Assigned - #15279314523")</f>
        <v/>
      </c>
      <c r="B20333" s="0" t="s">
        <v>27013</v>
      </c>
      <c r="C20333" s="0" t="s">
        <v>27014</v>
      </c>
      <c r="D20333" s="0" t="s">
        <v>27014</v>
      </c>
      <c r="E20333" s="0" t="inlineStr">
        <is>
          <t xml:space="preserve">Mazda</t>
        </is>
      </c>
      <c r="F20333" s="0" t="inlineStr">
        <is>
          <t xml:space="preserve">Mazda</t>
        </is>
      </c>
      <c r="G20333" s="0" t="s">
        <v>171</v>
      </c>
      <c r="H20333" s="5">
        <v>3.716400</v>
      </c>
    </row>
    <row r="20334" spans="1:9">
      <c r="A20334" s="22" t="str">
        <f>HYPERLINK("https://app.vivvix.com/360/KMI/IntelliDrive/ApplUI/Pages/CreativePages/CustomReportCreativeDetail.aspx?App=23&amp;ReportView=4&amp;Qid=1711279&amp;Row=20326&amp;Col=1","No Title Assigned - #15279314676")</f>
        <v/>
      </c>
      <c r="B20334" s="0" t="s">
        <v>27015</v>
      </c>
      <c r="E20334" s="0" t="inlineStr">
        <is>
          <t xml:space="preserve">Mazda</t>
        </is>
      </c>
      <c r="F20334" s="0" t="inlineStr">
        <is>
          <t xml:space="preserve">Mazda</t>
        </is>
      </c>
      <c r="G20334" s="0" t="s">
        <v>171</v>
      </c>
      <c r="H20334" s="5">
        <v>231.643000</v>
      </c>
    </row>
    <row r="20335" spans="1:9">
      <c r="A20335" s="22" t="str">
        <f>HYPERLINK("https://app.vivvix.com/360/KMI/IntelliDrive/ApplUI/Pages/CreativePages/CustomReportCreativeDetail.aspx?App=23&amp;ReportView=4&amp;Qid=1711279&amp;Row=20327&amp;Col=1","No Title Assigned - #15279314905")</f>
        <v/>
      </c>
      <c r="B20335" s="0" t="s">
        <v>27016</v>
      </c>
      <c r="E20335" s="0" t="inlineStr">
        <is>
          <t xml:space="preserve">Mazda</t>
        </is>
      </c>
      <c r="F20335" s="0" t="inlineStr">
        <is>
          <t xml:space="preserve">Mazda</t>
        </is>
      </c>
      <c r="G20335" s="0" t="s">
        <v>171</v>
      </c>
      <c r="H20335" s="5">
        <v>43.759800</v>
      </c>
    </row>
    <row r="20336" spans="1:9">
      <c r="A20336" s="22" t="str">
        <f>HYPERLINK("https://app.vivvix.com/360/KMI/IntelliDrive/ApplUI/Pages/CreativePages/CustomReportCreativeDetail.aspx?App=23&amp;ReportView=4&amp;Qid=1711279&amp;Row=20328&amp;Col=1","No Title Assigned - #15279315141")</f>
        <v/>
      </c>
      <c r="B20336" s="0" t="s">
        <v>27017</v>
      </c>
      <c r="E20336" s="0" t="inlineStr">
        <is>
          <t xml:space="preserve">Mazda</t>
        </is>
      </c>
      <c r="F20336" s="0" t="inlineStr">
        <is>
          <t xml:space="preserve">Mazda</t>
        </is>
      </c>
      <c r="G20336" s="0" t="s">
        <v>171</v>
      </c>
      <c r="H20336" s="5">
        <v>65.832200</v>
      </c>
    </row>
    <row r="20337" spans="1:9">
      <c r="A20337" s="22" t="str">
        <f>HYPERLINK("https://app.vivvix.com/360/KMI/IntelliDrive/ApplUI/Pages/CreativePages/CustomReportCreativeDetail.aspx?App=23&amp;ReportView=4&amp;Qid=1711279&amp;Row=20329&amp;Col=1","No Title Assigned - #15279317387")</f>
        <v/>
      </c>
      <c r="B20337" s="0" t="s">
        <v>27018</v>
      </c>
      <c r="C20337" s="0" t="s">
        <v>27019</v>
      </c>
      <c r="D20337" s="0" t="s">
        <v>27019</v>
      </c>
      <c r="E20337" s="0" t="inlineStr">
        <is>
          <t xml:space="preserve">Mazda</t>
        </is>
      </c>
      <c r="F20337" s="0" t="inlineStr">
        <is>
          <t xml:space="preserve">Mazda</t>
        </is>
      </c>
      <c r="G20337" s="0" t="s">
        <v>171</v>
      </c>
      <c r="H20337" s="5">
        <v>1200.250400</v>
      </c>
    </row>
    <row r="20338" spans="1:9">
      <c r="A20338" s="22" t="str">
        <f>HYPERLINK("https://app.vivvix.com/360/KMI/IntelliDrive/ApplUI/Pages/CreativePages/CustomReportCreativeDetail.aspx?App=23&amp;ReportView=4&amp;Qid=1711279&amp;Row=20330&amp;Col=1","No Title Assigned - #15279317724")</f>
        <v/>
      </c>
      <c r="B20338" s="0" t="s">
        <v>27020</v>
      </c>
      <c r="E20338" s="0" t="inlineStr">
        <is>
          <t xml:space="preserve">Mazda</t>
        </is>
      </c>
      <c r="F20338" s="0" t="inlineStr">
        <is>
          <t xml:space="preserve">Mazda</t>
        </is>
      </c>
      <c r="G20338" s="0" t="s">
        <v>171</v>
      </c>
      <c r="H20338" s="5">
        <v>286.287400</v>
      </c>
    </row>
    <row r="20339" spans="1:9">
      <c r="A20339" s="22" t="str">
        <f>HYPERLINK("https://app.vivvix.com/360/KMI/IntelliDrive/ApplUI/Pages/CreativePages/CustomReportCreativeDetail.aspx?App=23&amp;ReportView=4&amp;Qid=1711279&amp;Row=20331&amp;Col=1","No Title Assigned - #15279317875")</f>
        <v/>
      </c>
      <c r="B20339" s="0" t="s">
        <v>27021</v>
      </c>
      <c r="C20339" s="0" t="s">
        <v>27022</v>
      </c>
      <c r="D20339" s="0" t="s">
        <v>27022</v>
      </c>
      <c r="E20339" s="0" t="inlineStr">
        <is>
          <t xml:space="preserve">Mazda</t>
        </is>
      </c>
      <c r="F20339" s="0" t="inlineStr">
        <is>
          <t xml:space="preserve">Mazda</t>
        </is>
      </c>
      <c r="G20339" s="0" t="s">
        <v>171</v>
      </c>
      <c r="H20339" s="5">
        <v>3169.839500</v>
      </c>
    </row>
    <row r="20340" spans="1:9">
      <c r="A20340" s="22" t="str">
        <f>HYPERLINK("https://app.vivvix.com/360/KMI/IntelliDrive/ApplUI/Pages/CreativePages/CustomReportCreativeDetail.aspx?App=23&amp;ReportView=4&amp;Qid=1711279&amp;Row=20332&amp;Col=1","No Title Assigned - #15279317875")</f>
        <v/>
      </c>
      <c r="B20340" s="0" t="s">
        <v>27021</v>
      </c>
      <c r="E20340" s="0" t="inlineStr">
        <is>
          <t xml:space="preserve">Mazda</t>
        </is>
      </c>
      <c r="F20340" s="0" t="inlineStr">
        <is>
          <t xml:space="preserve">Mazda</t>
        </is>
      </c>
      <c r="G20340" s="0" t="s">
        <v>171</v>
      </c>
      <c r="H20340" s="5">
        <v>8.559600</v>
      </c>
    </row>
    <row r="20341" spans="1:9">
      <c r="A20341" s="22" t="str">
        <f>HYPERLINK("https://app.vivvix.com/360/KMI/IntelliDrive/ApplUI/Pages/CreativePages/CustomReportCreativeDetail.aspx?App=23&amp;ReportView=4&amp;Qid=1711279&amp;Row=20333&amp;Col=1","No Title Assigned - #15279318923")</f>
        <v/>
      </c>
      <c r="B20341" s="0" t="s">
        <v>27023</v>
      </c>
      <c r="E20341" s="0" t="inlineStr">
        <is>
          <t xml:space="preserve">Mazda</t>
        </is>
      </c>
      <c r="F20341" s="0" t="inlineStr">
        <is>
          <t xml:space="preserve">Mazda</t>
        </is>
      </c>
      <c r="G20341" s="0" t="s">
        <v>171</v>
      </c>
      <c r="H20341" s="5">
        <v>122.859100</v>
      </c>
    </row>
    <row r="20342" spans="1:9">
      <c r="A20342" s="22" t="str">
        <f>HYPERLINK("https://app.vivvix.com/360/KMI/IntelliDrive/ApplUI/Pages/CreativePages/CustomReportCreativeDetail.aspx?App=23&amp;ReportView=4&amp;Qid=1711279&amp;Row=20334&amp;Col=1","No Title Assigned - #15279319388")</f>
        <v/>
      </c>
      <c r="B20342" s="0" t="s">
        <v>27024</v>
      </c>
      <c r="C20342" s="0" t="s">
        <v>27025</v>
      </c>
      <c r="D20342" s="0" t="s">
        <v>27025</v>
      </c>
      <c r="E20342" s="0" t="inlineStr">
        <is>
          <t xml:space="preserve">Mazda</t>
        </is>
      </c>
      <c r="F20342" s="0" t="inlineStr">
        <is>
          <t xml:space="preserve">Mazda</t>
        </is>
      </c>
      <c r="G20342" s="0" t="s">
        <v>171</v>
      </c>
      <c r="H20342" s="5">
        <v>309.961100</v>
      </c>
    </row>
    <row r="20343" spans="1:9">
      <c r="A20343" s="22" t="str">
        <f>HYPERLINK("https://app.vivvix.com/360/KMI/IntelliDrive/ApplUI/Pages/CreativePages/CustomReportCreativeDetail.aspx?App=23&amp;ReportView=4&amp;Qid=1711279&amp;Row=20335&amp;Col=1","No Title Assigned - #15279319388")</f>
        <v/>
      </c>
      <c r="B20343" s="0" t="s">
        <v>27024</v>
      </c>
      <c r="E20343" s="0" t="inlineStr">
        <is>
          <t xml:space="preserve">Mazda</t>
        </is>
      </c>
      <c r="F20343" s="0" t="inlineStr">
        <is>
          <t xml:space="preserve">Mazda</t>
        </is>
      </c>
      <c r="G20343" s="0" t="s">
        <v>171</v>
      </c>
      <c r="H20343" s="5">
        <v>35.469400</v>
      </c>
    </row>
    <row r="20344" spans="1:9">
      <c r="A20344" s="22" t="str">
        <f>HYPERLINK("https://app.vivvix.com/360/KMI/IntelliDrive/ApplUI/Pages/CreativePages/CustomReportCreativeDetail.aspx?App=23&amp;ReportView=4&amp;Qid=1711279&amp;Row=20336&amp;Col=1","No Title Assigned - #15279320577")</f>
        <v/>
      </c>
      <c r="B20344" s="0" t="s">
        <v>27026</v>
      </c>
      <c r="E20344" s="0" t="inlineStr">
        <is>
          <t xml:space="preserve">Mazda</t>
        </is>
      </c>
      <c r="F20344" s="0" t="inlineStr">
        <is>
          <t xml:space="preserve">Mazda</t>
        </is>
      </c>
      <c r="G20344" s="0" t="s">
        <v>171</v>
      </c>
      <c r="H20344" s="5">
        <v>329.980200</v>
      </c>
    </row>
    <row r="20345" spans="1:9">
      <c r="A20345" s="22" t="str">
        <f>HYPERLINK("https://app.vivvix.com/360/KMI/IntelliDrive/ApplUI/Pages/CreativePages/CustomReportCreativeDetail.aspx?App=23&amp;ReportView=4&amp;Qid=1711279&amp;Row=20337&amp;Col=1","No Title Assigned - #15279320622")</f>
        <v/>
      </c>
      <c r="B20345" s="0" t="s">
        <v>27027</v>
      </c>
      <c r="C20345" s="0" t="s">
        <v>27028</v>
      </c>
      <c r="D20345" s="0" t="s">
        <v>27028</v>
      </c>
      <c r="E20345" s="0" t="inlineStr">
        <is>
          <t xml:space="preserve">Mazda</t>
        </is>
      </c>
      <c r="F20345" s="0" t="s">
        <v>28</v>
      </c>
      <c r="G20345" s="0" t="s">
        <v>29</v>
      </c>
      <c r="H20345" s="5">
        <v>108.458800</v>
      </c>
    </row>
    <row r="20346" spans="1:9">
      <c r="A20346" s="22" t="str">
        <f>HYPERLINK("https://app.vivvix.com/360/KMI/IntelliDrive/ApplUI/Pages/CreativePages/CustomReportCreativeDetail.aspx?App=23&amp;ReportView=4&amp;Qid=1711279&amp;Row=20338&amp;Col=1","No Title Assigned - #15279320718")</f>
        <v/>
      </c>
      <c r="B20346" s="0" t="s">
        <v>27029</v>
      </c>
      <c r="C20346" s="0" t="s">
        <v>27030</v>
      </c>
      <c r="D20346" s="0" t="s">
        <v>27030</v>
      </c>
      <c r="E20346" s="0" t="inlineStr">
        <is>
          <t xml:space="preserve">Mazda</t>
        </is>
      </c>
      <c r="F20346" s="0" t="s">
        <v>28</v>
      </c>
      <c r="G20346" s="0" t="s">
        <v>29</v>
      </c>
      <c r="H20346" s="5">
        <v>74296.460200</v>
      </c>
    </row>
    <row r="20347" spans="1:9">
      <c r="A20347" s="22" t="str">
        <f>HYPERLINK("https://app.vivvix.com/360/KMI/IntelliDrive/ApplUI/Pages/CreativePages/CustomReportCreativeDetail.aspx?App=23&amp;ReportView=4&amp;Qid=1711279&amp;Row=20339&amp;Col=1","No Title Assigned - #15279320718")</f>
        <v/>
      </c>
      <c r="B20347" s="0" t="s">
        <v>27029</v>
      </c>
      <c r="E20347" s="0" t="inlineStr">
        <is>
          <t xml:space="preserve">Mazda</t>
        </is>
      </c>
      <c r="F20347" s="0" t="s">
        <v>28</v>
      </c>
      <c r="G20347" s="0" t="s">
        <v>29</v>
      </c>
      <c r="H20347" s="5">
        <v>14844.659200</v>
      </c>
    </row>
    <row r="20348" spans="1:9">
      <c r="A20348" s="22" t="str">
        <f>HYPERLINK("https://app.vivvix.com/360/KMI/IntelliDrive/ApplUI/Pages/CreativePages/CustomReportCreativeDetail.aspx?App=23&amp;ReportView=4&amp;Qid=1711279&amp;Row=20340&amp;Col=1","No Title Assigned - #15279320899")</f>
        <v/>
      </c>
      <c r="B20348" s="0" t="s">
        <v>27031</v>
      </c>
      <c r="E20348" s="0" t="inlineStr">
        <is>
          <t xml:space="preserve">Mazda</t>
        </is>
      </c>
      <c r="F20348" s="0" t="inlineStr">
        <is>
          <t xml:space="preserve">Mazda</t>
        </is>
      </c>
      <c r="G20348" s="0" t="s">
        <v>171</v>
      </c>
      <c r="H20348" s="5">
        <v>29.858700</v>
      </c>
    </row>
    <row r="20349" spans="1:9">
      <c r="A20349" s="22" t="str">
        <f>HYPERLINK("https://app.vivvix.com/360/KMI/IntelliDrive/ApplUI/Pages/CreativePages/CustomReportCreativeDetail.aspx?App=23&amp;ReportView=4&amp;Qid=1711279&amp;Row=20341&amp;Col=1","No Title Assigned - #15279321059")</f>
        <v/>
      </c>
      <c r="B20349" s="0" t="s">
        <v>27032</v>
      </c>
      <c r="E20349" s="0" t="inlineStr">
        <is>
          <t xml:space="preserve">Mazda</t>
        </is>
      </c>
      <c r="F20349" s="0" t="inlineStr">
        <is>
          <t xml:space="preserve">Mazda</t>
        </is>
      </c>
      <c r="G20349" s="0" t="s">
        <v>171</v>
      </c>
      <c r="H20349" s="5">
        <v>3469.251500</v>
      </c>
    </row>
    <row r="20350" spans="1:9">
      <c r="A20350" s="22" t="str">
        <f>HYPERLINK("https://app.vivvix.com/360/KMI/IntelliDrive/ApplUI/Pages/CreativePages/CustomReportCreativeDetail.aspx?App=23&amp;ReportView=4&amp;Qid=1711279&amp;Row=20342&amp;Col=1","No Title Assigned - #15279321112")</f>
        <v/>
      </c>
      <c r="B20350" s="0" t="s">
        <v>27033</v>
      </c>
      <c r="E20350" s="0" t="inlineStr">
        <is>
          <t xml:space="preserve">Mazda</t>
        </is>
      </c>
      <c r="F20350" s="0" t="inlineStr">
        <is>
          <t xml:space="preserve">Mazda</t>
        </is>
      </c>
      <c r="G20350" s="0" t="s">
        <v>171</v>
      </c>
      <c r="H20350" s="5">
        <v>8912.677500</v>
      </c>
    </row>
    <row r="20351" spans="1:9">
      <c r="A20351" s="22" t="str">
        <f>HYPERLINK("https://app.vivvix.com/360/KMI/IntelliDrive/ApplUI/Pages/CreativePages/CustomReportCreativeDetail.aspx?App=23&amp;ReportView=4&amp;Qid=1711279&amp;Row=20343&amp;Col=1","No Title Assigned - #15279322960")</f>
        <v/>
      </c>
      <c r="B20351" s="0" t="s">
        <v>27034</v>
      </c>
      <c r="C20351" s="0" t="s">
        <v>27035</v>
      </c>
      <c r="D20351" s="0" t="s">
        <v>27035</v>
      </c>
      <c r="E20351" s="0" t="inlineStr">
        <is>
          <t xml:space="preserve">Mazda</t>
        </is>
      </c>
      <c r="F20351" s="0" t="inlineStr">
        <is>
          <t xml:space="preserve">Mazda</t>
        </is>
      </c>
      <c r="G20351" s="0" t="s">
        <v>171</v>
      </c>
      <c r="H20351" s="5">
        <v>2107.193200</v>
      </c>
    </row>
    <row r="20352" spans="1:9">
      <c r="A20352" s="22" t="str">
        <f>HYPERLINK("https://app.vivvix.com/360/KMI/IntelliDrive/ApplUI/Pages/CreativePages/CustomReportCreativeDetail.aspx?App=23&amp;ReportView=4&amp;Qid=1711279&amp;Row=20344&amp;Col=1","No Title Assigned - #15279324524")</f>
        <v/>
      </c>
      <c r="B20352" s="0" t="s">
        <v>27036</v>
      </c>
      <c r="C20352" s="0" t="s">
        <v>27037</v>
      </c>
      <c r="D20352" s="0" t="s">
        <v>27037</v>
      </c>
      <c r="E20352" s="0" t="inlineStr">
        <is>
          <t xml:space="preserve">Mazda</t>
        </is>
      </c>
      <c r="F20352" s="0" t="inlineStr">
        <is>
          <t xml:space="preserve">Mazda</t>
        </is>
      </c>
      <c r="G20352" s="0" t="s">
        <v>171</v>
      </c>
      <c r="H20352" s="5">
        <v>2771.722500</v>
      </c>
    </row>
    <row r="20353" spans="1:9">
      <c r="A20353" s="22" t="str">
        <f>HYPERLINK("https://app.vivvix.com/360/KMI/IntelliDrive/ApplUI/Pages/CreativePages/CustomReportCreativeDetail.aspx?App=23&amp;ReportView=4&amp;Qid=1711279&amp;Row=20345&amp;Col=1","No Title Assigned - #15279330056")</f>
        <v/>
      </c>
      <c r="B20353" s="0" t="s">
        <v>27038</v>
      </c>
      <c r="E20353" s="0" t="inlineStr">
        <is>
          <t xml:space="preserve">Mazda</t>
        </is>
      </c>
      <c r="F20353" s="0" t="inlineStr">
        <is>
          <t xml:space="preserve">Mazda</t>
        </is>
      </c>
      <c r="G20353" s="0" t="s">
        <v>171</v>
      </c>
      <c r="H20353" s="5">
        <v>47.367800</v>
      </c>
    </row>
    <row r="20354" spans="1:9">
      <c r="A20354" s="22" t="str">
        <f>HYPERLINK("https://app.vivvix.com/360/KMI/IntelliDrive/ApplUI/Pages/CreativePages/CustomReportCreativeDetail.aspx?App=23&amp;ReportView=4&amp;Qid=1711279&amp;Row=20346&amp;Col=1","No Title Assigned - #15279330086")</f>
        <v/>
      </c>
      <c r="B20354" s="0" t="s">
        <v>27039</v>
      </c>
      <c r="E20354" s="0" t="inlineStr">
        <is>
          <t xml:space="preserve">Mazda</t>
        </is>
      </c>
      <c r="F20354" s="0" t="inlineStr">
        <is>
          <t xml:space="preserve">Mazda</t>
        </is>
      </c>
      <c r="G20354" s="0" t="s">
        <v>171</v>
      </c>
      <c r="H20354" s="5">
        <v>184.781500</v>
      </c>
    </row>
    <row r="20355" spans="1:9">
      <c r="A20355" s="22" t="str">
        <f>HYPERLINK("https://app.vivvix.com/360/KMI/IntelliDrive/ApplUI/Pages/CreativePages/CustomReportCreativeDetail.aspx?App=23&amp;ReportView=4&amp;Qid=1711279&amp;Row=20347&amp;Col=1","No Title Assigned - #15279330616")</f>
        <v/>
      </c>
      <c r="B20355" s="0" t="s">
        <v>27040</v>
      </c>
      <c r="E20355" s="0" t="inlineStr">
        <is>
          <t xml:space="preserve">Mazda</t>
        </is>
      </c>
      <c r="F20355" s="0" t="inlineStr">
        <is>
          <t xml:space="preserve">Mazda</t>
        </is>
      </c>
      <c r="G20355" s="0" t="s">
        <v>171</v>
      </c>
      <c r="H20355" s="5">
        <v>369.563000</v>
      </c>
    </row>
    <row r="20356" spans="1:9">
      <c r="A20356" s="22" t="str">
        <f>HYPERLINK("https://app.vivvix.com/360/KMI/IntelliDrive/ApplUI/Pages/CreativePages/CustomReportCreativeDetail.aspx?App=23&amp;ReportView=4&amp;Qid=1711279&amp;Row=20348&amp;Col=1","No Title Assigned - #15279330777")</f>
        <v/>
      </c>
      <c r="B20356" s="0" t="s">
        <v>27041</v>
      </c>
      <c r="E20356" s="0" t="inlineStr">
        <is>
          <t xml:space="preserve">Mazda</t>
        </is>
      </c>
      <c r="F20356" s="0" t="s">
        <v>21</v>
      </c>
      <c r="G20356" s="0" t="s">
        <v>22</v>
      </c>
      <c r="H20356" s="5">
        <v>1399.433500</v>
      </c>
    </row>
    <row r="20357" spans="1:9">
      <c r="A20357" s="22" t="str">
        <f>HYPERLINK("https://app.vivvix.com/360/KMI/IntelliDrive/ApplUI/Pages/CreativePages/CustomReportCreativeDetail.aspx?App=23&amp;ReportView=4&amp;Qid=1711279&amp;Row=20349&amp;Col=1","No Title Assigned - #15279331279")</f>
        <v/>
      </c>
      <c r="B20357" s="0" t="s">
        <v>27042</v>
      </c>
      <c r="E20357" s="0" t="inlineStr">
        <is>
          <t xml:space="preserve">Mazda</t>
        </is>
      </c>
      <c r="F20357" s="0" t="inlineStr">
        <is>
          <t xml:space="preserve">Mazda</t>
        </is>
      </c>
      <c r="G20357" s="0" t="s">
        <v>171</v>
      </c>
      <c r="H20357" s="5">
        <v>84.190300</v>
      </c>
    </row>
    <row r="20358" spans="1:9">
      <c r="A20358" s="22" t="str">
        <f>HYPERLINK("https://app.vivvix.com/360/KMI/IntelliDrive/ApplUI/Pages/CreativePages/CustomReportCreativeDetail.aspx?App=23&amp;ReportView=4&amp;Qid=1711279&amp;Row=20350&amp;Col=1","No Title Assigned - #15279331324")</f>
        <v/>
      </c>
      <c r="B20358" s="0" t="s">
        <v>27043</v>
      </c>
      <c r="C20358" s="0" t="s">
        <v>27044</v>
      </c>
      <c r="D20358" s="0" t="s">
        <v>27044</v>
      </c>
      <c r="E20358" s="0" t="inlineStr">
        <is>
          <t xml:space="preserve">Mazda</t>
        </is>
      </c>
      <c r="F20358" s="0" t="s">
        <v>28</v>
      </c>
      <c r="G20358" s="0" t="s">
        <v>29</v>
      </c>
      <c r="H20358" s="5">
        <v>2.867500</v>
      </c>
    </row>
    <row r="20359" spans="1:9">
      <c r="A20359" s="22" t="str">
        <f>HYPERLINK("https://app.vivvix.com/360/KMI/IntelliDrive/ApplUI/Pages/CreativePages/CustomReportCreativeDetail.aspx?App=23&amp;ReportView=4&amp;Qid=1711279&amp;Row=20351&amp;Col=1","No Title Assigned - #15279331589")</f>
        <v/>
      </c>
      <c r="B20359" s="0" t="s">
        <v>27045</v>
      </c>
      <c r="E20359" s="0" t="inlineStr">
        <is>
          <t xml:space="preserve">Mazda</t>
        </is>
      </c>
      <c r="F20359" s="0" t="inlineStr">
        <is>
          <t xml:space="preserve">Mazda</t>
        </is>
      </c>
      <c r="G20359" s="0" t="s">
        <v>171</v>
      </c>
      <c r="H20359" s="5">
        <v>12771.848600</v>
      </c>
    </row>
    <row r="20360" spans="1:9">
      <c r="A20360" s="22" t="str">
        <f>HYPERLINK("https://app.vivvix.com/360/KMI/IntelliDrive/ApplUI/Pages/CreativePages/CustomReportCreativeDetail.aspx?App=23&amp;ReportView=4&amp;Qid=1711279&amp;Row=20352&amp;Col=1","No Title Assigned - #15279331610")</f>
        <v/>
      </c>
      <c r="B20360" s="0" t="s">
        <v>27046</v>
      </c>
      <c r="E20360" s="0" t="inlineStr">
        <is>
          <t xml:space="preserve">Mazda</t>
        </is>
      </c>
      <c r="F20360" s="0" t="inlineStr">
        <is>
          <t xml:space="preserve">Mazda</t>
        </is>
      </c>
      <c r="G20360" s="0" t="s">
        <v>171</v>
      </c>
      <c r="H20360" s="5">
        <v>156.791100</v>
      </c>
    </row>
    <row r="20361" spans="1:9">
      <c r="A20361" s="22" t="str">
        <f>HYPERLINK("https://app.vivvix.com/360/KMI/IntelliDrive/ApplUI/Pages/CreativePages/CustomReportCreativeDetail.aspx?App=23&amp;ReportView=4&amp;Qid=1711279&amp;Row=20353&amp;Col=1","No Title Assigned - #15279337869")</f>
        <v/>
      </c>
      <c r="B20361" s="0" t="s">
        <v>27047</v>
      </c>
      <c r="E20361" s="0" t="inlineStr">
        <is>
          <t xml:space="preserve">Mazda</t>
        </is>
      </c>
      <c r="F20361" s="0" t="inlineStr">
        <is>
          <t xml:space="preserve">Mazda</t>
        </is>
      </c>
      <c r="G20361" s="0" t="s">
        <v>171</v>
      </c>
      <c r="H20361" s="5">
        <v>117.706800</v>
      </c>
    </row>
    <row r="20362" spans="1:9">
      <c r="A20362" s="22" t="str">
        <f>HYPERLINK("https://app.vivvix.com/360/KMI/IntelliDrive/ApplUI/Pages/CreativePages/CustomReportCreativeDetail.aspx?App=23&amp;ReportView=4&amp;Qid=1711279&amp;Row=20354&amp;Col=1","No Title Assigned - #15279338476")</f>
        <v/>
      </c>
      <c r="B20362" s="0" t="s">
        <v>27048</v>
      </c>
      <c r="E20362" s="0" t="inlineStr">
        <is>
          <t xml:space="preserve">Mazda</t>
        </is>
      </c>
      <c r="F20362" s="0" t="inlineStr">
        <is>
          <t xml:space="preserve">Mazda</t>
        </is>
      </c>
      <c r="G20362" s="0" t="s">
        <v>171</v>
      </c>
      <c r="H20362" s="5">
        <v>13.207900</v>
      </c>
    </row>
    <row r="20363" spans="1:9">
      <c r="A20363" s="22" t="str">
        <f>HYPERLINK("https://app.vivvix.com/360/KMI/IntelliDrive/ApplUI/Pages/CreativePages/CustomReportCreativeDetail.aspx?App=23&amp;ReportView=4&amp;Qid=1711279&amp;Row=20355&amp;Col=1","No Title Assigned - #15279338568")</f>
        <v/>
      </c>
      <c r="B20363" s="0" t="s">
        <v>27049</v>
      </c>
      <c r="E20363" s="0" t="inlineStr">
        <is>
          <t xml:space="preserve">Mazda</t>
        </is>
      </c>
      <c r="F20363" s="0" t="inlineStr">
        <is>
          <t xml:space="preserve">Mazda</t>
        </is>
      </c>
      <c r="G20363" s="0" t="s">
        <v>171</v>
      </c>
      <c r="H20363" s="5">
        <v>13.207900</v>
      </c>
    </row>
    <row r="20364" spans="1:9">
      <c r="A20364" s="22" t="str">
        <f>HYPERLINK("https://app.vivvix.com/360/KMI/IntelliDrive/ApplUI/Pages/CreativePages/CustomReportCreativeDetail.aspx?App=23&amp;ReportView=4&amp;Qid=1711279&amp;Row=20356&amp;Col=1","No Title Assigned - #15279340420")</f>
        <v/>
      </c>
      <c r="B20364" s="0" t="s">
        <v>27050</v>
      </c>
      <c r="E20364" s="0" t="inlineStr">
        <is>
          <t xml:space="preserve">Mazda</t>
        </is>
      </c>
      <c r="F20364" s="0" t="inlineStr">
        <is>
          <t xml:space="preserve">Mazda</t>
        </is>
      </c>
      <c r="G20364" s="0" t="s">
        <v>171</v>
      </c>
      <c r="H20364" s="5">
        <v>1.216000</v>
      </c>
    </row>
    <row r="20365" spans="1:9">
      <c r="A20365" s="22" t="str">
        <f>HYPERLINK("https://app.vivvix.com/360/KMI/IntelliDrive/ApplUI/Pages/CreativePages/CustomReportCreativeDetail.aspx?App=23&amp;ReportView=4&amp;Qid=1711279&amp;Row=20357&amp;Col=1","No Title Assigned - #15279340961")</f>
        <v/>
      </c>
      <c r="B20365" s="0" t="s">
        <v>27051</v>
      </c>
      <c r="E20365" s="0" t="inlineStr">
        <is>
          <t xml:space="preserve">Mazda</t>
        </is>
      </c>
      <c r="F20365" s="0" t="inlineStr">
        <is>
          <t xml:space="preserve">Mazda</t>
        </is>
      </c>
      <c r="G20365" s="0" t="s">
        <v>171</v>
      </c>
      <c r="H20365" s="5">
        <v>3727.071700</v>
      </c>
    </row>
    <row r="20366" spans="1:9">
      <c r="A20366" s="22" t="str">
        <f>HYPERLINK("https://app.vivvix.com/360/KMI/IntelliDrive/ApplUI/Pages/CreativePages/CustomReportCreativeDetail.aspx?App=23&amp;ReportView=4&amp;Qid=1711279&amp;Row=20358&amp;Col=1","No Title Assigned - #15279342620")</f>
        <v/>
      </c>
      <c r="B20366" s="0" t="s">
        <v>27052</v>
      </c>
      <c r="E20366" s="0" t="inlineStr">
        <is>
          <t xml:space="preserve">Mazda</t>
        </is>
      </c>
      <c r="F20366" s="0" t="inlineStr">
        <is>
          <t xml:space="preserve">Mazda</t>
        </is>
      </c>
      <c r="G20366" s="0" t="s">
        <v>171</v>
      </c>
      <c r="H20366" s="5">
        <v>3798.896300</v>
      </c>
    </row>
    <row r="20367" spans="1:9">
      <c r="A20367" s="22" t="str">
        <f>HYPERLINK("https://app.vivvix.com/360/KMI/IntelliDrive/ApplUI/Pages/CreativePages/CustomReportCreativeDetail.aspx?App=23&amp;ReportView=4&amp;Qid=1711279&amp;Row=20359&amp;Col=1","No Title Assigned - #15279342626")</f>
        <v/>
      </c>
      <c r="B20367" s="0" t="s">
        <v>27053</v>
      </c>
      <c r="E20367" s="0" t="inlineStr">
        <is>
          <t xml:space="preserve">Mazda</t>
        </is>
      </c>
      <c r="F20367" s="0" t="inlineStr">
        <is>
          <t xml:space="preserve">Mazda</t>
        </is>
      </c>
      <c r="G20367" s="0" t="s">
        <v>171</v>
      </c>
      <c r="H20367" s="5">
        <v>34111.859400</v>
      </c>
    </row>
    <row r="20368" spans="1:9">
      <c r="A20368" s="22" t="str">
        <f>HYPERLINK("https://app.vivvix.com/360/KMI/IntelliDrive/ApplUI/Pages/CreativePages/CustomReportCreativeDetail.aspx?App=23&amp;ReportView=4&amp;Qid=1711279&amp;Row=20360&amp;Col=1","No Title Assigned - #15279343357")</f>
        <v/>
      </c>
      <c r="B20368" s="0" t="s">
        <v>27054</v>
      </c>
      <c r="C20368" s="0" t="s">
        <v>27055</v>
      </c>
      <c r="D20368" s="0" t="s">
        <v>27055</v>
      </c>
      <c r="E20368" s="0" t="inlineStr">
        <is>
          <t xml:space="preserve">Mazda</t>
        </is>
      </c>
      <c r="F20368" s="0" t="inlineStr">
        <is>
          <t xml:space="preserve">Mazda</t>
        </is>
      </c>
      <c r="G20368" s="0" t="s">
        <v>171</v>
      </c>
      <c r="H20368" s="5">
        <v>973.610400</v>
      </c>
    </row>
    <row r="20369" spans="1:9">
      <c r="A20369" s="22" t="str">
        <f>HYPERLINK("https://app.vivvix.com/360/KMI/IntelliDrive/ApplUI/Pages/CreativePages/CustomReportCreativeDetail.aspx?App=23&amp;ReportView=4&amp;Qid=1711279&amp;Row=20361&amp;Col=1","No Title Assigned - #15279343361")</f>
        <v/>
      </c>
      <c r="B20369" s="0" t="s">
        <v>27056</v>
      </c>
      <c r="C20369" s="0" t="s">
        <v>27057</v>
      </c>
      <c r="D20369" s="0" t="s">
        <v>27057</v>
      </c>
      <c r="E20369" s="0" t="inlineStr">
        <is>
          <t xml:space="preserve">Mazda</t>
        </is>
      </c>
      <c r="F20369" s="0" t="inlineStr">
        <is>
          <t xml:space="preserve">Mazda</t>
        </is>
      </c>
      <c r="G20369" s="0" t="s">
        <v>171</v>
      </c>
      <c r="H20369" s="5">
        <v>395.713900</v>
      </c>
    </row>
    <row r="20370" spans="1:9">
      <c r="A20370" s="22" t="str">
        <f>HYPERLINK("https://app.vivvix.com/360/KMI/IntelliDrive/ApplUI/Pages/CreativePages/CustomReportCreativeDetail.aspx?App=23&amp;ReportView=4&amp;Qid=1711279&amp;Row=20362&amp;Col=1","No Title Assigned - #15279344302")</f>
        <v/>
      </c>
      <c r="B20370" s="0" t="s">
        <v>27058</v>
      </c>
      <c r="E20370" s="0" t="inlineStr">
        <is>
          <t xml:space="preserve">Mazda</t>
        </is>
      </c>
      <c r="F20370" s="0" t="inlineStr">
        <is>
          <t xml:space="preserve">Mazda</t>
        </is>
      </c>
      <c r="G20370" s="0" t="s">
        <v>171</v>
      </c>
      <c r="H20370" s="5">
        <v>22.732900</v>
      </c>
    </row>
    <row r="20371" spans="1:9">
      <c r="A20371" s="22" t="str">
        <f>HYPERLINK("https://app.vivvix.com/360/KMI/IntelliDrive/ApplUI/Pages/CreativePages/CustomReportCreativeDetail.aspx?App=23&amp;ReportView=4&amp;Qid=1711279&amp;Row=20363&amp;Col=1","No Title Assigned - #15279344611")</f>
        <v/>
      </c>
      <c r="B20371" s="0" t="s">
        <v>27059</v>
      </c>
      <c r="E20371" s="0" t="inlineStr">
        <is>
          <t xml:space="preserve">Mazda</t>
        </is>
      </c>
      <c r="F20371" s="0" t="inlineStr">
        <is>
          <t xml:space="preserve">Mazda</t>
        </is>
      </c>
      <c r="G20371" s="0" t="s">
        <v>171</v>
      </c>
      <c r="H20371" s="5">
        <v>13.282200</v>
      </c>
    </row>
    <row r="20372" spans="1:9">
      <c r="A20372" s="22" t="str">
        <f>HYPERLINK("https://app.vivvix.com/360/KMI/IntelliDrive/ApplUI/Pages/CreativePages/CustomReportCreativeDetail.aspx?App=23&amp;ReportView=4&amp;Qid=1711279&amp;Row=20364&amp;Col=1","No Title Assigned - #15279344762")</f>
        <v/>
      </c>
      <c r="B20372" s="0" t="s">
        <v>27060</v>
      </c>
      <c r="E20372" s="0" t="inlineStr">
        <is>
          <t xml:space="preserve">Mazda</t>
        </is>
      </c>
      <c r="F20372" s="0" t="inlineStr">
        <is>
          <t xml:space="preserve">Mazda</t>
        </is>
      </c>
      <c r="G20372" s="0" t="s">
        <v>171</v>
      </c>
      <c r="H20372" s="5">
        <v>156.791100</v>
      </c>
    </row>
    <row r="20373" spans="1:9">
      <c r="A20373" s="22" t="str">
        <f>HYPERLINK("https://app.vivvix.com/360/KMI/IntelliDrive/ApplUI/Pages/CreativePages/CustomReportCreativeDetail.aspx?App=23&amp;ReportView=4&amp;Qid=1711279&amp;Row=20365&amp;Col=1","No Title Assigned - #15279345121")</f>
        <v/>
      </c>
      <c r="B20373" s="0" t="s">
        <v>27061</v>
      </c>
      <c r="E20373" s="0" t="inlineStr">
        <is>
          <t xml:space="preserve">Mazda</t>
        </is>
      </c>
      <c r="F20373" s="0" t="inlineStr">
        <is>
          <t xml:space="preserve">Mazda</t>
        </is>
      </c>
      <c r="G20373" s="0" t="s">
        <v>171</v>
      </c>
      <c r="H20373" s="5">
        <v>211.986400</v>
      </c>
    </row>
    <row r="20374" spans="1:9">
      <c r="A20374" s="22" t="str">
        <f>HYPERLINK("https://app.vivvix.com/360/KMI/IntelliDrive/ApplUI/Pages/CreativePages/CustomReportCreativeDetail.aspx?App=23&amp;ReportView=4&amp;Qid=1711279&amp;Row=20366&amp;Col=1","No Title Assigned - #15279345778")</f>
        <v/>
      </c>
      <c r="B20374" s="0" t="s">
        <v>27062</v>
      </c>
      <c r="E20374" s="0" t="inlineStr">
        <is>
          <t xml:space="preserve">Mazda</t>
        </is>
      </c>
      <c r="F20374" s="0" t="inlineStr">
        <is>
          <t xml:space="preserve">Mazda</t>
        </is>
      </c>
      <c r="G20374" s="0" t="s">
        <v>171</v>
      </c>
      <c r="H20374" s="5">
        <v>746.490800</v>
      </c>
    </row>
    <row r="20375" spans="1:9">
      <c r="A20375" s="22" t="str">
        <f>HYPERLINK("https://app.vivvix.com/360/KMI/IntelliDrive/ApplUI/Pages/CreativePages/CustomReportCreativeDetail.aspx?App=23&amp;ReportView=4&amp;Qid=1711279&amp;Row=20367&amp;Col=1","No Title Assigned - #15279346786")</f>
        <v/>
      </c>
      <c r="B20375" s="0" t="s">
        <v>27063</v>
      </c>
      <c r="E20375" s="0" t="inlineStr">
        <is>
          <t xml:space="preserve">Mazda</t>
        </is>
      </c>
      <c r="F20375" s="0" t="inlineStr">
        <is>
          <t xml:space="preserve">Mazda</t>
        </is>
      </c>
      <c r="G20375" s="0" t="s">
        <v>171</v>
      </c>
      <c r="H20375" s="5">
        <v>1109.010800</v>
      </c>
    </row>
    <row r="20376" spans="1:9">
      <c r="A20376" s="22" t="str">
        <f>HYPERLINK("https://app.vivvix.com/360/KMI/IntelliDrive/ApplUI/Pages/CreativePages/CustomReportCreativeDetail.aspx?App=23&amp;ReportView=4&amp;Qid=1711279&amp;Row=20368&amp;Col=1","No Title Assigned - #15279347233")</f>
        <v/>
      </c>
      <c r="B20376" s="0" t="s">
        <v>27064</v>
      </c>
      <c r="E20376" s="0" t="inlineStr">
        <is>
          <t xml:space="preserve">Mazda</t>
        </is>
      </c>
      <c r="F20376" s="0" t="inlineStr">
        <is>
          <t xml:space="preserve">Mazda</t>
        </is>
      </c>
      <c r="G20376" s="0" t="s">
        <v>171</v>
      </c>
      <c r="H20376" s="5">
        <v>415.876500</v>
      </c>
    </row>
    <row r="20377" spans="1:9">
      <c r="A20377" s="22" t="str">
        <f>HYPERLINK("https://app.vivvix.com/360/KMI/IntelliDrive/ApplUI/Pages/CreativePages/CustomReportCreativeDetail.aspx?App=23&amp;ReportView=4&amp;Qid=1711279&amp;Row=20369&amp;Col=1","No Title Assigned - #15279347282")</f>
        <v/>
      </c>
      <c r="B20377" s="0" t="s">
        <v>27065</v>
      </c>
      <c r="E20377" s="0" t="inlineStr">
        <is>
          <t xml:space="preserve">Mazda</t>
        </is>
      </c>
      <c r="F20377" s="0" t="inlineStr">
        <is>
          <t xml:space="preserve">Mazda</t>
        </is>
      </c>
      <c r="G20377" s="0" t="s">
        <v>171</v>
      </c>
      <c r="H20377" s="5">
        <v>3.407800</v>
      </c>
    </row>
    <row r="20378" spans="1:9">
      <c r="A20378" s="22" t="str">
        <f>HYPERLINK("https://app.vivvix.com/360/KMI/IntelliDrive/ApplUI/Pages/CreativePages/CustomReportCreativeDetail.aspx?App=23&amp;ReportView=4&amp;Qid=1711279&amp;Row=20370&amp;Col=1","No Title Assigned - #15279347731")</f>
        <v/>
      </c>
      <c r="B20378" s="0" t="s">
        <v>27066</v>
      </c>
      <c r="E20378" s="0" t="inlineStr">
        <is>
          <t xml:space="preserve">Mazda</t>
        </is>
      </c>
      <c r="F20378" s="0" t="inlineStr">
        <is>
          <t xml:space="preserve">Mazda</t>
        </is>
      </c>
      <c r="G20378" s="0" t="s">
        <v>171</v>
      </c>
      <c r="H20378" s="5">
        <v>795.525000</v>
      </c>
    </row>
    <row r="20379" spans="1:9">
      <c r="A20379" s="22" t="str">
        <f>HYPERLINK("https://app.vivvix.com/360/KMI/IntelliDrive/ApplUI/Pages/CreativePages/CustomReportCreativeDetail.aspx?App=23&amp;ReportView=4&amp;Qid=1711279&amp;Row=20371&amp;Col=1","No Title Assigned - #15279347741")</f>
        <v/>
      </c>
      <c r="B20379" s="0" t="s">
        <v>27067</v>
      </c>
      <c r="E20379" s="0" t="inlineStr">
        <is>
          <t xml:space="preserve">Mazda</t>
        </is>
      </c>
      <c r="F20379" s="0" t="inlineStr">
        <is>
          <t xml:space="preserve">Mazda</t>
        </is>
      </c>
      <c r="G20379" s="0" t="s">
        <v>171</v>
      </c>
      <c r="H20379" s="5">
        <v>397.762500</v>
      </c>
    </row>
    <row r="20380" spans="1:9">
      <c r="A20380" s="22" t="str">
        <f>HYPERLINK("https://app.vivvix.com/360/KMI/IntelliDrive/ApplUI/Pages/CreativePages/CustomReportCreativeDetail.aspx?App=23&amp;ReportView=4&amp;Qid=1711279&amp;Row=20372&amp;Col=1","No Title Assigned - #15279347824")</f>
        <v/>
      </c>
      <c r="B20380" s="0" t="s">
        <v>27068</v>
      </c>
      <c r="C20380" s="0" t="s">
        <v>27069</v>
      </c>
      <c r="D20380" s="0" t="s">
        <v>27069</v>
      </c>
      <c r="E20380" s="0" t="inlineStr">
        <is>
          <t xml:space="preserve">Mazda</t>
        </is>
      </c>
      <c r="F20380" s="0" t="inlineStr">
        <is>
          <t xml:space="preserve">Mazda</t>
        </is>
      </c>
      <c r="G20380" s="0" t="s">
        <v>171</v>
      </c>
      <c r="H20380" s="5">
        <v>216.507700</v>
      </c>
    </row>
    <row r="20381" spans="1:9">
      <c r="A20381" s="22" t="str">
        <f>HYPERLINK("https://app.vivvix.com/360/KMI/IntelliDrive/ApplUI/Pages/CreativePages/CustomReportCreativeDetail.aspx?App=23&amp;ReportView=4&amp;Qid=1711279&amp;Row=20373&amp;Col=1","No Title Assigned - #15279348166")</f>
        <v/>
      </c>
      <c r="B20381" s="0" t="s">
        <v>27070</v>
      </c>
      <c r="E20381" s="0" t="inlineStr">
        <is>
          <t xml:space="preserve">Mazda</t>
        </is>
      </c>
      <c r="F20381" s="0" t="inlineStr">
        <is>
          <t xml:space="preserve">Mazda</t>
        </is>
      </c>
      <c r="G20381" s="0" t="s">
        <v>171</v>
      </c>
      <c r="H20381" s="5">
        <v>1826.783900</v>
      </c>
    </row>
    <row r="20382" spans="1:9">
      <c r="A20382" s="22" t="str">
        <f>HYPERLINK("https://app.vivvix.com/360/KMI/IntelliDrive/ApplUI/Pages/CreativePages/CustomReportCreativeDetail.aspx?App=23&amp;ReportView=4&amp;Qid=1711279&amp;Row=20374&amp;Col=1","No Title Assigned - #15279348334")</f>
        <v/>
      </c>
      <c r="B20382" s="0" t="s">
        <v>27071</v>
      </c>
      <c r="E20382" s="0" t="inlineStr">
        <is>
          <t xml:space="preserve">Mazda</t>
        </is>
      </c>
      <c r="F20382" s="0" t="inlineStr">
        <is>
          <t xml:space="preserve">Mazda</t>
        </is>
      </c>
      <c r="G20382" s="0" t="s">
        <v>171</v>
      </c>
      <c r="H20382" s="5">
        <v>7689.296400</v>
      </c>
    </row>
    <row r="20383" spans="1:9">
      <c r="A20383" s="22" t="str">
        <f>HYPERLINK("https://app.vivvix.com/360/KMI/IntelliDrive/ApplUI/Pages/CreativePages/CustomReportCreativeDetail.aspx?App=23&amp;ReportView=4&amp;Qid=1711279&amp;Row=20375&amp;Col=1","No Title Assigned - #15279349431")</f>
        <v/>
      </c>
      <c r="B20383" s="0" t="s">
        <v>27072</v>
      </c>
      <c r="E20383" s="0" t="inlineStr">
        <is>
          <t xml:space="preserve">Mazda</t>
        </is>
      </c>
      <c r="F20383" s="0" t="inlineStr">
        <is>
          <t xml:space="preserve">Mazda</t>
        </is>
      </c>
      <c r="G20383" s="0" t="s">
        <v>171</v>
      </c>
      <c r="H20383" s="5">
        <v>41.745200</v>
      </c>
    </row>
    <row r="20384" spans="1:9">
      <c r="A20384" s="22" t="str">
        <f>HYPERLINK("https://app.vivvix.com/360/KMI/IntelliDrive/ApplUI/Pages/CreativePages/CustomReportCreativeDetail.aspx?App=23&amp;ReportView=4&amp;Qid=1711279&amp;Row=20376&amp;Col=1","No Title Assigned - #15279349438")</f>
        <v/>
      </c>
      <c r="B20384" s="0" t="s">
        <v>27073</v>
      </c>
      <c r="E20384" s="0" t="inlineStr">
        <is>
          <t xml:space="preserve">Mazda</t>
        </is>
      </c>
      <c r="F20384" s="0" t="inlineStr">
        <is>
          <t xml:space="preserve">Mazda</t>
        </is>
      </c>
      <c r="G20384" s="0" t="s">
        <v>171</v>
      </c>
      <c r="H20384" s="5">
        <v>133.925500</v>
      </c>
    </row>
    <row r="20385" spans="1:9">
      <c r="A20385" s="22" t="str">
        <f>HYPERLINK("https://app.vivvix.com/360/KMI/IntelliDrive/ApplUI/Pages/CreativePages/CustomReportCreativeDetail.aspx?App=23&amp;ReportView=4&amp;Qid=1711279&amp;Row=20377&amp;Col=1","No Title Assigned - #15279350018")</f>
        <v/>
      </c>
      <c r="B20385" s="0" t="s">
        <v>27074</v>
      </c>
      <c r="E20385" s="0" t="inlineStr">
        <is>
          <t xml:space="preserve">Mazda</t>
        </is>
      </c>
      <c r="F20385" s="0" t="inlineStr">
        <is>
          <t xml:space="preserve">Mazda</t>
        </is>
      </c>
      <c r="G20385" s="0" t="s">
        <v>171</v>
      </c>
      <c r="H20385" s="5">
        <v>40.092400</v>
      </c>
    </row>
    <row r="20386" spans="1:9">
      <c r="A20386" s="22" t="str">
        <f>HYPERLINK("https://app.vivvix.com/360/KMI/IntelliDrive/ApplUI/Pages/CreativePages/CustomReportCreativeDetail.aspx?App=23&amp;ReportView=4&amp;Qid=1711279&amp;Row=20378&amp;Col=1","No Title Assigned - #15279350031")</f>
        <v/>
      </c>
      <c r="B20386" s="0" t="s">
        <v>27075</v>
      </c>
      <c r="E20386" s="0" t="inlineStr">
        <is>
          <t xml:space="preserve">Mazda</t>
        </is>
      </c>
      <c r="F20386" s="0" t="inlineStr">
        <is>
          <t xml:space="preserve">Mazda</t>
        </is>
      </c>
      <c r="G20386" s="0" t="s">
        <v>171</v>
      </c>
      <c r="H20386" s="5">
        <v>430.635100</v>
      </c>
    </row>
    <row r="20387" spans="1:9">
      <c r="A20387" s="22" t="str">
        <f>HYPERLINK("https://app.vivvix.com/360/KMI/IntelliDrive/ApplUI/Pages/CreativePages/CustomReportCreativeDetail.aspx?App=23&amp;ReportView=4&amp;Qid=1711279&amp;Row=20379&amp;Col=1","No Title Assigned - #15279352006")</f>
        <v/>
      </c>
      <c r="B20387" s="0" t="s">
        <v>27076</v>
      </c>
      <c r="E20387" s="0" t="inlineStr">
        <is>
          <t xml:space="preserve">Mazda</t>
        </is>
      </c>
      <c r="F20387" s="0" t="inlineStr">
        <is>
          <t xml:space="preserve">Mazda</t>
        </is>
      </c>
      <c r="G20387" s="0" t="s">
        <v>171</v>
      </c>
      <c r="H20387" s="5">
        <v>6601.252000</v>
      </c>
    </row>
    <row r="20388" spans="1:9">
      <c r="A20388" s="22" t="str">
        <f>HYPERLINK("https://app.vivvix.com/360/KMI/IntelliDrive/ApplUI/Pages/CreativePages/CustomReportCreativeDetail.aspx?App=23&amp;ReportView=4&amp;Qid=1711279&amp;Row=20380&amp;Col=1","No Title Assigned - #15279352090")</f>
        <v/>
      </c>
      <c r="B20388" s="0" t="s">
        <v>27077</v>
      </c>
      <c r="E20388" s="0" t="inlineStr">
        <is>
          <t xml:space="preserve">Mazda</t>
        </is>
      </c>
      <c r="F20388" s="0" t="inlineStr">
        <is>
          <t xml:space="preserve">Mazda</t>
        </is>
      </c>
      <c r="G20388" s="0" t="s">
        <v>171</v>
      </c>
      <c r="H20388" s="5">
        <v>21.567700</v>
      </c>
    </row>
    <row r="20389" spans="1:9">
      <c r="A20389" s="22" t="str">
        <f>HYPERLINK("https://app.vivvix.com/360/KMI/IntelliDrive/ApplUI/Pages/CreativePages/CustomReportCreativeDetail.aspx?App=23&amp;ReportView=4&amp;Qid=1711279&amp;Row=20381&amp;Col=1","No Title Assigned - #15279352227")</f>
        <v/>
      </c>
      <c r="B20389" s="0" t="s">
        <v>27078</v>
      </c>
      <c r="E20389" s="0" t="inlineStr">
        <is>
          <t xml:space="preserve">Mazda</t>
        </is>
      </c>
      <c r="F20389" s="0" t="inlineStr">
        <is>
          <t xml:space="preserve">Mazda</t>
        </is>
      </c>
      <c r="G20389" s="0" t="s">
        <v>171</v>
      </c>
      <c r="H20389" s="5">
        <v>13.207900</v>
      </c>
    </row>
    <row r="20390" spans="1:9">
      <c r="A20390" s="22" t="str">
        <f>HYPERLINK("https://app.vivvix.com/360/KMI/IntelliDrive/ApplUI/Pages/CreativePages/CustomReportCreativeDetail.aspx?App=23&amp;ReportView=4&amp;Qid=1711279&amp;Row=20382&amp;Col=1","No Title Assigned - #15279352541")</f>
        <v/>
      </c>
      <c r="B20390" s="0" t="s">
        <v>27079</v>
      </c>
      <c r="E20390" s="0" t="inlineStr">
        <is>
          <t xml:space="preserve">Mazda</t>
        </is>
      </c>
      <c r="F20390" s="0" t="inlineStr">
        <is>
          <t xml:space="preserve">Mazda</t>
        </is>
      </c>
      <c r="G20390" s="0" t="s">
        <v>171</v>
      </c>
      <c r="H20390" s="5">
        <v>231.718900</v>
      </c>
    </row>
    <row r="20391" spans="1:9">
      <c r="A20391" s="22" t="str">
        <f>HYPERLINK("https://app.vivvix.com/360/KMI/IntelliDrive/ApplUI/Pages/CreativePages/CustomReportCreativeDetail.aspx?App=23&amp;ReportView=4&amp;Qid=1711279&amp;Row=20383&amp;Col=1","No Title Assigned - #15279353138")</f>
        <v/>
      </c>
      <c r="B20391" s="0" t="s">
        <v>27080</v>
      </c>
      <c r="E20391" s="0" t="inlineStr">
        <is>
          <t xml:space="preserve">Mazda</t>
        </is>
      </c>
      <c r="F20391" s="0" t="inlineStr">
        <is>
          <t xml:space="preserve">Mazda</t>
        </is>
      </c>
      <c r="G20391" s="0" t="s">
        <v>171</v>
      </c>
      <c r="H20391" s="5">
        <v>5.543100</v>
      </c>
    </row>
    <row r="20392" spans="1:9">
      <c r="A20392" s="22" t="str">
        <f>HYPERLINK("https://app.vivvix.com/360/KMI/IntelliDrive/ApplUI/Pages/CreativePages/CustomReportCreativeDetail.aspx?App=23&amp;ReportView=4&amp;Qid=1711279&amp;Row=20384&amp;Col=1","No Title Assigned - #15279353139")</f>
        <v/>
      </c>
      <c r="B20392" s="0" t="s">
        <v>27081</v>
      </c>
      <c r="E20392" s="0" t="inlineStr">
        <is>
          <t xml:space="preserve">Mazda</t>
        </is>
      </c>
      <c r="F20392" s="0" t="inlineStr">
        <is>
          <t xml:space="preserve">Mazda</t>
        </is>
      </c>
      <c r="G20392" s="0" t="s">
        <v>171</v>
      </c>
      <c r="H20392" s="5">
        <v>144.120600</v>
      </c>
    </row>
    <row r="20393" spans="1:9">
      <c r="A20393" s="22" t="str">
        <f>HYPERLINK("https://app.vivvix.com/360/KMI/IntelliDrive/ApplUI/Pages/CreativePages/CustomReportCreativeDetail.aspx?App=23&amp;ReportView=4&amp;Qid=1711279&amp;Row=20385&amp;Col=1","No Title Assigned - #15279353164")</f>
        <v/>
      </c>
      <c r="B20393" s="0" t="s">
        <v>27082</v>
      </c>
      <c r="E20393" s="0" t="inlineStr">
        <is>
          <t xml:space="preserve">Mazda</t>
        </is>
      </c>
      <c r="F20393" s="0" t="inlineStr">
        <is>
          <t xml:space="preserve">Mazda</t>
        </is>
      </c>
      <c r="G20393" s="0" t="s">
        <v>171</v>
      </c>
      <c r="H20393" s="5">
        <v>5.543100</v>
      </c>
    </row>
    <row r="20394" spans="1:9">
      <c r="A20394" s="22" t="str">
        <f>HYPERLINK("https://app.vivvix.com/360/KMI/IntelliDrive/ApplUI/Pages/CreativePages/CustomReportCreativeDetail.aspx?App=23&amp;ReportView=4&amp;Qid=1711279&amp;Row=20386&amp;Col=1","No Title Assigned - #15279353180")</f>
        <v/>
      </c>
      <c r="B20394" s="0" t="s">
        <v>27083</v>
      </c>
      <c r="E20394" s="0" t="inlineStr">
        <is>
          <t xml:space="preserve">Mazda</t>
        </is>
      </c>
      <c r="F20394" s="0" t="inlineStr">
        <is>
          <t xml:space="preserve">Mazda</t>
        </is>
      </c>
      <c r="G20394" s="0" t="s">
        <v>171</v>
      </c>
      <c r="H20394" s="5">
        <v>44.344800</v>
      </c>
    </row>
    <row r="20395" spans="1:9">
      <c r="A20395" s="22" t="str">
        <f>HYPERLINK("https://app.vivvix.com/360/KMI/IntelliDrive/ApplUI/Pages/CreativePages/CustomReportCreativeDetail.aspx?App=23&amp;ReportView=4&amp;Qid=1711279&amp;Row=20387&amp;Col=1","No Title Assigned - #15279353201")</f>
        <v/>
      </c>
      <c r="B20395" s="0" t="s">
        <v>27084</v>
      </c>
      <c r="E20395" s="0" t="inlineStr">
        <is>
          <t xml:space="preserve">Mazda</t>
        </is>
      </c>
      <c r="F20395" s="0" t="inlineStr">
        <is>
          <t xml:space="preserve">Mazda</t>
        </is>
      </c>
      <c r="G20395" s="0" t="s">
        <v>171</v>
      </c>
      <c r="H20395" s="5">
        <v>154.867400</v>
      </c>
    </row>
    <row r="20396" spans="1:9">
      <c r="A20396" s="22" t="str">
        <f>HYPERLINK("https://app.vivvix.com/360/KMI/IntelliDrive/ApplUI/Pages/CreativePages/CustomReportCreativeDetail.aspx?App=23&amp;ReportView=4&amp;Qid=1711279&amp;Row=20388&amp;Col=1","No Title Assigned - #15279353309")</f>
        <v/>
      </c>
      <c r="B20396" s="0" t="s">
        <v>27085</v>
      </c>
      <c r="E20396" s="0" t="inlineStr">
        <is>
          <t xml:space="preserve">Mazda</t>
        </is>
      </c>
      <c r="F20396" s="0" t="inlineStr">
        <is>
          <t xml:space="preserve">Mazda</t>
        </is>
      </c>
      <c r="G20396" s="0" t="s">
        <v>171</v>
      </c>
      <c r="H20396" s="5">
        <v>354.083000</v>
      </c>
    </row>
    <row r="20397" spans="1:9">
      <c r="A20397" s="22" t="str">
        <f>HYPERLINK("https://app.vivvix.com/360/KMI/IntelliDrive/ApplUI/Pages/CreativePages/CustomReportCreativeDetail.aspx?App=23&amp;ReportView=4&amp;Qid=1711279&amp;Row=20389&amp;Col=1","No Title Assigned - #15279353348")</f>
        <v/>
      </c>
      <c r="B20397" s="0" t="s">
        <v>27086</v>
      </c>
      <c r="E20397" s="0" t="inlineStr">
        <is>
          <t xml:space="preserve">Mazda</t>
        </is>
      </c>
      <c r="F20397" s="0" t="inlineStr">
        <is>
          <t xml:space="preserve">Mazda</t>
        </is>
      </c>
      <c r="G20397" s="0" t="s">
        <v>171</v>
      </c>
      <c r="H20397" s="5">
        <v>5.543100</v>
      </c>
    </row>
    <row r="20398" spans="1:9">
      <c r="A20398" s="22" t="str">
        <f>HYPERLINK("https://app.vivvix.com/360/KMI/IntelliDrive/ApplUI/Pages/CreativePages/CustomReportCreativeDetail.aspx?App=23&amp;ReportView=4&amp;Qid=1711279&amp;Row=20390&amp;Col=1","No Title Assigned - #15279353381")</f>
        <v/>
      </c>
      <c r="B20398" s="0" t="s">
        <v>27087</v>
      </c>
      <c r="E20398" s="0" t="inlineStr">
        <is>
          <t xml:space="preserve">Mazda</t>
        </is>
      </c>
      <c r="F20398" s="0" t="inlineStr">
        <is>
          <t xml:space="preserve">Mazda</t>
        </is>
      </c>
      <c r="G20398" s="0" t="s">
        <v>171</v>
      </c>
      <c r="H20398" s="5">
        <v>2978.017100</v>
      </c>
    </row>
    <row r="20399" spans="1:9">
      <c r="A20399" s="22" t="str">
        <f>HYPERLINK("https://app.vivvix.com/360/KMI/IntelliDrive/ApplUI/Pages/CreativePages/CustomReportCreativeDetail.aspx?App=23&amp;ReportView=4&amp;Qid=1711279&amp;Row=20391&amp;Col=1","No Title Assigned - #15279353432")</f>
        <v/>
      </c>
      <c r="B20399" s="0" t="s">
        <v>27088</v>
      </c>
      <c r="E20399" s="0" t="inlineStr">
        <is>
          <t xml:space="preserve">Mazda</t>
        </is>
      </c>
      <c r="F20399" s="0" t="inlineStr">
        <is>
          <t xml:space="preserve">Mazda</t>
        </is>
      </c>
      <c r="G20399" s="0" t="s">
        <v>171</v>
      </c>
      <c r="H20399" s="5">
        <v>98.823700</v>
      </c>
    </row>
    <row r="20400" spans="1:9">
      <c r="A20400" s="22" t="str">
        <f>HYPERLINK("https://app.vivvix.com/360/KMI/IntelliDrive/ApplUI/Pages/CreativePages/CustomReportCreativeDetail.aspx?App=23&amp;ReportView=4&amp;Qid=1711279&amp;Row=20392&amp;Col=1","No Title Assigned - #15279353542")</f>
        <v/>
      </c>
      <c r="B20400" s="0" t="s">
        <v>27089</v>
      </c>
      <c r="E20400" s="0" t="inlineStr">
        <is>
          <t xml:space="preserve">Mazda</t>
        </is>
      </c>
      <c r="F20400" s="0" t="inlineStr">
        <is>
          <t xml:space="preserve">Mazda</t>
        </is>
      </c>
      <c r="G20400" s="0" t="s">
        <v>171</v>
      </c>
      <c r="H20400" s="5">
        <v>442.198500</v>
      </c>
    </row>
    <row r="20401" spans="1:9">
      <c r="A20401" s="22" t="str">
        <f>HYPERLINK("https://app.vivvix.com/360/KMI/IntelliDrive/ApplUI/Pages/CreativePages/CustomReportCreativeDetail.aspx?App=23&amp;ReportView=4&amp;Qid=1711279&amp;Row=20393&amp;Col=1","No Title Assigned - #15279353971")</f>
        <v/>
      </c>
      <c r="B20401" s="0" t="s">
        <v>27090</v>
      </c>
      <c r="E20401" s="0" t="inlineStr">
        <is>
          <t xml:space="preserve">Mazda</t>
        </is>
      </c>
      <c r="F20401" s="0" t="inlineStr">
        <is>
          <t xml:space="preserve">Mazda</t>
        </is>
      </c>
      <c r="G20401" s="0" t="s">
        <v>171</v>
      </c>
      <c r="H20401" s="5">
        <v>12011.893600</v>
      </c>
    </row>
    <row r="20402" spans="1:9">
      <c r="A20402" s="22" t="str">
        <f>HYPERLINK("https://app.vivvix.com/360/KMI/IntelliDrive/ApplUI/Pages/CreativePages/CustomReportCreativeDetail.aspx?App=23&amp;ReportView=4&amp;Qid=1711279&amp;Row=20394&amp;Col=1","No Title Assigned - #15279353971")</f>
        <v/>
      </c>
      <c r="B20402" s="0" t="s">
        <v>27090</v>
      </c>
      <c r="E20402" s="0" t="inlineStr">
        <is>
          <t xml:space="preserve">Mazda</t>
        </is>
      </c>
      <c r="F20402" s="0" t="inlineStr">
        <is>
          <t xml:space="preserve">Mazda</t>
        </is>
      </c>
      <c r="G20402" s="0" t="s">
        <v>171</v>
      </c>
      <c r="H20402" s="5">
        <v>1029.764200</v>
      </c>
    </row>
    <row r="20403" spans="1:9">
      <c r="A20403" s="22" t="str">
        <f>HYPERLINK("https://app.vivvix.com/360/KMI/IntelliDrive/ApplUI/Pages/CreativePages/CustomReportCreativeDetail.aspx?App=23&amp;ReportView=4&amp;Qid=1711279&amp;Row=20395&amp;Col=1","No Title Assigned - #15279354501")</f>
        <v/>
      </c>
      <c r="B20403" s="0" t="s">
        <v>27091</v>
      </c>
      <c r="E20403" s="0" t="inlineStr">
        <is>
          <t xml:space="preserve">Mazda</t>
        </is>
      </c>
      <c r="F20403" s="0" t="inlineStr">
        <is>
          <t xml:space="preserve">Mazda</t>
        </is>
      </c>
      <c r="G20403" s="0" t="s">
        <v>171</v>
      </c>
      <c r="H20403" s="5">
        <v>16226.742200</v>
      </c>
    </row>
    <row r="20404" spans="1:9">
      <c r="A20404" s="22" t="str">
        <f>HYPERLINK("https://app.vivvix.com/360/KMI/IntelliDrive/ApplUI/Pages/CreativePages/CustomReportCreativeDetail.aspx?App=23&amp;ReportView=4&amp;Qid=1711279&amp;Row=20396&amp;Col=1","No Title Assigned - #15279354504")</f>
        <v/>
      </c>
      <c r="B20404" s="0" t="s">
        <v>27092</v>
      </c>
      <c r="E20404" s="0" t="inlineStr">
        <is>
          <t xml:space="preserve">Mazda</t>
        </is>
      </c>
      <c r="F20404" s="0" t="s">
        <v>13</v>
      </c>
      <c r="G20404" s="0" t="s">
        <v>49</v>
      </c>
      <c r="H20404" s="5">
        <v>936.991500</v>
      </c>
    </row>
    <row r="20405" spans="1:9">
      <c r="A20405" s="22" t="str">
        <f>HYPERLINK("https://app.vivvix.com/360/KMI/IntelliDrive/ApplUI/Pages/CreativePages/CustomReportCreativeDetail.aspx?App=23&amp;ReportView=4&amp;Qid=1711279&amp;Row=20397&amp;Col=1","No Title Assigned - #15279354602")</f>
        <v/>
      </c>
      <c r="B20405" s="0" t="s">
        <v>27093</v>
      </c>
      <c r="E20405" s="0" t="inlineStr">
        <is>
          <t xml:space="preserve">Mazda</t>
        </is>
      </c>
      <c r="F20405" s="0" t="inlineStr">
        <is>
          <t xml:space="preserve">Mazda</t>
        </is>
      </c>
      <c r="G20405" s="0" t="s">
        <v>171</v>
      </c>
      <c r="H20405" s="5">
        <v>442.326400</v>
      </c>
    </row>
    <row r="20406" spans="1:9">
      <c r="A20406" s="22" t="str">
        <f>HYPERLINK("https://app.vivvix.com/360/KMI/IntelliDrive/ApplUI/Pages/CreativePages/CustomReportCreativeDetail.aspx?App=23&amp;ReportView=4&amp;Qid=1711279&amp;Row=20398&amp;Col=1","No Title Assigned - #15279354615")</f>
        <v/>
      </c>
      <c r="B20406" s="0" t="s">
        <v>27094</v>
      </c>
      <c r="E20406" s="0" t="inlineStr">
        <is>
          <t xml:space="preserve">Mazda</t>
        </is>
      </c>
      <c r="F20406" s="0" t="inlineStr">
        <is>
          <t xml:space="preserve">Mazda</t>
        </is>
      </c>
      <c r="G20406" s="0" t="s">
        <v>171</v>
      </c>
      <c r="H20406" s="5">
        <v>1870.097200</v>
      </c>
    </row>
    <row r="20407" spans="1:9">
      <c r="A20407" s="22" t="str">
        <f>HYPERLINK("https://app.vivvix.com/360/KMI/IntelliDrive/ApplUI/Pages/CreativePages/CustomReportCreativeDetail.aspx?App=23&amp;ReportView=4&amp;Qid=1711279&amp;Row=20399&amp;Col=1","No Title Assigned - #15279355144")</f>
        <v/>
      </c>
      <c r="B20407" s="0" t="s">
        <v>27095</v>
      </c>
      <c r="C20407" s="0" t="s">
        <v>27096</v>
      </c>
      <c r="D20407" s="0" t="s">
        <v>27096</v>
      </c>
      <c r="E20407" s="0" t="inlineStr">
        <is>
          <t xml:space="preserve">Mazda</t>
        </is>
      </c>
      <c r="F20407" s="0" t="inlineStr">
        <is>
          <t xml:space="preserve">Mazda</t>
        </is>
      </c>
      <c r="G20407" s="0" t="s">
        <v>171</v>
      </c>
      <c r="H20407" s="5">
        <v>476.359700</v>
      </c>
    </row>
    <row r="20408" spans="1:9">
      <c r="A20408" s="22" t="str">
        <f>HYPERLINK("https://app.vivvix.com/360/KMI/IntelliDrive/ApplUI/Pages/CreativePages/CustomReportCreativeDetail.aspx?App=23&amp;ReportView=4&amp;Qid=1711279&amp;Row=20400&amp;Col=1","No Title Assigned - #15279357539")</f>
        <v/>
      </c>
      <c r="B20408" s="0" t="s">
        <v>27097</v>
      </c>
      <c r="E20408" s="0" t="inlineStr">
        <is>
          <t xml:space="preserve">Mazda</t>
        </is>
      </c>
      <c r="F20408" s="0" t="inlineStr">
        <is>
          <t xml:space="preserve">Mazda</t>
        </is>
      </c>
      <c r="G20408" s="0" t="s">
        <v>171</v>
      </c>
      <c r="H20408" s="5">
        <v>1225.515600</v>
      </c>
    </row>
    <row r="20409" spans="1:9">
      <c r="A20409" s="22" t="str">
        <f>HYPERLINK("https://app.vivvix.com/360/KMI/IntelliDrive/ApplUI/Pages/CreativePages/CustomReportCreativeDetail.aspx?App=23&amp;ReportView=4&amp;Qid=1711279&amp;Row=20401&amp;Col=1","No Title Assigned - #15279358674")</f>
        <v/>
      </c>
      <c r="B20409" s="0" t="s">
        <v>27098</v>
      </c>
      <c r="E20409" s="0" t="inlineStr">
        <is>
          <t xml:space="preserve">Mazda</t>
        </is>
      </c>
      <c r="F20409" s="0" t="inlineStr">
        <is>
          <t xml:space="preserve">Mazda</t>
        </is>
      </c>
      <c r="G20409" s="0" t="s">
        <v>171</v>
      </c>
      <c r="H20409" s="5">
        <v>113.674000</v>
      </c>
    </row>
    <row r="20410" spans="1:9">
      <c r="A20410" s="22" t="str">
        <f>HYPERLINK("https://app.vivvix.com/360/KMI/IntelliDrive/ApplUI/Pages/CreativePages/CustomReportCreativeDetail.aspx?App=23&amp;ReportView=4&amp;Qid=1711279&amp;Row=20402&amp;Col=1","No Title Assigned - #15279358676")</f>
        <v/>
      </c>
      <c r="B20410" s="0" t="s">
        <v>27099</v>
      </c>
      <c r="E20410" s="0" t="inlineStr">
        <is>
          <t xml:space="preserve">Mazda</t>
        </is>
      </c>
      <c r="F20410" s="0" t="inlineStr">
        <is>
          <t xml:space="preserve">Mazda</t>
        </is>
      </c>
      <c r="G20410" s="0" t="s">
        <v>171</v>
      </c>
      <c r="H20410" s="5">
        <v>113.674000</v>
      </c>
    </row>
    <row r="20411" spans="1:9">
      <c r="A20411" s="22" t="str">
        <f>HYPERLINK("https://app.vivvix.com/360/KMI/IntelliDrive/ApplUI/Pages/CreativePages/CustomReportCreativeDetail.aspx?App=23&amp;ReportView=4&amp;Qid=1711279&amp;Row=20403&amp;Col=1","No Title Assigned - #15279358681")</f>
        <v/>
      </c>
      <c r="B20411" s="0" t="s">
        <v>27100</v>
      </c>
      <c r="E20411" s="0" t="inlineStr">
        <is>
          <t xml:space="preserve">Mazda</t>
        </is>
      </c>
      <c r="F20411" s="0" t="inlineStr">
        <is>
          <t xml:space="preserve">Mazda</t>
        </is>
      </c>
      <c r="G20411" s="0" t="s">
        <v>171</v>
      </c>
      <c r="H20411" s="5">
        <v>597.686900</v>
      </c>
    </row>
    <row r="20412" spans="1:9">
      <c r="A20412" s="22" t="str">
        <f>HYPERLINK("https://app.vivvix.com/360/KMI/IntelliDrive/ApplUI/Pages/CreativePages/CustomReportCreativeDetail.aspx?App=23&amp;ReportView=4&amp;Qid=1711279&amp;Row=20404&amp;Col=1","No Title Assigned - #15279358763")</f>
        <v/>
      </c>
      <c r="B20412" s="0" t="s">
        <v>27101</v>
      </c>
      <c r="E20412" s="0" t="inlineStr">
        <is>
          <t xml:space="preserve">Mazda</t>
        </is>
      </c>
      <c r="F20412" s="0" t="inlineStr">
        <is>
          <t xml:space="preserve">Mazda</t>
        </is>
      </c>
      <c r="G20412" s="0" t="s">
        <v>171</v>
      </c>
      <c r="H20412" s="5">
        <v>1424.165200</v>
      </c>
    </row>
    <row r="20413" spans="1:9">
      <c r="A20413" s="22" t="str">
        <f>HYPERLINK("https://app.vivvix.com/360/KMI/IntelliDrive/ApplUI/Pages/CreativePages/CustomReportCreativeDetail.aspx?App=23&amp;ReportView=4&amp;Qid=1711279&amp;Row=20405&amp;Col=1","No Title Assigned - #15279359967")</f>
        <v/>
      </c>
      <c r="B20413" s="0" t="s">
        <v>27102</v>
      </c>
      <c r="E20413" s="0" t="inlineStr">
        <is>
          <t xml:space="preserve">Mazda</t>
        </is>
      </c>
      <c r="F20413" s="0" t="inlineStr">
        <is>
          <t xml:space="preserve">Mazda</t>
        </is>
      </c>
      <c r="G20413" s="0" t="s">
        <v>171</v>
      </c>
      <c r="H20413" s="5">
        <v>93.655100</v>
      </c>
    </row>
    <row r="20414" spans="1:9">
      <c r="A20414" s="22" t="str">
        <f>HYPERLINK("https://app.vivvix.com/360/KMI/IntelliDrive/ApplUI/Pages/CreativePages/CustomReportCreativeDetail.aspx?App=23&amp;ReportView=4&amp;Qid=1711279&amp;Row=20406&amp;Col=1","No Title Assigned - #15279361277")</f>
        <v/>
      </c>
      <c r="B20414" s="0" t="s">
        <v>27103</v>
      </c>
      <c r="E20414" s="0" t="inlineStr">
        <is>
          <t xml:space="preserve">Mazda</t>
        </is>
      </c>
      <c r="F20414" s="0" t="inlineStr">
        <is>
          <t xml:space="preserve">Mazda</t>
        </is>
      </c>
      <c r="G20414" s="0" t="s">
        <v>171</v>
      </c>
      <c r="H20414" s="5">
        <v>1217.154100</v>
      </c>
    </row>
    <row r="20415" spans="1:9">
      <c r="A20415" s="22" t="str">
        <f>HYPERLINK("https://app.vivvix.com/360/KMI/IntelliDrive/ApplUI/Pages/CreativePages/CustomReportCreativeDetail.aspx?App=23&amp;ReportView=4&amp;Qid=1711279&amp;Row=20407&amp;Col=1","No Title Assigned - #15279361415")</f>
        <v/>
      </c>
      <c r="B20415" s="0" t="s">
        <v>27104</v>
      </c>
      <c r="E20415" s="0" t="inlineStr">
        <is>
          <t xml:space="preserve">Mazda</t>
        </is>
      </c>
      <c r="F20415" s="0" t="inlineStr">
        <is>
          <t xml:space="preserve">Mazda</t>
        </is>
      </c>
      <c r="G20415" s="0" t="s">
        <v>171</v>
      </c>
      <c r="H20415" s="5">
        <v>6517.450200</v>
      </c>
    </row>
    <row r="20416" spans="1:9">
      <c r="A20416" s="22" t="str">
        <f>HYPERLINK("https://app.vivvix.com/360/KMI/IntelliDrive/ApplUI/Pages/CreativePages/CustomReportCreativeDetail.aspx?App=23&amp;ReportView=4&amp;Qid=1711279&amp;Row=20408&amp;Col=1","No Title Assigned - #15279361416")</f>
        <v/>
      </c>
      <c r="B20416" s="0" t="s">
        <v>27105</v>
      </c>
      <c r="E20416" s="0" t="inlineStr">
        <is>
          <t xml:space="preserve">Mazda</t>
        </is>
      </c>
      <c r="F20416" s="0" t="inlineStr">
        <is>
          <t xml:space="preserve">Mazda</t>
        </is>
      </c>
      <c r="G20416" s="0" t="s">
        <v>171</v>
      </c>
      <c r="H20416" s="5">
        <v>6517.450200</v>
      </c>
    </row>
    <row r="20417" spans="1:9">
      <c r="A20417" s="22" t="str">
        <f>HYPERLINK("https://app.vivvix.com/360/KMI/IntelliDrive/ApplUI/Pages/CreativePages/CustomReportCreativeDetail.aspx?App=23&amp;ReportView=4&amp;Qid=1711279&amp;Row=20409&amp;Col=1","No Title Assigned - #15279361416")</f>
        <v/>
      </c>
      <c r="B20417" s="0" t="s">
        <v>27105</v>
      </c>
      <c r="C20417" s="0" t="s">
        <v>27106</v>
      </c>
      <c r="D20417" s="0" t="s">
        <v>27106</v>
      </c>
      <c r="E20417" s="0" t="inlineStr">
        <is>
          <t xml:space="preserve">Mazda</t>
        </is>
      </c>
      <c r="F20417" s="0" t="inlineStr">
        <is>
          <t xml:space="preserve">Mazda</t>
        </is>
      </c>
      <c r="G20417" s="0" t="s">
        <v>171</v>
      </c>
      <c r="H20417" s="5">
        <v>184.781500</v>
      </c>
    </row>
    <row r="20418" spans="1:9">
      <c r="A20418" s="22" t="str">
        <f>HYPERLINK("https://app.vivvix.com/360/KMI/IntelliDrive/ApplUI/Pages/CreativePages/CustomReportCreativeDetail.aspx?App=23&amp;ReportView=4&amp;Qid=1711279&amp;Row=20410&amp;Col=1","No Title Assigned - #15279361431")</f>
        <v/>
      </c>
      <c r="B20418" s="0" t="s">
        <v>27107</v>
      </c>
      <c r="E20418" s="0" t="inlineStr">
        <is>
          <t xml:space="preserve">Mazda</t>
        </is>
      </c>
      <c r="F20418" s="0" t="inlineStr">
        <is>
          <t xml:space="preserve">Mazda</t>
        </is>
      </c>
      <c r="G20418" s="0" t="s">
        <v>171</v>
      </c>
      <c r="H20418" s="5">
        <v>56.338400</v>
      </c>
    </row>
    <row r="20419" spans="1:9">
      <c r="A20419" s="22" t="str">
        <f>HYPERLINK("https://app.vivvix.com/360/KMI/IntelliDrive/ApplUI/Pages/CreativePages/CustomReportCreativeDetail.aspx?App=23&amp;ReportView=4&amp;Qid=1711279&amp;Row=20411&amp;Col=1","No Title Assigned - #15279361639")</f>
        <v/>
      </c>
      <c r="B20419" s="0" t="s">
        <v>27108</v>
      </c>
      <c r="E20419" s="0" t="inlineStr">
        <is>
          <t xml:space="preserve">Mazda</t>
        </is>
      </c>
      <c r="F20419" s="0" t="inlineStr">
        <is>
          <t xml:space="preserve">Mazda</t>
        </is>
      </c>
      <c r="G20419" s="0" t="s">
        <v>171</v>
      </c>
      <c r="H20419" s="5">
        <v>28.169200</v>
      </c>
    </row>
    <row r="20420" spans="1:9">
      <c r="A20420" s="22" t="str">
        <f>HYPERLINK("https://app.vivvix.com/360/KMI/IntelliDrive/ApplUI/Pages/CreativePages/CustomReportCreativeDetail.aspx?App=23&amp;ReportView=4&amp;Qid=1711279&amp;Row=20412&amp;Col=1","No Title Assigned - #15279362327")</f>
        <v/>
      </c>
      <c r="B20420" s="0" t="s">
        <v>27109</v>
      </c>
      <c r="E20420" s="0" t="inlineStr">
        <is>
          <t xml:space="preserve">Mazda</t>
        </is>
      </c>
      <c r="F20420" s="0" t="inlineStr">
        <is>
          <t xml:space="preserve">Mazda</t>
        </is>
      </c>
      <c r="G20420" s="0" t="s">
        <v>171</v>
      </c>
      <c r="H20420" s="5">
        <v>20.872600</v>
      </c>
    </row>
    <row r="20421" spans="1:9">
      <c r="A20421" s="22" t="str">
        <f>HYPERLINK("https://app.vivvix.com/360/KMI/IntelliDrive/ApplUI/Pages/CreativePages/CustomReportCreativeDetail.aspx?App=23&amp;ReportView=4&amp;Qid=1711279&amp;Row=20413&amp;Col=1","No Title Assigned - #15279362501")</f>
        <v/>
      </c>
      <c r="B20421" s="0" t="s">
        <v>27110</v>
      </c>
      <c r="E20421" s="0" t="inlineStr">
        <is>
          <t xml:space="preserve">Mazda</t>
        </is>
      </c>
      <c r="F20421" s="0" t="inlineStr">
        <is>
          <t xml:space="preserve">Mazda</t>
        </is>
      </c>
      <c r="G20421" s="0" t="s">
        <v>171</v>
      </c>
      <c r="H20421" s="5">
        <v>15.884700</v>
      </c>
    </row>
    <row r="20422" spans="1:9">
      <c r="A20422" s="22" t="str">
        <f>HYPERLINK("https://app.vivvix.com/360/KMI/IntelliDrive/ApplUI/Pages/CreativePages/CustomReportCreativeDetail.aspx?App=23&amp;ReportView=4&amp;Qid=1711279&amp;Row=20414&amp;Col=1","No Title Assigned - #15279362556")</f>
        <v/>
      </c>
      <c r="B20422" s="0" t="s">
        <v>27111</v>
      </c>
      <c r="E20422" s="0" t="inlineStr">
        <is>
          <t xml:space="preserve">Mazda</t>
        </is>
      </c>
      <c r="F20422" s="0" t="inlineStr">
        <is>
          <t xml:space="preserve">Mazda</t>
        </is>
      </c>
      <c r="G20422" s="0" t="s">
        <v>171</v>
      </c>
      <c r="H20422" s="5">
        <v>13.207900</v>
      </c>
    </row>
    <row r="20423" spans="1:9">
      <c r="A20423" s="22" t="str">
        <f>HYPERLINK("https://app.vivvix.com/360/KMI/IntelliDrive/ApplUI/Pages/CreativePages/CustomReportCreativeDetail.aspx?App=23&amp;ReportView=4&amp;Qid=1711279&amp;Row=20415&amp;Col=1","No Title Assigned - #15279362627")</f>
        <v/>
      </c>
      <c r="B20423" s="0" t="s">
        <v>27112</v>
      </c>
      <c r="E20423" s="0" t="inlineStr">
        <is>
          <t xml:space="preserve">Mazda</t>
        </is>
      </c>
      <c r="F20423" s="0" t="inlineStr">
        <is>
          <t xml:space="preserve">Mazda</t>
        </is>
      </c>
      <c r="G20423" s="0" t="s">
        <v>171</v>
      </c>
      <c r="H20423" s="5">
        <v>752.919200</v>
      </c>
    </row>
    <row r="20424" spans="1:9">
      <c r="A20424" s="22" t="str">
        <f>HYPERLINK("https://app.vivvix.com/360/KMI/IntelliDrive/ApplUI/Pages/CreativePages/CustomReportCreativeDetail.aspx?App=23&amp;ReportView=4&amp;Qid=1711279&amp;Row=20416&amp;Col=1","No Title Assigned - #15279362707")</f>
        <v/>
      </c>
      <c r="B20424" s="0" t="s">
        <v>27113</v>
      </c>
      <c r="E20424" s="0" t="inlineStr">
        <is>
          <t xml:space="preserve">Mazda</t>
        </is>
      </c>
      <c r="F20424" s="0" t="inlineStr">
        <is>
          <t xml:space="preserve">Mazda</t>
        </is>
      </c>
      <c r="G20424" s="0" t="s">
        <v>171</v>
      </c>
      <c r="H20424" s="5">
        <v>102.394500</v>
      </c>
    </row>
    <row r="20425" spans="1:9">
      <c r="A20425" s="22" t="str">
        <f>HYPERLINK("https://app.vivvix.com/360/KMI/IntelliDrive/ApplUI/Pages/CreativePages/CustomReportCreativeDetail.aspx?App=23&amp;ReportView=4&amp;Qid=1711279&amp;Row=20417&amp;Col=1","No Title Assigned - #15279363269")</f>
        <v/>
      </c>
      <c r="B20425" s="0" t="s">
        <v>27114</v>
      </c>
      <c r="C20425" s="0" t="s">
        <v>27115</v>
      </c>
      <c r="D20425" s="0" t="s">
        <v>27115</v>
      </c>
      <c r="E20425" s="0" t="inlineStr">
        <is>
          <t xml:space="preserve">Mazda</t>
        </is>
      </c>
      <c r="F20425" s="0" t="s">
        <v>13</v>
      </c>
      <c r="G20425" s="0" t="s">
        <v>49</v>
      </c>
      <c r="H20425" s="5">
        <v>2.220900</v>
      </c>
    </row>
    <row r="20426" spans="1:9">
      <c r="A20426" s="22" t="str">
        <f>HYPERLINK("https://app.vivvix.com/360/KMI/IntelliDrive/ApplUI/Pages/CreativePages/CustomReportCreativeDetail.aspx?App=23&amp;ReportView=4&amp;Qid=1711279&amp;Row=20418&amp;Col=1","No Title Assigned - #15279363305")</f>
        <v/>
      </c>
      <c r="B20426" s="0" t="s">
        <v>27116</v>
      </c>
      <c r="E20426" s="0" t="inlineStr">
        <is>
          <t xml:space="preserve">Mazda</t>
        </is>
      </c>
      <c r="F20426" s="0" t="inlineStr">
        <is>
          <t xml:space="preserve">Mazda</t>
        </is>
      </c>
      <c r="G20426" s="0" t="s">
        <v>171</v>
      </c>
      <c r="H20426" s="5">
        <v>447.207200</v>
      </c>
    </row>
    <row r="20427" spans="1:9">
      <c r="A20427" s="22" t="str">
        <f>HYPERLINK("https://app.vivvix.com/360/KMI/IntelliDrive/ApplUI/Pages/CreativePages/CustomReportCreativeDetail.aspx?App=23&amp;ReportView=4&amp;Qid=1711279&amp;Row=20419&amp;Col=1","No Title Assigned - #15279363427")</f>
        <v/>
      </c>
      <c r="B20427" s="0" t="s">
        <v>27117</v>
      </c>
      <c r="E20427" s="0" t="inlineStr">
        <is>
          <t xml:space="preserve">Mazda</t>
        </is>
      </c>
      <c r="F20427" s="0" t="inlineStr">
        <is>
          <t xml:space="preserve">Mazda</t>
        </is>
      </c>
      <c r="G20427" s="0" t="s">
        <v>171</v>
      </c>
      <c r="H20427" s="5">
        <v>2155.849700</v>
      </c>
    </row>
    <row r="20428" spans="1:9">
      <c r="A20428" s="22" t="str">
        <f>HYPERLINK("https://app.vivvix.com/360/KMI/IntelliDrive/ApplUI/Pages/CreativePages/CustomReportCreativeDetail.aspx?App=23&amp;ReportView=4&amp;Qid=1711279&amp;Row=20420&amp;Col=1","No Title Assigned - #15279363709")</f>
        <v/>
      </c>
      <c r="B20428" s="0" t="s">
        <v>27118</v>
      </c>
      <c r="C20428" s="0" t="s">
        <v>27119</v>
      </c>
      <c r="D20428" s="0" t="s">
        <v>27119</v>
      </c>
      <c r="E20428" s="0" t="inlineStr">
        <is>
          <t xml:space="preserve">Mazda</t>
        </is>
      </c>
      <c r="F20428" s="0" t="inlineStr">
        <is>
          <t xml:space="preserve">Mazda</t>
        </is>
      </c>
      <c r="G20428" s="0" t="s">
        <v>171</v>
      </c>
      <c r="H20428" s="5">
        <v>1240.036100</v>
      </c>
    </row>
    <row r="20429" spans="1:9">
      <c r="A20429" s="22" t="str">
        <f>HYPERLINK("https://app.vivvix.com/360/KMI/IntelliDrive/ApplUI/Pages/CreativePages/CustomReportCreativeDetail.aspx?App=23&amp;ReportView=4&amp;Qid=1711279&amp;Row=20421&amp;Col=1","No Title Assigned - #15279363793")</f>
        <v/>
      </c>
      <c r="B20429" s="0" t="s">
        <v>27120</v>
      </c>
      <c r="E20429" s="0" t="inlineStr">
        <is>
          <t xml:space="preserve">Mazda</t>
        </is>
      </c>
      <c r="F20429" s="0" t="inlineStr">
        <is>
          <t xml:space="preserve">Mazda</t>
        </is>
      </c>
      <c r="G20429" s="0" t="s">
        <v>171</v>
      </c>
      <c r="H20429" s="5">
        <v>3720.108300</v>
      </c>
    </row>
    <row r="20430" spans="1:9">
      <c r="A20430" s="22" t="str">
        <f>HYPERLINK("https://app.vivvix.com/360/KMI/IntelliDrive/ApplUI/Pages/CreativePages/CustomReportCreativeDetail.aspx?App=23&amp;ReportView=4&amp;Qid=1711279&amp;Row=20422&amp;Col=1","No Title Assigned - #15279363810")</f>
        <v/>
      </c>
      <c r="B20430" s="0" t="s">
        <v>27121</v>
      </c>
      <c r="E20430" s="0" t="inlineStr">
        <is>
          <t xml:space="preserve">Mazda</t>
        </is>
      </c>
      <c r="F20430" s="0" t="inlineStr">
        <is>
          <t xml:space="preserve">Mazda</t>
        </is>
      </c>
      <c r="G20430" s="0" t="s">
        <v>171</v>
      </c>
      <c r="H20430" s="5">
        <v>42.193200</v>
      </c>
    </row>
    <row r="20431" spans="1:9">
      <c r="A20431" s="22" t="str">
        <f>HYPERLINK("https://app.vivvix.com/360/KMI/IntelliDrive/ApplUI/Pages/CreativePages/CustomReportCreativeDetail.aspx?App=23&amp;ReportView=4&amp;Qid=1711279&amp;Row=20423&amp;Col=1","No Title Assigned - #15279364365")</f>
        <v/>
      </c>
      <c r="B20431" s="0" t="s">
        <v>27122</v>
      </c>
      <c r="E20431" s="0" t="inlineStr">
        <is>
          <t xml:space="preserve">Mazda</t>
        </is>
      </c>
      <c r="F20431" s="0" t="inlineStr">
        <is>
          <t xml:space="preserve">Mazda</t>
        </is>
      </c>
      <c r="G20431" s="0" t="s">
        <v>171</v>
      </c>
      <c r="H20431" s="5">
        <v>29.858700</v>
      </c>
    </row>
    <row r="20432" spans="1:9">
      <c r="A20432" s="22" t="str">
        <f>HYPERLINK("https://app.vivvix.com/360/KMI/IntelliDrive/ApplUI/Pages/CreativePages/CustomReportCreativeDetail.aspx?App=23&amp;ReportView=4&amp;Qid=1711279&amp;Row=20424&amp;Col=1","No Title Assigned - #15279364615")</f>
        <v/>
      </c>
      <c r="B20432" s="0" t="s">
        <v>27123</v>
      </c>
      <c r="E20432" s="0" t="inlineStr">
        <is>
          <t xml:space="preserve">Mazda</t>
        </is>
      </c>
      <c r="F20432" s="0" t="inlineStr">
        <is>
          <t xml:space="preserve">Mazda</t>
        </is>
      </c>
      <c r="G20432" s="0" t="s">
        <v>171</v>
      </c>
      <c r="H20432" s="5">
        <v>409.217900</v>
      </c>
    </row>
    <row r="20433" spans="1:9">
      <c r="A20433" s="22" t="str">
        <f>HYPERLINK("https://app.vivvix.com/360/KMI/IntelliDrive/ApplUI/Pages/CreativePages/CustomReportCreativeDetail.aspx?App=23&amp;ReportView=4&amp;Qid=1711279&amp;Row=20425&amp;Col=1","No Title Assigned - #15279365091")</f>
        <v/>
      </c>
      <c r="B20433" s="0" t="s">
        <v>27124</v>
      </c>
      <c r="E20433" s="0" t="inlineStr">
        <is>
          <t xml:space="preserve">Mazda</t>
        </is>
      </c>
      <c r="F20433" s="0" t="inlineStr">
        <is>
          <t xml:space="preserve">Mazda</t>
        </is>
      </c>
      <c r="G20433" s="0" t="s">
        <v>171</v>
      </c>
      <c r="H20433" s="5">
        <v>3.407800</v>
      </c>
    </row>
    <row r="20434" spans="1:9">
      <c r="A20434" s="22" t="str">
        <f>HYPERLINK("https://app.vivvix.com/360/KMI/IntelliDrive/ApplUI/Pages/CreativePages/CustomReportCreativeDetail.aspx?App=23&amp;ReportView=4&amp;Qid=1711279&amp;Row=20426&amp;Col=1","No Title Assigned - #15279365152")</f>
        <v/>
      </c>
      <c r="B20434" s="0" t="s">
        <v>27125</v>
      </c>
      <c r="E20434" s="0" t="inlineStr">
        <is>
          <t xml:space="preserve">Mazda</t>
        </is>
      </c>
      <c r="F20434" s="0" t="inlineStr">
        <is>
          <t xml:space="preserve">Mazda</t>
        </is>
      </c>
      <c r="G20434" s="0" t="s">
        <v>171</v>
      </c>
      <c r="H20434" s="5">
        <v>182.233200</v>
      </c>
    </row>
    <row r="20435" spans="1:9">
      <c r="A20435" s="22" t="str">
        <f>HYPERLINK("https://app.vivvix.com/360/KMI/IntelliDrive/ApplUI/Pages/CreativePages/CustomReportCreativeDetail.aspx?App=23&amp;ReportView=4&amp;Qid=1711279&amp;Row=20427&amp;Col=1","No Title Assigned - #15279365366")</f>
        <v/>
      </c>
      <c r="B20435" s="0" t="s">
        <v>27126</v>
      </c>
      <c r="E20435" s="0" t="inlineStr">
        <is>
          <t xml:space="preserve">Mazda</t>
        </is>
      </c>
      <c r="F20435" s="0" t="inlineStr">
        <is>
          <t xml:space="preserve">Mazda</t>
        </is>
      </c>
      <c r="G20435" s="0" t="s">
        <v>171</v>
      </c>
      <c r="H20435" s="5">
        <v>729.715000</v>
      </c>
    </row>
    <row r="20436" spans="1:9">
      <c r="A20436" s="22" t="str">
        <f>HYPERLINK("https://app.vivvix.com/360/KMI/IntelliDrive/ApplUI/Pages/CreativePages/CustomReportCreativeDetail.aspx?App=23&amp;ReportView=4&amp;Qid=1711279&amp;Row=20428&amp;Col=1","No Title Assigned - #15279365386")</f>
        <v/>
      </c>
      <c r="B20436" s="0" t="s">
        <v>27127</v>
      </c>
      <c r="E20436" s="0" t="inlineStr">
        <is>
          <t xml:space="preserve">Mazda</t>
        </is>
      </c>
      <c r="F20436" s="0" t="inlineStr">
        <is>
          <t xml:space="preserve">Mazda</t>
        </is>
      </c>
      <c r="G20436" s="0" t="s">
        <v>171</v>
      </c>
      <c r="H20436" s="5">
        <v>110.674600</v>
      </c>
    </row>
    <row r="20437" spans="1:9">
      <c r="A20437" s="22" t="str">
        <f>HYPERLINK("https://app.vivvix.com/360/KMI/IntelliDrive/ApplUI/Pages/CreativePages/CustomReportCreativeDetail.aspx?App=23&amp;ReportView=4&amp;Qid=1711279&amp;Row=20429&amp;Col=1","No Title Assigned - #15279365386")</f>
        <v/>
      </c>
      <c r="B20437" s="0" t="s">
        <v>27127</v>
      </c>
      <c r="E20437" s="0" t="inlineStr">
        <is>
          <t xml:space="preserve">Mazda</t>
        </is>
      </c>
      <c r="F20437" s="0" t="inlineStr">
        <is>
          <t xml:space="preserve">Mazda</t>
        </is>
      </c>
      <c r="G20437" s="0" t="s">
        <v>171</v>
      </c>
      <c r="H20437" s="5">
        <v>61.006800</v>
      </c>
    </row>
    <row r="20438" spans="1:9">
      <c r="A20438" s="22" t="str">
        <f>HYPERLINK("https://app.vivvix.com/360/KMI/IntelliDrive/ApplUI/Pages/CreativePages/CustomReportCreativeDetail.aspx?App=23&amp;ReportView=4&amp;Qid=1711279&amp;Row=20430&amp;Col=1","No Title Assigned - #15279365481")</f>
        <v/>
      </c>
      <c r="B20438" s="0" t="s">
        <v>27128</v>
      </c>
      <c r="E20438" s="0" t="inlineStr">
        <is>
          <t xml:space="preserve">Mazda</t>
        </is>
      </c>
      <c r="F20438" s="0" t="inlineStr">
        <is>
          <t xml:space="preserve">Mazda</t>
        </is>
      </c>
      <c r="G20438" s="0" t="s">
        <v>171</v>
      </c>
      <c r="H20438" s="5">
        <v>697.093400</v>
      </c>
    </row>
    <row r="20439" spans="1:9">
      <c r="A20439" s="22" t="str">
        <f>HYPERLINK("https://app.vivvix.com/360/KMI/IntelliDrive/ApplUI/Pages/CreativePages/CustomReportCreativeDetail.aspx?App=23&amp;ReportView=4&amp;Qid=1711279&amp;Row=20431&amp;Col=1","No Title Assigned - #15279365607")</f>
        <v/>
      </c>
      <c r="B20439" s="0" t="s">
        <v>27129</v>
      </c>
      <c r="E20439" s="0" t="inlineStr">
        <is>
          <t xml:space="preserve">Mazda</t>
        </is>
      </c>
      <c r="F20439" s="0" t="inlineStr">
        <is>
          <t xml:space="preserve">Mazda</t>
        </is>
      </c>
      <c r="G20439" s="0" t="s">
        <v>171</v>
      </c>
      <c r="H20439" s="5">
        <v>20.872600</v>
      </c>
    </row>
    <row r="20440" spans="1:9">
      <c r="A20440" s="22" t="str">
        <f>HYPERLINK("https://app.vivvix.com/360/KMI/IntelliDrive/ApplUI/Pages/CreativePages/CustomReportCreativeDetail.aspx?App=23&amp;ReportView=4&amp;Qid=1711279&amp;Row=20432&amp;Col=1","No Title Assigned - #15279365614")</f>
        <v/>
      </c>
      <c r="B20440" s="0" t="s">
        <v>27130</v>
      </c>
      <c r="E20440" s="0" t="inlineStr">
        <is>
          <t xml:space="preserve">Mazda</t>
        </is>
      </c>
      <c r="F20440" s="0" t="inlineStr">
        <is>
          <t xml:space="preserve">Mazda</t>
        </is>
      </c>
      <c r="G20440" s="0" t="s">
        <v>171</v>
      </c>
      <c r="H20440" s="5">
        <v>457.165700</v>
      </c>
    </row>
    <row r="20441" spans="1:9">
      <c r="A20441" s="22" t="str">
        <f>HYPERLINK("https://app.vivvix.com/360/KMI/IntelliDrive/ApplUI/Pages/CreativePages/CustomReportCreativeDetail.aspx?App=23&amp;ReportView=4&amp;Qid=1711279&amp;Row=20433&amp;Col=1","No Title Assigned - #15279365955")</f>
        <v/>
      </c>
      <c r="B20441" s="0" t="s">
        <v>27131</v>
      </c>
      <c r="E20441" s="0" t="inlineStr">
        <is>
          <t xml:space="preserve">Mazda</t>
        </is>
      </c>
      <c r="F20441" s="0" t="inlineStr">
        <is>
          <t xml:space="preserve">Mazda</t>
        </is>
      </c>
      <c r="G20441" s="0" t="s">
        <v>171</v>
      </c>
      <c r="H20441" s="5">
        <v>351.938700</v>
      </c>
    </row>
    <row r="20442" spans="1:9">
      <c r="A20442" s="22" t="str">
        <f>HYPERLINK("https://app.vivvix.com/360/KMI/IntelliDrive/ApplUI/Pages/CreativePages/CustomReportCreativeDetail.aspx?App=23&amp;ReportView=4&amp;Qid=1711279&amp;Row=20434&amp;Col=1","No Title Assigned - #15279366027")</f>
        <v/>
      </c>
      <c r="B20442" s="0" t="s">
        <v>27132</v>
      </c>
      <c r="E20442" s="0" t="inlineStr">
        <is>
          <t xml:space="preserve">Mazda</t>
        </is>
      </c>
      <c r="F20442" s="0" t="inlineStr">
        <is>
          <t xml:space="preserve">Mazda</t>
        </is>
      </c>
      <c r="G20442" s="0" t="s">
        <v>171</v>
      </c>
      <c r="H20442" s="5">
        <v>28.280800</v>
      </c>
    </row>
    <row r="20443" spans="1:9">
      <c r="A20443" s="22" t="str">
        <f>HYPERLINK("https://app.vivvix.com/360/KMI/IntelliDrive/ApplUI/Pages/CreativePages/CustomReportCreativeDetail.aspx?App=23&amp;ReportView=4&amp;Qid=1711279&amp;Row=20435&amp;Col=1","No Title Assigned - #15279366371")</f>
        <v/>
      </c>
      <c r="B20443" s="0" t="s">
        <v>27133</v>
      </c>
      <c r="E20443" s="0" t="inlineStr">
        <is>
          <t xml:space="preserve">Mazda</t>
        </is>
      </c>
      <c r="F20443" s="0" t="inlineStr">
        <is>
          <t xml:space="preserve">Mazda</t>
        </is>
      </c>
      <c r="G20443" s="0" t="s">
        <v>171</v>
      </c>
      <c r="H20443" s="5">
        <v>267.851000</v>
      </c>
    </row>
    <row r="20444" spans="1:9">
      <c r="A20444" s="22" t="str">
        <f>HYPERLINK("https://app.vivvix.com/360/KMI/IntelliDrive/ApplUI/Pages/CreativePages/CustomReportCreativeDetail.aspx?App=23&amp;ReportView=4&amp;Qid=1711279&amp;Row=20436&amp;Col=1","No Title Assigned - #15279366383")</f>
        <v/>
      </c>
      <c r="B20444" s="0" t="s">
        <v>27134</v>
      </c>
      <c r="E20444" s="0" t="inlineStr">
        <is>
          <t xml:space="preserve">Mazda</t>
        </is>
      </c>
      <c r="F20444" s="0" t="inlineStr">
        <is>
          <t xml:space="preserve">Mazda</t>
        </is>
      </c>
      <c r="G20444" s="0" t="s">
        <v>171</v>
      </c>
      <c r="H20444" s="5">
        <v>979.040800</v>
      </c>
    </row>
    <row r="20445" spans="1:9">
      <c r="A20445" s="22" t="str">
        <f>HYPERLINK("https://app.vivvix.com/360/KMI/IntelliDrive/ApplUI/Pages/CreativePages/CustomReportCreativeDetail.aspx?App=23&amp;ReportView=4&amp;Qid=1711279&amp;Row=20437&amp;Col=1","No Title Assigned - #15279366383")</f>
        <v/>
      </c>
      <c r="B20445" s="0" t="s">
        <v>27134</v>
      </c>
      <c r="E20445" s="0" t="inlineStr">
        <is>
          <t xml:space="preserve">Mazda</t>
        </is>
      </c>
      <c r="F20445" s="0" t="inlineStr">
        <is>
          <t xml:space="preserve">Mazda</t>
        </is>
      </c>
      <c r="G20445" s="0" t="s">
        <v>171</v>
      </c>
      <c r="H20445" s="5">
        <v>438.808500</v>
      </c>
    </row>
    <row r="20446" spans="1:9">
      <c r="A20446" s="22" t="str">
        <f>HYPERLINK("https://app.vivvix.com/360/KMI/IntelliDrive/ApplUI/Pages/CreativePages/CustomReportCreativeDetail.aspx?App=23&amp;ReportView=4&amp;Qid=1711279&amp;Row=20438&amp;Col=1","No Title Assigned - #15279366686")</f>
        <v/>
      </c>
      <c r="B20446" s="0" t="s">
        <v>27135</v>
      </c>
      <c r="E20446" s="0" t="inlineStr">
        <is>
          <t xml:space="preserve">Mazda</t>
        </is>
      </c>
      <c r="F20446" s="0" t="inlineStr">
        <is>
          <t xml:space="preserve">Mazda</t>
        </is>
      </c>
      <c r="G20446" s="0" t="s">
        <v>171</v>
      </c>
      <c r="H20446" s="5">
        <v>473.840800</v>
      </c>
    </row>
    <row r="20447" spans="1:9">
      <c r="A20447" s="22" t="str">
        <f>HYPERLINK("https://app.vivvix.com/360/KMI/IntelliDrive/ApplUI/Pages/CreativePages/CustomReportCreativeDetail.aspx?App=23&amp;ReportView=4&amp;Qid=1711279&amp;Row=20439&amp;Col=1","No Title Assigned - #15279366797")</f>
        <v/>
      </c>
      <c r="B20447" s="0" t="s">
        <v>27136</v>
      </c>
      <c r="E20447" s="0" t="inlineStr">
        <is>
          <t xml:space="preserve">Mazda</t>
        </is>
      </c>
      <c r="F20447" s="0" t="inlineStr">
        <is>
          <t xml:space="preserve">Mazda</t>
        </is>
      </c>
      <c r="G20447" s="0" t="s">
        <v>171</v>
      </c>
      <c r="H20447" s="5">
        <v>92.416700</v>
      </c>
    </row>
    <row r="20448" spans="1:9">
      <c r="A20448" s="22" t="str">
        <f>HYPERLINK("https://app.vivvix.com/360/KMI/IntelliDrive/ApplUI/Pages/CreativePages/CustomReportCreativeDetail.aspx?App=23&amp;ReportView=4&amp;Qid=1711279&amp;Row=20440&amp;Col=1","No Title Assigned - #15279366903")</f>
        <v/>
      </c>
      <c r="B20448" s="0" t="s">
        <v>27137</v>
      </c>
      <c r="E20448" s="0" t="inlineStr">
        <is>
          <t xml:space="preserve">Mazda</t>
        </is>
      </c>
      <c r="F20448" s="0" t="inlineStr">
        <is>
          <t xml:space="preserve">Mazda</t>
        </is>
      </c>
      <c r="G20448" s="0" t="s">
        <v>171</v>
      </c>
      <c r="H20448" s="5">
        <v>456.712500</v>
      </c>
    </row>
    <row r="20449" spans="1:9">
      <c r="A20449" s="22" t="str">
        <f>HYPERLINK("https://app.vivvix.com/360/KMI/IntelliDrive/ApplUI/Pages/CreativePages/CustomReportCreativeDetail.aspx?App=23&amp;ReportView=4&amp;Qid=1711279&amp;Row=20441&amp;Col=1","No Title Assigned - #15279367059")</f>
        <v/>
      </c>
      <c r="B20449" s="0" t="s">
        <v>27138</v>
      </c>
      <c r="E20449" s="0" t="inlineStr">
        <is>
          <t xml:space="preserve">Mazda</t>
        </is>
      </c>
      <c r="F20449" s="0" t="inlineStr">
        <is>
          <t xml:space="preserve">Mazda</t>
        </is>
      </c>
      <c r="G20449" s="0" t="s">
        <v>171</v>
      </c>
      <c r="H20449" s="5">
        <v>1438.999700</v>
      </c>
    </row>
    <row r="20450" spans="1:9">
      <c r="A20450" s="22" t="str">
        <f>HYPERLINK("https://app.vivvix.com/360/KMI/IntelliDrive/ApplUI/Pages/CreativePages/CustomReportCreativeDetail.aspx?App=23&amp;ReportView=4&amp;Qid=1711279&amp;Row=20442&amp;Col=1","No Title Assigned - #15279367359")</f>
        <v/>
      </c>
      <c r="B20450" s="0" t="s">
        <v>27139</v>
      </c>
      <c r="E20450" s="0" t="inlineStr">
        <is>
          <t xml:space="preserve">Mazda</t>
        </is>
      </c>
      <c r="F20450" s="0" t="inlineStr">
        <is>
          <t xml:space="preserve">Mazda</t>
        </is>
      </c>
      <c r="G20450" s="0" t="s">
        <v>171</v>
      </c>
      <c r="H20450" s="5">
        <v>340.043600</v>
      </c>
    </row>
    <row r="20451" spans="1:9">
      <c r="A20451" s="22" t="str">
        <f>HYPERLINK("https://app.vivvix.com/360/KMI/IntelliDrive/ApplUI/Pages/CreativePages/CustomReportCreativeDetail.aspx?App=23&amp;ReportView=4&amp;Qid=1711279&amp;Row=20443&amp;Col=1","No Title Assigned - #15279367359")</f>
        <v/>
      </c>
      <c r="B20451" s="0" t="s">
        <v>27139</v>
      </c>
      <c r="E20451" s="0" t="inlineStr">
        <is>
          <t xml:space="preserve">Mazda</t>
        </is>
      </c>
      <c r="F20451" s="0" t="inlineStr">
        <is>
          <t xml:space="preserve">Mazda</t>
        </is>
      </c>
      <c r="G20451" s="0" t="s">
        <v>171</v>
      </c>
      <c r="H20451" s="5">
        <v>68706.039100</v>
      </c>
    </row>
    <row r="20452" spans="1:9">
      <c r="A20452" s="22" t="str">
        <f>HYPERLINK("https://app.vivvix.com/360/KMI/IntelliDrive/ApplUI/Pages/CreativePages/CustomReportCreativeDetail.aspx?App=23&amp;ReportView=4&amp;Qid=1711279&amp;Row=20444&amp;Col=1","No Title Assigned - #15279367369")</f>
        <v/>
      </c>
      <c r="B20452" s="0" t="s">
        <v>27140</v>
      </c>
      <c r="E20452" s="0" t="inlineStr">
        <is>
          <t xml:space="preserve">Mazda</t>
        </is>
      </c>
      <c r="F20452" s="0" t="inlineStr">
        <is>
          <t xml:space="preserve">Mazda</t>
        </is>
      </c>
      <c r="G20452" s="0" t="s">
        <v>171</v>
      </c>
      <c r="H20452" s="5">
        <v>1187.463900</v>
      </c>
    </row>
    <row r="20453" spans="1:9">
      <c r="A20453" s="22" t="str">
        <f>HYPERLINK("https://app.vivvix.com/360/KMI/IntelliDrive/ApplUI/Pages/CreativePages/CustomReportCreativeDetail.aspx?App=23&amp;ReportView=4&amp;Qid=1711279&amp;Row=20445&amp;Col=1","No Title Assigned - #15279367768")</f>
        <v/>
      </c>
      <c r="B20453" s="0" t="s">
        <v>27141</v>
      </c>
      <c r="E20453" s="0" t="inlineStr">
        <is>
          <t xml:space="preserve">Mazda</t>
        </is>
      </c>
      <c r="F20453" s="0" t="inlineStr">
        <is>
          <t xml:space="preserve">Mazda</t>
        </is>
      </c>
      <c r="G20453" s="0" t="s">
        <v>171</v>
      </c>
      <c r="H20453" s="5">
        <v>346.137600</v>
      </c>
    </row>
    <row r="20454" spans="1:9">
      <c r="A20454" s="22" t="str">
        <f>HYPERLINK("https://app.vivvix.com/360/KMI/IntelliDrive/ApplUI/Pages/CreativePages/CustomReportCreativeDetail.aspx?App=23&amp;ReportView=4&amp;Qid=1711279&amp;Row=20446&amp;Col=1","No Title Assigned - #15279367960")</f>
        <v/>
      </c>
      <c r="B20454" s="0" t="s">
        <v>27142</v>
      </c>
      <c r="E20454" s="0" t="inlineStr">
        <is>
          <t xml:space="preserve">Mazda</t>
        </is>
      </c>
      <c r="F20454" s="0" t="inlineStr">
        <is>
          <t xml:space="preserve">Mazda</t>
        </is>
      </c>
      <c r="G20454" s="0" t="s">
        <v>171</v>
      </c>
      <c r="H20454" s="5">
        <v>61.006800</v>
      </c>
    </row>
    <row r="20455" spans="1:9">
      <c r="A20455" s="22" t="str">
        <f>HYPERLINK("https://app.vivvix.com/360/KMI/IntelliDrive/ApplUI/Pages/CreativePages/CustomReportCreativeDetail.aspx?App=23&amp;ReportView=4&amp;Qid=1711279&amp;Row=20447&amp;Col=1","No Title Assigned - #15279368505")</f>
        <v/>
      </c>
      <c r="B20455" s="0" t="s">
        <v>27143</v>
      </c>
      <c r="E20455" s="0" t="inlineStr">
        <is>
          <t xml:space="preserve">Mazda</t>
        </is>
      </c>
      <c r="F20455" s="0" t="inlineStr">
        <is>
          <t xml:space="preserve">Mazda</t>
        </is>
      </c>
      <c r="G20455" s="0" t="s">
        <v>171</v>
      </c>
      <c r="H20455" s="5">
        <v>1453.822000</v>
      </c>
    </row>
    <row r="20456" spans="1:9">
      <c r="A20456" s="22" t="str">
        <f>HYPERLINK("https://app.vivvix.com/360/KMI/IntelliDrive/ApplUI/Pages/CreativePages/CustomReportCreativeDetail.aspx?App=23&amp;ReportView=4&amp;Qid=1711279&amp;Row=20448&amp;Col=1","No Title Assigned - #15279368592")</f>
        <v/>
      </c>
      <c r="B20456" s="0" t="s">
        <v>27144</v>
      </c>
      <c r="E20456" s="0" t="inlineStr">
        <is>
          <t xml:space="preserve">Mazda</t>
        </is>
      </c>
      <c r="F20456" s="0" t="inlineStr">
        <is>
          <t xml:space="preserve">Mazda</t>
        </is>
      </c>
      <c r="G20456" s="0" t="s">
        <v>171</v>
      </c>
      <c r="H20456" s="5">
        <v>4226.529800</v>
      </c>
    </row>
    <row r="20457" spans="1:9">
      <c r="A20457" s="22" t="str">
        <f>HYPERLINK("https://app.vivvix.com/360/KMI/IntelliDrive/ApplUI/Pages/CreativePages/CustomReportCreativeDetail.aspx?App=23&amp;ReportView=4&amp;Qid=1711279&amp;Row=20449&amp;Col=1","No Title Assigned - #15279368592")</f>
        <v/>
      </c>
      <c r="B20457" s="0" t="s">
        <v>27144</v>
      </c>
      <c r="E20457" s="0" t="inlineStr">
        <is>
          <t xml:space="preserve">Mazda</t>
        </is>
      </c>
      <c r="F20457" s="0" t="inlineStr">
        <is>
          <t xml:space="preserve">Mazda</t>
        </is>
      </c>
      <c r="G20457" s="0" t="s">
        <v>171</v>
      </c>
      <c r="H20457" s="5">
        <v>77.594300</v>
      </c>
    </row>
    <row r="20458" spans="1:9">
      <c r="A20458" s="22" t="str">
        <f>HYPERLINK("https://app.vivvix.com/360/KMI/IntelliDrive/ApplUI/Pages/CreativePages/CustomReportCreativeDetail.aspx?App=23&amp;ReportView=4&amp;Qid=1711279&amp;Row=20450&amp;Col=1","No Title Assigned - #15279368690")</f>
        <v/>
      </c>
      <c r="B20458" s="0" t="s">
        <v>27145</v>
      </c>
      <c r="E20458" s="0" t="inlineStr">
        <is>
          <t xml:space="preserve">Mazda</t>
        </is>
      </c>
      <c r="F20458" s="0" t="inlineStr">
        <is>
          <t xml:space="preserve">Mazda</t>
        </is>
      </c>
      <c r="G20458" s="0" t="s">
        <v>171</v>
      </c>
      <c r="H20458" s="5">
        <v>30.899900</v>
      </c>
    </row>
    <row r="20459" spans="1:9">
      <c r="A20459" s="22" t="str">
        <f>HYPERLINK("https://app.vivvix.com/360/KMI/IntelliDrive/ApplUI/Pages/CreativePages/CustomReportCreativeDetail.aspx?App=23&amp;ReportView=4&amp;Qid=1711279&amp;Row=20451&amp;Col=1","No Title Assigned - #15279368692")</f>
        <v/>
      </c>
      <c r="B20459" s="0" t="s">
        <v>27146</v>
      </c>
      <c r="E20459" s="0" t="inlineStr">
        <is>
          <t xml:space="preserve">Mazda</t>
        </is>
      </c>
      <c r="F20459" s="0" t="inlineStr">
        <is>
          <t xml:space="preserve">Mazda</t>
        </is>
      </c>
      <c r="G20459" s="0" t="s">
        <v>171</v>
      </c>
      <c r="H20459" s="5">
        <v>92.311900</v>
      </c>
    </row>
    <row r="20460" spans="1:9">
      <c r="A20460" s="22" t="str">
        <f>HYPERLINK("https://app.vivvix.com/360/KMI/IntelliDrive/ApplUI/Pages/CreativePages/CustomReportCreativeDetail.aspx?App=23&amp;ReportView=4&amp;Qid=1711279&amp;Row=20452&amp;Col=1","No Title Assigned - #15279368693")</f>
        <v/>
      </c>
      <c r="B20460" s="0" t="s">
        <v>27147</v>
      </c>
      <c r="E20460" s="0" t="inlineStr">
        <is>
          <t xml:space="preserve">Mazda</t>
        </is>
      </c>
      <c r="F20460" s="0" t="inlineStr">
        <is>
          <t xml:space="preserve">Mazda</t>
        </is>
      </c>
      <c r="G20460" s="0" t="s">
        <v>171</v>
      </c>
      <c r="H20460" s="5">
        <v>283.497400</v>
      </c>
    </row>
    <row r="20461" spans="1:9">
      <c r="A20461" s="22" t="str">
        <f>HYPERLINK("https://app.vivvix.com/360/KMI/IntelliDrive/ApplUI/Pages/CreativePages/CustomReportCreativeDetail.aspx?App=23&amp;ReportView=4&amp;Qid=1711279&amp;Row=20453&amp;Col=1","No Title Assigned - #15279368726")</f>
        <v/>
      </c>
      <c r="B20461" s="0" t="s">
        <v>27148</v>
      </c>
      <c r="E20461" s="0" t="inlineStr">
        <is>
          <t xml:space="preserve">Mazda</t>
        </is>
      </c>
      <c r="F20461" s="0" t="inlineStr">
        <is>
          <t xml:space="preserve">Mazda</t>
        </is>
      </c>
      <c r="G20461" s="0" t="s">
        <v>171</v>
      </c>
      <c r="H20461" s="5">
        <v>98.703500</v>
      </c>
    </row>
    <row r="20462" spans="1:9">
      <c r="A20462" s="22" t="str">
        <f>HYPERLINK("https://app.vivvix.com/360/KMI/IntelliDrive/ApplUI/Pages/CreativePages/CustomReportCreativeDetail.aspx?App=23&amp;ReportView=4&amp;Qid=1711279&amp;Row=20454&amp;Col=1","No Title Assigned - #15279368877")</f>
        <v/>
      </c>
      <c r="B20462" s="0" t="s">
        <v>27149</v>
      </c>
      <c r="C20462" s="0" t="s">
        <v>27150</v>
      </c>
      <c r="D20462" s="0" t="s">
        <v>27150</v>
      </c>
      <c r="E20462" s="0" t="inlineStr">
        <is>
          <t xml:space="preserve">Mazda</t>
        </is>
      </c>
      <c r="F20462" s="0" t="inlineStr">
        <is>
          <t xml:space="preserve">Mazda</t>
        </is>
      </c>
      <c r="G20462" s="0" t="s">
        <v>171</v>
      </c>
      <c r="H20462" s="5">
        <v>333.890800</v>
      </c>
    </row>
    <row r="20463" spans="1:9">
      <c r="A20463" s="22" t="str">
        <f>HYPERLINK("https://app.vivvix.com/360/KMI/IntelliDrive/ApplUI/Pages/CreativePages/CustomReportCreativeDetail.aspx?App=23&amp;ReportView=4&amp;Qid=1711279&amp;Row=20455&amp;Col=1","No Title Assigned - #15279368926")</f>
        <v/>
      </c>
      <c r="B20463" s="0" t="s">
        <v>27151</v>
      </c>
      <c r="E20463" s="0" t="inlineStr">
        <is>
          <t xml:space="preserve">Mazda</t>
        </is>
      </c>
      <c r="F20463" s="0" t="inlineStr">
        <is>
          <t xml:space="preserve">Mazda</t>
        </is>
      </c>
      <c r="G20463" s="0" t="s">
        <v>171</v>
      </c>
      <c r="H20463" s="5">
        <v>5.543100</v>
      </c>
    </row>
    <row r="20464" spans="1:9">
      <c r="A20464" s="22" t="str">
        <f>HYPERLINK("https://app.vivvix.com/360/KMI/IntelliDrive/ApplUI/Pages/CreativePages/CustomReportCreativeDetail.aspx?App=23&amp;ReportView=4&amp;Qid=1711279&amp;Row=20456&amp;Col=1","No Title Assigned - #15279369029")</f>
        <v/>
      </c>
      <c r="B20464" s="0" t="s">
        <v>27152</v>
      </c>
      <c r="E20464" s="0" t="inlineStr">
        <is>
          <t xml:space="preserve">Mazda</t>
        </is>
      </c>
      <c r="F20464" s="0" t="inlineStr">
        <is>
          <t xml:space="preserve">Mazda</t>
        </is>
      </c>
      <c r="G20464" s="0" t="s">
        <v>171</v>
      </c>
      <c r="H20464" s="5">
        <v>84.530700</v>
      </c>
    </row>
    <row r="20465" spans="1:9">
      <c r="A20465" s="22" t="str">
        <f>HYPERLINK("https://app.vivvix.com/360/KMI/IntelliDrive/ApplUI/Pages/CreativePages/CustomReportCreativeDetail.aspx?App=23&amp;ReportView=4&amp;Qid=1711279&amp;Row=20457&amp;Col=1","No Title Assigned - #15279369174")</f>
        <v/>
      </c>
      <c r="B20465" s="0" t="s">
        <v>27153</v>
      </c>
      <c r="E20465" s="0" t="inlineStr">
        <is>
          <t xml:space="preserve">Mazda</t>
        </is>
      </c>
      <c r="F20465" s="0" t="inlineStr">
        <is>
          <t xml:space="preserve">Mazda</t>
        </is>
      </c>
      <c r="G20465" s="0" t="s">
        <v>171</v>
      </c>
      <c r="H20465" s="5">
        <v>170.587600</v>
      </c>
    </row>
    <row r="20466" spans="1:9">
      <c r="A20466" s="22" t="str">
        <f>HYPERLINK("https://app.vivvix.com/360/KMI/IntelliDrive/ApplUI/Pages/CreativePages/CustomReportCreativeDetail.aspx?App=23&amp;ReportView=4&amp;Qid=1711279&amp;Row=20458&amp;Col=1","No Title Assigned - #15279369370")</f>
        <v/>
      </c>
      <c r="B20466" s="0" t="s">
        <v>27154</v>
      </c>
      <c r="E20466" s="0" t="inlineStr">
        <is>
          <t xml:space="preserve">Mazda</t>
        </is>
      </c>
      <c r="F20466" s="0" t="inlineStr">
        <is>
          <t xml:space="preserve">Mazda</t>
        </is>
      </c>
      <c r="G20466" s="0" t="s">
        <v>171</v>
      </c>
      <c r="H20466" s="5">
        <v>149.186400</v>
      </c>
    </row>
    <row r="20467" spans="1:9">
      <c r="A20467" s="22" t="str">
        <f>HYPERLINK("https://app.vivvix.com/360/KMI/IntelliDrive/ApplUI/Pages/CreativePages/CustomReportCreativeDetail.aspx?App=23&amp;ReportView=4&amp;Qid=1711279&amp;Row=20459&amp;Col=1","No Title Assigned - #15279369457")</f>
        <v/>
      </c>
      <c r="B20467" s="0" t="s">
        <v>27155</v>
      </c>
      <c r="E20467" s="0" t="inlineStr">
        <is>
          <t xml:space="preserve">Mazda</t>
        </is>
      </c>
      <c r="F20467" s="0" t="inlineStr">
        <is>
          <t xml:space="preserve">Mazda</t>
        </is>
      </c>
      <c r="G20467" s="0" t="s">
        <v>171</v>
      </c>
      <c r="H20467" s="5">
        <v>2.432000</v>
      </c>
    </row>
    <row r="20468" spans="1:9">
      <c r="A20468" s="22" t="str">
        <f>HYPERLINK("https://app.vivvix.com/360/KMI/IntelliDrive/ApplUI/Pages/CreativePages/CustomReportCreativeDetail.aspx?App=23&amp;ReportView=4&amp;Qid=1711279&amp;Row=20460&amp;Col=1","No Title Assigned - #15279369486")</f>
        <v/>
      </c>
      <c r="B20468" s="0" t="s">
        <v>27156</v>
      </c>
      <c r="C20468" s="0" t="s">
        <v>27157</v>
      </c>
      <c r="D20468" s="0" t="s">
        <v>27157</v>
      </c>
      <c r="E20468" s="0" t="inlineStr">
        <is>
          <t xml:space="preserve">Mazda</t>
        </is>
      </c>
      <c r="F20468" s="0" t="inlineStr">
        <is>
          <t xml:space="preserve">Mazda</t>
        </is>
      </c>
      <c r="G20468" s="0" t="s">
        <v>171</v>
      </c>
      <c r="H20468" s="5">
        <v>585.075500</v>
      </c>
    </row>
    <row r="20469" spans="1:9">
      <c r="A20469" s="22" t="str">
        <f>HYPERLINK("https://app.vivvix.com/360/KMI/IntelliDrive/ApplUI/Pages/CreativePages/CustomReportCreativeDetail.aspx?App=23&amp;ReportView=4&amp;Qid=1711279&amp;Row=20461&amp;Col=1","No Title Assigned - #15279369500")</f>
        <v/>
      </c>
      <c r="B20469" s="0" t="s">
        <v>27158</v>
      </c>
      <c r="E20469" s="0" t="inlineStr">
        <is>
          <t xml:space="preserve">Mazda</t>
        </is>
      </c>
      <c r="F20469" s="0" t="inlineStr">
        <is>
          <t xml:space="preserve">Mazda</t>
        </is>
      </c>
      <c r="G20469" s="0" t="s">
        <v>171</v>
      </c>
      <c r="H20469" s="5">
        <v>62.140200</v>
      </c>
    </row>
    <row r="20470" spans="1:9">
      <c r="A20470" s="22" t="str">
        <f>HYPERLINK("https://app.vivvix.com/360/KMI/IntelliDrive/ApplUI/Pages/CreativePages/CustomReportCreativeDetail.aspx?App=23&amp;ReportView=4&amp;Qid=1711279&amp;Row=20462&amp;Col=1","No Title Assigned - #15279369501")</f>
        <v/>
      </c>
      <c r="B20470" s="0" t="s">
        <v>27159</v>
      </c>
      <c r="E20470" s="0" t="inlineStr">
        <is>
          <t xml:space="preserve">Mazda</t>
        </is>
      </c>
      <c r="F20470" s="0" t="inlineStr">
        <is>
          <t xml:space="preserve">Mazda</t>
        </is>
      </c>
      <c r="G20470" s="0" t="s">
        <v>171</v>
      </c>
      <c r="H20470" s="5">
        <v>62.140200</v>
      </c>
    </row>
    <row r="20471" spans="1:9">
      <c r="A20471" s="22" t="str">
        <f>HYPERLINK("https://app.vivvix.com/360/KMI/IntelliDrive/ApplUI/Pages/CreativePages/CustomReportCreativeDetail.aspx?App=23&amp;ReportView=4&amp;Qid=1711279&amp;Row=20463&amp;Col=1","No Title Assigned - #15279369925")</f>
        <v/>
      </c>
      <c r="B20471" s="0" t="s">
        <v>27160</v>
      </c>
      <c r="E20471" s="0" t="inlineStr">
        <is>
          <t xml:space="preserve">Mazda</t>
        </is>
      </c>
      <c r="F20471" s="0" t="inlineStr">
        <is>
          <t xml:space="preserve">Mazda</t>
        </is>
      </c>
      <c r="G20471" s="0" t="s">
        <v>171</v>
      </c>
      <c r="H20471" s="5">
        <v>440.539400</v>
      </c>
    </row>
    <row r="20472" spans="1:9">
      <c r="A20472" s="22" t="str">
        <f>HYPERLINK("https://app.vivvix.com/360/KMI/IntelliDrive/ApplUI/Pages/CreativePages/CustomReportCreativeDetail.aspx?App=23&amp;ReportView=4&amp;Qid=1711279&amp;Row=20464&amp;Col=1","No Title Assigned - #15279370921")</f>
        <v/>
      </c>
      <c r="B20472" s="0" t="s">
        <v>27161</v>
      </c>
      <c r="E20472" s="0" t="inlineStr">
        <is>
          <t xml:space="preserve">Mazda</t>
        </is>
      </c>
      <c r="F20472" s="0" t="inlineStr">
        <is>
          <t xml:space="preserve">Mazda</t>
        </is>
      </c>
      <c r="G20472" s="0" t="s">
        <v>171</v>
      </c>
      <c r="H20472" s="5">
        <v>2552.192600</v>
      </c>
    </row>
    <row r="20473" spans="1:9">
      <c r="A20473" s="22" t="str">
        <f>HYPERLINK("https://app.vivvix.com/360/KMI/IntelliDrive/ApplUI/Pages/CreativePages/CustomReportCreativeDetail.aspx?App=23&amp;ReportView=4&amp;Qid=1711279&amp;Row=20465&amp;Col=1","No Title Assigned - #15279371098")</f>
        <v/>
      </c>
      <c r="B20473" s="0" t="s">
        <v>27162</v>
      </c>
      <c r="E20473" s="0" t="inlineStr">
        <is>
          <t xml:space="preserve">Mazda</t>
        </is>
      </c>
      <c r="F20473" s="0" t="inlineStr">
        <is>
          <t xml:space="preserve">Mazda</t>
        </is>
      </c>
      <c r="G20473" s="0" t="s">
        <v>171</v>
      </c>
      <c r="H20473" s="5">
        <v>180.980300</v>
      </c>
    </row>
    <row r="20474" spans="1:9">
      <c r="A20474" s="22" t="str">
        <f>HYPERLINK("https://app.vivvix.com/360/KMI/IntelliDrive/ApplUI/Pages/CreativePages/CustomReportCreativeDetail.aspx?App=23&amp;ReportView=4&amp;Qid=1711279&amp;Row=20466&amp;Col=1","No Title Assigned - #15279371605")</f>
        <v/>
      </c>
      <c r="B20474" s="0" t="s">
        <v>27163</v>
      </c>
      <c r="E20474" s="0" t="inlineStr">
        <is>
          <t xml:space="preserve">Mazda</t>
        </is>
      </c>
      <c r="F20474" s="0" t="inlineStr">
        <is>
          <t xml:space="preserve">Mazda</t>
        </is>
      </c>
      <c r="G20474" s="0" t="s">
        <v>171</v>
      </c>
      <c r="H20474" s="5">
        <v>321.706000</v>
      </c>
    </row>
    <row r="20475" spans="1:9">
      <c r="A20475" s="22" t="str">
        <f>HYPERLINK("https://app.vivvix.com/360/KMI/IntelliDrive/ApplUI/Pages/CreativePages/CustomReportCreativeDetail.aspx?App=23&amp;ReportView=4&amp;Qid=1711279&amp;Row=20467&amp;Col=1","No Title Assigned - #15279371607")</f>
        <v/>
      </c>
      <c r="B20475" s="0" t="s">
        <v>27164</v>
      </c>
      <c r="E20475" s="0" t="inlineStr">
        <is>
          <t xml:space="preserve">Mazda</t>
        </is>
      </c>
      <c r="F20475" s="0" t="inlineStr">
        <is>
          <t xml:space="preserve">Mazda</t>
        </is>
      </c>
      <c r="G20475" s="0" t="s">
        <v>171</v>
      </c>
      <c r="H20475" s="5">
        <v>7.435200</v>
      </c>
    </row>
    <row r="20476" spans="1:9">
      <c r="A20476" s="22" t="str">
        <f>HYPERLINK("https://app.vivvix.com/360/KMI/IntelliDrive/ApplUI/Pages/CreativePages/CustomReportCreativeDetail.aspx?App=23&amp;ReportView=4&amp;Qid=1711279&amp;Row=20468&amp;Col=1","No Title Assigned - #15279371884")</f>
        <v/>
      </c>
      <c r="B20476" s="0" t="s">
        <v>27165</v>
      </c>
      <c r="E20476" s="0" t="inlineStr">
        <is>
          <t xml:space="preserve">Mazda</t>
        </is>
      </c>
      <c r="F20476" s="0" t="inlineStr">
        <is>
          <t xml:space="preserve">Mazda</t>
        </is>
      </c>
      <c r="G20476" s="0" t="s">
        <v>171</v>
      </c>
      <c r="H20476" s="5">
        <v>724.812600</v>
      </c>
    </row>
    <row r="20477" spans="1:9">
      <c r="A20477" s="22" t="str">
        <f>HYPERLINK("https://app.vivvix.com/360/KMI/IntelliDrive/ApplUI/Pages/CreativePages/CustomReportCreativeDetail.aspx?App=23&amp;ReportView=4&amp;Qid=1711279&amp;Row=20469&amp;Col=1","No Title Assigned - #15279371946")</f>
        <v/>
      </c>
      <c r="B20477" s="0" t="s">
        <v>27166</v>
      </c>
      <c r="E20477" s="0" t="inlineStr">
        <is>
          <t xml:space="preserve">Mazda</t>
        </is>
      </c>
      <c r="F20477" s="0" t="inlineStr">
        <is>
          <t xml:space="preserve">Mazda</t>
        </is>
      </c>
      <c r="G20477" s="0" t="s">
        <v>171</v>
      </c>
      <c r="H20477" s="5">
        <v>759.687500</v>
      </c>
    </row>
    <row r="20478" spans="1:9">
      <c r="A20478" s="22" t="str">
        <f>HYPERLINK("https://app.vivvix.com/360/KMI/IntelliDrive/ApplUI/Pages/CreativePages/CustomReportCreativeDetail.aspx?App=23&amp;ReportView=4&amp;Qid=1711279&amp;Row=20470&amp;Col=1","No Title Assigned - #15279372175")</f>
        <v/>
      </c>
      <c r="B20478" s="0" t="s">
        <v>27167</v>
      </c>
      <c r="E20478" s="0" t="inlineStr">
        <is>
          <t xml:space="preserve">Mazda</t>
        </is>
      </c>
      <c r="F20478" s="0" t="inlineStr">
        <is>
          <t xml:space="preserve">Mazda</t>
        </is>
      </c>
      <c r="G20478" s="0" t="s">
        <v>171</v>
      </c>
      <c r="H20478" s="5">
        <v>85.273400</v>
      </c>
    </row>
    <row r="20479" spans="1:9">
      <c r="A20479" s="22" t="str">
        <f>HYPERLINK("https://app.vivvix.com/360/KMI/IntelliDrive/ApplUI/Pages/CreativePages/CustomReportCreativeDetail.aspx?App=23&amp;ReportView=4&amp;Qid=1711279&amp;Row=20471&amp;Col=1","No Title Assigned - #15279372357")</f>
        <v/>
      </c>
      <c r="B20479" s="0" t="s">
        <v>27168</v>
      </c>
      <c r="C20479" s="0" t="s">
        <v>27169</v>
      </c>
      <c r="D20479" s="0" t="s">
        <v>27169</v>
      </c>
      <c r="E20479" s="0" t="inlineStr">
        <is>
          <t xml:space="preserve">Mazda</t>
        </is>
      </c>
      <c r="F20479" s="0" t="inlineStr">
        <is>
          <t xml:space="preserve">Mazda</t>
        </is>
      </c>
      <c r="G20479" s="0" t="s">
        <v>171</v>
      </c>
      <c r="H20479" s="5">
        <v>43.135400</v>
      </c>
    </row>
    <row r="20480" spans="1:9">
      <c r="A20480" s="22" t="str">
        <f>HYPERLINK("https://app.vivvix.com/360/KMI/IntelliDrive/ApplUI/Pages/CreativePages/CustomReportCreativeDetail.aspx?App=23&amp;ReportView=4&amp;Qid=1711279&amp;Row=20472&amp;Col=1","No Title Assigned - #15279372541")</f>
        <v/>
      </c>
      <c r="B20480" s="0" t="s">
        <v>27170</v>
      </c>
      <c r="E20480" s="0" t="inlineStr">
        <is>
          <t xml:space="preserve">Mazda</t>
        </is>
      </c>
      <c r="F20480" s="0" t="inlineStr">
        <is>
          <t xml:space="preserve">Mazda</t>
        </is>
      </c>
      <c r="G20480" s="0" t="s">
        <v>171</v>
      </c>
      <c r="H20480" s="5">
        <v>80.319000</v>
      </c>
    </row>
    <row r="20481" spans="1:9">
      <c r="A20481" s="22" t="str">
        <f>HYPERLINK("https://app.vivvix.com/360/KMI/IntelliDrive/ApplUI/Pages/CreativePages/CustomReportCreativeDetail.aspx?App=23&amp;ReportView=4&amp;Qid=1711279&amp;Row=20473&amp;Col=1","No Title Assigned - #15279372791")</f>
        <v/>
      </c>
      <c r="B20481" s="0" t="s">
        <v>27171</v>
      </c>
      <c r="E20481" s="0" t="inlineStr">
        <is>
          <t xml:space="preserve">Mazda</t>
        </is>
      </c>
      <c r="F20481" s="0" t="inlineStr">
        <is>
          <t xml:space="preserve">Mazda</t>
        </is>
      </c>
      <c r="G20481" s="0" t="s">
        <v>171</v>
      </c>
      <c r="H20481" s="5">
        <v>470.137600</v>
      </c>
    </row>
    <row r="20482" spans="1:9">
      <c r="A20482" s="22" t="str">
        <f>HYPERLINK("https://app.vivvix.com/360/KMI/IntelliDrive/ApplUI/Pages/CreativePages/CustomReportCreativeDetail.aspx?App=23&amp;ReportView=4&amp;Qid=1711279&amp;Row=20474&amp;Col=1","No Title Assigned - #15279372792")</f>
        <v/>
      </c>
      <c r="B20482" s="0" t="s">
        <v>27172</v>
      </c>
      <c r="C20482" s="0" t="s">
        <v>27173</v>
      </c>
      <c r="D20482" s="0" t="s">
        <v>27173</v>
      </c>
      <c r="E20482" s="0" t="inlineStr">
        <is>
          <t xml:space="preserve">Mazda</t>
        </is>
      </c>
      <c r="F20482" s="0" t="inlineStr">
        <is>
          <t xml:space="preserve">Mazda</t>
        </is>
      </c>
      <c r="G20482" s="0" t="s">
        <v>171</v>
      </c>
      <c r="H20482" s="5">
        <v>764.531800</v>
      </c>
    </row>
    <row r="20483" spans="1:9">
      <c r="A20483" s="22" t="str">
        <f>HYPERLINK("https://app.vivvix.com/360/KMI/IntelliDrive/ApplUI/Pages/CreativePages/CustomReportCreativeDetail.aspx?App=23&amp;ReportView=4&amp;Qid=1711279&amp;Row=20475&amp;Col=1","No Title Assigned - #15279373090")</f>
        <v/>
      </c>
      <c r="B20483" s="0" t="s">
        <v>27174</v>
      </c>
      <c r="E20483" s="0" t="inlineStr">
        <is>
          <t xml:space="preserve">Mazda</t>
        </is>
      </c>
      <c r="F20483" s="0" t="inlineStr">
        <is>
          <t xml:space="preserve">Mazda</t>
        </is>
      </c>
      <c r="G20483" s="0" t="s">
        <v>171</v>
      </c>
      <c r="H20483" s="5">
        <v>6429.796400</v>
      </c>
    </row>
    <row r="20484" spans="1:9">
      <c r="A20484" s="22" t="str">
        <f>HYPERLINK("https://app.vivvix.com/360/KMI/IntelliDrive/ApplUI/Pages/CreativePages/CustomReportCreativeDetail.aspx?App=23&amp;ReportView=4&amp;Qid=1711279&amp;Row=20476&amp;Col=1","No Title Assigned - #15279373090")</f>
        <v/>
      </c>
      <c r="B20484" s="0" t="s">
        <v>27174</v>
      </c>
      <c r="E20484" s="0" t="inlineStr">
        <is>
          <t xml:space="preserve">Mazda</t>
        </is>
      </c>
      <c r="F20484" s="0" t="inlineStr">
        <is>
          <t xml:space="preserve">Mazda</t>
        </is>
      </c>
      <c r="G20484" s="0" t="s">
        <v>171</v>
      </c>
      <c r="H20484" s="5">
        <v>210.542000</v>
      </c>
    </row>
    <row r="20485" spans="1:9">
      <c r="A20485" s="22" t="str">
        <f>HYPERLINK("https://app.vivvix.com/360/KMI/IntelliDrive/ApplUI/Pages/CreativePages/CustomReportCreativeDetail.aspx?App=23&amp;ReportView=4&amp;Qid=1711279&amp;Row=20477&amp;Col=1","No Title Assigned - #15279373164")</f>
        <v/>
      </c>
      <c r="B20485" s="0" t="s">
        <v>27175</v>
      </c>
      <c r="E20485" s="0" t="inlineStr">
        <is>
          <t xml:space="preserve">Mazda</t>
        </is>
      </c>
      <c r="F20485" s="0" t="inlineStr">
        <is>
          <t xml:space="preserve">Mazda</t>
        </is>
      </c>
      <c r="G20485" s="0" t="s">
        <v>171</v>
      </c>
      <c r="H20485" s="5">
        <v>61.019400</v>
      </c>
    </row>
    <row r="20486" spans="1:9">
      <c r="A20486" s="22" t="str">
        <f>HYPERLINK("https://app.vivvix.com/360/KMI/IntelliDrive/ApplUI/Pages/CreativePages/CustomReportCreativeDetail.aspx?App=23&amp;ReportView=4&amp;Qid=1711279&amp;Row=20478&amp;Col=1","No Title Assigned - #15279373502")</f>
        <v/>
      </c>
      <c r="B20486" s="0" t="s">
        <v>27176</v>
      </c>
      <c r="E20486" s="0" t="inlineStr">
        <is>
          <t xml:space="preserve">Mazda</t>
        </is>
      </c>
      <c r="F20486" s="0" t="inlineStr">
        <is>
          <t xml:space="preserve">Mazda</t>
        </is>
      </c>
      <c r="G20486" s="0" t="s">
        <v>171</v>
      </c>
      <c r="H20486" s="5">
        <v>61.799800</v>
      </c>
    </row>
    <row r="20487" spans="1:9">
      <c r="A20487" s="22" t="str">
        <f>HYPERLINK("https://app.vivvix.com/360/KMI/IntelliDrive/ApplUI/Pages/CreativePages/CustomReportCreativeDetail.aspx?App=23&amp;ReportView=4&amp;Qid=1711279&amp;Row=20479&amp;Col=1","No Title Assigned - #15279373983")</f>
        <v/>
      </c>
      <c r="B20487" s="0" t="s">
        <v>27177</v>
      </c>
      <c r="E20487" s="0" t="inlineStr">
        <is>
          <t xml:space="preserve">Mazda</t>
        </is>
      </c>
      <c r="F20487" s="0" t="inlineStr">
        <is>
          <t xml:space="preserve">Mazda</t>
        </is>
      </c>
      <c r="G20487" s="0" t="s">
        <v>171</v>
      </c>
      <c r="H20487" s="5">
        <v>28.888600</v>
      </c>
    </row>
    <row r="20488" spans="1:9">
      <c r="A20488" s="22" t="str">
        <f>HYPERLINK("https://app.vivvix.com/360/KMI/IntelliDrive/ApplUI/Pages/CreativePages/CustomReportCreativeDetail.aspx?App=23&amp;ReportView=4&amp;Qid=1711279&amp;Row=20480&amp;Col=1","No Title Assigned - #15279374017")</f>
        <v/>
      </c>
      <c r="B20488" s="0" t="s">
        <v>27178</v>
      </c>
      <c r="C20488" s="0" t="s">
        <v>27179</v>
      </c>
      <c r="D20488" s="0" t="s">
        <v>27179</v>
      </c>
      <c r="E20488" s="0" t="inlineStr">
        <is>
          <t xml:space="preserve">Mazda</t>
        </is>
      </c>
      <c r="F20488" s="0" t="inlineStr">
        <is>
          <t xml:space="preserve">Mazda</t>
        </is>
      </c>
      <c r="G20488" s="0" t="s">
        <v>171</v>
      </c>
      <c r="H20488" s="5">
        <v>898.670900</v>
      </c>
    </row>
    <row r="20489" spans="1:9">
      <c r="A20489" s="22" t="str">
        <f>HYPERLINK("https://app.vivvix.com/360/KMI/IntelliDrive/ApplUI/Pages/CreativePages/CustomReportCreativeDetail.aspx?App=23&amp;ReportView=4&amp;Qid=1711279&amp;Row=20481&amp;Col=1","No Title Assigned - #15279374139")</f>
        <v/>
      </c>
      <c r="B20489" s="0" t="s">
        <v>27180</v>
      </c>
      <c r="E20489" s="0" t="inlineStr">
        <is>
          <t xml:space="preserve">Mazda</t>
        </is>
      </c>
      <c r="F20489" s="0" t="inlineStr">
        <is>
          <t xml:space="preserve">Mazda</t>
        </is>
      </c>
      <c r="G20489" s="0" t="s">
        <v>171</v>
      </c>
      <c r="H20489" s="5">
        <v>15366.765700</v>
      </c>
    </row>
    <row r="20490" spans="1:9">
      <c r="A20490" s="22" t="str">
        <f>HYPERLINK("https://app.vivvix.com/360/KMI/IntelliDrive/ApplUI/Pages/CreativePages/CustomReportCreativeDetail.aspx?App=23&amp;ReportView=4&amp;Qid=1711279&amp;Row=20482&amp;Col=1","No Title Assigned - #15279374198")</f>
        <v/>
      </c>
      <c r="B20490" s="0" t="s">
        <v>27181</v>
      </c>
      <c r="E20490" s="0" t="inlineStr">
        <is>
          <t xml:space="preserve">Mazda</t>
        </is>
      </c>
      <c r="F20490" s="0" t="inlineStr">
        <is>
          <t xml:space="preserve">Mazda</t>
        </is>
      </c>
      <c r="G20490" s="0" t="s">
        <v>171</v>
      </c>
      <c r="H20490" s="5">
        <v>1311.897100</v>
      </c>
    </row>
    <row r="20491" spans="1:9">
      <c r="A20491" s="22" t="str">
        <f>HYPERLINK("https://app.vivvix.com/360/KMI/IntelliDrive/ApplUI/Pages/CreativePages/CustomReportCreativeDetail.aspx?App=23&amp;ReportView=4&amp;Qid=1711279&amp;Row=20483&amp;Col=1","No Title Assigned - #15279374252")</f>
        <v/>
      </c>
      <c r="B20491" s="0" t="s">
        <v>27182</v>
      </c>
      <c r="E20491" s="0" t="inlineStr">
        <is>
          <t xml:space="preserve">Mazda</t>
        </is>
      </c>
      <c r="F20491" s="0" t="inlineStr">
        <is>
          <t xml:space="preserve">Mazda</t>
        </is>
      </c>
      <c r="G20491" s="0" t="s">
        <v>171</v>
      </c>
      <c r="H20491" s="5">
        <v>306.051200</v>
      </c>
    </row>
    <row r="20492" spans="1:9">
      <c r="A20492" s="22" t="str">
        <f>HYPERLINK("https://app.vivvix.com/360/KMI/IntelliDrive/ApplUI/Pages/CreativePages/CustomReportCreativeDetail.aspx?App=23&amp;ReportView=4&amp;Qid=1711279&amp;Row=20484&amp;Col=1","No Title Assigned - #15279374426")</f>
        <v/>
      </c>
      <c r="B20492" s="0" t="s">
        <v>27183</v>
      </c>
      <c r="C20492" s="0" t="s">
        <v>27184</v>
      </c>
      <c r="D20492" s="0" t="s">
        <v>27184</v>
      </c>
      <c r="E20492" s="0" t="inlineStr">
        <is>
          <t xml:space="preserve">Mazda</t>
        </is>
      </c>
      <c r="F20492" s="0" t="inlineStr">
        <is>
          <t xml:space="preserve">Mazda</t>
        </is>
      </c>
      <c r="G20492" s="0" t="s">
        <v>171</v>
      </c>
      <c r="H20492" s="5">
        <v>258.150400</v>
      </c>
    </row>
    <row r="20493" spans="1:9">
      <c r="A20493" s="22" t="str">
        <f>HYPERLINK("https://app.vivvix.com/360/KMI/IntelliDrive/ApplUI/Pages/CreativePages/CustomReportCreativeDetail.aspx?App=23&amp;ReportView=4&amp;Qid=1711279&amp;Row=20485&amp;Col=1","No Title Assigned - #15279374733")</f>
        <v/>
      </c>
      <c r="B20493" s="0" t="s">
        <v>27185</v>
      </c>
      <c r="E20493" s="0" t="inlineStr">
        <is>
          <t xml:space="preserve">Mazda</t>
        </is>
      </c>
      <c r="F20493" s="0" t="inlineStr">
        <is>
          <t xml:space="preserve">Mazda</t>
        </is>
      </c>
      <c r="G20493" s="0" t="s">
        <v>171</v>
      </c>
      <c r="H20493" s="5">
        <v>36.961300</v>
      </c>
    </row>
    <row r="20494" spans="1:9">
      <c r="A20494" s="22" t="str">
        <f>HYPERLINK("https://app.vivvix.com/360/KMI/IntelliDrive/ApplUI/Pages/CreativePages/CustomReportCreativeDetail.aspx?App=23&amp;ReportView=4&amp;Qid=1711279&amp;Row=20486&amp;Col=1","No Title Assigned - #15279374843")</f>
        <v/>
      </c>
      <c r="B20494" s="0" t="s">
        <v>27186</v>
      </c>
      <c r="E20494" s="0" t="inlineStr">
        <is>
          <t xml:space="preserve">Mazda</t>
        </is>
      </c>
      <c r="F20494" s="0" t="inlineStr">
        <is>
          <t xml:space="preserve">Mazda</t>
        </is>
      </c>
      <c r="G20494" s="0" t="s">
        <v>171</v>
      </c>
      <c r="H20494" s="5">
        <v>95.951800</v>
      </c>
    </row>
    <row r="20495" spans="1:9">
      <c r="A20495" s="22" t="str">
        <f>HYPERLINK("https://app.vivvix.com/360/KMI/IntelliDrive/ApplUI/Pages/CreativePages/CustomReportCreativeDetail.aspx?App=23&amp;ReportView=4&amp;Qid=1711279&amp;Row=20487&amp;Col=1","No Title Assigned - #15279375040")</f>
        <v/>
      </c>
      <c r="B20495" s="0" t="s">
        <v>27187</v>
      </c>
      <c r="E20495" s="0" t="inlineStr">
        <is>
          <t xml:space="preserve">Mazda</t>
        </is>
      </c>
      <c r="F20495" s="0" t="inlineStr">
        <is>
          <t xml:space="preserve">Mazda</t>
        </is>
      </c>
      <c r="G20495" s="0" t="s">
        <v>171</v>
      </c>
      <c r="H20495" s="5">
        <v>1.216000</v>
      </c>
    </row>
    <row r="20496" spans="1:9">
      <c r="A20496" s="22" t="str">
        <f>HYPERLINK("https://app.vivvix.com/360/KMI/IntelliDrive/ApplUI/Pages/CreativePages/CustomReportCreativeDetail.aspx?App=23&amp;ReportView=4&amp;Qid=1711279&amp;Row=20488&amp;Col=1","No Title Assigned - #15279375121")</f>
        <v/>
      </c>
      <c r="B20496" s="0" t="s">
        <v>27188</v>
      </c>
      <c r="E20496" s="0" t="inlineStr">
        <is>
          <t xml:space="preserve">Mazda</t>
        </is>
      </c>
      <c r="F20496" s="0" t="inlineStr">
        <is>
          <t xml:space="preserve">Mazda</t>
        </is>
      </c>
      <c r="G20496" s="0" t="s">
        <v>171</v>
      </c>
      <c r="H20496" s="5">
        <v>1182.134100</v>
      </c>
    </row>
    <row r="20497" spans="1:9">
      <c r="A20497" s="22" t="str">
        <f>HYPERLINK("https://app.vivvix.com/360/KMI/IntelliDrive/ApplUI/Pages/CreativePages/CustomReportCreativeDetail.aspx?App=23&amp;ReportView=4&amp;Qid=1711279&amp;Row=20489&amp;Col=1","No Title Assigned - #15279375121")</f>
        <v/>
      </c>
      <c r="B20497" s="0" t="s">
        <v>27188</v>
      </c>
      <c r="E20497" s="0" t="inlineStr">
        <is>
          <t xml:space="preserve">Mazda</t>
        </is>
      </c>
      <c r="F20497" s="0" t="inlineStr">
        <is>
          <t xml:space="preserve">Mazda</t>
        </is>
      </c>
      <c r="G20497" s="0" t="s">
        <v>171</v>
      </c>
      <c r="H20497" s="5">
        <v>109.274700</v>
      </c>
    </row>
    <row r="20498" spans="1:9">
      <c r="A20498" s="22" t="str">
        <f>HYPERLINK("https://app.vivvix.com/360/KMI/IntelliDrive/ApplUI/Pages/CreativePages/CustomReportCreativeDetail.aspx?App=23&amp;ReportView=4&amp;Qid=1711279&amp;Row=20490&amp;Col=1","No Title Assigned - #15279375128")</f>
        <v/>
      </c>
      <c r="B20498" s="0" t="s">
        <v>27189</v>
      </c>
      <c r="E20498" s="0" t="inlineStr">
        <is>
          <t xml:space="preserve">Mazda</t>
        </is>
      </c>
      <c r="F20498" s="0" t="inlineStr">
        <is>
          <t xml:space="preserve">Mazda</t>
        </is>
      </c>
      <c r="G20498" s="0" t="s">
        <v>171</v>
      </c>
      <c r="H20498" s="5">
        <v>12.535100</v>
      </c>
    </row>
    <row r="20499" spans="1:9">
      <c r="A20499" s="22" t="str">
        <f>HYPERLINK("https://app.vivvix.com/360/KMI/IntelliDrive/ApplUI/Pages/CreativePages/CustomReportCreativeDetail.aspx?App=23&amp;ReportView=4&amp;Qid=1711279&amp;Row=20491&amp;Col=1","No Title Assigned - #15279375168")</f>
        <v/>
      </c>
      <c r="B20499" s="0" t="s">
        <v>27190</v>
      </c>
      <c r="E20499" s="0" t="inlineStr">
        <is>
          <t xml:space="preserve">Mazda</t>
        </is>
      </c>
      <c r="F20499" s="0" t="inlineStr">
        <is>
          <t xml:space="preserve">Mazda</t>
        </is>
      </c>
      <c r="G20499" s="0" t="s">
        <v>171</v>
      </c>
      <c r="H20499" s="5">
        <v>20.872600</v>
      </c>
    </row>
    <row r="20500" spans="1:9">
      <c r="A20500" s="22" t="str">
        <f>HYPERLINK("https://app.vivvix.com/360/KMI/IntelliDrive/ApplUI/Pages/CreativePages/CustomReportCreativeDetail.aspx?App=23&amp;ReportView=4&amp;Qid=1711279&amp;Row=20492&amp;Col=1","No Title Assigned - #15279375198")</f>
        <v/>
      </c>
      <c r="B20500" s="0" t="s">
        <v>27191</v>
      </c>
      <c r="E20500" s="0" t="inlineStr">
        <is>
          <t xml:space="preserve">Mazda</t>
        </is>
      </c>
      <c r="F20500" s="0" t="inlineStr">
        <is>
          <t xml:space="preserve">Mazda</t>
        </is>
      </c>
      <c r="G20500" s="0" t="s">
        <v>171</v>
      </c>
      <c r="H20500" s="5">
        <v>348.546700</v>
      </c>
    </row>
    <row r="20501" spans="1:9">
      <c r="A20501" s="22" t="str">
        <f>HYPERLINK("https://app.vivvix.com/360/KMI/IntelliDrive/ApplUI/Pages/CreativePages/CustomReportCreativeDetail.aspx?App=23&amp;ReportView=4&amp;Qid=1711279&amp;Row=20493&amp;Col=1","No Title Assigned - #15279375574")</f>
        <v/>
      </c>
      <c r="B20501" s="0" t="s">
        <v>27192</v>
      </c>
      <c r="E20501" s="0" t="inlineStr">
        <is>
          <t xml:space="preserve">Mazda</t>
        </is>
      </c>
      <c r="F20501" s="0" t="inlineStr">
        <is>
          <t xml:space="preserve">Mazda</t>
        </is>
      </c>
      <c r="G20501" s="0" t="s">
        <v>171</v>
      </c>
      <c r="H20501" s="5">
        <v>1.216000</v>
      </c>
    </row>
    <row r="20502" spans="1:9">
      <c r="A20502" s="22" t="str">
        <f>HYPERLINK("https://app.vivvix.com/360/KMI/IntelliDrive/ApplUI/Pages/CreativePages/CustomReportCreativeDetail.aspx?App=23&amp;ReportView=4&amp;Qid=1711279&amp;Row=20494&amp;Col=1","No Title Assigned - #15279375931")</f>
        <v/>
      </c>
      <c r="B20502" s="0" t="s">
        <v>27193</v>
      </c>
      <c r="E20502" s="0" t="inlineStr">
        <is>
          <t xml:space="preserve">Mazda</t>
        </is>
      </c>
      <c r="F20502" s="0" t="inlineStr">
        <is>
          <t xml:space="preserve">Mazda</t>
        </is>
      </c>
      <c r="G20502" s="0" t="s">
        <v>171</v>
      </c>
      <c r="H20502" s="5">
        <v>1.216000</v>
      </c>
    </row>
    <row r="20503" spans="1:9">
      <c r="A20503" s="22" t="str">
        <f>HYPERLINK("https://app.vivvix.com/360/KMI/IntelliDrive/ApplUI/Pages/CreativePages/CustomReportCreativeDetail.aspx?App=23&amp;ReportView=4&amp;Qid=1711279&amp;Row=20495&amp;Col=1","No Title Assigned - #15279375948")</f>
        <v/>
      </c>
      <c r="B20503" s="0" t="s">
        <v>27194</v>
      </c>
      <c r="E20503" s="0" t="inlineStr">
        <is>
          <t xml:space="preserve">Mazda</t>
        </is>
      </c>
      <c r="F20503" s="0" t="inlineStr">
        <is>
          <t xml:space="preserve">Mazda</t>
        </is>
      </c>
      <c r="G20503" s="0" t="s">
        <v>171</v>
      </c>
      <c r="H20503" s="5">
        <v>57.620000</v>
      </c>
    </row>
    <row r="20504" spans="1:9">
      <c r="A20504" s="22" t="str">
        <f>HYPERLINK("https://app.vivvix.com/360/KMI/IntelliDrive/ApplUI/Pages/CreativePages/CustomReportCreativeDetail.aspx?App=23&amp;ReportView=4&amp;Qid=1711279&amp;Row=20496&amp;Col=1","No Title Assigned - #15279375974")</f>
        <v/>
      </c>
      <c r="B20504" s="0" t="s">
        <v>27195</v>
      </c>
      <c r="E20504" s="0" t="inlineStr">
        <is>
          <t xml:space="preserve">Mazda</t>
        </is>
      </c>
      <c r="F20504" s="0" t="inlineStr">
        <is>
          <t xml:space="preserve">Mazda</t>
        </is>
      </c>
      <c r="G20504" s="0" t="s">
        <v>171</v>
      </c>
      <c r="H20504" s="5">
        <v>1147.938900</v>
      </c>
    </row>
    <row r="20505" spans="1:9">
      <c r="A20505" s="22" t="str">
        <f>HYPERLINK("https://app.vivvix.com/360/KMI/IntelliDrive/ApplUI/Pages/CreativePages/CustomReportCreativeDetail.aspx?App=23&amp;ReportView=4&amp;Qid=1711279&amp;Row=20497&amp;Col=1","No Title Assigned - #15279376105")</f>
        <v/>
      </c>
      <c r="B20505" s="0" t="s">
        <v>27196</v>
      </c>
      <c r="E20505" s="0" t="inlineStr">
        <is>
          <t xml:space="preserve">Mazda</t>
        </is>
      </c>
      <c r="F20505" s="0" t="inlineStr">
        <is>
          <t xml:space="preserve">Mazda</t>
        </is>
      </c>
      <c r="G20505" s="0" t="s">
        <v>171</v>
      </c>
      <c r="H20505" s="5">
        <v>288.619000</v>
      </c>
    </row>
    <row r="20506" spans="1:9">
      <c r="A20506" s="22" t="str">
        <f>HYPERLINK("https://app.vivvix.com/360/KMI/IntelliDrive/ApplUI/Pages/CreativePages/CustomReportCreativeDetail.aspx?App=23&amp;ReportView=4&amp;Qid=1711279&amp;Row=20498&amp;Col=1","No Title Assigned - #15279376261")</f>
        <v/>
      </c>
      <c r="B20506" s="0" t="s">
        <v>27197</v>
      </c>
      <c r="E20506" s="0" t="inlineStr">
        <is>
          <t xml:space="preserve">Mazda</t>
        </is>
      </c>
      <c r="F20506" s="0" t="inlineStr">
        <is>
          <t xml:space="preserve">Mazda</t>
        </is>
      </c>
      <c r="G20506" s="0" t="s">
        <v>171</v>
      </c>
      <c r="H20506" s="5">
        <v>415.239600</v>
      </c>
    </row>
    <row r="20507" spans="1:9">
      <c r="A20507" s="22" t="str">
        <f>HYPERLINK("https://app.vivvix.com/360/KMI/IntelliDrive/ApplUI/Pages/CreativePages/CustomReportCreativeDetail.aspx?App=23&amp;ReportView=4&amp;Qid=1711279&amp;Row=20499&amp;Col=1","No Title Assigned - #15279376400")</f>
        <v/>
      </c>
      <c r="B20507" s="0" t="s">
        <v>27198</v>
      </c>
      <c r="C20507" s="0" t="s">
        <v>27199</v>
      </c>
      <c r="D20507" s="0" t="s">
        <v>27199</v>
      </c>
      <c r="E20507" s="0" t="inlineStr">
        <is>
          <t xml:space="preserve">Mazda</t>
        </is>
      </c>
      <c r="F20507" s="0" t="inlineStr">
        <is>
          <t xml:space="preserve">Mazda</t>
        </is>
      </c>
      <c r="G20507" s="0" t="s">
        <v>171</v>
      </c>
      <c r="H20507" s="5">
        <v>184.781500</v>
      </c>
    </row>
    <row r="20508" spans="1:9">
      <c r="A20508" s="22" t="str">
        <f>HYPERLINK("https://app.vivvix.com/360/KMI/IntelliDrive/ApplUI/Pages/CreativePages/CustomReportCreativeDetail.aspx?App=23&amp;ReportView=4&amp;Qid=1711279&amp;Row=20500&amp;Col=1","No Title Assigned - #15279376587")</f>
        <v/>
      </c>
      <c r="B20508" s="0" t="s">
        <v>27200</v>
      </c>
      <c r="E20508" s="0" t="inlineStr">
        <is>
          <t xml:space="preserve">Mazda</t>
        </is>
      </c>
      <c r="F20508" s="0" t="inlineStr">
        <is>
          <t xml:space="preserve">Mazda</t>
        </is>
      </c>
      <c r="G20508" s="0" t="s">
        <v>171</v>
      </c>
      <c r="H20508" s="5">
        <v>103.965800</v>
      </c>
    </row>
    <row r="20509" spans="1:9">
      <c r="A20509" s="22" t="str">
        <f>HYPERLINK("https://app.vivvix.com/360/KMI/IntelliDrive/ApplUI/Pages/CreativePages/CustomReportCreativeDetail.aspx?App=23&amp;ReportView=4&amp;Qid=1711279&amp;Row=20501&amp;Col=1","No Title Assigned - #15279376596")</f>
        <v/>
      </c>
      <c r="B20509" s="0" t="s">
        <v>27201</v>
      </c>
      <c r="C20509" s="0" t="s">
        <v>27202</v>
      </c>
      <c r="D20509" s="0" t="s">
        <v>27202</v>
      </c>
      <c r="E20509" s="0" t="inlineStr">
        <is>
          <t xml:space="preserve">Mazda</t>
        </is>
      </c>
      <c r="F20509" s="0" t="inlineStr">
        <is>
          <t xml:space="preserve">Mazda</t>
        </is>
      </c>
      <c r="G20509" s="0" t="s">
        <v>171</v>
      </c>
      <c r="H20509" s="5">
        <v>3217.060000</v>
      </c>
    </row>
    <row r="20510" spans="1:9">
      <c r="A20510" s="22" t="str">
        <f>HYPERLINK("https://app.vivvix.com/360/KMI/IntelliDrive/ApplUI/Pages/CreativePages/CustomReportCreativeDetail.aspx?App=23&amp;ReportView=4&amp;Qid=1711279&amp;Row=20502&amp;Col=1","No Title Assigned - #15279376838")</f>
        <v/>
      </c>
      <c r="B20510" s="0" t="s">
        <v>27203</v>
      </c>
      <c r="C20510" s="0" t="s">
        <v>27204</v>
      </c>
      <c r="D20510" s="0" t="s">
        <v>27204</v>
      </c>
      <c r="E20510" s="0" t="inlineStr">
        <is>
          <t xml:space="preserve">Mazda</t>
        </is>
      </c>
      <c r="F20510" s="0" t="inlineStr">
        <is>
          <t xml:space="preserve">Mazda</t>
        </is>
      </c>
      <c r="G20510" s="0" t="s">
        <v>171</v>
      </c>
      <c r="H20510" s="5">
        <v>438.324600</v>
      </c>
    </row>
    <row r="20511" spans="1:9">
      <c r="A20511" s="22" t="str">
        <f>HYPERLINK("https://app.vivvix.com/360/KMI/IntelliDrive/ApplUI/Pages/CreativePages/CustomReportCreativeDetail.aspx?App=23&amp;ReportView=4&amp;Qid=1711279&amp;Row=20503&amp;Col=1","No Title Assigned - #15279376934")</f>
        <v/>
      </c>
      <c r="B20511" s="0" t="s">
        <v>27205</v>
      </c>
      <c r="E20511" s="0" t="inlineStr">
        <is>
          <t xml:space="preserve">Mazda</t>
        </is>
      </c>
      <c r="F20511" s="0" t="inlineStr">
        <is>
          <t xml:space="preserve">Mazda</t>
        </is>
      </c>
      <c r="G20511" s="0" t="s">
        <v>171</v>
      </c>
      <c r="H20511" s="5">
        <v>552.470400</v>
      </c>
    </row>
    <row r="20512" spans="1:9">
      <c r="A20512" s="22" t="str">
        <f>HYPERLINK("https://app.vivvix.com/360/KMI/IntelliDrive/ApplUI/Pages/CreativePages/CustomReportCreativeDetail.aspx?App=23&amp;ReportView=4&amp;Qid=1711279&amp;Row=20504&amp;Col=1","No Title Assigned - #15279377080")</f>
        <v/>
      </c>
      <c r="B20512" s="0" t="s">
        <v>27206</v>
      </c>
      <c r="E20512" s="0" t="inlineStr">
        <is>
          <t xml:space="preserve">Mazda</t>
        </is>
      </c>
      <c r="F20512" s="0" t="inlineStr">
        <is>
          <t xml:space="preserve">Mazda</t>
        </is>
      </c>
      <c r="G20512" s="0" t="s">
        <v>171</v>
      </c>
      <c r="H20512" s="5">
        <v>522.414300</v>
      </c>
    </row>
    <row r="20513" spans="1:9">
      <c r="A20513" s="22" t="str">
        <f>HYPERLINK("https://app.vivvix.com/360/KMI/IntelliDrive/ApplUI/Pages/CreativePages/CustomReportCreativeDetail.aspx?App=23&amp;ReportView=4&amp;Qid=1711279&amp;Row=20505&amp;Col=1","No Title Assigned - #15279377082")</f>
        <v/>
      </c>
      <c r="B20513" s="0" t="s">
        <v>27207</v>
      </c>
      <c r="E20513" s="0" t="inlineStr">
        <is>
          <t xml:space="preserve">Mazda</t>
        </is>
      </c>
      <c r="F20513" s="0" t="inlineStr">
        <is>
          <t xml:space="preserve">Mazda</t>
        </is>
      </c>
      <c r="G20513" s="0" t="s">
        <v>171</v>
      </c>
      <c r="H20513" s="5">
        <v>174.138100</v>
      </c>
    </row>
    <row r="20514" spans="1:9">
      <c r="A20514" s="22" t="str">
        <f>HYPERLINK("https://app.vivvix.com/360/KMI/IntelliDrive/ApplUI/Pages/CreativePages/CustomReportCreativeDetail.aspx?App=23&amp;ReportView=4&amp;Qid=1711279&amp;Row=20506&amp;Col=1","No Title Assigned - #15279377193")</f>
        <v/>
      </c>
      <c r="B20514" s="0" t="s">
        <v>27208</v>
      </c>
      <c r="E20514" s="0" t="inlineStr">
        <is>
          <t xml:space="preserve">Mazda</t>
        </is>
      </c>
      <c r="F20514" s="0" t="inlineStr">
        <is>
          <t xml:space="preserve">Mazda</t>
        </is>
      </c>
      <c r="G20514" s="0" t="s">
        <v>171</v>
      </c>
      <c r="H20514" s="5">
        <v>627.032300</v>
      </c>
    </row>
    <row r="20515" spans="1:9">
      <c r="A20515" s="22" t="str">
        <f>HYPERLINK("https://app.vivvix.com/360/KMI/IntelliDrive/ApplUI/Pages/CreativePages/CustomReportCreativeDetail.aspx?App=23&amp;ReportView=4&amp;Qid=1711279&amp;Row=20507&amp;Col=1","No Title Assigned - #15279377263")</f>
        <v/>
      </c>
      <c r="B20515" s="0" t="s">
        <v>27209</v>
      </c>
      <c r="E20515" s="0" t="inlineStr">
        <is>
          <t xml:space="preserve">Mazda</t>
        </is>
      </c>
      <c r="F20515" s="0" t="inlineStr">
        <is>
          <t xml:space="preserve">Mazda</t>
        </is>
      </c>
      <c r="G20515" s="0" t="s">
        <v>171</v>
      </c>
      <c r="H20515" s="5">
        <v>74.003800</v>
      </c>
    </row>
    <row r="20516" spans="1:9">
      <c r="A20516" s="22" t="str">
        <f>HYPERLINK("https://app.vivvix.com/360/KMI/IntelliDrive/ApplUI/Pages/CreativePages/CustomReportCreativeDetail.aspx?App=23&amp;ReportView=4&amp;Qid=1711279&amp;Row=20508&amp;Col=1","No Title Assigned - #15279377306")</f>
        <v/>
      </c>
      <c r="B20516" s="0" t="s">
        <v>27210</v>
      </c>
      <c r="E20516" s="0" t="inlineStr">
        <is>
          <t xml:space="preserve">Mazda</t>
        </is>
      </c>
      <c r="F20516" s="0" t="inlineStr">
        <is>
          <t xml:space="preserve">Mazda</t>
        </is>
      </c>
      <c r="G20516" s="0" t="s">
        <v>171</v>
      </c>
      <c r="H20516" s="5">
        <v>182.360300</v>
      </c>
    </row>
    <row r="20517" spans="1:9">
      <c r="A20517" s="22" t="str">
        <f>HYPERLINK("https://app.vivvix.com/360/KMI/IntelliDrive/ApplUI/Pages/CreativePages/CustomReportCreativeDetail.aspx?App=23&amp;ReportView=4&amp;Qid=1711279&amp;Row=20509&amp;Col=1","No Title Assigned - #15279377376")</f>
        <v/>
      </c>
      <c r="B20517" s="0" t="s">
        <v>27211</v>
      </c>
      <c r="E20517" s="0" t="inlineStr">
        <is>
          <t xml:space="preserve">Mazda</t>
        </is>
      </c>
      <c r="F20517" s="0" t="inlineStr">
        <is>
          <t xml:space="preserve">Mazda</t>
        </is>
      </c>
      <c r="G20517" s="0" t="s">
        <v>171</v>
      </c>
      <c r="H20517" s="5">
        <v>187.102000</v>
      </c>
    </row>
    <row r="20518" spans="1:9">
      <c r="A20518" s="22" t="str">
        <f>HYPERLINK("https://app.vivvix.com/360/KMI/IntelliDrive/ApplUI/Pages/CreativePages/CustomReportCreativeDetail.aspx?App=23&amp;ReportView=4&amp;Qid=1711279&amp;Row=20510&amp;Col=1","No Title Assigned - #15279377381")</f>
        <v/>
      </c>
      <c r="B20518" s="0" t="s">
        <v>27212</v>
      </c>
      <c r="E20518" s="0" t="inlineStr">
        <is>
          <t xml:space="preserve">Mazda</t>
        </is>
      </c>
      <c r="F20518" s="0" t="inlineStr">
        <is>
          <t xml:space="preserve">Mazda</t>
        </is>
      </c>
      <c r="G20518" s="0" t="s">
        <v>171</v>
      </c>
      <c r="H20518" s="5">
        <v>21.775600</v>
      </c>
    </row>
    <row r="20519" spans="1:9">
      <c r="A20519" s="22" t="str">
        <f>HYPERLINK("https://app.vivvix.com/360/KMI/IntelliDrive/ApplUI/Pages/CreativePages/CustomReportCreativeDetail.aspx?App=23&amp;ReportView=4&amp;Qid=1711279&amp;Row=20511&amp;Col=1","No Title Assigned - #15279377391")</f>
        <v/>
      </c>
      <c r="B20519" s="0" t="s">
        <v>27213</v>
      </c>
      <c r="E20519" s="0" t="inlineStr">
        <is>
          <t xml:space="preserve">Mazda</t>
        </is>
      </c>
      <c r="F20519" s="0" t="inlineStr">
        <is>
          <t xml:space="preserve">Mazda</t>
        </is>
      </c>
      <c r="G20519" s="0" t="s">
        <v>171</v>
      </c>
      <c r="H20519" s="5">
        <v>21.775600</v>
      </c>
    </row>
    <row r="20520" spans="1:9">
      <c r="A20520" s="22" t="str">
        <f>HYPERLINK("https://app.vivvix.com/360/KMI/IntelliDrive/ApplUI/Pages/CreativePages/CustomReportCreativeDetail.aspx?App=23&amp;ReportView=4&amp;Qid=1711279&amp;Row=20512&amp;Col=1","No Title Assigned - #15279377457")</f>
        <v/>
      </c>
      <c r="B20520" s="0" t="s">
        <v>27214</v>
      </c>
      <c r="E20520" s="0" t="inlineStr">
        <is>
          <t xml:space="preserve">Mazda</t>
        </is>
      </c>
      <c r="F20520" s="0" t="inlineStr">
        <is>
          <t xml:space="preserve">Mazda</t>
        </is>
      </c>
      <c r="G20520" s="0" t="s">
        <v>171</v>
      </c>
      <c r="H20520" s="5">
        <v>10.234400</v>
      </c>
    </row>
    <row r="20521" spans="1:9">
      <c r="A20521" s="22" t="str">
        <f>HYPERLINK("https://app.vivvix.com/360/KMI/IntelliDrive/ApplUI/Pages/CreativePages/CustomReportCreativeDetail.aspx?App=23&amp;ReportView=4&amp;Qid=1711279&amp;Row=20513&amp;Col=1","No Title Assigned - #15279377458")</f>
        <v/>
      </c>
      <c r="B20521" s="0" t="s">
        <v>27215</v>
      </c>
      <c r="E20521" s="0" t="inlineStr">
        <is>
          <t xml:space="preserve">Mazda</t>
        </is>
      </c>
      <c r="F20521" s="0" t="inlineStr">
        <is>
          <t xml:space="preserve">Mazda</t>
        </is>
      </c>
      <c r="G20521" s="0" t="s">
        <v>171</v>
      </c>
      <c r="H20521" s="5">
        <v>10.234400</v>
      </c>
    </row>
    <row r="20522" spans="1:9">
      <c r="A20522" s="22" t="str">
        <f>HYPERLINK("https://app.vivvix.com/360/KMI/IntelliDrive/ApplUI/Pages/CreativePages/CustomReportCreativeDetail.aspx?App=23&amp;ReportView=4&amp;Qid=1711279&amp;Row=20514&amp;Col=1","No Title Assigned - #15279377482")</f>
        <v/>
      </c>
      <c r="B20522" s="0" t="s">
        <v>27216</v>
      </c>
      <c r="E20522" s="0" t="inlineStr">
        <is>
          <t xml:space="preserve">Mazda</t>
        </is>
      </c>
      <c r="F20522" s="0" t="inlineStr">
        <is>
          <t xml:space="preserve">Mazda</t>
        </is>
      </c>
      <c r="G20522" s="0" t="s">
        <v>171</v>
      </c>
      <c r="H20522" s="5">
        <v>757.030700</v>
      </c>
    </row>
    <row r="20523" spans="1:9">
      <c r="A20523" s="22" t="str">
        <f>HYPERLINK("https://app.vivvix.com/360/KMI/IntelliDrive/ApplUI/Pages/CreativePages/CustomReportCreativeDetail.aspx?App=23&amp;ReportView=4&amp;Qid=1711279&amp;Row=20515&amp;Col=1","No Title Assigned - #15279377624")</f>
        <v/>
      </c>
      <c r="B20523" s="0" t="s">
        <v>27217</v>
      </c>
      <c r="E20523" s="0" t="inlineStr">
        <is>
          <t xml:space="preserve">Mazda</t>
        </is>
      </c>
      <c r="F20523" s="0" t="inlineStr">
        <is>
          <t xml:space="preserve">Mazda</t>
        </is>
      </c>
      <c r="G20523" s="0" t="s">
        <v>171</v>
      </c>
      <c r="H20523" s="5">
        <v>283.890000</v>
      </c>
    </row>
    <row r="20524" spans="1:9">
      <c r="A20524" s="22" t="str">
        <f>HYPERLINK("https://app.vivvix.com/360/KMI/IntelliDrive/ApplUI/Pages/CreativePages/CustomReportCreativeDetail.aspx?App=23&amp;ReportView=4&amp;Qid=1711279&amp;Row=20516&amp;Col=1","No Title Assigned - #15279377669")</f>
        <v/>
      </c>
      <c r="B20524" s="0" t="s">
        <v>27218</v>
      </c>
      <c r="E20524" s="0" t="inlineStr">
        <is>
          <t xml:space="preserve">Mazda</t>
        </is>
      </c>
      <c r="F20524" s="0" t="inlineStr">
        <is>
          <t xml:space="preserve">Mazda</t>
        </is>
      </c>
      <c r="G20524" s="0" t="s">
        <v>171</v>
      </c>
      <c r="H20524" s="5">
        <v>145.242400</v>
      </c>
    </row>
    <row r="20525" spans="1:9">
      <c r="A20525" s="22" t="str">
        <f>HYPERLINK("https://app.vivvix.com/360/KMI/IntelliDrive/ApplUI/Pages/CreativePages/CustomReportCreativeDetail.aspx?App=23&amp;ReportView=4&amp;Qid=1711279&amp;Row=20517&amp;Col=1","No Title Assigned - #15279377670")</f>
        <v/>
      </c>
      <c r="B20525" s="0" t="s">
        <v>27219</v>
      </c>
      <c r="C20525" s="0" t="s">
        <v>27220</v>
      </c>
      <c r="D20525" s="0" t="s">
        <v>27220</v>
      </c>
      <c r="E20525" s="0" t="inlineStr">
        <is>
          <t xml:space="preserve">Mazda</t>
        </is>
      </c>
      <c r="F20525" s="0" t="inlineStr">
        <is>
          <t xml:space="preserve">Mazda</t>
        </is>
      </c>
      <c r="G20525" s="0" t="s">
        <v>171</v>
      </c>
      <c r="H20525" s="5">
        <v>41.445300</v>
      </c>
    </row>
    <row r="20526" spans="1:9">
      <c r="A20526" s="22" t="str">
        <f>HYPERLINK("https://app.vivvix.com/360/KMI/IntelliDrive/ApplUI/Pages/CreativePages/CustomReportCreativeDetail.aspx?App=23&amp;ReportView=4&amp;Qid=1711279&amp;Row=20518&amp;Col=1","No Title Assigned - #15279378266")</f>
        <v/>
      </c>
      <c r="B20526" s="0" t="s">
        <v>27221</v>
      </c>
      <c r="E20526" s="0" t="inlineStr">
        <is>
          <t xml:space="preserve">Mazda</t>
        </is>
      </c>
      <c r="F20526" s="0" t="inlineStr">
        <is>
          <t xml:space="preserve">Mazda</t>
        </is>
      </c>
      <c r="G20526" s="0" t="s">
        <v>171</v>
      </c>
      <c r="H20526" s="5">
        <v>1.216000</v>
      </c>
    </row>
    <row r="20527" spans="1:9">
      <c r="A20527" s="22" t="str">
        <f>HYPERLINK("https://app.vivvix.com/360/KMI/IntelliDrive/ApplUI/Pages/CreativePages/CustomReportCreativeDetail.aspx?App=23&amp;ReportView=4&amp;Qid=1711279&amp;Row=20519&amp;Col=1","No Title Assigned - #15279378812")</f>
        <v/>
      </c>
      <c r="B20527" s="0" t="s">
        <v>27222</v>
      </c>
      <c r="E20527" s="0" t="inlineStr">
        <is>
          <t xml:space="preserve">Mazda</t>
        </is>
      </c>
      <c r="F20527" s="0" t="inlineStr">
        <is>
          <t xml:space="preserve">Mazda</t>
        </is>
      </c>
      <c r="G20527" s="0" t="s">
        <v>171</v>
      </c>
      <c r="H20527" s="5">
        <v>213.883400</v>
      </c>
    </row>
    <row r="20528" spans="1:9">
      <c r="A20528" s="22" t="str">
        <f>HYPERLINK("https://app.vivvix.com/360/KMI/IntelliDrive/ApplUI/Pages/CreativePages/CustomReportCreativeDetail.aspx?App=23&amp;ReportView=4&amp;Qid=1711279&amp;Row=20520&amp;Col=1","No Title Assigned - #15279378917")</f>
        <v/>
      </c>
      <c r="B20528" s="0" t="s">
        <v>27223</v>
      </c>
      <c r="E20528" s="0" t="inlineStr">
        <is>
          <t xml:space="preserve">Mazda</t>
        </is>
      </c>
      <c r="F20528" s="0" t="inlineStr">
        <is>
          <t xml:space="preserve">Mazda</t>
        </is>
      </c>
      <c r="G20528" s="0" t="s">
        <v>171</v>
      </c>
      <c r="H20528" s="5">
        <v>295.019100</v>
      </c>
    </row>
    <row r="20529" spans="1:9">
      <c r="A20529" s="22" t="str">
        <f>HYPERLINK("https://app.vivvix.com/360/KMI/IntelliDrive/ApplUI/Pages/CreativePages/CustomReportCreativeDetail.aspx?App=23&amp;ReportView=4&amp;Qid=1711279&amp;Row=20521&amp;Col=1","No Title Assigned - #15279379232")</f>
        <v/>
      </c>
      <c r="B20529" s="0" t="s">
        <v>27224</v>
      </c>
      <c r="E20529" s="0" t="inlineStr">
        <is>
          <t xml:space="preserve">Mazda</t>
        </is>
      </c>
      <c r="F20529" s="0" t="inlineStr">
        <is>
          <t xml:space="preserve">Mazda</t>
        </is>
      </c>
      <c r="G20529" s="0" t="s">
        <v>171</v>
      </c>
      <c r="H20529" s="5">
        <v>100.832400</v>
      </c>
    </row>
    <row r="20530" spans="1:9">
      <c r="A20530" s="22" t="str">
        <f>HYPERLINK("https://app.vivvix.com/360/KMI/IntelliDrive/ApplUI/Pages/CreativePages/CustomReportCreativeDetail.aspx?App=23&amp;ReportView=4&amp;Qid=1711279&amp;Row=20522&amp;Col=1","No Title Assigned - #15279379301")</f>
        <v/>
      </c>
      <c r="B20530" s="0" t="s">
        <v>27225</v>
      </c>
      <c r="E20530" s="0" t="inlineStr">
        <is>
          <t xml:space="preserve">Mazda</t>
        </is>
      </c>
      <c r="F20530" s="0" t="inlineStr">
        <is>
          <t xml:space="preserve">Mazda</t>
        </is>
      </c>
      <c r="G20530" s="0" t="s">
        <v>171</v>
      </c>
      <c r="H20530" s="5">
        <v>219.796900</v>
      </c>
    </row>
    <row r="20531" spans="1:9">
      <c r="A20531" s="22" t="str">
        <f>HYPERLINK("https://app.vivvix.com/360/KMI/IntelliDrive/ApplUI/Pages/CreativePages/CustomReportCreativeDetail.aspx?App=23&amp;ReportView=4&amp;Qid=1711279&amp;Row=20523&amp;Col=1","No Title Assigned - #15279379387")</f>
        <v/>
      </c>
      <c r="B20531" s="0" t="s">
        <v>27226</v>
      </c>
      <c r="E20531" s="0" t="inlineStr">
        <is>
          <t xml:space="preserve">Mazda</t>
        </is>
      </c>
      <c r="F20531" s="0" t="inlineStr">
        <is>
          <t xml:space="preserve">Mazda</t>
        </is>
      </c>
      <c r="G20531" s="0" t="s">
        <v>171</v>
      </c>
      <c r="H20531" s="5">
        <v>519.132300</v>
      </c>
    </row>
    <row r="20532" spans="1:9">
      <c r="A20532" s="22" t="str">
        <f>HYPERLINK("https://app.vivvix.com/360/KMI/IntelliDrive/ApplUI/Pages/CreativePages/CustomReportCreativeDetail.aspx?App=23&amp;ReportView=4&amp;Qid=1711279&amp;Row=20524&amp;Col=1","No Title Assigned - #15279379701")</f>
        <v/>
      </c>
      <c r="B20532" s="0" t="s">
        <v>27227</v>
      </c>
      <c r="C20532" s="0" t="s">
        <v>27228</v>
      </c>
      <c r="D20532" s="0" t="s">
        <v>27228</v>
      </c>
      <c r="E20532" s="0" t="inlineStr">
        <is>
          <t xml:space="preserve">Mazda</t>
        </is>
      </c>
      <c r="F20532" s="0" t="inlineStr">
        <is>
          <t xml:space="preserve">Mazda</t>
        </is>
      </c>
      <c r="G20532" s="0" t="s">
        <v>171</v>
      </c>
      <c r="H20532" s="5">
        <v>71.033500</v>
      </c>
    </row>
    <row r="20533" spans="1:9">
      <c r="A20533" s="22" t="str">
        <f>HYPERLINK("https://app.vivvix.com/360/KMI/IntelliDrive/ApplUI/Pages/CreativePages/CustomReportCreativeDetail.aspx?App=23&amp;ReportView=4&amp;Qid=1711279&amp;Row=20525&amp;Col=1","No Title Assigned - #15279379701")</f>
        <v/>
      </c>
      <c r="B20533" s="0" t="s">
        <v>27227</v>
      </c>
      <c r="E20533" s="0" t="inlineStr">
        <is>
          <t xml:space="preserve">Mazda</t>
        </is>
      </c>
      <c r="F20533" s="0" t="inlineStr">
        <is>
          <t xml:space="preserve">Mazda</t>
        </is>
      </c>
      <c r="G20533" s="0" t="s">
        <v>171</v>
      </c>
      <c r="H20533" s="5">
        <v>61.006800</v>
      </c>
    </row>
    <row r="20534" spans="1:9">
      <c r="A20534" s="22" t="str">
        <f>HYPERLINK("https://app.vivvix.com/360/KMI/IntelliDrive/ApplUI/Pages/CreativePages/CustomReportCreativeDetail.aspx?App=23&amp;ReportView=4&amp;Qid=1711279&amp;Row=20526&amp;Col=1","No Title Assigned - #15279381507")</f>
        <v/>
      </c>
      <c r="B20534" s="0" t="s">
        <v>27229</v>
      </c>
      <c r="E20534" s="0" t="inlineStr">
        <is>
          <t xml:space="preserve">Mazda</t>
        </is>
      </c>
      <c r="F20534" s="0" t="inlineStr">
        <is>
          <t xml:space="preserve">Mazda</t>
        </is>
      </c>
      <c r="G20534" s="0" t="s">
        <v>171</v>
      </c>
      <c r="H20534" s="5">
        <v>6.815600</v>
      </c>
    </row>
    <row r="20535" spans="1:9">
      <c r="A20535" s="22" t="str">
        <f>HYPERLINK("https://app.vivvix.com/360/KMI/IntelliDrive/ApplUI/Pages/CreativePages/CustomReportCreativeDetail.aspx?App=23&amp;ReportView=4&amp;Qid=1711279&amp;Row=20527&amp;Col=1","No Title Assigned - #15279382232")</f>
        <v/>
      </c>
      <c r="B20535" s="0" t="s">
        <v>27230</v>
      </c>
      <c r="E20535" s="0" t="inlineStr">
        <is>
          <t xml:space="preserve">Mazda</t>
        </is>
      </c>
      <c r="F20535" s="0" t="inlineStr">
        <is>
          <t xml:space="preserve">Mazda</t>
        </is>
      </c>
      <c r="G20535" s="0" t="s">
        <v>171</v>
      </c>
      <c r="H20535" s="5">
        <v>8.691900</v>
      </c>
    </row>
    <row r="20536" spans="1:9">
      <c r="A20536" s="22" t="str">
        <f>HYPERLINK("https://app.vivvix.com/360/KMI/IntelliDrive/ApplUI/Pages/CreativePages/CustomReportCreativeDetail.aspx?App=23&amp;ReportView=4&amp;Qid=1711279&amp;Row=20528&amp;Col=1","No Title Assigned - #15279385023")</f>
        <v/>
      </c>
      <c r="B20536" s="0" t="s">
        <v>27231</v>
      </c>
      <c r="C20536" s="0" t="s">
        <v>27232</v>
      </c>
      <c r="D20536" s="0" t="s">
        <v>27232</v>
      </c>
      <c r="E20536" s="0" t="inlineStr">
        <is>
          <t xml:space="preserve">Mazda</t>
        </is>
      </c>
      <c r="F20536" s="0" t="inlineStr">
        <is>
          <t xml:space="preserve">Mazda</t>
        </is>
      </c>
      <c r="G20536" s="0" t="s">
        <v>171</v>
      </c>
      <c r="H20536" s="5">
        <v>1006.563800</v>
      </c>
    </row>
    <row r="20537" spans="1:9">
      <c r="A20537" s="22" t="str">
        <f>HYPERLINK("https://app.vivvix.com/360/KMI/IntelliDrive/ApplUI/Pages/CreativePages/CustomReportCreativeDetail.aspx?App=23&amp;ReportView=4&amp;Qid=1711279&amp;Row=20529&amp;Col=1","No Title Assigned - #15279385352")</f>
        <v/>
      </c>
      <c r="B20537" s="0" t="s">
        <v>27233</v>
      </c>
      <c r="E20537" s="0" t="inlineStr">
        <is>
          <t xml:space="preserve">Mazda</t>
        </is>
      </c>
      <c r="F20537" s="0" t="inlineStr">
        <is>
          <t xml:space="preserve">Mazda</t>
        </is>
      </c>
      <c r="G20537" s="0" t="s">
        <v>171</v>
      </c>
      <c r="H20537" s="5">
        <v>75.117000</v>
      </c>
    </row>
    <row r="20538" spans="1:9">
      <c r="A20538" s="22" t="str">
        <f>HYPERLINK("https://app.vivvix.com/360/KMI/IntelliDrive/ApplUI/Pages/CreativePages/CustomReportCreativeDetail.aspx?App=23&amp;ReportView=4&amp;Qid=1711279&amp;Row=20530&amp;Col=1","No Title Assigned - #15279385437")</f>
        <v/>
      </c>
      <c r="B20538" s="0" t="s">
        <v>27234</v>
      </c>
      <c r="E20538" s="0" t="inlineStr">
        <is>
          <t xml:space="preserve">Mazda</t>
        </is>
      </c>
      <c r="F20538" s="0" t="inlineStr">
        <is>
          <t xml:space="preserve">Mazda</t>
        </is>
      </c>
      <c r="G20538" s="0" t="s">
        <v>171</v>
      </c>
      <c r="H20538" s="5">
        <v>4.507300</v>
      </c>
    </row>
    <row r="20539" spans="1:9">
      <c r="A20539" s="22" t="str">
        <f>HYPERLINK("https://app.vivvix.com/360/KMI/IntelliDrive/ApplUI/Pages/CreativePages/CustomReportCreativeDetail.aspx?App=23&amp;ReportView=4&amp;Qid=1711279&amp;Row=20531&amp;Col=1","No Title Assigned - #15279386302")</f>
        <v/>
      </c>
      <c r="B20539" s="0" t="s">
        <v>27235</v>
      </c>
      <c r="C20539" s="0" t="s">
        <v>27236</v>
      </c>
      <c r="D20539" s="0" t="s">
        <v>27236</v>
      </c>
      <c r="E20539" s="0" t="inlineStr">
        <is>
          <t xml:space="preserve">Mazda</t>
        </is>
      </c>
      <c r="F20539" s="0" t="inlineStr">
        <is>
          <t xml:space="preserve">Mazda</t>
        </is>
      </c>
      <c r="G20539" s="0" t="s">
        <v>171</v>
      </c>
      <c r="H20539" s="5">
        <v>60.597400</v>
      </c>
    </row>
    <row r="20540" spans="1:9">
      <c r="A20540" s="22" t="str">
        <f>HYPERLINK("https://app.vivvix.com/360/KMI/IntelliDrive/ApplUI/Pages/CreativePages/CustomReportCreativeDetail.aspx?App=23&amp;ReportView=4&amp;Qid=1711279&amp;Row=20532&amp;Col=1","No Title Assigned - #15279386467")</f>
        <v/>
      </c>
      <c r="B20540" s="0" t="s">
        <v>27237</v>
      </c>
      <c r="E20540" s="0" t="inlineStr">
        <is>
          <t xml:space="preserve">Mazda</t>
        </is>
      </c>
      <c r="F20540" s="0" t="inlineStr">
        <is>
          <t xml:space="preserve">Mazda</t>
        </is>
      </c>
      <c r="G20540" s="0" t="s">
        <v>171</v>
      </c>
      <c r="H20540" s="5">
        <v>20.087800</v>
      </c>
    </row>
    <row r="20541" spans="1:9">
      <c r="A20541" s="22" t="str">
        <f>HYPERLINK("https://app.vivvix.com/360/KMI/IntelliDrive/ApplUI/Pages/CreativePages/CustomReportCreativeDetail.aspx?App=23&amp;ReportView=4&amp;Qid=1711279&amp;Row=20533&amp;Col=1","No Title Assigned - #15279386509")</f>
        <v/>
      </c>
      <c r="B20541" s="0" t="s">
        <v>27238</v>
      </c>
      <c r="E20541" s="0" t="inlineStr">
        <is>
          <t xml:space="preserve">Mazda</t>
        </is>
      </c>
      <c r="F20541" s="0" t="inlineStr">
        <is>
          <t xml:space="preserve">Mazda</t>
        </is>
      </c>
      <c r="G20541" s="0" t="s">
        <v>171</v>
      </c>
      <c r="H20541" s="5">
        <v>219.796900</v>
      </c>
    </row>
    <row r="20542" spans="1:9">
      <c r="A20542" s="22" t="str">
        <f>HYPERLINK("https://app.vivvix.com/360/KMI/IntelliDrive/ApplUI/Pages/CreativePages/CustomReportCreativeDetail.aspx?App=23&amp;ReportView=4&amp;Qid=1711279&amp;Row=20534&amp;Col=1","No Title Assigned - #15279390379")</f>
        <v/>
      </c>
      <c r="B20542" s="0" t="s">
        <v>27239</v>
      </c>
      <c r="E20542" s="0" t="inlineStr">
        <is>
          <t xml:space="preserve">Mazda</t>
        </is>
      </c>
      <c r="F20542" s="0" t="inlineStr">
        <is>
          <t xml:space="preserve">Mazda</t>
        </is>
      </c>
      <c r="G20542" s="0" t="s">
        <v>171</v>
      </c>
      <c r="H20542" s="5">
        <v>5.543100</v>
      </c>
    </row>
    <row r="20543" spans="1:9">
      <c r="A20543" s="22" t="str">
        <f>HYPERLINK("https://app.vivvix.com/360/KMI/IntelliDrive/ApplUI/Pages/CreativePages/CustomReportCreativeDetail.aspx?App=23&amp;ReportView=4&amp;Qid=1711279&amp;Row=20535&amp;Col=1","No Title Assigned - #15279395417")</f>
        <v/>
      </c>
      <c r="B20543" s="0" t="s">
        <v>27240</v>
      </c>
      <c r="E20543" s="0" t="inlineStr">
        <is>
          <t xml:space="preserve">Mazda</t>
        </is>
      </c>
      <c r="F20543" s="0" t="inlineStr">
        <is>
          <t xml:space="preserve">Mazda</t>
        </is>
      </c>
      <c r="G20543" s="0" t="s">
        <v>171</v>
      </c>
      <c r="H20543" s="5">
        <v>14.444300</v>
      </c>
    </row>
    <row r="20544" spans="1:9">
      <c r="A20544" s="22" t="str">
        <f>HYPERLINK("https://app.vivvix.com/360/KMI/IntelliDrive/ApplUI/Pages/CreativePages/CustomReportCreativeDetail.aspx?App=23&amp;ReportView=4&amp;Qid=1711279&amp;Row=20536&amp;Col=1","No Title Assigned - #15279400053")</f>
        <v/>
      </c>
      <c r="B20544" s="0" t="s">
        <v>27241</v>
      </c>
      <c r="C20544" s="0" t="s">
        <v>27242</v>
      </c>
      <c r="D20544" s="0" t="s">
        <v>4335</v>
      </c>
      <c r="E20544" s="0" t="inlineStr">
        <is>
          <t xml:space="preserve">Mazda</t>
        </is>
      </c>
      <c r="F20544" s="0" t="s">
        <v>13</v>
      </c>
      <c r="G20544" s="0" t="s">
        <v>49</v>
      </c>
      <c r="H20544" s="5">
        <v>7.140200</v>
      </c>
    </row>
    <row r="20545" spans="1:9">
      <c r="A20545" s="22" t="str">
        <f>HYPERLINK("https://app.vivvix.com/360/KMI/IntelliDrive/ApplUI/Pages/CreativePages/CustomReportCreativeDetail.aspx?App=23&amp;ReportView=4&amp;Qid=1711279&amp;Row=20537&amp;Col=1","No Title Assigned - #15279400253")</f>
        <v/>
      </c>
      <c r="B20545" s="0" t="s">
        <v>27243</v>
      </c>
      <c r="E20545" s="0" t="inlineStr">
        <is>
          <t xml:space="preserve">Mazda</t>
        </is>
      </c>
      <c r="F20545" s="0" t="inlineStr">
        <is>
          <t xml:space="preserve">Mazda</t>
        </is>
      </c>
      <c r="G20545" s="0" t="s">
        <v>171</v>
      </c>
      <c r="H20545" s="5">
        <v>449.801800</v>
      </c>
    </row>
    <row r="20546" spans="1:9">
      <c r="A20546" s="22" t="str">
        <f>HYPERLINK("https://app.vivvix.com/360/KMI/IntelliDrive/ApplUI/Pages/CreativePages/CustomReportCreativeDetail.aspx?App=23&amp;ReportView=4&amp;Qid=1711279&amp;Row=20538&amp;Col=1","No Title Assigned - #15279400772")</f>
        <v/>
      </c>
      <c r="B20546" s="0" t="s">
        <v>27244</v>
      </c>
      <c r="E20546" s="0" t="inlineStr">
        <is>
          <t xml:space="preserve">Mazda</t>
        </is>
      </c>
      <c r="F20546" s="0" t="inlineStr">
        <is>
          <t xml:space="preserve">Mazda</t>
        </is>
      </c>
      <c r="G20546" s="0" t="s">
        <v>171</v>
      </c>
      <c r="H20546" s="5">
        <v>14.444300</v>
      </c>
    </row>
    <row r="20547" spans="1:9">
      <c r="A20547" s="22" t="str">
        <f>HYPERLINK("https://app.vivvix.com/360/KMI/IntelliDrive/ApplUI/Pages/CreativePages/CustomReportCreativeDetail.aspx?App=23&amp;ReportView=4&amp;Qid=1711279&amp;Row=20539&amp;Col=1","No Title Assigned - #15279405454")</f>
        <v/>
      </c>
      <c r="B20547" s="0" t="s">
        <v>27245</v>
      </c>
      <c r="C20547" s="0" t="s">
        <v>27246</v>
      </c>
      <c r="D20547" s="0" t="s">
        <v>27246</v>
      </c>
      <c r="E20547" s="0" t="inlineStr">
        <is>
          <t xml:space="preserve">Mazda</t>
        </is>
      </c>
      <c r="F20547" s="0" t="s">
        <v>13</v>
      </c>
      <c r="G20547" s="0" t="s">
        <v>49</v>
      </c>
      <c r="H20547" s="5">
        <v>515.339500</v>
      </c>
    </row>
    <row r="20548" spans="1:9">
      <c r="A20548" s="22" t="str">
        <f>HYPERLINK("https://app.vivvix.com/360/KMI/IntelliDrive/ApplUI/Pages/CreativePages/CustomReportCreativeDetail.aspx?App=23&amp;ReportView=4&amp;Qid=1711279&amp;Row=20540&amp;Col=1","No Title Assigned - #15279405454")</f>
        <v/>
      </c>
      <c r="B20548" s="0" t="s">
        <v>27245</v>
      </c>
      <c r="E20548" s="0" t="inlineStr">
        <is>
          <t xml:space="preserve">Mazda</t>
        </is>
      </c>
      <c r="F20548" s="0" t="s">
        <v>13</v>
      </c>
      <c r="G20548" s="0" t="s">
        <v>49</v>
      </c>
      <c r="H20548" s="5">
        <v>45967.238300</v>
      </c>
    </row>
    <row r="20549" spans="1:9">
      <c r="A20549" s="22" t="str">
        <f>HYPERLINK("https://app.vivvix.com/360/KMI/IntelliDrive/ApplUI/Pages/CreativePages/CustomReportCreativeDetail.aspx?App=23&amp;ReportView=4&amp;Qid=1711279&amp;Row=20541&amp;Col=1","No Title Assigned - #15279406614")</f>
        <v/>
      </c>
      <c r="B20549" s="0" t="s">
        <v>27247</v>
      </c>
      <c r="C20549" s="0" t="s">
        <v>27248</v>
      </c>
      <c r="D20549" s="0" t="s">
        <v>22120</v>
      </c>
      <c r="E20549" s="0" t="inlineStr">
        <is>
          <t xml:space="preserve">Mazda</t>
        </is>
      </c>
      <c r="F20549" s="0" t="s">
        <v>13</v>
      </c>
      <c r="G20549" s="0" t="s">
        <v>49</v>
      </c>
      <c r="H20549" s="5">
        <v>91.758500</v>
      </c>
    </row>
    <row r="20550" spans="1:9">
      <c r="A20550" s="22" t="str">
        <f>HYPERLINK("https://app.vivvix.com/360/KMI/IntelliDrive/ApplUI/Pages/CreativePages/CustomReportCreativeDetail.aspx?App=23&amp;ReportView=4&amp;Qid=1711279&amp;Row=20542&amp;Col=1","No Title Assigned - #15279406921")</f>
        <v/>
      </c>
      <c r="B20550" s="0" t="s">
        <v>27249</v>
      </c>
      <c r="C20550" s="0" t="s">
        <v>27250</v>
      </c>
      <c r="D20550" s="0" t="s">
        <v>27250</v>
      </c>
      <c r="E20550" s="0" t="inlineStr">
        <is>
          <t xml:space="preserve">Mazda</t>
        </is>
      </c>
      <c r="F20550" s="0" t="s">
        <v>13</v>
      </c>
      <c r="G20550" s="0" t="s">
        <v>49</v>
      </c>
      <c r="H20550" s="5">
        <v>8.209200</v>
      </c>
    </row>
    <row r="20551" spans="1:9">
      <c r="A20551" s="22" t="str">
        <f>HYPERLINK("https://app.vivvix.com/360/KMI/IntelliDrive/ApplUI/Pages/CreativePages/CustomReportCreativeDetail.aspx?App=23&amp;ReportView=4&amp;Qid=1711279&amp;Row=20543&amp;Col=1","No Title Assigned - #15279406921")</f>
        <v/>
      </c>
      <c r="B20551" s="0" t="s">
        <v>27249</v>
      </c>
      <c r="E20551" s="0" t="inlineStr">
        <is>
          <t xml:space="preserve">Mazda</t>
        </is>
      </c>
      <c r="F20551" s="0" t="s">
        <v>13</v>
      </c>
      <c r="G20551" s="0" t="s">
        <v>49</v>
      </c>
      <c r="H20551" s="5">
        <v>9.383400</v>
      </c>
    </row>
    <row r="20552" spans="1:9">
      <c r="A20552" s="22" t="str">
        <f>HYPERLINK("https://app.vivvix.com/360/KMI/IntelliDrive/ApplUI/Pages/CreativePages/CustomReportCreativeDetail.aspx?App=23&amp;ReportView=4&amp;Qid=1711279&amp;Row=20544&amp;Col=1","No Title Assigned - #15279409032")</f>
        <v/>
      </c>
      <c r="B20552" s="0" t="s">
        <v>27251</v>
      </c>
      <c r="E20552" s="0" t="inlineStr">
        <is>
          <t xml:space="preserve">Mazda</t>
        </is>
      </c>
      <c r="F20552" s="0" t="s">
        <v>28</v>
      </c>
      <c r="G20552" s="0" t="s">
        <v>29</v>
      </c>
      <c r="H20552" s="5">
        <v>53.741400</v>
      </c>
    </row>
    <row r="20553" spans="1:9">
      <c r="A20553" s="22" t="str">
        <f>HYPERLINK("https://app.vivvix.com/360/KMI/IntelliDrive/ApplUI/Pages/CreativePages/CustomReportCreativeDetail.aspx?App=23&amp;ReportView=4&amp;Qid=1711279&amp;Row=20545&amp;Col=1","No Title Assigned - #15279412111")</f>
        <v/>
      </c>
      <c r="B20553" s="0" t="s">
        <v>27252</v>
      </c>
      <c r="E20553" s="0" t="inlineStr">
        <is>
          <t xml:space="preserve">Mazda</t>
        </is>
      </c>
      <c r="F20553" s="0" t="inlineStr">
        <is>
          <t xml:space="preserve">Mazda</t>
        </is>
      </c>
      <c r="G20553" s="0" t="s">
        <v>210</v>
      </c>
      <c r="H20553" s="5">
        <v>862.559900</v>
      </c>
    </row>
    <row r="20554" spans="1:9">
      <c r="A20554" s="22" t="str">
        <f>HYPERLINK("https://app.vivvix.com/360/KMI/IntelliDrive/ApplUI/Pages/CreativePages/CustomReportCreativeDetail.aspx?App=23&amp;ReportView=4&amp;Qid=1711279&amp;Row=20546&amp;Col=1","No Title Assigned - #15279412358")</f>
        <v/>
      </c>
      <c r="B20554" s="0" t="s">
        <v>27253</v>
      </c>
      <c r="E20554" s="0" t="inlineStr">
        <is>
          <t xml:space="preserve">Mazda</t>
        </is>
      </c>
      <c r="F20554" s="0" t="s">
        <v>13</v>
      </c>
      <c r="G20554" s="0" t="s">
        <v>49</v>
      </c>
      <c r="H20554" s="5">
        <v>79.849200</v>
      </c>
    </row>
    <row r="20555" spans="1:9">
      <c r="A20555" s="22" t="str">
        <f>HYPERLINK("https://app.vivvix.com/360/KMI/IntelliDrive/ApplUI/Pages/CreativePages/CustomReportCreativeDetail.aspx?App=23&amp;ReportView=4&amp;Qid=1711279&amp;Row=20547&amp;Col=1","No Title Assigned - #15279413527")</f>
        <v/>
      </c>
      <c r="B20555" s="0" t="s">
        <v>27254</v>
      </c>
      <c r="E20555" s="0" t="inlineStr">
        <is>
          <t xml:space="preserve">Mazda</t>
        </is>
      </c>
      <c r="F20555" s="0" t="s">
        <v>204</v>
      </c>
      <c r="G20555" s="0" t="s">
        <v>205</v>
      </c>
      <c r="H20555" s="5">
        <v>739.688900</v>
      </c>
    </row>
    <row r="20556" spans="1:9">
      <c r="A20556" s="22" t="str">
        <f>HYPERLINK("https://app.vivvix.com/360/KMI/IntelliDrive/ApplUI/Pages/CreativePages/CustomReportCreativeDetail.aspx?App=23&amp;ReportView=4&amp;Qid=1711279&amp;Row=20548&amp;Col=1","No Title Assigned - #15279415268")</f>
        <v/>
      </c>
      <c r="B20556" s="0" t="s">
        <v>27255</v>
      </c>
      <c r="E20556" s="0" t="inlineStr">
        <is>
          <t xml:space="preserve">Mazda</t>
        </is>
      </c>
      <c r="F20556" s="0" t="inlineStr">
        <is>
          <t xml:space="preserve">Mazda</t>
        </is>
      </c>
      <c r="G20556" s="0" t="s">
        <v>171</v>
      </c>
      <c r="H20556" s="5">
        <v>5.543100</v>
      </c>
    </row>
    <row r="20557" spans="1:9">
      <c r="A20557" s="22" t="str">
        <f>HYPERLINK("https://app.vivvix.com/360/KMI/IntelliDrive/ApplUI/Pages/CreativePages/CustomReportCreativeDetail.aspx?App=23&amp;ReportView=4&amp;Qid=1711279&amp;Row=20549&amp;Col=1","No Title Assigned - #15279415269")</f>
        <v/>
      </c>
      <c r="B20557" s="0" t="s">
        <v>27256</v>
      </c>
      <c r="E20557" s="0" t="inlineStr">
        <is>
          <t xml:space="preserve">Mazda</t>
        </is>
      </c>
      <c r="F20557" s="0" t="inlineStr">
        <is>
          <t xml:space="preserve">Mazda</t>
        </is>
      </c>
      <c r="G20557" s="0" t="s">
        <v>171</v>
      </c>
      <c r="H20557" s="5">
        <v>5.543100</v>
      </c>
    </row>
    <row r="20558" spans="1:9">
      <c r="A20558" s="22" t="str">
        <f>HYPERLINK("https://app.vivvix.com/360/KMI/IntelliDrive/ApplUI/Pages/CreativePages/CustomReportCreativeDetail.aspx?App=23&amp;ReportView=4&amp;Qid=1711279&amp;Row=20550&amp;Col=1","No Title Assigned - #15279416382")</f>
        <v/>
      </c>
      <c r="B20558" s="0" t="s">
        <v>27257</v>
      </c>
      <c r="C20558" s="0" t="s">
        <v>27258</v>
      </c>
      <c r="D20558" s="0" t="s">
        <v>4335</v>
      </c>
      <c r="E20558" s="0" t="inlineStr">
        <is>
          <t xml:space="preserve">Mazda</t>
        </is>
      </c>
      <c r="F20558" s="0" t="s">
        <v>13</v>
      </c>
      <c r="G20558" s="0" t="s">
        <v>49</v>
      </c>
      <c r="H20558" s="5">
        <v>38.790700</v>
      </c>
    </row>
    <row r="20559" spans="1:9">
      <c r="A20559" s="22" t="str">
        <f>HYPERLINK("https://app.vivvix.com/360/KMI/IntelliDrive/ApplUI/Pages/CreativePages/CustomReportCreativeDetail.aspx?App=23&amp;ReportView=4&amp;Qid=1711279&amp;Row=20551&amp;Col=1","No Title Assigned - #15279416542")</f>
        <v/>
      </c>
      <c r="B20559" s="0" t="s">
        <v>27259</v>
      </c>
      <c r="C20559" s="0" t="s">
        <v>27260</v>
      </c>
      <c r="D20559" s="0" t="s">
        <v>19651</v>
      </c>
      <c r="E20559" s="0" t="inlineStr">
        <is>
          <t xml:space="preserve">Mazda</t>
        </is>
      </c>
      <c r="F20559" s="0" t="s">
        <v>13</v>
      </c>
      <c r="G20559" s="0" t="s">
        <v>49</v>
      </c>
      <c r="H20559" s="5">
        <v>92.289600</v>
      </c>
    </row>
    <row r="20560" spans="1:9">
      <c r="A20560" s="22" t="str">
        <f>HYPERLINK("https://app.vivvix.com/360/KMI/IntelliDrive/ApplUI/Pages/CreativePages/CustomReportCreativeDetail.aspx?App=23&amp;ReportView=4&amp;Qid=1711279&amp;Row=20552&amp;Col=1","No Title Assigned - #15279416881")</f>
        <v/>
      </c>
      <c r="B20560" s="0" t="s">
        <v>27261</v>
      </c>
      <c r="C20560" s="0" t="s">
        <v>27262</v>
      </c>
      <c r="D20560" s="0" t="s">
        <v>27262</v>
      </c>
      <c r="E20560" s="0" t="inlineStr">
        <is>
          <t xml:space="preserve">Mazda</t>
        </is>
      </c>
      <c r="F20560" s="0" t="s">
        <v>13</v>
      </c>
      <c r="G20560" s="0" t="s">
        <v>49</v>
      </c>
      <c r="H20560" s="5">
        <v>98.795200</v>
      </c>
    </row>
    <row r="20561" spans="1:9">
      <c r="A20561" s="22" t="str">
        <f>HYPERLINK("https://app.vivvix.com/360/KMI/IntelliDrive/ApplUI/Pages/CreativePages/CustomReportCreativeDetail.aspx?App=23&amp;ReportView=4&amp;Qid=1711279&amp;Row=20553&amp;Col=1","No Title Assigned - #15279416905")</f>
        <v/>
      </c>
      <c r="B20561" s="0" t="s">
        <v>27263</v>
      </c>
      <c r="C20561" s="0" t="s">
        <v>27264</v>
      </c>
      <c r="D20561" s="0" t="s">
        <v>27264</v>
      </c>
      <c r="E20561" s="0" t="inlineStr">
        <is>
          <t xml:space="preserve">Mazda</t>
        </is>
      </c>
      <c r="F20561" s="0" t="s">
        <v>13</v>
      </c>
      <c r="G20561" s="0" t="s">
        <v>49</v>
      </c>
      <c r="H20561" s="5">
        <v>8069.520200</v>
      </c>
    </row>
    <row r="20562" spans="1:9">
      <c r="A20562" s="22" t="str">
        <f>HYPERLINK("https://app.vivvix.com/360/KMI/IntelliDrive/ApplUI/Pages/CreativePages/CustomReportCreativeDetail.aspx?App=23&amp;ReportView=4&amp;Qid=1711279&amp;Row=20554&amp;Col=1","No Title Assigned - #15279418536")</f>
        <v/>
      </c>
      <c r="B20562" s="0" t="s">
        <v>27265</v>
      </c>
      <c r="C20562" s="0" t="s">
        <v>27266</v>
      </c>
      <c r="D20562" s="0" t="s">
        <v>27266</v>
      </c>
      <c r="E20562" s="0" t="inlineStr">
        <is>
          <t xml:space="preserve">Mazda</t>
        </is>
      </c>
      <c r="F20562" s="0" t="s">
        <v>13</v>
      </c>
      <c r="G20562" s="0" t="s">
        <v>49</v>
      </c>
      <c r="H20562" s="5">
        <v>355.658000</v>
      </c>
    </row>
    <row r="20563" spans="1:9">
      <c r="A20563" s="22" t="str">
        <f>HYPERLINK("https://app.vivvix.com/360/KMI/IntelliDrive/ApplUI/Pages/CreativePages/CustomReportCreativeDetail.aspx?App=23&amp;ReportView=4&amp;Qid=1711279&amp;Row=20555&amp;Col=1","No Title Assigned - #15279418663")</f>
        <v/>
      </c>
      <c r="B20563" s="0" t="s">
        <v>27267</v>
      </c>
      <c r="E20563" s="0" t="inlineStr">
        <is>
          <t xml:space="preserve">Mazda</t>
        </is>
      </c>
      <c r="F20563" s="0" t="s">
        <v>13</v>
      </c>
      <c r="G20563" s="0" t="s">
        <v>49</v>
      </c>
      <c r="H20563" s="5">
        <v>4867.521000</v>
      </c>
    </row>
    <row r="20564" spans="1:9">
      <c r="A20564" s="22" t="str">
        <f>HYPERLINK("https://app.vivvix.com/360/KMI/IntelliDrive/ApplUI/Pages/CreativePages/CustomReportCreativeDetail.aspx?App=23&amp;ReportView=4&amp;Qid=1711279&amp;Row=20556&amp;Col=1","No Title Assigned - #15279419596")</f>
        <v/>
      </c>
      <c r="B20564" s="0" t="s">
        <v>27268</v>
      </c>
      <c r="C20564" s="0" t="s">
        <v>27269</v>
      </c>
      <c r="D20564" s="0" t="s">
        <v>27269</v>
      </c>
      <c r="E20564" s="0" t="inlineStr">
        <is>
          <t xml:space="preserve">Mazda</t>
        </is>
      </c>
      <c r="F20564" s="0" t="s">
        <v>13</v>
      </c>
      <c r="G20564" s="0" t="s">
        <v>49</v>
      </c>
      <c r="H20564" s="5">
        <v>446.317500</v>
      </c>
    </row>
    <row r="20565" spans="1:9">
      <c r="A20565" s="22" t="str">
        <f>HYPERLINK("https://app.vivvix.com/360/KMI/IntelliDrive/ApplUI/Pages/CreativePages/CustomReportCreativeDetail.aspx?App=23&amp;ReportView=4&amp;Qid=1711279&amp;Row=20557&amp;Col=1","No Title Assigned - #15279420376")</f>
        <v/>
      </c>
      <c r="B20565" s="0" t="s">
        <v>27270</v>
      </c>
      <c r="C20565" s="0" t="s">
        <v>27271</v>
      </c>
      <c r="D20565" s="0" t="s">
        <v>4335</v>
      </c>
      <c r="E20565" s="0" t="inlineStr">
        <is>
          <t xml:space="preserve">Mazda</t>
        </is>
      </c>
      <c r="F20565" s="0" t="s">
        <v>13</v>
      </c>
      <c r="G20565" s="0" t="s">
        <v>49</v>
      </c>
      <c r="H20565" s="5">
        <v>27.573200</v>
      </c>
    </row>
    <row r="20566" spans="1:9">
      <c r="A20566" s="22" t="str">
        <f>HYPERLINK("https://app.vivvix.com/360/KMI/IntelliDrive/ApplUI/Pages/CreativePages/CustomReportCreativeDetail.aspx?App=23&amp;ReportView=4&amp;Qid=1711279&amp;Row=20558&amp;Col=1","No Title Assigned - #15279421490")</f>
        <v/>
      </c>
      <c r="B20566" s="0" t="s">
        <v>27272</v>
      </c>
      <c r="C20566" s="0" t="s">
        <v>27273</v>
      </c>
      <c r="D20566" s="0" t="s">
        <v>27273</v>
      </c>
      <c r="E20566" s="0" t="inlineStr">
        <is>
          <t xml:space="preserve">Mazda</t>
        </is>
      </c>
      <c r="F20566" s="0" t="s">
        <v>13</v>
      </c>
      <c r="G20566" s="0" t="s">
        <v>49</v>
      </c>
      <c r="H20566" s="5">
        <v>93.100200</v>
      </c>
    </row>
    <row r="20567" spans="1:9">
      <c r="A20567" s="22" t="str">
        <f>HYPERLINK("https://app.vivvix.com/360/KMI/IntelliDrive/ApplUI/Pages/CreativePages/CustomReportCreativeDetail.aspx?App=23&amp;ReportView=4&amp;Qid=1711279&amp;Row=20559&amp;Col=1","No Title Assigned - #15279421500")</f>
        <v/>
      </c>
      <c r="B20567" s="0" t="s">
        <v>27274</v>
      </c>
      <c r="E20567" s="0" t="inlineStr">
        <is>
          <t xml:space="preserve">Mazda</t>
        </is>
      </c>
      <c r="F20567" s="0" t="s">
        <v>13</v>
      </c>
      <c r="G20567" s="0" t="s">
        <v>49</v>
      </c>
      <c r="H20567" s="5">
        <v>2042.951800</v>
      </c>
    </row>
    <row r="20568" spans="1:9">
      <c r="A20568" s="22" t="str">
        <f>HYPERLINK("https://app.vivvix.com/360/KMI/IntelliDrive/ApplUI/Pages/CreativePages/CustomReportCreativeDetail.aspx?App=23&amp;ReportView=4&amp;Qid=1711279&amp;Row=20560&amp;Col=1","No Title Assigned - #15279421551")</f>
        <v/>
      </c>
      <c r="B20568" s="0" t="s">
        <v>27275</v>
      </c>
      <c r="C20568" s="0" t="s">
        <v>27276</v>
      </c>
      <c r="D20568" s="0" t="s">
        <v>4335</v>
      </c>
      <c r="E20568" s="0" t="inlineStr">
        <is>
          <t xml:space="preserve">Mazda</t>
        </is>
      </c>
      <c r="F20568" s="0" t="s">
        <v>13</v>
      </c>
      <c r="G20568" s="0" t="s">
        <v>49</v>
      </c>
      <c r="H20568" s="5">
        <v>32.618100</v>
      </c>
    </row>
    <row r="20569" spans="1:9">
      <c r="A20569" s="22" t="str">
        <f>HYPERLINK("https://app.vivvix.com/360/KMI/IntelliDrive/ApplUI/Pages/CreativePages/CustomReportCreativeDetail.aspx?App=23&amp;ReportView=4&amp;Qid=1711279&amp;Row=20561&amp;Col=1","No Title Assigned - #15279422098")</f>
        <v/>
      </c>
      <c r="B20569" s="0" t="s">
        <v>27277</v>
      </c>
      <c r="C20569" s="0" t="s">
        <v>27278</v>
      </c>
      <c r="D20569" s="0" t="s">
        <v>27278</v>
      </c>
      <c r="E20569" s="0" t="inlineStr">
        <is>
          <t xml:space="preserve">Mazda</t>
        </is>
      </c>
      <c r="F20569" s="0" t="s">
        <v>21</v>
      </c>
      <c r="G20569" s="0" t="s">
        <v>22</v>
      </c>
      <c r="H20569" s="5">
        <v>446.818900</v>
      </c>
    </row>
    <row r="20570" spans="1:9">
      <c r="A20570" s="22" t="str">
        <f>HYPERLINK("https://app.vivvix.com/360/KMI/IntelliDrive/ApplUI/Pages/CreativePages/CustomReportCreativeDetail.aspx?App=23&amp;ReportView=4&amp;Qid=1711279&amp;Row=20562&amp;Col=1","No Title Assigned - #15279422680")</f>
        <v/>
      </c>
      <c r="B20570" s="0" t="s">
        <v>27279</v>
      </c>
      <c r="C20570" s="0" t="s">
        <v>27280</v>
      </c>
      <c r="D20570" s="0" t="s">
        <v>27280</v>
      </c>
      <c r="E20570" s="0" t="inlineStr">
        <is>
          <t xml:space="preserve">Mazda</t>
        </is>
      </c>
      <c r="F20570" s="0" t="s">
        <v>13</v>
      </c>
      <c r="G20570" s="0" t="s">
        <v>49</v>
      </c>
      <c r="H20570" s="5">
        <v>58.195100</v>
      </c>
    </row>
    <row r="20571" spans="1:9">
      <c r="A20571" s="22" t="str">
        <f>HYPERLINK("https://app.vivvix.com/360/KMI/IntelliDrive/ApplUI/Pages/CreativePages/CustomReportCreativeDetail.aspx?App=23&amp;ReportView=4&amp;Qid=1711279&amp;Row=20563&amp;Col=1","No Title Assigned - #15279422826")</f>
        <v/>
      </c>
      <c r="B20571" s="0" t="s">
        <v>27281</v>
      </c>
      <c r="C20571" s="0" t="s">
        <v>27282</v>
      </c>
      <c r="D20571" s="0" t="s">
        <v>5013</v>
      </c>
      <c r="E20571" s="0" t="inlineStr">
        <is>
          <t xml:space="preserve">Mazda</t>
        </is>
      </c>
      <c r="F20571" s="0" t="s">
        <v>13</v>
      </c>
      <c r="G20571" s="0" t="s">
        <v>49</v>
      </c>
      <c r="H20571" s="5">
        <v>113.450900</v>
      </c>
    </row>
    <row r="20572" spans="1:9">
      <c r="A20572" s="22" t="str">
        <f>HYPERLINK("https://app.vivvix.com/360/KMI/IntelliDrive/ApplUI/Pages/CreativePages/CustomReportCreativeDetail.aspx?App=23&amp;ReportView=4&amp;Qid=1711279&amp;Row=20564&amp;Col=1","No Title Assigned - #15279422934")</f>
        <v/>
      </c>
      <c r="B20572" s="0" t="s">
        <v>27283</v>
      </c>
      <c r="C20572" s="0" t="s">
        <v>27284</v>
      </c>
      <c r="D20572" s="0" t="s">
        <v>27284</v>
      </c>
      <c r="E20572" s="0" t="inlineStr">
        <is>
          <t xml:space="preserve">Mazda</t>
        </is>
      </c>
      <c r="F20572" s="0" t="s">
        <v>13</v>
      </c>
      <c r="G20572" s="0" t="s">
        <v>49</v>
      </c>
      <c r="H20572" s="5">
        <v>16.418400</v>
      </c>
    </row>
    <row r="20573" spans="1:9">
      <c r="A20573" s="22" t="str">
        <f>HYPERLINK("https://app.vivvix.com/360/KMI/IntelliDrive/ApplUI/Pages/CreativePages/CustomReportCreativeDetail.aspx?App=23&amp;ReportView=4&amp;Qid=1711279&amp;Row=20565&amp;Col=1","No Title Assigned - #15279423395")</f>
        <v/>
      </c>
      <c r="B20573" s="0" t="s">
        <v>27285</v>
      </c>
      <c r="E20573" s="0" t="inlineStr">
        <is>
          <t xml:space="preserve">Mazda</t>
        </is>
      </c>
      <c r="F20573" s="0" t="s">
        <v>204</v>
      </c>
      <c r="G20573" s="0" t="s">
        <v>205</v>
      </c>
      <c r="H20573" s="5">
        <v>263.136500</v>
      </c>
    </row>
    <row r="20574" spans="1:9">
      <c r="A20574" s="22" t="str">
        <f>HYPERLINK("https://app.vivvix.com/360/KMI/IntelliDrive/ApplUI/Pages/CreativePages/CustomReportCreativeDetail.aspx?App=23&amp;ReportView=4&amp;Qid=1711279&amp;Row=20566&amp;Col=1","No Title Assigned - #15279423977")</f>
        <v/>
      </c>
      <c r="B20574" s="0" t="s">
        <v>27286</v>
      </c>
      <c r="C20574" s="0" t="s">
        <v>27287</v>
      </c>
      <c r="D20574" s="0" t="s">
        <v>5013</v>
      </c>
      <c r="E20574" s="0" t="inlineStr">
        <is>
          <t xml:space="preserve">Mazda</t>
        </is>
      </c>
      <c r="F20574" s="0" t="s">
        <v>13</v>
      </c>
      <c r="G20574" s="0" t="s">
        <v>49</v>
      </c>
      <c r="H20574" s="5">
        <v>121.969400</v>
      </c>
    </row>
    <row r="20575" spans="1:9">
      <c r="A20575" s="22" t="str">
        <f>HYPERLINK("https://app.vivvix.com/360/KMI/IntelliDrive/ApplUI/Pages/CreativePages/CustomReportCreativeDetail.aspx?App=23&amp;ReportView=4&amp;Qid=1711279&amp;Row=20567&amp;Col=1","No Title Assigned - #15279424941")</f>
        <v/>
      </c>
      <c r="B20575" s="0" t="s">
        <v>27288</v>
      </c>
      <c r="C20575" s="0" t="s">
        <v>27289</v>
      </c>
      <c r="D20575" s="0" t="s">
        <v>27289</v>
      </c>
      <c r="E20575" s="0" t="inlineStr">
        <is>
          <t xml:space="preserve">Mazda</t>
        </is>
      </c>
      <c r="F20575" s="0" t="inlineStr">
        <is>
          <t xml:space="preserve">Mazda</t>
        </is>
      </c>
      <c r="G20575" s="0" t="s">
        <v>210</v>
      </c>
      <c r="H20575" s="5">
        <v>52.299300</v>
      </c>
    </row>
    <row r="20576" spans="1:9">
      <c r="A20576" s="22" t="str">
        <f>HYPERLINK("https://app.vivvix.com/360/KMI/IntelliDrive/ApplUI/Pages/CreativePages/CustomReportCreativeDetail.aspx?App=23&amp;ReportView=4&amp;Qid=1711279&amp;Row=20568&amp;Col=1","No Title Assigned - #15279425038")</f>
        <v/>
      </c>
      <c r="B20576" s="0" t="s">
        <v>27290</v>
      </c>
      <c r="E20576" s="0" t="inlineStr">
        <is>
          <t xml:space="preserve">Mazda</t>
        </is>
      </c>
      <c r="F20576" s="0" t="s">
        <v>13</v>
      </c>
      <c r="G20576" s="0" t="s">
        <v>49</v>
      </c>
      <c r="H20576" s="5">
        <v>19.908600</v>
      </c>
    </row>
    <row r="20577" spans="1:9">
      <c r="A20577" s="22" t="str">
        <f>HYPERLINK("https://app.vivvix.com/360/KMI/IntelliDrive/ApplUI/Pages/CreativePages/CustomReportCreativeDetail.aspx?App=23&amp;ReportView=4&amp;Qid=1711279&amp;Row=20569&amp;Col=1","No Title Assigned - #15279425726")</f>
        <v/>
      </c>
      <c r="B20577" s="0" t="s">
        <v>27291</v>
      </c>
      <c r="C20577" s="0" t="s">
        <v>27292</v>
      </c>
      <c r="D20577" s="0" t="s">
        <v>27292</v>
      </c>
      <c r="E20577" s="0" t="inlineStr">
        <is>
          <t xml:space="preserve">Mazda</t>
        </is>
      </c>
      <c r="F20577" s="0" t="s">
        <v>13</v>
      </c>
      <c r="G20577" s="0" t="s">
        <v>49</v>
      </c>
      <c r="H20577" s="5">
        <v>5037.606800</v>
      </c>
    </row>
    <row r="20578" spans="1:9">
      <c r="A20578" s="22" t="str">
        <f>HYPERLINK("https://app.vivvix.com/360/KMI/IntelliDrive/ApplUI/Pages/CreativePages/CustomReportCreativeDetail.aspx?App=23&amp;ReportView=4&amp;Qid=1711279&amp;Row=20570&amp;Col=1","No Title Assigned - #15279426275")</f>
        <v/>
      </c>
      <c r="B20578" s="0" t="s">
        <v>27293</v>
      </c>
      <c r="C20578" s="0" t="s">
        <v>27294</v>
      </c>
      <c r="D20578" s="0" t="s">
        <v>27294</v>
      </c>
      <c r="E20578" s="0" t="inlineStr">
        <is>
          <t xml:space="preserve">Mazda</t>
        </is>
      </c>
      <c r="F20578" s="0" t="s">
        <v>13</v>
      </c>
      <c r="G20578" s="0" t="s">
        <v>49</v>
      </c>
      <c r="H20578" s="5">
        <v>12426.295900</v>
      </c>
    </row>
    <row r="20579" spans="1:9">
      <c r="A20579" s="22" t="str">
        <f>HYPERLINK("https://app.vivvix.com/360/KMI/IntelliDrive/ApplUI/Pages/CreativePages/CustomReportCreativeDetail.aspx?App=23&amp;ReportView=4&amp;Qid=1711279&amp;Row=20571&amp;Col=1","No Title Assigned - #15279427660")</f>
        <v/>
      </c>
      <c r="B20579" s="0" t="s">
        <v>27295</v>
      </c>
      <c r="E20579" s="0" t="inlineStr">
        <is>
          <t xml:space="preserve">Mazda</t>
        </is>
      </c>
      <c r="F20579" s="0" t="s">
        <v>13</v>
      </c>
      <c r="G20579" s="0" t="s">
        <v>49</v>
      </c>
      <c r="H20579" s="5">
        <v>1559.549000</v>
      </c>
    </row>
    <row r="20580" spans="1:9">
      <c r="A20580" s="22" t="str">
        <f>HYPERLINK("https://app.vivvix.com/360/KMI/IntelliDrive/ApplUI/Pages/CreativePages/CustomReportCreativeDetail.aspx?App=23&amp;ReportView=4&amp;Qid=1711279&amp;Row=20572&amp;Col=1","No Title Assigned - #15279427712")</f>
        <v/>
      </c>
      <c r="B20580" s="0" t="s">
        <v>27296</v>
      </c>
      <c r="E20580" s="0" t="inlineStr">
        <is>
          <t xml:space="preserve">Mazda</t>
        </is>
      </c>
      <c r="F20580" s="0" t="s">
        <v>13</v>
      </c>
      <c r="G20580" s="0" t="s">
        <v>49</v>
      </c>
      <c r="H20580" s="5">
        <v>40.881200</v>
      </c>
    </row>
    <row r="20581" spans="1:9">
      <c r="A20581" s="22" t="str">
        <f>HYPERLINK("https://app.vivvix.com/360/KMI/IntelliDrive/ApplUI/Pages/CreativePages/CustomReportCreativeDetail.aspx?App=23&amp;ReportView=4&amp;Qid=1711279&amp;Row=20573&amp;Col=1","No Title Assigned - #15279427744")</f>
        <v/>
      </c>
      <c r="B20581" s="0" t="s">
        <v>27297</v>
      </c>
      <c r="C20581" s="0" t="s">
        <v>27298</v>
      </c>
      <c r="D20581" s="0" t="s">
        <v>27298</v>
      </c>
      <c r="E20581" s="0" t="inlineStr">
        <is>
          <t xml:space="preserve">Mazda</t>
        </is>
      </c>
      <c r="F20581" s="0" t="s">
        <v>13</v>
      </c>
      <c r="G20581" s="0" t="s">
        <v>49</v>
      </c>
      <c r="H20581" s="5">
        <v>87.025200</v>
      </c>
    </row>
    <row r="20582" spans="1:9">
      <c r="A20582" s="22" t="str">
        <f>HYPERLINK("https://app.vivvix.com/360/KMI/IntelliDrive/ApplUI/Pages/CreativePages/CustomReportCreativeDetail.aspx?App=23&amp;ReportView=4&amp;Qid=1711279&amp;Row=20574&amp;Col=1","No Title Assigned - #15279428175")</f>
        <v/>
      </c>
      <c r="B20582" s="0" t="s">
        <v>27299</v>
      </c>
      <c r="C20582" s="0" t="s">
        <v>27300</v>
      </c>
      <c r="D20582" s="0" t="s">
        <v>27300</v>
      </c>
      <c r="E20582" s="0" t="inlineStr">
        <is>
          <t xml:space="preserve">Mazda</t>
        </is>
      </c>
      <c r="F20582" s="0" t="s">
        <v>13</v>
      </c>
      <c r="G20582" s="0" t="s">
        <v>49</v>
      </c>
      <c r="H20582" s="5">
        <v>190.741100</v>
      </c>
    </row>
    <row r="20583" spans="1:9">
      <c r="A20583" s="22" t="str">
        <f>HYPERLINK("https://app.vivvix.com/360/KMI/IntelliDrive/ApplUI/Pages/CreativePages/CustomReportCreativeDetail.aspx?App=23&amp;ReportView=4&amp;Qid=1711279&amp;Row=20575&amp;Col=1","No Title Assigned - #15279428349")</f>
        <v/>
      </c>
      <c r="B20583" s="0" t="s">
        <v>27301</v>
      </c>
      <c r="C20583" s="0" t="s">
        <v>27302</v>
      </c>
      <c r="D20583" s="0" t="s">
        <v>27302</v>
      </c>
      <c r="E20583" s="0" t="inlineStr">
        <is>
          <t xml:space="preserve">Mazda</t>
        </is>
      </c>
      <c r="F20583" s="0" t="s">
        <v>13</v>
      </c>
      <c r="G20583" s="0" t="s">
        <v>49</v>
      </c>
      <c r="H20583" s="5">
        <v>3093.197500</v>
      </c>
    </row>
    <row r="20584" spans="1:9">
      <c r="A20584" s="22" t="str">
        <f>HYPERLINK("https://app.vivvix.com/360/KMI/IntelliDrive/ApplUI/Pages/CreativePages/CustomReportCreativeDetail.aspx?App=23&amp;ReportView=4&amp;Qid=1711279&amp;Row=20576&amp;Col=1","No Title Assigned - #15279428406")</f>
        <v/>
      </c>
      <c r="B20584" s="0" t="s">
        <v>27303</v>
      </c>
      <c r="C20584" s="0" t="s">
        <v>27304</v>
      </c>
      <c r="D20584" s="0" t="s">
        <v>5013</v>
      </c>
      <c r="E20584" s="0" t="inlineStr">
        <is>
          <t xml:space="preserve">Mazda</t>
        </is>
      </c>
      <c r="F20584" s="0" t="s">
        <v>13</v>
      </c>
      <c r="G20584" s="0" t="s">
        <v>49</v>
      </c>
      <c r="H20584" s="5">
        <v>428.375400</v>
      </c>
    </row>
    <row r="20585" spans="1:9">
      <c r="A20585" s="22" t="str">
        <f>HYPERLINK("https://app.vivvix.com/360/KMI/IntelliDrive/ApplUI/Pages/CreativePages/CustomReportCreativeDetail.aspx?App=23&amp;ReportView=4&amp;Qid=1711279&amp;Row=20577&amp;Col=1","No Title Assigned - #15279428748")</f>
        <v/>
      </c>
      <c r="B20585" s="0" t="s">
        <v>27305</v>
      </c>
      <c r="C20585" s="0" t="s">
        <v>27306</v>
      </c>
      <c r="D20585" s="0" t="s">
        <v>8558</v>
      </c>
      <c r="E20585" s="0" t="inlineStr">
        <is>
          <t xml:space="preserve">Mazda</t>
        </is>
      </c>
      <c r="F20585" s="0" t="s">
        <v>13</v>
      </c>
      <c r="G20585" s="0" t="s">
        <v>49</v>
      </c>
      <c r="H20585" s="5">
        <v>144.060800</v>
      </c>
    </row>
    <row r="20586" spans="1:9">
      <c r="A20586" s="22" t="str">
        <f>HYPERLINK("https://app.vivvix.com/360/KMI/IntelliDrive/ApplUI/Pages/CreativePages/CustomReportCreativeDetail.aspx?App=23&amp;ReportView=4&amp;Qid=1711279&amp;Row=20578&amp;Col=1","No Title Assigned - #15279428758")</f>
        <v/>
      </c>
      <c r="B20586" s="0" t="s">
        <v>27307</v>
      </c>
      <c r="C20586" s="0" t="s">
        <v>27308</v>
      </c>
      <c r="D20586" s="0" t="s">
        <v>4335</v>
      </c>
      <c r="E20586" s="0" t="inlineStr">
        <is>
          <t xml:space="preserve">Mazda</t>
        </is>
      </c>
      <c r="F20586" s="0" t="s">
        <v>13</v>
      </c>
      <c r="G20586" s="0" t="s">
        <v>49</v>
      </c>
      <c r="H20586" s="5">
        <v>7.140200</v>
      </c>
    </row>
    <row r="20587" spans="1:9">
      <c r="A20587" s="22" t="str">
        <f>HYPERLINK("https://app.vivvix.com/360/KMI/IntelliDrive/ApplUI/Pages/CreativePages/CustomReportCreativeDetail.aspx?App=23&amp;ReportView=4&amp;Qid=1711279&amp;Row=20579&amp;Col=1","No Title Assigned - #15279428798")</f>
        <v/>
      </c>
      <c r="B20587" s="0" t="s">
        <v>27309</v>
      </c>
      <c r="C20587" s="0" t="s">
        <v>27310</v>
      </c>
      <c r="D20587" s="0" t="s">
        <v>5013</v>
      </c>
      <c r="E20587" s="0" t="inlineStr">
        <is>
          <t xml:space="preserve">Mazda</t>
        </is>
      </c>
      <c r="F20587" s="0" t="s">
        <v>13</v>
      </c>
      <c r="G20587" s="0" t="s">
        <v>49</v>
      </c>
      <c r="H20587" s="5">
        <v>37.342100</v>
      </c>
    </row>
    <row r="20588" spans="1:9">
      <c r="A20588" s="22" t="str">
        <f>HYPERLINK("https://app.vivvix.com/360/KMI/IntelliDrive/ApplUI/Pages/CreativePages/CustomReportCreativeDetail.aspx?App=23&amp;ReportView=4&amp;Qid=1711279&amp;Row=20580&amp;Col=1","No Title Assigned - #15279428927")</f>
        <v/>
      </c>
      <c r="B20588" s="0" t="s">
        <v>27311</v>
      </c>
      <c r="C20588" s="0" t="s">
        <v>27312</v>
      </c>
      <c r="D20588" s="0" t="s">
        <v>27312</v>
      </c>
      <c r="E20588" s="0" t="inlineStr">
        <is>
          <t xml:space="preserve">Mazda</t>
        </is>
      </c>
      <c r="F20588" s="0" t="s">
        <v>13</v>
      </c>
      <c r="G20588" s="0" t="s">
        <v>49</v>
      </c>
      <c r="H20588" s="5">
        <v>1207.230700</v>
      </c>
    </row>
    <row r="20589" spans="1:9">
      <c r="A20589" s="22" t="str">
        <f>HYPERLINK("https://app.vivvix.com/360/KMI/IntelliDrive/ApplUI/Pages/CreativePages/CustomReportCreativeDetail.aspx?App=23&amp;ReportView=4&amp;Qid=1711279&amp;Row=20581&amp;Col=1","No Title Assigned - #15279429038")</f>
        <v/>
      </c>
      <c r="B20589" s="0" t="s">
        <v>27313</v>
      </c>
      <c r="C20589" s="0" t="s">
        <v>27314</v>
      </c>
      <c r="D20589" s="0" t="s">
        <v>27314</v>
      </c>
      <c r="E20589" s="0" t="inlineStr">
        <is>
          <t xml:space="preserve">Mazda</t>
        </is>
      </c>
      <c r="F20589" s="0" t="s">
        <v>13</v>
      </c>
      <c r="G20589" s="0" t="s">
        <v>49</v>
      </c>
      <c r="H20589" s="5">
        <v>3290.115500</v>
      </c>
    </row>
    <row r="20590" spans="1:9">
      <c r="A20590" s="22" t="str">
        <f>HYPERLINK("https://app.vivvix.com/360/KMI/IntelliDrive/ApplUI/Pages/CreativePages/CustomReportCreativeDetail.aspx?App=23&amp;ReportView=4&amp;Qid=1711279&amp;Row=20582&amp;Col=1","No Title Assigned - #15279429064")</f>
        <v/>
      </c>
      <c r="B20590" s="0" t="s">
        <v>27315</v>
      </c>
      <c r="C20590" s="0" t="s">
        <v>27316</v>
      </c>
      <c r="D20590" s="0" t="s">
        <v>8453</v>
      </c>
      <c r="E20590" s="0" t="inlineStr">
        <is>
          <t xml:space="preserve">Mazda</t>
        </is>
      </c>
      <c r="F20590" s="0" t="s">
        <v>13</v>
      </c>
      <c r="G20590" s="0" t="s">
        <v>49</v>
      </c>
      <c r="H20590" s="5">
        <v>215.401300</v>
      </c>
    </row>
    <row r="20591" spans="1:9">
      <c r="A20591" s="22" t="str">
        <f>HYPERLINK("https://app.vivvix.com/360/KMI/IntelliDrive/ApplUI/Pages/CreativePages/CustomReportCreativeDetail.aspx?App=23&amp;ReportView=4&amp;Qid=1711279&amp;Row=20583&amp;Col=1","No Title Assigned - #15279429338")</f>
        <v/>
      </c>
      <c r="B20591" s="0" t="s">
        <v>27317</v>
      </c>
      <c r="C20591" s="0" t="s">
        <v>27318</v>
      </c>
      <c r="D20591" s="0" t="s">
        <v>27318</v>
      </c>
      <c r="E20591" s="0" t="inlineStr">
        <is>
          <t xml:space="preserve">Mazda</t>
        </is>
      </c>
      <c r="F20591" s="0" t="s">
        <v>13</v>
      </c>
      <c r="G20591" s="0" t="s">
        <v>49</v>
      </c>
      <c r="H20591" s="5">
        <v>280.844400</v>
      </c>
    </row>
    <row r="20592" spans="1:9">
      <c r="A20592" s="22" t="str">
        <f>HYPERLINK("https://app.vivvix.com/360/KMI/IntelliDrive/ApplUI/Pages/CreativePages/CustomReportCreativeDetail.aspx?App=23&amp;ReportView=4&amp;Qid=1711279&amp;Row=20584&amp;Col=1","No Title Assigned - #15279429338")</f>
        <v/>
      </c>
      <c r="B20592" s="0" t="s">
        <v>27317</v>
      </c>
      <c r="E20592" s="0" t="inlineStr">
        <is>
          <t xml:space="preserve">Mazda</t>
        </is>
      </c>
      <c r="F20592" s="0" t="s">
        <v>13</v>
      </c>
      <c r="G20592" s="0" t="s">
        <v>49</v>
      </c>
      <c r="H20592" s="5">
        <v>38713.113700</v>
      </c>
    </row>
    <row r="20593" spans="1:9">
      <c r="A20593" s="22" t="str">
        <f>HYPERLINK("https://app.vivvix.com/360/KMI/IntelliDrive/ApplUI/Pages/CreativePages/CustomReportCreativeDetail.aspx?App=23&amp;ReportView=4&amp;Qid=1711279&amp;Row=20585&amp;Col=1","No Title Assigned - #15279429377")</f>
        <v/>
      </c>
      <c r="B20593" s="0" t="s">
        <v>27319</v>
      </c>
      <c r="E20593" s="0" t="inlineStr">
        <is>
          <t xml:space="preserve">Mazda</t>
        </is>
      </c>
      <c r="F20593" s="0" t="s">
        <v>13</v>
      </c>
      <c r="G20593" s="0" t="s">
        <v>49</v>
      </c>
      <c r="H20593" s="5">
        <v>82.950800</v>
      </c>
    </row>
    <row r="20594" spans="1:9">
      <c r="A20594" s="22" t="str">
        <f>HYPERLINK("https://app.vivvix.com/360/KMI/IntelliDrive/ApplUI/Pages/CreativePages/CustomReportCreativeDetail.aspx?App=23&amp;ReportView=4&amp;Qid=1711279&amp;Row=20586&amp;Col=1","No Title Assigned - #15279429522")</f>
        <v/>
      </c>
      <c r="B20594" s="0" t="s">
        <v>27320</v>
      </c>
      <c r="C20594" s="0" t="s">
        <v>27321</v>
      </c>
      <c r="D20594" s="0" t="s">
        <v>27321</v>
      </c>
      <c r="E20594" s="0" t="inlineStr">
        <is>
          <t xml:space="preserve">Mazda</t>
        </is>
      </c>
      <c r="F20594" s="0" t="s">
        <v>13</v>
      </c>
      <c r="G20594" s="0" t="s">
        <v>49</v>
      </c>
      <c r="H20594" s="5">
        <v>172.911900</v>
      </c>
    </row>
    <row r="20595" spans="1:9">
      <c r="A20595" s="22" t="str">
        <f>HYPERLINK("https://app.vivvix.com/360/KMI/IntelliDrive/ApplUI/Pages/CreativePages/CustomReportCreativeDetail.aspx?App=23&amp;ReportView=4&amp;Qid=1711279&amp;Row=20587&amp;Col=1","No Title Assigned - #15279429787")</f>
        <v/>
      </c>
      <c r="B20595" s="0" t="s">
        <v>27322</v>
      </c>
      <c r="E20595" s="0" t="inlineStr">
        <is>
          <t xml:space="preserve">Mazda</t>
        </is>
      </c>
      <c r="F20595" s="0" t="s">
        <v>13</v>
      </c>
      <c r="G20595" s="0" t="s">
        <v>49</v>
      </c>
      <c r="H20595" s="5">
        <v>294.405900</v>
      </c>
    </row>
    <row r="20596" spans="1:9">
      <c r="A20596" s="22" t="str">
        <f>HYPERLINK("https://app.vivvix.com/360/KMI/IntelliDrive/ApplUI/Pages/CreativePages/CustomReportCreativeDetail.aspx?App=23&amp;ReportView=4&amp;Qid=1711279&amp;Row=20588&amp;Col=1","No Title Assigned - #15279430031")</f>
        <v/>
      </c>
      <c r="B20596" s="0" t="s">
        <v>27323</v>
      </c>
      <c r="C20596" s="0" t="s">
        <v>27324</v>
      </c>
      <c r="D20596" s="0" t="s">
        <v>27324</v>
      </c>
      <c r="E20596" s="0" t="inlineStr">
        <is>
          <t xml:space="preserve">Mazda</t>
        </is>
      </c>
      <c r="F20596" s="0" t="s">
        <v>13</v>
      </c>
      <c r="G20596" s="0" t="s">
        <v>49</v>
      </c>
      <c r="H20596" s="5">
        <v>269.392200</v>
      </c>
    </row>
    <row r="20597" spans="1:9">
      <c r="A20597" s="22" t="str">
        <f>HYPERLINK("https://app.vivvix.com/360/KMI/IntelliDrive/ApplUI/Pages/CreativePages/CustomReportCreativeDetail.aspx?App=23&amp;ReportView=4&amp;Qid=1711279&amp;Row=20589&amp;Col=1","No Title Assigned - #15279431021")</f>
        <v/>
      </c>
      <c r="B20597" s="0" t="s">
        <v>27325</v>
      </c>
      <c r="E20597" s="0" t="inlineStr">
        <is>
          <t xml:space="preserve">Mazda</t>
        </is>
      </c>
      <c r="F20597" s="0" t="s">
        <v>13</v>
      </c>
      <c r="G20597" s="0" t="s">
        <v>49</v>
      </c>
      <c r="H20597" s="5">
        <v>367.580100</v>
      </c>
    </row>
    <row r="20598" spans="1:9">
      <c r="A20598" s="22" t="str">
        <f>HYPERLINK("https://app.vivvix.com/360/KMI/IntelliDrive/ApplUI/Pages/CreativePages/CustomReportCreativeDetail.aspx?App=23&amp;ReportView=4&amp;Qid=1711279&amp;Row=20590&amp;Col=1","No Title Assigned - #15279431764")</f>
        <v/>
      </c>
      <c r="B20598" s="0" t="s">
        <v>27326</v>
      </c>
      <c r="C20598" s="0" t="s">
        <v>27327</v>
      </c>
      <c r="D20598" s="0" t="s">
        <v>27327</v>
      </c>
      <c r="E20598" s="0" t="inlineStr">
        <is>
          <t xml:space="preserve">Mazda</t>
        </is>
      </c>
      <c r="F20598" s="0" t="s">
        <v>13</v>
      </c>
      <c r="G20598" s="0" t="s">
        <v>49</v>
      </c>
      <c r="H20598" s="5">
        <v>7571.874000</v>
      </c>
    </row>
    <row r="20599" spans="1:9">
      <c r="A20599" s="22" t="str">
        <f>HYPERLINK("https://app.vivvix.com/360/KMI/IntelliDrive/ApplUI/Pages/CreativePages/CustomReportCreativeDetail.aspx?App=23&amp;ReportView=4&amp;Qid=1711279&amp;Row=20591&amp;Col=1","No Title Assigned - #15279432000")</f>
        <v/>
      </c>
      <c r="B20599" s="0" t="s">
        <v>27328</v>
      </c>
      <c r="C20599" s="0" t="s">
        <v>27329</v>
      </c>
      <c r="D20599" s="0" t="s">
        <v>22485</v>
      </c>
      <c r="E20599" s="0" t="inlineStr">
        <is>
          <t xml:space="preserve">Mazda</t>
        </is>
      </c>
      <c r="F20599" s="0" t="s">
        <v>13</v>
      </c>
      <c r="G20599" s="0" t="s">
        <v>49</v>
      </c>
      <c r="H20599" s="5">
        <v>156.601500</v>
      </c>
    </row>
    <row r="20600" spans="1:9">
      <c r="A20600" s="22" t="str">
        <f>HYPERLINK("https://app.vivvix.com/360/KMI/IntelliDrive/ApplUI/Pages/CreativePages/CustomReportCreativeDetail.aspx?App=23&amp;ReportView=4&amp;Qid=1711279&amp;Row=20592&amp;Col=1","No Title Assigned - #15279432396")</f>
        <v/>
      </c>
      <c r="B20600" s="0" t="s">
        <v>27330</v>
      </c>
      <c r="C20600" s="0" t="s">
        <v>27331</v>
      </c>
      <c r="D20600" s="0" t="s">
        <v>27331</v>
      </c>
      <c r="E20600" s="0" t="inlineStr">
        <is>
          <t xml:space="preserve">Mazda</t>
        </is>
      </c>
      <c r="F20600" s="0" t="s">
        <v>13</v>
      </c>
      <c r="G20600" s="0" t="s">
        <v>49</v>
      </c>
      <c r="H20600" s="5">
        <v>2259.850300</v>
      </c>
    </row>
    <row r="20601" spans="1:9">
      <c r="A20601" s="22" t="str">
        <f>HYPERLINK("https://app.vivvix.com/360/KMI/IntelliDrive/ApplUI/Pages/CreativePages/CustomReportCreativeDetail.aspx?App=23&amp;ReportView=4&amp;Qid=1711279&amp;Row=20593&amp;Col=1","No Title Assigned - #15279432396")</f>
        <v/>
      </c>
      <c r="B20601" s="0" t="s">
        <v>27330</v>
      </c>
      <c r="E20601" s="0" t="inlineStr">
        <is>
          <t xml:space="preserve">Mazda</t>
        </is>
      </c>
      <c r="F20601" s="0" t="s">
        <v>13</v>
      </c>
      <c r="G20601" s="0" t="s">
        <v>49</v>
      </c>
      <c r="H20601" s="5">
        <v>1779.186200</v>
      </c>
    </row>
    <row r="20602" spans="1:9">
      <c r="A20602" s="22" t="str">
        <f>HYPERLINK("https://app.vivvix.com/360/KMI/IntelliDrive/ApplUI/Pages/CreativePages/CustomReportCreativeDetail.aspx?App=23&amp;ReportView=4&amp;Qid=1711279&amp;Row=20594&amp;Col=1","No Title Assigned - #15279432742")</f>
        <v/>
      </c>
      <c r="B20602" s="0" t="s">
        <v>27332</v>
      </c>
      <c r="E20602" s="0" t="inlineStr">
        <is>
          <t xml:space="preserve">Mazda</t>
        </is>
      </c>
      <c r="F20602" s="0" t="inlineStr">
        <is>
          <t xml:space="preserve">Mazda</t>
        </is>
      </c>
      <c r="G20602" s="0" t="s">
        <v>171</v>
      </c>
      <c r="H20602" s="5">
        <v>154.794600</v>
      </c>
    </row>
    <row r="20603" spans="1:9">
      <c r="A20603" s="22" t="str">
        <f>HYPERLINK("https://app.vivvix.com/360/KMI/IntelliDrive/ApplUI/Pages/CreativePages/CustomReportCreativeDetail.aspx?App=23&amp;ReportView=4&amp;Qid=1711279&amp;Row=20595&amp;Col=1","No Title Assigned - #15279432991")</f>
        <v/>
      </c>
      <c r="B20603" s="0" t="s">
        <v>27333</v>
      </c>
      <c r="E20603" s="0" t="inlineStr">
        <is>
          <t xml:space="preserve">Mazda</t>
        </is>
      </c>
      <c r="F20603" s="0" t="inlineStr">
        <is>
          <t xml:space="preserve">Mazda</t>
        </is>
      </c>
      <c r="G20603" s="0" t="s">
        <v>171</v>
      </c>
      <c r="H20603" s="5">
        <v>60.597400</v>
      </c>
    </row>
    <row r="20604" spans="1:9">
      <c r="A20604" s="22" t="str">
        <f>HYPERLINK("https://app.vivvix.com/360/KMI/IntelliDrive/ApplUI/Pages/CreativePages/CustomReportCreativeDetail.aspx?App=23&amp;ReportView=4&amp;Qid=1711279&amp;Row=20596&amp;Col=1","No Title Assigned - #15279433055")</f>
        <v/>
      </c>
      <c r="B20604" s="0" t="s">
        <v>27334</v>
      </c>
      <c r="C20604" s="0" t="s">
        <v>27335</v>
      </c>
      <c r="D20604" s="0" t="s">
        <v>27335</v>
      </c>
      <c r="E20604" s="0" t="inlineStr">
        <is>
          <t xml:space="preserve">Mazda</t>
        </is>
      </c>
      <c r="F20604" s="0" t="inlineStr">
        <is>
          <t xml:space="preserve">Mazda</t>
        </is>
      </c>
      <c r="G20604" s="0" t="s">
        <v>171</v>
      </c>
      <c r="H20604" s="5">
        <v>70.284200</v>
      </c>
    </row>
    <row r="20605" spans="1:9">
      <c r="A20605" s="22" t="str">
        <f>HYPERLINK("https://app.vivvix.com/360/KMI/IntelliDrive/ApplUI/Pages/CreativePages/CustomReportCreativeDetail.aspx?App=23&amp;ReportView=4&amp;Qid=1711279&amp;Row=20597&amp;Col=1","No Title Assigned - #15279433093")</f>
        <v/>
      </c>
      <c r="B20605" s="0" t="s">
        <v>27336</v>
      </c>
      <c r="E20605" s="0" t="inlineStr">
        <is>
          <t xml:space="preserve">Mazda</t>
        </is>
      </c>
      <c r="F20605" s="0" t="inlineStr">
        <is>
          <t xml:space="preserve">Mazda</t>
        </is>
      </c>
      <c r="G20605" s="0" t="s">
        <v>171</v>
      </c>
      <c r="H20605" s="5">
        <v>836.710100</v>
      </c>
    </row>
    <row r="20606" spans="1:9">
      <c r="A20606" s="22" t="str">
        <f>HYPERLINK("https://app.vivvix.com/360/KMI/IntelliDrive/ApplUI/Pages/CreativePages/CustomReportCreativeDetail.aspx?App=23&amp;ReportView=4&amp;Qid=1711279&amp;Row=20598&amp;Col=1","No Title Assigned - #15279433143")</f>
        <v/>
      </c>
      <c r="B20606" s="0" t="s">
        <v>27337</v>
      </c>
      <c r="E20606" s="0" t="inlineStr">
        <is>
          <t xml:space="preserve">Mazda</t>
        </is>
      </c>
      <c r="F20606" s="0" t="inlineStr">
        <is>
          <t xml:space="preserve">Mazda</t>
        </is>
      </c>
      <c r="G20606" s="0" t="s">
        <v>171</v>
      </c>
      <c r="H20606" s="5">
        <v>21.567700</v>
      </c>
    </row>
    <row r="20607" spans="1:9">
      <c r="A20607" s="22" t="str">
        <f>HYPERLINK("https://app.vivvix.com/360/KMI/IntelliDrive/ApplUI/Pages/CreativePages/CustomReportCreativeDetail.aspx?App=23&amp;ReportView=4&amp;Qid=1711279&amp;Row=20599&amp;Col=1","No Title Assigned - #15279433148")</f>
        <v/>
      </c>
      <c r="B20607" s="0" t="s">
        <v>27338</v>
      </c>
      <c r="E20607" s="0" t="inlineStr">
        <is>
          <t xml:space="preserve">Mazda</t>
        </is>
      </c>
      <c r="F20607" s="0" t="inlineStr">
        <is>
          <t xml:space="preserve">Mazda</t>
        </is>
      </c>
      <c r="G20607" s="0" t="s">
        <v>171</v>
      </c>
      <c r="H20607" s="5">
        <v>3268.817400</v>
      </c>
    </row>
    <row r="20608" spans="1:9">
      <c r="A20608" s="22" t="str">
        <f>HYPERLINK("https://app.vivvix.com/360/KMI/IntelliDrive/ApplUI/Pages/CreativePages/CustomReportCreativeDetail.aspx?App=23&amp;ReportView=4&amp;Qid=1711279&amp;Row=20600&amp;Col=1","No Title Assigned - #15279433215")</f>
        <v/>
      </c>
      <c r="B20608" s="0" t="s">
        <v>27339</v>
      </c>
      <c r="E20608" s="0" t="inlineStr">
        <is>
          <t xml:space="preserve">Mazda</t>
        </is>
      </c>
      <c r="F20608" s="0" t="inlineStr">
        <is>
          <t xml:space="preserve">Mazda</t>
        </is>
      </c>
      <c r="G20608" s="0" t="s">
        <v>171</v>
      </c>
      <c r="H20608" s="5">
        <v>322.867600</v>
      </c>
    </row>
    <row r="20609" spans="1:9">
      <c r="A20609" s="22" t="str">
        <f>HYPERLINK("https://app.vivvix.com/360/KMI/IntelliDrive/ApplUI/Pages/CreativePages/CustomReportCreativeDetail.aspx?App=23&amp;ReportView=4&amp;Qid=1711279&amp;Row=20601&amp;Col=1","No Title Assigned - #15279433332")</f>
        <v/>
      </c>
      <c r="B20609" s="0" t="s">
        <v>27340</v>
      </c>
      <c r="E20609" s="0" t="inlineStr">
        <is>
          <t xml:space="preserve">Mazda</t>
        </is>
      </c>
      <c r="F20609" s="0" t="inlineStr">
        <is>
          <t xml:space="preserve">Mazda</t>
        </is>
      </c>
      <c r="G20609" s="0" t="s">
        <v>171</v>
      </c>
      <c r="H20609" s="5">
        <v>94814.617200</v>
      </c>
    </row>
    <row r="20610" spans="1:9">
      <c r="A20610" s="22" t="str">
        <f>HYPERLINK("https://app.vivvix.com/360/KMI/IntelliDrive/ApplUI/Pages/CreativePages/CustomReportCreativeDetail.aspx?App=23&amp;ReportView=4&amp;Qid=1711279&amp;Row=20602&amp;Col=1","No Title Assigned - #15279433411")</f>
        <v/>
      </c>
      <c r="B20610" s="0" t="s">
        <v>27341</v>
      </c>
      <c r="E20610" s="0" t="inlineStr">
        <is>
          <t xml:space="preserve">Mazda</t>
        </is>
      </c>
      <c r="F20610" s="0" t="inlineStr">
        <is>
          <t xml:space="preserve">Mazda</t>
        </is>
      </c>
      <c r="G20610" s="0" t="s">
        <v>171</v>
      </c>
      <c r="H20610" s="5">
        <v>341.837300</v>
      </c>
    </row>
    <row r="20611" spans="1:9">
      <c r="A20611" s="22" t="str">
        <f>HYPERLINK("https://app.vivvix.com/360/KMI/IntelliDrive/ApplUI/Pages/CreativePages/CustomReportCreativeDetail.aspx?App=23&amp;ReportView=4&amp;Qid=1711279&amp;Row=20603&amp;Col=1","No Title Assigned - #15279433485")</f>
        <v/>
      </c>
      <c r="B20611" s="0" t="s">
        <v>27342</v>
      </c>
      <c r="E20611" s="0" t="inlineStr">
        <is>
          <t xml:space="preserve">Mazda</t>
        </is>
      </c>
      <c r="F20611" s="0" t="inlineStr">
        <is>
          <t xml:space="preserve">Mazda</t>
        </is>
      </c>
      <c r="G20611" s="0" t="s">
        <v>171</v>
      </c>
      <c r="H20611" s="5">
        <v>5.543100</v>
      </c>
    </row>
    <row r="20612" spans="1:9">
      <c r="A20612" s="22" t="str">
        <f>HYPERLINK("https://app.vivvix.com/360/KMI/IntelliDrive/ApplUI/Pages/CreativePages/CustomReportCreativeDetail.aspx?App=23&amp;ReportView=4&amp;Qid=1711279&amp;Row=20604&amp;Col=1","No Title Assigned - #15279433568")</f>
        <v/>
      </c>
      <c r="B20612" s="0" t="s">
        <v>27343</v>
      </c>
      <c r="E20612" s="0" t="inlineStr">
        <is>
          <t xml:space="preserve">Mazda</t>
        </is>
      </c>
      <c r="F20612" s="0" t="inlineStr">
        <is>
          <t xml:space="preserve">Mazda</t>
        </is>
      </c>
      <c r="G20612" s="0" t="s">
        <v>171</v>
      </c>
      <c r="H20612" s="5">
        <v>5.543100</v>
      </c>
    </row>
    <row r="20613" spans="1:9">
      <c r="A20613" s="22" t="str">
        <f>HYPERLINK("https://app.vivvix.com/360/KMI/IntelliDrive/ApplUI/Pages/CreativePages/CustomReportCreativeDetail.aspx?App=23&amp;ReportView=4&amp;Qid=1711279&amp;Row=20605&amp;Col=1","No Title Assigned - #15279433769")</f>
        <v/>
      </c>
      <c r="B20613" s="0" t="s">
        <v>27344</v>
      </c>
      <c r="E20613" s="0" t="inlineStr">
        <is>
          <t xml:space="preserve">Mazda</t>
        </is>
      </c>
      <c r="F20613" s="0" t="inlineStr">
        <is>
          <t xml:space="preserve">Mazda</t>
        </is>
      </c>
      <c r="G20613" s="0" t="s">
        <v>171</v>
      </c>
      <c r="H20613" s="5">
        <v>273.445200</v>
      </c>
    </row>
    <row r="20614" spans="1:9">
      <c r="A20614" s="22" t="str">
        <f>HYPERLINK("https://app.vivvix.com/360/KMI/IntelliDrive/ApplUI/Pages/CreativePages/CustomReportCreativeDetail.aspx?App=23&amp;ReportView=4&amp;Qid=1711279&amp;Row=20606&amp;Col=1","No Title Assigned - #15279433775")</f>
        <v/>
      </c>
      <c r="B20614" s="0" t="s">
        <v>27345</v>
      </c>
      <c r="E20614" s="0" t="inlineStr">
        <is>
          <t xml:space="preserve">Mazda</t>
        </is>
      </c>
      <c r="F20614" s="0" t="inlineStr">
        <is>
          <t xml:space="preserve">Mazda</t>
        </is>
      </c>
      <c r="G20614" s="0" t="s">
        <v>171</v>
      </c>
      <c r="H20614" s="5">
        <v>252.488100</v>
      </c>
    </row>
    <row r="20615" spans="1:9">
      <c r="A20615" s="22" t="str">
        <f>HYPERLINK("https://app.vivvix.com/360/KMI/IntelliDrive/ApplUI/Pages/CreativePages/CustomReportCreativeDetail.aspx?App=23&amp;ReportView=4&amp;Qid=1711279&amp;Row=20607&amp;Col=1","No Title Assigned - #15279433870")</f>
        <v/>
      </c>
      <c r="B20615" s="0" t="s">
        <v>27346</v>
      </c>
      <c r="E20615" s="0" t="inlineStr">
        <is>
          <t xml:space="preserve">Mazda</t>
        </is>
      </c>
      <c r="F20615" s="0" t="inlineStr">
        <is>
          <t xml:space="preserve">Mazda</t>
        </is>
      </c>
      <c r="G20615" s="0" t="s">
        <v>171</v>
      </c>
      <c r="H20615" s="5">
        <v>321.719100</v>
      </c>
    </row>
    <row r="20616" spans="1:9">
      <c r="A20616" s="22" t="str">
        <f>HYPERLINK("https://app.vivvix.com/360/KMI/IntelliDrive/ApplUI/Pages/CreativePages/CustomReportCreativeDetail.aspx?App=23&amp;ReportView=4&amp;Qid=1711279&amp;Row=20608&amp;Col=1","No Title Assigned - #15279434143")</f>
        <v/>
      </c>
      <c r="B20616" s="0" t="s">
        <v>27347</v>
      </c>
      <c r="E20616" s="0" t="inlineStr">
        <is>
          <t xml:space="preserve">Mazda</t>
        </is>
      </c>
      <c r="F20616" s="0" t="inlineStr">
        <is>
          <t xml:space="preserve">Mazda</t>
        </is>
      </c>
      <c r="G20616" s="0" t="s">
        <v>171</v>
      </c>
      <c r="H20616" s="5">
        <v>54.477600</v>
      </c>
    </row>
    <row r="20617" spans="1:9">
      <c r="A20617" s="22" t="str">
        <f>HYPERLINK("https://app.vivvix.com/360/KMI/IntelliDrive/ApplUI/Pages/CreativePages/CustomReportCreativeDetail.aspx?App=23&amp;ReportView=4&amp;Qid=1711279&amp;Row=20609&amp;Col=1","No Title Assigned - #15279434218")</f>
        <v/>
      </c>
      <c r="B20617" s="0" t="s">
        <v>27348</v>
      </c>
      <c r="E20617" s="0" t="inlineStr">
        <is>
          <t xml:space="preserve">Mazda</t>
        </is>
      </c>
      <c r="F20617" s="0" t="inlineStr">
        <is>
          <t xml:space="preserve">Mazda</t>
        </is>
      </c>
      <c r="G20617" s="0" t="s">
        <v>171</v>
      </c>
      <c r="H20617" s="5">
        <v>5480.683800</v>
      </c>
    </row>
    <row r="20618" spans="1:9">
      <c r="A20618" s="22" t="str">
        <f>HYPERLINK("https://app.vivvix.com/360/KMI/IntelliDrive/ApplUI/Pages/CreativePages/CustomReportCreativeDetail.aspx?App=23&amp;ReportView=4&amp;Qid=1711279&amp;Row=20610&amp;Col=1","No Title Assigned - #15279434219")</f>
        <v/>
      </c>
      <c r="B20618" s="0" t="s">
        <v>27349</v>
      </c>
      <c r="E20618" s="0" t="inlineStr">
        <is>
          <t xml:space="preserve">Mazda</t>
        </is>
      </c>
      <c r="F20618" s="0" t="inlineStr">
        <is>
          <t xml:space="preserve">Mazda</t>
        </is>
      </c>
      <c r="G20618" s="0" t="s">
        <v>171</v>
      </c>
      <c r="H20618" s="5">
        <v>55.199100</v>
      </c>
    </row>
    <row r="20619" spans="1:9">
      <c r="A20619" s="22" t="str">
        <f>HYPERLINK("https://app.vivvix.com/360/KMI/IntelliDrive/ApplUI/Pages/CreativePages/CustomReportCreativeDetail.aspx?App=23&amp;ReportView=4&amp;Qid=1711279&amp;Row=20611&amp;Col=1","No Title Assigned - #15279434257")</f>
        <v/>
      </c>
      <c r="B20619" s="0" t="s">
        <v>27350</v>
      </c>
      <c r="E20619" s="0" t="inlineStr">
        <is>
          <t xml:space="preserve">Mazda</t>
        </is>
      </c>
      <c r="F20619" s="0" t="inlineStr">
        <is>
          <t xml:space="preserve">Mazda</t>
        </is>
      </c>
      <c r="G20619" s="0" t="s">
        <v>171</v>
      </c>
      <c r="H20619" s="5">
        <v>476.019600</v>
      </c>
    </row>
    <row r="20620" spans="1:9">
      <c r="A20620" s="22" t="str">
        <f>HYPERLINK("https://app.vivvix.com/360/KMI/IntelliDrive/ApplUI/Pages/CreativePages/CustomReportCreativeDetail.aspx?App=23&amp;ReportView=4&amp;Qid=1711279&amp;Row=20612&amp;Col=1","No Title Assigned - #15279434447")</f>
        <v/>
      </c>
      <c r="B20620" s="0" t="s">
        <v>27351</v>
      </c>
      <c r="E20620" s="0" t="inlineStr">
        <is>
          <t xml:space="preserve">Mazda</t>
        </is>
      </c>
      <c r="F20620" s="0" t="inlineStr">
        <is>
          <t xml:space="preserve">Mazda</t>
        </is>
      </c>
      <c r="G20620" s="0" t="s">
        <v>171</v>
      </c>
      <c r="H20620" s="5">
        <v>449.563800</v>
      </c>
    </row>
    <row r="20621" spans="1:9">
      <c r="A20621" s="22" t="str">
        <f>HYPERLINK("https://app.vivvix.com/360/KMI/IntelliDrive/ApplUI/Pages/CreativePages/CustomReportCreativeDetail.aspx?App=23&amp;ReportView=4&amp;Qid=1711279&amp;Row=20613&amp;Col=1","No Title Assigned - #15279434473")</f>
        <v/>
      </c>
      <c r="B20621" s="0" t="s">
        <v>27352</v>
      </c>
      <c r="E20621" s="0" t="inlineStr">
        <is>
          <t xml:space="preserve">Mazda</t>
        </is>
      </c>
      <c r="F20621" s="0" t="inlineStr">
        <is>
          <t xml:space="preserve">Mazda</t>
        </is>
      </c>
      <c r="G20621" s="0" t="s">
        <v>171</v>
      </c>
      <c r="H20621" s="5">
        <v>91.338100</v>
      </c>
    </row>
    <row r="20622" spans="1:9">
      <c r="A20622" s="22" t="str">
        <f>HYPERLINK("https://app.vivvix.com/360/KMI/IntelliDrive/ApplUI/Pages/CreativePages/CustomReportCreativeDetail.aspx?App=23&amp;ReportView=4&amp;Qid=1711279&amp;Row=20614&amp;Col=1","No Title Assigned - #15279434622")</f>
        <v/>
      </c>
      <c r="B20622" s="0" t="s">
        <v>27353</v>
      </c>
      <c r="E20622" s="0" t="inlineStr">
        <is>
          <t xml:space="preserve">Mazda</t>
        </is>
      </c>
      <c r="F20622" s="0" t="inlineStr">
        <is>
          <t xml:space="preserve">Mazda</t>
        </is>
      </c>
      <c r="G20622" s="0" t="s">
        <v>171</v>
      </c>
      <c r="H20622" s="5">
        <v>85.273400</v>
      </c>
    </row>
    <row r="20623" spans="1:9">
      <c r="A20623" s="22" t="str">
        <f>HYPERLINK("https://app.vivvix.com/360/KMI/IntelliDrive/ApplUI/Pages/CreativePages/CustomReportCreativeDetail.aspx?App=23&amp;ReportView=4&amp;Qid=1711279&amp;Row=20615&amp;Col=1","No Title Assigned - #15279434717")</f>
        <v/>
      </c>
      <c r="B20623" s="0" t="s">
        <v>27354</v>
      </c>
      <c r="E20623" s="0" t="inlineStr">
        <is>
          <t xml:space="preserve">Mazda</t>
        </is>
      </c>
      <c r="F20623" s="0" t="inlineStr">
        <is>
          <t xml:space="preserve">Mazda</t>
        </is>
      </c>
      <c r="G20623" s="0" t="s">
        <v>171</v>
      </c>
      <c r="H20623" s="5">
        <v>41.445300</v>
      </c>
    </row>
    <row r="20624" spans="1:9">
      <c r="A20624" s="22" t="str">
        <f>HYPERLINK("https://app.vivvix.com/360/KMI/IntelliDrive/ApplUI/Pages/CreativePages/CustomReportCreativeDetail.aspx?App=23&amp;ReportView=4&amp;Qid=1711279&amp;Row=20616&amp;Col=1","No Title Assigned - #15279434784")</f>
        <v/>
      </c>
      <c r="B20624" s="0" t="s">
        <v>27355</v>
      </c>
      <c r="E20624" s="0" t="inlineStr">
        <is>
          <t xml:space="preserve">Mazda</t>
        </is>
      </c>
      <c r="F20624" s="0" t="inlineStr">
        <is>
          <t xml:space="preserve">Mazda</t>
        </is>
      </c>
      <c r="G20624" s="0" t="s">
        <v>171</v>
      </c>
      <c r="H20624" s="5">
        <v>24.495500</v>
      </c>
    </row>
    <row r="20625" spans="1:9">
      <c r="A20625" s="22" t="str">
        <f>HYPERLINK("https://app.vivvix.com/360/KMI/IntelliDrive/ApplUI/Pages/CreativePages/CustomReportCreativeDetail.aspx?App=23&amp;ReportView=4&amp;Qid=1711279&amp;Row=20617&amp;Col=1","No Title Assigned - #15279435159")</f>
        <v/>
      </c>
      <c r="B20625" s="0" t="s">
        <v>27356</v>
      </c>
      <c r="E20625" s="0" t="inlineStr">
        <is>
          <t xml:space="preserve">Mazda</t>
        </is>
      </c>
      <c r="F20625" s="0" t="inlineStr">
        <is>
          <t xml:space="preserve">Mazda</t>
        </is>
      </c>
      <c r="G20625" s="0" t="s">
        <v>171</v>
      </c>
      <c r="H20625" s="5">
        <v>85.273400</v>
      </c>
    </row>
    <row r="20626" spans="1:9">
      <c r="A20626" s="22" t="str">
        <f>HYPERLINK("https://app.vivvix.com/360/KMI/IntelliDrive/ApplUI/Pages/CreativePages/CustomReportCreativeDetail.aspx?App=23&amp;ReportView=4&amp;Qid=1711279&amp;Row=20618&amp;Col=1","No Title Assigned - #15279435216")</f>
        <v/>
      </c>
      <c r="B20626" s="0" t="s">
        <v>27357</v>
      </c>
      <c r="E20626" s="0" t="inlineStr">
        <is>
          <t xml:space="preserve">Mazda</t>
        </is>
      </c>
      <c r="F20626" s="0" t="inlineStr">
        <is>
          <t xml:space="preserve">Mazda</t>
        </is>
      </c>
      <c r="G20626" s="0" t="s">
        <v>171</v>
      </c>
      <c r="H20626" s="5">
        <v>15.956500</v>
      </c>
    </row>
    <row r="20627" spans="1:9">
      <c r="A20627" s="22" t="str">
        <f>HYPERLINK("https://app.vivvix.com/360/KMI/IntelliDrive/ApplUI/Pages/CreativePages/CustomReportCreativeDetail.aspx?App=23&amp;ReportView=4&amp;Qid=1711279&amp;Row=20619&amp;Col=1","No Title Assigned - #15279435371")</f>
        <v/>
      </c>
      <c r="B20627" s="0" t="s">
        <v>27358</v>
      </c>
      <c r="E20627" s="0" t="inlineStr">
        <is>
          <t xml:space="preserve">Mazda</t>
        </is>
      </c>
      <c r="F20627" s="0" t="inlineStr">
        <is>
          <t xml:space="preserve">Mazda</t>
        </is>
      </c>
      <c r="G20627" s="0" t="s">
        <v>171</v>
      </c>
      <c r="H20627" s="5">
        <v>606.450300</v>
      </c>
    </row>
    <row r="20628" spans="1:9">
      <c r="A20628" s="22" t="str">
        <f>HYPERLINK("https://app.vivvix.com/360/KMI/IntelliDrive/ApplUI/Pages/CreativePages/CustomReportCreativeDetail.aspx?App=23&amp;ReportView=4&amp;Qid=1711279&amp;Row=20620&amp;Col=1","No Title Assigned - #15279435601")</f>
        <v/>
      </c>
      <c r="B20628" s="0" t="s">
        <v>27359</v>
      </c>
      <c r="C20628" s="0" t="s">
        <v>27360</v>
      </c>
      <c r="D20628" s="0" t="s">
        <v>4335</v>
      </c>
      <c r="E20628" s="0" t="inlineStr">
        <is>
          <t xml:space="preserve">Mazda</t>
        </is>
      </c>
      <c r="F20628" s="0" t="s">
        <v>13</v>
      </c>
      <c r="G20628" s="0" t="s">
        <v>49</v>
      </c>
      <c r="H20628" s="5">
        <v>2.220900</v>
      </c>
    </row>
    <row r="20629" spans="1:9">
      <c r="A20629" s="22" t="str">
        <f>HYPERLINK("https://app.vivvix.com/360/KMI/IntelliDrive/ApplUI/Pages/CreativePages/CustomReportCreativeDetail.aspx?App=23&amp;ReportView=4&amp;Qid=1711279&amp;Row=20621&amp;Col=1","No Title Assigned - #15279435710")</f>
        <v/>
      </c>
      <c r="B20629" s="0" t="s">
        <v>27361</v>
      </c>
      <c r="E20629" s="0" t="inlineStr">
        <is>
          <t xml:space="preserve">Mazda</t>
        </is>
      </c>
      <c r="F20629" s="0" t="inlineStr">
        <is>
          <t xml:space="preserve">Mazda</t>
        </is>
      </c>
      <c r="G20629" s="0" t="s">
        <v>171</v>
      </c>
      <c r="H20629" s="5">
        <v>2453.989100</v>
      </c>
    </row>
    <row r="20630" spans="1:9">
      <c r="A20630" s="22" t="str">
        <f>HYPERLINK("https://app.vivvix.com/360/KMI/IntelliDrive/ApplUI/Pages/CreativePages/CustomReportCreativeDetail.aspx?App=23&amp;ReportView=4&amp;Qid=1711279&amp;Row=20622&amp;Col=1","No Title Assigned - #15279435714")</f>
        <v/>
      </c>
      <c r="B20630" s="0" t="s">
        <v>27362</v>
      </c>
      <c r="E20630" s="0" t="inlineStr">
        <is>
          <t xml:space="preserve">Mazda</t>
        </is>
      </c>
      <c r="F20630" s="0" t="inlineStr">
        <is>
          <t xml:space="preserve">Mazda</t>
        </is>
      </c>
      <c r="G20630" s="0" t="s">
        <v>171</v>
      </c>
      <c r="H20630" s="5">
        <v>397.762500</v>
      </c>
    </row>
    <row r="20631" spans="1:9">
      <c r="A20631" s="22" t="str">
        <f>HYPERLINK("https://app.vivvix.com/360/KMI/IntelliDrive/ApplUI/Pages/CreativePages/CustomReportCreativeDetail.aspx?App=23&amp;ReportView=4&amp;Qid=1711279&amp;Row=20623&amp;Col=1","No Title Assigned - #15279435968")</f>
        <v/>
      </c>
      <c r="B20631" s="0" t="s">
        <v>27363</v>
      </c>
      <c r="E20631" s="0" t="inlineStr">
        <is>
          <t xml:space="preserve">Mazda</t>
        </is>
      </c>
      <c r="F20631" s="0" t="inlineStr">
        <is>
          <t xml:space="preserve">Mazda</t>
        </is>
      </c>
      <c r="G20631" s="0" t="s">
        <v>171</v>
      </c>
      <c r="H20631" s="5">
        <v>118.786800</v>
      </c>
    </row>
    <row r="20632" spans="1:9">
      <c r="A20632" s="22" t="str">
        <f>HYPERLINK("https://app.vivvix.com/360/KMI/IntelliDrive/ApplUI/Pages/CreativePages/CustomReportCreativeDetail.aspx?App=23&amp;ReportView=4&amp;Qid=1711279&amp;Row=20624&amp;Col=1","No Title Assigned - #15279436025")</f>
        <v/>
      </c>
      <c r="B20632" s="0" t="s">
        <v>27364</v>
      </c>
      <c r="E20632" s="0" t="inlineStr">
        <is>
          <t xml:space="preserve">Mazda</t>
        </is>
      </c>
      <c r="F20632" s="0" t="inlineStr">
        <is>
          <t xml:space="preserve">Mazda</t>
        </is>
      </c>
      <c r="G20632" s="0" t="s">
        <v>171</v>
      </c>
      <c r="H20632" s="5">
        <v>41.390100</v>
      </c>
    </row>
    <row r="20633" spans="1:9">
      <c r="A20633" s="22" t="str">
        <f>HYPERLINK("https://app.vivvix.com/360/KMI/IntelliDrive/ApplUI/Pages/CreativePages/CustomReportCreativeDetail.aspx?App=23&amp;ReportView=4&amp;Qid=1711279&amp;Row=20625&amp;Col=1","No Title Assigned - #15279436098")</f>
        <v/>
      </c>
      <c r="B20633" s="0" t="s">
        <v>27365</v>
      </c>
      <c r="E20633" s="0" t="inlineStr">
        <is>
          <t xml:space="preserve">Mazda</t>
        </is>
      </c>
      <c r="F20633" s="0" t="inlineStr">
        <is>
          <t xml:space="preserve">Mazda</t>
        </is>
      </c>
      <c r="G20633" s="0" t="s">
        <v>171</v>
      </c>
      <c r="H20633" s="5">
        <v>3853.597700</v>
      </c>
    </row>
    <row r="20634" spans="1:9">
      <c r="A20634" s="22" t="str">
        <f>HYPERLINK("https://app.vivvix.com/360/KMI/IntelliDrive/ApplUI/Pages/CreativePages/CustomReportCreativeDetail.aspx?App=23&amp;ReportView=4&amp;Qid=1711279&amp;Row=20626&amp;Col=1","No Title Assigned - #15279436112")</f>
        <v/>
      </c>
      <c r="B20634" s="0" t="s">
        <v>27366</v>
      </c>
      <c r="E20634" s="0" t="inlineStr">
        <is>
          <t xml:space="preserve">Mazda</t>
        </is>
      </c>
      <c r="F20634" s="0" t="inlineStr">
        <is>
          <t xml:space="preserve">Mazda</t>
        </is>
      </c>
      <c r="G20634" s="0" t="s">
        <v>171</v>
      </c>
      <c r="H20634" s="5">
        <v>306.051200</v>
      </c>
    </row>
    <row r="20635" spans="1:9">
      <c r="A20635" s="22" t="str">
        <f>HYPERLINK("https://app.vivvix.com/360/KMI/IntelliDrive/ApplUI/Pages/CreativePages/CustomReportCreativeDetail.aspx?App=23&amp;ReportView=4&amp;Qid=1711279&amp;Row=20627&amp;Col=1","No Title Assigned - #15279436309")</f>
        <v/>
      </c>
      <c r="B20635" s="0" t="s">
        <v>27367</v>
      </c>
      <c r="E20635" s="0" t="inlineStr">
        <is>
          <t xml:space="preserve">Mazda</t>
        </is>
      </c>
      <c r="F20635" s="0" t="inlineStr">
        <is>
          <t xml:space="preserve">Mazda</t>
        </is>
      </c>
      <c r="G20635" s="0" t="s">
        <v>171</v>
      </c>
      <c r="H20635" s="5">
        <v>98.176500</v>
      </c>
    </row>
    <row r="20636" spans="1:9">
      <c r="A20636" s="22" t="str">
        <f>HYPERLINK("https://app.vivvix.com/360/KMI/IntelliDrive/ApplUI/Pages/CreativePages/CustomReportCreativeDetail.aspx?App=23&amp;ReportView=4&amp;Qid=1711279&amp;Row=20628&amp;Col=1","No Title Assigned - #15279436314")</f>
        <v/>
      </c>
      <c r="B20636" s="0" t="s">
        <v>27368</v>
      </c>
      <c r="E20636" s="0" t="inlineStr">
        <is>
          <t xml:space="preserve">Mazda</t>
        </is>
      </c>
      <c r="F20636" s="0" t="inlineStr">
        <is>
          <t xml:space="preserve">Mazda</t>
        </is>
      </c>
      <c r="G20636" s="0" t="s">
        <v>171</v>
      </c>
      <c r="H20636" s="5">
        <v>7480.388800</v>
      </c>
    </row>
    <row r="20637" spans="1:9">
      <c r="A20637" s="22" t="str">
        <f>HYPERLINK("https://app.vivvix.com/360/KMI/IntelliDrive/ApplUI/Pages/CreativePages/CustomReportCreativeDetail.aspx?App=23&amp;ReportView=4&amp;Qid=1711279&amp;Row=20629&amp;Col=1","No Title Assigned - #15279436537")</f>
        <v/>
      </c>
      <c r="B20637" s="0" t="s">
        <v>27369</v>
      </c>
      <c r="E20637" s="0" t="inlineStr">
        <is>
          <t xml:space="preserve">Mazda</t>
        </is>
      </c>
      <c r="F20637" s="0" t="inlineStr">
        <is>
          <t xml:space="preserve">Mazda</t>
        </is>
      </c>
      <c r="G20637" s="0" t="s">
        <v>171</v>
      </c>
      <c r="H20637" s="5">
        <v>13.207900</v>
      </c>
    </row>
    <row r="20638" spans="1:9">
      <c r="A20638" s="22" t="str">
        <f>HYPERLINK("https://app.vivvix.com/360/KMI/IntelliDrive/ApplUI/Pages/CreativePages/CustomReportCreativeDetail.aspx?App=23&amp;ReportView=4&amp;Qid=1711279&amp;Row=20630&amp;Col=1","No Title Assigned - #15279436706")</f>
        <v/>
      </c>
      <c r="B20638" s="0" t="s">
        <v>27370</v>
      </c>
      <c r="E20638" s="0" t="inlineStr">
        <is>
          <t xml:space="preserve">Mazda</t>
        </is>
      </c>
      <c r="F20638" s="0" t="inlineStr">
        <is>
          <t xml:space="preserve">Mazda</t>
        </is>
      </c>
      <c r="G20638" s="0" t="s">
        <v>171</v>
      </c>
      <c r="H20638" s="5">
        <v>155.276500</v>
      </c>
    </row>
    <row r="20639" spans="1:9">
      <c r="A20639" s="22" t="str">
        <f>HYPERLINK("https://app.vivvix.com/360/KMI/IntelliDrive/ApplUI/Pages/CreativePages/CustomReportCreativeDetail.aspx?App=23&amp;ReportView=4&amp;Qid=1711279&amp;Row=20631&amp;Col=1","No Title Assigned - #15279436847")</f>
        <v/>
      </c>
      <c r="B20639" s="0" t="s">
        <v>27371</v>
      </c>
      <c r="E20639" s="0" t="inlineStr">
        <is>
          <t xml:space="preserve">Mazda</t>
        </is>
      </c>
      <c r="F20639" s="0" t="inlineStr">
        <is>
          <t xml:space="preserve">Mazda</t>
        </is>
      </c>
      <c r="G20639" s="0" t="s">
        <v>171</v>
      </c>
      <c r="H20639" s="5">
        <v>3199.069300</v>
      </c>
    </row>
    <row r="20640" spans="1:9">
      <c r="A20640" s="22" t="str">
        <f>HYPERLINK("https://app.vivvix.com/360/KMI/IntelliDrive/ApplUI/Pages/CreativePages/CustomReportCreativeDetail.aspx?App=23&amp;ReportView=4&amp;Qid=1711279&amp;Row=20632&amp;Col=1","No Title Assigned - #15279436856")</f>
        <v/>
      </c>
      <c r="B20640" s="0" t="s">
        <v>27372</v>
      </c>
      <c r="E20640" s="0" t="inlineStr">
        <is>
          <t xml:space="preserve">Mazda</t>
        </is>
      </c>
      <c r="F20640" s="0" t="inlineStr">
        <is>
          <t xml:space="preserve">Mazda</t>
        </is>
      </c>
      <c r="G20640" s="0" t="s">
        <v>171</v>
      </c>
      <c r="H20640" s="5">
        <v>27.331400</v>
      </c>
    </row>
    <row r="20641" spans="1:9">
      <c r="A20641" s="22" t="str">
        <f>HYPERLINK("https://app.vivvix.com/360/KMI/IntelliDrive/ApplUI/Pages/CreativePages/CustomReportCreativeDetail.aspx?App=23&amp;ReportView=4&amp;Qid=1711279&amp;Row=20633&amp;Col=1","No Title Assigned - #15279436888")</f>
        <v/>
      </c>
      <c r="B20641" s="0" t="s">
        <v>27373</v>
      </c>
      <c r="E20641" s="0" t="inlineStr">
        <is>
          <t xml:space="preserve">Mazda</t>
        </is>
      </c>
      <c r="F20641" s="0" t="inlineStr">
        <is>
          <t xml:space="preserve">Mazda</t>
        </is>
      </c>
      <c r="G20641" s="0" t="s">
        <v>171</v>
      </c>
      <c r="H20641" s="5">
        <v>50.816000</v>
      </c>
    </row>
    <row r="20642" spans="1:9">
      <c r="A20642" s="22" t="str">
        <f>HYPERLINK("https://app.vivvix.com/360/KMI/IntelliDrive/ApplUI/Pages/CreativePages/CustomReportCreativeDetail.aspx?App=23&amp;ReportView=4&amp;Qid=1711279&amp;Row=20634&amp;Col=1","No Title Assigned - #15279437021")</f>
        <v/>
      </c>
      <c r="B20642" s="0" t="s">
        <v>27374</v>
      </c>
      <c r="E20642" s="0" t="inlineStr">
        <is>
          <t xml:space="preserve">Mazda</t>
        </is>
      </c>
      <c r="F20642" s="0" t="inlineStr">
        <is>
          <t xml:space="preserve">Mazda</t>
        </is>
      </c>
      <c r="G20642" s="0" t="s">
        <v>171</v>
      </c>
      <c r="H20642" s="5">
        <v>142.677600</v>
      </c>
    </row>
    <row r="20643" spans="1:9">
      <c r="A20643" s="22" t="str">
        <f>HYPERLINK("https://app.vivvix.com/360/KMI/IntelliDrive/ApplUI/Pages/CreativePages/CustomReportCreativeDetail.aspx?App=23&amp;ReportView=4&amp;Qid=1711279&amp;Row=20635&amp;Col=1","No Title Assigned - #15279437207")</f>
        <v/>
      </c>
      <c r="B20643" s="0" t="s">
        <v>27375</v>
      </c>
      <c r="E20643" s="0" t="inlineStr">
        <is>
          <t xml:space="preserve">Mazda</t>
        </is>
      </c>
      <c r="F20643" s="0" t="inlineStr">
        <is>
          <t xml:space="preserve">Mazda</t>
        </is>
      </c>
      <c r="G20643" s="0" t="s">
        <v>171</v>
      </c>
      <c r="H20643" s="5">
        <v>18.029200</v>
      </c>
    </row>
    <row r="20644" spans="1:9">
      <c r="A20644" s="22" t="str">
        <f>HYPERLINK("https://app.vivvix.com/360/KMI/IntelliDrive/ApplUI/Pages/CreativePages/CustomReportCreativeDetail.aspx?App=23&amp;ReportView=4&amp;Qid=1711279&amp;Row=20636&amp;Col=1","No Title Assigned - #15279437337")</f>
        <v/>
      </c>
      <c r="B20644" s="0" t="s">
        <v>27376</v>
      </c>
      <c r="E20644" s="0" t="inlineStr">
        <is>
          <t xml:space="preserve">Mazda</t>
        </is>
      </c>
      <c r="F20644" s="0" t="inlineStr">
        <is>
          <t xml:space="preserve">Mazda</t>
        </is>
      </c>
      <c r="G20644" s="0" t="s">
        <v>171</v>
      </c>
      <c r="H20644" s="5">
        <v>19.382000</v>
      </c>
    </row>
    <row r="20645" spans="1:9">
      <c r="A20645" s="22" t="str">
        <f>HYPERLINK("https://app.vivvix.com/360/KMI/IntelliDrive/ApplUI/Pages/CreativePages/CustomReportCreativeDetail.aspx?App=23&amp;ReportView=4&amp;Qid=1711279&amp;Row=20637&amp;Col=1","No Title Assigned - #15279437429")</f>
        <v/>
      </c>
      <c r="B20645" s="0" t="s">
        <v>27377</v>
      </c>
      <c r="E20645" s="0" t="inlineStr">
        <is>
          <t xml:space="preserve">Mazda</t>
        </is>
      </c>
      <c r="F20645" s="0" t="inlineStr">
        <is>
          <t xml:space="preserve">Mazda</t>
        </is>
      </c>
      <c r="G20645" s="0" t="s">
        <v>171</v>
      </c>
      <c r="H20645" s="5">
        <v>1018.901900</v>
      </c>
    </row>
    <row r="20646" spans="1:9">
      <c r="A20646" s="22" t="str">
        <f>HYPERLINK("https://app.vivvix.com/360/KMI/IntelliDrive/ApplUI/Pages/CreativePages/CustomReportCreativeDetail.aspx?App=23&amp;ReportView=4&amp;Qid=1711279&amp;Row=20638&amp;Col=1","No Title Assigned - #15279437536")</f>
        <v/>
      </c>
      <c r="B20646" s="0" t="s">
        <v>27378</v>
      </c>
      <c r="C20646" s="0" t="s">
        <v>27379</v>
      </c>
      <c r="D20646" s="0" t="s">
        <v>27379</v>
      </c>
      <c r="E20646" s="0" t="inlineStr">
        <is>
          <t xml:space="preserve">Mazda</t>
        </is>
      </c>
      <c r="F20646" s="0" t="inlineStr">
        <is>
          <t xml:space="preserve">Mazda</t>
        </is>
      </c>
      <c r="G20646" s="0" t="s">
        <v>171</v>
      </c>
      <c r="H20646" s="5">
        <v>31592.795400</v>
      </c>
    </row>
    <row r="20647" spans="1:9">
      <c r="A20647" s="22" t="str">
        <f>HYPERLINK("https://app.vivvix.com/360/KMI/IntelliDrive/ApplUI/Pages/CreativePages/CustomReportCreativeDetail.aspx?App=23&amp;ReportView=4&amp;Qid=1711279&amp;Row=20639&amp;Col=1","No Title Assigned - #15279437538")</f>
        <v/>
      </c>
      <c r="B20647" s="0" t="s">
        <v>27380</v>
      </c>
      <c r="E20647" s="0" t="inlineStr">
        <is>
          <t xml:space="preserve">Mazda</t>
        </is>
      </c>
      <c r="F20647" s="0" t="inlineStr">
        <is>
          <t xml:space="preserve">Mazda</t>
        </is>
      </c>
      <c r="G20647" s="0" t="s">
        <v>171</v>
      </c>
      <c r="H20647" s="5">
        <v>222.889500</v>
      </c>
    </row>
    <row r="20648" spans="1:9">
      <c r="A20648" s="22" t="str">
        <f>HYPERLINK("https://app.vivvix.com/360/KMI/IntelliDrive/ApplUI/Pages/CreativePages/CustomReportCreativeDetail.aspx?App=23&amp;ReportView=4&amp;Qid=1711279&amp;Row=20640&amp;Col=1","No Title Assigned - #15279437637")</f>
        <v/>
      </c>
      <c r="B20648" s="0" t="s">
        <v>27381</v>
      </c>
      <c r="E20648" s="0" t="inlineStr">
        <is>
          <t xml:space="preserve">Mazda</t>
        </is>
      </c>
      <c r="F20648" s="0" t="inlineStr">
        <is>
          <t xml:space="preserve">Mazda</t>
        </is>
      </c>
      <c r="G20648" s="0" t="s">
        <v>171</v>
      </c>
      <c r="H20648" s="5">
        <v>277.440600</v>
      </c>
    </row>
    <row r="20649" spans="1:9">
      <c r="A20649" s="22" t="str">
        <f>HYPERLINK("https://app.vivvix.com/360/KMI/IntelliDrive/ApplUI/Pages/CreativePages/CustomReportCreativeDetail.aspx?App=23&amp;ReportView=4&amp;Qid=1711279&amp;Row=20641&amp;Col=1","No Title Assigned - #15279437638")</f>
        <v/>
      </c>
      <c r="B20649" s="0" t="s">
        <v>27382</v>
      </c>
      <c r="E20649" s="0" t="inlineStr">
        <is>
          <t xml:space="preserve">Mazda</t>
        </is>
      </c>
      <c r="F20649" s="0" t="inlineStr">
        <is>
          <t xml:space="preserve">Mazda</t>
        </is>
      </c>
      <c r="G20649" s="0" t="s">
        <v>171</v>
      </c>
      <c r="H20649" s="5">
        <v>8.691900</v>
      </c>
    </row>
    <row r="20650" spans="1:9">
      <c r="A20650" s="22" t="str">
        <f>HYPERLINK("https://app.vivvix.com/360/KMI/IntelliDrive/ApplUI/Pages/CreativePages/CustomReportCreativeDetail.aspx?App=23&amp;ReportView=4&amp;Qid=1711279&amp;Row=20642&amp;Col=1","No Title Assigned - #15279437638")</f>
        <v/>
      </c>
      <c r="B20650" s="0" t="s">
        <v>27382</v>
      </c>
      <c r="E20650" s="0" t="inlineStr">
        <is>
          <t xml:space="preserve">Mazda</t>
        </is>
      </c>
      <c r="F20650" s="0" t="inlineStr">
        <is>
          <t xml:space="preserve">Mazda</t>
        </is>
      </c>
      <c r="G20650" s="0" t="s">
        <v>171</v>
      </c>
      <c r="H20650" s="5">
        <v>90.085700</v>
      </c>
    </row>
    <row r="20651" spans="1:9">
      <c r="A20651" s="22" t="str">
        <f>HYPERLINK("https://app.vivvix.com/360/KMI/IntelliDrive/ApplUI/Pages/CreativePages/CustomReportCreativeDetail.aspx?App=23&amp;ReportView=4&amp;Qid=1711279&amp;Row=20643&amp;Col=1","No Title Assigned - #15279437704")</f>
        <v/>
      </c>
      <c r="B20651" s="0" t="s">
        <v>27383</v>
      </c>
      <c r="E20651" s="0" t="inlineStr">
        <is>
          <t xml:space="preserve">Mazda</t>
        </is>
      </c>
      <c r="F20651" s="0" t="inlineStr">
        <is>
          <t xml:space="preserve">Mazda</t>
        </is>
      </c>
      <c r="G20651" s="0" t="s">
        <v>171</v>
      </c>
      <c r="H20651" s="5">
        <v>89.280900</v>
      </c>
    </row>
    <row r="20652" spans="1:9">
      <c r="A20652" s="22" t="str">
        <f>HYPERLINK("https://app.vivvix.com/360/KMI/IntelliDrive/ApplUI/Pages/CreativePages/CustomReportCreativeDetail.aspx?App=23&amp;ReportView=4&amp;Qid=1711279&amp;Row=20644&amp;Col=1","No Title Assigned - #15279437722")</f>
        <v/>
      </c>
      <c r="B20652" s="0" t="s">
        <v>27384</v>
      </c>
      <c r="C20652" s="0" t="s">
        <v>27385</v>
      </c>
      <c r="D20652" s="0" t="s">
        <v>27385</v>
      </c>
      <c r="E20652" s="0" t="inlineStr">
        <is>
          <t xml:space="preserve">Mazda</t>
        </is>
      </c>
      <c r="F20652" s="0" t="inlineStr">
        <is>
          <t xml:space="preserve">Mazda</t>
        </is>
      </c>
      <c r="G20652" s="0" t="s">
        <v>171</v>
      </c>
      <c r="H20652" s="5">
        <v>191.035500</v>
      </c>
    </row>
    <row r="20653" spans="1:9">
      <c r="A20653" s="22" t="str">
        <f>HYPERLINK("https://app.vivvix.com/360/KMI/IntelliDrive/ApplUI/Pages/CreativePages/CustomReportCreativeDetail.aspx?App=23&amp;ReportView=4&amp;Qid=1711279&amp;Row=20645&amp;Col=1","No Title Assigned - #15279438006")</f>
        <v/>
      </c>
      <c r="B20653" s="0" t="s">
        <v>27386</v>
      </c>
      <c r="E20653" s="0" t="inlineStr">
        <is>
          <t xml:space="preserve">Mazda</t>
        </is>
      </c>
      <c r="F20653" s="0" t="inlineStr">
        <is>
          <t xml:space="preserve">Mazda</t>
        </is>
      </c>
      <c r="G20653" s="0" t="s">
        <v>171</v>
      </c>
      <c r="H20653" s="5">
        <v>84.190300</v>
      </c>
    </row>
    <row r="20654" spans="1:9">
      <c r="A20654" s="22" t="str">
        <f>HYPERLINK("https://app.vivvix.com/360/KMI/IntelliDrive/ApplUI/Pages/CreativePages/CustomReportCreativeDetail.aspx?App=23&amp;ReportView=4&amp;Qid=1711279&amp;Row=20646&amp;Col=1","No Title Assigned - #15279438141")</f>
        <v/>
      </c>
      <c r="B20654" s="0" t="s">
        <v>27387</v>
      </c>
      <c r="E20654" s="0" t="inlineStr">
        <is>
          <t xml:space="preserve">Mazda</t>
        </is>
      </c>
      <c r="F20654" s="0" t="inlineStr">
        <is>
          <t xml:space="preserve">Mazda</t>
        </is>
      </c>
      <c r="G20654" s="0" t="s">
        <v>171</v>
      </c>
      <c r="H20654" s="5">
        <v>9.677400</v>
      </c>
    </row>
    <row r="20655" spans="1:9">
      <c r="A20655" s="22" t="str">
        <f>HYPERLINK("https://app.vivvix.com/360/KMI/IntelliDrive/ApplUI/Pages/CreativePages/CustomReportCreativeDetail.aspx?App=23&amp;ReportView=4&amp;Qid=1711279&amp;Row=20647&amp;Col=1","No Title Assigned - #15279438228")</f>
        <v/>
      </c>
      <c r="B20655" s="0" t="s">
        <v>27388</v>
      </c>
      <c r="E20655" s="0" t="inlineStr">
        <is>
          <t xml:space="preserve">Mazda</t>
        </is>
      </c>
      <c r="F20655" s="0" t="inlineStr">
        <is>
          <t xml:space="preserve">Mazda</t>
        </is>
      </c>
      <c r="G20655" s="0" t="s">
        <v>171</v>
      </c>
      <c r="H20655" s="5">
        <v>12.535100</v>
      </c>
    </row>
    <row r="20656" spans="1:9">
      <c r="A20656" s="22" t="str">
        <f>HYPERLINK("https://app.vivvix.com/360/KMI/IntelliDrive/ApplUI/Pages/CreativePages/CustomReportCreativeDetail.aspx?App=23&amp;ReportView=4&amp;Qid=1711279&amp;Row=20648&amp;Col=1","No Title Assigned - #15279438361")</f>
        <v/>
      </c>
      <c r="B20656" s="0" t="s">
        <v>27389</v>
      </c>
      <c r="E20656" s="0" t="inlineStr">
        <is>
          <t xml:space="preserve">Mazda</t>
        </is>
      </c>
      <c r="F20656" s="0" t="inlineStr">
        <is>
          <t xml:space="preserve">Mazda</t>
        </is>
      </c>
      <c r="G20656" s="0" t="s">
        <v>171</v>
      </c>
      <c r="H20656" s="5">
        <v>111.807200</v>
      </c>
    </row>
    <row r="20657" spans="1:9">
      <c r="A20657" s="22" t="str">
        <f>HYPERLINK("https://app.vivvix.com/360/KMI/IntelliDrive/ApplUI/Pages/CreativePages/CustomReportCreativeDetail.aspx?App=23&amp;ReportView=4&amp;Qid=1711279&amp;Row=20649&amp;Col=1","No Title Assigned - #15279438458")</f>
        <v/>
      </c>
      <c r="B20657" s="0" t="s">
        <v>27390</v>
      </c>
      <c r="E20657" s="0" t="inlineStr">
        <is>
          <t xml:space="preserve">Mazda</t>
        </is>
      </c>
      <c r="F20657" s="0" t="inlineStr">
        <is>
          <t xml:space="preserve">Mazda</t>
        </is>
      </c>
      <c r="G20657" s="0" t="s">
        <v>171</v>
      </c>
      <c r="H20657" s="5">
        <v>62.164100</v>
      </c>
    </row>
    <row r="20658" spans="1:9">
      <c r="A20658" s="22" t="str">
        <f>HYPERLINK("https://app.vivvix.com/360/KMI/IntelliDrive/ApplUI/Pages/CreativePages/CustomReportCreativeDetail.aspx?App=23&amp;ReportView=4&amp;Qid=1711279&amp;Row=20650&amp;Col=1","No Title Assigned - #15279438588")</f>
        <v/>
      </c>
      <c r="B20658" s="0" t="s">
        <v>27391</v>
      </c>
      <c r="E20658" s="0" t="inlineStr">
        <is>
          <t xml:space="preserve">Mazda</t>
        </is>
      </c>
      <c r="F20658" s="0" t="inlineStr">
        <is>
          <t xml:space="preserve">Mazda</t>
        </is>
      </c>
      <c r="G20658" s="0" t="s">
        <v>171</v>
      </c>
      <c r="H20658" s="5">
        <v>1.216000</v>
      </c>
    </row>
    <row r="20659" spans="1:9">
      <c r="A20659" s="22" t="str">
        <f>HYPERLINK("https://app.vivvix.com/360/KMI/IntelliDrive/ApplUI/Pages/CreativePages/CustomReportCreativeDetail.aspx?App=23&amp;ReportView=4&amp;Qid=1711279&amp;Row=20651&amp;Col=1","No Title Assigned - #15279438672")</f>
        <v/>
      </c>
      <c r="B20659" s="0" t="s">
        <v>27392</v>
      </c>
      <c r="E20659" s="0" t="inlineStr">
        <is>
          <t xml:space="preserve">Mazda</t>
        </is>
      </c>
      <c r="F20659" s="0" t="inlineStr">
        <is>
          <t xml:space="preserve">Mazda</t>
        </is>
      </c>
      <c r="G20659" s="0" t="s">
        <v>171</v>
      </c>
      <c r="H20659" s="5">
        <v>10.015600</v>
      </c>
    </row>
    <row r="20660" spans="1:9">
      <c r="A20660" s="22" t="str">
        <f>HYPERLINK("https://app.vivvix.com/360/KMI/IntelliDrive/ApplUI/Pages/CreativePages/CustomReportCreativeDetail.aspx?App=23&amp;ReportView=4&amp;Qid=1711279&amp;Row=20652&amp;Col=1","No Title Assigned - #15279438707")</f>
        <v/>
      </c>
      <c r="B20660" s="0" t="s">
        <v>27393</v>
      </c>
      <c r="E20660" s="0" t="inlineStr">
        <is>
          <t xml:space="preserve">Mazda</t>
        </is>
      </c>
      <c r="F20660" s="0" t="inlineStr">
        <is>
          <t xml:space="preserve">Mazda</t>
        </is>
      </c>
      <c r="G20660" s="0" t="s">
        <v>171</v>
      </c>
      <c r="H20660" s="5">
        <v>1861.102300</v>
      </c>
    </row>
    <row r="20661" spans="1:9">
      <c r="A20661" s="22" t="str">
        <f>HYPERLINK("https://app.vivvix.com/360/KMI/IntelliDrive/ApplUI/Pages/CreativePages/CustomReportCreativeDetail.aspx?App=23&amp;ReportView=4&amp;Qid=1711279&amp;Row=20653&amp;Col=1","No Title Assigned - #15279438925")</f>
        <v/>
      </c>
      <c r="B20661" s="0" t="s">
        <v>27394</v>
      </c>
      <c r="C20661" s="0" t="s">
        <v>27395</v>
      </c>
      <c r="D20661" s="0" t="s">
        <v>27395</v>
      </c>
      <c r="E20661" s="0" t="inlineStr">
        <is>
          <t xml:space="preserve">Mazda</t>
        </is>
      </c>
      <c r="F20661" s="0" t="inlineStr">
        <is>
          <t xml:space="preserve">Mazda</t>
        </is>
      </c>
      <c r="G20661" s="0" t="s">
        <v>171</v>
      </c>
      <c r="H20661" s="5">
        <v>525.884400</v>
      </c>
    </row>
    <row r="20662" spans="1:9">
      <c r="A20662" s="22" t="str">
        <f>HYPERLINK("https://app.vivvix.com/360/KMI/IntelliDrive/ApplUI/Pages/CreativePages/CustomReportCreativeDetail.aspx?App=23&amp;ReportView=4&amp;Qid=1711279&amp;Row=20654&amp;Col=1","No Title Assigned - #15279438930")</f>
        <v/>
      </c>
      <c r="B20662" s="0" t="s">
        <v>27396</v>
      </c>
      <c r="E20662" s="0" t="inlineStr">
        <is>
          <t xml:space="preserve">Mazda</t>
        </is>
      </c>
      <c r="F20662" s="0" t="inlineStr">
        <is>
          <t xml:space="preserve">Mazda</t>
        </is>
      </c>
      <c r="G20662" s="0" t="s">
        <v>171</v>
      </c>
      <c r="H20662" s="5">
        <v>89.407600</v>
      </c>
    </row>
    <row r="20663" spans="1:9">
      <c r="A20663" s="22" t="str">
        <f>HYPERLINK("https://app.vivvix.com/360/KMI/IntelliDrive/ApplUI/Pages/CreativePages/CustomReportCreativeDetail.aspx?App=23&amp;ReportView=4&amp;Qid=1711279&amp;Row=20655&amp;Col=1","No Title Assigned - #15279438964")</f>
        <v/>
      </c>
      <c r="B20663" s="0" t="s">
        <v>27397</v>
      </c>
      <c r="E20663" s="0" t="inlineStr">
        <is>
          <t xml:space="preserve">Mazda</t>
        </is>
      </c>
      <c r="F20663" s="0" t="inlineStr">
        <is>
          <t xml:space="preserve">Mazda</t>
        </is>
      </c>
      <c r="G20663" s="0" t="s">
        <v>171</v>
      </c>
      <c r="H20663" s="5">
        <v>29.858700</v>
      </c>
    </row>
    <row r="20664" spans="1:9">
      <c r="A20664" s="22" t="str">
        <f>HYPERLINK("https://app.vivvix.com/360/KMI/IntelliDrive/ApplUI/Pages/CreativePages/CustomReportCreativeDetail.aspx?App=23&amp;ReportView=4&amp;Qid=1711279&amp;Row=20656&amp;Col=1","No Title Assigned - #15279438973")</f>
        <v/>
      </c>
      <c r="B20664" s="0" t="s">
        <v>27398</v>
      </c>
      <c r="E20664" s="0" t="inlineStr">
        <is>
          <t xml:space="preserve">Mazda</t>
        </is>
      </c>
      <c r="F20664" s="0" t="inlineStr">
        <is>
          <t xml:space="preserve">Mazda</t>
        </is>
      </c>
      <c r="G20664" s="0" t="s">
        <v>171</v>
      </c>
      <c r="H20664" s="5">
        <v>193.687200</v>
      </c>
    </row>
    <row r="20665" spans="1:9">
      <c r="A20665" s="22" t="str">
        <f>HYPERLINK("https://app.vivvix.com/360/KMI/IntelliDrive/ApplUI/Pages/CreativePages/CustomReportCreativeDetail.aspx?App=23&amp;ReportView=4&amp;Qid=1711279&amp;Row=20657&amp;Col=1","No Title Assigned - #15279439048")</f>
        <v/>
      </c>
      <c r="B20665" s="0" t="s">
        <v>27399</v>
      </c>
      <c r="E20665" s="0" t="inlineStr">
        <is>
          <t xml:space="preserve">Mazda</t>
        </is>
      </c>
      <c r="F20665" s="0" t="inlineStr">
        <is>
          <t xml:space="preserve">Mazda</t>
        </is>
      </c>
      <c r="G20665" s="0" t="s">
        <v>171</v>
      </c>
      <c r="H20665" s="5">
        <v>54.477600</v>
      </c>
    </row>
    <row r="20666" spans="1:9">
      <c r="A20666" s="22" t="str">
        <f>HYPERLINK("https://app.vivvix.com/360/KMI/IntelliDrive/ApplUI/Pages/CreativePages/CustomReportCreativeDetail.aspx?App=23&amp;ReportView=4&amp;Qid=1711279&amp;Row=20658&amp;Col=1","No Title Assigned - #15279439097")</f>
        <v/>
      </c>
      <c r="B20666" s="0" t="s">
        <v>27400</v>
      </c>
      <c r="E20666" s="0" t="inlineStr">
        <is>
          <t xml:space="preserve">Mazda</t>
        </is>
      </c>
      <c r="F20666" s="0" t="inlineStr">
        <is>
          <t xml:space="preserve">Mazda</t>
        </is>
      </c>
      <c r="G20666" s="0" t="s">
        <v>171</v>
      </c>
      <c r="H20666" s="5">
        <v>416.853300</v>
      </c>
    </row>
    <row r="20667" spans="1:9">
      <c r="A20667" s="22" t="str">
        <f>HYPERLINK("https://app.vivvix.com/360/KMI/IntelliDrive/ApplUI/Pages/CreativePages/CustomReportCreativeDetail.aspx?App=23&amp;ReportView=4&amp;Qid=1711279&amp;Row=20659&amp;Col=1","No Title Assigned - #15279439149")</f>
        <v/>
      </c>
      <c r="B20667" s="0" t="s">
        <v>27401</v>
      </c>
      <c r="E20667" s="0" t="inlineStr">
        <is>
          <t xml:space="preserve">Mazda</t>
        </is>
      </c>
      <c r="F20667" s="0" t="inlineStr">
        <is>
          <t xml:space="preserve">Mazda</t>
        </is>
      </c>
      <c r="G20667" s="0" t="s">
        <v>171</v>
      </c>
      <c r="H20667" s="5">
        <v>1331.535000</v>
      </c>
    </row>
    <row r="20668" spans="1:9">
      <c r="A20668" s="22" t="str">
        <f>HYPERLINK("https://app.vivvix.com/360/KMI/IntelliDrive/ApplUI/Pages/CreativePages/CustomReportCreativeDetail.aspx?App=23&amp;ReportView=4&amp;Qid=1711279&amp;Row=20660&amp;Col=1","No Title Assigned - #15279439174")</f>
        <v/>
      </c>
      <c r="B20668" s="0" t="s">
        <v>27402</v>
      </c>
      <c r="E20668" s="0" t="inlineStr">
        <is>
          <t xml:space="preserve">Mazda</t>
        </is>
      </c>
      <c r="F20668" s="0" t="inlineStr">
        <is>
          <t xml:space="preserve">Mazda</t>
        </is>
      </c>
      <c r="G20668" s="0" t="s">
        <v>171</v>
      </c>
      <c r="H20668" s="5">
        <v>160.779200</v>
      </c>
    </row>
    <row r="20669" spans="1:9">
      <c r="A20669" s="22" t="str">
        <f>HYPERLINK("https://app.vivvix.com/360/KMI/IntelliDrive/ApplUI/Pages/CreativePages/CustomReportCreativeDetail.aspx?App=23&amp;ReportView=4&amp;Qid=1711279&amp;Row=20661&amp;Col=1","No Title Assigned - #15279439174")</f>
        <v/>
      </c>
      <c r="B20669" s="0" t="s">
        <v>27402</v>
      </c>
      <c r="E20669" s="0" t="inlineStr">
        <is>
          <t xml:space="preserve">Mazda</t>
        </is>
      </c>
      <c r="F20669" s="0" t="inlineStr">
        <is>
          <t xml:space="preserve">Mazda</t>
        </is>
      </c>
      <c r="G20669" s="0" t="s">
        <v>171</v>
      </c>
      <c r="H20669" s="5">
        <v>5.543100</v>
      </c>
    </row>
    <row r="20670" spans="1:9">
      <c r="A20670" s="22" t="str">
        <f>HYPERLINK("https://app.vivvix.com/360/KMI/IntelliDrive/ApplUI/Pages/CreativePages/CustomReportCreativeDetail.aspx?App=23&amp;ReportView=4&amp;Qid=1711279&amp;Row=20662&amp;Col=1","No Title Assigned - #15279439186")</f>
        <v/>
      </c>
      <c r="B20670" s="0" t="s">
        <v>27403</v>
      </c>
      <c r="E20670" s="0" t="inlineStr">
        <is>
          <t xml:space="preserve">Mazda</t>
        </is>
      </c>
      <c r="F20670" s="0" t="inlineStr">
        <is>
          <t xml:space="preserve">Mazda</t>
        </is>
      </c>
      <c r="G20670" s="0" t="s">
        <v>171</v>
      </c>
      <c r="H20670" s="5">
        <v>28.810000</v>
      </c>
    </row>
    <row r="20671" spans="1:9">
      <c r="A20671" s="22" t="str">
        <f>HYPERLINK("https://app.vivvix.com/360/KMI/IntelliDrive/ApplUI/Pages/CreativePages/CustomReportCreativeDetail.aspx?App=23&amp;ReportView=4&amp;Qid=1711279&amp;Row=20663&amp;Col=1","No Title Assigned - #15279439201")</f>
        <v/>
      </c>
      <c r="B20671" s="0" t="s">
        <v>27404</v>
      </c>
      <c r="E20671" s="0" t="inlineStr">
        <is>
          <t xml:space="preserve">Mazda</t>
        </is>
      </c>
      <c r="F20671" s="0" t="inlineStr">
        <is>
          <t xml:space="preserve">Mazda</t>
        </is>
      </c>
      <c r="G20671" s="0" t="s">
        <v>171</v>
      </c>
      <c r="H20671" s="5">
        <v>77.433700</v>
      </c>
    </row>
    <row r="20672" spans="1:9">
      <c r="A20672" s="22" t="str">
        <f>HYPERLINK("https://app.vivvix.com/360/KMI/IntelliDrive/ApplUI/Pages/CreativePages/CustomReportCreativeDetail.aspx?App=23&amp;ReportView=4&amp;Qid=1711279&amp;Row=20664&amp;Col=1","No Title Assigned - #15279439256")</f>
        <v/>
      </c>
      <c r="B20672" s="0" t="s">
        <v>27405</v>
      </c>
      <c r="E20672" s="0" t="inlineStr">
        <is>
          <t xml:space="preserve">Mazda</t>
        </is>
      </c>
      <c r="F20672" s="0" t="inlineStr">
        <is>
          <t xml:space="preserve">Mazda</t>
        </is>
      </c>
      <c r="G20672" s="0" t="s">
        <v>171</v>
      </c>
      <c r="H20672" s="5">
        <v>1361.753500</v>
      </c>
    </row>
    <row r="20673" spans="1:9">
      <c r="A20673" s="22" t="str">
        <f>HYPERLINK("https://app.vivvix.com/360/KMI/IntelliDrive/ApplUI/Pages/CreativePages/CustomReportCreativeDetail.aspx?App=23&amp;ReportView=4&amp;Qid=1711279&amp;Row=20665&amp;Col=1","No Title Assigned - #15279439256")</f>
        <v/>
      </c>
      <c r="B20673" s="0" t="s">
        <v>27405</v>
      </c>
      <c r="E20673" s="0" t="inlineStr">
        <is>
          <t xml:space="preserve">Mazda</t>
        </is>
      </c>
      <c r="F20673" s="0" t="inlineStr">
        <is>
          <t xml:space="preserve">Mazda</t>
        </is>
      </c>
      <c r="G20673" s="0" t="s">
        <v>171</v>
      </c>
      <c r="H20673" s="5">
        <v>1038.362600</v>
      </c>
    </row>
    <row r="20674" spans="1:9">
      <c r="A20674" s="22" t="str">
        <f>HYPERLINK("https://app.vivvix.com/360/KMI/IntelliDrive/ApplUI/Pages/CreativePages/CustomReportCreativeDetail.aspx?App=23&amp;ReportView=4&amp;Qid=1711279&amp;Row=20666&amp;Col=1","No Title Assigned - #15279439323")</f>
        <v/>
      </c>
      <c r="B20674" s="0" t="s">
        <v>27406</v>
      </c>
      <c r="E20674" s="0" t="inlineStr">
        <is>
          <t xml:space="preserve">Mazda</t>
        </is>
      </c>
      <c r="F20674" s="0" t="inlineStr">
        <is>
          <t xml:space="preserve">Mazda</t>
        </is>
      </c>
      <c r="G20674" s="0" t="s">
        <v>171</v>
      </c>
      <c r="H20674" s="5">
        <v>170.410200</v>
      </c>
    </row>
    <row r="20675" spans="1:9">
      <c r="A20675" s="22" t="str">
        <f>HYPERLINK("https://app.vivvix.com/360/KMI/IntelliDrive/ApplUI/Pages/CreativePages/CustomReportCreativeDetail.aspx?App=23&amp;ReportView=4&amp;Qid=1711279&amp;Row=20667&amp;Col=1","No Title Assigned - #15279439348")</f>
        <v/>
      </c>
      <c r="B20675" s="0" t="s">
        <v>27407</v>
      </c>
      <c r="E20675" s="0" t="inlineStr">
        <is>
          <t xml:space="preserve">Mazda</t>
        </is>
      </c>
      <c r="F20675" s="0" t="inlineStr">
        <is>
          <t xml:space="preserve">Mazda</t>
        </is>
      </c>
      <c r="G20675" s="0" t="s">
        <v>171</v>
      </c>
      <c r="H20675" s="5">
        <v>721.588900</v>
      </c>
    </row>
    <row r="20676" spans="1:9">
      <c r="A20676" s="22" t="str">
        <f>HYPERLINK("https://app.vivvix.com/360/KMI/IntelliDrive/ApplUI/Pages/CreativePages/CustomReportCreativeDetail.aspx?App=23&amp;ReportView=4&amp;Qid=1711279&amp;Row=20668&amp;Col=1","No Title Assigned - #15279439365")</f>
        <v/>
      </c>
      <c r="B20676" s="0" t="s">
        <v>27408</v>
      </c>
      <c r="E20676" s="0" t="inlineStr">
        <is>
          <t xml:space="preserve">Mazda</t>
        </is>
      </c>
      <c r="F20676" s="0" t="inlineStr">
        <is>
          <t xml:space="preserve">Mazda</t>
        </is>
      </c>
      <c r="G20676" s="0" t="s">
        <v>171</v>
      </c>
      <c r="H20676" s="5">
        <v>5.543100</v>
      </c>
    </row>
    <row r="20677" spans="1:9">
      <c r="A20677" s="22" t="str">
        <f>HYPERLINK("https://app.vivvix.com/360/KMI/IntelliDrive/ApplUI/Pages/CreativePages/CustomReportCreativeDetail.aspx?App=23&amp;ReportView=4&amp;Qid=1711279&amp;Row=20669&amp;Col=1","No Title Assigned - #15279439420")</f>
        <v/>
      </c>
      <c r="B20677" s="0" t="s">
        <v>27409</v>
      </c>
      <c r="E20677" s="0" t="inlineStr">
        <is>
          <t xml:space="preserve">Mazda</t>
        </is>
      </c>
      <c r="F20677" s="0" t="inlineStr">
        <is>
          <t xml:space="preserve">Mazda</t>
        </is>
      </c>
      <c r="G20677" s="0" t="s">
        <v>171</v>
      </c>
      <c r="H20677" s="5">
        <v>102.786900</v>
      </c>
    </row>
    <row r="20678" spans="1:9">
      <c r="A20678" s="22" t="str">
        <f>HYPERLINK("https://app.vivvix.com/360/KMI/IntelliDrive/ApplUI/Pages/CreativePages/CustomReportCreativeDetail.aspx?App=23&amp;ReportView=4&amp;Qid=1711279&amp;Row=20670&amp;Col=1","No Title Assigned - #15279439471")</f>
        <v/>
      </c>
      <c r="B20678" s="0" t="s">
        <v>27410</v>
      </c>
      <c r="E20678" s="0" t="inlineStr">
        <is>
          <t xml:space="preserve">Mazda</t>
        </is>
      </c>
      <c r="F20678" s="0" t="inlineStr">
        <is>
          <t xml:space="preserve">Mazda</t>
        </is>
      </c>
      <c r="G20678" s="0" t="s">
        <v>171</v>
      </c>
      <c r="H20678" s="5">
        <v>19.392100</v>
      </c>
    </row>
    <row r="20679" spans="1:9">
      <c r="A20679" s="22" t="str">
        <f>HYPERLINK("https://app.vivvix.com/360/KMI/IntelliDrive/ApplUI/Pages/CreativePages/CustomReportCreativeDetail.aspx?App=23&amp;ReportView=4&amp;Qid=1711279&amp;Row=20671&amp;Col=1","No Title Assigned - #15279439502")</f>
        <v/>
      </c>
      <c r="B20679" s="0" t="s">
        <v>27411</v>
      </c>
      <c r="C20679" s="0" t="s">
        <v>27412</v>
      </c>
      <c r="D20679" s="0" t="s">
        <v>27412</v>
      </c>
      <c r="E20679" s="0" t="inlineStr">
        <is>
          <t xml:space="preserve">Mazda</t>
        </is>
      </c>
      <c r="F20679" s="0" t="inlineStr">
        <is>
          <t xml:space="preserve">Mazda</t>
        </is>
      </c>
      <c r="G20679" s="0" t="s">
        <v>171</v>
      </c>
      <c r="H20679" s="5">
        <v>89.576100</v>
      </c>
    </row>
    <row r="20680" spans="1:9">
      <c r="A20680" s="22" t="str">
        <f>HYPERLINK("https://app.vivvix.com/360/KMI/IntelliDrive/ApplUI/Pages/CreativePages/CustomReportCreativeDetail.aspx?App=23&amp;ReportView=4&amp;Qid=1711279&amp;Row=20672&amp;Col=1","No Title Assigned - #15279439512")</f>
        <v/>
      </c>
      <c r="B20680" s="0" t="s">
        <v>27413</v>
      </c>
      <c r="E20680" s="0" t="inlineStr">
        <is>
          <t xml:space="preserve">Mazda</t>
        </is>
      </c>
      <c r="F20680" s="0" t="inlineStr">
        <is>
          <t xml:space="preserve">Mazda</t>
        </is>
      </c>
      <c r="G20680" s="0" t="s">
        <v>171</v>
      </c>
      <c r="H20680" s="5">
        <v>129.772200</v>
      </c>
    </row>
    <row r="20681" spans="1:9">
      <c r="A20681" s="22" t="str">
        <f>HYPERLINK("https://app.vivvix.com/360/KMI/IntelliDrive/ApplUI/Pages/CreativePages/CustomReportCreativeDetail.aspx?App=23&amp;ReportView=4&amp;Qid=1711279&amp;Row=20673&amp;Col=1","No Title Assigned - #15279439517")</f>
        <v/>
      </c>
      <c r="B20681" s="0" t="s">
        <v>27414</v>
      </c>
      <c r="E20681" s="0" t="inlineStr">
        <is>
          <t xml:space="preserve">Mazda</t>
        </is>
      </c>
      <c r="F20681" s="0" t="inlineStr">
        <is>
          <t xml:space="preserve">Mazda</t>
        </is>
      </c>
      <c r="G20681" s="0" t="s">
        <v>171</v>
      </c>
      <c r="H20681" s="5">
        <v>26.834100</v>
      </c>
    </row>
    <row r="20682" spans="1:9">
      <c r="A20682" s="22" t="str">
        <f>HYPERLINK("https://app.vivvix.com/360/KMI/IntelliDrive/ApplUI/Pages/CreativePages/CustomReportCreativeDetail.aspx?App=23&amp;ReportView=4&amp;Qid=1711279&amp;Row=20674&amp;Col=1","No Title Assigned - #15279439521")</f>
        <v/>
      </c>
      <c r="B20682" s="0" t="s">
        <v>27415</v>
      </c>
      <c r="E20682" s="0" t="inlineStr">
        <is>
          <t xml:space="preserve">Mazda</t>
        </is>
      </c>
      <c r="F20682" s="0" t="inlineStr">
        <is>
          <t xml:space="preserve">Mazda</t>
        </is>
      </c>
      <c r="G20682" s="0" t="s">
        <v>171</v>
      </c>
      <c r="H20682" s="5">
        <v>43.456100</v>
      </c>
    </row>
    <row r="20683" spans="1:9">
      <c r="A20683" s="22" t="str">
        <f>HYPERLINK("https://app.vivvix.com/360/KMI/IntelliDrive/ApplUI/Pages/CreativePages/CustomReportCreativeDetail.aspx?App=23&amp;ReportView=4&amp;Qid=1711279&amp;Row=20675&amp;Col=1","No Title Assigned - #15279439572")</f>
        <v/>
      </c>
      <c r="B20683" s="0" t="s">
        <v>27416</v>
      </c>
      <c r="E20683" s="0" t="inlineStr">
        <is>
          <t xml:space="preserve">Mazda</t>
        </is>
      </c>
      <c r="F20683" s="0" t="inlineStr">
        <is>
          <t xml:space="preserve">Mazda</t>
        </is>
      </c>
      <c r="G20683" s="0" t="s">
        <v>171</v>
      </c>
      <c r="H20683" s="5">
        <v>58.431600</v>
      </c>
    </row>
    <row r="20684" spans="1:9">
      <c r="A20684" s="22" t="str">
        <f>HYPERLINK("https://app.vivvix.com/360/KMI/IntelliDrive/ApplUI/Pages/CreativePages/CustomReportCreativeDetail.aspx?App=23&amp;ReportView=4&amp;Qid=1711279&amp;Row=20676&amp;Col=1","No Title Assigned - #15279439585")</f>
        <v/>
      </c>
      <c r="B20684" s="0" t="s">
        <v>27417</v>
      </c>
      <c r="E20684" s="0" t="inlineStr">
        <is>
          <t xml:space="preserve">Mazda</t>
        </is>
      </c>
      <c r="F20684" s="0" t="inlineStr">
        <is>
          <t xml:space="preserve">Mazda</t>
        </is>
      </c>
      <c r="G20684" s="0" t="s">
        <v>171</v>
      </c>
      <c r="H20684" s="5">
        <v>542.837700</v>
      </c>
    </row>
    <row r="20685" spans="1:9">
      <c r="A20685" s="22" t="str">
        <f>HYPERLINK("https://app.vivvix.com/360/KMI/IntelliDrive/ApplUI/Pages/CreativePages/CustomReportCreativeDetail.aspx?App=23&amp;ReportView=4&amp;Qid=1711279&amp;Row=20677&amp;Col=1","No Title Assigned - #15279439591")</f>
        <v/>
      </c>
      <c r="B20685" s="0" t="s">
        <v>27418</v>
      </c>
      <c r="E20685" s="0" t="inlineStr">
        <is>
          <t xml:space="preserve">Mazda</t>
        </is>
      </c>
      <c r="F20685" s="0" t="inlineStr">
        <is>
          <t xml:space="preserve">Mazda</t>
        </is>
      </c>
      <c r="G20685" s="0" t="s">
        <v>171</v>
      </c>
      <c r="H20685" s="5">
        <v>173.247100</v>
      </c>
    </row>
    <row r="20686" spans="1:9">
      <c r="A20686" s="22" t="str">
        <f>HYPERLINK("https://app.vivvix.com/360/KMI/IntelliDrive/ApplUI/Pages/CreativePages/CustomReportCreativeDetail.aspx?App=23&amp;ReportView=4&amp;Qid=1711279&amp;Row=20678&amp;Col=1","No Title Assigned - #15279439593")</f>
        <v/>
      </c>
      <c r="B20686" s="0" t="s">
        <v>27419</v>
      </c>
      <c r="E20686" s="0" t="inlineStr">
        <is>
          <t xml:space="preserve">Mazda</t>
        </is>
      </c>
      <c r="F20686" s="0" t="inlineStr">
        <is>
          <t xml:space="preserve">Mazda</t>
        </is>
      </c>
      <c r="G20686" s="0" t="s">
        <v>171</v>
      </c>
      <c r="H20686" s="5">
        <v>27.331400</v>
      </c>
    </row>
    <row r="20687" spans="1:9">
      <c r="A20687" s="22" t="str">
        <f>HYPERLINK("https://app.vivvix.com/360/KMI/IntelliDrive/ApplUI/Pages/CreativePages/CustomReportCreativeDetail.aspx?App=23&amp;ReportView=4&amp;Qid=1711279&amp;Row=20679&amp;Col=1","No Title Assigned - #15279439670")</f>
        <v/>
      </c>
      <c r="B20687" s="0" t="s">
        <v>27420</v>
      </c>
      <c r="C20687" s="0" t="s">
        <v>27421</v>
      </c>
      <c r="D20687" s="0" t="s">
        <v>27421</v>
      </c>
      <c r="E20687" s="0" t="inlineStr">
        <is>
          <t xml:space="preserve">Mazda</t>
        </is>
      </c>
      <c r="F20687" s="0" t="inlineStr">
        <is>
          <t xml:space="preserve">Mazda</t>
        </is>
      </c>
      <c r="G20687" s="0" t="s">
        <v>171</v>
      </c>
      <c r="H20687" s="5">
        <v>309.589200</v>
      </c>
    </row>
    <row r="20688" spans="1:9">
      <c r="A20688" s="22" t="str">
        <f>HYPERLINK("https://app.vivvix.com/360/KMI/IntelliDrive/ApplUI/Pages/CreativePages/CustomReportCreativeDetail.aspx?App=23&amp;ReportView=4&amp;Qid=1711279&amp;Row=20680&amp;Col=1","No Title Assigned - #15279439885")</f>
        <v/>
      </c>
      <c r="B20688" s="0" t="s">
        <v>27422</v>
      </c>
      <c r="E20688" s="0" t="inlineStr">
        <is>
          <t xml:space="preserve">Mazda</t>
        </is>
      </c>
      <c r="F20688" s="0" t="inlineStr">
        <is>
          <t xml:space="preserve">Mazda</t>
        </is>
      </c>
      <c r="G20688" s="0" t="s">
        <v>171</v>
      </c>
      <c r="H20688" s="5">
        <v>5.543100</v>
      </c>
    </row>
    <row r="20689" spans="1:9">
      <c r="A20689" s="22" t="str">
        <f>HYPERLINK("https://app.vivvix.com/360/KMI/IntelliDrive/ApplUI/Pages/CreativePages/CustomReportCreativeDetail.aspx?App=23&amp;ReportView=4&amp;Qid=1711279&amp;Row=20681&amp;Col=1","No Title Assigned - #15279439890")</f>
        <v/>
      </c>
      <c r="B20689" s="0" t="s">
        <v>27423</v>
      </c>
      <c r="C20689" s="0" t="s">
        <v>27424</v>
      </c>
      <c r="D20689" s="0" t="s">
        <v>27424</v>
      </c>
      <c r="E20689" s="0" t="inlineStr">
        <is>
          <t xml:space="preserve">Mazda</t>
        </is>
      </c>
      <c r="F20689" s="0" t="inlineStr">
        <is>
          <t xml:space="preserve">Mazda</t>
        </is>
      </c>
      <c r="G20689" s="0" t="s">
        <v>171</v>
      </c>
      <c r="H20689" s="5">
        <v>516.057000</v>
      </c>
    </row>
    <row r="20690" spans="1:9">
      <c r="A20690" s="22" t="str">
        <f>HYPERLINK("https://app.vivvix.com/360/KMI/IntelliDrive/ApplUI/Pages/CreativePages/CustomReportCreativeDetail.aspx?App=23&amp;ReportView=4&amp;Qid=1711279&amp;Row=20682&amp;Col=1","No Title Assigned - #15279440122")</f>
        <v/>
      </c>
      <c r="B20690" s="0" t="s">
        <v>27425</v>
      </c>
      <c r="E20690" s="0" t="inlineStr">
        <is>
          <t xml:space="preserve">Mazda</t>
        </is>
      </c>
      <c r="F20690" s="0" t="inlineStr">
        <is>
          <t xml:space="preserve">Mazda</t>
        </is>
      </c>
      <c r="G20690" s="0" t="s">
        <v>171</v>
      </c>
      <c r="H20690" s="5">
        <v>4646.640400</v>
      </c>
    </row>
    <row r="20691" spans="1:9">
      <c r="A20691" s="22" t="str">
        <f>HYPERLINK("https://app.vivvix.com/360/KMI/IntelliDrive/ApplUI/Pages/CreativePages/CustomReportCreativeDetail.aspx?App=23&amp;ReportView=4&amp;Qid=1711279&amp;Row=20683&amp;Col=1","No Title Assigned - #15279440122")</f>
        <v/>
      </c>
      <c r="B20691" s="0" t="s">
        <v>27425</v>
      </c>
      <c r="E20691" s="0" t="inlineStr">
        <is>
          <t xml:space="preserve">Mazda</t>
        </is>
      </c>
      <c r="F20691" s="0" t="inlineStr">
        <is>
          <t xml:space="preserve">Mazda</t>
        </is>
      </c>
      <c r="G20691" s="0" t="s">
        <v>171</v>
      </c>
      <c r="H20691" s="5">
        <v>29979.130000</v>
      </c>
    </row>
    <row r="20692" spans="1:9">
      <c r="A20692" s="22" t="str">
        <f>HYPERLINK("https://app.vivvix.com/360/KMI/IntelliDrive/ApplUI/Pages/CreativePages/CustomReportCreativeDetail.aspx?App=23&amp;ReportView=4&amp;Qid=1711279&amp;Row=20684&amp;Col=1","No Title Assigned - #15279440172")</f>
        <v/>
      </c>
      <c r="B20692" s="0" t="s">
        <v>27426</v>
      </c>
      <c r="E20692" s="0" t="inlineStr">
        <is>
          <t xml:space="preserve">Mazda</t>
        </is>
      </c>
      <c r="F20692" s="0" t="inlineStr">
        <is>
          <t xml:space="preserve">Mazda</t>
        </is>
      </c>
      <c r="G20692" s="0" t="s">
        <v>171</v>
      </c>
      <c r="H20692" s="5">
        <v>50.816000</v>
      </c>
    </row>
    <row r="20693" spans="1:9">
      <c r="A20693" s="22" t="str">
        <f>HYPERLINK("https://app.vivvix.com/360/KMI/IntelliDrive/ApplUI/Pages/CreativePages/CustomReportCreativeDetail.aspx?App=23&amp;ReportView=4&amp;Qid=1711279&amp;Row=20685&amp;Col=1","No Title Assigned - #15279440330")</f>
        <v/>
      </c>
      <c r="B20693" s="0" t="s">
        <v>27427</v>
      </c>
      <c r="E20693" s="0" t="inlineStr">
        <is>
          <t xml:space="preserve">Mazda</t>
        </is>
      </c>
      <c r="F20693" s="0" t="inlineStr">
        <is>
          <t xml:space="preserve">Mazda</t>
        </is>
      </c>
      <c r="G20693" s="0" t="s">
        <v>171</v>
      </c>
      <c r="H20693" s="5">
        <v>21.628700</v>
      </c>
    </row>
    <row r="20694" spans="1:9">
      <c r="A20694" s="22" t="str">
        <f>HYPERLINK("https://app.vivvix.com/360/KMI/IntelliDrive/ApplUI/Pages/CreativePages/CustomReportCreativeDetail.aspx?App=23&amp;ReportView=4&amp;Qid=1711279&amp;Row=20686&amp;Col=1","No Title Assigned - #15279440484")</f>
        <v/>
      </c>
      <c r="B20694" s="0" t="s">
        <v>27428</v>
      </c>
      <c r="E20694" s="0" t="inlineStr">
        <is>
          <t xml:space="preserve">Mazda</t>
        </is>
      </c>
      <c r="F20694" s="0" t="inlineStr">
        <is>
          <t xml:space="preserve">Mazda</t>
        </is>
      </c>
      <c r="G20694" s="0" t="s">
        <v>171</v>
      </c>
      <c r="H20694" s="5">
        <v>1.216000</v>
      </c>
    </row>
    <row r="20695" spans="1:9">
      <c r="A20695" s="22" t="str">
        <f>HYPERLINK("https://app.vivvix.com/360/KMI/IntelliDrive/ApplUI/Pages/CreativePages/CustomReportCreativeDetail.aspx?App=23&amp;ReportView=4&amp;Qid=1711279&amp;Row=20687&amp;Col=1","No Title Assigned - #15279440588")</f>
        <v/>
      </c>
      <c r="B20695" s="0" t="s">
        <v>27429</v>
      </c>
      <c r="E20695" s="0" t="inlineStr">
        <is>
          <t xml:space="preserve">Mazda</t>
        </is>
      </c>
      <c r="F20695" s="0" t="inlineStr">
        <is>
          <t xml:space="preserve">Mazda</t>
        </is>
      </c>
      <c r="G20695" s="0" t="s">
        <v>171</v>
      </c>
      <c r="H20695" s="5">
        <v>48.862600</v>
      </c>
    </row>
    <row r="20696" spans="1:9">
      <c r="A20696" s="22" t="str">
        <f>HYPERLINK("https://app.vivvix.com/360/KMI/IntelliDrive/ApplUI/Pages/CreativePages/CustomReportCreativeDetail.aspx?App=23&amp;ReportView=4&amp;Qid=1711279&amp;Row=20688&amp;Col=1","No Title Assigned - #15279441700")</f>
        <v/>
      </c>
      <c r="B20696" s="0" t="s">
        <v>27430</v>
      </c>
      <c r="E20696" s="0" t="inlineStr">
        <is>
          <t xml:space="preserve">Mazda</t>
        </is>
      </c>
      <c r="F20696" s="0" t="inlineStr">
        <is>
          <t xml:space="preserve">Mazda</t>
        </is>
      </c>
      <c r="G20696" s="0" t="s">
        <v>171</v>
      </c>
      <c r="H20696" s="5">
        <v>198.429600</v>
      </c>
    </row>
    <row r="20697" spans="1:9">
      <c r="A20697" s="22" t="str">
        <f>HYPERLINK("https://app.vivvix.com/360/KMI/IntelliDrive/ApplUI/Pages/CreativePages/CustomReportCreativeDetail.aspx?App=23&amp;ReportView=4&amp;Qid=1711279&amp;Row=20689&amp;Col=1","No Title Assigned - #15279441823")</f>
        <v/>
      </c>
      <c r="B20697" s="0" t="s">
        <v>27431</v>
      </c>
      <c r="E20697" s="0" t="inlineStr">
        <is>
          <t xml:space="preserve">Mazda</t>
        </is>
      </c>
      <c r="F20697" s="0" t="inlineStr">
        <is>
          <t xml:space="preserve">Mazda</t>
        </is>
      </c>
      <c r="G20697" s="0" t="s">
        <v>171</v>
      </c>
      <c r="H20697" s="5">
        <v>11.063100</v>
      </c>
    </row>
    <row r="20698" spans="1:9">
      <c r="A20698" s="22" t="str">
        <f>HYPERLINK("https://app.vivvix.com/360/KMI/IntelliDrive/ApplUI/Pages/CreativePages/CustomReportCreativeDetail.aspx?App=23&amp;ReportView=4&amp;Qid=1711279&amp;Row=20690&amp;Col=1","No Title Assigned - #15279442929")</f>
        <v/>
      </c>
      <c r="B20698" s="0" t="s">
        <v>27432</v>
      </c>
      <c r="C20698" s="0" t="s">
        <v>27433</v>
      </c>
      <c r="D20698" s="0" t="s">
        <v>27433</v>
      </c>
      <c r="E20698" s="0" t="inlineStr">
        <is>
          <t xml:space="preserve">Mazda</t>
        </is>
      </c>
      <c r="F20698" s="0" t="inlineStr">
        <is>
          <t xml:space="preserve">Mazda</t>
        </is>
      </c>
      <c r="G20698" s="0" t="s">
        <v>171</v>
      </c>
      <c r="H20698" s="5">
        <v>26.415800</v>
      </c>
    </row>
    <row r="20699" spans="1:9">
      <c r="A20699" s="22" t="str">
        <f>HYPERLINK("https://app.vivvix.com/360/KMI/IntelliDrive/ApplUI/Pages/CreativePages/CustomReportCreativeDetail.aspx?App=23&amp;ReportView=4&amp;Qid=1711279&amp;Row=20691&amp;Col=1","No Title Assigned - #15279443365")</f>
        <v/>
      </c>
      <c r="B20699" s="0" t="s">
        <v>27434</v>
      </c>
      <c r="E20699" s="0" t="inlineStr">
        <is>
          <t xml:space="preserve">Mazda</t>
        </is>
      </c>
      <c r="F20699" s="0" t="inlineStr">
        <is>
          <t xml:space="preserve">Mazda</t>
        </is>
      </c>
      <c r="G20699" s="0" t="s">
        <v>171</v>
      </c>
      <c r="H20699" s="5">
        <v>7136.033300</v>
      </c>
    </row>
    <row r="20700" spans="1:9">
      <c r="A20700" s="22" t="str">
        <f>HYPERLINK("https://app.vivvix.com/360/KMI/IntelliDrive/ApplUI/Pages/CreativePages/CustomReportCreativeDetail.aspx?App=23&amp;ReportView=4&amp;Qid=1711279&amp;Row=20692&amp;Col=1","No Title Assigned - #15279443431")</f>
        <v/>
      </c>
      <c r="B20700" s="0" t="s">
        <v>27435</v>
      </c>
      <c r="E20700" s="0" t="inlineStr">
        <is>
          <t xml:space="preserve">Mazda</t>
        </is>
      </c>
      <c r="F20700" s="0" t="inlineStr">
        <is>
          <t xml:space="preserve">Mazda</t>
        </is>
      </c>
      <c r="G20700" s="0" t="s">
        <v>171</v>
      </c>
      <c r="H20700" s="5">
        <v>13987.191600</v>
      </c>
    </row>
    <row r="20701" spans="1:9">
      <c r="A20701" s="22" t="str">
        <f>HYPERLINK("https://app.vivvix.com/360/KMI/IntelliDrive/ApplUI/Pages/CreativePages/CustomReportCreativeDetail.aspx?App=23&amp;ReportView=4&amp;Qid=1711279&amp;Row=20693&amp;Col=1","No Title Assigned - #15279443564")</f>
        <v/>
      </c>
      <c r="B20701" s="0" t="s">
        <v>27436</v>
      </c>
      <c r="E20701" s="0" t="inlineStr">
        <is>
          <t xml:space="preserve">Mazda</t>
        </is>
      </c>
      <c r="F20701" s="0" t="inlineStr">
        <is>
          <t xml:space="preserve">Mazda</t>
        </is>
      </c>
      <c r="G20701" s="0" t="s">
        <v>171</v>
      </c>
      <c r="H20701" s="5">
        <v>50.816000</v>
      </c>
    </row>
    <row r="20702" spans="1:9">
      <c r="A20702" s="22" t="str">
        <f>HYPERLINK("https://app.vivvix.com/360/KMI/IntelliDrive/ApplUI/Pages/CreativePages/CustomReportCreativeDetail.aspx?App=23&amp;ReportView=4&amp;Qid=1711279&amp;Row=20694&amp;Col=1","No Title Assigned - #15279444068")</f>
        <v/>
      </c>
      <c r="B20702" s="0" t="s">
        <v>27437</v>
      </c>
      <c r="C20702" s="0" t="s">
        <v>27438</v>
      </c>
      <c r="D20702" s="0" t="s">
        <v>27438</v>
      </c>
      <c r="E20702" s="0" t="inlineStr">
        <is>
          <t xml:space="preserve">Mazda</t>
        </is>
      </c>
      <c r="F20702" s="0" t="inlineStr">
        <is>
          <t xml:space="preserve">Mazda</t>
        </is>
      </c>
      <c r="G20702" s="0" t="s">
        <v>171</v>
      </c>
      <c r="H20702" s="5">
        <v>425.889700</v>
      </c>
    </row>
    <row r="20703" spans="1:9">
      <c r="A20703" s="22" t="str">
        <f>HYPERLINK("https://app.vivvix.com/360/KMI/IntelliDrive/ApplUI/Pages/CreativePages/CustomReportCreativeDetail.aspx?App=23&amp;ReportView=4&amp;Qid=1711279&amp;Row=20695&amp;Col=1","No Title Assigned - #15279444318")</f>
        <v/>
      </c>
      <c r="B20703" s="0" t="s">
        <v>27439</v>
      </c>
      <c r="E20703" s="0" t="inlineStr">
        <is>
          <t xml:space="preserve">Mazda</t>
        </is>
      </c>
      <c r="F20703" s="0" t="inlineStr">
        <is>
          <t xml:space="preserve">Mazda</t>
        </is>
      </c>
      <c r="G20703" s="0" t="s">
        <v>171</v>
      </c>
      <c r="H20703" s="5">
        <v>88.199100</v>
      </c>
    </row>
    <row r="20704" spans="1:9">
      <c r="A20704" s="22" t="str">
        <f>HYPERLINK("https://app.vivvix.com/360/KMI/IntelliDrive/ApplUI/Pages/CreativePages/CustomReportCreativeDetail.aspx?App=23&amp;ReportView=4&amp;Qid=1711279&amp;Row=20696&amp;Col=1","No Title Assigned - #15279444615")</f>
        <v/>
      </c>
      <c r="B20704" s="0" t="s">
        <v>27440</v>
      </c>
      <c r="E20704" s="0" t="inlineStr">
        <is>
          <t xml:space="preserve">Mazda</t>
        </is>
      </c>
      <c r="F20704" s="0" t="inlineStr">
        <is>
          <t xml:space="preserve">Mazda</t>
        </is>
      </c>
      <c r="G20704" s="0" t="s">
        <v>171</v>
      </c>
      <c r="H20704" s="5">
        <v>613.927200</v>
      </c>
    </row>
    <row r="20705" spans="1:9">
      <c r="A20705" s="22" t="str">
        <f>HYPERLINK("https://app.vivvix.com/360/KMI/IntelliDrive/ApplUI/Pages/CreativePages/CustomReportCreativeDetail.aspx?App=23&amp;ReportView=4&amp;Qid=1711279&amp;Row=20697&amp;Col=1","No Title Assigned - #15279444637")</f>
        <v/>
      </c>
      <c r="B20705" s="0" t="s">
        <v>27441</v>
      </c>
      <c r="E20705" s="0" t="inlineStr">
        <is>
          <t xml:space="preserve">Mazda</t>
        </is>
      </c>
      <c r="F20705" s="0" t="inlineStr">
        <is>
          <t xml:space="preserve">Mazda</t>
        </is>
      </c>
      <c r="G20705" s="0" t="s">
        <v>171</v>
      </c>
      <c r="H20705" s="5">
        <v>214.360300</v>
      </c>
    </row>
    <row r="20706" spans="1:9">
      <c r="A20706" s="22" t="str">
        <f>HYPERLINK("https://app.vivvix.com/360/KMI/IntelliDrive/ApplUI/Pages/CreativePages/CustomReportCreativeDetail.aspx?App=23&amp;ReportView=4&amp;Qid=1711279&amp;Row=20698&amp;Col=1","No Title Assigned - #15279445374")</f>
        <v/>
      </c>
      <c r="B20706" s="0" t="s">
        <v>27442</v>
      </c>
      <c r="E20706" s="0" t="inlineStr">
        <is>
          <t xml:space="preserve">Mazda</t>
        </is>
      </c>
      <c r="F20706" s="0" t="inlineStr">
        <is>
          <t xml:space="preserve">Mazda</t>
        </is>
      </c>
      <c r="G20706" s="0" t="s">
        <v>171</v>
      </c>
      <c r="H20706" s="5">
        <v>500.271300</v>
      </c>
    </row>
    <row r="20707" spans="1:9">
      <c r="A20707" s="22" t="str">
        <f>HYPERLINK("https://app.vivvix.com/360/KMI/IntelliDrive/ApplUI/Pages/CreativePages/CustomReportCreativeDetail.aspx?App=23&amp;ReportView=4&amp;Qid=1711279&amp;Row=20699&amp;Col=1","No Title Assigned - #15279445554")</f>
        <v/>
      </c>
      <c r="B20707" s="0" t="s">
        <v>27443</v>
      </c>
      <c r="E20707" s="0" t="inlineStr">
        <is>
          <t xml:space="preserve">Mazda</t>
        </is>
      </c>
      <c r="F20707" s="0" t="inlineStr">
        <is>
          <t xml:space="preserve">Mazda</t>
        </is>
      </c>
      <c r="G20707" s="0" t="s">
        <v>171</v>
      </c>
      <c r="H20707" s="5">
        <v>428.668200</v>
      </c>
    </row>
    <row r="20708" spans="1:9">
      <c r="A20708" s="22" t="str">
        <f>HYPERLINK("https://app.vivvix.com/360/KMI/IntelliDrive/ApplUI/Pages/CreativePages/CustomReportCreativeDetail.aspx?App=23&amp;ReportView=4&amp;Qid=1711279&amp;Row=20700&amp;Col=1","No Title Assigned - #15279445591")</f>
        <v/>
      </c>
      <c r="B20708" s="0" t="s">
        <v>27444</v>
      </c>
      <c r="E20708" s="0" t="inlineStr">
        <is>
          <t xml:space="preserve">Mazda</t>
        </is>
      </c>
      <c r="F20708" s="0" t="inlineStr">
        <is>
          <t xml:space="preserve">Mazda</t>
        </is>
      </c>
      <c r="G20708" s="0" t="s">
        <v>171</v>
      </c>
      <c r="H20708" s="5">
        <v>853.038800</v>
      </c>
    </row>
    <row r="20709" spans="1:9">
      <c r="A20709" s="22" t="str">
        <f>HYPERLINK("https://app.vivvix.com/360/KMI/IntelliDrive/ApplUI/Pages/CreativePages/CustomReportCreativeDetail.aspx?App=23&amp;ReportView=4&amp;Qid=1711279&amp;Row=20701&amp;Col=1","No Title Assigned - #15279449633")</f>
        <v/>
      </c>
      <c r="B20709" s="0" t="s">
        <v>27445</v>
      </c>
      <c r="E20709" s="0" t="inlineStr">
        <is>
          <t xml:space="preserve">Mazda</t>
        </is>
      </c>
      <c r="F20709" s="0" t="inlineStr">
        <is>
          <t xml:space="preserve">Mazda</t>
        </is>
      </c>
      <c r="G20709" s="0" t="s">
        <v>171</v>
      </c>
      <c r="H20709" s="5">
        <v>156.586600</v>
      </c>
    </row>
    <row r="20710" spans="1:9">
      <c r="A20710" s="22" t="str">
        <f>HYPERLINK("https://app.vivvix.com/360/KMI/IntelliDrive/ApplUI/Pages/CreativePages/CustomReportCreativeDetail.aspx?App=23&amp;ReportView=4&amp;Qid=1711279&amp;Row=20702&amp;Col=1","No Title Assigned - #15279449676")</f>
        <v/>
      </c>
      <c r="B20710" s="0" t="s">
        <v>27446</v>
      </c>
      <c r="E20710" s="0" t="inlineStr">
        <is>
          <t xml:space="preserve">Mazda</t>
        </is>
      </c>
      <c r="F20710" s="0" t="inlineStr">
        <is>
          <t xml:space="preserve">Mazda</t>
        </is>
      </c>
      <c r="G20710" s="0" t="s">
        <v>171</v>
      </c>
      <c r="H20710" s="5">
        <v>268.353300</v>
      </c>
    </row>
    <row r="20711" spans="1:9">
      <c r="A20711" s="22" t="str">
        <f>HYPERLINK("https://app.vivvix.com/360/KMI/IntelliDrive/ApplUI/Pages/CreativePages/CustomReportCreativeDetail.aspx?App=23&amp;ReportView=4&amp;Qid=1711279&amp;Row=20703&amp;Col=1","No Title Assigned - #15279450091")</f>
        <v/>
      </c>
      <c r="B20711" s="0" t="s">
        <v>27447</v>
      </c>
      <c r="E20711" s="0" t="inlineStr">
        <is>
          <t xml:space="preserve">Mazda</t>
        </is>
      </c>
      <c r="F20711" s="0" t="inlineStr">
        <is>
          <t xml:space="preserve">Mazda</t>
        </is>
      </c>
      <c r="G20711" s="0" t="s">
        <v>171</v>
      </c>
      <c r="H20711" s="5">
        <v>102.786900</v>
      </c>
    </row>
    <row r="20712" spans="1:9">
      <c r="A20712" s="22" t="str">
        <f>HYPERLINK("https://app.vivvix.com/360/KMI/IntelliDrive/ApplUI/Pages/CreativePages/CustomReportCreativeDetail.aspx?App=23&amp;ReportView=4&amp;Qid=1711279&amp;Row=20704&amp;Col=1","No Title Assigned - #15279450241")</f>
        <v/>
      </c>
      <c r="B20712" s="0" t="s">
        <v>27448</v>
      </c>
      <c r="E20712" s="0" t="inlineStr">
        <is>
          <t xml:space="preserve">Mazda</t>
        </is>
      </c>
      <c r="F20712" s="0" t="inlineStr">
        <is>
          <t xml:space="preserve">Mazda</t>
        </is>
      </c>
      <c r="G20712" s="0" t="s">
        <v>171</v>
      </c>
      <c r="H20712" s="5">
        <v>247.635200</v>
      </c>
    </row>
    <row r="20713" spans="1:9">
      <c r="A20713" s="22" t="str">
        <f>HYPERLINK("https://app.vivvix.com/360/KMI/IntelliDrive/ApplUI/Pages/CreativePages/CustomReportCreativeDetail.aspx?App=23&amp;ReportView=4&amp;Qid=1711279&amp;Row=20705&amp;Col=1","No Title Assigned - #15279450777")</f>
        <v/>
      </c>
      <c r="B20713" s="0" t="s">
        <v>27449</v>
      </c>
      <c r="E20713" s="0" t="inlineStr">
        <is>
          <t xml:space="preserve">Mazda</t>
        </is>
      </c>
      <c r="F20713" s="0" t="inlineStr">
        <is>
          <t xml:space="preserve">Mazda</t>
        </is>
      </c>
      <c r="G20713" s="0" t="s">
        <v>171</v>
      </c>
      <c r="H20713" s="5">
        <v>10.234400</v>
      </c>
    </row>
    <row r="20714" spans="1:9">
      <c r="A20714" s="22" t="str">
        <f>HYPERLINK("https://app.vivvix.com/360/KMI/IntelliDrive/ApplUI/Pages/CreativePages/CustomReportCreativeDetail.aspx?App=23&amp;ReportView=4&amp;Qid=1711279&amp;Row=20706&amp;Col=1","No Title Assigned - #15279451691")</f>
        <v/>
      </c>
      <c r="B20714" s="0" t="s">
        <v>27450</v>
      </c>
      <c r="E20714" s="0" t="inlineStr">
        <is>
          <t xml:space="preserve">Mazda</t>
        </is>
      </c>
      <c r="F20714" s="0" t="inlineStr">
        <is>
          <t xml:space="preserve">Mazda</t>
        </is>
      </c>
      <c r="G20714" s="0" t="s">
        <v>171</v>
      </c>
      <c r="H20714" s="5">
        <v>273.643900</v>
      </c>
    </row>
    <row r="20715" spans="1:9">
      <c r="A20715" s="22" t="str">
        <f>HYPERLINK("https://app.vivvix.com/360/KMI/IntelliDrive/ApplUI/Pages/CreativePages/CustomReportCreativeDetail.aspx?App=23&amp;ReportView=4&amp;Qid=1711279&amp;Row=20707&amp;Col=1","No Title Assigned - #15279457979")</f>
        <v/>
      </c>
      <c r="B20715" s="0" t="s">
        <v>27451</v>
      </c>
      <c r="E20715" s="0" t="inlineStr">
        <is>
          <t xml:space="preserve">Mazda</t>
        </is>
      </c>
      <c r="F20715" s="0" t="inlineStr">
        <is>
          <t xml:space="preserve">Mazda</t>
        </is>
      </c>
      <c r="G20715" s="0" t="s">
        <v>171</v>
      </c>
      <c r="H20715" s="5">
        <v>3.407800</v>
      </c>
    </row>
    <row r="20716" spans="1:9">
      <c r="A20716" s="22" t="str">
        <f>HYPERLINK("https://app.vivvix.com/360/KMI/IntelliDrive/ApplUI/Pages/CreativePages/CustomReportCreativeDetail.aspx?App=23&amp;ReportView=4&amp;Qid=1711279&amp;Row=20708&amp;Col=1","No Title Assigned - #15279458159")</f>
        <v/>
      </c>
      <c r="B20716" s="0" t="s">
        <v>27452</v>
      </c>
      <c r="E20716" s="0" t="inlineStr">
        <is>
          <t xml:space="preserve">Mazda</t>
        </is>
      </c>
      <c r="F20716" s="0" t="inlineStr">
        <is>
          <t xml:space="preserve">Mazda</t>
        </is>
      </c>
      <c r="G20716" s="0" t="s">
        <v>171</v>
      </c>
      <c r="H20716" s="5">
        <v>91.338100</v>
      </c>
    </row>
    <row r="20717" spans="1:9">
      <c r="A20717" s="22" t="str">
        <f>HYPERLINK("https://app.vivvix.com/360/KMI/IntelliDrive/ApplUI/Pages/CreativePages/CustomReportCreativeDetail.aspx?App=23&amp;ReportView=4&amp;Qid=1711279&amp;Row=20709&amp;Col=1","No Title Assigned - #15279458245")</f>
        <v/>
      </c>
      <c r="B20717" s="0" t="s">
        <v>27453</v>
      </c>
      <c r="E20717" s="0" t="inlineStr">
        <is>
          <t xml:space="preserve">Mazda</t>
        </is>
      </c>
      <c r="F20717" s="0" t="inlineStr">
        <is>
          <t xml:space="preserve">Mazda</t>
        </is>
      </c>
      <c r="G20717" s="0" t="s">
        <v>171</v>
      </c>
      <c r="H20717" s="5">
        <v>42.193200</v>
      </c>
    </row>
    <row r="20718" spans="1:9">
      <c r="A20718" s="22" t="str">
        <f>HYPERLINK("https://app.vivvix.com/360/KMI/IntelliDrive/ApplUI/Pages/CreativePages/CustomReportCreativeDetail.aspx?App=23&amp;ReportView=4&amp;Qid=1711279&amp;Row=20710&amp;Col=1","No Title Assigned - #15279458618")</f>
        <v/>
      </c>
      <c r="B20718" s="0" t="s">
        <v>27454</v>
      </c>
      <c r="E20718" s="0" t="inlineStr">
        <is>
          <t xml:space="preserve">Mazda</t>
        </is>
      </c>
      <c r="F20718" s="0" t="inlineStr">
        <is>
          <t xml:space="preserve">Mazda</t>
        </is>
      </c>
      <c r="G20718" s="0" t="s">
        <v>171</v>
      </c>
      <c r="H20718" s="5">
        <v>147.990000</v>
      </c>
    </row>
    <row r="20719" spans="1:9">
      <c r="A20719" s="22" t="str">
        <f>HYPERLINK("https://app.vivvix.com/360/KMI/IntelliDrive/ApplUI/Pages/CreativePages/CustomReportCreativeDetail.aspx?App=23&amp;ReportView=4&amp;Qid=1711279&amp;Row=20711&amp;Col=1","No Title Assigned - #15279458618")</f>
        <v/>
      </c>
      <c r="B20719" s="0" t="s">
        <v>27454</v>
      </c>
      <c r="E20719" s="0" t="inlineStr">
        <is>
          <t xml:space="preserve">Mazda</t>
        </is>
      </c>
      <c r="F20719" s="0" t="inlineStr">
        <is>
          <t xml:space="preserve">Mazda</t>
        </is>
      </c>
      <c r="G20719" s="0" t="s">
        <v>171</v>
      </c>
      <c r="H20719" s="5">
        <v>86.080600</v>
      </c>
    </row>
    <row r="20720" spans="1:9">
      <c r="A20720" s="22" t="str">
        <f>HYPERLINK("https://app.vivvix.com/360/KMI/IntelliDrive/ApplUI/Pages/CreativePages/CustomReportCreativeDetail.aspx?App=23&amp;ReportView=4&amp;Qid=1711279&amp;Row=20712&amp;Col=1","No Title Assigned - #15279464292")</f>
        <v/>
      </c>
      <c r="B20720" s="0" t="s">
        <v>27455</v>
      </c>
      <c r="E20720" s="0" t="inlineStr">
        <is>
          <t xml:space="preserve">Mazda</t>
        </is>
      </c>
      <c r="F20720" s="0" t="s">
        <v>13</v>
      </c>
      <c r="G20720" s="0" t="s">
        <v>49</v>
      </c>
      <c r="H20720" s="5">
        <v>1912.724500</v>
      </c>
    </row>
    <row r="20721" spans="1:9">
      <c r="A20721" s="22" t="str">
        <f>HYPERLINK("https://app.vivvix.com/360/KMI/IntelliDrive/ApplUI/Pages/CreativePages/CustomReportCreativeDetail.aspx?App=23&amp;ReportView=4&amp;Qid=1711279&amp;Row=20713&amp;Col=1","No Title Assigned - #15279464626")</f>
        <v/>
      </c>
      <c r="B20721" s="0" t="s">
        <v>27456</v>
      </c>
      <c r="E20721" s="0" t="inlineStr">
        <is>
          <t xml:space="preserve">Mazda</t>
        </is>
      </c>
      <c r="F20721" s="0" t="s">
        <v>13</v>
      </c>
      <c r="G20721" s="0" t="s">
        <v>49</v>
      </c>
      <c r="H20721" s="5">
        <v>169.769700</v>
      </c>
    </row>
    <row r="20722" spans="1:9">
      <c r="A20722" s="22" t="str">
        <f>HYPERLINK("https://app.vivvix.com/360/KMI/IntelliDrive/ApplUI/Pages/CreativePages/CustomReportCreativeDetail.aspx?App=23&amp;ReportView=4&amp;Qid=1711279&amp;Row=20714&amp;Col=1","No Title Assigned - #15279467477")</f>
        <v/>
      </c>
      <c r="B20722" s="0" t="s">
        <v>27457</v>
      </c>
      <c r="C20722" s="0" t="s">
        <v>27458</v>
      </c>
      <c r="D20722" s="0" t="s">
        <v>27458</v>
      </c>
      <c r="E20722" s="0" t="inlineStr">
        <is>
          <t xml:space="preserve">Mazda</t>
        </is>
      </c>
      <c r="F20722" s="0" t="s">
        <v>13</v>
      </c>
      <c r="G20722" s="0" t="s">
        <v>49</v>
      </c>
      <c r="H20722" s="5">
        <v>294.405900</v>
      </c>
    </row>
    <row r="20723" spans="1:9">
      <c r="A20723" s="22" t="str">
        <f>HYPERLINK("https://app.vivvix.com/360/KMI/IntelliDrive/ApplUI/Pages/CreativePages/CustomReportCreativeDetail.aspx?App=23&amp;ReportView=4&amp;Qid=1711279&amp;Row=20715&amp;Col=1","No Title Assigned - #15279467573")</f>
        <v/>
      </c>
      <c r="B20723" s="0" t="s">
        <v>27459</v>
      </c>
      <c r="C20723" s="0" t="s">
        <v>27460</v>
      </c>
      <c r="D20723" s="0" t="s">
        <v>4774</v>
      </c>
      <c r="E20723" s="0" t="inlineStr">
        <is>
          <t xml:space="preserve">Mazda</t>
        </is>
      </c>
      <c r="F20723" s="0" t="s">
        <v>13</v>
      </c>
      <c r="G20723" s="0" t="s">
        <v>49</v>
      </c>
      <c r="H20723" s="5">
        <v>533.333900</v>
      </c>
    </row>
    <row r="20724" spans="1:9">
      <c r="A20724" s="22" t="str">
        <f>HYPERLINK("https://app.vivvix.com/360/KMI/IntelliDrive/ApplUI/Pages/CreativePages/CustomReportCreativeDetail.aspx?App=23&amp;ReportView=4&amp;Qid=1711279&amp;Row=20716&amp;Col=1","No Title Assigned - #15279468703")</f>
        <v/>
      </c>
      <c r="B20724" s="0" t="s">
        <v>27461</v>
      </c>
      <c r="E20724" s="0" t="inlineStr">
        <is>
          <t xml:space="preserve">Mazda</t>
        </is>
      </c>
      <c r="F20724" s="0" t="s">
        <v>13</v>
      </c>
      <c r="G20724" s="0" t="s">
        <v>49</v>
      </c>
      <c r="H20724" s="5">
        <v>495.738800</v>
      </c>
    </row>
    <row r="20725" spans="1:9">
      <c r="A20725" s="22" t="str">
        <f>HYPERLINK("https://app.vivvix.com/360/KMI/IntelliDrive/ApplUI/Pages/CreativePages/CustomReportCreativeDetail.aspx?App=23&amp;ReportView=4&amp;Qid=1711279&amp;Row=20717&amp;Col=1","No Title Assigned - #15279470555")</f>
        <v/>
      </c>
      <c r="B20725" s="0" t="s">
        <v>27462</v>
      </c>
      <c r="E20725" s="0" t="inlineStr">
        <is>
          <t xml:space="preserve">Mazda</t>
        </is>
      </c>
      <c r="F20725" s="0" t="s">
        <v>13</v>
      </c>
      <c r="G20725" s="0" t="s">
        <v>49</v>
      </c>
      <c r="H20725" s="5">
        <v>1200.174600</v>
      </c>
    </row>
    <row r="20726" spans="1:9">
      <c r="A20726" s="22" t="str">
        <f>HYPERLINK("https://app.vivvix.com/360/KMI/IntelliDrive/ApplUI/Pages/CreativePages/CustomReportCreativeDetail.aspx?App=23&amp;ReportView=4&amp;Qid=1711279&amp;Row=20718&amp;Col=1","No Title Assigned - #15279470945")</f>
        <v/>
      </c>
      <c r="B20726" s="0" t="s">
        <v>27463</v>
      </c>
      <c r="E20726" s="0" t="inlineStr">
        <is>
          <t xml:space="preserve">Mazda</t>
        </is>
      </c>
      <c r="F20726" s="0" t="s">
        <v>13</v>
      </c>
      <c r="G20726" s="0" t="s">
        <v>49</v>
      </c>
      <c r="H20726" s="5">
        <v>180.142400</v>
      </c>
    </row>
    <row r="20727" spans="1:9">
      <c r="A20727" s="22" t="str">
        <f>HYPERLINK("https://app.vivvix.com/360/KMI/IntelliDrive/ApplUI/Pages/CreativePages/CustomReportCreativeDetail.aspx?App=23&amp;ReportView=4&amp;Qid=1711279&amp;Row=20719&amp;Col=1","No Title Assigned - #15279471068")</f>
        <v/>
      </c>
      <c r="B20727" s="0" t="s">
        <v>27464</v>
      </c>
      <c r="E20727" s="0" t="inlineStr">
        <is>
          <t xml:space="preserve">Mazda</t>
        </is>
      </c>
      <c r="F20727" s="0" t="s">
        <v>13</v>
      </c>
      <c r="G20727" s="0" t="s">
        <v>49</v>
      </c>
      <c r="H20727" s="5">
        <v>59.628400</v>
      </c>
    </row>
    <row r="20728" spans="1:9">
      <c r="A20728" s="22" t="str">
        <f>HYPERLINK("https://app.vivvix.com/360/KMI/IntelliDrive/ApplUI/Pages/CreativePages/CustomReportCreativeDetail.aspx?App=23&amp;ReportView=4&amp;Qid=1711279&amp;Row=20720&amp;Col=1","No Title Assigned - #15279471414")</f>
        <v/>
      </c>
      <c r="B20728" s="0" t="s">
        <v>27465</v>
      </c>
      <c r="E20728" s="0" t="inlineStr">
        <is>
          <t xml:space="preserve">Mazda</t>
        </is>
      </c>
      <c r="F20728" s="0" t="s">
        <v>13</v>
      </c>
      <c r="G20728" s="0" t="s">
        <v>49</v>
      </c>
      <c r="H20728" s="5">
        <v>85.273400</v>
      </c>
    </row>
    <row r="20729" spans="1:9">
      <c r="A20729" s="22" t="str">
        <f>HYPERLINK("https://app.vivvix.com/360/KMI/IntelliDrive/ApplUI/Pages/CreativePages/CustomReportCreativeDetail.aspx?App=23&amp;ReportView=4&amp;Qid=1711279&amp;Row=20721&amp;Col=1","No Title Assigned - #15279471457")</f>
        <v/>
      </c>
      <c r="B20729" s="0" t="s">
        <v>27466</v>
      </c>
      <c r="E20729" s="0" t="inlineStr">
        <is>
          <t xml:space="preserve">Mazda</t>
        </is>
      </c>
      <c r="F20729" s="0" t="s">
        <v>13</v>
      </c>
      <c r="G20729" s="0" t="s">
        <v>49</v>
      </c>
      <c r="H20729" s="5">
        <v>124.340000</v>
      </c>
    </row>
    <row r="20730" spans="1:9">
      <c r="A20730" s="22" t="str">
        <f>HYPERLINK("https://app.vivvix.com/360/KMI/IntelliDrive/ApplUI/Pages/CreativePages/CustomReportCreativeDetail.aspx?App=23&amp;ReportView=4&amp;Qid=1711279&amp;Row=20722&amp;Col=1","No Title Assigned - #15279471464")</f>
        <v/>
      </c>
      <c r="B20730" s="0" t="s">
        <v>27467</v>
      </c>
      <c r="E20730" s="0" t="inlineStr">
        <is>
          <t xml:space="preserve">Mazda</t>
        </is>
      </c>
      <c r="F20730" s="0" t="s">
        <v>13</v>
      </c>
      <c r="G20730" s="0" t="s">
        <v>49</v>
      </c>
      <c r="H20730" s="5">
        <v>29028.878300</v>
      </c>
    </row>
    <row r="20731" spans="1:9">
      <c r="A20731" s="22" t="str">
        <f>HYPERLINK("https://app.vivvix.com/360/KMI/IntelliDrive/ApplUI/Pages/CreativePages/CustomReportCreativeDetail.aspx?App=23&amp;ReportView=4&amp;Qid=1711279&amp;Row=20723&amp;Col=1","No Title Assigned - #15279471806")</f>
        <v/>
      </c>
      <c r="B20731" s="0" t="s">
        <v>27468</v>
      </c>
      <c r="E20731" s="0" t="inlineStr">
        <is>
          <t xml:space="preserve">Mazda</t>
        </is>
      </c>
      <c r="F20731" s="0" t="s">
        <v>13</v>
      </c>
      <c r="G20731" s="0" t="s">
        <v>49</v>
      </c>
      <c r="H20731" s="5">
        <v>80.622300</v>
      </c>
    </row>
    <row r="20732" spans="1:9">
      <c r="A20732" s="22" t="str">
        <f>HYPERLINK("https://app.vivvix.com/360/KMI/IntelliDrive/ApplUI/Pages/CreativePages/CustomReportCreativeDetail.aspx?App=23&amp;ReportView=4&amp;Qid=1711279&amp;Row=20724&amp;Col=1","No Title Assigned - #15279472283")</f>
        <v/>
      </c>
      <c r="B20732" s="0" t="s">
        <v>27469</v>
      </c>
      <c r="E20732" s="0" t="inlineStr">
        <is>
          <t xml:space="preserve">Mazda</t>
        </is>
      </c>
      <c r="F20732" s="0" t="s">
        <v>13</v>
      </c>
      <c r="G20732" s="0" t="s">
        <v>49</v>
      </c>
      <c r="H20732" s="5">
        <v>8.209200</v>
      </c>
    </row>
    <row r="20733" spans="1:9">
      <c r="A20733" s="22" t="str">
        <f>HYPERLINK("https://app.vivvix.com/360/KMI/IntelliDrive/ApplUI/Pages/CreativePages/CustomReportCreativeDetail.aspx?App=23&amp;ReportView=4&amp;Qid=1711279&amp;Row=20725&amp;Col=1","No Title Assigned - #15279473285")</f>
        <v/>
      </c>
      <c r="B20733" s="0" t="s">
        <v>27470</v>
      </c>
      <c r="E20733" s="0" t="inlineStr">
        <is>
          <t xml:space="preserve">Mazda</t>
        </is>
      </c>
      <c r="F20733" s="0" t="inlineStr">
        <is>
          <t xml:space="preserve">Mazda</t>
        </is>
      </c>
      <c r="G20733" s="0" t="s">
        <v>210</v>
      </c>
      <c r="H20733" s="5">
        <v>85554.785500</v>
      </c>
    </row>
    <row r="20734" spans="1:9">
      <c r="A20734" s="22" t="str">
        <f>HYPERLINK("https://app.vivvix.com/360/KMI/IntelliDrive/ApplUI/Pages/CreativePages/CustomReportCreativeDetail.aspx?App=23&amp;ReportView=4&amp;Qid=1711279&amp;Row=20726&amp;Col=1","No Title Assigned - #15279474282")</f>
        <v/>
      </c>
      <c r="B20734" s="0" t="s">
        <v>27471</v>
      </c>
      <c r="E20734" s="0" t="inlineStr">
        <is>
          <t xml:space="preserve">Mazda</t>
        </is>
      </c>
      <c r="F20734" s="0" t="s">
        <v>13</v>
      </c>
      <c r="G20734" s="0" t="s">
        <v>49</v>
      </c>
      <c r="H20734" s="5">
        <v>797.627300</v>
      </c>
    </row>
    <row r="20735" spans="1:9">
      <c r="A20735" s="22" t="str">
        <f>HYPERLINK("https://app.vivvix.com/360/KMI/IntelliDrive/ApplUI/Pages/CreativePages/CustomReportCreativeDetail.aspx?App=23&amp;ReportView=4&amp;Qid=1711279&amp;Row=20727&amp;Col=1","No Title Assigned - #15279475547")</f>
        <v/>
      </c>
      <c r="B20735" s="0" t="s">
        <v>27472</v>
      </c>
      <c r="E20735" s="0" t="inlineStr">
        <is>
          <t xml:space="preserve">Mazda</t>
        </is>
      </c>
      <c r="F20735" s="0" t="s">
        <v>13</v>
      </c>
      <c r="G20735" s="0" t="s">
        <v>49</v>
      </c>
      <c r="H20735" s="5">
        <v>8.209200</v>
      </c>
    </row>
    <row r="20736" spans="1:9">
      <c r="A20736" s="22" t="str">
        <f>HYPERLINK("https://app.vivvix.com/360/KMI/IntelliDrive/ApplUI/Pages/CreativePages/CustomReportCreativeDetail.aspx?App=23&amp;ReportView=4&amp;Qid=1711279&amp;Row=20728&amp;Col=1","No Title Assigned - #15279477377")</f>
        <v/>
      </c>
      <c r="B20736" s="0" t="s">
        <v>27473</v>
      </c>
      <c r="C20736" s="0" t="s">
        <v>27474</v>
      </c>
      <c r="D20736" s="0" t="s">
        <v>4335</v>
      </c>
      <c r="E20736" s="0" t="inlineStr">
        <is>
          <t xml:space="preserve">Mazda</t>
        </is>
      </c>
      <c r="F20736" s="0" t="s">
        <v>13</v>
      </c>
      <c r="G20736" s="0" t="s">
        <v>49</v>
      </c>
      <c r="H20736" s="5">
        <v>239.051600</v>
      </c>
    </row>
    <row r="20737" spans="1:9">
      <c r="A20737" s="22" t="str">
        <f>HYPERLINK("https://app.vivvix.com/360/KMI/IntelliDrive/ApplUI/Pages/CreativePages/CustomReportCreativeDetail.aspx?App=23&amp;ReportView=4&amp;Qid=1711279&amp;Row=20729&amp;Col=1","No Title Assigned - #15279478798")</f>
        <v/>
      </c>
      <c r="B20737" s="0" t="s">
        <v>27475</v>
      </c>
      <c r="E20737" s="0" t="inlineStr">
        <is>
          <t xml:space="preserve">Mazda</t>
        </is>
      </c>
      <c r="F20737" s="0" t="s">
        <v>13</v>
      </c>
      <c r="G20737" s="0" t="s">
        <v>49</v>
      </c>
      <c r="H20737" s="5">
        <v>855.981000</v>
      </c>
    </row>
    <row r="20738" spans="1:9">
      <c r="A20738" s="22" t="str">
        <f>HYPERLINK("https://app.vivvix.com/360/KMI/IntelliDrive/ApplUI/Pages/CreativePages/CustomReportCreativeDetail.aspx?App=23&amp;ReportView=4&amp;Qid=1711279&amp;Row=20730&amp;Col=1","No Title Assigned - #15279479857")</f>
        <v/>
      </c>
      <c r="B20738" s="0" t="s">
        <v>27476</v>
      </c>
      <c r="C20738" s="0" t="s">
        <v>27477</v>
      </c>
      <c r="D20738" s="0" t="s">
        <v>9699</v>
      </c>
      <c r="E20738" s="0" t="inlineStr">
        <is>
          <t xml:space="preserve">Mazda</t>
        </is>
      </c>
      <c r="F20738" s="0" t="s">
        <v>13</v>
      </c>
      <c r="G20738" s="0" t="s">
        <v>49</v>
      </c>
      <c r="H20738" s="5">
        <v>300.117400</v>
      </c>
    </row>
    <row r="20739" spans="1:9">
      <c r="A20739" s="22" t="str">
        <f>HYPERLINK("https://app.vivvix.com/360/KMI/IntelliDrive/ApplUI/Pages/CreativePages/CustomReportCreativeDetail.aspx?App=23&amp;ReportView=4&amp;Qid=1711279&amp;Row=20731&amp;Col=1","No Title Assigned - #15279480024")</f>
        <v/>
      </c>
      <c r="B20739" s="0" t="s">
        <v>27478</v>
      </c>
      <c r="C20739" s="0" t="s">
        <v>27479</v>
      </c>
      <c r="D20739" s="0" t="s">
        <v>9167</v>
      </c>
      <c r="E20739" s="0" t="inlineStr">
        <is>
          <t xml:space="preserve">Mazda</t>
        </is>
      </c>
      <c r="F20739" s="0" t="s">
        <v>13</v>
      </c>
      <c r="G20739" s="0" t="s">
        <v>49</v>
      </c>
      <c r="H20739" s="5">
        <v>825.905200</v>
      </c>
    </row>
    <row r="20740" spans="1:9">
      <c r="A20740" s="22" t="str">
        <f>HYPERLINK("https://app.vivvix.com/360/KMI/IntelliDrive/ApplUI/Pages/CreativePages/CustomReportCreativeDetail.aspx?App=23&amp;ReportView=4&amp;Qid=1711279&amp;Row=20732&amp;Col=1","No Title Assigned - #15279480448")</f>
        <v/>
      </c>
      <c r="B20740" s="0" t="s">
        <v>27480</v>
      </c>
      <c r="E20740" s="0" t="inlineStr">
        <is>
          <t xml:space="preserve">Mazda</t>
        </is>
      </c>
      <c r="F20740" s="0" t="s">
        <v>13</v>
      </c>
      <c r="G20740" s="0" t="s">
        <v>49</v>
      </c>
      <c r="H20740" s="5">
        <v>12.022400</v>
      </c>
    </row>
    <row r="20741" spans="1:9">
      <c r="A20741" s="22" t="str">
        <f>HYPERLINK("https://app.vivvix.com/360/KMI/IntelliDrive/ApplUI/Pages/CreativePages/CustomReportCreativeDetail.aspx?App=23&amp;ReportView=4&amp;Qid=1711279&amp;Row=20733&amp;Col=1","No Title Assigned - #15279480795")</f>
        <v/>
      </c>
      <c r="B20741" s="0" t="s">
        <v>27481</v>
      </c>
      <c r="E20741" s="0" t="inlineStr">
        <is>
          <t xml:space="preserve">Mazda</t>
        </is>
      </c>
      <c r="F20741" s="0" t="s">
        <v>13</v>
      </c>
      <c r="G20741" s="0" t="s">
        <v>49</v>
      </c>
      <c r="H20741" s="5">
        <v>568.612500</v>
      </c>
    </row>
    <row r="20742" spans="1:9">
      <c r="A20742" s="22" t="str">
        <f>HYPERLINK("https://app.vivvix.com/360/KMI/IntelliDrive/ApplUI/Pages/CreativePages/CustomReportCreativeDetail.aspx?App=23&amp;ReportView=4&amp;Qid=1711279&amp;Row=20734&amp;Col=1","No Title Assigned - #15279480795")</f>
        <v/>
      </c>
      <c r="B20742" s="0" t="s">
        <v>27481</v>
      </c>
      <c r="E20742" s="0" t="inlineStr">
        <is>
          <t xml:space="preserve">Mazda</t>
        </is>
      </c>
      <c r="F20742" s="0" t="s">
        <v>13</v>
      </c>
      <c r="G20742" s="0" t="s">
        <v>49</v>
      </c>
      <c r="H20742" s="5">
        <v>586.017000</v>
      </c>
    </row>
    <row r="20743" spans="1:9">
      <c r="A20743" s="22" t="str">
        <f>HYPERLINK("https://app.vivvix.com/360/KMI/IntelliDrive/ApplUI/Pages/CreativePages/CustomReportCreativeDetail.aspx?App=23&amp;ReportView=4&amp;Qid=1711279&amp;Row=20735&amp;Col=1","No Title Assigned - #15279480867")</f>
        <v/>
      </c>
      <c r="B20743" s="0" t="s">
        <v>27482</v>
      </c>
      <c r="E20743" s="0" t="inlineStr">
        <is>
          <t xml:space="preserve">Mazda</t>
        </is>
      </c>
      <c r="F20743" s="0" t="s">
        <v>13</v>
      </c>
      <c r="G20743" s="0" t="s">
        <v>49</v>
      </c>
      <c r="H20743" s="5">
        <v>23.842000</v>
      </c>
    </row>
    <row r="20744" spans="1:9">
      <c r="A20744" s="22" t="str">
        <f>HYPERLINK("https://app.vivvix.com/360/KMI/IntelliDrive/ApplUI/Pages/CreativePages/CustomReportCreativeDetail.aspx?App=23&amp;ReportView=4&amp;Qid=1711279&amp;Row=20736&amp;Col=1","No Title Assigned - #15279481152")</f>
        <v/>
      </c>
      <c r="B20744" s="0" t="s">
        <v>27483</v>
      </c>
      <c r="C20744" s="0" t="s">
        <v>27484</v>
      </c>
      <c r="D20744" s="0" t="s">
        <v>27484</v>
      </c>
      <c r="E20744" s="0" t="inlineStr">
        <is>
          <t xml:space="preserve">Mazda</t>
        </is>
      </c>
      <c r="F20744" s="0" t="s">
        <v>13</v>
      </c>
      <c r="G20744" s="0" t="s">
        <v>49</v>
      </c>
      <c r="H20744" s="5">
        <v>348.268600</v>
      </c>
    </row>
    <row r="20745" spans="1:9">
      <c r="A20745" s="22" t="str">
        <f>HYPERLINK("https://app.vivvix.com/360/KMI/IntelliDrive/ApplUI/Pages/CreativePages/CustomReportCreativeDetail.aspx?App=23&amp;ReportView=4&amp;Qid=1711279&amp;Row=20737&amp;Col=1","No Title Assigned - #15279481676")</f>
        <v/>
      </c>
      <c r="B20745" s="0" t="s">
        <v>27485</v>
      </c>
      <c r="E20745" s="0" t="inlineStr">
        <is>
          <t xml:space="preserve">Mazda</t>
        </is>
      </c>
      <c r="F20745" s="0" t="inlineStr">
        <is>
          <t xml:space="preserve">Mazda</t>
        </is>
      </c>
      <c r="G20745" s="0" t="s">
        <v>171</v>
      </c>
      <c r="H20745" s="5">
        <v>3764.397100</v>
      </c>
    </row>
    <row r="20746" spans="1:9">
      <c r="A20746" s="22" t="str">
        <f>HYPERLINK("https://app.vivvix.com/360/KMI/IntelliDrive/ApplUI/Pages/CreativePages/CustomReportCreativeDetail.aspx?App=23&amp;ReportView=4&amp;Qid=1711279&amp;Row=20738&amp;Col=1","No Title Assigned - #15279482726")</f>
        <v/>
      </c>
      <c r="B20746" s="0" t="s">
        <v>27486</v>
      </c>
      <c r="C20746" s="0" t="s">
        <v>27487</v>
      </c>
      <c r="D20746" s="0" t="s">
        <v>27487</v>
      </c>
      <c r="E20746" s="0" t="inlineStr">
        <is>
          <t xml:space="preserve">Mazda</t>
        </is>
      </c>
      <c r="F20746" s="0" t="s">
        <v>13</v>
      </c>
      <c r="G20746" s="0" t="s">
        <v>49</v>
      </c>
      <c r="H20746" s="5">
        <v>1506.357300</v>
      </c>
    </row>
    <row r="20747" spans="1:9">
      <c r="A20747" s="22" t="str">
        <f>HYPERLINK("https://app.vivvix.com/360/KMI/IntelliDrive/ApplUI/Pages/CreativePages/CustomReportCreativeDetail.aspx?App=23&amp;ReportView=4&amp;Qid=1711279&amp;Row=20739&amp;Col=1","No Title Assigned - #15279485218")</f>
        <v/>
      </c>
      <c r="B20747" s="0" t="s">
        <v>27488</v>
      </c>
      <c r="C20747" s="0" t="s">
        <v>27489</v>
      </c>
      <c r="D20747" s="0" t="s">
        <v>4774</v>
      </c>
      <c r="E20747" s="0" t="inlineStr">
        <is>
          <t xml:space="preserve">Mazda</t>
        </is>
      </c>
      <c r="F20747" s="0" t="s">
        <v>13</v>
      </c>
      <c r="G20747" s="0" t="s">
        <v>49</v>
      </c>
      <c r="H20747" s="5">
        <v>613.926000</v>
      </c>
    </row>
    <row r="20748" spans="1:9">
      <c r="A20748" s="22" t="str">
        <f>HYPERLINK("https://app.vivvix.com/360/KMI/IntelliDrive/ApplUI/Pages/CreativePages/CustomReportCreativeDetail.aspx?App=23&amp;ReportView=4&amp;Qid=1711279&amp;Row=20740&amp;Col=1","No Title Assigned - #15279485877")</f>
        <v/>
      </c>
      <c r="B20748" s="0" t="s">
        <v>27490</v>
      </c>
      <c r="C20748" s="0" t="s">
        <v>27491</v>
      </c>
      <c r="D20748" s="0" t="s">
        <v>4335</v>
      </c>
      <c r="E20748" s="0" t="inlineStr">
        <is>
          <t xml:space="preserve">Mazda</t>
        </is>
      </c>
      <c r="F20748" s="0" t="s">
        <v>13</v>
      </c>
      <c r="G20748" s="0" t="s">
        <v>49</v>
      </c>
      <c r="H20748" s="5">
        <v>367.580100</v>
      </c>
    </row>
    <row r="20749" spans="1:9">
      <c r="A20749" s="22" t="str">
        <f>HYPERLINK("https://app.vivvix.com/360/KMI/IntelliDrive/ApplUI/Pages/CreativePages/CustomReportCreativeDetail.aspx?App=23&amp;ReportView=4&amp;Qid=1711279&amp;Row=20741&amp;Col=1","No Title Assigned - #15279487389")</f>
        <v/>
      </c>
      <c r="B20749" s="0" t="s">
        <v>27492</v>
      </c>
      <c r="C20749" s="0" t="s">
        <v>27493</v>
      </c>
      <c r="D20749" s="0" t="s">
        <v>27493</v>
      </c>
      <c r="E20749" s="0" t="inlineStr">
        <is>
          <t xml:space="preserve">Mazda</t>
        </is>
      </c>
      <c r="F20749" s="0" t="s">
        <v>13</v>
      </c>
      <c r="G20749" s="0" t="s">
        <v>49</v>
      </c>
      <c r="H20749" s="5">
        <v>367.580100</v>
      </c>
    </row>
    <row r="20750" spans="1:9">
      <c r="A20750" s="22" t="str">
        <f>HYPERLINK("https://app.vivvix.com/360/KMI/IntelliDrive/ApplUI/Pages/CreativePages/CustomReportCreativeDetail.aspx?App=23&amp;ReportView=4&amp;Qid=1711279&amp;Row=20742&amp;Col=1","No Title Assigned - #15279487771")</f>
        <v/>
      </c>
      <c r="B20750" s="0" t="s">
        <v>27494</v>
      </c>
      <c r="E20750" s="0" t="inlineStr">
        <is>
          <t xml:space="preserve">Mazda</t>
        </is>
      </c>
      <c r="F20750" s="0" t="s">
        <v>13</v>
      </c>
      <c r="G20750" s="0" t="s">
        <v>49</v>
      </c>
      <c r="H20750" s="5">
        <v>7.140200</v>
      </c>
    </row>
    <row r="20751" spans="1:9">
      <c r="A20751" s="22" t="str">
        <f>HYPERLINK("https://app.vivvix.com/360/KMI/IntelliDrive/ApplUI/Pages/CreativePages/CustomReportCreativeDetail.aspx?App=23&amp;ReportView=4&amp;Qid=1711279&amp;Row=20743&amp;Col=1","No Title Assigned - #15279489564")</f>
        <v/>
      </c>
      <c r="B20751" s="0" t="s">
        <v>27495</v>
      </c>
      <c r="C20751" s="0" t="s">
        <v>27496</v>
      </c>
      <c r="D20751" s="0" t="s">
        <v>9676</v>
      </c>
      <c r="E20751" s="0" t="inlineStr">
        <is>
          <t xml:space="preserve">Mazda</t>
        </is>
      </c>
      <c r="F20751" s="0" t="s">
        <v>13</v>
      </c>
      <c r="G20751" s="0" t="s">
        <v>49</v>
      </c>
      <c r="H20751" s="5">
        <v>30.138000</v>
      </c>
    </row>
    <row r="20752" spans="1:9">
      <c r="A20752" s="22" t="str">
        <f>HYPERLINK("https://app.vivvix.com/360/KMI/IntelliDrive/ApplUI/Pages/CreativePages/CustomReportCreativeDetail.aspx?App=23&amp;ReportView=4&amp;Qid=1711279&amp;Row=20744&amp;Col=1","No Title Assigned - #15279490125")</f>
        <v/>
      </c>
      <c r="B20752" s="0" t="s">
        <v>27497</v>
      </c>
      <c r="E20752" s="0" t="inlineStr">
        <is>
          <t xml:space="preserve">Mazda</t>
        </is>
      </c>
      <c r="F20752" s="0" t="inlineStr">
        <is>
          <t xml:space="preserve">Mazda</t>
        </is>
      </c>
      <c r="G20752" s="0" t="s">
        <v>171</v>
      </c>
      <c r="H20752" s="5">
        <v>101.383400</v>
      </c>
    </row>
    <row r="20753" spans="1:9">
      <c r="A20753" s="22" t="str">
        <f>HYPERLINK("https://app.vivvix.com/360/KMI/IntelliDrive/ApplUI/Pages/CreativePages/CustomReportCreativeDetail.aspx?App=23&amp;ReportView=4&amp;Qid=1711279&amp;Row=20745&amp;Col=1","No Title Assigned - #15279490127")</f>
        <v/>
      </c>
      <c r="B20753" s="0" t="s">
        <v>27498</v>
      </c>
      <c r="E20753" s="0" t="inlineStr">
        <is>
          <t xml:space="preserve">Mazda</t>
        </is>
      </c>
      <c r="F20753" s="0" t="inlineStr">
        <is>
          <t xml:space="preserve">Mazda</t>
        </is>
      </c>
      <c r="G20753" s="0" t="s">
        <v>171</v>
      </c>
      <c r="H20753" s="5">
        <v>50.691700</v>
      </c>
    </row>
    <row r="20754" spans="1:9">
      <c r="A20754" s="22" t="str">
        <f>HYPERLINK("https://app.vivvix.com/360/KMI/IntelliDrive/ApplUI/Pages/CreativePages/CustomReportCreativeDetail.aspx?App=23&amp;ReportView=4&amp;Qid=1711279&amp;Row=20746&amp;Col=1","No Title Assigned - #15279490538")</f>
        <v/>
      </c>
      <c r="B20754" s="0" t="s">
        <v>27499</v>
      </c>
      <c r="E20754" s="0" t="inlineStr">
        <is>
          <t xml:space="preserve">Mazda</t>
        </is>
      </c>
      <c r="F20754" s="0" t="inlineStr">
        <is>
          <t xml:space="preserve">Mazda</t>
        </is>
      </c>
      <c r="G20754" s="0" t="s">
        <v>171</v>
      </c>
      <c r="H20754" s="5">
        <v>60.597400</v>
      </c>
    </row>
    <row r="20755" spans="1:9">
      <c r="A20755" s="22" t="str">
        <f>HYPERLINK("https://app.vivvix.com/360/KMI/IntelliDrive/ApplUI/Pages/CreativePages/CustomReportCreativeDetail.aspx?App=23&amp;ReportView=4&amp;Qid=1711279&amp;Row=20747&amp;Col=1","No Title Assigned - #15279490650")</f>
        <v/>
      </c>
      <c r="B20755" s="0" t="s">
        <v>27500</v>
      </c>
      <c r="E20755" s="0" t="inlineStr">
        <is>
          <t xml:space="preserve">Mazda</t>
        </is>
      </c>
      <c r="F20755" s="0" t="inlineStr">
        <is>
          <t xml:space="preserve">Mazda</t>
        </is>
      </c>
      <c r="G20755" s="0" t="s">
        <v>171</v>
      </c>
      <c r="H20755" s="5">
        <v>121.499200</v>
      </c>
    </row>
    <row r="20756" spans="1:9">
      <c r="A20756" s="22" t="str">
        <f>HYPERLINK("https://app.vivvix.com/360/KMI/IntelliDrive/ApplUI/Pages/CreativePages/CustomReportCreativeDetail.aspx?App=23&amp;ReportView=4&amp;Qid=1711279&amp;Row=20748&amp;Col=1","No Title Assigned - #15279490881")</f>
        <v/>
      </c>
      <c r="B20756" s="0" t="s">
        <v>27501</v>
      </c>
      <c r="E20756" s="0" t="inlineStr">
        <is>
          <t xml:space="preserve">Mazda</t>
        </is>
      </c>
      <c r="F20756" s="0" t="inlineStr">
        <is>
          <t xml:space="preserve">Mazda</t>
        </is>
      </c>
      <c r="G20756" s="0" t="s">
        <v>171</v>
      </c>
      <c r="H20756" s="5">
        <v>20.087800</v>
      </c>
    </row>
    <row r="20757" spans="1:9">
      <c r="A20757" s="22" t="str">
        <f>HYPERLINK("https://app.vivvix.com/360/KMI/IntelliDrive/ApplUI/Pages/CreativePages/CustomReportCreativeDetail.aspx?App=23&amp;ReportView=4&amp;Qid=1711279&amp;Row=20749&amp;Col=1","No Title Assigned - #15279491512")</f>
        <v/>
      </c>
      <c r="B20757" s="0" t="s">
        <v>27502</v>
      </c>
      <c r="C20757" s="0" t="s">
        <v>27503</v>
      </c>
      <c r="D20757" s="0" t="s">
        <v>27503</v>
      </c>
      <c r="E20757" s="0" t="inlineStr">
        <is>
          <t xml:space="preserve">Mazda</t>
        </is>
      </c>
      <c r="F20757" s="0" t="s">
        <v>13</v>
      </c>
      <c r="G20757" s="0" t="s">
        <v>49</v>
      </c>
      <c r="H20757" s="5">
        <v>579.524900</v>
      </c>
    </row>
    <row r="20758" spans="1:9">
      <c r="A20758" s="22" t="str">
        <f>HYPERLINK("https://app.vivvix.com/360/KMI/IntelliDrive/ApplUI/Pages/CreativePages/CustomReportCreativeDetail.aspx?App=23&amp;ReportView=4&amp;Qid=1711279&amp;Row=20750&amp;Col=1","No Title Assigned - #15279491672")</f>
        <v/>
      </c>
      <c r="B20758" s="0" t="s">
        <v>27504</v>
      </c>
      <c r="C20758" s="0" t="s">
        <v>27505</v>
      </c>
      <c r="D20758" s="0" t="s">
        <v>5013</v>
      </c>
      <c r="E20758" s="0" t="inlineStr">
        <is>
          <t xml:space="preserve">Mazda</t>
        </is>
      </c>
      <c r="F20758" s="0" t="s">
        <v>13</v>
      </c>
      <c r="G20758" s="0" t="s">
        <v>49</v>
      </c>
      <c r="H20758" s="5">
        <v>69.736900</v>
      </c>
    </row>
    <row r="20759" spans="1:9">
      <c r="A20759" s="22" t="str">
        <f>HYPERLINK("https://app.vivvix.com/360/KMI/IntelliDrive/ApplUI/Pages/CreativePages/CustomReportCreativeDetail.aspx?App=23&amp;ReportView=4&amp;Qid=1711279&amp;Row=20751&amp;Col=1","No Title Assigned - #15279491917")</f>
        <v/>
      </c>
      <c r="B20759" s="0" t="s">
        <v>27506</v>
      </c>
      <c r="C20759" s="0" t="s">
        <v>27507</v>
      </c>
      <c r="D20759" s="0" t="s">
        <v>27507</v>
      </c>
      <c r="E20759" s="0" t="inlineStr">
        <is>
          <t xml:space="preserve">Mazda</t>
        </is>
      </c>
      <c r="F20759" s="0" t="s">
        <v>13</v>
      </c>
      <c r="G20759" s="0" t="s">
        <v>49</v>
      </c>
      <c r="H20759" s="5">
        <v>122.269500</v>
      </c>
    </row>
    <row r="20760" spans="1:9">
      <c r="A20760" s="22" t="str">
        <f>HYPERLINK("https://app.vivvix.com/360/KMI/IntelliDrive/ApplUI/Pages/CreativePages/CustomReportCreativeDetail.aspx?App=23&amp;ReportView=4&amp;Qid=1711279&amp;Row=20752&amp;Col=1","No Title Assigned - #15279492292")</f>
        <v/>
      </c>
      <c r="B20760" s="0" t="s">
        <v>27508</v>
      </c>
      <c r="C20760" s="0" t="s">
        <v>27509</v>
      </c>
      <c r="D20760" s="0" t="s">
        <v>19006</v>
      </c>
      <c r="E20760" s="0" t="inlineStr">
        <is>
          <t xml:space="preserve">Mazda</t>
        </is>
      </c>
      <c r="F20760" s="0" t="s">
        <v>13</v>
      </c>
      <c r="G20760" s="0" t="s">
        <v>49</v>
      </c>
      <c r="H20760" s="5">
        <v>7.140200</v>
      </c>
    </row>
    <row r="20761" spans="1:9">
      <c r="A20761" s="22" t="str">
        <f>HYPERLINK("https://app.vivvix.com/360/KMI/IntelliDrive/ApplUI/Pages/CreativePages/CustomReportCreativeDetail.aspx?App=23&amp;ReportView=4&amp;Qid=1711279&amp;Row=20753&amp;Col=1","No Title Assigned - #15279492331")</f>
        <v/>
      </c>
      <c r="B20761" s="0" t="s">
        <v>27510</v>
      </c>
      <c r="C20761" s="0" t="s">
        <v>27511</v>
      </c>
      <c r="D20761" s="0" t="s">
        <v>27511</v>
      </c>
      <c r="E20761" s="0" t="inlineStr">
        <is>
          <t xml:space="preserve">Mazda</t>
        </is>
      </c>
      <c r="F20761" s="0" t="s">
        <v>13</v>
      </c>
      <c r="G20761" s="0" t="s">
        <v>49</v>
      </c>
      <c r="H20761" s="5">
        <v>39.155400</v>
      </c>
    </row>
    <row r="20762" spans="1:9">
      <c r="A20762" s="22" t="str">
        <f>HYPERLINK("https://app.vivvix.com/360/KMI/IntelliDrive/ApplUI/Pages/CreativePages/CustomReportCreativeDetail.aspx?App=23&amp;ReportView=4&amp;Qid=1711279&amp;Row=20754&amp;Col=1","No Title Assigned - #15279492498")</f>
        <v/>
      </c>
      <c r="B20762" s="0" t="s">
        <v>27512</v>
      </c>
      <c r="C20762" s="0" t="s">
        <v>27513</v>
      </c>
      <c r="D20762" s="0" t="s">
        <v>4774</v>
      </c>
      <c r="E20762" s="0" t="inlineStr">
        <is>
          <t xml:space="preserve">Mazda</t>
        </is>
      </c>
      <c r="F20762" s="0" t="s">
        <v>13</v>
      </c>
      <c r="G20762" s="0" t="s">
        <v>49</v>
      </c>
      <c r="H20762" s="5">
        <v>56.774400</v>
      </c>
    </row>
    <row r="20763" spans="1:9">
      <c r="A20763" s="22" t="str">
        <f>HYPERLINK("https://app.vivvix.com/360/KMI/IntelliDrive/ApplUI/Pages/CreativePages/CustomReportCreativeDetail.aspx?App=23&amp;ReportView=4&amp;Qid=1711279&amp;Row=20755&amp;Col=1","No Title Assigned - #15279493139")</f>
        <v/>
      </c>
      <c r="B20763" s="0" t="s">
        <v>27514</v>
      </c>
      <c r="C20763" s="0" t="s">
        <v>27515</v>
      </c>
      <c r="D20763" s="0" t="s">
        <v>10101</v>
      </c>
      <c r="E20763" s="0" t="inlineStr">
        <is>
          <t xml:space="preserve">Mazda</t>
        </is>
      </c>
      <c r="F20763" s="0" t="s">
        <v>13</v>
      </c>
      <c r="G20763" s="0" t="s">
        <v>49</v>
      </c>
      <c r="H20763" s="5">
        <v>32.618100</v>
      </c>
    </row>
    <row r="20764" spans="1:9">
      <c r="A20764" s="22" t="str">
        <f>HYPERLINK("https://app.vivvix.com/360/KMI/IntelliDrive/ApplUI/Pages/CreativePages/CustomReportCreativeDetail.aspx?App=23&amp;ReportView=4&amp;Qid=1711279&amp;Row=20756&amp;Col=1","No Title Assigned - #15279493317")</f>
        <v/>
      </c>
      <c r="B20764" s="0" t="s">
        <v>27516</v>
      </c>
      <c r="E20764" s="0" t="inlineStr">
        <is>
          <t xml:space="preserve">Mazda</t>
        </is>
      </c>
      <c r="F20764" s="0" t="inlineStr">
        <is>
          <t xml:space="preserve">Mazda</t>
        </is>
      </c>
      <c r="G20764" s="0" t="s">
        <v>171</v>
      </c>
      <c r="H20764" s="5">
        <v>5.543100</v>
      </c>
    </row>
    <row r="20765" spans="1:9">
      <c r="A20765" s="22" t="str">
        <f>HYPERLINK("https://app.vivvix.com/360/KMI/IntelliDrive/ApplUI/Pages/CreativePages/CustomReportCreativeDetail.aspx?App=23&amp;ReportView=4&amp;Qid=1711279&amp;Row=20757&amp;Col=1","No Title Assigned - #15279493330")</f>
        <v/>
      </c>
      <c r="B20765" s="0" t="s">
        <v>27517</v>
      </c>
      <c r="C20765" s="0" t="s">
        <v>27518</v>
      </c>
      <c r="D20765" s="0" t="s">
        <v>9167</v>
      </c>
      <c r="E20765" s="0" t="inlineStr">
        <is>
          <t xml:space="preserve">Mazda</t>
        </is>
      </c>
      <c r="F20765" s="0" t="s">
        <v>13</v>
      </c>
      <c r="G20765" s="0" t="s">
        <v>49</v>
      </c>
      <c r="H20765" s="5">
        <v>531.805000</v>
      </c>
    </row>
    <row r="20766" spans="1:9">
      <c r="A20766" s="22" t="str">
        <f>HYPERLINK("https://app.vivvix.com/360/KMI/IntelliDrive/ApplUI/Pages/CreativePages/CustomReportCreativeDetail.aspx?App=23&amp;ReportView=4&amp;Qid=1711279&amp;Row=20758&amp;Col=1","No Title Assigned - #15279493675")</f>
        <v/>
      </c>
      <c r="B20766" s="0" t="s">
        <v>27519</v>
      </c>
      <c r="C20766" s="0" t="s">
        <v>27520</v>
      </c>
      <c r="D20766" s="0" t="s">
        <v>27520</v>
      </c>
      <c r="E20766" s="0" t="inlineStr">
        <is>
          <t xml:space="preserve">Mazda</t>
        </is>
      </c>
      <c r="F20766" s="0" t="s">
        <v>13</v>
      </c>
      <c r="G20766" s="0" t="s">
        <v>49</v>
      </c>
      <c r="H20766" s="5">
        <v>2344.335000</v>
      </c>
    </row>
    <row r="20767" spans="1:9">
      <c r="A20767" s="22" t="str">
        <f>HYPERLINK("https://app.vivvix.com/360/KMI/IntelliDrive/ApplUI/Pages/CreativePages/CustomReportCreativeDetail.aspx?App=23&amp;ReportView=4&amp;Qid=1711279&amp;Row=20759&amp;Col=1","No Title Assigned - #15279493998")</f>
        <v/>
      </c>
      <c r="B20767" s="0" t="s">
        <v>27521</v>
      </c>
      <c r="E20767" s="0" t="inlineStr">
        <is>
          <t xml:space="preserve">Mazda</t>
        </is>
      </c>
      <c r="F20767" s="0" t="inlineStr">
        <is>
          <t xml:space="preserve">Mazda</t>
        </is>
      </c>
      <c r="G20767" s="0" t="s">
        <v>171</v>
      </c>
      <c r="H20767" s="5">
        <v>30.233800</v>
      </c>
    </row>
    <row r="20768" spans="1:9">
      <c r="A20768" s="22" t="str">
        <f>HYPERLINK("https://app.vivvix.com/360/KMI/IntelliDrive/ApplUI/Pages/CreativePages/CustomReportCreativeDetail.aspx?App=23&amp;ReportView=4&amp;Qid=1711279&amp;Row=20760&amp;Col=1","No Title Assigned - #15279494052")</f>
        <v/>
      </c>
      <c r="B20768" s="0" t="s">
        <v>27522</v>
      </c>
      <c r="C20768" s="0" t="s">
        <v>27523</v>
      </c>
      <c r="D20768" s="0" t="s">
        <v>4774</v>
      </c>
      <c r="E20768" s="0" t="inlineStr">
        <is>
          <t xml:space="preserve">Mazda</t>
        </is>
      </c>
      <c r="F20768" s="0" t="s">
        <v>13</v>
      </c>
      <c r="G20768" s="0" t="s">
        <v>49</v>
      </c>
      <c r="H20768" s="5">
        <v>5454.211400</v>
      </c>
    </row>
    <row r="20769" spans="1:9">
      <c r="A20769" s="22" t="str">
        <f>HYPERLINK("https://app.vivvix.com/360/KMI/IntelliDrive/ApplUI/Pages/CreativePages/CustomReportCreativeDetail.aspx?App=23&amp;ReportView=4&amp;Qid=1711279&amp;Row=20761&amp;Col=1","No Title Assigned - #15279494230")</f>
        <v/>
      </c>
      <c r="B20769" s="0" t="s">
        <v>27524</v>
      </c>
      <c r="E20769" s="0" t="inlineStr">
        <is>
          <t xml:space="preserve">Mazda</t>
        </is>
      </c>
      <c r="F20769" s="0" t="inlineStr">
        <is>
          <t xml:space="preserve">Mazda</t>
        </is>
      </c>
      <c r="G20769" s="0" t="s">
        <v>171</v>
      </c>
      <c r="H20769" s="5">
        <v>175.654000</v>
      </c>
    </row>
    <row r="20770" spans="1:9">
      <c r="A20770" s="22" t="str">
        <f>HYPERLINK("https://app.vivvix.com/360/KMI/IntelliDrive/ApplUI/Pages/CreativePages/CustomReportCreativeDetail.aspx?App=23&amp;ReportView=4&amp;Qid=1711279&amp;Row=20762&amp;Col=1","No Title Assigned - #15279494542")</f>
        <v/>
      </c>
      <c r="B20770" s="0" t="s">
        <v>27525</v>
      </c>
      <c r="C20770" s="0" t="s">
        <v>27526</v>
      </c>
      <c r="D20770" s="0" t="s">
        <v>4774</v>
      </c>
      <c r="E20770" s="0" t="inlineStr">
        <is>
          <t xml:space="preserve">Mazda</t>
        </is>
      </c>
      <c r="F20770" s="0" t="s">
        <v>13</v>
      </c>
      <c r="G20770" s="0" t="s">
        <v>49</v>
      </c>
      <c r="H20770" s="5">
        <v>29.617700</v>
      </c>
    </row>
    <row r="20771" spans="1:9">
      <c r="A20771" s="22" t="str">
        <f>HYPERLINK("https://app.vivvix.com/360/KMI/IntelliDrive/ApplUI/Pages/CreativePages/CustomReportCreativeDetail.aspx?App=23&amp;ReportView=4&amp;Qid=1711279&amp;Row=20763&amp;Col=1","No Title Assigned - #15279494649")</f>
        <v/>
      </c>
      <c r="B20771" s="0" t="s">
        <v>27527</v>
      </c>
      <c r="E20771" s="0" t="inlineStr">
        <is>
          <t xml:space="preserve">Mazda</t>
        </is>
      </c>
      <c r="F20771" s="0" t="inlineStr">
        <is>
          <t xml:space="preserve">Mazda</t>
        </is>
      </c>
      <c r="G20771" s="0" t="s">
        <v>171</v>
      </c>
      <c r="H20771" s="5">
        <v>142.677600</v>
      </c>
    </row>
    <row r="20772" spans="1:9">
      <c r="A20772" s="22" t="str">
        <f>HYPERLINK("https://app.vivvix.com/360/KMI/IntelliDrive/ApplUI/Pages/CreativePages/CustomReportCreativeDetail.aspx?App=23&amp;ReportView=4&amp;Qid=1711279&amp;Row=20764&amp;Col=1","No Title Assigned - #15279494955")</f>
        <v/>
      </c>
      <c r="B20772" s="0" t="s">
        <v>27528</v>
      </c>
      <c r="C20772" s="0" t="s">
        <v>27529</v>
      </c>
      <c r="D20772" s="0" t="s">
        <v>27529</v>
      </c>
      <c r="E20772" s="0" t="inlineStr">
        <is>
          <t xml:space="preserve">Mazda</t>
        </is>
      </c>
      <c r="F20772" s="0" t="s">
        <v>13</v>
      </c>
      <c r="G20772" s="0" t="s">
        <v>49</v>
      </c>
      <c r="H20772" s="5">
        <v>3.570100</v>
      </c>
    </row>
    <row r="20773" spans="1:9">
      <c r="A20773" s="22" t="str">
        <f>HYPERLINK("https://app.vivvix.com/360/KMI/IntelliDrive/ApplUI/Pages/CreativePages/CustomReportCreativeDetail.aspx?App=23&amp;ReportView=4&amp;Qid=1711279&amp;Row=20765&amp;Col=1","No Title Assigned - #15279494978")</f>
        <v/>
      </c>
      <c r="B20773" s="0" t="s">
        <v>27530</v>
      </c>
      <c r="C20773" s="0" t="s">
        <v>27531</v>
      </c>
      <c r="D20773" s="0" t="s">
        <v>4335</v>
      </c>
      <c r="E20773" s="0" t="inlineStr">
        <is>
          <t xml:space="preserve">Mazda</t>
        </is>
      </c>
      <c r="F20773" s="0" t="s">
        <v>13</v>
      </c>
      <c r="G20773" s="0" t="s">
        <v>49</v>
      </c>
      <c r="H20773" s="5">
        <v>3.720100</v>
      </c>
    </row>
    <row r="20774" spans="1:9">
      <c r="A20774" s="22" t="str">
        <f>HYPERLINK("https://app.vivvix.com/360/KMI/IntelliDrive/ApplUI/Pages/CreativePages/CustomReportCreativeDetail.aspx?App=23&amp;ReportView=4&amp;Qid=1711279&amp;Row=20766&amp;Col=1","No Title Assigned - #15279495132")</f>
        <v/>
      </c>
      <c r="B20774" s="0" t="s">
        <v>27532</v>
      </c>
      <c r="C20774" s="0" t="s">
        <v>27533</v>
      </c>
      <c r="D20774" s="0" t="s">
        <v>27533</v>
      </c>
      <c r="E20774" s="0" t="inlineStr">
        <is>
          <t xml:space="preserve">Mazda</t>
        </is>
      </c>
      <c r="F20774" s="0" t="s">
        <v>13</v>
      </c>
      <c r="G20774" s="0" t="s">
        <v>49</v>
      </c>
      <c r="H20774" s="5">
        <v>8.209200</v>
      </c>
    </row>
    <row r="20775" spans="1:9">
      <c r="A20775" s="22" t="str">
        <f>HYPERLINK("https://app.vivvix.com/360/KMI/IntelliDrive/ApplUI/Pages/CreativePages/CustomReportCreativeDetail.aspx?App=23&amp;ReportView=4&amp;Qid=1711279&amp;Row=20767&amp;Col=1","No Title Assigned - #15279495216")</f>
        <v/>
      </c>
      <c r="B20775" s="0" t="s">
        <v>27534</v>
      </c>
      <c r="C20775" s="0" t="s">
        <v>27535</v>
      </c>
      <c r="D20775" s="0" t="s">
        <v>11258</v>
      </c>
      <c r="E20775" s="0" t="inlineStr">
        <is>
          <t xml:space="preserve">Mazda</t>
        </is>
      </c>
      <c r="F20775" s="0" t="s">
        <v>13</v>
      </c>
      <c r="G20775" s="0" t="s">
        <v>49</v>
      </c>
      <c r="H20775" s="5">
        <v>52.139500</v>
      </c>
    </row>
    <row r="20776" spans="1:9">
      <c r="A20776" s="22" t="str">
        <f>HYPERLINK("https://app.vivvix.com/360/KMI/IntelliDrive/ApplUI/Pages/CreativePages/CustomReportCreativeDetail.aspx?App=23&amp;ReportView=4&amp;Qid=1711279&amp;Row=20768&amp;Col=1","No Title Assigned - #15279495218")</f>
        <v/>
      </c>
      <c r="B20776" s="0" t="s">
        <v>27536</v>
      </c>
      <c r="C20776" s="0" t="s">
        <v>27537</v>
      </c>
      <c r="D20776" s="0" t="s">
        <v>27537</v>
      </c>
      <c r="E20776" s="0" t="inlineStr">
        <is>
          <t xml:space="preserve">Mazda</t>
        </is>
      </c>
      <c r="F20776" s="0" t="s">
        <v>13</v>
      </c>
      <c r="G20776" s="0" t="s">
        <v>49</v>
      </c>
      <c r="H20776" s="5">
        <v>817.040700</v>
      </c>
    </row>
    <row r="20777" spans="1:9">
      <c r="A20777" s="22" t="str">
        <f>HYPERLINK("https://app.vivvix.com/360/KMI/IntelliDrive/ApplUI/Pages/CreativePages/CustomReportCreativeDetail.aspx?App=23&amp;ReportView=4&amp;Qid=1711279&amp;Row=20769&amp;Col=1","No Title Assigned - #15279495342")</f>
        <v/>
      </c>
      <c r="B20777" s="0" t="s">
        <v>27538</v>
      </c>
      <c r="C20777" s="0" t="s">
        <v>27539</v>
      </c>
      <c r="D20777" s="0" t="s">
        <v>4335</v>
      </c>
      <c r="E20777" s="0" t="inlineStr">
        <is>
          <t xml:space="preserve">Mazda</t>
        </is>
      </c>
      <c r="F20777" s="0" t="s">
        <v>13</v>
      </c>
      <c r="G20777" s="0" t="s">
        <v>49</v>
      </c>
      <c r="H20777" s="5">
        <v>9.201700</v>
      </c>
    </row>
    <row r="20778" spans="1:9">
      <c r="A20778" s="22" t="str">
        <f>HYPERLINK("https://app.vivvix.com/360/KMI/IntelliDrive/ApplUI/Pages/CreativePages/CustomReportCreativeDetail.aspx?App=23&amp;ReportView=4&amp;Qid=1711279&amp;Row=20770&amp;Col=1","No Title Assigned - #15279495552")</f>
        <v/>
      </c>
      <c r="B20778" s="0" t="s">
        <v>27540</v>
      </c>
      <c r="C20778" s="0" t="s">
        <v>27541</v>
      </c>
      <c r="D20778" s="0" t="s">
        <v>11469</v>
      </c>
      <c r="E20778" s="0" t="inlineStr">
        <is>
          <t xml:space="preserve">Mazda</t>
        </is>
      </c>
      <c r="F20778" s="0" t="s">
        <v>13</v>
      </c>
      <c r="G20778" s="0" t="s">
        <v>49</v>
      </c>
      <c r="H20778" s="5">
        <v>87.776700</v>
      </c>
    </row>
    <row r="20779" spans="1:9">
      <c r="A20779" s="22" t="str">
        <f>HYPERLINK("https://app.vivvix.com/360/KMI/IntelliDrive/ApplUI/Pages/CreativePages/CustomReportCreativeDetail.aspx?App=23&amp;ReportView=4&amp;Qid=1711279&amp;Row=20771&amp;Col=1","No Title Assigned - #15279495708")</f>
        <v/>
      </c>
      <c r="B20779" s="0" t="s">
        <v>27542</v>
      </c>
      <c r="C20779" s="0" t="s">
        <v>27543</v>
      </c>
      <c r="D20779" s="0" t="s">
        <v>27543</v>
      </c>
      <c r="E20779" s="0" t="inlineStr">
        <is>
          <t xml:space="preserve">Mazda</t>
        </is>
      </c>
      <c r="F20779" s="0" t="s">
        <v>13</v>
      </c>
      <c r="G20779" s="0" t="s">
        <v>49</v>
      </c>
      <c r="H20779" s="5">
        <v>43.714000</v>
      </c>
    </row>
    <row r="20780" spans="1:9">
      <c r="A20780" s="22" t="str">
        <f>HYPERLINK("https://app.vivvix.com/360/KMI/IntelliDrive/ApplUI/Pages/CreativePages/CustomReportCreativeDetail.aspx?App=23&amp;ReportView=4&amp;Qid=1711279&amp;Row=20772&amp;Col=1","No Title Assigned - #15279496273")</f>
        <v/>
      </c>
      <c r="B20780" s="0" t="s">
        <v>27544</v>
      </c>
      <c r="C20780" s="0" t="s">
        <v>27545</v>
      </c>
      <c r="D20780" s="0" t="s">
        <v>19918</v>
      </c>
      <c r="E20780" s="0" t="inlineStr">
        <is>
          <t xml:space="preserve">Mazda</t>
        </is>
      </c>
      <c r="F20780" s="0" t="inlineStr">
        <is>
          <t xml:space="preserve">Mazda</t>
        </is>
      </c>
      <c r="G20780" s="0" t="s">
        <v>210</v>
      </c>
      <c r="H20780" s="5">
        <v>1596.400700</v>
      </c>
    </row>
    <row r="20781" spans="1:9">
      <c r="A20781" s="22" t="str">
        <f>HYPERLINK("https://app.vivvix.com/360/KMI/IntelliDrive/ApplUI/Pages/CreativePages/CustomReportCreativeDetail.aspx?App=23&amp;ReportView=4&amp;Qid=1711279&amp;Row=20773&amp;Col=1","No Title Assigned - #15279496323")</f>
        <v/>
      </c>
      <c r="B20781" s="0" t="s">
        <v>27546</v>
      </c>
      <c r="C20781" s="0" t="s">
        <v>27547</v>
      </c>
      <c r="D20781" s="0" t="s">
        <v>27547</v>
      </c>
      <c r="E20781" s="0" t="inlineStr">
        <is>
          <t xml:space="preserve">Mazda</t>
        </is>
      </c>
      <c r="F20781" s="0" t="s">
        <v>13</v>
      </c>
      <c r="G20781" s="0" t="s">
        <v>49</v>
      </c>
      <c r="H20781" s="5">
        <v>242.424100</v>
      </c>
    </row>
    <row r="20782" spans="1:9">
      <c r="A20782" s="22" t="str">
        <f>HYPERLINK("https://app.vivvix.com/360/KMI/IntelliDrive/ApplUI/Pages/CreativePages/CustomReportCreativeDetail.aspx?App=23&amp;ReportView=4&amp;Qid=1711279&amp;Row=20774&amp;Col=1","No Title Assigned - #15279496323")</f>
        <v/>
      </c>
      <c r="B20782" s="0" t="s">
        <v>27546</v>
      </c>
      <c r="E20782" s="0" t="inlineStr">
        <is>
          <t xml:space="preserve">Mazda</t>
        </is>
      </c>
      <c r="F20782" s="0" t="s">
        <v>13</v>
      </c>
      <c r="G20782" s="0" t="s">
        <v>49</v>
      </c>
      <c r="H20782" s="5">
        <v>44.366200</v>
      </c>
    </row>
    <row r="20783" spans="1:9">
      <c r="A20783" s="22" t="str">
        <f>HYPERLINK("https://app.vivvix.com/360/KMI/IntelliDrive/ApplUI/Pages/CreativePages/CustomReportCreativeDetail.aspx?App=23&amp;ReportView=4&amp;Qid=1711279&amp;Row=20775&amp;Col=1","No Title Assigned - #15279496341")</f>
        <v/>
      </c>
      <c r="B20783" s="0" t="s">
        <v>27548</v>
      </c>
      <c r="C20783" s="0" t="s">
        <v>27549</v>
      </c>
      <c r="D20783" s="0" t="s">
        <v>4335</v>
      </c>
      <c r="E20783" s="0" t="inlineStr">
        <is>
          <t xml:space="preserve">Mazda</t>
        </is>
      </c>
      <c r="F20783" s="0" t="s">
        <v>13</v>
      </c>
      <c r="G20783" s="0" t="s">
        <v>49</v>
      </c>
      <c r="H20783" s="5">
        <v>1163.744800</v>
      </c>
    </row>
    <row r="20784" spans="1:9">
      <c r="A20784" s="22" t="str">
        <f>HYPERLINK("https://app.vivvix.com/360/KMI/IntelliDrive/ApplUI/Pages/CreativePages/CustomReportCreativeDetail.aspx?App=23&amp;ReportView=4&amp;Qid=1711279&amp;Row=20776&amp;Col=1","No Title Assigned - #15279496479")</f>
        <v/>
      </c>
      <c r="B20784" s="0" t="s">
        <v>27550</v>
      </c>
      <c r="C20784" s="0" t="s">
        <v>27551</v>
      </c>
      <c r="D20784" s="0" t="s">
        <v>4774</v>
      </c>
      <c r="E20784" s="0" t="inlineStr">
        <is>
          <t xml:space="preserve">Mazda</t>
        </is>
      </c>
      <c r="F20784" s="0" t="s">
        <v>13</v>
      </c>
      <c r="G20784" s="0" t="s">
        <v>49</v>
      </c>
      <c r="H20784" s="5">
        <v>142.679400</v>
      </c>
    </row>
    <row r="20785" spans="1:9">
      <c r="A20785" s="22" t="str">
        <f>HYPERLINK("https://app.vivvix.com/360/KMI/IntelliDrive/ApplUI/Pages/CreativePages/CustomReportCreativeDetail.aspx?App=23&amp;ReportView=4&amp;Qid=1711279&amp;Row=20777&amp;Col=1","No Title Assigned - #15279496488")</f>
        <v/>
      </c>
      <c r="B20785" s="0" t="s">
        <v>27552</v>
      </c>
      <c r="C20785" s="0" t="s">
        <v>27553</v>
      </c>
      <c r="D20785" s="0" t="s">
        <v>27553</v>
      </c>
      <c r="E20785" s="0" t="inlineStr">
        <is>
          <t xml:space="preserve">Mazda</t>
        </is>
      </c>
      <c r="F20785" s="0" t="s">
        <v>13</v>
      </c>
      <c r="G20785" s="0" t="s">
        <v>49</v>
      </c>
      <c r="H20785" s="5">
        <v>207.552200</v>
      </c>
    </row>
    <row r="20786" spans="1:9">
      <c r="A20786" s="22" t="str">
        <f>HYPERLINK("https://app.vivvix.com/360/KMI/IntelliDrive/ApplUI/Pages/CreativePages/CustomReportCreativeDetail.aspx?App=23&amp;ReportView=4&amp;Qid=1711279&amp;Row=20778&amp;Col=1","No Title Assigned - #15279496489")</f>
        <v/>
      </c>
      <c r="B20786" s="0" t="s">
        <v>27554</v>
      </c>
      <c r="C20786" s="0" t="s">
        <v>27555</v>
      </c>
      <c r="D20786" s="0" t="s">
        <v>19651</v>
      </c>
      <c r="E20786" s="0" t="inlineStr">
        <is>
          <t xml:space="preserve">Mazda</t>
        </is>
      </c>
      <c r="F20786" s="0" t="s">
        <v>13</v>
      </c>
      <c r="G20786" s="0" t="s">
        <v>49</v>
      </c>
      <c r="H20786" s="5">
        <v>87.919500</v>
      </c>
    </row>
    <row r="20787" spans="1:9">
      <c r="A20787" s="22" t="str">
        <f>HYPERLINK("https://app.vivvix.com/360/KMI/IntelliDrive/ApplUI/Pages/CreativePages/CustomReportCreativeDetail.aspx?App=23&amp;ReportView=4&amp;Qid=1711279&amp;Row=20779&amp;Col=1","No Title Assigned - #15279496749")</f>
        <v/>
      </c>
      <c r="B20787" s="0" t="s">
        <v>27556</v>
      </c>
      <c r="C20787" s="0" t="s">
        <v>27557</v>
      </c>
      <c r="D20787" s="0" t="s">
        <v>27557</v>
      </c>
      <c r="E20787" s="0" t="inlineStr">
        <is>
          <t xml:space="preserve">Mazda</t>
        </is>
      </c>
      <c r="F20787" s="0" t="s">
        <v>13</v>
      </c>
      <c r="G20787" s="0" t="s">
        <v>49</v>
      </c>
      <c r="H20787" s="5">
        <v>26.613300</v>
      </c>
    </row>
    <row r="20788" spans="1:9">
      <c r="A20788" s="22" t="str">
        <f>HYPERLINK("https://app.vivvix.com/360/KMI/IntelliDrive/ApplUI/Pages/CreativePages/CustomReportCreativeDetail.aspx?App=23&amp;ReportView=4&amp;Qid=1711279&amp;Row=20780&amp;Col=1","No Title Assigned - #15279496918")</f>
        <v/>
      </c>
      <c r="B20788" s="0" t="s">
        <v>27558</v>
      </c>
      <c r="C20788" s="0" t="s">
        <v>27559</v>
      </c>
      <c r="D20788" s="0" t="s">
        <v>17671</v>
      </c>
      <c r="E20788" s="0" t="inlineStr">
        <is>
          <t xml:space="preserve">Mazda</t>
        </is>
      </c>
      <c r="F20788" s="0" t="s">
        <v>13</v>
      </c>
      <c r="G20788" s="0" t="s">
        <v>49</v>
      </c>
      <c r="H20788" s="5">
        <v>267.151000</v>
      </c>
    </row>
    <row r="20789" spans="1:9">
      <c r="A20789" s="22" t="str">
        <f>HYPERLINK("https://app.vivvix.com/360/KMI/IntelliDrive/ApplUI/Pages/CreativePages/CustomReportCreativeDetail.aspx?App=23&amp;ReportView=4&amp;Qid=1711279&amp;Row=20781&amp;Col=1","No Title Assigned - #15279497033")</f>
        <v/>
      </c>
      <c r="B20789" s="0" t="s">
        <v>27560</v>
      </c>
      <c r="C20789" s="0" t="s">
        <v>27561</v>
      </c>
      <c r="D20789" s="0" t="s">
        <v>10095</v>
      </c>
      <c r="E20789" s="0" t="inlineStr">
        <is>
          <t xml:space="preserve">Mazda</t>
        </is>
      </c>
      <c r="F20789" s="0" t="s">
        <v>13</v>
      </c>
      <c r="G20789" s="0" t="s">
        <v>49</v>
      </c>
      <c r="H20789" s="5">
        <v>11.921000</v>
      </c>
    </row>
    <row r="20790" spans="1:9">
      <c r="A20790" s="22" t="str">
        <f>HYPERLINK("https://app.vivvix.com/360/KMI/IntelliDrive/ApplUI/Pages/CreativePages/CustomReportCreativeDetail.aspx?App=23&amp;ReportView=4&amp;Qid=1711279&amp;Row=20782&amp;Col=1","No Title Assigned - #15279497213")</f>
        <v/>
      </c>
      <c r="B20790" s="0" t="s">
        <v>27562</v>
      </c>
      <c r="C20790" s="0" t="s">
        <v>27563</v>
      </c>
      <c r="D20790" s="0" t="s">
        <v>4774</v>
      </c>
      <c r="E20790" s="0" t="inlineStr">
        <is>
          <t xml:space="preserve">Mazda</t>
        </is>
      </c>
      <c r="F20790" s="0" t="s">
        <v>13</v>
      </c>
      <c r="G20790" s="0" t="s">
        <v>49</v>
      </c>
      <c r="H20790" s="5">
        <v>380.488000</v>
      </c>
    </row>
    <row r="20791" spans="1:9">
      <c r="A20791" s="22" t="str">
        <f>HYPERLINK("https://app.vivvix.com/360/KMI/IntelliDrive/ApplUI/Pages/CreativePages/CustomReportCreativeDetail.aspx?App=23&amp;ReportView=4&amp;Qid=1711279&amp;Row=20783&amp;Col=1","No Title Assigned - #15279497214")</f>
        <v/>
      </c>
      <c r="B20791" s="0" t="s">
        <v>27564</v>
      </c>
      <c r="C20791" s="0" t="s">
        <v>27565</v>
      </c>
      <c r="D20791" s="0" t="s">
        <v>4335</v>
      </c>
      <c r="E20791" s="0" t="inlineStr">
        <is>
          <t xml:space="preserve">Mazda</t>
        </is>
      </c>
      <c r="F20791" s="0" t="s">
        <v>13</v>
      </c>
      <c r="G20791" s="0" t="s">
        <v>49</v>
      </c>
      <c r="H20791" s="5">
        <v>131.601300</v>
      </c>
    </row>
    <row r="20792" spans="1:9">
      <c r="A20792" s="22" t="str">
        <f>HYPERLINK("https://app.vivvix.com/360/KMI/IntelliDrive/ApplUI/Pages/CreativePages/CustomReportCreativeDetail.aspx?App=23&amp;ReportView=4&amp;Qid=1711279&amp;Row=20784&amp;Col=1","No Title Assigned - #15279497386")</f>
        <v/>
      </c>
      <c r="B20792" s="0" t="s">
        <v>27566</v>
      </c>
      <c r="C20792" s="0" t="s">
        <v>27567</v>
      </c>
      <c r="D20792" s="0" t="s">
        <v>18512</v>
      </c>
      <c r="E20792" s="0" t="inlineStr">
        <is>
          <t xml:space="preserve">Mazda</t>
        </is>
      </c>
      <c r="F20792" s="0" t="s">
        <v>13</v>
      </c>
      <c r="G20792" s="0" t="s">
        <v>49</v>
      </c>
      <c r="H20792" s="5">
        <v>594.696500</v>
      </c>
    </row>
    <row r="20793" spans="1:9">
      <c r="A20793" s="22" t="str">
        <f>HYPERLINK("https://app.vivvix.com/360/KMI/IntelliDrive/ApplUI/Pages/CreativePages/CustomReportCreativeDetail.aspx?App=23&amp;ReportView=4&amp;Qid=1711279&amp;Row=20785&amp;Col=1","No Title Assigned - #15279497710")</f>
        <v/>
      </c>
      <c r="B20793" s="0" t="s">
        <v>27568</v>
      </c>
      <c r="C20793" s="0" t="s">
        <v>27569</v>
      </c>
      <c r="D20793" s="0" t="s">
        <v>8558</v>
      </c>
      <c r="E20793" s="0" t="inlineStr">
        <is>
          <t xml:space="preserve">Mazda</t>
        </is>
      </c>
      <c r="F20793" s="0" t="s">
        <v>13</v>
      </c>
      <c r="G20793" s="0" t="s">
        <v>49</v>
      </c>
      <c r="H20793" s="5">
        <v>32.167500</v>
      </c>
    </row>
    <row r="20794" spans="1:9">
      <c r="A20794" s="22" t="str">
        <f>HYPERLINK("https://app.vivvix.com/360/KMI/IntelliDrive/ApplUI/Pages/CreativePages/CustomReportCreativeDetail.aspx?App=23&amp;ReportView=4&amp;Qid=1711279&amp;Row=20786&amp;Col=1","No Title Assigned - #15279498077")</f>
        <v/>
      </c>
      <c r="B20794" s="0" t="s">
        <v>27570</v>
      </c>
      <c r="C20794" s="0" t="s">
        <v>27571</v>
      </c>
      <c r="D20794" s="0" t="s">
        <v>27571</v>
      </c>
      <c r="E20794" s="0" t="inlineStr">
        <is>
          <t xml:space="preserve">Mazda</t>
        </is>
      </c>
      <c r="F20794" s="0" t="s">
        <v>13</v>
      </c>
      <c r="G20794" s="0" t="s">
        <v>49</v>
      </c>
      <c r="H20794" s="5">
        <v>133.400500</v>
      </c>
    </row>
    <row r="20795" spans="1:9">
      <c r="A20795" s="22" t="str">
        <f>HYPERLINK("https://app.vivvix.com/360/KMI/IntelliDrive/ApplUI/Pages/CreativePages/CustomReportCreativeDetail.aspx?App=23&amp;ReportView=4&amp;Qid=1711279&amp;Row=20787&amp;Col=1","No Title Assigned - #15279498129")</f>
        <v/>
      </c>
      <c r="B20795" s="0" t="s">
        <v>27572</v>
      </c>
      <c r="C20795" s="0" t="s">
        <v>27573</v>
      </c>
      <c r="D20795" s="0" t="s">
        <v>27573</v>
      </c>
      <c r="E20795" s="0" t="inlineStr">
        <is>
          <t xml:space="preserve">Mazda</t>
        </is>
      </c>
      <c r="F20795" s="0" t="s">
        <v>13</v>
      </c>
      <c r="G20795" s="0" t="s">
        <v>49</v>
      </c>
      <c r="H20795" s="5">
        <v>489.510200</v>
      </c>
    </row>
    <row r="20796" spans="1:9">
      <c r="A20796" s="22" t="str">
        <f>HYPERLINK("https://app.vivvix.com/360/KMI/IntelliDrive/ApplUI/Pages/CreativePages/CustomReportCreativeDetail.aspx?App=23&amp;ReportView=4&amp;Qid=1711279&amp;Row=20788&amp;Col=1","No Title Assigned - #15279498171")</f>
        <v/>
      </c>
      <c r="B20796" s="0" t="s">
        <v>27574</v>
      </c>
      <c r="C20796" s="0" t="s">
        <v>27575</v>
      </c>
      <c r="D20796" s="0" t="s">
        <v>9749</v>
      </c>
      <c r="E20796" s="0" t="inlineStr">
        <is>
          <t xml:space="preserve">Mazda</t>
        </is>
      </c>
      <c r="F20796" s="0" t="s">
        <v>13</v>
      </c>
      <c r="G20796" s="0" t="s">
        <v>49</v>
      </c>
      <c r="H20796" s="5">
        <v>161.400700</v>
      </c>
    </row>
    <row r="20797" spans="1:9">
      <c r="A20797" s="22" t="str">
        <f>HYPERLINK("https://app.vivvix.com/360/KMI/IntelliDrive/ApplUI/Pages/CreativePages/CustomReportCreativeDetail.aspx?App=23&amp;ReportView=4&amp;Qid=1711279&amp;Row=20789&amp;Col=1","No Title Assigned - #15279498865")</f>
        <v/>
      </c>
      <c r="B20797" s="0" t="s">
        <v>27576</v>
      </c>
      <c r="C20797" s="0" t="s">
        <v>27577</v>
      </c>
      <c r="D20797" s="0" t="s">
        <v>27577</v>
      </c>
      <c r="E20797" s="0" t="inlineStr">
        <is>
          <t xml:space="preserve">Mazda</t>
        </is>
      </c>
      <c r="F20797" s="0" t="s">
        <v>13</v>
      </c>
      <c r="G20797" s="0" t="s">
        <v>49</v>
      </c>
      <c r="H20797" s="5">
        <v>1068.009600</v>
      </c>
    </row>
    <row r="20798" spans="1:9">
      <c r="A20798" s="22" t="str">
        <f>HYPERLINK("https://app.vivvix.com/360/KMI/IntelliDrive/ApplUI/Pages/CreativePages/CustomReportCreativeDetail.aspx?App=23&amp;ReportView=4&amp;Qid=1711279&amp;Row=20790&amp;Col=1","No Title Assigned - #15279499684")</f>
        <v/>
      </c>
      <c r="B20798" s="0" t="s">
        <v>27578</v>
      </c>
      <c r="C20798" s="0" t="s">
        <v>27579</v>
      </c>
      <c r="D20798" s="0" t="s">
        <v>27579</v>
      </c>
      <c r="E20798" s="0" t="inlineStr">
        <is>
          <t xml:space="preserve">Mazda</t>
        </is>
      </c>
      <c r="F20798" s="0" t="s">
        <v>13</v>
      </c>
      <c r="G20798" s="0" t="s">
        <v>49</v>
      </c>
      <c r="H20798" s="5">
        <v>1066.180200</v>
      </c>
    </row>
    <row r="20799" spans="1:9">
      <c r="A20799" s="22" t="str">
        <f>HYPERLINK("https://app.vivvix.com/360/KMI/IntelliDrive/ApplUI/Pages/CreativePages/CustomReportCreativeDetail.aspx?App=23&amp;ReportView=4&amp;Qid=1711279&amp;Row=20791&amp;Col=1","No Title Assigned - #15279499784")</f>
        <v/>
      </c>
      <c r="B20799" s="0" t="s">
        <v>27580</v>
      </c>
      <c r="C20799" s="0" t="s">
        <v>27581</v>
      </c>
      <c r="D20799" s="0" t="s">
        <v>27581</v>
      </c>
      <c r="E20799" s="0" t="inlineStr">
        <is>
          <t xml:space="preserve">Mazda</t>
        </is>
      </c>
      <c r="F20799" s="0" t="s">
        <v>13</v>
      </c>
      <c r="G20799" s="0" t="s">
        <v>49</v>
      </c>
      <c r="H20799" s="5">
        <v>336.819100</v>
      </c>
    </row>
    <row r="20800" spans="1:9">
      <c r="A20800" s="22" t="str">
        <f>HYPERLINK("https://app.vivvix.com/360/KMI/IntelliDrive/ApplUI/Pages/CreativePages/CustomReportCreativeDetail.aspx?App=23&amp;ReportView=4&amp;Qid=1711279&amp;Row=20792&amp;Col=1","No Title Assigned - #15279499784")</f>
        <v/>
      </c>
      <c r="B20800" s="0" t="s">
        <v>27580</v>
      </c>
      <c r="E20800" s="0" t="inlineStr">
        <is>
          <t xml:space="preserve">Mazda</t>
        </is>
      </c>
      <c r="F20800" s="0" t="s">
        <v>13</v>
      </c>
      <c r="G20800" s="0" t="s">
        <v>49</v>
      </c>
      <c r="H20800" s="5">
        <v>505.258200</v>
      </c>
    </row>
    <row r="20801" spans="1:9">
      <c r="A20801" s="22" t="str">
        <f>HYPERLINK("https://app.vivvix.com/360/KMI/IntelliDrive/ApplUI/Pages/CreativePages/CustomReportCreativeDetail.aspx?App=23&amp;ReportView=4&amp;Qid=1711279&amp;Row=20793&amp;Col=1","No Title Assigned - #15279499932")</f>
        <v/>
      </c>
      <c r="B20801" s="0" t="s">
        <v>27582</v>
      </c>
      <c r="E20801" s="0" t="inlineStr">
        <is>
          <t xml:space="preserve">Mazda</t>
        </is>
      </c>
      <c r="F20801" s="0" t="inlineStr">
        <is>
          <t xml:space="preserve">Mazda</t>
        </is>
      </c>
      <c r="G20801" s="0" t="s">
        <v>171</v>
      </c>
      <c r="H20801" s="5">
        <v>61.019400</v>
      </c>
    </row>
    <row r="20802" spans="1:9">
      <c r="A20802" s="22" t="str">
        <f>HYPERLINK("https://app.vivvix.com/360/KMI/IntelliDrive/ApplUI/Pages/CreativePages/CustomReportCreativeDetail.aspx?App=23&amp;ReportView=4&amp;Qid=1711279&amp;Row=20794&amp;Col=1","No Title Assigned - #15279500421")</f>
        <v/>
      </c>
      <c r="B20802" s="0" t="s">
        <v>27583</v>
      </c>
      <c r="C20802" s="0" t="s">
        <v>27584</v>
      </c>
      <c r="D20802" s="0" t="s">
        <v>8560</v>
      </c>
      <c r="E20802" s="0" t="inlineStr">
        <is>
          <t xml:space="preserve">Mazda</t>
        </is>
      </c>
      <c r="F20802" s="0" t="s">
        <v>13</v>
      </c>
      <c r="G20802" s="0" t="s">
        <v>49</v>
      </c>
      <c r="H20802" s="5">
        <v>19.908600</v>
      </c>
    </row>
    <row r="20803" spans="1:9">
      <c r="A20803" s="22" t="str">
        <f>HYPERLINK("https://app.vivvix.com/360/KMI/IntelliDrive/ApplUI/Pages/CreativePages/CustomReportCreativeDetail.aspx?App=23&amp;ReportView=4&amp;Qid=1711279&amp;Row=20795&amp;Col=1","No Title Assigned - #15279500433")</f>
        <v/>
      </c>
      <c r="B20803" s="0" t="s">
        <v>27585</v>
      </c>
      <c r="C20803" s="0" t="s">
        <v>27586</v>
      </c>
      <c r="D20803" s="0" t="s">
        <v>27586</v>
      </c>
      <c r="E20803" s="0" t="inlineStr">
        <is>
          <t xml:space="preserve">Mazda</t>
        </is>
      </c>
      <c r="F20803" s="0" t="s">
        <v>13</v>
      </c>
      <c r="G20803" s="0" t="s">
        <v>49</v>
      </c>
      <c r="H20803" s="5">
        <v>247.391900</v>
      </c>
    </row>
    <row r="20804" spans="1:9">
      <c r="A20804" s="22" t="str">
        <f>HYPERLINK("https://app.vivvix.com/360/KMI/IntelliDrive/ApplUI/Pages/CreativePages/CustomReportCreativeDetail.aspx?App=23&amp;ReportView=4&amp;Qid=1711279&amp;Row=20796&amp;Col=1","No Title Assigned - #15279501857")</f>
        <v/>
      </c>
      <c r="B20804" s="0" t="s">
        <v>27587</v>
      </c>
      <c r="C20804" s="0" t="s">
        <v>27588</v>
      </c>
      <c r="D20804" s="0" t="s">
        <v>23374</v>
      </c>
      <c r="E20804" s="0" t="inlineStr">
        <is>
          <t xml:space="preserve">Mazda</t>
        </is>
      </c>
      <c r="F20804" s="0" t="s">
        <v>13</v>
      </c>
      <c r="G20804" s="0" t="s">
        <v>49</v>
      </c>
      <c r="H20804" s="5">
        <v>32.167500</v>
      </c>
    </row>
    <row r="20805" spans="1:9">
      <c r="A20805" s="22" t="str">
        <f>HYPERLINK("https://app.vivvix.com/360/KMI/IntelliDrive/ApplUI/Pages/CreativePages/CustomReportCreativeDetail.aspx?App=23&amp;ReportView=4&amp;Qid=1711279&amp;Row=20797&amp;Col=1","No Title Assigned - #15279502720")</f>
        <v/>
      </c>
      <c r="B20805" s="0" t="s">
        <v>27589</v>
      </c>
      <c r="E20805" s="0" t="inlineStr">
        <is>
          <t xml:space="preserve">Mazda</t>
        </is>
      </c>
      <c r="F20805" s="0" t="inlineStr">
        <is>
          <t xml:space="preserve">Mazda</t>
        </is>
      </c>
      <c r="G20805" s="0" t="s">
        <v>171</v>
      </c>
      <c r="H20805" s="5">
        <v>105.031600</v>
      </c>
    </row>
    <row r="20806" spans="1:9">
      <c r="A20806" s="22" t="str">
        <f>HYPERLINK("https://app.vivvix.com/360/KMI/IntelliDrive/ApplUI/Pages/CreativePages/CustomReportCreativeDetail.aspx?App=23&amp;ReportView=4&amp;Qid=1711279&amp;Row=20798&amp;Col=1","No Title Assigned - #15279513543")</f>
        <v/>
      </c>
      <c r="B20806" s="0" t="s">
        <v>27590</v>
      </c>
      <c r="E20806" s="0" t="inlineStr">
        <is>
          <t xml:space="preserve">Mazda</t>
        </is>
      </c>
      <c r="F20806" s="0" t="inlineStr">
        <is>
          <t xml:space="preserve">Mazda</t>
        </is>
      </c>
      <c r="G20806" s="0" t="s">
        <v>171</v>
      </c>
      <c r="H20806" s="5">
        <v>1.216000</v>
      </c>
    </row>
    <row r="20807" spans="1:9">
      <c r="A20807" s="22" t="str">
        <f>HYPERLINK("https://app.vivvix.com/360/KMI/IntelliDrive/ApplUI/Pages/CreativePages/CustomReportCreativeDetail.aspx?App=23&amp;ReportView=4&amp;Qid=1711279&amp;Row=20799&amp;Col=1","No Title Assigned - #15279514520")</f>
        <v/>
      </c>
      <c r="B20807" s="0" t="s">
        <v>27591</v>
      </c>
      <c r="E20807" s="0" t="inlineStr">
        <is>
          <t xml:space="preserve">Mazda</t>
        </is>
      </c>
      <c r="F20807" s="0" t="inlineStr">
        <is>
          <t xml:space="preserve">Mazda</t>
        </is>
      </c>
      <c r="G20807" s="0" t="s">
        <v>171</v>
      </c>
      <c r="H20807" s="5">
        <v>465.015800</v>
      </c>
    </row>
    <row r="20808" spans="1:9">
      <c r="A20808" s="22" t="str">
        <f>HYPERLINK("https://app.vivvix.com/360/KMI/IntelliDrive/ApplUI/Pages/CreativePages/CustomReportCreativeDetail.aspx?App=23&amp;ReportView=4&amp;Qid=1711279&amp;Row=20800&amp;Col=1","No Title Assigned - #15279517603")</f>
        <v/>
      </c>
      <c r="B20808" s="0" t="s">
        <v>27592</v>
      </c>
      <c r="E20808" s="0" t="inlineStr">
        <is>
          <t xml:space="preserve">Mazda</t>
        </is>
      </c>
      <c r="F20808" s="0" t="inlineStr">
        <is>
          <t xml:space="preserve">Mazda</t>
        </is>
      </c>
      <c r="G20808" s="0" t="s">
        <v>171</v>
      </c>
      <c r="H20808" s="5">
        <v>14.444300</v>
      </c>
    </row>
    <row r="20809" spans="1:9">
      <c r="A20809" s="22" t="str">
        <f>HYPERLINK("https://app.vivvix.com/360/KMI/IntelliDrive/ApplUI/Pages/CreativePages/CustomReportCreativeDetail.aspx?App=23&amp;ReportView=4&amp;Qid=1711279&amp;Row=20801&amp;Col=1","No Title Assigned - #15279521867")</f>
        <v/>
      </c>
      <c r="B20809" s="0" t="s">
        <v>27593</v>
      </c>
      <c r="E20809" s="0" t="inlineStr">
        <is>
          <t xml:space="preserve">Mazda</t>
        </is>
      </c>
      <c r="F20809" s="0" t="inlineStr">
        <is>
          <t xml:space="preserve">Mazda</t>
        </is>
      </c>
      <c r="G20809" s="0" t="s">
        <v>171</v>
      </c>
      <c r="H20809" s="5">
        <v>61.019400</v>
      </c>
    </row>
    <row r="20810" spans="1:9">
      <c r="A20810" s="22" t="str">
        <f>HYPERLINK("https://app.vivvix.com/360/KMI/IntelliDrive/ApplUI/Pages/CreativePages/CustomReportCreativeDetail.aspx?App=23&amp;ReportView=4&amp;Qid=1711279&amp;Row=20802&amp;Col=1","No Title Assigned - #15279522550")</f>
        <v/>
      </c>
      <c r="B20810" s="0" t="s">
        <v>27594</v>
      </c>
      <c r="E20810" s="0" t="inlineStr">
        <is>
          <t xml:space="preserve">Mazda</t>
        </is>
      </c>
      <c r="F20810" s="0" t="inlineStr">
        <is>
          <t xml:space="preserve">Mazda</t>
        </is>
      </c>
      <c r="G20810" s="0" t="s">
        <v>171</v>
      </c>
      <c r="H20810" s="5">
        <v>85.041500</v>
      </c>
    </row>
    <row r="20811" spans="1:9">
      <c r="A20811" s="22" t="str">
        <f>HYPERLINK("https://app.vivvix.com/360/KMI/IntelliDrive/ApplUI/Pages/CreativePages/CustomReportCreativeDetail.aspx?App=23&amp;ReportView=4&amp;Qid=1711279&amp;Row=20803&amp;Col=1","No Title Assigned - #15279522570")</f>
        <v/>
      </c>
      <c r="B20811" s="0" t="s">
        <v>27595</v>
      </c>
      <c r="E20811" s="0" t="inlineStr">
        <is>
          <t xml:space="preserve">Mazda</t>
        </is>
      </c>
      <c r="F20811" s="0" t="inlineStr">
        <is>
          <t xml:space="preserve">Mazda</t>
        </is>
      </c>
      <c r="G20811" s="0" t="s">
        <v>171</v>
      </c>
      <c r="H20811" s="5">
        <v>5.448600</v>
      </c>
    </row>
    <row r="20812" spans="1:9">
      <c r="A20812" s="22" t="str">
        <f>HYPERLINK("https://app.vivvix.com/360/KMI/IntelliDrive/ApplUI/Pages/CreativePages/CustomReportCreativeDetail.aspx?App=23&amp;ReportView=4&amp;Qid=1711279&amp;Row=20804&amp;Col=1","No Title Assigned - #15279523440")</f>
        <v/>
      </c>
      <c r="B20812" s="0" t="s">
        <v>27596</v>
      </c>
      <c r="C20812" s="0" t="s">
        <v>27597</v>
      </c>
      <c r="D20812" s="0" t="s">
        <v>8439</v>
      </c>
      <c r="E20812" s="0" t="inlineStr">
        <is>
          <t xml:space="preserve">Mazda</t>
        </is>
      </c>
      <c r="F20812" s="0" t="s">
        <v>13</v>
      </c>
      <c r="G20812" s="0" t="s">
        <v>49</v>
      </c>
      <c r="H20812" s="5">
        <v>2.220900</v>
      </c>
    </row>
    <row r="20813" spans="1:9">
      <c r="A20813" s="22" t="str">
        <f>HYPERLINK("https://app.vivvix.com/360/KMI/IntelliDrive/ApplUI/Pages/CreativePages/CustomReportCreativeDetail.aspx?App=23&amp;ReportView=4&amp;Qid=1711279&amp;Row=20805&amp;Col=1","No Title Assigned - #15279523539")</f>
        <v/>
      </c>
      <c r="B20813" s="0" t="s">
        <v>27598</v>
      </c>
      <c r="C20813" s="0" t="s">
        <v>27599</v>
      </c>
      <c r="D20813" s="0" t="s">
        <v>8560</v>
      </c>
      <c r="E20813" s="0" t="inlineStr">
        <is>
          <t xml:space="preserve">Mazda</t>
        </is>
      </c>
      <c r="F20813" s="0" t="s">
        <v>13</v>
      </c>
      <c r="G20813" s="0" t="s">
        <v>49</v>
      </c>
      <c r="H20813" s="5">
        <v>29.617700</v>
      </c>
    </row>
    <row r="20814" spans="1:9">
      <c r="A20814" s="22" t="str">
        <f>HYPERLINK("https://app.vivvix.com/360/KMI/IntelliDrive/ApplUI/Pages/CreativePages/CustomReportCreativeDetail.aspx?App=23&amp;ReportView=4&amp;Qid=1711279&amp;Row=20806&amp;Col=1","No Title Assigned - #15279524986")</f>
        <v/>
      </c>
      <c r="B20814" s="0" t="s">
        <v>27600</v>
      </c>
      <c r="C20814" s="0" t="s">
        <v>27601</v>
      </c>
      <c r="D20814" s="0" t="s">
        <v>27601</v>
      </c>
      <c r="E20814" s="0" t="inlineStr">
        <is>
          <t xml:space="preserve">Mazda</t>
        </is>
      </c>
      <c r="F20814" s="0" t="inlineStr">
        <is>
          <t xml:space="preserve">Mazda</t>
        </is>
      </c>
      <c r="G20814" s="0" t="s">
        <v>210</v>
      </c>
      <c r="H20814" s="5">
        <v>817.040700</v>
      </c>
    </row>
    <row r="20815" spans="1:9">
      <c r="A20815" s="22" t="str">
        <f>HYPERLINK("https://app.vivvix.com/360/KMI/IntelliDrive/ApplUI/Pages/CreativePages/CustomReportCreativeDetail.aspx?App=23&amp;ReportView=4&amp;Qid=1711279&amp;Row=20807&amp;Col=1","No Title Assigned - #15279526588")</f>
        <v/>
      </c>
      <c r="B20815" s="0" t="s">
        <v>27602</v>
      </c>
      <c r="C20815" s="0" t="s">
        <v>27603</v>
      </c>
      <c r="D20815" s="0" t="s">
        <v>21265</v>
      </c>
      <c r="E20815" s="0" t="inlineStr">
        <is>
          <t xml:space="preserve">Mazda</t>
        </is>
      </c>
      <c r="F20815" s="0" t="s">
        <v>13</v>
      </c>
      <c r="G20815" s="0" t="s">
        <v>49</v>
      </c>
      <c r="H20815" s="5">
        <v>52.139500</v>
      </c>
    </row>
    <row r="20816" spans="1:9">
      <c r="A20816" s="22" t="str">
        <f>HYPERLINK("https://app.vivvix.com/360/KMI/IntelliDrive/ApplUI/Pages/CreativePages/CustomReportCreativeDetail.aspx?App=23&amp;ReportView=4&amp;Qid=1711279&amp;Row=20808&amp;Col=1","No Title Assigned - #15279527225")</f>
        <v/>
      </c>
      <c r="B20816" s="0" t="s">
        <v>27604</v>
      </c>
      <c r="C20816" s="0" t="s">
        <v>27605</v>
      </c>
      <c r="D20816" s="0" t="s">
        <v>27605</v>
      </c>
      <c r="E20816" s="0" t="inlineStr">
        <is>
          <t xml:space="preserve">Mazda</t>
        </is>
      </c>
      <c r="F20816" s="0" t="s">
        <v>13</v>
      </c>
      <c r="G20816" s="0" t="s">
        <v>49</v>
      </c>
      <c r="H20816" s="5">
        <v>680.851000</v>
      </c>
    </row>
    <row r="20817" spans="1:9">
      <c r="A20817" s="22" t="str">
        <f>HYPERLINK("https://app.vivvix.com/360/KMI/IntelliDrive/ApplUI/Pages/CreativePages/CustomReportCreativeDetail.aspx?App=23&amp;ReportView=4&amp;Qid=1711279&amp;Row=20809&amp;Col=1","No Title Assigned - #15279527365")</f>
        <v/>
      </c>
      <c r="B20817" s="0" t="s">
        <v>27606</v>
      </c>
      <c r="C20817" s="0" t="s">
        <v>27607</v>
      </c>
      <c r="D20817" s="0" t="s">
        <v>19006</v>
      </c>
      <c r="E20817" s="0" t="inlineStr">
        <is>
          <t xml:space="preserve">Mazda</t>
        </is>
      </c>
      <c r="F20817" s="0" t="s">
        <v>13</v>
      </c>
      <c r="G20817" s="0" t="s">
        <v>49</v>
      </c>
      <c r="H20817" s="5">
        <v>928.146600</v>
      </c>
    </row>
    <row r="20818" spans="1:9">
      <c r="A20818" s="22" t="str">
        <f>HYPERLINK("https://app.vivvix.com/360/KMI/IntelliDrive/ApplUI/Pages/CreativePages/CustomReportCreativeDetail.aspx?App=23&amp;ReportView=4&amp;Qid=1711279&amp;Row=20810&amp;Col=1","No Title Assigned - #15279527845")</f>
        <v/>
      </c>
      <c r="B20818" s="0" t="s">
        <v>27608</v>
      </c>
      <c r="E20818" s="0" t="inlineStr">
        <is>
          <t xml:space="preserve">Mazda</t>
        </is>
      </c>
      <c r="F20818" s="0" t="s">
        <v>13</v>
      </c>
      <c r="G20818" s="0" t="s">
        <v>49</v>
      </c>
      <c r="H20818" s="5">
        <v>486.558300</v>
      </c>
    </row>
    <row r="20819" spans="1:9">
      <c r="A20819" s="22" t="str">
        <f>HYPERLINK("https://app.vivvix.com/360/KMI/IntelliDrive/ApplUI/Pages/CreativePages/CustomReportCreativeDetail.aspx?App=23&amp;ReportView=4&amp;Qid=1711279&amp;Row=20811&amp;Col=1","No Title Assigned - #15279527845")</f>
        <v/>
      </c>
      <c r="B20819" s="0" t="s">
        <v>27608</v>
      </c>
      <c r="C20819" s="0" t="s">
        <v>27609</v>
      </c>
      <c r="D20819" s="0" t="s">
        <v>19006</v>
      </c>
      <c r="E20819" s="0" t="inlineStr">
        <is>
          <t xml:space="preserve">Mazda</t>
        </is>
      </c>
      <c r="F20819" s="0" t="s">
        <v>13</v>
      </c>
      <c r="G20819" s="0" t="s">
        <v>49</v>
      </c>
      <c r="H20819" s="5">
        <v>276.034200</v>
      </c>
    </row>
    <row r="20820" spans="1:9">
      <c r="A20820" s="22" t="str">
        <f>HYPERLINK("https://app.vivvix.com/360/KMI/IntelliDrive/ApplUI/Pages/CreativePages/CustomReportCreativeDetail.aspx?App=23&amp;ReportView=4&amp;Qid=1711279&amp;Row=20812&amp;Col=1","No Title Assigned - #15279528313")</f>
        <v/>
      </c>
      <c r="B20820" s="0" t="s">
        <v>27610</v>
      </c>
      <c r="C20820" s="0" t="s">
        <v>27611</v>
      </c>
      <c r="D20820" s="0" t="s">
        <v>27611</v>
      </c>
      <c r="E20820" s="0" t="inlineStr">
        <is>
          <t xml:space="preserve">Mazda</t>
        </is>
      </c>
      <c r="F20820" s="0" t="s">
        <v>13</v>
      </c>
      <c r="G20820" s="0" t="s">
        <v>49</v>
      </c>
      <c r="H20820" s="5">
        <v>840.594000</v>
      </c>
    </row>
    <row r="20821" spans="1:9">
      <c r="A20821" s="22" t="str">
        <f>HYPERLINK("https://app.vivvix.com/360/KMI/IntelliDrive/ApplUI/Pages/CreativePages/CustomReportCreativeDetail.aspx?App=23&amp;ReportView=4&amp;Qid=1711279&amp;Row=20813&amp;Col=1","No Title Assigned - #15279528380")</f>
        <v/>
      </c>
      <c r="B20821" s="0" t="s">
        <v>27612</v>
      </c>
      <c r="C20821" s="0" t="s">
        <v>27613</v>
      </c>
      <c r="D20821" s="0" t="s">
        <v>27613</v>
      </c>
      <c r="E20821" s="0" t="inlineStr">
        <is>
          <t xml:space="preserve">Mazda</t>
        </is>
      </c>
      <c r="F20821" s="0" t="inlineStr">
        <is>
          <t xml:space="preserve">Mazda</t>
        </is>
      </c>
      <c r="G20821" s="0" t="s">
        <v>210</v>
      </c>
      <c r="H20821" s="5">
        <v>135.889100</v>
      </c>
    </row>
    <row r="20822" spans="1:9">
      <c r="A20822" s="22" t="str">
        <f>HYPERLINK("https://app.vivvix.com/360/KMI/IntelliDrive/ApplUI/Pages/CreativePages/CustomReportCreativeDetail.aspx?App=23&amp;ReportView=4&amp;Qid=1711279&amp;Row=20814&amp;Col=1","No Title Assigned - #15279528788")</f>
        <v/>
      </c>
      <c r="B20822" s="0" t="s">
        <v>27614</v>
      </c>
      <c r="C20822" s="0" t="s">
        <v>27615</v>
      </c>
      <c r="D20822" s="0" t="s">
        <v>27615</v>
      </c>
      <c r="E20822" s="0" t="inlineStr">
        <is>
          <t xml:space="preserve">Mazda</t>
        </is>
      </c>
      <c r="F20822" s="0" t="s">
        <v>17</v>
      </c>
      <c r="G20822" s="0" t="s">
        <v>33</v>
      </c>
      <c r="H20822" s="5">
        <v>1052.770500</v>
      </c>
    </row>
    <row r="20823" spans="1:9">
      <c r="A20823" s="22" t="str">
        <f>HYPERLINK("https://app.vivvix.com/360/KMI/IntelliDrive/ApplUI/Pages/CreativePages/CustomReportCreativeDetail.aspx?App=23&amp;ReportView=4&amp;Qid=1711279&amp;Row=20815&amp;Col=1","No Title Assigned - #15279530669")</f>
        <v/>
      </c>
      <c r="B20823" s="0" t="s">
        <v>27616</v>
      </c>
      <c r="C20823" s="0" t="s">
        <v>27617</v>
      </c>
      <c r="D20823" s="0" t="s">
        <v>27617</v>
      </c>
      <c r="E20823" s="0" t="inlineStr">
        <is>
          <t xml:space="preserve">Mazda</t>
        </is>
      </c>
      <c r="F20823" s="0" t="s">
        <v>13</v>
      </c>
      <c r="G20823" s="0" t="s">
        <v>49</v>
      </c>
      <c r="H20823" s="5">
        <v>592.713400</v>
      </c>
    </row>
    <row r="20824" spans="1:9">
      <c r="A20824" s="22" t="str">
        <f>HYPERLINK("https://app.vivvix.com/360/KMI/IntelliDrive/ApplUI/Pages/CreativePages/CustomReportCreativeDetail.aspx?App=23&amp;ReportView=4&amp;Qid=1711279&amp;Row=20816&amp;Col=1","No Title Assigned - #15279531695")</f>
        <v/>
      </c>
      <c r="B20824" s="0" t="s">
        <v>27618</v>
      </c>
      <c r="C20824" s="0" t="s">
        <v>27619</v>
      </c>
      <c r="D20824" s="0" t="s">
        <v>27619</v>
      </c>
      <c r="E20824" s="0" t="inlineStr">
        <is>
          <t xml:space="preserve">Mazda</t>
        </is>
      </c>
      <c r="F20824" s="0" t="s">
        <v>13</v>
      </c>
      <c r="G20824" s="0" t="s">
        <v>49</v>
      </c>
      <c r="H20824" s="5">
        <v>8.209200</v>
      </c>
    </row>
    <row r="20825" spans="1:9">
      <c r="A20825" s="22" t="str">
        <f>HYPERLINK("https://app.vivvix.com/360/KMI/IntelliDrive/ApplUI/Pages/CreativePages/CustomReportCreativeDetail.aspx?App=23&amp;ReportView=4&amp;Qid=1711279&amp;Row=20817&amp;Col=1","No Title Assigned - #15279532346")</f>
        <v/>
      </c>
      <c r="B20825" s="0" t="s">
        <v>27620</v>
      </c>
      <c r="C20825" s="0" t="s">
        <v>27621</v>
      </c>
      <c r="D20825" s="0" t="s">
        <v>9167</v>
      </c>
      <c r="E20825" s="0" t="inlineStr">
        <is>
          <t xml:space="preserve">Mazda</t>
        </is>
      </c>
      <c r="F20825" s="0" t="s">
        <v>13</v>
      </c>
      <c r="G20825" s="0" t="s">
        <v>49</v>
      </c>
      <c r="H20825" s="5">
        <v>1875.985300</v>
      </c>
    </row>
    <row r="20826" spans="1:9">
      <c r="A20826" s="22" t="str">
        <f>HYPERLINK("https://app.vivvix.com/360/KMI/IntelliDrive/ApplUI/Pages/CreativePages/CustomReportCreativeDetail.aspx?App=23&amp;ReportView=4&amp;Qid=1711279&amp;Row=20818&amp;Col=1","No Title Assigned - #15279533108")</f>
        <v/>
      </c>
      <c r="B20826" s="0" t="s">
        <v>27622</v>
      </c>
      <c r="C20826" s="0" t="s">
        <v>27623</v>
      </c>
      <c r="D20826" s="0" t="s">
        <v>27623</v>
      </c>
      <c r="E20826" s="0" t="inlineStr">
        <is>
          <t xml:space="preserve">Mazda</t>
        </is>
      </c>
      <c r="F20826" s="0" t="s">
        <v>13</v>
      </c>
      <c r="G20826" s="0" t="s">
        <v>49</v>
      </c>
      <c r="H20826" s="5">
        <v>26.019900</v>
      </c>
    </row>
    <row r="20827" spans="1:9">
      <c r="A20827" s="22" t="str">
        <f>HYPERLINK("https://app.vivvix.com/360/KMI/IntelliDrive/ApplUI/Pages/CreativePages/CustomReportCreativeDetail.aspx?App=23&amp;ReportView=4&amp;Qid=1711279&amp;Row=20819&amp;Col=1","No Title Assigned - #15279533360")</f>
        <v/>
      </c>
      <c r="B20827" s="0" t="s">
        <v>27624</v>
      </c>
      <c r="C20827" s="0" t="s">
        <v>27625</v>
      </c>
      <c r="D20827" s="0" t="s">
        <v>4335</v>
      </c>
      <c r="E20827" s="0" t="inlineStr">
        <is>
          <t xml:space="preserve">Mazda</t>
        </is>
      </c>
      <c r="F20827" s="0" t="s">
        <v>13</v>
      </c>
      <c r="G20827" s="0" t="s">
        <v>49</v>
      </c>
      <c r="H20827" s="5">
        <v>20.050200</v>
      </c>
    </row>
    <row r="20828" spans="1:9">
      <c r="A20828" s="22" t="str">
        <f>HYPERLINK("https://app.vivvix.com/360/KMI/IntelliDrive/ApplUI/Pages/CreativePages/CustomReportCreativeDetail.aspx?App=23&amp;ReportView=4&amp;Qid=1711279&amp;Row=20820&amp;Col=1","No Title Assigned - #15279534432")</f>
        <v/>
      </c>
      <c r="B20828" s="0" t="s">
        <v>27626</v>
      </c>
      <c r="C20828" s="0" t="s">
        <v>27627</v>
      </c>
      <c r="D20828" s="0" t="s">
        <v>27627</v>
      </c>
      <c r="E20828" s="0" t="inlineStr">
        <is>
          <t xml:space="preserve">Mazda</t>
        </is>
      </c>
      <c r="F20828" s="0" t="s">
        <v>13</v>
      </c>
      <c r="G20828" s="0" t="s">
        <v>49</v>
      </c>
      <c r="H20828" s="5">
        <v>455.996600</v>
      </c>
    </row>
    <row r="20829" spans="1:9">
      <c r="A20829" s="22" t="str">
        <f>HYPERLINK("https://app.vivvix.com/360/KMI/IntelliDrive/ApplUI/Pages/CreativePages/CustomReportCreativeDetail.aspx?App=23&amp;ReportView=4&amp;Qid=1711279&amp;Row=20821&amp;Col=1","No Title Assigned - #15279534496")</f>
        <v/>
      </c>
      <c r="B20829" s="0" t="s">
        <v>27628</v>
      </c>
      <c r="C20829" s="0" t="s">
        <v>27629</v>
      </c>
      <c r="D20829" s="0" t="s">
        <v>4774</v>
      </c>
      <c r="E20829" s="0" t="inlineStr">
        <is>
          <t xml:space="preserve">Mazda</t>
        </is>
      </c>
      <c r="F20829" s="0" t="s">
        <v>13</v>
      </c>
      <c r="G20829" s="0" t="s">
        <v>49</v>
      </c>
      <c r="H20829" s="5">
        <v>87.998400</v>
      </c>
    </row>
    <row r="20830" spans="1:9">
      <c r="A20830" s="22" t="str">
        <f>HYPERLINK("https://app.vivvix.com/360/KMI/IntelliDrive/ApplUI/Pages/CreativePages/CustomReportCreativeDetail.aspx?App=23&amp;ReportView=4&amp;Qid=1711279&amp;Row=20822&amp;Col=1","No Title Assigned - #15279534613")</f>
        <v/>
      </c>
      <c r="B20830" s="0" t="s">
        <v>27630</v>
      </c>
      <c r="C20830" s="0" t="s">
        <v>27631</v>
      </c>
      <c r="D20830" s="0" t="s">
        <v>27631</v>
      </c>
      <c r="E20830" s="0" t="inlineStr">
        <is>
          <t xml:space="preserve">Mazda</t>
        </is>
      </c>
      <c r="F20830" s="0" t="s">
        <v>13</v>
      </c>
      <c r="G20830" s="0" t="s">
        <v>49</v>
      </c>
      <c r="H20830" s="5">
        <v>328.282800</v>
      </c>
    </row>
    <row r="20831" spans="1:9">
      <c r="A20831" s="22" t="str">
        <f>HYPERLINK("https://app.vivvix.com/360/KMI/IntelliDrive/ApplUI/Pages/CreativePages/CustomReportCreativeDetail.aspx?App=23&amp;ReportView=4&amp;Qid=1711279&amp;Row=20823&amp;Col=1","No Title Assigned - #15279536069")</f>
        <v/>
      </c>
      <c r="B20831" s="0" t="s">
        <v>27632</v>
      </c>
      <c r="E20831" s="0" t="inlineStr">
        <is>
          <t xml:space="preserve">Mazda</t>
        </is>
      </c>
      <c r="F20831" s="0" t="inlineStr">
        <is>
          <t xml:space="preserve">Mazda</t>
        </is>
      </c>
      <c r="G20831" s="0" t="s">
        <v>171</v>
      </c>
      <c r="H20831" s="5">
        <v>612.102400</v>
      </c>
    </row>
    <row r="20832" spans="1:9">
      <c r="A20832" s="22" t="str">
        <f>HYPERLINK("https://app.vivvix.com/360/KMI/IntelliDrive/ApplUI/Pages/CreativePages/CustomReportCreativeDetail.aspx?App=23&amp;ReportView=4&amp;Qid=1711279&amp;Row=20824&amp;Col=1","No Title Assigned - #15279536069")</f>
        <v/>
      </c>
      <c r="B20832" s="0" t="s">
        <v>27632</v>
      </c>
      <c r="E20832" s="0" t="inlineStr">
        <is>
          <t xml:space="preserve">Mazda</t>
        </is>
      </c>
      <c r="F20832" s="0" t="inlineStr">
        <is>
          <t xml:space="preserve">Mazda</t>
        </is>
      </c>
      <c r="G20832" s="0" t="s">
        <v>171</v>
      </c>
      <c r="H20832" s="5">
        <v>373.561900</v>
      </c>
    </row>
    <row r="20833" spans="1:9">
      <c r="A20833" s="22" t="str">
        <f>HYPERLINK("https://app.vivvix.com/360/KMI/IntelliDrive/ApplUI/Pages/CreativePages/CustomReportCreativeDetail.aspx?App=23&amp;ReportView=4&amp;Qid=1711279&amp;Row=20825&amp;Col=1","No Title Assigned - #15279536431")</f>
        <v/>
      </c>
      <c r="B20833" s="0" t="s">
        <v>27633</v>
      </c>
      <c r="C20833" s="0" t="s">
        <v>27634</v>
      </c>
      <c r="D20833" s="0" t="s">
        <v>27634</v>
      </c>
      <c r="E20833" s="0" t="inlineStr">
        <is>
          <t xml:space="preserve">Mazda</t>
        </is>
      </c>
      <c r="F20833" s="0" t="inlineStr">
        <is>
          <t xml:space="preserve">Mazda</t>
        </is>
      </c>
      <c r="G20833" s="0" t="s">
        <v>171</v>
      </c>
      <c r="H20833" s="5">
        <v>30.899900</v>
      </c>
    </row>
    <row r="20834" spans="1:9">
      <c r="A20834" s="22" t="str">
        <f>HYPERLINK("https://app.vivvix.com/360/KMI/IntelliDrive/ApplUI/Pages/CreativePages/CustomReportCreativeDetail.aspx?App=23&amp;ReportView=4&amp;Qid=1711279&amp;Row=20826&amp;Col=1","No Title Assigned - #15279537360")</f>
        <v/>
      </c>
      <c r="B20834" s="0" t="s">
        <v>27635</v>
      </c>
      <c r="E20834" s="0" t="inlineStr">
        <is>
          <t xml:space="preserve">Mazda</t>
        </is>
      </c>
      <c r="F20834" s="0" t="inlineStr">
        <is>
          <t xml:space="preserve">Mazda</t>
        </is>
      </c>
      <c r="G20834" s="0" t="s">
        <v>171</v>
      </c>
      <c r="H20834" s="5">
        <v>466.002900</v>
      </c>
    </row>
    <row r="20835" spans="1:9">
      <c r="A20835" s="22" t="str">
        <f>HYPERLINK("https://app.vivvix.com/360/KMI/IntelliDrive/ApplUI/Pages/CreativePages/CustomReportCreativeDetail.aspx?App=23&amp;ReportView=4&amp;Qid=1711279&amp;Row=20827&amp;Col=1","No Title Assigned - #15279537538")</f>
        <v/>
      </c>
      <c r="B20835" s="0" t="s">
        <v>27636</v>
      </c>
      <c r="C20835" s="0" t="s">
        <v>27637</v>
      </c>
      <c r="D20835" s="0" t="s">
        <v>27637</v>
      </c>
      <c r="E20835" s="0" t="inlineStr">
        <is>
          <t xml:space="preserve">Mazda</t>
        </is>
      </c>
      <c r="F20835" s="0" t="inlineStr">
        <is>
          <t xml:space="preserve">Mazda</t>
        </is>
      </c>
      <c r="G20835" s="0" t="s">
        <v>171</v>
      </c>
      <c r="H20835" s="5">
        <v>719.360900</v>
      </c>
    </row>
    <row r="20836" spans="1:9">
      <c r="A20836" s="22" t="str">
        <f>HYPERLINK("https://app.vivvix.com/360/KMI/IntelliDrive/ApplUI/Pages/CreativePages/CustomReportCreativeDetail.aspx?App=23&amp;ReportView=4&amp;Qid=1711279&amp;Row=20828&amp;Col=1","No Title Assigned - #15279537538")</f>
        <v/>
      </c>
      <c r="B20836" s="0" t="s">
        <v>27636</v>
      </c>
      <c r="E20836" s="0" t="inlineStr">
        <is>
          <t xml:space="preserve">Mazda</t>
        </is>
      </c>
      <c r="F20836" s="0" t="inlineStr">
        <is>
          <t xml:space="preserve">Mazda</t>
        </is>
      </c>
      <c r="G20836" s="0" t="s">
        <v>171</v>
      </c>
      <c r="H20836" s="5">
        <v>3660.638300</v>
      </c>
    </row>
    <row r="20837" spans="1:9">
      <c r="A20837" s="22" t="str">
        <f>HYPERLINK("https://app.vivvix.com/360/KMI/IntelliDrive/ApplUI/Pages/CreativePages/CustomReportCreativeDetail.aspx?App=23&amp;ReportView=4&amp;Qid=1711279&amp;Row=20829&amp;Col=1","No Title Assigned - #15279538086")</f>
        <v/>
      </c>
      <c r="B20837" s="0" t="s">
        <v>27638</v>
      </c>
      <c r="E20837" s="0" t="inlineStr">
        <is>
          <t xml:space="preserve">Mazda</t>
        </is>
      </c>
      <c r="F20837" s="0" t="inlineStr">
        <is>
          <t xml:space="preserve">Mazda</t>
        </is>
      </c>
      <c r="G20837" s="0" t="s">
        <v>171</v>
      </c>
      <c r="H20837" s="5">
        <v>297.317200</v>
      </c>
    </row>
    <row r="20838" spans="1:9">
      <c r="A20838" s="22" t="str">
        <f>HYPERLINK("https://app.vivvix.com/360/KMI/IntelliDrive/ApplUI/Pages/CreativePages/CustomReportCreativeDetail.aspx?App=23&amp;ReportView=4&amp;Qid=1711279&amp;Row=20830&amp;Col=1","No Title Assigned - #15279538105")</f>
        <v/>
      </c>
      <c r="B20838" s="0" t="s">
        <v>27639</v>
      </c>
      <c r="E20838" s="0" t="inlineStr">
        <is>
          <t xml:space="preserve">Mazda</t>
        </is>
      </c>
      <c r="F20838" s="0" t="inlineStr">
        <is>
          <t xml:space="preserve">Mazda</t>
        </is>
      </c>
      <c r="G20838" s="0" t="s">
        <v>171</v>
      </c>
      <c r="H20838" s="5">
        <v>1.216000</v>
      </c>
    </row>
    <row r="20839" spans="1:9">
      <c r="A20839" s="22" t="str">
        <f>HYPERLINK("https://app.vivvix.com/360/KMI/IntelliDrive/ApplUI/Pages/CreativePages/CustomReportCreativeDetail.aspx?App=23&amp;ReportView=4&amp;Qid=1711279&amp;Row=20831&amp;Col=1","No Title Assigned - #15279538508")</f>
        <v/>
      </c>
      <c r="B20839" s="0" t="s">
        <v>27640</v>
      </c>
      <c r="E20839" s="0" t="inlineStr">
        <is>
          <t xml:space="preserve">Mazda</t>
        </is>
      </c>
      <c r="F20839" s="0" t="inlineStr">
        <is>
          <t xml:space="preserve">Mazda</t>
        </is>
      </c>
      <c r="G20839" s="0" t="s">
        <v>171</v>
      </c>
      <c r="H20839" s="5">
        <v>5.543100</v>
      </c>
    </row>
    <row r="20840" spans="1:9">
      <c r="A20840" s="22" t="str">
        <f>HYPERLINK("https://app.vivvix.com/360/KMI/IntelliDrive/ApplUI/Pages/CreativePages/CustomReportCreativeDetail.aspx?App=23&amp;ReportView=4&amp;Qid=1711279&amp;Row=20832&amp;Col=1","No Title Assigned - #15279538564")</f>
        <v/>
      </c>
      <c r="B20840" s="0" t="s">
        <v>27641</v>
      </c>
      <c r="E20840" s="0" t="inlineStr">
        <is>
          <t xml:space="preserve">Mazda</t>
        </is>
      </c>
      <c r="F20840" s="0" t="inlineStr">
        <is>
          <t xml:space="preserve">Mazda</t>
        </is>
      </c>
      <c r="G20840" s="0" t="s">
        <v>171</v>
      </c>
      <c r="H20840" s="5">
        <v>373.050400</v>
      </c>
    </row>
    <row r="20841" spans="1:9">
      <c r="A20841" s="22" t="str">
        <f>HYPERLINK("https://app.vivvix.com/360/KMI/IntelliDrive/ApplUI/Pages/CreativePages/CustomReportCreativeDetail.aspx?App=23&amp;ReportView=4&amp;Qid=1711279&amp;Row=20833&amp;Col=1","No Title Assigned - #15279538837")</f>
        <v/>
      </c>
      <c r="B20841" s="0" t="s">
        <v>27642</v>
      </c>
      <c r="C20841" s="0" t="s">
        <v>27643</v>
      </c>
      <c r="D20841" s="0" t="s">
        <v>27643</v>
      </c>
      <c r="E20841" s="0" t="inlineStr">
        <is>
          <t xml:space="preserve">Mazda</t>
        </is>
      </c>
      <c r="F20841" s="0" t="inlineStr">
        <is>
          <t xml:space="preserve">Mazda</t>
        </is>
      </c>
      <c r="G20841" s="0" t="s">
        <v>171</v>
      </c>
      <c r="H20841" s="5">
        <v>83.620500</v>
      </c>
    </row>
    <row r="20842" spans="1:9">
      <c r="A20842" s="22" t="str">
        <f>HYPERLINK("https://app.vivvix.com/360/KMI/IntelliDrive/ApplUI/Pages/CreativePages/CustomReportCreativeDetail.aspx?App=23&amp;ReportView=4&amp;Qid=1711279&amp;Row=20834&amp;Col=1","No Title Assigned - #15279538911")</f>
        <v/>
      </c>
      <c r="B20842" s="0" t="s">
        <v>27644</v>
      </c>
      <c r="E20842" s="0" t="inlineStr">
        <is>
          <t xml:space="preserve">Mazda</t>
        </is>
      </c>
      <c r="F20842" s="0" t="inlineStr">
        <is>
          <t xml:space="preserve">Mazda</t>
        </is>
      </c>
      <c r="G20842" s="0" t="s">
        <v>171</v>
      </c>
      <c r="H20842" s="5">
        <v>289.043800</v>
      </c>
    </row>
    <row r="20843" spans="1:9">
      <c r="A20843" s="22" t="str">
        <f>HYPERLINK("https://app.vivvix.com/360/KMI/IntelliDrive/ApplUI/Pages/CreativePages/CustomReportCreativeDetail.aspx?App=23&amp;ReportView=4&amp;Qid=1711279&amp;Row=20835&amp;Col=1","No Title Assigned - #15279538963")</f>
        <v/>
      </c>
      <c r="B20843" s="0" t="s">
        <v>27645</v>
      </c>
      <c r="E20843" s="0" t="inlineStr">
        <is>
          <t xml:space="preserve">Mazda</t>
        </is>
      </c>
      <c r="F20843" s="0" t="inlineStr">
        <is>
          <t xml:space="preserve">Mazda</t>
        </is>
      </c>
      <c r="G20843" s="0" t="s">
        <v>171</v>
      </c>
      <c r="H20843" s="5">
        <v>218.824900</v>
      </c>
    </row>
    <row r="20844" spans="1:9">
      <c r="A20844" s="22" t="str">
        <f>HYPERLINK("https://app.vivvix.com/360/KMI/IntelliDrive/ApplUI/Pages/CreativePages/CustomReportCreativeDetail.aspx?App=23&amp;ReportView=4&amp;Qid=1711279&amp;Row=20836&amp;Col=1","No Title Assigned - #15279539298")</f>
        <v/>
      </c>
      <c r="B20844" s="0" t="s">
        <v>27646</v>
      </c>
      <c r="E20844" s="0" t="inlineStr">
        <is>
          <t xml:space="preserve">Mazda</t>
        </is>
      </c>
      <c r="F20844" s="0" t="inlineStr">
        <is>
          <t xml:space="preserve">Mazda</t>
        </is>
      </c>
      <c r="G20844" s="0" t="s">
        <v>171</v>
      </c>
      <c r="H20844" s="5">
        <v>20.803800</v>
      </c>
    </row>
    <row r="20845" spans="1:9">
      <c r="A20845" s="22" t="str">
        <f>HYPERLINK("https://app.vivvix.com/360/KMI/IntelliDrive/ApplUI/Pages/CreativePages/CustomReportCreativeDetail.aspx?App=23&amp;ReportView=4&amp;Qid=1711279&amp;Row=20837&amp;Col=1","No Title Assigned - #15279539307")</f>
        <v/>
      </c>
      <c r="B20845" s="0" t="s">
        <v>27647</v>
      </c>
      <c r="E20845" s="0" t="inlineStr">
        <is>
          <t xml:space="preserve">Mazda</t>
        </is>
      </c>
      <c r="F20845" s="0" t="inlineStr">
        <is>
          <t xml:space="preserve">Mazda</t>
        </is>
      </c>
      <c r="G20845" s="0" t="s">
        <v>171</v>
      </c>
      <c r="H20845" s="5">
        <v>144.179200</v>
      </c>
    </row>
    <row r="20846" spans="1:9">
      <c r="A20846" s="22" t="str">
        <f>HYPERLINK("https://app.vivvix.com/360/KMI/IntelliDrive/ApplUI/Pages/CreativePages/CustomReportCreativeDetail.aspx?App=23&amp;ReportView=4&amp;Qid=1711279&amp;Row=20838&amp;Col=1","No Title Assigned - #15279539681")</f>
        <v/>
      </c>
      <c r="B20846" s="0" t="s">
        <v>27648</v>
      </c>
      <c r="C20846" s="0" t="s">
        <v>27649</v>
      </c>
      <c r="D20846" s="0" t="s">
        <v>27649</v>
      </c>
      <c r="E20846" s="0" t="inlineStr">
        <is>
          <t xml:space="preserve">Mazda</t>
        </is>
      </c>
      <c r="F20846" s="0" t="inlineStr">
        <is>
          <t xml:space="preserve">Mazda</t>
        </is>
      </c>
      <c r="G20846" s="0" t="s">
        <v>171</v>
      </c>
      <c r="H20846" s="5">
        <v>12425.734300</v>
      </c>
    </row>
    <row r="20847" spans="1:9">
      <c r="A20847" s="22" t="str">
        <f>HYPERLINK("https://app.vivvix.com/360/KMI/IntelliDrive/ApplUI/Pages/CreativePages/CustomReportCreativeDetail.aspx?App=23&amp;ReportView=4&amp;Qid=1711279&amp;Row=20839&amp;Col=1","No Title Assigned - #15279540604")</f>
        <v/>
      </c>
      <c r="B20847" s="0" t="s">
        <v>27650</v>
      </c>
      <c r="E20847" s="0" t="inlineStr">
        <is>
          <t xml:space="preserve">Mazda</t>
        </is>
      </c>
      <c r="F20847" s="0" t="inlineStr">
        <is>
          <t xml:space="preserve">Mazda</t>
        </is>
      </c>
      <c r="G20847" s="0" t="s">
        <v>171</v>
      </c>
      <c r="H20847" s="5">
        <v>1785.155500</v>
      </c>
    </row>
    <row r="20848" spans="1:9">
      <c r="A20848" s="22" t="str">
        <f>HYPERLINK("https://app.vivvix.com/360/KMI/IntelliDrive/ApplUI/Pages/CreativePages/CustomReportCreativeDetail.aspx?App=23&amp;ReportView=4&amp;Qid=1711279&amp;Row=20840&amp;Col=1","No Title Assigned - #15279541136")</f>
        <v/>
      </c>
      <c r="B20848" s="0" t="s">
        <v>27651</v>
      </c>
      <c r="E20848" s="0" t="inlineStr">
        <is>
          <t xml:space="preserve">Mazda</t>
        </is>
      </c>
      <c r="F20848" s="0" t="inlineStr">
        <is>
          <t xml:space="preserve">Mazda</t>
        </is>
      </c>
      <c r="G20848" s="0" t="s">
        <v>171</v>
      </c>
      <c r="H20848" s="5">
        <v>764.177200</v>
      </c>
    </row>
    <row r="20849" spans="1:9">
      <c r="A20849" s="22" t="str">
        <f>HYPERLINK("https://app.vivvix.com/360/KMI/IntelliDrive/ApplUI/Pages/CreativePages/CustomReportCreativeDetail.aspx?App=23&amp;ReportView=4&amp;Qid=1711279&amp;Row=20841&amp;Col=1","No Title Assigned - #15279541140")</f>
        <v/>
      </c>
      <c r="B20849" s="0" t="s">
        <v>27652</v>
      </c>
      <c r="C20849" s="0" t="s">
        <v>27653</v>
      </c>
      <c r="D20849" s="0" t="s">
        <v>27653</v>
      </c>
      <c r="E20849" s="0" t="inlineStr">
        <is>
          <t xml:space="preserve">Mazda</t>
        </is>
      </c>
      <c r="F20849" s="0" t="inlineStr">
        <is>
          <t xml:space="preserve">Mazda</t>
        </is>
      </c>
      <c r="G20849" s="0" t="s">
        <v>171</v>
      </c>
      <c r="H20849" s="5">
        <v>2132.019700</v>
      </c>
    </row>
    <row r="20850" spans="1:9">
      <c r="A20850" s="22" t="str">
        <f>HYPERLINK("https://app.vivvix.com/360/KMI/IntelliDrive/ApplUI/Pages/CreativePages/CustomReportCreativeDetail.aspx?App=23&amp;ReportView=4&amp;Qid=1711279&amp;Row=20842&amp;Col=1","No Title Assigned - #15279541166")</f>
        <v/>
      </c>
      <c r="B20850" s="0" t="s">
        <v>27654</v>
      </c>
      <c r="E20850" s="0" t="inlineStr">
        <is>
          <t xml:space="preserve">Mazda</t>
        </is>
      </c>
      <c r="F20850" s="0" t="inlineStr">
        <is>
          <t xml:space="preserve">Mazda</t>
        </is>
      </c>
      <c r="G20850" s="0" t="s">
        <v>171</v>
      </c>
      <c r="H20850" s="5">
        <v>33.521800</v>
      </c>
    </row>
    <row r="20851" spans="1:9">
      <c r="A20851" s="22" t="str">
        <f>HYPERLINK("https://app.vivvix.com/360/KMI/IntelliDrive/ApplUI/Pages/CreativePages/CustomReportCreativeDetail.aspx?App=23&amp;ReportView=4&amp;Qid=1711279&amp;Row=20843&amp;Col=1","No Title Assigned - #15279541231")</f>
        <v/>
      </c>
      <c r="B20851" s="0" t="s">
        <v>27655</v>
      </c>
      <c r="E20851" s="0" t="inlineStr">
        <is>
          <t xml:space="preserve">Mazda</t>
        </is>
      </c>
      <c r="F20851" s="0" t="inlineStr">
        <is>
          <t xml:space="preserve">Mazda</t>
        </is>
      </c>
      <c r="G20851" s="0" t="s">
        <v>171</v>
      </c>
      <c r="H20851" s="5">
        <v>6.059600</v>
      </c>
    </row>
    <row r="20852" spans="1:9">
      <c r="A20852" s="22" t="str">
        <f>HYPERLINK("https://app.vivvix.com/360/KMI/IntelliDrive/ApplUI/Pages/CreativePages/CustomReportCreativeDetail.aspx?App=23&amp;ReportView=4&amp;Qid=1711279&amp;Row=20844&amp;Col=1","No Title Assigned - #15279541323")</f>
        <v/>
      </c>
      <c r="B20852" s="0" t="s">
        <v>27656</v>
      </c>
      <c r="E20852" s="0" t="inlineStr">
        <is>
          <t xml:space="preserve">Mazda</t>
        </is>
      </c>
      <c r="F20852" s="0" t="inlineStr">
        <is>
          <t xml:space="preserve">Mazda</t>
        </is>
      </c>
      <c r="G20852" s="0" t="s">
        <v>171</v>
      </c>
      <c r="H20852" s="5">
        <v>774.868900</v>
      </c>
    </row>
    <row r="20853" spans="1:9">
      <c r="A20853" s="22" t="str">
        <f>HYPERLINK("https://app.vivvix.com/360/KMI/IntelliDrive/ApplUI/Pages/CreativePages/CustomReportCreativeDetail.aspx?App=23&amp;ReportView=4&amp;Qid=1711279&amp;Row=20845&amp;Col=1","No Title Assigned - #15279541374")</f>
        <v/>
      </c>
      <c r="B20853" s="0" t="s">
        <v>27657</v>
      </c>
      <c r="E20853" s="0" t="inlineStr">
        <is>
          <t xml:space="preserve">Mazda</t>
        </is>
      </c>
      <c r="F20853" s="0" t="inlineStr">
        <is>
          <t xml:space="preserve">Mazda</t>
        </is>
      </c>
      <c r="G20853" s="0" t="s">
        <v>171</v>
      </c>
      <c r="H20853" s="5">
        <v>376.639000</v>
      </c>
    </row>
    <row r="20854" spans="1:9">
      <c r="A20854" s="22" t="str">
        <f>HYPERLINK("https://app.vivvix.com/360/KMI/IntelliDrive/ApplUI/Pages/CreativePages/CustomReportCreativeDetail.aspx?App=23&amp;ReportView=4&amp;Qid=1711279&amp;Row=20846&amp;Col=1","No Title Assigned - #15279541427")</f>
        <v/>
      </c>
      <c r="B20854" s="0" t="s">
        <v>27658</v>
      </c>
      <c r="C20854" s="0" t="s">
        <v>27659</v>
      </c>
      <c r="D20854" s="0" t="s">
        <v>27659</v>
      </c>
      <c r="E20854" s="0" t="inlineStr">
        <is>
          <t xml:space="preserve">Mazda</t>
        </is>
      </c>
      <c r="F20854" s="0" t="s">
        <v>13</v>
      </c>
      <c r="G20854" s="0" t="s">
        <v>49</v>
      </c>
      <c r="H20854" s="5">
        <v>1548.668000</v>
      </c>
    </row>
    <row r="20855" spans="1:9">
      <c r="A20855" s="22" t="str">
        <f>HYPERLINK("https://app.vivvix.com/360/KMI/IntelliDrive/ApplUI/Pages/CreativePages/CustomReportCreativeDetail.aspx?App=23&amp;ReportView=4&amp;Qid=1711279&amp;Row=20847&amp;Col=1","No Title Assigned - #15279541671")</f>
        <v/>
      </c>
      <c r="B20855" s="0" t="s">
        <v>27660</v>
      </c>
      <c r="E20855" s="0" t="inlineStr">
        <is>
          <t xml:space="preserve">Mazda</t>
        </is>
      </c>
      <c r="F20855" s="0" t="inlineStr">
        <is>
          <t xml:space="preserve">Mazda</t>
        </is>
      </c>
      <c r="G20855" s="0" t="s">
        <v>171</v>
      </c>
      <c r="H20855" s="5">
        <v>612.102400</v>
      </c>
    </row>
    <row r="20856" spans="1:9">
      <c r="A20856" s="22" t="str">
        <f>HYPERLINK("https://app.vivvix.com/360/KMI/IntelliDrive/ApplUI/Pages/CreativePages/CustomReportCreativeDetail.aspx?App=23&amp;ReportView=4&amp;Qid=1711279&amp;Row=20848&amp;Col=1","No Title Assigned - #15279541741")</f>
        <v/>
      </c>
      <c r="B20856" s="0" t="s">
        <v>27661</v>
      </c>
      <c r="E20856" s="0" t="inlineStr">
        <is>
          <t xml:space="preserve">Mazda</t>
        </is>
      </c>
      <c r="F20856" s="0" t="inlineStr">
        <is>
          <t xml:space="preserve">Mazda</t>
        </is>
      </c>
      <c r="G20856" s="0" t="s">
        <v>171</v>
      </c>
      <c r="H20856" s="5">
        <v>41.390100</v>
      </c>
    </row>
    <row r="20857" spans="1:9">
      <c r="A20857" s="22" t="str">
        <f>HYPERLINK("https://app.vivvix.com/360/KMI/IntelliDrive/ApplUI/Pages/CreativePages/CustomReportCreativeDetail.aspx?App=23&amp;ReportView=4&amp;Qid=1711279&amp;Row=20849&amp;Col=1","No Title Assigned - #15279541851")</f>
        <v/>
      </c>
      <c r="B20857" s="0" t="s">
        <v>27662</v>
      </c>
      <c r="E20857" s="0" t="inlineStr">
        <is>
          <t xml:space="preserve">Mazda</t>
        </is>
      </c>
      <c r="F20857" s="0" t="inlineStr">
        <is>
          <t xml:space="preserve">Mazda</t>
        </is>
      </c>
      <c r="G20857" s="0" t="s">
        <v>171</v>
      </c>
      <c r="H20857" s="5">
        <v>845.040800</v>
      </c>
    </row>
    <row r="20858" spans="1:9">
      <c r="A20858" s="22" t="str">
        <f>HYPERLINK("https://app.vivvix.com/360/KMI/IntelliDrive/ApplUI/Pages/CreativePages/CustomReportCreativeDetail.aspx?App=23&amp;ReportView=4&amp;Qid=1711279&amp;Row=20850&amp;Col=1","No Title Assigned - #15279541851")</f>
        <v/>
      </c>
      <c r="B20858" s="0" t="s">
        <v>27662</v>
      </c>
      <c r="E20858" s="0" t="inlineStr">
        <is>
          <t xml:space="preserve">Mazda</t>
        </is>
      </c>
      <c r="F20858" s="0" t="inlineStr">
        <is>
          <t xml:space="preserve">Mazda</t>
        </is>
      </c>
      <c r="G20858" s="0" t="s">
        <v>171</v>
      </c>
      <c r="H20858" s="5">
        <v>1831.843800</v>
      </c>
    </row>
    <row r="20859" spans="1:9">
      <c r="A20859" s="22" t="str">
        <f>HYPERLINK("https://app.vivvix.com/360/KMI/IntelliDrive/ApplUI/Pages/CreativePages/CustomReportCreativeDetail.aspx?App=23&amp;ReportView=4&amp;Qid=1711279&amp;Row=20851&amp;Col=1","No Title Assigned - #15279541909")</f>
        <v/>
      </c>
      <c r="B20859" s="0" t="s">
        <v>27663</v>
      </c>
      <c r="C20859" s="0" t="s">
        <v>27664</v>
      </c>
      <c r="D20859" s="0" t="s">
        <v>27664</v>
      </c>
      <c r="E20859" s="0" t="inlineStr">
        <is>
          <t xml:space="preserve">Mazda</t>
        </is>
      </c>
      <c r="F20859" s="0" t="inlineStr">
        <is>
          <t xml:space="preserve">Mazda</t>
        </is>
      </c>
      <c r="G20859" s="0" t="s">
        <v>171</v>
      </c>
      <c r="H20859" s="5">
        <v>3958.785900</v>
      </c>
    </row>
    <row r="20860" spans="1:9">
      <c r="A20860" s="22" t="str">
        <f>HYPERLINK("https://app.vivvix.com/360/KMI/IntelliDrive/ApplUI/Pages/CreativePages/CustomReportCreativeDetail.aspx?App=23&amp;ReportView=4&amp;Qid=1711279&amp;Row=20852&amp;Col=1","No Title Assigned - #15279541909")</f>
        <v/>
      </c>
      <c r="B20860" s="0" t="s">
        <v>27663</v>
      </c>
      <c r="E20860" s="0" t="inlineStr">
        <is>
          <t xml:space="preserve">Mazda</t>
        </is>
      </c>
      <c r="F20860" s="0" t="inlineStr">
        <is>
          <t xml:space="preserve">Mazda</t>
        </is>
      </c>
      <c r="G20860" s="0" t="s">
        <v>171</v>
      </c>
      <c r="H20860" s="5">
        <v>12538.328000</v>
      </c>
    </row>
    <row r="20861" spans="1:9">
      <c r="A20861" s="22" t="str">
        <f>HYPERLINK("https://app.vivvix.com/360/KMI/IntelliDrive/ApplUI/Pages/CreativePages/CustomReportCreativeDetail.aspx?App=23&amp;ReportView=4&amp;Qid=1711279&amp;Row=20853&amp;Col=1","No Title Assigned - #15279541914")</f>
        <v/>
      </c>
      <c r="B20861" s="0" t="s">
        <v>27665</v>
      </c>
      <c r="E20861" s="0" t="inlineStr">
        <is>
          <t xml:space="preserve">Mazda</t>
        </is>
      </c>
      <c r="F20861" s="0" t="inlineStr">
        <is>
          <t xml:space="preserve">Mazda</t>
        </is>
      </c>
      <c r="G20861" s="0" t="s">
        <v>171</v>
      </c>
      <c r="H20861" s="5">
        <v>168.703900</v>
      </c>
    </row>
    <row r="20862" spans="1:9">
      <c r="A20862" s="22" t="str">
        <f>HYPERLINK("https://app.vivvix.com/360/KMI/IntelliDrive/ApplUI/Pages/CreativePages/CustomReportCreativeDetail.aspx?App=23&amp;ReportView=4&amp;Qid=1711279&amp;Row=20854&amp;Col=1","No Title Assigned - #15279541915")</f>
        <v/>
      </c>
      <c r="B20862" s="0" t="s">
        <v>27666</v>
      </c>
      <c r="E20862" s="0" t="inlineStr">
        <is>
          <t xml:space="preserve">Mazda</t>
        </is>
      </c>
      <c r="F20862" s="0" t="inlineStr">
        <is>
          <t xml:space="preserve">Mazda</t>
        </is>
      </c>
      <c r="G20862" s="0" t="s">
        <v>171</v>
      </c>
      <c r="H20862" s="5">
        <v>337.407800</v>
      </c>
    </row>
    <row r="20863" spans="1:9">
      <c r="A20863" s="22" t="str">
        <f>HYPERLINK("https://app.vivvix.com/360/KMI/IntelliDrive/ApplUI/Pages/CreativePages/CustomReportCreativeDetail.aspx?App=23&amp;ReportView=4&amp;Qid=1711279&amp;Row=20855&amp;Col=1","No Title Assigned - #15279542093")</f>
        <v/>
      </c>
      <c r="B20863" s="0" t="s">
        <v>27667</v>
      </c>
      <c r="E20863" s="0" t="inlineStr">
        <is>
          <t xml:space="preserve">Mazda</t>
        </is>
      </c>
      <c r="F20863" s="0" t="inlineStr">
        <is>
          <t xml:space="preserve">Mazda</t>
        </is>
      </c>
      <c r="G20863" s="0" t="s">
        <v>171</v>
      </c>
      <c r="H20863" s="5">
        <v>110.098000</v>
      </c>
    </row>
    <row r="20864" spans="1:9">
      <c r="A20864" s="22" t="str">
        <f>HYPERLINK("https://app.vivvix.com/360/KMI/IntelliDrive/ApplUI/Pages/CreativePages/CustomReportCreativeDetail.aspx?App=23&amp;ReportView=4&amp;Qid=1711279&amp;Row=20856&amp;Col=1","No Title Assigned - #15279542210")</f>
        <v/>
      </c>
      <c r="B20864" s="0" t="s">
        <v>27668</v>
      </c>
      <c r="E20864" s="0" t="inlineStr">
        <is>
          <t xml:space="preserve">Mazda</t>
        </is>
      </c>
      <c r="F20864" s="0" t="inlineStr">
        <is>
          <t xml:space="preserve">Mazda</t>
        </is>
      </c>
      <c r="G20864" s="0" t="s">
        <v>171</v>
      </c>
      <c r="H20864" s="5">
        <v>147.341500</v>
      </c>
    </row>
    <row r="20865" spans="1:9">
      <c r="A20865" s="22" t="str">
        <f>HYPERLINK("https://app.vivvix.com/360/KMI/IntelliDrive/ApplUI/Pages/CreativePages/CustomReportCreativeDetail.aspx?App=23&amp;ReportView=4&amp;Qid=1711279&amp;Row=20857&amp;Col=1","No Title Assigned - #15279542210")</f>
        <v/>
      </c>
      <c r="B20865" s="0" t="s">
        <v>27668</v>
      </c>
      <c r="E20865" s="0" t="inlineStr">
        <is>
          <t xml:space="preserve">Mazda</t>
        </is>
      </c>
      <c r="F20865" s="0" t="inlineStr">
        <is>
          <t xml:space="preserve">Mazda</t>
        </is>
      </c>
      <c r="G20865" s="0" t="s">
        <v>171</v>
      </c>
      <c r="H20865" s="5">
        <v>519.151100</v>
      </c>
    </row>
    <row r="20866" spans="1:9">
      <c r="A20866" s="22" t="str">
        <f>HYPERLINK("https://app.vivvix.com/360/KMI/IntelliDrive/ApplUI/Pages/CreativePages/CustomReportCreativeDetail.aspx?App=23&amp;ReportView=4&amp;Qid=1711279&amp;Row=20858&amp;Col=1","No Title Assigned - #15279542402")</f>
        <v/>
      </c>
      <c r="B20866" s="0" t="s">
        <v>27669</v>
      </c>
      <c r="C20866" s="0" t="s">
        <v>27670</v>
      </c>
      <c r="D20866" s="0" t="s">
        <v>27670</v>
      </c>
      <c r="E20866" s="0" t="inlineStr">
        <is>
          <t xml:space="preserve">Mazda</t>
        </is>
      </c>
      <c r="F20866" s="0" t="inlineStr">
        <is>
          <t xml:space="preserve">Mazda</t>
        </is>
      </c>
      <c r="G20866" s="0" t="s">
        <v>171</v>
      </c>
      <c r="H20866" s="5">
        <v>55.049000</v>
      </c>
    </row>
    <row r="20867" spans="1:9">
      <c r="A20867" s="22" t="str">
        <f>HYPERLINK("https://app.vivvix.com/360/KMI/IntelliDrive/ApplUI/Pages/CreativePages/CustomReportCreativeDetail.aspx?App=23&amp;ReportView=4&amp;Qid=1711279&amp;Row=20859&amp;Col=1","No Title Assigned - #15279542416")</f>
        <v/>
      </c>
      <c r="B20867" s="0" t="s">
        <v>27671</v>
      </c>
      <c r="E20867" s="0" t="inlineStr">
        <is>
          <t xml:space="preserve">Mazda</t>
        </is>
      </c>
      <c r="F20867" s="0" t="inlineStr">
        <is>
          <t xml:space="preserve">Mazda</t>
        </is>
      </c>
      <c r="G20867" s="0" t="s">
        <v>171</v>
      </c>
      <c r="H20867" s="5">
        <v>165.147000</v>
      </c>
    </row>
    <row r="20868" spans="1:9">
      <c r="A20868" s="22" t="str">
        <f>HYPERLINK("https://app.vivvix.com/360/KMI/IntelliDrive/ApplUI/Pages/CreativePages/CustomReportCreativeDetail.aspx?App=23&amp;ReportView=4&amp;Qid=1711279&amp;Row=20860&amp;Col=1","No Title Assigned - #15279542438")</f>
        <v/>
      </c>
      <c r="B20868" s="0" t="s">
        <v>27672</v>
      </c>
      <c r="E20868" s="0" t="inlineStr">
        <is>
          <t xml:space="preserve">Mazda</t>
        </is>
      </c>
      <c r="F20868" s="0" t="inlineStr">
        <is>
          <t xml:space="preserve">Mazda</t>
        </is>
      </c>
      <c r="G20868" s="0" t="s">
        <v>171</v>
      </c>
      <c r="H20868" s="5">
        <v>15689.115200</v>
      </c>
    </row>
    <row r="20869" spans="1:9">
      <c r="A20869" s="22" t="str">
        <f>HYPERLINK("https://app.vivvix.com/360/KMI/IntelliDrive/ApplUI/Pages/CreativePages/CustomReportCreativeDetail.aspx?App=23&amp;ReportView=4&amp;Qid=1711279&amp;Row=20861&amp;Col=1","No Title Assigned - #15279542505")</f>
        <v/>
      </c>
      <c r="B20869" s="0" t="s">
        <v>27673</v>
      </c>
      <c r="E20869" s="0" t="inlineStr">
        <is>
          <t xml:space="preserve">Mazda</t>
        </is>
      </c>
      <c r="F20869" s="0" t="inlineStr">
        <is>
          <t xml:space="preserve">Mazda</t>
        </is>
      </c>
      <c r="G20869" s="0" t="s">
        <v>171</v>
      </c>
      <c r="H20869" s="5">
        <v>10.234400</v>
      </c>
    </row>
    <row r="20870" spans="1:9">
      <c r="A20870" s="22" t="str">
        <f>HYPERLINK("https://app.vivvix.com/360/KMI/IntelliDrive/ApplUI/Pages/CreativePages/CustomReportCreativeDetail.aspx?App=23&amp;ReportView=4&amp;Qid=1711279&amp;Row=20862&amp;Col=1","No Title Assigned - #15279542649")</f>
        <v/>
      </c>
      <c r="B20870" s="0" t="s">
        <v>27674</v>
      </c>
      <c r="E20870" s="0" t="inlineStr">
        <is>
          <t xml:space="preserve">Mazda</t>
        </is>
      </c>
      <c r="F20870" s="0" t="inlineStr">
        <is>
          <t xml:space="preserve">Mazda</t>
        </is>
      </c>
      <c r="G20870" s="0" t="s">
        <v>171</v>
      </c>
      <c r="H20870" s="5">
        <v>64.343000</v>
      </c>
    </row>
    <row r="20871" spans="1:9">
      <c r="A20871" s="22" t="str">
        <f>HYPERLINK("https://app.vivvix.com/360/KMI/IntelliDrive/ApplUI/Pages/CreativePages/CustomReportCreativeDetail.aspx?App=23&amp;ReportView=4&amp;Qid=1711279&amp;Row=20863&amp;Col=1","No Title Assigned - #15279542970")</f>
        <v/>
      </c>
      <c r="B20871" s="0" t="s">
        <v>27675</v>
      </c>
      <c r="C20871" s="0" t="s">
        <v>27676</v>
      </c>
      <c r="D20871" s="0" t="s">
        <v>27676</v>
      </c>
      <c r="E20871" s="0" t="inlineStr">
        <is>
          <t xml:space="preserve">Mazda</t>
        </is>
      </c>
      <c r="F20871" s="0" t="inlineStr">
        <is>
          <t xml:space="preserve">Mazda</t>
        </is>
      </c>
      <c r="G20871" s="0" t="s">
        <v>171</v>
      </c>
      <c r="H20871" s="5">
        <v>1442.705300</v>
      </c>
    </row>
    <row r="20872" spans="1:9">
      <c r="A20872" s="22" t="str">
        <f>HYPERLINK("https://app.vivvix.com/360/KMI/IntelliDrive/ApplUI/Pages/CreativePages/CustomReportCreativeDetail.aspx?App=23&amp;ReportView=4&amp;Qid=1711279&amp;Row=20864&amp;Col=1","No Title Assigned - #15279543074")</f>
        <v/>
      </c>
      <c r="B20872" s="0" t="s">
        <v>27677</v>
      </c>
      <c r="E20872" s="0" t="inlineStr">
        <is>
          <t xml:space="preserve">Mazda</t>
        </is>
      </c>
      <c r="F20872" s="0" t="inlineStr">
        <is>
          <t xml:space="preserve">Mazda</t>
        </is>
      </c>
      <c r="G20872" s="0" t="s">
        <v>171</v>
      </c>
      <c r="H20872" s="5">
        <v>897.901900</v>
      </c>
    </row>
    <row r="20873" spans="1:9">
      <c r="A20873" s="22" t="str">
        <f>HYPERLINK("https://app.vivvix.com/360/KMI/IntelliDrive/ApplUI/Pages/CreativePages/CustomReportCreativeDetail.aspx?App=23&amp;ReportView=4&amp;Qid=1711279&amp;Row=20865&amp;Col=1","No Title Assigned - #15279543085")</f>
        <v/>
      </c>
      <c r="B20873" s="0" t="s">
        <v>27678</v>
      </c>
      <c r="C20873" s="0" t="s">
        <v>27679</v>
      </c>
      <c r="D20873" s="0" t="s">
        <v>27679</v>
      </c>
      <c r="E20873" s="0" t="inlineStr">
        <is>
          <t xml:space="preserve">Mazda</t>
        </is>
      </c>
      <c r="F20873" s="0" t="s">
        <v>13</v>
      </c>
      <c r="G20873" s="0" t="s">
        <v>49</v>
      </c>
      <c r="H20873" s="5">
        <v>23.294700</v>
      </c>
    </row>
    <row r="20874" spans="1:9">
      <c r="A20874" s="22" t="str">
        <f>HYPERLINK("https://app.vivvix.com/360/KMI/IntelliDrive/ApplUI/Pages/CreativePages/CustomReportCreativeDetail.aspx?App=23&amp;ReportView=4&amp;Qid=1711279&amp;Row=20866&amp;Col=1","No Title Assigned - #15279543225")</f>
        <v/>
      </c>
      <c r="B20874" s="0" t="s">
        <v>27680</v>
      </c>
      <c r="E20874" s="0" t="inlineStr">
        <is>
          <t xml:space="preserve">Mazda</t>
        </is>
      </c>
      <c r="F20874" s="0" t="inlineStr">
        <is>
          <t xml:space="preserve">Mazda</t>
        </is>
      </c>
      <c r="G20874" s="0" t="s">
        <v>171</v>
      </c>
      <c r="H20874" s="5">
        <v>7.109800</v>
      </c>
    </row>
    <row r="20875" spans="1:9">
      <c r="A20875" s="22" t="str">
        <f>HYPERLINK("https://app.vivvix.com/360/KMI/IntelliDrive/ApplUI/Pages/CreativePages/CustomReportCreativeDetail.aspx?App=23&amp;ReportView=4&amp;Qid=1711279&amp;Row=20867&amp;Col=1","No Title Assigned - #15279543269")</f>
        <v/>
      </c>
      <c r="B20875" s="0" t="s">
        <v>27681</v>
      </c>
      <c r="E20875" s="0" t="inlineStr">
        <is>
          <t xml:space="preserve">Mazda</t>
        </is>
      </c>
      <c r="F20875" s="0" t="inlineStr">
        <is>
          <t xml:space="preserve">Mazda</t>
        </is>
      </c>
      <c r="G20875" s="0" t="s">
        <v>171</v>
      </c>
      <c r="H20875" s="5">
        <v>85.273400</v>
      </c>
    </row>
    <row r="20876" spans="1:9">
      <c r="A20876" s="22" t="str">
        <f>HYPERLINK("https://app.vivvix.com/360/KMI/IntelliDrive/ApplUI/Pages/CreativePages/CustomReportCreativeDetail.aspx?App=23&amp;ReportView=4&amp;Qid=1711279&amp;Row=20868&amp;Col=1","No Title Assigned - #15279543580")</f>
        <v/>
      </c>
      <c r="B20876" s="0" t="s">
        <v>27682</v>
      </c>
      <c r="E20876" s="0" t="inlineStr">
        <is>
          <t xml:space="preserve">Mazda</t>
        </is>
      </c>
      <c r="F20876" s="0" t="inlineStr">
        <is>
          <t xml:space="preserve">Mazda</t>
        </is>
      </c>
      <c r="G20876" s="0" t="s">
        <v>171</v>
      </c>
      <c r="H20876" s="5">
        <v>34.767600</v>
      </c>
    </row>
    <row r="20877" spans="1:9">
      <c r="A20877" s="22" t="str">
        <f>HYPERLINK("https://app.vivvix.com/360/KMI/IntelliDrive/ApplUI/Pages/CreativePages/CustomReportCreativeDetail.aspx?App=23&amp;ReportView=4&amp;Qid=1711279&amp;Row=20869&amp;Col=1","No Title Assigned - #15279543838")</f>
        <v/>
      </c>
      <c r="B20877" s="0" t="s">
        <v>27683</v>
      </c>
      <c r="C20877" s="0" t="s">
        <v>27684</v>
      </c>
      <c r="D20877" s="0" t="s">
        <v>27684</v>
      </c>
      <c r="E20877" s="0" t="inlineStr">
        <is>
          <t xml:space="preserve">Mazda</t>
        </is>
      </c>
      <c r="F20877" s="0" t="inlineStr">
        <is>
          <t xml:space="preserve">Mazda</t>
        </is>
      </c>
      <c r="G20877" s="0" t="s">
        <v>171</v>
      </c>
      <c r="H20877" s="5">
        <v>665.691800</v>
      </c>
    </row>
    <row r="20878" spans="1:9">
      <c r="A20878" s="22" t="str">
        <f>HYPERLINK("https://app.vivvix.com/360/KMI/IntelliDrive/ApplUI/Pages/CreativePages/CustomReportCreativeDetail.aspx?App=23&amp;ReportView=4&amp;Qid=1711279&amp;Row=20870&amp;Col=1","No Title Assigned - #15279543874")</f>
        <v/>
      </c>
      <c r="B20878" s="0" t="s">
        <v>27685</v>
      </c>
      <c r="E20878" s="0" t="inlineStr">
        <is>
          <t xml:space="preserve">Mazda</t>
        </is>
      </c>
      <c r="F20878" s="0" t="inlineStr">
        <is>
          <t xml:space="preserve">Mazda</t>
        </is>
      </c>
      <c r="G20878" s="0" t="s">
        <v>171</v>
      </c>
      <c r="H20878" s="5">
        <v>84.386400</v>
      </c>
    </row>
    <row r="20879" spans="1:9">
      <c r="A20879" s="22" t="str">
        <f>HYPERLINK("https://app.vivvix.com/360/KMI/IntelliDrive/ApplUI/Pages/CreativePages/CustomReportCreativeDetail.aspx?App=23&amp;ReportView=4&amp;Qid=1711279&amp;Row=20871&amp;Col=1","No Title Assigned - #15279544161")</f>
        <v/>
      </c>
      <c r="B20879" s="0" t="s">
        <v>27686</v>
      </c>
      <c r="E20879" s="0" t="inlineStr">
        <is>
          <t xml:space="preserve">Mazda</t>
        </is>
      </c>
      <c r="F20879" s="0" t="inlineStr">
        <is>
          <t xml:space="preserve">Mazda</t>
        </is>
      </c>
      <c r="G20879" s="0" t="s">
        <v>171</v>
      </c>
      <c r="H20879" s="5">
        <v>103.506300</v>
      </c>
    </row>
    <row r="20880" spans="1:9">
      <c r="A20880" s="22" t="str">
        <f>HYPERLINK("https://app.vivvix.com/360/KMI/IntelliDrive/ApplUI/Pages/CreativePages/CustomReportCreativeDetail.aspx?App=23&amp;ReportView=4&amp;Qid=1711279&amp;Row=20872&amp;Col=1","No Title Assigned - #15279544610")</f>
        <v/>
      </c>
      <c r="B20880" s="0" t="s">
        <v>27687</v>
      </c>
      <c r="C20880" s="0" t="s">
        <v>27688</v>
      </c>
      <c r="D20880" s="0" t="s">
        <v>10101</v>
      </c>
      <c r="E20880" s="0" t="inlineStr">
        <is>
          <t xml:space="preserve">Mazda</t>
        </is>
      </c>
      <c r="F20880" s="0" t="s">
        <v>13</v>
      </c>
      <c r="G20880" s="0" t="s">
        <v>49</v>
      </c>
      <c r="H20880" s="5">
        <v>417.175600</v>
      </c>
    </row>
    <row r="20881" spans="1:9">
      <c r="A20881" s="22" t="str">
        <f>HYPERLINK("https://app.vivvix.com/360/KMI/IntelliDrive/ApplUI/Pages/CreativePages/CustomReportCreativeDetail.aspx?App=23&amp;ReportView=4&amp;Qid=1711279&amp;Row=20873&amp;Col=1","No Title Assigned - #15279544755")</f>
        <v/>
      </c>
      <c r="B20881" s="0" t="s">
        <v>27689</v>
      </c>
      <c r="E20881" s="0" t="inlineStr">
        <is>
          <t xml:space="preserve">Mazda</t>
        </is>
      </c>
      <c r="F20881" s="0" t="inlineStr">
        <is>
          <t xml:space="preserve">Mazda</t>
        </is>
      </c>
      <c r="G20881" s="0" t="s">
        <v>171</v>
      </c>
      <c r="H20881" s="5">
        <v>23.241200</v>
      </c>
    </row>
    <row r="20882" spans="1:9">
      <c r="A20882" s="22" t="str">
        <f>HYPERLINK("https://app.vivvix.com/360/KMI/IntelliDrive/ApplUI/Pages/CreativePages/CustomReportCreativeDetail.aspx?App=23&amp;ReportView=4&amp;Qid=1711279&amp;Row=20874&amp;Col=1","No Title Assigned - #15279544797")</f>
        <v/>
      </c>
      <c r="B20882" s="0" t="s">
        <v>27690</v>
      </c>
      <c r="E20882" s="0" t="inlineStr">
        <is>
          <t xml:space="preserve">Mazda</t>
        </is>
      </c>
      <c r="F20882" s="0" t="inlineStr">
        <is>
          <t xml:space="preserve">Mazda</t>
        </is>
      </c>
      <c r="G20882" s="0" t="s">
        <v>171</v>
      </c>
      <c r="H20882" s="5">
        <v>477.698300</v>
      </c>
    </row>
    <row r="20883" spans="1:9">
      <c r="A20883" s="22" t="str">
        <f>HYPERLINK("https://app.vivvix.com/360/KMI/IntelliDrive/ApplUI/Pages/CreativePages/CustomReportCreativeDetail.aspx?App=23&amp;ReportView=4&amp;Qid=1711279&amp;Row=20875&amp;Col=1","No Title Assigned - #15279544945")</f>
        <v/>
      </c>
      <c r="B20883" s="0" t="s">
        <v>27691</v>
      </c>
      <c r="E20883" s="0" t="inlineStr">
        <is>
          <t xml:space="preserve">Mazda</t>
        </is>
      </c>
      <c r="F20883" s="0" t="inlineStr">
        <is>
          <t xml:space="preserve">Mazda</t>
        </is>
      </c>
      <c r="G20883" s="0" t="s">
        <v>171</v>
      </c>
      <c r="H20883" s="5">
        <v>118.825300</v>
      </c>
    </row>
    <row r="20884" spans="1:9">
      <c r="A20884" s="22" t="str">
        <f>HYPERLINK("https://app.vivvix.com/360/KMI/IntelliDrive/ApplUI/Pages/CreativePages/CustomReportCreativeDetail.aspx?App=23&amp;ReportView=4&amp;Qid=1711279&amp;Row=20876&amp;Col=1","No Title Assigned - #15279545063")</f>
        <v/>
      </c>
      <c r="B20884" s="0" t="s">
        <v>27692</v>
      </c>
      <c r="E20884" s="0" t="inlineStr">
        <is>
          <t xml:space="preserve">Mazda</t>
        </is>
      </c>
      <c r="F20884" s="0" t="inlineStr">
        <is>
          <t xml:space="preserve">Mazda</t>
        </is>
      </c>
      <c r="G20884" s="0" t="s">
        <v>171</v>
      </c>
      <c r="H20884" s="5">
        <v>1151.003900</v>
      </c>
    </row>
    <row r="20885" spans="1:9">
      <c r="A20885" s="22" t="str">
        <f>HYPERLINK("https://app.vivvix.com/360/KMI/IntelliDrive/ApplUI/Pages/CreativePages/CustomReportCreativeDetail.aspx?App=23&amp;ReportView=4&amp;Qid=1711279&amp;Row=20877&amp;Col=1","No Title Assigned - #15279545788")</f>
        <v/>
      </c>
      <c r="B20885" s="0" t="s">
        <v>27693</v>
      </c>
      <c r="E20885" s="0" t="inlineStr">
        <is>
          <t xml:space="preserve">Mazda</t>
        </is>
      </c>
      <c r="F20885" s="0" t="inlineStr">
        <is>
          <t xml:space="preserve">Mazda</t>
        </is>
      </c>
      <c r="G20885" s="0" t="s">
        <v>171</v>
      </c>
      <c r="H20885" s="5">
        <v>29.858700</v>
      </c>
    </row>
    <row r="20886" spans="1:9">
      <c r="A20886" s="22" t="str">
        <f>HYPERLINK("https://app.vivvix.com/360/KMI/IntelliDrive/ApplUI/Pages/CreativePages/CustomReportCreativeDetail.aspx?App=23&amp;ReportView=4&amp;Qid=1711279&amp;Row=20878&amp;Col=1","No Title Assigned - #15279546065")</f>
        <v/>
      </c>
      <c r="B20886" s="0" t="s">
        <v>27694</v>
      </c>
      <c r="E20886" s="0" t="inlineStr">
        <is>
          <t xml:space="preserve">Mazda</t>
        </is>
      </c>
      <c r="F20886" s="0" t="inlineStr">
        <is>
          <t xml:space="preserve">Mazda</t>
        </is>
      </c>
      <c r="G20886" s="0" t="s">
        <v>171</v>
      </c>
      <c r="H20886" s="5">
        <v>227.403400</v>
      </c>
    </row>
    <row r="20887" spans="1:9">
      <c r="A20887" s="22" t="str">
        <f>HYPERLINK("https://app.vivvix.com/360/KMI/IntelliDrive/ApplUI/Pages/CreativePages/CustomReportCreativeDetail.aspx?App=23&amp;ReportView=4&amp;Qid=1711279&amp;Row=20879&amp;Col=1","No Title Assigned - #15279546199")</f>
        <v/>
      </c>
      <c r="B20887" s="0" t="s">
        <v>27695</v>
      </c>
      <c r="E20887" s="0" t="inlineStr">
        <is>
          <t xml:space="preserve">Mazda</t>
        </is>
      </c>
      <c r="F20887" s="0" t="inlineStr">
        <is>
          <t xml:space="preserve">Mazda</t>
        </is>
      </c>
      <c r="G20887" s="0" t="s">
        <v>171</v>
      </c>
      <c r="H20887" s="5">
        <v>50.691700</v>
      </c>
    </row>
    <row r="20888" spans="1:9">
      <c r="A20888" s="22" t="str">
        <f>HYPERLINK("https://app.vivvix.com/360/KMI/IntelliDrive/ApplUI/Pages/CreativePages/CustomReportCreativeDetail.aspx?App=23&amp;ReportView=4&amp;Qid=1711279&amp;Row=20880&amp;Col=1","No Title Assigned - #15279546438")</f>
        <v/>
      </c>
      <c r="B20888" s="0" t="s">
        <v>27696</v>
      </c>
      <c r="E20888" s="0" t="inlineStr">
        <is>
          <t xml:space="preserve">Mazda</t>
        </is>
      </c>
      <c r="F20888" s="0" t="inlineStr">
        <is>
          <t xml:space="preserve">Mazda</t>
        </is>
      </c>
      <c r="G20888" s="0" t="s">
        <v>171</v>
      </c>
      <c r="H20888" s="5">
        <v>88.199100</v>
      </c>
    </row>
    <row r="20889" spans="1:9">
      <c r="A20889" s="22" t="str">
        <f>HYPERLINK("https://app.vivvix.com/360/KMI/IntelliDrive/ApplUI/Pages/CreativePages/CustomReportCreativeDetail.aspx?App=23&amp;ReportView=4&amp;Qid=1711279&amp;Row=20881&amp;Col=1","No Title Assigned - #15279546548")</f>
        <v/>
      </c>
      <c r="B20889" s="0" t="s">
        <v>27697</v>
      </c>
      <c r="C20889" s="0" t="s">
        <v>27698</v>
      </c>
      <c r="D20889" s="0" t="s">
        <v>27698</v>
      </c>
      <c r="E20889" s="0" t="inlineStr">
        <is>
          <t xml:space="preserve">Mazda</t>
        </is>
      </c>
      <c r="F20889" s="0" t="inlineStr">
        <is>
          <t xml:space="preserve">Mazda</t>
        </is>
      </c>
      <c r="G20889" s="0" t="s">
        <v>171</v>
      </c>
      <c r="H20889" s="5">
        <v>10.015600</v>
      </c>
    </row>
    <row r="20890" spans="1:9">
      <c r="A20890" s="22" t="str">
        <f>HYPERLINK("https://app.vivvix.com/360/KMI/IntelliDrive/ApplUI/Pages/CreativePages/CustomReportCreativeDetail.aspx?App=23&amp;ReportView=4&amp;Qid=1711279&amp;Row=20882&amp;Col=1","No Title Assigned - #15279546687")</f>
        <v/>
      </c>
      <c r="B20890" s="0" t="s">
        <v>27699</v>
      </c>
      <c r="E20890" s="0" t="inlineStr">
        <is>
          <t xml:space="preserve">Mazda</t>
        </is>
      </c>
      <c r="F20890" s="0" t="inlineStr">
        <is>
          <t xml:space="preserve">Mazda</t>
        </is>
      </c>
      <c r="G20890" s="0" t="s">
        <v>171</v>
      </c>
      <c r="H20890" s="5">
        <v>1.216000</v>
      </c>
    </row>
    <row r="20891" spans="1:9">
      <c r="A20891" s="22" t="str">
        <f>HYPERLINK("https://app.vivvix.com/360/KMI/IntelliDrive/ApplUI/Pages/CreativePages/CustomReportCreativeDetail.aspx?App=23&amp;ReportView=4&amp;Qid=1711279&amp;Row=20883&amp;Col=1","No Title Assigned - #15279546764")</f>
        <v/>
      </c>
      <c r="B20891" s="0" t="s">
        <v>27700</v>
      </c>
      <c r="C20891" s="0" t="s">
        <v>27701</v>
      </c>
      <c r="D20891" s="0" t="s">
        <v>27701</v>
      </c>
      <c r="E20891" s="0" t="inlineStr">
        <is>
          <t xml:space="preserve">Mazda</t>
        </is>
      </c>
      <c r="F20891" s="0" t="inlineStr">
        <is>
          <t xml:space="preserve">Mazda</t>
        </is>
      </c>
      <c r="G20891" s="0" t="s">
        <v>171</v>
      </c>
      <c r="H20891" s="5">
        <v>75.117000</v>
      </c>
    </row>
    <row r="20892" spans="1:9">
      <c r="A20892" s="22" t="str">
        <f>HYPERLINK("https://app.vivvix.com/360/KMI/IntelliDrive/ApplUI/Pages/CreativePages/CustomReportCreativeDetail.aspx?App=23&amp;ReportView=4&amp;Qid=1711279&amp;Row=20884&amp;Col=1","No Title Assigned - #15279546880")</f>
        <v/>
      </c>
      <c r="B20892" s="0" t="s">
        <v>27702</v>
      </c>
      <c r="E20892" s="0" t="inlineStr">
        <is>
          <t xml:space="preserve">Mazda</t>
        </is>
      </c>
      <c r="F20892" s="0" t="inlineStr">
        <is>
          <t xml:space="preserve">Mazda</t>
        </is>
      </c>
      <c r="G20892" s="0" t="s">
        <v>171</v>
      </c>
      <c r="H20892" s="5">
        <v>26.564400</v>
      </c>
    </row>
    <row r="20893" spans="1:9">
      <c r="A20893" s="22" t="str">
        <f>HYPERLINK("https://app.vivvix.com/360/KMI/IntelliDrive/ApplUI/Pages/CreativePages/CustomReportCreativeDetail.aspx?App=23&amp;ReportView=4&amp;Qid=1711279&amp;Row=20885&amp;Col=1","No Title Assigned - #15279547229")</f>
        <v/>
      </c>
      <c r="B20893" s="0" t="s">
        <v>27703</v>
      </c>
      <c r="E20893" s="0" t="inlineStr">
        <is>
          <t xml:space="preserve">Mazda</t>
        </is>
      </c>
      <c r="F20893" s="0" t="inlineStr">
        <is>
          <t xml:space="preserve">Mazda</t>
        </is>
      </c>
      <c r="G20893" s="0" t="s">
        <v>171</v>
      </c>
      <c r="H20893" s="5">
        <v>762.312200</v>
      </c>
    </row>
    <row r="20894" spans="1:9">
      <c r="A20894" s="22" t="str">
        <f>HYPERLINK("https://app.vivvix.com/360/KMI/IntelliDrive/ApplUI/Pages/CreativePages/CustomReportCreativeDetail.aspx?App=23&amp;ReportView=4&amp;Qid=1711279&amp;Row=20886&amp;Col=1","No Title Assigned - #15279547256")</f>
        <v/>
      </c>
      <c r="B20894" s="0" t="s">
        <v>27704</v>
      </c>
      <c r="E20894" s="0" t="inlineStr">
        <is>
          <t xml:space="preserve">Mazda</t>
        </is>
      </c>
      <c r="F20894" s="0" t="inlineStr">
        <is>
          <t xml:space="preserve">Mazda</t>
        </is>
      </c>
      <c r="G20894" s="0" t="s">
        <v>171</v>
      </c>
      <c r="H20894" s="5">
        <v>4340.973200</v>
      </c>
    </row>
    <row r="20895" spans="1:9">
      <c r="A20895" s="22" t="str">
        <f>HYPERLINK("https://app.vivvix.com/360/KMI/IntelliDrive/ApplUI/Pages/CreativePages/CustomReportCreativeDetail.aspx?App=23&amp;ReportView=4&amp;Qid=1711279&amp;Row=20887&amp;Col=1","No Title Assigned - #15279547285")</f>
        <v/>
      </c>
      <c r="B20895" s="0" t="s">
        <v>27705</v>
      </c>
      <c r="E20895" s="0" t="inlineStr">
        <is>
          <t xml:space="preserve">Mazda</t>
        </is>
      </c>
      <c r="F20895" s="0" t="inlineStr">
        <is>
          <t xml:space="preserve">Mazda</t>
        </is>
      </c>
      <c r="G20895" s="0" t="s">
        <v>171</v>
      </c>
      <c r="H20895" s="5">
        <v>22.248500</v>
      </c>
    </row>
    <row r="20896" spans="1:9">
      <c r="A20896" s="22" t="str">
        <f>HYPERLINK("https://app.vivvix.com/360/KMI/IntelliDrive/ApplUI/Pages/CreativePages/CustomReportCreativeDetail.aspx?App=23&amp;ReportView=4&amp;Qid=1711279&amp;Row=20888&amp;Col=1","No Title Assigned - #15279547477")</f>
        <v/>
      </c>
      <c r="B20896" s="0" t="s">
        <v>27706</v>
      </c>
      <c r="E20896" s="0" t="inlineStr">
        <is>
          <t xml:space="preserve">Mazda</t>
        </is>
      </c>
      <c r="F20896" s="0" t="inlineStr">
        <is>
          <t xml:space="preserve">Mazda</t>
        </is>
      </c>
      <c r="G20896" s="0" t="s">
        <v>171</v>
      </c>
      <c r="H20896" s="5">
        <v>21.628700</v>
      </c>
    </row>
    <row r="20897" spans="1:9">
      <c r="A20897" s="22" t="str">
        <f>HYPERLINK("https://app.vivvix.com/360/KMI/IntelliDrive/ApplUI/Pages/CreativePages/CustomReportCreativeDetail.aspx?App=23&amp;ReportView=4&amp;Qid=1711279&amp;Row=20889&amp;Col=1","No Title Assigned - #15279547497")</f>
        <v/>
      </c>
      <c r="B20897" s="0" t="s">
        <v>27707</v>
      </c>
      <c r="E20897" s="0" t="inlineStr">
        <is>
          <t xml:space="preserve">Mazda</t>
        </is>
      </c>
      <c r="F20897" s="0" t="inlineStr">
        <is>
          <t xml:space="preserve">Mazda</t>
        </is>
      </c>
      <c r="G20897" s="0" t="s">
        <v>171</v>
      </c>
      <c r="H20897" s="5">
        <v>10550.295000</v>
      </c>
    </row>
    <row r="20898" spans="1:9">
      <c r="A20898" s="22" t="str">
        <f>HYPERLINK("https://app.vivvix.com/360/KMI/IntelliDrive/ApplUI/Pages/CreativePages/CustomReportCreativeDetail.aspx?App=23&amp;ReportView=4&amp;Qid=1711279&amp;Row=20890&amp;Col=1","No Title Assigned - #15279547497")</f>
        <v/>
      </c>
      <c r="B20898" s="0" t="s">
        <v>27707</v>
      </c>
      <c r="E20898" s="0" t="inlineStr">
        <is>
          <t xml:space="preserve">Mazda</t>
        </is>
      </c>
      <c r="F20898" s="0" t="inlineStr">
        <is>
          <t xml:space="preserve">Mazda</t>
        </is>
      </c>
      <c r="G20898" s="0" t="s">
        <v>171</v>
      </c>
      <c r="H20898" s="5">
        <v>561.126400</v>
      </c>
    </row>
    <row r="20899" spans="1:9">
      <c r="A20899" s="22" t="str">
        <f>HYPERLINK("https://app.vivvix.com/360/KMI/IntelliDrive/ApplUI/Pages/CreativePages/CustomReportCreativeDetail.aspx?App=23&amp;ReportView=4&amp;Qid=1711279&amp;Row=20891&amp;Col=1","No Title Assigned - #15279547519")</f>
        <v/>
      </c>
      <c r="B20899" s="0" t="s">
        <v>27708</v>
      </c>
      <c r="E20899" s="0" t="inlineStr">
        <is>
          <t xml:space="preserve">Mazda</t>
        </is>
      </c>
      <c r="F20899" s="0" t="inlineStr">
        <is>
          <t xml:space="preserve">Mazda</t>
        </is>
      </c>
      <c r="G20899" s="0" t="s">
        <v>171</v>
      </c>
      <c r="H20899" s="5">
        <v>295.582700</v>
      </c>
    </row>
    <row r="20900" spans="1:9">
      <c r="A20900" s="22" t="str">
        <f>HYPERLINK("https://app.vivvix.com/360/KMI/IntelliDrive/ApplUI/Pages/CreativePages/CustomReportCreativeDetail.aspx?App=23&amp;ReportView=4&amp;Qid=1711279&amp;Row=20892&amp;Col=1","No Title Assigned - #15279547594")</f>
        <v/>
      </c>
      <c r="B20900" s="0" t="s">
        <v>27709</v>
      </c>
      <c r="E20900" s="0" t="inlineStr">
        <is>
          <t xml:space="preserve">Mazda</t>
        </is>
      </c>
      <c r="F20900" s="0" t="inlineStr">
        <is>
          <t xml:space="preserve">Mazda</t>
        </is>
      </c>
      <c r="G20900" s="0" t="s">
        <v>171</v>
      </c>
      <c r="H20900" s="5">
        <v>599.618300</v>
      </c>
    </row>
    <row r="20901" spans="1:9">
      <c r="A20901" s="22" t="str">
        <f>HYPERLINK("https://app.vivvix.com/360/KMI/IntelliDrive/ApplUI/Pages/CreativePages/CustomReportCreativeDetail.aspx?App=23&amp;ReportView=4&amp;Qid=1711279&amp;Row=20893&amp;Col=1","No Title Assigned - #15279547648")</f>
        <v/>
      </c>
      <c r="B20901" s="0" t="s">
        <v>27710</v>
      </c>
      <c r="E20901" s="0" t="inlineStr">
        <is>
          <t xml:space="preserve">Mazda</t>
        </is>
      </c>
      <c r="F20901" s="0" t="inlineStr">
        <is>
          <t xml:space="preserve">Mazda</t>
        </is>
      </c>
      <c r="G20901" s="0" t="s">
        <v>171</v>
      </c>
      <c r="H20901" s="5">
        <v>149.839500</v>
      </c>
    </row>
    <row r="20902" spans="1:9">
      <c r="A20902" s="22" t="str">
        <f>HYPERLINK("https://app.vivvix.com/360/KMI/IntelliDrive/ApplUI/Pages/CreativePages/CustomReportCreativeDetail.aspx?App=23&amp;ReportView=4&amp;Qid=1711279&amp;Row=20894&amp;Col=1","No Title Assigned - #15279547744")</f>
        <v/>
      </c>
      <c r="B20902" s="0" t="s">
        <v>27711</v>
      </c>
      <c r="E20902" s="0" t="inlineStr">
        <is>
          <t xml:space="preserve">Mazda</t>
        </is>
      </c>
      <c r="F20902" s="0" t="inlineStr">
        <is>
          <t xml:space="preserve">Mazda</t>
        </is>
      </c>
      <c r="G20902" s="0" t="s">
        <v>171</v>
      </c>
      <c r="H20902" s="5">
        <v>15.956500</v>
      </c>
    </row>
    <row r="20903" spans="1:9">
      <c r="A20903" s="22" t="str">
        <f>HYPERLINK("https://app.vivvix.com/360/KMI/IntelliDrive/ApplUI/Pages/CreativePages/CustomReportCreativeDetail.aspx?App=23&amp;ReportView=4&amp;Qid=1711279&amp;Row=20895&amp;Col=1","No Title Assigned - #15279547786")</f>
        <v/>
      </c>
      <c r="B20903" s="0" t="s">
        <v>27712</v>
      </c>
      <c r="E20903" s="0" t="inlineStr">
        <is>
          <t xml:space="preserve">Mazda</t>
        </is>
      </c>
      <c r="F20903" s="0" t="inlineStr">
        <is>
          <t xml:space="preserve">Mazda</t>
        </is>
      </c>
      <c r="G20903" s="0" t="s">
        <v>171</v>
      </c>
      <c r="H20903" s="5">
        <v>1.216000</v>
      </c>
    </row>
    <row r="20904" spans="1:9">
      <c r="A20904" s="22" t="str">
        <f>HYPERLINK("https://app.vivvix.com/360/KMI/IntelliDrive/ApplUI/Pages/CreativePages/CustomReportCreativeDetail.aspx?App=23&amp;ReportView=4&amp;Qid=1711279&amp;Row=20896&amp;Col=1","No Title Assigned - #15279547896")</f>
        <v/>
      </c>
      <c r="B20904" s="0" t="s">
        <v>27713</v>
      </c>
      <c r="E20904" s="0" t="inlineStr">
        <is>
          <t xml:space="preserve">Mazda</t>
        </is>
      </c>
      <c r="F20904" s="0" t="inlineStr">
        <is>
          <t xml:space="preserve">Mazda</t>
        </is>
      </c>
      <c r="G20904" s="0" t="s">
        <v>171</v>
      </c>
      <c r="H20904" s="5">
        <v>50.816000</v>
      </c>
    </row>
    <row r="20905" spans="1:9">
      <c r="A20905" s="22" t="str">
        <f>HYPERLINK("https://app.vivvix.com/360/KMI/IntelliDrive/ApplUI/Pages/CreativePages/CustomReportCreativeDetail.aspx?App=23&amp;ReportView=4&amp;Qid=1711279&amp;Row=20897&amp;Col=1","No Title Assigned - #15279547960")</f>
        <v/>
      </c>
      <c r="B20905" s="0" t="s">
        <v>27714</v>
      </c>
      <c r="E20905" s="0" t="inlineStr">
        <is>
          <t xml:space="preserve">Mazda</t>
        </is>
      </c>
      <c r="F20905" s="0" t="inlineStr">
        <is>
          <t xml:space="preserve">Mazda</t>
        </is>
      </c>
      <c r="G20905" s="0" t="s">
        <v>171</v>
      </c>
      <c r="H20905" s="5">
        <v>232.459700</v>
      </c>
    </row>
    <row r="20906" spans="1:9">
      <c r="A20906" s="22" t="str">
        <f>HYPERLINK("https://app.vivvix.com/360/KMI/IntelliDrive/ApplUI/Pages/CreativePages/CustomReportCreativeDetail.aspx?App=23&amp;ReportView=4&amp;Qid=1711279&amp;Row=20898&amp;Col=1","No Title Assigned - #15279548039")</f>
        <v/>
      </c>
      <c r="B20906" s="0" t="s">
        <v>27715</v>
      </c>
      <c r="E20906" s="0" t="inlineStr">
        <is>
          <t xml:space="preserve">Mazda</t>
        </is>
      </c>
      <c r="F20906" s="0" t="inlineStr">
        <is>
          <t xml:space="preserve">Mazda</t>
        </is>
      </c>
      <c r="G20906" s="0" t="s">
        <v>171</v>
      </c>
      <c r="H20906" s="5">
        <v>7300.153500</v>
      </c>
    </row>
    <row r="20907" spans="1:9">
      <c r="A20907" s="22" t="str">
        <f>HYPERLINK("https://app.vivvix.com/360/KMI/IntelliDrive/ApplUI/Pages/CreativePages/CustomReportCreativeDetail.aspx?App=23&amp;ReportView=4&amp;Qid=1711279&amp;Row=20899&amp;Col=1","No Title Assigned - #15279548087")</f>
        <v/>
      </c>
      <c r="B20907" s="0" t="s">
        <v>27716</v>
      </c>
      <c r="E20907" s="0" t="inlineStr">
        <is>
          <t xml:space="preserve">Mazda</t>
        </is>
      </c>
      <c r="F20907" s="0" t="inlineStr">
        <is>
          <t xml:space="preserve">Mazda</t>
        </is>
      </c>
      <c r="G20907" s="0" t="s">
        <v>171</v>
      </c>
      <c r="H20907" s="5">
        <v>19.070100</v>
      </c>
    </row>
    <row r="20908" spans="1:9">
      <c r="A20908" s="22" t="str">
        <f>HYPERLINK("https://app.vivvix.com/360/KMI/IntelliDrive/ApplUI/Pages/CreativePages/CustomReportCreativeDetail.aspx?App=23&amp;ReportView=4&amp;Qid=1711279&amp;Row=20900&amp;Col=1","No Title Assigned - #15279548200")</f>
        <v/>
      </c>
      <c r="B20908" s="0" t="s">
        <v>27717</v>
      </c>
      <c r="E20908" s="0" t="inlineStr">
        <is>
          <t xml:space="preserve">Mazda</t>
        </is>
      </c>
      <c r="F20908" s="0" t="inlineStr">
        <is>
          <t xml:space="preserve">Mazda</t>
        </is>
      </c>
      <c r="G20908" s="0" t="s">
        <v>171</v>
      </c>
      <c r="H20908" s="5">
        <v>1.216000</v>
      </c>
    </row>
    <row r="20909" spans="1:9">
      <c r="A20909" s="22" t="str">
        <f>HYPERLINK("https://app.vivvix.com/360/KMI/IntelliDrive/ApplUI/Pages/CreativePages/CustomReportCreativeDetail.aspx?App=23&amp;ReportView=4&amp;Qid=1711279&amp;Row=20901&amp;Col=1","No Title Assigned - #15279548364")</f>
        <v/>
      </c>
      <c r="B20909" s="0" t="s">
        <v>27718</v>
      </c>
      <c r="E20909" s="0" t="inlineStr">
        <is>
          <t xml:space="preserve">Mazda</t>
        </is>
      </c>
      <c r="F20909" s="0" t="inlineStr">
        <is>
          <t xml:space="preserve">Mazda</t>
        </is>
      </c>
      <c r="G20909" s="0" t="s">
        <v>171</v>
      </c>
      <c r="H20909" s="5">
        <v>292211.258300</v>
      </c>
    </row>
    <row r="20910" spans="1:9">
      <c r="A20910" s="22" t="str">
        <f>HYPERLINK("https://app.vivvix.com/360/KMI/IntelliDrive/ApplUI/Pages/CreativePages/CustomReportCreativeDetail.aspx?App=23&amp;ReportView=4&amp;Qid=1711279&amp;Row=20902&amp;Col=1","No Title Assigned - #15279548366")</f>
        <v/>
      </c>
      <c r="B20910" s="0" t="s">
        <v>27719</v>
      </c>
      <c r="E20910" s="0" t="inlineStr">
        <is>
          <t xml:space="preserve">Mazda</t>
        </is>
      </c>
      <c r="F20910" s="0" t="inlineStr">
        <is>
          <t xml:space="preserve">Mazda</t>
        </is>
      </c>
      <c r="G20910" s="0" t="s">
        <v>171</v>
      </c>
      <c r="H20910" s="5">
        <v>354264.141200</v>
      </c>
    </row>
    <row r="20911" spans="1:9">
      <c r="A20911" s="22" t="str">
        <f>HYPERLINK("https://app.vivvix.com/360/KMI/IntelliDrive/ApplUI/Pages/CreativePages/CustomReportCreativeDetail.aspx?App=23&amp;ReportView=4&amp;Qid=1711279&amp;Row=20903&amp;Col=1","No Title Assigned - #15279548506")</f>
        <v/>
      </c>
      <c r="B20911" s="0" t="s">
        <v>27720</v>
      </c>
      <c r="C20911" s="0" t="s">
        <v>27721</v>
      </c>
      <c r="D20911" s="0" t="s">
        <v>27721</v>
      </c>
      <c r="E20911" s="0" t="inlineStr">
        <is>
          <t xml:space="preserve">Mazda</t>
        </is>
      </c>
      <c r="F20911" s="0" t="inlineStr">
        <is>
          <t xml:space="preserve">Mazda</t>
        </is>
      </c>
      <c r="G20911" s="0" t="s">
        <v>171</v>
      </c>
      <c r="H20911" s="5">
        <v>148.173200</v>
      </c>
    </row>
    <row r="20912" spans="1:9">
      <c r="A20912" s="22" t="str">
        <f>HYPERLINK("https://app.vivvix.com/360/KMI/IntelliDrive/ApplUI/Pages/CreativePages/CustomReportCreativeDetail.aspx?App=23&amp;ReportView=4&amp;Qid=1711279&amp;Row=20904&amp;Col=1","No Title Assigned - #15279548506")</f>
        <v/>
      </c>
      <c r="B20912" s="0" t="s">
        <v>27720</v>
      </c>
      <c r="E20912" s="0" t="inlineStr">
        <is>
          <t xml:space="preserve">Mazda</t>
        </is>
      </c>
      <c r="F20912" s="0" t="inlineStr">
        <is>
          <t xml:space="preserve">Mazda</t>
        </is>
      </c>
      <c r="G20912" s="0" t="s">
        <v>171</v>
      </c>
      <c r="H20912" s="5">
        <v>689.008400</v>
      </c>
    </row>
    <row r="20913" spans="1:9">
      <c r="A20913" s="22" t="str">
        <f>HYPERLINK("https://app.vivvix.com/360/KMI/IntelliDrive/ApplUI/Pages/CreativePages/CustomReportCreativeDetail.aspx?App=23&amp;ReportView=4&amp;Qid=1711279&amp;Row=20905&amp;Col=1","No Title Assigned - #15279548596")</f>
        <v/>
      </c>
      <c r="B20913" s="0" t="s">
        <v>27722</v>
      </c>
      <c r="E20913" s="0" t="inlineStr">
        <is>
          <t xml:space="preserve">Mazda</t>
        </is>
      </c>
      <c r="F20913" s="0" t="inlineStr">
        <is>
          <t xml:space="preserve">Mazda</t>
        </is>
      </c>
      <c r="G20913" s="0" t="s">
        <v>171</v>
      </c>
      <c r="H20913" s="5">
        <v>4977.527100</v>
      </c>
    </row>
    <row r="20914" spans="1:9">
      <c r="A20914" s="22" t="str">
        <f>HYPERLINK("https://app.vivvix.com/360/KMI/IntelliDrive/ApplUI/Pages/CreativePages/CustomReportCreativeDetail.aspx?App=23&amp;ReportView=4&amp;Qid=1711279&amp;Row=20906&amp;Col=1","No Title Assigned - #15279548624")</f>
        <v/>
      </c>
      <c r="B20914" s="0" t="s">
        <v>27723</v>
      </c>
      <c r="E20914" s="0" t="inlineStr">
        <is>
          <t xml:space="preserve">Mazda</t>
        </is>
      </c>
      <c r="F20914" s="0" t="inlineStr">
        <is>
          <t xml:space="preserve">Mazda</t>
        </is>
      </c>
      <c r="G20914" s="0" t="s">
        <v>171</v>
      </c>
      <c r="H20914" s="5">
        <v>1287.647100</v>
      </c>
    </row>
    <row r="20915" spans="1:9">
      <c r="A20915" s="22" t="str">
        <f>HYPERLINK("https://app.vivvix.com/360/KMI/IntelliDrive/ApplUI/Pages/CreativePages/CustomReportCreativeDetail.aspx?App=23&amp;ReportView=4&amp;Qid=1711279&amp;Row=20907&amp;Col=1","No Title Assigned - #15279548687")</f>
        <v/>
      </c>
      <c r="B20915" s="0" t="s">
        <v>27724</v>
      </c>
      <c r="E20915" s="0" t="inlineStr">
        <is>
          <t xml:space="preserve">Mazda</t>
        </is>
      </c>
      <c r="F20915" s="0" t="inlineStr">
        <is>
          <t xml:space="preserve">Mazda</t>
        </is>
      </c>
      <c r="G20915" s="0" t="s">
        <v>171</v>
      </c>
      <c r="H20915" s="5">
        <v>13.207900</v>
      </c>
    </row>
    <row r="20916" spans="1:9">
      <c r="A20916" s="22" t="str">
        <f>HYPERLINK("https://app.vivvix.com/360/KMI/IntelliDrive/ApplUI/Pages/CreativePages/CustomReportCreativeDetail.aspx?App=23&amp;ReportView=4&amp;Qid=1711279&amp;Row=20908&amp;Col=1","No Title Assigned - #15279548789")</f>
        <v/>
      </c>
      <c r="B20916" s="0" t="s">
        <v>27725</v>
      </c>
      <c r="E20916" s="0" t="inlineStr">
        <is>
          <t xml:space="preserve">Mazda</t>
        </is>
      </c>
      <c r="F20916" s="0" t="inlineStr">
        <is>
          <t xml:space="preserve">Mazda</t>
        </is>
      </c>
      <c r="G20916" s="0" t="s">
        <v>171</v>
      </c>
      <c r="H20916" s="5">
        <v>1506.357300</v>
      </c>
    </row>
    <row r="20917" spans="1:9">
      <c r="A20917" s="22" t="str">
        <f>HYPERLINK("https://app.vivvix.com/360/KMI/IntelliDrive/ApplUI/Pages/CreativePages/CustomReportCreativeDetail.aspx?App=23&amp;ReportView=4&amp;Qid=1711279&amp;Row=20909&amp;Col=1","No Title Assigned - #15279548853")</f>
        <v/>
      </c>
      <c r="B20917" s="0" t="s">
        <v>27726</v>
      </c>
      <c r="E20917" s="0" t="inlineStr">
        <is>
          <t xml:space="preserve">Mazda</t>
        </is>
      </c>
      <c r="F20917" s="0" t="inlineStr">
        <is>
          <t xml:space="preserve">Mazda</t>
        </is>
      </c>
      <c r="G20917" s="0" t="s">
        <v>171</v>
      </c>
      <c r="H20917" s="5">
        <v>216.957700</v>
      </c>
    </row>
    <row r="20918" spans="1:9">
      <c r="A20918" s="22" t="str">
        <f>HYPERLINK("https://app.vivvix.com/360/KMI/IntelliDrive/ApplUI/Pages/CreativePages/CustomReportCreativeDetail.aspx?App=23&amp;ReportView=4&amp;Qid=1711279&amp;Row=20910&amp;Col=1","No Title Assigned - #15279548861")</f>
        <v/>
      </c>
      <c r="B20918" s="0" t="s">
        <v>27727</v>
      </c>
      <c r="E20918" s="0" t="inlineStr">
        <is>
          <t xml:space="preserve">Mazda</t>
        </is>
      </c>
      <c r="F20918" s="0" t="inlineStr">
        <is>
          <t xml:space="preserve">Mazda</t>
        </is>
      </c>
      <c r="G20918" s="0" t="s">
        <v>171</v>
      </c>
      <c r="H20918" s="5">
        <v>147.990000</v>
      </c>
    </row>
    <row r="20919" spans="1:9">
      <c r="A20919" s="22" t="str">
        <f>HYPERLINK("https://app.vivvix.com/360/KMI/IntelliDrive/ApplUI/Pages/CreativePages/CustomReportCreativeDetail.aspx?App=23&amp;ReportView=4&amp;Qid=1711279&amp;Row=20911&amp;Col=1","No Title Assigned - #15279549219")</f>
        <v/>
      </c>
      <c r="B20919" s="0" t="s">
        <v>27728</v>
      </c>
      <c r="E20919" s="0" t="inlineStr">
        <is>
          <t xml:space="preserve">Mazda</t>
        </is>
      </c>
      <c r="F20919" s="0" t="inlineStr">
        <is>
          <t xml:space="preserve">Mazda</t>
        </is>
      </c>
      <c r="G20919" s="0" t="s">
        <v>171</v>
      </c>
      <c r="H20919" s="5">
        <v>653.919700</v>
      </c>
    </row>
    <row r="20920" spans="1:9">
      <c r="A20920" s="22" t="str">
        <f>HYPERLINK("https://app.vivvix.com/360/KMI/IntelliDrive/ApplUI/Pages/CreativePages/CustomReportCreativeDetail.aspx?App=23&amp;ReportView=4&amp;Qid=1711279&amp;Row=20912&amp;Col=1","No Title Assigned - #15279550393")</f>
        <v/>
      </c>
      <c r="B20920" s="0" t="s">
        <v>27729</v>
      </c>
      <c r="E20920" s="0" t="inlineStr">
        <is>
          <t xml:space="preserve">Mazda</t>
        </is>
      </c>
      <c r="F20920" s="0" t="inlineStr">
        <is>
          <t xml:space="preserve">Mazda</t>
        </is>
      </c>
      <c r="G20920" s="0" t="s">
        <v>171</v>
      </c>
      <c r="H20920" s="5">
        <v>42.490300</v>
      </c>
    </row>
    <row r="20921" spans="1:9">
      <c r="A20921" s="22" t="str">
        <f>HYPERLINK("https://app.vivvix.com/360/KMI/IntelliDrive/ApplUI/Pages/CreativePages/CustomReportCreativeDetail.aspx?App=23&amp;ReportView=4&amp;Qid=1711279&amp;Row=20913&amp;Col=1","No Title Assigned - #15279550783")</f>
        <v/>
      </c>
      <c r="B20921" s="0" t="s">
        <v>27730</v>
      </c>
      <c r="E20921" s="0" t="inlineStr">
        <is>
          <t xml:space="preserve">Mazda</t>
        </is>
      </c>
      <c r="F20921" s="0" t="inlineStr">
        <is>
          <t xml:space="preserve">Mazda</t>
        </is>
      </c>
      <c r="G20921" s="0" t="s">
        <v>171</v>
      </c>
      <c r="H20921" s="5">
        <v>11.086200</v>
      </c>
    </row>
    <row r="20922" spans="1:9">
      <c r="A20922" s="22" t="str">
        <f>HYPERLINK("https://app.vivvix.com/360/KMI/IntelliDrive/ApplUI/Pages/CreativePages/CustomReportCreativeDetail.aspx?App=23&amp;ReportView=4&amp;Qid=1711279&amp;Row=20914&amp;Col=1","No Title Assigned - #15279550784")</f>
        <v/>
      </c>
      <c r="B20922" s="0" t="s">
        <v>27731</v>
      </c>
      <c r="E20922" s="0" t="inlineStr">
        <is>
          <t xml:space="preserve">Mazda</t>
        </is>
      </c>
      <c r="F20922" s="0" t="inlineStr">
        <is>
          <t xml:space="preserve">Mazda</t>
        </is>
      </c>
      <c r="G20922" s="0" t="s">
        <v>171</v>
      </c>
      <c r="H20922" s="5">
        <v>5.543100</v>
      </c>
    </row>
    <row r="20923" spans="1:9">
      <c r="A20923" s="22" t="str">
        <f>HYPERLINK("https://app.vivvix.com/360/KMI/IntelliDrive/ApplUI/Pages/CreativePages/CustomReportCreativeDetail.aspx?App=23&amp;ReportView=4&amp;Qid=1711279&amp;Row=20915&amp;Col=1","No Title Assigned - #15279550786")</f>
        <v/>
      </c>
      <c r="B20923" s="0" t="s">
        <v>27732</v>
      </c>
      <c r="E20923" s="0" t="inlineStr">
        <is>
          <t xml:space="preserve">Mazda</t>
        </is>
      </c>
      <c r="F20923" s="0" t="inlineStr">
        <is>
          <t xml:space="preserve">Mazda</t>
        </is>
      </c>
      <c r="G20923" s="0" t="s">
        <v>171</v>
      </c>
      <c r="H20923" s="5">
        <v>5.543100</v>
      </c>
    </row>
    <row r="20924" spans="1:9">
      <c r="A20924" s="22" t="str">
        <f>HYPERLINK("https://app.vivvix.com/360/KMI/IntelliDrive/ApplUI/Pages/CreativePages/CustomReportCreativeDetail.aspx?App=23&amp;ReportView=4&amp;Qid=1711279&amp;Row=20916&amp;Col=1","No Title Assigned - #15279550891")</f>
        <v/>
      </c>
      <c r="B20924" s="0" t="s">
        <v>27733</v>
      </c>
      <c r="E20924" s="0" t="inlineStr">
        <is>
          <t xml:space="preserve">Mazda</t>
        </is>
      </c>
      <c r="F20924" s="0" t="inlineStr">
        <is>
          <t xml:space="preserve">Mazda</t>
        </is>
      </c>
      <c r="G20924" s="0" t="s">
        <v>171</v>
      </c>
      <c r="H20924" s="5">
        <v>147.842600</v>
      </c>
    </row>
    <row r="20925" spans="1:9">
      <c r="A20925" s="22" t="str">
        <f>HYPERLINK("https://app.vivvix.com/360/KMI/IntelliDrive/ApplUI/Pages/CreativePages/CustomReportCreativeDetail.aspx?App=23&amp;ReportView=4&amp;Qid=1711279&amp;Row=20917&amp;Col=1","No Title Assigned - #15279551143")</f>
        <v/>
      </c>
      <c r="B20925" s="0" t="s">
        <v>27734</v>
      </c>
      <c r="E20925" s="0" t="inlineStr">
        <is>
          <t xml:space="preserve">Mazda</t>
        </is>
      </c>
      <c r="F20925" s="0" t="inlineStr">
        <is>
          <t xml:space="preserve">Mazda</t>
        </is>
      </c>
      <c r="G20925" s="0" t="s">
        <v>171</v>
      </c>
      <c r="H20925" s="5">
        <v>2.432000</v>
      </c>
    </row>
    <row r="20926" spans="1:9">
      <c r="A20926" s="22" t="str">
        <f>HYPERLINK("https://app.vivvix.com/360/KMI/IntelliDrive/ApplUI/Pages/CreativePages/CustomReportCreativeDetail.aspx?App=23&amp;ReportView=4&amp;Qid=1711279&amp;Row=20918&amp;Col=1","No Title Assigned - #15279551326")</f>
        <v/>
      </c>
      <c r="B20926" s="0" t="s">
        <v>27735</v>
      </c>
      <c r="E20926" s="0" t="inlineStr">
        <is>
          <t xml:space="preserve">Mazda</t>
        </is>
      </c>
      <c r="F20926" s="0" t="inlineStr">
        <is>
          <t xml:space="preserve">Mazda</t>
        </is>
      </c>
      <c r="G20926" s="0" t="s">
        <v>171</v>
      </c>
      <c r="H20926" s="5">
        <v>1348.117500</v>
      </c>
    </row>
    <row r="20927" spans="1:9">
      <c r="A20927" s="22" t="str">
        <f>HYPERLINK("https://app.vivvix.com/360/KMI/IntelliDrive/ApplUI/Pages/CreativePages/CustomReportCreativeDetail.aspx?App=23&amp;ReportView=4&amp;Qid=1711279&amp;Row=20919&amp;Col=1","No Title Assigned - #15279559311")</f>
        <v/>
      </c>
      <c r="B20927" s="0" t="s">
        <v>27736</v>
      </c>
      <c r="C20927" s="0" t="s">
        <v>27737</v>
      </c>
      <c r="D20927" s="0" t="s">
        <v>27737</v>
      </c>
      <c r="E20927" s="0" t="inlineStr">
        <is>
          <t xml:space="preserve">Mazda</t>
        </is>
      </c>
      <c r="F20927" s="0" t="inlineStr">
        <is>
          <t xml:space="preserve">Mazda</t>
        </is>
      </c>
      <c r="G20927" s="0" t="s">
        <v>171</v>
      </c>
      <c r="H20927" s="5">
        <v>73.008500</v>
      </c>
    </row>
    <row r="20928" spans="1:9">
      <c r="A20928" s="22" t="str">
        <f>HYPERLINK("https://app.vivvix.com/360/KMI/IntelliDrive/ApplUI/Pages/CreativePages/CustomReportCreativeDetail.aspx?App=23&amp;ReportView=4&amp;Qid=1711279&amp;Row=20920&amp;Col=1","No Title Assigned - #15279559543")</f>
        <v/>
      </c>
      <c r="B20928" s="0" t="s">
        <v>27738</v>
      </c>
      <c r="E20928" s="0" t="inlineStr">
        <is>
          <t xml:space="preserve">Mazda</t>
        </is>
      </c>
      <c r="F20928" s="0" t="inlineStr">
        <is>
          <t xml:space="preserve">Mazda</t>
        </is>
      </c>
      <c r="G20928" s="0" t="s">
        <v>171</v>
      </c>
      <c r="H20928" s="5">
        <v>5.543100</v>
      </c>
    </row>
    <row r="20929" spans="1:9">
      <c r="A20929" s="22" t="str">
        <f>HYPERLINK("https://app.vivvix.com/360/KMI/IntelliDrive/ApplUI/Pages/CreativePages/CustomReportCreativeDetail.aspx?App=23&amp;ReportView=4&amp;Qid=1711279&amp;Row=20921&amp;Col=1","No Title Assigned - #15279571564")</f>
        <v/>
      </c>
      <c r="B20929" s="0" t="s">
        <v>27739</v>
      </c>
      <c r="E20929" s="0" t="inlineStr">
        <is>
          <t xml:space="preserve">Mazda</t>
        </is>
      </c>
      <c r="F20929" s="0" t="inlineStr">
        <is>
          <t xml:space="preserve">Mazda</t>
        </is>
      </c>
      <c r="G20929" s="0" t="s">
        <v>171</v>
      </c>
      <c r="H20929" s="5">
        <v>231.394200</v>
      </c>
    </row>
    <row r="20930" spans="1:9">
      <c r="A20930" s="22" t="str">
        <f>HYPERLINK("https://app.vivvix.com/360/KMI/IntelliDrive/ApplUI/Pages/CreativePages/CustomReportCreativeDetail.aspx?App=23&amp;ReportView=4&amp;Qid=1711279&amp;Row=20922&amp;Col=1","No Title Assigned - #15279574662")</f>
        <v/>
      </c>
      <c r="B20930" s="0" t="s">
        <v>27740</v>
      </c>
      <c r="C20930" s="0" t="s">
        <v>27741</v>
      </c>
      <c r="D20930" s="0" t="s">
        <v>4335</v>
      </c>
      <c r="E20930" s="0" t="inlineStr">
        <is>
          <t xml:space="preserve">Mazda</t>
        </is>
      </c>
      <c r="F20930" s="0" t="s">
        <v>13</v>
      </c>
      <c r="G20930" s="0" t="s">
        <v>49</v>
      </c>
      <c r="H20930" s="5">
        <v>61.068200</v>
      </c>
    </row>
    <row r="20931" spans="1:9">
      <c r="A20931" s="22" t="str">
        <f>HYPERLINK("https://app.vivvix.com/360/KMI/IntelliDrive/ApplUI/Pages/CreativePages/CustomReportCreativeDetail.aspx?App=23&amp;ReportView=4&amp;Qid=1711279&amp;Row=20923&amp;Col=1","No Title Assigned - #15279575166")</f>
        <v/>
      </c>
      <c r="B20931" s="0" t="s">
        <v>27742</v>
      </c>
      <c r="C20931" s="0" t="s">
        <v>27743</v>
      </c>
      <c r="D20931" s="0" t="s">
        <v>27743</v>
      </c>
      <c r="E20931" s="0" t="inlineStr">
        <is>
          <t xml:space="preserve">Mazda</t>
        </is>
      </c>
      <c r="F20931" s="0" t="s">
        <v>28</v>
      </c>
      <c r="G20931" s="0" t="s">
        <v>29</v>
      </c>
      <c r="H20931" s="5">
        <v>202.568100</v>
      </c>
    </row>
    <row r="20932" spans="1:9">
      <c r="A20932" s="22" t="str">
        <f>HYPERLINK("https://app.vivvix.com/360/KMI/IntelliDrive/ApplUI/Pages/CreativePages/CustomReportCreativeDetail.aspx?App=23&amp;ReportView=4&amp;Qid=1711279&amp;Row=20924&amp;Col=1","No Title Assigned - #15279577470")</f>
        <v/>
      </c>
      <c r="B20932" s="0" t="s">
        <v>27744</v>
      </c>
      <c r="C20932" s="0" t="s">
        <v>27745</v>
      </c>
      <c r="D20932" s="0" t="s">
        <v>27745</v>
      </c>
      <c r="E20932" s="0" t="inlineStr">
        <is>
          <t xml:space="preserve">Mazda</t>
        </is>
      </c>
      <c r="F20932" s="0" t="s">
        <v>28</v>
      </c>
      <c r="G20932" s="0" t="s">
        <v>29</v>
      </c>
      <c r="H20932" s="5">
        <v>6257.778800</v>
      </c>
    </row>
    <row r="20933" spans="1:9">
      <c r="A20933" s="22" t="str">
        <f>HYPERLINK("https://app.vivvix.com/360/KMI/IntelliDrive/ApplUI/Pages/CreativePages/CustomReportCreativeDetail.aspx?App=23&amp;ReportView=4&amp;Qid=1711279&amp;Row=20925&amp;Col=1","No Title Assigned - #15279579957")</f>
        <v/>
      </c>
      <c r="B20933" s="0" t="s">
        <v>27746</v>
      </c>
      <c r="C20933" s="0" t="s">
        <v>27747</v>
      </c>
      <c r="D20933" s="0" t="s">
        <v>6416</v>
      </c>
      <c r="E20933" s="0" t="inlineStr">
        <is>
          <t xml:space="preserve">Mazda</t>
        </is>
      </c>
      <c r="F20933" s="0" t="s">
        <v>13</v>
      </c>
      <c r="G20933" s="0" t="s">
        <v>49</v>
      </c>
      <c r="H20933" s="5">
        <v>11.524400</v>
      </c>
    </row>
    <row r="20934" spans="1:9">
      <c r="A20934" s="22" t="str">
        <f>HYPERLINK("https://app.vivvix.com/360/KMI/IntelliDrive/ApplUI/Pages/CreativePages/CustomReportCreativeDetail.aspx?App=23&amp;ReportView=4&amp;Qid=1711279&amp;Row=20926&amp;Col=1","No Title Assigned - #15279582039")</f>
        <v/>
      </c>
      <c r="B20934" s="0" t="s">
        <v>27748</v>
      </c>
      <c r="C20934" s="0" t="s">
        <v>27749</v>
      </c>
      <c r="D20934" s="0" t="s">
        <v>26724</v>
      </c>
      <c r="E20934" s="0" t="inlineStr">
        <is>
          <t xml:space="preserve">Mazda</t>
        </is>
      </c>
      <c r="F20934" s="0" t="s">
        <v>28</v>
      </c>
      <c r="G20934" s="0" t="s">
        <v>29</v>
      </c>
      <c r="H20934" s="5">
        <v>307.915800</v>
      </c>
    </row>
    <row r="20935" spans="1:9">
      <c r="A20935" s="22" t="str">
        <f>HYPERLINK("https://app.vivvix.com/360/KMI/IntelliDrive/ApplUI/Pages/CreativePages/CustomReportCreativeDetail.aspx?App=23&amp;ReportView=4&amp;Qid=1711279&amp;Row=20927&amp;Col=1","No Title Assigned - #15279591680")</f>
        <v/>
      </c>
      <c r="B20935" s="0" t="s">
        <v>27750</v>
      </c>
      <c r="C20935" s="0" t="s">
        <v>27751</v>
      </c>
      <c r="D20935" s="0" t="s">
        <v>17671</v>
      </c>
      <c r="E20935" s="0" t="inlineStr">
        <is>
          <t xml:space="preserve">Mazda</t>
        </is>
      </c>
      <c r="F20935" s="0" t="s">
        <v>13</v>
      </c>
      <c r="G20935" s="0" t="s">
        <v>49</v>
      </c>
      <c r="H20935" s="5">
        <v>129.998200</v>
      </c>
    </row>
    <row r="20936" spans="1:9">
      <c r="A20936" s="22" t="str">
        <f>HYPERLINK("https://app.vivvix.com/360/KMI/IntelliDrive/ApplUI/Pages/CreativePages/CustomReportCreativeDetail.aspx?App=23&amp;ReportView=4&amp;Qid=1711279&amp;Row=20928&amp;Col=1","No Title Assigned - #15279593029")</f>
        <v/>
      </c>
      <c r="B20936" s="0" t="s">
        <v>27752</v>
      </c>
      <c r="E20936" s="0" t="inlineStr">
        <is>
          <t xml:space="preserve">Mazda</t>
        </is>
      </c>
      <c r="F20936" s="0" t="inlineStr">
        <is>
          <t xml:space="preserve">Mazda</t>
        </is>
      </c>
      <c r="G20936" s="0" t="s">
        <v>171</v>
      </c>
      <c r="H20936" s="5">
        <v>16.139800</v>
      </c>
    </row>
    <row r="20937" spans="1:9">
      <c r="A20937" s="22" t="str">
        <f>HYPERLINK("https://app.vivvix.com/360/KMI/IntelliDrive/ApplUI/Pages/CreativePages/CustomReportCreativeDetail.aspx?App=23&amp;ReportView=4&amp;Qid=1711279&amp;Row=20929&amp;Col=1","No Title Assigned - #15279593051")</f>
        <v/>
      </c>
      <c r="B20937" s="0" t="s">
        <v>27753</v>
      </c>
      <c r="E20937" s="0" t="inlineStr">
        <is>
          <t xml:space="preserve">Mazda</t>
        </is>
      </c>
      <c r="F20937" s="0" t="inlineStr">
        <is>
          <t xml:space="preserve">Mazda</t>
        </is>
      </c>
      <c r="G20937" s="0" t="s">
        <v>171</v>
      </c>
      <c r="H20937" s="5">
        <v>61.754800</v>
      </c>
    </row>
    <row r="20938" spans="1:9">
      <c r="A20938" s="22" t="str">
        <f>HYPERLINK("https://app.vivvix.com/360/KMI/IntelliDrive/ApplUI/Pages/CreativePages/CustomReportCreativeDetail.aspx?App=23&amp;ReportView=4&amp;Qid=1711279&amp;Row=20930&amp;Col=1","No Title Assigned - #15279593053")</f>
        <v/>
      </c>
      <c r="B20938" s="0" t="s">
        <v>27754</v>
      </c>
      <c r="E20938" s="0" t="inlineStr">
        <is>
          <t xml:space="preserve">Mazda</t>
        </is>
      </c>
      <c r="F20938" s="0" t="inlineStr">
        <is>
          <t xml:space="preserve">Mazda</t>
        </is>
      </c>
      <c r="G20938" s="0" t="s">
        <v>171</v>
      </c>
      <c r="H20938" s="5">
        <v>50.691700</v>
      </c>
    </row>
    <row r="20939" spans="1:9">
      <c r="A20939" s="22" t="str">
        <f>HYPERLINK("https://app.vivvix.com/360/KMI/IntelliDrive/ApplUI/Pages/CreativePages/CustomReportCreativeDetail.aspx?App=23&amp;ReportView=4&amp;Qid=1711279&amp;Row=20931&amp;Col=1","No Title Assigned - #15279593887")</f>
        <v/>
      </c>
      <c r="B20939" s="0" t="s">
        <v>27755</v>
      </c>
      <c r="E20939" s="0" t="inlineStr">
        <is>
          <t xml:space="preserve">Mazda</t>
        </is>
      </c>
      <c r="F20939" s="0" t="inlineStr">
        <is>
          <t xml:space="preserve">Mazda</t>
        </is>
      </c>
      <c r="G20939" s="0" t="s">
        <v>171</v>
      </c>
      <c r="H20939" s="5">
        <v>2209.613000</v>
      </c>
    </row>
    <row r="20940" spans="1:9">
      <c r="A20940" s="22" t="str">
        <f>HYPERLINK("https://app.vivvix.com/360/KMI/IntelliDrive/ApplUI/Pages/CreativePages/CustomReportCreativeDetail.aspx?App=23&amp;ReportView=4&amp;Qid=1711279&amp;Row=20932&amp;Col=1","No Title Assigned - #15279594325")</f>
        <v/>
      </c>
      <c r="B20940" s="0" t="s">
        <v>27756</v>
      </c>
      <c r="E20940" s="0" t="inlineStr">
        <is>
          <t xml:space="preserve">Mazda</t>
        </is>
      </c>
      <c r="F20940" s="0" t="inlineStr">
        <is>
          <t xml:space="preserve">Mazda</t>
        </is>
      </c>
      <c r="G20940" s="0" t="s">
        <v>171</v>
      </c>
      <c r="H20940" s="5">
        <v>1982.719000</v>
      </c>
    </row>
    <row r="20941" spans="1:9">
      <c r="A20941" s="22" t="str">
        <f>HYPERLINK("https://app.vivvix.com/360/KMI/IntelliDrive/ApplUI/Pages/CreativePages/CustomReportCreativeDetail.aspx?App=23&amp;ReportView=4&amp;Qid=1711279&amp;Row=20933&amp;Col=1","No Title Assigned - #15279594725")</f>
        <v/>
      </c>
      <c r="B20941" s="0" t="s">
        <v>27757</v>
      </c>
      <c r="E20941" s="0" t="inlineStr">
        <is>
          <t xml:space="preserve">Mazda</t>
        </is>
      </c>
      <c r="F20941" s="0" t="inlineStr">
        <is>
          <t xml:space="preserve">Mazda</t>
        </is>
      </c>
      <c r="G20941" s="0" t="s">
        <v>171</v>
      </c>
      <c r="H20941" s="5">
        <v>16933.373600</v>
      </c>
    </row>
    <row r="20942" spans="1:9">
      <c r="A20942" s="22" t="str">
        <f>HYPERLINK("https://app.vivvix.com/360/KMI/IntelliDrive/ApplUI/Pages/CreativePages/CustomReportCreativeDetail.aspx?App=23&amp;ReportView=4&amp;Qid=1711279&amp;Row=20934&amp;Col=1","No Title Assigned - #15279594725")</f>
        <v/>
      </c>
      <c r="B20942" s="0" t="s">
        <v>27757</v>
      </c>
      <c r="E20942" s="0" t="inlineStr">
        <is>
          <t xml:space="preserve">Mazda</t>
        </is>
      </c>
      <c r="F20942" s="0" t="inlineStr">
        <is>
          <t xml:space="preserve">Mazda</t>
        </is>
      </c>
      <c r="G20942" s="0" t="s">
        <v>171</v>
      </c>
      <c r="H20942" s="5">
        <v>3184.071100</v>
      </c>
    </row>
    <row r="20943" spans="1:9">
      <c r="A20943" s="22" t="str">
        <f>HYPERLINK("https://app.vivvix.com/360/KMI/IntelliDrive/ApplUI/Pages/CreativePages/CustomReportCreativeDetail.aspx?App=23&amp;ReportView=4&amp;Qid=1711279&amp;Row=20935&amp;Col=1","No Title Assigned - #15279594781")</f>
        <v/>
      </c>
      <c r="B20943" s="0" t="s">
        <v>27758</v>
      </c>
      <c r="E20943" s="0" t="inlineStr">
        <is>
          <t xml:space="preserve">Mazda</t>
        </is>
      </c>
      <c r="F20943" s="0" t="inlineStr">
        <is>
          <t xml:space="preserve">Mazda</t>
        </is>
      </c>
      <c r="G20943" s="0" t="s">
        <v>171</v>
      </c>
      <c r="H20943" s="5">
        <v>49640.554000</v>
      </c>
    </row>
    <row r="20944" spans="1:9">
      <c r="A20944" s="22" t="str">
        <f>HYPERLINK("https://app.vivvix.com/360/KMI/IntelliDrive/ApplUI/Pages/CreativePages/CustomReportCreativeDetail.aspx?App=23&amp;ReportView=4&amp;Qid=1711279&amp;Row=20936&amp;Col=1","No Title Assigned - #15279594972")</f>
        <v/>
      </c>
      <c r="B20944" s="0" t="s">
        <v>27759</v>
      </c>
      <c r="E20944" s="0" t="inlineStr">
        <is>
          <t xml:space="preserve">Mazda</t>
        </is>
      </c>
      <c r="F20944" s="0" t="inlineStr">
        <is>
          <t xml:space="preserve">Mazda</t>
        </is>
      </c>
      <c r="G20944" s="0" t="s">
        <v>171</v>
      </c>
      <c r="H20944" s="5">
        <v>42.500200</v>
      </c>
    </row>
    <row r="20945" spans="1:9">
      <c r="A20945" s="22" t="str">
        <f>HYPERLINK("https://app.vivvix.com/360/KMI/IntelliDrive/ApplUI/Pages/CreativePages/CustomReportCreativeDetail.aspx?App=23&amp;ReportView=4&amp;Qid=1711279&amp;Row=20937&amp;Col=1","No Title Assigned - #15279595275")</f>
        <v/>
      </c>
      <c r="B20945" s="0" t="s">
        <v>27760</v>
      </c>
      <c r="E20945" s="0" t="inlineStr">
        <is>
          <t xml:space="preserve">Mazda</t>
        </is>
      </c>
      <c r="F20945" s="0" t="inlineStr">
        <is>
          <t xml:space="preserve">Mazda</t>
        </is>
      </c>
      <c r="G20945" s="0" t="s">
        <v>171</v>
      </c>
      <c r="H20945" s="5">
        <v>4891.034200</v>
      </c>
    </row>
    <row r="20946" spans="1:9">
      <c r="A20946" s="22" t="str">
        <f>HYPERLINK("https://app.vivvix.com/360/KMI/IntelliDrive/ApplUI/Pages/CreativePages/CustomReportCreativeDetail.aspx?App=23&amp;ReportView=4&amp;Qid=1711279&amp;Row=20938&amp;Col=1","No Title Assigned - #15279595383")</f>
        <v/>
      </c>
      <c r="B20946" s="0" t="s">
        <v>27761</v>
      </c>
      <c r="E20946" s="0" t="inlineStr">
        <is>
          <t xml:space="preserve">Mazda</t>
        </is>
      </c>
      <c r="F20946" s="0" t="inlineStr">
        <is>
          <t xml:space="preserve">Mazda</t>
        </is>
      </c>
      <c r="G20946" s="0" t="s">
        <v>171</v>
      </c>
      <c r="H20946" s="5">
        <v>89.280900</v>
      </c>
    </row>
    <row r="20947" spans="1:9">
      <c r="A20947" s="22" t="str">
        <f>HYPERLINK("https://app.vivvix.com/360/KMI/IntelliDrive/ApplUI/Pages/CreativePages/CustomReportCreativeDetail.aspx?App=23&amp;ReportView=4&amp;Qid=1711279&amp;Row=20939&amp;Col=1","No Title Assigned - #15279595688")</f>
        <v/>
      </c>
      <c r="B20947" s="0" t="s">
        <v>27762</v>
      </c>
      <c r="E20947" s="0" t="inlineStr">
        <is>
          <t xml:space="preserve">Mazda</t>
        </is>
      </c>
      <c r="F20947" s="0" t="inlineStr">
        <is>
          <t xml:space="preserve">Mazda</t>
        </is>
      </c>
      <c r="G20947" s="0" t="s">
        <v>171</v>
      </c>
      <c r="H20947" s="5">
        <v>1140.046100</v>
      </c>
    </row>
    <row r="20948" spans="1:9">
      <c r="A20948" s="22" t="str">
        <f>HYPERLINK("https://app.vivvix.com/360/KMI/IntelliDrive/ApplUI/Pages/CreativePages/CustomReportCreativeDetail.aspx?App=23&amp;ReportView=4&amp;Qid=1711279&amp;Row=20940&amp;Col=1","No Title Assigned - #15279595689")</f>
        <v/>
      </c>
      <c r="B20948" s="0" t="s">
        <v>27763</v>
      </c>
      <c r="E20948" s="0" t="inlineStr">
        <is>
          <t xml:space="preserve">Mazda</t>
        </is>
      </c>
      <c r="F20948" s="0" t="inlineStr">
        <is>
          <t xml:space="preserve">Mazda</t>
        </is>
      </c>
      <c r="G20948" s="0" t="s">
        <v>171</v>
      </c>
      <c r="H20948" s="5">
        <v>14.239800</v>
      </c>
    </row>
    <row r="20949" spans="1:9">
      <c r="A20949" s="22" t="str">
        <f>HYPERLINK("https://app.vivvix.com/360/KMI/IntelliDrive/ApplUI/Pages/CreativePages/CustomReportCreativeDetail.aspx?App=23&amp;ReportView=4&amp;Qid=1711279&amp;Row=20941&amp;Col=1","No Title Assigned - #15279595868")</f>
        <v/>
      </c>
      <c r="B20949" s="0" t="s">
        <v>27764</v>
      </c>
      <c r="E20949" s="0" t="inlineStr">
        <is>
          <t xml:space="preserve">Mazda</t>
        </is>
      </c>
      <c r="F20949" s="0" t="inlineStr">
        <is>
          <t xml:space="preserve">Mazda</t>
        </is>
      </c>
      <c r="G20949" s="0" t="s">
        <v>171</v>
      </c>
      <c r="H20949" s="5">
        <v>1.216000</v>
      </c>
    </row>
    <row r="20950" spans="1:9">
      <c r="A20950" s="22" t="str">
        <f>HYPERLINK("https://app.vivvix.com/360/KMI/IntelliDrive/ApplUI/Pages/CreativePages/CustomReportCreativeDetail.aspx?App=23&amp;ReportView=4&amp;Qid=1711279&amp;Row=20942&amp;Col=1","No Title Assigned - #15279595886")</f>
        <v/>
      </c>
      <c r="B20950" s="0" t="s">
        <v>27765</v>
      </c>
      <c r="E20950" s="0" t="inlineStr">
        <is>
          <t xml:space="preserve">Mazda</t>
        </is>
      </c>
      <c r="F20950" s="0" t="inlineStr">
        <is>
          <t xml:space="preserve">Mazda</t>
        </is>
      </c>
      <c r="G20950" s="0" t="s">
        <v>171</v>
      </c>
      <c r="H20950" s="5">
        <v>142.402900</v>
      </c>
    </row>
    <row r="20951" spans="1:9">
      <c r="A20951" s="22" t="str">
        <f>HYPERLINK("https://app.vivvix.com/360/KMI/IntelliDrive/ApplUI/Pages/CreativePages/CustomReportCreativeDetail.aspx?App=23&amp;ReportView=4&amp;Qid=1711279&amp;Row=20943&amp;Col=1","No Title Assigned - #15279595931")</f>
        <v/>
      </c>
      <c r="B20951" s="0" t="s">
        <v>27766</v>
      </c>
      <c r="E20951" s="0" t="inlineStr">
        <is>
          <t xml:space="preserve">Mazda</t>
        </is>
      </c>
      <c r="F20951" s="0" t="inlineStr">
        <is>
          <t xml:space="preserve">Mazda</t>
        </is>
      </c>
      <c r="G20951" s="0" t="s">
        <v>171</v>
      </c>
      <c r="H20951" s="5">
        <v>66230.492200</v>
      </c>
    </row>
    <row r="20952" spans="1:9">
      <c r="A20952" s="22" t="str">
        <f>HYPERLINK("https://app.vivvix.com/360/KMI/IntelliDrive/ApplUI/Pages/CreativePages/CustomReportCreativeDetail.aspx?App=23&amp;ReportView=4&amp;Qid=1711279&amp;Row=20944&amp;Col=1","No Title Assigned - #15279597042")</f>
        <v/>
      </c>
      <c r="B20952" s="0" t="s">
        <v>27767</v>
      </c>
      <c r="E20952" s="0" t="inlineStr">
        <is>
          <t xml:space="preserve">Mazda</t>
        </is>
      </c>
      <c r="F20952" s="0" t="inlineStr">
        <is>
          <t xml:space="preserve">Mazda</t>
        </is>
      </c>
      <c r="G20952" s="0" t="s">
        <v>171</v>
      </c>
      <c r="H20952" s="5">
        <v>457.408600</v>
      </c>
    </row>
    <row r="20953" spans="1:9">
      <c r="A20953" s="22" t="str">
        <f>HYPERLINK("https://app.vivvix.com/360/KMI/IntelliDrive/ApplUI/Pages/CreativePages/CustomReportCreativeDetail.aspx?App=23&amp;ReportView=4&amp;Qid=1711279&amp;Row=20945&amp;Col=1","No Title Assigned - #15279597363")</f>
        <v/>
      </c>
      <c r="B20953" s="0" t="s">
        <v>27768</v>
      </c>
      <c r="E20953" s="0" t="inlineStr">
        <is>
          <t xml:space="preserve">Mazda</t>
        </is>
      </c>
      <c r="F20953" s="0" t="inlineStr">
        <is>
          <t xml:space="preserve">Mazda</t>
        </is>
      </c>
      <c r="G20953" s="0" t="s">
        <v>171</v>
      </c>
      <c r="H20953" s="5">
        <v>32.681500</v>
      </c>
    </row>
    <row r="20954" spans="1:9">
      <c r="A20954" s="22" t="str">
        <f>HYPERLINK("https://app.vivvix.com/360/KMI/IntelliDrive/ApplUI/Pages/CreativePages/CustomReportCreativeDetail.aspx?App=23&amp;ReportView=4&amp;Qid=1711279&amp;Row=20946&amp;Col=1","No Title Assigned - #15279598404")</f>
        <v/>
      </c>
      <c r="B20954" s="0" t="s">
        <v>27769</v>
      </c>
      <c r="C20954" s="0" t="s">
        <v>27770</v>
      </c>
      <c r="D20954" s="0" t="s">
        <v>27770</v>
      </c>
      <c r="E20954" s="0" t="inlineStr">
        <is>
          <t xml:space="preserve">Mazda</t>
        </is>
      </c>
      <c r="F20954" s="0" t="inlineStr">
        <is>
          <t xml:space="preserve">Mazda</t>
        </is>
      </c>
      <c r="G20954" s="0" t="s">
        <v>171</v>
      </c>
      <c r="H20954" s="5">
        <v>50.203400</v>
      </c>
    </row>
    <row r="20955" spans="1:9">
      <c r="A20955" s="22" t="str">
        <f>HYPERLINK("https://app.vivvix.com/360/KMI/IntelliDrive/ApplUI/Pages/CreativePages/CustomReportCreativeDetail.aspx?App=23&amp;ReportView=4&amp;Qid=1711279&amp;Row=20947&amp;Col=1","No Title Assigned - #15279598404")</f>
        <v/>
      </c>
      <c r="B20955" s="0" t="s">
        <v>27769</v>
      </c>
      <c r="E20955" s="0" t="inlineStr">
        <is>
          <t xml:space="preserve">Mazda</t>
        </is>
      </c>
      <c r="F20955" s="0" t="inlineStr">
        <is>
          <t xml:space="preserve">Mazda</t>
        </is>
      </c>
      <c r="G20955" s="0" t="s">
        <v>171</v>
      </c>
      <c r="H20955" s="5">
        <v>3349.654800</v>
      </c>
    </row>
    <row r="20956" spans="1:9">
      <c r="A20956" s="22" t="str">
        <f>HYPERLINK("https://app.vivvix.com/360/KMI/IntelliDrive/ApplUI/Pages/CreativePages/CustomReportCreativeDetail.aspx?App=23&amp;ReportView=4&amp;Qid=1711279&amp;Row=20948&amp;Col=1","No Title Assigned - #15279600843")</f>
        <v/>
      </c>
      <c r="B20956" s="0" t="s">
        <v>27771</v>
      </c>
      <c r="E20956" s="0" t="inlineStr">
        <is>
          <t xml:space="preserve">Mazda</t>
        </is>
      </c>
      <c r="F20956" s="0" t="inlineStr">
        <is>
          <t xml:space="preserve">Mazda</t>
        </is>
      </c>
      <c r="G20956" s="0" t="s">
        <v>171</v>
      </c>
      <c r="H20956" s="5">
        <v>3922.942300</v>
      </c>
    </row>
    <row r="20957" spans="1:9">
      <c r="A20957" s="22" t="str">
        <f>HYPERLINK("https://app.vivvix.com/360/KMI/IntelliDrive/ApplUI/Pages/CreativePages/CustomReportCreativeDetail.aspx?App=23&amp;ReportView=4&amp;Qid=1711279&amp;Row=20949&amp;Col=1","No Title Assigned - #15279600843")</f>
        <v/>
      </c>
      <c r="B20957" s="0" t="s">
        <v>27771</v>
      </c>
      <c r="E20957" s="0" t="inlineStr">
        <is>
          <t xml:space="preserve">Mazda</t>
        </is>
      </c>
      <c r="F20957" s="0" t="inlineStr">
        <is>
          <t xml:space="preserve">Mazda</t>
        </is>
      </c>
      <c r="G20957" s="0" t="s">
        <v>171</v>
      </c>
      <c r="H20957" s="5">
        <v>7023.474300</v>
      </c>
    </row>
    <row r="20958" spans="1:9">
      <c r="A20958" s="22" t="str">
        <f>HYPERLINK("https://app.vivvix.com/360/KMI/IntelliDrive/ApplUI/Pages/CreativePages/CustomReportCreativeDetail.aspx?App=23&amp;ReportView=4&amp;Qid=1711279&amp;Row=20950&amp;Col=1","No Title Assigned - #15279608591")</f>
        <v/>
      </c>
      <c r="B20958" s="0" t="s">
        <v>27772</v>
      </c>
      <c r="E20958" s="0" t="inlineStr">
        <is>
          <t xml:space="preserve">Mazda</t>
        </is>
      </c>
      <c r="F20958" s="0" t="inlineStr">
        <is>
          <t xml:space="preserve">Mazda</t>
        </is>
      </c>
      <c r="G20958" s="0" t="s">
        <v>171</v>
      </c>
      <c r="H20958" s="5">
        <v>129.454000</v>
      </c>
    </row>
    <row r="20959" spans="1:9">
      <c r="A20959" s="22" t="str">
        <f>HYPERLINK("https://app.vivvix.com/360/KMI/IntelliDrive/ApplUI/Pages/CreativePages/CustomReportCreativeDetail.aspx?App=23&amp;ReportView=4&amp;Qid=1711279&amp;Row=20951&amp;Col=1","No Title Assigned - #15279609098")</f>
        <v/>
      </c>
      <c r="B20959" s="0" t="s">
        <v>27773</v>
      </c>
      <c r="E20959" s="0" t="inlineStr">
        <is>
          <t xml:space="preserve">Mazda</t>
        </is>
      </c>
      <c r="F20959" s="0" t="inlineStr">
        <is>
          <t xml:space="preserve">Mazda</t>
        </is>
      </c>
      <c r="G20959" s="0" t="s">
        <v>171</v>
      </c>
      <c r="H20959" s="5">
        <v>213.883400</v>
      </c>
    </row>
    <row r="20960" spans="1:9">
      <c r="A20960" s="22" t="str">
        <f>HYPERLINK("https://app.vivvix.com/360/KMI/IntelliDrive/ApplUI/Pages/CreativePages/CustomReportCreativeDetail.aspx?App=23&amp;ReportView=4&amp;Qid=1711279&amp;Row=20952&amp;Col=1","No Title Assigned - #15279618458")</f>
        <v/>
      </c>
      <c r="B20960" s="0" t="s">
        <v>27774</v>
      </c>
      <c r="C20960" s="0" t="s">
        <v>27775</v>
      </c>
      <c r="D20960" s="0" t="s">
        <v>27775</v>
      </c>
      <c r="E20960" s="0" t="inlineStr">
        <is>
          <t xml:space="preserve">Mazda</t>
        </is>
      </c>
      <c r="F20960" s="0" t="s">
        <v>13</v>
      </c>
      <c r="G20960" s="0" t="s">
        <v>49</v>
      </c>
      <c r="H20960" s="5">
        <v>2.220900</v>
      </c>
    </row>
    <row r="20961" spans="1:9">
      <c r="A20961" s="22" t="str">
        <f>HYPERLINK("https://app.vivvix.com/360/KMI/IntelliDrive/ApplUI/Pages/CreativePages/CustomReportCreativeDetail.aspx?App=23&amp;ReportView=4&amp;Qid=1711279&amp;Row=20953&amp;Col=1","No Title Assigned - #15279624098")</f>
        <v/>
      </c>
      <c r="B20961" s="0" t="s">
        <v>27776</v>
      </c>
      <c r="C20961" s="0" t="s">
        <v>27777</v>
      </c>
      <c r="D20961" s="0" t="s">
        <v>27777</v>
      </c>
      <c r="E20961" s="0" t="inlineStr">
        <is>
          <t xml:space="preserve">Mazda</t>
        </is>
      </c>
      <c r="F20961" s="0" t="s">
        <v>13</v>
      </c>
      <c r="G20961" s="0" t="s">
        <v>49</v>
      </c>
      <c r="H20961" s="5">
        <v>32.167500</v>
      </c>
    </row>
    <row r="20962" spans="1:9">
      <c r="A20962" s="22" t="str">
        <f>HYPERLINK("https://app.vivvix.com/360/KMI/IntelliDrive/ApplUI/Pages/CreativePages/CustomReportCreativeDetail.aspx?App=23&amp;ReportView=4&amp;Qid=1711279&amp;Row=20954&amp;Col=1","No Title Assigned - #15279625495")</f>
        <v/>
      </c>
      <c r="B20962" s="0" t="s">
        <v>27778</v>
      </c>
      <c r="C20962" s="0" t="s">
        <v>27779</v>
      </c>
      <c r="D20962" s="0" t="s">
        <v>9921</v>
      </c>
      <c r="E20962" s="0" t="inlineStr">
        <is>
          <t xml:space="preserve">Mazda</t>
        </is>
      </c>
      <c r="F20962" s="0" t="s">
        <v>13</v>
      </c>
      <c r="G20962" s="0" t="s">
        <v>49</v>
      </c>
      <c r="H20962" s="5">
        <v>72.547400</v>
      </c>
    </row>
    <row r="20963" spans="1:9">
      <c r="A20963" s="22" t="str">
        <f>HYPERLINK("https://app.vivvix.com/360/KMI/IntelliDrive/ApplUI/Pages/CreativePages/CustomReportCreativeDetail.aspx?App=23&amp;ReportView=4&amp;Qid=1711279&amp;Row=20955&amp;Col=1","No Title Assigned - #15279625611")</f>
        <v/>
      </c>
      <c r="B20963" s="0" t="s">
        <v>27780</v>
      </c>
      <c r="C20963" s="0" t="s">
        <v>27781</v>
      </c>
      <c r="D20963" s="0" t="s">
        <v>9921</v>
      </c>
      <c r="E20963" s="0" t="inlineStr">
        <is>
          <t xml:space="preserve">Mazda</t>
        </is>
      </c>
      <c r="F20963" s="0" t="s">
        <v>13</v>
      </c>
      <c r="G20963" s="0" t="s">
        <v>49</v>
      </c>
      <c r="H20963" s="5">
        <v>143.628600</v>
      </c>
    </row>
    <row r="20964" spans="1:9">
      <c r="A20964" s="22" t="str">
        <f>HYPERLINK("https://app.vivvix.com/360/KMI/IntelliDrive/ApplUI/Pages/CreativePages/CustomReportCreativeDetail.aspx?App=23&amp;ReportView=4&amp;Qid=1711279&amp;Row=20956&amp;Col=1","No Title Assigned - #15279625627")</f>
        <v/>
      </c>
      <c r="B20964" s="0" t="s">
        <v>27782</v>
      </c>
      <c r="C20964" s="0" t="s">
        <v>27783</v>
      </c>
      <c r="D20964" s="0" t="s">
        <v>9167</v>
      </c>
      <c r="E20964" s="0" t="inlineStr">
        <is>
          <t xml:space="preserve">Mazda</t>
        </is>
      </c>
      <c r="F20964" s="0" t="s">
        <v>13</v>
      </c>
      <c r="G20964" s="0" t="s">
        <v>49</v>
      </c>
      <c r="H20964" s="5">
        <v>143.628600</v>
      </c>
    </row>
    <row r="20965" spans="1:9">
      <c r="A20965" s="22" t="str">
        <f>HYPERLINK("https://app.vivvix.com/360/KMI/IntelliDrive/ApplUI/Pages/CreativePages/CustomReportCreativeDetail.aspx?App=23&amp;ReportView=4&amp;Qid=1711279&amp;Row=20957&amp;Col=1","No Title Assigned - #15279625992")</f>
        <v/>
      </c>
      <c r="B20965" s="0" t="s">
        <v>27784</v>
      </c>
      <c r="C20965" s="0" t="s">
        <v>27785</v>
      </c>
      <c r="D20965" s="0" t="s">
        <v>27785</v>
      </c>
      <c r="E20965" s="0" t="inlineStr">
        <is>
          <t xml:space="preserve">Mazda</t>
        </is>
      </c>
      <c r="F20965" s="0" t="s">
        <v>13</v>
      </c>
      <c r="G20965" s="0" t="s">
        <v>49</v>
      </c>
      <c r="H20965" s="5">
        <v>102.517500</v>
      </c>
    </row>
    <row r="20966" spans="1:9">
      <c r="A20966" s="22" t="str">
        <f>HYPERLINK("https://app.vivvix.com/360/KMI/IntelliDrive/ApplUI/Pages/CreativePages/CustomReportCreativeDetail.aspx?App=23&amp;ReportView=4&amp;Qid=1711279&amp;Row=20958&amp;Col=1","No Title Assigned - #15279626158")</f>
        <v/>
      </c>
      <c r="B20966" s="0" t="s">
        <v>27786</v>
      </c>
      <c r="C20966" s="0" t="s">
        <v>27787</v>
      </c>
      <c r="D20966" s="0" t="s">
        <v>27787</v>
      </c>
      <c r="E20966" s="0" t="inlineStr">
        <is>
          <t xml:space="preserve">Mazda</t>
        </is>
      </c>
      <c r="F20966" s="0" t="inlineStr">
        <is>
          <t xml:space="preserve">Mazda</t>
        </is>
      </c>
      <c r="G20966" s="0" t="s">
        <v>210</v>
      </c>
      <c r="H20966" s="5">
        <v>629.876900</v>
      </c>
    </row>
    <row r="20967" spans="1:9">
      <c r="A20967" s="22" t="str">
        <f>HYPERLINK("https://app.vivvix.com/360/KMI/IntelliDrive/ApplUI/Pages/CreativePages/CustomReportCreativeDetail.aspx?App=23&amp;ReportView=4&amp;Qid=1711279&amp;Row=20959&amp;Col=1","No Title Assigned - #15279627651")</f>
        <v/>
      </c>
      <c r="B20967" s="0" t="s">
        <v>27788</v>
      </c>
      <c r="C20967" s="0" t="s">
        <v>27789</v>
      </c>
      <c r="D20967" s="0" t="s">
        <v>27789</v>
      </c>
      <c r="E20967" s="0" t="inlineStr">
        <is>
          <t xml:space="preserve">Mazda</t>
        </is>
      </c>
      <c r="F20967" s="0" t="s">
        <v>13</v>
      </c>
      <c r="G20967" s="0" t="s">
        <v>49</v>
      </c>
      <c r="H20967" s="5">
        <v>3271.555600</v>
      </c>
    </row>
    <row r="20968" spans="1:9">
      <c r="A20968" s="22" t="str">
        <f>HYPERLINK("https://app.vivvix.com/360/KMI/IntelliDrive/ApplUI/Pages/CreativePages/CustomReportCreativeDetail.aspx?App=23&amp;ReportView=4&amp;Qid=1711279&amp;Row=20960&amp;Col=1","No Title Assigned - #15279627849")</f>
        <v/>
      </c>
      <c r="B20968" s="0" t="s">
        <v>27790</v>
      </c>
      <c r="C20968" s="0" t="s">
        <v>27791</v>
      </c>
      <c r="D20968" s="0" t="s">
        <v>27791</v>
      </c>
      <c r="E20968" s="0" t="inlineStr">
        <is>
          <t xml:space="preserve">Mazda</t>
        </is>
      </c>
      <c r="F20968" s="0" t="s">
        <v>13</v>
      </c>
      <c r="G20968" s="0" t="s">
        <v>49</v>
      </c>
      <c r="H20968" s="5">
        <v>48.357200</v>
      </c>
    </row>
    <row r="20969" spans="1:9">
      <c r="A20969" s="22" t="str">
        <f>HYPERLINK("https://app.vivvix.com/360/KMI/IntelliDrive/ApplUI/Pages/CreativePages/CustomReportCreativeDetail.aspx?App=23&amp;ReportView=4&amp;Qid=1711279&amp;Row=20961&amp;Col=1","No Title Assigned - #15279627992")</f>
        <v/>
      </c>
      <c r="B20969" s="0" t="s">
        <v>27792</v>
      </c>
      <c r="C20969" s="0" t="s">
        <v>27793</v>
      </c>
      <c r="D20969" s="0" t="s">
        <v>26724</v>
      </c>
      <c r="E20969" s="0" t="inlineStr">
        <is>
          <t xml:space="preserve">Mazda</t>
        </is>
      </c>
      <c r="F20969" s="0" t="s">
        <v>28</v>
      </c>
      <c r="G20969" s="0" t="s">
        <v>29</v>
      </c>
      <c r="H20969" s="5">
        <v>799.228900</v>
      </c>
    </row>
    <row r="20970" spans="1:9">
      <c r="A20970" s="22" t="str">
        <f>HYPERLINK("https://app.vivvix.com/360/KMI/IntelliDrive/ApplUI/Pages/CreativePages/CustomReportCreativeDetail.aspx?App=23&amp;ReportView=4&amp;Qid=1711279&amp;Row=20962&amp;Col=1","No Title Assigned - #15279630044")</f>
        <v/>
      </c>
      <c r="B20970" s="0" t="s">
        <v>27794</v>
      </c>
      <c r="E20970" s="0" t="inlineStr">
        <is>
          <t xml:space="preserve">Mazda</t>
        </is>
      </c>
      <c r="F20970" s="0" t="inlineStr">
        <is>
          <t xml:space="preserve">Mazda</t>
        </is>
      </c>
      <c r="G20970" s="0" t="s">
        <v>171</v>
      </c>
      <c r="H20970" s="5">
        <v>277.316100</v>
      </c>
    </row>
    <row r="20971" spans="1:9">
      <c r="A20971" s="22" t="str">
        <f>HYPERLINK("https://app.vivvix.com/360/KMI/IntelliDrive/ApplUI/Pages/CreativePages/CustomReportCreativeDetail.aspx?App=23&amp;ReportView=4&amp;Qid=1711279&amp;Row=20963&amp;Col=1","No Title Assigned - #15279630856")</f>
        <v/>
      </c>
      <c r="B20971" s="0" t="s">
        <v>27795</v>
      </c>
      <c r="E20971" s="0" t="inlineStr">
        <is>
          <t xml:space="preserve">Mazda</t>
        </is>
      </c>
      <c r="F20971" s="0" t="inlineStr">
        <is>
          <t xml:space="preserve">Mazda</t>
        </is>
      </c>
      <c r="G20971" s="0" t="s">
        <v>171</v>
      </c>
      <c r="H20971" s="5">
        <v>567.104700</v>
      </c>
    </row>
    <row r="20972" spans="1:9">
      <c r="A20972" s="22" t="str">
        <f>HYPERLINK("https://app.vivvix.com/360/KMI/IntelliDrive/ApplUI/Pages/CreativePages/CustomReportCreativeDetail.aspx?App=23&amp;ReportView=4&amp;Qid=1711279&amp;Row=20964&amp;Col=1","No Title Assigned - #15279631078")</f>
        <v/>
      </c>
      <c r="B20972" s="0" t="s">
        <v>27796</v>
      </c>
      <c r="E20972" s="0" t="inlineStr">
        <is>
          <t xml:space="preserve">Mazda</t>
        </is>
      </c>
      <c r="F20972" s="0" t="inlineStr">
        <is>
          <t xml:space="preserve">Mazda</t>
        </is>
      </c>
      <c r="G20972" s="0" t="s">
        <v>171</v>
      </c>
      <c r="H20972" s="5">
        <v>147.990000</v>
      </c>
    </row>
    <row r="20973" spans="1:9">
      <c r="A20973" s="22" t="str">
        <f>HYPERLINK("https://app.vivvix.com/360/KMI/IntelliDrive/ApplUI/Pages/CreativePages/CustomReportCreativeDetail.aspx?App=23&amp;ReportView=4&amp;Qid=1711279&amp;Row=20965&amp;Col=1","No Title Assigned - #15279631600")</f>
        <v/>
      </c>
      <c r="B20973" s="0" t="s">
        <v>27797</v>
      </c>
      <c r="C20973" s="0" t="s">
        <v>27798</v>
      </c>
      <c r="D20973" s="0" t="s">
        <v>27798</v>
      </c>
      <c r="E20973" s="0" t="inlineStr">
        <is>
          <t xml:space="preserve">Mazda</t>
        </is>
      </c>
      <c r="F20973" s="0" t="s">
        <v>13</v>
      </c>
      <c r="G20973" s="0" t="s">
        <v>49</v>
      </c>
      <c r="H20973" s="5">
        <v>59.017500</v>
      </c>
    </row>
    <row r="20974" spans="1:9">
      <c r="A20974" s="22" t="str">
        <f>HYPERLINK("https://app.vivvix.com/360/KMI/IntelliDrive/ApplUI/Pages/CreativePages/CustomReportCreativeDetail.aspx?App=23&amp;ReportView=4&amp;Qid=1711279&amp;Row=20966&amp;Col=1","No Title Assigned - #15279637468")</f>
        <v/>
      </c>
      <c r="B20974" s="0" t="s">
        <v>27799</v>
      </c>
      <c r="C20974" s="0" t="s">
        <v>27800</v>
      </c>
      <c r="D20974" s="0" t="s">
        <v>27800</v>
      </c>
      <c r="E20974" s="0" t="inlineStr">
        <is>
          <t xml:space="preserve">Mazda</t>
        </is>
      </c>
      <c r="F20974" s="0" t="s">
        <v>13</v>
      </c>
      <c r="G20974" s="0" t="s">
        <v>49</v>
      </c>
      <c r="H20974" s="5">
        <v>6.692000</v>
      </c>
    </row>
    <row r="20975" spans="1:9">
      <c r="A20975" s="22" t="str">
        <f>HYPERLINK("https://app.vivvix.com/360/KMI/IntelliDrive/ApplUI/Pages/CreativePages/CustomReportCreativeDetail.aspx?App=23&amp;ReportView=4&amp;Qid=1711279&amp;Row=20967&amp;Col=1","No Title Assigned - #15279638145")</f>
        <v/>
      </c>
      <c r="B20975" s="0" t="s">
        <v>27801</v>
      </c>
      <c r="C20975" s="0" t="s">
        <v>27802</v>
      </c>
      <c r="D20975" s="0" t="s">
        <v>27802</v>
      </c>
      <c r="E20975" s="0" t="inlineStr">
        <is>
          <t xml:space="preserve">Mazda</t>
        </is>
      </c>
      <c r="F20975" s="0" t="s">
        <v>13</v>
      </c>
      <c r="G20975" s="0" t="s">
        <v>49</v>
      </c>
      <c r="H20975" s="5">
        <v>29.617700</v>
      </c>
    </row>
    <row r="20976" spans="1:9">
      <c r="A20976" s="22" t="str">
        <f>HYPERLINK("https://app.vivvix.com/360/KMI/IntelliDrive/ApplUI/Pages/CreativePages/CustomReportCreativeDetail.aspx?App=23&amp;ReportView=4&amp;Qid=1711279&amp;Row=20968&amp;Col=1","No Title Assigned - #15279638164")</f>
        <v/>
      </c>
      <c r="B20976" s="0" t="s">
        <v>27803</v>
      </c>
      <c r="C20976" s="0" t="s">
        <v>27804</v>
      </c>
      <c r="D20976" s="0" t="s">
        <v>27804</v>
      </c>
      <c r="E20976" s="0" t="inlineStr">
        <is>
          <t xml:space="preserve">Mazda</t>
        </is>
      </c>
      <c r="F20976" s="0" t="s">
        <v>13</v>
      </c>
      <c r="G20976" s="0" t="s">
        <v>49</v>
      </c>
      <c r="H20976" s="5">
        <v>42.350000</v>
      </c>
    </row>
    <row r="20977" spans="1:9">
      <c r="A20977" s="22" t="str">
        <f>HYPERLINK("https://app.vivvix.com/360/KMI/IntelliDrive/ApplUI/Pages/CreativePages/CustomReportCreativeDetail.aspx?App=23&amp;ReportView=4&amp;Qid=1711279&amp;Row=20969&amp;Col=1","No Title Assigned - #15279639394")</f>
        <v/>
      </c>
      <c r="B20977" s="0" t="s">
        <v>27805</v>
      </c>
      <c r="C20977" s="0" t="s">
        <v>27806</v>
      </c>
      <c r="D20977" s="0" t="s">
        <v>20040</v>
      </c>
      <c r="E20977" s="0" t="inlineStr">
        <is>
          <t xml:space="preserve">Mazda</t>
        </is>
      </c>
      <c r="F20977" s="0" t="s">
        <v>13</v>
      </c>
      <c r="G20977" s="0" t="s">
        <v>49</v>
      </c>
      <c r="H20977" s="5">
        <v>1.541600</v>
      </c>
    </row>
    <row r="20978" spans="1:9">
      <c r="A20978" s="22" t="str">
        <f>HYPERLINK("https://app.vivvix.com/360/KMI/IntelliDrive/ApplUI/Pages/CreativePages/CustomReportCreativeDetail.aspx?App=23&amp;ReportView=4&amp;Qid=1711279&amp;Row=20970&amp;Col=1","No Title Assigned - #15279639585")</f>
        <v/>
      </c>
      <c r="B20978" s="0" t="s">
        <v>27807</v>
      </c>
      <c r="C20978" s="0" t="s">
        <v>27808</v>
      </c>
      <c r="D20978" s="0" t="s">
        <v>4335</v>
      </c>
      <c r="E20978" s="0" t="inlineStr">
        <is>
          <t xml:space="preserve">Mazda</t>
        </is>
      </c>
      <c r="F20978" s="0" t="s">
        <v>13</v>
      </c>
      <c r="G20978" s="0" t="s">
        <v>49</v>
      </c>
      <c r="H20978" s="5">
        <v>293.907600</v>
      </c>
    </row>
    <row r="20979" spans="1:9">
      <c r="A20979" s="22" t="str">
        <f>HYPERLINK("https://app.vivvix.com/360/KMI/IntelliDrive/ApplUI/Pages/CreativePages/CustomReportCreativeDetail.aspx?App=23&amp;ReportView=4&amp;Qid=1711279&amp;Row=20971&amp;Col=1","No Title Assigned - #15279639831")</f>
        <v/>
      </c>
      <c r="B20979" s="0" t="s">
        <v>27809</v>
      </c>
      <c r="C20979" s="0" t="s">
        <v>27810</v>
      </c>
      <c r="D20979" s="0" t="s">
        <v>24539</v>
      </c>
      <c r="E20979" s="0" t="inlineStr">
        <is>
          <t xml:space="preserve">Mazda</t>
        </is>
      </c>
      <c r="F20979" s="0" t="s">
        <v>13</v>
      </c>
      <c r="G20979" s="0" t="s">
        <v>49</v>
      </c>
      <c r="H20979" s="5">
        <v>42348.398400</v>
      </c>
    </row>
    <row r="20980" spans="1:9">
      <c r="A20980" s="22" t="str">
        <f>HYPERLINK("https://app.vivvix.com/360/KMI/IntelliDrive/ApplUI/Pages/CreativePages/CustomReportCreativeDetail.aspx?App=23&amp;ReportView=4&amp;Qid=1711279&amp;Row=20972&amp;Col=1","No Title Assigned - #15279641532")</f>
        <v/>
      </c>
      <c r="B20980" s="0" t="s">
        <v>27811</v>
      </c>
      <c r="C20980" s="0" t="s">
        <v>27812</v>
      </c>
      <c r="D20980" s="0" t="s">
        <v>27812</v>
      </c>
      <c r="E20980" s="0" t="inlineStr">
        <is>
          <t xml:space="preserve">Mazda</t>
        </is>
      </c>
      <c r="F20980" s="0" t="s">
        <v>13</v>
      </c>
      <c r="G20980" s="0" t="s">
        <v>49</v>
      </c>
      <c r="H20980" s="5">
        <v>16236.310100</v>
      </c>
    </row>
    <row r="20981" spans="1:9">
      <c r="A20981" s="22" t="str">
        <f>HYPERLINK("https://app.vivvix.com/360/KMI/IntelliDrive/ApplUI/Pages/CreativePages/CustomReportCreativeDetail.aspx?App=23&amp;ReportView=4&amp;Qid=1711279&amp;Row=20973&amp;Col=1","No Title Assigned - #15279641532")</f>
        <v/>
      </c>
      <c r="B20981" s="0" t="s">
        <v>27811</v>
      </c>
      <c r="C20981" s="0" t="s">
        <v>27813</v>
      </c>
      <c r="D20981" s="0" t="s">
        <v>27813</v>
      </c>
      <c r="E20981" s="0" t="inlineStr">
        <is>
          <t xml:space="preserve">Mazda</t>
        </is>
      </c>
      <c r="F20981" s="0" t="s">
        <v>13</v>
      </c>
      <c r="G20981" s="0" t="s">
        <v>49</v>
      </c>
      <c r="H20981" s="5">
        <v>698.924000</v>
      </c>
    </row>
    <row r="20982" spans="1:9">
      <c r="A20982" s="22" t="str">
        <f>HYPERLINK("https://app.vivvix.com/360/KMI/IntelliDrive/ApplUI/Pages/CreativePages/CustomReportCreativeDetail.aspx?App=23&amp;ReportView=4&amp;Qid=1711279&amp;Row=20974&amp;Col=1","No Title Assigned - #15279643522")</f>
        <v/>
      </c>
      <c r="B20982" s="0" t="s">
        <v>27814</v>
      </c>
      <c r="C20982" s="0" t="s">
        <v>27815</v>
      </c>
      <c r="D20982" s="0" t="s">
        <v>17856</v>
      </c>
      <c r="E20982" s="0" t="inlineStr">
        <is>
          <t xml:space="preserve">Mazda</t>
        </is>
      </c>
      <c r="F20982" s="0" t="s">
        <v>13</v>
      </c>
      <c r="G20982" s="0" t="s">
        <v>49</v>
      </c>
      <c r="H20982" s="5">
        <v>41.149300</v>
      </c>
    </row>
    <row r="20983" spans="1:9">
      <c r="A20983" s="22" t="str">
        <f>HYPERLINK("https://app.vivvix.com/360/KMI/IntelliDrive/ApplUI/Pages/CreativePages/CustomReportCreativeDetail.aspx?App=23&amp;ReportView=4&amp;Qid=1711279&amp;Row=20975&amp;Col=1","No Title Assigned - #15279643779")</f>
        <v/>
      </c>
      <c r="B20983" s="0" t="s">
        <v>27816</v>
      </c>
      <c r="C20983" s="0" t="s">
        <v>27817</v>
      </c>
      <c r="D20983" s="0" t="s">
        <v>13101</v>
      </c>
      <c r="E20983" s="0" t="inlineStr">
        <is>
          <t xml:space="preserve">Mazda</t>
        </is>
      </c>
      <c r="F20983" s="0" t="s">
        <v>13</v>
      </c>
      <c r="G20983" s="0" t="s">
        <v>49</v>
      </c>
      <c r="H20983" s="5">
        <v>653.079800</v>
      </c>
    </row>
    <row r="20984" spans="1:9">
      <c r="A20984" s="22" t="str">
        <f>HYPERLINK("https://app.vivvix.com/360/KMI/IntelliDrive/ApplUI/Pages/CreativePages/CustomReportCreativeDetail.aspx?App=23&amp;ReportView=4&amp;Qid=1711279&amp;Row=20976&amp;Col=1","No Title Assigned - #15279643885")</f>
        <v/>
      </c>
      <c r="B20984" s="0" t="s">
        <v>27818</v>
      </c>
      <c r="C20984" s="0" t="s">
        <v>27819</v>
      </c>
      <c r="D20984" s="0" t="s">
        <v>9167</v>
      </c>
      <c r="E20984" s="0" t="inlineStr">
        <is>
          <t xml:space="preserve">Mazda</t>
        </is>
      </c>
      <c r="F20984" s="0" t="s">
        <v>13</v>
      </c>
      <c r="G20984" s="0" t="s">
        <v>49</v>
      </c>
      <c r="H20984" s="5">
        <v>20.050200</v>
      </c>
    </row>
    <row r="20985" spans="1:9">
      <c r="A20985" s="22" t="str">
        <f>HYPERLINK("https://app.vivvix.com/360/KMI/IntelliDrive/ApplUI/Pages/CreativePages/CustomReportCreativeDetail.aspx?App=23&amp;ReportView=4&amp;Qid=1711279&amp;Row=20977&amp;Col=1","No Title Assigned - #15279644841")</f>
        <v/>
      </c>
      <c r="B20985" s="0" t="s">
        <v>27820</v>
      </c>
      <c r="E20985" s="0" t="inlineStr">
        <is>
          <t xml:space="preserve">Mazda</t>
        </is>
      </c>
      <c r="F20985" s="0" t="s">
        <v>13</v>
      </c>
      <c r="G20985" s="0" t="s">
        <v>49</v>
      </c>
      <c r="H20985" s="5">
        <v>261.731400</v>
      </c>
    </row>
    <row r="20986" spans="1:9">
      <c r="A20986" s="22" t="str">
        <f>HYPERLINK("https://app.vivvix.com/360/KMI/IntelliDrive/ApplUI/Pages/CreativePages/CustomReportCreativeDetail.aspx?App=23&amp;ReportView=4&amp;Qid=1711279&amp;Row=20978&amp;Col=1","No Title Assigned - #15279644841")</f>
        <v/>
      </c>
      <c r="B20986" s="0" t="s">
        <v>27820</v>
      </c>
      <c r="C20986" s="0" t="s">
        <v>27821</v>
      </c>
      <c r="D20986" s="0" t="s">
        <v>27821</v>
      </c>
      <c r="E20986" s="0" t="inlineStr">
        <is>
          <t xml:space="preserve">Mazda</t>
        </is>
      </c>
      <c r="F20986" s="0" t="s">
        <v>13</v>
      </c>
      <c r="G20986" s="0" t="s">
        <v>49</v>
      </c>
      <c r="H20986" s="5">
        <v>11.792600</v>
      </c>
    </row>
    <row r="20987" spans="1:9">
      <c r="A20987" s="22" t="str">
        <f>HYPERLINK("https://app.vivvix.com/360/KMI/IntelliDrive/ApplUI/Pages/CreativePages/CustomReportCreativeDetail.aspx?App=23&amp;ReportView=4&amp;Qid=1711279&amp;Row=20979&amp;Col=1","No Title Assigned - #15279646075")</f>
        <v/>
      </c>
      <c r="B20987" s="0" t="s">
        <v>27822</v>
      </c>
      <c r="C20987" s="0" t="s">
        <v>27823</v>
      </c>
      <c r="D20987" s="0" t="s">
        <v>4335</v>
      </c>
      <c r="E20987" s="0" t="inlineStr">
        <is>
          <t xml:space="preserve">Mazda</t>
        </is>
      </c>
      <c r="F20987" s="0" t="s">
        <v>13</v>
      </c>
      <c r="G20987" s="0" t="s">
        <v>49</v>
      </c>
      <c r="H20987" s="5">
        <v>2833.166200</v>
      </c>
    </row>
    <row r="20988" spans="1:9">
      <c r="A20988" s="22" t="str">
        <f>HYPERLINK("https://app.vivvix.com/360/KMI/IntelliDrive/ApplUI/Pages/CreativePages/CustomReportCreativeDetail.aspx?App=23&amp;ReportView=4&amp;Qid=1711279&amp;Row=20980&amp;Col=1","No Title Assigned - #15279646799")</f>
        <v/>
      </c>
      <c r="B20988" s="0" t="s">
        <v>27824</v>
      </c>
      <c r="C20988" s="0" t="s">
        <v>27825</v>
      </c>
      <c r="D20988" s="0" t="s">
        <v>6404</v>
      </c>
      <c r="E20988" s="0" t="inlineStr">
        <is>
          <t xml:space="preserve">Mazda</t>
        </is>
      </c>
      <c r="F20988" s="0" t="s">
        <v>13</v>
      </c>
      <c r="G20988" s="0" t="s">
        <v>49</v>
      </c>
      <c r="H20988" s="5">
        <v>4911.192000</v>
      </c>
    </row>
    <row r="20989" spans="1:9">
      <c r="A20989" s="22" t="str">
        <f>HYPERLINK("https://app.vivvix.com/360/KMI/IntelliDrive/ApplUI/Pages/CreativePages/CustomReportCreativeDetail.aspx?App=23&amp;ReportView=4&amp;Qid=1711279&amp;Row=20981&amp;Col=1","No Title Assigned - #15279647956")</f>
        <v/>
      </c>
      <c r="B20989" s="0" t="s">
        <v>27826</v>
      </c>
      <c r="E20989" s="0" t="inlineStr">
        <is>
          <t xml:space="preserve">Mazda</t>
        </is>
      </c>
      <c r="F20989" s="0" t="inlineStr">
        <is>
          <t xml:space="preserve">Mazda</t>
        </is>
      </c>
      <c r="G20989" s="0" t="s">
        <v>171</v>
      </c>
      <c r="H20989" s="5">
        <v>8.691900</v>
      </c>
    </row>
    <row r="20990" spans="1:9">
      <c r="A20990" s="22" t="str">
        <f>HYPERLINK("https://app.vivvix.com/360/KMI/IntelliDrive/ApplUI/Pages/CreativePages/CustomReportCreativeDetail.aspx?App=23&amp;ReportView=4&amp;Qid=1711279&amp;Row=20982&amp;Col=1","No Title Assigned - #15279648129")</f>
        <v/>
      </c>
      <c r="B20990" s="0" t="s">
        <v>27827</v>
      </c>
      <c r="E20990" s="0" t="inlineStr">
        <is>
          <t xml:space="preserve">Mazda</t>
        </is>
      </c>
      <c r="F20990" s="0" t="inlineStr">
        <is>
          <t xml:space="preserve">Mazda</t>
        </is>
      </c>
      <c r="G20990" s="0" t="s">
        <v>171</v>
      </c>
      <c r="H20990" s="5">
        <v>72.103500</v>
      </c>
    </row>
    <row r="20991" spans="1:9">
      <c r="A20991" s="22" t="str">
        <f>HYPERLINK("https://app.vivvix.com/360/KMI/IntelliDrive/ApplUI/Pages/CreativePages/CustomReportCreativeDetail.aspx?App=23&amp;ReportView=4&amp;Qid=1711279&amp;Row=20983&amp;Col=1","No Title Assigned - #15279648290")</f>
        <v/>
      </c>
      <c r="B20991" s="0" t="s">
        <v>27828</v>
      </c>
      <c r="E20991" s="0" t="inlineStr">
        <is>
          <t xml:space="preserve">Mazda</t>
        </is>
      </c>
      <c r="F20991" s="0" t="inlineStr">
        <is>
          <t xml:space="preserve">Mazda</t>
        </is>
      </c>
      <c r="G20991" s="0" t="s">
        <v>171</v>
      </c>
      <c r="H20991" s="5">
        <v>109.769500</v>
      </c>
    </row>
    <row r="20992" spans="1:9">
      <c r="A20992" s="22" t="str">
        <f>HYPERLINK("https://app.vivvix.com/360/KMI/IntelliDrive/ApplUI/Pages/CreativePages/CustomReportCreativeDetail.aspx?App=23&amp;ReportView=4&amp;Qid=1711279&amp;Row=20984&amp;Col=1","No Title Assigned - #15279648539")</f>
        <v/>
      </c>
      <c r="B20992" s="0" t="s">
        <v>27829</v>
      </c>
      <c r="E20992" s="0" t="inlineStr">
        <is>
          <t xml:space="preserve">Mazda</t>
        </is>
      </c>
      <c r="F20992" s="0" t="inlineStr">
        <is>
          <t xml:space="preserve">Mazda</t>
        </is>
      </c>
      <c r="G20992" s="0" t="s">
        <v>171</v>
      </c>
      <c r="H20992" s="5">
        <v>174.148000</v>
      </c>
    </row>
    <row r="20993" spans="1:9">
      <c r="A20993" s="22" t="str">
        <f>HYPERLINK("https://app.vivvix.com/360/KMI/IntelliDrive/ApplUI/Pages/CreativePages/CustomReportCreativeDetail.aspx?App=23&amp;ReportView=4&amp;Qid=1711279&amp;Row=20985&amp;Col=1","No Title Assigned - #15279648654")</f>
        <v/>
      </c>
      <c r="B20993" s="0" t="s">
        <v>27830</v>
      </c>
      <c r="E20993" s="0" t="inlineStr">
        <is>
          <t xml:space="preserve">Mazda</t>
        </is>
      </c>
      <c r="F20993" s="0" t="inlineStr">
        <is>
          <t xml:space="preserve">Mazda</t>
        </is>
      </c>
      <c r="G20993" s="0" t="s">
        <v>171</v>
      </c>
      <c r="H20993" s="5">
        <v>1538.379300</v>
      </c>
    </row>
    <row r="20994" spans="1:9">
      <c r="A20994" s="22" t="str">
        <f>HYPERLINK("https://app.vivvix.com/360/KMI/IntelliDrive/ApplUI/Pages/CreativePages/CustomReportCreativeDetail.aspx?App=23&amp;ReportView=4&amp;Qid=1711279&amp;Row=20986&amp;Col=1","No Title Assigned - #15279648718")</f>
        <v/>
      </c>
      <c r="B20994" s="0" t="s">
        <v>27831</v>
      </c>
      <c r="E20994" s="0" t="inlineStr">
        <is>
          <t xml:space="preserve">Mazda</t>
        </is>
      </c>
      <c r="F20994" s="0" t="inlineStr">
        <is>
          <t xml:space="preserve">Mazda</t>
        </is>
      </c>
      <c r="G20994" s="0" t="s">
        <v>171</v>
      </c>
      <c r="H20994" s="5">
        <v>5.448600</v>
      </c>
    </row>
    <row r="20995" spans="1:9">
      <c r="A20995" s="22" t="str">
        <f>HYPERLINK("https://app.vivvix.com/360/KMI/IntelliDrive/ApplUI/Pages/CreativePages/CustomReportCreativeDetail.aspx?App=23&amp;ReportView=4&amp;Qid=1711279&amp;Row=20987&amp;Col=1","No Title Assigned - #15279649969")</f>
        <v/>
      </c>
      <c r="B20995" s="0" t="s">
        <v>27832</v>
      </c>
      <c r="E20995" s="0" t="inlineStr">
        <is>
          <t xml:space="preserve">Mazda</t>
        </is>
      </c>
      <c r="F20995" s="0" t="inlineStr">
        <is>
          <t xml:space="preserve">Mazda</t>
        </is>
      </c>
      <c r="G20995" s="0" t="s">
        <v>171</v>
      </c>
      <c r="H20995" s="5">
        <v>3.407800</v>
      </c>
    </row>
    <row r="20996" spans="1:9">
      <c r="A20996" s="22" t="str">
        <f>HYPERLINK("https://app.vivvix.com/360/KMI/IntelliDrive/ApplUI/Pages/CreativePages/CustomReportCreativeDetail.aspx?App=23&amp;ReportView=4&amp;Qid=1711279&amp;Row=20988&amp;Col=1","No Title Assigned - #15279651260")</f>
        <v/>
      </c>
      <c r="B20996" s="0" t="s">
        <v>27833</v>
      </c>
      <c r="E20996" s="0" t="inlineStr">
        <is>
          <t xml:space="preserve">Mazda</t>
        </is>
      </c>
      <c r="F20996" s="0" t="inlineStr">
        <is>
          <t xml:space="preserve">Mazda</t>
        </is>
      </c>
      <c r="G20996" s="0" t="s">
        <v>171</v>
      </c>
      <c r="H20996" s="5">
        <v>5236.084400</v>
      </c>
    </row>
    <row r="20997" spans="1:9">
      <c r="A20997" s="22" t="str">
        <f>HYPERLINK("https://app.vivvix.com/360/KMI/IntelliDrive/ApplUI/Pages/CreativePages/CustomReportCreativeDetail.aspx?App=23&amp;ReportView=4&amp;Qid=1711279&amp;Row=20989&amp;Col=1","No Title Assigned - #15279652618")</f>
        <v/>
      </c>
      <c r="B20997" s="0" t="s">
        <v>27834</v>
      </c>
      <c r="E20997" s="0" t="inlineStr">
        <is>
          <t xml:space="preserve">Mazda</t>
        </is>
      </c>
      <c r="F20997" s="0" t="inlineStr">
        <is>
          <t xml:space="preserve">Mazda</t>
        </is>
      </c>
      <c r="G20997" s="0" t="s">
        <v>171</v>
      </c>
      <c r="H20997" s="5">
        <v>132.330900</v>
      </c>
    </row>
    <row r="20998" spans="1:9">
      <c r="A20998" s="22" t="str">
        <f>HYPERLINK("https://app.vivvix.com/360/KMI/IntelliDrive/ApplUI/Pages/CreativePages/CustomReportCreativeDetail.aspx?App=23&amp;ReportView=4&amp;Qid=1711279&amp;Row=20990&amp;Col=1","No Title Assigned - #15279652709")</f>
        <v/>
      </c>
      <c r="B20998" s="0" t="s">
        <v>27835</v>
      </c>
      <c r="E20998" s="0" t="inlineStr">
        <is>
          <t xml:space="preserve">Mazda</t>
        </is>
      </c>
      <c r="F20998" s="0" t="inlineStr">
        <is>
          <t xml:space="preserve">Mazda</t>
        </is>
      </c>
      <c r="G20998" s="0" t="s">
        <v>171</v>
      </c>
      <c r="H20998" s="5">
        <v>1176.059400</v>
      </c>
    </row>
    <row r="20999" spans="1:9">
      <c r="A20999" s="22" t="str">
        <f>HYPERLINK("https://app.vivvix.com/360/KMI/IntelliDrive/ApplUI/Pages/CreativePages/CustomReportCreativeDetail.aspx?App=23&amp;ReportView=4&amp;Qid=1711279&amp;Row=20991&amp;Col=1","No Title Assigned - #15279653017")</f>
        <v/>
      </c>
      <c r="B20999" s="0" t="s">
        <v>27836</v>
      </c>
      <c r="E20999" s="0" t="inlineStr">
        <is>
          <t xml:space="preserve">Mazda</t>
        </is>
      </c>
      <c r="F20999" s="0" t="inlineStr">
        <is>
          <t xml:space="preserve">Mazda</t>
        </is>
      </c>
      <c r="G20999" s="0" t="s">
        <v>171</v>
      </c>
      <c r="H20999" s="5">
        <v>2.724300</v>
      </c>
    </row>
    <row r="21000" spans="1:9">
      <c r="A21000" s="22" t="str">
        <f>HYPERLINK("https://app.vivvix.com/360/KMI/IntelliDrive/ApplUI/Pages/CreativePages/CustomReportCreativeDetail.aspx?App=23&amp;ReportView=4&amp;Qid=1711279&amp;Row=20992&amp;Col=1","No Title Assigned - #15279684923")</f>
        <v/>
      </c>
      <c r="B21000" s="0" t="s">
        <v>27837</v>
      </c>
      <c r="C21000" s="0" t="s">
        <v>27838</v>
      </c>
      <c r="D21000" s="0" t="s">
        <v>4774</v>
      </c>
      <c r="E21000" s="0" t="inlineStr">
        <is>
          <t xml:space="preserve">Mazda</t>
        </is>
      </c>
      <c r="F21000" s="0" t="s">
        <v>13</v>
      </c>
      <c r="G21000" s="0" t="s">
        <v>49</v>
      </c>
      <c r="H21000" s="5">
        <v>97.445500</v>
      </c>
    </row>
    <row r="21001" spans="1:9">
      <c r="A21001" s="22" t="str">
        <f>HYPERLINK("https://app.vivvix.com/360/KMI/IntelliDrive/ApplUI/Pages/CreativePages/CustomReportCreativeDetail.aspx?App=23&amp;ReportView=4&amp;Qid=1711279&amp;Row=20993&amp;Col=1","No Title Assigned - #15279688106")</f>
        <v/>
      </c>
      <c r="B21001" s="0" t="s">
        <v>27839</v>
      </c>
      <c r="C21001" s="0" t="s">
        <v>27840</v>
      </c>
      <c r="D21001" s="0" t="s">
        <v>27840</v>
      </c>
      <c r="E21001" s="0" t="inlineStr">
        <is>
          <t xml:space="preserve">Mazda</t>
        </is>
      </c>
      <c r="F21001" s="0" t="s">
        <v>13</v>
      </c>
      <c r="G21001" s="0" t="s">
        <v>49</v>
      </c>
      <c r="H21001" s="5">
        <v>1188.335100</v>
      </c>
    </row>
    <row r="21002" spans="1:9">
      <c r="A21002" s="22" t="str">
        <f>HYPERLINK("https://app.vivvix.com/360/KMI/IntelliDrive/ApplUI/Pages/CreativePages/CustomReportCreativeDetail.aspx?App=23&amp;ReportView=4&amp;Qid=1711279&amp;Row=20994&amp;Col=1","No Title Assigned - #15279690166")</f>
        <v/>
      </c>
      <c r="B21002" s="0" t="s">
        <v>27841</v>
      </c>
      <c r="C21002" s="0" t="s">
        <v>27842</v>
      </c>
      <c r="D21002" s="0" t="s">
        <v>19651</v>
      </c>
      <c r="E21002" s="0" t="inlineStr">
        <is>
          <t xml:space="preserve">Mazda</t>
        </is>
      </c>
      <c r="F21002" s="0" t="s">
        <v>13</v>
      </c>
      <c r="G21002" s="0" t="s">
        <v>49</v>
      </c>
      <c r="H21002" s="5">
        <v>148.220700</v>
      </c>
    </row>
    <row r="21003" spans="1:9">
      <c r="A21003" s="22" t="str">
        <f>HYPERLINK("https://app.vivvix.com/360/KMI/IntelliDrive/ApplUI/Pages/CreativePages/CustomReportCreativeDetail.aspx?App=23&amp;ReportView=4&amp;Qid=1711279&amp;Row=20995&amp;Col=1","No Title Assigned - #15279691176")</f>
        <v/>
      </c>
      <c r="B21003" s="0" t="s">
        <v>27843</v>
      </c>
      <c r="C21003" s="0" t="s">
        <v>27844</v>
      </c>
      <c r="D21003" s="0" t="s">
        <v>27844</v>
      </c>
      <c r="E21003" s="0" t="inlineStr">
        <is>
          <t xml:space="preserve">Mazda</t>
        </is>
      </c>
      <c r="F21003" s="0" t="s">
        <v>13</v>
      </c>
      <c r="G21003" s="0" t="s">
        <v>49</v>
      </c>
      <c r="H21003" s="5">
        <v>12594.632400</v>
      </c>
    </row>
    <row r="21004" spans="1:9">
      <c r="A21004" s="22" t="str">
        <f>HYPERLINK("https://app.vivvix.com/360/KMI/IntelliDrive/ApplUI/Pages/CreativePages/CustomReportCreativeDetail.aspx?App=23&amp;ReportView=4&amp;Qid=1711279&amp;Row=20996&amp;Col=1","No Title Assigned - #15279691833")</f>
        <v/>
      </c>
      <c r="B21004" s="0" t="s">
        <v>27845</v>
      </c>
      <c r="E21004" s="0" t="inlineStr">
        <is>
          <t xml:space="preserve">Mazda</t>
        </is>
      </c>
      <c r="F21004" s="0" t="s">
        <v>204</v>
      </c>
      <c r="G21004" s="0" t="s">
        <v>205</v>
      </c>
      <c r="H21004" s="5">
        <v>442.770000</v>
      </c>
    </row>
    <row r="21005" spans="1:9">
      <c r="A21005" s="22" t="str">
        <f>HYPERLINK("https://app.vivvix.com/360/KMI/IntelliDrive/ApplUI/Pages/CreativePages/CustomReportCreativeDetail.aspx?App=23&amp;ReportView=4&amp;Qid=1711279&amp;Row=20997&amp;Col=1","No Title Assigned - #15279692418")</f>
        <v/>
      </c>
      <c r="B21005" s="0" t="s">
        <v>27846</v>
      </c>
      <c r="C21005" s="0" t="s">
        <v>27847</v>
      </c>
      <c r="D21005" s="0" t="s">
        <v>27847</v>
      </c>
      <c r="E21005" s="0" t="inlineStr">
        <is>
          <t xml:space="preserve">Mazda</t>
        </is>
      </c>
      <c r="F21005" s="0" t="s">
        <v>13</v>
      </c>
      <c r="G21005" s="0" t="s">
        <v>49</v>
      </c>
      <c r="H21005" s="5">
        <v>816.245900</v>
      </c>
    </row>
    <row r="21006" spans="1:9">
      <c r="A21006" s="22" t="str">
        <f>HYPERLINK("https://app.vivvix.com/360/KMI/IntelliDrive/ApplUI/Pages/CreativePages/CustomReportCreativeDetail.aspx?App=23&amp;ReportView=4&amp;Qid=1711279&amp;Row=20998&amp;Col=1","No Title Assigned - #15279692426")</f>
        <v/>
      </c>
      <c r="B21006" s="0" t="s">
        <v>27848</v>
      </c>
      <c r="C21006" s="0" t="s">
        <v>27849</v>
      </c>
      <c r="D21006" s="0" t="s">
        <v>9155</v>
      </c>
      <c r="E21006" s="0" t="inlineStr">
        <is>
          <t xml:space="preserve">Mazda</t>
        </is>
      </c>
      <c r="F21006" s="0" t="s">
        <v>13</v>
      </c>
      <c r="G21006" s="0" t="s">
        <v>49</v>
      </c>
      <c r="H21006" s="5">
        <v>29.617700</v>
      </c>
    </row>
    <row r="21007" spans="1:9">
      <c r="A21007" s="22" t="str">
        <f>HYPERLINK("https://app.vivvix.com/360/KMI/IntelliDrive/ApplUI/Pages/CreativePages/CustomReportCreativeDetail.aspx?App=23&amp;ReportView=4&amp;Qid=1711279&amp;Row=20999&amp;Col=1","No Title Assigned - #15279692506")</f>
        <v/>
      </c>
      <c r="B21007" s="0" t="s">
        <v>27850</v>
      </c>
      <c r="C21007" s="0" t="s">
        <v>27851</v>
      </c>
      <c r="D21007" s="0" t="s">
        <v>27851</v>
      </c>
      <c r="E21007" s="0" t="inlineStr">
        <is>
          <t xml:space="preserve">Mazda</t>
        </is>
      </c>
      <c r="F21007" s="0" t="s">
        <v>13</v>
      </c>
      <c r="G21007" s="0" t="s">
        <v>49</v>
      </c>
      <c r="H21007" s="5">
        <v>883.794100</v>
      </c>
    </row>
    <row r="21008" spans="1:9">
      <c r="A21008" s="22" t="str">
        <f>HYPERLINK("https://app.vivvix.com/360/KMI/IntelliDrive/ApplUI/Pages/CreativePages/CustomReportCreativeDetail.aspx?App=23&amp;ReportView=4&amp;Qid=1711279&amp;Row=21000&amp;Col=1","No Title Assigned - #15279693092")</f>
        <v/>
      </c>
      <c r="B21008" s="0" t="s">
        <v>27852</v>
      </c>
      <c r="C21008" s="0" t="s">
        <v>27853</v>
      </c>
      <c r="D21008" s="0" t="s">
        <v>27853</v>
      </c>
      <c r="E21008" s="0" t="inlineStr">
        <is>
          <t xml:space="preserve">Mazda</t>
        </is>
      </c>
      <c r="F21008" s="0" t="s">
        <v>13</v>
      </c>
      <c r="G21008" s="0" t="s">
        <v>49</v>
      </c>
      <c r="H21008" s="5">
        <v>93.949600</v>
      </c>
    </row>
    <row r="21009" spans="1:9">
      <c r="A21009" s="22" t="str">
        <f>HYPERLINK("https://app.vivvix.com/360/KMI/IntelliDrive/ApplUI/Pages/CreativePages/CustomReportCreativeDetail.aspx?App=23&amp;ReportView=4&amp;Qid=1711279&amp;Row=21001&amp;Col=1","No Title Assigned - #15279694145")</f>
        <v/>
      </c>
      <c r="B21009" s="0" t="s">
        <v>27854</v>
      </c>
      <c r="C21009" s="0" t="s">
        <v>27855</v>
      </c>
      <c r="D21009" s="0" t="s">
        <v>27855</v>
      </c>
      <c r="E21009" s="0" t="inlineStr">
        <is>
          <t xml:space="preserve">Mazda</t>
        </is>
      </c>
      <c r="F21009" s="0" t="s">
        <v>21</v>
      </c>
      <c r="G21009" s="0" t="s">
        <v>22</v>
      </c>
      <c r="H21009" s="5">
        <v>1555.412500</v>
      </c>
    </row>
    <row r="21010" spans="1:9">
      <c r="A21010" s="22" t="str">
        <f>HYPERLINK("https://app.vivvix.com/360/KMI/IntelliDrive/ApplUI/Pages/CreativePages/CustomReportCreativeDetail.aspx?App=23&amp;ReportView=4&amp;Qid=1711279&amp;Row=21002&amp;Col=1","No Title Assigned - #15279694582")</f>
        <v/>
      </c>
      <c r="B21010" s="0" t="s">
        <v>27856</v>
      </c>
      <c r="C21010" s="0" t="s">
        <v>27857</v>
      </c>
      <c r="D21010" s="0" t="s">
        <v>9729</v>
      </c>
      <c r="E21010" s="0" t="inlineStr">
        <is>
          <t xml:space="preserve">Mazda</t>
        </is>
      </c>
      <c r="F21010" s="0" t="s">
        <v>13</v>
      </c>
      <c r="G21010" s="0" t="s">
        <v>49</v>
      </c>
      <c r="H21010" s="5">
        <v>449.801800</v>
      </c>
    </row>
    <row r="21011" spans="1:9">
      <c r="A21011" s="22" t="str">
        <f>HYPERLINK("https://app.vivvix.com/360/KMI/IntelliDrive/ApplUI/Pages/CreativePages/CustomReportCreativeDetail.aspx?App=23&amp;ReportView=4&amp;Qid=1711279&amp;Row=21003&amp;Col=1","No Title Assigned - #15279695016")</f>
        <v/>
      </c>
      <c r="B21011" s="0" t="s">
        <v>27858</v>
      </c>
      <c r="C21011" s="0" t="s">
        <v>27859</v>
      </c>
      <c r="D21011" s="0" t="s">
        <v>27859</v>
      </c>
      <c r="E21011" s="0" t="inlineStr">
        <is>
          <t xml:space="preserve">Mazda</t>
        </is>
      </c>
      <c r="F21011" s="0" t="s">
        <v>13</v>
      </c>
      <c r="G21011" s="0" t="s">
        <v>49</v>
      </c>
      <c r="H21011" s="5">
        <v>15.225700</v>
      </c>
    </row>
    <row r="21012" spans="1:9">
      <c r="A21012" s="22" t="str">
        <f>HYPERLINK("https://app.vivvix.com/360/KMI/IntelliDrive/ApplUI/Pages/CreativePages/CustomReportCreativeDetail.aspx?App=23&amp;ReportView=4&amp;Qid=1711279&amp;Row=21004&amp;Col=1","No Title Assigned - #15279695722")</f>
        <v/>
      </c>
      <c r="B21012" s="0" t="s">
        <v>27860</v>
      </c>
      <c r="C21012" s="0" t="s">
        <v>27861</v>
      </c>
      <c r="D21012" s="0" t="s">
        <v>27861</v>
      </c>
      <c r="E21012" s="0" t="inlineStr">
        <is>
          <t xml:space="preserve">Mazda</t>
        </is>
      </c>
      <c r="F21012" s="0" t="s">
        <v>13</v>
      </c>
      <c r="G21012" s="0" t="s">
        <v>49</v>
      </c>
      <c r="H21012" s="5">
        <v>75.358500</v>
      </c>
    </row>
    <row r="21013" spans="1:9">
      <c r="A21013" s="22" t="str">
        <f>HYPERLINK("https://app.vivvix.com/360/KMI/IntelliDrive/ApplUI/Pages/CreativePages/CustomReportCreativeDetail.aspx?App=23&amp;ReportView=4&amp;Qid=1711279&amp;Row=21005&amp;Col=1","No Title Assigned - #15279696130")</f>
        <v/>
      </c>
      <c r="B21013" s="0" t="s">
        <v>27862</v>
      </c>
      <c r="C21013" s="0" t="s">
        <v>27863</v>
      </c>
      <c r="D21013" s="0" t="s">
        <v>27863</v>
      </c>
      <c r="E21013" s="0" t="inlineStr">
        <is>
          <t xml:space="preserve">Mazda</t>
        </is>
      </c>
      <c r="F21013" s="0" t="s">
        <v>13</v>
      </c>
      <c r="G21013" s="0" t="s">
        <v>49</v>
      </c>
      <c r="H21013" s="5">
        <v>692.797000</v>
      </c>
    </row>
    <row r="21014" spans="1:9">
      <c r="A21014" s="22" t="str">
        <f>HYPERLINK("https://app.vivvix.com/360/KMI/IntelliDrive/ApplUI/Pages/CreativePages/CustomReportCreativeDetail.aspx?App=23&amp;ReportView=4&amp;Qid=1711279&amp;Row=21006&amp;Col=1","No Title Assigned - #15279696130")</f>
        <v/>
      </c>
      <c r="B21014" s="0" t="s">
        <v>27862</v>
      </c>
      <c r="E21014" s="0" t="inlineStr">
        <is>
          <t xml:space="preserve">Mazda</t>
        </is>
      </c>
      <c r="F21014" s="0" t="s">
        <v>13</v>
      </c>
      <c r="G21014" s="0" t="s">
        <v>49</v>
      </c>
      <c r="H21014" s="5">
        <v>191637.296800</v>
      </c>
    </row>
    <row r="21015" spans="1:9">
      <c r="A21015" s="22" t="str">
        <f>HYPERLINK("https://app.vivvix.com/360/KMI/IntelliDrive/ApplUI/Pages/CreativePages/CustomReportCreativeDetail.aspx?App=23&amp;ReportView=4&amp;Qid=1711279&amp;Row=21007&amp;Col=1","No Title Assigned - #15279697275")</f>
        <v/>
      </c>
      <c r="B21015" s="0" t="s">
        <v>27864</v>
      </c>
      <c r="C21015" s="0" t="s">
        <v>27865</v>
      </c>
      <c r="D21015" s="0" t="s">
        <v>27865</v>
      </c>
      <c r="E21015" s="0" t="inlineStr">
        <is>
          <t xml:space="preserve">Mazda</t>
        </is>
      </c>
      <c r="F21015" s="0" t="inlineStr">
        <is>
          <t xml:space="preserve">Mazda</t>
        </is>
      </c>
      <c r="G21015" s="0" t="s">
        <v>210</v>
      </c>
      <c r="H21015" s="5">
        <v>493.023900</v>
      </c>
    </row>
    <row r="21016" spans="1:9">
      <c r="A21016" s="22" t="str">
        <f>HYPERLINK("https://app.vivvix.com/360/KMI/IntelliDrive/ApplUI/Pages/CreativePages/CustomReportCreativeDetail.aspx?App=23&amp;ReportView=4&amp;Qid=1711279&amp;Row=21008&amp;Col=1","No Title Assigned - #15279697572")</f>
        <v/>
      </c>
      <c r="B21016" s="0" t="s">
        <v>27866</v>
      </c>
      <c r="C21016" s="0" t="s">
        <v>27867</v>
      </c>
      <c r="D21016" s="0" t="s">
        <v>27867</v>
      </c>
      <c r="E21016" s="0" t="inlineStr">
        <is>
          <t xml:space="preserve">Mazda</t>
        </is>
      </c>
      <c r="F21016" s="0" t="s">
        <v>13</v>
      </c>
      <c r="G21016" s="0" t="s">
        <v>49</v>
      </c>
      <c r="H21016" s="5">
        <v>464.401500</v>
      </c>
    </row>
    <row r="21017" spans="1:9">
      <c r="A21017" s="22" t="str">
        <f>HYPERLINK("https://app.vivvix.com/360/KMI/IntelliDrive/ApplUI/Pages/CreativePages/CustomReportCreativeDetail.aspx?App=23&amp;ReportView=4&amp;Qid=1711279&amp;Row=21009&amp;Col=1","No Title Assigned - #15279697627")</f>
        <v/>
      </c>
      <c r="B21017" s="0" t="s">
        <v>27868</v>
      </c>
      <c r="C21017" s="0" t="s">
        <v>27869</v>
      </c>
      <c r="D21017" s="0" t="s">
        <v>7304</v>
      </c>
      <c r="E21017" s="0" t="inlineStr">
        <is>
          <t xml:space="preserve">Mazda</t>
        </is>
      </c>
      <c r="F21017" s="0" t="s">
        <v>13</v>
      </c>
      <c r="G21017" s="0" t="s">
        <v>49</v>
      </c>
      <c r="H21017" s="5">
        <v>995.858100</v>
      </c>
    </row>
    <row r="21018" spans="1:9">
      <c r="A21018" s="22" t="str">
        <f>HYPERLINK("https://app.vivvix.com/360/KMI/IntelliDrive/ApplUI/Pages/CreativePages/CustomReportCreativeDetail.aspx?App=23&amp;ReportView=4&amp;Qid=1711279&amp;Row=21010&amp;Col=1","No Title Assigned - #15279697836")</f>
        <v/>
      </c>
      <c r="B21018" s="0" t="s">
        <v>27870</v>
      </c>
      <c r="C21018" s="0" t="s">
        <v>27871</v>
      </c>
      <c r="D21018" s="0" t="s">
        <v>4774</v>
      </c>
      <c r="E21018" s="0" t="inlineStr">
        <is>
          <t xml:space="preserve">Mazda</t>
        </is>
      </c>
      <c r="F21018" s="0" t="s">
        <v>13</v>
      </c>
      <c r="G21018" s="0" t="s">
        <v>49</v>
      </c>
      <c r="H21018" s="5">
        <v>535.817600</v>
      </c>
    </row>
    <row r="21019" spans="1:9">
      <c r="A21019" s="22" t="str">
        <f>HYPERLINK("https://app.vivvix.com/360/KMI/IntelliDrive/ApplUI/Pages/CreativePages/CustomReportCreativeDetail.aspx?App=23&amp;ReportView=4&amp;Qid=1711279&amp;Row=21011&amp;Col=1","No Title Assigned - #15279698199")</f>
        <v/>
      </c>
      <c r="B21019" s="0" t="s">
        <v>27872</v>
      </c>
      <c r="C21019" s="0" t="s">
        <v>27873</v>
      </c>
      <c r="D21019" s="0" t="s">
        <v>27873</v>
      </c>
      <c r="E21019" s="0" t="inlineStr">
        <is>
          <t xml:space="preserve">Mazda</t>
        </is>
      </c>
      <c r="F21019" s="0" t="s">
        <v>13</v>
      </c>
      <c r="G21019" s="0" t="s">
        <v>49</v>
      </c>
      <c r="H21019" s="5">
        <v>121.969400</v>
      </c>
    </row>
    <row r="21020" spans="1:9">
      <c r="A21020" s="22" t="str">
        <f>HYPERLINK("https://app.vivvix.com/360/KMI/IntelliDrive/ApplUI/Pages/CreativePages/CustomReportCreativeDetail.aspx?App=23&amp;ReportView=4&amp;Qid=1711279&amp;Row=21012&amp;Col=1","No Title Assigned - #15279698714")</f>
        <v/>
      </c>
      <c r="B21020" s="0" t="s">
        <v>27874</v>
      </c>
      <c r="E21020" s="0" t="inlineStr">
        <is>
          <t xml:space="preserve">Mazda</t>
        </is>
      </c>
      <c r="F21020" s="0" t="s">
        <v>13</v>
      </c>
      <c r="G21020" s="0" t="s">
        <v>49</v>
      </c>
      <c r="H21020" s="5">
        <v>18552.399600</v>
      </c>
    </row>
    <row r="21021" spans="1:9">
      <c r="A21021" s="22" t="str">
        <f>HYPERLINK("https://app.vivvix.com/360/KMI/IntelliDrive/ApplUI/Pages/CreativePages/CustomReportCreativeDetail.aspx?App=23&amp;ReportView=4&amp;Qid=1711279&amp;Row=21013&amp;Col=1","No Title Assigned - #15279698714")</f>
        <v/>
      </c>
      <c r="B21021" s="0" t="s">
        <v>27874</v>
      </c>
      <c r="C21021" s="0" t="s">
        <v>27875</v>
      </c>
      <c r="D21021" s="0" t="s">
        <v>27875</v>
      </c>
      <c r="E21021" s="0" t="inlineStr">
        <is>
          <t xml:space="preserve">Mazda</t>
        </is>
      </c>
      <c r="F21021" s="0" t="s">
        <v>13</v>
      </c>
      <c r="G21021" s="0" t="s">
        <v>49</v>
      </c>
      <c r="H21021" s="5">
        <v>16.418400</v>
      </c>
    </row>
    <row r="21022" spans="1:9">
      <c r="A21022" s="22" t="str">
        <f>HYPERLINK("https://app.vivvix.com/360/KMI/IntelliDrive/ApplUI/Pages/CreativePages/CustomReportCreativeDetail.aspx?App=23&amp;ReportView=4&amp;Qid=1711279&amp;Row=21014&amp;Col=1","No Title Assigned - #15279698807")</f>
        <v/>
      </c>
      <c r="B21022" s="0" t="s">
        <v>27876</v>
      </c>
      <c r="E21022" s="0" t="inlineStr">
        <is>
          <t xml:space="preserve">Mazda</t>
        </is>
      </c>
      <c r="F21022" s="0" t="s">
        <v>13</v>
      </c>
      <c r="G21022" s="0" t="s">
        <v>49</v>
      </c>
      <c r="H21022" s="5">
        <v>72.817500</v>
      </c>
    </row>
    <row r="21023" spans="1:9">
      <c r="A21023" s="22" t="str">
        <f>HYPERLINK("https://app.vivvix.com/360/KMI/IntelliDrive/ApplUI/Pages/CreativePages/CustomReportCreativeDetail.aspx?App=23&amp;ReportView=4&amp;Qid=1711279&amp;Row=21015&amp;Col=1","No Title Assigned - #15279698807")</f>
        <v/>
      </c>
      <c r="B21023" s="0" t="s">
        <v>27876</v>
      </c>
      <c r="C21023" s="0" t="s">
        <v>27877</v>
      </c>
      <c r="D21023" s="0" t="s">
        <v>27877</v>
      </c>
      <c r="E21023" s="0" t="inlineStr">
        <is>
          <t xml:space="preserve">Mazda</t>
        </is>
      </c>
      <c r="F21023" s="0" t="s">
        <v>13</v>
      </c>
      <c r="G21023" s="0" t="s">
        <v>49</v>
      </c>
      <c r="H21023" s="5">
        <v>1641.373100</v>
      </c>
    </row>
    <row r="21024" spans="1:9">
      <c r="A21024" s="22" t="str">
        <f>HYPERLINK("https://app.vivvix.com/360/KMI/IntelliDrive/ApplUI/Pages/CreativePages/CustomReportCreativeDetail.aspx?App=23&amp;ReportView=4&amp;Qid=1711279&amp;Row=21016&amp;Col=1","No Title Assigned - #15279699058")</f>
        <v/>
      </c>
      <c r="B21024" s="0" t="s">
        <v>27878</v>
      </c>
      <c r="C21024" s="0" t="s">
        <v>27879</v>
      </c>
      <c r="D21024" s="0" t="s">
        <v>27879</v>
      </c>
      <c r="E21024" s="0" t="inlineStr">
        <is>
          <t xml:space="preserve">Mazda</t>
        </is>
      </c>
      <c r="F21024" s="0" t="s">
        <v>13</v>
      </c>
      <c r="G21024" s="0" t="s">
        <v>49</v>
      </c>
      <c r="H21024" s="5">
        <v>2843.015200</v>
      </c>
    </row>
    <row r="21025" spans="1:9">
      <c r="A21025" s="22" t="str">
        <f>HYPERLINK("https://app.vivvix.com/360/KMI/IntelliDrive/ApplUI/Pages/CreativePages/CustomReportCreativeDetail.aspx?App=23&amp;ReportView=4&amp;Qid=1711279&amp;Row=21017&amp;Col=1","No Title Assigned - #15279699145")</f>
        <v/>
      </c>
      <c r="B21025" s="0" t="s">
        <v>27880</v>
      </c>
      <c r="C21025" s="0" t="s">
        <v>27881</v>
      </c>
      <c r="D21025" s="0" t="s">
        <v>27881</v>
      </c>
      <c r="E21025" s="0" t="inlineStr">
        <is>
          <t xml:space="preserve">Mazda</t>
        </is>
      </c>
      <c r="F21025" s="0" t="s">
        <v>13</v>
      </c>
      <c r="G21025" s="0" t="s">
        <v>49</v>
      </c>
      <c r="H21025" s="5">
        <v>6926.364000</v>
      </c>
    </row>
    <row r="21026" spans="1:9">
      <c r="A21026" s="22" t="str">
        <f>HYPERLINK("https://app.vivvix.com/360/KMI/IntelliDrive/ApplUI/Pages/CreativePages/CustomReportCreativeDetail.aspx?App=23&amp;ReportView=4&amp;Qid=1711279&amp;Row=21018&amp;Col=1","No Title Assigned - #15279702034")</f>
        <v/>
      </c>
      <c r="B21026" s="0" t="s">
        <v>27882</v>
      </c>
      <c r="C21026" s="0" t="s">
        <v>27883</v>
      </c>
      <c r="D21026" s="0" t="s">
        <v>26342</v>
      </c>
      <c r="E21026" s="0" t="inlineStr">
        <is>
          <t xml:space="preserve">Mazda</t>
        </is>
      </c>
      <c r="F21026" s="0" t="inlineStr">
        <is>
          <t xml:space="preserve">Mazda</t>
        </is>
      </c>
      <c r="G21026" s="0" t="s">
        <v>210</v>
      </c>
      <c r="H21026" s="5">
        <v>430.279400</v>
      </c>
    </row>
    <row r="21027" spans="1:9">
      <c r="A21027" s="22" t="str">
        <f>HYPERLINK("https://app.vivvix.com/360/KMI/IntelliDrive/ApplUI/Pages/CreativePages/CustomReportCreativeDetail.aspx?App=23&amp;ReportView=4&amp;Qid=1711279&amp;Row=21019&amp;Col=1","No Title Assigned - #15279702452")</f>
        <v/>
      </c>
      <c r="B21027" s="0" t="s">
        <v>27884</v>
      </c>
      <c r="C21027" s="0" t="s">
        <v>27885</v>
      </c>
      <c r="D21027" s="0" t="s">
        <v>27885</v>
      </c>
      <c r="E21027" s="0" t="inlineStr">
        <is>
          <t xml:space="preserve">Mazda</t>
        </is>
      </c>
      <c r="F21027" s="0" t="s">
        <v>13</v>
      </c>
      <c r="G21027" s="0" t="s">
        <v>49</v>
      </c>
      <c r="H21027" s="5">
        <v>561.711600</v>
      </c>
    </row>
    <row r="21028" spans="1:9">
      <c r="A21028" s="22" t="str">
        <f>HYPERLINK("https://app.vivvix.com/360/KMI/IntelliDrive/ApplUI/Pages/CreativePages/CustomReportCreativeDetail.aspx?App=23&amp;ReportView=4&amp;Qid=1711279&amp;Row=21020&amp;Col=1","No Title Assigned - #15279702765")</f>
        <v/>
      </c>
      <c r="B21028" s="0" t="s">
        <v>27886</v>
      </c>
      <c r="C21028" s="0" t="s">
        <v>27887</v>
      </c>
      <c r="D21028" s="0" t="s">
        <v>27887</v>
      </c>
      <c r="E21028" s="0" t="inlineStr">
        <is>
          <t xml:space="preserve">Mazda</t>
        </is>
      </c>
      <c r="F21028" s="0" t="s">
        <v>13</v>
      </c>
      <c r="G21028" s="0" t="s">
        <v>49</v>
      </c>
      <c r="H21028" s="5">
        <v>449.082000</v>
      </c>
    </row>
    <row r="21029" spans="1:9">
      <c r="A21029" s="22" t="str">
        <f>HYPERLINK("https://app.vivvix.com/360/KMI/IntelliDrive/ApplUI/Pages/CreativePages/CustomReportCreativeDetail.aspx?App=23&amp;ReportView=4&amp;Qid=1711279&amp;Row=21021&amp;Col=1","No Title Assigned - #15279702930")</f>
        <v/>
      </c>
      <c r="B21029" s="0" t="s">
        <v>27888</v>
      </c>
      <c r="C21029" s="0" t="s">
        <v>27889</v>
      </c>
      <c r="D21029" s="0" t="s">
        <v>27889</v>
      </c>
      <c r="E21029" s="0" t="inlineStr">
        <is>
          <t xml:space="preserve">Mazda</t>
        </is>
      </c>
      <c r="F21029" s="0" t="s">
        <v>13</v>
      </c>
      <c r="G21029" s="0" t="s">
        <v>49</v>
      </c>
      <c r="H21029" s="5">
        <v>922.330400</v>
      </c>
    </row>
    <row r="21030" spans="1:9">
      <c r="A21030" s="22" t="str">
        <f>HYPERLINK("https://app.vivvix.com/360/KMI/IntelliDrive/ApplUI/Pages/CreativePages/CustomReportCreativeDetail.aspx?App=23&amp;ReportView=4&amp;Qid=1711279&amp;Row=21022&amp;Col=1","No Title Assigned - #15279703228")</f>
        <v/>
      </c>
      <c r="B21030" s="0" t="s">
        <v>27890</v>
      </c>
      <c r="C21030" s="0" t="s">
        <v>27891</v>
      </c>
      <c r="D21030" s="0" t="s">
        <v>27891</v>
      </c>
      <c r="E21030" s="0" t="inlineStr">
        <is>
          <t xml:space="preserve">Mazda</t>
        </is>
      </c>
      <c r="F21030" s="0" t="inlineStr">
        <is>
          <t xml:space="preserve">Mazda</t>
        </is>
      </c>
      <c r="G21030" s="0" t="s">
        <v>210</v>
      </c>
      <c r="H21030" s="5">
        <v>1931.697400</v>
      </c>
    </row>
    <row r="21031" spans="1:9">
      <c r="A21031" s="22" t="str">
        <f>HYPERLINK("https://app.vivvix.com/360/KMI/IntelliDrive/ApplUI/Pages/CreativePages/CustomReportCreativeDetail.aspx?App=23&amp;ReportView=4&amp;Qid=1711279&amp;Row=21023&amp;Col=1","No Title Assigned - #15279703824")</f>
        <v/>
      </c>
      <c r="B21031" s="0" t="s">
        <v>27892</v>
      </c>
      <c r="C21031" s="0" t="s">
        <v>27893</v>
      </c>
      <c r="D21031" s="0" t="s">
        <v>27893</v>
      </c>
      <c r="E21031" s="0" t="inlineStr">
        <is>
          <t xml:space="preserve">Mazda</t>
        </is>
      </c>
      <c r="F21031" s="0" t="s">
        <v>13</v>
      </c>
      <c r="G21031" s="0" t="s">
        <v>49</v>
      </c>
      <c r="H21031" s="5">
        <v>8.209200</v>
      </c>
    </row>
    <row r="21032" spans="1:9">
      <c r="A21032" s="22" t="str">
        <f>HYPERLINK("https://app.vivvix.com/360/KMI/IntelliDrive/ApplUI/Pages/CreativePages/CustomReportCreativeDetail.aspx?App=23&amp;ReportView=4&amp;Qid=1711279&amp;Row=21024&amp;Col=1","No Title Assigned - #15279704919")</f>
        <v/>
      </c>
      <c r="B21032" s="0" t="s">
        <v>27894</v>
      </c>
      <c r="C21032" s="0" t="s">
        <v>27895</v>
      </c>
      <c r="D21032" s="0" t="s">
        <v>27895</v>
      </c>
      <c r="E21032" s="0" t="inlineStr">
        <is>
          <t xml:space="preserve">Mazda</t>
        </is>
      </c>
      <c r="F21032" s="0" t="s">
        <v>13</v>
      </c>
      <c r="G21032" s="0" t="s">
        <v>49</v>
      </c>
      <c r="H21032" s="5">
        <v>8.209200</v>
      </c>
    </row>
    <row r="21033" spans="1:9">
      <c r="A21033" s="22" t="str">
        <f>HYPERLINK("https://app.vivvix.com/360/KMI/IntelliDrive/ApplUI/Pages/CreativePages/CustomReportCreativeDetail.aspx?App=23&amp;ReportView=4&amp;Qid=1711279&amp;Row=21025&amp;Col=1","No Title Assigned - #15279705486")</f>
        <v/>
      </c>
      <c r="B21033" s="0" t="s">
        <v>27896</v>
      </c>
      <c r="C21033" s="0" t="s">
        <v>27897</v>
      </c>
      <c r="D21033" s="0" t="s">
        <v>4774</v>
      </c>
      <c r="E21033" s="0" t="inlineStr">
        <is>
          <t xml:space="preserve">Mazda</t>
        </is>
      </c>
      <c r="F21033" s="0" t="s">
        <v>13</v>
      </c>
      <c r="G21033" s="0" t="s">
        <v>49</v>
      </c>
      <c r="H21033" s="5">
        <v>143.628600</v>
      </c>
    </row>
    <row r="21034" spans="1:9">
      <c r="A21034" s="22" t="str">
        <f>HYPERLINK("https://app.vivvix.com/360/KMI/IntelliDrive/ApplUI/Pages/CreativePages/CustomReportCreativeDetail.aspx?App=23&amp;ReportView=4&amp;Qid=1711279&amp;Row=21026&amp;Col=1","No Title Assigned - #15279705524")</f>
        <v/>
      </c>
      <c r="B21034" s="0" t="s">
        <v>27898</v>
      </c>
      <c r="C21034" s="0" t="s">
        <v>27899</v>
      </c>
      <c r="D21034" s="0" t="s">
        <v>27899</v>
      </c>
      <c r="E21034" s="0" t="inlineStr">
        <is>
          <t xml:space="preserve">Mazda</t>
        </is>
      </c>
      <c r="F21034" s="0" t="s">
        <v>13</v>
      </c>
      <c r="G21034" s="0" t="s">
        <v>49</v>
      </c>
      <c r="H21034" s="5">
        <v>11.262200</v>
      </c>
    </row>
    <row r="21035" spans="1:9">
      <c r="A21035" s="22" t="str">
        <f>HYPERLINK("https://app.vivvix.com/360/KMI/IntelliDrive/ApplUI/Pages/CreativePages/CustomReportCreativeDetail.aspx?App=23&amp;ReportView=4&amp;Qid=1711279&amp;Row=21027&amp;Col=1","No Title Assigned - #15279705824")</f>
        <v/>
      </c>
      <c r="B21035" s="0" t="s">
        <v>27900</v>
      </c>
      <c r="C21035" s="0" t="s">
        <v>27901</v>
      </c>
      <c r="D21035" s="0" t="s">
        <v>27901</v>
      </c>
      <c r="E21035" s="0" t="inlineStr">
        <is>
          <t xml:space="preserve">Mazda</t>
        </is>
      </c>
      <c r="F21035" s="0" t="inlineStr">
        <is>
          <t xml:space="preserve">Mazda</t>
        </is>
      </c>
      <c r="G21035" s="0" t="s">
        <v>171</v>
      </c>
      <c r="H21035" s="5">
        <v>476.359700</v>
      </c>
    </row>
    <row r="21036" spans="1:9">
      <c r="A21036" s="22" t="str">
        <f>HYPERLINK("https://app.vivvix.com/360/KMI/IntelliDrive/ApplUI/Pages/CreativePages/CustomReportCreativeDetail.aspx?App=23&amp;ReportView=4&amp;Qid=1711279&amp;Row=21028&amp;Col=1","No Title Assigned - #15279706122")</f>
        <v/>
      </c>
      <c r="B21036" s="0" t="s">
        <v>27902</v>
      </c>
      <c r="E21036" s="0" t="inlineStr">
        <is>
          <t xml:space="preserve">Mazda</t>
        </is>
      </c>
      <c r="F21036" s="0" t="inlineStr">
        <is>
          <t xml:space="preserve">Mazda</t>
        </is>
      </c>
      <c r="G21036" s="0" t="s">
        <v>171</v>
      </c>
      <c r="H21036" s="5">
        <v>20.803800</v>
      </c>
    </row>
    <row r="21037" spans="1:9">
      <c r="A21037" s="22" t="str">
        <f>HYPERLINK("https://app.vivvix.com/360/KMI/IntelliDrive/ApplUI/Pages/CreativePages/CustomReportCreativeDetail.aspx?App=23&amp;ReportView=4&amp;Qid=1711279&amp;Row=21029&amp;Col=1","No Title Assigned - #15279706479")</f>
        <v/>
      </c>
      <c r="B21037" s="0" t="s">
        <v>27903</v>
      </c>
      <c r="C21037" s="0" t="s">
        <v>27904</v>
      </c>
      <c r="D21037" s="0" t="s">
        <v>27904</v>
      </c>
      <c r="E21037" s="0" t="inlineStr">
        <is>
          <t xml:space="preserve">Mazda</t>
        </is>
      </c>
      <c r="F21037" s="0" t="s">
        <v>13</v>
      </c>
      <c r="G21037" s="0" t="s">
        <v>49</v>
      </c>
      <c r="H21037" s="5">
        <v>3093.197500</v>
      </c>
    </row>
    <row r="21038" spans="1:9">
      <c r="A21038" s="22" t="str">
        <f>HYPERLINK("https://app.vivvix.com/360/KMI/IntelliDrive/ApplUI/Pages/CreativePages/CustomReportCreativeDetail.aspx?App=23&amp;ReportView=4&amp;Qid=1711279&amp;Row=21030&amp;Col=1","No Title Assigned - #15279706567")</f>
        <v/>
      </c>
      <c r="B21038" s="0" t="s">
        <v>27905</v>
      </c>
      <c r="E21038" s="0" t="inlineStr">
        <is>
          <t xml:space="preserve">Mazda</t>
        </is>
      </c>
      <c r="F21038" s="0" t="inlineStr">
        <is>
          <t xml:space="preserve">Mazda</t>
        </is>
      </c>
      <c r="G21038" s="0" t="s">
        <v>171</v>
      </c>
      <c r="H21038" s="5">
        <v>683.542300</v>
      </c>
    </row>
    <row r="21039" spans="1:9">
      <c r="A21039" s="22" t="str">
        <f>HYPERLINK("https://app.vivvix.com/360/KMI/IntelliDrive/ApplUI/Pages/CreativePages/CustomReportCreativeDetail.aspx?App=23&amp;ReportView=4&amp;Qid=1711279&amp;Row=21031&amp;Col=1","No Title Assigned - #15279707032")</f>
        <v/>
      </c>
      <c r="B21039" s="0" t="s">
        <v>27906</v>
      </c>
      <c r="E21039" s="0" t="inlineStr">
        <is>
          <t xml:space="preserve">Mazda</t>
        </is>
      </c>
      <c r="F21039" s="0" t="inlineStr">
        <is>
          <t xml:space="preserve">Mazda</t>
        </is>
      </c>
      <c r="G21039" s="0" t="s">
        <v>171</v>
      </c>
      <c r="H21039" s="5">
        <v>15.956500</v>
      </c>
    </row>
    <row r="21040" spans="1:9">
      <c r="A21040" s="22" t="str">
        <f>HYPERLINK("https://app.vivvix.com/360/KMI/IntelliDrive/ApplUI/Pages/CreativePages/CustomReportCreativeDetail.aspx?App=23&amp;ReportView=4&amp;Qid=1711279&amp;Row=21032&amp;Col=1","No Title Assigned - #15279707057")</f>
        <v/>
      </c>
      <c r="B21040" s="0" t="s">
        <v>27907</v>
      </c>
      <c r="E21040" s="0" t="inlineStr">
        <is>
          <t xml:space="preserve">Mazda</t>
        </is>
      </c>
      <c r="F21040" s="0" t="inlineStr">
        <is>
          <t xml:space="preserve">Mazda</t>
        </is>
      </c>
      <c r="G21040" s="0" t="s">
        <v>171</v>
      </c>
      <c r="H21040" s="5">
        <v>397.762500</v>
      </c>
    </row>
    <row r="21041" spans="1:9">
      <c r="A21041" s="22" t="str">
        <f>HYPERLINK("https://app.vivvix.com/360/KMI/IntelliDrive/ApplUI/Pages/CreativePages/CustomReportCreativeDetail.aspx?App=23&amp;ReportView=4&amp;Qid=1711279&amp;Row=21033&amp;Col=1","No Title Assigned - #15279707711")</f>
        <v/>
      </c>
      <c r="B21041" s="0" t="s">
        <v>27908</v>
      </c>
      <c r="C21041" s="0" t="s">
        <v>27909</v>
      </c>
      <c r="D21041" s="0" t="s">
        <v>27909</v>
      </c>
      <c r="E21041" s="0" t="inlineStr">
        <is>
          <t xml:space="preserve">Mazda</t>
        </is>
      </c>
      <c r="F21041" s="0" t="inlineStr">
        <is>
          <t xml:space="preserve">Mazda</t>
        </is>
      </c>
      <c r="G21041" s="0" t="s">
        <v>171</v>
      </c>
      <c r="H21041" s="5">
        <v>922.724200</v>
      </c>
    </row>
    <row r="21042" spans="1:9">
      <c r="A21042" s="22" t="str">
        <f>HYPERLINK("https://app.vivvix.com/360/KMI/IntelliDrive/ApplUI/Pages/CreativePages/CustomReportCreativeDetail.aspx?App=23&amp;ReportView=4&amp;Qid=1711279&amp;Row=21034&amp;Col=1","No Title Assigned - #15279707712")</f>
        <v/>
      </c>
      <c r="B21042" s="0" t="s">
        <v>27910</v>
      </c>
      <c r="E21042" s="0" t="inlineStr">
        <is>
          <t xml:space="preserve">Mazda</t>
        </is>
      </c>
      <c r="F21042" s="0" t="inlineStr">
        <is>
          <t xml:space="preserve">Mazda</t>
        </is>
      </c>
      <c r="G21042" s="0" t="s">
        <v>171</v>
      </c>
      <c r="H21042" s="5">
        <v>55.727900</v>
      </c>
    </row>
    <row r="21043" spans="1:9">
      <c r="A21043" s="22" t="str">
        <f>HYPERLINK("https://app.vivvix.com/360/KMI/IntelliDrive/ApplUI/Pages/CreativePages/CustomReportCreativeDetail.aspx?App=23&amp;ReportView=4&amp;Qid=1711279&amp;Row=21035&amp;Col=1","No Title Assigned - #15279707975")</f>
        <v/>
      </c>
      <c r="B21043" s="0" t="s">
        <v>27911</v>
      </c>
      <c r="C21043" s="0" t="s">
        <v>27912</v>
      </c>
      <c r="D21043" s="0" t="s">
        <v>27912</v>
      </c>
      <c r="E21043" s="0" t="inlineStr">
        <is>
          <t xml:space="preserve">Mazda</t>
        </is>
      </c>
      <c r="F21043" s="0" t="inlineStr">
        <is>
          <t xml:space="preserve">Mazda</t>
        </is>
      </c>
      <c r="G21043" s="0" t="s">
        <v>171</v>
      </c>
      <c r="H21043" s="5">
        <v>2976.356700</v>
      </c>
    </row>
    <row r="21044" spans="1:9">
      <c r="A21044" s="22" t="str">
        <f>HYPERLINK("https://app.vivvix.com/360/KMI/IntelliDrive/ApplUI/Pages/CreativePages/CustomReportCreativeDetail.aspx?App=23&amp;ReportView=4&amp;Qid=1711279&amp;Row=21036&amp;Col=1","No Title Assigned - #15279707976")</f>
        <v/>
      </c>
      <c r="B21044" s="0" t="s">
        <v>27913</v>
      </c>
      <c r="E21044" s="0" t="inlineStr">
        <is>
          <t xml:space="preserve">Mazda</t>
        </is>
      </c>
      <c r="F21044" s="0" t="inlineStr">
        <is>
          <t xml:space="preserve">Mazda</t>
        </is>
      </c>
      <c r="G21044" s="0" t="s">
        <v>171</v>
      </c>
      <c r="H21044" s="5">
        <v>2976.356700</v>
      </c>
    </row>
    <row r="21045" spans="1:9">
      <c r="A21045" s="22" t="str">
        <f>HYPERLINK("https://app.vivvix.com/360/KMI/IntelliDrive/ApplUI/Pages/CreativePages/CustomReportCreativeDetail.aspx?App=23&amp;ReportView=4&amp;Qid=1711279&amp;Row=21037&amp;Col=1","No Title Assigned - #15279708306")</f>
        <v/>
      </c>
      <c r="B21045" s="0" t="s">
        <v>27914</v>
      </c>
      <c r="C21045" s="0" t="s">
        <v>27915</v>
      </c>
      <c r="D21045" s="0" t="s">
        <v>27915</v>
      </c>
      <c r="E21045" s="0" t="inlineStr">
        <is>
          <t xml:space="preserve">Mazda</t>
        </is>
      </c>
      <c r="F21045" s="0" t="inlineStr">
        <is>
          <t xml:space="preserve">Mazda</t>
        </is>
      </c>
      <c r="G21045" s="0" t="s">
        <v>171</v>
      </c>
      <c r="H21045" s="5">
        <v>424.161100</v>
      </c>
    </row>
    <row r="21046" spans="1:9">
      <c r="A21046" s="22" t="str">
        <f>HYPERLINK("https://app.vivvix.com/360/KMI/IntelliDrive/ApplUI/Pages/CreativePages/CustomReportCreativeDetail.aspx?App=23&amp;ReportView=4&amp;Qid=1711279&amp;Row=21038&amp;Col=1","No Title Assigned - #15279709072")</f>
        <v/>
      </c>
      <c r="B21046" s="0" t="s">
        <v>27916</v>
      </c>
      <c r="E21046" s="0" t="inlineStr">
        <is>
          <t xml:space="preserve">Mazda</t>
        </is>
      </c>
      <c r="F21046" s="0" t="inlineStr">
        <is>
          <t xml:space="preserve">Mazda</t>
        </is>
      </c>
      <c r="G21046" s="0" t="s">
        <v>171</v>
      </c>
      <c r="H21046" s="5">
        <v>288.166500</v>
      </c>
    </row>
    <row r="21047" spans="1:9">
      <c r="A21047" s="22" t="str">
        <f>HYPERLINK("https://app.vivvix.com/360/KMI/IntelliDrive/ApplUI/Pages/CreativePages/CustomReportCreativeDetail.aspx?App=23&amp;ReportView=4&amp;Qid=1711279&amp;Row=21039&amp;Col=1","No Title Assigned - #15279709090")</f>
        <v/>
      </c>
      <c r="B21047" s="0" t="s">
        <v>27917</v>
      </c>
      <c r="E21047" s="0" t="inlineStr">
        <is>
          <t xml:space="preserve">Mazda</t>
        </is>
      </c>
      <c r="F21047" s="0" t="inlineStr">
        <is>
          <t xml:space="preserve">Mazda</t>
        </is>
      </c>
      <c r="G21047" s="0" t="s">
        <v>171</v>
      </c>
      <c r="H21047" s="5">
        <v>21.338900</v>
      </c>
    </row>
    <row r="21048" spans="1:9">
      <c r="A21048" s="22" t="str">
        <f>HYPERLINK("https://app.vivvix.com/360/KMI/IntelliDrive/ApplUI/Pages/CreativePages/CustomReportCreativeDetail.aspx?App=23&amp;ReportView=4&amp;Qid=1711279&amp;Row=21040&amp;Col=1","No Title Assigned - #15279709106")</f>
        <v/>
      </c>
      <c r="B21048" s="0" t="s">
        <v>27918</v>
      </c>
      <c r="E21048" s="0" t="inlineStr">
        <is>
          <t xml:space="preserve">Mazda</t>
        </is>
      </c>
      <c r="F21048" s="0" t="inlineStr">
        <is>
          <t xml:space="preserve">Mazda</t>
        </is>
      </c>
      <c r="G21048" s="0" t="s">
        <v>171</v>
      </c>
      <c r="H21048" s="5">
        <v>7.435200</v>
      </c>
    </row>
    <row r="21049" spans="1:9">
      <c r="A21049" s="22" t="str">
        <f>HYPERLINK("https://app.vivvix.com/360/KMI/IntelliDrive/ApplUI/Pages/CreativePages/CustomReportCreativeDetail.aspx?App=23&amp;ReportView=4&amp;Qid=1711279&amp;Row=21041&amp;Col=1","No Title Assigned - #15279714619")</f>
        <v/>
      </c>
      <c r="B21049" s="0" t="s">
        <v>27919</v>
      </c>
      <c r="E21049" s="0" t="inlineStr">
        <is>
          <t xml:space="preserve">Mazda</t>
        </is>
      </c>
      <c r="F21049" s="0" t="inlineStr">
        <is>
          <t xml:space="preserve">Mazda</t>
        </is>
      </c>
      <c r="G21049" s="0" t="s">
        <v>171</v>
      </c>
      <c r="H21049" s="5">
        <v>470.137600</v>
      </c>
    </row>
    <row r="21050" spans="1:9">
      <c r="A21050" s="22" t="str">
        <f>HYPERLINK("https://app.vivvix.com/360/KMI/IntelliDrive/ApplUI/Pages/CreativePages/CustomReportCreativeDetail.aspx?App=23&amp;ReportView=4&amp;Qid=1711279&amp;Row=21042&amp;Col=1","No Title Assigned - #15279747769")</f>
        <v/>
      </c>
      <c r="B21050" s="0" t="s">
        <v>27920</v>
      </c>
      <c r="C21050" s="0" t="s">
        <v>27921</v>
      </c>
      <c r="D21050" s="0" t="s">
        <v>27921</v>
      </c>
      <c r="E21050" s="0" t="inlineStr">
        <is>
          <t xml:space="preserve">Mazda</t>
        </is>
      </c>
      <c r="F21050" s="0" t="s">
        <v>13</v>
      </c>
      <c r="G21050" s="0" t="s">
        <v>49</v>
      </c>
      <c r="H21050" s="5">
        <v>486.558300</v>
      </c>
    </row>
    <row r="21051" spans="1:9">
      <c r="A21051" s="22" t="str">
        <f>HYPERLINK("https://app.vivvix.com/360/KMI/IntelliDrive/ApplUI/Pages/CreativePages/CustomReportCreativeDetail.aspx?App=23&amp;ReportView=4&amp;Qid=1711279&amp;Row=21043&amp;Col=1","No Title Assigned - #15279751138")</f>
        <v/>
      </c>
      <c r="B21051" s="0" t="s">
        <v>27922</v>
      </c>
      <c r="C21051" s="0" t="s">
        <v>27923</v>
      </c>
      <c r="D21051" s="0" t="s">
        <v>27923</v>
      </c>
      <c r="E21051" s="0" t="inlineStr">
        <is>
          <t xml:space="preserve">Mazda</t>
        </is>
      </c>
      <c r="F21051" s="0" t="s">
        <v>13</v>
      </c>
      <c r="G21051" s="0" t="s">
        <v>49</v>
      </c>
      <c r="H21051" s="5">
        <v>688.724300</v>
      </c>
    </row>
    <row r="21052" spans="1:9">
      <c r="A21052" s="22" t="str">
        <f>HYPERLINK("https://app.vivvix.com/360/KMI/IntelliDrive/ApplUI/Pages/CreativePages/CustomReportCreativeDetail.aspx?App=23&amp;ReportView=4&amp;Qid=1711279&amp;Row=21044&amp;Col=1","No Title Assigned - #15279752964")</f>
        <v/>
      </c>
      <c r="B21052" s="0" t="s">
        <v>27924</v>
      </c>
      <c r="C21052" s="0" t="s">
        <v>27925</v>
      </c>
      <c r="D21052" s="0" t="s">
        <v>27925</v>
      </c>
      <c r="E21052" s="0" t="inlineStr">
        <is>
          <t xml:space="preserve">Mazda</t>
        </is>
      </c>
      <c r="F21052" s="0" t="s">
        <v>13</v>
      </c>
      <c r="G21052" s="0" t="s">
        <v>49</v>
      </c>
      <c r="H21052" s="5">
        <v>3.570100</v>
      </c>
    </row>
    <row r="21053" spans="1:9">
      <c r="A21053" s="22" t="str">
        <f>HYPERLINK("https://app.vivvix.com/360/KMI/IntelliDrive/ApplUI/Pages/CreativePages/CustomReportCreativeDetail.aspx?App=23&amp;ReportView=4&amp;Qid=1711279&amp;Row=21045&amp;Col=1","No Title Assigned - #15279759206")</f>
        <v/>
      </c>
      <c r="B21053" s="0" t="s">
        <v>27926</v>
      </c>
      <c r="E21053" s="0" t="inlineStr">
        <is>
          <t xml:space="preserve">Mazda</t>
        </is>
      </c>
      <c r="F21053" s="0" t="inlineStr">
        <is>
          <t xml:space="preserve">Mazda</t>
        </is>
      </c>
      <c r="G21053" s="0" t="s">
        <v>171</v>
      </c>
      <c r="H21053" s="5">
        <v>28.861900</v>
      </c>
    </row>
    <row r="21054" spans="1:9">
      <c r="A21054" s="22" t="str">
        <f>HYPERLINK("https://app.vivvix.com/360/KMI/IntelliDrive/ApplUI/Pages/CreativePages/CustomReportCreativeDetail.aspx?App=23&amp;ReportView=4&amp;Qid=1711279&amp;Row=21046&amp;Col=1","No Title Assigned - #15279759332")</f>
        <v/>
      </c>
      <c r="B21054" s="0" t="s">
        <v>27927</v>
      </c>
      <c r="E21054" s="0" t="inlineStr">
        <is>
          <t xml:space="preserve">Mazda</t>
        </is>
      </c>
      <c r="F21054" s="0" t="inlineStr">
        <is>
          <t xml:space="preserve">Mazda</t>
        </is>
      </c>
      <c r="G21054" s="0" t="s">
        <v>171</v>
      </c>
      <c r="H21054" s="5">
        <v>146.375900</v>
      </c>
    </row>
    <row r="21055" spans="1:9">
      <c r="A21055" s="22" t="str">
        <f>HYPERLINK("https://app.vivvix.com/360/KMI/IntelliDrive/ApplUI/Pages/CreativePages/CustomReportCreativeDetail.aspx?App=23&amp;ReportView=4&amp;Qid=1711279&amp;Row=21047&amp;Col=1","No Title Assigned - #15279759912")</f>
        <v/>
      </c>
      <c r="B21055" s="0" t="s">
        <v>27928</v>
      </c>
      <c r="E21055" s="0" t="inlineStr">
        <is>
          <t xml:space="preserve">Mazda</t>
        </is>
      </c>
      <c r="F21055" s="0" t="inlineStr">
        <is>
          <t xml:space="preserve">Mazda</t>
        </is>
      </c>
      <c r="G21055" s="0" t="s">
        <v>171</v>
      </c>
      <c r="H21055" s="5">
        <v>16.459000</v>
      </c>
    </row>
    <row r="21056" spans="1:9">
      <c r="A21056" s="22" t="str">
        <f>HYPERLINK("https://app.vivvix.com/360/KMI/IntelliDrive/ApplUI/Pages/CreativePages/CustomReportCreativeDetail.aspx?App=23&amp;ReportView=4&amp;Qid=1711279&amp;Row=21048&amp;Col=1","No Title Assigned - #15279759912")</f>
        <v/>
      </c>
      <c r="B21056" s="0" t="s">
        <v>27928</v>
      </c>
      <c r="E21056" s="0" t="inlineStr">
        <is>
          <t xml:space="preserve">Mazda</t>
        </is>
      </c>
      <c r="F21056" s="0" t="inlineStr">
        <is>
          <t xml:space="preserve">Mazda</t>
        </is>
      </c>
      <c r="G21056" s="0" t="s">
        <v>171</v>
      </c>
      <c r="H21056" s="5">
        <v>477.735100</v>
      </c>
    </row>
    <row r="21057" spans="1:9">
      <c r="A21057" s="22" t="str">
        <f>HYPERLINK("https://app.vivvix.com/360/KMI/IntelliDrive/ApplUI/Pages/CreativePages/CustomReportCreativeDetail.aspx?App=23&amp;ReportView=4&amp;Qid=1711279&amp;Row=21049&amp;Col=1","No Title Assigned - #15279760060")</f>
        <v/>
      </c>
      <c r="B21057" s="0" t="s">
        <v>27929</v>
      </c>
      <c r="E21057" s="0" t="inlineStr">
        <is>
          <t xml:space="preserve">Mazda</t>
        </is>
      </c>
      <c r="F21057" s="0" t="inlineStr">
        <is>
          <t xml:space="preserve">Mazda</t>
        </is>
      </c>
      <c r="G21057" s="0" t="s">
        <v>171</v>
      </c>
      <c r="H21057" s="5">
        <v>535.381500</v>
      </c>
    </row>
    <row r="21058" spans="1:9">
      <c r="A21058" s="22" t="str">
        <f>HYPERLINK("https://app.vivvix.com/360/KMI/IntelliDrive/ApplUI/Pages/CreativePages/CustomReportCreativeDetail.aspx?App=23&amp;ReportView=4&amp;Qid=1711279&amp;Row=21050&amp;Col=1","No Title Assigned - #15279760327")</f>
        <v/>
      </c>
      <c r="B21058" s="0" t="s">
        <v>27930</v>
      </c>
      <c r="E21058" s="0" t="inlineStr">
        <is>
          <t xml:space="preserve">Mazda</t>
        </is>
      </c>
      <c r="F21058" s="0" t="inlineStr">
        <is>
          <t xml:space="preserve">Mazda</t>
        </is>
      </c>
      <c r="G21058" s="0" t="s">
        <v>171</v>
      </c>
      <c r="H21058" s="5">
        <v>20.803800</v>
      </c>
    </row>
    <row r="21059" spans="1:9">
      <c r="A21059" s="22" t="str">
        <f>HYPERLINK("https://app.vivvix.com/360/KMI/IntelliDrive/ApplUI/Pages/CreativePages/CustomReportCreativeDetail.aspx?App=23&amp;ReportView=4&amp;Qid=1711279&amp;Row=21051&amp;Col=1","No Title Assigned - #15279761038")</f>
        <v/>
      </c>
      <c r="B21059" s="0" t="s">
        <v>27931</v>
      </c>
      <c r="E21059" s="0" t="inlineStr">
        <is>
          <t xml:space="preserve">Mazda</t>
        </is>
      </c>
      <c r="F21059" s="0" t="inlineStr">
        <is>
          <t xml:space="preserve">Mazda</t>
        </is>
      </c>
      <c r="G21059" s="0" t="s">
        <v>171</v>
      </c>
      <c r="H21059" s="5">
        <v>188.219400</v>
      </c>
    </row>
    <row r="21060" spans="1:9">
      <c r="A21060" s="22" t="str">
        <f>HYPERLINK("https://app.vivvix.com/360/KMI/IntelliDrive/ApplUI/Pages/CreativePages/CustomReportCreativeDetail.aspx?App=23&amp;ReportView=4&amp;Qid=1711279&amp;Row=21052&amp;Col=1","No Title Assigned - #15279761354")</f>
        <v/>
      </c>
      <c r="B21060" s="0" t="s">
        <v>27932</v>
      </c>
      <c r="E21060" s="0" t="inlineStr">
        <is>
          <t xml:space="preserve">Mazda</t>
        </is>
      </c>
      <c r="F21060" s="0" t="inlineStr">
        <is>
          <t xml:space="preserve">Mazda</t>
        </is>
      </c>
      <c r="G21060" s="0" t="s">
        <v>171</v>
      </c>
      <c r="H21060" s="5">
        <v>329.980200</v>
      </c>
    </row>
    <row r="21061" spans="1:9">
      <c r="A21061" s="22" t="str">
        <f>HYPERLINK("https://app.vivvix.com/360/KMI/IntelliDrive/ApplUI/Pages/CreativePages/CustomReportCreativeDetail.aspx?App=23&amp;ReportView=4&amp;Qid=1711279&amp;Row=21053&amp;Col=1","No Title Assigned - #15279761355")</f>
        <v/>
      </c>
      <c r="B21061" s="0" t="s">
        <v>27933</v>
      </c>
      <c r="C21061" s="0" t="s">
        <v>27934</v>
      </c>
      <c r="D21061" s="0" t="s">
        <v>27934</v>
      </c>
      <c r="E21061" s="0" t="inlineStr">
        <is>
          <t xml:space="preserve">Mazda</t>
        </is>
      </c>
      <c r="F21061" s="0" t="inlineStr">
        <is>
          <t xml:space="preserve">Mazda</t>
        </is>
      </c>
      <c r="G21061" s="0" t="s">
        <v>171</v>
      </c>
      <c r="H21061" s="5">
        <v>4732.485400</v>
      </c>
    </row>
    <row r="21062" spans="1:9">
      <c r="A21062" s="22" t="str">
        <f>HYPERLINK("https://app.vivvix.com/360/KMI/IntelliDrive/ApplUI/Pages/CreativePages/CustomReportCreativeDetail.aspx?App=23&amp;ReportView=4&amp;Qid=1711279&amp;Row=21054&amp;Col=1","No Title Assigned - #15279761640")</f>
        <v/>
      </c>
      <c r="B21062" s="0" t="s">
        <v>27935</v>
      </c>
      <c r="E21062" s="0" t="inlineStr">
        <is>
          <t xml:space="preserve">Mazda</t>
        </is>
      </c>
      <c r="F21062" s="0" t="inlineStr">
        <is>
          <t xml:space="preserve">Mazda</t>
        </is>
      </c>
      <c r="G21062" s="0" t="s">
        <v>171</v>
      </c>
      <c r="H21062" s="5">
        <v>1176.059400</v>
      </c>
    </row>
    <row r="21063" spans="1:9">
      <c r="A21063" s="22" t="str">
        <f>HYPERLINK("https://app.vivvix.com/360/KMI/IntelliDrive/ApplUI/Pages/CreativePages/CustomReportCreativeDetail.aspx?App=23&amp;ReportView=4&amp;Qid=1711279&amp;Row=21055&amp;Col=1","No Title Assigned - #15279762053")</f>
        <v/>
      </c>
      <c r="B21063" s="0" t="s">
        <v>27936</v>
      </c>
      <c r="E21063" s="0" t="inlineStr">
        <is>
          <t xml:space="preserve">Mazda</t>
        </is>
      </c>
      <c r="F21063" s="0" t="inlineStr">
        <is>
          <t xml:space="preserve">Mazda</t>
        </is>
      </c>
      <c r="G21063" s="0" t="s">
        <v>171</v>
      </c>
      <c r="H21063" s="5">
        <v>1408.511400</v>
      </c>
    </row>
    <row r="21064" spans="1:9">
      <c r="A21064" s="22" t="str">
        <f>HYPERLINK("https://app.vivvix.com/360/KMI/IntelliDrive/ApplUI/Pages/CreativePages/CustomReportCreativeDetail.aspx?App=23&amp;ReportView=4&amp;Qid=1711279&amp;Row=21056&amp;Col=1","No Title Assigned - #15279762086")</f>
        <v/>
      </c>
      <c r="B21064" s="0" t="s">
        <v>27937</v>
      </c>
      <c r="E21064" s="0" t="inlineStr">
        <is>
          <t xml:space="preserve">Mazda</t>
        </is>
      </c>
      <c r="F21064" s="0" t="inlineStr">
        <is>
          <t xml:space="preserve">Mazda</t>
        </is>
      </c>
      <c r="G21064" s="0" t="s">
        <v>171</v>
      </c>
      <c r="H21064" s="5">
        <v>115.581300</v>
      </c>
    </row>
    <row r="21065" spans="1:9">
      <c r="A21065" s="22" t="str">
        <f>HYPERLINK("https://app.vivvix.com/360/KMI/IntelliDrive/ApplUI/Pages/CreativePages/CustomReportCreativeDetail.aspx?App=23&amp;ReportView=4&amp;Qid=1711279&amp;Row=21057&amp;Col=1","No Title Assigned - #15279762397")</f>
        <v/>
      </c>
      <c r="B21065" s="0" t="s">
        <v>27938</v>
      </c>
      <c r="E21065" s="0" t="inlineStr">
        <is>
          <t xml:space="preserve">Mazda</t>
        </is>
      </c>
      <c r="F21065" s="0" t="inlineStr">
        <is>
          <t xml:space="preserve">Mazda</t>
        </is>
      </c>
      <c r="G21065" s="0" t="s">
        <v>171</v>
      </c>
      <c r="H21065" s="5">
        <v>1.216000</v>
      </c>
    </row>
    <row r="21066" spans="1:9">
      <c r="A21066" s="22" t="str">
        <f>HYPERLINK("https://app.vivvix.com/360/KMI/IntelliDrive/ApplUI/Pages/CreativePages/CustomReportCreativeDetail.aspx?App=23&amp;ReportView=4&amp;Qid=1711279&amp;Row=21058&amp;Col=1","No Title Assigned - #15279762655")</f>
        <v/>
      </c>
      <c r="B21066" s="0" t="s">
        <v>27939</v>
      </c>
      <c r="E21066" s="0" t="inlineStr">
        <is>
          <t xml:space="preserve">Mazda</t>
        </is>
      </c>
      <c r="F21066" s="0" t="inlineStr">
        <is>
          <t xml:space="preserve">Mazda</t>
        </is>
      </c>
      <c r="G21066" s="0" t="s">
        <v>171</v>
      </c>
      <c r="H21066" s="5">
        <v>218.824900</v>
      </c>
    </row>
    <row r="21067" spans="1:9">
      <c r="A21067" s="22" t="str">
        <f>HYPERLINK("https://app.vivvix.com/360/KMI/IntelliDrive/ApplUI/Pages/CreativePages/CustomReportCreativeDetail.aspx?App=23&amp;ReportView=4&amp;Qid=1711279&amp;Row=21059&amp;Col=1","No Title Assigned - #15279762712")</f>
        <v/>
      </c>
      <c r="B21067" s="0" t="s">
        <v>27940</v>
      </c>
      <c r="E21067" s="0" t="inlineStr">
        <is>
          <t xml:space="preserve">Mazda</t>
        </is>
      </c>
      <c r="F21067" s="0" t="inlineStr">
        <is>
          <t xml:space="preserve">Mazda</t>
        </is>
      </c>
      <c r="G21067" s="0" t="s">
        <v>171</v>
      </c>
      <c r="H21067" s="5">
        <v>81.461400</v>
      </c>
    </row>
    <row r="21068" spans="1:9">
      <c r="A21068" s="22" t="str">
        <f>HYPERLINK("https://app.vivvix.com/360/KMI/IntelliDrive/ApplUI/Pages/CreativePages/CustomReportCreativeDetail.aspx?App=23&amp;ReportView=4&amp;Qid=1711279&amp;Row=21060&amp;Col=1","No Title Assigned - #15279762935")</f>
        <v/>
      </c>
      <c r="B21068" s="0" t="s">
        <v>27941</v>
      </c>
      <c r="E21068" s="0" t="inlineStr">
        <is>
          <t xml:space="preserve">Mazda</t>
        </is>
      </c>
      <c r="F21068" s="0" t="inlineStr">
        <is>
          <t xml:space="preserve">Mazda</t>
        </is>
      </c>
      <c r="G21068" s="0" t="s">
        <v>171</v>
      </c>
      <c r="H21068" s="5">
        <v>412.482300</v>
      </c>
    </row>
    <row r="21069" spans="1:9">
      <c r="A21069" s="22" t="str">
        <f>HYPERLINK("https://app.vivvix.com/360/KMI/IntelliDrive/ApplUI/Pages/CreativePages/CustomReportCreativeDetail.aspx?App=23&amp;ReportView=4&amp;Qid=1711279&amp;Row=21061&amp;Col=1","No Title Assigned - #15279769757")</f>
        <v/>
      </c>
      <c r="B21069" s="0" t="s">
        <v>27942</v>
      </c>
      <c r="E21069" s="0" t="inlineStr">
        <is>
          <t xml:space="preserve">Mazda</t>
        </is>
      </c>
      <c r="F21069" s="0" t="inlineStr">
        <is>
          <t xml:space="preserve">Mazda</t>
        </is>
      </c>
      <c r="G21069" s="0" t="s">
        <v>171</v>
      </c>
      <c r="H21069" s="5">
        <v>11.086200</v>
      </c>
    </row>
    <row r="21070" spans="1:9">
      <c r="A21070" s="22" t="str">
        <f>HYPERLINK("https://app.vivvix.com/360/KMI/IntelliDrive/ApplUI/Pages/CreativePages/CustomReportCreativeDetail.aspx?App=23&amp;ReportView=4&amp;Qid=1711279&amp;Row=21062&amp;Col=1","No Title Assigned - #15279769999")</f>
        <v/>
      </c>
      <c r="B21070" s="0" t="s">
        <v>27943</v>
      </c>
      <c r="E21070" s="0" t="inlineStr">
        <is>
          <t xml:space="preserve">Mazda</t>
        </is>
      </c>
      <c r="F21070" s="0" t="inlineStr">
        <is>
          <t xml:space="preserve">Mazda</t>
        </is>
      </c>
      <c r="G21070" s="0" t="s">
        <v>171</v>
      </c>
      <c r="H21070" s="5">
        <v>789.125700</v>
      </c>
    </row>
    <row r="21071" spans="1:9">
      <c r="A21071" s="22" t="str">
        <f>HYPERLINK("https://app.vivvix.com/360/KMI/IntelliDrive/ApplUI/Pages/CreativePages/CustomReportCreativeDetail.aspx?App=23&amp;ReportView=4&amp;Qid=1711279&amp;Row=21063&amp;Col=1","No Title Assigned - #15279770114")</f>
        <v/>
      </c>
      <c r="B21071" s="0" t="s">
        <v>27944</v>
      </c>
      <c r="E21071" s="0" t="inlineStr">
        <is>
          <t xml:space="preserve">Mazda</t>
        </is>
      </c>
      <c r="F21071" s="0" t="inlineStr">
        <is>
          <t xml:space="preserve">Mazda</t>
        </is>
      </c>
      <c r="G21071" s="0" t="s">
        <v>171</v>
      </c>
      <c r="H21071" s="5">
        <v>346.137600</v>
      </c>
    </row>
    <row r="21072" spans="1:9">
      <c r="A21072" s="22" t="str">
        <f>HYPERLINK("https://app.vivvix.com/360/KMI/IntelliDrive/ApplUI/Pages/CreativePages/CustomReportCreativeDetail.aspx?App=23&amp;ReportView=4&amp;Qid=1711279&amp;Row=21064&amp;Col=1","No Title Assigned - #15279770425")</f>
        <v/>
      </c>
      <c r="B21072" s="0" t="s">
        <v>27945</v>
      </c>
      <c r="E21072" s="0" t="inlineStr">
        <is>
          <t xml:space="preserve">Mazda</t>
        </is>
      </c>
      <c r="F21072" s="0" t="inlineStr">
        <is>
          <t xml:space="preserve">Mazda</t>
        </is>
      </c>
      <c r="G21072" s="0" t="s">
        <v>171</v>
      </c>
      <c r="H21072" s="5">
        <v>43.456100</v>
      </c>
    </row>
    <row r="21073" spans="1:9">
      <c r="A21073" s="22" t="str">
        <f>HYPERLINK("https://app.vivvix.com/360/KMI/IntelliDrive/ApplUI/Pages/CreativePages/CustomReportCreativeDetail.aspx?App=23&amp;ReportView=4&amp;Qid=1711279&amp;Row=21065&amp;Col=1","No Title Assigned - #15279770562")</f>
        <v/>
      </c>
      <c r="B21073" s="0" t="s">
        <v>27946</v>
      </c>
      <c r="E21073" s="0" t="inlineStr">
        <is>
          <t xml:space="preserve">Mazda</t>
        </is>
      </c>
      <c r="F21073" s="0" t="inlineStr">
        <is>
          <t xml:space="preserve">Mazda</t>
        </is>
      </c>
      <c r="G21073" s="0" t="s">
        <v>171</v>
      </c>
      <c r="H21073" s="5">
        <v>100.673000</v>
      </c>
    </row>
    <row r="21074" spans="1:9">
      <c r="A21074" s="22" t="str">
        <f>HYPERLINK("https://app.vivvix.com/360/KMI/IntelliDrive/ApplUI/Pages/CreativePages/CustomReportCreativeDetail.aspx?App=23&amp;ReportView=4&amp;Qid=1711279&amp;Row=21066&amp;Col=1","No Title Assigned - #15279770990")</f>
        <v/>
      </c>
      <c r="B21074" s="0" t="s">
        <v>27947</v>
      </c>
      <c r="E21074" s="0" t="inlineStr">
        <is>
          <t xml:space="preserve">Mazda</t>
        </is>
      </c>
      <c r="F21074" s="0" t="inlineStr">
        <is>
          <t xml:space="preserve">Mazda</t>
        </is>
      </c>
      <c r="G21074" s="0" t="s">
        <v>171</v>
      </c>
      <c r="H21074" s="5">
        <v>69.136200</v>
      </c>
    </row>
    <row r="21075" spans="1:9">
      <c r="A21075" s="22" t="str">
        <f>HYPERLINK("https://app.vivvix.com/360/KMI/IntelliDrive/ApplUI/Pages/CreativePages/CustomReportCreativeDetail.aspx?App=23&amp;ReportView=4&amp;Qid=1711279&amp;Row=21067&amp;Col=1","No Title Assigned - #15279770993")</f>
        <v/>
      </c>
      <c r="B21075" s="0" t="s">
        <v>27948</v>
      </c>
      <c r="E21075" s="0" t="inlineStr">
        <is>
          <t xml:space="preserve">Mazda</t>
        </is>
      </c>
      <c r="F21075" s="0" t="inlineStr">
        <is>
          <t xml:space="preserve">Mazda</t>
        </is>
      </c>
      <c r="G21075" s="0" t="s">
        <v>171</v>
      </c>
      <c r="H21075" s="5">
        <v>58.431600</v>
      </c>
    </row>
    <row r="21076" spans="1:9">
      <c r="A21076" s="22" t="str">
        <f>HYPERLINK("https://app.vivvix.com/360/KMI/IntelliDrive/ApplUI/Pages/CreativePages/CustomReportCreativeDetail.aspx?App=23&amp;ReportView=4&amp;Qid=1711279&amp;Row=21068&amp;Col=1","No Title Assigned - #15279770996")</f>
        <v/>
      </c>
      <c r="B21076" s="0" t="s">
        <v>27949</v>
      </c>
      <c r="C21076" s="0" t="s">
        <v>27950</v>
      </c>
      <c r="D21076" s="0" t="s">
        <v>27950</v>
      </c>
      <c r="E21076" s="0" t="inlineStr">
        <is>
          <t xml:space="preserve">Mazda</t>
        </is>
      </c>
      <c r="F21076" s="0" t="inlineStr">
        <is>
          <t xml:space="preserve">Mazda</t>
        </is>
      </c>
      <c r="G21076" s="0" t="s">
        <v>171</v>
      </c>
      <c r="H21076" s="5">
        <v>238.351900</v>
      </c>
    </row>
    <row r="21077" spans="1:9">
      <c r="A21077" s="22" t="str">
        <f>HYPERLINK("https://app.vivvix.com/360/KMI/IntelliDrive/ApplUI/Pages/CreativePages/CustomReportCreativeDetail.aspx?App=23&amp;ReportView=4&amp;Qid=1711279&amp;Row=21069&amp;Col=1","No Title Assigned - #15279772849")</f>
        <v/>
      </c>
      <c r="B21077" s="0" t="s">
        <v>27951</v>
      </c>
      <c r="E21077" s="0" t="inlineStr">
        <is>
          <t xml:space="preserve">Mazda</t>
        </is>
      </c>
      <c r="F21077" s="0" t="inlineStr">
        <is>
          <t xml:space="preserve">Mazda</t>
        </is>
      </c>
      <c r="G21077" s="0" t="s">
        <v>171</v>
      </c>
      <c r="H21077" s="5">
        <v>356.446600</v>
      </c>
    </row>
    <row r="21078" spans="1:9">
      <c r="A21078" s="22" t="str">
        <f>HYPERLINK("https://app.vivvix.com/360/KMI/IntelliDrive/ApplUI/Pages/CreativePages/CustomReportCreativeDetail.aspx?App=23&amp;ReportView=4&amp;Qid=1711279&amp;Row=21070&amp;Col=1","No Title Assigned - #15279772849")</f>
        <v/>
      </c>
      <c r="B21078" s="0" t="s">
        <v>27951</v>
      </c>
      <c r="E21078" s="0" t="inlineStr">
        <is>
          <t xml:space="preserve">Mazda</t>
        </is>
      </c>
      <c r="F21078" s="0" t="inlineStr">
        <is>
          <t xml:space="preserve">Mazda</t>
        </is>
      </c>
      <c r="G21078" s="0" t="s">
        <v>171</v>
      </c>
      <c r="H21078" s="5">
        <v>5.543100</v>
      </c>
    </row>
    <row r="21079" spans="1:9">
      <c r="A21079" s="22" t="str">
        <f>HYPERLINK("https://app.vivvix.com/360/KMI/IntelliDrive/ApplUI/Pages/CreativePages/CustomReportCreativeDetail.aspx?App=23&amp;ReportView=4&amp;Qid=1711279&amp;Row=21071&amp;Col=1","No Title Assigned - #15279772911")</f>
        <v/>
      </c>
      <c r="B21079" s="0" t="s">
        <v>27952</v>
      </c>
      <c r="E21079" s="0" t="inlineStr">
        <is>
          <t xml:space="preserve">Mazda</t>
        </is>
      </c>
      <c r="F21079" s="0" t="inlineStr">
        <is>
          <t xml:space="preserve">Mazda</t>
        </is>
      </c>
      <c r="G21079" s="0" t="s">
        <v>171</v>
      </c>
      <c r="H21079" s="5">
        <v>101.921200</v>
      </c>
    </row>
    <row r="21080" spans="1:9">
      <c r="A21080" s="22" t="str">
        <f>HYPERLINK("https://app.vivvix.com/360/KMI/IntelliDrive/ApplUI/Pages/CreativePages/CustomReportCreativeDetail.aspx?App=23&amp;ReportView=4&amp;Qid=1711279&amp;Row=21072&amp;Col=1","No Title Assigned - #15279773300")</f>
        <v/>
      </c>
      <c r="B21080" s="0" t="s">
        <v>27953</v>
      </c>
      <c r="C21080" s="0" t="s">
        <v>27954</v>
      </c>
      <c r="D21080" s="0" t="s">
        <v>27954</v>
      </c>
      <c r="E21080" s="0" t="inlineStr">
        <is>
          <t xml:space="preserve">Mazda</t>
        </is>
      </c>
      <c r="F21080" s="0" t="s">
        <v>13</v>
      </c>
      <c r="G21080" s="0" t="s">
        <v>49</v>
      </c>
      <c r="H21080" s="5">
        <v>7096.994300</v>
      </c>
    </row>
    <row r="21081" spans="1:9">
      <c r="A21081" s="22" t="str">
        <f>HYPERLINK("https://app.vivvix.com/360/KMI/IntelliDrive/ApplUI/Pages/CreativePages/CustomReportCreativeDetail.aspx?App=23&amp;ReportView=4&amp;Qid=1711279&amp;Row=21073&amp;Col=1","No Title Assigned - #15279776618")</f>
        <v/>
      </c>
      <c r="B21081" s="0" t="s">
        <v>27955</v>
      </c>
      <c r="E21081" s="0" t="inlineStr">
        <is>
          <t xml:space="preserve">Mazda</t>
        </is>
      </c>
      <c r="F21081" s="0" t="inlineStr">
        <is>
          <t xml:space="preserve">Mazda</t>
        </is>
      </c>
      <c r="G21081" s="0" t="s">
        <v>171</v>
      </c>
      <c r="H21081" s="5">
        <v>7.109800</v>
      </c>
    </row>
    <row r="21082" spans="1:9">
      <c r="A21082" s="22" t="str">
        <f>HYPERLINK("https://app.vivvix.com/360/KMI/IntelliDrive/ApplUI/Pages/CreativePages/CustomReportCreativeDetail.aspx?App=23&amp;ReportView=4&amp;Qid=1711279&amp;Row=21074&amp;Col=1","No Title Assigned - #15279789611")</f>
        <v/>
      </c>
      <c r="B21082" s="0" t="s">
        <v>27956</v>
      </c>
      <c r="C21082" s="0" t="s">
        <v>27957</v>
      </c>
      <c r="D21082" s="0" t="s">
        <v>27957</v>
      </c>
      <c r="E21082" s="0" t="inlineStr">
        <is>
          <t xml:space="preserve">Mazda</t>
        </is>
      </c>
      <c r="F21082" s="0" t="s">
        <v>13</v>
      </c>
      <c r="G21082" s="0" t="s">
        <v>49</v>
      </c>
      <c r="H21082" s="5">
        <v>8.209200</v>
      </c>
    </row>
    <row r="21083" spans="1:9">
      <c r="A21083" s="22" t="str">
        <f>HYPERLINK("https://app.vivvix.com/360/KMI/IntelliDrive/ApplUI/Pages/CreativePages/CustomReportCreativeDetail.aspx?App=23&amp;ReportView=4&amp;Qid=1711279&amp;Row=21075&amp;Col=1","No Title Assigned - #15279797498")</f>
        <v/>
      </c>
      <c r="B21083" s="0" t="s">
        <v>27958</v>
      </c>
      <c r="C21083" s="0" t="s">
        <v>27959</v>
      </c>
      <c r="D21083" s="0" t="s">
        <v>27959</v>
      </c>
      <c r="E21083" s="0" t="inlineStr">
        <is>
          <t xml:space="preserve">Mazda</t>
        </is>
      </c>
      <c r="F21083" s="0" t="s">
        <v>13</v>
      </c>
      <c r="G21083" s="0" t="s">
        <v>49</v>
      </c>
      <c r="H21083" s="5">
        <v>31.676400</v>
      </c>
    </row>
    <row r="21084" spans="1:9">
      <c r="A21084" s="22" t="str">
        <f>HYPERLINK("https://app.vivvix.com/360/KMI/IntelliDrive/ApplUI/Pages/CreativePages/CustomReportCreativeDetail.aspx?App=23&amp;ReportView=4&amp;Qid=1711279&amp;Row=21076&amp;Col=1","No Title Assigned - #15279797837")</f>
        <v/>
      </c>
      <c r="B21084" s="0" t="s">
        <v>27960</v>
      </c>
      <c r="E21084" s="0" t="inlineStr">
        <is>
          <t xml:space="preserve">Mazda</t>
        </is>
      </c>
      <c r="F21084" s="0" t="s">
        <v>204</v>
      </c>
      <c r="G21084" s="0" t="s">
        <v>205</v>
      </c>
      <c r="H21084" s="5">
        <v>263.136500</v>
      </c>
    </row>
    <row r="21085" spans="1:9">
      <c r="A21085" s="22" t="str">
        <f>HYPERLINK("https://app.vivvix.com/360/KMI/IntelliDrive/ApplUI/Pages/CreativePages/CustomReportCreativeDetail.aspx?App=23&amp;ReportView=4&amp;Qid=1711279&amp;Row=21077&amp;Col=1","No Title Assigned - #15279800704")</f>
        <v/>
      </c>
      <c r="B21085" s="0" t="s">
        <v>27961</v>
      </c>
      <c r="C21085" s="0" t="s">
        <v>27962</v>
      </c>
      <c r="D21085" s="0" t="s">
        <v>27962</v>
      </c>
      <c r="E21085" s="0" t="inlineStr">
        <is>
          <t xml:space="preserve">Mazda</t>
        </is>
      </c>
      <c r="F21085" s="0" t="s">
        <v>13</v>
      </c>
      <c r="G21085" s="0" t="s">
        <v>49</v>
      </c>
      <c r="H21085" s="5">
        <v>727.520600</v>
      </c>
    </row>
    <row r="21086" spans="1:9">
      <c r="A21086" s="22" t="str">
        <f>HYPERLINK("https://app.vivvix.com/360/KMI/IntelliDrive/ApplUI/Pages/CreativePages/CustomReportCreativeDetail.aspx?App=23&amp;ReportView=4&amp;Qid=1711279&amp;Row=21078&amp;Col=1","No Title Assigned - #15279804124")</f>
        <v/>
      </c>
      <c r="B21086" s="0" t="s">
        <v>27963</v>
      </c>
      <c r="C21086" s="0" t="s">
        <v>27964</v>
      </c>
      <c r="D21086" s="0" t="s">
        <v>27964</v>
      </c>
      <c r="E21086" s="0" t="inlineStr">
        <is>
          <t xml:space="preserve">Mazda</t>
        </is>
      </c>
      <c r="F21086" s="0" t="s">
        <v>13</v>
      </c>
      <c r="G21086" s="0" t="s">
        <v>49</v>
      </c>
      <c r="H21086" s="5">
        <v>1811.179100</v>
      </c>
    </row>
    <row r="21087" spans="1:9">
      <c r="A21087" s="22" t="str">
        <f>HYPERLINK("https://app.vivvix.com/360/KMI/IntelliDrive/ApplUI/Pages/CreativePages/CustomReportCreativeDetail.aspx?App=23&amp;ReportView=4&amp;Qid=1711279&amp;Row=21079&amp;Col=1","No Title Assigned - #15279804175")</f>
        <v/>
      </c>
      <c r="B21087" s="0" t="s">
        <v>27965</v>
      </c>
      <c r="C21087" s="0" t="s">
        <v>27966</v>
      </c>
      <c r="D21087" s="0" t="s">
        <v>27966</v>
      </c>
      <c r="E21087" s="0" t="inlineStr">
        <is>
          <t xml:space="preserve">Mazda</t>
        </is>
      </c>
      <c r="F21087" s="0" t="inlineStr">
        <is>
          <t xml:space="preserve">Mazda</t>
        </is>
      </c>
      <c r="G21087" s="0" t="s">
        <v>210</v>
      </c>
      <c r="H21087" s="5">
        <v>103609.069200</v>
      </c>
    </row>
    <row r="21088" spans="1:9">
      <c r="A21088" s="22" t="str">
        <f>HYPERLINK("https://app.vivvix.com/360/KMI/IntelliDrive/ApplUI/Pages/CreativePages/CustomReportCreativeDetail.aspx?App=23&amp;ReportView=4&amp;Qid=1711279&amp;Row=21080&amp;Col=1","No Title Assigned - #15279804175")</f>
        <v/>
      </c>
      <c r="B21088" s="0" t="s">
        <v>27965</v>
      </c>
      <c r="E21088" s="0" t="inlineStr">
        <is>
          <t xml:space="preserve">Mazda</t>
        </is>
      </c>
      <c r="F21088" s="0" t="inlineStr">
        <is>
          <t xml:space="preserve">Mazda</t>
        </is>
      </c>
      <c r="G21088" s="0" t="s">
        <v>210</v>
      </c>
      <c r="H21088" s="5">
        <v>657.945800</v>
      </c>
    </row>
    <row r="21089" spans="1:9">
      <c r="A21089" s="22" t="str">
        <f>HYPERLINK("https://app.vivvix.com/360/KMI/IntelliDrive/ApplUI/Pages/CreativePages/CustomReportCreativeDetail.aspx?App=23&amp;ReportView=4&amp;Qid=1711279&amp;Row=21081&amp;Col=1","No Title Assigned - #15279804366")</f>
        <v/>
      </c>
      <c r="B21089" s="0" t="s">
        <v>27967</v>
      </c>
      <c r="C21089" s="0" t="s">
        <v>27968</v>
      </c>
      <c r="D21089" s="0" t="s">
        <v>27968</v>
      </c>
      <c r="E21089" s="0" t="inlineStr">
        <is>
          <t xml:space="preserve">Mazda</t>
        </is>
      </c>
      <c r="F21089" s="0" t="s">
        <v>13</v>
      </c>
      <c r="G21089" s="0" t="s">
        <v>49</v>
      </c>
      <c r="H21089" s="5">
        <v>939.436000</v>
      </c>
    </row>
    <row r="21090" spans="1:9">
      <c r="A21090" s="22" t="str">
        <f>HYPERLINK("https://app.vivvix.com/360/KMI/IntelliDrive/ApplUI/Pages/CreativePages/CustomReportCreativeDetail.aspx?App=23&amp;ReportView=4&amp;Qid=1711279&amp;Row=21082&amp;Col=1","No Title Assigned - #15279804637")</f>
        <v/>
      </c>
      <c r="B21090" s="0" t="s">
        <v>27969</v>
      </c>
      <c r="C21090" s="0" t="s">
        <v>27970</v>
      </c>
      <c r="D21090" s="0" t="s">
        <v>27970</v>
      </c>
      <c r="E21090" s="0" t="inlineStr">
        <is>
          <t xml:space="preserve">Mazda</t>
        </is>
      </c>
      <c r="F21090" s="0" t="s">
        <v>13</v>
      </c>
      <c r="G21090" s="0" t="s">
        <v>49</v>
      </c>
      <c r="H21090" s="5">
        <v>7617.112100</v>
      </c>
    </row>
    <row r="21091" spans="1:9">
      <c r="A21091" s="22" t="str">
        <f>HYPERLINK("https://app.vivvix.com/360/KMI/IntelliDrive/ApplUI/Pages/CreativePages/CustomReportCreativeDetail.aspx?App=23&amp;ReportView=4&amp;Qid=1711279&amp;Row=21083&amp;Col=1","No Title Assigned - #15279804649")</f>
        <v/>
      </c>
      <c r="B21091" s="0" t="s">
        <v>27971</v>
      </c>
      <c r="E21091" s="0" t="inlineStr">
        <is>
          <t xml:space="preserve">Mazda</t>
        </is>
      </c>
      <c r="F21091" s="0" t="s">
        <v>13</v>
      </c>
      <c r="G21091" s="0" t="s">
        <v>49</v>
      </c>
      <c r="H21091" s="5">
        <v>4179.026300</v>
      </c>
    </row>
    <row r="21092" spans="1:9">
      <c r="A21092" s="22" t="str">
        <f>HYPERLINK("https://app.vivvix.com/360/KMI/IntelliDrive/ApplUI/Pages/CreativePages/CustomReportCreativeDetail.aspx?App=23&amp;ReportView=4&amp;Qid=1711279&amp;Row=21084&amp;Col=1","No Title Assigned - #15279804649")</f>
        <v/>
      </c>
      <c r="B21092" s="0" t="s">
        <v>27971</v>
      </c>
      <c r="C21092" s="0" t="s">
        <v>27972</v>
      </c>
      <c r="D21092" s="0" t="s">
        <v>23463</v>
      </c>
      <c r="E21092" s="0" t="inlineStr">
        <is>
          <t xml:space="preserve">Mazda</t>
        </is>
      </c>
      <c r="F21092" s="0" t="s">
        <v>13</v>
      </c>
      <c r="G21092" s="0" t="s">
        <v>49</v>
      </c>
      <c r="H21092" s="5">
        <v>5100.845600</v>
      </c>
    </row>
    <row r="21093" spans="1:9">
      <c r="A21093" s="22" t="str">
        <f>HYPERLINK("https://app.vivvix.com/360/KMI/IntelliDrive/ApplUI/Pages/CreativePages/CustomReportCreativeDetail.aspx?App=23&amp;ReportView=4&amp;Qid=1711279&amp;Row=21085&amp;Col=1","No Title Assigned - #15279807206")</f>
        <v/>
      </c>
      <c r="B21093" s="0" t="s">
        <v>27973</v>
      </c>
      <c r="E21093" s="0" t="inlineStr">
        <is>
          <t xml:space="preserve">Mazda</t>
        </is>
      </c>
      <c r="F21093" s="0" t="inlineStr">
        <is>
          <t xml:space="preserve">Mazda</t>
        </is>
      </c>
      <c r="G21093" s="0" t="s">
        <v>171</v>
      </c>
      <c r="H21093" s="5">
        <v>137.716000</v>
      </c>
    </row>
    <row r="21094" spans="1:9">
      <c r="A21094" s="22" t="str">
        <f>HYPERLINK("https://app.vivvix.com/360/KMI/IntelliDrive/ApplUI/Pages/CreativePages/CustomReportCreativeDetail.aspx?App=23&amp;ReportView=4&amp;Qid=1711279&amp;Row=21086&amp;Col=1","No Title Assigned - #15279808271")</f>
        <v/>
      </c>
      <c r="B21094" s="0" t="s">
        <v>27974</v>
      </c>
      <c r="E21094" s="0" t="inlineStr">
        <is>
          <t xml:space="preserve">Mazda</t>
        </is>
      </c>
      <c r="F21094" s="0" t="inlineStr">
        <is>
          <t xml:space="preserve">Mazda</t>
        </is>
      </c>
      <c r="G21094" s="0" t="s">
        <v>171</v>
      </c>
      <c r="H21094" s="5">
        <v>313.131700</v>
      </c>
    </row>
    <row r="21095" spans="1:9">
      <c r="A21095" s="22" t="str">
        <f>HYPERLINK("https://app.vivvix.com/360/KMI/IntelliDrive/ApplUI/Pages/CreativePages/CustomReportCreativeDetail.aspx?App=23&amp;ReportView=4&amp;Qid=1711279&amp;Row=21087&amp;Col=1","No Title Assigned - #15279808501")</f>
        <v/>
      </c>
      <c r="B21095" s="0" t="s">
        <v>27975</v>
      </c>
      <c r="E21095" s="0" t="inlineStr">
        <is>
          <t xml:space="preserve">Mazda</t>
        </is>
      </c>
      <c r="F21095" s="0" t="inlineStr">
        <is>
          <t xml:space="preserve">Mazda</t>
        </is>
      </c>
      <c r="G21095" s="0" t="s">
        <v>171</v>
      </c>
      <c r="H21095" s="5">
        <v>469.158200</v>
      </c>
    </row>
    <row r="21096" spans="1:9">
      <c r="A21096" s="22" t="str">
        <f>HYPERLINK("https://app.vivvix.com/360/KMI/IntelliDrive/ApplUI/Pages/CreativePages/CustomReportCreativeDetail.aspx?App=23&amp;ReportView=4&amp;Qid=1711279&amp;Row=21088&amp;Col=1","No Title Assigned - #15279808517")</f>
        <v/>
      </c>
      <c r="B21096" s="0" t="s">
        <v>27976</v>
      </c>
      <c r="E21096" s="0" t="inlineStr">
        <is>
          <t xml:space="preserve">Mazda</t>
        </is>
      </c>
      <c r="F21096" s="0" t="inlineStr">
        <is>
          <t xml:space="preserve">Mazda</t>
        </is>
      </c>
      <c r="G21096" s="0" t="s">
        <v>171</v>
      </c>
      <c r="H21096" s="5">
        <v>218.466600</v>
      </c>
    </row>
    <row r="21097" spans="1:9">
      <c r="A21097" s="22" t="str">
        <f>HYPERLINK("https://app.vivvix.com/360/KMI/IntelliDrive/ApplUI/Pages/CreativePages/CustomReportCreativeDetail.aspx?App=23&amp;ReportView=4&amp;Qid=1711279&amp;Row=21089&amp;Col=1","No Title Assigned - #15279808551")</f>
        <v/>
      </c>
      <c r="B21097" s="0" t="s">
        <v>27977</v>
      </c>
      <c r="E21097" s="0" t="inlineStr">
        <is>
          <t xml:space="preserve">Mazda</t>
        </is>
      </c>
      <c r="F21097" s="0" t="inlineStr">
        <is>
          <t xml:space="preserve">Mazda</t>
        </is>
      </c>
      <c r="G21097" s="0" t="s">
        <v>171</v>
      </c>
      <c r="H21097" s="5">
        <v>13902.595600</v>
      </c>
    </row>
    <row r="21098" spans="1:9">
      <c r="A21098" s="22" t="str">
        <f>HYPERLINK("https://app.vivvix.com/360/KMI/IntelliDrive/ApplUI/Pages/CreativePages/CustomReportCreativeDetail.aspx?App=23&amp;ReportView=4&amp;Qid=1711279&amp;Row=21090&amp;Col=1","No Title Assigned - #15279809978")</f>
        <v/>
      </c>
      <c r="B21098" s="0" t="s">
        <v>27978</v>
      </c>
      <c r="E21098" s="0" t="inlineStr">
        <is>
          <t xml:space="preserve">Mazda</t>
        </is>
      </c>
      <c r="F21098" s="0" t="inlineStr">
        <is>
          <t xml:space="preserve">Mazda</t>
        </is>
      </c>
      <c r="G21098" s="0" t="s">
        <v>171</v>
      </c>
      <c r="H21098" s="5">
        <v>73.169000</v>
      </c>
    </row>
    <row r="21099" spans="1:9">
      <c r="A21099" s="22" t="str">
        <f>HYPERLINK("https://app.vivvix.com/360/KMI/IntelliDrive/ApplUI/Pages/CreativePages/CustomReportCreativeDetail.aspx?App=23&amp;ReportView=4&amp;Qid=1711279&amp;Row=21091&amp;Col=1","No Title Assigned - #15279810090")</f>
        <v/>
      </c>
      <c r="B21099" s="0" t="s">
        <v>27979</v>
      </c>
      <c r="E21099" s="0" t="inlineStr">
        <is>
          <t xml:space="preserve">Mazda</t>
        </is>
      </c>
      <c r="F21099" s="0" t="inlineStr">
        <is>
          <t xml:space="preserve">Mazda</t>
        </is>
      </c>
      <c r="G21099" s="0" t="s">
        <v>171</v>
      </c>
      <c r="H21099" s="5">
        <v>19565.467900</v>
      </c>
    </row>
    <row r="21100" spans="1:9">
      <c r="A21100" s="22" t="str">
        <f>HYPERLINK("https://app.vivvix.com/360/KMI/IntelliDrive/ApplUI/Pages/CreativePages/CustomReportCreativeDetail.aspx?App=23&amp;ReportView=4&amp;Qid=1711279&amp;Row=21092&amp;Col=1","No Title Assigned - #15279810504")</f>
        <v/>
      </c>
      <c r="B21100" s="0" t="s">
        <v>27980</v>
      </c>
      <c r="E21100" s="0" t="inlineStr">
        <is>
          <t xml:space="preserve">Mazda</t>
        </is>
      </c>
      <c r="F21100" s="0" t="inlineStr">
        <is>
          <t xml:space="preserve">Mazda</t>
        </is>
      </c>
      <c r="G21100" s="0" t="s">
        <v>171</v>
      </c>
      <c r="H21100" s="5">
        <v>14.444300</v>
      </c>
    </row>
    <row r="21101" spans="1:9">
      <c r="A21101" s="22" t="str">
        <f>HYPERLINK("https://app.vivvix.com/360/KMI/IntelliDrive/ApplUI/Pages/CreativePages/CustomReportCreativeDetail.aspx?App=23&amp;ReportView=4&amp;Qid=1711279&amp;Row=21093&amp;Col=1","No Title Assigned - #15279810878")</f>
        <v/>
      </c>
      <c r="B21101" s="0" t="s">
        <v>27981</v>
      </c>
      <c r="E21101" s="0" t="inlineStr">
        <is>
          <t xml:space="preserve">Mazda</t>
        </is>
      </c>
      <c r="F21101" s="0" t="inlineStr">
        <is>
          <t xml:space="preserve">Mazda</t>
        </is>
      </c>
      <c r="G21101" s="0" t="s">
        <v>171</v>
      </c>
      <c r="H21101" s="5">
        <v>214.343700</v>
      </c>
    </row>
    <row r="21102" spans="1:9">
      <c r="A21102" s="22" t="str">
        <f>HYPERLINK("https://app.vivvix.com/360/KMI/IntelliDrive/ApplUI/Pages/CreativePages/CustomReportCreativeDetail.aspx?App=23&amp;ReportView=4&amp;Qid=1711279&amp;Row=21094&amp;Col=1","No Title Assigned - #15279811217")</f>
        <v/>
      </c>
      <c r="B21102" s="0" t="s">
        <v>27982</v>
      </c>
      <c r="E21102" s="0" t="inlineStr">
        <is>
          <t xml:space="preserve">Mazda</t>
        </is>
      </c>
      <c r="F21102" s="0" t="inlineStr">
        <is>
          <t xml:space="preserve">Mazda</t>
        </is>
      </c>
      <c r="G21102" s="0" t="s">
        <v>171</v>
      </c>
      <c r="H21102" s="5">
        <v>3140.732600</v>
      </c>
    </row>
    <row r="21103" spans="1:9">
      <c r="A21103" s="22" t="str">
        <f>HYPERLINK("https://app.vivvix.com/360/KMI/IntelliDrive/ApplUI/Pages/CreativePages/CustomReportCreativeDetail.aspx?App=23&amp;ReportView=4&amp;Qid=1711279&amp;Row=21095&amp;Col=1","No Title Assigned - #15279813963")</f>
        <v/>
      </c>
      <c r="B21103" s="0" t="s">
        <v>27983</v>
      </c>
      <c r="E21103" s="0" t="inlineStr">
        <is>
          <t xml:space="preserve">Mazda</t>
        </is>
      </c>
      <c r="F21103" s="0" t="inlineStr">
        <is>
          <t xml:space="preserve">Mazda</t>
        </is>
      </c>
      <c r="G21103" s="0" t="s">
        <v>171</v>
      </c>
      <c r="H21103" s="5">
        <v>8.691900</v>
      </c>
    </row>
    <row r="21104" spans="1:9">
      <c r="A21104" s="22" t="str">
        <f>HYPERLINK("https://app.vivvix.com/360/KMI/IntelliDrive/ApplUI/Pages/CreativePages/CustomReportCreativeDetail.aspx?App=23&amp;ReportView=4&amp;Qid=1711279&amp;Row=21096&amp;Col=1","No Title Assigned - #15279814773")</f>
        <v/>
      </c>
      <c r="B21104" s="0" t="s">
        <v>27984</v>
      </c>
      <c r="E21104" s="0" t="inlineStr">
        <is>
          <t xml:space="preserve">Mazda</t>
        </is>
      </c>
      <c r="F21104" s="0" t="inlineStr">
        <is>
          <t xml:space="preserve">Mazda</t>
        </is>
      </c>
      <c r="G21104" s="0" t="s">
        <v>171</v>
      </c>
      <c r="H21104" s="5">
        <v>411.342600</v>
      </c>
    </row>
    <row r="21105" spans="1:9">
      <c r="A21105" s="22" t="str">
        <f>HYPERLINK("https://app.vivvix.com/360/KMI/IntelliDrive/ApplUI/Pages/CreativePages/CustomReportCreativeDetail.aspx?App=23&amp;ReportView=4&amp;Qid=1711279&amp;Row=21097&amp;Col=1","No Title Assigned - #15279815356")</f>
        <v/>
      </c>
      <c r="B21105" s="0" t="s">
        <v>27985</v>
      </c>
      <c r="E21105" s="0" t="inlineStr">
        <is>
          <t xml:space="preserve">Mazda</t>
        </is>
      </c>
      <c r="F21105" s="0" t="inlineStr">
        <is>
          <t xml:space="preserve">Mazda</t>
        </is>
      </c>
      <c r="G21105" s="0" t="s">
        <v>171</v>
      </c>
      <c r="H21105" s="5">
        <v>36.983700</v>
      </c>
    </row>
    <row r="21106" spans="1:9">
      <c r="A21106" s="22" t="str">
        <f>HYPERLINK("https://app.vivvix.com/360/KMI/IntelliDrive/ApplUI/Pages/CreativePages/CustomReportCreativeDetail.aspx?App=23&amp;ReportView=4&amp;Qid=1711279&amp;Row=21098&amp;Col=1","No Title Assigned - #15279815490")</f>
        <v/>
      </c>
      <c r="B21106" s="0" t="s">
        <v>27986</v>
      </c>
      <c r="E21106" s="0" t="inlineStr">
        <is>
          <t xml:space="preserve">Mazda</t>
        </is>
      </c>
      <c r="F21106" s="0" t="inlineStr">
        <is>
          <t xml:space="preserve">Mazda</t>
        </is>
      </c>
      <c r="G21106" s="0" t="s">
        <v>171</v>
      </c>
      <c r="H21106" s="5">
        <v>93.292500</v>
      </c>
    </row>
    <row r="21107" spans="1:9">
      <c r="A21107" s="22" t="str">
        <f>HYPERLINK("https://app.vivvix.com/360/KMI/IntelliDrive/ApplUI/Pages/CreativePages/CustomReportCreativeDetail.aspx?App=23&amp;ReportView=4&amp;Qid=1711279&amp;Row=21099&amp;Col=1","No Title Assigned - #15279816571")</f>
        <v/>
      </c>
      <c r="B21107" s="0" t="s">
        <v>27987</v>
      </c>
      <c r="E21107" s="0" t="inlineStr">
        <is>
          <t xml:space="preserve">Mazda</t>
        </is>
      </c>
      <c r="F21107" s="0" t="inlineStr">
        <is>
          <t xml:space="preserve">Mazda</t>
        </is>
      </c>
      <c r="G21107" s="0" t="s">
        <v>171</v>
      </c>
      <c r="H21107" s="5">
        <v>1123.528300</v>
      </c>
    </row>
    <row r="21108" spans="1:9">
      <c r="A21108" s="22" t="str">
        <f>HYPERLINK("https://app.vivvix.com/360/KMI/IntelliDrive/ApplUI/Pages/CreativePages/CustomReportCreativeDetail.aspx?App=23&amp;ReportView=4&amp;Qid=1711279&amp;Row=21100&amp;Col=1","No Title Assigned - #15279816660")</f>
        <v/>
      </c>
      <c r="B21108" s="0" t="s">
        <v>27988</v>
      </c>
      <c r="E21108" s="0" t="inlineStr">
        <is>
          <t xml:space="preserve">Mazda</t>
        </is>
      </c>
      <c r="F21108" s="0" t="inlineStr">
        <is>
          <t xml:space="preserve">Mazda</t>
        </is>
      </c>
      <c r="G21108" s="0" t="s">
        <v>171</v>
      </c>
      <c r="H21108" s="5">
        <v>109.769500</v>
      </c>
    </row>
    <row r="21109" spans="1:9">
      <c r="A21109" s="22" t="str">
        <f>HYPERLINK("https://app.vivvix.com/360/KMI/IntelliDrive/ApplUI/Pages/CreativePages/CustomReportCreativeDetail.aspx?App=23&amp;ReportView=4&amp;Qid=1711279&amp;Row=21101&amp;Col=1","No Title Assigned - #15279817146")</f>
        <v/>
      </c>
      <c r="B21109" s="0" t="s">
        <v>27989</v>
      </c>
      <c r="E21109" s="0" t="inlineStr">
        <is>
          <t xml:space="preserve">Mazda</t>
        </is>
      </c>
      <c r="F21109" s="0" t="inlineStr">
        <is>
          <t xml:space="preserve">Mazda</t>
        </is>
      </c>
      <c r="G21109" s="0" t="s">
        <v>171</v>
      </c>
      <c r="H21109" s="5">
        <v>10.234400</v>
      </c>
    </row>
    <row r="21110" spans="1:9">
      <c r="A21110" s="22" t="str">
        <f>HYPERLINK("https://app.vivvix.com/360/KMI/IntelliDrive/ApplUI/Pages/CreativePages/CustomReportCreativeDetail.aspx?App=23&amp;ReportView=4&amp;Qid=1711279&amp;Row=21102&amp;Col=1","No Title Assigned - #15279820076")</f>
        <v/>
      </c>
      <c r="B21110" s="0" t="s">
        <v>27990</v>
      </c>
      <c r="E21110" s="0" t="inlineStr">
        <is>
          <t xml:space="preserve">Mazda</t>
        </is>
      </c>
      <c r="F21110" s="0" t="inlineStr">
        <is>
          <t xml:space="preserve">Mazda</t>
        </is>
      </c>
      <c r="G21110" s="0" t="s">
        <v>171</v>
      </c>
      <c r="H21110" s="5">
        <v>91.338100</v>
      </c>
    </row>
    <row r="21111" spans="1:9">
      <c r="A21111" s="22" t="str">
        <f>HYPERLINK("https://app.vivvix.com/360/KMI/IntelliDrive/ApplUI/Pages/CreativePages/CustomReportCreativeDetail.aspx?App=23&amp;ReportView=4&amp;Qid=1711279&amp;Row=21103&amp;Col=1","No Title Assigned - #15279832755")</f>
        <v/>
      </c>
      <c r="B21111" s="0" t="s">
        <v>27991</v>
      </c>
      <c r="E21111" s="0" t="inlineStr">
        <is>
          <t xml:space="preserve">Mazda</t>
        </is>
      </c>
      <c r="F21111" s="0" t="inlineStr">
        <is>
          <t xml:space="preserve">Mazda</t>
        </is>
      </c>
      <c r="G21111" s="0" t="s">
        <v>171</v>
      </c>
      <c r="H21111" s="5">
        <v>28.169200</v>
      </c>
    </row>
    <row r="21112" spans="1:9">
      <c r="A21112" s="22" t="str">
        <f>HYPERLINK("https://app.vivvix.com/360/KMI/IntelliDrive/ApplUI/Pages/CreativePages/CustomReportCreativeDetail.aspx?App=23&amp;ReportView=4&amp;Qid=1711279&amp;Row=21104&amp;Col=1","No Title Assigned - #15279832845")</f>
        <v/>
      </c>
      <c r="B21112" s="0" t="s">
        <v>27992</v>
      </c>
      <c r="E21112" s="0" t="inlineStr">
        <is>
          <t xml:space="preserve">Mazda</t>
        </is>
      </c>
      <c r="F21112" s="0" t="inlineStr">
        <is>
          <t xml:space="preserve">Mazda</t>
        </is>
      </c>
      <c r="G21112" s="0" t="s">
        <v>171</v>
      </c>
      <c r="H21112" s="5">
        <v>91462.799600</v>
      </c>
    </row>
    <row r="21113" spans="1:9">
      <c r="A21113" s="22" t="str">
        <f>HYPERLINK("https://app.vivvix.com/360/KMI/IntelliDrive/ApplUI/Pages/CreativePages/CustomReportCreativeDetail.aspx?App=23&amp;ReportView=4&amp;Qid=1711279&amp;Row=21105&amp;Col=1","No Title Assigned - #15279833045")</f>
        <v/>
      </c>
      <c r="B21113" s="0" t="s">
        <v>27993</v>
      </c>
      <c r="E21113" s="0" t="inlineStr">
        <is>
          <t xml:space="preserve">Mazda</t>
        </is>
      </c>
      <c r="F21113" s="0" t="inlineStr">
        <is>
          <t xml:space="preserve">Mazda</t>
        </is>
      </c>
      <c r="G21113" s="0" t="s">
        <v>171</v>
      </c>
      <c r="H21113" s="5">
        <v>36.636200</v>
      </c>
    </row>
    <row r="21114" spans="1:9">
      <c r="A21114" s="22" t="str">
        <f>HYPERLINK("https://app.vivvix.com/360/KMI/IntelliDrive/ApplUI/Pages/CreativePages/CustomReportCreativeDetail.aspx?App=23&amp;ReportView=4&amp;Qid=1711279&amp;Row=21106&amp;Col=1","No Title Assigned - #15279833045")</f>
        <v/>
      </c>
      <c r="B21114" s="0" t="s">
        <v>27993</v>
      </c>
      <c r="E21114" s="0" t="inlineStr">
        <is>
          <t xml:space="preserve">Mazda</t>
        </is>
      </c>
      <c r="F21114" s="0" t="inlineStr">
        <is>
          <t xml:space="preserve">Mazda</t>
        </is>
      </c>
      <c r="G21114" s="0" t="s">
        <v>171</v>
      </c>
      <c r="H21114" s="5">
        <v>28.386500</v>
      </c>
    </row>
    <row r="21115" spans="1:9">
      <c r="A21115" s="22" t="str">
        <f>HYPERLINK("https://app.vivvix.com/360/KMI/IntelliDrive/ApplUI/Pages/CreativePages/CustomReportCreativeDetail.aspx?App=23&amp;ReportView=4&amp;Qid=1711279&amp;Row=21107&amp;Col=1","No Title Assigned - #15279833170")</f>
        <v/>
      </c>
      <c r="B21115" s="0" t="s">
        <v>27994</v>
      </c>
      <c r="C21115" s="0" t="s">
        <v>27995</v>
      </c>
      <c r="D21115" s="0" t="s">
        <v>27995</v>
      </c>
      <c r="E21115" s="0" t="inlineStr">
        <is>
          <t xml:space="preserve">Mazda</t>
        </is>
      </c>
      <c r="F21115" s="0" t="inlineStr">
        <is>
          <t xml:space="preserve">Mazda</t>
        </is>
      </c>
      <c r="G21115" s="0" t="s">
        <v>171</v>
      </c>
      <c r="H21115" s="5">
        <v>8.397200</v>
      </c>
    </row>
    <row r="21116" spans="1:9">
      <c r="A21116" s="22" t="str">
        <f>HYPERLINK("https://app.vivvix.com/360/KMI/IntelliDrive/ApplUI/Pages/CreativePages/CustomReportCreativeDetail.aspx?App=23&amp;ReportView=4&amp;Qid=1711279&amp;Row=21108&amp;Col=1","No Title Assigned - #15279833573")</f>
        <v/>
      </c>
      <c r="B21116" s="0" t="s">
        <v>27996</v>
      </c>
      <c r="E21116" s="0" t="inlineStr">
        <is>
          <t xml:space="preserve">Mazda</t>
        </is>
      </c>
      <c r="F21116" s="0" t="inlineStr">
        <is>
          <t xml:space="preserve">Mazda</t>
        </is>
      </c>
      <c r="G21116" s="0" t="s">
        <v>171</v>
      </c>
      <c r="H21116" s="5">
        <v>703.898700</v>
      </c>
    </row>
    <row r="21117" spans="1:9">
      <c r="A21117" s="22" t="str">
        <f>HYPERLINK("https://app.vivvix.com/360/KMI/IntelliDrive/ApplUI/Pages/CreativePages/CustomReportCreativeDetail.aspx?App=23&amp;ReportView=4&amp;Qid=1711279&amp;Row=21109&amp;Col=1","No Title Assigned - #15279833633")</f>
        <v/>
      </c>
      <c r="B21117" s="0" t="s">
        <v>27997</v>
      </c>
      <c r="E21117" s="0" t="inlineStr">
        <is>
          <t xml:space="preserve">Mazda</t>
        </is>
      </c>
      <c r="F21117" s="0" t="inlineStr">
        <is>
          <t xml:space="preserve">Mazda</t>
        </is>
      </c>
      <c r="G21117" s="0" t="s">
        <v>171</v>
      </c>
      <c r="H21117" s="5">
        <v>8.397200</v>
      </c>
    </row>
    <row r="21118" spans="1:9">
      <c r="A21118" s="22" t="str">
        <f>HYPERLINK("https://app.vivvix.com/360/KMI/IntelliDrive/ApplUI/Pages/CreativePages/CustomReportCreativeDetail.aspx?App=23&amp;ReportView=4&amp;Qid=1711279&amp;Row=21110&amp;Col=1","No Title Assigned - #15279834229")</f>
        <v/>
      </c>
      <c r="B21118" s="0" t="s">
        <v>27998</v>
      </c>
      <c r="E21118" s="0" t="inlineStr">
        <is>
          <t xml:space="preserve">Mazda</t>
        </is>
      </c>
      <c r="F21118" s="0" t="inlineStr">
        <is>
          <t xml:space="preserve">Mazda</t>
        </is>
      </c>
      <c r="G21118" s="0" t="s">
        <v>171</v>
      </c>
      <c r="H21118" s="5">
        <v>6468.032200</v>
      </c>
    </row>
    <row r="21119" spans="1:9">
      <c r="A21119" s="22" t="str">
        <f>HYPERLINK("https://app.vivvix.com/360/KMI/IntelliDrive/ApplUI/Pages/CreativePages/CustomReportCreativeDetail.aspx?App=23&amp;ReportView=4&amp;Qid=1711279&amp;Row=21111&amp;Col=1","No Title Assigned - #15279834521")</f>
        <v/>
      </c>
      <c r="B21119" s="0" t="s">
        <v>27999</v>
      </c>
      <c r="C21119" s="0" t="s">
        <v>28000</v>
      </c>
      <c r="D21119" s="0" t="s">
        <v>28000</v>
      </c>
      <c r="E21119" s="0" t="inlineStr">
        <is>
          <t xml:space="preserve">Mazda</t>
        </is>
      </c>
      <c r="F21119" s="0" t="inlineStr">
        <is>
          <t xml:space="preserve">Mazda</t>
        </is>
      </c>
      <c r="G21119" s="0" t="s">
        <v>171</v>
      </c>
      <c r="H21119" s="5">
        <v>97.824800</v>
      </c>
    </row>
    <row r="21120" spans="1:9">
      <c r="A21120" s="22" t="str">
        <f>HYPERLINK("https://app.vivvix.com/360/KMI/IntelliDrive/ApplUI/Pages/CreativePages/CustomReportCreativeDetail.aspx?App=23&amp;ReportView=4&amp;Qid=1711279&amp;Row=21112&amp;Col=1","No Title Assigned - #15279835563")</f>
        <v/>
      </c>
      <c r="B21120" s="0" t="s">
        <v>28001</v>
      </c>
      <c r="E21120" s="0" t="inlineStr">
        <is>
          <t xml:space="preserve">Mazda</t>
        </is>
      </c>
      <c r="F21120" s="0" t="inlineStr">
        <is>
          <t xml:space="preserve">Mazda</t>
        </is>
      </c>
      <c r="G21120" s="0" t="s">
        <v>171</v>
      </c>
      <c r="H21120" s="5">
        <v>377.100100</v>
      </c>
    </row>
    <row r="21121" spans="1:9">
      <c r="A21121" s="22" t="str">
        <f>HYPERLINK("https://app.vivvix.com/360/KMI/IntelliDrive/ApplUI/Pages/CreativePages/CustomReportCreativeDetail.aspx?App=23&amp;ReportView=4&amp;Qid=1711279&amp;Row=21113&amp;Col=1","No Title Assigned - #15279835985")</f>
        <v/>
      </c>
      <c r="B21121" s="0" t="s">
        <v>28002</v>
      </c>
      <c r="E21121" s="0" t="inlineStr">
        <is>
          <t xml:space="preserve">Mazda</t>
        </is>
      </c>
      <c r="F21121" s="0" t="inlineStr">
        <is>
          <t xml:space="preserve">Mazda</t>
        </is>
      </c>
      <c r="G21121" s="0" t="s">
        <v>171</v>
      </c>
      <c r="H21121" s="5">
        <v>1365.423800</v>
      </c>
    </row>
    <row r="21122" spans="1:9">
      <c r="A21122" s="22" t="str">
        <f>HYPERLINK("https://app.vivvix.com/360/KMI/IntelliDrive/ApplUI/Pages/CreativePages/CustomReportCreativeDetail.aspx?App=23&amp;ReportView=4&amp;Qid=1711279&amp;Row=21114&amp;Col=1","No Title Assigned - #15279836285")</f>
        <v/>
      </c>
      <c r="B21122" s="0" t="s">
        <v>28003</v>
      </c>
      <c r="E21122" s="0" t="inlineStr">
        <is>
          <t xml:space="preserve">Mazda</t>
        </is>
      </c>
      <c r="F21122" s="0" t="inlineStr">
        <is>
          <t xml:space="preserve">Mazda</t>
        </is>
      </c>
      <c r="G21122" s="0" t="s">
        <v>171</v>
      </c>
      <c r="H21122" s="5">
        <v>67.927800</v>
      </c>
    </row>
    <row r="21123" spans="1:9">
      <c r="A21123" s="22" t="str">
        <f>HYPERLINK("https://app.vivvix.com/360/KMI/IntelliDrive/ApplUI/Pages/CreativePages/CustomReportCreativeDetail.aspx?App=23&amp;ReportView=4&amp;Qid=1711279&amp;Row=21115&amp;Col=1","No Title Assigned - #15279836871")</f>
        <v/>
      </c>
      <c r="B21123" s="0" t="s">
        <v>28004</v>
      </c>
      <c r="C21123" s="0" t="s">
        <v>28005</v>
      </c>
      <c r="D21123" s="0" t="s">
        <v>4335</v>
      </c>
      <c r="E21123" s="0" t="inlineStr">
        <is>
          <t xml:space="preserve">Mazda</t>
        </is>
      </c>
      <c r="F21123" s="0" t="s">
        <v>13</v>
      </c>
      <c r="G21123" s="0" t="s">
        <v>49</v>
      </c>
      <c r="H21123" s="5">
        <v>330.752700</v>
      </c>
    </row>
    <row r="21124" spans="1:9">
      <c r="A21124" s="22" t="str">
        <f>HYPERLINK("https://app.vivvix.com/360/KMI/IntelliDrive/ApplUI/Pages/CreativePages/CustomReportCreativeDetail.aspx?App=23&amp;ReportView=4&amp;Qid=1711279&amp;Row=21116&amp;Col=1","No Title Assigned - #15279836871")</f>
        <v/>
      </c>
      <c r="B21124" s="0" t="s">
        <v>28004</v>
      </c>
      <c r="E21124" s="0" t="inlineStr">
        <is>
          <t xml:space="preserve">Mazda</t>
        </is>
      </c>
      <c r="F21124" s="0" t="s">
        <v>13</v>
      </c>
      <c r="G21124" s="0" t="s">
        <v>49</v>
      </c>
      <c r="H21124" s="5">
        <v>396.182000</v>
      </c>
    </row>
    <row r="21125" spans="1:9">
      <c r="A21125" s="22" t="str">
        <f>HYPERLINK("https://app.vivvix.com/360/KMI/IntelliDrive/ApplUI/Pages/CreativePages/CustomReportCreativeDetail.aspx?App=23&amp;ReportView=4&amp;Qid=1711279&amp;Row=21117&amp;Col=1","No Title Assigned - #15279837330")</f>
        <v/>
      </c>
      <c r="B21125" s="0" t="s">
        <v>28006</v>
      </c>
      <c r="C21125" s="0" t="s">
        <v>28007</v>
      </c>
      <c r="D21125" s="0" t="s">
        <v>28007</v>
      </c>
      <c r="E21125" s="0" t="inlineStr">
        <is>
          <t xml:space="preserve">Mazda</t>
        </is>
      </c>
      <c r="F21125" s="0" t="inlineStr">
        <is>
          <t xml:space="preserve">Mazda</t>
        </is>
      </c>
      <c r="G21125" s="0" t="s">
        <v>171</v>
      </c>
      <c r="H21125" s="5">
        <v>727.588500</v>
      </c>
    </row>
    <row r="21126" spans="1:9">
      <c r="A21126" s="22" t="str">
        <f>HYPERLINK("https://app.vivvix.com/360/KMI/IntelliDrive/ApplUI/Pages/CreativePages/CustomReportCreativeDetail.aspx?App=23&amp;ReportView=4&amp;Qid=1711279&amp;Row=21118&amp;Col=1","No Title Assigned - #15279837450")</f>
        <v/>
      </c>
      <c r="B21126" s="0" t="s">
        <v>28008</v>
      </c>
      <c r="E21126" s="0" t="inlineStr">
        <is>
          <t xml:space="preserve">Mazda</t>
        </is>
      </c>
      <c r="F21126" s="0" t="inlineStr">
        <is>
          <t xml:space="preserve">Mazda</t>
        </is>
      </c>
      <c r="G21126" s="0" t="s">
        <v>171</v>
      </c>
      <c r="H21126" s="5">
        <v>6468.032200</v>
      </c>
    </row>
    <row r="21127" spans="1:9">
      <c r="A21127" s="22" t="str">
        <f>HYPERLINK("https://app.vivvix.com/360/KMI/IntelliDrive/ApplUI/Pages/CreativePages/CustomReportCreativeDetail.aspx?App=23&amp;ReportView=4&amp;Qid=1711279&amp;Row=21119&amp;Col=1","No Title Assigned - #15279837797")</f>
        <v/>
      </c>
      <c r="B21127" s="0" t="s">
        <v>28009</v>
      </c>
      <c r="E21127" s="0" t="inlineStr">
        <is>
          <t xml:space="preserve">Mazda</t>
        </is>
      </c>
      <c r="F21127" s="0" t="inlineStr">
        <is>
          <t xml:space="preserve">Mazda</t>
        </is>
      </c>
      <c r="G21127" s="0" t="s">
        <v>171</v>
      </c>
      <c r="H21127" s="5">
        <v>424.706700</v>
      </c>
    </row>
    <row r="21128" spans="1:9">
      <c r="A21128" s="22" t="str">
        <f>HYPERLINK("https://app.vivvix.com/360/KMI/IntelliDrive/ApplUI/Pages/CreativePages/CustomReportCreativeDetail.aspx?App=23&amp;ReportView=4&amp;Qid=1711279&amp;Row=21120&amp;Col=1","No Title Assigned - #15279838200")</f>
        <v/>
      </c>
      <c r="B21128" s="0" t="s">
        <v>28010</v>
      </c>
      <c r="C21128" s="0" t="s">
        <v>28011</v>
      </c>
      <c r="D21128" s="0" t="s">
        <v>28011</v>
      </c>
      <c r="E21128" s="0" t="inlineStr">
        <is>
          <t xml:space="preserve">Mazda</t>
        </is>
      </c>
      <c r="F21128" s="0" t="s">
        <v>13</v>
      </c>
      <c r="G21128" s="0" t="s">
        <v>49</v>
      </c>
      <c r="H21128" s="5">
        <v>3.720100</v>
      </c>
    </row>
    <row r="21129" spans="1:9">
      <c r="A21129" s="22" t="str">
        <f>HYPERLINK("https://app.vivvix.com/360/KMI/IntelliDrive/ApplUI/Pages/CreativePages/CustomReportCreativeDetail.aspx?App=23&amp;ReportView=4&amp;Qid=1711279&amp;Row=21121&amp;Col=1","No Title Assigned - #15279838313")</f>
        <v/>
      </c>
      <c r="B21129" s="0" t="s">
        <v>28012</v>
      </c>
      <c r="C21129" s="0" t="s">
        <v>28013</v>
      </c>
      <c r="D21129" s="0" t="s">
        <v>4774</v>
      </c>
      <c r="E21129" s="0" t="inlineStr">
        <is>
          <t xml:space="preserve">Mazda</t>
        </is>
      </c>
      <c r="F21129" s="0" t="s">
        <v>13</v>
      </c>
      <c r="G21129" s="0" t="s">
        <v>49</v>
      </c>
      <c r="H21129" s="5">
        <v>50638.139500</v>
      </c>
    </row>
    <row r="21130" spans="1:9">
      <c r="A21130" s="22" t="str">
        <f>HYPERLINK("https://app.vivvix.com/360/KMI/IntelliDrive/ApplUI/Pages/CreativePages/CustomReportCreativeDetail.aspx?App=23&amp;ReportView=4&amp;Qid=1711279&amp;Row=21122&amp;Col=1","No Title Assigned - #15279839006")</f>
        <v/>
      </c>
      <c r="B21130" s="0" t="s">
        <v>28014</v>
      </c>
      <c r="C21130" s="0" t="s">
        <v>28015</v>
      </c>
      <c r="D21130" s="0" t="s">
        <v>28015</v>
      </c>
      <c r="E21130" s="0" t="inlineStr">
        <is>
          <t xml:space="preserve">Mazda</t>
        </is>
      </c>
      <c r="F21130" s="0" t="s">
        <v>13</v>
      </c>
      <c r="G21130" s="0" t="s">
        <v>49</v>
      </c>
      <c r="H21130" s="5">
        <v>879.266700</v>
      </c>
    </row>
    <row r="21131" spans="1:9">
      <c r="A21131" s="22" t="str">
        <f>HYPERLINK("https://app.vivvix.com/360/KMI/IntelliDrive/ApplUI/Pages/CreativePages/CustomReportCreativeDetail.aspx?App=23&amp;ReportView=4&amp;Qid=1711279&amp;Row=21123&amp;Col=1","No Title Assigned - #15279840482")</f>
        <v/>
      </c>
      <c r="B21131" s="0" t="s">
        <v>28016</v>
      </c>
      <c r="C21131" s="0" t="s">
        <v>28017</v>
      </c>
      <c r="D21131" s="0" t="s">
        <v>28017</v>
      </c>
      <c r="E21131" s="0" t="inlineStr">
        <is>
          <t xml:space="preserve">Mazda</t>
        </is>
      </c>
      <c r="F21131" s="0" t="s">
        <v>13</v>
      </c>
      <c r="G21131" s="0" t="s">
        <v>49</v>
      </c>
      <c r="H21131" s="5">
        <v>78947.768500</v>
      </c>
    </row>
    <row r="21132" spans="1:9">
      <c r="A21132" s="22" t="str">
        <f>HYPERLINK("https://app.vivvix.com/360/KMI/IntelliDrive/ApplUI/Pages/CreativePages/CustomReportCreativeDetail.aspx?App=23&amp;ReportView=4&amp;Qid=1711279&amp;Row=21124&amp;Col=1","No Title Assigned - #15279840610")</f>
        <v/>
      </c>
      <c r="B21132" s="0" t="s">
        <v>28018</v>
      </c>
      <c r="C21132" s="0" t="s">
        <v>28019</v>
      </c>
      <c r="D21132" s="0" t="s">
        <v>28019</v>
      </c>
      <c r="E21132" s="0" t="inlineStr">
        <is>
          <t xml:space="preserve">Mazda</t>
        </is>
      </c>
      <c r="F21132" s="0" t="s">
        <v>13</v>
      </c>
      <c r="G21132" s="0" t="s">
        <v>49</v>
      </c>
      <c r="H21132" s="5">
        <v>596.082100</v>
      </c>
    </row>
    <row r="21133" spans="1:9">
      <c r="A21133" s="22" t="str">
        <f>HYPERLINK("https://app.vivvix.com/360/KMI/IntelliDrive/ApplUI/Pages/CreativePages/CustomReportCreativeDetail.aspx?App=23&amp;ReportView=4&amp;Qid=1711279&amp;Row=21125&amp;Col=1","No Title Assigned - #15279840703")</f>
        <v/>
      </c>
      <c r="B21133" s="0" t="s">
        <v>28020</v>
      </c>
      <c r="E21133" s="0" t="inlineStr">
        <is>
          <t xml:space="preserve">Mazda</t>
        </is>
      </c>
      <c r="F21133" s="0" t="s">
        <v>13</v>
      </c>
      <c r="G21133" s="0" t="s">
        <v>49</v>
      </c>
      <c r="H21133" s="5">
        <v>1153.901300</v>
      </c>
    </row>
    <row r="21134" spans="1:9">
      <c r="A21134" s="22" t="str">
        <f>HYPERLINK("https://app.vivvix.com/360/KMI/IntelliDrive/ApplUI/Pages/CreativePages/CustomReportCreativeDetail.aspx?App=23&amp;ReportView=4&amp;Qid=1711279&amp;Row=21126&amp;Col=1","No Title Assigned - #15279840703")</f>
        <v/>
      </c>
      <c r="B21134" s="0" t="s">
        <v>28020</v>
      </c>
      <c r="C21134" s="0" t="s">
        <v>28021</v>
      </c>
      <c r="D21134" s="0" t="s">
        <v>28021</v>
      </c>
      <c r="E21134" s="0" t="inlineStr">
        <is>
          <t xml:space="preserve">Mazda</t>
        </is>
      </c>
      <c r="F21134" s="0" t="s">
        <v>13</v>
      </c>
      <c r="G21134" s="0" t="s">
        <v>49</v>
      </c>
      <c r="H21134" s="5">
        <v>672.842900</v>
      </c>
    </row>
    <row r="21135" spans="1:9">
      <c r="A21135" s="22" t="str">
        <f>HYPERLINK("https://app.vivvix.com/360/KMI/IntelliDrive/ApplUI/Pages/CreativePages/CustomReportCreativeDetail.aspx?App=23&amp;ReportView=4&amp;Qid=1711279&amp;Row=21127&amp;Col=1","No Title Assigned - #15279840758")</f>
        <v/>
      </c>
      <c r="B21135" s="0" t="s">
        <v>28022</v>
      </c>
      <c r="C21135" s="0" t="s">
        <v>28023</v>
      </c>
      <c r="D21135" s="0" t="s">
        <v>28023</v>
      </c>
      <c r="E21135" s="0" t="inlineStr">
        <is>
          <t xml:space="preserve">Mazda</t>
        </is>
      </c>
      <c r="F21135" s="0" t="s">
        <v>13</v>
      </c>
      <c r="G21135" s="0" t="s">
        <v>49</v>
      </c>
      <c r="H21135" s="5">
        <v>1093.131200</v>
      </c>
    </row>
    <row r="21136" spans="1:9">
      <c r="A21136" s="22" t="str">
        <f>HYPERLINK("https://app.vivvix.com/360/KMI/IntelliDrive/ApplUI/Pages/CreativePages/CustomReportCreativeDetail.aspx?App=23&amp;ReportView=4&amp;Qid=1711279&amp;Row=21128&amp;Col=1","No Title Assigned - #15279840758")</f>
        <v/>
      </c>
      <c r="B21136" s="0" t="s">
        <v>28022</v>
      </c>
      <c r="E21136" s="0" t="inlineStr">
        <is>
          <t xml:space="preserve">Mazda</t>
        </is>
      </c>
      <c r="F21136" s="0" t="s">
        <v>13</v>
      </c>
      <c r="G21136" s="0" t="s">
        <v>49</v>
      </c>
      <c r="H21136" s="5">
        <v>2021.914400</v>
      </c>
    </row>
    <row r="21137" spans="1:9">
      <c r="A21137" s="22" t="str">
        <f>HYPERLINK("https://app.vivvix.com/360/KMI/IntelliDrive/ApplUI/Pages/CreativePages/CustomReportCreativeDetail.aspx?App=23&amp;ReportView=4&amp;Qid=1711279&amp;Row=21129&amp;Col=1","No Title Assigned - #15279840776")</f>
        <v/>
      </c>
      <c r="B21137" s="0" t="s">
        <v>28024</v>
      </c>
      <c r="C21137" s="0" t="s">
        <v>28025</v>
      </c>
      <c r="D21137" s="0" t="s">
        <v>20089</v>
      </c>
      <c r="E21137" s="0" t="inlineStr">
        <is>
          <t xml:space="preserve">Mazda</t>
        </is>
      </c>
      <c r="F21137" s="0" t="s">
        <v>13</v>
      </c>
      <c r="G21137" s="0" t="s">
        <v>49</v>
      </c>
      <c r="H21137" s="5">
        <v>43.714000</v>
      </c>
    </row>
    <row r="21138" spans="1:9">
      <c r="A21138" s="22" t="str">
        <f>HYPERLINK("https://app.vivvix.com/360/KMI/IntelliDrive/ApplUI/Pages/CreativePages/CustomReportCreativeDetail.aspx?App=23&amp;ReportView=4&amp;Qid=1711279&amp;Row=21130&amp;Col=1","No Title Assigned - #15279841124")</f>
        <v/>
      </c>
      <c r="B21138" s="0" t="s">
        <v>28026</v>
      </c>
      <c r="C21138" s="0" t="s">
        <v>28027</v>
      </c>
      <c r="D21138" s="0" t="s">
        <v>4335</v>
      </c>
      <c r="E21138" s="0" t="inlineStr">
        <is>
          <t xml:space="preserve">Mazda</t>
        </is>
      </c>
      <c r="F21138" s="0" t="s">
        <v>13</v>
      </c>
      <c r="G21138" s="0" t="s">
        <v>49</v>
      </c>
      <c r="H21138" s="5">
        <v>57.637300</v>
      </c>
    </row>
    <row r="21139" spans="1:9">
      <c r="A21139" s="22" t="str">
        <f>HYPERLINK("https://app.vivvix.com/360/KMI/IntelliDrive/ApplUI/Pages/CreativePages/CustomReportCreativeDetail.aspx?App=23&amp;ReportView=4&amp;Qid=1711279&amp;Row=21131&amp;Col=1","No Title Assigned - #15279841328")</f>
        <v/>
      </c>
      <c r="B21139" s="0" t="s">
        <v>28028</v>
      </c>
      <c r="E21139" s="0" t="inlineStr">
        <is>
          <t xml:space="preserve">Mazda</t>
        </is>
      </c>
      <c r="F21139" s="0" t="s">
        <v>13</v>
      </c>
      <c r="G21139" s="0" t="s">
        <v>49</v>
      </c>
      <c r="H21139" s="5">
        <v>161.400700</v>
      </c>
    </row>
    <row r="21140" spans="1:9">
      <c r="A21140" s="22" t="str">
        <f>HYPERLINK("https://app.vivvix.com/360/KMI/IntelliDrive/ApplUI/Pages/CreativePages/CustomReportCreativeDetail.aspx?App=23&amp;ReportView=4&amp;Qid=1711279&amp;Row=21132&amp;Col=1","No Title Assigned - #15279842162")</f>
        <v/>
      </c>
      <c r="B21140" s="0" t="s">
        <v>28029</v>
      </c>
      <c r="C21140" s="0" t="s">
        <v>28030</v>
      </c>
      <c r="D21140" s="0" t="s">
        <v>28030</v>
      </c>
      <c r="E21140" s="0" t="inlineStr">
        <is>
          <t xml:space="preserve">Mazda</t>
        </is>
      </c>
      <c r="F21140" s="0" t="s">
        <v>13</v>
      </c>
      <c r="G21140" s="0" t="s">
        <v>49</v>
      </c>
      <c r="H21140" s="5">
        <v>176.128500</v>
      </c>
    </row>
    <row r="21141" spans="1:9">
      <c r="A21141" s="22" t="str">
        <f>HYPERLINK("https://app.vivvix.com/360/KMI/IntelliDrive/ApplUI/Pages/CreativePages/CustomReportCreativeDetail.aspx?App=23&amp;ReportView=4&amp;Qid=1711279&amp;Row=21133&amp;Col=1","No Title Assigned - #15279842649")</f>
        <v/>
      </c>
      <c r="B21141" s="0" t="s">
        <v>28031</v>
      </c>
      <c r="C21141" s="0" t="s">
        <v>28032</v>
      </c>
      <c r="D21141" s="0" t="s">
        <v>28032</v>
      </c>
      <c r="E21141" s="0" t="inlineStr">
        <is>
          <t xml:space="preserve">Mazda</t>
        </is>
      </c>
      <c r="F21141" s="0" t="inlineStr">
        <is>
          <t xml:space="preserve">Mazda</t>
        </is>
      </c>
      <c r="G21141" s="0" t="s">
        <v>210</v>
      </c>
      <c r="H21141" s="5">
        <v>144596.345800</v>
      </c>
    </row>
    <row r="21142" spans="1:9">
      <c r="A21142" s="22" t="str">
        <f>HYPERLINK("https://app.vivvix.com/360/KMI/IntelliDrive/ApplUI/Pages/CreativePages/CustomReportCreativeDetail.aspx?App=23&amp;ReportView=4&amp;Qid=1711279&amp;Row=21134&amp;Col=1","No Title Assigned - #15279843027")</f>
        <v/>
      </c>
      <c r="B21142" s="0" t="s">
        <v>28033</v>
      </c>
      <c r="E21142" s="0" t="inlineStr">
        <is>
          <t xml:space="preserve">Mazda</t>
        </is>
      </c>
      <c r="F21142" s="0" t="inlineStr">
        <is>
          <t xml:space="preserve">Mazda</t>
        </is>
      </c>
      <c r="G21142" s="0" t="s">
        <v>171</v>
      </c>
      <c r="H21142" s="5">
        <v>6468.032200</v>
      </c>
    </row>
    <row r="21143" spans="1:9">
      <c r="A21143" s="22" t="str">
        <f>HYPERLINK("https://app.vivvix.com/360/KMI/IntelliDrive/ApplUI/Pages/CreativePages/CustomReportCreativeDetail.aspx?App=23&amp;ReportView=4&amp;Qid=1711279&amp;Row=21135&amp;Col=1","No Title Assigned - #15279843098")</f>
        <v/>
      </c>
      <c r="B21143" s="0" t="s">
        <v>28034</v>
      </c>
      <c r="C21143" s="0" t="s">
        <v>28035</v>
      </c>
      <c r="D21143" s="0" t="s">
        <v>28035</v>
      </c>
      <c r="E21143" s="0" t="inlineStr">
        <is>
          <t xml:space="preserve">Mazda</t>
        </is>
      </c>
      <c r="F21143" s="0" t="s">
        <v>13</v>
      </c>
      <c r="G21143" s="0" t="s">
        <v>49</v>
      </c>
      <c r="H21143" s="5">
        <v>183.440800</v>
      </c>
    </row>
    <row r="21144" spans="1:9">
      <c r="A21144" s="22" t="str">
        <f>HYPERLINK("https://app.vivvix.com/360/KMI/IntelliDrive/ApplUI/Pages/CreativePages/CustomReportCreativeDetail.aspx?App=23&amp;ReportView=4&amp;Qid=1711279&amp;Row=21136&amp;Col=1","No Title Assigned - #15279843773")</f>
        <v/>
      </c>
      <c r="B21144" s="0" t="s">
        <v>28036</v>
      </c>
      <c r="C21144" s="0" t="s">
        <v>28037</v>
      </c>
      <c r="D21144" s="0" t="s">
        <v>22120</v>
      </c>
      <c r="E21144" s="0" t="inlineStr">
        <is>
          <t xml:space="preserve">Mazda</t>
        </is>
      </c>
      <c r="F21144" s="0" t="s">
        <v>13</v>
      </c>
      <c r="G21144" s="0" t="s">
        <v>49</v>
      </c>
      <c r="H21144" s="5">
        <v>54.956700</v>
      </c>
    </row>
    <row r="21145" spans="1:9">
      <c r="A21145" s="22" t="str">
        <f>HYPERLINK("https://app.vivvix.com/360/KMI/IntelliDrive/ApplUI/Pages/CreativePages/CustomReportCreativeDetail.aspx?App=23&amp;ReportView=4&amp;Qid=1711279&amp;Row=21137&amp;Col=1","No Title Assigned - #15279845136")</f>
        <v/>
      </c>
      <c r="B21145" s="0" t="s">
        <v>28038</v>
      </c>
      <c r="C21145" s="0" t="s">
        <v>28039</v>
      </c>
      <c r="D21145" s="0" t="s">
        <v>28039</v>
      </c>
      <c r="E21145" s="0" t="inlineStr">
        <is>
          <t xml:space="preserve">Mazda</t>
        </is>
      </c>
      <c r="F21145" s="0" t="s">
        <v>13</v>
      </c>
      <c r="G21145" s="0" t="s">
        <v>49</v>
      </c>
      <c r="H21145" s="5">
        <v>17060.677100</v>
      </c>
    </row>
    <row r="21146" spans="1:9">
      <c r="A21146" s="22" t="str">
        <f>HYPERLINK("https://app.vivvix.com/360/KMI/IntelliDrive/ApplUI/Pages/CreativePages/CustomReportCreativeDetail.aspx?App=23&amp;ReportView=4&amp;Qid=1711279&amp;Row=21138&amp;Col=1","No Title Assigned - #15279845428")</f>
        <v/>
      </c>
      <c r="B21146" s="0" t="s">
        <v>28040</v>
      </c>
      <c r="C21146" s="0" t="s">
        <v>28041</v>
      </c>
      <c r="D21146" s="0" t="s">
        <v>28041</v>
      </c>
      <c r="E21146" s="0" t="inlineStr">
        <is>
          <t xml:space="preserve">Mazda</t>
        </is>
      </c>
      <c r="F21146" s="0" t="inlineStr">
        <is>
          <t xml:space="preserve">Mazda</t>
        </is>
      </c>
      <c r="G21146" s="0" t="s">
        <v>210</v>
      </c>
      <c r="H21146" s="5">
        <v>1020.052500</v>
      </c>
    </row>
    <row r="21147" spans="1:9">
      <c r="A21147" s="22" t="str">
        <f>HYPERLINK("https://app.vivvix.com/360/KMI/IntelliDrive/ApplUI/Pages/CreativePages/CustomReportCreativeDetail.aspx?App=23&amp;ReportView=4&amp;Qid=1711279&amp;Row=21139&amp;Col=1","No Title Assigned - #15279845920")</f>
        <v/>
      </c>
      <c r="B21147" s="0" t="s">
        <v>28042</v>
      </c>
      <c r="C21147" s="0" t="s">
        <v>28043</v>
      </c>
      <c r="D21147" s="0" t="s">
        <v>9167</v>
      </c>
      <c r="E21147" s="0" t="inlineStr">
        <is>
          <t xml:space="preserve">Mazda</t>
        </is>
      </c>
      <c r="F21147" s="0" t="s">
        <v>13</v>
      </c>
      <c r="G21147" s="0" t="s">
        <v>49</v>
      </c>
      <c r="H21147" s="5">
        <v>15.995800</v>
      </c>
    </row>
    <row r="21148" spans="1:9">
      <c r="A21148" s="22" t="str">
        <f>HYPERLINK("https://app.vivvix.com/360/KMI/IntelliDrive/ApplUI/Pages/CreativePages/CustomReportCreativeDetail.aspx?App=23&amp;ReportView=4&amp;Qid=1711279&amp;Row=21140&amp;Col=1","No Title Assigned - #15279846094")</f>
        <v/>
      </c>
      <c r="B21148" s="0" t="s">
        <v>28044</v>
      </c>
      <c r="C21148" s="0" t="s">
        <v>28045</v>
      </c>
      <c r="D21148" s="0" t="s">
        <v>28045</v>
      </c>
      <c r="E21148" s="0" t="inlineStr">
        <is>
          <t xml:space="preserve">Mazda</t>
        </is>
      </c>
      <c r="F21148" s="0" t="s">
        <v>13</v>
      </c>
      <c r="G21148" s="0" t="s">
        <v>49</v>
      </c>
      <c r="H21148" s="5">
        <v>51.514000</v>
      </c>
    </row>
    <row r="21149" spans="1:9">
      <c r="A21149" s="22" t="str">
        <f>HYPERLINK("https://app.vivvix.com/360/KMI/IntelliDrive/ApplUI/Pages/CreativePages/CustomReportCreativeDetail.aspx?App=23&amp;ReportView=4&amp;Qid=1711279&amp;Row=21141&amp;Col=1","No Title Assigned - #15279846217")</f>
        <v/>
      </c>
      <c r="B21149" s="0" t="s">
        <v>28046</v>
      </c>
      <c r="C21149" s="0" t="s">
        <v>28047</v>
      </c>
      <c r="D21149" s="0" t="s">
        <v>6183</v>
      </c>
      <c r="E21149" s="0" t="inlineStr">
        <is>
          <t xml:space="preserve">Mazda</t>
        </is>
      </c>
      <c r="F21149" s="0" t="s">
        <v>13</v>
      </c>
      <c r="G21149" s="0" t="s">
        <v>49</v>
      </c>
      <c r="H21149" s="5">
        <v>75.475600</v>
      </c>
    </row>
    <row r="21150" spans="1:9">
      <c r="A21150" s="22" t="str">
        <f>HYPERLINK("https://app.vivvix.com/360/KMI/IntelliDrive/ApplUI/Pages/CreativePages/CustomReportCreativeDetail.aspx?App=23&amp;ReportView=4&amp;Qid=1711279&amp;Row=21142&amp;Col=1","No Title Assigned - #15279846599")</f>
        <v/>
      </c>
      <c r="B21150" s="0" t="s">
        <v>28048</v>
      </c>
      <c r="C21150" s="0" t="s">
        <v>28049</v>
      </c>
      <c r="D21150" s="0" t="s">
        <v>28049</v>
      </c>
      <c r="E21150" s="0" t="inlineStr">
        <is>
          <t xml:space="preserve">Mazda</t>
        </is>
      </c>
      <c r="F21150" s="0" t="inlineStr">
        <is>
          <t xml:space="preserve">Mazda</t>
        </is>
      </c>
      <c r="G21150" s="0" t="s">
        <v>210</v>
      </c>
      <c r="H21150" s="5">
        <v>135.889100</v>
      </c>
    </row>
    <row r="21151" spans="1:9">
      <c r="A21151" s="22" t="str">
        <f>HYPERLINK("https://app.vivvix.com/360/KMI/IntelliDrive/ApplUI/Pages/CreativePages/CustomReportCreativeDetail.aspx?App=23&amp;ReportView=4&amp;Qid=1711279&amp;Row=21143&amp;Col=1","No Title Assigned - #15279846618")</f>
        <v/>
      </c>
      <c r="B21151" s="0" t="s">
        <v>28050</v>
      </c>
      <c r="C21151" s="0" t="s">
        <v>28051</v>
      </c>
      <c r="D21151" s="0" t="s">
        <v>28051</v>
      </c>
      <c r="E21151" s="0" t="inlineStr">
        <is>
          <t xml:space="preserve">Mazda</t>
        </is>
      </c>
      <c r="F21151" s="0" t="s">
        <v>13</v>
      </c>
      <c r="G21151" s="0" t="s">
        <v>49</v>
      </c>
      <c r="H21151" s="5">
        <v>45.923100</v>
      </c>
    </row>
    <row r="21152" spans="1:9">
      <c r="A21152" s="22" t="str">
        <f>HYPERLINK("https://app.vivvix.com/360/KMI/IntelliDrive/ApplUI/Pages/CreativePages/CustomReportCreativeDetail.aspx?App=23&amp;ReportView=4&amp;Qid=1711279&amp;Row=21144&amp;Col=1","No Title Assigned - #15279846712")</f>
        <v/>
      </c>
      <c r="B21152" s="0" t="s">
        <v>28052</v>
      </c>
      <c r="C21152" s="0" t="s">
        <v>28053</v>
      </c>
      <c r="D21152" s="0" t="s">
        <v>28053</v>
      </c>
      <c r="E21152" s="0" t="inlineStr">
        <is>
          <t xml:space="preserve">Mazda</t>
        </is>
      </c>
      <c r="F21152" s="0" t="s">
        <v>13</v>
      </c>
      <c r="G21152" s="0" t="s">
        <v>49</v>
      </c>
      <c r="H21152" s="5">
        <v>98.795200</v>
      </c>
    </row>
    <row r="21153" spans="1:9">
      <c r="A21153" s="22" t="str">
        <f>HYPERLINK("https://app.vivvix.com/360/KMI/IntelliDrive/ApplUI/Pages/CreativePages/CustomReportCreativeDetail.aspx?App=23&amp;ReportView=4&amp;Qid=1711279&amp;Row=21145&amp;Col=1","No Title Assigned - #15279846747")</f>
        <v/>
      </c>
      <c r="B21153" s="0" t="s">
        <v>28054</v>
      </c>
      <c r="C21153" s="0" t="s">
        <v>28055</v>
      </c>
      <c r="D21153" s="0" t="s">
        <v>28055</v>
      </c>
      <c r="E21153" s="0" t="inlineStr">
        <is>
          <t xml:space="preserve">Mazda</t>
        </is>
      </c>
      <c r="F21153" s="0" t="s">
        <v>13</v>
      </c>
      <c r="G21153" s="0" t="s">
        <v>49</v>
      </c>
      <c r="H21153" s="5">
        <v>8.209200</v>
      </c>
    </row>
    <row r="21154" spans="1:9">
      <c r="A21154" s="22" t="str">
        <f>HYPERLINK("https://app.vivvix.com/360/KMI/IntelliDrive/ApplUI/Pages/CreativePages/CustomReportCreativeDetail.aspx?App=23&amp;ReportView=4&amp;Qid=1711279&amp;Row=21146&amp;Col=1","No Title Assigned - #15279846783")</f>
        <v/>
      </c>
      <c r="B21154" s="0" t="s">
        <v>28056</v>
      </c>
      <c r="C21154" s="0" t="s">
        <v>28057</v>
      </c>
      <c r="D21154" s="0" t="s">
        <v>28057</v>
      </c>
      <c r="E21154" s="0" t="inlineStr">
        <is>
          <t xml:space="preserve">Mazda</t>
        </is>
      </c>
      <c r="F21154" s="0" t="inlineStr">
        <is>
          <t xml:space="preserve">Mazda</t>
        </is>
      </c>
      <c r="G21154" s="0" t="s">
        <v>210</v>
      </c>
      <c r="H21154" s="5">
        <v>135.889100</v>
      </c>
    </row>
    <row r="21155" spans="1:9">
      <c r="A21155" s="22" t="str">
        <f>HYPERLINK("https://app.vivvix.com/360/KMI/IntelliDrive/ApplUI/Pages/CreativePages/CustomReportCreativeDetail.aspx?App=23&amp;ReportView=4&amp;Qid=1711279&amp;Row=21147&amp;Col=1","No Title Assigned - #15279846810")</f>
        <v/>
      </c>
      <c r="B21155" s="0" t="s">
        <v>28058</v>
      </c>
      <c r="C21155" s="0" t="s">
        <v>28059</v>
      </c>
      <c r="D21155" s="0" t="s">
        <v>28059</v>
      </c>
      <c r="E21155" s="0" t="inlineStr">
        <is>
          <t xml:space="preserve">Mazda</t>
        </is>
      </c>
      <c r="F21155" s="0" t="s">
        <v>13</v>
      </c>
      <c r="G21155" s="0" t="s">
        <v>49</v>
      </c>
      <c r="H21155" s="5">
        <v>7448.748300</v>
      </c>
    </row>
    <row r="21156" spans="1:9">
      <c r="A21156" s="22" t="str">
        <f>HYPERLINK("https://app.vivvix.com/360/KMI/IntelliDrive/ApplUI/Pages/CreativePages/CustomReportCreativeDetail.aspx?App=23&amp;ReportView=4&amp;Qid=1711279&amp;Row=21148&amp;Col=1","No Title Assigned - #15279847846")</f>
        <v/>
      </c>
      <c r="B21156" s="0" t="s">
        <v>28060</v>
      </c>
      <c r="C21156" s="0" t="s">
        <v>28061</v>
      </c>
      <c r="D21156" s="0" t="s">
        <v>28061</v>
      </c>
      <c r="E21156" s="0" t="inlineStr">
        <is>
          <t xml:space="preserve">Mazda</t>
        </is>
      </c>
      <c r="F21156" s="0" t="inlineStr">
        <is>
          <t xml:space="preserve">Mazda</t>
        </is>
      </c>
      <c r="G21156" s="0" t="s">
        <v>210</v>
      </c>
      <c r="H21156" s="5">
        <v>271.778200</v>
      </c>
    </row>
    <row r="21157" spans="1:9">
      <c r="A21157" s="22" t="str">
        <f>HYPERLINK("https://app.vivvix.com/360/KMI/IntelliDrive/ApplUI/Pages/CreativePages/CustomReportCreativeDetail.aspx?App=23&amp;ReportView=4&amp;Qid=1711279&amp;Row=21149&amp;Col=1","No Title Assigned - #15279848211")</f>
        <v/>
      </c>
      <c r="B21157" s="0" t="s">
        <v>28062</v>
      </c>
      <c r="C21157" s="0" t="s">
        <v>28063</v>
      </c>
      <c r="D21157" s="0" t="s">
        <v>4335</v>
      </c>
      <c r="E21157" s="0" t="inlineStr">
        <is>
          <t xml:space="preserve">Mazda</t>
        </is>
      </c>
      <c r="F21157" s="0" t="s">
        <v>13</v>
      </c>
      <c r="G21157" s="0" t="s">
        <v>49</v>
      </c>
      <c r="H21157" s="5">
        <v>14.653100</v>
      </c>
    </row>
    <row r="21158" spans="1:9">
      <c r="A21158" s="22" t="str">
        <f>HYPERLINK("https://app.vivvix.com/360/KMI/IntelliDrive/ApplUI/Pages/CreativePages/CustomReportCreativeDetail.aspx?App=23&amp;ReportView=4&amp;Qid=1711279&amp;Row=21150&amp;Col=1","No Title Assigned - #15279848362")</f>
        <v/>
      </c>
      <c r="B21158" s="0" t="s">
        <v>28064</v>
      </c>
      <c r="C21158" s="0" t="s">
        <v>28065</v>
      </c>
      <c r="D21158" s="0" t="s">
        <v>24521</v>
      </c>
      <c r="E21158" s="0" t="inlineStr">
        <is>
          <t xml:space="preserve">Mazda</t>
        </is>
      </c>
      <c r="F21158" s="0" t="s">
        <v>13</v>
      </c>
      <c r="G21158" s="0" t="s">
        <v>49</v>
      </c>
      <c r="H21158" s="5">
        <v>189.407300</v>
      </c>
    </row>
    <row r="21159" spans="1:9">
      <c r="A21159" s="22" t="str">
        <f>HYPERLINK("https://app.vivvix.com/360/KMI/IntelliDrive/ApplUI/Pages/CreativePages/CustomReportCreativeDetail.aspx?App=23&amp;ReportView=4&amp;Qid=1711279&amp;Row=21151&amp;Col=1","No Title Assigned - #15279848885")</f>
        <v/>
      </c>
      <c r="B21159" s="0" t="s">
        <v>28066</v>
      </c>
      <c r="C21159" s="0" t="s">
        <v>28067</v>
      </c>
      <c r="D21159" s="0" t="s">
        <v>28067</v>
      </c>
      <c r="E21159" s="0" t="inlineStr">
        <is>
          <t xml:space="preserve">Mazda</t>
        </is>
      </c>
      <c r="F21159" s="0" t="s">
        <v>13</v>
      </c>
      <c r="G21159" s="0" t="s">
        <v>49</v>
      </c>
      <c r="H21159" s="5">
        <v>24197.560500</v>
      </c>
    </row>
    <row r="21160" spans="1:9">
      <c r="A21160" s="22" t="str">
        <f>HYPERLINK("https://app.vivvix.com/360/KMI/IntelliDrive/ApplUI/Pages/CreativePages/CustomReportCreativeDetail.aspx?App=23&amp;ReportView=4&amp;Qid=1711279&amp;Row=21152&amp;Col=1","No Title Assigned - #15279848934")</f>
        <v/>
      </c>
      <c r="B21160" s="0" t="s">
        <v>28068</v>
      </c>
      <c r="C21160" s="0" t="s">
        <v>28069</v>
      </c>
      <c r="D21160" s="0" t="s">
        <v>28069</v>
      </c>
      <c r="E21160" s="0" t="inlineStr">
        <is>
          <t xml:space="preserve">Mazda</t>
        </is>
      </c>
      <c r="F21160" s="0" t="inlineStr">
        <is>
          <t xml:space="preserve">Mazda</t>
        </is>
      </c>
      <c r="G21160" s="0" t="s">
        <v>210</v>
      </c>
      <c r="H21160" s="5">
        <v>131950.564700</v>
      </c>
    </row>
    <row r="21161" spans="1:9">
      <c r="A21161" s="22" t="str">
        <f>HYPERLINK("https://app.vivvix.com/360/KMI/IntelliDrive/ApplUI/Pages/CreativePages/CustomReportCreativeDetail.aspx?App=23&amp;ReportView=4&amp;Qid=1711279&amp;Row=21153&amp;Col=1","No Title Assigned - #15279849235")</f>
        <v/>
      </c>
      <c r="B21161" s="0" t="s">
        <v>28070</v>
      </c>
      <c r="C21161" s="0" t="s">
        <v>28071</v>
      </c>
      <c r="D21161" s="0" t="s">
        <v>28071</v>
      </c>
      <c r="E21161" s="0" t="inlineStr">
        <is>
          <t xml:space="preserve">Mazda</t>
        </is>
      </c>
      <c r="F21161" s="0" t="s">
        <v>28</v>
      </c>
      <c r="G21161" s="0" t="s">
        <v>29</v>
      </c>
      <c r="H21161" s="5">
        <v>1317.518100</v>
      </c>
    </row>
    <row r="21162" spans="1:9">
      <c r="A21162" s="22" t="str">
        <f>HYPERLINK("https://app.vivvix.com/360/KMI/IntelliDrive/ApplUI/Pages/CreativePages/CustomReportCreativeDetail.aspx?App=23&amp;ReportView=4&amp;Qid=1711279&amp;Row=21154&amp;Col=1","No Title Assigned - #15279849281")</f>
        <v/>
      </c>
      <c r="B21162" s="0" t="s">
        <v>28072</v>
      </c>
      <c r="C21162" s="0" t="s">
        <v>28073</v>
      </c>
      <c r="D21162" s="0" t="s">
        <v>28073</v>
      </c>
      <c r="E21162" s="0" t="inlineStr">
        <is>
          <t xml:space="preserve">Mazda</t>
        </is>
      </c>
      <c r="F21162" s="0" t="s">
        <v>13</v>
      </c>
      <c r="G21162" s="0" t="s">
        <v>49</v>
      </c>
      <c r="H21162" s="5">
        <v>90.148600</v>
      </c>
    </row>
    <row r="21163" spans="1:9">
      <c r="A21163" s="22" t="str">
        <f>HYPERLINK("https://app.vivvix.com/360/KMI/IntelliDrive/ApplUI/Pages/CreativePages/CustomReportCreativeDetail.aspx?App=23&amp;ReportView=4&amp;Qid=1711279&amp;Row=21155&amp;Col=1","No Title Assigned - #15279850017")</f>
        <v/>
      </c>
      <c r="B21163" s="0" t="s">
        <v>28074</v>
      </c>
      <c r="C21163" s="0" t="s">
        <v>28075</v>
      </c>
      <c r="D21163" s="0" t="s">
        <v>28075</v>
      </c>
      <c r="E21163" s="0" t="inlineStr">
        <is>
          <t xml:space="preserve">Mazda</t>
        </is>
      </c>
      <c r="F21163" s="0" t="s">
        <v>13</v>
      </c>
      <c r="G21163" s="0" t="s">
        <v>49</v>
      </c>
      <c r="H21163" s="5">
        <v>475.359000</v>
      </c>
    </row>
    <row r="21164" spans="1:9">
      <c r="A21164" s="22" t="str">
        <f>HYPERLINK("https://app.vivvix.com/360/KMI/IntelliDrive/ApplUI/Pages/CreativePages/CustomReportCreativeDetail.aspx?App=23&amp;ReportView=4&amp;Qid=1711279&amp;Row=21156&amp;Col=1","No Title Assigned - #15279850370")</f>
        <v/>
      </c>
      <c r="B21164" s="0" t="s">
        <v>28076</v>
      </c>
      <c r="C21164" s="0" t="s">
        <v>28077</v>
      </c>
      <c r="D21164" s="0" t="s">
        <v>28077</v>
      </c>
      <c r="E21164" s="0" t="inlineStr">
        <is>
          <t xml:space="preserve">Mazda</t>
        </is>
      </c>
      <c r="F21164" s="0" t="s">
        <v>13</v>
      </c>
      <c r="G21164" s="0" t="s">
        <v>49</v>
      </c>
      <c r="H21164" s="5">
        <v>6889.117700</v>
      </c>
    </row>
    <row r="21165" spans="1:9">
      <c r="A21165" s="22" t="str">
        <f>HYPERLINK("https://app.vivvix.com/360/KMI/IntelliDrive/ApplUI/Pages/CreativePages/CustomReportCreativeDetail.aspx?App=23&amp;ReportView=4&amp;Qid=1711279&amp;Row=21157&amp;Col=1","No Title Assigned - #15279850370")</f>
        <v/>
      </c>
      <c r="B21165" s="0" t="s">
        <v>28076</v>
      </c>
      <c r="E21165" s="0" t="inlineStr">
        <is>
          <t xml:space="preserve">Mazda</t>
        </is>
      </c>
      <c r="F21165" s="0" t="s">
        <v>13</v>
      </c>
      <c r="G21165" s="0" t="s">
        <v>49</v>
      </c>
      <c r="H21165" s="5">
        <v>21.598300</v>
      </c>
    </row>
    <row r="21166" spans="1:9">
      <c r="A21166" s="22" t="str">
        <f>HYPERLINK("https://app.vivvix.com/360/KMI/IntelliDrive/ApplUI/Pages/CreativePages/CustomReportCreativeDetail.aspx?App=23&amp;ReportView=4&amp;Qid=1711279&amp;Row=21158&amp;Col=1","No Title Assigned - #15279850773")</f>
        <v/>
      </c>
      <c r="B21166" s="0" t="s">
        <v>28078</v>
      </c>
      <c r="E21166" s="0" t="inlineStr">
        <is>
          <t xml:space="preserve">Mazda</t>
        </is>
      </c>
      <c r="F21166" s="0" t="s">
        <v>13</v>
      </c>
      <c r="G21166" s="0" t="s">
        <v>49</v>
      </c>
      <c r="H21166" s="5">
        <v>24.983800</v>
      </c>
    </row>
    <row r="21167" spans="1:9">
      <c r="A21167" s="22" t="str">
        <f>HYPERLINK("https://app.vivvix.com/360/KMI/IntelliDrive/ApplUI/Pages/CreativePages/CustomReportCreativeDetail.aspx?App=23&amp;ReportView=4&amp;Qid=1711279&amp;Row=21159&amp;Col=1","No Title Assigned - #15279851247")</f>
        <v/>
      </c>
      <c r="B21167" s="0" t="s">
        <v>28079</v>
      </c>
      <c r="C21167" s="0" t="s">
        <v>28080</v>
      </c>
      <c r="D21167" s="0" t="s">
        <v>23398</v>
      </c>
      <c r="E21167" s="0" t="inlineStr">
        <is>
          <t xml:space="preserve">Mazda</t>
        </is>
      </c>
      <c r="F21167" s="0" t="s">
        <v>13</v>
      </c>
      <c r="G21167" s="0" t="s">
        <v>49</v>
      </c>
      <c r="H21167" s="5">
        <v>354.681600</v>
      </c>
    </row>
    <row r="21168" spans="1:9">
      <c r="A21168" s="22" t="str">
        <f>HYPERLINK("https://app.vivvix.com/360/KMI/IntelliDrive/ApplUI/Pages/CreativePages/CustomReportCreativeDetail.aspx?App=23&amp;ReportView=4&amp;Qid=1711279&amp;Row=21160&amp;Col=1","No Title Assigned - #15279852212")</f>
        <v/>
      </c>
      <c r="B21168" s="0" t="s">
        <v>28081</v>
      </c>
      <c r="C21168" s="0" t="s">
        <v>28082</v>
      </c>
      <c r="D21168" s="0" t="s">
        <v>28082</v>
      </c>
      <c r="E21168" s="0" t="inlineStr">
        <is>
          <t xml:space="preserve">Mazda</t>
        </is>
      </c>
      <c r="F21168" s="0" t="s">
        <v>13</v>
      </c>
      <c r="G21168" s="0" t="s">
        <v>49</v>
      </c>
      <c r="H21168" s="5">
        <v>714.328000</v>
      </c>
    </row>
    <row r="21169" spans="1:9">
      <c r="A21169" s="22" t="str">
        <f>HYPERLINK("https://app.vivvix.com/360/KMI/IntelliDrive/ApplUI/Pages/CreativePages/CustomReportCreativeDetail.aspx?App=23&amp;ReportView=4&amp;Qid=1711279&amp;Row=21161&amp;Col=1","No Title Assigned - #15279852213")</f>
        <v/>
      </c>
      <c r="B21169" s="0" t="s">
        <v>28083</v>
      </c>
      <c r="C21169" s="0" t="s">
        <v>28084</v>
      </c>
      <c r="D21169" s="0" t="s">
        <v>28084</v>
      </c>
      <c r="E21169" s="0" t="inlineStr">
        <is>
          <t xml:space="preserve">Mazda</t>
        </is>
      </c>
      <c r="F21169" s="0" t="s">
        <v>13</v>
      </c>
      <c r="G21169" s="0" t="s">
        <v>49</v>
      </c>
      <c r="H21169" s="5">
        <v>174662.543700</v>
      </c>
    </row>
    <row r="21170" spans="1:9">
      <c r="A21170" s="22" t="str">
        <f>HYPERLINK("https://app.vivvix.com/360/KMI/IntelliDrive/ApplUI/Pages/CreativePages/CustomReportCreativeDetail.aspx?App=23&amp;ReportView=4&amp;Qid=1711279&amp;Row=21162&amp;Col=1","No Title Assigned - #15279852854")</f>
        <v/>
      </c>
      <c r="B21170" s="0" t="s">
        <v>28085</v>
      </c>
      <c r="C21170" s="0" t="s">
        <v>28086</v>
      </c>
      <c r="D21170" s="0" t="s">
        <v>28086</v>
      </c>
      <c r="E21170" s="0" t="inlineStr">
        <is>
          <t xml:space="preserve">Mazda</t>
        </is>
      </c>
      <c r="F21170" s="0" t="s">
        <v>13</v>
      </c>
      <c r="G21170" s="0" t="s">
        <v>49</v>
      </c>
      <c r="H21170" s="5">
        <v>1714.720600</v>
      </c>
    </row>
    <row r="21171" spans="1:9">
      <c r="A21171" s="22" t="str">
        <f>HYPERLINK("https://app.vivvix.com/360/KMI/IntelliDrive/ApplUI/Pages/CreativePages/CustomReportCreativeDetail.aspx?App=23&amp;ReportView=4&amp;Qid=1711279&amp;Row=21163&amp;Col=1","No Title Assigned - #15279852855")</f>
        <v/>
      </c>
      <c r="B21171" s="0" t="s">
        <v>28087</v>
      </c>
      <c r="C21171" s="0" t="s">
        <v>28088</v>
      </c>
      <c r="D21171" s="0" t="s">
        <v>28088</v>
      </c>
      <c r="E21171" s="0" t="inlineStr">
        <is>
          <t xml:space="preserve">Mazda</t>
        </is>
      </c>
      <c r="F21171" s="0" t="s">
        <v>13</v>
      </c>
      <c r="G21171" s="0" t="s">
        <v>49</v>
      </c>
      <c r="H21171" s="5">
        <v>1714.720600</v>
      </c>
    </row>
    <row r="21172" spans="1:9">
      <c r="A21172" s="22" t="str">
        <f>HYPERLINK("https://app.vivvix.com/360/KMI/IntelliDrive/ApplUI/Pages/CreativePages/CustomReportCreativeDetail.aspx?App=23&amp;ReportView=4&amp;Qid=1711279&amp;Row=21164&amp;Col=1","No Title Assigned - #15279853958")</f>
        <v/>
      </c>
      <c r="B21172" s="0" t="s">
        <v>28089</v>
      </c>
      <c r="C21172" s="0" t="s">
        <v>28090</v>
      </c>
      <c r="D21172" s="0" t="s">
        <v>28090</v>
      </c>
      <c r="E21172" s="0" t="inlineStr">
        <is>
          <t xml:space="preserve">Mazda</t>
        </is>
      </c>
      <c r="F21172" s="0" t="s">
        <v>13</v>
      </c>
      <c r="G21172" s="0" t="s">
        <v>49</v>
      </c>
      <c r="H21172" s="5">
        <v>71.344700</v>
      </c>
    </row>
    <row r="21173" spans="1:9">
      <c r="A21173" s="22" t="str">
        <f>HYPERLINK("https://app.vivvix.com/360/KMI/IntelliDrive/ApplUI/Pages/CreativePages/CustomReportCreativeDetail.aspx?App=23&amp;ReportView=4&amp;Qid=1711279&amp;Row=21165&amp;Col=1","No Title Assigned - #15279854487")</f>
        <v/>
      </c>
      <c r="B21173" s="0" t="s">
        <v>28091</v>
      </c>
      <c r="C21173" s="0" t="s">
        <v>28092</v>
      </c>
      <c r="D21173" s="0" t="s">
        <v>4774</v>
      </c>
      <c r="E21173" s="0" t="inlineStr">
        <is>
          <t xml:space="preserve">Mazda</t>
        </is>
      </c>
      <c r="F21173" s="0" t="s">
        <v>13</v>
      </c>
      <c r="G21173" s="0" t="s">
        <v>49</v>
      </c>
      <c r="H21173" s="5">
        <v>55.284800</v>
      </c>
    </row>
    <row r="21174" spans="1:9">
      <c r="A21174" s="22" t="str">
        <f>HYPERLINK("https://app.vivvix.com/360/KMI/IntelliDrive/ApplUI/Pages/CreativePages/CustomReportCreativeDetail.aspx?App=23&amp;ReportView=4&amp;Qid=1711279&amp;Row=21166&amp;Col=1","No Title Assigned - #15279854984")</f>
        <v/>
      </c>
      <c r="B21174" s="0" t="s">
        <v>28093</v>
      </c>
      <c r="C21174" s="0" t="s">
        <v>28094</v>
      </c>
      <c r="D21174" s="0" t="s">
        <v>28094</v>
      </c>
      <c r="E21174" s="0" t="inlineStr">
        <is>
          <t xml:space="preserve">Mazda</t>
        </is>
      </c>
      <c r="F21174" s="0" t="s">
        <v>13</v>
      </c>
      <c r="G21174" s="0" t="s">
        <v>49</v>
      </c>
      <c r="H21174" s="5">
        <v>306.626700</v>
      </c>
    </row>
    <row r="21175" spans="1:9">
      <c r="A21175" s="22" t="str">
        <f>HYPERLINK("https://app.vivvix.com/360/KMI/IntelliDrive/ApplUI/Pages/CreativePages/CustomReportCreativeDetail.aspx?App=23&amp;ReportView=4&amp;Qid=1711279&amp;Row=21167&amp;Col=1","No Title Assigned - #15279855313")</f>
        <v/>
      </c>
      <c r="B21175" s="0" t="s">
        <v>28095</v>
      </c>
      <c r="C21175" s="0" t="s">
        <v>28096</v>
      </c>
      <c r="D21175" s="0" t="s">
        <v>28096</v>
      </c>
      <c r="E21175" s="0" t="inlineStr">
        <is>
          <t xml:space="preserve">Mazda</t>
        </is>
      </c>
      <c r="F21175" s="0" t="s">
        <v>13</v>
      </c>
      <c r="G21175" s="0" t="s">
        <v>49</v>
      </c>
      <c r="H21175" s="5">
        <v>2308.684800</v>
      </c>
    </row>
    <row r="21176" spans="1:9">
      <c r="A21176" s="22" t="str">
        <f>HYPERLINK("https://app.vivvix.com/360/KMI/IntelliDrive/ApplUI/Pages/CreativePages/CustomReportCreativeDetail.aspx?App=23&amp;ReportView=4&amp;Qid=1711279&amp;Row=21168&amp;Col=1","No Title Assigned - #15279855354")</f>
        <v/>
      </c>
      <c r="B21176" s="0" t="s">
        <v>28097</v>
      </c>
      <c r="C21176" s="0" t="s">
        <v>28098</v>
      </c>
      <c r="D21176" s="0" t="s">
        <v>28098</v>
      </c>
      <c r="E21176" s="0" t="inlineStr">
        <is>
          <t xml:space="preserve">Mazda</t>
        </is>
      </c>
      <c r="F21176" s="0" t="s">
        <v>13</v>
      </c>
      <c r="G21176" s="0" t="s">
        <v>49</v>
      </c>
      <c r="H21176" s="5">
        <v>696.319000</v>
      </c>
    </row>
    <row r="21177" spans="1:9">
      <c r="A21177" s="22" t="str">
        <f>HYPERLINK("https://app.vivvix.com/360/KMI/IntelliDrive/ApplUI/Pages/CreativePages/CustomReportCreativeDetail.aspx?App=23&amp;ReportView=4&amp;Qid=1711279&amp;Row=21169&amp;Col=1","No Title Assigned - #15279855631")</f>
        <v/>
      </c>
      <c r="B21177" s="0" t="s">
        <v>28099</v>
      </c>
      <c r="C21177" s="0" t="s">
        <v>28100</v>
      </c>
      <c r="D21177" s="0" t="s">
        <v>28100</v>
      </c>
      <c r="E21177" s="0" t="inlineStr">
        <is>
          <t xml:space="preserve">Mazda</t>
        </is>
      </c>
      <c r="F21177" s="0" t="s">
        <v>13</v>
      </c>
      <c r="G21177" s="0" t="s">
        <v>49</v>
      </c>
      <c r="H21177" s="5">
        <v>63.667800</v>
      </c>
    </row>
    <row r="21178" spans="1:9">
      <c r="A21178" s="22" t="str">
        <f>HYPERLINK("https://app.vivvix.com/360/KMI/IntelliDrive/ApplUI/Pages/CreativePages/CustomReportCreativeDetail.aspx?App=23&amp;ReportView=4&amp;Qid=1711279&amp;Row=21170&amp;Col=1","No Title Assigned - #15279855772")</f>
        <v/>
      </c>
      <c r="B21178" s="0" t="s">
        <v>28101</v>
      </c>
      <c r="C21178" s="0" t="s">
        <v>28102</v>
      </c>
      <c r="D21178" s="0" t="s">
        <v>4774</v>
      </c>
      <c r="E21178" s="0" t="inlineStr">
        <is>
          <t xml:space="preserve">Mazda</t>
        </is>
      </c>
      <c r="F21178" s="0" t="s">
        <v>13</v>
      </c>
      <c r="G21178" s="0" t="s">
        <v>49</v>
      </c>
      <c r="H21178" s="5">
        <v>420.941400</v>
      </c>
    </row>
    <row r="21179" spans="1:9">
      <c r="A21179" s="22" t="str">
        <f>HYPERLINK("https://app.vivvix.com/360/KMI/IntelliDrive/ApplUI/Pages/CreativePages/CustomReportCreativeDetail.aspx?App=23&amp;ReportView=4&amp;Qid=1711279&amp;Row=21171&amp;Col=1","No Title Assigned - #15279856317")</f>
        <v/>
      </c>
      <c r="B21179" s="0" t="s">
        <v>28103</v>
      </c>
      <c r="E21179" s="0" t="inlineStr">
        <is>
          <t xml:space="preserve">Mazda</t>
        </is>
      </c>
      <c r="F21179" s="0" t="s">
        <v>13</v>
      </c>
      <c r="G21179" s="0" t="s">
        <v>49</v>
      </c>
      <c r="H21179" s="5">
        <v>117.466200</v>
      </c>
    </row>
    <row r="21180" spans="1:9">
      <c r="A21180" s="22" t="str">
        <f>HYPERLINK("https://app.vivvix.com/360/KMI/IntelliDrive/ApplUI/Pages/CreativePages/CustomReportCreativeDetail.aspx?App=23&amp;ReportView=4&amp;Qid=1711279&amp;Row=21172&amp;Col=1","No Title Assigned - #15279856317")</f>
        <v/>
      </c>
      <c r="B21180" s="0" t="s">
        <v>28103</v>
      </c>
      <c r="C21180" s="0" t="s">
        <v>28104</v>
      </c>
      <c r="D21180" s="0" t="s">
        <v>11420</v>
      </c>
      <c r="E21180" s="0" t="inlineStr">
        <is>
          <t xml:space="preserve">Mazda</t>
        </is>
      </c>
      <c r="F21180" s="0" t="s">
        <v>13</v>
      </c>
      <c r="G21180" s="0" t="s">
        <v>49</v>
      </c>
      <c r="H21180" s="5">
        <v>219.986600</v>
      </c>
    </row>
    <row r="21181" spans="1:9">
      <c r="A21181" s="22" t="str">
        <f>HYPERLINK("https://app.vivvix.com/360/KMI/IntelliDrive/ApplUI/Pages/CreativePages/CustomReportCreativeDetail.aspx?App=23&amp;ReportView=4&amp;Qid=1711279&amp;Row=21173&amp;Col=1","No Title Assigned - #15279857871")</f>
        <v/>
      </c>
      <c r="B21181" s="0" t="s">
        <v>28105</v>
      </c>
      <c r="C21181" s="0" t="s">
        <v>28106</v>
      </c>
      <c r="D21181" s="0" t="s">
        <v>28106</v>
      </c>
      <c r="E21181" s="0" t="inlineStr">
        <is>
          <t xml:space="preserve">Mazda</t>
        </is>
      </c>
      <c r="F21181" s="0" t="inlineStr">
        <is>
          <t xml:space="preserve">Mazda</t>
        </is>
      </c>
      <c r="G21181" s="0" t="s">
        <v>210</v>
      </c>
      <c r="H21181" s="5">
        <v>31893.896500</v>
      </c>
    </row>
    <row r="21182" spans="1:9">
      <c r="A21182" s="22" t="str">
        <f>HYPERLINK("https://app.vivvix.com/360/KMI/IntelliDrive/ApplUI/Pages/CreativePages/CustomReportCreativeDetail.aspx?App=23&amp;ReportView=4&amp;Qid=1711279&amp;Row=21174&amp;Col=1","No Title Assigned - #15279858414")</f>
        <v/>
      </c>
      <c r="B21182" s="0" t="s">
        <v>28107</v>
      </c>
      <c r="C21182" s="0" t="s">
        <v>28108</v>
      </c>
      <c r="D21182" s="0" t="s">
        <v>4774</v>
      </c>
      <c r="E21182" s="0" t="inlineStr">
        <is>
          <t xml:space="preserve">Mazda</t>
        </is>
      </c>
      <c r="F21182" s="0" t="s">
        <v>13</v>
      </c>
      <c r="G21182" s="0" t="s">
        <v>49</v>
      </c>
      <c r="H21182" s="5">
        <v>82.950800</v>
      </c>
    </row>
    <row r="21183" spans="1:9">
      <c r="A21183" s="22" t="str">
        <f>HYPERLINK("https://app.vivvix.com/360/KMI/IntelliDrive/ApplUI/Pages/CreativePages/CustomReportCreativeDetail.aspx?App=23&amp;ReportView=4&amp;Qid=1711279&amp;Row=21175&amp;Col=1","No Title Assigned - #15279858924")</f>
        <v/>
      </c>
      <c r="B21183" s="0" t="s">
        <v>28109</v>
      </c>
      <c r="E21183" s="0" t="inlineStr">
        <is>
          <t xml:space="preserve">Mazda</t>
        </is>
      </c>
      <c r="F21183" s="0" t="inlineStr">
        <is>
          <t xml:space="preserve">Mazda</t>
        </is>
      </c>
      <c r="G21183" s="0" t="s">
        <v>171</v>
      </c>
      <c r="H21183" s="5">
        <v>229.995100</v>
      </c>
    </row>
    <row r="21184" spans="1:9">
      <c r="A21184" s="22" t="str">
        <f>HYPERLINK("https://app.vivvix.com/360/KMI/IntelliDrive/ApplUI/Pages/CreativePages/CustomReportCreativeDetail.aspx?App=23&amp;ReportView=4&amp;Qid=1711279&amp;Row=21176&amp;Col=1","No Title Assigned - #15279859027")</f>
        <v/>
      </c>
      <c r="B21184" s="0" t="s">
        <v>28110</v>
      </c>
      <c r="E21184" s="0" t="inlineStr">
        <is>
          <t xml:space="preserve">Mazda</t>
        </is>
      </c>
      <c r="F21184" s="0" t="inlineStr">
        <is>
          <t xml:space="preserve">Mazda</t>
        </is>
      </c>
      <c r="G21184" s="0" t="s">
        <v>171</v>
      </c>
      <c r="H21184" s="5">
        <v>3724.917300</v>
      </c>
    </row>
    <row r="21185" spans="1:9">
      <c r="A21185" s="22" t="str">
        <f>HYPERLINK("https://app.vivvix.com/360/KMI/IntelliDrive/ApplUI/Pages/CreativePages/CustomReportCreativeDetail.aspx?App=23&amp;ReportView=4&amp;Qid=1711279&amp;Row=21177&amp;Col=1","No Title Assigned - #15279859027")</f>
        <v/>
      </c>
      <c r="B21185" s="0" t="s">
        <v>28110</v>
      </c>
      <c r="E21185" s="0" t="inlineStr">
        <is>
          <t xml:space="preserve">Mazda</t>
        </is>
      </c>
      <c r="F21185" s="0" t="inlineStr">
        <is>
          <t xml:space="preserve">Mazda</t>
        </is>
      </c>
      <c r="G21185" s="0" t="s">
        <v>171</v>
      </c>
      <c r="H21185" s="5">
        <v>85.566700</v>
      </c>
    </row>
    <row r="21186" spans="1:9">
      <c r="A21186" s="22" t="str">
        <f>HYPERLINK("https://app.vivvix.com/360/KMI/IntelliDrive/ApplUI/Pages/CreativePages/CustomReportCreativeDetail.aspx?App=23&amp;ReportView=4&amp;Qid=1711279&amp;Row=21178&amp;Col=1","No Title Assigned - #15279859241")</f>
        <v/>
      </c>
      <c r="B21186" s="0" t="s">
        <v>28111</v>
      </c>
      <c r="C21186" s="0" t="s">
        <v>28112</v>
      </c>
      <c r="D21186" s="0" t="s">
        <v>28112</v>
      </c>
      <c r="E21186" s="0" t="inlineStr">
        <is>
          <t xml:space="preserve">Mazda</t>
        </is>
      </c>
      <c r="F21186" s="0" t="inlineStr">
        <is>
          <t xml:space="preserve">Mazda</t>
        </is>
      </c>
      <c r="G21186" s="0" t="s">
        <v>171</v>
      </c>
      <c r="H21186" s="5">
        <v>55.525500</v>
      </c>
    </row>
    <row r="21187" spans="1:9">
      <c r="A21187" s="22" t="str">
        <f>HYPERLINK("https://app.vivvix.com/360/KMI/IntelliDrive/ApplUI/Pages/CreativePages/CustomReportCreativeDetail.aspx?App=23&amp;ReportView=4&amp;Qid=1711279&amp;Row=21179&amp;Col=1","No Title Assigned - #15279859297")</f>
        <v/>
      </c>
      <c r="B21187" s="0" t="s">
        <v>28113</v>
      </c>
      <c r="E21187" s="0" t="inlineStr">
        <is>
          <t xml:space="preserve">Mazda</t>
        </is>
      </c>
      <c r="F21187" s="0" t="inlineStr">
        <is>
          <t xml:space="preserve">Mazda</t>
        </is>
      </c>
      <c r="G21187" s="0" t="s">
        <v>171</v>
      </c>
      <c r="H21187" s="5">
        <v>3708.104000</v>
      </c>
    </row>
    <row r="21188" spans="1:9">
      <c r="A21188" s="22" t="str">
        <f>HYPERLINK("https://app.vivvix.com/360/KMI/IntelliDrive/ApplUI/Pages/CreativePages/CustomReportCreativeDetail.aspx?App=23&amp;ReportView=4&amp;Qid=1711279&amp;Row=21180&amp;Col=1","No Title Assigned - #15279859385")</f>
        <v/>
      </c>
      <c r="B21188" s="0" t="s">
        <v>28114</v>
      </c>
      <c r="E21188" s="0" t="inlineStr">
        <is>
          <t xml:space="preserve">Mazda</t>
        </is>
      </c>
      <c r="F21188" s="0" t="inlineStr">
        <is>
          <t xml:space="preserve">Mazda</t>
        </is>
      </c>
      <c r="G21188" s="0" t="s">
        <v>171</v>
      </c>
      <c r="H21188" s="5">
        <v>22.248500</v>
      </c>
    </row>
    <row r="21189" spans="1:9">
      <c r="A21189" s="22" t="str">
        <f>HYPERLINK("https://app.vivvix.com/360/KMI/IntelliDrive/ApplUI/Pages/CreativePages/CustomReportCreativeDetail.aspx?App=23&amp;ReportView=4&amp;Qid=1711279&amp;Row=21181&amp;Col=1","No Title Assigned - #15279859754")</f>
        <v/>
      </c>
      <c r="B21189" s="0" t="s">
        <v>28115</v>
      </c>
      <c r="C21189" s="0" t="s">
        <v>28116</v>
      </c>
      <c r="D21189" s="0" t="s">
        <v>28116</v>
      </c>
      <c r="E21189" s="0" t="inlineStr">
        <is>
          <t xml:space="preserve">Mazda</t>
        </is>
      </c>
      <c r="F21189" s="0" t="inlineStr">
        <is>
          <t xml:space="preserve">Mazda</t>
        </is>
      </c>
      <c r="G21189" s="0" t="s">
        <v>171</v>
      </c>
      <c r="H21189" s="5">
        <v>14764.771200</v>
      </c>
    </row>
    <row r="21190" spans="1:9">
      <c r="A21190" s="22" t="str">
        <f>HYPERLINK("https://app.vivvix.com/360/KMI/IntelliDrive/ApplUI/Pages/CreativePages/CustomReportCreativeDetail.aspx?App=23&amp;ReportView=4&amp;Qid=1711279&amp;Row=21182&amp;Col=1","No Title Assigned - #15279859779")</f>
        <v/>
      </c>
      <c r="B21190" s="0" t="s">
        <v>28117</v>
      </c>
      <c r="E21190" s="0" t="inlineStr">
        <is>
          <t xml:space="preserve">Mazda</t>
        </is>
      </c>
      <c r="F21190" s="0" t="inlineStr">
        <is>
          <t xml:space="preserve">Mazda</t>
        </is>
      </c>
      <c r="G21190" s="0" t="s">
        <v>171</v>
      </c>
      <c r="H21190" s="5">
        <v>420.725400</v>
      </c>
    </row>
    <row r="21191" spans="1:9">
      <c r="A21191" s="22" t="str">
        <f>HYPERLINK("https://app.vivvix.com/360/KMI/IntelliDrive/ApplUI/Pages/CreativePages/CustomReportCreativeDetail.aspx?App=23&amp;ReportView=4&amp;Qid=1711279&amp;Row=21183&amp;Col=1","No Title Assigned - #15279859941")</f>
        <v/>
      </c>
      <c r="B21191" s="0" t="s">
        <v>28118</v>
      </c>
      <c r="C21191" s="0" t="s">
        <v>28119</v>
      </c>
      <c r="D21191" s="0" t="s">
        <v>22540</v>
      </c>
      <c r="E21191" s="0" t="inlineStr">
        <is>
          <t xml:space="preserve">Mazda</t>
        </is>
      </c>
      <c r="F21191" s="0" t="s">
        <v>13</v>
      </c>
      <c r="G21191" s="0" t="s">
        <v>49</v>
      </c>
      <c r="H21191" s="5">
        <v>2.220900</v>
      </c>
    </row>
    <row r="21192" spans="1:9">
      <c r="A21192" s="22" t="str">
        <f>HYPERLINK("https://app.vivvix.com/360/KMI/IntelliDrive/ApplUI/Pages/CreativePages/CustomReportCreativeDetail.aspx?App=23&amp;ReportView=4&amp;Qid=1711279&amp;Row=21184&amp;Col=1","No Title Assigned - #15279860015")</f>
        <v/>
      </c>
      <c r="B21192" s="0" t="s">
        <v>28120</v>
      </c>
      <c r="E21192" s="0" t="inlineStr">
        <is>
          <t xml:space="preserve">Mazda</t>
        </is>
      </c>
      <c r="F21192" s="0" t="inlineStr">
        <is>
          <t xml:space="preserve">Mazda</t>
        </is>
      </c>
      <c r="G21192" s="0" t="s">
        <v>171</v>
      </c>
      <c r="H21192" s="5">
        <v>90.580000</v>
      </c>
    </row>
    <row r="21193" spans="1:9">
      <c r="A21193" s="22" t="str">
        <f>HYPERLINK("https://app.vivvix.com/360/KMI/IntelliDrive/ApplUI/Pages/CreativePages/CustomReportCreativeDetail.aspx?App=23&amp;ReportView=4&amp;Qid=1711279&amp;Row=21185&amp;Col=1","No Title Assigned - #15279860153")</f>
        <v/>
      </c>
      <c r="B21193" s="0" t="s">
        <v>28121</v>
      </c>
      <c r="E21193" s="0" t="inlineStr">
        <is>
          <t xml:space="preserve">Mazda</t>
        </is>
      </c>
      <c r="F21193" s="0" t="inlineStr">
        <is>
          <t xml:space="preserve">Mazda</t>
        </is>
      </c>
      <c r="G21193" s="0" t="s">
        <v>171</v>
      </c>
      <c r="H21193" s="5">
        <v>61.006800</v>
      </c>
    </row>
    <row r="21194" spans="1:9">
      <c r="A21194" s="22" t="str">
        <f>HYPERLINK("https://app.vivvix.com/360/KMI/IntelliDrive/ApplUI/Pages/CreativePages/CustomReportCreativeDetail.aspx?App=23&amp;ReportView=4&amp;Qid=1711279&amp;Row=21186&amp;Col=1","No Title Assigned - #15279860305")</f>
        <v/>
      </c>
      <c r="B21194" s="0" t="s">
        <v>28122</v>
      </c>
      <c r="E21194" s="0" t="inlineStr">
        <is>
          <t xml:space="preserve">Mazda</t>
        </is>
      </c>
      <c r="F21194" s="0" t="inlineStr">
        <is>
          <t xml:space="preserve">Mazda</t>
        </is>
      </c>
      <c r="G21194" s="0" t="s">
        <v>171</v>
      </c>
      <c r="H21194" s="5">
        <v>294.823300</v>
      </c>
    </row>
    <row r="21195" spans="1:9">
      <c r="A21195" s="22" t="str">
        <f>HYPERLINK("https://app.vivvix.com/360/KMI/IntelliDrive/ApplUI/Pages/CreativePages/CustomReportCreativeDetail.aspx?App=23&amp;ReportView=4&amp;Qid=1711279&amp;Row=21187&amp;Col=1","No Title Assigned - #15279860341")</f>
        <v/>
      </c>
      <c r="B21195" s="0" t="s">
        <v>28123</v>
      </c>
      <c r="E21195" s="0" t="inlineStr">
        <is>
          <t xml:space="preserve">Mazda</t>
        </is>
      </c>
      <c r="F21195" s="0" t="inlineStr">
        <is>
          <t xml:space="preserve">Mazda</t>
        </is>
      </c>
      <c r="G21195" s="0" t="s">
        <v>171</v>
      </c>
      <c r="H21195" s="5">
        <v>6721.268100</v>
      </c>
    </row>
    <row r="21196" spans="1:9">
      <c r="A21196" s="22" t="str">
        <f>HYPERLINK("https://app.vivvix.com/360/KMI/IntelliDrive/ApplUI/Pages/CreativePages/CustomReportCreativeDetail.aspx?App=23&amp;ReportView=4&amp;Qid=1711279&amp;Row=21188&amp;Col=1","No Title Assigned - #15279861086")</f>
        <v/>
      </c>
      <c r="B21196" s="0" t="s">
        <v>28124</v>
      </c>
      <c r="E21196" s="0" t="inlineStr">
        <is>
          <t xml:space="preserve">Mazda</t>
        </is>
      </c>
      <c r="F21196" s="0" t="inlineStr">
        <is>
          <t xml:space="preserve">Mazda</t>
        </is>
      </c>
      <c r="G21196" s="0" t="s">
        <v>171</v>
      </c>
      <c r="H21196" s="5">
        <v>2.724300</v>
      </c>
    </row>
    <row r="21197" spans="1:9">
      <c r="A21197" s="22" t="str">
        <f>HYPERLINK("https://app.vivvix.com/360/KMI/IntelliDrive/ApplUI/Pages/CreativePages/CustomReportCreativeDetail.aspx?App=23&amp;ReportView=4&amp;Qid=1711279&amp;Row=21189&amp;Col=1","No Title Assigned - #15279861263")</f>
        <v/>
      </c>
      <c r="B21197" s="0" t="s">
        <v>28125</v>
      </c>
      <c r="E21197" s="0" t="inlineStr">
        <is>
          <t xml:space="preserve">Mazda</t>
        </is>
      </c>
      <c r="F21197" s="0" t="inlineStr">
        <is>
          <t xml:space="preserve">Mazda</t>
        </is>
      </c>
      <c r="G21197" s="0" t="s">
        <v>171</v>
      </c>
      <c r="H21197" s="5">
        <v>165.070500</v>
      </c>
    </row>
    <row r="21198" spans="1:9">
      <c r="A21198" s="22" t="str">
        <f>HYPERLINK("https://app.vivvix.com/360/KMI/IntelliDrive/ApplUI/Pages/CreativePages/CustomReportCreativeDetail.aspx?App=23&amp;ReportView=4&amp;Qid=1711279&amp;Row=21190&amp;Col=1","No Title Assigned - #15279861348")</f>
        <v/>
      </c>
      <c r="B21198" s="0" t="s">
        <v>28126</v>
      </c>
      <c r="E21198" s="0" t="inlineStr">
        <is>
          <t xml:space="preserve">Mazda</t>
        </is>
      </c>
      <c r="F21198" s="0" t="s">
        <v>13</v>
      </c>
      <c r="G21198" s="0" t="s">
        <v>49</v>
      </c>
      <c r="H21198" s="5">
        <v>310.606200</v>
      </c>
    </row>
    <row r="21199" spans="1:9">
      <c r="A21199" s="22" t="str">
        <f>HYPERLINK("https://app.vivvix.com/360/KMI/IntelliDrive/ApplUI/Pages/CreativePages/CustomReportCreativeDetail.aspx?App=23&amp;ReportView=4&amp;Qid=1711279&amp;Row=21191&amp;Col=1","No Title Assigned - #15279861348")</f>
        <v/>
      </c>
      <c r="B21199" s="0" t="s">
        <v>28126</v>
      </c>
      <c r="C21199" s="0" t="s">
        <v>28127</v>
      </c>
      <c r="D21199" s="0" t="s">
        <v>28127</v>
      </c>
      <c r="E21199" s="0" t="inlineStr">
        <is>
          <t xml:space="preserve">Mazda</t>
        </is>
      </c>
      <c r="F21199" s="0" t="s">
        <v>13</v>
      </c>
      <c r="G21199" s="0" t="s">
        <v>49</v>
      </c>
      <c r="H21199" s="5">
        <v>22570.158400</v>
      </c>
    </row>
    <row r="21200" spans="1:9">
      <c r="A21200" s="22" t="str">
        <f>HYPERLINK("https://app.vivvix.com/360/KMI/IntelliDrive/ApplUI/Pages/CreativePages/CustomReportCreativeDetail.aspx?App=23&amp;ReportView=4&amp;Qid=1711279&amp;Row=21192&amp;Col=1","No Title Assigned - #15279861620")</f>
        <v/>
      </c>
      <c r="B21200" s="0" t="s">
        <v>28128</v>
      </c>
      <c r="E21200" s="0" t="inlineStr">
        <is>
          <t xml:space="preserve">Mazda</t>
        </is>
      </c>
      <c r="F21200" s="0" t="inlineStr">
        <is>
          <t xml:space="preserve">Mazda</t>
        </is>
      </c>
      <c r="G21200" s="0" t="s">
        <v>171</v>
      </c>
      <c r="H21200" s="5">
        <v>1475.815700</v>
      </c>
    </row>
    <row r="21201" spans="1:9">
      <c r="A21201" s="22" t="str">
        <f>HYPERLINK("https://app.vivvix.com/360/KMI/IntelliDrive/ApplUI/Pages/CreativePages/CustomReportCreativeDetail.aspx?App=23&amp;ReportView=4&amp;Qid=1711279&amp;Row=21193&amp;Col=1","No Title Assigned - #15279861768")</f>
        <v/>
      </c>
      <c r="B21201" s="0" t="s">
        <v>28129</v>
      </c>
      <c r="E21201" s="0" t="inlineStr">
        <is>
          <t xml:space="preserve">Mazda</t>
        </is>
      </c>
      <c r="F21201" s="0" t="inlineStr">
        <is>
          <t xml:space="preserve">Mazda</t>
        </is>
      </c>
      <c r="G21201" s="0" t="s">
        <v>171</v>
      </c>
      <c r="H21201" s="5">
        <v>868.875400</v>
      </c>
    </row>
    <row r="21202" spans="1:9">
      <c r="A21202" s="22" t="str">
        <f>HYPERLINK("https://app.vivvix.com/360/KMI/IntelliDrive/ApplUI/Pages/CreativePages/CustomReportCreativeDetail.aspx?App=23&amp;ReportView=4&amp;Qid=1711279&amp;Row=21194&amp;Col=1","No Title Assigned - #15279861769")</f>
        <v/>
      </c>
      <c r="B21202" s="0" t="s">
        <v>28130</v>
      </c>
      <c r="E21202" s="0" t="inlineStr">
        <is>
          <t xml:space="preserve">Mazda</t>
        </is>
      </c>
      <c r="F21202" s="0" t="inlineStr">
        <is>
          <t xml:space="preserve">Mazda</t>
        </is>
      </c>
      <c r="G21202" s="0" t="s">
        <v>171</v>
      </c>
      <c r="H21202" s="5">
        <v>868.875400</v>
      </c>
    </row>
    <row r="21203" spans="1:9">
      <c r="A21203" s="22" t="str">
        <f>HYPERLINK("https://app.vivvix.com/360/KMI/IntelliDrive/ApplUI/Pages/CreativePages/CustomReportCreativeDetail.aspx?App=23&amp;ReportView=4&amp;Qid=1711279&amp;Row=21195&amp;Col=1","No Title Assigned - #15279861770")</f>
        <v/>
      </c>
      <c r="B21203" s="0" t="s">
        <v>28131</v>
      </c>
      <c r="E21203" s="0" t="inlineStr">
        <is>
          <t xml:space="preserve">Mazda</t>
        </is>
      </c>
      <c r="F21203" s="0" t="inlineStr">
        <is>
          <t xml:space="preserve">Mazda</t>
        </is>
      </c>
      <c r="G21203" s="0" t="s">
        <v>171</v>
      </c>
      <c r="H21203" s="5">
        <v>868.875400</v>
      </c>
    </row>
    <row r="21204" spans="1:9">
      <c r="A21204" s="22" t="str">
        <f>HYPERLINK("https://app.vivvix.com/360/KMI/IntelliDrive/ApplUI/Pages/CreativePages/CustomReportCreativeDetail.aspx?App=23&amp;ReportView=4&amp;Qid=1711279&amp;Row=21196&amp;Col=1","No Title Assigned - #15279861771")</f>
        <v/>
      </c>
      <c r="B21204" s="0" t="s">
        <v>28132</v>
      </c>
      <c r="E21204" s="0" t="inlineStr">
        <is>
          <t xml:space="preserve">Mazda</t>
        </is>
      </c>
      <c r="F21204" s="0" t="inlineStr">
        <is>
          <t xml:space="preserve">Mazda</t>
        </is>
      </c>
      <c r="G21204" s="0" t="s">
        <v>171</v>
      </c>
      <c r="H21204" s="5">
        <v>868.875400</v>
      </c>
    </row>
    <row r="21205" spans="1:9">
      <c r="A21205" s="22" t="str">
        <f>HYPERLINK("https://app.vivvix.com/360/KMI/IntelliDrive/ApplUI/Pages/CreativePages/CustomReportCreativeDetail.aspx?App=23&amp;ReportView=4&amp;Qid=1711279&amp;Row=21197&amp;Col=1","No Title Assigned - #15279861859")</f>
        <v/>
      </c>
      <c r="B21205" s="0" t="s">
        <v>28133</v>
      </c>
      <c r="E21205" s="0" t="inlineStr">
        <is>
          <t xml:space="preserve">Mazda</t>
        </is>
      </c>
      <c r="F21205" s="0" t="inlineStr">
        <is>
          <t xml:space="preserve">Mazda</t>
        </is>
      </c>
      <c r="G21205" s="0" t="s">
        <v>171</v>
      </c>
      <c r="H21205" s="5">
        <v>439.264100</v>
      </c>
    </row>
    <row r="21206" spans="1:9">
      <c r="A21206" s="22" t="str">
        <f>HYPERLINK("https://app.vivvix.com/360/KMI/IntelliDrive/ApplUI/Pages/CreativePages/CustomReportCreativeDetail.aspx?App=23&amp;ReportView=4&amp;Qid=1711279&amp;Row=21198&amp;Col=1","No Title Assigned - #15279861924")</f>
        <v/>
      </c>
      <c r="B21206" s="0" t="s">
        <v>28134</v>
      </c>
      <c r="E21206" s="0" t="inlineStr">
        <is>
          <t xml:space="preserve">Mazda</t>
        </is>
      </c>
      <c r="F21206" s="0" t="inlineStr">
        <is>
          <t xml:space="preserve">Mazda</t>
        </is>
      </c>
      <c r="G21206" s="0" t="s">
        <v>171</v>
      </c>
      <c r="H21206" s="5">
        <v>5.543100</v>
      </c>
    </row>
    <row r="21207" spans="1:9">
      <c r="A21207" s="22" t="str">
        <f>HYPERLINK("https://app.vivvix.com/360/KMI/IntelliDrive/ApplUI/Pages/CreativePages/CustomReportCreativeDetail.aspx?App=23&amp;ReportView=4&amp;Qid=1711279&amp;Row=21199&amp;Col=1","No Title Assigned - #15279861977")</f>
        <v/>
      </c>
      <c r="B21207" s="0" t="s">
        <v>28135</v>
      </c>
      <c r="E21207" s="0" t="inlineStr">
        <is>
          <t xml:space="preserve">Mazda</t>
        </is>
      </c>
      <c r="F21207" s="0" t="inlineStr">
        <is>
          <t xml:space="preserve">Mazda</t>
        </is>
      </c>
      <c r="G21207" s="0" t="s">
        <v>171</v>
      </c>
      <c r="H21207" s="5">
        <v>60.597400</v>
      </c>
    </row>
    <row r="21208" spans="1:9">
      <c r="A21208" s="22" t="str">
        <f>HYPERLINK("https://app.vivvix.com/360/KMI/IntelliDrive/ApplUI/Pages/CreativePages/CustomReportCreativeDetail.aspx?App=23&amp;ReportView=4&amp;Qid=1711279&amp;Row=21200&amp;Col=1","No Title Assigned - #15279862153")</f>
        <v/>
      </c>
      <c r="B21208" s="0" t="s">
        <v>28136</v>
      </c>
      <c r="E21208" s="0" t="inlineStr">
        <is>
          <t xml:space="preserve">Mazda</t>
        </is>
      </c>
      <c r="F21208" s="0" t="inlineStr">
        <is>
          <t xml:space="preserve">Mazda</t>
        </is>
      </c>
      <c r="G21208" s="0" t="s">
        <v>171</v>
      </c>
      <c r="H21208" s="5">
        <v>55.731100</v>
      </c>
    </row>
    <row r="21209" spans="1:9">
      <c r="A21209" s="22" t="str">
        <f>HYPERLINK("https://app.vivvix.com/360/KMI/IntelliDrive/ApplUI/Pages/CreativePages/CustomReportCreativeDetail.aspx?App=23&amp;ReportView=4&amp;Qid=1711279&amp;Row=21201&amp;Col=1","No Title Assigned - #15279862300")</f>
        <v/>
      </c>
      <c r="B21209" s="0" t="s">
        <v>28137</v>
      </c>
      <c r="E21209" s="0" t="inlineStr">
        <is>
          <t xml:space="preserve">Mazda</t>
        </is>
      </c>
      <c r="F21209" s="0" t="inlineStr">
        <is>
          <t xml:space="preserve">Mazda</t>
        </is>
      </c>
      <c r="G21209" s="0" t="s">
        <v>171</v>
      </c>
      <c r="H21209" s="5">
        <v>72.542500</v>
      </c>
    </row>
    <row r="21210" spans="1:9">
      <c r="A21210" s="22" t="str">
        <f>HYPERLINK("https://app.vivvix.com/360/KMI/IntelliDrive/ApplUI/Pages/CreativePages/CustomReportCreativeDetail.aspx?App=23&amp;ReportView=4&amp;Qid=1711279&amp;Row=21202&amp;Col=1","No Title Assigned - #15279862353")</f>
        <v/>
      </c>
      <c r="B21210" s="0" t="s">
        <v>28138</v>
      </c>
      <c r="E21210" s="0" t="inlineStr">
        <is>
          <t xml:space="preserve">Mazda</t>
        </is>
      </c>
      <c r="F21210" s="0" t="inlineStr">
        <is>
          <t xml:space="preserve">Mazda</t>
        </is>
      </c>
      <c r="G21210" s="0" t="s">
        <v>171</v>
      </c>
      <c r="H21210" s="5">
        <v>5225.455600</v>
      </c>
    </row>
    <row r="21211" spans="1:9">
      <c r="A21211" s="22" t="str">
        <f>HYPERLINK("https://app.vivvix.com/360/KMI/IntelliDrive/ApplUI/Pages/CreativePages/CustomReportCreativeDetail.aspx?App=23&amp;ReportView=4&amp;Qid=1711279&amp;Row=21203&amp;Col=1","No Title Assigned - #15279862353")</f>
        <v/>
      </c>
      <c r="B21211" s="0" t="s">
        <v>28138</v>
      </c>
      <c r="E21211" s="0" t="inlineStr">
        <is>
          <t xml:space="preserve">Mazda</t>
        </is>
      </c>
      <c r="F21211" s="0" t="inlineStr">
        <is>
          <t xml:space="preserve">Mazda</t>
        </is>
      </c>
      <c r="G21211" s="0" t="s">
        <v>171</v>
      </c>
      <c r="H21211" s="5">
        <v>26.147600</v>
      </c>
    </row>
    <row r="21212" spans="1:9">
      <c r="A21212" s="22" t="str">
        <f>HYPERLINK("https://app.vivvix.com/360/KMI/IntelliDrive/ApplUI/Pages/CreativePages/CustomReportCreativeDetail.aspx?App=23&amp;ReportView=4&amp;Qid=1711279&amp;Row=21204&amp;Col=1","No Title Assigned - #15279862445")</f>
        <v/>
      </c>
      <c r="B21212" s="0" t="s">
        <v>28139</v>
      </c>
      <c r="E21212" s="0" t="inlineStr">
        <is>
          <t xml:space="preserve">Mazda</t>
        </is>
      </c>
      <c r="F21212" s="0" t="inlineStr">
        <is>
          <t xml:space="preserve">Mazda</t>
        </is>
      </c>
      <c r="G21212" s="0" t="s">
        <v>171</v>
      </c>
      <c r="H21212" s="5">
        <v>545.358800</v>
      </c>
    </row>
    <row r="21213" spans="1:9">
      <c r="A21213" s="22" t="str">
        <f>HYPERLINK("https://app.vivvix.com/360/KMI/IntelliDrive/ApplUI/Pages/CreativePages/CustomReportCreativeDetail.aspx?App=23&amp;ReportView=4&amp;Qid=1711279&amp;Row=21205&amp;Col=1","No Title Assigned - #15279862555")</f>
        <v/>
      </c>
      <c r="B21213" s="0" t="s">
        <v>28140</v>
      </c>
      <c r="E21213" s="0" t="inlineStr">
        <is>
          <t xml:space="preserve">Mazda</t>
        </is>
      </c>
      <c r="F21213" s="0" t="inlineStr">
        <is>
          <t xml:space="preserve">Mazda</t>
        </is>
      </c>
      <c r="G21213" s="0" t="s">
        <v>171</v>
      </c>
      <c r="H21213" s="5">
        <v>1106.798200</v>
      </c>
    </row>
    <row r="21214" spans="1:9">
      <c r="A21214" s="22" t="str">
        <f>HYPERLINK("https://app.vivvix.com/360/KMI/IntelliDrive/ApplUI/Pages/CreativePages/CustomReportCreativeDetail.aspx?App=23&amp;ReportView=4&amp;Qid=1711279&amp;Row=21206&amp;Col=1","No Title Assigned - #15279863031")</f>
        <v/>
      </c>
      <c r="B21214" s="0" t="s">
        <v>28141</v>
      </c>
      <c r="E21214" s="0" t="inlineStr">
        <is>
          <t xml:space="preserve">Mazda</t>
        </is>
      </c>
      <c r="F21214" s="0" t="inlineStr">
        <is>
          <t xml:space="preserve">Mazda</t>
        </is>
      </c>
      <c r="G21214" s="0" t="s">
        <v>171</v>
      </c>
      <c r="H21214" s="5">
        <v>888.750400</v>
      </c>
    </row>
    <row r="21215" spans="1:9">
      <c r="A21215" s="22" t="str">
        <f>HYPERLINK("https://app.vivvix.com/360/KMI/IntelliDrive/ApplUI/Pages/CreativePages/CustomReportCreativeDetail.aspx?App=23&amp;ReportView=4&amp;Qid=1711279&amp;Row=21207&amp;Col=1","No Title Assigned - #15279863255")</f>
        <v/>
      </c>
      <c r="B21215" s="0" t="s">
        <v>28142</v>
      </c>
      <c r="E21215" s="0" t="inlineStr">
        <is>
          <t xml:space="preserve">Mazda</t>
        </is>
      </c>
      <c r="F21215" s="0" t="inlineStr">
        <is>
          <t xml:space="preserve">Mazda</t>
        </is>
      </c>
      <c r="G21215" s="0" t="s">
        <v>171</v>
      </c>
      <c r="H21215" s="5">
        <v>139.078200</v>
      </c>
    </row>
    <row r="21216" spans="1:9">
      <c r="A21216" s="22" t="str">
        <f>HYPERLINK("https://app.vivvix.com/360/KMI/IntelliDrive/ApplUI/Pages/CreativePages/CustomReportCreativeDetail.aspx?App=23&amp;ReportView=4&amp;Qid=1711279&amp;Row=21208&amp;Col=1","No Title Assigned - #15279863288")</f>
        <v/>
      </c>
      <c r="B21216" s="0" t="s">
        <v>28143</v>
      </c>
      <c r="E21216" s="0" t="inlineStr">
        <is>
          <t xml:space="preserve">Mazda</t>
        </is>
      </c>
      <c r="F21216" s="0" t="inlineStr">
        <is>
          <t xml:space="preserve">Mazda</t>
        </is>
      </c>
      <c r="G21216" s="0" t="s">
        <v>171</v>
      </c>
      <c r="H21216" s="5">
        <v>4.507300</v>
      </c>
    </row>
    <row r="21217" spans="1:9">
      <c r="A21217" s="22" t="str">
        <f>HYPERLINK("https://app.vivvix.com/360/KMI/IntelliDrive/ApplUI/Pages/CreativePages/CustomReportCreativeDetail.aspx?App=23&amp;ReportView=4&amp;Qid=1711279&amp;Row=21209&amp;Col=1","No Title Assigned - #15279863290")</f>
        <v/>
      </c>
      <c r="B21217" s="0" t="s">
        <v>28144</v>
      </c>
      <c r="E21217" s="0" t="inlineStr">
        <is>
          <t xml:space="preserve">Mazda</t>
        </is>
      </c>
      <c r="F21217" s="0" t="inlineStr">
        <is>
          <t xml:space="preserve">Mazda</t>
        </is>
      </c>
      <c r="G21217" s="0" t="s">
        <v>171</v>
      </c>
      <c r="H21217" s="5">
        <v>128.379600</v>
      </c>
    </row>
    <row r="21218" spans="1:9">
      <c r="A21218" s="22" t="str">
        <f>HYPERLINK("https://app.vivvix.com/360/KMI/IntelliDrive/ApplUI/Pages/CreativePages/CustomReportCreativeDetail.aspx?App=23&amp;ReportView=4&amp;Qid=1711279&amp;Row=21210&amp;Col=1","No Title Assigned - #15279863428")</f>
        <v/>
      </c>
      <c r="B21218" s="0" t="s">
        <v>28145</v>
      </c>
      <c r="E21218" s="0" t="inlineStr">
        <is>
          <t xml:space="preserve">Mazda</t>
        </is>
      </c>
      <c r="F21218" s="0" t="inlineStr">
        <is>
          <t xml:space="preserve">Mazda</t>
        </is>
      </c>
      <c r="G21218" s="0" t="s">
        <v>171</v>
      </c>
      <c r="H21218" s="5">
        <v>213.883400</v>
      </c>
    </row>
    <row r="21219" spans="1:9">
      <c r="A21219" s="22" t="str">
        <f>HYPERLINK("https://app.vivvix.com/360/KMI/IntelliDrive/ApplUI/Pages/CreativePages/CustomReportCreativeDetail.aspx?App=23&amp;ReportView=4&amp;Qid=1711279&amp;Row=21211&amp;Col=1","No Title Assigned - #15279863941")</f>
        <v/>
      </c>
      <c r="B21219" s="0" t="s">
        <v>28146</v>
      </c>
      <c r="E21219" s="0" t="inlineStr">
        <is>
          <t xml:space="preserve">Mazda</t>
        </is>
      </c>
      <c r="F21219" s="0" t="inlineStr">
        <is>
          <t xml:space="preserve">Mazda</t>
        </is>
      </c>
      <c r="G21219" s="0" t="s">
        <v>171</v>
      </c>
      <c r="H21219" s="5">
        <v>666.251900</v>
      </c>
    </row>
    <row r="21220" spans="1:9">
      <c r="A21220" s="22" t="str">
        <f>HYPERLINK("https://app.vivvix.com/360/KMI/IntelliDrive/ApplUI/Pages/CreativePages/CustomReportCreativeDetail.aspx?App=23&amp;ReportView=4&amp;Qid=1711279&amp;Row=21212&amp;Col=1","No Title Assigned - #15279863941")</f>
        <v/>
      </c>
      <c r="B21220" s="0" t="s">
        <v>28146</v>
      </c>
      <c r="E21220" s="0" t="inlineStr">
        <is>
          <t xml:space="preserve">Mazda</t>
        </is>
      </c>
      <c r="F21220" s="0" t="inlineStr">
        <is>
          <t xml:space="preserve">Mazda</t>
        </is>
      </c>
      <c r="G21220" s="0" t="s">
        <v>171</v>
      </c>
      <c r="H21220" s="5">
        <v>111.526700</v>
      </c>
    </row>
    <row r="21221" spans="1:9">
      <c r="A21221" s="22" t="str">
        <f>HYPERLINK("https://app.vivvix.com/360/KMI/IntelliDrive/ApplUI/Pages/CreativePages/CustomReportCreativeDetail.aspx?App=23&amp;ReportView=4&amp;Qid=1711279&amp;Row=21213&amp;Col=1","No Title Assigned - #15279864012")</f>
        <v/>
      </c>
      <c r="B21221" s="0" t="s">
        <v>28147</v>
      </c>
      <c r="E21221" s="0" t="inlineStr">
        <is>
          <t xml:space="preserve">Mazda</t>
        </is>
      </c>
      <c r="F21221" s="0" t="inlineStr">
        <is>
          <t xml:space="preserve">Mazda</t>
        </is>
      </c>
      <c r="G21221" s="0" t="s">
        <v>171</v>
      </c>
      <c r="H21221" s="5">
        <v>38.609000</v>
      </c>
    </row>
    <row r="21222" spans="1:9">
      <c r="A21222" s="22" t="str">
        <f>HYPERLINK("https://app.vivvix.com/360/KMI/IntelliDrive/ApplUI/Pages/CreativePages/CustomReportCreativeDetail.aspx?App=23&amp;ReportView=4&amp;Qid=1711279&amp;Row=21214&amp;Col=1","No Title Assigned - #15279864035")</f>
        <v/>
      </c>
      <c r="B21222" s="0" t="s">
        <v>28148</v>
      </c>
      <c r="E21222" s="0" t="inlineStr">
        <is>
          <t xml:space="preserve">Mazda</t>
        </is>
      </c>
      <c r="F21222" s="0" t="inlineStr">
        <is>
          <t xml:space="preserve">Mazda</t>
        </is>
      </c>
      <c r="G21222" s="0" t="s">
        <v>171</v>
      </c>
      <c r="H21222" s="5">
        <v>664.830800</v>
      </c>
    </row>
    <row r="21223" spans="1:9">
      <c r="A21223" s="22" t="str">
        <f>HYPERLINK("https://app.vivvix.com/360/KMI/IntelliDrive/ApplUI/Pages/CreativePages/CustomReportCreativeDetail.aspx?App=23&amp;ReportView=4&amp;Qid=1711279&amp;Row=21215&amp;Col=1","No Title Assigned - #15279864173")</f>
        <v/>
      </c>
      <c r="B21223" s="0" t="s">
        <v>28149</v>
      </c>
      <c r="E21223" s="0" t="inlineStr">
        <is>
          <t xml:space="preserve">Mazda</t>
        </is>
      </c>
      <c r="F21223" s="0" t="inlineStr">
        <is>
          <t xml:space="preserve">Mazda</t>
        </is>
      </c>
      <c r="G21223" s="0" t="s">
        <v>171</v>
      </c>
      <c r="H21223" s="5">
        <v>13.880200</v>
      </c>
    </row>
    <row r="21224" spans="1:9">
      <c r="A21224" s="22" t="str">
        <f>HYPERLINK("https://app.vivvix.com/360/KMI/IntelliDrive/ApplUI/Pages/CreativePages/CustomReportCreativeDetail.aspx?App=23&amp;ReportView=4&amp;Qid=1711279&amp;Row=21216&amp;Col=1","No Title Assigned - #15279864214")</f>
        <v/>
      </c>
      <c r="B21224" s="0" t="s">
        <v>28150</v>
      </c>
      <c r="E21224" s="0" t="inlineStr">
        <is>
          <t xml:space="preserve">Mazda</t>
        </is>
      </c>
      <c r="F21224" s="0" t="inlineStr">
        <is>
          <t xml:space="preserve">Mazda</t>
        </is>
      </c>
      <c r="G21224" s="0" t="s">
        <v>171</v>
      </c>
      <c r="H21224" s="5">
        <v>6882.755200</v>
      </c>
    </row>
    <row r="21225" spans="1:9">
      <c r="A21225" s="22" t="str">
        <f>HYPERLINK("https://app.vivvix.com/360/KMI/IntelliDrive/ApplUI/Pages/CreativePages/CustomReportCreativeDetail.aspx?App=23&amp;ReportView=4&amp;Qid=1711279&amp;Row=21217&amp;Col=1","No Title Assigned - #15279864214")</f>
        <v/>
      </c>
      <c r="B21225" s="0" t="s">
        <v>28150</v>
      </c>
      <c r="E21225" s="0" t="inlineStr">
        <is>
          <t xml:space="preserve">Mazda</t>
        </is>
      </c>
      <c r="F21225" s="0" t="inlineStr">
        <is>
          <t xml:space="preserve">Mazda</t>
        </is>
      </c>
      <c r="G21225" s="0" t="s">
        <v>171</v>
      </c>
      <c r="H21225" s="5">
        <v>17206.127000</v>
      </c>
    </row>
    <row r="21226" spans="1:9">
      <c r="A21226" s="22" t="str">
        <f>HYPERLINK("https://app.vivvix.com/360/KMI/IntelliDrive/ApplUI/Pages/CreativePages/CustomReportCreativeDetail.aspx?App=23&amp;ReportView=4&amp;Qid=1711279&amp;Row=21218&amp;Col=1","No Title Assigned - #15279864294")</f>
        <v/>
      </c>
      <c r="B21226" s="0" t="s">
        <v>28151</v>
      </c>
      <c r="E21226" s="0" t="inlineStr">
        <is>
          <t xml:space="preserve">Mazda</t>
        </is>
      </c>
      <c r="F21226" s="0" t="inlineStr">
        <is>
          <t xml:space="preserve">Mazda</t>
        </is>
      </c>
      <c r="G21226" s="0" t="s">
        <v>171</v>
      </c>
      <c r="H21226" s="5">
        <v>6890.068200</v>
      </c>
    </row>
    <row r="21227" spans="1:9">
      <c r="A21227" s="22" t="str">
        <f>HYPERLINK("https://app.vivvix.com/360/KMI/IntelliDrive/ApplUI/Pages/CreativePages/CustomReportCreativeDetail.aspx?App=23&amp;ReportView=4&amp;Qid=1711279&amp;Row=21219&amp;Col=1","No Title Assigned - #15279864576")</f>
        <v/>
      </c>
      <c r="B21227" s="0" t="s">
        <v>28152</v>
      </c>
      <c r="E21227" s="0" t="inlineStr">
        <is>
          <t xml:space="preserve">Mazda</t>
        </is>
      </c>
      <c r="F21227" s="0" t="inlineStr">
        <is>
          <t xml:space="preserve">Mazda</t>
        </is>
      </c>
      <c r="G21227" s="0" t="s">
        <v>171</v>
      </c>
      <c r="H21227" s="5">
        <v>636.264200</v>
      </c>
    </row>
    <row r="21228" spans="1:9">
      <c r="A21228" s="22" t="str">
        <f>HYPERLINK("https://app.vivvix.com/360/KMI/IntelliDrive/ApplUI/Pages/CreativePages/CustomReportCreativeDetail.aspx?App=23&amp;ReportView=4&amp;Qid=1711279&amp;Row=21220&amp;Col=1","No Title Assigned - #15279864585")</f>
        <v/>
      </c>
      <c r="B21228" s="0" t="s">
        <v>28153</v>
      </c>
      <c r="E21228" s="0" t="inlineStr">
        <is>
          <t xml:space="preserve">Mazda</t>
        </is>
      </c>
      <c r="F21228" s="0" t="inlineStr">
        <is>
          <t xml:space="preserve">Mazda</t>
        </is>
      </c>
      <c r="G21228" s="0" t="s">
        <v>171</v>
      </c>
      <c r="H21228" s="5">
        <v>1.216000</v>
      </c>
    </row>
    <row r="21229" spans="1:9">
      <c r="A21229" s="22" t="str">
        <f>HYPERLINK("https://app.vivvix.com/360/KMI/IntelliDrive/ApplUI/Pages/CreativePages/CustomReportCreativeDetail.aspx?App=23&amp;ReportView=4&amp;Qid=1711279&amp;Row=21221&amp;Col=1","No Title Assigned - #15279864975")</f>
        <v/>
      </c>
      <c r="B21229" s="0" t="s">
        <v>28154</v>
      </c>
      <c r="E21229" s="0" t="inlineStr">
        <is>
          <t xml:space="preserve">Mazda</t>
        </is>
      </c>
      <c r="F21229" s="0" t="inlineStr">
        <is>
          <t xml:space="preserve">Mazda</t>
        </is>
      </c>
      <c r="G21229" s="0" t="s">
        <v>171</v>
      </c>
      <c r="H21229" s="5">
        <v>241.153100</v>
      </c>
    </row>
    <row r="21230" spans="1:9">
      <c r="A21230" s="22" t="str">
        <f>HYPERLINK("https://app.vivvix.com/360/KMI/IntelliDrive/ApplUI/Pages/CreativePages/CustomReportCreativeDetail.aspx?App=23&amp;ReportView=4&amp;Qid=1711279&amp;Row=21222&amp;Col=1","No Title Assigned - #15279865081")</f>
        <v/>
      </c>
      <c r="B21230" s="0" t="s">
        <v>28155</v>
      </c>
      <c r="E21230" s="0" t="inlineStr">
        <is>
          <t xml:space="preserve">Mazda</t>
        </is>
      </c>
      <c r="F21230" s="0" t="inlineStr">
        <is>
          <t xml:space="preserve">Mazda</t>
        </is>
      </c>
      <c r="G21230" s="0" t="s">
        <v>171</v>
      </c>
      <c r="H21230" s="5">
        <v>269.112300</v>
      </c>
    </row>
    <row r="21231" spans="1:9">
      <c r="A21231" s="22" t="str">
        <f>HYPERLINK("https://app.vivvix.com/360/KMI/IntelliDrive/ApplUI/Pages/CreativePages/CustomReportCreativeDetail.aspx?App=23&amp;ReportView=4&amp;Qid=1711279&amp;Row=21223&amp;Col=1","No Title Assigned - #15279865081")</f>
        <v/>
      </c>
      <c r="B21231" s="0" t="s">
        <v>28155</v>
      </c>
      <c r="E21231" s="0" t="inlineStr">
        <is>
          <t xml:space="preserve">Mazda</t>
        </is>
      </c>
      <c r="F21231" s="0" t="inlineStr">
        <is>
          <t xml:space="preserve">Mazda</t>
        </is>
      </c>
      <c r="G21231" s="0" t="s">
        <v>171</v>
      </c>
      <c r="H21231" s="5">
        <v>5.672900</v>
      </c>
    </row>
    <row r="21232" spans="1:9">
      <c r="A21232" s="22" t="str">
        <f>HYPERLINK("https://app.vivvix.com/360/KMI/IntelliDrive/ApplUI/Pages/CreativePages/CustomReportCreativeDetail.aspx?App=23&amp;ReportView=4&amp;Qid=1711279&amp;Row=21224&amp;Col=1","No Title Assigned - #15279865124")</f>
        <v/>
      </c>
      <c r="B21232" s="0" t="s">
        <v>28156</v>
      </c>
      <c r="E21232" s="0" t="inlineStr">
        <is>
          <t xml:space="preserve">Mazda</t>
        </is>
      </c>
      <c r="F21232" s="0" t="inlineStr">
        <is>
          <t xml:space="preserve">Mazda</t>
        </is>
      </c>
      <c r="G21232" s="0" t="s">
        <v>171</v>
      </c>
      <c r="H21232" s="5">
        <v>1903.518900</v>
      </c>
    </row>
    <row r="21233" spans="1:9">
      <c r="A21233" s="22" t="str">
        <f>HYPERLINK("https://app.vivvix.com/360/KMI/IntelliDrive/ApplUI/Pages/CreativePages/CustomReportCreativeDetail.aspx?App=23&amp;ReportView=4&amp;Qid=1711279&amp;Row=21225&amp;Col=1","No Title Assigned - #15279865124")</f>
        <v/>
      </c>
      <c r="B21233" s="0" t="s">
        <v>28156</v>
      </c>
      <c r="E21233" s="0" t="inlineStr">
        <is>
          <t xml:space="preserve">Mazda</t>
        </is>
      </c>
      <c r="F21233" s="0" t="inlineStr">
        <is>
          <t xml:space="preserve">Mazda</t>
        </is>
      </c>
      <c r="G21233" s="0" t="s">
        <v>171</v>
      </c>
      <c r="H21233" s="5">
        <v>306.051200</v>
      </c>
    </row>
    <row r="21234" spans="1:9">
      <c r="A21234" s="22" t="str">
        <f>HYPERLINK("https://app.vivvix.com/360/KMI/IntelliDrive/ApplUI/Pages/CreativePages/CustomReportCreativeDetail.aspx?App=23&amp;ReportView=4&amp;Qid=1711279&amp;Row=21226&amp;Col=1","No Title Assigned - #15279865142")</f>
        <v/>
      </c>
      <c r="B21234" s="0" t="s">
        <v>28157</v>
      </c>
      <c r="E21234" s="0" t="inlineStr">
        <is>
          <t xml:space="preserve">Mazda</t>
        </is>
      </c>
      <c r="F21234" s="0" t="inlineStr">
        <is>
          <t xml:space="preserve">Mazda</t>
        </is>
      </c>
      <c r="G21234" s="0" t="s">
        <v>171</v>
      </c>
      <c r="H21234" s="5">
        <v>446.705600</v>
      </c>
    </row>
    <row r="21235" spans="1:9">
      <c r="A21235" s="22" t="str">
        <f>HYPERLINK("https://app.vivvix.com/360/KMI/IntelliDrive/ApplUI/Pages/CreativePages/CustomReportCreativeDetail.aspx?App=23&amp;ReportView=4&amp;Qid=1711279&amp;Row=21227&amp;Col=1","No Title Assigned - #15279865152")</f>
        <v/>
      </c>
      <c r="B21235" s="0" t="s">
        <v>28158</v>
      </c>
      <c r="E21235" s="0" t="inlineStr">
        <is>
          <t xml:space="preserve">Mazda</t>
        </is>
      </c>
      <c r="F21235" s="0" t="inlineStr">
        <is>
          <t xml:space="preserve">Mazda</t>
        </is>
      </c>
      <c r="G21235" s="0" t="s">
        <v>171</v>
      </c>
      <c r="H21235" s="5">
        <v>41.390100</v>
      </c>
    </row>
    <row r="21236" spans="1:9">
      <c r="A21236" s="22" t="str">
        <f>HYPERLINK("https://app.vivvix.com/360/KMI/IntelliDrive/ApplUI/Pages/CreativePages/CustomReportCreativeDetail.aspx?App=23&amp;ReportView=4&amp;Qid=1711279&amp;Row=21228&amp;Col=1","No Title Assigned - #15279865180")</f>
        <v/>
      </c>
      <c r="B21236" s="0" t="s">
        <v>28159</v>
      </c>
      <c r="E21236" s="0" t="inlineStr">
        <is>
          <t xml:space="preserve">Mazda</t>
        </is>
      </c>
      <c r="F21236" s="0" t="inlineStr">
        <is>
          <t xml:space="preserve">Mazda</t>
        </is>
      </c>
      <c r="G21236" s="0" t="s">
        <v>171</v>
      </c>
      <c r="H21236" s="5">
        <v>41.390100</v>
      </c>
    </row>
    <row r="21237" spans="1:9">
      <c r="A21237" s="22" t="str">
        <f>HYPERLINK("https://app.vivvix.com/360/KMI/IntelliDrive/ApplUI/Pages/CreativePages/CustomReportCreativeDetail.aspx?App=23&amp;ReportView=4&amp;Qid=1711279&amp;Row=21229&amp;Col=1","No Title Assigned - #15279865180")</f>
        <v/>
      </c>
      <c r="B21237" s="0" t="s">
        <v>28159</v>
      </c>
      <c r="E21237" s="0" t="inlineStr">
        <is>
          <t xml:space="preserve">Mazda</t>
        </is>
      </c>
      <c r="F21237" s="0" t="inlineStr">
        <is>
          <t xml:space="preserve">Mazda</t>
        </is>
      </c>
      <c r="G21237" s="0" t="s">
        <v>171</v>
      </c>
      <c r="H21237" s="5">
        <v>1517.064700</v>
      </c>
    </row>
    <row r="21238" spans="1:9">
      <c r="A21238" s="22" t="str">
        <f>HYPERLINK("https://app.vivvix.com/360/KMI/IntelliDrive/ApplUI/Pages/CreativePages/CustomReportCreativeDetail.aspx?App=23&amp;ReportView=4&amp;Qid=1711279&amp;Row=21230&amp;Col=1","No Title Assigned - #15279865237")</f>
        <v/>
      </c>
      <c r="B21238" s="0" t="s">
        <v>28160</v>
      </c>
      <c r="E21238" s="0" t="inlineStr">
        <is>
          <t xml:space="preserve">Mazda</t>
        </is>
      </c>
      <c r="F21238" s="0" t="inlineStr">
        <is>
          <t xml:space="preserve">Mazda</t>
        </is>
      </c>
      <c r="G21238" s="0" t="s">
        <v>171</v>
      </c>
      <c r="H21238" s="5">
        <v>422.756400</v>
      </c>
    </row>
    <row r="21239" spans="1:9">
      <c r="A21239" s="22" t="str">
        <f>HYPERLINK("https://app.vivvix.com/360/KMI/IntelliDrive/ApplUI/Pages/CreativePages/CustomReportCreativeDetail.aspx?App=23&amp;ReportView=4&amp;Qid=1711279&amp;Row=21231&amp;Col=1","No Title Assigned - #15279865273")</f>
        <v/>
      </c>
      <c r="B21239" s="0" t="s">
        <v>28161</v>
      </c>
      <c r="E21239" s="0" t="inlineStr">
        <is>
          <t xml:space="preserve">Mazda</t>
        </is>
      </c>
      <c r="F21239" s="0" t="inlineStr">
        <is>
          <t xml:space="preserve">Mazda</t>
        </is>
      </c>
      <c r="G21239" s="0" t="s">
        <v>171</v>
      </c>
      <c r="H21239" s="5">
        <v>306.051200</v>
      </c>
    </row>
    <row r="21240" spans="1:9">
      <c r="A21240" s="22" t="str">
        <f>HYPERLINK("https://app.vivvix.com/360/KMI/IntelliDrive/ApplUI/Pages/CreativePages/CustomReportCreativeDetail.aspx?App=23&amp;ReportView=4&amp;Qid=1711279&amp;Row=21232&amp;Col=1","No Title Assigned - #15279865876")</f>
        <v/>
      </c>
      <c r="B21240" s="0" t="s">
        <v>28162</v>
      </c>
      <c r="E21240" s="0" t="inlineStr">
        <is>
          <t xml:space="preserve">Mazda</t>
        </is>
      </c>
      <c r="F21240" s="0" t="inlineStr">
        <is>
          <t xml:space="preserve">Mazda</t>
        </is>
      </c>
      <c r="G21240" s="0" t="s">
        <v>171</v>
      </c>
      <c r="H21240" s="5">
        <v>10879.641600</v>
      </c>
    </row>
    <row r="21241" spans="1:9">
      <c r="A21241" s="22" t="str">
        <f>HYPERLINK("https://app.vivvix.com/360/KMI/IntelliDrive/ApplUI/Pages/CreativePages/CustomReportCreativeDetail.aspx?App=23&amp;ReportView=4&amp;Qid=1711279&amp;Row=21233&amp;Col=1","No Title Assigned - #15279865948")</f>
        <v/>
      </c>
      <c r="B21241" s="0" t="s">
        <v>28163</v>
      </c>
      <c r="E21241" s="0" t="inlineStr">
        <is>
          <t xml:space="preserve">Mazda</t>
        </is>
      </c>
      <c r="F21241" s="0" t="inlineStr">
        <is>
          <t xml:space="preserve">Mazda</t>
        </is>
      </c>
      <c r="G21241" s="0" t="s">
        <v>171</v>
      </c>
      <c r="H21241" s="5">
        <v>52.433600</v>
      </c>
    </row>
    <row r="21242" spans="1:9">
      <c r="A21242" s="22" t="str">
        <f>HYPERLINK("https://app.vivvix.com/360/KMI/IntelliDrive/ApplUI/Pages/CreativePages/CustomReportCreativeDetail.aspx?App=23&amp;ReportView=4&amp;Qid=1711279&amp;Row=21234&amp;Col=1","No Title Assigned - #15279866034")</f>
        <v/>
      </c>
      <c r="B21242" s="0" t="s">
        <v>28164</v>
      </c>
      <c r="E21242" s="0" t="inlineStr">
        <is>
          <t xml:space="preserve">Mazda</t>
        </is>
      </c>
      <c r="F21242" s="0" t="inlineStr">
        <is>
          <t xml:space="preserve">Mazda</t>
        </is>
      </c>
      <c r="G21242" s="0" t="s">
        <v>171</v>
      </c>
      <c r="H21242" s="5">
        <v>25.246500</v>
      </c>
    </row>
    <row r="21243" spans="1:9">
      <c r="A21243" s="22" t="str">
        <f>HYPERLINK("https://app.vivvix.com/360/KMI/IntelliDrive/ApplUI/Pages/CreativePages/CustomReportCreativeDetail.aspx?App=23&amp;ReportView=4&amp;Qid=1711279&amp;Row=21235&amp;Col=1","No Title Assigned - #15279866183")</f>
        <v/>
      </c>
      <c r="B21243" s="0" t="s">
        <v>28165</v>
      </c>
      <c r="E21243" s="0" t="inlineStr">
        <is>
          <t xml:space="preserve">Mazda</t>
        </is>
      </c>
      <c r="F21243" s="0" t="inlineStr">
        <is>
          <t xml:space="preserve">Mazda</t>
        </is>
      </c>
      <c r="G21243" s="0" t="s">
        <v>171</v>
      </c>
      <c r="H21243" s="5">
        <v>98.823700</v>
      </c>
    </row>
    <row r="21244" spans="1:9">
      <c r="A21244" s="22" t="str">
        <f>HYPERLINK("https://app.vivvix.com/360/KMI/IntelliDrive/ApplUI/Pages/CreativePages/CustomReportCreativeDetail.aspx?App=23&amp;ReportView=4&amp;Qid=1711279&amp;Row=21236&amp;Col=1","No Title Assigned - #15279866239")</f>
        <v/>
      </c>
      <c r="B21244" s="0" t="s">
        <v>28166</v>
      </c>
      <c r="E21244" s="0" t="inlineStr">
        <is>
          <t xml:space="preserve">Mazda</t>
        </is>
      </c>
      <c r="F21244" s="0" t="inlineStr">
        <is>
          <t xml:space="preserve">Mazda</t>
        </is>
      </c>
      <c r="G21244" s="0" t="s">
        <v>171</v>
      </c>
      <c r="H21244" s="5">
        <v>55.731100</v>
      </c>
    </row>
    <row r="21245" spans="1:9">
      <c r="A21245" s="22" t="str">
        <f>HYPERLINK("https://app.vivvix.com/360/KMI/IntelliDrive/ApplUI/Pages/CreativePages/CustomReportCreativeDetail.aspx?App=23&amp;ReportView=4&amp;Qid=1711279&amp;Row=21237&amp;Col=1","No Title Assigned - #15279866264")</f>
        <v/>
      </c>
      <c r="B21245" s="0" t="s">
        <v>28167</v>
      </c>
      <c r="E21245" s="0" t="inlineStr">
        <is>
          <t xml:space="preserve">Mazda</t>
        </is>
      </c>
      <c r="F21245" s="0" t="inlineStr">
        <is>
          <t xml:space="preserve">Mazda</t>
        </is>
      </c>
      <c r="G21245" s="0" t="s">
        <v>171</v>
      </c>
      <c r="H21245" s="5">
        <v>147.774600</v>
      </c>
    </row>
    <row r="21246" spans="1:9">
      <c r="A21246" s="22" t="str">
        <f>HYPERLINK("https://app.vivvix.com/360/KMI/IntelliDrive/ApplUI/Pages/CreativePages/CustomReportCreativeDetail.aspx?App=23&amp;ReportView=4&amp;Qid=1711279&amp;Row=21238&amp;Col=1","No Title Assigned - #15279866295")</f>
        <v/>
      </c>
      <c r="B21246" s="0" t="s">
        <v>28168</v>
      </c>
      <c r="E21246" s="0" t="inlineStr">
        <is>
          <t xml:space="preserve">Mazda</t>
        </is>
      </c>
      <c r="F21246" s="0" t="inlineStr">
        <is>
          <t xml:space="preserve">Mazda</t>
        </is>
      </c>
      <c r="G21246" s="0" t="s">
        <v>171</v>
      </c>
      <c r="H21246" s="5">
        <v>23.148000</v>
      </c>
    </row>
    <row r="21247" spans="1:9">
      <c r="A21247" s="22" t="str">
        <f>HYPERLINK("https://app.vivvix.com/360/KMI/IntelliDrive/ApplUI/Pages/CreativePages/CustomReportCreativeDetail.aspx?App=23&amp;ReportView=4&amp;Qid=1711279&amp;Row=21239&amp;Col=1","No Title Assigned - #15279866373")</f>
        <v/>
      </c>
      <c r="B21247" s="0" t="s">
        <v>28169</v>
      </c>
      <c r="E21247" s="0" t="inlineStr">
        <is>
          <t xml:space="preserve">Mazda</t>
        </is>
      </c>
      <c r="F21247" s="0" t="inlineStr">
        <is>
          <t xml:space="preserve">Mazda</t>
        </is>
      </c>
      <c r="G21247" s="0" t="s">
        <v>171</v>
      </c>
      <c r="H21247" s="5">
        <v>817.808300</v>
      </c>
    </row>
    <row r="21248" spans="1:9">
      <c r="A21248" s="22" t="str">
        <f>HYPERLINK("https://app.vivvix.com/360/KMI/IntelliDrive/ApplUI/Pages/CreativePages/CustomReportCreativeDetail.aspx?App=23&amp;ReportView=4&amp;Qid=1711279&amp;Row=21240&amp;Col=1","No Title Assigned - #15279866557")</f>
        <v/>
      </c>
      <c r="B21248" s="0" t="s">
        <v>28170</v>
      </c>
      <c r="E21248" s="0" t="inlineStr">
        <is>
          <t xml:space="preserve">Mazda</t>
        </is>
      </c>
      <c r="F21248" s="0" t="inlineStr">
        <is>
          <t xml:space="preserve">Mazda</t>
        </is>
      </c>
      <c r="G21248" s="0" t="s">
        <v>171</v>
      </c>
      <c r="H21248" s="5">
        <v>86.080600</v>
      </c>
    </row>
    <row r="21249" spans="1:9">
      <c r="A21249" s="22" t="str">
        <f>HYPERLINK("https://app.vivvix.com/360/KMI/IntelliDrive/ApplUI/Pages/CreativePages/CustomReportCreativeDetail.aspx?App=23&amp;ReportView=4&amp;Qid=1711279&amp;Row=21241&amp;Col=1","No Title Assigned - #15279866562")</f>
        <v/>
      </c>
      <c r="B21249" s="0" t="s">
        <v>28171</v>
      </c>
      <c r="E21249" s="0" t="inlineStr">
        <is>
          <t xml:space="preserve">Mazda</t>
        </is>
      </c>
      <c r="F21249" s="0" t="inlineStr">
        <is>
          <t xml:space="preserve">Mazda</t>
        </is>
      </c>
      <c r="G21249" s="0" t="s">
        <v>171</v>
      </c>
      <c r="H21249" s="5">
        <v>206.311500</v>
      </c>
    </row>
    <row r="21250" spans="1:9">
      <c r="A21250" s="22" t="str">
        <f>HYPERLINK("https://app.vivvix.com/360/KMI/IntelliDrive/ApplUI/Pages/CreativePages/CustomReportCreativeDetail.aspx?App=23&amp;ReportView=4&amp;Qid=1711279&amp;Row=21242&amp;Col=1","No Title Assigned - #15279866648")</f>
        <v/>
      </c>
      <c r="B21250" s="0" t="s">
        <v>28172</v>
      </c>
      <c r="E21250" s="0" t="inlineStr">
        <is>
          <t xml:space="preserve">Mazda</t>
        </is>
      </c>
      <c r="F21250" s="0" t="inlineStr">
        <is>
          <t xml:space="preserve">Mazda</t>
        </is>
      </c>
      <c r="G21250" s="0" t="s">
        <v>171</v>
      </c>
      <c r="H21250" s="5">
        <v>950.315000</v>
      </c>
    </row>
    <row r="21251" spans="1:9">
      <c r="A21251" s="22" t="str">
        <f>HYPERLINK("https://app.vivvix.com/360/KMI/IntelliDrive/ApplUI/Pages/CreativePages/CustomReportCreativeDetail.aspx?App=23&amp;ReportView=4&amp;Qid=1711279&amp;Row=21243&amp;Col=1","No Title Assigned - #15279868635")</f>
        <v/>
      </c>
      <c r="B21251" s="0" t="s">
        <v>28173</v>
      </c>
      <c r="E21251" s="0" t="inlineStr">
        <is>
          <t xml:space="preserve">Mazda</t>
        </is>
      </c>
      <c r="F21251" s="0" t="inlineStr">
        <is>
          <t xml:space="preserve">Mazda</t>
        </is>
      </c>
      <c r="G21251" s="0" t="s">
        <v>171</v>
      </c>
      <c r="H21251" s="5">
        <v>524.182700</v>
      </c>
    </row>
    <row r="21252" spans="1:9">
      <c r="A21252" s="22" t="str">
        <f>HYPERLINK("https://app.vivvix.com/360/KMI/IntelliDrive/ApplUI/Pages/CreativePages/CustomReportCreativeDetail.aspx?App=23&amp;ReportView=4&amp;Qid=1711279&amp;Row=21244&amp;Col=1","No Title Assigned - #15279868728")</f>
        <v/>
      </c>
      <c r="B21252" s="0" t="s">
        <v>28174</v>
      </c>
      <c r="E21252" s="0" t="inlineStr">
        <is>
          <t xml:space="preserve">Mazda</t>
        </is>
      </c>
      <c r="F21252" s="0" t="inlineStr">
        <is>
          <t xml:space="preserve">Mazda</t>
        </is>
      </c>
      <c r="G21252" s="0" t="s">
        <v>171</v>
      </c>
      <c r="H21252" s="5">
        <v>79.084000</v>
      </c>
    </row>
    <row r="21253" spans="1:9">
      <c r="A21253" s="22" t="str">
        <f>HYPERLINK("https://app.vivvix.com/360/KMI/IntelliDrive/ApplUI/Pages/CreativePages/CustomReportCreativeDetail.aspx?App=23&amp;ReportView=4&amp;Qid=1711279&amp;Row=21245&amp;Col=1","No Title Assigned - #15279869062")</f>
        <v/>
      </c>
      <c r="B21253" s="0" t="s">
        <v>28175</v>
      </c>
      <c r="E21253" s="0" t="inlineStr">
        <is>
          <t xml:space="preserve">Mazda</t>
        </is>
      </c>
      <c r="F21253" s="0" t="inlineStr">
        <is>
          <t xml:space="preserve">Mazda</t>
        </is>
      </c>
      <c r="G21253" s="0" t="s">
        <v>171</v>
      </c>
      <c r="H21253" s="5">
        <v>224.297700</v>
      </c>
    </row>
    <row r="21254" spans="1:9">
      <c r="A21254" s="22" t="str">
        <f>HYPERLINK("https://app.vivvix.com/360/KMI/IntelliDrive/ApplUI/Pages/CreativePages/CustomReportCreativeDetail.aspx?App=23&amp;ReportView=4&amp;Qid=1711279&amp;Row=21246&amp;Col=1","No Title Assigned - #15279869074")</f>
        <v/>
      </c>
      <c r="B21254" s="0" t="s">
        <v>28176</v>
      </c>
      <c r="E21254" s="0" t="inlineStr">
        <is>
          <t xml:space="preserve">Mazda</t>
        </is>
      </c>
      <c r="F21254" s="0" t="inlineStr">
        <is>
          <t xml:space="preserve">Mazda</t>
        </is>
      </c>
      <c r="G21254" s="0" t="s">
        <v>171</v>
      </c>
      <c r="H21254" s="5">
        <v>736.996700</v>
      </c>
    </row>
    <row r="21255" spans="1:9">
      <c r="A21255" s="22" t="str">
        <f>HYPERLINK("https://app.vivvix.com/360/KMI/IntelliDrive/ApplUI/Pages/CreativePages/CustomReportCreativeDetail.aspx?App=23&amp;ReportView=4&amp;Qid=1711279&amp;Row=21247&amp;Col=1","No Title Assigned - #15279869242")</f>
        <v/>
      </c>
      <c r="B21255" s="0" t="s">
        <v>28177</v>
      </c>
      <c r="E21255" s="0" t="inlineStr">
        <is>
          <t xml:space="preserve">Mazda</t>
        </is>
      </c>
      <c r="F21255" s="0" t="inlineStr">
        <is>
          <t xml:space="preserve">Mazda</t>
        </is>
      </c>
      <c r="G21255" s="0" t="s">
        <v>171</v>
      </c>
      <c r="H21255" s="5">
        <v>51.470400</v>
      </c>
    </row>
    <row r="21256" spans="1:9">
      <c r="A21256" s="22" t="str">
        <f>HYPERLINK("https://app.vivvix.com/360/KMI/IntelliDrive/ApplUI/Pages/CreativePages/CustomReportCreativeDetail.aspx?App=23&amp;ReportView=4&amp;Qid=1711279&amp;Row=21248&amp;Col=1","No Title Assigned - #15279869268")</f>
        <v/>
      </c>
      <c r="B21256" s="0" t="s">
        <v>28178</v>
      </c>
      <c r="E21256" s="0" t="inlineStr">
        <is>
          <t xml:space="preserve">Mazda</t>
        </is>
      </c>
      <c r="F21256" s="0" t="inlineStr">
        <is>
          <t xml:space="preserve">Mazda</t>
        </is>
      </c>
      <c r="G21256" s="0" t="s">
        <v>171</v>
      </c>
      <c r="H21256" s="5">
        <v>372.151200</v>
      </c>
    </row>
    <row r="21257" spans="1:9">
      <c r="A21257" s="22" t="str">
        <f>HYPERLINK("https://app.vivvix.com/360/KMI/IntelliDrive/ApplUI/Pages/CreativePages/CustomReportCreativeDetail.aspx?App=23&amp;ReportView=4&amp;Qid=1711279&amp;Row=21249&amp;Col=1","No Title Assigned - #15279869326")</f>
        <v/>
      </c>
      <c r="B21257" s="0" t="s">
        <v>28179</v>
      </c>
      <c r="C21257" s="0" t="s">
        <v>28180</v>
      </c>
      <c r="D21257" s="0" t="s">
        <v>28180</v>
      </c>
      <c r="E21257" s="0" t="inlineStr">
        <is>
          <t xml:space="preserve">Mazda</t>
        </is>
      </c>
      <c r="F21257" s="0" t="inlineStr">
        <is>
          <t xml:space="preserve">Mazda</t>
        </is>
      </c>
      <c r="G21257" s="0" t="s">
        <v>171</v>
      </c>
      <c r="H21257" s="5">
        <v>445.335700</v>
      </c>
    </row>
    <row r="21258" spans="1:9">
      <c r="A21258" s="22" t="str">
        <f>HYPERLINK("https://app.vivvix.com/360/KMI/IntelliDrive/ApplUI/Pages/CreativePages/CustomReportCreativeDetail.aspx?App=23&amp;ReportView=4&amp;Qid=1711279&amp;Row=21250&amp;Col=1","No Title Assigned - #15279869451")</f>
        <v/>
      </c>
      <c r="B21258" s="0" t="s">
        <v>28181</v>
      </c>
      <c r="C21258" s="0" t="s">
        <v>28182</v>
      </c>
      <c r="D21258" s="0" t="s">
        <v>9155</v>
      </c>
      <c r="E21258" s="0" t="inlineStr">
        <is>
          <t xml:space="preserve">Mazda</t>
        </is>
      </c>
      <c r="F21258" s="0" t="s">
        <v>13</v>
      </c>
      <c r="G21258" s="0" t="s">
        <v>49</v>
      </c>
      <c r="H21258" s="5">
        <v>279.858600</v>
      </c>
    </row>
    <row r="21259" spans="1:9">
      <c r="A21259" s="22" t="str">
        <f>HYPERLINK("https://app.vivvix.com/360/KMI/IntelliDrive/ApplUI/Pages/CreativePages/CustomReportCreativeDetail.aspx?App=23&amp;ReportView=4&amp;Qid=1711279&amp;Row=21251&amp;Col=1","No Title Assigned - #15279874543")</f>
        <v/>
      </c>
      <c r="B21259" s="0" t="s">
        <v>28183</v>
      </c>
      <c r="E21259" s="0" t="inlineStr">
        <is>
          <t xml:space="preserve">Mazda</t>
        </is>
      </c>
      <c r="F21259" s="0" t="inlineStr">
        <is>
          <t xml:space="preserve">Mazda</t>
        </is>
      </c>
      <c r="G21259" s="0" t="s">
        <v>171</v>
      </c>
      <c r="H21259" s="5">
        <v>175.050300</v>
      </c>
    </row>
    <row r="21260" spans="1:9">
      <c r="A21260" s="22" t="str">
        <f>HYPERLINK("https://app.vivvix.com/360/KMI/IntelliDrive/ApplUI/Pages/CreativePages/CustomReportCreativeDetail.aspx?App=23&amp;ReportView=4&amp;Qid=1711279&amp;Row=21252&amp;Col=1","No Title Assigned - #15279874737")</f>
        <v/>
      </c>
      <c r="B21260" s="0" t="s">
        <v>28184</v>
      </c>
      <c r="E21260" s="0" t="inlineStr">
        <is>
          <t xml:space="preserve">Mazda</t>
        </is>
      </c>
      <c r="F21260" s="0" t="inlineStr">
        <is>
          <t xml:space="preserve">Mazda</t>
        </is>
      </c>
      <c r="G21260" s="0" t="s">
        <v>171</v>
      </c>
      <c r="H21260" s="5">
        <v>33.610800</v>
      </c>
    </row>
    <row r="21261" spans="1:9">
      <c r="A21261" s="22" t="str">
        <f>HYPERLINK("https://app.vivvix.com/360/KMI/IntelliDrive/ApplUI/Pages/CreativePages/CustomReportCreativeDetail.aspx?App=23&amp;ReportView=4&amp;Qid=1711279&amp;Row=21253&amp;Col=1","No Title Assigned - #15279883775")</f>
        <v/>
      </c>
      <c r="B21261" s="0" t="s">
        <v>28185</v>
      </c>
      <c r="E21261" s="0" t="inlineStr">
        <is>
          <t xml:space="preserve">Mazda</t>
        </is>
      </c>
      <c r="F21261" s="0" t="inlineStr">
        <is>
          <t xml:space="preserve">Mazda</t>
        </is>
      </c>
      <c r="G21261" s="0" t="s">
        <v>171</v>
      </c>
      <c r="H21261" s="5">
        <v>1.216000</v>
      </c>
    </row>
    <row r="21262" spans="1:9">
      <c r="A21262" s="22" t="str">
        <f>HYPERLINK("https://app.vivvix.com/360/KMI/IntelliDrive/ApplUI/Pages/CreativePages/CustomReportCreativeDetail.aspx?App=23&amp;ReportView=4&amp;Qid=1711279&amp;Row=21254&amp;Col=1","No Title Assigned - #15279891873")</f>
        <v/>
      </c>
      <c r="B21262" s="0" t="s">
        <v>28186</v>
      </c>
      <c r="C21262" s="0" t="s">
        <v>28187</v>
      </c>
      <c r="D21262" s="0" t="s">
        <v>28187</v>
      </c>
      <c r="E21262" s="0" t="inlineStr">
        <is>
          <t xml:space="preserve">Mazda</t>
        </is>
      </c>
      <c r="F21262" s="0" t="s">
        <v>13</v>
      </c>
      <c r="G21262" s="0" t="s">
        <v>49</v>
      </c>
      <c r="H21262" s="5">
        <v>967.194200</v>
      </c>
    </row>
    <row r="21263" spans="1:9">
      <c r="A21263" s="22" t="str">
        <f>HYPERLINK("https://app.vivvix.com/360/KMI/IntelliDrive/ApplUI/Pages/CreativePages/CustomReportCreativeDetail.aspx?App=23&amp;ReportView=4&amp;Qid=1711279&amp;Row=21255&amp;Col=1","No Title Assigned - #15279893613")</f>
        <v/>
      </c>
      <c r="B21263" s="0" t="s">
        <v>28188</v>
      </c>
      <c r="C21263" s="0" t="s">
        <v>28189</v>
      </c>
      <c r="D21263" s="0" t="s">
        <v>28189</v>
      </c>
      <c r="E21263" s="0" t="inlineStr">
        <is>
          <t xml:space="preserve">Mazda</t>
        </is>
      </c>
      <c r="F21263" s="0" t="s">
        <v>13</v>
      </c>
      <c r="G21263" s="0" t="s">
        <v>49</v>
      </c>
      <c r="H21263" s="5">
        <v>15.838200</v>
      </c>
    </row>
    <row r="21264" spans="1:9">
      <c r="A21264" s="22" t="str">
        <f>HYPERLINK("https://app.vivvix.com/360/KMI/IntelliDrive/ApplUI/Pages/CreativePages/CustomReportCreativeDetail.aspx?App=23&amp;ReportView=4&amp;Qid=1711279&amp;Row=21256&amp;Col=1","No Title Assigned - #15279893956")</f>
        <v/>
      </c>
      <c r="B21264" s="0" t="s">
        <v>28190</v>
      </c>
      <c r="C21264" s="0" t="s">
        <v>28191</v>
      </c>
      <c r="D21264" s="0" t="s">
        <v>28191</v>
      </c>
      <c r="E21264" s="0" t="inlineStr">
        <is>
          <t xml:space="preserve">Mazda</t>
        </is>
      </c>
      <c r="F21264" s="0" t="s">
        <v>13</v>
      </c>
      <c r="G21264" s="0" t="s">
        <v>49</v>
      </c>
      <c r="H21264" s="5">
        <v>306.626700</v>
      </c>
    </row>
    <row r="21265" spans="1:9">
      <c r="A21265" s="22" t="str">
        <f>HYPERLINK("https://app.vivvix.com/360/KMI/IntelliDrive/ApplUI/Pages/CreativePages/CustomReportCreativeDetail.aspx?App=23&amp;ReportView=4&amp;Qid=1711279&amp;Row=21257&amp;Col=1","No Title Assigned - #15279894827")</f>
        <v/>
      </c>
      <c r="B21265" s="0" t="s">
        <v>28192</v>
      </c>
      <c r="C21265" s="0" t="s">
        <v>28193</v>
      </c>
      <c r="D21265" s="0" t="s">
        <v>28193</v>
      </c>
      <c r="E21265" s="0" t="inlineStr">
        <is>
          <t xml:space="preserve">Mazda</t>
        </is>
      </c>
      <c r="F21265" s="0" t="s">
        <v>13</v>
      </c>
      <c r="G21265" s="0" t="s">
        <v>49</v>
      </c>
      <c r="H21265" s="5">
        <v>18.795000</v>
      </c>
    </row>
    <row r="21266" spans="1:9">
      <c r="A21266" s="22" t="str">
        <f>HYPERLINK("https://app.vivvix.com/360/KMI/IntelliDrive/ApplUI/Pages/CreativePages/CustomReportCreativeDetail.aspx?App=23&amp;ReportView=4&amp;Qid=1711279&amp;Row=21258&amp;Col=1","No Title Assigned - #15279895438")</f>
        <v/>
      </c>
      <c r="B21266" s="0" t="s">
        <v>28194</v>
      </c>
      <c r="C21266" s="0" t="s">
        <v>28195</v>
      </c>
      <c r="D21266" s="0" t="s">
        <v>28195</v>
      </c>
      <c r="E21266" s="0" t="inlineStr">
        <is>
          <t xml:space="preserve">Mazda</t>
        </is>
      </c>
      <c r="F21266" s="0" t="s">
        <v>13</v>
      </c>
      <c r="G21266" s="0" t="s">
        <v>49</v>
      </c>
      <c r="H21266" s="5">
        <v>402.511800</v>
      </c>
    </row>
    <row r="21267" spans="1:9">
      <c r="A21267" s="22" t="str">
        <f>HYPERLINK("https://app.vivvix.com/360/KMI/IntelliDrive/ApplUI/Pages/CreativePages/CustomReportCreativeDetail.aspx?App=23&amp;ReportView=4&amp;Qid=1711279&amp;Row=21259&amp;Col=1","No Title Assigned - #15279896139")</f>
        <v/>
      </c>
      <c r="B21267" s="0" t="s">
        <v>28196</v>
      </c>
      <c r="C21267" s="0" t="s">
        <v>28197</v>
      </c>
      <c r="D21267" s="0" t="s">
        <v>28197</v>
      </c>
      <c r="E21267" s="0" t="inlineStr">
        <is>
          <t xml:space="preserve">Mazda</t>
        </is>
      </c>
      <c r="F21267" s="0" t="s">
        <v>13</v>
      </c>
      <c r="G21267" s="0" t="s">
        <v>49</v>
      </c>
      <c r="H21267" s="5">
        <v>45.923100</v>
      </c>
    </row>
    <row r="21268" spans="1:9">
      <c r="A21268" s="22" t="str">
        <f>HYPERLINK("https://app.vivvix.com/360/KMI/IntelliDrive/ApplUI/Pages/CreativePages/CustomReportCreativeDetail.aspx?App=23&amp;ReportView=4&amp;Qid=1711279&amp;Row=21260&amp;Col=1","No Title Assigned - #15279896724")</f>
        <v/>
      </c>
      <c r="B21268" s="0" t="s">
        <v>28198</v>
      </c>
      <c r="C21268" s="0" t="s">
        <v>28199</v>
      </c>
      <c r="D21268" s="0" t="s">
        <v>28199</v>
      </c>
      <c r="E21268" s="0" t="inlineStr">
        <is>
          <t xml:space="preserve">Mazda</t>
        </is>
      </c>
      <c r="F21268" s="0" t="s">
        <v>13</v>
      </c>
      <c r="G21268" s="0" t="s">
        <v>49</v>
      </c>
      <c r="H21268" s="5">
        <v>3118.655400</v>
      </c>
    </row>
    <row r="21269" spans="1:9">
      <c r="A21269" s="22" t="str">
        <f>HYPERLINK("https://app.vivvix.com/360/KMI/IntelliDrive/ApplUI/Pages/CreativePages/CustomReportCreativeDetail.aspx?App=23&amp;ReportView=4&amp;Qid=1711279&amp;Row=21261&amp;Col=1","No Title Assigned - #15279897495")</f>
        <v/>
      </c>
      <c r="B21269" s="0" t="s">
        <v>28200</v>
      </c>
      <c r="C21269" s="0" t="s">
        <v>28201</v>
      </c>
      <c r="D21269" s="0" t="s">
        <v>28201</v>
      </c>
      <c r="E21269" s="0" t="inlineStr">
        <is>
          <t xml:space="preserve">Mazda</t>
        </is>
      </c>
      <c r="F21269" s="0" t="s">
        <v>13</v>
      </c>
      <c r="G21269" s="0" t="s">
        <v>49</v>
      </c>
      <c r="H21269" s="5">
        <v>1878.116900</v>
      </c>
    </row>
    <row r="21270" spans="1:9">
      <c r="A21270" s="22" t="str">
        <f>HYPERLINK("https://app.vivvix.com/360/KMI/IntelliDrive/ApplUI/Pages/CreativePages/CustomReportCreativeDetail.aspx?App=23&amp;ReportView=4&amp;Qid=1711279&amp;Row=21262&amp;Col=1","No Title Assigned - #15279897541")</f>
        <v/>
      </c>
      <c r="B21270" s="0" t="s">
        <v>28202</v>
      </c>
      <c r="C21270" s="0" t="s">
        <v>28203</v>
      </c>
      <c r="D21270" s="0" t="s">
        <v>28203</v>
      </c>
      <c r="E21270" s="0" t="inlineStr">
        <is>
          <t xml:space="preserve">Mazda</t>
        </is>
      </c>
      <c r="F21270" s="0" t="s">
        <v>13</v>
      </c>
      <c r="G21270" s="0" t="s">
        <v>49</v>
      </c>
      <c r="H21270" s="5">
        <v>546.020100</v>
      </c>
    </row>
    <row r="21271" spans="1:9">
      <c r="A21271" s="22" t="str">
        <f>HYPERLINK("https://app.vivvix.com/360/KMI/IntelliDrive/ApplUI/Pages/CreativePages/CustomReportCreativeDetail.aspx?App=23&amp;ReportView=4&amp;Qid=1711279&amp;Row=21263&amp;Col=1","No Title Assigned - #15279900911")</f>
        <v/>
      </c>
      <c r="B21271" s="0" t="s">
        <v>28204</v>
      </c>
      <c r="C21271" s="0" t="s">
        <v>28205</v>
      </c>
      <c r="D21271" s="0" t="s">
        <v>28205</v>
      </c>
      <c r="E21271" s="0" t="inlineStr">
        <is>
          <t xml:space="preserve">Mazda</t>
        </is>
      </c>
      <c r="F21271" s="0" t="s">
        <v>13</v>
      </c>
      <c r="G21271" s="0" t="s">
        <v>49</v>
      </c>
      <c r="H21271" s="5">
        <v>110.588800</v>
      </c>
    </row>
    <row r="21272" spans="1:9">
      <c r="A21272" s="22" t="str">
        <f>HYPERLINK("https://app.vivvix.com/360/KMI/IntelliDrive/ApplUI/Pages/CreativePages/CustomReportCreativeDetail.aspx?App=23&amp;ReportView=4&amp;Qid=1711279&amp;Row=21264&amp;Col=1","No Title Assigned - #15279901288")</f>
        <v/>
      </c>
      <c r="B21272" s="0" t="s">
        <v>28206</v>
      </c>
      <c r="C21272" s="0" t="s">
        <v>28207</v>
      </c>
      <c r="D21272" s="0" t="s">
        <v>4774</v>
      </c>
      <c r="E21272" s="0" t="inlineStr">
        <is>
          <t xml:space="preserve">Mazda</t>
        </is>
      </c>
      <c r="F21272" s="0" t="s">
        <v>13</v>
      </c>
      <c r="G21272" s="0" t="s">
        <v>49</v>
      </c>
      <c r="H21272" s="5">
        <v>652.549300</v>
      </c>
    </row>
    <row r="21273" spans="1:9">
      <c r="A21273" s="22" t="str">
        <f>HYPERLINK("https://app.vivvix.com/360/KMI/IntelliDrive/ApplUI/Pages/CreativePages/CustomReportCreativeDetail.aspx?App=23&amp;ReportView=4&amp;Qid=1711279&amp;Row=21265&amp;Col=1","No Title Assigned - #15279903215")</f>
        <v/>
      </c>
      <c r="B21273" s="0" t="s">
        <v>28208</v>
      </c>
      <c r="C21273" s="0" t="s">
        <v>28209</v>
      </c>
      <c r="D21273" s="0" t="s">
        <v>28209</v>
      </c>
      <c r="E21273" s="0" t="inlineStr">
        <is>
          <t xml:space="preserve">Mazda</t>
        </is>
      </c>
      <c r="F21273" s="0" t="s">
        <v>13</v>
      </c>
      <c r="G21273" s="0" t="s">
        <v>49</v>
      </c>
      <c r="H21273" s="5">
        <v>41636.710000</v>
      </c>
    </row>
    <row r="21274" spans="1:9">
      <c r="A21274" s="22" t="str">
        <f>HYPERLINK("https://app.vivvix.com/360/KMI/IntelliDrive/ApplUI/Pages/CreativePages/CustomReportCreativeDetail.aspx?App=23&amp;ReportView=4&amp;Qid=1711279&amp;Row=21266&amp;Col=1","No Title Assigned - #15279904433")</f>
        <v/>
      </c>
      <c r="B21274" s="0" t="s">
        <v>28210</v>
      </c>
      <c r="C21274" s="0" t="s">
        <v>28211</v>
      </c>
      <c r="D21274" s="0" t="s">
        <v>28211</v>
      </c>
      <c r="E21274" s="0" t="inlineStr">
        <is>
          <t xml:space="preserve">Mazda</t>
        </is>
      </c>
      <c r="F21274" s="0" t="s">
        <v>13</v>
      </c>
      <c r="G21274" s="0" t="s">
        <v>49</v>
      </c>
      <c r="H21274" s="5">
        <v>72.146500</v>
      </c>
    </row>
    <row r="21275" spans="1:9">
      <c r="A21275" s="22" t="str">
        <f>HYPERLINK("https://app.vivvix.com/360/KMI/IntelliDrive/ApplUI/Pages/CreativePages/CustomReportCreativeDetail.aspx?App=23&amp;ReportView=4&amp;Qid=1711279&amp;Row=21267&amp;Col=1","No Title Assigned - #15279907203")</f>
        <v/>
      </c>
      <c r="B21275" s="0" t="s">
        <v>28212</v>
      </c>
      <c r="C21275" s="0" t="s">
        <v>28213</v>
      </c>
      <c r="D21275" s="0" t="s">
        <v>28213</v>
      </c>
      <c r="E21275" s="0" t="inlineStr">
        <is>
          <t xml:space="preserve">Mazda</t>
        </is>
      </c>
      <c r="F21275" s="0" t="s">
        <v>13</v>
      </c>
      <c r="G21275" s="0" t="s">
        <v>49</v>
      </c>
      <c r="H21275" s="5">
        <v>1134.054000</v>
      </c>
    </row>
    <row r="21276" spans="1:9">
      <c r="A21276" s="22" t="str">
        <f>HYPERLINK("https://app.vivvix.com/360/KMI/IntelliDrive/ApplUI/Pages/CreativePages/CustomReportCreativeDetail.aspx?App=23&amp;ReportView=4&amp;Qid=1711279&amp;Row=21268&amp;Col=1","No Title Assigned - #15279907357")</f>
        <v/>
      </c>
      <c r="B21276" s="0" t="s">
        <v>28214</v>
      </c>
      <c r="C21276" s="0" t="s">
        <v>28215</v>
      </c>
      <c r="D21276" s="0" t="s">
        <v>28215</v>
      </c>
      <c r="E21276" s="0" t="inlineStr">
        <is>
          <t xml:space="preserve">Mazda</t>
        </is>
      </c>
      <c r="F21276" s="0" t="s">
        <v>13</v>
      </c>
      <c r="G21276" s="0" t="s">
        <v>49</v>
      </c>
      <c r="H21276" s="5">
        <v>44.237300</v>
      </c>
    </row>
    <row r="21277" spans="1:9">
      <c r="A21277" s="22" t="str">
        <f>HYPERLINK("https://app.vivvix.com/360/KMI/IntelliDrive/ApplUI/Pages/CreativePages/CustomReportCreativeDetail.aspx?App=23&amp;ReportView=4&amp;Qid=1711279&amp;Row=21269&amp;Col=1","No Title Assigned - #15279908543")</f>
        <v/>
      </c>
      <c r="B21277" s="0" t="s">
        <v>28216</v>
      </c>
      <c r="C21277" s="0" t="s">
        <v>28217</v>
      </c>
      <c r="D21277" s="0" t="s">
        <v>28217</v>
      </c>
      <c r="E21277" s="0" t="inlineStr">
        <is>
          <t xml:space="preserve">Mazda</t>
        </is>
      </c>
      <c r="F21277" s="0" t="s">
        <v>13</v>
      </c>
      <c r="G21277" s="0" t="s">
        <v>49</v>
      </c>
      <c r="H21277" s="5">
        <v>257.755000</v>
      </c>
    </row>
    <row r="21278" spans="1:9">
      <c r="A21278" s="22" t="str">
        <f>HYPERLINK("https://app.vivvix.com/360/KMI/IntelliDrive/ApplUI/Pages/CreativePages/CustomReportCreativeDetail.aspx?App=23&amp;ReportView=4&amp;Qid=1711279&amp;Row=21270&amp;Col=1","No Title Assigned - #15279908764")</f>
        <v/>
      </c>
      <c r="B21278" s="0" t="s">
        <v>28218</v>
      </c>
      <c r="C21278" s="0" t="s">
        <v>28219</v>
      </c>
      <c r="D21278" s="0" t="s">
        <v>4774</v>
      </c>
      <c r="E21278" s="0" t="inlineStr">
        <is>
          <t xml:space="preserve">Mazda</t>
        </is>
      </c>
      <c r="F21278" s="0" t="s">
        <v>13</v>
      </c>
      <c r="G21278" s="0" t="s">
        <v>49</v>
      </c>
      <c r="H21278" s="5">
        <v>276.034200</v>
      </c>
    </row>
    <row r="21279" spans="1:9">
      <c r="A21279" s="22" t="str">
        <f>HYPERLINK("https://app.vivvix.com/360/KMI/IntelliDrive/ApplUI/Pages/CreativePages/CustomReportCreativeDetail.aspx?App=23&amp;ReportView=4&amp;Qid=1711279&amp;Row=21271&amp;Col=1","No Title Assigned - #15279911024")</f>
        <v/>
      </c>
      <c r="B21279" s="0" t="s">
        <v>28220</v>
      </c>
      <c r="E21279" s="0" t="inlineStr">
        <is>
          <t xml:space="preserve">Mazda</t>
        </is>
      </c>
      <c r="F21279" s="0" t="inlineStr">
        <is>
          <t xml:space="preserve">Mazda</t>
        </is>
      </c>
      <c r="G21279" s="0" t="s">
        <v>171</v>
      </c>
      <c r="H21279" s="5">
        <v>1085.712300</v>
      </c>
    </row>
    <row r="21280" spans="1:9">
      <c r="A21280" s="22" t="str">
        <f>HYPERLINK("https://app.vivvix.com/360/KMI/IntelliDrive/ApplUI/Pages/CreativePages/CustomReportCreativeDetail.aspx?App=23&amp;ReportView=4&amp;Qid=1711279&amp;Row=21272&amp;Col=1","No Title Assigned - #15279912778")</f>
        <v/>
      </c>
      <c r="B21280" s="0" t="s">
        <v>28221</v>
      </c>
      <c r="E21280" s="0" t="inlineStr">
        <is>
          <t xml:space="preserve">Mazda</t>
        </is>
      </c>
      <c r="F21280" s="0" t="inlineStr">
        <is>
          <t xml:space="preserve">Mazda</t>
        </is>
      </c>
      <c r="G21280" s="0" t="s">
        <v>171</v>
      </c>
      <c r="H21280" s="5">
        <v>710.005700</v>
      </c>
    </row>
    <row r="21281" spans="1:9">
      <c r="A21281" s="22" t="str">
        <f>HYPERLINK("https://app.vivvix.com/360/KMI/IntelliDrive/ApplUI/Pages/CreativePages/CustomReportCreativeDetail.aspx?App=23&amp;ReportView=4&amp;Qid=1711279&amp;Row=21273&amp;Col=1","No Title Assigned - #15279913047")</f>
        <v/>
      </c>
      <c r="B21281" s="0" t="s">
        <v>28222</v>
      </c>
      <c r="E21281" s="0" t="inlineStr">
        <is>
          <t xml:space="preserve">Mazda</t>
        </is>
      </c>
      <c r="F21281" s="0" t="inlineStr">
        <is>
          <t xml:space="preserve">Mazda</t>
        </is>
      </c>
      <c r="G21281" s="0" t="s">
        <v>171</v>
      </c>
      <c r="H21281" s="5">
        <v>912.495900</v>
      </c>
    </row>
    <row r="21282" spans="1:9">
      <c r="A21282" s="22" t="str">
        <f>HYPERLINK("https://app.vivvix.com/360/KMI/IntelliDrive/ApplUI/Pages/CreativePages/CustomReportCreativeDetail.aspx?App=23&amp;ReportView=4&amp;Qid=1711279&amp;Row=21274&amp;Col=1","No Title Assigned - #15279913535")</f>
        <v/>
      </c>
      <c r="B21282" s="0" t="s">
        <v>28223</v>
      </c>
      <c r="E21282" s="0" t="inlineStr">
        <is>
          <t xml:space="preserve">Mazda</t>
        </is>
      </c>
      <c r="F21282" s="0" t="inlineStr">
        <is>
          <t xml:space="preserve">Mazda</t>
        </is>
      </c>
      <c r="G21282" s="0" t="s">
        <v>171</v>
      </c>
      <c r="H21282" s="5">
        <v>9.851700</v>
      </c>
    </row>
    <row r="21283" spans="1:9">
      <c r="A21283" s="22" t="str">
        <f>HYPERLINK("https://app.vivvix.com/360/KMI/IntelliDrive/ApplUI/Pages/CreativePages/CustomReportCreativeDetail.aspx?App=23&amp;ReportView=4&amp;Qid=1711279&amp;Row=21275&amp;Col=1","No Title Assigned - #15279913540")</f>
        <v/>
      </c>
      <c r="B21283" s="0" t="s">
        <v>28224</v>
      </c>
      <c r="E21283" s="0" t="inlineStr">
        <is>
          <t xml:space="preserve">Mazda</t>
        </is>
      </c>
      <c r="F21283" s="0" t="inlineStr">
        <is>
          <t xml:space="preserve">Mazda</t>
        </is>
      </c>
      <c r="G21283" s="0" t="s">
        <v>171</v>
      </c>
      <c r="H21283" s="5">
        <v>607.882500</v>
      </c>
    </row>
    <row r="21284" spans="1:9">
      <c r="A21284" s="22" t="str">
        <f>HYPERLINK("https://app.vivvix.com/360/KMI/IntelliDrive/ApplUI/Pages/CreativePages/CustomReportCreativeDetail.aspx?App=23&amp;ReportView=4&amp;Qid=1711279&amp;Row=21276&amp;Col=1","No Title Assigned - #15279913642")</f>
        <v/>
      </c>
      <c r="B21284" s="0" t="s">
        <v>28225</v>
      </c>
      <c r="E21284" s="0" t="inlineStr">
        <is>
          <t xml:space="preserve">Mazda</t>
        </is>
      </c>
      <c r="F21284" s="0" t="inlineStr">
        <is>
          <t xml:space="preserve">Mazda</t>
        </is>
      </c>
      <c r="G21284" s="0" t="s">
        <v>171</v>
      </c>
      <c r="H21284" s="5">
        <v>37.259700</v>
      </c>
    </row>
    <row r="21285" spans="1:9">
      <c r="A21285" s="22" t="str">
        <f>HYPERLINK("https://app.vivvix.com/360/KMI/IntelliDrive/ApplUI/Pages/CreativePages/CustomReportCreativeDetail.aspx?App=23&amp;ReportView=4&amp;Qid=1711279&amp;Row=21277&amp;Col=1","No Title Assigned - #15279913838")</f>
        <v/>
      </c>
      <c r="B21285" s="0" t="s">
        <v>28226</v>
      </c>
      <c r="E21285" s="0" t="inlineStr">
        <is>
          <t xml:space="preserve">Mazda</t>
        </is>
      </c>
      <c r="F21285" s="0" t="inlineStr">
        <is>
          <t xml:space="preserve">Mazda</t>
        </is>
      </c>
      <c r="G21285" s="0" t="s">
        <v>171</v>
      </c>
      <c r="H21285" s="5">
        <v>17.799600</v>
      </c>
    </row>
    <row r="21286" spans="1:9">
      <c r="A21286" s="22" t="str">
        <f>HYPERLINK("https://app.vivvix.com/360/KMI/IntelliDrive/ApplUI/Pages/CreativePages/CustomReportCreativeDetail.aspx?App=23&amp;ReportView=4&amp;Qid=1711279&amp;Row=21278&amp;Col=1","No Title Assigned - #15279914484")</f>
        <v/>
      </c>
      <c r="B21286" s="0" t="s">
        <v>28227</v>
      </c>
      <c r="E21286" s="0" t="inlineStr">
        <is>
          <t xml:space="preserve">Mazda</t>
        </is>
      </c>
      <c r="F21286" s="0" t="inlineStr">
        <is>
          <t xml:space="preserve">Mazda</t>
        </is>
      </c>
      <c r="G21286" s="0" t="s">
        <v>171</v>
      </c>
      <c r="H21286" s="5">
        <v>398.021000</v>
      </c>
    </row>
    <row r="21287" spans="1:9">
      <c r="A21287" s="22" t="str">
        <f>HYPERLINK("https://app.vivvix.com/360/KMI/IntelliDrive/ApplUI/Pages/CreativePages/CustomReportCreativeDetail.aspx?App=23&amp;ReportView=4&amp;Qid=1711279&amp;Row=21279&amp;Col=1","No Title Assigned - #15279914519")</f>
        <v/>
      </c>
      <c r="B21287" s="0" t="s">
        <v>28228</v>
      </c>
      <c r="E21287" s="0" t="inlineStr">
        <is>
          <t xml:space="preserve">Mazda</t>
        </is>
      </c>
      <c r="F21287" s="0" t="inlineStr">
        <is>
          <t xml:space="preserve">Mazda</t>
        </is>
      </c>
      <c r="G21287" s="0" t="s">
        <v>171</v>
      </c>
      <c r="H21287" s="5">
        <v>1.517600</v>
      </c>
    </row>
    <row r="21288" spans="1:9">
      <c r="A21288" s="22" t="str">
        <f>HYPERLINK("https://app.vivvix.com/360/KMI/IntelliDrive/ApplUI/Pages/CreativePages/CustomReportCreativeDetail.aspx?App=23&amp;ReportView=4&amp;Qid=1711279&amp;Row=21280&amp;Col=1","No Title Assigned - #15279914677")</f>
        <v/>
      </c>
      <c r="B21288" s="0" t="s">
        <v>28229</v>
      </c>
      <c r="E21288" s="0" t="inlineStr">
        <is>
          <t xml:space="preserve">Mazda</t>
        </is>
      </c>
      <c r="F21288" s="0" t="inlineStr">
        <is>
          <t xml:space="preserve">Mazda</t>
        </is>
      </c>
      <c r="G21288" s="0" t="s">
        <v>171</v>
      </c>
      <c r="H21288" s="5">
        <v>61.774700</v>
      </c>
    </row>
    <row r="21289" spans="1:9">
      <c r="A21289" s="22" t="str">
        <f>HYPERLINK("https://app.vivvix.com/360/KMI/IntelliDrive/ApplUI/Pages/CreativePages/CustomReportCreativeDetail.aspx?App=23&amp;ReportView=4&amp;Qid=1711279&amp;Row=21281&amp;Col=1","No Title Assigned - #15279916801")</f>
        <v/>
      </c>
      <c r="B21289" s="0" t="s">
        <v>28230</v>
      </c>
      <c r="E21289" s="0" t="inlineStr">
        <is>
          <t xml:space="preserve">Mazda</t>
        </is>
      </c>
      <c r="F21289" s="0" t="inlineStr">
        <is>
          <t xml:space="preserve">Mazda</t>
        </is>
      </c>
      <c r="G21289" s="0" t="s">
        <v>171</v>
      </c>
      <c r="H21289" s="5">
        <v>87.424900</v>
      </c>
    </row>
    <row r="21290" spans="1:9">
      <c r="A21290" s="22" t="str">
        <f>HYPERLINK("https://app.vivvix.com/360/KMI/IntelliDrive/ApplUI/Pages/CreativePages/CustomReportCreativeDetail.aspx?App=23&amp;ReportView=4&amp;Qid=1711279&amp;Row=21282&amp;Col=1","No Title Assigned - #15279918633")</f>
        <v/>
      </c>
      <c r="B21290" s="0" t="s">
        <v>28231</v>
      </c>
      <c r="E21290" s="0" t="inlineStr">
        <is>
          <t xml:space="preserve">Mazda</t>
        </is>
      </c>
      <c r="F21290" s="0" t="inlineStr">
        <is>
          <t xml:space="preserve">Mazda</t>
        </is>
      </c>
      <c r="G21290" s="0" t="s">
        <v>171</v>
      </c>
      <c r="H21290" s="5">
        <v>29.363900</v>
      </c>
    </row>
    <row r="21291" spans="1:9">
      <c r="A21291" s="22" t="str">
        <f>HYPERLINK("https://app.vivvix.com/360/KMI/IntelliDrive/ApplUI/Pages/CreativePages/CustomReportCreativeDetail.aspx?App=23&amp;ReportView=4&amp;Qid=1711279&amp;Row=21283&amp;Col=1","No Title Assigned - #15279918943")</f>
        <v/>
      </c>
      <c r="B21291" s="0" t="s">
        <v>28232</v>
      </c>
      <c r="E21291" s="0" t="inlineStr">
        <is>
          <t xml:space="preserve">Mazda</t>
        </is>
      </c>
      <c r="F21291" s="0" t="inlineStr">
        <is>
          <t xml:space="preserve">Mazda</t>
        </is>
      </c>
      <c r="G21291" s="0" t="s">
        <v>171</v>
      </c>
      <c r="H21291" s="5">
        <v>27.807900</v>
      </c>
    </row>
    <row r="21292" spans="1:9">
      <c r="A21292" s="22" t="str">
        <f>HYPERLINK("https://app.vivvix.com/360/KMI/IntelliDrive/ApplUI/Pages/CreativePages/CustomReportCreativeDetail.aspx?App=23&amp;ReportView=4&amp;Qid=1711279&amp;Row=21284&amp;Col=1","No Title Assigned - #15279923357")</f>
        <v/>
      </c>
      <c r="B21292" s="0" t="s">
        <v>28233</v>
      </c>
      <c r="E21292" s="0" t="inlineStr">
        <is>
          <t xml:space="preserve">Mazda</t>
        </is>
      </c>
      <c r="F21292" s="0" t="inlineStr">
        <is>
          <t xml:space="preserve">Mazda</t>
        </is>
      </c>
      <c r="G21292" s="0" t="s">
        <v>171</v>
      </c>
      <c r="H21292" s="5">
        <v>172.663200</v>
      </c>
    </row>
    <row r="21293" spans="1:9">
      <c r="A21293" s="22" t="str">
        <f>HYPERLINK("https://app.vivvix.com/360/KMI/IntelliDrive/ApplUI/Pages/CreativePages/CustomReportCreativeDetail.aspx?App=23&amp;ReportView=4&amp;Qid=1711279&amp;Row=21285&amp;Col=1","No Title Assigned - #15279923358")</f>
        <v/>
      </c>
      <c r="B21293" s="0" t="s">
        <v>28234</v>
      </c>
      <c r="E21293" s="0" t="inlineStr">
        <is>
          <t xml:space="preserve">Mazda</t>
        </is>
      </c>
      <c r="F21293" s="0" t="inlineStr">
        <is>
          <t xml:space="preserve">Mazda</t>
        </is>
      </c>
      <c r="G21293" s="0" t="s">
        <v>171</v>
      </c>
      <c r="H21293" s="5">
        <v>172.663200</v>
      </c>
    </row>
    <row r="21294" spans="1:9">
      <c r="A21294" s="22" t="str">
        <f>HYPERLINK("https://app.vivvix.com/360/KMI/IntelliDrive/ApplUI/Pages/CreativePages/CustomReportCreativeDetail.aspx?App=23&amp;ReportView=4&amp;Qid=1711279&amp;Row=21286&amp;Col=1","No Title Assigned - #15279923532")</f>
        <v/>
      </c>
      <c r="B21294" s="0" t="s">
        <v>28235</v>
      </c>
      <c r="E21294" s="0" t="inlineStr">
        <is>
          <t xml:space="preserve">Mazda</t>
        </is>
      </c>
      <c r="F21294" s="0" t="inlineStr">
        <is>
          <t xml:space="preserve">Mazda</t>
        </is>
      </c>
      <c r="G21294" s="0" t="s">
        <v>171</v>
      </c>
      <c r="H21294" s="5">
        <v>832.218600</v>
      </c>
    </row>
    <row r="21295" spans="1:9">
      <c r="A21295" s="22" t="str">
        <f>HYPERLINK("https://app.vivvix.com/360/KMI/IntelliDrive/ApplUI/Pages/CreativePages/CustomReportCreativeDetail.aspx?App=23&amp;ReportView=4&amp;Qid=1711279&amp;Row=21287&amp;Col=1","No Title Assigned - #15279930132")</f>
        <v/>
      </c>
      <c r="B21295" s="0" t="s">
        <v>28236</v>
      </c>
      <c r="E21295" s="0" t="inlineStr">
        <is>
          <t xml:space="preserve">Mazda</t>
        </is>
      </c>
      <c r="F21295" s="0" t="inlineStr">
        <is>
          <t xml:space="preserve">Mazda</t>
        </is>
      </c>
      <c r="G21295" s="0" t="s">
        <v>171</v>
      </c>
      <c r="H21295" s="5">
        <v>53.159400</v>
      </c>
    </row>
    <row r="21296" spans="1:9">
      <c r="A21296" s="22" t="str">
        <f>HYPERLINK("https://app.vivvix.com/360/KMI/IntelliDrive/ApplUI/Pages/CreativePages/CustomReportCreativeDetail.aspx?App=23&amp;ReportView=4&amp;Qid=1711279&amp;Row=21288&amp;Col=1","No Title Assigned - #15279930133")</f>
        <v/>
      </c>
      <c r="B21296" s="0" t="s">
        <v>28237</v>
      </c>
      <c r="E21296" s="0" t="inlineStr">
        <is>
          <t xml:space="preserve">Mazda</t>
        </is>
      </c>
      <c r="F21296" s="0" t="inlineStr">
        <is>
          <t xml:space="preserve">Mazda</t>
        </is>
      </c>
      <c r="G21296" s="0" t="s">
        <v>171</v>
      </c>
      <c r="H21296" s="5">
        <v>461.079100</v>
      </c>
    </row>
    <row r="21297" spans="1:9">
      <c r="A21297" s="22" t="str">
        <f>HYPERLINK("https://app.vivvix.com/360/KMI/IntelliDrive/ApplUI/Pages/CreativePages/CustomReportCreativeDetail.aspx?App=23&amp;ReportView=4&amp;Qid=1711279&amp;Row=21289&amp;Col=1","No Title Assigned - #15279930482")</f>
        <v/>
      </c>
      <c r="B21297" s="0" t="s">
        <v>28238</v>
      </c>
      <c r="E21297" s="0" t="inlineStr">
        <is>
          <t xml:space="preserve">Mazda</t>
        </is>
      </c>
      <c r="F21297" s="0" t="inlineStr">
        <is>
          <t xml:space="preserve">Mazda</t>
        </is>
      </c>
      <c r="G21297" s="0" t="s">
        <v>171</v>
      </c>
      <c r="H21297" s="5">
        <v>183.020900</v>
      </c>
    </row>
    <row r="21298" spans="1:9">
      <c r="A21298" s="22" t="str">
        <f>HYPERLINK("https://app.vivvix.com/360/KMI/IntelliDrive/ApplUI/Pages/CreativePages/CustomReportCreativeDetail.aspx?App=23&amp;ReportView=4&amp;Qid=1711279&amp;Row=21290&amp;Col=1","No Title Assigned - #15279930855")</f>
        <v/>
      </c>
      <c r="B21298" s="0" t="s">
        <v>28239</v>
      </c>
      <c r="C21298" s="0" t="s">
        <v>28240</v>
      </c>
      <c r="D21298" s="0" t="s">
        <v>28240</v>
      </c>
      <c r="E21298" s="0" t="inlineStr">
        <is>
          <t xml:space="preserve">Mazda</t>
        </is>
      </c>
      <c r="F21298" s="0" t="inlineStr">
        <is>
          <t xml:space="preserve">Mazda</t>
        </is>
      </c>
      <c r="G21298" s="0" t="s">
        <v>171</v>
      </c>
      <c r="H21298" s="5">
        <v>48.955500</v>
      </c>
    </row>
    <row r="21299" spans="1:9">
      <c r="A21299" s="22" t="str">
        <f>HYPERLINK("https://app.vivvix.com/360/KMI/IntelliDrive/ApplUI/Pages/CreativePages/CustomReportCreativeDetail.aspx?App=23&amp;ReportView=4&amp;Qid=1711279&amp;Row=21291&amp;Col=1","No Title Assigned - #15279931317")</f>
        <v/>
      </c>
      <c r="B21299" s="0" t="s">
        <v>28241</v>
      </c>
      <c r="E21299" s="0" t="inlineStr">
        <is>
          <t xml:space="preserve">Mazda</t>
        </is>
      </c>
      <c r="F21299" s="0" t="inlineStr">
        <is>
          <t xml:space="preserve">Mazda</t>
        </is>
      </c>
      <c r="G21299" s="0" t="s">
        <v>171</v>
      </c>
      <c r="H21299" s="5">
        <v>32.816900</v>
      </c>
    </row>
    <row r="21300" spans="1:9">
      <c r="A21300" s="22" t="str">
        <f>HYPERLINK("https://app.vivvix.com/360/KMI/IntelliDrive/ApplUI/Pages/CreativePages/CustomReportCreativeDetail.aspx?App=23&amp;ReportView=4&amp;Qid=1711279&amp;Row=21292&amp;Col=1","No Title Assigned - #15279931535")</f>
        <v/>
      </c>
      <c r="B21300" s="0" t="s">
        <v>28242</v>
      </c>
      <c r="E21300" s="0" t="inlineStr">
        <is>
          <t xml:space="preserve">Mazda</t>
        </is>
      </c>
      <c r="F21300" s="0" t="inlineStr">
        <is>
          <t xml:space="preserve">Mazda</t>
        </is>
      </c>
      <c r="G21300" s="0" t="s">
        <v>171</v>
      </c>
      <c r="H21300" s="5">
        <v>485.064000</v>
      </c>
    </row>
    <row r="21301" spans="1:9">
      <c r="A21301" s="22" t="str">
        <f>HYPERLINK("https://app.vivvix.com/360/KMI/IntelliDrive/ApplUI/Pages/CreativePages/CustomReportCreativeDetail.aspx?App=23&amp;ReportView=4&amp;Qid=1711279&amp;Row=21293&amp;Col=1","No Title Assigned - #15279932148")</f>
        <v/>
      </c>
      <c r="B21301" s="0" t="s">
        <v>28243</v>
      </c>
      <c r="C21301" s="0" t="s">
        <v>28244</v>
      </c>
      <c r="D21301" s="0" t="s">
        <v>28244</v>
      </c>
      <c r="E21301" s="0" t="inlineStr">
        <is>
          <t xml:space="preserve">Mazda</t>
        </is>
      </c>
      <c r="F21301" s="0" t="s">
        <v>13</v>
      </c>
      <c r="G21301" s="0" t="s">
        <v>49</v>
      </c>
      <c r="H21301" s="5">
        <v>19560.488200</v>
      </c>
    </row>
    <row r="21302" spans="1:9">
      <c r="A21302" s="22" t="str">
        <f>HYPERLINK("https://app.vivvix.com/360/KMI/IntelliDrive/ApplUI/Pages/CreativePages/CustomReportCreativeDetail.aspx?App=23&amp;ReportView=4&amp;Qid=1711279&amp;Row=21294&amp;Col=1","No Title Assigned - #15279932834")</f>
        <v/>
      </c>
      <c r="B21302" s="0" t="s">
        <v>28245</v>
      </c>
      <c r="E21302" s="0" t="inlineStr">
        <is>
          <t xml:space="preserve">Mazda</t>
        </is>
      </c>
      <c r="F21302" s="0" t="inlineStr">
        <is>
          <t xml:space="preserve">Mazda</t>
        </is>
      </c>
      <c r="G21302" s="0" t="s">
        <v>171</v>
      </c>
      <c r="H21302" s="5">
        <v>67.275100</v>
      </c>
    </row>
    <row r="21303" spans="1:9">
      <c r="A21303" s="22" t="str">
        <f>HYPERLINK("https://app.vivvix.com/360/KMI/IntelliDrive/ApplUI/Pages/CreativePages/CustomReportCreativeDetail.aspx?App=23&amp;ReportView=4&amp;Qid=1711279&amp;Row=21295&amp;Col=1","No Title Assigned - #15279932836")</f>
        <v/>
      </c>
      <c r="B21303" s="0" t="s">
        <v>28246</v>
      </c>
      <c r="E21303" s="0" t="inlineStr">
        <is>
          <t xml:space="preserve">Mazda</t>
        </is>
      </c>
      <c r="F21303" s="0" t="inlineStr">
        <is>
          <t xml:space="preserve">Mazda</t>
        </is>
      </c>
      <c r="G21303" s="0" t="s">
        <v>171</v>
      </c>
      <c r="H21303" s="5">
        <v>48.955500</v>
      </c>
    </row>
    <row r="21304" spans="1:9">
      <c r="A21304" s="22" t="str">
        <f>HYPERLINK("https://app.vivvix.com/360/KMI/IntelliDrive/ApplUI/Pages/CreativePages/CustomReportCreativeDetail.aspx?App=23&amp;ReportView=4&amp;Qid=1711279&amp;Row=21296&amp;Col=1","No Title Assigned - #15279933103")</f>
        <v/>
      </c>
      <c r="B21304" s="0" t="s">
        <v>28247</v>
      </c>
      <c r="C21304" s="0" t="s">
        <v>28248</v>
      </c>
      <c r="D21304" s="0" t="s">
        <v>28248</v>
      </c>
      <c r="E21304" s="0" t="inlineStr">
        <is>
          <t xml:space="preserve">Mazda</t>
        </is>
      </c>
      <c r="F21304" s="0" t="inlineStr">
        <is>
          <t xml:space="preserve">Mazda</t>
        </is>
      </c>
      <c r="G21304" s="0" t="s">
        <v>171</v>
      </c>
      <c r="H21304" s="5">
        <v>627.291100</v>
      </c>
    </row>
    <row r="21305" spans="1:9">
      <c r="A21305" s="22" t="str">
        <f>HYPERLINK("https://app.vivvix.com/360/KMI/IntelliDrive/ApplUI/Pages/CreativePages/CustomReportCreativeDetail.aspx?App=23&amp;ReportView=4&amp;Qid=1711279&amp;Row=21297&amp;Col=1","No Title Assigned - #15279936128")</f>
        <v/>
      </c>
      <c r="B21305" s="0" t="s">
        <v>28249</v>
      </c>
      <c r="E21305" s="0" t="inlineStr">
        <is>
          <t xml:space="preserve">Mazda</t>
        </is>
      </c>
      <c r="F21305" s="0" t="inlineStr">
        <is>
          <t xml:space="preserve">Mazda</t>
        </is>
      </c>
      <c r="G21305" s="0" t="s">
        <v>171</v>
      </c>
      <c r="H21305" s="5">
        <v>248.144300</v>
      </c>
    </row>
    <row r="21306" spans="1:9">
      <c r="A21306" s="22" t="str">
        <f>HYPERLINK("https://app.vivvix.com/360/KMI/IntelliDrive/ApplUI/Pages/CreativePages/CustomReportCreativeDetail.aspx?App=23&amp;ReportView=4&amp;Qid=1711279&amp;Row=21298&amp;Col=1","No Title Assigned - #15279938387")</f>
        <v/>
      </c>
      <c r="B21306" s="0" t="s">
        <v>28250</v>
      </c>
      <c r="C21306" s="0" t="s">
        <v>28251</v>
      </c>
      <c r="D21306" s="0" t="s">
        <v>28251</v>
      </c>
      <c r="E21306" s="0" t="inlineStr">
        <is>
          <t xml:space="preserve">Mazda</t>
        </is>
      </c>
      <c r="F21306" s="0" t="s">
        <v>13</v>
      </c>
      <c r="G21306" s="0" t="s">
        <v>49</v>
      </c>
      <c r="H21306" s="5">
        <v>467.866700</v>
      </c>
    </row>
    <row r="21307" spans="1:9">
      <c r="A21307" s="22" t="str">
        <f>HYPERLINK("https://app.vivvix.com/360/KMI/IntelliDrive/ApplUI/Pages/CreativePages/CustomReportCreativeDetail.aspx?App=23&amp;ReportView=4&amp;Qid=1711279&amp;Row=21299&amp;Col=1","No Title Assigned - #15279938387")</f>
        <v/>
      </c>
      <c r="B21307" s="0" t="s">
        <v>28250</v>
      </c>
      <c r="E21307" s="0" t="inlineStr">
        <is>
          <t xml:space="preserve">Mazda</t>
        </is>
      </c>
      <c r="F21307" s="0" t="s">
        <v>13</v>
      </c>
      <c r="G21307" s="0" t="s">
        <v>49</v>
      </c>
      <c r="H21307" s="5">
        <v>138.239200</v>
      </c>
    </row>
    <row r="21308" spans="1:9">
      <c r="A21308" s="22" t="str">
        <f>HYPERLINK("https://app.vivvix.com/360/KMI/IntelliDrive/ApplUI/Pages/CreativePages/CustomReportCreativeDetail.aspx?App=23&amp;ReportView=4&amp;Qid=1711279&amp;Row=21300&amp;Col=1","No Title Assigned - #15279938634")</f>
        <v/>
      </c>
      <c r="B21308" s="0" t="s">
        <v>28252</v>
      </c>
      <c r="C21308" s="0" t="s">
        <v>28253</v>
      </c>
      <c r="D21308" s="0" t="s">
        <v>11260</v>
      </c>
      <c r="E21308" s="0" t="inlineStr">
        <is>
          <t xml:space="preserve">Mazda</t>
        </is>
      </c>
      <c r="F21308" s="0" t="s">
        <v>13</v>
      </c>
      <c r="G21308" s="0" t="s">
        <v>49</v>
      </c>
      <c r="H21308" s="5">
        <v>60.313600</v>
      </c>
    </row>
    <row r="21309" spans="1:9">
      <c r="A21309" s="22" t="str">
        <f>HYPERLINK("https://app.vivvix.com/360/KMI/IntelliDrive/ApplUI/Pages/CreativePages/CustomReportCreativeDetail.aspx?App=23&amp;ReportView=4&amp;Qid=1711279&amp;Row=21301&amp;Col=1","No Title Assigned - #15279938794")</f>
        <v/>
      </c>
      <c r="B21309" s="0" t="s">
        <v>28254</v>
      </c>
      <c r="C21309" s="0" t="s">
        <v>28255</v>
      </c>
      <c r="D21309" s="0" t="s">
        <v>28255</v>
      </c>
      <c r="E21309" s="0" t="inlineStr">
        <is>
          <t xml:space="preserve">Mazda</t>
        </is>
      </c>
      <c r="F21309" s="0" t="inlineStr">
        <is>
          <t xml:space="preserve">Mazda</t>
        </is>
      </c>
      <c r="G21309" s="0" t="s">
        <v>210</v>
      </c>
      <c r="H21309" s="5">
        <v>978.049500</v>
      </c>
    </row>
    <row r="21310" spans="1:9">
      <c r="A21310" s="22" t="str">
        <f>HYPERLINK("https://app.vivvix.com/360/KMI/IntelliDrive/ApplUI/Pages/CreativePages/CustomReportCreativeDetail.aspx?App=23&amp;ReportView=4&amp;Qid=1711279&amp;Row=21302&amp;Col=1","No Title Assigned - #15279938794")</f>
        <v/>
      </c>
      <c r="B21310" s="0" t="s">
        <v>28254</v>
      </c>
      <c r="C21310" s="0" t="s">
        <v>28256</v>
      </c>
      <c r="D21310" s="0" t="s">
        <v>28256</v>
      </c>
      <c r="E21310" s="0" t="inlineStr">
        <is>
          <t xml:space="preserve">Mazda</t>
        </is>
      </c>
      <c r="F21310" s="0" t="inlineStr">
        <is>
          <t xml:space="preserve">Mazda</t>
        </is>
      </c>
      <c r="G21310" s="0" t="s">
        <v>210</v>
      </c>
      <c r="H21310" s="5">
        <v>244.019500</v>
      </c>
    </row>
    <row r="21311" spans="1:9">
      <c r="A21311" s="22" t="str">
        <f>HYPERLINK("https://app.vivvix.com/360/KMI/IntelliDrive/ApplUI/Pages/CreativePages/CustomReportCreativeDetail.aspx?App=23&amp;ReportView=4&amp;Qid=1711279&amp;Row=21303&amp;Col=1","No Title Assigned - #15279938801")</f>
        <v/>
      </c>
      <c r="B21311" s="0" t="s">
        <v>28257</v>
      </c>
      <c r="E21311" s="0" t="inlineStr">
        <is>
          <t xml:space="preserve">Mazda</t>
        </is>
      </c>
      <c r="F21311" s="0" t="s">
        <v>13</v>
      </c>
      <c r="G21311" s="0" t="s">
        <v>49</v>
      </c>
      <c r="H21311" s="5">
        <v>71495.513100</v>
      </c>
    </row>
    <row r="21312" spans="1:9">
      <c r="A21312" s="22" t="str">
        <f>HYPERLINK("https://app.vivvix.com/360/KMI/IntelliDrive/ApplUI/Pages/CreativePages/CustomReportCreativeDetail.aspx?App=23&amp;ReportView=4&amp;Qid=1711279&amp;Row=21304&amp;Col=1","No Title Assigned - #15279938801")</f>
        <v/>
      </c>
      <c r="B21312" s="0" t="s">
        <v>28257</v>
      </c>
      <c r="C21312" s="0" t="s">
        <v>28258</v>
      </c>
      <c r="D21312" s="0" t="s">
        <v>28258</v>
      </c>
      <c r="E21312" s="0" t="inlineStr">
        <is>
          <t xml:space="preserve">Mazda</t>
        </is>
      </c>
      <c r="F21312" s="0" t="s">
        <v>13</v>
      </c>
      <c r="G21312" s="0" t="s">
        <v>49</v>
      </c>
      <c r="H21312" s="5">
        <v>3715.259600</v>
      </c>
    </row>
    <row r="21313" spans="1:9">
      <c r="A21313" s="22" t="str">
        <f>HYPERLINK("https://app.vivvix.com/360/KMI/IntelliDrive/ApplUI/Pages/CreativePages/CustomReportCreativeDetail.aspx?App=23&amp;ReportView=4&amp;Qid=1711279&amp;Row=21305&amp;Col=1","No Title Assigned - #15279939634")</f>
        <v/>
      </c>
      <c r="B21313" s="0" t="s">
        <v>28259</v>
      </c>
      <c r="C21313" s="0" t="s">
        <v>28260</v>
      </c>
      <c r="D21313" s="0" t="s">
        <v>28260</v>
      </c>
      <c r="E21313" s="0" t="inlineStr">
        <is>
          <t xml:space="preserve">Mazda</t>
        </is>
      </c>
      <c r="F21313" s="0" t="s">
        <v>13</v>
      </c>
      <c r="G21313" s="0" t="s">
        <v>49</v>
      </c>
      <c r="H21313" s="5">
        <v>1600.959000</v>
      </c>
    </row>
    <row r="21314" spans="1:9">
      <c r="A21314" s="22" t="str">
        <f>HYPERLINK("https://app.vivvix.com/360/KMI/IntelliDrive/ApplUI/Pages/CreativePages/CustomReportCreativeDetail.aspx?App=23&amp;ReportView=4&amp;Qid=1711279&amp;Row=21306&amp;Col=1","No Title Assigned - #15279940979")</f>
        <v/>
      </c>
      <c r="B21314" s="0" t="s">
        <v>28261</v>
      </c>
      <c r="E21314" s="0" t="inlineStr">
        <is>
          <t xml:space="preserve">Mazda</t>
        </is>
      </c>
      <c r="F21314" s="0" t="s">
        <v>13</v>
      </c>
      <c r="G21314" s="0" t="s">
        <v>49</v>
      </c>
      <c r="H21314" s="5">
        <v>2398.769100</v>
      </c>
    </row>
    <row r="21315" spans="1:9">
      <c r="A21315" s="22" t="str">
        <f>HYPERLINK("https://app.vivvix.com/360/KMI/IntelliDrive/ApplUI/Pages/CreativePages/CustomReportCreativeDetail.aspx?App=23&amp;ReportView=4&amp;Qid=1711279&amp;Row=21307&amp;Col=1","No Title Assigned - #15279940979")</f>
        <v/>
      </c>
      <c r="B21315" s="0" t="s">
        <v>28261</v>
      </c>
      <c r="C21315" s="0" t="s">
        <v>28262</v>
      </c>
      <c r="D21315" s="0" t="s">
        <v>28262</v>
      </c>
      <c r="E21315" s="0" t="inlineStr">
        <is>
          <t xml:space="preserve">Mazda</t>
        </is>
      </c>
      <c r="F21315" s="0" t="s">
        <v>13</v>
      </c>
      <c r="G21315" s="0" t="s">
        <v>49</v>
      </c>
      <c r="H21315" s="5">
        <v>29305.805000</v>
      </c>
    </row>
    <row r="21316" spans="1:9">
      <c r="A21316" s="22" t="str">
        <f>HYPERLINK("https://app.vivvix.com/360/KMI/IntelliDrive/ApplUI/Pages/CreativePages/CustomReportCreativeDetail.aspx?App=23&amp;ReportView=4&amp;Qid=1711279&amp;Row=21308&amp;Col=1","No Title Assigned - #15279941603")</f>
        <v/>
      </c>
      <c r="B21316" s="0" t="s">
        <v>28263</v>
      </c>
      <c r="C21316" s="0" t="s">
        <v>28264</v>
      </c>
      <c r="D21316" s="0" t="s">
        <v>28264</v>
      </c>
      <c r="E21316" s="0" t="inlineStr">
        <is>
          <t xml:space="preserve">Mazda</t>
        </is>
      </c>
      <c r="F21316" s="0" t="s">
        <v>13</v>
      </c>
      <c r="G21316" s="0" t="s">
        <v>49</v>
      </c>
      <c r="H21316" s="5">
        <v>192.745600</v>
      </c>
    </row>
    <row r="21317" spans="1:9">
      <c r="A21317" s="22" t="str">
        <f>HYPERLINK("https://app.vivvix.com/360/KMI/IntelliDrive/ApplUI/Pages/CreativePages/CustomReportCreativeDetail.aspx?App=23&amp;ReportView=4&amp;Qid=1711279&amp;Row=21309&amp;Col=1","No Title Assigned - #15279942577")</f>
        <v/>
      </c>
      <c r="B21317" s="0" t="s">
        <v>28265</v>
      </c>
      <c r="C21317" s="0" t="s">
        <v>28266</v>
      </c>
      <c r="D21317" s="0" t="s">
        <v>28266</v>
      </c>
      <c r="E21317" s="0" t="inlineStr">
        <is>
          <t xml:space="preserve">Mazda</t>
        </is>
      </c>
      <c r="F21317" s="0" t="s">
        <v>13</v>
      </c>
      <c r="G21317" s="0" t="s">
        <v>49</v>
      </c>
      <c r="H21317" s="5">
        <v>627.291100</v>
      </c>
    </row>
    <row r="21318" spans="1:9">
      <c r="A21318" s="22" t="str">
        <f>HYPERLINK("https://app.vivvix.com/360/KMI/IntelliDrive/ApplUI/Pages/CreativePages/CustomReportCreativeDetail.aspx?App=23&amp;ReportView=4&amp;Qid=1711279&amp;Row=21310&amp;Col=1","No Title Assigned - #15279942694")</f>
        <v/>
      </c>
      <c r="B21318" s="0" t="s">
        <v>28267</v>
      </c>
      <c r="C21318" s="0" t="s">
        <v>28268</v>
      </c>
      <c r="D21318" s="0" t="s">
        <v>4335</v>
      </c>
      <c r="E21318" s="0" t="inlineStr">
        <is>
          <t xml:space="preserve">Mazda</t>
        </is>
      </c>
      <c r="F21318" s="0" t="s">
        <v>13</v>
      </c>
      <c r="G21318" s="0" t="s">
        <v>49</v>
      </c>
      <c r="H21318" s="5">
        <v>281.235300</v>
      </c>
    </row>
    <row r="21319" spans="1:9">
      <c r="A21319" s="22" t="str">
        <f>HYPERLINK("https://app.vivvix.com/360/KMI/IntelliDrive/ApplUI/Pages/CreativePages/CustomReportCreativeDetail.aspx?App=23&amp;ReportView=4&amp;Qid=1711279&amp;Row=21311&amp;Col=1","No Title Assigned - #15279942804")</f>
        <v/>
      </c>
      <c r="B21319" s="0" t="s">
        <v>28269</v>
      </c>
      <c r="C21319" s="0" t="s">
        <v>28270</v>
      </c>
      <c r="D21319" s="0" t="s">
        <v>11420</v>
      </c>
      <c r="E21319" s="0" t="inlineStr">
        <is>
          <t xml:space="preserve">Mazda</t>
        </is>
      </c>
      <c r="F21319" s="0" t="s">
        <v>13</v>
      </c>
      <c r="G21319" s="0" t="s">
        <v>49</v>
      </c>
      <c r="H21319" s="5">
        <v>662.222500</v>
      </c>
    </row>
    <row r="21320" spans="1:9">
      <c r="A21320" s="22" t="str">
        <f>HYPERLINK("https://app.vivvix.com/360/KMI/IntelliDrive/ApplUI/Pages/CreativePages/CustomReportCreativeDetail.aspx?App=23&amp;ReportView=4&amp;Qid=1711279&amp;Row=21312&amp;Col=1","No Title Assigned - #15279942821")</f>
        <v/>
      </c>
      <c r="B21320" s="0" t="s">
        <v>28271</v>
      </c>
      <c r="C21320" s="0" t="s">
        <v>28272</v>
      </c>
      <c r="D21320" s="0" t="s">
        <v>28272</v>
      </c>
      <c r="E21320" s="0" t="inlineStr">
        <is>
          <t xml:space="preserve">Mazda</t>
        </is>
      </c>
      <c r="F21320" s="0" t="s">
        <v>13</v>
      </c>
      <c r="G21320" s="0" t="s">
        <v>49</v>
      </c>
      <c r="H21320" s="5">
        <v>49.777500</v>
      </c>
    </row>
    <row r="21321" spans="1:9">
      <c r="A21321" s="22" t="str">
        <f>HYPERLINK("https://app.vivvix.com/360/KMI/IntelliDrive/ApplUI/Pages/CreativePages/CustomReportCreativeDetail.aspx?App=23&amp;ReportView=4&amp;Qid=1711279&amp;Row=21313&amp;Col=1","No Title Assigned - #15279943815")</f>
        <v/>
      </c>
      <c r="B21321" s="0" t="s">
        <v>28273</v>
      </c>
      <c r="C21321" s="0" t="s">
        <v>28274</v>
      </c>
      <c r="D21321" s="0" t="s">
        <v>8930</v>
      </c>
      <c r="E21321" s="0" t="inlineStr">
        <is>
          <t xml:space="preserve">Mazda</t>
        </is>
      </c>
      <c r="F21321" s="0" t="s">
        <v>13</v>
      </c>
      <c r="G21321" s="0" t="s">
        <v>49</v>
      </c>
      <c r="H21321" s="5">
        <v>308.947700</v>
      </c>
    </row>
    <row r="21322" spans="1:9">
      <c r="A21322" s="22" t="str">
        <f>HYPERLINK("https://app.vivvix.com/360/KMI/IntelliDrive/ApplUI/Pages/CreativePages/CustomReportCreativeDetail.aspx?App=23&amp;ReportView=4&amp;Qid=1711279&amp;Row=21314&amp;Col=1","No Title Assigned - #15279943816")</f>
        <v/>
      </c>
      <c r="B21322" s="0" t="s">
        <v>28275</v>
      </c>
      <c r="C21322" s="0" t="s">
        <v>28276</v>
      </c>
      <c r="D21322" s="0" t="s">
        <v>24539</v>
      </c>
      <c r="E21322" s="0" t="inlineStr">
        <is>
          <t xml:space="preserve">Mazda</t>
        </is>
      </c>
      <c r="F21322" s="0" t="s">
        <v>13</v>
      </c>
      <c r="G21322" s="0" t="s">
        <v>49</v>
      </c>
      <c r="H21322" s="5">
        <v>308.947700</v>
      </c>
    </row>
    <row r="21323" spans="1:9">
      <c r="A21323" s="22" t="str">
        <f>HYPERLINK("https://app.vivvix.com/360/KMI/IntelliDrive/ApplUI/Pages/CreativePages/CustomReportCreativeDetail.aspx?App=23&amp;ReportView=4&amp;Qid=1711279&amp;Row=21315&amp;Col=1","No Title Assigned - #15279944330")</f>
        <v/>
      </c>
      <c r="B21323" s="0" t="s">
        <v>28277</v>
      </c>
      <c r="C21323" s="0" t="s">
        <v>28278</v>
      </c>
      <c r="D21323" s="0" t="s">
        <v>28278</v>
      </c>
      <c r="E21323" s="0" t="inlineStr">
        <is>
          <t xml:space="preserve">Mazda</t>
        </is>
      </c>
      <c r="F21323" s="0" t="s">
        <v>13</v>
      </c>
      <c r="G21323" s="0" t="s">
        <v>49</v>
      </c>
      <c r="H21323" s="5">
        <v>447.103400</v>
      </c>
    </row>
    <row r="21324" spans="1:9">
      <c r="A21324" s="22" t="str">
        <f>HYPERLINK("https://app.vivvix.com/360/KMI/IntelliDrive/ApplUI/Pages/CreativePages/CustomReportCreativeDetail.aspx?App=23&amp;ReportView=4&amp;Qid=1711279&amp;Row=21316&amp;Col=1","No Title Assigned - #15279944702")</f>
        <v/>
      </c>
      <c r="B21324" s="0" t="s">
        <v>28279</v>
      </c>
      <c r="C21324" s="0" t="s">
        <v>28280</v>
      </c>
      <c r="D21324" s="0" t="s">
        <v>4335</v>
      </c>
      <c r="E21324" s="0" t="inlineStr">
        <is>
          <t xml:space="preserve">Mazda</t>
        </is>
      </c>
      <c r="F21324" s="0" t="s">
        <v>13</v>
      </c>
      <c r="G21324" s="0" t="s">
        <v>49</v>
      </c>
      <c r="H21324" s="5">
        <v>775.050600</v>
      </c>
    </row>
    <row r="21325" spans="1:9">
      <c r="A21325" s="22" t="str">
        <f>HYPERLINK("https://app.vivvix.com/360/KMI/IntelliDrive/ApplUI/Pages/CreativePages/CustomReportCreativeDetail.aspx?App=23&amp;ReportView=4&amp;Qid=1711279&amp;Row=21317&amp;Col=1","No Title Assigned - #15279945613")</f>
        <v/>
      </c>
      <c r="B21325" s="0" t="s">
        <v>28281</v>
      </c>
      <c r="C21325" s="0" t="s">
        <v>28282</v>
      </c>
      <c r="D21325" s="0" t="s">
        <v>28282</v>
      </c>
      <c r="E21325" s="0" t="inlineStr">
        <is>
          <t xml:space="preserve">Mazda</t>
        </is>
      </c>
      <c r="F21325" s="0" t="s">
        <v>13</v>
      </c>
      <c r="G21325" s="0" t="s">
        <v>49</v>
      </c>
      <c r="H21325" s="5">
        <v>55297.789100</v>
      </c>
    </row>
    <row r="21326" spans="1:9">
      <c r="A21326" s="22" t="str">
        <f>HYPERLINK("https://app.vivvix.com/360/KMI/IntelliDrive/ApplUI/Pages/CreativePages/CustomReportCreativeDetail.aspx?App=23&amp;ReportView=4&amp;Qid=1711279&amp;Row=21318&amp;Col=1","No Title Assigned - #15279945709")</f>
        <v/>
      </c>
      <c r="B21326" s="0" t="s">
        <v>28283</v>
      </c>
      <c r="C21326" s="0" t="s">
        <v>28284</v>
      </c>
      <c r="D21326" s="0" t="s">
        <v>28284</v>
      </c>
      <c r="E21326" s="0" t="inlineStr">
        <is>
          <t xml:space="preserve">Mazda</t>
        </is>
      </c>
      <c r="F21326" s="0" t="s">
        <v>13</v>
      </c>
      <c r="G21326" s="0" t="s">
        <v>49</v>
      </c>
      <c r="H21326" s="5">
        <v>2.149000</v>
      </c>
    </row>
    <row r="21327" spans="1:9">
      <c r="A21327" s="22" t="str">
        <f>HYPERLINK("https://app.vivvix.com/360/KMI/IntelliDrive/ApplUI/Pages/CreativePages/CustomReportCreativeDetail.aspx?App=23&amp;ReportView=4&amp;Qid=1711279&amp;Row=21319&amp;Col=1","No Title Assigned - #15279945879")</f>
        <v/>
      </c>
      <c r="B21327" s="0" t="s">
        <v>28285</v>
      </c>
      <c r="C21327" s="0" t="s">
        <v>28286</v>
      </c>
      <c r="D21327" s="0" t="s">
        <v>28286</v>
      </c>
      <c r="E21327" s="0" t="inlineStr">
        <is>
          <t xml:space="preserve">Mazda</t>
        </is>
      </c>
      <c r="F21327" s="0" t="inlineStr">
        <is>
          <t xml:space="preserve">Mazda</t>
        </is>
      </c>
      <c r="G21327" s="0" t="s">
        <v>210</v>
      </c>
      <c r="H21327" s="5">
        <v>11475.803900</v>
      </c>
    </row>
    <row r="21328" spans="1:9">
      <c r="A21328" s="22" t="str">
        <f>HYPERLINK("https://app.vivvix.com/360/KMI/IntelliDrive/ApplUI/Pages/CreativePages/CustomReportCreativeDetail.aspx?App=23&amp;ReportView=4&amp;Qid=1711279&amp;Row=21320&amp;Col=1","No Title Assigned - #15279947248")</f>
        <v/>
      </c>
      <c r="B21328" s="0" t="s">
        <v>28287</v>
      </c>
      <c r="C21328" s="0" t="s">
        <v>28288</v>
      </c>
      <c r="D21328" s="0" t="s">
        <v>6183</v>
      </c>
      <c r="E21328" s="0" t="inlineStr">
        <is>
          <t xml:space="preserve">Mazda</t>
        </is>
      </c>
      <c r="F21328" s="0" t="s">
        <v>13</v>
      </c>
      <c r="G21328" s="0" t="s">
        <v>49</v>
      </c>
      <c r="H21328" s="5">
        <v>9014.580600</v>
      </c>
    </row>
    <row r="21329" spans="1:9">
      <c r="A21329" s="22" t="str">
        <f>HYPERLINK("https://app.vivvix.com/360/KMI/IntelliDrive/ApplUI/Pages/CreativePages/CustomReportCreativeDetail.aspx?App=23&amp;ReportView=4&amp;Qid=1711279&amp;Row=21321&amp;Col=1","No Title Assigned - #15279947248")</f>
        <v/>
      </c>
      <c r="B21329" s="0" t="s">
        <v>28287</v>
      </c>
      <c r="E21329" s="0" t="inlineStr">
        <is>
          <t xml:space="preserve">Mazda</t>
        </is>
      </c>
      <c r="F21329" s="0" t="s">
        <v>13</v>
      </c>
      <c r="G21329" s="0" t="s">
        <v>49</v>
      </c>
      <c r="H21329" s="5">
        <v>6381.307100</v>
      </c>
    </row>
    <row r="21330" spans="1:9">
      <c r="A21330" s="22" t="str">
        <f>HYPERLINK("https://app.vivvix.com/360/KMI/IntelliDrive/ApplUI/Pages/CreativePages/CustomReportCreativeDetail.aspx?App=23&amp;ReportView=4&amp;Qid=1711279&amp;Row=21322&amp;Col=1","No Title Assigned - #15279947659")</f>
        <v/>
      </c>
      <c r="B21330" s="0" t="s">
        <v>28289</v>
      </c>
      <c r="C21330" s="0" t="s">
        <v>28290</v>
      </c>
      <c r="D21330" s="0" t="s">
        <v>28290</v>
      </c>
      <c r="E21330" s="0" t="inlineStr">
        <is>
          <t xml:space="preserve">Mazda</t>
        </is>
      </c>
      <c r="F21330" s="0" t="s">
        <v>13</v>
      </c>
      <c r="G21330" s="0" t="s">
        <v>49</v>
      </c>
      <c r="H21330" s="5">
        <v>301.405800</v>
      </c>
    </row>
    <row r="21331" spans="1:9">
      <c r="A21331" s="22" t="str">
        <f>HYPERLINK("https://app.vivvix.com/360/KMI/IntelliDrive/ApplUI/Pages/CreativePages/CustomReportCreativeDetail.aspx?App=23&amp;ReportView=4&amp;Qid=1711279&amp;Row=21323&amp;Col=1","No Title Assigned - #15279948090")</f>
        <v/>
      </c>
      <c r="B21331" s="0" t="s">
        <v>28291</v>
      </c>
      <c r="E21331" s="0" t="inlineStr">
        <is>
          <t xml:space="preserve">Mazda</t>
        </is>
      </c>
      <c r="F21331" s="0" t="inlineStr">
        <is>
          <t xml:space="preserve">Mazda</t>
        </is>
      </c>
      <c r="G21331" s="0" t="s">
        <v>171</v>
      </c>
      <c r="H21331" s="5">
        <v>355.995400</v>
      </c>
    </row>
    <row r="21332" spans="1:9">
      <c r="A21332" s="22" t="str">
        <f>HYPERLINK("https://app.vivvix.com/360/KMI/IntelliDrive/ApplUI/Pages/CreativePages/CustomReportCreativeDetail.aspx?App=23&amp;ReportView=4&amp;Qid=1711279&amp;Row=21324&amp;Col=1","No Title Assigned - #15279948248")</f>
        <v/>
      </c>
      <c r="B21332" s="0" t="s">
        <v>28292</v>
      </c>
      <c r="C21332" s="0" t="s">
        <v>28293</v>
      </c>
      <c r="D21332" s="0" t="s">
        <v>28293</v>
      </c>
      <c r="E21332" s="0" t="inlineStr">
        <is>
          <t xml:space="preserve">Mazda</t>
        </is>
      </c>
      <c r="F21332" s="0" t="s">
        <v>13</v>
      </c>
      <c r="G21332" s="0" t="s">
        <v>49</v>
      </c>
      <c r="H21332" s="5">
        <v>1816.260300</v>
      </c>
    </row>
    <row r="21333" spans="1:9">
      <c r="A21333" s="22" t="str">
        <f>HYPERLINK("https://app.vivvix.com/360/KMI/IntelliDrive/ApplUI/Pages/CreativePages/CustomReportCreativeDetail.aspx?App=23&amp;ReportView=4&amp;Qid=1711279&amp;Row=21325&amp;Col=1","No Title Assigned - #15279948831")</f>
        <v/>
      </c>
      <c r="B21333" s="0" t="s">
        <v>28294</v>
      </c>
      <c r="C21333" s="0" t="s">
        <v>28295</v>
      </c>
      <c r="D21333" s="0" t="s">
        <v>28295</v>
      </c>
      <c r="E21333" s="0" t="inlineStr">
        <is>
          <t xml:space="preserve">Mazda</t>
        </is>
      </c>
      <c r="F21333" s="0" t="inlineStr">
        <is>
          <t xml:space="preserve">Mazda</t>
        </is>
      </c>
      <c r="G21333" s="0" t="s">
        <v>210</v>
      </c>
      <c r="H21333" s="5">
        <v>557.070600</v>
      </c>
    </row>
    <row r="21334" spans="1:9">
      <c r="A21334" s="22" t="str">
        <f>HYPERLINK("https://app.vivvix.com/360/KMI/IntelliDrive/ApplUI/Pages/CreativePages/CustomReportCreativeDetail.aspx?App=23&amp;ReportView=4&amp;Qid=1711279&amp;Row=21326&amp;Col=1","No Title Assigned - #15279948991")</f>
        <v/>
      </c>
      <c r="B21334" s="0" t="s">
        <v>28296</v>
      </c>
      <c r="E21334" s="0" t="inlineStr">
        <is>
          <t xml:space="preserve">Mazda</t>
        </is>
      </c>
      <c r="F21334" s="0" t="inlineStr">
        <is>
          <t xml:space="preserve">Mazda</t>
        </is>
      </c>
      <c r="G21334" s="0" t="s">
        <v>171</v>
      </c>
      <c r="H21334" s="5">
        <v>950.099000</v>
      </c>
    </row>
    <row r="21335" spans="1:9">
      <c r="A21335" s="22" t="str">
        <f>HYPERLINK("https://app.vivvix.com/360/KMI/IntelliDrive/ApplUI/Pages/CreativePages/CustomReportCreativeDetail.aspx?App=23&amp;ReportView=4&amp;Qid=1711279&amp;Row=21327&amp;Col=1","No Title Assigned - #15279949135")</f>
        <v/>
      </c>
      <c r="B21335" s="0" t="s">
        <v>28297</v>
      </c>
      <c r="C21335" s="0" t="s">
        <v>28298</v>
      </c>
      <c r="D21335" s="0" t="s">
        <v>28298</v>
      </c>
      <c r="E21335" s="0" t="inlineStr">
        <is>
          <t xml:space="preserve">Mazda</t>
        </is>
      </c>
      <c r="F21335" s="0" t="s">
        <v>13</v>
      </c>
      <c r="G21335" s="0" t="s">
        <v>49</v>
      </c>
      <c r="H21335" s="5">
        <v>5309.341800</v>
      </c>
    </row>
    <row r="21336" spans="1:9">
      <c r="A21336" s="22" t="str">
        <f>HYPERLINK("https://app.vivvix.com/360/KMI/IntelliDrive/ApplUI/Pages/CreativePages/CustomReportCreativeDetail.aspx?App=23&amp;ReportView=4&amp;Qid=1711279&amp;Row=21328&amp;Col=1","No Title Assigned - #15279949135")</f>
        <v/>
      </c>
      <c r="B21336" s="0" t="s">
        <v>28297</v>
      </c>
      <c r="E21336" s="0" t="inlineStr">
        <is>
          <t xml:space="preserve">Mazda</t>
        </is>
      </c>
      <c r="F21336" s="0" t="s">
        <v>13</v>
      </c>
      <c r="G21336" s="0" t="s">
        <v>49</v>
      </c>
      <c r="H21336" s="5">
        <v>20.997100</v>
      </c>
    </row>
    <row r="21337" spans="1:9">
      <c r="A21337" s="22" t="str">
        <f>HYPERLINK("https://app.vivvix.com/360/KMI/IntelliDrive/ApplUI/Pages/CreativePages/CustomReportCreativeDetail.aspx?App=23&amp;ReportView=4&amp;Qid=1711279&amp;Row=21329&amp;Col=1","No Title Assigned - #15279949795")</f>
        <v/>
      </c>
      <c r="B21337" s="0" t="s">
        <v>28299</v>
      </c>
      <c r="C21337" s="0" t="s">
        <v>28300</v>
      </c>
      <c r="D21337" s="0" t="s">
        <v>4335</v>
      </c>
      <c r="E21337" s="0" t="inlineStr">
        <is>
          <t xml:space="preserve">Mazda</t>
        </is>
      </c>
      <c r="F21337" s="0" t="s">
        <v>13</v>
      </c>
      <c r="G21337" s="0" t="s">
        <v>49</v>
      </c>
      <c r="H21337" s="5">
        <v>70.369600</v>
      </c>
    </row>
    <row r="21338" spans="1:9">
      <c r="A21338" s="22" t="str">
        <f>HYPERLINK("https://app.vivvix.com/360/KMI/IntelliDrive/ApplUI/Pages/CreativePages/CustomReportCreativeDetail.aspx?App=23&amp;ReportView=4&amp;Qid=1711279&amp;Row=21330&amp;Col=1","No Title Assigned - #15279950078")</f>
        <v/>
      </c>
      <c r="B21338" s="0" t="s">
        <v>28301</v>
      </c>
      <c r="E21338" s="0" t="inlineStr">
        <is>
          <t xml:space="preserve">Mazda</t>
        </is>
      </c>
      <c r="F21338" s="0" t="s">
        <v>13</v>
      </c>
      <c r="G21338" s="0" t="s">
        <v>49</v>
      </c>
      <c r="H21338" s="5">
        <v>905.899300</v>
      </c>
    </row>
    <row r="21339" spans="1:9">
      <c r="A21339" s="22" t="str">
        <f>HYPERLINK("https://app.vivvix.com/360/KMI/IntelliDrive/ApplUI/Pages/CreativePages/CustomReportCreativeDetail.aspx?App=23&amp;ReportView=4&amp;Qid=1711279&amp;Row=21331&amp;Col=1","No Title Assigned - #15279950078")</f>
        <v/>
      </c>
      <c r="B21339" s="0" t="s">
        <v>28301</v>
      </c>
      <c r="C21339" s="0" t="s">
        <v>28302</v>
      </c>
      <c r="D21339" s="0" t="s">
        <v>10321</v>
      </c>
      <c r="E21339" s="0" t="inlineStr">
        <is>
          <t xml:space="preserve">Mazda</t>
        </is>
      </c>
      <c r="F21339" s="0" t="s">
        <v>13</v>
      </c>
      <c r="G21339" s="0" t="s">
        <v>49</v>
      </c>
      <c r="H21339" s="5">
        <v>24.093200</v>
      </c>
    </row>
    <row r="21340" spans="1:9">
      <c r="A21340" s="22" t="str">
        <f>HYPERLINK("https://app.vivvix.com/360/KMI/IntelliDrive/ApplUI/Pages/CreativePages/CustomReportCreativeDetail.aspx?App=23&amp;ReportView=4&amp;Qid=1711279&amp;Row=21332&amp;Col=1","No Title Assigned - #15279950749")</f>
        <v/>
      </c>
      <c r="B21340" s="0" t="s">
        <v>28303</v>
      </c>
      <c r="C21340" s="0" t="s">
        <v>28304</v>
      </c>
      <c r="D21340" s="0" t="s">
        <v>10101</v>
      </c>
      <c r="E21340" s="0" t="inlineStr">
        <is>
          <t xml:space="preserve">Mazda</t>
        </is>
      </c>
      <c r="F21340" s="0" t="s">
        <v>13</v>
      </c>
      <c r="G21340" s="0" t="s">
        <v>49</v>
      </c>
      <c r="H21340" s="5">
        <v>3404.834700</v>
      </c>
    </row>
    <row r="21341" spans="1:9">
      <c r="A21341" s="22" t="str">
        <f>HYPERLINK("https://app.vivvix.com/360/KMI/IntelliDrive/ApplUI/Pages/CreativePages/CustomReportCreativeDetail.aspx?App=23&amp;ReportView=4&amp;Qid=1711279&amp;Row=21333&amp;Col=1","No Title Assigned - #15279951625")</f>
        <v/>
      </c>
      <c r="B21341" s="0" t="s">
        <v>28305</v>
      </c>
      <c r="C21341" s="0" t="s">
        <v>28306</v>
      </c>
      <c r="D21341" s="0" t="s">
        <v>28306</v>
      </c>
      <c r="E21341" s="0" t="inlineStr">
        <is>
          <t xml:space="preserve">Mazda</t>
        </is>
      </c>
      <c r="F21341" s="0" t="inlineStr">
        <is>
          <t xml:space="preserve">Mazda</t>
        </is>
      </c>
      <c r="G21341" s="0" t="s">
        <v>210</v>
      </c>
      <c r="H21341" s="5">
        <v>690.460000</v>
      </c>
    </row>
    <row r="21342" spans="1:9">
      <c r="A21342" s="22" t="str">
        <f>HYPERLINK("https://app.vivvix.com/360/KMI/IntelliDrive/ApplUI/Pages/CreativePages/CustomReportCreativeDetail.aspx?App=23&amp;ReportView=4&amp;Qid=1711279&amp;Row=21334&amp;Col=1","No Title Assigned - #15279953430")</f>
        <v/>
      </c>
      <c r="B21342" s="0" t="s">
        <v>28307</v>
      </c>
      <c r="C21342" s="0" t="s">
        <v>28308</v>
      </c>
      <c r="D21342" s="0" t="s">
        <v>19918</v>
      </c>
      <c r="E21342" s="0" t="inlineStr">
        <is>
          <t xml:space="preserve">Mazda</t>
        </is>
      </c>
      <c r="F21342" s="0" t="inlineStr">
        <is>
          <t xml:space="preserve">Mazda</t>
        </is>
      </c>
      <c r="G21342" s="0" t="s">
        <v>210</v>
      </c>
      <c r="H21342" s="5">
        <v>1435.487200</v>
      </c>
    </row>
    <row r="21343" spans="1:9">
      <c r="A21343" s="22" t="str">
        <f>HYPERLINK("https://app.vivvix.com/360/KMI/IntelliDrive/ApplUI/Pages/CreativePages/CustomReportCreativeDetail.aspx?App=23&amp;ReportView=4&amp;Qid=1711279&amp;Row=21335&amp;Col=1","No Title Assigned - #15279953598")</f>
        <v/>
      </c>
      <c r="B21343" s="0" t="s">
        <v>28309</v>
      </c>
      <c r="C21343" s="0" t="s">
        <v>28310</v>
      </c>
      <c r="D21343" s="0" t="s">
        <v>28310</v>
      </c>
      <c r="E21343" s="0" t="inlineStr">
        <is>
          <t xml:space="preserve">Mazda</t>
        </is>
      </c>
      <c r="F21343" s="0" t="s">
        <v>13</v>
      </c>
      <c r="G21343" s="0" t="s">
        <v>49</v>
      </c>
      <c r="H21343" s="5">
        <v>28.112100</v>
      </c>
    </row>
    <row r="21344" spans="1:9">
      <c r="A21344" s="22" t="str">
        <f>HYPERLINK("https://app.vivvix.com/360/KMI/IntelliDrive/ApplUI/Pages/CreativePages/CustomReportCreativeDetail.aspx?App=23&amp;ReportView=4&amp;Qid=1711279&amp;Row=21336&amp;Col=1","No Title Assigned - #15279954138")</f>
        <v/>
      </c>
      <c r="B21344" s="0" t="s">
        <v>28311</v>
      </c>
      <c r="C21344" s="0" t="s">
        <v>28312</v>
      </c>
      <c r="D21344" s="0" t="s">
        <v>28312</v>
      </c>
      <c r="E21344" s="0" t="inlineStr">
        <is>
          <t xml:space="preserve">Mazda</t>
        </is>
      </c>
      <c r="F21344" s="0" t="s">
        <v>13</v>
      </c>
      <c r="G21344" s="0" t="s">
        <v>49</v>
      </c>
      <c r="H21344" s="5">
        <v>66.557700</v>
      </c>
    </row>
    <row r="21345" spans="1:9">
      <c r="A21345" s="22" t="str">
        <f>HYPERLINK("https://app.vivvix.com/360/KMI/IntelliDrive/ApplUI/Pages/CreativePages/CustomReportCreativeDetail.aspx?App=23&amp;ReportView=4&amp;Qid=1711279&amp;Row=21337&amp;Col=1","No Title Assigned - #15279954215")</f>
        <v/>
      </c>
      <c r="B21345" s="0" t="s">
        <v>28313</v>
      </c>
      <c r="C21345" s="0" t="s">
        <v>28314</v>
      </c>
      <c r="D21345" s="0" t="s">
        <v>28314</v>
      </c>
      <c r="E21345" s="0" t="inlineStr">
        <is>
          <t xml:space="preserve">Mazda</t>
        </is>
      </c>
      <c r="F21345" s="0" t="s">
        <v>13</v>
      </c>
      <c r="G21345" s="0" t="s">
        <v>49</v>
      </c>
      <c r="H21345" s="5">
        <v>84.163700</v>
      </c>
    </row>
    <row r="21346" spans="1:9">
      <c r="A21346" s="22" t="str">
        <f>HYPERLINK("https://app.vivvix.com/360/KMI/IntelliDrive/ApplUI/Pages/CreativePages/CustomReportCreativeDetail.aspx?App=23&amp;ReportView=4&amp;Qid=1711279&amp;Row=21338&amp;Col=1","No Title Assigned - #15279954762")</f>
        <v/>
      </c>
      <c r="B21346" s="0" t="s">
        <v>28315</v>
      </c>
      <c r="C21346" s="0" t="s">
        <v>28316</v>
      </c>
      <c r="D21346" s="0" t="s">
        <v>15020</v>
      </c>
      <c r="E21346" s="0" t="inlineStr">
        <is>
          <t xml:space="preserve">Mazda</t>
        </is>
      </c>
      <c r="F21346" s="0" t="s">
        <v>13</v>
      </c>
      <c r="G21346" s="0" t="s">
        <v>49</v>
      </c>
      <c r="H21346" s="5">
        <v>267.878500</v>
      </c>
    </row>
    <row r="21347" spans="1:9">
      <c r="A21347" s="22" t="str">
        <f>HYPERLINK("https://app.vivvix.com/360/KMI/IntelliDrive/ApplUI/Pages/CreativePages/CustomReportCreativeDetail.aspx?App=23&amp;ReportView=4&amp;Qid=1711279&amp;Row=21339&amp;Col=1","No Title Assigned - #15279955126")</f>
        <v/>
      </c>
      <c r="B21347" s="0" t="s">
        <v>28317</v>
      </c>
      <c r="C21347" s="0" t="s">
        <v>28318</v>
      </c>
      <c r="D21347" s="0" t="s">
        <v>15762</v>
      </c>
      <c r="E21347" s="0" t="inlineStr">
        <is>
          <t xml:space="preserve">Mazda</t>
        </is>
      </c>
      <c r="F21347" s="0" t="s">
        <v>13</v>
      </c>
      <c r="G21347" s="0" t="s">
        <v>49</v>
      </c>
      <c r="H21347" s="5">
        <v>7976.607200</v>
      </c>
    </row>
    <row r="21348" spans="1:9">
      <c r="A21348" s="22" t="str">
        <f>HYPERLINK("https://app.vivvix.com/360/KMI/IntelliDrive/ApplUI/Pages/CreativePages/CustomReportCreativeDetail.aspx?App=23&amp;ReportView=4&amp;Qid=1711279&amp;Row=21340&amp;Col=1","No Title Assigned - #15279956508")</f>
        <v/>
      </c>
      <c r="B21348" s="0" t="s">
        <v>28319</v>
      </c>
      <c r="C21348" s="0" t="s">
        <v>28320</v>
      </c>
      <c r="D21348" s="0" t="s">
        <v>28320</v>
      </c>
      <c r="E21348" s="0" t="inlineStr">
        <is>
          <t xml:space="preserve">Mazda</t>
        </is>
      </c>
      <c r="F21348" s="0" t="s">
        <v>13</v>
      </c>
      <c r="G21348" s="0" t="s">
        <v>49</v>
      </c>
      <c r="H21348" s="5">
        <v>98.096600</v>
      </c>
    </row>
    <row r="21349" spans="1:9">
      <c r="A21349" s="22" t="str">
        <f>HYPERLINK("https://app.vivvix.com/360/KMI/IntelliDrive/ApplUI/Pages/CreativePages/CustomReportCreativeDetail.aspx?App=23&amp;ReportView=4&amp;Qid=1711279&amp;Row=21341&amp;Col=1","No Title Assigned - #15279957026")</f>
        <v/>
      </c>
      <c r="B21349" s="0" t="s">
        <v>28321</v>
      </c>
      <c r="C21349" s="0" t="s">
        <v>28322</v>
      </c>
      <c r="D21349" s="0" t="s">
        <v>4335</v>
      </c>
      <c r="E21349" s="0" t="inlineStr">
        <is>
          <t xml:space="preserve">Mazda</t>
        </is>
      </c>
      <c r="F21349" s="0" t="s">
        <v>13</v>
      </c>
      <c r="G21349" s="0" t="s">
        <v>49</v>
      </c>
      <c r="H21349" s="5">
        <v>8.587800</v>
      </c>
    </row>
    <row r="21350" spans="1:9">
      <c r="A21350" s="22" t="str">
        <f>HYPERLINK("https://app.vivvix.com/360/KMI/IntelliDrive/ApplUI/Pages/CreativePages/CustomReportCreativeDetail.aspx?App=23&amp;ReportView=4&amp;Qid=1711279&amp;Row=21342&amp;Col=1","No Title Assigned - #15279958045")</f>
        <v/>
      </c>
      <c r="B21350" s="0" t="s">
        <v>28323</v>
      </c>
      <c r="E21350" s="0" t="inlineStr">
        <is>
          <t xml:space="preserve">Mazda</t>
        </is>
      </c>
      <c r="F21350" s="0" t="inlineStr">
        <is>
          <t xml:space="preserve">Mazda</t>
        </is>
      </c>
      <c r="G21350" s="0" t="s">
        <v>171</v>
      </c>
      <c r="H21350" s="5">
        <v>166.329300</v>
      </c>
    </row>
    <row r="21351" spans="1:9">
      <c r="A21351" s="22" t="str">
        <f>HYPERLINK("https://app.vivvix.com/360/KMI/IntelliDrive/ApplUI/Pages/CreativePages/CustomReportCreativeDetail.aspx?App=23&amp;ReportView=4&amp;Qid=1711279&amp;Row=21343&amp;Col=1","No Title Assigned - #15279958388")</f>
        <v/>
      </c>
      <c r="B21351" s="0" t="s">
        <v>28324</v>
      </c>
      <c r="E21351" s="0" t="inlineStr">
        <is>
          <t xml:space="preserve">Mazda</t>
        </is>
      </c>
      <c r="F21351" s="0" t="inlineStr">
        <is>
          <t xml:space="preserve">Mazda</t>
        </is>
      </c>
      <c r="G21351" s="0" t="s">
        <v>171</v>
      </c>
      <c r="H21351" s="5">
        <v>130.950600</v>
      </c>
    </row>
    <row r="21352" spans="1:9">
      <c r="A21352" s="22" t="str">
        <f>HYPERLINK("https://app.vivvix.com/360/KMI/IntelliDrive/ApplUI/Pages/CreativePages/CustomReportCreativeDetail.aspx?App=23&amp;ReportView=4&amp;Qid=1711279&amp;Row=21344&amp;Col=1","No Title Assigned - #15279958392")</f>
        <v/>
      </c>
      <c r="B21352" s="0" t="s">
        <v>28325</v>
      </c>
      <c r="E21352" s="0" t="inlineStr">
        <is>
          <t xml:space="preserve">Mazda</t>
        </is>
      </c>
      <c r="F21352" s="0" t="inlineStr">
        <is>
          <t xml:space="preserve">Mazda</t>
        </is>
      </c>
      <c r="G21352" s="0" t="s">
        <v>171</v>
      </c>
      <c r="H21352" s="5">
        <v>1.517600</v>
      </c>
    </row>
    <row r="21353" spans="1:9">
      <c r="A21353" s="22" t="str">
        <f>HYPERLINK("https://app.vivvix.com/360/KMI/IntelliDrive/ApplUI/Pages/CreativePages/CustomReportCreativeDetail.aspx?App=23&amp;ReportView=4&amp;Qid=1711279&amp;Row=21345&amp;Col=1","No Title Assigned - #15279958520")</f>
        <v/>
      </c>
      <c r="B21353" s="0" t="s">
        <v>28326</v>
      </c>
      <c r="E21353" s="0" t="inlineStr">
        <is>
          <t xml:space="preserve">Mazda</t>
        </is>
      </c>
      <c r="F21353" s="0" t="inlineStr">
        <is>
          <t xml:space="preserve">Mazda</t>
        </is>
      </c>
      <c r="G21353" s="0" t="s">
        <v>171</v>
      </c>
      <c r="H21353" s="5">
        <v>70.428700</v>
      </c>
    </row>
    <row r="21354" spans="1:9">
      <c r="A21354" s="22" t="str">
        <f>HYPERLINK("https://app.vivvix.com/360/KMI/IntelliDrive/ApplUI/Pages/CreativePages/CustomReportCreativeDetail.aspx?App=23&amp;ReportView=4&amp;Qid=1711279&amp;Row=21346&amp;Col=1","No Title Assigned - #15279958588")</f>
        <v/>
      </c>
      <c r="B21354" s="0" t="s">
        <v>28327</v>
      </c>
      <c r="E21354" s="0" t="inlineStr">
        <is>
          <t xml:space="preserve">Mazda</t>
        </is>
      </c>
      <c r="F21354" s="0" t="inlineStr">
        <is>
          <t xml:space="preserve">Mazda</t>
        </is>
      </c>
      <c r="G21354" s="0" t="s">
        <v>171</v>
      </c>
      <c r="H21354" s="5">
        <v>358.560000</v>
      </c>
    </row>
    <row r="21355" spans="1:9">
      <c r="A21355" s="22" t="str">
        <f>HYPERLINK("https://app.vivvix.com/360/KMI/IntelliDrive/ApplUI/Pages/CreativePages/CustomReportCreativeDetail.aspx?App=23&amp;ReportView=4&amp;Qid=1711279&amp;Row=21347&amp;Col=1","No Title Assigned - #15279958724")</f>
        <v/>
      </c>
      <c r="B21355" s="0" t="s">
        <v>28328</v>
      </c>
      <c r="C21355" s="0" t="s">
        <v>28329</v>
      </c>
      <c r="D21355" s="0" t="s">
        <v>28329</v>
      </c>
      <c r="E21355" s="0" t="inlineStr">
        <is>
          <t xml:space="preserve">Mazda</t>
        </is>
      </c>
      <c r="F21355" s="0" t="s">
        <v>13</v>
      </c>
      <c r="G21355" s="0" t="s">
        <v>49</v>
      </c>
      <c r="H21355" s="5">
        <v>135587.039700</v>
      </c>
    </row>
    <row r="21356" spans="1:9">
      <c r="A21356" s="22" t="str">
        <f>HYPERLINK("https://app.vivvix.com/360/KMI/IntelliDrive/ApplUI/Pages/CreativePages/CustomReportCreativeDetail.aspx?App=23&amp;ReportView=4&amp;Qid=1711279&amp;Row=21348&amp;Col=1","No Title Assigned - #15279958904")</f>
        <v/>
      </c>
      <c r="B21356" s="0" t="s">
        <v>28330</v>
      </c>
      <c r="E21356" s="0" t="inlineStr">
        <is>
          <t xml:space="preserve">Mazda</t>
        </is>
      </c>
      <c r="F21356" s="0" t="inlineStr">
        <is>
          <t xml:space="preserve">Mazda</t>
        </is>
      </c>
      <c r="G21356" s="0" t="s">
        <v>171</v>
      </c>
      <c r="H21356" s="5">
        <v>1.517600</v>
      </c>
    </row>
    <row r="21357" spans="1:9">
      <c r="A21357" s="22" t="str">
        <f>HYPERLINK("https://app.vivvix.com/360/KMI/IntelliDrive/ApplUI/Pages/CreativePages/CustomReportCreativeDetail.aspx?App=23&amp;ReportView=4&amp;Qid=1711279&amp;Row=21349&amp;Col=1","No Title Assigned - #15279959594")</f>
        <v/>
      </c>
      <c r="B21357" s="0" t="s">
        <v>28331</v>
      </c>
      <c r="E21357" s="0" t="inlineStr">
        <is>
          <t xml:space="preserve">Mazda</t>
        </is>
      </c>
      <c r="F21357" s="0" t="inlineStr">
        <is>
          <t xml:space="preserve">Mazda</t>
        </is>
      </c>
      <c r="G21357" s="0" t="s">
        <v>171</v>
      </c>
      <c r="H21357" s="5">
        <v>1028.113300</v>
      </c>
    </row>
    <row r="21358" spans="1:9">
      <c r="A21358" s="22" t="str">
        <f>HYPERLINK("https://app.vivvix.com/360/KMI/IntelliDrive/ApplUI/Pages/CreativePages/CustomReportCreativeDetail.aspx?App=23&amp;ReportView=4&amp;Qid=1711279&amp;Row=21350&amp;Col=1","No Title Assigned - #15279959813")</f>
        <v/>
      </c>
      <c r="B21358" s="0" t="s">
        <v>28332</v>
      </c>
      <c r="E21358" s="0" t="inlineStr">
        <is>
          <t xml:space="preserve">Mazda</t>
        </is>
      </c>
      <c r="F21358" s="0" t="inlineStr">
        <is>
          <t xml:space="preserve">Mazda</t>
        </is>
      </c>
      <c r="G21358" s="0" t="s">
        <v>171</v>
      </c>
      <c r="H21358" s="5">
        <v>1957.082800</v>
      </c>
    </row>
    <row r="21359" spans="1:9">
      <c r="A21359" s="22" t="str">
        <f>HYPERLINK("https://app.vivvix.com/360/KMI/IntelliDrive/ApplUI/Pages/CreativePages/CustomReportCreativeDetail.aspx?App=23&amp;ReportView=4&amp;Qid=1711279&amp;Row=21351&amp;Col=1","No Title Assigned - #15279959995")</f>
        <v/>
      </c>
      <c r="B21359" s="0" t="s">
        <v>28333</v>
      </c>
      <c r="E21359" s="0" t="inlineStr">
        <is>
          <t xml:space="preserve">Mazda</t>
        </is>
      </c>
      <c r="F21359" s="0" t="inlineStr">
        <is>
          <t xml:space="preserve">Mazda</t>
        </is>
      </c>
      <c r="G21359" s="0" t="s">
        <v>171</v>
      </c>
      <c r="H21359" s="5">
        <v>1765.774200</v>
      </c>
    </row>
    <row r="21360" spans="1:9">
      <c r="A21360" s="22" t="str">
        <f>HYPERLINK("https://app.vivvix.com/360/KMI/IntelliDrive/ApplUI/Pages/CreativePages/CustomReportCreativeDetail.aspx?App=23&amp;ReportView=4&amp;Qid=1711279&amp;Row=21352&amp;Col=1","No Title Assigned - #15279959995")</f>
        <v/>
      </c>
      <c r="B21360" s="0" t="s">
        <v>28333</v>
      </c>
      <c r="E21360" s="0" t="inlineStr">
        <is>
          <t xml:space="preserve">Mazda</t>
        </is>
      </c>
      <c r="F21360" s="0" t="inlineStr">
        <is>
          <t xml:space="preserve">Mazda</t>
        </is>
      </c>
      <c r="G21360" s="0" t="s">
        <v>171</v>
      </c>
      <c r="H21360" s="5">
        <v>414.096300</v>
      </c>
    </row>
    <row r="21361" spans="1:9">
      <c r="A21361" s="22" t="str">
        <f>HYPERLINK("https://app.vivvix.com/360/KMI/IntelliDrive/ApplUI/Pages/CreativePages/CustomReportCreativeDetail.aspx?App=23&amp;ReportView=4&amp;Qid=1711279&amp;Row=21353&amp;Col=1","No Title Assigned - #15279960063")</f>
        <v/>
      </c>
      <c r="B21361" s="0" t="s">
        <v>28334</v>
      </c>
      <c r="E21361" s="0" t="inlineStr">
        <is>
          <t xml:space="preserve">Mazda</t>
        </is>
      </c>
      <c r="F21361" s="0" t="inlineStr">
        <is>
          <t xml:space="preserve">Mazda</t>
        </is>
      </c>
      <c r="G21361" s="0" t="s">
        <v>171</v>
      </c>
      <c r="H21361" s="5">
        <v>35.096200</v>
      </c>
    </row>
    <row r="21362" spans="1:9">
      <c r="A21362" s="22" t="str">
        <f>HYPERLINK("https://app.vivvix.com/360/KMI/IntelliDrive/ApplUI/Pages/CreativePages/CustomReportCreativeDetail.aspx?App=23&amp;ReportView=4&amp;Qid=1711279&amp;Row=21354&amp;Col=1","No Title Assigned - #15279960119")</f>
        <v/>
      </c>
      <c r="B21362" s="0" t="s">
        <v>28335</v>
      </c>
      <c r="E21362" s="0" t="inlineStr">
        <is>
          <t xml:space="preserve">Mazda</t>
        </is>
      </c>
      <c r="F21362" s="0" t="inlineStr">
        <is>
          <t xml:space="preserve">Mazda</t>
        </is>
      </c>
      <c r="G21362" s="0" t="s">
        <v>171</v>
      </c>
      <c r="H21362" s="5">
        <v>152.593700</v>
      </c>
    </row>
    <row r="21363" spans="1:9">
      <c r="A21363" s="22" t="str">
        <f>HYPERLINK("https://app.vivvix.com/360/KMI/IntelliDrive/ApplUI/Pages/CreativePages/CustomReportCreativeDetail.aspx?App=23&amp;ReportView=4&amp;Qid=1711279&amp;Row=21355&amp;Col=1","No Title Assigned - #15279960125")</f>
        <v/>
      </c>
      <c r="B21363" s="0" t="s">
        <v>28336</v>
      </c>
      <c r="E21363" s="0" t="inlineStr">
        <is>
          <t xml:space="preserve">Mazda</t>
        </is>
      </c>
      <c r="F21363" s="0" t="inlineStr">
        <is>
          <t xml:space="preserve">Mazda</t>
        </is>
      </c>
      <c r="G21363" s="0" t="s">
        <v>171</v>
      </c>
      <c r="H21363" s="5">
        <v>192.000500</v>
      </c>
    </row>
    <row r="21364" spans="1:9">
      <c r="A21364" s="22" t="str">
        <f>HYPERLINK("https://app.vivvix.com/360/KMI/IntelliDrive/ApplUI/Pages/CreativePages/CustomReportCreativeDetail.aspx?App=23&amp;ReportView=4&amp;Qid=1711279&amp;Row=21356&amp;Col=1","No Title Assigned - #15279960308")</f>
        <v/>
      </c>
      <c r="B21364" s="0" t="s">
        <v>28337</v>
      </c>
      <c r="E21364" s="0" t="inlineStr">
        <is>
          <t xml:space="preserve">Mazda</t>
        </is>
      </c>
      <c r="F21364" s="0" t="inlineStr">
        <is>
          <t xml:space="preserve">Mazda</t>
        </is>
      </c>
      <c r="G21364" s="0" t="s">
        <v>171</v>
      </c>
      <c r="H21364" s="5">
        <v>123.702800</v>
      </c>
    </row>
    <row r="21365" spans="1:9">
      <c r="A21365" s="22" t="str">
        <f>HYPERLINK("https://app.vivvix.com/360/KMI/IntelliDrive/ApplUI/Pages/CreativePages/CustomReportCreativeDetail.aspx?App=23&amp;ReportView=4&amp;Qid=1711279&amp;Row=21357&amp;Col=1","No Title Assigned - #15279960309")</f>
        <v/>
      </c>
      <c r="B21365" s="0" t="s">
        <v>28338</v>
      </c>
      <c r="E21365" s="0" t="inlineStr">
        <is>
          <t xml:space="preserve">Mazda</t>
        </is>
      </c>
      <c r="F21365" s="0" t="inlineStr">
        <is>
          <t xml:space="preserve">Mazda</t>
        </is>
      </c>
      <c r="G21365" s="0" t="s">
        <v>171</v>
      </c>
      <c r="H21365" s="5">
        <v>123.702800</v>
      </c>
    </row>
    <row r="21366" spans="1:9">
      <c r="A21366" s="22" t="str">
        <f>HYPERLINK("https://app.vivvix.com/360/KMI/IntelliDrive/ApplUI/Pages/CreativePages/CustomReportCreativeDetail.aspx?App=23&amp;ReportView=4&amp;Qid=1711279&amp;Row=21358&amp;Col=1","No Title Assigned - #15279961135")</f>
        <v/>
      </c>
      <c r="B21366" s="0" t="s">
        <v>28339</v>
      </c>
      <c r="E21366" s="0" t="inlineStr">
        <is>
          <t xml:space="preserve">Mazda</t>
        </is>
      </c>
      <c r="F21366" s="0" t="inlineStr">
        <is>
          <t xml:space="preserve">Mazda</t>
        </is>
      </c>
      <c r="G21366" s="0" t="s">
        <v>171</v>
      </c>
      <c r="H21366" s="5">
        <v>334.995600</v>
      </c>
    </row>
    <row r="21367" spans="1:9">
      <c r="A21367" s="22" t="str">
        <f>HYPERLINK("https://app.vivvix.com/360/KMI/IntelliDrive/ApplUI/Pages/CreativePages/CustomReportCreativeDetail.aspx?App=23&amp;ReportView=4&amp;Qid=1711279&amp;Row=21359&amp;Col=1","No Title Assigned - #15279961293")</f>
        <v/>
      </c>
      <c r="B21367" s="0" t="s">
        <v>28340</v>
      </c>
      <c r="C21367" s="0" t="s">
        <v>28341</v>
      </c>
      <c r="D21367" s="0" t="s">
        <v>4335</v>
      </c>
      <c r="E21367" s="0" t="inlineStr">
        <is>
          <t xml:space="preserve">Mazda</t>
        </is>
      </c>
      <c r="F21367" s="0" t="s">
        <v>13</v>
      </c>
      <c r="G21367" s="0" t="s">
        <v>49</v>
      </c>
      <c r="H21367" s="5">
        <v>21.567600</v>
      </c>
    </row>
    <row r="21368" spans="1:9">
      <c r="A21368" s="22" t="str">
        <f>HYPERLINK("https://app.vivvix.com/360/KMI/IntelliDrive/ApplUI/Pages/CreativePages/CustomReportCreativeDetail.aspx?App=23&amp;ReportView=4&amp;Qid=1711279&amp;Row=21360&amp;Col=1","No Title Assigned - #15279961769")</f>
        <v/>
      </c>
      <c r="B21368" s="0" t="s">
        <v>28342</v>
      </c>
      <c r="E21368" s="0" t="inlineStr">
        <is>
          <t xml:space="preserve">Mazda</t>
        </is>
      </c>
      <c r="F21368" s="0" t="inlineStr">
        <is>
          <t xml:space="preserve">Mazda</t>
        </is>
      </c>
      <c r="G21368" s="0" t="s">
        <v>171</v>
      </c>
      <c r="H21368" s="5">
        <v>47.021000</v>
      </c>
    </row>
    <row r="21369" spans="1:9">
      <c r="A21369" s="22" t="str">
        <f>HYPERLINK("https://app.vivvix.com/360/KMI/IntelliDrive/ApplUI/Pages/CreativePages/CustomReportCreativeDetail.aspx?App=23&amp;ReportView=4&amp;Qid=1711279&amp;Row=21361&amp;Col=1","No Title Assigned - #15279961770")</f>
        <v/>
      </c>
      <c r="B21369" s="0" t="s">
        <v>28343</v>
      </c>
      <c r="C21369" s="0" t="s">
        <v>28344</v>
      </c>
      <c r="D21369" s="0" t="s">
        <v>28344</v>
      </c>
      <c r="E21369" s="0" t="inlineStr">
        <is>
          <t xml:space="preserve">Mazda</t>
        </is>
      </c>
      <c r="F21369" s="0" t="inlineStr">
        <is>
          <t xml:space="preserve">Mazda</t>
        </is>
      </c>
      <c r="G21369" s="0" t="s">
        <v>171</v>
      </c>
      <c r="H21369" s="5">
        <v>47.021000</v>
      </c>
    </row>
    <row r="21370" spans="1:9">
      <c r="A21370" s="22" t="str">
        <f>HYPERLINK("https://app.vivvix.com/360/KMI/IntelliDrive/ApplUI/Pages/CreativePages/CustomReportCreativeDetail.aspx?App=23&amp;ReportView=4&amp;Qid=1711279&amp;Row=21362&amp;Col=1","No Title Assigned - #15279961838")</f>
        <v/>
      </c>
      <c r="B21370" s="0" t="s">
        <v>28345</v>
      </c>
      <c r="E21370" s="0" t="inlineStr">
        <is>
          <t xml:space="preserve">Mazda</t>
        </is>
      </c>
      <c r="F21370" s="0" t="inlineStr">
        <is>
          <t xml:space="preserve">Mazda</t>
        </is>
      </c>
      <c r="G21370" s="0" t="s">
        <v>171</v>
      </c>
      <c r="H21370" s="5">
        <v>172.036300</v>
      </c>
    </row>
    <row r="21371" spans="1:9">
      <c r="A21371" s="22" t="str">
        <f>HYPERLINK("https://app.vivvix.com/360/KMI/IntelliDrive/ApplUI/Pages/CreativePages/CustomReportCreativeDetail.aspx?App=23&amp;ReportView=4&amp;Qid=1711279&amp;Row=21363&amp;Col=1","No Title Assigned - #15279961884")</f>
        <v/>
      </c>
      <c r="B21371" s="0" t="s">
        <v>28346</v>
      </c>
      <c r="E21371" s="0" t="inlineStr">
        <is>
          <t xml:space="preserve">Mazda</t>
        </is>
      </c>
      <c r="F21371" s="0" t="inlineStr">
        <is>
          <t xml:space="preserve">Mazda</t>
        </is>
      </c>
      <c r="G21371" s="0" t="s">
        <v>171</v>
      </c>
      <c r="H21371" s="5">
        <v>200.799700</v>
      </c>
    </row>
    <row r="21372" spans="1:9">
      <c r="A21372" s="22" t="str">
        <f>HYPERLINK("https://app.vivvix.com/360/KMI/IntelliDrive/ApplUI/Pages/CreativePages/CustomReportCreativeDetail.aspx?App=23&amp;ReportView=4&amp;Qid=1711279&amp;Row=21364&amp;Col=1","No Title Assigned - #15279961989")</f>
        <v/>
      </c>
      <c r="B21372" s="0" t="s">
        <v>28347</v>
      </c>
      <c r="E21372" s="0" t="inlineStr">
        <is>
          <t xml:space="preserve">Mazda</t>
        </is>
      </c>
      <c r="F21372" s="0" t="inlineStr">
        <is>
          <t xml:space="preserve">Mazda</t>
        </is>
      </c>
      <c r="G21372" s="0" t="s">
        <v>171</v>
      </c>
      <c r="H21372" s="5">
        <v>82.019100</v>
      </c>
    </row>
    <row r="21373" spans="1:9">
      <c r="A21373" s="22" t="str">
        <f>HYPERLINK("https://app.vivvix.com/360/KMI/IntelliDrive/ApplUI/Pages/CreativePages/CustomReportCreativeDetail.aspx?App=23&amp;ReportView=4&amp;Qid=1711279&amp;Row=21365&amp;Col=1","No Title Assigned - #15279962052")</f>
        <v/>
      </c>
      <c r="B21373" s="0" t="s">
        <v>28348</v>
      </c>
      <c r="E21373" s="0" t="inlineStr">
        <is>
          <t xml:space="preserve">Mazda</t>
        </is>
      </c>
      <c r="F21373" s="0" t="inlineStr">
        <is>
          <t xml:space="preserve">Mazda</t>
        </is>
      </c>
      <c r="G21373" s="0" t="s">
        <v>171</v>
      </c>
      <c r="H21373" s="5">
        <v>764.187800</v>
      </c>
    </row>
    <row r="21374" spans="1:9">
      <c r="A21374" s="22" t="str">
        <f>HYPERLINK("https://app.vivvix.com/360/KMI/IntelliDrive/ApplUI/Pages/CreativePages/CustomReportCreativeDetail.aspx?App=23&amp;ReportView=4&amp;Qid=1711279&amp;Row=21366&amp;Col=1","No Title Assigned - #15279962172")</f>
        <v/>
      </c>
      <c r="B21374" s="0" t="s">
        <v>28349</v>
      </c>
      <c r="E21374" s="0" t="inlineStr">
        <is>
          <t xml:space="preserve">Mazda</t>
        </is>
      </c>
      <c r="F21374" s="0" t="inlineStr">
        <is>
          <t xml:space="preserve">Mazda</t>
        </is>
      </c>
      <c r="G21374" s="0" t="s">
        <v>171</v>
      </c>
      <c r="H21374" s="5">
        <v>14524.736300</v>
      </c>
    </row>
    <row r="21375" spans="1:9">
      <c r="A21375" s="22" t="str">
        <f>HYPERLINK("https://app.vivvix.com/360/KMI/IntelliDrive/ApplUI/Pages/CreativePages/CustomReportCreativeDetail.aspx?App=23&amp;ReportView=4&amp;Qid=1711279&amp;Row=21367&amp;Col=1","No Title Assigned - #15279962172")</f>
        <v/>
      </c>
      <c r="B21375" s="0" t="s">
        <v>28349</v>
      </c>
      <c r="E21375" s="0" t="inlineStr">
        <is>
          <t xml:space="preserve">Mazda</t>
        </is>
      </c>
      <c r="F21375" s="0" t="inlineStr">
        <is>
          <t xml:space="preserve">Mazda</t>
        </is>
      </c>
      <c r="G21375" s="0" t="s">
        <v>171</v>
      </c>
      <c r="H21375" s="5">
        <v>130129.209000</v>
      </c>
    </row>
    <row r="21376" spans="1:9">
      <c r="A21376" s="22" t="str">
        <f>HYPERLINK("https://app.vivvix.com/360/KMI/IntelliDrive/ApplUI/Pages/CreativePages/CustomReportCreativeDetail.aspx?App=23&amp;ReportView=4&amp;Qid=1711279&amp;Row=21368&amp;Col=1","No Title Assigned - #15279962344")</f>
        <v/>
      </c>
      <c r="B21376" s="0" t="s">
        <v>28350</v>
      </c>
      <c r="E21376" s="0" t="inlineStr">
        <is>
          <t xml:space="preserve">Mazda</t>
        </is>
      </c>
      <c r="F21376" s="0" t="inlineStr">
        <is>
          <t xml:space="preserve">Mazda</t>
        </is>
      </c>
      <c r="G21376" s="0" t="s">
        <v>171</v>
      </c>
      <c r="H21376" s="5">
        <v>444.411600</v>
      </c>
    </row>
    <row r="21377" spans="1:9">
      <c r="A21377" s="22" t="str">
        <f>HYPERLINK("https://app.vivvix.com/360/KMI/IntelliDrive/ApplUI/Pages/CreativePages/CustomReportCreativeDetail.aspx?App=23&amp;ReportView=4&amp;Qid=1711279&amp;Row=21369&amp;Col=1","No Title Assigned - #15279962718")</f>
        <v/>
      </c>
      <c r="B21377" s="0" t="s">
        <v>28351</v>
      </c>
      <c r="E21377" s="0" t="inlineStr">
        <is>
          <t xml:space="preserve">Mazda</t>
        </is>
      </c>
      <c r="F21377" s="0" t="inlineStr">
        <is>
          <t xml:space="preserve">Mazda</t>
        </is>
      </c>
      <c r="G21377" s="0" t="s">
        <v>171</v>
      </c>
      <c r="H21377" s="5">
        <v>3686.455100</v>
      </c>
    </row>
    <row r="21378" spans="1:9">
      <c r="A21378" s="22" t="str">
        <f>HYPERLINK("https://app.vivvix.com/360/KMI/IntelliDrive/ApplUI/Pages/CreativePages/CustomReportCreativeDetail.aspx?App=23&amp;ReportView=4&amp;Qid=1711279&amp;Row=21370&amp;Col=1","No Title Assigned - #15279962963")</f>
        <v/>
      </c>
      <c r="B21378" s="0" t="s">
        <v>28352</v>
      </c>
      <c r="E21378" s="0" t="inlineStr">
        <is>
          <t xml:space="preserve">Mazda</t>
        </is>
      </c>
      <c r="F21378" s="0" t="inlineStr">
        <is>
          <t xml:space="preserve">Mazda</t>
        </is>
      </c>
      <c r="G21378" s="0" t="s">
        <v>171</v>
      </c>
      <c r="H21378" s="5">
        <v>131.858400</v>
      </c>
    </row>
    <row r="21379" spans="1:9">
      <c r="A21379" s="22" t="str">
        <f>HYPERLINK("https://app.vivvix.com/360/KMI/IntelliDrive/ApplUI/Pages/CreativePages/CustomReportCreativeDetail.aspx?App=23&amp;ReportView=4&amp;Qid=1711279&amp;Row=21371&amp;Col=1","No Title Assigned - #15279962976")</f>
        <v/>
      </c>
      <c r="B21379" s="0" t="s">
        <v>28353</v>
      </c>
      <c r="E21379" s="0" t="inlineStr">
        <is>
          <t xml:space="preserve">Mazda</t>
        </is>
      </c>
      <c r="F21379" s="0" t="inlineStr">
        <is>
          <t xml:space="preserve">Mazda</t>
        </is>
      </c>
      <c r="G21379" s="0" t="s">
        <v>171</v>
      </c>
      <c r="H21379" s="5">
        <v>61.774700</v>
      </c>
    </row>
    <row r="21380" spans="1:9">
      <c r="A21380" s="22" t="str">
        <f>HYPERLINK("https://app.vivvix.com/360/KMI/IntelliDrive/ApplUI/Pages/CreativePages/CustomReportCreativeDetail.aspx?App=23&amp;ReportView=4&amp;Qid=1711279&amp;Row=21372&amp;Col=1","No Title Assigned - #15279963476")</f>
        <v/>
      </c>
      <c r="B21380" s="0" t="s">
        <v>28354</v>
      </c>
      <c r="E21380" s="0" t="inlineStr">
        <is>
          <t xml:space="preserve">Mazda</t>
        </is>
      </c>
      <c r="F21380" s="0" t="inlineStr">
        <is>
          <t xml:space="preserve">Mazda</t>
        </is>
      </c>
      <c r="G21380" s="0" t="s">
        <v>171</v>
      </c>
      <c r="H21380" s="5">
        <v>297.134600</v>
      </c>
    </row>
    <row r="21381" spans="1:9">
      <c r="A21381" s="22" t="str">
        <f>HYPERLINK("https://app.vivvix.com/360/KMI/IntelliDrive/ApplUI/Pages/CreativePages/CustomReportCreativeDetail.aspx?App=23&amp;ReportView=4&amp;Qid=1711279&amp;Row=21373&amp;Col=1","No Title Assigned - #15279963874")</f>
        <v/>
      </c>
      <c r="B21381" s="0" t="s">
        <v>28355</v>
      </c>
      <c r="C21381" s="0" t="s">
        <v>28356</v>
      </c>
      <c r="D21381" s="0" t="s">
        <v>28356</v>
      </c>
      <c r="E21381" s="0" t="inlineStr">
        <is>
          <t xml:space="preserve">Mazda</t>
        </is>
      </c>
      <c r="F21381" s="0" t="inlineStr">
        <is>
          <t xml:space="preserve">Mazda</t>
        </is>
      </c>
      <c r="G21381" s="0" t="s">
        <v>171</v>
      </c>
      <c r="H21381" s="5">
        <v>607.028400</v>
      </c>
    </row>
    <row r="21382" spans="1:9">
      <c r="A21382" s="22" t="str">
        <f>HYPERLINK("https://app.vivvix.com/360/KMI/IntelliDrive/ApplUI/Pages/CreativePages/CustomReportCreativeDetail.aspx?App=23&amp;ReportView=4&amp;Qid=1711279&amp;Row=21374&amp;Col=1","No Title Assigned - #15279964086")</f>
        <v/>
      </c>
      <c r="B21382" s="0" t="s">
        <v>28357</v>
      </c>
      <c r="E21382" s="0" t="inlineStr">
        <is>
          <t xml:space="preserve">Mazda</t>
        </is>
      </c>
      <c r="F21382" s="0" t="inlineStr">
        <is>
          <t xml:space="preserve">Mazda</t>
        </is>
      </c>
      <c r="G21382" s="0" t="s">
        <v>171</v>
      </c>
      <c r="H21382" s="5">
        <v>480.920500</v>
      </c>
    </row>
    <row r="21383" spans="1:9">
      <c r="A21383" s="22" t="str">
        <f>HYPERLINK("https://app.vivvix.com/360/KMI/IntelliDrive/ApplUI/Pages/CreativePages/CustomReportCreativeDetail.aspx?App=23&amp;ReportView=4&amp;Qid=1711279&amp;Row=21375&amp;Col=1","No Title Assigned - #15279964711")</f>
        <v/>
      </c>
      <c r="B21383" s="0" t="s">
        <v>28358</v>
      </c>
      <c r="E21383" s="0" t="inlineStr">
        <is>
          <t xml:space="preserve">Mazda</t>
        </is>
      </c>
      <c r="F21383" s="0" t="inlineStr">
        <is>
          <t xml:space="preserve">Mazda</t>
        </is>
      </c>
      <c r="G21383" s="0" t="s">
        <v>171</v>
      </c>
      <c r="H21383" s="5">
        <v>45.167800</v>
      </c>
    </row>
    <row r="21384" spans="1:9">
      <c r="A21384" s="22" t="str">
        <f>HYPERLINK("https://app.vivvix.com/360/KMI/IntelliDrive/ApplUI/Pages/CreativePages/CustomReportCreativeDetail.aspx?App=23&amp;ReportView=4&amp;Qid=1711279&amp;Row=21376&amp;Col=1","No Title Assigned - #15279965051")</f>
        <v/>
      </c>
      <c r="B21384" s="0" t="s">
        <v>28359</v>
      </c>
      <c r="E21384" s="0" t="inlineStr">
        <is>
          <t xml:space="preserve">Mazda</t>
        </is>
      </c>
      <c r="F21384" s="0" t="inlineStr">
        <is>
          <t xml:space="preserve">Mazda</t>
        </is>
      </c>
      <c r="G21384" s="0" t="s">
        <v>171</v>
      </c>
      <c r="H21384" s="5">
        <v>1259.731000</v>
      </c>
    </row>
    <row r="21385" spans="1:9">
      <c r="A21385" s="22" t="str">
        <f>HYPERLINK("https://app.vivvix.com/360/KMI/IntelliDrive/ApplUI/Pages/CreativePages/CustomReportCreativeDetail.aspx?App=23&amp;ReportView=4&amp;Qid=1711279&amp;Row=21377&amp;Col=1","No Title Assigned - #15279966192")</f>
        <v/>
      </c>
      <c r="B21385" s="0" t="s">
        <v>28360</v>
      </c>
      <c r="E21385" s="0" t="inlineStr">
        <is>
          <t xml:space="preserve">Mazda</t>
        </is>
      </c>
      <c r="F21385" s="0" t="inlineStr">
        <is>
          <t xml:space="preserve">Mazda</t>
        </is>
      </c>
      <c r="G21385" s="0" t="s">
        <v>171</v>
      </c>
      <c r="H21385" s="5">
        <v>137.426100</v>
      </c>
    </row>
    <row r="21386" spans="1:9">
      <c r="A21386" s="22" t="str">
        <f>HYPERLINK("https://app.vivvix.com/360/KMI/IntelliDrive/ApplUI/Pages/CreativePages/CustomReportCreativeDetail.aspx?App=23&amp;ReportView=4&amp;Qid=1711279&amp;Row=21378&amp;Col=1","No Title Assigned - #15279971877")</f>
        <v/>
      </c>
      <c r="B21386" s="0" t="s">
        <v>28361</v>
      </c>
      <c r="E21386" s="0" t="inlineStr">
        <is>
          <t xml:space="preserve">Mazda</t>
        </is>
      </c>
      <c r="F21386" s="0" t="inlineStr">
        <is>
          <t xml:space="preserve">Mazda</t>
        </is>
      </c>
      <c r="G21386" s="0" t="s">
        <v>171</v>
      </c>
      <c r="H21386" s="5">
        <v>2210.876500</v>
      </c>
    </row>
    <row r="21387" spans="1:9">
      <c r="A21387" s="22" t="str">
        <f>HYPERLINK("https://app.vivvix.com/360/KMI/IntelliDrive/ApplUI/Pages/CreativePages/CustomReportCreativeDetail.aspx?App=23&amp;ReportView=4&amp;Qid=1711279&amp;Row=21379&amp;Col=1","No Title Assigned - #15279972378")</f>
        <v/>
      </c>
      <c r="B21387" s="0" t="s">
        <v>28362</v>
      </c>
      <c r="E21387" s="0" t="inlineStr">
        <is>
          <t xml:space="preserve">Mazda</t>
        </is>
      </c>
      <c r="F21387" s="0" t="inlineStr">
        <is>
          <t xml:space="preserve">Mazda</t>
        </is>
      </c>
      <c r="G21387" s="0" t="s">
        <v>171</v>
      </c>
      <c r="H21387" s="5">
        <v>292.726200</v>
      </c>
    </row>
    <row r="21388" spans="1:9">
      <c r="A21388" s="22" t="str">
        <f>HYPERLINK("https://app.vivvix.com/360/KMI/IntelliDrive/ApplUI/Pages/CreativePages/CustomReportCreativeDetail.aspx?App=23&amp;ReportView=4&amp;Qid=1711279&amp;Row=21380&amp;Col=1","No Title Assigned - #15279972594")</f>
        <v/>
      </c>
      <c r="B21388" s="0" t="s">
        <v>28363</v>
      </c>
      <c r="E21388" s="0" t="inlineStr">
        <is>
          <t xml:space="preserve">Mazda</t>
        </is>
      </c>
      <c r="F21388" s="0" t="inlineStr">
        <is>
          <t xml:space="preserve">Mazda</t>
        </is>
      </c>
      <c r="G21388" s="0" t="s">
        <v>171</v>
      </c>
      <c r="H21388" s="5">
        <v>186.332100</v>
      </c>
    </row>
    <row r="21389" spans="1:9">
      <c r="A21389" s="22" t="str">
        <f>HYPERLINK("https://app.vivvix.com/360/KMI/IntelliDrive/ApplUI/Pages/CreativePages/CustomReportCreativeDetail.aspx?App=23&amp;ReportView=4&amp;Qid=1711279&amp;Row=21381&amp;Col=1","No Title Assigned - #15279979150")</f>
        <v/>
      </c>
      <c r="B21389" s="0" t="s">
        <v>28364</v>
      </c>
      <c r="C21389" s="0" t="s">
        <v>28365</v>
      </c>
      <c r="D21389" s="0" t="s">
        <v>28365</v>
      </c>
      <c r="E21389" s="0" t="inlineStr">
        <is>
          <t xml:space="preserve">Mazda</t>
        </is>
      </c>
      <c r="F21389" s="0" t="inlineStr">
        <is>
          <t xml:space="preserve">Mazda</t>
        </is>
      </c>
      <c r="G21389" s="0" t="s">
        <v>210</v>
      </c>
      <c r="H21389" s="5">
        <v>123.420300</v>
      </c>
    </row>
    <row r="21390" spans="1:9">
      <c r="A21390" s="22" t="str">
        <f>HYPERLINK("https://app.vivvix.com/360/KMI/IntelliDrive/ApplUI/Pages/CreativePages/CustomReportCreativeDetail.aspx?App=23&amp;ReportView=4&amp;Qid=1711279&amp;Row=21382&amp;Col=1","No Title Assigned - #15279981621")</f>
        <v/>
      </c>
      <c r="B21390" s="0" t="s">
        <v>28366</v>
      </c>
      <c r="E21390" s="0" t="inlineStr">
        <is>
          <t xml:space="preserve">Mazda</t>
        </is>
      </c>
      <c r="F21390" s="0" t="inlineStr">
        <is>
          <t xml:space="preserve">Mazda</t>
        </is>
      </c>
      <c r="G21390" s="0" t="s">
        <v>171</v>
      </c>
      <c r="H21390" s="5">
        <v>8.136000</v>
      </c>
    </row>
    <row r="21391" spans="1:9">
      <c r="A21391" s="22" t="str">
        <f>HYPERLINK("https://app.vivvix.com/360/KMI/IntelliDrive/ApplUI/Pages/CreativePages/CustomReportCreativeDetail.aspx?App=23&amp;ReportView=4&amp;Qid=1711279&amp;Row=21383&amp;Col=1","No Title Assigned - #15279987298")</f>
        <v/>
      </c>
      <c r="B21391" s="0" t="s">
        <v>28367</v>
      </c>
      <c r="C21391" s="0" t="s">
        <v>28368</v>
      </c>
      <c r="D21391" s="0" t="s">
        <v>28368</v>
      </c>
      <c r="E21391" s="0" t="inlineStr">
        <is>
          <t xml:space="preserve">Mazda</t>
        </is>
      </c>
      <c r="F21391" s="0" t="inlineStr">
        <is>
          <t xml:space="preserve">Mazda</t>
        </is>
      </c>
      <c r="G21391" s="0" t="s">
        <v>210</v>
      </c>
      <c r="H21391" s="5">
        <v>2358.966100</v>
      </c>
    </row>
    <row r="21392" spans="1:9">
      <c r="A21392" s="22" t="str">
        <f>HYPERLINK("https://app.vivvix.com/360/KMI/IntelliDrive/ApplUI/Pages/CreativePages/CustomReportCreativeDetail.aspx?App=23&amp;ReportView=4&amp;Qid=1711279&amp;Row=21384&amp;Col=1","No Title Assigned - #15279997153")</f>
        <v/>
      </c>
      <c r="B21392" s="0" t="s">
        <v>28369</v>
      </c>
      <c r="C21392" s="0" t="s">
        <v>28370</v>
      </c>
      <c r="D21392" s="0" t="s">
        <v>28370</v>
      </c>
      <c r="E21392" s="0" t="inlineStr">
        <is>
          <t xml:space="preserve">Mazda</t>
        </is>
      </c>
      <c r="F21392" s="0" t="s">
        <v>13</v>
      </c>
      <c r="G21392" s="0" t="s">
        <v>49</v>
      </c>
      <c r="H21392" s="5">
        <v>2281.296300</v>
      </c>
    </row>
    <row r="21393" spans="1:9">
      <c r="A21393" s="22" t="str">
        <f>HYPERLINK("https://app.vivvix.com/360/KMI/IntelliDrive/ApplUI/Pages/CreativePages/CustomReportCreativeDetail.aspx?App=23&amp;ReportView=4&amp;Qid=1711279&amp;Row=21385&amp;Col=1","No Title Assigned - #15279997987")</f>
        <v/>
      </c>
      <c r="B21393" s="0" t="s">
        <v>28371</v>
      </c>
      <c r="C21393" s="0" t="s">
        <v>28372</v>
      </c>
      <c r="D21393" s="0" t="s">
        <v>25820</v>
      </c>
      <c r="E21393" s="0" t="inlineStr">
        <is>
          <t xml:space="preserve">Mazda</t>
        </is>
      </c>
      <c r="F21393" s="0" t="s">
        <v>28</v>
      </c>
      <c r="G21393" s="0" t="s">
        <v>29</v>
      </c>
      <c r="H21393" s="5">
        <v>584.262300</v>
      </c>
    </row>
    <row r="21394" spans="1:9">
      <c r="A21394" s="22" t="str">
        <f>HYPERLINK("https://app.vivvix.com/360/KMI/IntelliDrive/ApplUI/Pages/CreativePages/CustomReportCreativeDetail.aspx?App=23&amp;ReportView=4&amp;Qid=1711279&amp;Row=21386&amp;Col=1","No Title Assigned - #15279998408")</f>
        <v/>
      </c>
      <c r="B21394" s="0" t="s">
        <v>28373</v>
      </c>
      <c r="C21394" s="0" t="s">
        <v>28374</v>
      </c>
      <c r="D21394" s="0" t="s">
        <v>22966</v>
      </c>
      <c r="E21394" s="0" t="inlineStr">
        <is>
          <t xml:space="preserve">Mazda</t>
        </is>
      </c>
      <c r="F21394" s="0" t="s">
        <v>13</v>
      </c>
      <c r="G21394" s="0" t="s">
        <v>49</v>
      </c>
      <c r="H21394" s="5">
        <v>281.563700</v>
      </c>
    </row>
    <row r="21395" spans="1:9">
      <c r="A21395" s="22" t="str">
        <f>HYPERLINK("https://app.vivvix.com/360/KMI/IntelliDrive/ApplUI/Pages/CreativePages/CustomReportCreativeDetail.aspx?App=23&amp;ReportView=4&amp;Qid=1711279&amp;Row=21387&amp;Col=1","No Title Assigned - #15279999327")</f>
        <v/>
      </c>
      <c r="B21395" s="0" t="s">
        <v>28375</v>
      </c>
      <c r="C21395" s="0" t="s">
        <v>28376</v>
      </c>
      <c r="D21395" s="0" t="s">
        <v>11469</v>
      </c>
      <c r="E21395" s="0" t="inlineStr">
        <is>
          <t xml:space="preserve">Mazda</t>
        </is>
      </c>
      <c r="F21395" s="0" t="s">
        <v>13</v>
      </c>
      <c r="G21395" s="0" t="s">
        <v>49</v>
      </c>
      <c r="H21395" s="5">
        <v>24.093200</v>
      </c>
    </row>
    <row r="21396" spans="1:9">
      <c r="A21396" s="22" t="str">
        <f>HYPERLINK("https://app.vivvix.com/360/KMI/IntelliDrive/ApplUI/Pages/CreativePages/CustomReportCreativeDetail.aspx?App=23&amp;ReportView=4&amp;Qid=1711279&amp;Row=21388&amp;Col=1","No Title Assigned - #15280000479")</f>
        <v/>
      </c>
      <c r="B21396" s="0" t="s">
        <v>28377</v>
      </c>
      <c r="C21396" s="0" t="s">
        <v>28378</v>
      </c>
      <c r="D21396" s="0" t="s">
        <v>28378</v>
      </c>
      <c r="E21396" s="0" t="inlineStr">
        <is>
          <t xml:space="preserve">Mazda</t>
        </is>
      </c>
      <c r="F21396" s="0" t="s">
        <v>28</v>
      </c>
      <c r="G21396" s="0" t="s">
        <v>29</v>
      </c>
      <c r="H21396" s="5">
        <v>530.220300</v>
      </c>
    </row>
    <row r="21397" spans="1:9">
      <c r="A21397" s="22" t="str">
        <f>HYPERLINK("https://app.vivvix.com/360/KMI/IntelliDrive/ApplUI/Pages/CreativePages/CustomReportCreativeDetail.aspx?App=23&amp;ReportView=4&amp;Qid=1711279&amp;Row=21389&amp;Col=1","No Title Assigned - #15280003807")</f>
        <v/>
      </c>
      <c r="B21397" s="0" t="s">
        <v>28379</v>
      </c>
      <c r="C21397" s="0" t="s">
        <v>28380</v>
      </c>
      <c r="D21397" s="0" t="s">
        <v>28380</v>
      </c>
      <c r="E21397" s="0" t="inlineStr">
        <is>
          <t xml:space="preserve">Mazda</t>
        </is>
      </c>
      <c r="F21397" s="0" t="s">
        <v>56</v>
      </c>
      <c r="G21397" s="0" t="s">
        <v>57</v>
      </c>
      <c r="H21397" s="5">
        <v>752.323300</v>
      </c>
    </row>
    <row r="21398" spans="1:9">
      <c r="A21398" s="22" t="str">
        <f>HYPERLINK("https://app.vivvix.com/360/KMI/IntelliDrive/ApplUI/Pages/CreativePages/CustomReportCreativeDetail.aspx?App=23&amp;ReportView=4&amp;Qid=1711279&amp;Row=21390&amp;Col=1","No Title Assigned - #15280004103")</f>
        <v/>
      </c>
      <c r="B21398" s="0" t="s">
        <v>28381</v>
      </c>
      <c r="C21398" s="0" t="s">
        <v>28382</v>
      </c>
      <c r="D21398" s="0" t="s">
        <v>28382</v>
      </c>
      <c r="E21398" s="0" t="inlineStr">
        <is>
          <t xml:space="preserve">Mazda</t>
        </is>
      </c>
      <c r="F21398" s="0" t="inlineStr">
        <is>
          <t xml:space="preserve">Mazda</t>
        </is>
      </c>
      <c r="G21398" s="0" t="s">
        <v>210</v>
      </c>
      <c r="H21398" s="5">
        <v>1196.758200</v>
      </c>
    </row>
    <row r="21399" spans="1:9">
      <c r="A21399" s="22" t="str">
        <f>HYPERLINK("https://app.vivvix.com/360/KMI/IntelliDrive/ApplUI/Pages/CreativePages/CustomReportCreativeDetail.aspx?App=23&amp;ReportView=4&amp;Qid=1711279&amp;Row=21391&amp;Col=1","No Title Assigned - #15280004210")</f>
        <v/>
      </c>
      <c r="B21399" s="0" t="s">
        <v>28383</v>
      </c>
      <c r="C21399" s="0" t="s">
        <v>28384</v>
      </c>
      <c r="D21399" s="0" t="s">
        <v>28384</v>
      </c>
      <c r="E21399" s="0" t="inlineStr">
        <is>
          <t xml:space="preserve">Mazda</t>
        </is>
      </c>
      <c r="F21399" s="0" t="s">
        <v>13</v>
      </c>
      <c r="G21399" s="0" t="s">
        <v>49</v>
      </c>
      <c r="H21399" s="5">
        <v>748.973600</v>
      </c>
    </row>
    <row r="21400" spans="1:9">
      <c r="A21400" s="22" t="str">
        <f>HYPERLINK("https://app.vivvix.com/360/KMI/IntelliDrive/ApplUI/Pages/CreativePages/CustomReportCreativeDetail.aspx?App=23&amp;ReportView=4&amp;Qid=1711279&amp;Row=21392&amp;Col=1","No Title Assigned - #15280008728")</f>
        <v/>
      </c>
      <c r="B21400" s="0" t="s">
        <v>28385</v>
      </c>
      <c r="C21400" s="0" t="s">
        <v>28386</v>
      </c>
      <c r="D21400" s="0" t="s">
        <v>28386</v>
      </c>
      <c r="E21400" s="0" t="inlineStr">
        <is>
          <t xml:space="preserve">Mazda</t>
        </is>
      </c>
      <c r="F21400" s="0" t="s">
        <v>13</v>
      </c>
      <c r="G21400" s="0" t="s">
        <v>49</v>
      </c>
      <c r="H21400" s="5">
        <v>72.817500</v>
      </c>
    </row>
    <row r="21401" spans="1:9">
      <c r="A21401" s="22" t="str">
        <f>HYPERLINK("https://app.vivvix.com/360/KMI/IntelliDrive/ApplUI/Pages/CreativePages/CustomReportCreativeDetail.aspx?App=23&amp;ReportView=4&amp;Qid=1711279&amp;Row=21393&amp;Col=1","No Title Assigned - #15280012033")</f>
        <v/>
      </c>
      <c r="B21401" s="0" t="s">
        <v>28387</v>
      </c>
      <c r="E21401" s="0" t="inlineStr">
        <is>
          <t xml:space="preserve">Mazda</t>
        </is>
      </c>
      <c r="F21401" s="0" t="inlineStr">
        <is>
          <t xml:space="preserve">Mazda</t>
        </is>
      </c>
      <c r="G21401" s="0" t="s">
        <v>171</v>
      </c>
      <c r="H21401" s="5">
        <v>401.599400</v>
      </c>
    </row>
    <row r="21402" spans="1:9">
      <c r="A21402" s="22" t="str">
        <f>HYPERLINK("https://app.vivvix.com/360/KMI/IntelliDrive/ApplUI/Pages/CreativePages/CustomReportCreativeDetail.aspx?App=23&amp;ReportView=4&amp;Qid=1711279&amp;Row=21394&amp;Col=1","No Title Assigned - #15280012120")</f>
        <v/>
      </c>
      <c r="B21402" s="0" t="s">
        <v>28388</v>
      </c>
      <c r="E21402" s="0" t="inlineStr">
        <is>
          <t xml:space="preserve">Mazda</t>
        </is>
      </c>
      <c r="F21402" s="0" t="inlineStr">
        <is>
          <t xml:space="preserve">Mazda</t>
        </is>
      </c>
      <c r="G21402" s="0" t="s">
        <v>171</v>
      </c>
      <c r="H21402" s="5">
        <v>5674.724500</v>
      </c>
    </row>
    <row r="21403" spans="1:9">
      <c r="A21403" s="22" t="str">
        <f>HYPERLINK("https://app.vivvix.com/360/KMI/IntelliDrive/ApplUI/Pages/CreativePages/CustomReportCreativeDetail.aspx?App=23&amp;ReportView=4&amp;Qid=1711279&amp;Row=21395&amp;Col=1","No Title Assigned - #15280013222")</f>
        <v/>
      </c>
      <c r="B21403" s="0" t="s">
        <v>28389</v>
      </c>
      <c r="E21403" s="0" t="inlineStr">
        <is>
          <t xml:space="preserve">Mazda</t>
        </is>
      </c>
      <c r="F21403" s="0" t="inlineStr">
        <is>
          <t xml:space="preserve">Mazda</t>
        </is>
      </c>
      <c r="G21403" s="0" t="s">
        <v>171</v>
      </c>
      <c r="H21403" s="5">
        <v>163.602100</v>
      </c>
    </row>
    <row r="21404" spans="1:9">
      <c r="A21404" s="22" t="str">
        <f>HYPERLINK("https://app.vivvix.com/360/KMI/IntelliDrive/ApplUI/Pages/CreativePages/CustomReportCreativeDetail.aspx?App=23&amp;ReportView=4&amp;Qid=1711279&amp;Row=21396&amp;Col=1","No Title Assigned - #15280013295")</f>
        <v/>
      </c>
      <c r="B21404" s="0" t="s">
        <v>28390</v>
      </c>
      <c r="E21404" s="0" t="inlineStr">
        <is>
          <t xml:space="preserve">Mazda</t>
        </is>
      </c>
      <c r="F21404" s="0" t="inlineStr">
        <is>
          <t xml:space="preserve">Mazda</t>
        </is>
      </c>
      <c r="G21404" s="0" t="s">
        <v>171</v>
      </c>
      <c r="H21404" s="5">
        <v>2214.006000</v>
      </c>
    </row>
    <row r="21405" spans="1:9">
      <c r="A21405" s="22" t="str">
        <f>HYPERLINK("https://app.vivvix.com/360/KMI/IntelliDrive/ApplUI/Pages/CreativePages/CustomReportCreativeDetail.aspx?App=23&amp;ReportView=4&amp;Qid=1711279&amp;Row=21397&amp;Col=1","No Title Assigned - #15280013335")</f>
        <v/>
      </c>
      <c r="B21405" s="0" t="s">
        <v>28391</v>
      </c>
      <c r="C21405" s="0" t="s">
        <v>28392</v>
      </c>
      <c r="D21405" s="0" t="s">
        <v>28392</v>
      </c>
      <c r="E21405" s="0" t="inlineStr">
        <is>
          <t xml:space="preserve">Mazda</t>
        </is>
      </c>
      <c r="F21405" s="0" t="inlineStr">
        <is>
          <t xml:space="preserve">Mazda</t>
        </is>
      </c>
      <c r="G21405" s="0" t="s">
        <v>171</v>
      </c>
      <c r="H21405" s="5">
        <v>1581.033300</v>
      </c>
    </row>
    <row r="21406" spans="1:9">
      <c r="A21406" s="22" t="str">
        <f>HYPERLINK("https://app.vivvix.com/360/KMI/IntelliDrive/ApplUI/Pages/CreativePages/CustomReportCreativeDetail.aspx?App=23&amp;ReportView=4&amp;Qid=1711279&amp;Row=21398&amp;Col=1","No Title Assigned - #15280013776")</f>
        <v/>
      </c>
      <c r="B21406" s="0" t="s">
        <v>28393</v>
      </c>
      <c r="E21406" s="0" t="inlineStr">
        <is>
          <t xml:space="preserve">Mazda</t>
        </is>
      </c>
      <c r="F21406" s="0" t="inlineStr">
        <is>
          <t xml:space="preserve">Mazda</t>
        </is>
      </c>
      <c r="G21406" s="0" t="s">
        <v>171</v>
      </c>
      <c r="H21406" s="5">
        <v>44000.198700</v>
      </c>
    </row>
    <row r="21407" spans="1:9">
      <c r="A21407" s="22" t="str">
        <f>HYPERLINK("https://app.vivvix.com/360/KMI/IntelliDrive/ApplUI/Pages/CreativePages/CustomReportCreativeDetail.aspx?App=23&amp;ReportView=4&amp;Qid=1711279&amp;Row=21399&amp;Col=1","No Title Assigned - #15280013776")</f>
        <v/>
      </c>
      <c r="B21407" s="0" t="s">
        <v>28393</v>
      </c>
      <c r="E21407" s="0" t="inlineStr">
        <is>
          <t xml:space="preserve">Mazda</t>
        </is>
      </c>
      <c r="F21407" s="0" t="inlineStr">
        <is>
          <t xml:space="preserve">Mazda</t>
        </is>
      </c>
      <c r="G21407" s="0" t="s">
        <v>171</v>
      </c>
      <c r="H21407" s="5">
        <v>54711.980000</v>
      </c>
    </row>
    <row r="21408" spans="1:9">
      <c r="A21408" s="22" t="str">
        <f>HYPERLINK("https://app.vivvix.com/360/KMI/IntelliDrive/ApplUI/Pages/CreativePages/CustomReportCreativeDetail.aspx?App=23&amp;ReportView=4&amp;Qid=1711279&amp;Row=21400&amp;Col=1","No Title Assigned - #15280013824")</f>
        <v/>
      </c>
      <c r="B21408" s="0" t="s">
        <v>28394</v>
      </c>
      <c r="E21408" s="0" t="inlineStr">
        <is>
          <t xml:space="preserve">Mazda</t>
        </is>
      </c>
      <c r="F21408" s="0" t="inlineStr">
        <is>
          <t xml:space="preserve">Mazda</t>
        </is>
      </c>
      <c r="G21408" s="0" t="s">
        <v>171</v>
      </c>
      <c r="H21408" s="5">
        <v>541.117400</v>
      </c>
    </row>
    <row r="21409" spans="1:9">
      <c r="A21409" s="22" t="str">
        <f>HYPERLINK("https://app.vivvix.com/360/KMI/IntelliDrive/ApplUI/Pages/CreativePages/CustomReportCreativeDetail.aspx?App=23&amp;ReportView=4&amp;Qid=1711279&amp;Row=21401&amp;Col=1","No Title Assigned - #15280013825")</f>
        <v/>
      </c>
      <c r="B21409" s="0" t="s">
        <v>28395</v>
      </c>
      <c r="E21409" s="0" t="inlineStr">
        <is>
          <t xml:space="preserve">Mazda</t>
        </is>
      </c>
      <c r="F21409" s="0" t="inlineStr">
        <is>
          <t xml:space="preserve">Mazda</t>
        </is>
      </c>
      <c r="G21409" s="0" t="s">
        <v>171</v>
      </c>
      <c r="H21409" s="5">
        <v>1082.234800</v>
      </c>
    </row>
    <row r="21410" spans="1:9">
      <c r="A21410" s="22" t="str">
        <f>HYPERLINK("https://app.vivvix.com/360/KMI/IntelliDrive/ApplUI/Pages/CreativePages/CustomReportCreativeDetail.aspx?App=23&amp;ReportView=4&amp;Qid=1711279&amp;Row=21402&amp;Col=1","No Title Assigned - #15280013931")</f>
        <v/>
      </c>
      <c r="B21410" s="0" t="s">
        <v>28396</v>
      </c>
      <c r="E21410" s="0" t="inlineStr">
        <is>
          <t xml:space="preserve">Mazda</t>
        </is>
      </c>
      <c r="F21410" s="0" t="inlineStr">
        <is>
          <t xml:space="preserve">Mazda</t>
        </is>
      </c>
      <c r="G21410" s="0" t="s">
        <v>171</v>
      </c>
      <c r="H21410" s="5">
        <v>69721.421900</v>
      </c>
    </row>
    <row r="21411" spans="1:9">
      <c r="A21411" s="22" t="str">
        <f>HYPERLINK("https://app.vivvix.com/360/KMI/IntelliDrive/ApplUI/Pages/CreativePages/CustomReportCreativeDetail.aspx?App=23&amp;ReportView=4&amp;Qid=1711279&amp;Row=21403&amp;Col=1","No Title Assigned - #15280014020")</f>
        <v/>
      </c>
      <c r="B21411" s="0" t="s">
        <v>28397</v>
      </c>
      <c r="E21411" s="0" t="inlineStr">
        <is>
          <t xml:space="preserve">Mazda</t>
        </is>
      </c>
      <c r="F21411" s="0" t="inlineStr">
        <is>
          <t xml:space="preserve">Mazda</t>
        </is>
      </c>
      <c r="G21411" s="0" t="s">
        <v>171</v>
      </c>
      <c r="H21411" s="5">
        <v>101.904700</v>
      </c>
    </row>
    <row r="21412" spans="1:9">
      <c r="A21412" s="22" t="str">
        <f>HYPERLINK("https://app.vivvix.com/360/KMI/IntelliDrive/ApplUI/Pages/CreativePages/CustomReportCreativeDetail.aspx?App=23&amp;ReportView=4&amp;Qid=1711279&amp;Row=21404&amp;Col=1","No Title Assigned - #15280014024")</f>
        <v/>
      </c>
      <c r="B21412" s="0" t="s">
        <v>28398</v>
      </c>
      <c r="E21412" s="0" t="inlineStr">
        <is>
          <t xml:space="preserve">Mazda</t>
        </is>
      </c>
      <c r="F21412" s="0" t="inlineStr">
        <is>
          <t xml:space="preserve">Mazda</t>
        </is>
      </c>
      <c r="G21412" s="0" t="s">
        <v>171</v>
      </c>
      <c r="H21412" s="5">
        <v>44.532500</v>
      </c>
    </row>
    <row r="21413" spans="1:9">
      <c r="A21413" s="22" t="str">
        <f>HYPERLINK("https://app.vivvix.com/360/KMI/IntelliDrive/ApplUI/Pages/CreativePages/CustomReportCreativeDetail.aspx?App=23&amp;ReportView=4&amp;Qid=1711279&amp;Row=21405&amp;Col=1","No Title Assigned - #15280014245")</f>
        <v/>
      </c>
      <c r="B21413" s="0" t="s">
        <v>28399</v>
      </c>
      <c r="E21413" s="0" t="inlineStr">
        <is>
          <t xml:space="preserve">Mazda</t>
        </is>
      </c>
      <c r="F21413" s="0" t="inlineStr">
        <is>
          <t xml:space="preserve">Mazda</t>
        </is>
      </c>
      <c r="G21413" s="0" t="s">
        <v>171</v>
      </c>
      <c r="H21413" s="5">
        <v>82.019100</v>
      </c>
    </row>
    <row r="21414" spans="1:9">
      <c r="A21414" s="22" t="str">
        <f>HYPERLINK("https://app.vivvix.com/360/KMI/IntelliDrive/ApplUI/Pages/CreativePages/CustomReportCreativeDetail.aspx?App=23&amp;ReportView=4&amp;Qid=1711279&amp;Row=21406&amp;Col=1","No Title Assigned - #15280014519")</f>
        <v/>
      </c>
      <c r="B21414" s="0" t="s">
        <v>28400</v>
      </c>
      <c r="E21414" s="0" t="inlineStr">
        <is>
          <t xml:space="preserve">Mazda</t>
        </is>
      </c>
      <c r="F21414" s="0" t="inlineStr">
        <is>
          <t xml:space="preserve">Mazda</t>
        </is>
      </c>
      <c r="G21414" s="0" t="s">
        <v>171</v>
      </c>
      <c r="H21414" s="5">
        <v>186.200700</v>
      </c>
    </row>
    <row r="21415" spans="1:9">
      <c r="A21415" s="22" t="str">
        <f>HYPERLINK("https://app.vivvix.com/360/KMI/IntelliDrive/ApplUI/Pages/CreativePages/CustomReportCreativeDetail.aspx?App=23&amp;ReportView=4&amp;Qid=1711279&amp;Row=21407&amp;Col=1","No Title Assigned - #15280014582")</f>
        <v/>
      </c>
      <c r="B21415" s="0" t="s">
        <v>28401</v>
      </c>
      <c r="E21415" s="0" t="inlineStr">
        <is>
          <t xml:space="preserve">Mazda</t>
        </is>
      </c>
      <c r="F21415" s="0" t="inlineStr">
        <is>
          <t xml:space="preserve">Mazda</t>
        </is>
      </c>
      <c r="G21415" s="0" t="s">
        <v>171</v>
      </c>
      <c r="H21415" s="5">
        <v>361.110600</v>
      </c>
    </row>
    <row r="21416" spans="1:9">
      <c r="A21416" s="22" t="str">
        <f>HYPERLINK("https://app.vivvix.com/360/KMI/IntelliDrive/ApplUI/Pages/CreativePages/CustomReportCreativeDetail.aspx?App=23&amp;ReportView=4&amp;Qid=1711279&amp;Row=21408&amp;Col=1","No Title Assigned - #15280014602")</f>
        <v/>
      </c>
      <c r="B21416" s="0" t="s">
        <v>28402</v>
      </c>
      <c r="E21416" s="0" t="inlineStr">
        <is>
          <t xml:space="preserve">Mazda</t>
        </is>
      </c>
      <c r="F21416" s="0" t="inlineStr">
        <is>
          <t xml:space="preserve">Mazda</t>
        </is>
      </c>
      <c r="G21416" s="0" t="s">
        <v>171</v>
      </c>
      <c r="H21416" s="5">
        <v>198290.486400</v>
      </c>
    </row>
    <row r="21417" spans="1:9">
      <c r="A21417" s="22" t="str">
        <f>HYPERLINK("https://app.vivvix.com/360/KMI/IntelliDrive/ApplUI/Pages/CreativePages/CustomReportCreativeDetail.aspx?App=23&amp;ReportView=4&amp;Qid=1711279&amp;Row=21409&amp;Col=1","No Title Assigned - #15280015384")</f>
        <v/>
      </c>
      <c r="B21417" s="0" t="s">
        <v>28403</v>
      </c>
      <c r="E21417" s="0" t="inlineStr">
        <is>
          <t xml:space="preserve">Mazda</t>
        </is>
      </c>
      <c r="F21417" s="0" t="inlineStr">
        <is>
          <t xml:space="preserve">Mazda</t>
        </is>
      </c>
      <c r="G21417" s="0" t="s">
        <v>171</v>
      </c>
      <c r="H21417" s="5">
        <v>152.123000</v>
      </c>
    </row>
    <row r="21418" spans="1:9">
      <c r="A21418" s="22" t="str">
        <f>HYPERLINK("https://app.vivvix.com/360/KMI/IntelliDrive/ApplUI/Pages/CreativePages/CustomReportCreativeDetail.aspx?App=23&amp;ReportView=4&amp;Qid=1711279&amp;Row=21410&amp;Col=1","No Title Assigned - #15280015410")</f>
        <v/>
      </c>
      <c r="B21418" s="0" t="s">
        <v>28404</v>
      </c>
      <c r="E21418" s="0" t="inlineStr">
        <is>
          <t xml:space="preserve">Mazda</t>
        </is>
      </c>
      <c r="F21418" s="0" t="inlineStr">
        <is>
          <t xml:space="preserve">Mazda</t>
        </is>
      </c>
      <c r="G21418" s="0" t="s">
        <v>171</v>
      </c>
      <c r="H21418" s="5">
        <v>244.249300</v>
      </c>
    </row>
    <row r="21419" spans="1:9">
      <c r="A21419" s="22" t="str">
        <f>HYPERLINK("https://app.vivvix.com/360/KMI/IntelliDrive/ApplUI/Pages/CreativePages/CustomReportCreativeDetail.aspx?App=23&amp;ReportView=4&amp;Qid=1711279&amp;Row=21411&amp;Col=1","No Title Assigned - #15280015665")</f>
        <v/>
      </c>
      <c r="B21419" s="0" t="s">
        <v>28405</v>
      </c>
      <c r="C21419" s="0" t="s">
        <v>28406</v>
      </c>
      <c r="D21419" s="0" t="s">
        <v>28406</v>
      </c>
      <c r="E21419" s="0" t="inlineStr">
        <is>
          <t xml:space="preserve">Mazda</t>
        </is>
      </c>
      <c r="F21419" s="0" t="inlineStr">
        <is>
          <t xml:space="preserve">Mazda</t>
        </is>
      </c>
      <c r="G21419" s="0" t="s">
        <v>171</v>
      </c>
      <c r="H21419" s="5">
        <v>2607.260500</v>
      </c>
    </row>
    <row r="21420" spans="1:9">
      <c r="A21420" s="22" t="str">
        <f>HYPERLINK("https://app.vivvix.com/360/KMI/IntelliDrive/ApplUI/Pages/CreativePages/CustomReportCreativeDetail.aspx?App=23&amp;ReportView=4&amp;Qid=1711279&amp;Row=21412&amp;Col=1","No Title Assigned - #15280015743")</f>
        <v/>
      </c>
      <c r="B21420" s="0" t="s">
        <v>28407</v>
      </c>
      <c r="E21420" s="0" t="inlineStr">
        <is>
          <t xml:space="preserve">Mazda</t>
        </is>
      </c>
      <c r="F21420" s="0" t="inlineStr">
        <is>
          <t xml:space="preserve">Mazda</t>
        </is>
      </c>
      <c r="G21420" s="0" t="s">
        <v>171</v>
      </c>
      <c r="H21420" s="5">
        <v>5069.926300</v>
      </c>
    </row>
    <row r="21421" spans="1:9">
      <c r="A21421" s="22" t="str">
        <f>HYPERLINK("https://app.vivvix.com/360/KMI/IntelliDrive/ApplUI/Pages/CreativePages/CustomReportCreativeDetail.aspx?App=23&amp;ReportView=4&amp;Qid=1711279&amp;Row=21413&amp;Col=1","No Title Assigned - #15280015837")</f>
        <v/>
      </c>
      <c r="B21421" s="0" t="s">
        <v>28408</v>
      </c>
      <c r="C21421" s="0" t="s">
        <v>28409</v>
      </c>
      <c r="D21421" s="0" t="s">
        <v>28409</v>
      </c>
      <c r="E21421" s="0" t="inlineStr">
        <is>
          <t xml:space="preserve">Mazda</t>
        </is>
      </c>
      <c r="F21421" s="0" t="inlineStr">
        <is>
          <t xml:space="preserve">Mazda</t>
        </is>
      </c>
      <c r="G21421" s="0" t="s">
        <v>171</v>
      </c>
      <c r="H21421" s="5">
        <v>7478.868400</v>
      </c>
    </row>
    <row r="21422" spans="1:9">
      <c r="A21422" s="22" t="str">
        <f>HYPERLINK("https://app.vivvix.com/360/KMI/IntelliDrive/ApplUI/Pages/CreativePages/CustomReportCreativeDetail.aspx?App=23&amp;ReportView=4&amp;Qid=1711279&amp;Row=21414&amp;Col=1","No Title Assigned - #15280015837")</f>
        <v/>
      </c>
      <c r="B21422" s="0" t="s">
        <v>28408</v>
      </c>
      <c r="E21422" s="0" t="inlineStr">
        <is>
          <t xml:space="preserve">Mazda</t>
        </is>
      </c>
      <c r="F21422" s="0" t="inlineStr">
        <is>
          <t xml:space="preserve">Mazda</t>
        </is>
      </c>
      <c r="G21422" s="0" t="s">
        <v>171</v>
      </c>
      <c r="H21422" s="5">
        <v>185.972400</v>
      </c>
    </row>
    <row r="21423" spans="1:9">
      <c r="A21423" s="22" t="str">
        <f>HYPERLINK("https://app.vivvix.com/360/KMI/IntelliDrive/ApplUI/Pages/CreativePages/CustomReportCreativeDetail.aspx?App=23&amp;ReportView=4&amp;Qid=1711279&amp;Row=21415&amp;Col=1","No Title Assigned - #15280015956")</f>
        <v/>
      </c>
      <c r="B21423" s="0" t="s">
        <v>28410</v>
      </c>
      <c r="E21423" s="0" t="inlineStr">
        <is>
          <t xml:space="preserve">Mazda</t>
        </is>
      </c>
      <c r="F21423" s="0" t="inlineStr">
        <is>
          <t xml:space="preserve">Mazda</t>
        </is>
      </c>
      <c r="G21423" s="0" t="s">
        <v>171</v>
      </c>
      <c r="H21423" s="5">
        <v>163.602100</v>
      </c>
    </row>
    <row r="21424" spans="1:9">
      <c r="A21424" s="22" t="str">
        <f>HYPERLINK("https://app.vivvix.com/360/KMI/IntelliDrive/ApplUI/Pages/CreativePages/CustomReportCreativeDetail.aspx?App=23&amp;ReportView=4&amp;Qid=1711279&amp;Row=21416&amp;Col=1","No Title Assigned - #15280015993")</f>
        <v/>
      </c>
      <c r="B21424" s="0" t="s">
        <v>28411</v>
      </c>
      <c r="E21424" s="0" t="inlineStr">
        <is>
          <t xml:space="preserve">Mazda</t>
        </is>
      </c>
      <c r="F21424" s="0" t="inlineStr">
        <is>
          <t xml:space="preserve">Mazda</t>
        </is>
      </c>
      <c r="G21424" s="0" t="s">
        <v>171</v>
      </c>
      <c r="H21424" s="5">
        <v>563.005600</v>
      </c>
    </row>
    <row r="21425" spans="1:9">
      <c r="A21425" s="22" t="str">
        <f>HYPERLINK("https://app.vivvix.com/360/KMI/IntelliDrive/ApplUI/Pages/CreativePages/CustomReportCreativeDetail.aspx?App=23&amp;ReportView=4&amp;Qid=1711279&amp;Row=21417&amp;Col=1","No Title Assigned - #15280016339")</f>
        <v/>
      </c>
      <c r="B21425" s="0" t="s">
        <v>28412</v>
      </c>
      <c r="E21425" s="0" t="inlineStr">
        <is>
          <t xml:space="preserve">Mazda</t>
        </is>
      </c>
      <c r="F21425" s="0" t="inlineStr">
        <is>
          <t xml:space="preserve">Mazda</t>
        </is>
      </c>
      <c r="G21425" s="0" t="s">
        <v>171</v>
      </c>
      <c r="H21425" s="5">
        <v>152.593700</v>
      </c>
    </row>
    <row r="21426" spans="1:9">
      <c r="A21426" s="22" t="str">
        <f>HYPERLINK("https://app.vivvix.com/360/KMI/IntelliDrive/ApplUI/Pages/CreativePages/CustomReportCreativeDetail.aspx?App=23&amp;ReportView=4&amp;Qid=1711279&amp;Row=21418&amp;Col=1","No Title Assigned - #15280016923")</f>
        <v/>
      </c>
      <c r="B21426" s="0" t="s">
        <v>28413</v>
      </c>
      <c r="E21426" s="0" t="inlineStr">
        <is>
          <t xml:space="preserve">Mazda</t>
        </is>
      </c>
      <c r="F21426" s="0" t="inlineStr">
        <is>
          <t xml:space="preserve">Mazda</t>
        </is>
      </c>
      <c r="G21426" s="0" t="s">
        <v>171</v>
      </c>
      <c r="H21426" s="5">
        <v>142.760600</v>
      </c>
    </row>
    <row r="21427" spans="1:9">
      <c r="A21427" s="22" t="str">
        <f>HYPERLINK("https://app.vivvix.com/360/KMI/IntelliDrive/ApplUI/Pages/CreativePages/CustomReportCreativeDetail.aspx?App=23&amp;ReportView=4&amp;Qid=1711279&amp;Row=21419&amp;Col=1","No Title Assigned - #15280016923")</f>
        <v/>
      </c>
      <c r="B21427" s="0" t="s">
        <v>28413</v>
      </c>
      <c r="E21427" s="0" t="inlineStr">
        <is>
          <t xml:space="preserve">Mazda</t>
        </is>
      </c>
      <c r="F21427" s="0" t="inlineStr">
        <is>
          <t xml:space="preserve">Mazda</t>
        </is>
      </c>
      <c r="G21427" s="0" t="s">
        <v>171</v>
      </c>
      <c r="H21427" s="5">
        <v>1866.443400</v>
      </c>
    </row>
    <row r="21428" spans="1:9">
      <c r="A21428" s="22" t="str">
        <f>HYPERLINK("https://app.vivvix.com/360/KMI/IntelliDrive/ApplUI/Pages/CreativePages/CustomReportCreativeDetail.aspx?App=23&amp;ReportView=4&amp;Qid=1711279&amp;Row=21420&amp;Col=1","No Title Assigned - #15280018512")</f>
        <v/>
      </c>
      <c r="B21428" s="0" t="s">
        <v>28414</v>
      </c>
      <c r="E21428" s="0" t="inlineStr">
        <is>
          <t xml:space="preserve">Mazda</t>
        </is>
      </c>
      <c r="F21428" s="0" t="inlineStr">
        <is>
          <t xml:space="preserve">Mazda</t>
        </is>
      </c>
      <c r="G21428" s="0" t="s">
        <v>171</v>
      </c>
      <c r="H21428" s="5">
        <v>25.619000</v>
      </c>
    </row>
    <row r="21429" spans="1:9">
      <c r="A21429" s="22" t="str">
        <f>HYPERLINK("https://app.vivvix.com/360/KMI/IntelliDrive/ApplUI/Pages/CreativePages/CustomReportCreativeDetail.aspx?App=23&amp;ReportView=4&amp;Qid=1711279&amp;Row=21421&amp;Col=1","No Title Assigned - #15280019339")</f>
        <v/>
      </c>
      <c r="B21429" s="0" t="s">
        <v>28415</v>
      </c>
      <c r="C21429" s="0" t="s">
        <v>28416</v>
      </c>
      <c r="D21429" s="0" t="s">
        <v>28416</v>
      </c>
      <c r="E21429" s="0" t="inlineStr">
        <is>
          <t xml:space="preserve">Mazda</t>
        </is>
      </c>
      <c r="F21429" s="0" t="inlineStr">
        <is>
          <t xml:space="preserve">Mazda</t>
        </is>
      </c>
      <c r="G21429" s="0" t="s">
        <v>171</v>
      </c>
      <c r="H21429" s="5">
        <v>143.329200</v>
      </c>
    </row>
    <row r="21430" spans="1:9">
      <c r="A21430" s="22" t="str">
        <f>HYPERLINK("https://app.vivvix.com/360/KMI/IntelliDrive/ApplUI/Pages/CreativePages/CustomReportCreativeDetail.aspx?App=23&amp;ReportView=4&amp;Qid=1711279&amp;Row=21422&amp;Col=1","No Title Assigned - #15280020989")</f>
        <v/>
      </c>
      <c r="B21430" s="0" t="s">
        <v>28417</v>
      </c>
      <c r="E21430" s="0" t="inlineStr">
        <is>
          <t xml:space="preserve">Mazda</t>
        </is>
      </c>
      <c r="F21430" s="0" t="inlineStr">
        <is>
          <t xml:space="preserve">Mazda</t>
        </is>
      </c>
      <c r="G21430" s="0" t="s">
        <v>171</v>
      </c>
      <c r="H21430" s="5">
        <v>353.921300</v>
      </c>
    </row>
    <row r="21431" spans="1:9">
      <c r="A21431" s="22" t="str">
        <f>HYPERLINK("https://app.vivvix.com/360/KMI/IntelliDrive/ApplUI/Pages/CreativePages/CustomReportCreativeDetail.aspx?App=23&amp;ReportView=4&amp;Qid=1711279&amp;Row=21423&amp;Col=1","No Title Assigned - #15280022187")</f>
        <v/>
      </c>
      <c r="B21431" s="0" t="s">
        <v>28418</v>
      </c>
      <c r="E21431" s="0" t="inlineStr">
        <is>
          <t xml:space="preserve">Mazda</t>
        </is>
      </c>
      <c r="F21431" s="0" t="inlineStr">
        <is>
          <t xml:space="preserve">Mazda</t>
        </is>
      </c>
      <c r="G21431" s="0" t="s">
        <v>171</v>
      </c>
      <c r="H21431" s="5">
        <v>389.456400</v>
      </c>
    </row>
    <row r="21432" spans="1:9">
      <c r="A21432" s="22" t="str">
        <f>HYPERLINK("https://app.vivvix.com/360/KMI/IntelliDrive/ApplUI/Pages/CreativePages/CustomReportCreativeDetail.aspx?App=23&amp;ReportView=4&amp;Qid=1711279&amp;Row=21424&amp;Col=1","No Title Assigned - #15280022742")</f>
        <v/>
      </c>
      <c r="B21432" s="0" t="s">
        <v>28419</v>
      </c>
      <c r="E21432" s="0" t="inlineStr">
        <is>
          <t xml:space="preserve">Mazda</t>
        </is>
      </c>
      <c r="F21432" s="0" t="inlineStr">
        <is>
          <t xml:space="preserve">Mazda</t>
        </is>
      </c>
      <c r="G21432" s="0" t="s">
        <v>171</v>
      </c>
      <c r="H21432" s="5">
        <v>245.755100</v>
      </c>
    </row>
    <row r="21433" spans="1:9">
      <c r="A21433" s="22" t="str">
        <f>HYPERLINK("https://app.vivvix.com/360/KMI/IntelliDrive/ApplUI/Pages/CreativePages/CustomReportCreativeDetail.aspx?App=23&amp;ReportView=4&amp;Qid=1711279&amp;Row=21425&amp;Col=1","No Title Assigned - #15280024111")</f>
        <v/>
      </c>
      <c r="B21433" s="0" t="s">
        <v>28420</v>
      </c>
      <c r="E21433" s="0" t="inlineStr">
        <is>
          <t xml:space="preserve">Mazda</t>
        </is>
      </c>
      <c r="F21433" s="0" t="inlineStr">
        <is>
          <t xml:space="preserve">Mazda</t>
        </is>
      </c>
      <c r="G21433" s="0" t="s">
        <v>171</v>
      </c>
      <c r="H21433" s="5">
        <v>83.043500</v>
      </c>
    </row>
    <row r="21434" spans="1:9">
      <c r="A21434" s="22" t="str">
        <f>HYPERLINK("https://app.vivvix.com/360/KMI/IntelliDrive/ApplUI/Pages/CreativePages/CustomReportCreativeDetail.aspx?App=23&amp;ReportView=4&amp;Qid=1711279&amp;Row=21426&amp;Col=1","No Title Assigned - #15280024130")</f>
        <v/>
      </c>
      <c r="B21434" s="0" t="s">
        <v>28421</v>
      </c>
      <c r="E21434" s="0" t="inlineStr">
        <is>
          <t xml:space="preserve">Mazda</t>
        </is>
      </c>
      <c r="F21434" s="0" t="inlineStr">
        <is>
          <t xml:space="preserve">Mazda</t>
        </is>
      </c>
      <c r="G21434" s="0" t="s">
        <v>171</v>
      </c>
      <c r="H21434" s="5">
        <v>32.816900</v>
      </c>
    </row>
    <row r="21435" spans="1:9">
      <c r="A21435" s="22" t="str">
        <f>HYPERLINK("https://app.vivvix.com/360/KMI/IntelliDrive/ApplUI/Pages/CreativePages/CustomReportCreativeDetail.aspx?App=23&amp;ReportView=4&amp;Qid=1711279&amp;Row=21427&amp;Col=1","No Title Assigned - #15280024490")</f>
        <v/>
      </c>
      <c r="B21435" s="0" t="s">
        <v>28422</v>
      </c>
      <c r="E21435" s="0" t="inlineStr">
        <is>
          <t xml:space="preserve">Mazda</t>
        </is>
      </c>
      <c r="F21435" s="0" t="inlineStr">
        <is>
          <t xml:space="preserve">Mazda</t>
        </is>
      </c>
      <c r="G21435" s="0" t="s">
        <v>171</v>
      </c>
      <c r="H21435" s="5">
        <v>690.315000</v>
      </c>
    </row>
    <row r="21436" spans="1:9">
      <c r="A21436" s="22" t="str">
        <f>HYPERLINK("https://app.vivvix.com/360/KMI/IntelliDrive/ApplUI/Pages/CreativePages/CustomReportCreativeDetail.aspx?App=23&amp;ReportView=4&amp;Qid=1711279&amp;Row=21428&amp;Col=1","No Title Assigned - #15280024756")</f>
        <v/>
      </c>
      <c r="B21436" s="0" t="s">
        <v>28423</v>
      </c>
      <c r="E21436" s="0" t="inlineStr">
        <is>
          <t xml:space="preserve">Mazda</t>
        </is>
      </c>
      <c r="F21436" s="0" t="inlineStr">
        <is>
          <t xml:space="preserve">Mazda</t>
        </is>
      </c>
      <c r="G21436" s="0" t="s">
        <v>171</v>
      </c>
      <c r="H21436" s="5">
        <v>164.376400</v>
      </c>
    </row>
    <row r="21437" spans="1:9">
      <c r="A21437" s="22" t="str">
        <f>HYPERLINK("https://app.vivvix.com/360/KMI/IntelliDrive/ApplUI/Pages/CreativePages/CustomReportCreativeDetail.aspx?App=23&amp;ReportView=4&amp;Qid=1711279&amp;Row=21429&amp;Col=1","No Title Assigned - #15280025046")</f>
        <v/>
      </c>
      <c r="B21437" s="0" t="s">
        <v>28424</v>
      </c>
      <c r="E21437" s="0" t="inlineStr">
        <is>
          <t xml:space="preserve">Mazda</t>
        </is>
      </c>
      <c r="F21437" s="0" t="inlineStr">
        <is>
          <t xml:space="preserve">Mazda</t>
        </is>
      </c>
      <c r="G21437" s="0" t="s">
        <v>171</v>
      </c>
      <c r="H21437" s="5">
        <v>5825.853800</v>
      </c>
    </row>
    <row r="21438" spans="1:9">
      <c r="A21438" s="22" t="str">
        <f>HYPERLINK("https://app.vivvix.com/360/KMI/IntelliDrive/ApplUI/Pages/CreativePages/CustomReportCreativeDetail.aspx?App=23&amp;ReportView=4&amp;Qid=1711279&amp;Row=21430&amp;Col=1","No Title Assigned - #15280029265")</f>
        <v/>
      </c>
      <c r="B21438" s="0" t="s">
        <v>28425</v>
      </c>
      <c r="E21438" s="0" t="inlineStr">
        <is>
          <t xml:space="preserve">Mazda</t>
        </is>
      </c>
      <c r="F21438" s="0" t="inlineStr">
        <is>
          <t xml:space="preserve">Mazda</t>
        </is>
      </c>
      <c r="G21438" s="0" t="s">
        <v>171</v>
      </c>
      <c r="H21438" s="5">
        <v>133.166800</v>
      </c>
    </row>
    <row r="21439" spans="1:9">
      <c r="A21439" s="22" t="str">
        <f>HYPERLINK("https://app.vivvix.com/360/KMI/IntelliDrive/ApplUI/Pages/CreativePages/CustomReportCreativeDetail.aspx?App=23&amp;ReportView=4&amp;Qid=1711279&amp;Row=21431&amp;Col=1","No Title Assigned - #15280029400")</f>
        <v/>
      </c>
      <c r="B21439" s="0" t="s">
        <v>28426</v>
      </c>
      <c r="E21439" s="0" t="inlineStr">
        <is>
          <t xml:space="preserve">Mazda</t>
        </is>
      </c>
      <c r="F21439" s="0" t="inlineStr">
        <is>
          <t xml:space="preserve">Mazda</t>
        </is>
      </c>
      <c r="G21439" s="0" t="s">
        <v>171</v>
      </c>
      <c r="H21439" s="5">
        <v>516.189600</v>
      </c>
    </row>
    <row r="21440" spans="1:9">
      <c r="A21440" s="22" t="str">
        <f>HYPERLINK("https://app.vivvix.com/360/KMI/IntelliDrive/ApplUI/Pages/CreativePages/CustomReportCreativeDetail.aspx?App=23&amp;ReportView=4&amp;Qid=1711279&amp;Row=21432&amp;Col=1","No Title Assigned - #15280036574")</f>
        <v/>
      </c>
      <c r="B21440" s="0" t="s">
        <v>28427</v>
      </c>
      <c r="C21440" s="0" t="s">
        <v>28428</v>
      </c>
      <c r="D21440" s="0" t="s">
        <v>28428</v>
      </c>
      <c r="E21440" s="0" t="inlineStr">
        <is>
          <t xml:space="preserve">Mazda</t>
        </is>
      </c>
      <c r="F21440" s="0" t="inlineStr">
        <is>
          <t xml:space="preserve">Mazda</t>
        </is>
      </c>
      <c r="G21440" s="0" t="s">
        <v>171</v>
      </c>
      <c r="H21440" s="5">
        <v>10.867100</v>
      </c>
    </row>
    <row r="21441" spans="1:9">
      <c r="A21441" s="22" t="str">
        <f>HYPERLINK("https://app.vivvix.com/360/KMI/IntelliDrive/ApplUI/Pages/CreativePages/CustomReportCreativeDetail.aspx?App=23&amp;ReportView=4&amp;Qid=1711279&amp;Row=21433&amp;Col=1","No Title Assigned - #15280036664")</f>
        <v/>
      </c>
      <c r="B21441" s="0" t="s">
        <v>28429</v>
      </c>
      <c r="E21441" s="0" t="inlineStr">
        <is>
          <t xml:space="preserve">Mazda</t>
        </is>
      </c>
      <c r="F21441" s="0" t="inlineStr">
        <is>
          <t xml:space="preserve">Mazda</t>
        </is>
      </c>
      <c r="G21441" s="0" t="s">
        <v>171</v>
      </c>
      <c r="H21441" s="5">
        <v>22.412400</v>
      </c>
    </row>
    <row r="21442" spans="1:9">
      <c r="A21442" s="22" t="str">
        <f>HYPERLINK("https://app.vivvix.com/360/KMI/IntelliDrive/ApplUI/Pages/CreativePages/CustomReportCreativeDetail.aspx?App=23&amp;ReportView=4&amp;Qid=1711279&amp;Row=21434&amp;Col=1","No Title Assigned - #15280037289")</f>
        <v/>
      </c>
      <c r="B21442" s="0" t="s">
        <v>28430</v>
      </c>
      <c r="E21442" s="0" t="inlineStr">
        <is>
          <t xml:space="preserve">Mazda</t>
        </is>
      </c>
      <c r="F21442" s="0" t="inlineStr">
        <is>
          <t xml:space="preserve">Mazda</t>
        </is>
      </c>
      <c r="G21442" s="0" t="s">
        <v>171</v>
      </c>
      <c r="H21442" s="5">
        <v>4750.495000</v>
      </c>
    </row>
    <row r="21443" spans="1:9">
      <c r="A21443" s="22" t="str">
        <f>HYPERLINK("https://app.vivvix.com/360/KMI/IntelliDrive/ApplUI/Pages/CreativePages/CustomReportCreativeDetail.aspx?App=23&amp;ReportView=4&amp;Qid=1711279&amp;Row=21435&amp;Col=1","No Title Assigned - #15280037389")</f>
        <v/>
      </c>
      <c r="B21443" s="0" t="s">
        <v>28431</v>
      </c>
      <c r="E21443" s="0" t="inlineStr">
        <is>
          <t xml:space="preserve">Mazda</t>
        </is>
      </c>
      <c r="F21443" s="0" t="inlineStr">
        <is>
          <t xml:space="preserve">Mazda</t>
        </is>
      </c>
      <c r="G21443" s="0" t="s">
        <v>171</v>
      </c>
      <c r="H21443" s="5">
        <v>21.732100</v>
      </c>
    </row>
    <row r="21444" spans="1:9">
      <c r="A21444" s="22" t="str">
        <f>HYPERLINK("https://app.vivvix.com/360/KMI/IntelliDrive/ApplUI/Pages/CreativePages/CustomReportCreativeDetail.aspx?App=23&amp;ReportView=4&amp;Qid=1711279&amp;Row=21436&amp;Col=1","No Title Assigned - #15280038117")</f>
        <v/>
      </c>
      <c r="B21444" s="0" t="s">
        <v>28432</v>
      </c>
      <c r="E21444" s="0" t="inlineStr">
        <is>
          <t xml:space="preserve">Mazda</t>
        </is>
      </c>
      <c r="F21444" s="0" t="inlineStr">
        <is>
          <t xml:space="preserve">Mazda</t>
        </is>
      </c>
      <c r="G21444" s="0" t="s">
        <v>171</v>
      </c>
      <c r="H21444" s="5">
        <v>104.588500</v>
      </c>
    </row>
    <row r="21445" spans="1:9">
      <c r="A21445" s="22" t="str">
        <f>HYPERLINK("https://app.vivvix.com/360/KMI/IntelliDrive/ApplUI/Pages/CreativePages/CustomReportCreativeDetail.aspx?App=23&amp;ReportView=4&amp;Qid=1711279&amp;Row=21437&amp;Col=1","No Title Assigned - #15280038178")</f>
        <v/>
      </c>
      <c r="B21445" s="0" t="s">
        <v>28433</v>
      </c>
      <c r="C21445" s="0" t="s">
        <v>28434</v>
      </c>
      <c r="D21445" s="0" t="s">
        <v>28434</v>
      </c>
      <c r="E21445" s="0" t="inlineStr">
        <is>
          <t xml:space="preserve">Mazda</t>
        </is>
      </c>
      <c r="F21445" s="0" t="inlineStr">
        <is>
          <t xml:space="preserve">Mazda</t>
        </is>
      </c>
      <c r="G21445" s="0" t="s">
        <v>171</v>
      </c>
      <c r="H21445" s="5">
        <v>907.806900</v>
      </c>
    </row>
    <row r="21446" spans="1:9">
      <c r="A21446" s="22" t="str">
        <f>HYPERLINK("https://app.vivvix.com/360/KMI/IntelliDrive/ApplUI/Pages/CreativePages/CustomReportCreativeDetail.aspx?App=23&amp;ReportView=4&amp;Qid=1711279&amp;Row=21438&amp;Col=1","No Title Assigned - #15280038348")</f>
        <v/>
      </c>
      <c r="B21446" s="0" t="s">
        <v>28435</v>
      </c>
      <c r="E21446" s="0" t="inlineStr">
        <is>
          <t xml:space="preserve">Mazda</t>
        </is>
      </c>
      <c r="F21446" s="0" t="inlineStr">
        <is>
          <t xml:space="preserve">Mazda</t>
        </is>
      </c>
      <c r="G21446" s="0" t="s">
        <v>171</v>
      </c>
      <c r="H21446" s="5">
        <v>27.275700</v>
      </c>
    </row>
    <row r="21447" spans="1:9">
      <c r="A21447" s="22" t="str">
        <f>HYPERLINK("https://app.vivvix.com/360/KMI/IntelliDrive/ApplUI/Pages/CreativePages/CustomReportCreativeDetail.aspx?App=23&amp;ReportView=4&amp;Qid=1711279&amp;Row=21439&amp;Col=1","No Title Assigned - #15280038894")</f>
        <v/>
      </c>
      <c r="B21447" s="0" t="s">
        <v>28436</v>
      </c>
      <c r="E21447" s="0" t="inlineStr">
        <is>
          <t xml:space="preserve">Mazda</t>
        </is>
      </c>
      <c r="F21447" s="0" t="inlineStr">
        <is>
          <t xml:space="preserve">Mazda</t>
        </is>
      </c>
      <c r="G21447" s="0" t="s">
        <v>171</v>
      </c>
      <c r="H21447" s="5">
        <v>159.978900</v>
      </c>
    </row>
    <row r="21448" spans="1:9">
      <c r="A21448" s="22" t="str">
        <f>HYPERLINK("https://app.vivvix.com/360/KMI/IntelliDrive/ApplUI/Pages/CreativePages/CustomReportCreativeDetail.aspx?App=23&amp;ReportView=4&amp;Qid=1711279&amp;Row=21440&amp;Col=1","No Title Assigned - #15280040983")</f>
        <v/>
      </c>
      <c r="B21448" s="0" t="s">
        <v>28437</v>
      </c>
      <c r="C21448" s="0" t="s">
        <v>28438</v>
      </c>
      <c r="D21448" s="0" t="s">
        <v>10004</v>
      </c>
      <c r="E21448" s="0" t="inlineStr">
        <is>
          <t xml:space="preserve">Mazda</t>
        </is>
      </c>
      <c r="F21448" s="0" t="s">
        <v>13</v>
      </c>
      <c r="G21448" s="0" t="s">
        <v>49</v>
      </c>
      <c r="H21448" s="5">
        <v>348.227300</v>
      </c>
    </row>
    <row r="21449" spans="1:9">
      <c r="A21449" s="22" t="str">
        <f>HYPERLINK("https://app.vivvix.com/360/KMI/IntelliDrive/ApplUI/Pages/CreativePages/CustomReportCreativeDetail.aspx?App=23&amp;ReportView=4&amp;Qid=1711279&amp;Row=21441&amp;Col=1","No Title Assigned - #15280041706")</f>
        <v/>
      </c>
      <c r="B21449" s="0" t="s">
        <v>28439</v>
      </c>
      <c r="C21449" s="0" t="s">
        <v>28440</v>
      </c>
      <c r="D21449" s="0" t="s">
        <v>28440</v>
      </c>
      <c r="E21449" s="0" t="inlineStr">
        <is>
          <t xml:space="preserve">Mazda</t>
        </is>
      </c>
      <c r="F21449" s="0" t="s">
        <v>13</v>
      </c>
      <c r="G21449" s="0" t="s">
        <v>49</v>
      </c>
      <c r="H21449" s="5">
        <v>79.764200</v>
      </c>
    </row>
    <row r="21450" spans="1:9">
      <c r="A21450" s="22" t="str">
        <f>HYPERLINK("https://app.vivvix.com/360/KMI/IntelliDrive/ApplUI/Pages/CreativePages/CustomReportCreativeDetail.aspx?App=23&amp;ReportView=4&amp;Qid=1711279&amp;Row=21442&amp;Col=1","No Title Assigned - #15280042073")</f>
        <v/>
      </c>
      <c r="B21450" s="0" t="s">
        <v>28441</v>
      </c>
      <c r="C21450" s="0" t="s">
        <v>28442</v>
      </c>
      <c r="D21450" s="0" t="s">
        <v>28442</v>
      </c>
      <c r="E21450" s="0" t="inlineStr">
        <is>
          <t xml:space="preserve">Mazda</t>
        </is>
      </c>
      <c r="F21450" s="0" t="s">
        <v>13</v>
      </c>
      <c r="G21450" s="0" t="s">
        <v>49</v>
      </c>
      <c r="H21450" s="5">
        <v>55.747600</v>
      </c>
    </row>
    <row r="21451" spans="1:9">
      <c r="A21451" s="22" t="str">
        <f>HYPERLINK("https://app.vivvix.com/360/KMI/IntelliDrive/ApplUI/Pages/CreativePages/CustomReportCreativeDetail.aspx?App=23&amp;ReportView=4&amp;Qid=1711279&amp;Row=21443&amp;Col=1","No Title Assigned - #15280042506")</f>
        <v/>
      </c>
      <c r="B21451" s="0" t="s">
        <v>28443</v>
      </c>
      <c r="E21451" s="0" t="inlineStr">
        <is>
          <t xml:space="preserve">Mazda</t>
        </is>
      </c>
      <c r="F21451" s="0" t="inlineStr">
        <is>
          <t xml:space="preserve">Mazda</t>
        </is>
      </c>
      <c r="G21451" s="0" t="s">
        <v>171</v>
      </c>
      <c r="H21451" s="5">
        <v>1321.714400</v>
      </c>
    </row>
    <row r="21452" spans="1:9">
      <c r="A21452" s="22" t="str">
        <f>HYPERLINK("https://app.vivvix.com/360/KMI/IntelliDrive/ApplUI/Pages/CreativePages/CustomReportCreativeDetail.aspx?App=23&amp;ReportView=4&amp;Qid=1711279&amp;Row=21444&amp;Col=1","No Title Assigned - #15280043434")</f>
        <v/>
      </c>
      <c r="B21452" s="0" t="s">
        <v>28444</v>
      </c>
      <c r="C21452" s="0" t="s">
        <v>28445</v>
      </c>
      <c r="D21452" s="0" t="s">
        <v>4774</v>
      </c>
      <c r="E21452" s="0" t="inlineStr">
        <is>
          <t xml:space="preserve">Mazda</t>
        </is>
      </c>
      <c r="F21452" s="0" t="s">
        <v>13</v>
      </c>
      <c r="G21452" s="0" t="s">
        <v>49</v>
      </c>
      <c r="H21452" s="5">
        <v>3963.200500</v>
      </c>
    </row>
    <row r="21453" spans="1:9">
      <c r="A21453" s="22" t="str">
        <f>HYPERLINK("https://app.vivvix.com/360/KMI/IntelliDrive/ApplUI/Pages/CreativePages/CustomReportCreativeDetail.aspx?App=23&amp;ReportView=4&amp;Qid=1711279&amp;Row=21445&amp;Col=1","No Title Assigned - #15280043531")</f>
        <v/>
      </c>
      <c r="B21453" s="0" t="s">
        <v>28446</v>
      </c>
      <c r="C21453" s="0" t="s">
        <v>28447</v>
      </c>
      <c r="D21453" s="0" t="s">
        <v>28447</v>
      </c>
      <c r="E21453" s="0" t="inlineStr">
        <is>
          <t xml:space="preserve">Mazda</t>
        </is>
      </c>
      <c r="F21453" s="0" t="s">
        <v>13</v>
      </c>
      <c r="G21453" s="0" t="s">
        <v>49</v>
      </c>
      <c r="H21453" s="5">
        <v>303.427500</v>
      </c>
    </row>
    <row r="21454" spans="1:9">
      <c r="A21454" s="22" t="str">
        <f>HYPERLINK("https://app.vivvix.com/360/KMI/IntelliDrive/ApplUI/Pages/CreativePages/CustomReportCreativeDetail.aspx?App=23&amp;ReportView=4&amp;Qid=1711279&amp;Row=21446&amp;Col=1","No Title Assigned - #15280043531")</f>
        <v/>
      </c>
      <c r="B21454" s="0" t="s">
        <v>28446</v>
      </c>
      <c r="E21454" s="0" t="inlineStr">
        <is>
          <t xml:space="preserve">Mazda</t>
        </is>
      </c>
      <c r="F21454" s="0" t="s">
        <v>13</v>
      </c>
      <c r="G21454" s="0" t="s">
        <v>49</v>
      </c>
      <c r="H21454" s="5">
        <v>24643.396700</v>
      </c>
    </row>
    <row r="21455" spans="1:9">
      <c r="A21455" s="22" t="str">
        <f>HYPERLINK("https://app.vivvix.com/360/KMI/IntelliDrive/ApplUI/Pages/CreativePages/CustomReportCreativeDetail.aspx?App=23&amp;ReportView=4&amp;Qid=1711279&amp;Row=21447&amp;Col=1","No Title Assigned - #15280043618")</f>
        <v/>
      </c>
      <c r="B21455" s="0" t="s">
        <v>28448</v>
      </c>
      <c r="C21455" s="0" t="s">
        <v>28449</v>
      </c>
      <c r="D21455" s="0" t="s">
        <v>11469</v>
      </c>
      <c r="E21455" s="0" t="inlineStr">
        <is>
          <t xml:space="preserve">Mazda</t>
        </is>
      </c>
      <c r="F21455" s="0" t="s">
        <v>13</v>
      </c>
      <c r="G21455" s="0" t="s">
        <v>49</v>
      </c>
      <c r="H21455" s="5">
        <v>52582.532500</v>
      </c>
    </row>
    <row r="21456" spans="1:9">
      <c r="A21456" s="22" t="str">
        <f>HYPERLINK("https://app.vivvix.com/360/KMI/IntelliDrive/ApplUI/Pages/CreativePages/CustomReportCreativeDetail.aspx?App=23&amp;ReportView=4&amp;Qid=1711279&amp;Row=21448&amp;Col=1","No Title Assigned - #15280043904")</f>
        <v/>
      </c>
      <c r="B21456" s="0" t="s">
        <v>28450</v>
      </c>
      <c r="C21456" s="0" t="s">
        <v>28451</v>
      </c>
      <c r="D21456" s="0" t="s">
        <v>10095</v>
      </c>
      <c r="E21456" s="0" t="inlineStr">
        <is>
          <t xml:space="preserve">Mazda</t>
        </is>
      </c>
      <c r="F21456" s="0" t="s">
        <v>13</v>
      </c>
      <c r="G21456" s="0" t="s">
        <v>49</v>
      </c>
      <c r="H21456" s="5">
        <v>174.126800</v>
      </c>
    </row>
    <row r="21457" spans="1:9">
      <c r="A21457" s="22" t="str">
        <f>HYPERLINK("https://app.vivvix.com/360/KMI/IntelliDrive/ApplUI/Pages/CreativePages/CustomReportCreativeDetail.aspx?App=23&amp;ReportView=4&amp;Qid=1711279&amp;Row=21449&amp;Col=1","No Title Assigned - #15280043905")</f>
        <v/>
      </c>
      <c r="B21457" s="0" t="s">
        <v>28452</v>
      </c>
      <c r="C21457" s="0" t="s">
        <v>28453</v>
      </c>
      <c r="D21457" s="0" t="s">
        <v>4335</v>
      </c>
      <c r="E21457" s="0" t="inlineStr">
        <is>
          <t xml:space="preserve">Mazda</t>
        </is>
      </c>
      <c r="F21457" s="0" t="s">
        <v>13</v>
      </c>
      <c r="G21457" s="0" t="s">
        <v>49</v>
      </c>
      <c r="H21457" s="5">
        <v>156.763700</v>
      </c>
    </row>
    <row r="21458" spans="1:9">
      <c r="A21458" s="22" t="str">
        <f>HYPERLINK("https://app.vivvix.com/360/KMI/IntelliDrive/ApplUI/Pages/CreativePages/CustomReportCreativeDetail.aspx?App=23&amp;ReportView=4&amp;Qid=1711279&amp;Row=21450&amp;Col=1","No Title Assigned - #15280043961")</f>
        <v/>
      </c>
      <c r="B21458" s="0" t="s">
        <v>28454</v>
      </c>
      <c r="C21458" s="0" t="s">
        <v>28455</v>
      </c>
      <c r="D21458" s="0" t="s">
        <v>10095</v>
      </c>
      <c r="E21458" s="0" t="inlineStr">
        <is>
          <t xml:space="preserve">Mazda</t>
        </is>
      </c>
      <c r="F21458" s="0" t="s">
        <v>13</v>
      </c>
      <c r="G21458" s="0" t="s">
        <v>49</v>
      </c>
      <c r="H21458" s="5">
        <v>12134.156400</v>
      </c>
    </row>
    <row r="21459" spans="1:9">
      <c r="A21459" s="22" t="str">
        <f>HYPERLINK("https://app.vivvix.com/360/KMI/IntelliDrive/ApplUI/Pages/CreativePages/CustomReportCreativeDetail.aspx?App=23&amp;ReportView=4&amp;Qid=1711279&amp;Row=21451&amp;Col=1","No Title Assigned - #15280044369")</f>
        <v/>
      </c>
      <c r="B21459" s="0" t="s">
        <v>28456</v>
      </c>
      <c r="C21459" s="0" t="s">
        <v>28457</v>
      </c>
      <c r="D21459" s="0" t="s">
        <v>4774</v>
      </c>
      <c r="E21459" s="0" t="inlineStr">
        <is>
          <t xml:space="preserve">Mazda</t>
        </is>
      </c>
      <c r="F21459" s="0" t="s">
        <v>13</v>
      </c>
      <c r="G21459" s="0" t="s">
        <v>49</v>
      </c>
      <c r="H21459" s="5">
        <v>87.063400</v>
      </c>
    </row>
    <row r="21460" spans="1:9">
      <c r="A21460" s="22" t="str">
        <f>HYPERLINK("https://app.vivvix.com/360/KMI/IntelliDrive/ApplUI/Pages/CreativePages/CustomReportCreativeDetail.aspx?App=23&amp;ReportView=4&amp;Qid=1711279&amp;Row=21452&amp;Col=1","No Title Assigned - #15280045262")</f>
        <v/>
      </c>
      <c r="B21460" s="0" t="s">
        <v>28458</v>
      </c>
      <c r="E21460" s="0" t="inlineStr">
        <is>
          <t xml:space="preserve">Mazda</t>
        </is>
      </c>
      <c r="F21460" s="0" t="inlineStr">
        <is>
          <t xml:space="preserve">Mazda</t>
        </is>
      </c>
      <c r="G21460" s="0" t="s">
        <v>171</v>
      </c>
      <c r="H21460" s="5">
        <v>27.531300</v>
      </c>
    </row>
    <row r="21461" spans="1:9">
      <c r="A21461" s="22" t="str">
        <f>HYPERLINK("https://app.vivvix.com/360/KMI/IntelliDrive/ApplUI/Pages/CreativePages/CustomReportCreativeDetail.aspx?App=23&amp;ReportView=4&amp;Qid=1711279&amp;Row=21453&amp;Col=1","No Title Assigned - #15280045290")</f>
        <v/>
      </c>
      <c r="B21461" s="0" t="s">
        <v>28459</v>
      </c>
      <c r="C21461" s="0" t="s">
        <v>28460</v>
      </c>
      <c r="D21461" s="0" t="s">
        <v>6404</v>
      </c>
      <c r="E21461" s="0" t="inlineStr">
        <is>
          <t xml:space="preserve">Mazda</t>
        </is>
      </c>
      <c r="F21461" s="0" t="s">
        <v>13</v>
      </c>
      <c r="G21461" s="0" t="s">
        <v>49</v>
      </c>
      <c r="H21461" s="5">
        <v>180.445200</v>
      </c>
    </row>
    <row r="21462" spans="1:9">
      <c r="A21462" s="22" t="str">
        <f>HYPERLINK("https://app.vivvix.com/360/KMI/IntelliDrive/ApplUI/Pages/CreativePages/CustomReportCreativeDetail.aspx?App=23&amp;ReportView=4&amp;Qid=1711279&amp;Row=21454&amp;Col=1","No Title Assigned - #15280047010")</f>
        <v/>
      </c>
      <c r="B21462" s="0" t="s">
        <v>28461</v>
      </c>
      <c r="C21462" s="0" t="s">
        <v>28462</v>
      </c>
      <c r="D21462" s="0" t="s">
        <v>8453</v>
      </c>
      <c r="E21462" s="0" t="inlineStr">
        <is>
          <t xml:space="preserve">Mazda</t>
        </is>
      </c>
      <c r="F21462" s="0" t="s">
        <v>13</v>
      </c>
      <c r="G21462" s="0" t="s">
        <v>49</v>
      </c>
      <c r="H21462" s="5">
        <v>97.594700</v>
      </c>
    </row>
    <row r="21463" spans="1:9">
      <c r="A21463" s="22" t="str">
        <f>HYPERLINK("https://app.vivvix.com/360/KMI/IntelliDrive/ApplUI/Pages/CreativePages/CustomReportCreativeDetail.aspx?App=23&amp;ReportView=4&amp;Qid=1711279&amp;Row=21455&amp;Col=1","No Title Assigned - #15280047154")</f>
        <v/>
      </c>
      <c r="B21463" s="0" t="s">
        <v>28463</v>
      </c>
      <c r="C21463" s="0" t="s">
        <v>28464</v>
      </c>
      <c r="D21463" s="0" t="s">
        <v>20089</v>
      </c>
      <c r="E21463" s="0" t="inlineStr">
        <is>
          <t xml:space="preserve">Mazda</t>
        </is>
      </c>
      <c r="F21463" s="0" t="s">
        <v>13</v>
      </c>
      <c r="G21463" s="0" t="s">
        <v>49</v>
      </c>
      <c r="H21463" s="5">
        <v>745.341000</v>
      </c>
    </row>
    <row r="21464" spans="1:9">
      <c r="A21464" s="22" t="str">
        <f>HYPERLINK("https://app.vivvix.com/360/KMI/IntelliDrive/ApplUI/Pages/CreativePages/CustomReportCreativeDetail.aspx?App=23&amp;ReportView=4&amp;Qid=1711279&amp;Row=21456&amp;Col=1","No Title Assigned - #15280047246")</f>
        <v/>
      </c>
      <c r="B21464" s="0" t="s">
        <v>28465</v>
      </c>
      <c r="C21464" s="0" t="s">
        <v>28466</v>
      </c>
      <c r="D21464" s="0" t="s">
        <v>9676</v>
      </c>
      <c r="E21464" s="0" t="inlineStr">
        <is>
          <t xml:space="preserve">Mazda</t>
        </is>
      </c>
      <c r="F21464" s="0" t="s">
        <v>13</v>
      </c>
      <c r="G21464" s="0" t="s">
        <v>49</v>
      </c>
      <c r="H21464" s="5">
        <v>61.692500</v>
      </c>
    </row>
    <row r="21465" spans="1:9">
      <c r="A21465" s="22" t="str">
        <f>HYPERLINK("https://app.vivvix.com/360/KMI/IntelliDrive/ApplUI/Pages/CreativePages/CustomReportCreativeDetail.aspx?App=23&amp;ReportView=4&amp;Qid=1711279&amp;Row=21457&amp;Col=1","No Title Assigned - #15280047753")</f>
        <v/>
      </c>
      <c r="B21465" s="0" t="s">
        <v>28467</v>
      </c>
      <c r="E21465" s="0" t="inlineStr">
        <is>
          <t xml:space="preserve">Mazda</t>
        </is>
      </c>
      <c r="F21465" s="0" t="s">
        <v>13</v>
      </c>
      <c r="G21465" s="0" t="s">
        <v>49</v>
      </c>
      <c r="H21465" s="5">
        <v>493.648700</v>
      </c>
    </row>
    <row r="21466" spans="1:9">
      <c r="A21466" s="22" t="str">
        <f>HYPERLINK("https://app.vivvix.com/360/KMI/IntelliDrive/ApplUI/Pages/CreativePages/CustomReportCreativeDetail.aspx?App=23&amp;ReportView=4&amp;Qid=1711279&amp;Row=21458&amp;Col=1","No Title Assigned - #15280047900")</f>
        <v/>
      </c>
      <c r="B21466" s="0" t="s">
        <v>28468</v>
      </c>
      <c r="C21466" s="0" t="s">
        <v>28469</v>
      </c>
      <c r="D21466" s="0" t="s">
        <v>28469</v>
      </c>
      <c r="E21466" s="0" t="inlineStr">
        <is>
          <t xml:space="preserve">Mazda</t>
        </is>
      </c>
      <c r="F21466" s="0" t="s">
        <v>13</v>
      </c>
      <c r="G21466" s="0" t="s">
        <v>49</v>
      </c>
      <c r="H21466" s="5">
        <v>296.045300</v>
      </c>
    </row>
    <row r="21467" spans="1:9">
      <c r="A21467" s="22" t="str">
        <f>HYPERLINK("https://app.vivvix.com/360/KMI/IntelliDrive/ApplUI/Pages/CreativePages/CustomReportCreativeDetail.aspx?App=23&amp;ReportView=4&amp;Qid=1711279&amp;Row=21459&amp;Col=1","No Title Assigned - #15280049154")</f>
        <v/>
      </c>
      <c r="B21467" s="0" t="s">
        <v>28470</v>
      </c>
      <c r="C21467" s="0" t="s">
        <v>28471</v>
      </c>
      <c r="D21467" s="0" t="s">
        <v>4335</v>
      </c>
      <c r="E21467" s="0" t="inlineStr">
        <is>
          <t xml:space="preserve">Mazda</t>
        </is>
      </c>
      <c r="F21467" s="0" t="s">
        <v>13</v>
      </c>
      <c r="G21467" s="0" t="s">
        <v>49</v>
      </c>
      <c r="H21467" s="5">
        <v>59.257900</v>
      </c>
    </row>
    <row r="21468" spans="1:9">
      <c r="A21468" s="22" t="str">
        <f>HYPERLINK("https://app.vivvix.com/360/KMI/IntelliDrive/ApplUI/Pages/CreativePages/CustomReportCreativeDetail.aspx?App=23&amp;ReportView=4&amp;Qid=1711279&amp;Row=21460&amp;Col=1","No Title Assigned - #15280049573")</f>
        <v/>
      </c>
      <c r="B21468" s="0" t="s">
        <v>28472</v>
      </c>
      <c r="C21468" s="0" t="s">
        <v>28473</v>
      </c>
      <c r="D21468" s="0" t="s">
        <v>28473</v>
      </c>
      <c r="E21468" s="0" t="inlineStr">
        <is>
          <t xml:space="preserve">Mazda</t>
        </is>
      </c>
      <c r="F21468" s="0" t="s">
        <v>13</v>
      </c>
      <c r="G21468" s="0" t="s">
        <v>49</v>
      </c>
      <c r="H21468" s="5">
        <v>97.188600</v>
      </c>
    </row>
    <row r="21469" spans="1:9">
      <c r="A21469" s="22" t="str">
        <f>HYPERLINK("https://app.vivvix.com/360/KMI/IntelliDrive/ApplUI/Pages/CreativePages/CustomReportCreativeDetail.aspx?App=23&amp;ReportView=4&amp;Qid=1711279&amp;Row=21461&amp;Col=1","No Title Assigned - #15280049598")</f>
        <v/>
      </c>
      <c r="B21469" s="0" t="s">
        <v>28474</v>
      </c>
      <c r="C21469" s="0" t="s">
        <v>28475</v>
      </c>
      <c r="D21469" s="0" t="s">
        <v>28475</v>
      </c>
      <c r="E21469" s="0" t="inlineStr">
        <is>
          <t xml:space="preserve">Mazda</t>
        </is>
      </c>
      <c r="F21469" s="0" t="s">
        <v>13</v>
      </c>
      <c r="G21469" s="0" t="s">
        <v>49</v>
      </c>
      <c r="H21469" s="5">
        <v>72.832200</v>
      </c>
    </row>
    <row r="21470" spans="1:9">
      <c r="A21470" s="22" t="str">
        <f>HYPERLINK("https://app.vivvix.com/360/KMI/IntelliDrive/ApplUI/Pages/CreativePages/CustomReportCreativeDetail.aspx?App=23&amp;ReportView=4&amp;Qid=1711279&amp;Row=21462&amp;Col=1","No Title Assigned - #15280049620")</f>
        <v/>
      </c>
      <c r="B21470" s="0" t="s">
        <v>28476</v>
      </c>
      <c r="C21470" s="0" t="s">
        <v>28477</v>
      </c>
      <c r="D21470" s="0" t="s">
        <v>28477</v>
      </c>
      <c r="E21470" s="0" t="inlineStr">
        <is>
          <t xml:space="preserve">Mazda</t>
        </is>
      </c>
      <c r="F21470" s="0" t="s">
        <v>13</v>
      </c>
      <c r="G21470" s="0" t="s">
        <v>49</v>
      </c>
      <c r="H21470" s="5">
        <v>37.915200</v>
      </c>
    </row>
    <row r="21471" spans="1:9">
      <c r="A21471" s="22" t="str">
        <f>HYPERLINK("https://app.vivvix.com/360/KMI/IntelliDrive/ApplUI/Pages/CreativePages/CustomReportCreativeDetail.aspx?App=23&amp;ReportView=4&amp;Qid=1711279&amp;Row=21463&amp;Col=1","No Title Assigned - #15280050421")</f>
        <v/>
      </c>
      <c r="B21471" s="0" t="s">
        <v>28478</v>
      </c>
      <c r="C21471" s="0" t="s">
        <v>28479</v>
      </c>
      <c r="D21471" s="0" t="s">
        <v>6183</v>
      </c>
      <c r="E21471" s="0" t="inlineStr">
        <is>
          <t xml:space="preserve">Mazda</t>
        </is>
      </c>
      <c r="F21471" s="0" t="s">
        <v>13</v>
      </c>
      <c r="G21471" s="0" t="s">
        <v>49</v>
      </c>
      <c r="H21471" s="5">
        <v>9.370700</v>
      </c>
    </row>
    <row r="21472" spans="1:9">
      <c r="A21472" s="22" t="str">
        <f>HYPERLINK("https://app.vivvix.com/360/KMI/IntelliDrive/ApplUI/Pages/CreativePages/CustomReportCreativeDetail.aspx?App=23&amp;ReportView=4&amp;Qid=1711279&amp;Row=21464&amp;Col=1","No Title Assigned - #15280051591")</f>
        <v/>
      </c>
      <c r="B21472" s="0" t="s">
        <v>28480</v>
      </c>
      <c r="C21472" s="0" t="s">
        <v>28481</v>
      </c>
      <c r="D21472" s="0" t="s">
        <v>10311</v>
      </c>
      <c r="E21472" s="0" t="inlineStr">
        <is>
          <t xml:space="preserve">Mazda</t>
        </is>
      </c>
      <c r="F21472" s="0" t="s">
        <v>13</v>
      </c>
      <c r="G21472" s="0" t="s">
        <v>49</v>
      </c>
      <c r="H21472" s="5">
        <v>1514.991000</v>
      </c>
    </row>
    <row r="21473" spans="1:9">
      <c r="A21473" s="22" t="str">
        <f>HYPERLINK("https://app.vivvix.com/360/KMI/IntelliDrive/ApplUI/Pages/CreativePages/CustomReportCreativeDetail.aspx?App=23&amp;ReportView=4&amp;Qid=1711279&amp;Row=21465&amp;Col=1","No Title Assigned - #15280052482")</f>
        <v/>
      </c>
      <c r="B21473" s="0" t="s">
        <v>28482</v>
      </c>
      <c r="C21473" s="0" t="s">
        <v>28483</v>
      </c>
      <c r="D21473" s="0" t="s">
        <v>28483</v>
      </c>
      <c r="E21473" s="0" t="inlineStr">
        <is>
          <t xml:space="preserve">Mazda</t>
        </is>
      </c>
      <c r="F21473" s="0" t="s">
        <v>13</v>
      </c>
      <c r="G21473" s="0" t="s">
        <v>49</v>
      </c>
      <c r="H21473" s="5">
        <v>491.174900</v>
      </c>
    </row>
    <row r="21474" spans="1:9">
      <c r="A21474" s="22" t="str">
        <f>HYPERLINK("https://app.vivvix.com/360/KMI/IntelliDrive/ApplUI/Pages/CreativePages/CustomReportCreativeDetail.aspx?App=23&amp;ReportView=4&amp;Qid=1711279&amp;Row=21466&amp;Col=1","No Title Assigned - #15280052981")</f>
        <v/>
      </c>
      <c r="B21474" s="0" t="s">
        <v>28484</v>
      </c>
      <c r="C21474" s="0" t="s">
        <v>28485</v>
      </c>
      <c r="D21474" s="0" t="s">
        <v>28485</v>
      </c>
      <c r="E21474" s="0" t="inlineStr">
        <is>
          <t xml:space="preserve">Mazda</t>
        </is>
      </c>
      <c r="F21474" s="0" t="s">
        <v>13</v>
      </c>
      <c r="G21474" s="0" t="s">
        <v>49</v>
      </c>
      <c r="H21474" s="5">
        <v>172254.651900</v>
      </c>
    </row>
    <row r="21475" spans="1:9">
      <c r="A21475" s="22" t="str">
        <f>HYPERLINK("https://app.vivvix.com/360/KMI/IntelliDrive/ApplUI/Pages/CreativePages/CustomReportCreativeDetail.aspx?App=23&amp;ReportView=4&amp;Qid=1711279&amp;Row=21467&amp;Col=1","No Title Assigned - #15280053667")</f>
        <v/>
      </c>
      <c r="B21475" s="0" t="s">
        <v>28486</v>
      </c>
      <c r="C21475" s="0" t="s">
        <v>28487</v>
      </c>
      <c r="D21475" s="0" t="s">
        <v>28487</v>
      </c>
      <c r="E21475" s="0" t="inlineStr">
        <is>
          <t xml:space="preserve">Mazda</t>
        </is>
      </c>
      <c r="F21475" s="0" t="s">
        <v>13</v>
      </c>
      <c r="G21475" s="0" t="s">
        <v>49</v>
      </c>
      <c r="H21475" s="5">
        <v>201.889100</v>
      </c>
    </row>
    <row r="21476" spans="1:9">
      <c r="A21476" s="22" t="str">
        <f>HYPERLINK("https://app.vivvix.com/360/KMI/IntelliDrive/ApplUI/Pages/CreativePages/CustomReportCreativeDetail.aspx?App=23&amp;ReportView=4&amp;Qid=1711279&amp;Row=21468&amp;Col=1","No Title Assigned - #15280053667")</f>
        <v/>
      </c>
      <c r="B21476" s="0" t="s">
        <v>28486</v>
      </c>
      <c r="E21476" s="0" t="inlineStr">
        <is>
          <t xml:space="preserve">Mazda</t>
        </is>
      </c>
      <c r="F21476" s="0" t="s">
        <v>13</v>
      </c>
      <c r="G21476" s="0" t="s">
        <v>49</v>
      </c>
      <c r="H21476" s="5">
        <v>420.037400</v>
      </c>
    </row>
    <row r="21477" spans="1:9">
      <c r="A21477" s="22" t="str">
        <f>HYPERLINK("https://app.vivvix.com/360/KMI/IntelliDrive/ApplUI/Pages/CreativePages/CustomReportCreativeDetail.aspx?App=23&amp;ReportView=4&amp;Qid=1711279&amp;Row=21469&amp;Col=1","No Title Assigned - #15280054868")</f>
        <v/>
      </c>
      <c r="B21477" s="0" t="s">
        <v>28488</v>
      </c>
      <c r="E21477" s="0" t="inlineStr">
        <is>
          <t xml:space="preserve">Mazda</t>
        </is>
      </c>
      <c r="F21477" s="0" t="inlineStr">
        <is>
          <t xml:space="preserve">Mazda</t>
        </is>
      </c>
      <c r="G21477" s="0" t="s">
        <v>171</v>
      </c>
      <c r="H21477" s="5">
        <v>1007.875000</v>
      </c>
    </row>
    <row r="21478" spans="1:9">
      <c r="A21478" s="22" t="str">
        <f>HYPERLINK("https://app.vivvix.com/360/KMI/IntelliDrive/ApplUI/Pages/CreativePages/CustomReportCreativeDetail.aspx?App=23&amp;ReportView=4&amp;Qid=1711279&amp;Row=21470&amp;Col=1","No Title Assigned - #15280054868")</f>
        <v/>
      </c>
      <c r="B21478" s="0" t="s">
        <v>28488</v>
      </c>
      <c r="E21478" s="0" t="inlineStr">
        <is>
          <t xml:space="preserve">Mazda</t>
        </is>
      </c>
      <c r="F21478" s="0" t="inlineStr">
        <is>
          <t xml:space="preserve">Mazda</t>
        </is>
      </c>
      <c r="G21478" s="0" t="s">
        <v>171</v>
      </c>
      <c r="H21478" s="5">
        <v>9459.540000</v>
      </c>
    </row>
    <row r="21479" spans="1:9">
      <c r="A21479" s="22" t="str">
        <f>HYPERLINK("https://app.vivvix.com/360/KMI/IntelliDrive/ApplUI/Pages/CreativePages/CustomReportCreativeDetail.aspx?App=23&amp;ReportView=4&amp;Qid=1711279&amp;Row=21471&amp;Col=1","No Title Assigned - #15280055216")</f>
        <v/>
      </c>
      <c r="B21479" s="0" t="s">
        <v>28489</v>
      </c>
      <c r="C21479" s="0" t="s">
        <v>28490</v>
      </c>
      <c r="D21479" s="0" t="s">
        <v>11708</v>
      </c>
      <c r="E21479" s="0" t="inlineStr">
        <is>
          <t xml:space="preserve">Mazda</t>
        </is>
      </c>
      <c r="F21479" s="0" t="s">
        <v>13</v>
      </c>
      <c r="G21479" s="0" t="s">
        <v>49</v>
      </c>
      <c r="H21479" s="5">
        <v>545.670400</v>
      </c>
    </row>
    <row r="21480" spans="1:9">
      <c r="A21480" s="22" t="str">
        <f>HYPERLINK("https://app.vivvix.com/360/KMI/IntelliDrive/ApplUI/Pages/CreativePages/CustomReportCreativeDetail.aspx?App=23&amp;ReportView=4&amp;Qid=1711279&amp;Row=21472&amp;Col=1","No Title Assigned - #15280055425")</f>
        <v/>
      </c>
      <c r="B21480" s="0" t="s">
        <v>28491</v>
      </c>
      <c r="C21480" s="0" t="s">
        <v>28492</v>
      </c>
      <c r="D21480" s="0" t="s">
        <v>28492</v>
      </c>
      <c r="E21480" s="0" t="inlineStr">
        <is>
          <t xml:space="preserve">Mazda</t>
        </is>
      </c>
      <c r="F21480" s="0" t="s">
        <v>13</v>
      </c>
      <c r="G21480" s="0" t="s">
        <v>49</v>
      </c>
      <c r="H21480" s="5">
        <v>70.009900</v>
      </c>
    </row>
    <row r="21481" spans="1:9">
      <c r="A21481" s="22" t="str">
        <f>HYPERLINK("https://app.vivvix.com/360/KMI/IntelliDrive/ApplUI/Pages/CreativePages/CustomReportCreativeDetail.aspx?App=23&amp;ReportView=4&amp;Qid=1711279&amp;Row=21473&amp;Col=1","No Title Assigned - #15280055426")</f>
        <v/>
      </c>
      <c r="B21481" s="0" t="s">
        <v>28493</v>
      </c>
      <c r="C21481" s="0" t="s">
        <v>28494</v>
      </c>
      <c r="D21481" s="0" t="s">
        <v>28494</v>
      </c>
      <c r="E21481" s="0" t="inlineStr">
        <is>
          <t xml:space="preserve">Mazda</t>
        </is>
      </c>
      <c r="F21481" s="0" t="s">
        <v>13</v>
      </c>
      <c r="G21481" s="0" t="s">
        <v>49</v>
      </c>
      <c r="H21481" s="5">
        <v>1206.584800</v>
      </c>
    </row>
    <row r="21482" spans="1:9">
      <c r="A21482" s="22" t="str">
        <f>HYPERLINK("https://app.vivvix.com/360/KMI/IntelliDrive/ApplUI/Pages/CreativePages/CustomReportCreativeDetail.aspx?App=23&amp;ReportView=4&amp;Qid=1711279&amp;Row=21474&amp;Col=1","No Title Assigned - #15280055428")</f>
        <v/>
      </c>
      <c r="B21482" s="0" t="s">
        <v>28495</v>
      </c>
      <c r="C21482" s="0" t="s">
        <v>28496</v>
      </c>
      <c r="D21482" s="0" t="s">
        <v>28496</v>
      </c>
      <c r="E21482" s="0" t="inlineStr">
        <is>
          <t xml:space="preserve">Mazda</t>
        </is>
      </c>
      <c r="F21482" s="0" t="s">
        <v>13</v>
      </c>
      <c r="G21482" s="0" t="s">
        <v>49</v>
      </c>
      <c r="H21482" s="5">
        <v>1599.730500</v>
      </c>
    </row>
    <row r="21483" spans="1:9">
      <c r="A21483" s="22" t="str">
        <f>HYPERLINK("https://app.vivvix.com/360/KMI/IntelliDrive/ApplUI/Pages/CreativePages/CustomReportCreativeDetail.aspx?App=23&amp;ReportView=4&amp;Qid=1711279&amp;Row=21475&amp;Col=1","No Title Assigned - #15280055558")</f>
        <v/>
      </c>
      <c r="B21483" s="0" t="s">
        <v>28497</v>
      </c>
      <c r="C21483" s="0" t="s">
        <v>28498</v>
      </c>
      <c r="D21483" s="0" t="s">
        <v>28498</v>
      </c>
      <c r="E21483" s="0" t="inlineStr">
        <is>
          <t xml:space="preserve">Mazda</t>
        </is>
      </c>
      <c r="F21483" s="0" t="s">
        <v>13</v>
      </c>
      <c r="G21483" s="0" t="s">
        <v>49</v>
      </c>
      <c r="H21483" s="5">
        <v>16836.748000</v>
      </c>
    </row>
    <row r="21484" spans="1:9">
      <c r="A21484" s="22" t="str">
        <f>HYPERLINK("https://app.vivvix.com/360/KMI/IntelliDrive/ApplUI/Pages/CreativePages/CustomReportCreativeDetail.aspx?App=23&amp;ReportView=4&amp;Qid=1711279&amp;Row=21476&amp;Col=1","No Title Assigned - #15280056035")</f>
        <v/>
      </c>
      <c r="B21484" s="0" t="s">
        <v>28499</v>
      </c>
      <c r="C21484" s="0" t="s">
        <v>28500</v>
      </c>
      <c r="D21484" s="0" t="s">
        <v>28500</v>
      </c>
      <c r="E21484" s="0" t="inlineStr">
        <is>
          <t xml:space="preserve">Mazda</t>
        </is>
      </c>
      <c r="F21484" s="0" t="s">
        <v>13</v>
      </c>
      <c r="G21484" s="0" t="s">
        <v>49</v>
      </c>
      <c r="H21484" s="5">
        <v>479.505600</v>
      </c>
    </row>
    <row r="21485" spans="1:9">
      <c r="A21485" s="22" t="str">
        <f>HYPERLINK("https://app.vivvix.com/360/KMI/IntelliDrive/ApplUI/Pages/CreativePages/CustomReportCreativeDetail.aspx?App=23&amp;ReportView=4&amp;Qid=1711279&amp;Row=21477&amp;Col=1","No Title Assigned - #15280057441")</f>
        <v/>
      </c>
      <c r="B21485" s="0" t="s">
        <v>28501</v>
      </c>
      <c r="C21485" s="0" t="s">
        <v>28502</v>
      </c>
      <c r="D21485" s="0" t="s">
        <v>10860</v>
      </c>
      <c r="E21485" s="0" t="inlineStr">
        <is>
          <t xml:space="preserve">Mazda</t>
        </is>
      </c>
      <c r="F21485" s="0" t="s">
        <v>13</v>
      </c>
      <c r="G21485" s="0" t="s">
        <v>49</v>
      </c>
      <c r="H21485" s="5">
        <v>249.234800</v>
      </c>
    </row>
    <row r="21486" spans="1:9">
      <c r="A21486" s="22" t="str">
        <f>HYPERLINK("https://app.vivvix.com/360/KMI/IntelliDrive/ApplUI/Pages/CreativePages/CustomReportCreativeDetail.aspx?App=23&amp;ReportView=4&amp;Qid=1711279&amp;Row=21478&amp;Col=1","No Title Assigned - #15280058058")</f>
        <v/>
      </c>
      <c r="B21486" s="0" t="s">
        <v>28503</v>
      </c>
      <c r="C21486" s="0" t="s">
        <v>28504</v>
      </c>
      <c r="D21486" s="0" t="s">
        <v>4335</v>
      </c>
      <c r="E21486" s="0" t="inlineStr">
        <is>
          <t xml:space="preserve">Mazda</t>
        </is>
      </c>
      <c r="F21486" s="0" t="s">
        <v>13</v>
      </c>
      <c r="G21486" s="0" t="s">
        <v>49</v>
      </c>
      <c r="H21486" s="5">
        <v>1117.440700</v>
      </c>
    </row>
    <row r="21487" spans="1:9">
      <c r="A21487" s="22" t="str">
        <f>HYPERLINK("https://app.vivvix.com/360/KMI/IntelliDrive/ApplUI/Pages/CreativePages/CustomReportCreativeDetail.aspx?App=23&amp;ReportView=4&amp;Qid=1711279&amp;Row=21479&amp;Col=1","No Title Assigned - #15280059022")</f>
        <v/>
      </c>
      <c r="B21487" s="0" t="s">
        <v>28505</v>
      </c>
      <c r="C21487" s="0" t="s">
        <v>28506</v>
      </c>
      <c r="D21487" s="0" t="s">
        <v>11420</v>
      </c>
      <c r="E21487" s="0" t="inlineStr">
        <is>
          <t xml:space="preserve">Mazda</t>
        </is>
      </c>
      <c r="F21487" s="0" t="s">
        <v>13</v>
      </c>
      <c r="G21487" s="0" t="s">
        <v>49</v>
      </c>
      <c r="H21487" s="5">
        <v>3789.251300</v>
      </c>
    </row>
    <row r="21488" spans="1:9">
      <c r="A21488" s="22" t="str">
        <f>HYPERLINK("https://app.vivvix.com/360/KMI/IntelliDrive/ApplUI/Pages/CreativePages/CustomReportCreativeDetail.aspx?App=23&amp;ReportView=4&amp;Qid=1711279&amp;Row=21480&amp;Col=1","No Title Assigned - #15280059112")</f>
        <v/>
      </c>
      <c r="B21488" s="0" t="s">
        <v>28507</v>
      </c>
      <c r="C21488" s="0" t="s">
        <v>28508</v>
      </c>
      <c r="D21488" s="0" t="s">
        <v>4774</v>
      </c>
      <c r="E21488" s="0" t="inlineStr">
        <is>
          <t xml:space="preserve">Mazda</t>
        </is>
      </c>
      <c r="F21488" s="0" t="s">
        <v>13</v>
      </c>
      <c r="G21488" s="0" t="s">
        <v>49</v>
      </c>
      <c r="H21488" s="5">
        <v>32.964700</v>
      </c>
    </row>
    <row r="21489" spans="1:9">
      <c r="A21489" s="22" t="str">
        <f>HYPERLINK("https://app.vivvix.com/360/KMI/IntelliDrive/ApplUI/Pages/CreativePages/CustomReportCreativeDetail.aspx?App=23&amp;ReportView=4&amp;Qid=1711279&amp;Row=21481&amp;Col=1","No Title Assigned - #15280059270")</f>
        <v/>
      </c>
      <c r="B21489" s="0" t="s">
        <v>28509</v>
      </c>
      <c r="C21489" s="0" t="s">
        <v>28510</v>
      </c>
      <c r="D21489" s="0" t="s">
        <v>28510</v>
      </c>
      <c r="E21489" s="0" t="inlineStr">
        <is>
          <t xml:space="preserve">Mazda</t>
        </is>
      </c>
      <c r="F21489" s="0" t="s">
        <v>13</v>
      </c>
      <c r="G21489" s="0" t="s">
        <v>49</v>
      </c>
      <c r="H21489" s="5">
        <v>551.124800</v>
      </c>
    </row>
    <row r="21490" spans="1:9">
      <c r="A21490" s="22" t="str">
        <f>HYPERLINK("https://app.vivvix.com/360/KMI/IntelliDrive/ApplUI/Pages/CreativePages/CustomReportCreativeDetail.aspx?App=23&amp;ReportView=4&amp;Qid=1711279&amp;Row=21482&amp;Col=1","No Title Assigned - #15280059887")</f>
        <v/>
      </c>
      <c r="B21490" s="0" t="s">
        <v>28511</v>
      </c>
      <c r="C21490" s="0" t="s">
        <v>28512</v>
      </c>
      <c r="D21490" s="0" t="s">
        <v>28512</v>
      </c>
      <c r="E21490" s="0" t="inlineStr">
        <is>
          <t xml:space="preserve">Mazda</t>
        </is>
      </c>
      <c r="F21490" s="0" t="s">
        <v>13</v>
      </c>
      <c r="G21490" s="0" t="s">
        <v>49</v>
      </c>
      <c r="H21490" s="5">
        <v>37.482800</v>
      </c>
    </row>
    <row r="21491" spans="1:9">
      <c r="A21491" s="22" t="str">
        <f>HYPERLINK("https://app.vivvix.com/360/KMI/IntelliDrive/ApplUI/Pages/CreativePages/CustomReportCreativeDetail.aspx?App=23&amp;ReportView=4&amp;Qid=1711279&amp;Row=21483&amp;Col=1","No Title Assigned - #15280060016")</f>
        <v/>
      </c>
      <c r="B21491" s="0" t="s">
        <v>28513</v>
      </c>
      <c r="C21491" s="0" t="s">
        <v>28514</v>
      </c>
      <c r="D21491" s="0" t="s">
        <v>28514</v>
      </c>
      <c r="E21491" s="0" t="inlineStr">
        <is>
          <t xml:space="preserve">Mazda</t>
        </is>
      </c>
      <c r="F21491" s="0" t="s">
        <v>13</v>
      </c>
      <c r="G21491" s="0" t="s">
        <v>49</v>
      </c>
      <c r="H21491" s="5">
        <v>551.725300</v>
      </c>
    </row>
    <row r="21492" spans="1:9">
      <c r="A21492" s="22" t="str">
        <f>HYPERLINK("https://app.vivvix.com/360/KMI/IntelliDrive/ApplUI/Pages/CreativePages/CustomReportCreativeDetail.aspx?App=23&amp;ReportView=4&amp;Qid=1711279&amp;Row=21484&amp;Col=1","No Title Assigned - #15280061555")</f>
        <v/>
      </c>
      <c r="B21492" s="0" t="s">
        <v>28515</v>
      </c>
      <c r="C21492" s="0" t="s">
        <v>28516</v>
      </c>
      <c r="D21492" s="0" t="s">
        <v>28516</v>
      </c>
      <c r="E21492" s="0" t="inlineStr">
        <is>
          <t xml:space="preserve">Mazda</t>
        </is>
      </c>
      <c r="F21492" s="0" t="s">
        <v>13</v>
      </c>
      <c r="G21492" s="0" t="s">
        <v>49</v>
      </c>
      <c r="H21492" s="5">
        <v>868.159000</v>
      </c>
    </row>
    <row r="21493" spans="1:9">
      <c r="A21493" s="22" t="str">
        <f>HYPERLINK("https://app.vivvix.com/360/KMI/IntelliDrive/ApplUI/Pages/CreativePages/CustomReportCreativeDetail.aspx?App=23&amp;ReportView=4&amp;Qid=1711279&amp;Row=21485&amp;Col=1","No Title Assigned - #15280062184")</f>
        <v/>
      </c>
      <c r="B21493" s="0" t="s">
        <v>28517</v>
      </c>
      <c r="C21493" s="0" t="s">
        <v>28518</v>
      </c>
      <c r="D21493" s="0" t="s">
        <v>28518</v>
      </c>
      <c r="E21493" s="0" t="inlineStr">
        <is>
          <t xml:space="preserve">Mazda</t>
        </is>
      </c>
      <c r="F21493" s="0" t="s">
        <v>13</v>
      </c>
      <c r="G21493" s="0" t="s">
        <v>49</v>
      </c>
      <c r="H21493" s="5">
        <v>1134.944900</v>
      </c>
    </row>
    <row r="21494" spans="1:9">
      <c r="A21494" s="22" t="str">
        <f>HYPERLINK("https://app.vivvix.com/360/KMI/IntelliDrive/ApplUI/Pages/CreativePages/CustomReportCreativeDetail.aspx?App=23&amp;ReportView=4&amp;Qid=1711279&amp;Row=21486&amp;Col=1","No Title Assigned - #15280062525")</f>
        <v/>
      </c>
      <c r="B21494" s="0" t="s">
        <v>28519</v>
      </c>
      <c r="C21494" s="0" t="s">
        <v>28520</v>
      </c>
      <c r="D21494" s="0" t="s">
        <v>28520</v>
      </c>
      <c r="E21494" s="0" t="inlineStr">
        <is>
          <t xml:space="preserve">Mazda</t>
        </is>
      </c>
      <c r="F21494" s="0" t="s">
        <v>13</v>
      </c>
      <c r="G21494" s="0" t="s">
        <v>49</v>
      </c>
      <c r="H21494" s="5">
        <v>41412.523600</v>
      </c>
    </row>
    <row r="21495" spans="1:9">
      <c r="A21495" s="22" t="str">
        <f>HYPERLINK("https://app.vivvix.com/360/KMI/IntelliDrive/ApplUI/Pages/CreativePages/CustomReportCreativeDetail.aspx?App=23&amp;ReportView=4&amp;Qid=1711279&amp;Row=21487&amp;Col=1","No Title Assigned - #15280062598")</f>
        <v/>
      </c>
      <c r="B21495" s="0" t="s">
        <v>28521</v>
      </c>
      <c r="C21495" s="0" t="s">
        <v>28522</v>
      </c>
      <c r="D21495" s="0" t="s">
        <v>4335</v>
      </c>
      <c r="E21495" s="0" t="inlineStr">
        <is>
          <t xml:space="preserve">Mazda</t>
        </is>
      </c>
      <c r="F21495" s="0" t="s">
        <v>13</v>
      </c>
      <c r="G21495" s="0" t="s">
        <v>49</v>
      </c>
      <c r="H21495" s="5">
        <v>129.650500</v>
      </c>
    </row>
    <row r="21496" spans="1:9">
      <c r="A21496" s="22" t="str">
        <f>HYPERLINK("https://app.vivvix.com/360/KMI/IntelliDrive/ApplUI/Pages/CreativePages/CustomReportCreativeDetail.aspx?App=23&amp;ReportView=4&amp;Qid=1711279&amp;Row=21488&amp;Col=1","No Title Assigned - #15280064110")</f>
        <v/>
      </c>
      <c r="B21496" s="0" t="s">
        <v>28523</v>
      </c>
      <c r="C21496" s="0" t="s">
        <v>28524</v>
      </c>
      <c r="D21496" s="0" t="s">
        <v>28524</v>
      </c>
      <c r="E21496" s="0" t="inlineStr">
        <is>
          <t xml:space="preserve">Mazda</t>
        </is>
      </c>
      <c r="F21496" s="0" t="s">
        <v>13</v>
      </c>
      <c r="G21496" s="0" t="s">
        <v>49</v>
      </c>
      <c r="H21496" s="5">
        <v>126.946400</v>
      </c>
    </row>
    <row r="21497" spans="1:9">
      <c r="A21497" s="22" t="str">
        <f>HYPERLINK("https://app.vivvix.com/360/KMI/IntelliDrive/ApplUI/Pages/CreativePages/CustomReportCreativeDetail.aspx?App=23&amp;ReportView=4&amp;Qid=1711279&amp;Row=21489&amp;Col=1","No Title Assigned - #15280064110")</f>
        <v/>
      </c>
      <c r="B21497" s="0" t="s">
        <v>28523</v>
      </c>
      <c r="E21497" s="0" t="inlineStr">
        <is>
          <t xml:space="preserve">Mazda</t>
        </is>
      </c>
      <c r="F21497" s="0" t="s">
        <v>13</v>
      </c>
      <c r="G21497" s="0" t="s">
        <v>49</v>
      </c>
      <c r="H21497" s="5">
        <v>41.104700</v>
      </c>
    </row>
    <row r="21498" spans="1:9">
      <c r="A21498" s="22" t="str">
        <f>HYPERLINK("https://app.vivvix.com/360/KMI/IntelliDrive/ApplUI/Pages/CreativePages/CustomReportCreativeDetail.aspx?App=23&amp;ReportView=4&amp;Qid=1711279&amp;Row=21490&amp;Col=1","No Title Assigned - #15280064312")</f>
        <v/>
      </c>
      <c r="B21498" s="0" t="s">
        <v>28525</v>
      </c>
      <c r="C21498" s="0" t="s">
        <v>28526</v>
      </c>
      <c r="D21498" s="0" t="s">
        <v>28526</v>
      </c>
      <c r="E21498" s="0" t="inlineStr">
        <is>
          <t xml:space="preserve">Mazda</t>
        </is>
      </c>
      <c r="F21498" s="0" t="s">
        <v>13</v>
      </c>
      <c r="G21498" s="0" t="s">
        <v>49</v>
      </c>
      <c r="H21498" s="5">
        <v>37.915200</v>
      </c>
    </row>
    <row r="21499" spans="1:9">
      <c r="A21499" s="22" t="str">
        <f>HYPERLINK("https://app.vivvix.com/360/KMI/IntelliDrive/ApplUI/Pages/CreativePages/CustomReportCreativeDetail.aspx?App=23&amp;ReportView=4&amp;Qid=1711279&amp;Row=21491&amp;Col=1","No Title Assigned - #15280064459")</f>
        <v/>
      </c>
      <c r="B21499" s="0" t="s">
        <v>28527</v>
      </c>
      <c r="C21499" s="0" t="s">
        <v>28528</v>
      </c>
      <c r="D21499" s="0" t="s">
        <v>28528</v>
      </c>
      <c r="E21499" s="0" t="inlineStr">
        <is>
          <t xml:space="preserve">Mazda</t>
        </is>
      </c>
      <c r="F21499" s="0" t="s">
        <v>13</v>
      </c>
      <c r="G21499" s="0" t="s">
        <v>49</v>
      </c>
      <c r="H21499" s="5">
        <v>111.777500</v>
      </c>
    </row>
    <row r="21500" spans="1:9">
      <c r="A21500" s="22" t="str">
        <f>HYPERLINK("https://app.vivvix.com/360/KMI/IntelliDrive/ApplUI/Pages/CreativePages/CustomReportCreativeDetail.aspx?App=23&amp;ReportView=4&amp;Qid=1711279&amp;Row=21492&amp;Col=1","No Title Assigned - #15280064502")</f>
        <v/>
      </c>
      <c r="B21500" s="0" t="s">
        <v>28529</v>
      </c>
      <c r="C21500" s="0" t="s">
        <v>28530</v>
      </c>
      <c r="D21500" s="0" t="s">
        <v>28530</v>
      </c>
      <c r="E21500" s="0" t="inlineStr">
        <is>
          <t xml:space="preserve">Mazda</t>
        </is>
      </c>
      <c r="F21500" s="0" t="s">
        <v>13</v>
      </c>
      <c r="G21500" s="0" t="s">
        <v>49</v>
      </c>
      <c r="H21500" s="5">
        <v>11898.595500</v>
      </c>
    </row>
    <row r="21501" spans="1:9">
      <c r="A21501" s="22" t="str">
        <f>HYPERLINK("https://app.vivvix.com/360/KMI/IntelliDrive/ApplUI/Pages/CreativePages/CustomReportCreativeDetail.aspx?App=23&amp;ReportView=4&amp;Qid=1711279&amp;Row=21493&amp;Col=1","No Title Assigned - #15280064502")</f>
        <v/>
      </c>
      <c r="B21501" s="0" t="s">
        <v>28529</v>
      </c>
      <c r="E21501" s="0" t="inlineStr">
        <is>
          <t xml:space="preserve">Mazda</t>
        </is>
      </c>
      <c r="F21501" s="0" t="s">
        <v>13</v>
      </c>
      <c r="G21501" s="0" t="s">
        <v>49</v>
      </c>
      <c r="H21501" s="5">
        <v>438.206900</v>
      </c>
    </row>
    <row r="21502" spans="1:9">
      <c r="A21502" s="22" t="str">
        <f>HYPERLINK("https://app.vivvix.com/360/KMI/IntelliDrive/ApplUI/Pages/CreativePages/CustomReportCreativeDetail.aspx?App=23&amp;ReportView=4&amp;Qid=1711279&amp;Row=21494&amp;Col=1","No Title Assigned - #15280064620")</f>
        <v/>
      </c>
      <c r="B21502" s="0" t="s">
        <v>28531</v>
      </c>
      <c r="C21502" s="0" t="s">
        <v>28532</v>
      </c>
      <c r="D21502" s="0" t="s">
        <v>28532</v>
      </c>
      <c r="E21502" s="0" t="inlineStr">
        <is>
          <t xml:space="preserve">Mazda</t>
        </is>
      </c>
      <c r="F21502" s="0" t="s">
        <v>13</v>
      </c>
      <c r="G21502" s="0" t="s">
        <v>49</v>
      </c>
      <c r="H21502" s="5">
        <v>24.308600</v>
      </c>
    </row>
    <row r="21503" spans="1:9">
      <c r="A21503" s="22" t="str">
        <f>HYPERLINK("https://app.vivvix.com/360/KMI/IntelliDrive/ApplUI/Pages/CreativePages/CustomReportCreativeDetail.aspx?App=23&amp;ReportView=4&amp;Qid=1711279&amp;Row=21495&amp;Col=1","No Title Assigned - #15280064622")</f>
        <v/>
      </c>
      <c r="B21503" s="0" t="s">
        <v>28533</v>
      </c>
      <c r="C21503" s="0" t="s">
        <v>28534</v>
      </c>
      <c r="D21503" s="0" t="s">
        <v>28534</v>
      </c>
      <c r="E21503" s="0" t="inlineStr">
        <is>
          <t xml:space="preserve">Mazda</t>
        </is>
      </c>
      <c r="F21503" s="0" t="s">
        <v>13</v>
      </c>
      <c r="G21503" s="0" t="s">
        <v>49</v>
      </c>
      <c r="H21503" s="5">
        <v>393.047900</v>
      </c>
    </row>
    <row r="21504" spans="1:9">
      <c r="A21504" s="22" t="str">
        <f>HYPERLINK("https://app.vivvix.com/360/KMI/IntelliDrive/ApplUI/Pages/CreativePages/CustomReportCreativeDetail.aspx?App=23&amp;ReportView=4&amp;Qid=1711279&amp;Row=21496&amp;Col=1","No Title Assigned - #15280065589")</f>
        <v/>
      </c>
      <c r="B21504" s="0" t="s">
        <v>28535</v>
      </c>
      <c r="C21504" s="0" t="s">
        <v>28536</v>
      </c>
      <c r="D21504" s="0" t="s">
        <v>28536</v>
      </c>
      <c r="E21504" s="0" t="inlineStr">
        <is>
          <t xml:space="preserve">Mazda</t>
        </is>
      </c>
      <c r="F21504" s="0" t="s">
        <v>13</v>
      </c>
      <c r="G21504" s="0" t="s">
        <v>49</v>
      </c>
      <c r="H21504" s="5">
        <v>86.403800</v>
      </c>
    </row>
    <row r="21505" spans="1:9">
      <c r="A21505" s="22" t="str">
        <f>HYPERLINK("https://app.vivvix.com/360/KMI/IntelliDrive/ApplUI/Pages/CreativePages/CustomReportCreativeDetail.aspx?App=23&amp;ReportView=4&amp;Qid=1711279&amp;Row=21497&amp;Col=1","No Title Assigned - #15280065697")</f>
        <v/>
      </c>
      <c r="B21505" s="0" t="s">
        <v>28537</v>
      </c>
      <c r="C21505" s="0" t="s">
        <v>28538</v>
      </c>
      <c r="D21505" s="0" t="s">
        <v>9713</v>
      </c>
      <c r="E21505" s="0" t="inlineStr">
        <is>
          <t xml:space="preserve">Mazda</t>
        </is>
      </c>
      <c r="F21505" s="0" t="s">
        <v>13</v>
      </c>
      <c r="G21505" s="0" t="s">
        <v>49</v>
      </c>
      <c r="H21505" s="5">
        <v>14.594800</v>
      </c>
    </row>
    <row r="21506" spans="1:9">
      <c r="A21506" s="22" t="str">
        <f>HYPERLINK("https://app.vivvix.com/360/KMI/IntelliDrive/ApplUI/Pages/CreativePages/CustomReportCreativeDetail.aspx?App=23&amp;ReportView=4&amp;Qid=1711279&amp;Row=21498&amp;Col=1","No Title Assigned - #15280065698")</f>
        <v/>
      </c>
      <c r="B21506" s="0" t="s">
        <v>28539</v>
      </c>
      <c r="C21506" s="0" t="s">
        <v>28540</v>
      </c>
      <c r="D21506" s="0" t="s">
        <v>10371</v>
      </c>
      <c r="E21506" s="0" t="inlineStr">
        <is>
          <t xml:space="preserve">Mazda</t>
        </is>
      </c>
      <c r="F21506" s="0" t="s">
        <v>13</v>
      </c>
      <c r="G21506" s="0" t="s">
        <v>49</v>
      </c>
      <c r="H21506" s="5">
        <v>43.784400</v>
      </c>
    </row>
    <row r="21507" spans="1:9">
      <c r="A21507" s="22" t="str">
        <f>HYPERLINK("https://app.vivvix.com/360/KMI/IntelliDrive/ApplUI/Pages/CreativePages/CustomReportCreativeDetail.aspx?App=23&amp;ReportView=4&amp;Qid=1711279&amp;Row=21499&amp;Col=1","No Title Assigned - #15280066012")</f>
        <v/>
      </c>
      <c r="B21507" s="0" t="s">
        <v>28541</v>
      </c>
      <c r="C21507" s="0" t="s">
        <v>28542</v>
      </c>
      <c r="D21507" s="0" t="s">
        <v>28542</v>
      </c>
      <c r="E21507" s="0" t="inlineStr">
        <is>
          <t xml:space="preserve">Mazda</t>
        </is>
      </c>
      <c r="F21507" s="0" t="s">
        <v>13</v>
      </c>
      <c r="G21507" s="0" t="s">
        <v>49</v>
      </c>
      <c r="H21507" s="5">
        <v>25.085000</v>
      </c>
    </row>
    <row r="21508" spans="1:9">
      <c r="A21508" s="22" t="str">
        <f>HYPERLINK("https://app.vivvix.com/360/KMI/IntelliDrive/ApplUI/Pages/CreativePages/CustomReportCreativeDetail.aspx?App=23&amp;ReportView=4&amp;Qid=1711279&amp;Row=21500&amp;Col=1","No Title Assigned - #15280067019")</f>
        <v/>
      </c>
      <c r="B21508" s="0" t="s">
        <v>28543</v>
      </c>
      <c r="C21508" s="0" t="s">
        <v>28544</v>
      </c>
      <c r="D21508" s="0" t="s">
        <v>28544</v>
      </c>
      <c r="E21508" s="0" t="inlineStr">
        <is>
          <t xml:space="preserve">Mazda</t>
        </is>
      </c>
      <c r="F21508" s="0" t="s">
        <v>13</v>
      </c>
      <c r="G21508" s="0" t="s">
        <v>49</v>
      </c>
      <c r="H21508" s="5">
        <v>219.969200</v>
      </c>
    </row>
    <row r="21509" spans="1:9">
      <c r="A21509" s="22" t="str">
        <f>HYPERLINK("https://app.vivvix.com/360/KMI/IntelliDrive/ApplUI/Pages/CreativePages/CustomReportCreativeDetail.aspx?App=23&amp;ReportView=4&amp;Qid=1711279&amp;Row=21501&amp;Col=1","No Title Assigned - #15280067403")</f>
        <v/>
      </c>
      <c r="B21509" s="0" t="s">
        <v>28545</v>
      </c>
      <c r="C21509" s="0" t="s">
        <v>28546</v>
      </c>
      <c r="D21509" s="0" t="s">
        <v>28546</v>
      </c>
      <c r="E21509" s="0" t="inlineStr">
        <is>
          <t xml:space="preserve">Mazda</t>
        </is>
      </c>
      <c r="F21509" s="0" t="s">
        <v>13</v>
      </c>
      <c r="G21509" s="0" t="s">
        <v>49</v>
      </c>
      <c r="H21509" s="5">
        <v>8.587800</v>
      </c>
    </row>
    <row r="21510" spans="1:9">
      <c r="A21510" s="22" t="str">
        <f>HYPERLINK("https://app.vivvix.com/360/KMI/IntelliDrive/ApplUI/Pages/CreativePages/CustomReportCreativeDetail.aspx?App=23&amp;ReportView=4&amp;Qid=1711279&amp;Row=21502&amp;Col=1","No Title Assigned - #15280067849")</f>
        <v/>
      </c>
      <c r="B21510" s="0" t="s">
        <v>28547</v>
      </c>
      <c r="C21510" s="0" t="s">
        <v>28548</v>
      </c>
      <c r="D21510" s="0" t="s">
        <v>28548</v>
      </c>
      <c r="E21510" s="0" t="inlineStr">
        <is>
          <t xml:space="preserve">Mazda</t>
        </is>
      </c>
      <c r="F21510" s="0" t="s">
        <v>13</v>
      </c>
      <c r="G21510" s="0" t="s">
        <v>49</v>
      </c>
      <c r="H21510" s="5">
        <v>16290.329100</v>
      </c>
    </row>
    <row r="21511" spans="1:9">
      <c r="A21511" s="22" t="str">
        <f>HYPERLINK("https://app.vivvix.com/360/KMI/IntelliDrive/ApplUI/Pages/CreativePages/CustomReportCreativeDetail.aspx?App=23&amp;ReportView=4&amp;Qid=1711279&amp;Row=21503&amp;Col=1","No Title Assigned - #15280068004")</f>
        <v/>
      </c>
      <c r="B21511" s="0" t="s">
        <v>28549</v>
      </c>
      <c r="C21511" s="0" t="s">
        <v>28550</v>
      </c>
      <c r="D21511" s="0" t="s">
        <v>28550</v>
      </c>
      <c r="E21511" s="0" t="inlineStr">
        <is>
          <t xml:space="preserve">Mazda</t>
        </is>
      </c>
      <c r="F21511" s="0" t="s">
        <v>13</v>
      </c>
      <c r="G21511" s="0" t="s">
        <v>49</v>
      </c>
      <c r="H21511" s="5">
        <v>6.885200</v>
      </c>
    </row>
    <row r="21512" spans="1:9">
      <c r="A21512" s="22" t="str">
        <f>HYPERLINK("https://app.vivvix.com/360/KMI/IntelliDrive/ApplUI/Pages/CreativePages/CustomReportCreativeDetail.aspx?App=23&amp;ReportView=4&amp;Qid=1711279&amp;Row=21504&amp;Col=1","No Title Assigned - #15280068142")</f>
        <v/>
      </c>
      <c r="B21512" s="0" t="s">
        <v>28551</v>
      </c>
      <c r="C21512" s="0" t="s">
        <v>28552</v>
      </c>
      <c r="D21512" s="0" t="s">
        <v>28552</v>
      </c>
      <c r="E21512" s="0" t="inlineStr">
        <is>
          <t xml:space="preserve">Mazda</t>
        </is>
      </c>
      <c r="F21512" s="0" t="s">
        <v>13</v>
      </c>
      <c r="G21512" s="0" t="s">
        <v>49</v>
      </c>
      <c r="H21512" s="5">
        <v>138.873200</v>
      </c>
    </row>
    <row r="21513" spans="1:9">
      <c r="A21513" s="22" t="str">
        <f>HYPERLINK("https://app.vivvix.com/360/KMI/IntelliDrive/ApplUI/Pages/CreativePages/CustomReportCreativeDetail.aspx?App=23&amp;ReportView=4&amp;Qid=1711279&amp;Row=21505&amp;Col=1","No Title Assigned - #15280068270")</f>
        <v/>
      </c>
      <c r="B21513" s="0" t="s">
        <v>28553</v>
      </c>
      <c r="C21513" s="0" t="s">
        <v>28554</v>
      </c>
      <c r="D21513" s="0" t="s">
        <v>28532</v>
      </c>
      <c r="E21513" s="0" t="inlineStr">
        <is>
          <t xml:space="preserve">Mazda</t>
        </is>
      </c>
      <c r="F21513" s="0" t="s">
        <v>13</v>
      </c>
      <c r="G21513" s="0" t="s">
        <v>49</v>
      </c>
      <c r="H21513" s="5">
        <v>239.490100</v>
      </c>
    </row>
    <row r="21514" spans="1:9">
      <c r="A21514" s="22" t="str">
        <f>HYPERLINK("https://app.vivvix.com/360/KMI/IntelliDrive/ApplUI/Pages/CreativePages/CustomReportCreativeDetail.aspx?App=23&amp;ReportView=4&amp;Qid=1711279&amp;Row=21506&amp;Col=1","No Title Assigned - #15280068303")</f>
        <v/>
      </c>
      <c r="B21514" s="0" t="s">
        <v>28555</v>
      </c>
      <c r="C21514" s="0" t="s">
        <v>28556</v>
      </c>
      <c r="D21514" s="0" t="s">
        <v>10889</v>
      </c>
      <c r="E21514" s="0" t="inlineStr">
        <is>
          <t xml:space="preserve">Mazda</t>
        </is>
      </c>
      <c r="F21514" s="0" t="s">
        <v>13</v>
      </c>
      <c r="G21514" s="0" t="s">
        <v>49</v>
      </c>
      <c r="H21514" s="5">
        <v>2.149000</v>
      </c>
    </row>
    <row r="21515" spans="1:9">
      <c r="A21515" s="22" t="str">
        <f>HYPERLINK("https://app.vivvix.com/360/KMI/IntelliDrive/ApplUI/Pages/CreativePages/CustomReportCreativeDetail.aspx?App=23&amp;ReportView=4&amp;Qid=1711279&amp;Row=21507&amp;Col=1","No Title Assigned - #15280068516")</f>
        <v/>
      </c>
      <c r="B21515" s="0" t="s">
        <v>28557</v>
      </c>
      <c r="C21515" s="0" t="s">
        <v>28558</v>
      </c>
      <c r="D21515" s="0" t="s">
        <v>28558</v>
      </c>
      <c r="E21515" s="0" t="inlineStr">
        <is>
          <t xml:space="preserve">Mazda</t>
        </is>
      </c>
      <c r="F21515" s="0" t="s">
        <v>13</v>
      </c>
      <c r="G21515" s="0" t="s">
        <v>49</v>
      </c>
      <c r="H21515" s="5">
        <v>72.017600</v>
      </c>
    </row>
    <row r="21516" spans="1:9">
      <c r="A21516" s="22" t="str">
        <f>HYPERLINK("https://app.vivvix.com/360/KMI/IntelliDrive/ApplUI/Pages/CreativePages/CustomReportCreativeDetail.aspx?App=23&amp;ReportView=4&amp;Qid=1711279&amp;Row=21508&amp;Col=1","No Title Assigned - #15280068713")</f>
        <v/>
      </c>
      <c r="B21516" s="0" t="s">
        <v>28559</v>
      </c>
      <c r="E21516" s="0" t="inlineStr">
        <is>
          <t xml:space="preserve">Mazda</t>
        </is>
      </c>
      <c r="F21516" s="0" t="inlineStr">
        <is>
          <t xml:space="preserve">Mazda</t>
        </is>
      </c>
      <c r="G21516" s="0" t="s">
        <v>171</v>
      </c>
      <c r="H21516" s="5">
        <v>118.350800</v>
      </c>
    </row>
    <row r="21517" spans="1:9">
      <c r="A21517" s="22" t="str">
        <f>HYPERLINK("https://app.vivvix.com/360/KMI/IntelliDrive/ApplUI/Pages/CreativePages/CustomReportCreativeDetail.aspx?App=23&amp;ReportView=4&amp;Qid=1711279&amp;Row=21509&amp;Col=1","No Title Assigned - #15280068862")</f>
        <v/>
      </c>
      <c r="B21517" s="0" t="s">
        <v>28560</v>
      </c>
      <c r="E21517" s="0" t="inlineStr">
        <is>
          <t xml:space="preserve">Mazda</t>
        </is>
      </c>
      <c r="F21517" s="0" t="inlineStr">
        <is>
          <t xml:space="preserve">Mazda</t>
        </is>
      </c>
      <c r="G21517" s="0" t="s">
        <v>171</v>
      </c>
      <c r="H21517" s="5">
        <v>384.102300</v>
      </c>
    </row>
    <row r="21518" spans="1:9">
      <c r="A21518" s="22" t="str">
        <f>HYPERLINK("https://app.vivvix.com/360/KMI/IntelliDrive/ApplUI/Pages/CreativePages/CustomReportCreativeDetail.aspx?App=23&amp;ReportView=4&amp;Qid=1711279&amp;Row=21510&amp;Col=1","No Title Assigned - #15280069068")</f>
        <v/>
      </c>
      <c r="B21518" s="0" t="s">
        <v>28561</v>
      </c>
      <c r="E21518" s="0" t="inlineStr">
        <is>
          <t xml:space="preserve">Mazda</t>
        </is>
      </c>
      <c r="F21518" s="0" t="inlineStr">
        <is>
          <t xml:space="preserve">Mazda</t>
        </is>
      </c>
      <c r="G21518" s="0" t="s">
        <v>171</v>
      </c>
      <c r="H21518" s="5">
        <v>764.187800</v>
      </c>
    </row>
    <row r="21519" spans="1:9">
      <c r="A21519" s="22" t="str">
        <f>HYPERLINK("https://app.vivvix.com/360/KMI/IntelliDrive/ApplUI/Pages/CreativePages/CustomReportCreativeDetail.aspx?App=23&amp;ReportView=4&amp;Qid=1711279&amp;Row=21511&amp;Col=1","No Title Assigned - #15280069107")</f>
        <v/>
      </c>
      <c r="B21519" s="0" t="s">
        <v>28562</v>
      </c>
      <c r="E21519" s="0" t="inlineStr">
        <is>
          <t xml:space="preserve">Mazda</t>
        </is>
      </c>
      <c r="F21519" s="0" t="inlineStr">
        <is>
          <t xml:space="preserve">Mazda</t>
        </is>
      </c>
      <c r="G21519" s="0" t="s">
        <v>171</v>
      </c>
      <c r="H21519" s="5">
        <v>23.461900</v>
      </c>
    </row>
    <row r="21520" spans="1:9">
      <c r="A21520" s="22" t="str">
        <f>HYPERLINK("https://app.vivvix.com/360/KMI/IntelliDrive/ApplUI/Pages/CreativePages/CustomReportCreativeDetail.aspx?App=23&amp;ReportView=4&amp;Qid=1711279&amp;Row=21512&amp;Col=1","No Title Assigned - #15280069586")</f>
        <v/>
      </c>
      <c r="B21520" s="0" t="s">
        <v>28563</v>
      </c>
      <c r="E21520" s="0" t="inlineStr">
        <is>
          <t xml:space="preserve">Mazda</t>
        </is>
      </c>
      <c r="F21520" s="0" t="inlineStr">
        <is>
          <t xml:space="preserve">Mazda</t>
        </is>
      </c>
      <c r="G21520" s="0" t="s">
        <v>171</v>
      </c>
      <c r="H21520" s="5">
        <v>164.038200</v>
      </c>
    </row>
    <row r="21521" spans="1:9">
      <c r="A21521" s="22" t="str">
        <f>HYPERLINK("https://app.vivvix.com/360/KMI/IntelliDrive/ApplUI/Pages/CreativePages/CustomReportCreativeDetail.aspx?App=23&amp;ReportView=4&amp;Qid=1711279&amp;Row=21513&amp;Col=1","No Title Assigned - #15280069773")</f>
        <v/>
      </c>
      <c r="B21521" s="0" t="s">
        <v>28564</v>
      </c>
      <c r="E21521" s="0" t="inlineStr">
        <is>
          <t xml:space="preserve">Mazda</t>
        </is>
      </c>
      <c r="F21521" s="0" t="inlineStr">
        <is>
          <t xml:space="preserve">Mazda</t>
        </is>
      </c>
      <c r="G21521" s="0" t="s">
        <v>171</v>
      </c>
      <c r="H21521" s="5">
        <v>37.508600</v>
      </c>
    </row>
    <row r="21522" spans="1:9">
      <c r="A21522" s="22" t="str">
        <f>HYPERLINK("https://app.vivvix.com/360/KMI/IntelliDrive/ApplUI/Pages/CreativePages/CustomReportCreativeDetail.aspx?App=23&amp;ReportView=4&amp;Qid=1711279&amp;Row=21514&amp;Col=1","No Title Assigned - #15280070813")</f>
        <v/>
      </c>
      <c r="B21522" s="0" t="s">
        <v>28565</v>
      </c>
      <c r="E21522" s="0" t="inlineStr">
        <is>
          <t xml:space="preserve">Mazda</t>
        </is>
      </c>
      <c r="F21522" s="0" t="inlineStr">
        <is>
          <t xml:space="preserve">Mazda</t>
        </is>
      </c>
      <c r="G21522" s="0" t="s">
        <v>171</v>
      </c>
      <c r="H21522" s="5">
        <v>1858.306000</v>
      </c>
    </row>
    <row r="21523" spans="1:9">
      <c r="A21523" s="22" t="str">
        <f>HYPERLINK("https://app.vivvix.com/360/KMI/IntelliDrive/ApplUI/Pages/CreativePages/CustomReportCreativeDetail.aspx?App=23&amp;ReportView=4&amp;Qid=1711279&amp;Row=21515&amp;Col=1","No Title Assigned - #15280072250")</f>
        <v/>
      </c>
      <c r="B21523" s="0" t="s">
        <v>28566</v>
      </c>
      <c r="C21523" s="0" t="s">
        <v>28567</v>
      </c>
      <c r="D21523" s="0" t="s">
        <v>10101</v>
      </c>
      <c r="E21523" s="0" t="inlineStr">
        <is>
          <t xml:space="preserve">Mazda</t>
        </is>
      </c>
      <c r="F21523" s="0" t="s">
        <v>13</v>
      </c>
      <c r="G21523" s="0" t="s">
        <v>49</v>
      </c>
      <c r="H21523" s="5">
        <v>88.222200</v>
      </c>
    </row>
    <row r="21524" spans="1:9">
      <c r="A21524" s="22" t="str">
        <f>HYPERLINK("https://app.vivvix.com/360/KMI/IntelliDrive/ApplUI/Pages/CreativePages/CustomReportCreativeDetail.aspx?App=23&amp;ReportView=4&amp;Qid=1711279&amp;Row=21516&amp;Col=1","No Title Assigned - #15280072420")</f>
        <v/>
      </c>
      <c r="B21524" s="0" t="s">
        <v>28568</v>
      </c>
      <c r="E21524" s="0" t="inlineStr">
        <is>
          <t xml:space="preserve">Mazda</t>
        </is>
      </c>
      <c r="F21524" s="0" t="inlineStr">
        <is>
          <t xml:space="preserve">Mazda</t>
        </is>
      </c>
      <c r="G21524" s="0" t="s">
        <v>171</v>
      </c>
      <c r="H21524" s="5">
        <v>52.070000</v>
      </c>
    </row>
    <row r="21525" spans="1:9">
      <c r="A21525" s="22" t="str">
        <f>HYPERLINK("https://app.vivvix.com/360/KMI/IntelliDrive/ApplUI/Pages/CreativePages/CustomReportCreativeDetail.aspx?App=23&amp;ReportView=4&amp;Qid=1711279&amp;Row=21517&amp;Col=1","No Title Assigned - #15280072796")</f>
        <v/>
      </c>
      <c r="B21525" s="0" t="s">
        <v>28569</v>
      </c>
      <c r="E21525" s="0" t="inlineStr">
        <is>
          <t xml:space="preserve">Mazda</t>
        </is>
      </c>
      <c r="F21525" s="0" t="inlineStr">
        <is>
          <t xml:space="preserve">Mazda</t>
        </is>
      </c>
      <c r="G21525" s="0" t="s">
        <v>171</v>
      </c>
      <c r="H21525" s="5">
        <v>171.875500</v>
      </c>
    </row>
    <row r="21526" spans="1:9">
      <c r="A21526" s="22" t="str">
        <f>HYPERLINK("https://app.vivvix.com/360/KMI/IntelliDrive/ApplUI/Pages/CreativePages/CustomReportCreativeDetail.aspx?App=23&amp;ReportView=4&amp;Qid=1711279&amp;Row=21518&amp;Col=1","No Title Assigned - #15280072816")</f>
        <v/>
      </c>
      <c r="B21526" s="0" t="s">
        <v>28570</v>
      </c>
      <c r="C21526" s="0" t="s">
        <v>28571</v>
      </c>
      <c r="D21526" s="0" t="s">
        <v>28571</v>
      </c>
      <c r="E21526" s="0" t="inlineStr">
        <is>
          <t xml:space="preserve">Mazda</t>
        </is>
      </c>
      <c r="F21526" s="0" t="inlineStr">
        <is>
          <t xml:space="preserve">Mazda</t>
        </is>
      </c>
      <c r="G21526" s="0" t="s">
        <v>171</v>
      </c>
      <c r="H21526" s="5">
        <v>102.205200</v>
      </c>
    </row>
    <row r="21527" spans="1:9">
      <c r="A21527" s="22" t="str">
        <f>HYPERLINK("https://app.vivvix.com/360/KMI/IntelliDrive/ApplUI/Pages/CreativePages/CustomReportCreativeDetail.aspx?App=23&amp;ReportView=4&amp;Qid=1711279&amp;Row=21519&amp;Col=1","No Title Assigned - #15280072847")</f>
        <v/>
      </c>
      <c r="B21527" s="0" t="s">
        <v>28572</v>
      </c>
      <c r="E21527" s="0" t="inlineStr">
        <is>
          <t xml:space="preserve">Mazda</t>
        </is>
      </c>
      <c r="F21527" s="0" t="inlineStr">
        <is>
          <t xml:space="preserve">Mazda</t>
        </is>
      </c>
      <c r="G21527" s="0" t="s">
        <v>171</v>
      </c>
      <c r="H21527" s="5">
        <v>744.430300</v>
      </c>
    </row>
    <row r="21528" spans="1:9">
      <c r="A21528" s="22" t="str">
        <f>HYPERLINK("https://app.vivvix.com/360/KMI/IntelliDrive/ApplUI/Pages/CreativePages/CustomReportCreativeDetail.aspx?App=23&amp;ReportView=4&amp;Qid=1711279&amp;Row=21520&amp;Col=1","No Title Assigned - #15280073206")</f>
        <v/>
      </c>
      <c r="B21528" s="0" t="s">
        <v>28573</v>
      </c>
      <c r="E21528" s="0" t="inlineStr">
        <is>
          <t xml:space="preserve">Mazda</t>
        </is>
      </c>
      <c r="F21528" s="0" t="inlineStr">
        <is>
          <t xml:space="preserve">Mazda</t>
        </is>
      </c>
      <c r="G21528" s="0" t="s">
        <v>171</v>
      </c>
      <c r="H21528" s="5">
        <v>21.646900</v>
      </c>
    </row>
    <row r="21529" spans="1:9">
      <c r="A21529" s="22" t="str">
        <f>HYPERLINK("https://app.vivvix.com/360/KMI/IntelliDrive/ApplUI/Pages/CreativePages/CustomReportCreativeDetail.aspx?App=23&amp;ReportView=4&amp;Qid=1711279&amp;Row=21521&amp;Col=1","No Title Assigned - #15280073528")</f>
        <v/>
      </c>
      <c r="B21529" s="0" t="s">
        <v>28574</v>
      </c>
      <c r="E21529" s="0" t="inlineStr">
        <is>
          <t xml:space="preserve">Mazda</t>
        </is>
      </c>
      <c r="F21529" s="0" t="inlineStr">
        <is>
          <t xml:space="preserve">Mazda</t>
        </is>
      </c>
      <c r="G21529" s="0" t="s">
        <v>171</v>
      </c>
      <c r="H21529" s="5">
        <v>120.172500</v>
      </c>
    </row>
    <row r="21530" spans="1:9">
      <c r="A21530" s="22" t="str">
        <f>HYPERLINK("https://app.vivvix.com/360/KMI/IntelliDrive/ApplUI/Pages/CreativePages/CustomReportCreativeDetail.aspx?App=23&amp;ReportView=4&amp;Qid=1711279&amp;Row=21522&amp;Col=1","No Title Assigned - #15280073586")</f>
        <v/>
      </c>
      <c r="B21530" s="0" t="s">
        <v>28575</v>
      </c>
      <c r="C21530" s="0" t="s">
        <v>28576</v>
      </c>
      <c r="D21530" s="0" t="s">
        <v>28576</v>
      </c>
      <c r="E21530" s="0" t="inlineStr">
        <is>
          <t xml:space="preserve">Mazda</t>
        </is>
      </c>
      <c r="F21530" s="0" t="inlineStr">
        <is>
          <t xml:space="preserve">Mazda</t>
        </is>
      </c>
      <c r="G21530" s="0" t="s">
        <v>171</v>
      </c>
      <c r="H21530" s="5">
        <v>137.171400</v>
      </c>
    </row>
    <row r="21531" spans="1:9">
      <c r="A21531" s="22" t="str">
        <f>HYPERLINK("https://app.vivvix.com/360/KMI/IntelliDrive/ApplUI/Pages/CreativePages/CustomReportCreativeDetail.aspx?App=23&amp;ReportView=4&amp;Qid=1711279&amp;Row=21523&amp;Col=1","No Title Assigned - #15280073637")</f>
        <v/>
      </c>
      <c r="B21531" s="0" t="s">
        <v>28577</v>
      </c>
      <c r="E21531" s="0" t="inlineStr">
        <is>
          <t xml:space="preserve">Mazda</t>
        </is>
      </c>
      <c r="F21531" s="0" t="inlineStr">
        <is>
          <t xml:space="preserve">Mazda</t>
        </is>
      </c>
      <c r="G21531" s="0" t="s">
        <v>171</v>
      </c>
      <c r="H21531" s="5">
        <v>550.505400</v>
      </c>
    </row>
    <row r="21532" spans="1:9">
      <c r="A21532" s="22" t="str">
        <f>HYPERLINK("https://app.vivvix.com/360/KMI/IntelliDrive/ApplUI/Pages/CreativePages/CustomReportCreativeDetail.aspx?App=23&amp;ReportView=4&amp;Qid=1711279&amp;Row=21524&amp;Col=1","No Title Assigned - #15280073637")</f>
        <v/>
      </c>
      <c r="B21532" s="0" t="s">
        <v>28577</v>
      </c>
      <c r="E21532" s="0" t="inlineStr">
        <is>
          <t xml:space="preserve">Mazda</t>
        </is>
      </c>
      <c r="F21532" s="0" t="inlineStr">
        <is>
          <t xml:space="preserve">Mazda</t>
        </is>
      </c>
      <c r="G21532" s="0" t="s">
        <v>171</v>
      </c>
      <c r="H21532" s="5">
        <v>1032.732800</v>
      </c>
    </row>
    <row r="21533" spans="1:9">
      <c r="A21533" s="22" t="str">
        <f>HYPERLINK("https://app.vivvix.com/360/KMI/IntelliDrive/ApplUI/Pages/CreativePages/CustomReportCreativeDetail.aspx?App=23&amp;ReportView=4&amp;Qid=1711279&amp;Row=21525&amp;Col=1","No Title Assigned - #15280074539")</f>
        <v/>
      </c>
      <c r="B21533" s="0" t="s">
        <v>28578</v>
      </c>
      <c r="E21533" s="0" t="inlineStr">
        <is>
          <t xml:space="preserve">Mazda</t>
        </is>
      </c>
      <c r="F21533" s="0" t="inlineStr">
        <is>
          <t xml:space="preserve">Mazda</t>
        </is>
      </c>
      <c r="G21533" s="0" t="s">
        <v>171</v>
      </c>
      <c r="H21533" s="5">
        <v>318.115000</v>
      </c>
    </row>
    <row r="21534" spans="1:9">
      <c r="A21534" s="22" t="str">
        <f>HYPERLINK("https://app.vivvix.com/360/KMI/IntelliDrive/ApplUI/Pages/CreativePages/CustomReportCreativeDetail.aspx?App=23&amp;ReportView=4&amp;Qid=1711279&amp;Row=21526&amp;Col=1","No Title Assigned - #15280074642")</f>
        <v/>
      </c>
      <c r="B21534" s="0" t="s">
        <v>28579</v>
      </c>
      <c r="E21534" s="0" t="inlineStr">
        <is>
          <t xml:space="preserve">Mazda</t>
        </is>
      </c>
      <c r="F21534" s="0" t="inlineStr">
        <is>
          <t xml:space="preserve">Mazda</t>
        </is>
      </c>
      <c r="G21534" s="0" t="s">
        <v>171</v>
      </c>
      <c r="H21534" s="5">
        <v>63.908500</v>
      </c>
    </row>
    <row r="21535" spans="1:9">
      <c r="A21535" s="22" t="str">
        <f>HYPERLINK("https://app.vivvix.com/360/KMI/IntelliDrive/ApplUI/Pages/CreativePages/CustomReportCreativeDetail.aspx?App=23&amp;ReportView=4&amp;Qid=1711279&amp;Row=21527&amp;Col=1","No Title Assigned - #15280074679")</f>
        <v/>
      </c>
      <c r="B21535" s="0" t="s">
        <v>28580</v>
      </c>
      <c r="E21535" s="0" t="inlineStr">
        <is>
          <t xml:space="preserve">Mazda</t>
        </is>
      </c>
      <c r="F21535" s="0" t="inlineStr">
        <is>
          <t xml:space="preserve">Mazda</t>
        </is>
      </c>
      <c r="G21535" s="0" t="s">
        <v>171</v>
      </c>
      <c r="H21535" s="5">
        <v>2013.813800</v>
      </c>
    </row>
    <row r="21536" spans="1:9">
      <c r="A21536" s="22" t="str">
        <f>HYPERLINK("https://app.vivvix.com/360/KMI/IntelliDrive/ApplUI/Pages/CreativePages/CustomReportCreativeDetail.aspx?App=23&amp;ReportView=4&amp;Qid=1711279&amp;Row=21528&amp;Col=1","No Title Assigned - #15280074852")</f>
        <v/>
      </c>
      <c r="B21536" s="0" t="s">
        <v>28581</v>
      </c>
      <c r="E21536" s="0" t="inlineStr">
        <is>
          <t xml:space="preserve">Mazda</t>
        </is>
      </c>
      <c r="F21536" s="0" t="inlineStr">
        <is>
          <t xml:space="preserve">Mazda</t>
        </is>
      </c>
      <c r="G21536" s="0" t="s">
        <v>171</v>
      </c>
      <c r="H21536" s="5">
        <v>52.070000</v>
      </c>
    </row>
    <row r="21537" spans="1:9">
      <c r="A21537" s="22" t="str">
        <f>HYPERLINK("https://app.vivvix.com/360/KMI/IntelliDrive/ApplUI/Pages/CreativePages/CustomReportCreativeDetail.aspx?App=23&amp;ReportView=4&amp;Qid=1711279&amp;Row=21529&amp;Col=1","No Title Assigned - #15280074918")</f>
        <v/>
      </c>
      <c r="B21537" s="0" t="s">
        <v>28582</v>
      </c>
      <c r="E21537" s="0" t="inlineStr">
        <is>
          <t xml:space="preserve">Mazda</t>
        </is>
      </c>
      <c r="F21537" s="0" t="inlineStr">
        <is>
          <t xml:space="preserve">Mazda</t>
        </is>
      </c>
      <c r="G21537" s="0" t="s">
        <v>171</v>
      </c>
      <c r="H21537" s="5">
        <v>152.123000</v>
      </c>
    </row>
    <row r="21538" spans="1:9">
      <c r="A21538" s="22" t="str">
        <f>HYPERLINK("https://app.vivvix.com/360/KMI/IntelliDrive/ApplUI/Pages/CreativePages/CustomReportCreativeDetail.aspx?App=23&amp;ReportView=4&amp;Qid=1711279&amp;Row=21530&amp;Col=1","No Title Assigned - #15280075537")</f>
        <v/>
      </c>
      <c r="B21538" s="0" t="s">
        <v>28583</v>
      </c>
      <c r="E21538" s="0" t="inlineStr">
        <is>
          <t xml:space="preserve">Mazda</t>
        </is>
      </c>
      <c r="F21538" s="0" t="inlineStr">
        <is>
          <t xml:space="preserve">Mazda</t>
        </is>
      </c>
      <c r="G21538" s="0" t="s">
        <v>171</v>
      </c>
      <c r="H21538" s="5">
        <v>134.969400</v>
      </c>
    </row>
    <row r="21539" spans="1:9">
      <c r="A21539" s="22" t="str">
        <f>HYPERLINK("https://app.vivvix.com/360/KMI/IntelliDrive/ApplUI/Pages/CreativePages/CustomReportCreativeDetail.aspx?App=23&amp;ReportView=4&amp;Qid=1711279&amp;Row=21531&amp;Col=1","No Title Assigned - #15280075684")</f>
        <v/>
      </c>
      <c r="B21539" s="0" t="s">
        <v>28584</v>
      </c>
      <c r="E21539" s="0" t="inlineStr">
        <is>
          <t xml:space="preserve">Mazda</t>
        </is>
      </c>
      <c r="F21539" s="0" t="inlineStr">
        <is>
          <t xml:space="preserve">Mazda</t>
        </is>
      </c>
      <c r="G21539" s="0" t="s">
        <v>171</v>
      </c>
      <c r="H21539" s="5">
        <v>21.734200</v>
      </c>
    </row>
    <row r="21540" spans="1:9">
      <c r="A21540" s="22" t="str">
        <f>HYPERLINK("https://app.vivvix.com/360/KMI/IntelliDrive/ApplUI/Pages/CreativePages/CustomReportCreativeDetail.aspx?App=23&amp;ReportView=4&amp;Qid=1711279&amp;Row=21532&amp;Col=1","No Title Assigned - #15280076069")</f>
        <v/>
      </c>
      <c r="B21540" s="0" t="s">
        <v>28585</v>
      </c>
      <c r="E21540" s="0" t="inlineStr">
        <is>
          <t xml:space="preserve">Mazda</t>
        </is>
      </c>
      <c r="F21540" s="0" t="inlineStr">
        <is>
          <t xml:space="preserve">Mazda</t>
        </is>
      </c>
      <c r="G21540" s="0" t="s">
        <v>171</v>
      </c>
      <c r="H21540" s="5">
        <v>16.693600</v>
      </c>
    </row>
    <row r="21541" spans="1:9">
      <c r="A21541" s="22" t="str">
        <f>HYPERLINK("https://app.vivvix.com/360/KMI/IntelliDrive/ApplUI/Pages/CreativePages/CustomReportCreativeDetail.aspx?App=23&amp;ReportView=4&amp;Qid=1711279&amp;Row=21533&amp;Col=1","No Title Assigned - #15280076069")</f>
        <v/>
      </c>
      <c r="B21541" s="0" t="s">
        <v>28585</v>
      </c>
      <c r="E21541" s="0" t="inlineStr">
        <is>
          <t xml:space="preserve">Mazda</t>
        </is>
      </c>
      <c r="F21541" s="0" t="inlineStr">
        <is>
          <t xml:space="preserve">Mazda</t>
        </is>
      </c>
      <c r="G21541" s="0" t="s">
        <v>171</v>
      </c>
      <c r="H21541" s="5">
        <v>231.515400</v>
      </c>
    </row>
    <row r="21542" spans="1:9">
      <c r="A21542" s="22" t="str">
        <f>HYPERLINK("https://app.vivvix.com/360/KMI/IntelliDrive/ApplUI/Pages/CreativePages/CustomReportCreativeDetail.aspx?App=23&amp;ReportView=4&amp;Qid=1711279&amp;Row=21534&amp;Col=1","No Title Assigned - #15280076159")</f>
        <v/>
      </c>
      <c r="B21542" s="0" t="s">
        <v>28586</v>
      </c>
      <c r="E21542" s="0" t="inlineStr">
        <is>
          <t xml:space="preserve">Mazda</t>
        </is>
      </c>
      <c r="F21542" s="0" t="inlineStr">
        <is>
          <t xml:space="preserve">Mazda</t>
        </is>
      </c>
      <c r="G21542" s="0" t="s">
        <v>171</v>
      </c>
      <c r="H21542" s="5">
        <v>3686.455100</v>
      </c>
    </row>
    <row r="21543" spans="1:9">
      <c r="A21543" s="22" t="str">
        <f>HYPERLINK("https://app.vivvix.com/360/KMI/IntelliDrive/ApplUI/Pages/CreativePages/CustomReportCreativeDetail.aspx?App=23&amp;ReportView=4&amp;Qid=1711279&amp;Row=21535&amp;Col=1","No Title Assigned - #15280077458")</f>
        <v/>
      </c>
      <c r="B21543" s="0" t="s">
        <v>28587</v>
      </c>
      <c r="E21543" s="0" t="inlineStr">
        <is>
          <t xml:space="preserve">Mazda</t>
        </is>
      </c>
      <c r="F21543" s="0" t="inlineStr">
        <is>
          <t xml:space="preserve">Mazda</t>
        </is>
      </c>
      <c r="G21543" s="0" t="s">
        <v>171</v>
      </c>
      <c r="H21543" s="5">
        <v>5010.305200</v>
      </c>
    </row>
    <row r="21544" spans="1:9">
      <c r="A21544" s="22" t="str">
        <f>HYPERLINK("https://app.vivvix.com/360/KMI/IntelliDrive/ApplUI/Pages/CreativePages/CustomReportCreativeDetail.aspx?App=23&amp;ReportView=4&amp;Qid=1711279&amp;Row=21536&amp;Col=1","No Title Assigned - #15280077565")</f>
        <v/>
      </c>
      <c r="B21544" s="0" t="s">
        <v>28588</v>
      </c>
      <c r="E21544" s="0" t="inlineStr">
        <is>
          <t xml:space="preserve">Mazda</t>
        </is>
      </c>
      <c r="F21544" s="0" t="inlineStr">
        <is>
          <t xml:space="preserve">Mazda</t>
        </is>
      </c>
      <c r="G21544" s="0" t="s">
        <v>171</v>
      </c>
      <c r="H21544" s="5">
        <v>1338.911000</v>
      </c>
    </row>
    <row r="21545" spans="1:9">
      <c r="A21545" s="22" t="str">
        <f>HYPERLINK("https://app.vivvix.com/360/KMI/IntelliDrive/ApplUI/Pages/CreativePages/CustomReportCreativeDetail.aspx?App=23&amp;ReportView=4&amp;Qid=1711279&amp;Row=21537&amp;Col=1","No Title Assigned - #15280077770")</f>
        <v/>
      </c>
      <c r="B21545" s="0" t="s">
        <v>28589</v>
      </c>
      <c r="E21545" s="0" t="inlineStr">
        <is>
          <t xml:space="preserve">Mazda</t>
        </is>
      </c>
      <c r="F21545" s="0" t="inlineStr">
        <is>
          <t xml:space="preserve">Mazda</t>
        </is>
      </c>
      <c r="G21545" s="0" t="s">
        <v>171</v>
      </c>
      <c r="H21545" s="5">
        <v>221.715100</v>
      </c>
    </row>
    <row r="21546" spans="1:9">
      <c r="A21546" s="22" t="str">
        <f>HYPERLINK("https://app.vivvix.com/360/KMI/IntelliDrive/ApplUI/Pages/CreativePages/CustomReportCreativeDetail.aspx?App=23&amp;ReportView=4&amp;Qid=1711279&amp;Row=21538&amp;Col=1","No Title Assigned - #15280078643")</f>
        <v/>
      </c>
      <c r="B21546" s="0" t="s">
        <v>28590</v>
      </c>
      <c r="E21546" s="0" t="inlineStr">
        <is>
          <t xml:space="preserve">Mazda</t>
        </is>
      </c>
      <c r="F21546" s="0" t="inlineStr">
        <is>
          <t xml:space="preserve">Mazda</t>
        </is>
      </c>
      <c r="G21546" s="0" t="s">
        <v>171</v>
      </c>
      <c r="H21546" s="5">
        <v>44.532500</v>
      </c>
    </row>
    <row r="21547" spans="1:9">
      <c r="A21547" s="22" t="str">
        <f>HYPERLINK("https://app.vivvix.com/360/KMI/IntelliDrive/ApplUI/Pages/CreativePages/CustomReportCreativeDetail.aspx?App=23&amp;ReportView=4&amp;Qid=1711279&amp;Row=21539&amp;Col=1","No Title Assigned - #15280078656")</f>
        <v/>
      </c>
      <c r="B21547" s="0" t="s">
        <v>28591</v>
      </c>
      <c r="E21547" s="0" t="inlineStr">
        <is>
          <t xml:space="preserve">Mazda</t>
        </is>
      </c>
      <c r="F21547" s="0" t="inlineStr">
        <is>
          <t xml:space="preserve">Mazda</t>
        </is>
      </c>
      <c r="G21547" s="0" t="s">
        <v>171</v>
      </c>
      <c r="H21547" s="5">
        <v>305.218100</v>
      </c>
    </row>
    <row r="21548" spans="1:9">
      <c r="A21548" s="22" t="str">
        <f>HYPERLINK("https://app.vivvix.com/360/KMI/IntelliDrive/ApplUI/Pages/CreativePages/CustomReportCreativeDetail.aspx?App=23&amp;ReportView=4&amp;Qid=1711279&amp;Row=21540&amp;Col=1","No Title Assigned - #15280079978")</f>
        <v/>
      </c>
      <c r="B21548" s="0" t="s">
        <v>28592</v>
      </c>
      <c r="E21548" s="0" t="inlineStr">
        <is>
          <t xml:space="preserve">Mazda</t>
        </is>
      </c>
      <c r="F21548" s="0" t="inlineStr">
        <is>
          <t xml:space="preserve">Mazda</t>
        </is>
      </c>
      <c r="G21548" s="0" t="s">
        <v>171</v>
      </c>
      <c r="H21548" s="5">
        <v>9541.768600</v>
      </c>
    </row>
    <row r="21549" spans="1:9">
      <c r="A21549" s="22" t="str">
        <f>HYPERLINK("https://app.vivvix.com/360/KMI/IntelliDrive/ApplUI/Pages/CreativePages/CustomReportCreativeDetail.aspx?App=23&amp;ReportView=4&amp;Qid=1711279&amp;Row=21541&amp;Col=1","No Title Assigned - #15280084458")</f>
        <v/>
      </c>
      <c r="B21549" s="0" t="s">
        <v>28593</v>
      </c>
      <c r="E21549" s="0" t="inlineStr">
        <is>
          <t xml:space="preserve">Mazda</t>
        </is>
      </c>
      <c r="F21549" s="0" t="inlineStr">
        <is>
          <t xml:space="preserve">Mazda</t>
        </is>
      </c>
      <c r="G21549" s="0" t="s">
        <v>171</v>
      </c>
      <c r="H21549" s="5">
        <v>52.070000</v>
      </c>
    </row>
    <row r="21550" spans="1:9">
      <c r="A21550" s="22" t="str">
        <f>HYPERLINK("https://app.vivvix.com/360/KMI/IntelliDrive/ApplUI/Pages/CreativePages/CustomReportCreativeDetail.aspx?App=23&amp;ReportView=4&amp;Qid=1711279&amp;Row=21542&amp;Col=1","No Title Assigned - #15280091507")</f>
        <v/>
      </c>
      <c r="B21550" s="0" t="s">
        <v>28594</v>
      </c>
      <c r="E21550" s="0" t="inlineStr">
        <is>
          <t xml:space="preserve">Mazda</t>
        </is>
      </c>
      <c r="F21550" s="0" t="inlineStr">
        <is>
          <t xml:space="preserve">Mazda</t>
        </is>
      </c>
      <c r="G21550" s="0" t="s">
        <v>171</v>
      </c>
      <c r="H21550" s="5">
        <v>470.399000</v>
      </c>
    </row>
    <row r="21551" spans="1:9">
      <c r="A21551" s="22" t="str">
        <f>HYPERLINK("https://app.vivvix.com/360/KMI/IntelliDrive/ApplUI/Pages/CreativePages/CustomReportCreativeDetail.aspx?App=23&amp;ReportView=4&amp;Qid=1711279&amp;Row=21543&amp;Col=1","No Title Assigned - #15280091507")</f>
        <v/>
      </c>
      <c r="B21551" s="0" t="s">
        <v>28594</v>
      </c>
      <c r="E21551" s="0" t="inlineStr">
        <is>
          <t xml:space="preserve">Mazda</t>
        </is>
      </c>
      <c r="F21551" s="0" t="inlineStr">
        <is>
          <t xml:space="preserve">Mazda</t>
        </is>
      </c>
      <c r="G21551" s="0" t="s">
        <v>171</v>
      </c>
      <c r="H21551" s="5">
        <v>11.206200</v>
      </c>
    </row>
    <row r="21552" spans="1:9">
      <c r="A21552" s="22" t="str">
        <f>HYPERLINK("https://app.vivvix.com/360/KMI/IntelliDrive/ApplUI/Pages/CreativePages/CustomReportCreativeDetail.aspx?App=23&amp;ReportView=4&amp;Qid=1711279&amp;Row=21544&amp;Col=1","No Title Assigned - #15280099440")</f>
        <v/>
      </c>
      <c r="B21552" s="0" t="s">
        <v>28595</v>
      </c>
      <c r="C21552" s="0" t="s">
        <v>28596</v>
      </c>
      <c r="D21552" s="0" t="s">
        <v>17671</v>
      </c>
      <c r="E21552" s="0" t="inlineStr">
        <is>
          <t xml:space="preserve">Mazda</t>
        </is>
      </c>
      <c r="F21552" s="0" t="s">
        <v>13</v>
      </c>
      <c r="G21552" s="0" t="s">
        <v>49</v>
      </c>
      <c r="H21552" s="5">
        <v>9.370700</v>
      </c>
    </row>
    <row r="21553" spans="1:9">
      <c r="A21553" s="22" t="str">
        <f>HYPERLINK("https://app.vivvix.com/360/KMI/IntelliDrive/ApplUI/Pages/CreativePages/CustomReportCreativeDetail.aspx?App=23&amp;ReportView=4&amp;Qid=1711279&amp;Row=21545&amp;Col=1","No Title Assigned - #15280099801")</f>
        <v/>
      </c>
      <c r="B21553" s="0" t="s">
        <v>28597</v>
      </c>
      <c r="C21553" s="0" t="s">
        <v>28598</v>
      </c>
      <c r="D21553" s="0" t="s">
        <v>28598</v>
      </c>
      <c r="E21553" s="0" t="inlineStr">
        <is>
          <t xml:space="preserve">Mazda</t>
        </is>
      </c>
      <c r="F21553" s="0" t="s">
        <v>13</v>
      </c>
      <c r="G21553" s="0" t="s">
        <v>49</v>
      </c>
      <c r="H21553" s="5">
        <v>471.151100</v>
      </c>
    </row>
    <row r="21554" spans="1:9">
      <c r="A21554" s="22" t="str">
        <f>HYPERLINK("https://app.vivvix.com/360/KMI/IntelliDrive/ApplUI/Pages/CreativePages/CustomReportCreativeDetail.aspx?App=23&amp;ReportView=4&amp;Qid=1711279&amp;Row=21546&amp;Col=1","No Title Assigned - #15280100017")</f>
        <v/>
      </c>
      <c r="B21554" s="0" t="s">
        <v>28599</v>
      </c>
      <c r="C21554" s="0" t="s">
        <v>28600</v>
      </c>
      <c r="D21554" s="0" t="s">
        <v>28600</v>
      </c>
      <c r="E21554" s="0" t="inlineStr">
        <is>
          <t xml:space="preserve">Mazda</t>
        </is>
      </c>
      <c r="F21554" s="0" t="s">
        <v>13</v>
      </c>
      <c r="G21554" s="0" t="s">
        <v>49</v>
      </c>
      <c r="H21554" s="5">
        <v>1776.618500</v>
      </c>
    </row>
    <row r="21555" spans="1:9">
      <c r="A21555" s="22" t="str">
        <f>HYPERLINK("https://app.vivvix.com/360/KMI/IntelliDrive/ApplUI/Pages/CreativePages/CustomReportCreativeDetail.aspx?App=23&amp;ReportView=4&amp;Qid=1711279&amp;Row=21547&amp;Col=1","No Title Assigned - #15280105291")</f>
        <v/>
      </c>
      <c r="B21555" s="0" t="s">
        <v>28601</v>
      </c>
      <c r="C21555" s="0" t="s">
        <v>28602</v>
      </c>
      <c r="D21555" s="0" t="s">
        <v>11469</v>
      </c>
      <c r="E21555" s="0" t="inlineStr">
        <is>
          <t xml:space="preserve">Mazda</t>
        </is>
      </c>
      <c r="F21555" s="0" t="s">
        <v>13</v>
      </c>
      <c r="G21555" s="0" t="s">
        <v>49</v>
      </c>
      <c r="H21555" s="5">
        <v>65.112600</v>
      </c>
    </row>
    <row r="21556" spans="1:9">
      <c r="A21556" s="22" t="str">
        <f>HYPERLINK("https://app.vivvix.com/360/KMI/IntelliDrive/ApplUI/Pages/CreativePages/CustomReportCreativeDetail.aspx?App=23&amp;ReportView=4&amp;Qid=1711279&amp;Row=21548&amp;Col=1","No Title Assigned - #15280105633")</f>
        <v/>
      </c>
      <c r="B21556" s="0" t="s">
        <v>28603</v>
      </c>
      <c r="C21556" s="0" t="s">
        <v>28604</v>
      </c>
      <c r="D21556" s="0" t="s">
        <v>10101</v>
      </c>
      <c r="E21556" s="0" t="inlineStr">
        <is>
          <t xml:space="preserve">Mazda</t>
        </is>
      </c>
      <c r="F21556" s="0" t="s">
        <v>13</v>
      </c>
      <c r="G21556" s="0" t="s">
        <v>49</v>
      </c>
      <c r="H21556" s="5">
        <v>49.712300</v>
      </c>
    </row>
    <row r="21557" spans="1:9">
      <c r="A21557" s="22" t="str">
        <f>HYPERLINK("https://app.vivvix.com/360/KMI/IntelliDrive/ApplUI/Pages/CreativePages/CustomReportCreativeDetail.aspx?App=23&amp;ReportView=4&amp;Qid=1711279&amp;Row=21549&amp;Col=1","No Title Assigned - #15280105634")</f>
        <v/>
      </c>
      <c r="B21557" s="0" t="s">
        <v>28605</v>
      </c>
      <c r="C21557" s="0" t="s">
        <v>28606</v>
      </c>
      <c r="D21557" s="0" t="s">
        <v>10101</v>
      </c>
      <c r="E21557" s="0" t="inlineStr">
        <is>
          <t xml:space="preserve">Mazda</t>
        </is>
      </c>
      <c r="F21557" s="0" t="s">
        <v>13</v>
      </c>
      <c r="G21557" s="0" t="s">
        <v>49</v>
      </c>
      <c r="H21557" s="5">
        <v>49.712300</v>
      </c>
    </row>
    <row r="21558" spans="1:9">
      <c r="A21558" s="22" t="str">
        <f>HYPERLINK("https://app.vivvix.com/360/KMI/IntelliDrive/ApplUI/Pages/CreativePages/CustomReportCreativeDetail.aspx?App=23&amp;ReportView=4&amp;Qid=1711279&amp;Row=21550&amp;Col=1","No Title Assigned - #15280107986")</f>
        <v/>
      </c>
      <c r="B21558" s="0" t="s">
        <v>28607</v>
      </c>
      <c r="C21558" s="0" t="s">
        <v>28608</v>
      </c>
      <c r="D21558" s="0" t="s">
        <v>12067</v>
      </c>
      <c r="E21558" s="0" t="inlineStr">
        <is>
          <t xml:space="preserve">Mazda</t>
        </is>
      </c>
      <c r="F21558" s="0" t="s">
        <v>13</v>
      </c>
      <c r="G21558" s="0" t="s">
        <v>49</v>
      </c>
      <c r="H21558" s="5">
        <v>30.114400</v>
      </c>
    </row>
    <row r="21559" spans="1:9">
      <c r="A21559" s="22" t="str">
        <f>HYPERLINK("https://app.vivvix.com/360/KMI/IntelliDrive/ApplUI/Pages/CreativePages/CustomReportCreativeDetail.aspx?App=23&amp;ReportView=4&amp;Qid=1711279&amp;Row=21551&amp;Col=1","No Title Assigned - #15280108281")</f>
        <v/>
      </c>
      <c r="B21559" s="0" t="s">
        <v>28609</v>
      </c>
      <c r="E21559" s="0" t="inlineStr">
        <is>
          <t xml:space="preserve">Mazda</t>
        </is>
      </c>
      <c r="F21559" s="0" t="inlineStr">
        <is>
          <t xml:space="preserve">Mazda</t>
        </is>
      </c>
      <c r="G21559" s="0" t="s">
        <v>171</v>
      </c>
      <c r="H21559" s="5">
        <v>40.813400</v>
      </c>
    </row>
    <row r="21560" spans="1:9">
      <c r="A21560" s="22" t="str">
        <f>HYPERLINK("https://app.vivvix.com/360/KMI/IntelliDrive/ApplUI/Pages/CreativePages/CustomReportCreativeDetail.aspx?App=23&amp;ReportView=4&amp;Qid=1711279&amp;Row=21552&amp;Col=1","No Title Assigned - #15280112808")</f>
        <v/>
      </c>
      <c r="B21560" s="0" t="s">
        <v>28610</v>
      </c>
      <c r="C21560" s="0" t="s">
        <v>28611</v>
      </c>
      <c r="D21560" s="0" t="s">
        <v>28611</v>
      </c>
      <c r="E21560" s="0" t="inlineStr">
        <is>
          <t xml:space="preserve">Mazda</t>
        </is>
      </c>
      <c r="F21560" s="0" t="s">
        <v>13</v>
      </c>
      <c r="G21560" s="0" t="s">
        <v>49</v>
      </c>
      <c r="H21560" s="5">
        <v>1449.550900</v>
      </c>
    </row>
    <row r="21561" spans="1:9">
      <c r="A21561" s="22" t="str">
        <f>HYPERLINK("https://app.vivvix.com/360/KMI/IntelliDrive/ApplUI/Pages/CreativePages/CustomReportCreativeDetail.aspx?App=23&amp;ReportView=4&amp;Qid=1711279&amp;Row=21553&amp;Col=1","No Title Assigned - #15280114219")</f>
        <v/>
      </c>
      <c r="B21561" s="0" t="s">
        <v>28612</v>
      </c>
      <c r="C21561" s="0" t="s">
        <v>28613</v>
      </c>
      <c r="D21561" s="0" t="s">
        <v>28613</v>
      </c>
      <c r="E21561" s="0" t="inlineStr">
        <is>
          <t xml:space="preserve">Mazda</t>
        </is>
      </c>
      <c r="F21561" s="0" t="s">
        <v>13</v>
      </c>
      <c r="G21561" s="0" t="s">
        <v>49</v>
      </c>
      <c r="H21561" s="5">
        <v>2056.131900</v>
      </c>
    </row>
    <row r="21562" spans="1:9">
      <c r="A21562" s="22" t="str">
        <f>HYPERLINK("https://app.vivvix.com/360/KMI/IntelliDrive/ApplUI/Pages/CreativePages/CustomReportCreativeDetail.aspx?App=23&amp;ReportView=4&amp;Qid=1711279&amp;Row=21554&amp;Col=1","No Title Assigned - #15280114798")</f>
        <v/>
      </c>
      <c r="B21562" s="0" t="s">
        <v>28614</v>
      </c>
      <c r="C21562" s="0" t="s">
        <v>28615</v>
      </c>
      <c r="D21562" s="0" t="s">
        <v>28615</v>
      </c>
      <c r="E21562" s="0" t="inlineStr">
        <is>
          <t xml:space="preserve">Mazda</t>
        </is>
      </c>
      <c r="F21562" s="0" t="inlineStr">
        <is>
          <t xml:space="preserve">Mazda</t>
        </is>
      </c>
      <c r="G21562" s="0" t="s">
        <v>171</v>
      </c>
      <c r="H21562" s="5">
        <v>253284.130400</v>
      </c>
    </row>
    <row r="21563" spans="1:9">
      <c r="A21563" s="22" t="str">
        <f>HYPERLINK("https://app.vivvix.com/360/KMI/IntelliDrive/ApplUI/Pages/CreativePages/CustomReportCreativeDetail.aspx?App=23&amp;ReportView=4&amp;Qid=1711279&amp;Row=21555&amp;Col=1","No Title Assigned - #15280114798")</f>
        <v/>
      </c>
      <c r="B21563" s="0" t="s">
        <v>28614</v>
      </c>
      <c r="E21563" s="0" t="inlineStr">
        <is>
          <t xml:space="preserve">Mazda</t>
        </is>
      </c>
      <c r="F21563" s="0" t="inlineStr">
        <is>
          <t xml:space="preserve">Mazda</t>
        </is>
      </c>
      <c r="G21563" s="0" t="s">
        <v>171</v>
      </c>
      <c r="H21563" s="5">
        <v>1752.421500</v>
      </c>
    </row>
    <row r="21564" spans="1:9">
      <c r="A21564" s="22" t="str">
        <f>HYPERLINK("https://app.vivvix.com/360/KMI/IntelliDrive/ApplUI/Pages/CreativePages/CustomReportCreativeDetail.aspx?App=23&amp;ReportView=4&amp;Qid=1711279&amp;Row=21556&amp;Col=1","No Title Assigned - #15280115203")</f>
        <v/>
      </c>
      <c r="B21564" s="0" t="s">
        <v>28616</v>
      </c>
      <c r="C21564" s="0" t="s">
        <v>28617</v>
      </c>
      <c r="D21564" s="0" t="s">
        <v>23374</v>
      </c>
      <c r="E21564" s="0" t="inlineStr">
        <is>
          <t xml:space="preserve">Mazda</t>
        </is>
      </c>
      <c r="F21564" s="0" t="s">
        <v>13</v>
      </c>
      <c r="G21564" s="0" t="s">
        <v>49</v>
      </c>
      <c r="H21564" s="5">
        <v>17.287700</v>
      </c>
    </row>
    <row r="21565" spans="1:9">
      <c r="A21565" s="22" t="str">
        <f>HYPERLINK("https://app.vivvix.com/360/KMI/IntelliDrive/ApplUI/Pages/CreativePages/CustomReportCreativeDetail.aspx?App=23&amp;ReportView=4&amp;Qid=1711279&amp;Row=21557&amp;Col=1","No Title Assigned - #15280115410")</f>
        <v/>
      </c>
      <c r="B21565" s="0" t="s">
        <v>28618</v>
      </c>
      <c r="C21565" s="0" t="s">
        <v>28619</v>
      </c>
      <c r="D21565" s="0" t="s">
        <v>10311</v>
      </c>
      <c r="E21565" s="0" t="inlineStr">
        <is>
          <t xml:space="preserve">Mazda</t>
        </is>
      </c>
      <c r="F21565" s="0" t="s">
        <v>13</v>
      </c>
      <c r="G21565" s="0" t="s">
        <v>49</v>
      </c>
      <c r="H21565" s="5">
        <v>7.292400</v>
      </c>
    </row>
    <row r="21566" spans="1:9">
      <c r="A21566" s="22" t="str">
        <f>HYPERLINK("https://app.vivvix.com/360/KMI/IntelliDrive/ApplUI/Pages/CreativePages/CustomReportCreativeDetail.aspx?App=23&amp;ReportView=4&amp;Qid=1711279&amp;Row=21558&amp;Col=1","No Title Assigned - #15280115427")</f>
        <v/>
      </c>
      <c r="B21566" s="0" t="s">
        <v>28620</v>
      </c>
      <c r="C21566" s="0" t="s">
        <v>28621</v>
      </c>
      <c r="D21566" s="0" t="s">
        <v>4335</v>
      </c>
      <c r="E21566" s="0" t="inlineStr">
        <is>
          <t xml:space="preserve">Mazda</t>
        </is>
      </c>
      <c r="F21566" s="0" t="s">
        <v>13</v>
      </c>
      <c r="G21566" s="0" t="s">
        <v>49</v>
      </c>
      <c r="H21566" s="5">
        <v>4.393600</v>
      </c>
    </row>
    <row r="21567" spans="1:9">
      <c r="A21567" s="22" t="str">
        <f>HYPERLINK("https://app.vivvix.com/360/KMI/IntelliDrive/ApplUI/Pages/CreativePages/CustomReportCreativeDetail.aspx?App=23&amp;ReportView=4&amp;Qid=1711279&amp;Row=21559&amp;Col=1","No Title Assigned - #15280115511")</f>
        <v/>
      </c>
      <c r="B21567" s="0" t="s">
        <v>28622</v>
      </c>
      <c r="C21567" s="0" t="s">
        <v>28623</v>
      </c>
      <c r="D21567" s="0" t="s">
        <v>28623</v>
      </c>
      <c r="E21567" s="0" t="inlineStr">
        <is>
          <t xml:space="preserve">Mazda</t>
        </is>
      </c>
      <c r="F21567" s="0" t="s">
        <v>13</v>
      </c>
      <c r="G21567" s="0" t="s">
        <v>49</v>
      </c>
      <c r="H21567" s="5">
        <v>264.491700</v>
      </c>
    </row>
    <row r="21568" spans="1:9">
      <c r="A21568" s="22" t="str">
        <f>HYPERLINK("https://app.vivvix.com/360/KMI/IntelliDrive/ApplUI/Pages/CreativePages/CustomReportCreativeDetail.aspx?App=23&amp;ReportView=4&amp;Qid=1711279&amp;Row=21560&amp;Col=1","No Title Assigned - #15280116506")</f>
        <v/>
      </c>
      <c r="B21568" s="0" t="s">
        <v>28624</v>
      </c>
      <c r="C21568" s="0" t="s">
        <v>28625</v>
      </c>
      <c r="D21568" s="0" t="s">
        <v>10860</v>
      </c>
      <c r="E21568" s="0" t="inlineStr">
        <is>
          <t xml:space="preserve">Mazda</t>
        </is>
      </c>
      <c r="F21568" s="0" t="s">
        <v>13</v>
      </c>
      <c r="G21568" s="0" t="s">
        <v>49</v>
      </c>
      <c r="H21568" s="5">
        <v>17.287700</v>
      </c>
    </row>
    <row r="21569" spans="1:9">
      <c r="A21569" s="22" t="str">
        <f>HYPERLINK("https://app.vivvix.com/360/KMI/IntelliDrive/ApplUI/Pages/CreativePages/CustomReportCreativeDetail.aspx?App=23&amp;ReportView=4&amp;Qid=1711279&amp;Row=21561&amp;Col=1","No Title Assigned - #15280118113")</f>
        <v/>
      </c>
      <c r="B21569" s="0" t="s">
        <v>28626</v>
      </c>
      <c r="C21569" s="0" t="s">
        <v>28627</v>
      </c>
      <c r="D21569" s="0" t="s">
        <v>13101</v>
      </c>
      <c r="E21569" s="0" t="inlineStr">
        <is>
          <t xml:space="preserve">Mazda</t>
        </is>
      </c>
      <c r="F21569" s="0" t="s">
        <v>13</v>
      </c>
      <c r="G21569" s="0" t="s">
        <v>49</v>
      </c>
      <c r="H21569" s="5">
        <v>176.334500</v>
      </c>
    </row>
    <row r="21570" spans="1:9">
      <c r="A21570" s="22" t="str">
        <f>HYPERLINK("https://app.vivvix.com/360/KMI/IntelliDrive/ApplUI/Pages/CreativePages/CustomReportCreativeDetail.aspx?App=23&amp;ReportView=4&amp;Qid=1711279&amp;Row=21562&amp;Col=1","No Title Assigned - #15280119520")</f>
        <v/>
      </c>
      <c r="B21570" s="0" t="s">
        <v>28628</v>
      </c>
      <c r="C21570" s="0" t="s">
        <v>28629</v>
      </c>
      <c r="D21570" s="0" t="s">
        <v>28629</v>
      </c>
      <c r="E21570" s="0" t="inlineStr">
        <is>
          <t xml:space="preserve">Mazda</t>
        </is>
      </c>
      <c r="F21570" s="0" t="s">
        <v>13</v>
      </c>
      <c r="G21570" s="0" t="s">
        <v>49</v>
      </c>
      <c r="H21570" s="5">
        <v>72.817500</v>
      </c>
    </row>
    <row r="21571" spans="1:9">
      <c r="A21571" s="22" t="str">
        <f>HYPERLINK("https://app.vivvix.com/360/KMI/IntelliDrive/ApplUI/Pages/CreativePages/CustomReportCreativeDetail.aspx?App=23&amp;ReportView=4&amp;Qid=1711279&amp;Row=21563&amp;Col=1","No Title Assigned - #15280119704")</f>
        <v/>
      </c>
      <c r="B21571" s="0" t="s">
        <v>28630</v>
      </c>
      <c r="C21571" s="0" t="s">
        <v>28631</v>
      </c>
      <c r="D21571" s="0" t="s">
        <v>9749</v>
      </c>
      <c r="E21571" s="0" t="inlineStr">
        <is>
          <t xml:space="preserve">Mazda</t>
        </is>
      </c>
      <c r="F21571" s="0" t="s">
        <v>13</v>
      </c>
      <c r="G21571" s="0" t="s">
        <v>49</v>
      </c>
      <c r="H21571" s="5">
        <v>50.170000</v>
      </c>
    </row>
    <row r="21572" spans="1:9">
      <c r="A21572" s="22" t="str">
        <f>HYPERLINK("https://app.vivvix.com/360/KMI/IntelliDrive/ApplUI/Pages/CreativePages/CustomReportCreativeDetail.aspx?App=23&amp;ReportView=4&amp;Qid=1711279&amp;Row=21564&amp;Col=1","No Title Assigned - #15280122274")</f>
        <v/>
      </c>
      <c r="B21572" s="0" t="s">
        <v>28632</v>
      </c>
      <c r="C21572" s="0" t="s">
        <v>28633</v>
      </c>
      <c r="D21572" s="0" t="s">
        <v>28633</v>
      </c>
      <c r="E21572" s="0" t="inlineStr">
        <is>
          <t xml:space="preserve">Mazda</t>
        </is>
      </c>
      <c r="F21572" s="0" t="s">
        <v>13</v>
      </c>
      <c r="G21572" s="0" t="s">
        <v>49</v>
      </c>
      <c r="H21572" s="5">
        <v>7890.730700</v>
      </c>
    </row>
    <row r="21573" spans="1:9">
      <c r="A21573" s="22" t="str">
        <f>HYPERLINK("https://app.vivvix.com/360/KMI/IntelliDrive/ApplUI/Pages/CreativePages/CustomReportCreativeDetail.aspx?App=23&amp;ReportView=4&amp;Qid=1711279&amp;Row=21565&amp;Col=1","No Title Assigned - #15280122871")</f>
        <v/>
      </c>
      <c r="B21573" s="0" t="s">
        <v>28634</v>
      </c>
      <c r="C21573" s="0" t="s">
        <v>28635</v>
      </c>
      <c r="D21573" s="0" t="s">
        <v>4335</v>
      </c>
      <c r="E21573" s="0" t="inlineStr">
        <is>
          <t xml:space="preserve">Mazda</t>
        </is>
      </c>
      <c r="F21573" s="0" t="s">
        <v>13</v>
      </c>
      <c r="G21573" s="0" t="s">
        <v>49</v>
      </c>
      <c r="H21573" s="5">
        <v>330.690200</v>
      </c>
    </row>
    <row r="21574" spans="1:9">
      <c r="A21574" s="22" t="str">
        <f>HYPERLINK("https://app.vivvix.com/360/KMI/IntelliDrive/ApplUI/Pages/CreativePages/CustomReportCreativeDetail.aspx?App=23&amp;ReportView=4&amp;Qid=1711279&amp;Row=21566&amp;Col=1","No Title Assigned - #15280124140")</f>
        <v/>
      </c>
      <c r="B21574" s="0" t="s">
        <v>28636</v>
      </c>
      <c r="C21574" s="0" t="s">
        <v>28637</v>
      </c>
      <c r="D21574" s="0" t="s">
        <v>11639</v>
      </c>
      <c r="E21574" s="0" t="inlineStr">
        <is>
          <t xml:space="preserve">Mazda</t>
        </is>
      </c>
      <c r="F21574" s="0" t="s">
        <v>13</v>
      </c>
      <c r="G21574" s="0" t="s">
        <v>49</v>
      </c>
      <c r="H21574" s="5">
        <v>113.745600</v>
      </c>
    </row>
    <row r="21575" spans="1:9">
      <c r="A21575" s="22" t="str">
        <f>HYPERLINK("https://app.vivvix.com/360/KMI/IntelliDrive/ApplUI/Pages/CreativePages/CustomReportCreativeDetail.aspx?App=23&amp;ReportView=4&amp;Qid=1711279&amp;Row=21567&amp;Col=1","No Title Assigned - #15280125124")</f>
        <v/>
      </c>
      <c r="B21575" s="0" t="s">
        <v>28638</v>
      </c>
      <c r="C21575" s="0" t="s">
        <v>28639</v>
      </c>
      <c r="D21575" s="0" t="s">
        <v>28639</v>
      </c>
      <c r="E21575" s="0" t="inlineStr">
        <is>
          <t xml:space="preserve">Mazda</t>
        </is>
      </c>
      <c r="F21575" s="0" t="s">
        <v>13</v>
      </c>
      <c r="G21575" s="0" t="s">
        <v>49</v>
      </c>
      <c r="H21575" s="5">
        <v>1711.488800</v>
      </c>
    </row>
    <row r="21576" spans="1:9">
      <c r="A21576" s="22" t="str">
        <f>HYPERLINK("https://app.vivvix.com/360/KMI/IntelliDrive/ApplUI/Pages/CreativePages/CustomReportCreativeDetail.aspx?App=23&amp;ReportView=4&amp;Qid=1711279&amp;Row=21568&amp;Col=1","No Title Assigned - #15280125629")</f>
        <v/>
      </c>
      <c r="B21576" s="0" t="s">
        <v>28640</v>
      </c>
      <c r="C21576" s="0" t="s">
        <v>28641</v>
      </c>
      <c r="D21576" s="0" t="s">
        <v>27877</v>
      </c>
      <c r="E21576" s="0" t="inlineStr">
        <is>
          <t xml:space="preserve">Mazda</t>
        </is>
      </c>
      <c r="F21576" s="0" t="s">
        <v>13</v>
      </c>
      <c r="G21576" s="0" t="s">
        <v>49</v>
      </c>
      <c r="H21576" s="5">
        <v>349.545500</v>
      </c>
    </row>
    <row r="21577" spans="1:9">
      <c r="A21577" s="22" t="str">
        <f>HYPERLINK("https://app.vivvix.com/360/KMI/IntelliDrive/ApplUI/Pages/CreativePages/CustomReportCreativeDetail.aspx?App=23&amp;ReportView=4&amp;Qid=1711279&amp;Row=21569&amp;Col=1","No Title Assigned - #15280126406")</f>
        <v/>
      </c>
      <c r="B21577" s="0" t="s">
        <v>28642</v>
      </c>
      <c r="C21577" s="0" t="s">
        <v>28643</v>
      </c>
      <c r="D21577" s="0" t="s">
        <v>11499</v>
      </c>
      <c r="E21577" s="0" t="inlineStr">
        <is>
          <t xml:space="preserve">Mazda</t>
        </is>
      </c>
      <c r="F21577" s="0" t="s">
        <v>13</v>
      </c>
      <c r="G21577" s="0" t="s">
        <v>49</v>
      </c>
      <c r="H21577" s="5">
        <v>9.522500</v>
      </c>
    </row>
    <row r="21578" spans="1:9">
      <c r="A21578" s="22" t="str">
        <f>HYPERLINK("https://app.vivvix.com/360/KMI/IntelliDrive/ApplUI/Pages/CreativePages/CustomReportCreativeDetail.aspx?App=23&amp;ReportView=4&amp;Qid=1711279&amp;Row=21570&amp;Col=1","No Title Assigned - #15280128336")</f>
        <v/>
      </c>
      <c r="B21578" s="0" t="s">
        <v>28644</v>
      </c>
      <c r="E21578" s="0" t="inlineStr">
        <is>
          <t xml:space="preserve">Mazda</t>
        </is>
      </c>
      <c r="F21578" s="0" t="inlineStr">
        <is>
          <t xml:space="preserve">Mazda</t>
        </is>
      </c>
      <c r="G21578" s="0" t="s">
        <v>171</v>
      </c>
      <c r="H21578" s="5">
        <v>155.882700</v>
      </c>
    </row>
    <row r="21579" spans="1:9">
      <c r="A21579" s="22" t="str">
        <f>HYPERLINK("https://app.vivvix.com/360/KMI/IntelliDrive/ApplUI/Pages/CreativePages/CustomReportCreativeDetail.aspx?App=23&amp;ReportView=4&amp;Qid=1711279&amp;Row=21571&amp;Col=1","No Title Assigned - #15280128488")</f>
        <v/>
      </c>
      <c r="B21579" s="0" t="s">
        <v>28645</v>
      </c>
      <c r="E21579" s="0" t="inlineStr">
        <is>
          <t xml:space="preserve">Mazda</t>
        </is>
      </c>
      <c r="F21579" s="0" t="inlineStr">
        <is>
          <t xml:space="preserve">Mazda</t>
        </is>
      </c>
      <c r="G21579" s="0" t="s">
        <v>171</v>
      </c>
      <c r="H21579" s="5">
        <v>256.803700</v>
      </c>
    </row>
    <row r="21580" spans="1:9">
      <c r="A21580" s="22" t="str">
        <f>HYPERLINK("https://app.vivvix.com/360/KMI/IntelliDrive/ApplUI/Pages/CreativePages/CustomReportCreativeDetail.aspx?App=23&amp;ReportView=4&amp;Qid=1711279&amp;Row=21572&amp;Col=1","No Title Assigned - #15280128884")</f>
        <v/>
      </c>
      <c r="B21580" s="0" t="s">
        <v>28646</v>
      </c>
      <c r="E21580" s="0" t="inlineStr">
        <is>
          <t xml:space="preserve">Mazda</t>
        </is>
      </c>
      <c r="F21580" s="0" t="inlineStr">
        <is>
          <t xml:space="preserve">Mazda</t>
        </is>
      </c>
      <c r="G21580" s="0" t="s">
        <v>171</v>
      </c>
      <c r="H21580" s="5">
        <v>199.921700</v>
      </c>
    </row>
    <row r="21581" spans="1:9">
      <c r="A21581" s="22" t="str">
        <f>HYPERLINK("https://app.vivvix.com/360/KMI/IntelliDrive/ApplUI/Pages/CreativePages/CustomReportCreativeDetail.aspx?App=23&amp;ReportView=4&amp;Qid=1711279&amp;Row=21573&amp;Col=1","No Title Assigned - #15280128944")</f>
        <v/>
      </c>
      <c r="B21581" s="0" t="s">
        <v>28647</v>
      </c>
      <c r="E21581" s="0" t="inlineStr">
        <is>
          <t xml:space="preserve">Mazda</t>
        </is>
      </c>
      <c r="F21581" s="0" t="inlineStr">
        <is>
          <t xml:space="preserve">Mazda</t>
        </is>
      </c>
      <c r="G21581" s="0" t="s">
        <v>171</v>
      </c>
      <c r="H21581" s="5">
        <v>267.312100</v>
      </c>
    </row>
    <row r="21582" spans="1:9">
      <c r="A21582" s="22" t="str">
        <f>HYPERLINK("https://app.vivvix.com/360/KMI/IntelliDrive/ApplUI/Pages/CreativePages/CustomReportCreativeDetail.aspx?App=23&amp;ReportView=4&amp;Qid=1711279&amp;Row=21574&amp;Col=1","No Title Assigned - #15280129046")</f>
        <v/>
      </c>
      <c r="B21582" s="0" t="s">
        <v>28648</v>
      </c>
      <c r="E21582" s="0" t="inlineStr">
        <is>
          <t xml:space="preserve">Mazda</t>
        </is>
      </c>
      <c r="F21582" s="0" t="inlineStr">
        <is>
          <t xml:space="preserve">Mazda</t>
        </is>
      </c>
      <c r="G21582" s="0" t="s">
        <v>171</v>
      </c>
      <c r="H21582" s="5">
        <v>64.777300</v>
      </c>
    </row>
    <row r="21583" spans="1:9">
      <c r="A21583" s="22" t="str">
        <f>HYPERLINK("https://app.vivvix.com/360/KMI/IntelliDrive/ApplUI/Pages/CreativePages/CustomReportCreativeDetail.aspx?App=23&amp;ReportView=4&amp;Qid=1711279&amp;Row=21575&amp;Col=1","No Title Assigned - #15280130437")</f>
        <v/>
      </c>
      <c r="B21583" s="0" t="s">
        <v>28649</v>
      </c>
      <c r="C21583" s="0" t="s">
        <v>28650</v>
      </c>
      <c r="D21583" s="0" t="s">
        <v>28650</v>
      </c>
      <c r="E21583" s="0" t="inlineStr">
        <is>
          <t xml:space="preserve">Mazda</t>
        </is>
      </c>
      <c r="F21583" s="0" t="inlineStr">
        <is>
          <t xml:space="preserve">Mazda</t>
        </is>
      </c>
      <c r="G21583" s="0" t="s">
        <v>171</v>
      </c>
      <c r="H21583" s="5">
        <v>950.099000</v>
      </c>
    </row>
    <row r="21584" spans="1:9">
      <c r="A21584" s="22" t="str">
        <f>HYPERLINK("https://app.vivvix.com/360/KMI/IntelliDrive/ApplUI/Pages/CreativePages/CustomReportCreativeDetail.aspx?App=23&amp;ReportView=4&amp;Qid=1711279&amp;Row=21576&amp;Col=1","No Title Assigned - #15280130870")</f>
        <v/>
      </c>
      <c r="B21584" s="0" t="s">
        <v>28651</v>
      </c>
      <c r="C21584" s="0" t="s">
        <v>28652</v>
      </c>
      <c r="D21584" s="0" t="s">
        <v>28652</v>
      </c>
      <c r="E21584" s="0" t="inlineStr">
        <is>
          <t xml:space="preserve">Mazda</t>
        </is>
      </c>
      <c r="F21584" s="0" t="s">
        <v>13</v>
      </c>
      <c r="G21584" s="0" t="s">
        <v>49</v>
      </c>
      <c r="H21584" s="5">
        <v>1010.788400</v>
      </c>
    </row>
    <row r="21585" spans="1:9">
      <c r="A21585" s="22" t="str">
        <f>HYPERLINK("https://app.vivvix.com/360/KMI/IntelliDrive/ApplUI/Pages/CreativePages/CustomReportCreativeDetail.aspx?App=23&amp;ReportView=4&amp;Qid=1711279&amp;Row=21577&amp;Col=1","No Title Assigned - #15280130871")</f>
        <v/>
      </c>
      <c r="B21585" s="0" t="s">
        <v>28653</v>
      </c>
      <c r="C21585" s="0" t="s">
        <v>28654</v>
      </c>
      <c r="D21585" s="0" t="s">
        <v>28654</v>
      </c>
      <c r="E21585" s="0" t="inlineStr">
        <is>
          <t xml:space="preserve">Mazda</t>
        </is>
      </c>
      <c r="F21585" s="0" t="s">
        <v>13</v>
      </c>
      <c r="G21585" s="0" t="s">
        <v>49</v>
      </c>
      <c r="H21585" s="5">
        <v>505.394200</v>
      </c>
    </row>
    <row r="21586" spans="1:9">
      <c r="A21586" s="22" t="str">
        <f>HYPERLINK("https://app.vivvix.com/360/KMI/IntelliDrive/ApplUI/Pages/CreativePages/CustomReportCreativeDetail.aspx?App=23&amp;ReportView=4&amp;Qid=1711279&amp;Row=21578&amp;Col=1","No Title Assigned - #15280130955")</f>
        <v/>
      </c>
      <c r="B21586" s="0" t="s">
        <v>28655</v>
      </c>
      <c r="E21586" s="0" t="inlineStr">
        <is>
          <t xml:space="preserve">Mazda</t>
        </is>
      </c>
      <c r="F21586" s="0" t="inlineStr">
        <is>
          <t xml:space="preserve">Mazda</t>
        </is>
      </c>
      <c r="G21586" s="0" t="s">
        <v>171</v>
      </c>
      <c r="H21586" s="5">
        <v>109.480000</v>
      </c>
    </row>
    <row r="21587" spans="1:9">
      <c r="A21587" s="22" t="str">
        <f>HYPERLINK("https://app.vivvix.com/360/KMI/IntelliDrive/ApplUI/Pages/CreativePages/CustomReportCreativeDetail.aspx?App=23&amp;ReportView=4&amp;Qid=1711279&amp;Row=21579&amp;Col=1","No Title Assigned - #15280130955")</f>
        <v/>
      </c>
      <c r="B21587" s="0" t="s">
        <v>28655</v>
      </c>
      <c r="E21587" s="0" t="inlineStr">
        <is>
          <t xml:space="preserve">Mazda</t>
        </is>
      </c>
      <c r="F21587" s="0" t="inlineStr">
        <is>
          <t xml:space="preserve">Mazda</t>
        </is>
      </c>
      <c r="G21587" s="0" t="s">
        <v>171</v>
      </c>
      <c r="H21587" s="5">
        <v>35957.519500</v>
      </c>
    </row>
    <row r="21588" spans="1:9">
      <c r="A21588" s="22" t="str">
        <f>HYPERLINK("https://app.vivvix.com/360/KMI/IntelliDrive/ApplUI/Pages/CreativePages/CustomReportCreativeDetail.aspx?App=23&amp;ReportView=4&amp;Qid=1711279&amp;Row=21580&amp;Col=1","No Title Assigned - #15280131685")</f>
        <v/>
      </c>
      <c r="B21588" s="0" t="s">
        <v>28656</v>
      </c>
      <c r="E21588" s="0" t="inlineStr">
        <is>
          <t xml:space="preserve">Mazda</t>
        </is>
      </c>
      <c r="F21588" s="0" t="inlineStr">
        <is>
          <t xml:space="preserve">Mazda</t>
        </is>
      </c>
      <c r="G21588" s="0" t="s">
        <v>171</v>
      </c>
      <c r="H21588" s="5">
        <v>122.626200</v>
      </c>
    </row>
    <row r="21589" spans="1:9">
      <c r="A21589" s="22" t="str">
        <f>HYPERLINK("https://app.vivvix.com/360/KMI/IntelliDrive/ApplUI/Pages/CreativePages/CustomReportCreativeDetail.aspx?App=23&amp;ReportView=4&amp;Qid=1711279&amp;Row=21581&amp;Col=1","No Title Assigned - #15280131710")</f>
        <v/>
      </c>
      <c r="B21589" s="0" t="s">
        <v>28657</v>
      </c>
      <c r="E21589" s="0" t="inlineStr">
        <is>
          <t xml:space="preserve">Mazda</t>
        </is>
      </c>
      <c r="F21589" s="0" t="inlineStr">
        <is>
          <t xml:space="preserve">Mazda</t>
        </is>
      </c>
      <c r="G21589" s="0" t="s">
        <v>171</v>
      </c>
      <c r="H21589" s="5">
        <v>230.196300</v>
      </c>
    </row>
    <row r="21590" spans="1:9">
      <c r="A21590" s="22" t="str">
        <f>HYPERLINK("https://app.vivvix.com/360/KMI/IntelliDrive/ApplUI/Pages/CreativePages/CustomReportCreativeDetail.aspx?App=23&amp;ReportView=4&amp;Qid=1711279&amp;Row=21582&amp;Col=1","No Title Assigned - #15280131972")</f>
        <v/>
      </c>
      <c r="B21590" s="0" t="s">
        <v>28658</v>
      </c>
      <c r="E21590" s="0" t="inlineStr">
        <is>
          <t xml:space="preserve">Mazda</t>
        </is>
      </c>
      <c r="F21590" s="0" t="inlineStr">
        <is>
          <t xml:space="preserve">Mazda</t>
        </is>
      </c>
      <c r="G21590" s="0" t="s">
        <v>171</v>
      </c>
      <c r="H21590" s="5">
        <v>102.195600</v>
      </c>
    </row>
    <row r="21591" spans="1:9">
      <c r="A21591" s="22" t="str">
        <f>HYPERLINK("https://app.vivvix.com/360/KMI/IntelliDrive/ApplUI/Pages/CreativePages/CustomReportCreativeDetail.aspx?App=23&amp;ReportView=4&amp;Qid=1711279&amp;Row=21583&amp;Col=1","No Title Assigned - #15280132196")</f>
        <v/>
      </c>
      <c r="B21591" s="0" t="s">
        <v>28659</v>
      </c>
      <c r="E21591" s="0" t="inlineStr">
        <is>
          <t xml:space="preserve">Mazda</t>
        </is>
      </c>
      <c r="F21591" s="0" t="inlineStr">
        <is>
          <t xml:space="preserve">Mazda</t>
        </is>
      </c>
      <c r="G21591" s="0" t="s">
        <v>171</v>
      </c>
      <c r="H21591" s="5">
        <v>37.514600</v>
      </c>
    </row>
    <row r="21592" spans="1:9">
      <c r="A21592" s="22" t="str">
        <f>HYPERLINK("https://app.vivvix.com/360/KMI/IntelliDrive/ApplUI/Pages/CreativePages/CustomReportCreativeDetail.aspx?App=23&amp;ReportView=4&amp;Qid=1711279&amp;Row=21584&amp;Col=1","No Title Assigned - #15280132315")</f>
        <v/>
      </c>
      <c r="B21592" s="0" t="s">
        <v>28660</v>
      </c>
      <c r="E21592" s="0" t="inlineStr">
        <is>
          <t xml:space="preserve">Mazda</t>
        </is>
      </c>
      <c r="F21592" s="0" t="inlineStr">
        <is>
          <t xml:space="preserve">Mazda</t>
        </is>
      </c>
      <c r="G21592" s="0" t="s">
        <v>171</v>
      </c>
      <c r="H21592" s="5">
        <v>1212.529800</v>
      </c>
    </row>
    <row r="21593" spans="1:9">
      <c r="A21593" s="22" t="str">
        <f>HYPERLINK("https://app.vivvix.com/360/KMI/IntelliDrive/ApplUI/Pages/CreativePages/CustomReportCreativeDetail.aspx?App=23&amp;ReportView=4&amp;Qid=1711279&amp;Row=21585&amp;Col=1","No Title Assigned - #15280132315")</f>
        <v/>
      </c>
      <c r="B21593" s="0" t="s">
        <v>28660</v>
      </c>
      <c r="E21593" s="0" t="inlineStr">
        <is>
          <t xml:space="preserve">Mazda</t>
        </is>
      </c>
      <c r="F21593" s="0" t="inlineStr">
        <is>
          <t xml:space="preserve">Mazda</t>
        </is>
      </c>
      <c r="G21593" s="0" t="s">
        <v>171</v>
      </c>
      <c r="H21593" s="5">
        <v>1095.209700</v>
      </c>
    </row>
    <row r="21594" spans="1:9">
      <c r="A21594" s="22" t="str">
        <f>HYPERLINK("https://app.vivvix.com/360/KMI/IntelliDrive/ApplUI/Pages/CreativePages/CustomReportCreativeDetail.aspx?App=23&amp;ReportView=4&amp;Qid=1711279&amp;Row=21586&amp;Col=1","No Title Assigned - #15280132386")</f>
        <v/>
      </c>
      <c r="B21594" s="0" t="s">
        <v>28661</v>
      </c>
      <c r="E21594" s="0" t="inlineStr">
        <is>
          <t xml:space="preserve">Mazda</t>
        </is>
      </c>
      <c r="F21594" s="0" t="inlineStr">
        <is>
          <t xml:space="preserve">Mazda</t>
        </is>
      </c>
      <c r="G21594" s="0" t="s">
        <v>171</v>
      </c>
      <c r="H21594" s="5">
        <v>2574.365100</v>
      </c>
    </row>
    <row r="21595" spans="1:9">
      <c r="A21595" s="22" t="str">
        <f>HYPERLINK("https://app.vivvix.com/360/KMI/IntelliDrive/ApplUI/Pages/CreativePages/CustomReportCreativeDetail.aspx?App=23&amp;ReportView=4&amp;Qid=1711279&amp;Row=21587&amp;Col=1","No Title Assigned - #15280132649")</f>
        <v/>
      </c>
      <c r="B21595" s="0" t="s">
        <v>28662</v>
      </c>
      <c r="E21595" s="0" t="inlineStr">
        <is>
          <t xml:space="preserve">Mazda</t>
        </is>
      </c>
      <c r="F21595" s="0" t="inlineStr">
        <is>
          <t xml:space="preserve">Mazda</t>
        </is>
      </c>
      <c r="G21595" s="0" t="s">
        <v>171</v>
      </c>
      <c r="H21595" s="5">
        <v>648.645400</v>
      </c>
    </row>
    <row r="21596" spans="1:9">
      <c r="A21596" s="22" t="str">
        <f>HYPERLINK("https://app.vivvix.com/360/KMI/IntelliDrive/ApplUI/Pages/CreativePages/CustomReportCreativeDetail.aspx?App=23&amp;ReportView=4&amp;Qid=1711279&amp;Row=21588&amp;Col=1","No Title Assigned - #15280132754")</f>
        <v/>
      </c>
      <c r="B21596" s="0" t="s">
        <v>28663</v>
      </c>
      <c r="E21596" s="0" t="inlineStr">
        <is>
          <t xml:space="preserve">Mazda</t>
        </is>
      </c>
      <c r="F21596" s="0" t="inlineStr">
        <is>
          <t xml:space="preserve">Mazda</t>
        </is>
      </c>
      <c r="G21596" s="0" t="s">
        <v>171</v>
      </c>
      <c r="H21596" s="5">
        <v>246.505800</v>
      </c>
    </row>
    <row r="21597" spans="1:9">
      <c r="A21597" s="22" t="str">
        <f>HYPERLINK("https://app.vivvix.com/360/KMI/IntelliDrive/ApplUI/Pages/CreativePages/CustomReportCreativeDetail.aspx?App=23&amp;ReportView=4&amp;Qid=1711279&amp;Row=21589&amp;Col=1","No Title Assigned - #15280132828")</f>
        <v/>
      </c>
      <c r="B21597" s="0" t="s">
        <v>28664</v>
      </c>
      <c r="E21597" s="0" t="inlineStr">
        <is>
          <t xml:space="preserve">Mazda</t>
        </is>
      </c>
      <c r="F21597" s="0" t="inlineStr">
        <is>
          <t xml:space="preserve">Mazda</t>
        </is>
      </c>
      <c r="G21597" s="0" t="s">
        <v>171</v>
      </c>
      <c r="H21597" s="5">
        <v>21.732100</v>
      </c>
    </row>
    <row r="21598" spans="1:9">
      <c r="A21598" s="22" t="str">
        <f>HYPERLINK("https://app.vivvix.com/360/KMI/IntelliDrive/ApplUI/Pages/CreativePages/CustomReportCreativeDetail.aspx?App=23&amp;ReportView=4&amp;Qid=1711279&amp;Row=21590&amp;Col=1","No Title Assigned - #15280132964")</f>
        <v/>
      </c>
      <c r="B21598" s="0" t="s">
        <v>28665</v>
      </c>
      <c r="E21598" s="0" t="inlineStr">
        <is>
          <t xml:space="preserve">Mazda</t>
        </is>
      </c>
      <c r="F21598" s="0" t="inlineStr">
        <is>
          <t xml:space="preserve">Mazda</t>
        </is>
      </c>
      <c r="G21598" s="0" t="s">
        <v>171</v>
      </c>
      <c r="H21598" s="5">
        <v>98.357500</v>
      </c>
    </row>
    <row r="21599" spans="1:9">
      <c r="A21599" s="22" t="str">
        <f>HYPERLINK("https://app.vivvix.com/360/KMI/IntelliDrive/ApplUI/Pages/CreativePages/CustomReportCreativeDetail.aspx?App=23&amp;ReportView=4&amp;Qid=1711279&amp;Row=21591&amp;Col=1","No Title Assigned - #15280133049")</f>
        <v/>
      </c>
      <c r="B21599" s="0" t="s">
        <v>28666</v>
      </c>
      <c r="E21599" s="0" t="inlineStr">
        <is>
          <t xml:space="preserve">Mazda</t>
        </is>
      </c>
      <c r="F21599" s="0" t="inlineStr">
        <is>
          <t xml:space="preserve">Mazda</t>
        </is>
      </c>
      <c r="G21599" s="0" t="s">
        <v>171</v>
      </c>
      <c r="H21599" s="5">
        <v>25.375400</v>
      </c>
    </row>
    <row r="21600" spans="1:9">
      <c r="A21600" s="22" t="str">
        <f>HYPERLINK("https://app.vivvix.com/360/KMI/IntelliDrive/ApplUI/Pages/CreativePages/CustomReportCreativeDetail.aspx?App=23&amp;ReportView=4&amp;Qid=1711279&amp;Row=21592&amp;Col=1","No Title Assigned - #15280133054")</f>
        <v/>
      </c>
      <c r="B21600" s="0" t="s">
        <v>28667</v>
      </c>
      <c r="E21600" s="0" t="inlineStr">
        <is>
          <t xml:space="preserve">Mazda</t>
        </is>
      </c>
      <c r="F21600" s="0" t="inlineStr">
        <is>
          <t xml:space="preserve">Mazda</t>
        </is>
      </c>
      <c r="G21600" s="0" t="s">
        <v>171</v>
      </c>
      <c r="H21600" s="5">
        <v>48.955500</v>
      </c>
    </row>
    <row r="21601" spans="1:9">
      <c r="A21601" s="22" t="str">
        <f>HYPERLINK("https://app.vivvix.com/360/KMI/IntelliDrive/ApplUI/Pages/CreativePages/CustomReportCreativeDetail.aspx?App=23&amp;ReportView=4&amp;Qid=1711279&amp;Row=21593&amp;Col=1","No Title Assigned - #15280133058")</f>
        <v/>
      </c>
      <c r="B21601" s="0" t="s">
        <v>28668</v>
      </c>
      <c r="E21601" s="0" t="inlineStr">
        <is>
          <t xml:space="preserve">Mazda</t>
        </is>
      </c>
      <c r="F21601" s="0" t="inlineStr">
        <is>
          <t xml:space="preserve">Mazda</t>
        </is>
      </c>
      <c r="G21601" s="0" t="s">
        <v>171</v>
      </c>
      <c r="H21601" s="5">
        <v>133.085900</v>
      </c>
    </row>
    <row r="21602" spans="1:9">
      <c r="A21602" s="22" t="str">
        <f>HYPERLINK("https://app.vivvix.com/360/KMI/IntelliDrive/ApplUI/Pages/CreativePages/CustomReportCreativeDetail.aspx?App=23&amp;ReportView=4&amp;Qid=1711279&amp;Row=21594&amp;Col=1","No Title Assigned - #15280133101")</f>
        <v/>
      </c>
      <c r="B21602" s="0" t="s">
        <v>28669</v>
      </c>
      <c r="E21602" s="0" t="inlineStr">
        <is>
          <t xml:space="preserve">Mazda</t>
        </is>
      </c>
      <c r="F21602" s="0" t="inlineStr">
        <is>
          <t xml:space="preserve">Mazda</t>
        </is>
      </c>
      <c r="G21602" s="0" t="s">
        <v>171</v>
      </c>
      <c r="H21602" s="5">
        <v>62.750000</v>
      </c>
    </row>
    <row r="21603" spans="1:9">
      <c r="A21603" s="22" t="str">
        <f>HYPERLINK("https://app.vivvix.com/360/KMI/IntelliDrive/ApplUI/Pages/CreativePages/CustomReportCreativeDetail.aspx?App=23&amp;ReportView=4&amp;Qid=1711279&amp;Row=21595&amp;Col=1","No Title Assigned - #15280133125")</f>
        <v/>
      </c>
      <c r="B21603" s="0" t="s">
        <v>28670</v>
      </c>
      <c r="E21603" s="0" t="inlineStr">
        <is>
          <t xml:space="preserve">Mazda</t>
        </is>
      </c>
      <c r="F21603" s="0" t="inlineStr">
        <is>
          <t xml:space="preserve">Mazda</t>
        </is>
      </c>
      <c r="G21603" s="0" t="s">
        <v>171</v>
      </c>
      <c r="H21603" s="5">
        <v>135.221800</v>
      </c>
    </row>
    <row r="21604" spans="1:9">
      <c r="A21604" s="22" t="str">
        <f>HYPERLINK("https://app.vivvix.com/360/KMI/IntelliDrive/ApplUI/Pages/CreativePages/CustomReportCreativeDetail.aspx?App=23&amp;ReportView=4&amp;Qid=1711279&amp;Row=21596&amp;Col=1","No Title Assigned - #15280133334")</f>
        <v/>
      </c>
      <c r="B21604" s="0" t="s">
        <v>28671</v>
      </c>
      <c r="E21604" s="0" t="inlineStr">
        <is>
          <t xml:space="preserve">Mazda</t>
        </is>
      </c>
      <c r="F21604" s="0" t="inlineStr">
        <is>
          <t xml:space="preserve">Mazda</t>
        </is>
      </c>
      <c r="G21604" s="0" t="s">
        <v>171</v>
      </c>
      <c r="H21604" s="5">
        <v>691.638100</v>
      </c>
    </row>
    <row r="21605" spans="1:9">
      <c r="A21605" s="22" t="str">
        <f>HYPERLINK("https://app.vivvix.com/360/KMI/IntelliDrive/ApplUI/Pages/CreativePages/CustomReportCreativeDetail.aspx?App=23&amp;ReportView=4&amp;Qid=1711279&amp;Row=21597&amp;Col=1","No Title Assigned - #15280133563")</f>
        <v/>
      </c>
      <c r="B21605" s="0" t="s">
        <v>28672</v>
      </c>
      <c r="E21605" s="0" t="inlineStr">
        <is>
          <t xml:space="preserve">Mazda</t>
        </is>
      </c>
      <c r="F21605" s="0" t="inlineStr">
        <is>
          <t xml:space="preserve">Mazda</t>
        </is>
      </c>
      <c r="G21605" s="0" t="s">
        <v>171</v>
      </c>
      <c r="H21605" s="5">
        <v>559.182100</v>
      </c>
    </row>
    <row r="21606" spans="1:9">
      <c r="A21606" s="22" t="str">
        <f>HYPERLINK("https://app.vivvix.com/360/KMI/IntelliDrive/ApplUI/Pages/CreativePages/CustomReportCreativeDetail.aspx?App=23&amp;ReportView=4&amp;Qid=1711279&amp;Row=21598&amp;Col=1","No Title Assigned - #15280133688")</f>
        <v/>
      </c>
      <c r="B21606" s="0" t="s">
        <v>28673</v>
      </c>
      <c r="E21606" s="0" t="inlineStr">
        <is>
          <t xml:space="preserve">Mazda</t>
        </is>
      </c>
      <c r="F21606" s="0" t="inlineStr">
        <is>
          <t xml:space="preserve">Mazda</t>
        </is>
      </c>
      <c r="G21606" s="0" t="s">
        <v>171</v>
      </c>
      <c r="H21606" s="5">
        <v>201.894200</v>
      </c>
    </row>
    <row r="21607" spans="1:9">
      <c r="A21607" s="22" t="str">
        <f>HYPERLINK("https://app.vivvix.com/360/KMI/IntelliDrive/ApplUI/Pages/CreativePages/CustomReportCreativeDetail.aspx?App=23&amp;ReportView=4&amp;Qid=1711279&amp;Row=21599&amp;Col=1","No Title Assigned - #15280133880")</f>
        <v/>
      </c>
      <c r="B21607" s="0" t="s">
        <v>28674</v>
      </c>
      <c r="E21607" s="0" t="inlineStr">
        <is>
          <t xml:space="preserve">Mazda</t>
        </is>
      </c>
      <c r="F21607" s="0" t="inlineStr">
        <is>
          <t xml:space="preserve">Mazda</t>
        </is>
      </c>
      <c r="G21607" s="0" t="s">
        <v>171</v>
      </c>
      <c r="H21607" s="5">
        <v>3972.910400</v>
      </c>
    </row>
    <row r="21608" spans="1:9">
      <c r="A21608" s="22" t="str">
        <f>HYPERLINK("https://app.vivvix.com/360/KMI/IntelliDrive/ApplUI/Pages/CreativePages/CustomReportCreativeDetail.aspx?App=23&amp;ReportView=4&amp;Qid=1711279&amp;Row=21600&amp;Col=1","No Title Assigned - #15280133891")</f>
        <v/>
      </c>
      <c r="B21608" s="0" t="s">
        <v>28675</v>
      </c>
      <c r="E21608" s="0" t="inlineStr">
        <is>
          <t xml:space="preserve">Mazda</t>
        </is>
      </c>
      <c r="F21608" s="0" t="inlineStr">
        <is>
          <t xml:space="preserve">Mazda</t>
        </is>
      </c>
      <c r="G21608" s="0" t="s">
        <v>171</v>
      </c>
      <c r="H21608" s="5">
        <v>18.754300</v>
      </c>
    </row>
    <row r="21609" spans="1:9">
      <c r="A21609" s="22" t="str">
        <f>HYPERLINK("https://app.vivvix.com/360/KMI/IntelliDrive/ApplUI/Pages/CreativePages/CustomReportCreativeDetail.aspx?App=23&amp;ReportView=4&amp;Qid=1711279&amp;Row=21601&amp;Col=1","No Title Assigned - #15280133910")</f>
        <v/>
      </c>
      <c r="B21609" s="0" t="s">
        <v>28676</v>
      </c>
      <c r="C21609" s="0" t="s">
        <v>28677</v>
      </c>
      <c r="D21609" s="0" t="s">
        <v>28677</v>
      </c>
      <c r="E21609" s="0" t="inlineStr">
        <is>
          <t xml:space="preserve">Mazda</t>
        </is>
      </c>
      <c r="F21609" s="0" t="inlineStr">
        <is>
          <t xml:space="preserve">Mazda</t>
        </is>
      </c>
      <c r="G21609" s="0" t="s">
        <v>171</v>
      </c>
      <c r="H21609" s="5">
        <v>1972.096300</v>
      </c>
    </row>
    <row r="21610" spans="1:9">
      <c r="A21610" s="22" t="str">
        <f>HYPERLINK("https://app.vivvix.com/360/KMI/IntelliDrive/ApplUI/Pages/CreativePages/CustomReportCreativeDetail.aspx?App=23&amp;ReportView=4&amp;Qid=1711279&amp;Row=21602&amp;Col=1","No Title Assigned - #15280133911")</f>
        <v/>
      </c>
      <c r="B21610" s="0" t="s">
        <v>28678</v>
      </c>
      <c r="E21610" s="0" t="inlineStr">
        <is>
          <t xml:space="preserve">Mazda</t>
        </is>
      </c>
      <c r="F21610" s="0" t="inlineStr">
        <is>
          <t xml:space="preserve">Mazda</t>
        </is>
      </c>
      <c r="G21610" s="0" t="s">
        <v>171</v>
      </c>
      <c r="H21610" s="5">
        <v>806.013000</v>
      </c>
    </row>
    <row r="21611" spans="1:9">
      <c r="A21611" s="22" t="str">
        <f>HYPERLINK("https://app.vivvix.com/360/KMI/IntelliDrive/ApplUI/Pages/CreativePages/CustomReportCreativeDetail.aspx?App=23&amp;ReportView=4&amp;Qid=1711279&amp;Row=21603&amp;Col=1","No Title Assigned - #15280133978")</f>
        <v/>
      </c>
      <c r="B21611" s="0" t="s">
        <v>28679</v>
      </c>
      <c r="E21611" s="0" t="inlineStr">
        <is>
          <t xml:space="preserve">Mazda</t>
        </is>
      </c>
      <c r="F21611" s="0" t="inlineStr">
        <is>
          <t xml:space="preserve">Mazda</t>
        </is>
      </c>
      <c r="G21611" s="0" t="s">
        <v>171</v>
      </c>
      <c r="H21611" s="5">
        <v>61.774700</v>
      </c>
    </row>
    <row r="21612" spans="1:9">
      <c r="A21612" s="22" t="str">
        <f>HYPERLINK("https://app.vivvix.com/360/KMI/IntelliDrive/ApplUI/Pages/CreativePages/CustomReportCreativeDetail.aspx?App=23&amp;ReportView=4&amp;Qid=1711279&amp;Row=21604&amp;Col=1","No Title Assigned - #15280134019")</f>
        <v/>
      </c>
      <c r="B21612" s="0" t="s">
        <v>28680</v>
      </c>
      <c r="E21612" s="0" t="inlineStr">
        <is>
          <t xml:space="preserve">Mazda</t>
        </is>
      </c>
      <c r="F21612" s="0" t="inlineStr">
        <is>
          <t xml:space="preserve">Mazda</t>
        </is>
      </c>
      <c r="G21612" s="0" t="s">
        <v>171</v>
      </c>
      <c r="H21612" s="5">
        <v>77.594300</v>
      </c>
    </row>
    <row r="21613" spans="1:9">
      <c r="A21613" s="22" t="str">
        <f>HYPERLINK("https://app.vivvix.com/360/KMI/IntelliDrive/ApplUI/Pages/CreativePages/CustomReportCreativeDetail.aspx?App=23&amp;ReportView=4&amp;Qid=1711279&amp;Row=21605&amp;Col=1","No Title Assigned - #15280134240")</f>
        <v/>
      </c>
      <c r="B21613" s="0" t="s">
        <v>28681</v>
      </c>
      <c r="E21613" s="0" t="inlineStr">
        <is>
          <t xml:space="preserve">Mazda</t>
        </is>
      </c>
      <c r="F21613" s="0" t="inlineStr">
        <is>
          <t xml:space="preserve">Mazda</t>
        </is>
      </c>
      <c r="G21613" s="0" t="s">
        <v>171</v>
      </c>
      <c r="H21613" s="5">
        <v>349.545500</v>
      </c>
    </row>
    <row r="21614" spans="1:9">
      <c r="A21614" s="22" t="str">
        <f>HYPERLINK("https://app.vivvix.com/360/KMI/IntelliDrive/ApplUI/Pages/CreativePages/CustomReportCreativeDetail.aspx?App=23&amp;ReportView=4&amp;Qid=1711279&amp;Row=21606&amp;Col=1","No Title Assigned - #15280134265")</f>
        <v/>
      </c>
      <c r="B21614" s="0" t="s">
        <v>28682</v>
      </c>
      <c r="E21614" s="0" t="inlineStr">
        <is>
          <t xml:space="preserve">Mazda</t>
        </is>
      </c>
      <c r="F21614" s="0" t="inlineStr">
        <is>
          <t xml:space="preserve">Mazda</t>
        </is>
      </c>
      <c r="G21614" s="0" t="s">
        <v>171</v>
      </c>
      <c r="H21614" s="5">
        <v>21.646900</v>
      </c>
    </row>
    <row r="21615" spans="1:9">
      <c r="A21615" s="22" t="str">
        <f>HYPERLINK("https://app.vivvix.com/360/KMI/IntelliDrive/ApplUI/Pages/CreativePages/CustomReportCreativeDetail.aspx?App=23&amp;ReportView=4&amp;Qid=1711279&amp;Row=21607&amp;Col=1","No Title Assigned - #15280134451")</f>
        <v/>
      </c>
      <c r="B21615" s="0" t="s">
        <v>28683</v>
      </c>
      <c r="C21615" s="0" t="s">
        <v>28684</v>
      </c>
      <c r="D21615" s="0" t="s">
        <v>28684</v>
      </c>
      <c r="E21615" s="0" t="inlineStr">
        <is>
          <t xml:space="preserve">Mazda</t>
        </is>
      </c>
      <c r="F21615" s="0" t="inlineStr">
        <is>
          <t xml:space="preserve">Mazda</t>
        </is>
      </c>
      <c r="G21615" s="0" t="s">
        <v>171</v>
      </c>
      <c r="H21615" s="5">
        <v>1128.294400</v>
      </c>
    </row>
    <row r="21616" spans="1:9">
      <c r="A21616" s="22" t="str">
        <f>HYPERLINK("https://app.vivvix.com/360/KMI/IntelliDrive/ApplUI/Pages/CreativePages/CustomReportCreativeDetail.aspx?App=23&amp;ReportView=4&amp;Qid=1711279&amp;Row=21608&amp;Col=1","No Title Assigned - #15280134542")</f>
        <v/>
      </c>
      <c r="B21616" s="0" t="s">
        <v>28685</v>
      </c>
      <c r="E21616" s="0" t="inlineStr">
        <is>
          <t xml:space="preserve">Mazda</t>
        </is>
      </c>
      <c r="F21616" s="0" t="inlineStr">
        <is>
          <t xml:space="preserve">Mazda</t>
        </is>
      </c>
      <c r="G21616" s="0" t="s">
        <v>171</v>
      </c>
      <c r="H21616" s="5">
        <v>723.199200</v>
      </c>
    </row>
    <row r="21617" spans="1:9">
      <c r="A21617" s="22" t="str">
        <f>HYPERLINK("https://app.vivvix.com/360/KMI/IntelliDrive/ApplUI/Pages/CreativePages/CustomReportCreativeDetail.aspx?App=23&amp;ReportView=4&amp;Qid=1711279&amp;Row=21609&amp;Col=1","No Title Assigned - #15280134660")</f>
        <v/>
      </c>
      <c r="B21617" s="0" t="s">
        <v>28686</v>
      </c>
      <c r="E21617" s="0" t="inlineStr">
        <is>
          <t xml:space="preserve">Mazda</t>
        </is>
      </c>
      <c r="F21617" s="0" t="inlineStr">
        <is>
          <t xml:space="preserve">Mazda</t>
        </is>
      </c>
      <c r="G21617" s="0" t="s">
        <v>171</v>
      </c>
      <c r="H21617" s="5">
        <v>227.258700</v>
      </c>
    </row>
    <row r="21618" spans="1:9">
      <c r="A21618" s="22" t="str">
        <f>HYPERLINK("https://app.vivvix.com/360/KMI/IntelliDrive/ApplUI/Pages/CreativePages/CustomReportCreativeDetail.aspx?App=23&amp;ReportView=4&amp;Qid=1711279&amp;Row=21610&amp;Col=1","No Title Assigned - #15280134689")</f>
        <v/>
      </c>
      <c r="B21618" s="0" t="s">
        <v>28687</v>
      </c>
      <c r="E21618" s="0" t="inlineStr">
        <is>
          <t xml:space="preserve">Mazda</t>
        </is>
      </c>
      <c r="F21618" s="0" t="inlineStr">
        <is>
          <t xml:space="preserve">Mazda</t>
        </is>
      </c>
      <c r="G21618" s="0" t="s">
        <v>171</v>
      </c>
      <c r="H21618" s="5">
        <v>64.940700</v>
      </c>
    </row>
    <row r="21619" spans="1:9">
      <c r="A21619" s="22" t="str">
        <f>HYPERLINK("https://app.vivvix.com/360/KMI/IntelliDrive/ApplUI/Pages/CreativePages/CustomReportCreativeDetail.aspx?App=23&amp;ReportView=4&amp;Qid=1711279&amp;Row=21611&amp;Col=1","No Title Assigned - #15280134719")</f>
        <v/>
      </c>
      <c r="B21619" s="0" t="s">
        <v>28688</v>
      </c>
      <c r="E21619" s="0" t="inlineStr">
        <is>
          <t xml:space="preserve">Mazda</t>
        </is>
      </c>
      <c r="F21619" s="0" t="inlineStr">
        <is>
          <t xml:space="preserve">Mazda</t>
        </is>
      </c>
      <c r="G21619" s="0" t="s">
        <v>171</v>
      </c>
      <c r="H21619" s="5">
        <v>87.424900</v>
      </c>
    </row>
    <row r="21620" spans="1:9">
      <c r="A21620" s="22" t="str">
        <f>HYPERLINK("https://app.vivvix.com/360/KMI/IntelliDrive/ApplUI/Pages/CreativePages/CustomReportCreativeDetail.aspx?App=23&amp;ReportView=4&amp;Qid=1711279&amp;Row=21612&amp;Col=1","No Title Assigned - #15280134754")</f>
        <v/>
      </c>
      <c r="B21620" s="0" t="s">
        <v>28689</v>
      </c>
      <c r="E21620" s="0" t="inlineStr">
        <is>
          <t xml:space="preserve">Mazda</t>
        </is>
      </c>
      <c r="F21620" s="0" t="inlineStr">
        <is>
          <t xml:space="preserve">Mazda</t>
        </is>
      </c>
      <c r="G21620" s="0" t="s">
        <v>171</v>
      </c>
      <c r="H21620" s="5">
        <v>225.926200</v>
      </c>
    </row>
    <row r="21621" spans="1:9">
      <c r="A21621" s="22" t="str">
        <f>HYPERLINK("https://app.vivvix.com/360/KMI/IntelliDrive/ApplUI/Pages/CreativePages/CustomReportCreativeDetail.aspx?App=23&amp;ReportView=4&amp;Qid=1711279&amp;Row=21613&amp;Col=1","No Title Assigned - #15280134802")</f>
        <v/>
      </c>
      <c r="B21621" s="0" t="s">
        <v>28690</v>
      </c>
      <c r="E21621" s="0" t="inlineStr">
        <is>
          <t xml:space="preserve">Mazda</t>
        </is>
      </c>
      <c r="F21621" s="0" t="inlineStr">
        <is>
          <t xml:space="preserve">Mazda</t>
        </is>
      </c>
      <c r="G21621" s="0" t="s">
        <v>171</v>
      </c>
      <c r="H21621" s="5">
        <v>310.377200</v>
      </c>
    </row>
    <row r="21622" spans="1:9">
      <c r="A21622" s="22" t="str">
        <f>HYPERLINK("https://app.vivvix.com/360/KMI/IntelliDrive/ApplUI/Pages/CreativePages/CustomReportCreativeDetail.aspx?App=23&amp;ReportView=4&amp;Qid=1711279&amp;Row=21614&amp;Col=1","No Title Assigned - #15280134805")</f>
        <v/>
      </c>
      <c r="B21622" s="0" t="s">
        <v>28691</v>
      </c>
      <c r="E21622" s="0" t="inlineStr">
        <is>
          <t xml:space="preserve">Mazda</t>
        </is>
      </c>
      <c r="F21622" s="0" t="inlineStr">
        <is>
          <t xml:space="preserve">Mazda</t>
        </is>
      </c>
      <c r="G21622" s="0" t="s">
        <v>171</v>
      </c>
      <c r="H21622" s="5">
        <v>90.316100</v>
      </c>
    </row>
    <row r="21623" spans="1:9">
      <c r="A21623" s="22" t="str">
        <f>HYPERLINK("https://app.vivvix.com/360/KMI/IntelliDrive/ApplUI/Pages/CreativePages/CustomReportCreativeDetail.aspx?App=23&amp;ReportView=4&amp;Qid=1711279&amp;Row=21615&amp;Col=1","No Title Assigned - #15280134819")</f>
        <v/>
      </c>
      <c r="B21623" s="0" t="s">
        <v>28692</v>
      </c>
      <c r="E21623" s="0" t="inlineStr">
        <is>
          <t xml:space="preserve">Mazda</t>
        </is>
      </c>
      <c r="F21623" s="0" t="inlineStr">
        <is>
          <t xml:space="preserve">Mazda</t>
        </is>
      </c>
      <c r="G21623" s="0" t="s">
        <v>171</v>
      </c>
      <c r="H21623" s="5">
        <v>115.600300</v>
      </c>
    </row>
    <row r="21624" spans="1:9">
      <c r="A21624" s="22" t="str">
        <f>HYPERLINK("https://app.vivvix.com/360/KMI/IntelliDrive/ApplUI/Pages/CreativePages/CustomReportCreativeDetail.aspx?App=23&amp;ReportView=4&amp;Qid=1711279&amp;Row=21616&amp;Col=1","No Title Assigned - #15280134865")</f>
        <v/>
      </c>
      <c r="B21624" s="0" t="s">
        <v>28693</v>
      </c>
      <c r="E21624" s="0" t="inlineStr">
        <is>
          <t xml:space="preserve">Mazda</t>
        </is>
      </c>
      <c r="F21624" s="0" t="inlineStr">
        <is>
          <t xml:space="preserve">Mazda</t>
        </is>
      </c>
      <c r="G21624" s="0" t="s">
        <v>171</v>
      </c>
      <c r="H21624" s="5">
        <v>687.768200</v>
      </c>
    </row>
    <row r="21625" spans="1:9">
      <c r="A21625" s="22" t="str">
        <f>HYPERLINK("https://app.vivvix.com/360/KMI/IntelliDrive/ApplUI/Pages/CreativePages/CustomReportCreativeDetail.aspx?App=23&amp;ReportView=4&amp;Qid=1711279&amp;Row=21617&amp;Col=1","No Title Assigned - #15280134931")</f>
        <v/>
      </c>
      <c r="B21625" s="0" t="s">
        <v>28694</v>
      </c>
      <c r="E21625" s="0" t="inlineStr">
        <is>
          <t xml:space="preserve">Mazda</t>
        </is>
      </c>
      <c r="F21625" s="0" t="inlineStr">
        <is>
          <t xml:space="preserve">Mazda</t>
        </is>
      </c>
      <c r="G21625" s="0" t="s">
        <v>171</v>
      </c>
      <c r="H21625" s="5">
        <v>961.845100</v>
      </c>
    </row>
    <row r="21626" spans="1:9">
      <c r="A21626" s="22" t="str">
        <f>HYPERLINK("https://app.vivvix.com/360/KMI/IntelliDrive/ApplUI/Pages/CreativePages/CustomReportCreativeDetail.aspx?App=23&amp;ReportView=4&amp;Qid=1711279&amp;Row=21618&amp;Col=1","No Title Assigned - #15280134959")</f>
        <v/>
      </c>
      <c r="B21626" s="0" t="s">
        <v>28695</v>
      </c>
      <c r="E21626" s="0" t="inlineStr">
        <is>
          <t xml:space="preserve">Mazda</t>
        </is>
      </c>
      <c r="F21626" s="0" t="inlineStr">
        <is>
          <t xml:space="preserve">Mazda</t>
        </is>
      </c>
      <c r="G21626" s="0" t="s">
        <v>171</v>
      </c>
      <c r="H21626" s="5">
        <v>334.995600</v>
      </c>
    </row>
    <row r="21627" spans="1:9">
      <c r="A21627" s="22" t="str">
        <f>HYPERLINK("https://app.vivvix.com/360/KMI/IntelliDrive/ApplUI/Pages/CreativePages/CustomReportCreativeDetail.aspx?App=23&amp;ReportView=4&amp;Qid=1711279&amp;Row=21619&amp;Col=1","No Title Assigned - #15280134966")</f>
        <v/>
      </c>
      <c r="B21627" s="0" t="s">
        <v>28696</v>
      </c>
      <c r="E21627" s="0" t="inlineStr">
        <is>
          <t xml:space="preserve">Mazda</t>
        </is>
      </c>
      <c r="F21627" s="0" t="inlineStr">
        <is>
          <t xml:space="preserve">Mazda</t>
        </is>
      </c>
      <c r="G21627" s="0" t="s">
        <v>171</v>
      </c>
      <c r="H21627" s="5">
        <v>2.297700</v>
      </c>
    </row>
    <row r="21628" spans="1:9">
      <c r="A21628" s="22" t="str">
        <f>HYPERLINK("https://app.vivvix.com/360/KMI/IntelliDrive/ApplUI/Pages/CreativePages/CustomReportCreativeDetail.aspx?App=23&amp;ReportView=4&amp;Qid=1711279&amp;Row=21620&amp;Col=1","No Title Assigned - #15280134986")</f>
        <v/>
      </c>
      <c r="B21628" s="0" t="s">
        <v>28697</v>
      </c>
      <c r="C21628" s="0" t="s">
        <v>28698</v>
      </c>
      <c r="D21628" s="0" t="s">
        <v>28698</v>
      </c>
      <c r="E21628" s="0" t="inlineStr">
        <is>
          <t xml:space="preserve">Mazda</t>
        </is>
      </c>
      <c r="F21628" s="0" t="inlineStr">
        <is>
          <t xml:space="preserve">Mazda</t>
        </is>
      </c>
      <c r="G21628" s="0" t="s">
        <v>171</v>
      </c>
      <c r="H21628" s="5">
        <v>475.986300</v>
      </c>
    </row>
    <row r="21629" spans="1:9">
      <c r="A21629" s="22" t="str">
        <f>HYPERLINK("https://app.vivvix.com/360/KMI/IntelliDrive/ApplUI/Pages/CreativePages/CustomReportCreativeDetail.aspx?App=23&amp;ReportView=4&amp;Qid=1711279&amp;Row=21621&amp;Col=1","No Title Assigned - #15280134994")</f>
        <v/>
      </c>
      <c r="B21629" s="0" t="s">
        <v>28699</v>
      </c>
      <c r="E21629" s="0" t="inlineStr">
        <is>
          <t xml:space="preserve">Mazda</t>
        </is>
      </c>
      <c r="F21629" s="0" t="inlineStr">
        <is>
          <t xml:space="preserve">Mazda</t>
        </is>
      </c>
      <c r="G21629" s="0" t="s">
        <v>171</v>
      </c>
      <c r="H21629" s="5">
        <v>25.375400</v>
      </c>
    </row>
    <row r="21630" spans="1:9">
      <c r="A21630" s="22" t="str">
        <f>HYPERLINK("https://app.vivvix.com/360/KMI/IntelliDrive/ApplUI/Pages/CreativePages/CustomReportCreativeDetail.aspx?App=23&amp;ReportView=4&amp;Qid=1711279&amp;Row=21622&amp;Col=1","No Title Assigned - #15280135043")</f>
        <v/>
      </c>
      <c r="B21630" s="0" t="s">
        <v>28700</v>
      </c>
      <c r="E21630" s="0" t="inlineStr">
        <is>
          <t xml:space="preserve">Mazda</t>
        </is>
      </c>
      <c r="F21630" s="0" t="inlineStr">
        <is>
          <t xml:space="preserve">Mazda</t>
        </is>
      </c>
      <c r="G21630" s="0" t="s">
        <v>171</v>
      </c>
      <c r="H21630" s="5">
        <v>95.882900</v>
      </c>
    </row>
    <row r="21631" spans="1:9">
      <c r="A21631" s="22" t="str">
        <f>HYPERLINK("https://app.vivvix.com/360/KMI/IntelliDrive/ApplUI/Pages/CreativePages/CustomReportCreativeDetail.aspx?App=23&amp;ReportView=4&amp;Qid=1711279&amp;Row=21623&amp;Col=1","No Title Assigned - #15280135122")</f>
        <v/>
      </c>
      <c r="B21631" s="0" t="s">
        <v>28701</v>
      </c>
      <c r="E21631" s="0" t="inlineStr">
        <is>
          <t xml:space="preserve">Mazda</t>
        </is>
      </c>
      <c r="F21631" s="0" t="inlineStr">
        <is>
          <t xml:space="preserve">Mazda</t>
        </is>
      </c>
      <c r="G21631" s="0" t="s">
        <v>171</v>
      </c>
      <c r="H21631" s="5">
        <v>40.961700</v>
      </c>
    </row>
    <row r="21632" spans="1:9">
      <c r="A21632" s="22" t="str">
        <f>HYPERLINK("https://app.vivvix.com/360/KMI/IntelliDrive/ApplUI/Pages/CreativePages/CustomReportCreativeDetail.aspx?App=23&amp;ReportView=4&amp;Qid=1711279&amp;Row=21624&amp;Col=1","No Title Assigned - #15280135160")</f>
        <v/>
      </c>
      <c r="B21632" s="0" t="s">
        <v>28702</v>
      </c>
      <c r="E21632" s="0" t="inlineStr">
        <is>
          <t xml:space="preserve">Mazda</t>
        </is>
      </c>
      <c r="F21632" s="0" t="inlineStr">
        <is>
          <t xml:space="preserve">Mazda</t>
        </is>
      </c>
      <c r="G21632" s="0" t="s">
        <v>171</v>
      </c>
      <c r="H21632" s="5">
        <v>8.136000</v>
      </c>
    </row>
    <row r="21633" spans="1:9">
      <c r="A21633" s="22" t="str">
        <f>HYPERLINK("https://app.vivvix.com/360/KMI/IntelliDrive/ApplUI/Pages/CreativePages/CustomReportCreativeDetail.aspx?App=23&amp;ReportView=4&amp;Qid=1711279&amp;Row=21625&amp;Col=1","No Title Assigned - #15280135294")</f>
        <v/>
      </c>
      <c r="B21633" s="0" t="s">
        <v>28703</v>
      </c>
      <c r="E21633" s="0" t="inlineStr">
        <is>
          <t xml:space="preserve">Mazda</t>
        </is>
      </c>
      <c r="F21633" s="0" t="inlineStr">
        <is>
          <t xml:space="preserve">Mazda</t>
        </is>
      </c>
      <c r="G21633" s="0" t="s">
        <v>171</v>
      </c>
      <c r="H21633" s="5">
        <v>55.971900</v>
      </c>
    </row>
    <row r="21634" spans="1:9">
      <c r="A21634" s="22" t="str">
        <f>HYPERLINK("https://app.vivvix.com/360/KMI/IntelliDrive/ApplUI/Pages/CreativePages/CustomReportCreativeDetail.aspx?App=23&amp;ReportView=4&amp;Qid=1711279&amp;Row=21626&amp;Col=1","No Title Assigned - #15280135348")</f>
        <v/>
      </c>
      <c r="B21634" s="0" t="s">
        <v>28704</v>
      </c>
      <c r="E21634" s="0" t="inlineStr">
        <is>
          <t xml:space="preserve">Mazda</t>
        </is>
      </c>
      <c r="F21634" s="0" t="inlineStr">
        <is>
          <t xml:space="preserve">Mazda</t>
        </is>
      </c>
      <c r="G21634" s="0" t="s">
        <v>171</v>
      </c>
      <c r="H21634" s="5">
        <v>1944.416900</v>
      </c>
    </row>
    <row r="21635" spans="1:9">
      <c r="A21635" s="22" t="str">
        <f>HYPERLINK("https://app.vivvix.com/360/KMI/IntelliDrive/ApplUI/Pages/CreativePages/CustomReportCreativeDetail.aspx?App=23&amp;ReportView=4&amp;Qid=1711279&amp;Row=21627&amp;Col=1","No Title Assigned - #15280135367")</f>
        <v/>
      </c>
      <c r="B21635" s="0" t="s">
        <v>28705</v>
      </c>
      <c r="E21635" s="0" t="inlineStr">
        <is>
          <t xml:space="preserve">Mazda</t>
        </is>
      </c>
      <c r="F21635" s="0" t="inlineStr">
        <is>
          <t xml:space="preserve">Mazda</t>
        </is>
      </c>
      <c r="G21635" s="0" t="s">
        <v>171</v>
      </c>
      <c r="H21635" s="5">
        <v>27.275700</v>
      </c>
    </row>
    <row r="21636" spans="1:9">
      <c r="A21636" s="22" t="str">
        <f>HYPERLINK("https://app.vivvix.com/360/KMI/IntelliDrive/ApplUI/Pages/CreativePages/CustomReportCreativeDetail.aspx?App=23&amp;ReportView=4&amp;Qid=1711279&amp;Row=21628&amp;Col=1","No Title Assigned - #15280135385")</f>
        <v/>
      </c>
      <c r="B21636" s="0" t="s">
        <v>28706</v>
      </c>
      <c r="E21636" s="0" t="inlineStr">
        <is>
          <t xml:space="preserve">Mazda</t>
        </is>
      </c>
      <c r="F21636" s="0" t="inlineStr">
        <is>
          <t xml:space="preserve">Mazda</t>
        </is>
      </c>
      <c r="G21636" s="0" t="s">
        <v>171</v>
      </c>
      <c r="H21636" s="5">
        <v>208.327200</v>
      </c>
    </row>
    <row r="21637" spans="1:9">
      <c r="A21637" s="22" t="str">
        <f>HYPERLINK("https://app.vivvix.com/360/KMI/IntelliDrive/ApplUI/Pages/CreativePages/CustomReportCreativeDetail.aspx?App=23&amp;ReportView=4&amp;Qid=1711279&amp;Row=21629&amp;Col=1","No Title Assigned - #15280135781")</f>
        <v/>
      </c>
      <c r="B21637" s="0" t="s">
        <v>28707</v>
      </c>
      <c r="E21637" s="0" t="inlineStr">
        <is>
          <t xml:space="preserve">Mazda</t>
        </is>
      </c>
      <c r="F21637" s="0" t="inlineStr">
        <is>
          <t xml:space="preserve">Mazda</t>
        </is>
      </c>
      <c r="G21637" s="0" t="s">
        <v>171</v>
      </c>
      <c r="H21637" s="5">
        <v>612.736700</v>
      </c>
    </row>
    <row r="21638" spans="1:9">
      <c r="A21638" s="22" t="str">
        <f>HYPERLINK("https://app.vivvix.com/360/KMI/IntelliDrive/ApplUI/Pages/CreativePages/CustomReportCreativeDetail.aspx?App=23&amp;ReportView=4&amp;Qid=1711279&amp;Row=21630&amp;Col=1","No Title Assigned - #15280136259")</f>
        <v/>
      </c>
      <c r="B21638" s="0" t="s">
        <v>28708</v>
      </c>
      <c r="E21638" s="0" t="inlineStr">
        <is>
          <t xml:space="preserve">Mazda</t>
        </is>
      </c>
      <c r="F21638" s="0" t="inlineStr">
        <is>
          <t xml:space="preserve">Mazda</t>
        </is>
      </c>
      <c r="G21638" s="0" t="s">
        <v>171</v>
      </c>
      <c r="H21638" s="5">
        <v>21.646900</v>
      </c>
    </row>
    <row r="21639" spans="1:9">
      <c r="A21639" s="22" t="str">
        <f>HYPERLINK("https://app.vivvix.com/360/KMI/IntelliDrive/ApplUI/Pages/CreativePages/CustomReportCreativeDetail.aspx?App=23&amp;ReportView=4&amp;Qid=1711279&amp;Row=21631&amp;Col=1","No Title Assigned - #15280136338")</f>
        <v/>
      </c>
      <c r="B21639" s="0" t="s">
        <v>28709</v>
      </c>
      <c r="E21639" s="0" t="inlineStr">
        <is>
          <t xml:space="preserve">Mazda</t>
        </is>
      </c>
      <c r="F21639" s="0" t="inlineStr">
        <is>
          <t xml:space="preserve">Mazda</t>
        </is>
      </c>
      <c r="G21639" s="0" t="s">
        <v>171</v>
      </c>
      <c r="H21639" s="5">
        <v>85.195200</v>
      </c>
    </row>
    <row r="21640" spans="1:9">
      <c r="A21640" s="22" t="str">
        <f>HYPERLINK("https://app.vivvix.com/360/KMI/IntelliDrive/ApplUI/Pages/CreativePages/CustomReportCreativeDetail.aspx?App=23&amp;ReportView=4&amp;Qid=1711279&amp;Row=21632&amp;Col=1","No Title Assigned - #15280136531")</f>
        <v/>
      </c>
      <c r="B21640" s="0" t="s">
        <v>28710</v>
      </c>
      <c r="E21640" s="0" t="inlineStr">
        <is>
          <t xml:space="preserve">Mazda</t>
        </is>
      </c>
      <c r="F21640" s="0" t="inlineStr">
        <is>
          <t xml:space="preserve">Mazda</t>
        </is>
      </c>
      <c r="G21640" s="0" t="s">
        <v>171</v>
      </c>
      <c r="H21640" s="5">
        <v>4696.798400</v>
      </c>
    </row>
    <row r="21641" spans="1:9">
      <c r="A21641" s="22" t="str">
        <f>HYPERLINK("https://app.vivvix.com/360/KMI/IntelliDrive/ApplUI/Pages/CreativePages/CustomReportCreativeDetail.aspx?App=23&amp;ReportView=4&amp;Qid=1711279&amp;Row=21633&amp;Col=1","No Title Assigned - #15280136570")</f>
        <v/>
      </c>
      <c r="B21641" s="0" t="s">
        <v>28711</v>
      </c>
      <c r="E21641" s="0" t="inlineStr">
        <is>
          <t xml:space="preserve">Mazda</t>
        </is>
      </c>
      <c r="F21641" s="0" t="inlineStr">
        <is>
          <t xml:space="preserve">Mazda</t>
        </is>
      </c>
      <c r="G21641" s="0" t="s">
        <v>171</v>
      </c>
      <c r="H21641" s="5">
        <v>77.594300</v>
      </c>
    </row>
    <row r="21642" spans="1:9">
      <c r="A21642" s="22" t="str">
        <f>HYPERLINK("https://app.vivvix.com/360/KMI/IntelliDrive/ApplUI/Pages/CreativePages/CustomReportCreativeDetail.aspx?App=23&amp;ReportView=4&amp;Qid=1711279&amp;Row=21634&amp;Col=1","No Title Assigned - #15280136587")</f>
        <v/>
      </c>
      <c r="B21642" s="0" t="s">
        <v>28712</v>
      </c>
      <c r="E21642" s="0" t="inlineStr">
        <is>
          <t xml:space="preserve">Mazda</t>
        </is>
      </c>
      <c r="F21642" s="0" t="inlineStr">
        <is>
          <t xml:space="preserve">Mazda</t>
        </is>
      </c>
      <c r="G21642" s="0" t="s">
        <v>171</v>
      </c>
      <c r="H21642" s="5">
        <v>115.600300</v>
      </c>
    </row>
    <row r="21643" spans="1:9">
      <c r="A21643" s="22" t="str">
        <f>HYPERLINK("https://app.vivvix.com/360/KMI/IntelliDrive/ApplUI/Pages/CreativePages/CustomReportCreativeDetail.aspx?App=23&amp;ReportView=4&amp;Qid=1711279&amp;Row=21635&amp;Col=1","No Title Assigned - #15280136662")</f>
        <v/>
      </c>
      <c r="B21643" s="0" t="s">
        <v>28713</v>
      </c>
      <c r="E21643" s="0" t="inlineStr">
        <is>
          <t xml:space="preserve">Mazda</t>
        </is>
      </c>
      <c r="F21643" s="0" t="inlineStr">
        <is>
          <t xml:space="preserve">Mazda</t>
        </is>
      </c>
      <c r="G21643" s="0" t="s">
        <v>171</v>
      </c>
      <c r="H21643" s="5">
        <v>129.943400</v>
      </c>
    </row>
    <row r="21644" spans="1:9">
      <c r="A21644" s="22" t="str">
        <f>HYPERLINK("https://app.vivvix.com/360/KMI/IntelliDrive/ApplUI/Pages/CreativePages/CustomReportCreativeDetail.aspx?App=23&amp;ReportView=4&amp;Qid=1711279&amp;Row=21636&amp;Col=1","No Title Assigned - #15280136676")</f>
        <v/>
      </c>
      <c r="B21644" s="0" t="s">
        <v>28714</v>
      </c>
      <c r="E21644" s="0" t="inlineStr">
        <is>
          <t xml:space="preserve">Mazda</t>
        </is>
      </c>
      <c r="F21644" s="0" t="inlineStr">
        <is>
          <t xml:space="preserve">Mazda</t>
        </is>
      </c>
      <c r="G21644" s="0" t="s">
        <v>171</v>
      </c>
      <c r="H21644" s="5">
        <v>2943.910800</v>
      </c>
    </row>
    <row r="21645" spans="1:9">
      <c r="A21645" s="22" t="str">
        <f>HYPERLINK("https://app.vivvix.com/360/KMI/IntelliDrive/ApplUI/Pages/CreativePages/CustomReportCreativeDetail.aspx?App=23&amp;ReportView=4&amp;Qid=1711279&amp;Row=21637&amp;Col=1","No Title Assigned - #15280136855")</f>
        <v/>
      </c>
      <c r="B21645" s="0" t="s">
        <v>28715</v>
      </c>
      <c r="E21645" s="0" t="inlineStr">
        <is>
          <t xml:space="preserve">Mazda</t>
        </is>
      </c>
      <c r="F21645" s="0" t="inlineStr">
        <is>
          <t xml:space="preserve">Mazda</t>
        </is>
      </c>
      <c r="G21645" s="0" t="s">
        <v>171</v>
      </c>
      <c r="H21645" s="5">
        <v>334.995600</v>
      </c>
    </row>
    <row r="21646" spans="1:9">
      <c r="A21646" s="22" t="str">
        <f>HYPERLINK("https://app.vivvix.com/360/KMI/IntelliDrive/ApplUI/Pages/CreativePages/CustomReportCreativeDetail.aspx?App=23&amp;ReportView=4&amp;Qid=1711279&amp;Row=21638&amp;Col=1","No Title Assigned - #15280136895")</f>
        <v/>
      </c>
      <c r="B21646" s="0" t="s">
        <v>28716</v>
      </c>
      <c r="E21646" s="0" t="inlineStr">
        <is>
          <t xml:space="preserve">Mazda</t>
        </is>
      </c>
      <c r="F21646" s="0" t="inlineStr">
        <is>
          <t xml:space="preserve">Mazda</t>
        </is>
      </c>
      <c r="G21646" s="0" t="s">
        <v>171</v>
      </c>
      <c r="H21646" s="5">
        <v>297.532600</v>
      </c>
    </row>
    <row r="21647" spans="1:9">
      <c r="A21647" s="22" t="str">
        <f>HYPERLINK("https://app.vivvix.com/360/KMI/IntelliDrive/ApplUI/Pages/CreativePages/CustomReportCreativeDetail.aspx?App=23&amp;ReportView=4&amp;Qid=1711279&amp;Row=21639&amp;Col=1","No Title Assigned - #15280137029")</f>
        <v/>
      </c>
      <c r="B21647" s="0" t="s">
        <v>28717</v>
      </c>
      <c r="E21647" s="0" t="inlineStr">
        <is>
          <t xml:space="preserve">Mazda</t>
        </is>
      </c>
      <c r="F21647" s="0" t="inlineStr">
        <is>
          <t xml:space="preserve">Mazda</t>
        </is>
      </c>
      <c r="G21647" s="0" t="s">
        <v>171</v>
      </c>
      <c r="H21647" s="5">
        <v>1134.944900</v>
      </c>
    </row>
    <row r="21648" spans="1:9">
      <c r="A21648" s="22" t="str">
        <f>HYPERLINK("https://app.vivvix.com/360/KMI/IntelliDrive/ApplUI/Pages/CreativePages/CustomReportCreativeDetail.aspx?App=23&amp;ReportView=4&amp;Qid=1711279&amp;Row=21640&amp;Col=1","No Title Assigned - #15280137113")</f>
        <v/>
      </c>
      <c r="B21648" s="0" t="s">
        <v>28718</v>
      </c>
      <c r="E21648" s="0" t="inlineStr">
        <is>
          <t xml:space="preserve">Mazda</t>
        </is>
      </c>
      <c r="F21648" s="0" t="inlineStr">
        <is>
          <t xml:space="preserve">Mazda</t>
        </is>
      </c>
      <c r="G21648" s="0" t="s">
        <v>171</v>
      </c>
      <c r="H21648" s="5">
        <v>22.412400</v>
      </c>
    </row>
    <row r="21649" spans="1:9">
      <c r="A21649" s="22" t="str">
        <f>HYPERLINK("https://app.vivvix.com/360/KMI/IntelliDrive/ApplUI/Pages/CreativePages/CustomReportCreativeDetail.aspx?App=23&amp;ReportView=4&amp;Qid=1711279&amp;Row=21641&amp;Col=1","No Title Assigned - #15280137274")</f>
        <v/>
      </c>
      <c r="B21649" s="0" t="s">
        <v>28719</v>
      </c>
      <c r="E21649" s="0" t="inlineStr">
        <is>
          <t xml:space="preserve">Mazda</t>
        </is>
      </c>
      <c r="F21649" s="0" t="inlineStr">
        <is>
          <t xml:space="preserve">Mazda</t>
        </is>
      </c>
      <c r="G21649" s="0" t="s">
        <v>171</v>
      </c>
      <c r="H21649" s="5">
        <v>14.170600</v>
      </c>
    </row>
    <row r="21650" spans="1:9">
      <c r="A21650" s="22" t="str">
        <f>HYPERLINK("https://app.vivvix.com/360/KMI/IntelliDrive/ApplUI/Pages/CreativePages/CustomReportCreativeDetail.aspx?App=23&amp;ReportView=4&amp;Qid=1711279&amp;Row=21642&amp;Col=1","No Title Assigned - #15280137285")</f>
        <v/>
      </c>
      <c r="B21650" s="0" t="s">
        <v>28720</v>
      </c>
      <c r="E21650" s="0" t="inlineStr">
        <is>
          <t xml:space="preserve">Mazda</t>
        </is>
      </c>
      <c r="F21650" s="0" t="inlineStr">
        <is>
          <t xml:space="preserve">Mazda</t>
        </is>
      </c>
      <c r="G21650" s="0" t="s">
        <v>171</v>
      </c>
      <c r="H21650" s="5">
        <v>49.777500</v>
      </c>
    </row>
    <row r="21651" spans="1:9">
      <c r="A21651" s="22" t="str">
        <f>HYPERLINK("https://app.vivvix.com/360/KMI/IntelliDrive/ApplUI/Pages/CreativePages/CustomReportCreativeDetail.aspx?App=23&amp;ReportView=4&amp;Qid=1711279&amp;Row=21643&amp;Col=1","No Title Assigned - #15280137360")</f>
        <v/>
      </c>
      <c r="B21651" s="0" t="s">
        <v>28721</v>
      </c>
      <c r="E21651" s="0" t="inlineStr">
        <is>
          <t xml:space="preserve">Mazda</t>
        </is>
      </c>
      <c r="F21651" s="0" t="inlineStr">
        <is>
          <t xml:space="preserve">Mazda</t>
        </is>
      </c>
      <c r="G21651" s="0" t="s">
        <v>171</v>
      </c>
      <c r="H21651" s="5">
        <v>31.914400</v>
      </c>
    </row>
    <row r="21652" spans="1:9">
      <c r="A21652" s="22" t="str">
        <f>HYPERLINK("https://app.vivvix.com/360/KMI/IntelliDrive/ApplUI/Pages/CreativePages/CustomReportCreativeDetail.aspx?App=23&amp;ReportView=4&amp;Qid=1711279&amp;Row=21644&amp;Col=1","No Title Assigned - #15280137391")</f>
        <v/>
      </c>
      <c r="B21652" s="0" t="s">
        <v>28722</v>
      </c>
      <c r="E21652" s="0" t="inlineStr">
        <is>
          <t xml:space="preserve">Mazda</t>
        </is>
      </c>
      <c r="F21652" s="0" t="inlineStr">
        <is>
          <t xml:space="preserve">Mazda</t>
        </is>
      </c>
      <c r="G21652" s="0" t="s">
        <v>171</v>
      </c>
      <c r="H21652" s="5">
        <v>436.809400</v>
      </c>
    </row>
    <row r="21653" spans="1:9">
      <c r="A21653" s="22" t="str">
        <f>HYPERLINK("https://app.vivvix.com/360/KMI/IntelliDrive/ApplUI/Pages/CreativePages/CustomReportCreativeDetail.aspx?App=23&amp;ReportView=4&amp;Qid=1711279&amp;Row=21645&amp;Col=1","No Title Assigned - #15280137785")</f>
        <v/>
      </c>
      <c r="B21653" s="0" t="s">
        <v>28723</v>
      </c>
      <c r="E21653" s="0" t="inlineStr">
        <is>
          <t xml:space="preserve">Mazda</t>
        </is>
      </c>
      <c r="F21653" s="0" t="inlineStr">
        <is>
          <t xml:space="preserve">Mazda</t>
        </is>
      </c>
      <c r="G21653" s="0" t="s">
        <v>171</v>
      </c>
      <c r="H21653" s="5">
        <v>98.357500</v>
      </c>
    </row>
    <row r="21654" spans="1:9">
      <c r="A21654" s="22" t="str">
        <f>HYPERLINK("https://app.vivvix.com/360/KMI/IntelliDrive/ApplUI/Pages/CreativePages/CustomReportCreativeDetail.aspx?App=23&amp;ReportView=4&amp;Qid=1711279&amp;Row=21646&amp;Col=1","No Title Assigned - #15280138324")</f>
        <v/>
      </c>
      <c r="B21654" s="0" t="s">
        <v>28724</v>
      </c>
      <c r="E21654" s="0" t="inlineStr">
        <is>
          <t xml:space="preserve">Mazda</t>
        </is>
      </c>
      <c r="F21654" s="0" t="inlineStr">
        <is>
          <t xml:space="preserve">Mazda</t>
        </is>
      </c>
      <c r="G21654" s="0" t="s">
        <v>171</v>
      </c>
      <c r="H21654" s="5">
        <v>1004.986800</v>
      </c>
    </row>
    <row r="21655" spans="1:9">
      <c r="A21655" s="22" t="str">
        <f>HYPERLINK("https://app.vivvix.com/360/KMI/IntelliDrive/ApplUI/Pages/CreativePages/CustomReportCreativeDetail.aspx?App=23&amp;ReportView=4&amp;Qid=1711279&amp;Row=21647&amp;Col=1","No Title Assigned - #15280138454")</f>
        <v/>
      </c>
      <c r="B21655" s="0" t="s">
        <v>28725</v>
      </c>
      <c r="E21655" s="0" t="inlineStr">
        <is>
          <t xml:space="preserve">Mazda</t>
        </is>
      </c>
      <c r="F21655" s="0" t="inlineStr">
        <is>
          <t xml:space="preserve">Mazda</t>
        </is>
      </c>
      <c r="G21655" s="0" t="s">
        <v>171</v>
      </c>
      <c r="H21655" s="5">
        <v>61.313100</v>
      </c>
    </row>
    <row r="21656" spans="1:9">
      <c r="A21656" s="22" t="str">
        <f>HYPERLINK("https://app.vivvix.com/360/KMI/IntelliDrive/ApplUI/Pages/CreativePages/CustomReportCreativeDetail.aspx?App=23&amp;ReportView=4&amp;Qid=1711279&amp;Row=21648&amp;Col=1","No Title Assigned - #15280139457")</f>
        <v/>
      </c>
      <c r="B21656" s="0" t="s">
        <v>28726</v>
      </c>
      <c r="E21656" s="0" t="inlineStr">
        <is>
          <t xml:space="preserve">Mazda</t>
        </is>
      </c>
      <c r="F21656" s="0" t="inlineStr">
        <is>
          <t xml:space="preserve">Mazda</t>
        </is>
      </c>
      <c r="G21656" s="0" t="s">
        <v>171</v>
      </c>
      <c r="H21656" s="5">
        <v>10.909000</v>
      </c>
    </row>
    <row r="21657" spans="1:9">
      <c r="A21657" s="22" t="str">
        <f>HYPERLINK("https://app.vivvix.com/360/KMI/IntelliDrive/ApplUI/Pages/CreativePages/CustomReportCreativeDetail.aspx?App=23&amp;ReportView=4&amp;Qid=1711279&amp;Row=21649&amp;Col=1","No Title Assigned - #15280140186")</f>
        <v/>
      </c>
      <c r="B21657" s="0" t="s">
        <v>28727</v>
      </c>
      <c r="E21657" s="0" t="inlineStr">
        <is>
          <t xml:space="preserve">Mazda</t>
        </is>
      </c>
      <c r="F21657" s="0" t="inlineStr">
        <is>
          <t xml:space="preserve">Mazda</t>
        </is>
      </c>
      <c r="G21657" s="0" t="s">
        <v>171</v>
      </c>
      <c r="H21657" s="5">
        <v>183.961800</v>
      </c>
    </row>
    <row r="21658" spans="1:9">
      <c r="A21658" s="22" t="str">
        <f>HYPERLINK("https://app.vivvix.com/360/KMI/IntelliDrive/ApplUI/Pages/CreativePages/CustomReportCreativeDetail.aspx?App=23&amp;ReportView=4&amp;Qid=1711279&amp;Row=21650&amp;Col=1","No Title Assigned - #15280140223")</f>
        <v/>
      </c>
      <c r="B21658" s="0" t="s">
        <v>28728</v>
      </c>
      <c r="E21658" s="0" t="inlineStr">
        <is>
          <t xml:space="preserve">Mazda</t>
        </is>
      </c>
      <c r="F21658" s="0" t="inlineStr">
        <is>
          <t xml:space="preserve">Mazda</t>
        </is>
      </c>
      <c r="G21658" s="0" t="s">
        <v>171</v>
      </c>
      <c r="H21658" s="5">
        <v>806.282300</v>
      </c>
    </row>
    <row r="21659" spans="1:9">
      <c r="A21659" s="22" t="str">
        <f>HYPERLINK("https://app.vivvix.com/360/KMI/IntelliDrive/ApplUI/Pages/CreativePages/CustomReportCreativeDetail.aspx?App=23&amp;ReportView=4&amp;Qid=1711279&amp;Row=21651&amp;Col=1","No Title Assigned - #15280142175")</f>
        <v/>
      </c>
      <c r="B21659" s="0" t="s">
        <v>28729</v>
      </c>
      <c r="E21659" s="0" t="inlineStr">
        <is>
          <t xml:space="preserve">Mazda</t>
        </is>
      </c>
      <c r="F21659" s="0" t="inlineStr">
        <is>
          <t xml:space="preserve">Mazda</t>
        </is>
      </c>
      <c r="G21659" s="0" t="s">
        <v>171</v>
      </c>
      <c r="H21659" s="5">
        <v>479.208600</v>
      </c>
    </row>
    <row r="21660" spans="1:9">
      <c r="A21660" s="22" t="str">
        <f>HYPERLINK("https://app.vivvix.com/360/KMI/IntelliDrive/ApplUI/Pages/CreativePages/CustomReportCreativeDetail.aspx?App=23&amp;ReportView=4&amp;Qid=1711279&amp;Row=21652&amp;Col=1","No Title Assigned - #15280145308")</f>
        <v/>
      </c>
      <c r="B21660" s="0" t="s">
        <v>28730</v>
      </c>
      <c r="E21660" s="0" t="inlineStr">
        <is>
          <t xml:space="preserve">Mazda</t>
        </is>
      </c>
      <c r="F21660" s="0" t="inlineStr">
        <is>
          <t xml:space="preserve">Mazda</t>
        </is>
      </c>
      <c r="G21660" s="0" t="s">
        <v>171</v>
      </c>
      <c r="H21660" s="5">
        <v>9991.835600</v>
      </c>
    </row>
    <row r="21661" spans="1:9">
      <c r="A21661" s="22" t="str">
        <f>HYPERLINK("https://app.vivvix.com/360/KMI/IntelliDrive/ApplUI/Pages/CreativePages/CustomReportCreativeDetail.aspx?App=23&amp;ReportView=4&amp;Qid=1711279&amp;Row=21653&amp;Col=1","No Title Assigned - #15280145308")</f>
        <v/>
      </c>
      <c r="B21661" s="0" t="s">
        <v>28730</v>
      </c>
      <c r="E21661" s="0" t="inlineStr">
        <is>
          <t xml:space="preserve">Mazda</t>
        </is>
      </c>
      <c r="F21661" s="0" t="inlineStr">
        <is>
          <t xml:space="preserve">Mazda</t>
        </is>
      </c>
      <c r="G21661" s="0" t="s">
        <v>171</v>
      </c>
      <c r="H21661" s="5">
        <v>414.877400</v>
      </c>
    </row>
    <row r="21662" spans="1:9">
      <c r="A21662" s="22" t="str">
        <f>HYPERLINK("https://app.vivvix.com/360/KMI/IntelliDrive/ApplUI/Pages/CreativePages/CustomReportCreativeDetail.aspx?App=23&amp;ReportView=4&amp;Qid=1711279&amp;Row=21654&amp;Col=1","No Title Assigned - #15280150454")</f>
        <v/>
      </c>
      <c r="B21662" s="0" t="s">
        <v>28731</v>
      </c>
      <c r="E21662" s="0" t="inlineStr">
        <is>
          <t xml:space="preserve">Mazda</t>
        </is>
      </c>
      <c r="F21662" s="0" t="inlineStr">
        <is>
          <t xml:space="preserve">Mazda</t>
        </is>
      </c>
      <c r="G21662" s="0" t="s">
        <v>171</v>
      </c>
      <c r="H21662" s="5">
        <v>593.091800</v>
      </c>
    </row>
    <row r="21663" spans="1:9">
      <c r="A21663" s="22" t="str">
        <f>HYPERLINK("https://app.vivvix.com/360/KMI/IntelliDrive/ApplUI/Pages/CreativePages/CustomReportCreativeDetail.aspx?App=23&amp;ReportView=4&amp;Qid=1711279&amp;Row=21655&amp;Col=1","No Title Assigned - #15280150773")</f>
        <v/>
      </c>
      <c r="B21663" s="0" t="s">
        <v>28732</v>
      </c>
      <c r="E21663" s="0" t="inlineStr">
        <is>
          <t xml:space="preserve">Mazda</t>
        </is>
      </c>
      <c r="F21663" s="0" t="inlineStr">
        <is>
          <t xml:space="preserve">Mazda</t>
        </is>
      </c>
      <c r="G21663" s="0" t="s">
        <v>171</v>
      </c>
      <c r="H21663" s="5">
        <v>151.147300</v>
      </c>
    </row>
    <row r="21664" spans="1:9">
      <c r="A21664" s="22" t="str">
        <f>HYPERLINK("https://app.vivvix.com/360/KMI/IntelliDrive/ApplUI/Pages/CreativePages/CustomReportCreativeDetail.aspx?App=23&amp;ReportView=4&amp;Qid=1711279&amp;Row=21656&amp;Col=1","No Title Assigned - #15280150838")</f>
        <v/>
      </c>
      <c r="B21664" s="0" t="s">
        <v>28733</v>
      </c>
      <c r="E21664" s="0" t="inlineStr">
        <is>
          <t xml:space="preserve">Mazda</t>
        </is>
      </c>
      <c r="F21664" s="0" t="inlineStr">
        <is>
          <t xml:space="preserve">Mazda</t>
        </is>
      </c>
      <c r="G21664" s="0" t="s">
        <v>171</v>
      </c>
      <c r="H21664" s="5">
        <v>11.206200</v>
      </c>
    </row>
    <row r="21665" spans="1:9">
      <c r="A21665" s="22" t="str">
        <f>HYPERLINK("https://app.vivvix.com/360/KMI/IntelliDrive/ApplUI/Pages/CreativePages/CustomReportCreativeDetail.aspx?App=23&amp;ReportView=4&amp;Qid=1711279&amp;Row=21657&amp;Col=1","No Title Assigned - #15280156154")</f>
        <v/>
      </c>
      <c r="B21665" s="0" t="s">
        <v>28734</v>
      </c>
      <c r="E21665" s="0" t="inlineStr">
        <is>
          <t xml:space="preserve">Mazda</t>
        </is>
      </c>
      <c r="F21665" s="0" t="inlineStr">
        <is>
          <t xml:space="preserve">Mazda</t>
        </is>
      </c>
      <c r="G21665" s="0" t="s">
        <v>171</v>
      </c>
      <c r="H21665" s="5">
        <v>49.777500</v>
      </c>
    </row>
    <row r="21666" spans="1:9">
      <c r="A21666" s="22" t="str">
        <f>HYPERLINK("https://app.vivvix.com/360/KMI/IntelliDrive/ApplUI/Pages/CreativePages/CustomReportCreativeDetail.aspx?App=23&amp;ReportView=4&amp;Qid=1711279&amp;Row=21658&amp;Col=1","No Title Assigned - #15280156173")</f>
        <v/>
      </c>
      <c r="B21666" s="0" t="s">
        <v>28735</v>
      </c>
      <c r="E21666" s="0" t="inlineStr">
        <is>
          <t xml:space="preserve">Mazda</t>
        </is>
      </c>
      <c r="F21666" s="0" t="inlineStr">
        <is>
          <t xml:space="preserve">Mazda</t>
        </is>
      </c>
      <c r="G21666" s="0" t="s">
        <v>171</v>
      </c>
      <c r="H21666" s="5">
        <v>33.618600</v>
      </c>
    </row>
    <row r="21667" spans="1:9">
      <c r="A21667" s="22" t="str">
        <f>HYPERLINK("https://app.vivvix.com/360/KMI/IntelliDrive/ApplUI/Pages/CreativePages/CustomReportCreativeDetail.aspx?App=23&amp;ReportView=4&amp;Qid=1711279&amp;Row=21659&amp;Col=1","No Title Assigned - #15280156452")</f>
        <v/>
      </c>
      <c r="B21667" s="0" t="s">
        <v>28736</v>
      </c>
      <c r="C21667" s="0" t="s">
        <v>28737</v>
      </c>
      <c r="D21667" s="0" t="s">
        <v>28737</v>
      </c>
      <c r="E21667" s="0" t="inlineStr">
        <is>
          <t xml:space="preserve">Mazda</t>
        </is>
      </c>
      <c r="F21667" s="0" t="inlineStr">
        <is>
          <t xml:space="preserve">Mazda</t>
        </is>
      </c>
      <c r="G21667" s="0" t="s">
        <v>171</v>
      </c>
      <c r="H21667" s="5">
        <v>383.375100</v>
      </c>
    </row>
    <row r="21668" spans="1:9">
      <c r="A21668" s="22" t="str">
        <f>HYPERLINK("https://app.vivvix.com/360/KMI/IntelliDrive/ApplUI/Pages/CreativePages/CustomReportCreativeDetail.aspx?App=23&amp;ReportView=4&amp;Qid=1711279&amp;Row=21660&amp;Col=1","No Title Assigned - #15280165672")</f>
        <v/>
      </c>
      <c r="B21668" s="0" t="s">
        <v>28738</v>
      </c>
      <c r="C21668" s="0" t="s">
        <v>28739</v>
      </c>
      <c r="D21668" s="0" t="s">
        <v>4335</v>
      </c>
      <c r="E21668" s="0" t="inlineStr">
        <is>
          <t xml:space="preserve">Mazda</t>
        </is>
      </c>
      <c r="F21668" s="0" t="s">
        <v>13</v>
      </c>
      <c r="G21668" s="0" t="s">
        <v>49</v>
      </c>
      <c r="H21668" s="5">
        <v>2.196800</v>
      </c>
    </row>
    <row r="21669" spans="1:9">
      <c r="A21669" s="22" t="str">
        <f>HYPERLINK("https://app.vivvix.com/360/KMI/IntelliDrive/ApplUI/Pages/CreativePages/CustomReportCreativeDetail.aspx?App=23&amp;ReportView=4&amp;Qid=1711279&amp;Row=21661&amp;Col=1","No Title Assigned - #15280168767")</f>
        <v/>
      </c>
      <c r="B21669" s="0" t="s">
        <v>28740</v>
      </c>
      <c r="C21669" s="0" t="s">
        <v>28741</v>
      </c>
      <c r="D21669" s="0" t="s">
        <v>28741</v>
      </c>
      <c r="E21669" s="0" t="inlineStr">
        <is>
          <t xml:space="preserve">Mazda</t>
        </is>
      </c>
      <c r="F21669" s="0" t="s">
        <v>13</v>
      </c>
      <c r="G21669" s="0" t="s">
        <v>49</v>
      </c>
      <c r="H21669" s="5">
        <v>499.421100</v>
      </c>
    </row>
    <row r="21670" spans="1:9">
      <c r="A21670" s="22" t="str">
        <f>HYPERLINK("https://app.vivvix.com/360/KMI/IntelliDrive/ApplUI/Pages/CreativePages/CustomReportCreativeDetail.aspx?App=23&amp;ReportView=4&amp;Qid=1711279&amp;Row=21662&amp;Col=1","No Title Assigned - #15280168972")</f>
        <v/>
      </c>
      <c r="B21670" s="0" t="s">
        <v>28742</v>
      </c>
      <c r="C21670" s="0" t="s">
        <v>28743</v>
      </c>
      <c r="D21670" s="0" t="s">
        <v>28743</v>
      </c>
      <c r="E21670" s="0" t="inlineStr">
        <is>
          <t xml:space="preserve">Mazda</t>
        </is>
      </c>
      <c r="F21670" s="0" t="s">
        <v>13</v>
      </c>
      <c r="G21670" s="0" t="s">
        <v>49</v>
      </c>
      <c r="H21670" s="5">
        <v>3.442600</v>
      </c>
    </row>
    <row r="21671" spans="1:9">
      <c r="A21671" s="22" t="str">
        <f>HYPERLINK("https://app.vivvix.com/360/KMI/IntelliDrive/ApplUI/Pages/CreativePages/CustomReportCreativeDetail.aspx?App=23&amp;ReportView=4&amp;Qid=1711279&amp;Row=21663&amp;Col=1","No Title Assigned - #15280170244")</f>
        <v/>
      </c>
      <c r="B21671" s="0" t="s">
        <v>28744</v>
      </c>
      <c r="C21671" s="0" t="s">
        <v>28745</v>
      </c>
      <c r="D21671" s="0" t="s">
        <v>24177</v>
      </c>
      <c r="E21671" s="0" t="inlineStr">
        <is>
          <t xml:space="preserve">Mazda</t>
        </is>
      </c>
      <c r="F21671" s="0" t="s">
        <v>13</v>
      </c>
      <c r="G21671" s="0" t="s">
        <v>49</v>
      </c>
      <c r="H21671" s="5">
        <v>75.830400</v>
      </c>
    </row>
    <row r="21672" spans="1:9">
      <c r="A21672" s="22" t="str">
        <f>HYPERLINK("https://app.vivvix.com/360/KMI/IntelliDrive/ApplUI/Pages/CreativePages/CustomReportCreativeDetail.aspx?App=23&amp;ReportView=4&amp;Qid=1711279&amp;Row=21664&amp;Col=1","No Title Assigned - #15280172043")</f>
        <v/>
      </c>
      <c r="B21672" s="0" t="s">
        <v>28746</v>
      </c>
      <c r="C21672" s="0" t="s">
        <v>28747</v>
      </c>
      <c r="D21672" s="0" t="s">
        <v>11560</v>
      </c>
      <c r="E21672" s="0" t="inlineStr">
        <is>
          <t xml:space="preserve">Mazda</t>
        </is>
      </c>
      <c r="F21672" s="0" t="s">
        <v>13</v>
      </c>
      <c r="G21672" s="0" t="s">
        <v>49</v>
      </c>
      <c r="H21672" s="5">
        <v>347.903200</v>
      </c>
    </row>
    <row r="21673" spans="1:9">
      <c r="A21673" s="22" t="str">
        <f>HYPERLINK("https://app.vivvix.com/360/KMI/IntelliDrive/ApplUI/Pages/CreativePages/CustomReportCreativeDetail.aspx?App=23&amp;ReportView=4&amp;Qid=1711279&amp;Row=21665&amp;Col=1","No Title Assigned - #15280174968")</f>
        <v/>
      </c>
      <c r="B21673" s="0" t="s">
        <v>28748</v>
      </c>
      <c r="C21673" s="0" t="s">
        <v>28749</v>
      </c>
      <c r="D21673" s="0" t="s">
        <v>28749</v>
      </c>
      <c r="E21673" s="0" t="inlineStr">
        <is>
          <t xml:space="preserve">Mazda</t>
        </is>
      </c>
      <c r="F21673" s="0" t="s">
        <v>13</v>
      </c>
      <c r="G21673" s="0" t="s">
        <v>49</v>
      </c>
      <c r="H21673" s="5">
        <v>350.345400</v>
      </c>
    </row>
    <row r="21674" spans="1:9">
      <c r="A21674" s="22" t="str">
        <f>HYPERLINK("https://app.vivvix.com/360/KMI/IntelliDrive/ApplUI/Pages/CreativePages/CustomReportCreativeDetail.aspx?App=23&amp;ReportView=4&amp;Qid=1711279&amp;Row=21666&amp;Col=1","No Title Assigned - #15280175304")</f>
        <v/>
      </c>
      <c r="B21674" s="0" t="s">
        <v>28750</v>
      </c>
      <c r="C21674" s="0" t="s">
        <v>28751</v>
      </c>
      <c r="D21674" s="0" t="s">
        <v>12067</v>
      </c>
      <c r="E21674" s="0" t="inlineStr">
        <is>
          <t xml:space="preserve">Mazda</t>
        </is>
      </c>
      <c r="F21674" s="0" t="s">
        <v>13</v>
      </c>
      <c r="G21674" s="0" t="s">
        <v>49</v>
      </c>
      <c r="H21674" s="5">
        <v>772.238800</v>
      </c>
    </row>
    <row r="21675" spans="1:9">
      <c r="A21675" s="22" t="str">
        <f>HYPERLINK("https://app.vivvix.com/360/KMI/IntelliDrive/ApplUI/Pages/CreativePages/CustomReportCreativeDetail.aspx?App=23&amp;ReportView=4&amp;Qid=1711279&amp;Row=21667&amp;Col=1","No Title Assigned - #15280176647")</f>
        <v/>
      </c>
      <c r="B21675" s="0" t="s">
        <v>28752</v>
      </c>
      <c r="C21675" s="0" t="s">
        <v>28753</v>
      </c>
      <c r="D21675" s="0" t="s">
        <v>28753</v>
      </c>
      <c r="E21675" s="0" t="inlineStr">
        <is>
          <t xml:space="preserve">Mazda</t>
        </is>
      </c>
      <c r="F21675" s="0" t="s">
        <v>13</v>
      </c>
      <c r="G21675" s="0" t="s">
        <v>49</v>
      </c>
      <c r="H21675" s="5">
        <v>17.630800</v>
      </c>
    </row>
    <row r="21676" spans="1:9">
      <c r="A21676" s="22" t="str">
        <f>HYPERLINK("https://app.vivvix.com/360/KMI/IntelliDrive/ApplUI/Pages/CreativePages/CustomReportCreativeDetail.aspx?App=23&amp;ReportView=4&amp;Qid=1711279&amp;Row=21668&amp;Col=1","No Title Assigned - #15280176669")</f>
        <v/>
      </c>
      <c r="B21676" s="0" t="s">
        <v>28754</v>
      </c>
      <c r="C21676" s="0" t="s">
        <v>28755</v>
      </c>
      <c r="D21676" s="0" t="s">
        <v>28755</v>
      </c>
      <c r="E21676" s="0" t="inlineStr">
        <is>
          <t xml:space="preserve">Mazda</t>
        </is>
      </c>
      <c r="F21676" s="0" t="s">
        <v>13</v>
      </c>
      <c r="G21676" s="0" t="s">
        <v>49</v>
      </c>
      <c r="H21676" s="5">
        <v>1278.838700</v>
      </c>
    </row>
    <row r="21677" spans="1:9">
      <c r="A21677" s="22" t="str">
        <f>HYPERLINK("https://app.vivvix.com/360/KMI/IntelliDrive/ApplUI/Pages/CreativePages/CustomReportCreativeDetail.aspx?App=23&amp;ReportView=4&amp;Qid=1711279&amp;Row=21669&amp;Col=1","No Title Assigned - #15280179507")</f>
        <v/>
      </c>
      <c r="B21677" s="0" t="s">
        <v>28756</v>
      </c>
      <c r="C21677" s="0" t="s">
        <v>28757</v>
      </c>
      <c r="D21677" s="0" t="s">
        <v>28757</v>
      </c>
      <c r="E21677" s="0" t="inlineStr">
        <is>
          <t xml:space="preserve">Mazda</t>
        </is>
      </c>
      <c r="F21677" s="0" t="s">
        <v>13</v>
      </c>
      <c r="G21677" s="0" t="s">
        <v>49</v>
      </c>
      <c r="H21677" s="5">
        <v>1956.369300</v>
      </c>
    </row>
    <row r="21678" spans="1:9">
      <c r="A21678" s="22" t="str">
        <f>HYPERLINK("https://app.vivvix.com/360/KMI/IntelliDrive/ApplUI/Pages/CreativePages/CustomReportCreativeDetail.aspx?App=23&amp;ReportView=4&amp;Qid=1711279&amp;Row=21670&amp;Col=1","No Title Assigned - #15280179809")</f>
        <v/>
      </c>
      <c r="B21678" s="0" t="s">
        <v>28758</v>
      </c>
      <c r="C21678" s="0" t="s">
        <v>28759</v>
      </c>
      <c r="D21678" s="0" t="s">
        <v>15956</v>
      </c>
      <c r="E21678" s="0" t="inlineStr">
        <is>
          <t xml:space="preserve">Mazda</t>
        </is>
      </c>
      <c r="F21678" s="0" t="s">
        <v>13</v>
      </c>
      <c r="G21678" s="0" t="s">
        <v>49</v>
      </c>
      <c r="H21678" s="5">
        <v>49.712300</v>
      </c>
    </row>
    <row r="21679" spans="1:9">
      <c r="A21679" s="22" t="str">
        <f>HYPERLINK("https://app.vivvix.com/360/KMI/IntelliDrive/ApplUI/Pages/CreativePages/CustomReportCreativeDetail.aspx?App=23&amp;ReportView=4&amp;Qid=1711279&amp;Row=21671&amp;Col=1","No Title Assigned - #15280180367")</f>
        <v/>
      </c>
      <c r="B21679" s="0" t="s">
        <v>28760</v>
      </c>
      <c r="E21679" s="0" t="inlineStr">
        <is>
          <t xml:space="preserve">Mazda</t>
        </is>
      </c>
      <c r="F21679" s="0" t="inlineStr">
        <is>
          <t xml:space="preserve">Mazda</t>
        </is>
      </c>
      <c r="G21679" s="0" t="s">
        <v>171</v>
      </c>
      <c r="H21679" s="5">
        <v>1900.198000</v>
      </c>
    </row>
    <row r="21680" spans="1:9">
      <c r="A21680" s="22" t="str">
        <f>HYPERLINK("https://app.vivvix.com/360/KMI/IntelliDrive/ApplUI/Pages/CreativePages/CustomReportCreativeDetail.aspx?App=23&amp;ReportView=4&amp;Qid=1711279&amp;Row=21672&amp;Col=1","No Title Assigned - #15280180847")</f>
        <v/>
      </c>
      <c r="B21680" s="0" t="s">
        <v>28761</v>
      </c>
      <c r="E21680" s="0" t="inlineStr">
        <is>
          <t xml:space="preserve">Mazda</t>
        </is>
      </c>
      <c r="F21680" s="0" t="inlineStr">
        <is>
          <t xml:space="preserve">Mazda</t>
        </is>
      </c>
      <c r="G21680" s="0" t="s">
        <v>171</v>
      </c>
      <c r="H21680" s="5">
        <v>70607.742500</v>
      </c>
    </row>
    <row r="21681" spans="1:9">
      <c r="A21681" s="22" t="str">
        <f>HYPERLINK("https://app.vivvix.com/360/KMI/IntelliDrive/ApplUI/Pages/CreativePages/CustomReportCreativeDetail.aspx?App=23&amp;ReportView=4&amp;Qid=1711279&amp;Row=21673&amp;Col=1","No Title Assigned - #15280181680")</f>
        <v/>
      </c>
      <c r="B21681" s="0" t="s">
        <v>28762</v>
      </c>
      <c r="E21681" s="0" t="inlineStr">
        <is>
          <t xml:space="preserve">Mazda</t>
        </is>
      </c>
      <c r="F21681" s="0" t="inlineStr">
        <is>
          <t xml:space="preserve">Mazda</t>
        </is>
      </c>
      <c r="G21681" s="0" t="s">
        <v>171</v>
      </c>
      <c r="H21681" s="5">
        <v>64.777300</v>
      </c>
    </row>
    <row r="21682" spans="1:9">
      <c r="A21682" s="22" t="str">
        <f>HYPERLINK("https://app.vivvix.com/360/KMI/IntelliDrive/ApplUI/Pages/CreativePages/CustomReportCreativeDetail.aspx?App=23&amp;ReportView=4&amp;Qid=1711279&amp;Row=21674&amp;Col=1","No Title Assigned - #15280181956")</f>
        <v/>
      </c>
      <c r="B21682" s="0" t="s">
        <v>28763</v>
      </c>
      <c r="E21682" s="0" t="inlineStr">
        <is>
          <t xml:space="preserve">Mazda</t>
        </is>
      </c>
      <c r="F21682" s="0" t="inlineStr">
        <is>
          <t xml:space="preserve">Mazda</t>
        </is>
      </c>
      <c r="G21682" s="0" t="s">
        <v>171</v>
      </c>
      <c r="H21682" s="5">
        <v>4852.672900</v>
      </c>
    </row>
    <row r="21683" spans="1:9">
      <c r="A21683" s="22" t="str">
        <f>HYPERLINK("https://app.vivvix.com/360/KMI/IntelliDrive/ApplUI/Pages/CreativePages/CustomReportCreativeDetail.aspx?App=23&amp;ReportView=4&amp;Qid=1711279&amp;Row=21675&amp;Col=1","No Title Assigned - #15280182177")</f>
        <v/>
      </c>
      <c r="B21683" s="0" t="s">
        <v>28764</v>
      </c>
      <c r="E21683" s="0" t="inlineStr">
        <is>
          <t xml:space="preserve">Mazda</t>
        </is>
      </c>
      <c r="F21683" s="0" t="inlineStr">
        <is>
          <t xml:space="preserve">Mazda</t>
        </is>
      </c>
      <c r="G21683" s="0" t="s">
        <v>171</v>
      </c>
      <c r="H21683" s="5">
        <v>591.335400</v>
      </c>
    </row>
    <row r="21684" spans="1:9">
      <c r="A21684" s="22" t="str">
        <f>HYPERLINK("https://app.vivvix.com/360/KMI/IntelliDrive/ApplUI/Pages/CreativePages/CustomReportCreativeDetail.aspx?App=23&amp;ReportView=4&amp;Qid=1711279&amp;Row=21676&amp;Col=1","No Title Assigned - #15280182442")</f>
        <v/>
      </c>
      <c r="B21684" s="0" t="s">
        <v>28765</v>
      </c>
      <c r="E21684" s="0" t="inlineStr">
        <is>
          <t xml:space="preserve">Mazda</t>
        </is>
      </c>
      <c r="F21684" s="0" t="inlineStr">
        <is>
          <t xml:space="preserve">Mazda</t>
        </is>
      </c>
      <c r="G21684" s="0" t="s">
        <v>171</v>
      </c>
      <c r="H21684" s="5">
        <v>343.302400</v>
      </c>
    </row>
    <row r="21685" spans="1:9">
      <c r="A21685" s="22" t="str">
        <f>HYPERLINK("https://app.vivvix.com/360/KMI/IntelliDrive/ApplUI/Pages/CreativePages/CustomReportCreativeDetail.aspx?App=23&amp;ReportView=4&amp;Qid=1711279&amp;Row=21677&amp;Col=1","No Title Assigned - #15280182727")</f>
        <v/>
      </c>
      <c r="B21685" s="0" t="s">
        <v>28766</v>
      </c>
      <c r="E21685" s="0" t="inlineStr">
        <is>
          <t xml:space="preserve">Mazda</t>
        </is>
      </c>
      <c r="F21685" s="0" t="inlineStr">
        <is>
          <t xml:space="preserve">Mazda</t>
        </is>
      </c>
      <c r="G21685" s="0" t="s">
        <v>171</v>
      </c>
      <c r="H21685" s="5">
        <v>689.965300</v>
      </c>
    </row>
    <row r="21686" spans="1:9">
      <c r="A21686" s="22" t="str">
        <f>HYPERLINK("https://app.vivvix.com/360/KMI/IntelliDrive/ApplUI/Pages/CreativePages/CustomReportCreativeDetail.aspx?App=23&amp;ReportView=4&amp;Qid=1711279&amp;Row=21678&amp;Col=1","No Title Assigned - #15280182783")</f>
        <v/>
      </c>
      <c r="B21686" s="0" t="s">
        <v>28767</v>
      </c>
      <c r="E21686" s="0" t="inlineStr">
        <is>
          <t xml:space="preserve">Mazda</t>
        </is>
      </c>
      <c r="F21686" s="0" t="inlineStr">
        <is>
          <t xml:space="preserve">Mazda</t>
        </is>
      </c>
      <c r="G21686" s="0" t="s">
        <v>171</v>
      </c>
      <c r="H21686" s="5">
        <v>567.868900</v>
      </c>
    </row>
    <row r="21687" spans="1:9">
      <c r="A21687" s="22" t="str">
        <f>HYPERLINK("https://app.vivvix.com/360/KMI/IntelliDrive/ApplUI/Pages/CreativePages/CustomReportCreativeDetail.aspx?App=23&amp;ReportView=4&amp;Qid=1711279&amp;Row=21679&amp;Col=1","No Title Assigned - #15280183100")</f>
        <v/>
      </c>
      <c r="B21687" s="0" t="s">
        <v>28768</v>
      </c>
      <c r="E21687" s="0" t="inlineStr">
        <is>
          <t xml:space="preserve">Mazda</t>
        </is>
      </c>
      <c r="F21687" s="0" t="inlineStr">
        <is>
          <t xml:space="preserve">Mazda</t>
        </is>
      </c>
      <c r="G21687" s="0" t="s">
        <v>171</v>
      </c>
      <c r="H21687" s="5">
        <v>367.486500</v>
      </c>
    </row>
    <row r="21688" spans="1:9">
      <c r="A21688" s="22" t="str">
        <f>HYPERLINK("https://app.vivvix.com/360/KMI/IntelliDrive/ApplUI/Pages/CreativePages/CustomReportCreativeDetail.aspx?App=23&amp;ReportView=4&amp;Qid=1711279&amp;Row=21680&amp;Col=1","No Title Assigned - #15280183100")</f>
        <v/>
      </c>
      <c r="B21688" s="0" t="s">
        <v>28768</v>
      </c>
      <c r="E21688" s="0" t="inlineStr">
        <is>
          <t xml:space="preserve">Mazda</t>
        </is>
      </c>
      <c r="F21688" s="0" t="inlineStr">
        <is>
          <t xml:space="preserve">Mazda</t>
        </is>
      </c>
      <c r="G21688" s="0" t="s">
        <v>171</v>
      </c>
      <c r="H21688" s="5">
        <v>905.899300</v>
      </c>
    </row>
    <row r="21689" spans="1:9">
      <c r="A21689" s="22" t="str">
        <f>HYPERLINK("https://app.vivvix.com/360/KMI/IntelliDrive/ApplUI/Pages/CreativePages/CustomReportCreativeDetail.aspx?App=23&amp;ReportView=4&amp;Qid=1711279&amp;Row=21681&amp;Col=1","No Title Assigned - #15280183119")</f>
        <v/>
      </c>
      <c r="B21689" s="0" t="s">
        <v>28769</v>
      </c>
      <c r="E21689" s="0" t="inlineStr">
        <is>
          <t xml:space="preserve">Mazda</t>
        </is>
      </c>
      <c r="F21689" s="0" t="inlineStr">
        <is>
          <t xml:space="preserve">Mazda</t>
        </is>
      </c>
      <c r="G21689" s="0" t="s">
        <v>171</v>
      </c>
      <c r="H21689" s="5">
        <v>65.633800</v>
      </c>
    </row>
    <row r="21690" spans="1:9">
      <c r="A21690" s="22" t="str">
        <f>HYPERLINK("https://app.vivvix.com/360/KMI/IntelliDrive/ApplUI/Pages/CreativePages/CustomReportCreativeDetail.aspx?App=23&amp;ReportView=4&amp;Qid=1711279&amp;Row=21682&amp;Col=1","No Title Assigned - #15280183249")</f>
        <v/>
      </c>
      <c r="B21690" s="0" t="s">
        <v>28770</v>
      </c>
      <c r="E21690" s="0" t="inlineStr">
        <is>
          <t xml:space="preserve">Mazda</t>
        </is>
      </c>
      <c r="F21690" s="0" t="inlineStr">
        <is>
          <t xml:space="preserve">Mazda</t>
        </is>
      </c>
      <c r="G21690" s="0" t="s">
        <v>171</v>
      </c>
      <c r="H21690" s="5">
        <v>12579.019400</v>
      </c>
    </row>
    <row r="21691" spans="1:9">
      <c r="A21691" s="22" t="str">
        <f>HYPERLINK("https://app.vivvix.com/360/KMI/IntelliDrive/ApplUI/Pages/CreativePages/CustomReportCreativeDetail.aspx?App=23&amp;ReportView=4&amp;Qid=1711279&amp;Row=21683&amp;Col=1","No Title Assigned - #15280183920")</f>
        <v/>
      </c>
      <c r="B21691" s="0" t="s">
        <v>28771</v>
      </c>
      <c r="E21691" s="0" t="inlineStr">
        <is>
          <t xml:space="preserve">Mazda</t>
        </is>
      </c>
      <c r="F21691" s="0" t="inlineStr">
        <is>
          <t xml:space="preserve">Mazda</t>
        </is>
      </c>
      <c r="G21691" s="0" t="s">
        <v>171</v>
      </c>
      <c r="H21691" s="5">
        <v>63.908500</v>
      </c>
    </row>
    <row r="21692" spans="1:9">
      <c r="A21692" s="22" t="str">
        <f>HYPERLINK("https://app.vivvix.com/360/KMI/IntelliDrive/ApplUI/Pages/CreativePages/CustomReportCreativeDetail.aspx?App=23&amp;ReportView=4&amp;Qid=1711279&amp;Row=21684&amp;Col=1","No Title Assigned - #15280184361")</f>
        <v/>
      </c>
      <c r="B21692" s="0" t="s">
        <v>28772</v>
      </c>
      <c r="E21692" s="0" t="inlineStr">
        <is>
          <t xml:space="preserve">Mazda</t>
        </is>
      </c>
      <c r="F21692" s="0" t="inlineStr">
        <is>
          <t xml:space="preserve">Mazda</t>
        </is>
      </c>
      <c r="G21692" s="0" t="s">
        <v>171</v>
      </c>
      <c r="H21692" s="5">
        <v>702.674100</v>
      </c>
    </row>
    <row r="21693" spans="1:9">
      <c r="A21693" s="22" t="str">
        <f>HYPERLINK("https://app.vivvix.com/360/KMI/IntelliDrive/ApplUI/Pages/CreativePages/CustomReportCreativeDetail.aspx?App=23&amp;ReportView=4&amp;Qid=1711279&amp;Row=21685&amp;Col=1","No Title Assigned - #15280184414")</f>
        <v/>
      </c>
      <c r="B21693" s="0" t="s">
        <v>28773</v>
      </c>
      <c r="C21693" s="0" t="s">
        <v>28774</v>
      </c>
      <c r="D21693" s="0" t="s">
        <v>28774</v>
      </c>
      <c r="E21693" s="0" t="inlineStr">
        <is>
          <t xml:space="preserve">Mazda</t>
        </is>
      </c>
      <c r="F21693" s="0" t="inlineStr">
        <is>
          <t xml:space="preserve">Mazda</t>
        </is>
      </c>
      <c r="G21693" s="0" t="s">
        <v>171</v>
      </c>
      <c r="H21693" s="5">
        <v>174.702100</v>
      </c>
    </row>
    <row r="21694" spans="1:9">
      <c r="A21694" s="22" t="str">
        <f>HYPERLINK("https://app.vivvix.com/360/KMI/IntelliDrive/ApplUI/Pages/CreativePages/CustomReportCreativeDetail.aspx?App=23&amp;ReportView=4&amp;Qid=1711279&amp;Row=21686&amp;Col=1","No Title Assigned - #15280184649")</f>
        <v/>
      </c>
      <c r="B21694" s="0" t="s">
        <v>28775</v>
      </c>
      <c r="E21694" s="0" t="inlineStr">
        <is>
          <t xml:space="preserve">Mazda</t>
        </is>
      </c>
      <c r="F21694" s="0" t="inlineStr">
        <is>
          <t xml:space="preserve">Mazda</t>
        </is>
      </c>
      <c r="G21694" s="0" t="s">
        <v>171</v>
      </c>
      <c r="H21694" s="5">
        <v>93.317600</v>
      </c>
    </row>
    <row r="21695" spans="1:9">
      <c r="A21695" s="22" t="str">
        <f>HYPERLINK("https://app.vivvix.com/360/KMI/IntelliDrive/ApplUI/Pages/CreativePages/CustomReportCreativeDetail.aspx?App=23&amp;ReportView=4&amp;Qid=1711279&amp;Row=21687&amp;Col=1","No Title Assigned - #15280186793")</f>
        <v/>
      </c>
      <c r="B21695" s="0" t="s">
        <v>28776</v>
      </c>
      <c r="E21695" s="0" t="inlineStr">
        <is>
          <t xml:space="preserve">Mazda</t>
        </is>
      </c>
      <c r="F21695" s="0" t="inlineStr">
        <is>
          <t xml:space="preserve">Mazda</t>
        </is>
      </c>
      <c r="G21695" s="0" t="s">
        <v>171</v>
      </c>
      <c r="H21695" s="5">
        <v>3940.816700</v>
      </c>
    </row>
    <row r="21696" spans="1:9">
      <c r="A21696" s="22" t="str">
        <f>HYPERLINK("https://app.vivvix.com/360/KMI/IntelliDrive/ApplUI/Pages/CreativePages/CustomReportCreativeDetail.aspx?App=23&amp;ReportView=4&amp;Qid=1711279&amp;Row=21688&amp;Col=1","No Title Assigned - #15280187062")</f>
        <v/>
      </c>
      <c r="B21696" s="0" t="s">
        <v>28777</v>
      </c>
      <c r="C21696" s="0" t="s">
        <v>28778</v>
      </c>
      <c r="D21696" s="0" t="s">
        <v>28778</v>
      </c>
      <c r="E21696" s="0" t="inlineStr">
        <is>
          <t xml:space="preserve">Mazda</t>
        </is>
      </c>
      <c r="F21696" s="0" t="s">
        <v>13</v>
      </c>
      <c r="G21696" s="0" t="s">
        <v>49</v>
      </c>
      <c r="H21696" s="5">
        <v>2.149000</v>
      </c>
    </row>
    <row r="21697" spans="1:9">
      <c r="A21697" s="22" t="str">
        <f>HYPERLINK("https://app.vivvix.com/360/KMI/IntelliDrive/ApplUI/Pages/CreativePages/CustomReportCreativeDetail.aspx?App=23&amp;ReportView=4&amp;Qid=1711279&amp;Row=21689&amp;Col=1","No Title Assigned - #15280187157")</f>
        <v/>
      </c>
      <c r="B21697" s="0" t="s">
        <v>28779</v>
      </c>
      <c r="C21697" s="0" t="s">
        <v>28780</v>
      </c>
      <c r="D21697" s="0" t="s">
        <v>28780</v>
      </c>
      <c r="E21697" s="0" t="inlineStr">
        <is>
          <t xml:space="preserve">Mazda</t>
        </is>
      </c>
      <c r="F21697" s="0" t="s">
        <v>13</v>
      </c>
      <c r="G21697" s="0" t="s">
        <v>49</v>
      </c>
      <c r="H21697" s="5">
        <v>8.587800</v>
      </c>
    </row>
    <row r="21698" spans="1:9">
      <c r="A21698" s="22" t="str">
        <f>HYPERLINK("https://app.vivvix.com/360/KMI/IntelliDrive/ApplUI/Pages/CreativePages/CustomReportCreativeDetail.aspx?App=23&amp;ReportView=4&amp;Qid=1711279&amp;Row=21690&amp;Col=1","No Title Assigned - #15280187222")</f>
        <v/>
      </c>
      <c r="B21698" s="0" t="s">
        <v>28781</v>
      </c>
      <c r="C21698" s="0" t="s">
        <v>28782</v>
      </c>
      <c r="D21698" s="0" t="s">
        <v>28782</v>
      </c>
      <c r="E21698" s="0" t="inlineStr">
        <is>
          <t xml:space="preserve">Mazda</t>
        </is>
      </c>
      <c r="F21698" s="0" t="s">
        <v>13</v>
      </c>
      <c r="G21698" s="0" t="s">
        <v>49</v>
      </c>
      <c r="H21698" s="5">
        <v>293.008500</v>
      </c>
    </row>
    <row r="21699" spans="1:9">
      <c r="A21699" s="22" t="str">
        <f>HYPERLINK("https://app.vivvix.com/360/KMI/IntelliDrive/ApplUI/Pages/CreativePages/CustomReportCreativeDetail.aspx?App=23&amp;ReportView=4&amp;Qid=1711279&amp;Row=21691&amp;Col=1","No Title Assigned - #15280187240")</f>
        <v/>
      </c>
      <c r="B21699" s="0" t="s">
        <v>28783</v>
      </c>
      <c r="C21699" s="0" t="s">
        <v>28784</v>
      </c>
      <c r="D21699" s="0" t="s">
        <v>28784</v>
      </c>
      <c r="E21699" s="0" t="inlineStr">
        <is>
          <t xml:space="preserve">Mazda</t>
        </is>
      </c>
      <c r="F21699" s="0" t="s">
        <v>13</v>
      </c>
      <c r="G21699" s="0" t="s">
        <v>49</v>
      </c>
      <c r="H21699" s="5">
        <v>80.369700</v>
      </c>
    </row>
    <row r="21700" spans="1:9">
      <c r="A21700" s="22" t="str">
        <f>HYPERLINK("https://app.vivvix.com/360/KMI/IntelliDrive/ApplUI/Pages/CreativePages/CustomReportCreativeDetail.aspx?App=23&amp;ReportView=4&amp;Qid=1711279&amp;Row=21692&amp;Col=1","No Title Assigned - #15280187677")</f>
        <v/>
      </c>
      <c r="B21700" s="0" t="s">
        <v>28785</v>
      </c>
      <c r="C21700" s="0" t="s">
        <v>28786</v>
      </c>
      <c r="D21700" s="0" t="s">
        <v>28786</v>
      </c>
      <c r="E21700" s="0" t="inlineStr">
        <is>
          <t xml:space="preserve">Mazda</t>
        </is>
      </c>
      <c r="F21700" s="0" t="s">
        <v>13</v>
      </c>
      <c r="G21700" s="0" t="s">
        <v>49</v>
      </c>
      <c r="H21700" s="5">
        <v>48.204900</v>
      </c>
    </row>
    <row r="21701" spans="1:9">
      <c r="A21701" s="22" t="str">
        <f>HYPERLINK("https://app.vivvix.com/360/KMI/IntelliDrive/ApplUI/Pages/CreativePages/CustomReportCreativeDetail.aspx?App=23&amp;ReportView=4&amp;Qid=1711279&amp;Row=21693&amp;Col=1","No Title Assigned - #15280187701")</f>
        <v/>
      </c>
      <c r="B21701" s="0" t="s">
        <v>28787</v>
      </c>
      <c r="C21701" s="0" t="s">
        <v>28788</v>
      </c>
      <c r="D21701" s="0" t="s">
        <v>4774</v>
      </c>
      <c r="E21701" s="0" t="inlineStr">
        <is>
          <t xml:space="preserve">Mazda</t>
        </is>
      </c>
      <c r="F21701" s="0" t="s">
        <v>13</v>
      </c>
      <c r="G21701" s="0" t="s">
        <v>49</v>
      </c>
      <c r="H21701" s="5">
        <v>125.936600</v>
      </c>
    </row>
    <row r="21702" spans="1:9">
      <c r="A21702" s="22" t="str">
        <f>HYPERLINK("https://app.vivvix.com/360/KMI/IntelliDrive/ApplUI/Pages/CreativePages/CustomReportCreativeDetail.aspx?App=23&amp;ReportView=4&amp;Qid=1711279&amp;Row=21694&amp;Col=1","No Title Assigned - #15280187889")</f>
        <v/>
      </c>
      <c r="B21702" s="0" t="s">
        <v>28789</v>
      </c>
      <c r="C21702" s="0" t="s">
        <v>28790</v>
      </c>
      <c r="D21702" s="0" t="s">
        <v>4774</v>
      </c>
      <c r="E21702" s="0" t="inlineStr">
        <is>
          <t xml:space="preserve">Mazda</t>
        </is>
      </c>
      <c r="F21702" s="0" t="s">
        <v>13</v>
      </c>
      <c r="G21702" s="0" t="s">
        <v>49</v>
      </c>
      <c r="H21702" s="5">
        <v>832.218600</v>
      </c>
    </row>
    <row r="21703" spans="1:9">
      <c r="A21703" s="22" t="str">
        <f>HYPERLINK("https://app.vivvix.com/360/KMI/IntelliDrive/ApplUI/Pages/CreativePages/CustomReportCreativeDetail.aspx?App=23&amp;ReportView=4&amp;Qid=1711279&amp;Row=21695&amp;Col=1","No Title Assigned - #15280187961")</f>
        <v/>
      </c>
      <c r="B21703" s="0" t="s">
        <v>28791</v>
      </c>
      <c r="C21703" s="0" t="s">
        <v>28792</v>
      </c>
      <c r="D21703" s="0" t="s">
        <v>4774</v>
      </c>
      <c r="E21703" s="0" t="inlineStr">
        <is>
          <t xml:space="preserve">Mazda</t>
        </is>
      </c>
      <c r="F21703" s="0" t="s">
        <v>13</v>
      </c>
      <c r="G21703" s="0" t="s">
        <v>49</v>
      </c>
      <c r="H21703" s="5">
        <v>3.943100</v>
      </c>
    </row>
    <row r="21704" spans="1:9">
      <c r="A21704" s="22" t="str">
        <f>HYPERLINK("https://app.vivvix.com/360/KMI/IntelliDrive/ApplUI/Pages/CreativePages/CustomReportCreativeDetail.aspx?App=23&amp;ReportView=4&amp;Qid=1711279&amp;Row=21696&amp;Col=1","No Title Assigned - #15280188116")</f>
        <v/>
      </c>
      <c r="B21704" s="0" t="s">
        <v>28793</v>
      </c>
      <c r="C21704" s="0" t="s">
        <v>28794</v>
      </c>
      <c r="D21704" s="0" t="s">
        <v>28794</v>
      </c>
      <c r="E21704" s="0" t="inlineStr">
        <is>
          <t xml:space="preserve">Mazda</t>
        </is>
      </c>
      <c r="F21704" s="0" t="s">
        <v>13</v>
      </c>
      <c r="G21704" s="0" t="s">
        <v>49</v>
      </c>
      <c r="H21704" s="5">
        <v>87.664300</v>
      </c>
    </row>
    <row r="21705" spans="1:9">
      <c r="A21705" s="22" t="str">
        <f>HYPERLINK("https://app.vivvix.com/360/KMI/IntelliDrive/ApplUI/Pages/CreativePages/CustomReportCreativeDetail.aspx?App=23&amp;ReportView=4&amp;Qid=1711279&amp;Row=21697&amp;Col=1","No Title Assigned - #15280188134")</f>
        <v/>
      </c>
      <c r="B21705" s="0" t="s">
        <v>28795</v>
      </c>
      <c r="C21705" s="0" t="s">
        <v>28796</v>
      </c>
      <c r="D21705" s="0" t="s">
        <v>11469</v>
      </c>
      <c r="E21705" s="0" t="inlineStr">
        <is>
          <t xml:space="preserve">Mazda</t>
        </is>
      </c>
      <c r="F21705" s="0" t="s">
        <v>13</v>
      </c>
      <c r="G21705" s="0" t="s">
        <v>49</v>
      </c>
      <c r="H21705" s="5">
        <v>43.531700</v>
      </c>
    </row>
    <row r="21706" spans="1:9">
      <c r="A21706" s="22" t="str">
        <f>HYPERLINK("https://app.vivvix.com/360/KMI/IntelliDrive/ApplUI/Pages/CreativePages/CustomReportCreativeDetail.aspx?App=23&amp;ReportView=4&amp;Qid=1711279&amp;Row=21698&amp;Col=1","No Title Assigned - #15280188333")</f>
        <v/>
      </c>
      <c r="B21706" s="0" t="s">
        <v>28797</v>
      </c>
      <c r="C21706" s="0" t="s">
        <v>28798</v>
      </c>
      <c r="D21706" s="0" t="s">
        <v>10095</v>
      </c>
      <c r="E21706" s="0" t="inlineStr">
        <is>
          <t xml:space="preserve">Mazda</t>
        </is>
      </c>
      <c r="F21706" s="0" t="s">
        <v>13</v>
      </c>
      <c r="G21706" s="0" t="s">
        <v>49</v>
      </c>
      <c r="H21706" s="5">
        <v>210.124900</v>
      </c>
    </row>
    <row r="21707" spans="1:9">
      <c r="A21707" s="22" t="str">
        <f>HYPERLINK("https://app.vivvix.com/360/KMI/IntelliDrive/ApplUI/Pages/CreativePages/CustomReportCreativeDetail.aspx?App=23&amp;ReportView=4&amp;Qid=1711279&amp;Row=21699&amp;Col=1","No Title Assigned - #15280188692")</f>
        <v/>
      </c>
      <c r="B21707" s="0" t="s">
        <v>28799</v>
      </c>
      <c r="C21707" s="0" t="s">
        <v>28800</v>
      </c>
      <c r="D21707" s="0" t="s">
        <v>28800</v>
      </c>
      <c r="E21707" s="0" t="inlineStr">
        <is>
          <t xml:space="preserve">Mazda</t>
        </is>
      </c>
      <c r="F21707" s="0" t="s">
        <v>13</v>
      </c>
      <c r="G21707" s="0" t="s">
        <v>49</v>
      </c>
      <c r="H21707" s="5">
        <v>104.051100</v>
      </c>
    </row>
    <row r="21708" spans="1:9">
      <c r="A21708" s="22" t="str">
        <f>HYPERLINK("https://app.vivvix.com/360/KMI/IntelliDrive/ApplUI/Pages/CreativePages/CustomReportCreativeDetail.aspx?App=23&amp;ReportView=4&amp;Qid=1711279&amp;Row=21700&amp;Col=1","No Title Assigned - #15280188878")</f>
        <v/>
      </c>
      <c r="B21708" s="0" t="s">
        <v>28801</v>
      </c>
      <c r="C21708" s="0" t="s">
        <v>28802</v>
      </c>
      <c r="D21708" s="0" t="s">
        <v>4774</v>
      </c>
      <c r="E21708" s="0" t="inlineStr">
        <is>
          <t xml:space="preserve">Mazda</t>
        </is>
      </c>
      <c r="F21708" s="0" t="s">
        <v>13</v>
      </c>
      <c r="G21708" s="0" t="s">
        <v>49</v>
      </c>
      <c r="H21708" s="5">
        <v>56.312400</v>
      </c>
    </row>
    <row r="21709" spans="1:9">
      <c r="A21709" s="22" t="str">
        <f>HYPERLINK("https://app.vivvix.com/360/KMI/IntelliDrive/ApplUI/Pages/CreativePages/CustomReportCreativeDetail.aspx?App=23&amp;ReportView=4&amp;Qid=1711279&amp;Row=21701&amp;Col=1","No Title Assigned - #15280189084")</f>
        <v/>
      </c>
      <c r="B21709" s="0" t="s">
        <v>28803</v>
      </c>
      <c r="C21709" s="0" t="s">
        <v>28804</v>
      </c>
      <c r="D21709" s="0" t="s">
        <v>28804</v>
      </c>
      <c r="E21709" s="0" t="inlineStr">
        <is>
          <t xml:space="preserve">Mazda</t>
        </is>
      </c>
      <c r="F21709" s="0" t="s">
        <v>13</v>
      </c>
      <c r="G21709" s="0" t="s">
        <v>49</v>
      </c>
      <c r="H21709" s="5">
        <v>3.943100</v>
      </c>
    </row>
    <row r="21710" spans="1:9">
      <c r="A21710" s="22" t="str">
        <f>HYPERLINK("https://app.vivvix.com/360/KMI/IntelliDrive/ApplUI/Pages/CreativePages/CustomReportCreativeDetail.aspx?App=23&amp;ReportView=4&amp;Qid=1711279&amp;Row=21702&amp;Col=1","No Title Assigned - #15280189088")</f>
        <v/>
      </c>
      <c r="B21710" s="0" t="s">
        <v>28805</v>
      </c>
      <c r="C21710" s="0" t="s">
        <v>28806</v>
      </c>
      <c r="D21710" s="0" t="s">
        <v>6183</v>
      </c>
      <c r="E21710" s="0" t="inlineStr">
        <is>
          <t xml:space="preserve">Mazda</t>
        </is>
      </c>
      <c r="F21710" s="0" t="s">
        <v>13</v>
      </c>
      <c r="G21710" s="0" t="s">
        <v>49</v>
      </c>
      <c r="H21710" s="5">
        <v>153.908000</v>
      </c>
    </row>
    <row r="21711" spans="1:9">
      <c r="A21711" s="22" t="str">
        <f>HYPERLINK("https://app.vivvix.com/360/KMI/IntelliDrive/ApplUI/Pages/CreativePages/CustomReportCreativeDetail.aspx?App=23&amp;ReportView=4&amp;Qid=1711279&amp;Row=21703&amp;Col=1","No Title Assigned - #15280189244")</f>
        <v/>
      </c>
      <c r="B21711" s="0" t="s">
        <v>28807</v>
      </c>
      <c r="C21711" s="0" t="s">
        <v>28808</v>
      </c>
      <c r="D21711" s="0" t="s">
        <v>28808</v>
      </c>
      <c r="E21711" s="0" t="inlineStr">
        <is>
          <t xml:space="preserve">Mazda</t>
        </is>
      </c>
      <c r="F21711" s="0" t="s">
        <v>13</v>
      </c>
      <c r="G21711" s="0" t="s">
        <v>49</v>
      </c>
      <c r="H21711" s="5">
        <v>5514.106600</v>
      </c>
    </row>
    <row r="21712" spans="1:9">
      <c r="A21712" s="22" t="str">
        <f>HYPERLINK("https://app.vivvix.com/360/KMI/IntelliDrive/ApplUI/Pages/CreativePages/CustomReportCreativeDetail.aspx?App=23&amp;ReportView=4&amp;Qid=1711279&amp;Row=21704&amp;Col=1","No Title Assigned - #15280189767")</f>
        <v/>
      </c>
      <c r="B21712" s="0" t="s">
        <v>28809</v>
      </c>
      <c r="C21712" s="0" t="s">
        <v>28810</v>
      </c>
      <c r="D21712" s="0" t="s">
        <v>28810</v>
      </c>
      <c r="E21712" s="0" t="inlineStr">
        <is>
          <t xml:space="preserve">Mazda</t>
        </is>
      </c>
      <c r="F21712" s="0" t="s">
        <v>13</v>
      </c>
      <c r="G21712" s="0" t="s">
        <v>49</v>
      </c>
      <c r="H21712" s="5">
        <v>978.371400</v>
      </c>
    </row>
    <row r="21713" spans="1:9">
      <c r="A21713" s="22" t="str">
        <f>HYPERLINK("https://app.vivvix.com/360/KMI/IntelliDrive/ApplUI/Pages/CreativePages/CustomReportCreativeDetail.aspx?App=23&amp;ReportView=4&amp;Qid=1711279&amp;Row=21705&amp;Col=1","No Title Assigned - #15280189851")</f>
        <v/>
      </c>
      <c r="B21713" s="0" t="s">
        <v>28811</v>
      </c>
      <c r="C21713" s="0" t="s">
        <v>28812</v>
      </c>
      <c r="D21713" s="0" t="s">
        <v>28812</v>
      </c>
      <c r="E21713" s="0" t="inlineStr">
        <is>
          <t xml:space="preserve">Mazda</t>
        </is>
      </c>
      <c r="F21713" s="0" t="s">
        <v>13</v>
      </c>
      <c r="G21713" s="0" t="s">
        <v>49</v>
      </c>
      <c r="H21713" s="5">
        <v>9.370700</v>
      </c>
    </row>
    <row r="21714" spans="1:9">
      <c r="A21714" s="22" t="str">
        <f>HYPERLINK("https://app.vivvix.com/360/KMI/IntelliDrive/ApplUI/Pages/CreativePages/CustomReportCreativeDetail.aspx?App=23&amp;ReportView=4&amp;Qid=1711279&amp;Row=21706&amp;Col=1","No Title Assigned - #15280190110")</f>
        <v/>
      </c>
      <c r="B21714" s="0" t="s">
        <v>28813</v>
      </c>
      <c r="C21714" s="0" t="s">
        <v>28814</v>
      </c>
      <c r="D21714" s="0" t="s">
        <v>4774</v>
      </c>
      <c r="E21714" s="0" t="inlineStr">
        <is>
          <t xml:space="preserve">Mazda</t>
        </is>
      </c>
      <c r="F21714" s="0" t="s">
        <v>13</v>
      </c>
      <c r="G21714" s="0" t="s">
        <v>49</v>
      </c>
      <c r="H21714" s="5">
        <v>497.154600</v>
      </c>
    </row>
    <row r="21715" spans="1:9">
      <c r="A21715" s="22" t="str">
        <f>HYPERLINK("https://app.vivvix.com/360/KMI/IntelliDrive/ApplUI/Pages/CreativePages/CustomReportCreativeDetail.aspx?App=23&amp;ReportView=4&amp;Qid=1711279&amp;Row=21707&amp;Col=1","No Title Assigned - #15280190179")</f>
        <v/>
      </c>
      <c r="B21715" s="0" t="s">
        <v>28815</v>
      </c>
      <c r="C21715" s="0" t="s">
        <v>28816</v>
      </c>
      <c r="D21715" s="0" t="s">
        <v>11420</v>
      </c>
      <c r="E21715" s="0" t="inlineStr">
        <is>
          <t xml:space="preserve">Mazda</t>
        </is>
      </c>
      <c r="F21715" s="0" t="s">
        <v>13</v>
      </c>
      <c r="G21715" s="0" t="s">
        <v>49</v>
      </c>
      <c r="H21715" s="5">
        <v>513.283100</v>
      </c>
    </row>
    <row r="21716" spans="1:9">
      <c r="A21716" s="22" t="str">
        <f>HYPERLINK("https://app.vivvix.com/360/KMI/IntelliDrive/ApplUI/Pages/CreativePages/CustomReportCreativeDetail.aspx?App=23&amp;ReportView=4&amp;Qid=1711279&amp;Row=21708&amp;Col=1","No Title Assigned - #15280190459")</f>
        <v/>
      </c>
      <c r="B21716" s="0" t="s">
        <v>28817</v>
      </c>
      <c r="C21716" s="0" t="s">
        <v>28818</v>
      </c>
      <c r="D21716" s="0" t="s">
        <v>28818</v>
      </c>
      <c r="E21716" s="0" t="inlineStr">
        <is>
          <t xml:space="preserve">Mazda</t>
        </is>
      </c>
      <c r="F21716" s="0" t="s">
        <v>13</v>
      </c>
      <c r="G21716" s="0" t="s">
        <v>49</v>
      </c>
      <c r="H21716" s="5">
        <v>17.287700</v>
      </c>
    </row>
    <row r="21717" spans="1:9">
      <c r="A21717" s="22" t="str">
        <f>HYPERLINK("https://app.vivvix.com/360/KMI/IntelliDrive/ApplUI/Pages/CreativePages/CustomReportCreativeDetail.aspx?App=23&amp;ReportView=4&amp;Qid=1711279&amp;Row=21709&amp;Col=1","No Title Assigned - #15280190551")</f>
        <v/>
      </c>
      <c r="B21717" s="0" t="s">
        <v>28819</v>
      </c>
      <c r="C21717" s="0" t="s">
        <v>28820</v>
      </c>
      <c r="D21717" s="0" t="s">
        <v>6183</v>
      </c>
      <c r="E21717" s="0" t="inlineStr">
        <is>
          <t xml:space="preserve">Mazda</t>
        </is>
      </c>
      <c r="F21717" s="0" t="s">
        <v>13</v>
      </c>
      <c r="G21717" s="0" t="s">
        <v>49</v>
      </c>
      <c r="H21717" s="5">
        <v>102.955200</v>
      </c>
    </row>
    <row r="21718" spans="1:9">
      <c r="A21718" s="22" t="str">
        <f>HYPERLINK("https://app.vivvix.com/360/KMI/IntelliDrive/ApplUI/Pages/CreativePages/CustomReportCreativeDetail.aspx?App=23&amp;ReportView=4&amp;Qid=1711279&amp;Row=21710&amp;Col=1","No Title Assigned - #15280190678")</f>
        <v/>
      </c>
      <c r="B21718" s="0" t="s">
        <v>28821</v>
      </c>
      <c r="C21718" s="0" t="s">
        <v>28822</v>
      </c>
      <c r="D21718" s="0" t="s">
        <v>28822</v>
      </c>
      <c r="E21718" s="0" t="inlineStr">
        <is>
          <t xml:space="preserve">Mazda</t>
        </is>
      </c>
      <c r="F21718" s="0" t="s">
        <v>13</v>
      </c>
      <c r="G21718" s="0" t="s">
        <v>49</v>
      </c>
      <c r="H21718" s="5">
        <v>120.845400</v>
      </c>
    </row>
    <row r="21719" spans="1:9">
      <c r="A21719" s="22" t="str">
        <f>HYPERLINK("https://app.vivvix.com/360/KMI/IntelliDrive/ApplUI/Pages/CreativePages/CustomReportCreativeDetail.aspx?App=23&amp;ReportView=4&amp;Qid=1711279&amp;Row=21711&amp;Col=1","No Title Assigned - #15280191087")</f>
        <v/>
      </c>
      <c r="B21719" s="0" t="s">
        <v>28823</v>
      </c>
      <c r="C21719" s="0" t="s">
        <v>28824</v>
      </c>
      <c r="D21719" s="0" t="s">
        <v>23394</v>
      </c>
      <c r="E21719" s="0" t="inlineStr">
        <is>
          <t xml:space="preserve">Mazda</t>
        </is>
      </c>
      <c r="F21719" s="0" t="s">
        <v>13</v>
      </c>
      <c r="G21719" s="0" t="s">
        <v>49</v>
      </c>
      <c r="H21719" s="5">
        <v>9.370700</v>
      </c>
    </row>
    <row r="21720" spans="1:9">
      <c r="A21720" s="22" t="str">
        <f>HYPERLINK("https://app.vivvix.com/360/KMI/IntelliDrive/ApplUI/Pages/CreativePages/CustomReportCreativeDetail.aspx?App=23&amp;ReportView=4&amp;Qid=1711279&amp;Row=21712&amp;Col=1","No Title Assigned - #15280191517")</f>
        <v/>
      </c>
      <c r="B21720" s="0" t="s">
        <v>28825</v>
      </c>
      <c r="C21720" s="0" t="s">
        <v>28826</v>
      </c>
      <c r="D21720" s="0" t="s">
        <v>28826</v>
      </c>
      <c r="E21720" s="0" t="inlineStr">
        <is>
          <t xml:space="preserve">Mazda</t>
        </is>
      </c>
      <c r="F21720" s="0" t="s">
        <v>13</v>
      </c>
      <c r="G21720" s="0" t="s">
        <v>49</v>
      </c>
      <c r="H21720" s="5">
        <v>211.591400</v>
      </c>
    </row>
    <row r="21721" spans="1:9">
      <c r="A21721" s="22" t="str">
        <f>HYPERLINK("https://app.vivvix.com/360/KMI/IntelliDrive/ApplUI/Pages/CreativePages/CustomReportCreativeDetail.aspx?App=23&amp;ReportView=4&amp;Qid=1711279&amp;Row=21713&amp;Col=1","No Title Assigned - #15280191920")</f>
        <v/>
      </c>
      <c r="B21721" s="0" t="s">
        <v>28827</v>
      </c>
      <c r="C21721" s="0" t="s">
        <v>28828</v>
      </c>
      <c r="D21721" s="0" t="s">
        <v>28828</v>
      </c>
      <c r="E21721" s="0" t="inlineStr">
        <is>
          <t xml:space="preserve">Mazda</t>
        </is>
      </c>
      <c r="F21721" s="0" t="s">
        <v>13</v>
      </c>
      <c r="G21721" s="0" t="s">
        <v>49</v>
      </c>
      <c r="H21721" s="5">
        <v>54.806400</v>
      </c>
    </row>
    <row r="21722" spans="1:9">
      <c r="A21722" s="22" t="str">
        <f>HYPERLINK("https://app.vivvix.com/360/KMI/IntelliDrive/ApplUI/Pages/CreativePages/CustomReportCreativeDetail.aspx?App=23&amp;ReportView=4&amp;Qid=1711279&amp;Row=21714&amp;Col=1","No Title Assigned - #15280192043")</f>
        <v/>
      </c>
      <c r="B21722" s="0" t="s">
        <v>28829</v>
      </c>
      <c r="C21722" s="0" t="s">
        <v>28830</v>
      </c>
      <c r="D21722" s="0" t="s">
        <v>9729</v>
      </c>
      <c r="E21722" s="0" t="inlineStr">
        <is>
          <t xml:space="preserve">Mazda</t>
        </is>
      </c>
      <c r="F21722" s="0" t="s">
        <v>13</v>
      </c>
      <c r="G21722" s="0" t="s">
        <v>49</v>
      </c>
      <c r="H21722" s="5">
        <v>119.720900</v>
      </c>
    </row>
    <row r="21723" spans="1:9">
      <c r="A21723" s="22" t="str">
        <f>HYPERLINK("https://app.vivvix.com/360/KMI/IntelliDrive/ApplUI/Pages/CreativePages/CustomReportCreativeDetail.aspx?App=23&amp;ReportView=4&amp;Qid=1711279&amp;Row=21715&amp;Col=1","No Title Assigned - #15280192058")</f>
        <v/>
      </c>
      <c r="B21723" s="0" t="s">
        <v>28831</v>
      </c>
      <c r="C21723" s="0" t="s">
        <v>28832</v>
      </c>
      <c r="D21723" s="0" t="s">
        <v>28832</v>
      </c>
      <c r="E21723" s="0" t="inlineStr">
        <is>
          <t xml:space="preserve">Mazda</t>
        </is>
      </c>
      <c r="F21723" s="0" t="s">
        <v>13</v>
      </c>
      <c r="G21723" s="0" t="s">
        <v>49</v>
      </c>
      <c r="H21723" s="5">
        <v>3.448500</v>
      </c>
    </row>
    <row r="21724" spans="1:9">
      <c r="A21724" s="22" t="str">
        <f>HYPERLINK("https://app.vivvix.com/360/KMI/IntelliDrive/ApplUI/Pages/CreativePages/CustomReportCreativeDetail.aspx?App=23&amp;ReportView=4&amp;Qid=1711279&amp;Row=21716&amp;Col=1","No Title Assigned - #15280192058")</f>
        <v/>
      </c>
      <c r="B21724" s="0" t="s">
        <v>28831</v>
      </c>
      <c r="C21724" s="0" t="s">
        <v>28833</v>
      </c>
      <c r="D21724" s="0" t="s">
        <v>28833</v>
      </c>
      <c r="E21724" s="0" t="inlineStr">
        <is>
          <t xml:space="preserve">Mazda</t>
        </is>
      </c>
      <c r="F21724" s="0" t="s">
        <v>13</v>
      </c>
      <c r="G21724" s="0" t="s">
        <v>49</v>
      </c>
      <c r="H21724" s="5">
        <v>52.872100</v>
      </c>
    </row>
    <row r="21725" spans="1:9">
      <c r="A21725" s="22" t="str">
        <f>HYPERLINK("https://app.vivvix.com/360/KMI/IntelliDrive/ApplUI/Pages/CreativePages/CustomReportCreativeDetail.aspx?App=23&amp;ReportView=4&amp;Qid=1711279&amp;Row=21717&amp;Col=1","No Title Assigned - #15280194241")</f>
        <v/>
      </c>
      <c r="B21725" s="0" t="s">
        <v>28834</v>
      </c>
      <c r="C21725" s="0" t="s">
        <v>28835</v>
      </c>
      <c r="D21725" s="0" t="s">
        <v>11420</v>
      </c>
      <c r="E21725" s="0" t="inlineStr">
        <is>
          <t xml:space="preserve">Mazda</t>
        </is>
      </c>
      <c r="F21725" s="0" t="s">
        <v>13</v>
      </c>
      <c r="G21725" s="0" t="s">
        <v>49</v>
      </c>
      <c r="H21725" s="5">
        <v>7.886200</v>
      </c>
    </row>
    <row r="21726" spans="1:9">
      <c r="A21726" s="22" t="str">
        <f>HYPERLINK("https://app.vivvix.com/360/KMI/IntelliDrive/ApplUI/Pages/CreativePages/CustomReportCreativeDetail.aspx?App=23&amp;ReportView=4&amp;Qid=1711279&amp;Row=21718&amp;Col=1","No Title Assigned - #15280194747")</f>
        <v/>
      </c>
      <c r="B21726" s="0" t="s">
        <v>28836</v>
      </c>
      <c r="C21726" s="0" t="s">
        <v>28837</v>
      </c>
      <c r="D21726" s="0" t="s">
        <v>22583</v>
      </c>
      <c r="E21726" s="0" t="inlineStr">
        <is>
          <t xml:space="preserve">Mazda</t>
        </is>
      </c>
      <c r="F21726" s="0" t="s">
        <v>13</v>
      </c>
      <c r="G21726" s="0" t="s">
        <v>49</v>
      </c>
      <c r="H21726" s="5">
        <v>31.407600</v>
      </c>
    </row>
    <row r="21727" spans="1:9">
      <c r="A21727" s="22" t="str">
        <f>HYPERLINK("https://app.vivvix.com/360/KMI/IntelliDrive/ApplUI/Pages/CreativePages/CustomReportCreativeDetail.aspx?App=23&amp;ReportView=4&amp;Qid=1711279&amp;Row=21719&amp;Col=1","No Title Assigned - #15280195239")</f>
        <v/>
      </c>
      <c r="B21727" s="0" t="s">
        <v>28838</v>
      </c>
      <c r="C21727" s="0" t="s">
        <v>28839</v>
      </c>
      <c r="D21727" s="0" t="s">
        <v>28839</v>
      </c>
      <c r="E21727" s="0" t="inlineStr">
        <is>
          <t xml:space="preserve">Mazda</t>
        </is>
      </c>
      <c r="F21727" s="0" t="s">
        <v>13</v>
      </c>
      <c r="G21727" s="0" t="s">
        <v>49</v>
      </c>
      <c r="H21727" s="5">
        <v>1016.274700</v>
      </c>
    </row>
    <row r="21728" spans="1:9">
      <c r="A21728" s="22" t="str">
        <f>HYPERLINK("https://app.vivvix.com/360/KMI/IntelliDrive/ApplUI/Pages/CreativePages/CustomReportCreativeDetail.aspx?App=23&amp;ReportView=4&amp;Qid=1711279&amp;Row=21720&amp;Col=1","No Title Assigned - #15280197185")</f>
        <v/>
      </c>
      <c r="B21728" s="0" t="s">
        <v>28840</v>
      </c>
      <c r="E21728" s="0" t="inlineStr">
        <is>
          <t xml:space="preserve">Mazda</t>
        </is>
      </c>
      <c r="F21728" s="0" t="s">
        <v>13</v>
      </c>
      <c r="G21728" s="0" t="s">
        <v>49</v>
      </c>
      <c r="H21728" s="5">
        <v>3296.120100</v>
      </c>
    </row>
    <row r="21729" spans="1:9">
      <c r="A21729" s="22" t="str">
        <f>HYPERLINK("https://app.vivvix.com/360/KMI/IntelliDrive/ApplUI/Pages/CreativePages/CustomReportCreativeDetail.aspx?App=23&amp;ReportView=4&amp;Qid=1711279&amp;Row=21721&amp;Col=1","No Title Assigned - #15280198009")</f>
        <v/>
      </c>
      <c r="B21729" s="0" t="s">
        <v>28841</v>
      </c>
      <c r="E21729" s="0" t="inlineStr">
        <is>
          <t xml:space="preserve">Mazda</t>
        </is>
      </c>
      <c r="F21729" s="0" t="inlineStr">
        <is>
          <t xml:space="preserve">Mazda</t>
        </is>
      </c>
      <c r="G21729" s="0" t="s">
        <v>171</v>
      </c>
      <c r="H21729" s="5">
        <v>999.335800</v>
      </c>
    </row>
    <row r="21730" spans="1:9">
      <c r="A21730" s="22" t="str">
        <f>HYPERLINK("https://app.vivvix.com/360/KMI/IntelliDrive/ApplUI/Pages/CreativePages/CustomReportCreativeDetail.aspx?App=23&amp;ReportView=4&amp;Qid=1711279&amp;Row=21722&amp;Col=1","No Title Assigned - #15280199520")</f>
        <v/>
      </c>
      <c r="B21730" s="0" t="s">
        <v>28842</v>
      </c>
      <c r="E21730" s="0" t="inlineStr">
        <is>
          <t xml:space="preserve">Mazda</t>
        </is>
      </c>
      <c r="F21730" s="0" t="inlineStr">
        <is>
          <t xml:space="preserve">Mazda</t>
        </is>
      </c>
      <c r="G21730" s="0" t="s">
        <v>171</v>
      </c>
      <c r="H21730" s="5">
        <v>75.029200</v>
      </c>
    </row>
    <row r="21731" spans="1:9">
      <c r="A21731" s="22" t="str">
        <f>HYPERLINK("https://app.vivvix.com/360/KMI/IntelliDrive/ApplUI/Pages/CreativePages/CustomReportCreativeDetail.aspx?App=23&amp;ReportView=4&amp;Qid=1711279&amp;Row=21723&amp;Col=1","No Title Assigned - #15280201269")</f>
        <v/>
      </c>
      <c r="B21731" s="0" t="s">
        <v>28843</v>
      </c>
      <c r="C21731" s="0" t="s">
        <v>28844</v>
      </c>
      <c r="D21731" s="0" t="s">
        <v>28844</v>
      </c>
      <c r="E21731" s="0" t="inlineStr">
        <is>
          <t xml:space="preserve">Mazda</t>
        </is>
      </c>
      <c r="F21731" s="0" t="s">
        <v>13</v>
      </c>
      <c r="G21731" s="0" t="s">
        <v>49</v>
      </c>
      <c r="H21731" s="5">
        <v>89.643200</v>
      </c>
    </row>
    <row r="21732" spans="1:9">
      <c r="A21732" s="22" t="str">
        <f>HYPERLINK("https://app.vivvix.com/360/KMI/IntelliDrive/ApplUI/Pages/CreativePages/CustomReportCreativeDetail.aspx?App=23&amp;ReportView=4&amp;Qid=1711279&amp;Row=21724&amp;Col=1","No Title Assigned - #15280201269")</f>
        <v/>
      </c>
      <c r="B21732" s="0" t="s">
        <v>28843</v>
      </c>
      <c r="E21732" s="0" t="inlineStr">
        <is>
          <t xml:space="preserve">Mazda</t>
        </is>
      </c>
      <c r="F21732" s="0" t="s">
        <v>13</v>
      </c>
      <c r="G21732" s="0" t="s">
        <v>49</v>
      </c>
      <c r="H21732" s="5">
        <v>85.149000</v>
      </c>
    </row>
    <row r="21733" spans="1:9">
      <c r="A21733" s="22" t="str">
        <f>HYPERLINK("https://app.vivvix.com/360/KMI/IntelliDrive/ApplUI/Pages/CreativePages/CustomReportCreativeDetail.aspx?App=23&amp;ReportView=4&amp;Qid=1711279&amp;Row=21725&amp;Col=1","No Title Assigned - #15280204496")</f>
        <v/>
      </c>
      <c r="B21733" s="0" t="s">
        <v>28845</v>
      </c>
      <c r="E21733" s="0" t="inlineStr">
        <is>
          <t xml:space="preserve">Mazda</t>
        </is>
      </c>
      <c r="F21733" s="0" t="inlineStr">
        <is>
          <t xml:space="preserve">Mazda</t>
        </is>
      </c>
      <c r="G21733" s="0" t="s">
        <v>171</v>
      </c>
      <c r="H21733" s="5">
        <v>143.073600</v>
      </c>
    </row>
    <row r="21734" spans="1:9">
      <c r="A21734" s="22" t="str">
        <f>HYPERLINK("https://app.vivvix.com/360/KMI/IntelliDrive/ApplUI/Pages/CreativePages/CustomReportCreativeDetail.aspx?App=23&amp;ReportView=4&amp;Qid=1711279&amp;Row=21726&amp;Col=1","No Title Assigned - #15280204497")</f>
        <v/>
      </c>
      <c r="B21734" s="0" t="s">
        <v>28846</v>
      </c>
      <c r="E21734" s="0" t="inlineStr">
        <is>
          <t xml:space="preserve">Mazda</t>
        </is>
      </c>
      <c r="F21734" s="0" t="inlineStr">
        <is>
          <t xml:space="preserve">Mazda</t>
        </is>
      </c>
      <c r="G21734" s="0" t="s">
        <v>171</v>
      </c>
      <c r="H21734" s="5">
        <v>35.768400</v>
      </c>
    </row>
    <row r="21735" spans="1:9">
      <c r="A21735" s="22" t="str">
        <f>HYPERLINK("https://app.vivvix.com/360/KMI/IntelliDrive/ApplUI/Pages/CreativePages/CustomReportCreativeDetail.aspx?App=23&amp;ReportView=4&amp;Qid=1711279&amp;Row=21727&amp;Col=1","No Title Assigned - #15280205417")</f>
        <v/>
      </c>
      <c r="B21735" s="0" t="s">
        <v>28847</v>
      </c>
      <c r="C21735" s="0" t="s">
        <v>28848</v>
      </c>
      <c r="D21735" s="0" t="s">
        <v>5239</v>
      </c>
      <c r="E21735" s="0" t="inlineStr">
        <is>
          <t xml:space="preserve">Mazda</t>
        </is>
      </c>
      <c r="F21735" s="0" t="s">
        <v>13</v>
      </c>
      <c r="G21735" s="0" t="s">
        <v>49</v>
      </c>
      <c r="H21735" s="5">
        <v>384.265000</v>
      </c>
    </row>
    <row r="21736" spans="1:9">
      <c r="A21736" s="22" t="str">
        <f>HYPERLINK("https://app.vivvix.com/360/KMI/IntelliDrive/ApplUI/Pages/CreativePages/CustomReportCreativeDetail.aspx?App=23&amp;ReportView=4&amp;Qid=1711279&amp;Row=21728&amp;Col=1","No Title Assigned - #15280206194")</f>
        <v/>
      </c>
      <c r="B21736" s="0" t="s">
        <v>28849</v>
      </c>
      <c r="C21736" s="0" t="s">
        <v>28850</v>
      </c>
      <c r="D21736" s="0" t="s">
        <v>28850</v>
      </c>
      <c r="E21736" s="0" t="inlineStr">
        <is>
          <t xml:space="preserve">Mazda</t>
        </is>
      </c>
      <c r="F21736" s="0" t="s">
        <v>13</v>
      </c>
      <c r="G21736" s="0" t="s">
        <v>49</v>
      </c>
      <c r="H21736" s="5">
        <v>102.680200</v>
      </c>
    </row>
    <row r="21737" spans="1:9">
      <c r="A21737" s="22" t="str">
        <f>HYPERLINK("https://app.vivvix.com/360/KMI/IntelliDrive/ApplUI/Pages/CreativePages/CustomReportCreativeDetail.aspx?App=23&amp;ReportView=4&amp;Qid=1711279&amp;Row=21729&amp;Col=1","No Title Assigned - #15280206317")</f>
        <v/>
      </c>
      <c r="B21737" s="0" t="s">
        <v>28851</v>
      </c>
      <c r="C21737" s="0" t="s">
        <v>28852</v>
      </c>
      <c r="D21737" s="0" t="s">
        <v>28852</v>
      </c>
      <c r="E21737" s="0" t="inlineStr">
        <is>
          <t xml:space="preserve">Mazda</t>
        </is>
      </c>
      <c r="F21737" s="0" t="s">
        <v>13</v>
      </c>
      <c r="G21737" s="0" t="s">
        <v>49</v>
      </c>
      <c r="H21737" s="5">
        <v>876.672200</v>
      </c>
    </row>
    <row r="21738" spans="1:9">
      <c r="A21738" s="22" t="str">
        <f>HYPERLINK("https://app.vivvix.com/360/KMI/IntelliDrive/ApplUI/Pages/CreativePages/CustomReportCreativeDetail.aspx?App=23&amp;ReportView=4&amp;Qid=1711279&amp;Row=21730&amp;Col=1","No Title Assigned - #15280208205")</f>
        <v/>
      </c>
      <c r="B21738" s="0" t="s">
        <v>28853</v>
      </c>
      <c r="C21738" s="0" t="s">
        <v>28854</v>
      </c>
      <c r="D21738" s="0" t="s">
        <v>28854</v>
      </c>
      <c r="E21738" s="0" t="inlineStr">
        <is>
          <t xml:space="preserve">Mazda</t>
        </is>
      </c>
      <c r="F21738" s="0" t="s">
        <v>13</v>
      </c>
      <c r="G21738" s="0" t="s">
        <v>49</v>
      </c>
      <c r="H21738" s="5">
        <v>460.543400</v>
      </c>
    </row>
    <row r="21739" spans="1:9">
      <c r="A21739" s="22" t="str">
        <f>HYPERLINK("https://app.vivvix.com/360/KMI/IntelliDrive/ApplUI/Pages/CreativePages/CustomReportCreativeDetail.aspx?App=23&amp;ReportView=4&amp;Qid=1711279&amp;Row=21731&amp;Col=1","No Title Assigned - #15280208739")</f>
        <v/>
      </c>
      <c r="B21739" s="0" t="s">
        <v>28855</v>
      </c>
      <c r="C21739" s="0" t="s">
        <v>28856</v>
      </c>
      <c r="D21739" s="0" t="s">
        <v>8453</v>
      </c>
      <c r="E21739" s="0" t="inlineStr">
        <is>
          <t xml:space="preserve">Mazda</t>
        </is>
      </c>
      <c r="F21739" s="0" t="s">
        <v>13</v>
      </c>
      <c r="G21739" s="0" t="s">
        <v>49</v>
      </c>
      <c r="H21739" s="5">
        <v>1067.606000</v>
      </c>
    </row>
    <row r="21740" spans="1:9">
      <c r="A21740" s="22" t="str">
        <f>HYPERLINK("https://app.vivvix.com/360/KMI/IntelliDrive/ApplUI/Pages/CreativePages/CustomReportCreativeDetail.aspx?App=23&amp;ReportView=4&amp;Qid=1711279&amp;Row=21732&amp;Col=1","No Title Assigned - #15280222156")</f>
        <v/>
      </c>
      <c r="B21740" s="0" t="s">
        <v>28857</v>
      </c>
      <c r="C21740" s="0" t="s">
        <v>28858</v>
      </c>
      <c r="D21740" s="0" t="s">
        <v>6183</v>
      </c>
      <c r="E21740" s="0" t="inlineStr">
        <is>
          <t xml:space="preserve">Mazda</t>
        </is>
      </c>
      <c r="F21740" s="0" t="s">
        <v>13</v>
      </c>
      <c r="G21740" s="0" t="s">
        <v>49</v>
      </c>
      <c r="H21740" s="5">
        <v>31.774100</v>
      </c>
    </row>
    <row r="21741" spans="1:9">
      <c r="A21741" s="22" t="str">
        <f>HYPERLINK("https://app.vivvix.com/360/KMI/IntelliDrive/ApplUI/Pages/CreativePages/CustomReportCreativeDetail.aspx?App=23&amp;ReportView=4&amp;Qid=1711279&amp;Row=21733&amp;Col=1","No Title Assigned - #15280222157")</f>
        <v/>
      </c>
      <c r="B21741" s="0" t="s">
        <v>28859</v>
      </c>
      <c r="C21741" s="0" t="s">
        <v>28860</v>
      </c>
      <c r="D21741" s="0" t="s">
        <v>28860</v>
      </c>
      <c r="E21741" s="0" t="inlineStr">
        <is>
          <t xml:space="preserve">Mazda</t>
        </is>
      </c>
      <c r="F21741" s="0" t="s">
        <v>13</v>
      </c>
      <c r="G21741" s="0" t="s">
        <v>49</v>
      </c>
      <c r="H21741" s="5">
        <v>158.870500</v>
      </c>
    </row>
    <row r="21742" spans="1:9">
      <c r="A21742" s="22" t="str">
        <f>HYPERLINK("https://app.vivvix.com/360/KMI/IntelliDrive/ApplUI/Pages/CreativePages/CustomReportCreativeDetail.aspx?App=23&amp;ReportView=4&amp;Qid=1711279&amp;Row=21734&amp;Col=1","No Title Assigned - #15280223251")</f>
        <v/>
      </c>
      <c r="B21742" s="0" t="s">
        <v>28861</v>
      </c>
      <c r="C21742" s="0" t="s">
        <v>28862</v>
      </c>
      <c r="D21742" s="0" t="s">
        <v>13101</v>
      </c>
      <c r="E21742" s="0" t="inlineStr">
        <is>
          <t xml:space="preserve">Mazda</t>
        </is>
      </c>
      <c r="F21742" s="0" t="s">
        <v>13</v>
      </c>
      <c r="G21742" s="0" t="s">
        <v>49</v>
      </c>
      <c r="H21742" s="5">
        <v>285.500400</v>
      </c>
    </row>
    <row r="21743" spans="1:9">
      <c r="A21743" s="22" t="str">
        <f>HYPERLINK("https://app.vivvix.com/360/KMI/IntelliDrive/ApplUI/Pages/CreativePages/CustomReportCreativeDetail.aspx?App=23&amp;ReportView=4&amp;Qid=1711279&amp;Row=21735&amp;Col=1","No Title Assigned - #15280223925")</f>
        <v/>
      </c>
      <c r="B21743" s="0" t="s">
        <v>28863</v>
      </c>
      <c r="C21743" s="0" t="s">
        <v>28864</v>
      </c>
      <c r="D21743" s="0" t="s">
        <v>11420</v>
      </c>
      <c r="E21743" s="0" t="inlineStr">
        <is>
          <t xml:space="preserve">Mazda</t>
        </is>
      </c>
      <c r="F21743" s="0" t="s">
        <v>13</v>
      </c>
      <c r="G21743" s="0" t="s">
        <v>49</v>
      </c>
      <c r="H21743" s="5">
        <v>24.093200</v>
      </c>
    </row>
    <row r="21744" spans="1:9">
      <c r="A21744" s="22" t="str">
        <f>HYPERLINK("https://app.vivvix.com/360/KMI/IntelliDrive/ApplUI/Pages/CreativePages/CustomReportCreativeDetail.aspx?App=23&amp;ReportView=4&amp;Qid=1711279&amp;Row=21736&amp;Col=1","No Title Assigned - #15280223925")</f>
        <v/>
      </c>
      <c r="B21744" s="0" t="s">
        <v>28863</v>
      </c>
      <c r="E21744" s="0" t="inlineStr">
        <is>
          <t xml:space="preserve">Mazda</t>
        </is>
      </c>
      <c r="F21744" s="0" t="s">
        <v>13</v>
      </c>
      <c r="G21744" s="0" t="s">
        <v>49</v>
      </c>
      <c r="H21744" s="5">
        <v>821.647800</v>
      </c>
    </row>
    <row r="21745" spans="1:9">
      <c r="A21745" s="22" t="str">
        <f>HYPERLINK("https://app.vivvix.com/360/KMI/IntelliDrive/ApplUI/Pages/CreativePages/CustomReportCreativeDetail.aspx?App=23&amp;ReportView=4&amp;Qid=1711279&amp;Row=21737&amp;Col=1","No Title Assigned - #15280225741")</f>
        <v/>
      </c>
      <c r="B21745" s="0" t="s">
        <v>28865</v>
      </c>
      <c r="C21745" s="0" t="s">
        <v>28866</v>
      </c>
      <c r="D21745" s="0" t="s">
        <v>28866</v>
      </c>
      <c r="E21745" s="0" t="inlineStr">
        <is>
          <t xml:space="preserve">Mazda</t>
        </is>
      </c>
      <c r="F21745" s="0" t="s">
        <v>13</v>
      </c>
      <c r="G21745" s="0" t="s">
        <v>49</v>
      </c>
      <c r="H21745" s="5">
        <v>198.549600</v>
      </c>
    </row>
    <row r="21746" spans="1:9">
      <c r="A21746" s="22" t="str">
        <f>HYPERLINK("https://app.vivvix.com/360/KMI/IntelliDrive/ApplUI/Pages/CreativePages/CustomReportCreativeDetail.aspx?App=23&amp;ReportView=4&amp;Qid=1711279&amp;Row=21738&amp;Col=1","No Title Assigned - #15280230776")</f>
        <v/>
      </c>
      <c r="B21746" s="0" t="s">
        <v>28867</v>
      </c>
      <c r="E21746" s="0" t="inlineStr">
        <is>
          <t xml:space="preserve">Mazda</t>
        </is>
      </c>
      <c r="F21746" s="0" t="inlineStr">
        <is>
          <t xml:space="preserve">Mazda</t>
        </is>
      </c>
      <c r="G21746" s="0" t="s">
        <v>171</v>
      </c>
      <c r="H21746" s="5">
        <v>7659.548800</v>
      </c>
    </row>
    <row r="21747" spans="1:9">
      <c r="A21747" s="22" t="str">
        <f>HYPERLINK("https://app.vivvix.com/360/KMI/IntelliDrive/ApplUI/Pages/CreativePages/CustomReportCreativeDetail.aspx?App=23&amp;ReportView=4&amp;Qid=1711279&amp;Row=21739&amp;Col=1","No Title Assigned - #15280231193")</f>
        <v/>
      </c>
      <c r="B21747" s="0" t="s">
        <v>28868</v>
      </c>
      <c r="E21747" s="0" t="inlineStr">
        <is>
          <t xml:space="preserve">Mazda</t>
        </is>
      </c>
      <c r="F21747" s="0" t="inlineStr">
        <is>
          <t xml:space="preserve">Mazda</t>
        </is>
      </c>
      <c r="G21747" s="0" t="s">
        <v>171</v>
      </c>
      <c r="H21747" s="5">
        <v>4176.763600</v>
      </c>
    </row>
    <row r="21748" spans="1:9">
      <c r="A21748" s="22" t="str">
        <f>HYPERLINK("https://app.vivvix.com/360/KMI/IntelliDrive/ApplUI/Pages/CreativePages/CustomReportCreativeDetail.aspx?App=23&amp;ReportView=4&amp;Qid=1711279&amp;Row=21740&amp;Col=1","No Title Assigned - #15280231688")</f>
        <v/>
      </c>
      <c r="B21748" s="0" t="s">
        <v>28869</v>
      </c>
      <c r="E21748" s="0" t="inlineStr">
        <is>
          <t xml:space="preserve">Mazda</t>
        </is>
      </c>
      <c r="F21748" s="0" t="inlineStr">
        <is>
          <t xml:space="preserve">Mazda</t>
        </is>
      </c>
      <c r="G21748" s="0" t="s">
        <v>171</v>
      </c>
      <c r="H21748" s="5">
        <v>87.424900</v>
      </c>
    </row>
    <row r="21749" spans="1:9">
      <c r="A21749" s="22" t="str">
        <f>HYPERLINK("https://app.vivvix.com/360/KMI/IntelliDrive/ApplUI/Pages/CreativePages/CustomReportCreativeDetail.aspx?App=23&amp;ReportView=4&amp;Qid=1711279&amp;Row=21741&amp;Col=1","No Title Assigned - #15280231926")</f>
        <v/>
      </c>
      <c r="B21749" s="0" t="s">
        <v>28870</v>
      </c>
      <c r="E21749" s="0" t="inlineStr">
        <is>
          <t xml:space="preserve">Mazda</t>
        </is>
      </c>
      <c r="F21749" s="0" t="inlineStr">
        <is>
          <t xml:space="preserve">Mazda</t>
        </is>
      </c>
      <c r="G21749" s="0" t="s">
        <v>171</v>
      </c>
      <c r="H21749" s="5">
        <v>1235.318200</v>
      </c>
    </row>
    <row r="21750" spans="1:9">
      <c r="A21750" s="22" t="str">
        <f>HYPERLINK("https://app.vivvix.com/360/KMI/IntelliDrive/ApplUI/Pages/CreativePages/CustomReportCreativeDetail.aspx?App=23&amp;ReportView=4&amp;Qid=1711279&amp;Row=21742&amp;Col=1","No Title Assigned - #15280232361")</f>
        <v/>
      </c>
      <c r="B21750" s="0" t="s">
        <v>28871</v>
      </c>
      <c r="E21750" s="0" t="inlineStr">
        <is>
          <t xml:space="preserve">Mazda</t>
        </is>
      </c>
      <c r="F21750" s="0" t="inlineStr">
        <is>
          <t xml:space="preserve">Mazda</t>
        </is>
      </c>
      <c r="G21750" s="0" t="s">
        <v>171</v>
      </c>
      <c r="H21750" s="5">
        <v>71.119300</v>
      </c>
    </row>
    <row r="21751" spans="1:9">
      <c r="A21751" s="22" t="str">
        <f>HYPERLINK("https://app.vivvix.com/360/KMI/IntelliDrive/ApplUI/Pages/CreativePages/CustomReportCreativeDetail.aspx?App=23&amp;ReportView=4&amp;Qid=1711279&amp;Row=21743&amp;Col=1","No Title Assigned - #15280232502")</f>
        <v/>
      </c>
      <c r="B21751" s="0" t="s">
        <v>28872</v>
      </c>
      <c r="E21751" s="0" t="inlineStr">
        <is>
          <t xml:space="preserve">Mazda</t>
        </is>
      </c>
      <c r="F21751" s="0" t="inlineStr">
        <is>
          <t xml:space="preserve">Mazda</t>
        </is>
      </c>
      <c r="G21751" s="0" t="s">
        <v>171</v>
      </c>
      <c r="H21751" s="5">
        <v>93.219700</v>
      </c>
    </row>
    <row r="21752" spans="1:9">
      <c r="A21752" s="22" t="str">
        <f>HYPERLINK("https://app.vivvix.com/360/KMI/IntelliDrive/ApplUI/Pages/CreativePages/CustomReportCreativeDetail.aspx?App=23&amp;ReportView=4&amp;Qid=1711279&amp;Row=21744&amp;Col=1","No Title Assigned - #15280232755")</f>
        <v/>
      </c>
      <c r="B21752" s="0" t="s">
        <v>28873</v>
      </c>
      <c r="E21752" s="0" t="inlineStr">
        <is>
          <t xml:space="preserve">Mazda</t>
        </is>
      </c>
      <c r="F21752" s="0" t="inlineStr">
        <is>
          <t xml:space="preserve">Mazda</t>
        </is>
      </c>
      <c r="G21752" s="0" t="s">
        <v>171</v>
      </c>
      <c r="H21752" s="5">
        <v>161.187600</v>
      </c>
    </row>
    <row r="21753" spans="1:9">
      <c r="A21753" s="22" t="str">
        <f>HYPERLINK("https://app.vivvix.com/360/KMI/IntelliDrive/ApplUI/Pages/CreativePages/CustomReportCreativeDetail.aspx?App=23&amp;ReportView=4&amp;Qid=1711279&amp;Row=21745&amp;Col=1","No Title Assigned - #15280232977")</f>
        <v/>
      </c>
      <c r="B21753" s="0" t="s">
        <v>28874</v>
      </c>
      <c r="E21753" s="0" t="inlineStr">
        <is>
          <t xml:space="preserve">Mazda</t>
        </is>
      </c>
      <c r="F21753" s="0" t="inlineStr">
        <is>
          <t xml:space="preserve">Mazda</t>
        </is>
      </c>
      <c r="G21753" s="0" t="s">
        <v>171</v>
      </c>
      <c r="H21753" s="5">
        <v>355.332500</v>
      </c>
    </row>
    <row r="21754" spans="1:9">
      <c r="A21754" s="22" t="str">
        <f>HYPERLINK("https://app.vivvix.com/360/KMI/IntelliDrive/ApplUI/Pages/CreativePages/CustomReportCreativeDetail.aspx?App=23&amp;ReportView=4&amp;Qid=1711279&amp;Row=21746&amp;Col=1","No Title Assigned - #15280233143")</f>
        <v/>
      </c>
      <c r="B21754" s="0" t="s">
        <v>28875</v>
      </c>
      <c r="E21754" s="0" t="inlineStr">
        <is>
          <t xml:space="preserve">Mazda</t>
        </is>
      </c>
      <c r="F21754" s="0" t="inlineStr">
        <is>
          <t xml:space="preserve">Mazda</t>
        </is>
      </c>
      <c r="G21754" s="0" t="s">
        <v>171</v>
      </c>
      <c r="H21754" s="5">
        <v>379.063800</v>
      </c>
    </row>
    <row r="21755" spans="1:9">
      <c r="A21755" s="22" t="str">
        <f>HYPERLINK("https://app.vivvix.com/360/KMI/IntelliDrive/ApplUI/Pages/CreativePages/CustomReportCreativeDetail.aspx?App=23&amp;ReportView=4&amp;Qid=1711279&amp;Row=21747&amp;Col=1","No Title Assigned - #15280233325")</f>
        <v/>
      </c>
      <c r="B21755" s="0" t="s">
        <v>28876</v>
      </c>
      <c r="C21755" s="0" t="s">
        <v>28877</v>
      </c>
      <c r="D21755" s="0" t="s">
        <v>28877</v>
      </c>
      <c r="E21755" s="0" t="inlineStr">
        <is>
          <t xml:space="preserve">Mazda</t>
        </is>
      </c>
      <c r="F21755" s="0" t="inlineStr">
        <is>
          <t xml:space="preserve">Mazda</t>
        </is>
      </c>
      <c r="G21755" s="0" t="s">
        <v>171</v>
      </c>
      <c r="H21755" s="5">
        <v>58.796800</v>
      </c>
    </row>
    <row r="21756" spans="1:9">
      <c r="A21756" s="22" t="str">
        <f>HYPERLINK("https://app.vivvix.com/360/KMI/IntelliDrive/ApplUI/Pages/CreativePages/CustomReportCreativeDetail.aspx?App=23&amp;ReportView=4&amp;Qid=1711279&amp;Row=21748&amp;Col=1","No Title Assigned - #15280233376")</f>
        <v/>
      </c>
      <c r="B21756" s="0" t="s">
        <v>28878</v>
      </c>
      <c r="E21756" s="0" t="inlineStr">
        <is>
          <t xml:space="preserve">Mazda</t>
        </is>
      </c>
      <c r="F21756" s="0" t="inlineStr">
        <is>
          <t xml:space="preserve">Mazda</t>
        </is>
      </c>
      <c r="G21756" s="0" t="s">
        <v>171</v>
      </c>
      <c r="H21756" s="5">
        <v>92.583000</v>
      </c>
    </row>
    <row r="21757" spans="1:9">
      <c r="A21757" s="22" t="str">
        <f>HYPERLINK("https://app.vivvix.com/360/KMI/IntelliDrive/ApplUI/Pages/CreativePages/CustomReportCreativeDetail.aspx?App=23&amp;ReportView=4&amp;Qid=1711279&amp;Row=21749&amp;Col=1","No Title Assigned - #15280233569")</f>
        <v/>
      </c>
      <c r="B21757" s="0" t="s">
        <v>28879</v>
      </c>
      <c r="E21757" s="0" t="inlineStr">
        <is>
          <t xml:space="preserve">Mazda</t>
        </is>
      </c>
      <c r="F21757" s="0" t="inlineStr">
        <is>
          <t xml:space="preserve">Mazda</t>
        </is>
      </c>
      <c r="G21757" s="0" t="s">
        <v>171</v>
      </c>
      <c r="H21757" s="5">
        <v>1795.757400</v>
      </c>
    </row>
    <row r="21758" spans="1:9">
      <c r="A21758" s="22" t="str">
        <f>HYPERLINK("https://app.vivvix.com/360/KMI/IntelliDrive/ApplUI/Pages/CreativePages/CustomReportCreativeDetail.aspx?App=23&amp;ReportView=4&amp;Qid=1711279&amp;Row=21750&amp;Col=1","No Title Assigned - #15280234297")</f>
        <v/>
      </c>
      <c r="B21758" s="0" t="s">
        <v>28880</v>
      </c>
      <c r="E21758" s="0" t="inlineStr">
        <is>
          <t xml:space="preserve">Mazda</t>
        </is>
      </c>
      <c r="F21758" s="0" t="inlineStr">
        <is>
          <t xml:space="preserve">Mazda</t>
        </is>
      </c>
      <c r="G21758" s="0" t="s">
        <v>171</v>
      </c>
      <c r="H21758" s="5">
        <v>46.043300</v>
      </c>
    </row>
    <row r="21759" spans="1:9">
      <c r="A21759" s="22" t="str">
        <f>HYPERLINK("https://app.vivvix.com/360/KMI/IntelliDrive/ApplUI/Pages/CreativePages/CustomReportCreativeDetail.aspx?App=23&amp;ReportView=4&amp;Qid=1711279&amp;Row=21751&amp;Col=1","No Title Assigned - #15280234541")</f>
        <v/>
      </c>
      <c r="B21759" s="0" t="s">
        <v>28881</v>
      </c>
      <c r="E21759" s="0" t="inlineStr">
        <is>
          <t xml:space="preserve">Mazda</t>
        </is>
      </c>
      <c r="F21759" s="0" t="inlineStr">
        <is>
          <t xml:space="preserve">Mazda</t>
        </is>
      </c>
      <c r="G21759" s="0" t="s">
        <v>171</v>
      </c>
      <c r="H21759" s="5">
        <v>1185.578600</v>
      </c>
    </row>
    <row r="21760" spans="1:9">
      <c r="A21760" s="22" t="str">
        <f>HYPERLINK("https://app.vivvix.com/360/KMI/IntelliDrive/ApplUI/Pages/CreativePages/CustomReportCreativeDetail.aspx?App=23&amp;ReportView=4&amp;Qid=1711279&amp;Row=21752&amp;Col=1","No Title Assigned - #15280235289")</f>
        <v/>
      </c>
      <c r="B21760" s="0" t="s">
        <v>28882</v>
      </c>
      <c r="E21760" s="0" t="inlineStr">
        <is>
          <t xml:space="preserve">Mazda</t>
        </is>
      </c>
      <c r="F21760" s="0" t="inlineStr">
        <is>
          <t xml:space="preserve">Mazda</t>
        </is>
      </c>
      <c r="G21760" s="0" t="s">
        <v>171</v>
      </c>
      <c r="H21760" s="5">
        <v>834.214100</v>
      </c>
    </row>
    <row r="21761" spans="1:9">
      <c r="A21761" s="22" t="str">
        <f>HYPERLINK("https://app.vivvix.com/360/KMI/IntelliDrive/ApplUI/Pages/CreativePages/CustomReportCreativeDetail.aspx?App=23&amp;ReportView=4&amp;Qid=1711279&amp;Row=21753&amp;Col=1","No Title Assigned - #15280235559")</f>
        <v/>
      </c>
      <c r="B21761" s="0" t="s">
        <v>28883</v>
      </c>
      <c r="E21761" s="0" t="inlineStr">
        <is>
          <t xml:space="preserve">Mazda</t>
        </is>
      </c>
      <c r="F21761" s="0" t="inlineStr">
        <is>
          <t xml:space="preserve">Mazda</t>
        </is>
      </c>
      <c r="G21761" s="0" t="s">
        <v>171</v>
      </c>
      <c r="H21761" s="5">
        <v>7114.366000</v>
      </c>
    </row>
    <row r="21762" spans="1:9">
      <c r="A21762" s="22" t="str">
        <f>HYPERLINK("https://app.vivvix.com/360/KMI/IntelliDrive/ApplUI/Pages/CreativePages/CustomReportCreativeDetail.aspx?App=23&amp;ReportView=4&amp;Qid=1711279&amp;Row=21754&amp;Col=1","No Title Assigned - #15280235886")</f>
        <v/>
      </c>
      <c r="B21762" s="0" t="s">
        <v>28884</v>
      </c>
      <c r="E21762" s="0" t="inlineStr">
        <is>
          <t xml:space="preserve">Mazda</t>
        </is>
      </c>
      <c r="F21762" s="0" t="inlineStr">
        <is>
          <t xml:space="preserve">Mazda</t>
        </is>
      </c>
      <c r="G21762" s="0" t="s">
        <v>171</v>
      </c>
      <c r="H21762" s="5">
        <v>511.153200</v>
      </c>
    </row>
    <row r="21763" spans="1:9">
      <c r="A21763" s="22" t="str">
        <f>HYPERLINK("https://app.vivvix.com/360/KMI/IntelliDrive/ApplUI/Pages/CreativePages/CustomReportCreativeDetail.aspx?App=23&amp;ReportView=4&amp;Qid=1711279&amp;Row=21755&amp;Col=1","No Title Assigned - #15280235927")</f>
        <v/>
      </c>
      <c r="B21763" s="0" t="s">
        <v>28885</v>
      </c>
      <c r="E21763" s="0" t="inlineStr">
        <is>
          <t xml:space="preserve">Mazda</t>
        </is>
      </c>
      <c r="F21763" s="0" t="inlineStr">
        <is>
          <t xml:space="preserve">Mazda</t>
        </is>
      </c>
      <c r="G21763" s="0" t="s">
        <v>171</v>
      </c>
      <c r="H21763" s="5">
        <v>39.840000</v>
      </c>
    </row>
    <row r="21764" spans="1:9">
      <c r="A21764" s="22" t="str">
        <f>HYPERLINK("https://app.vivvix.com/360/KMI/IntelliDrive/ApplUI/Pages/CreativePages/CustomReportCreativeDetail.aspx?App=23&amp;ReportView=4&amp;Qid=1711279&amp;Row=21756&amp;Col=1","No Title Assigned - #15280236033")</f>
        <v/>
      </c>
      <c r="B21764" s="0" t="s">
        <v>28886</v>
      </c>
      <c r="C21764" s="0" t="s">
        <v>28887</v>
      </c>
      <c r="D21764" s="0" t="s">
        <v>28887</v>
      </c>
      <c r="E21764" s="0" t="inlineStr">
        <is>
          <t xml:space="preserve">Mazda</t>
        </is>
      </c>
      <c r="F21764" s="0" t="inlineStr">
        <is>
          <t xml:space="preserve">Mazda</t>
        </is>
      </c>
      <c r="G21764" s="0" t="s">
        <v>171</v>
      </c>
      <c r="H21764" s="5">
        <v>111.289600</v>
      </c>
    </row>
    <row r="21765" spans="1:9">
      <c r="A21765" s="22" t="str">
        <f>HYPERLINK("https://app.vivvix.com/360/KMI/IntelliDrive/ApplUI/Pages/CreativePages/CustomReportCreativeDetail.aspx?App=23&amp;ReportView=4&amp;Qid=1711279&amp;Row=21757&amp;Col=1","No Title Assigned - #15280236298")</f>
        <v/>
      </c>
      <c r="B21765" s="0" t="s">
        <v>28888</v>
      </c>
      <c r="E21765" s="0" t="inlineStr">
        <is>
          <t xml:space="preserve">Mazda</t>
        </is>
      </c>
      <c r="F21765" s="0" t="inlineStr">
        <is>
          <t xml:space="preserve">Mazda</t>
        </is>
      </c>
      <c r="G21765" s="0" t="s">
        <v>171</v>
      </c>
      <c r="H21765" s="5">
        <v>492.750000</v>
      </c>
    </row>
    <row r="21766" spans="1:9">
      <c r="A21766" s="22" t="str">
        <f>HYPERLINK("https://app.vivvix.com/360/KMI/IntelliDrive/ApplUI/Pages/CreativePages/CustomReportCreativeDetail.aspx?App=23&amp;ReportView=4&amp;Qid=1711279&amp;Row=21758&amp;Col=1","No Title Assigned - #15280236467")</f>
        <v/>
      </c>
      <c r="B21766" s="0" t="s">
        <v>28889</v>
      </c>
      <c r="E21766" s="0" t="inlineStr">
        <is>
          <t xml:space="preserve">Mazda</t>
        </is>
      </c>
      <c r="F21766" s="0" t="inlineStr">
        <is>
          <t xml:space="preserve">Mazda</t>
        </is>
      </c>
      <c r="G21766" s="0" t="s">
        <v>171</v>
      </c>
      <c r="H21766" s="5">
        <v>18.695300</v>
      </c>
    </row>
    <row r="21767" spans="1:9">
      <c r="A21767" s="22" t="str">
        <f>HYPERLINK("https://app.vivvix.com/360/KMI/IntelliDrive/ApplUI/Pages/CreativePages/CustomReportCreativeDetail.aspx?App=23&amp;ReportView=4&amp;Qid=1711279&amp;Row=21759&amp;Col=1","No Title Assigned - #15280236534")</f>
        <v/>
      </c>
      <c r="B21767" s="0" t="s">
        <v>28890</v>
      </c>
      <c r="E21767" s="0" t="inlineStr">
        <is>
          <t xml:space="preserve">Mazda</t>
        </is>
      </c>
      <c r="F21767" s="0" t="inlineStr">
        <is>
          <t xml:space="preserve">Mazda</t>
        </is>
      </c>
      <c r="G21767" s="0" t="s">
        <v>171</v>
      </c>
      <c r="H21767" s="5">
        <v>427.788200</v>
      </c>
    </row>
    <row r="21768" spans="1:9">
      <c r="A21768" s="22" t="str">
        <f>HYPERLINK("https://app.vivvix.com/360/KMI/IntelliDrive/ApplUI/Pages/CreativePages/CustomReportCreativeDetail.aspx?App=23&amp;ReportView=4&amp;Qid=1711279&amp;Row=21760&amp;Col=1","No Title Assigned - #15280236732")</f>
        <v/>
      </c>
      <c r="B21768" s="0" t="s">
        <v>28891</v>
      </c>
      <c r="E21768" s="0" t="inlineStr">
        <is>
          <t xml:space="preserve">Mazda</t>
        </is>
      </c>
      <c r="F21768" s="0" t="inlineStr">
        <is>
          <t xml:space="preserve">Mazda</t>
        </is>
      </c>
      <c r="G21768" s="0" t="s">
        <v>171</v>
      </c>
      <c r="H21768" s="5">
        <v>10.867100</v>
      </c>
    </row>
    <row r="21769" spans="1:9">
      <c r="A21769" s="22" t="str">
        <f>HYPERLINK("https://app.vivvix.com/360/KMI/IntelliDrive/ApplUI/Pages/CreativePages/CustomReportCreativeDetail.aspx?App=23&amp;ReportView=4&amp;Qid=1711279&amp;Row=21761&amp;Col=1","No Title Assigned - #15280236886")</f>
        <v/>
      </c>
      <c r="B21769" s="0" t="s">
        <v>28892</v>
      </c>
      <c r="E21769" s="0" t="inlineStr">
        <is>
          <t xml:space="preserve">Mazda</t>
        </is>
      </c>
      <c r="F21769" s="0" t="inlineStr">
        <is>
          <t xml:space="preserve">Mazda</t>
        </is>
      </c>
      <c r="G21769" s="0" t="s">
        <v>171</v>
      </c>
      <c r="H21769" s="5">
        <v>15319.097600</v>
      </c>
    </row>
    <row r="21770" spans="1:9">
      <c r="A21770" s="22" t="str">
        <f>HYPERLINK("https://app.vivvix.com/360/KMI/IntelliDrive/ApplUI/Pages/CreativePages/CustomReportCreativeDetail.aspx?App=23&amp;ReportView=4&amp;Qid=1711279&amp;Row=21762&amp;Col=1","No Title Assigned - #15280237014")</f>
        <v/>
      </c>
      <c r="B21770" s="0" t="s">
        <v>28893</v>
      </c>
      <c r="E21770" s="0" t="inlineStr">
        <is>
          <t xml:space="preserve">Mazda</t>
        </is>
      </c>
      <c r="F21770" s="0" t="inlineStr">
        <is>
          <t xml:space="preserve">Mazda</t>
        </is>
      </c>
      <c r="G21770" s="0" t="s">
        <v>171</v>
      </c>
      <c r="H21770" s="5">
        <v>3.815300</v>
      </c>
    </row>
    <row r="21771" spans="1:9">
      <c r="A21771" s="22" t="str">
        <f>HYPERLINK("https://app.vivvix.com/360/KMI/IntelliDrive/ApplUI/Pages/CreativePages/CustomReportCreativeDetail.aspx?App=23&amp;ReportView=4&amp;Qid=1711279&amp;Row=21763&amp;Col=1","No Title Assigned - #15280237095")</f>
        <v/>
      </c>
      <c r="B21771" s="0" t="s">
        <v>28894</v>
      </c>
      <c r="E21771" s="0" t="inlineStr">
        <is>
          <t xml:space="preserve">Mazda</t>
        </is>
      </c>
      <c r="F21771" s="0" t="inlineStr">
        <is>
          <t xml:space="preserve">Mazda</t>
        </is>
      </c>
      <c r="G21771" s="0" t="s">
        <v>171</v>
      </c>
      <c r="H21771" s="5">
        <v>38.544300</v>
      </c>
    </row>
    <row r="21772" spans="1:9">
      <c r="A21772" s="22" t="str">
        <f>HYPERLINK("https://app.vivvix.com/360/KMI/IntelliDrive/ApplUI/Pages/CreativePages/CustomReportCreativeDetail.aspx?App=23&amp;ReportView=4&amp;Qid=1711279&amp;Row=21764&amp;Col=1","No Title Assigned - #15280237399")</f>
        <v/>
      </c>
      <c r="B21772" s="0" t="s">
        <v>28895</v>
      </c>
      <c r="E21772" s="0" t="inlineStr">
        <is>
          <t xml:space="preserve">Mazda</t>
        </is>
      </c>
      <c r="F21772" s="0" t="inlineStr">
        <is>
          <t xml:space="preserve">Mazda</t>
        </is>
      </c>
      <c r="G21772" s="0" t="s">
        <v>171</v>
      </c>
      <c r="H21772" s="5">
        <v>484.285600</v>
      </c>
    </row>
    <row r="21773" spans="1:9">
      <c r="A21773" s="22" t="str">
        <f>HYPERLINK("https://app.vivvix.com/360/KMI/IntelliDrive/ApplUI/Pages/CreativePages/CustomReportCreativeDetail.aspx?App=23&amp;ReportView=4&amp;Qid=1711279&amp;Row=21765&amp;Col=1","No Title Assigned - #15280237427")</f>
        <v/>
      </c>
      <c r="B21773" s="0" t="s">
        <v>28896</v>
      </c>
      <c r="C21773" s="0" t="s">
        <v>28897</v>
      </c>
      <c r="D21773" s="0" t="s">
        <v>28897</v>
      </c>
      <c r="E21773" s="0" t="inlineStr">
        <is>
          <t xml:space="preserve">Mazda</t>
        </is>
      </c>
      <c r="F21773" s="0" t="inlineStr">
        <is>
          <t xml:space="preserve">Mazda</t>
        </is>
      </c>
      <c r="G21773" s="0" t="s">
        <v>171</v>
      </c>
      <c r="H21773" s="5">
        <v>759.108900</v>
      </c>
    </row>
    <row r="21774" spans="1:9">
      <c r="A21774" s="22" t="str">
        <f>HYPERLINK("https://app.vivvix.com/360/KMI/IntelliDrive/ApplUI/Pages/CreativePages/CustomReportCreativeDetail.aspx?App=23&amp;ReportView=4&amp;Qid=1711279&amp;Row=21766&amp;Col=1","No Title Assigned - #15280238039")</f>
        <v/>
      </c>
      <c r="B21774" s="0" t="s">
        <v>28898</v>
      </c>
      <c r="E21774" s="0" t="inlineStr">
        <is>
          <t xml:space="preserve">Mazda</t>
        </is>
      </c>
      <c r="F21774" s="0" t="inlineStr">
        <is>
          <t xml:space="preserve">Mazda</t>
        </is>
      </c>
      <c r="G21774" s="0" t="s">
        <v>171</v>
      </c>
      <c r="H21774" s="5">
        <v>1221.267500</v>
      </c>
    </row>
    <row r="21775" spans="1:9">
      <c r="A21775" s="22" t="str">
        <f>HYPERLINK("https://app.vivvix.com/360/KMI/IntelliDrive/ApplUI/Pages/CreativePages/CustomReportCreativeDetail.aspx?App=23&amp;ReportView=4&amp;Qid=1711279&amp;Row=21767&amp;Col=1","No Title Assigned - #15280238039")</f>
        <v/>
      </c>
      <c r="B21775" s="0" t="s">
        <v>28898</v>
      </c>
      <c r="E21775" s="0" t="inlineStr">
        <is>
          <t xml:space="preserve">Mazda</t>
        </is>
      </c>
      <c r="F21775" s="0" t="inlineStr">
        <is>
          <t xml:space="preserve">Mazda</t>
        </is>
      </c>
      <c r="G21775" s="0" t="s">
        <v>171</v>
      </c>
      <c r="H21775" s="5">
        <v>61.774700</v>
      </c>
    </row>
    <row r="21776" spans="1:9">
      <c r="A21776" s="22" t="str">
        <f>HYPERLINK("https://app.vivvix.com/360/KMI/IntelliDrive/ApplUI/Pages/CreativePages/CustomReportCreativeDetail.aspx?App=23&amp;ReportView=4&amp;Qid=1711279&amp;Row=21768&amp;Col=1","No Title Assigned - #15280238412")</f>
        <v/>
      </c>
      <c r="B21776" s="0" t="s">
        <v>28899</v>
      </c>
      <c r="E21776" s="0" t="inlineStr">
        <is>
          <t xml:space="preserve">Mazda</t>
        </is>
      </c>
      <c r="F21776" s="0" t="inlineStr">
        <is>
          <t xml:space="preserve">Mazda</t>
        </is>
      </c>
      <c r="G21776" s="0" t="s">
        <v>171</v>
      </c>
      <c r="H21776" s="5">
        <v>152.123000</v>
      </c>
    </row>
    <row r="21777" spans="1:9">
      <c r="A21777" s="22" t="str">
        <f>HYPERLINK("https://app.vivvix.com/360/KMI/IntelliDrive/ApplUI/Pages/CreativePages/CustomReportCreativeDetail.aspx?App=23&amp;ReportView=4&amp;Qid=1711279&amp;Row=21769&amp;Col=1","No Title Assigned - #15280238448")</f>
        <v/>
      </c>
      <c r="B21777" s="0" t="s">
        <v>28900</v>
      </c>
      <c r="E21777" s="0" t="inlineStr">
        <is>
          <t xml:space="preserve">Mazda</t>
        </is>
      </c>
      <c r="F21777" s="0" t="inlineStr">
        <is>
          <t xml:space="preserve">Mazda</t>
        </is>
      </c>
      <c r="G21777" s="0" t="s">
        <v>171</v>
      </c>
      <c r="H21777" s="5">
        <v>49.777500</v>
      </c>
    </row>
    <row r="21778" spans="1:9">
      <c r="A21778" s="22" t="str">
        <f>HYPERLINK("https://app.vivvix.com/360/KMI/IntelliDrive/ApplUI/Pages/CreativePages/CustomReportCreativeDetail.aspx?App=23&amp;ReportView=4&amp;Qid=1711279&amp;Row=21770&amp;Col=1","No Title Assigned - #15280238698")</f>
        <v/>
      </c>
      <c r="B21778" s="0" t="s">
        <v>28901</v>
      </c>
      <c r="E21778" s="0" t="inlineStr">
        <is>
          <t xml:space="preserve">Mazda</t>
        </is>
      </c>
      <c r="F21778" s="0" t="inlineStr">
        <is>
          <t xml:space="preserve">Mazda</t>
        </is>
      </c>
      <c r="G21778" s="0" t="s">
        <v>171</v>
      </c>
      <c r="H21778" s="5">
        <v>323.685100</v>
      </c>
    </row>
    <row r="21779" spans="1:9">
      <c r="A21779" s="22" t="str">
        <f>HYPERLINK("https://app.vivvix.com/360/KMI/IntelliDrive/ApplUI/Pages/CreativePages/CustomReportCreativeDetail.aspx?App=23&amp;ReportView=4&amp;Qid=1711279&amp;Row=21771&amp;Col=1","No Title Assigned - #15280238698")</f>
        <v/>
      </c>
      <c r="B21779" s="0" t="s">
        <v>28901</v>
      </c>
      <c r="E21779" s="0" t="inlineStr">
        <is>
          <t xml:space="preserve">Mazda</t>
        </is>
      </c>
      <c r="F21779" s="0" t="inlineStr">
        <is>
          <t xml:space="preserve">Mazda</t>
        </is>
      </c>
      <c r="G21779" s="0" t="s">
        <v>171</v>
      </c>
      <c r="H21779" s="5">
        <v>44.083800</v>
      </c>
    </row>
    <row r="21780" spans="1:9">
      <c r="A21780" s="22" t="str">
        <f>HYPERLINK("https://app.vivvix.com/360/KMI/IntelliDrive/ApplUI/Pages/CreativePages/CustomReportCreativeDetail.aspx?App=23&amp;ReportView=4&amp;Qid=1711279&amp;Row=21772&amp;Col=1","No Title Assigned - #15280238812")</f>
        <v/>
      </c>
      <c r="B21780" s="0" t="s">
        <v>28902</v>
      </c>
      <c r="E21780" s="0" t="inlineStr">
        <is>
          <t xml:space="preserve">Mazda</t>
        </is>
      </c>
      <c r="F21780" s="0" t="inlineStr">
        <is>
          <t xml:space="preserve">Mazda</t>
        </is>
      </c>
      <c r="G21780" s="0" t="s">
        <v>171</v>
      </c>
      <c r="H21780" s="5">
        <v>49.777500</v>
      </c>
    </row>
    <row r="21781" spans="1:9">
      <c r="A21781" s="22" t="str">
        <f>HYPERLINK("https://app.vivvix.com/360/KMI/IntelliDrive/ApplUI/Pages/CreativePages/CustomReportCreativeDetail.aspx?App=23&amp;ReportView=4&amp;Qid=1711279&amp;Row=21773&amp;Col=1","No Title Assigned - #15280239327")</f>
        <v/>
      </c>
      <c r="B21781" s="0" t="s">
        <v>28903</v>
      </c>
      <c r="E21781" s="0" t="inlineStr">
        <is>
          <t xml:space="preserve">Mazda</t>
        </is>
      </c>
      <c r="F21781" s="0" t="inlineStr">
        <is>
          <t xml:space="preserve">Mazda</t>
        </is>
      </c>
      <c r="G21781" s="0" t="s">
        <v>171</v>
      </c>
      <c r="H21781" s="5">
        <v>201.780000</v>
      </c>
    </row>
    <row r="21782" spans="1:9">
      <c r="A21782" s="22" t="str">
        <f>HYPERLINK("https://app.vivvix.com/360/KMI/IntelliDrive/ApplUI/Pages/CreativePages/CustomReportCreativeDetail.aspx?App=23&amp;ReportView=4&amp;Qid=1711279&amp;Row=21774&amp;Col=1","No Title Assigned - #15280239826")</f>
        <v/>
      </c>
      <c r="B21782" s="0" t="s">
        <v>28904</v>
      </c>
      <c r="E21782" s="0" t="inlineStr">
        <is>
          <t xml:space="preserve">Mazda</t>
        </is>
      </c>
      <c r="F21782" s="0" t="inlineStr">
        <is>
          <t xml:space="preserve">Mazda</t>
        </is>
      </c>
      <c r="G21782" s="0" t="s">
        <v>171</v>
      </c>
      <c r="H21782" s="5">
        <v>858.243900</v>
      </c>
    </row>
    <row r="21783" spans="1:9">
      <c r="A21783" s="22" t="str">
        <f>HYPERLINK("https://app.vivvix.com/360/KMI/IntelliDrive/ApplUI/Pages/CreativePages/CustomReportCreativeDetail.aspx?App=23&amp;ReportView=4&amp;Qid=1711279&amp;Row=21775&amp;Col=1","No Title Assigned - #15280240746")</f>
        <v/>
      </c>
      <c r="B21783" s="0" t="s">
        <v>28905</v>
      </c>
      <c r="C21783" s="0" t="s">
        <v>28906</v>
      </c>
      <c r="D21783" s="0" t="s">
        <v>28906</v>
      </c>
      <c r="E21783" s="0" t="inlineStr">
        <is>
          <t xml:space="preserve">Mazda</t>
        </is>
      </c>
      <c r="F21783" s="0" t="inlineStr">
        <is>
          <t xml:space="preserve">Mazda</t>
        </is>
      </c>
      <c r="G21783" s="0" t="s">
        <v>171</v>
      </c>
      <c r="H21783" s="5">
        <v>374.898500</v>
      </c>
    </row>
    <row r="21784" spans="1:9">
      <c r="A21784" s="22" t="str">
        <f>HYPERLINK("https://app.vivvix.com/360/KMI/IntelliDrive/ApplUI/Pages/CreativePages/CustomReportCreativeDetail.aspx?App=23&amp;ReportView=4&amp;Qid=1711279&amp;Row=21776&amp;Col=1","No Title Assigned - #15280240860")</f>
        <v/>
      </c>
      <c r="B21784" s="0" t="s">
        <v>28907</v>
      </c>
      <c r="E21784" s="0" t="inlineStr">
        <is>
          <t xml:space="preserve">Mazda</t>
        </is>
      </c>
      <c r="F21784" s="0" t="inlineStr">
        <is>
          <t xml:space="preserve">Mazda</t>
        </is>
      </c>
      <c r="G21784" s="0" t="s">
        <v>171</v>
      </c>
      <c r="H21784" s="5">
        <v>55.114700</v>
      </c>
    </row>
    <row r="21785" spans="1:9">
      <c r="A21785" s="22" t="str">
        <f>HYPERLINK("https://app.vivvix.com/360/KMI/IntelliDrive/ApplUI/Pages/CreativePages/CustomReportCreativeDetail.aspx?App=23&amp;ReportView=4&amp;Qid=1711279&amp;Row=21777&amp;Col=1","No Title Assigned - #15280240882")</f>
        <v/>
      </c>
      <c r="B21785" s="0" t="s">
        <v>28908</v>
      </c>
      <c r="E21785" s="0" t="inlineStr">
        <is>
          <t xml:space="preserve">Mazda</t>
        </is>
      </c>
      <c r="F21785" s="0" t="inlineStr">
        <is>
          <t xml:space="preserve">Mazda</t>
        </is>
      </c>
      <c r="G21785" s="0" t="s">
        <v>171</v>
      </c>
      <c r="H21785" s="5">
        <v>1164.122100</v>
      </c>
    </row>
    <row r="21786" spans="1:9">
      <c r="A21786" s="22" t="str">
        <f>HYPERLINK("https://app.vivvix.com/360/KMI/IntelliDrive/ApplUI/Pages/CreativePages/CustomReportCreativeDetail.aspx?App=23&amp;ReportView=4&amp;Qid=1711279&amp;Row=21778&amp;Col=1","No Title Assigned - #15280241096")</f>
        <v/>
      </c>
      <c r="B21786" s="0" t="s">
        <v>28909</v>
      </c>
      <c r="E21786" s="0" t="inlineStr">
        <is>
          <t xml:space="preserve">Mazda</t>
        </is>
      </c>
      <c r="F21786" s="0" t="inlineStr">
        <is>
          <t xml:space="preserve">Mazda</t>
        </is>
      </c>
      <c r="G21786" s="0" t="s">
        <v>171</v>
      </c>
      <c r="H21786" s="5">
        <v>2223.515400</v>
      </c>
    </row>
    <row r="21787" spans="1:9">
      <c r="A21787" s="22" t="str">
        <f>HYPERLINK("https://app.vivvix.com/360/KMI/IntelliDrive/ApplUI/Pages/CreativePages/CustomReportCreativeDetail.aspx?App=23&amp;ReportView=4&amp;Qid=1711279&amp;Row=21779&amp;Col=1","No Title Assigned - #15280241167")</f>
        <v/>
      </c>
      <c r="B21787" s="0" t="s">
        <v>28910</v>
      </c>
      <c r="E21787" s="0" t="inlineStr">
        <is>
          <t xml:space="preserve">Mazda</t>
        </is>
      </c>
      <c r="F21787" s="0" t="inlineStr">
        <is>
          <t xml:space="preserve">Mazda</t>
        </is>
      </c>
      <c r="G21787" s="0" t="s">
        <v>171</v>
      </c>
      <c r="H21787" s="5">
        <v>86.963500</v>
      </c>
    </row>
    <row r="21788" spans="1:9">
      <c r="A21788" s="22" t="str">
        <f>HYPERLINK("https://app.vivvix.com/360/KMI/IntelliDrive/ApplUI/Pages/CreativePages/CustomReportCreativeDetail.aspx?App=23&amp;ReportView=4&amp;Qid=1711279&amp;Row=21780&amp;Col=1","No Title Assigned - #15280241193")</f>
        <v/>
      </c>
      <c r="B21788" s="0" t="s">
        <v>28911</v>
      </c>
      <c r="E21788" s="0" t="inlineStr">
        <is>
          <t xml:space="preserve">Mazda</t>
        </is>
      </c>
      <c r="F21788" s="0" t="inlineStr">
        <is>
          <t xml:space="preserve">Mazda</t>
        </is>
      </c>
      <c r="G21788" s="0" t="s">
        <v>171</v>
      </c>
      <c r="H21788" s="5">
        <v>1491.451600</v>
      </c>
    </row>
    <row r="21789" spans="1:9">
      <c r="A21789" s="22" t="str">
        <f>HYPERLINK("https://app.vivvix.com/360/KMI/IntelliDrive/ApplUI/Pages/CreativePages/CustomReportCreativeDetail.aspx?App=23&amp;ReportView=4&amp;Qid=1711279&amp;Row=21781&amp;Col=1","No Title Assigned - #15280241199")</f>
        <v/>
      </c>
      <c r="B21789" s="0" t="s">
        <v>28912</v>
      </c>
      <c r="E21789" s="0" t="inlineStr">
        <is>
          <t xml:space="preserve">Mazda</t>
        </is>
      </c>
      <c r="F21789" s="0" t="inlineStr">
        <is>
          <t xml:space="preserve">Mazda</t>
        </is>
      </c>
      <c r="G21789" s="0" t="s">
        <v>171</v>
      </c>
      <c r="H21789" s="5">
        <v>39308.152300</v>
      </c>
    </row>
    <row r="21790" spans="1:9">
      <c r="A21790" s="22" t="str">
        <f>HYPERLINK("https://app.vivvix.com/360/KMI/IntelliDrive/ApplUI/Pages/CreativePages/CustomReportCreativeDetail.aspx?App=23&amp;ReportView=4&amp;Qid=1711279&amp;Row=21782&amp;Col=1","No Title Assigned - #15280241256")</f>
        <v/>
      </c>
      <c r="B21790" s="0" t="s">
        <v>28913</v>
      </c>
      <c r="E21790" s="0" t="inlineStr">
        <is>
          <t xml:space="preserve">Mazda</t>
        </is>
      </c>
      <c r="F21790" s="0" t="inlineStr">
        <is>
          <t xml:space="preserve">Mazda</t>
        </is>
      </c>
      <c r="G21790" s="0" t="s">
        <v>171</v>
      </c>
      <c r="H21790" s="5">
        <v>66.576200</v>
      </c>
    </row>
    <row r="21791" spans="1:9">
      <c r="A21791" s="22" t="str">
        <f>HYPERLINK("https://app.vivvix.com/360/KMI/IntelliDrive/ApplUI/Pages/CreativePages/CustomReportCreativeDetail.aspx?App=23&amp;ReportView=4&amp;Qid=1711279&amp;Row=21783&amp;Col=1","No Title Assigned - #15280241326")</f>
        <v/>
      </c>
      <c r="B21791" s="0" t="s">
        <v>28914</v>
      </c>
      <c r="E21791" s="0" t="inlineStr">
        <is>
          <t xml:space="preserve">Mazda</t>
        </is>
      </c>
      <c r="F21791" s="0" t="inlineStr">
        <is>
          <t xml:space="preserve">Mazda</t>
        </is>
      </c>
      <c r="G21791" s="0" t="s">
        <v>171</v>
      </c>
      <c r="H21791" s="5">
        <v>192.749200</v>
      </c>
    </row>
    <row r="21792" spans="1:9">
      <c r="A21792" s="22" t="str">
        <f>HYPERLINK("https://app.vivvix.com/360/KMI/IntelliDrive/ApplUI/Pages/CreativePages/CustomReportCreativeDetail.aspx?App=23&amp;ReportView=4&amp;Qid=1711279&amp;Row=21784&amp;Col=1","No Title Assigned - #15280241698")</f>
        <v/>
      </c>
      <c r="B21792" s="0" t="s">
        <v>28915</v>
      </c>
      <c r="C21792" s="0" t="s">
        <v>28916</v>
      </c>
      <c r="D21792" s="0" t="s">
        <v>4335</v>
      </c>
      <c r="E21792" s="0" t="inlineStr">
        <is>
          <t xml:space="preserve">Mazda</t>
        </is>
      </c>
      <c r="F21792" s="0" t="s">
        <v>13</v>
      </c>
      <c r="G21792" s="0" t="s">
        <v>49</v>
      </c>
      <c r="H21792" s="5">
        <v>62.907200</v>
      </c>
    </row>
    <row r="21793" spans="1:9">
      <c r="A21793" s="22" t="str">
        <f>HYPERLINK("https://app.vivvix.com/360/KMI/IntelliDrive/ApplUI/Pages/CreativePages/CustomReportCreativeDetail.aspx?App=23&amp;ReportView=4&amp;Qid=1711279&amp;Row=21785&amp;Col=1","No Title Assigned - #15280241755")</f>
        <v/>
      </c>
      <c r="B21793" s="0" t="s">
        <v>28917</v>
      </c>
      <c r="E21793" s="0" t="inlineStr">
        <is>
          <t xml:space="preserve">Mazda</t>
        </is>
      </c>
      <c r="F21793" s="0" t="inlineStr">
        <is>
          <t xml:space="preserve">Mazda</t>
        </is>
      </c>
      <c r="G21793" s="0" t="s">
        <v>171</v>
      </c>
      <c r="H21793" s="5">
        <v>49.408800</v>
      </c>
    </row>
    <row r="21794" spans="1:9">
      <c r="A21794" s="22" t="str">
        <f>HYPERLINK("https://app.vivvix.com/360/KMI/IntelliDrive/ApplUI/Pages/CreativePages/CustomReportCreativeDetail.aspx?App=23&amp;ReportView=4&amp;Qid=1711279&amp;Row=21786&amp;Col=1","No Title Assigned - #15280241779")</f>
        <v/>
      </c>
      <c r="B21794" s="0" t="s">
        <v>28918</v>
      </c>
      <c r="E21794" s="0" t="inlineStr">
        <is>
          <t xml:space="preserve">Mazda</t>
        </is>
      </c>
      <c r="F21794" s="0" t="inlineStr">
        <is>
          <t xml:space="preserve">Mazda</t>
        </is>
      </c>
      <c r="G21794" s="0" t="s">
        <v>171</v>
      </c>
      <c r="H21794" s="5">
        <v>25.375400</v>
      </c>
    </row>
    <row r="21795" spans="1:9">
      <c r="A21795" s="22" t="str">
        <f>HYPERLINK("https://app.vivvix.com/360/KMI/IntelliDrive/ApplUI/Pages/CreativePages/CustomReportCreativeDetail.aspx?App=23&amp;ReportView=4&amp;Qid=1711279&amp;Row=21787&amp;Col=1","No Title Assigned - #15280241780")</f>
        <v/>
      </c>
      <c r="B21795" s="0" t="s">
        <v>28919</v>
      </c>
      <c r="E21795" s="0" t="inlineStr">
        <is>
          <t xml:space="preserve">Mazda</t>
        </is>
      </c>
      <c r="F21795" s="0" t="inlineStr">
        <is>
          <t xml:space="preserve">Mazda</t>
        </is>
      </c>
      <c r="G21795" s="0" t="s">
        <v>171</v>
      </c>
      <c r="H21795" s="5">
        <v>25.375400</v>
      </c>
    </row>
    <row r="21796" spans="1:9">
      <c r="A21796" s="22" t="str">
        <f>HYPERLINK("https://app.vivvix.com/360/KMI/IntelliDrive/ApplUI/Pages/CreativePages/CustomReportCreativeDetail.aspx?App=23&amp;ReportView=4&amp;Qid=1711279&amp;Row=21788&amp;Col=1","No Title Assigned - #15280241904")</f>
        <v/>
      </c>
      <c r="B21796" s="0" t="s">
        <v>28920</v>
      </c>
      <c r="E21796" s="0" t="inlineStr">
        <is>
          <t xml:space="preserve">Mazda</t>
        </is>
      </c>
      <c r="F21796" s="0" t="inlineStr">
        <is>
          <t xml:space="preserve">Mazda</t>
        </is>
      </c>
      <c r="G21796" s="0" t="s">
        <v>171</v>
      </c>
      <c r="H21796" s="5">
        <v>223.580200</v>
      </c>
    </row>
    <row r="21797" spans="1:9">
      <c r="A21797" s="22" t="str">
        <f>HYPERLINK("https://app.vivvix.com/360/KMI/IntelliDrive/ApplUI/Pages/CreativePages/CustomReportCreativeDetail.aspx?App=23&amp;ReportView=4&amp;Qid=1711279&amp;Row=21789&amp;Col=1","No Title Assigned - #15280242249")</f>
        <v/>
      </c>
      <c r="B21797" s="0" t="s">
        <v>28921</v>
      </c>
      <c r="E21797" s="0" t="inlineStr">
        <is>
          <t xml:space="preserve">Mazda</t>
        </is>
      </c>
      <c r="F21797" s="0" t="inlineStr">
        <is>
          <t xml:space="preserve">Mazda</t>
        </is>
      </c>
      <c r="G21797" s="0" t="s">
        <v>171</v>
      </c>
      <c r="H21797" s="5">
        <v>92.583000</v>
      </c>
    </row>
    <row r="21798" spans="1:9">
      <c r="A21798" s="22" t="str">
        <f>HYPERLINK("https://app.vivvix.com/360/KMI/IntelliDrive/ApplUI/Pages/CreativePages/CustomReportCreativeDetail.aspx?App=23&amp;ReportView=4&amp;Qid=1711279&amp;Row=21790&amp;Col=1","No Title Assigned - #15280242897")</f>
        <v/>
      </c>
      <c r="B21798" s="0" t="s">
        <v>28922</v>
      </c>
      <c r="E21798" s="0" t="inlineStr">
        <is>
          <t xml:space="preserve">Mazda</t>
        </is>
      </c>
      <c r="F21798" s="0" t="inlineStr">
        <is>
          <t xml:space="preserve">Mazda</t>
        </is>
      </c>
      <c r="G21798" s="0" t="s">
        <v>171</v>
      </c>
      <c r="H21798" s="5">
        <v>77.594300</v>
      </c>
    </row>
    <row r="21799" spans="1:9">
      <c r="A21799" s="22" t="str">
        <f>HYPERLINK("https://app.vivvix.com/360/KMI/IntelliDrive/ApplUI/Pages/CreativePages/CustomReportCreativeDetail.aspx?App=23&amp;ReportView=4&amp;Qid=1711279&amp;Row=21791&amp;Col=1","No Title Assigned - #15280244331")</f>
        <v/>
      </c>
      <c r="B21799" s="0" t="s">
        <v>28923</v>
      </c>
      <c r="E21799" s="0" t="inlineStr">
        <is>
          <t xml:space="preserve">Mazda</t>
        </is>
      </c>
      <c r="F21799" s="0" t="inlineStr">
        <is>
          <t xml:space="preserve">Mazda</t>
        </is>
      </c>
      <c r="G21799" s="0" t="s">
        <v>171</v>
      </c>
      <c r="H21799" s="5">
        <v>479.916900</v>
      </c>
    </row>
    <row r="21800" spans="1:9">
      <c r="A21800" s="22" t="str">
        <f>HYPERLINK("https://app.vivvix.com/360/KMI/IntelliDrive/ApplUI/Pages/CreativePages/CustomReportCreativeDetail.aspx?App=23&amp;ReportView=4&amp;Qid=1711279&amp;Row=21792&amp;Col=1","No Title Assigned - #15280244420")</f>
        <v/>
      </c>
      <c r="B21800" s="0" t="s">
        <v>28924</v>
      </c>
      <c r="C21800" s="0" t="s">
        <v>28925</v>
      </c>
      <c r="D21800" s="0" t="s">
        <v>28926</v>
      </c>
      <c r="E21800" s="0" t="inlineStr">
        <is>
          <t xml:space="preserve">Mazda</t>
        </is>
      </c>
      <c r="F21800" s="0" t="s">
        <v>13</v>
      </c>
      <c r="G21800" s="0" t="s">
        <v>49</v>
      </c>
      <c r="H21800" s="5">
        <v>318.419300</v>
      </c>
    </row>
    <row r="21801" spans="1:9">
      <c r="A21801" s="22" t="str">
        <f>HYPERLINK("https://app.vivvix.com/360/KMI/IntelliDrive/ApplUI/Pages/CreativePages/CustomReportCreativeDetail.aspx?App=23&amp;ReportView=4&amp;Qid=1711279&amp;Row=21793&amp;Col=1","No Title Assigned - #15280244516")</f>
        <v/>
      </c>
      <c r="B21801" s="0" t="s">
        <v>28927</v>
      </c>
      <c r="E21801" s="0" t="inlineStr">
        <is>
          <t xml:space="preserve">Mazda</t>
        </is>
      </c>
      <c r="F21801" s="0" t="inlineStr">
        <is>
          <t xml:space="preserve">Mazda</t>
        </is>
      </c>
      <c r="G21801" s="0" t="s">
        <v>171</v>
      </c>
      <c r="H21801" s="5">
        <v>3256.855500</v>
      </c>
    </row>
    <row r="21802" spans="1:9">
      <c r="A21802" s="22" t="str">
        <f>HYPERLINK("https://app.vivvix.com/360/KMI/IntelliDrive/ApplUI/Pages/CreativePages/CustomReportCreativeDetail.aspx?App=23&amp;ReportView=4&amp;Qid=1711279&amp;Row=21794&amp;Col=1","No Title Assigned - #15280244540")</f>
        <v/>
      </c>
      <c r="B21802" s="0" t="s">
        <v>28928</v>
      </c>
      <c r="E21802" s="0" t="inlineStr">
        <is>
          <t xml:space="preserve">Mazda</t>
        </is>
      </c>
      <c r="F21802" s="0" t="inlineStr">
        <is>
          <t xml:space="preserve">Mazda</t>
        </is>
      </c>
      <c r="G21802" s="0" t="s">
        <v>171</v>
      </c>
      <c r="H21802" s="5">
        <v>27.275700</v>
      </c>
    </row>
    <row r="21803" spans="1:9">
      <c r="A21803" s="22" t="str">
        <f>HYPERLINK("https://app.vivvix.com/360/KMI/IntelliDrive/ApplUI/Pages/CreativePages/CustomReportCreativeDetail.aspx?App=23&amp;ReportView=4&amp;Qid=1711279&amp;Row=21795&amp;Col=1","No Title Assigned - #15280244580")</f>
        <v/>
      </c>
      <c r="B21803" s="0" t="s">
        <v>28929</v>
      </c>
      <c r="E21803" s="0" t="inlineStr">
        <is>
          <t xml:space="preserve">Mazda</t>
        </is>
      </c>
      <c r="F21803" s="0" t="inlineStr">
        <is>
          <t xml:space="preserve">Mazda</t>
        </is>
      </c>
      <c r="G21803" s="0" t="s">
        <v>171</v>
      </c>
      <c r="H21803" s="5">
        <v>34.721200</v>
      </c>
    </row>
    <row r="21804" spans="1:9">
      <c r="A21804" s="22" t="str">
        <f>HYPERLINK("https://app.vivvix.com/360/KMI/IntelliDrive/ApplUI/Pages/CreativePages/CustomReportCreativeDetail.aspx?App=23&amp;ReportView=4&amp;Qid=1711279&amp;Row=21796&amp;Col=1","No Title Assigned - #15280248742")</f>
        <v/>
      </c>
      <c r="B21804" s="0" t="s">
        <v>28930</v>
      </c>
      <c r="E21804" s="0" t="inlineStr">
        <is>
          <t xml:space="preserve">Mazda</t>
        </is>
      </c>
      <c r="F21804" s="0" t="inlineStr">
        <is>
          <t xml:space="preserve">Mazda</t>
        </is>
      </c>
      <c r="G21804" s="0" t="s">
        <v>171</v>
      </c>
      <c r="H21804" s="5">
        <v>492.699600</v>
      </c>
    </row>
    <row r="21805" spans="1:9">
      <c r="A21805" s="22" t="str">
        <f>HYPERLINK("https://app.vivvix.com/360/KMI/IntelliDrive/ApplUI/Pages/CreativePages/CustomReportCreativeDetail.aspx?App=23&amp;ReportView=4&amp;Qid=1711279&amp;Row=21797&amp;Col=1","No Title Assigned - #15280248979")</f>
        <v/>
      </c>
      <c r="B21805" s="0" t="s">
        <v>28931</v>
      </c>
      <c r="E21805" s="0" t="inlineStr">
        <is>
          <t xml:space="preserve">Mazda</t>
        </is>
      </c>
      <c r="F21805" s="0" t="inlineStr">
        <is>
          <t xml:space="preserve">Mazda</t>
        </is>
      </c>
      <c r="G21805" s="0" t="s">
        <v>171</v>
      </c>
      <c r="H21805" s="5">
        <v>60.313600</v>
      </c>
    </row>
    <row r="21806" spans="1:9">
      <c r="A21806" s="22" t="str">
        <f>HYPERLINK("https://app.vivvix.com/360/KMI/IntelliDrive/ApplUI/Pages/CreativePages/CustomReportCreativeDetail.aspx?App=23&amp;ReportView=4&amp;Qid=1711279&amp;Row=21798&amp;Col=1","No Title Assigned - #15280250456")</f>
        <v/>
      </c>
      <c r="B21806" s="0" t="s">
        <v>28932</v>
      </c>
      <c r="E21806" s="0" t="inlineStr">
        <is>
          <t xml:space="preserve">Mazda</t>
        </is>
      </c>
      <c r="F21806" s="0" t="inlineStr">
        <is>
          <t xml:space="preserve">Mazda</t>
        </is>
      </c>
      <c r="G21806" s="0" t="s">
        <v>171</v>
      </c>
      <c r="H21806" s="5">
        <v>16878.388700</v>
      </c>
    </row>
    <row r="21807" spans="1:9">
      <c r="A21807" s="22" t="str">
        <f>HYPERLINK("https://app.vivvix.com/360/KMI/IntelliDrive/ApplUI/Pages/CreativePages/CustomReportCreativeDetail.aspx?App=23&amp;ReportView=4&amp;Qid=1711279&amp;Row=21799&amp;Col=1","No Title Assigned - #15280253558")</f>
        <v/>
      </c>
      <c r="B21807" s="0" t="s">
        <v>28933</v>
      </c>
      <c r="E21807" s="0" t="inlineStr">
        <is>
          <t xml:space="preserve">Mazda</t>
        </is>
      </c>
      <c r="F21807" s="0" t="inlineStr">
        <is>
          <t xml:space="preserve">Mazda</t>
        </is>
      </c>
      <c r="G21807" s="0" t="s">
        <v>171</v>
      </c>
      <c r="H21807" s="5">
        <v>608.492000</v>
      </c>
    </row>
    <row r="21808" spans="1:9">
      <c r="A21808" s="22" t="str">
        <f>HYPERLINK("https://app.vivvix.com/360/KMI/IntelliDrive/ApplUI/Pages/CreativePages/CustomReportCreativeDetail.aspx?App=23&amp;ReportView=4&amp;Qid=1711279&amp;Row=21800&amp;Col=1","No Title Assigned - #15280253612")</f>
        <v/>
      </c>
      <c r="B21808" s="0" t="s">
        <v>28934</v>
      </c>
      <c r="E21808" s="0" t="inlineStr">
        <is>
          <t xml:space="preserve">Mazda</t>
        </is>
      </c>
      <c r="F21808" s="0" t="inlineStr">
        <is>
          <t xml:space="preserve">Mazda</t>
        </is>
      </c>
      <c r="G21808" s="0" t="s">
        <v>171</v>
      </c>
      <c r="H21808" s="5">
        <v>427.973600</v>
      </c>
    </row>
    <row r="21809" spans="1:9">
      <c r="A21809" s="22" t="str">
        <f>HYPERLINK("https://app.vivvix.com/360/KMI/IntelliDrive/ApplUI/Pages/CreativePages/CustomReportCreativeDetail.aspx?App=23&amp;ReportView=4&amp;Qid=1711279&amp;Row=21801&amp;Col=1","No Title Assigned - #15280261803")</f>
        <v/>
      </c>
      <c r="B21809" s="0" t="s">
        <v>28935</v>
      </c>
      <c r="C21809" s="0" t="s">
        <v>28936</v>
      </c>
      <c r="D21809" s="0" t="s">
        <v>28936</v>
      </c>
      <c r="E21809" s="0" t="inlineStr">
        <is>
          <t xml:space="preserve">Mazda</t>
        </is>
      </c>
      <c r="F21809" s="0" t="inlineStr">
        <is>
          <t xml:space="preserve">Mazda</t>
        </is>
      </c>
      <c r="G21809" s="0" t="s">
        <v>171</v>
      </c>
      <c r="H21809" s="5">
        <v>288.939900</v>
      </c>
    </row>
    <row r="21810" spans="1:9">
      <c r="A21810" s="22" t="str">
        <f>HYPERLINK("https://app.vivvix.com/360/KMI/IntelliDrive/ApplUI/Pages/CreativePages/CustomReportCreativeDetail.aspx?App=23&amp;ReportView=4&amp;Qid=1711279&amp;Row=21802&amp;Col=1","No Title Assigned - #15280261950")</f>
        <v/>
      </c>
      <c r="B21810" s="0" t="s">
        <v>28937</v>
      </c>
      <c r="C21810" s="0" t="s">
        <v>28938</v>
      </c>
      <c r="D21810" s="0" t="s">
        <v>11420</v>
      </c>
      <c r="E21810" s="0" t="inlineStr">
        <is>
          <t xml:space="preserve">Mazda</t>
        </is>
      </c>
      <c r="F21810" s="0" t="s">
        <v>13</v>
      </c>
      <c r="G21810" s="0" t="s">
        <v>49</v>
      </c>
      <c r="H21810" s="5">
        <v>888.447600</v>
      </c>
    </row>
    <row r="21811" spans="1:9">
      <c r="A21811" s="22" t="str">
        <f>HYPERLINK("https://app.vivvix.com/360/KMI/IntelliDrive/ApplUI/Pages/CreativePages/CustomReportCreativeDetail.aspx?App=23&amp;ReportView=4&amp;Qid=1711279&amp;Row=21803&amp;Col=1","No Title Assigned - #15280262338")</f>
        <v/>
      </c>
      <c r="B21811" s="0" t="s">
        <v>28939</v>
      </c>
      <c r="C21811" s="0" t="s">
        <v>28940</v>
      </c>
      <c r="D21811" s="0" t="s">
        <v>28940</v>
      </c>
      <c r="E21811" s="0" t="inlineStr">
        <is>
          <t xml:space="preserve">Mazda</t>
        </is>
      </c>
      <c r="F21811" s="0" t="s">
        <v>21</v>
      </c>
      <c r="G21811" s="0" t="s">
        <v>22</v>
      </c>
      <c r="H21811" s="5">
        <v>42351.164100</v>
      </c>
    </row>
    <row r="21812" spans="1:9">
      <c r="A21812" s="22" t="str">
        <f>HYPERLINK("https://app.vivvix.com/360/KMI/IntelliDrive/ApplUI/Pages/CreativePages/CustomReportCreativeDetail.aspx?App=23&amp;ReportView=4&amp;Qid=1711279&amp;Row=21804&amp;Col=1","No Title Assigned - #15280262492")</f>
        <v/>
      </c>
      <c r="B21812" s="0" t="s">
        <v>28941</v>
      </c>
      <c r="C21812" s="0" t="s">
        <v>28942</v>
      </c>
      <c r="D21812" s="0" t="s">
        <v>10042</v>
      </c>
      <c r="E21812" s="0" t="inlineStr">
        <is>
          <t xml:space="preserve">Mazda</t>
        </is>
      </c>
      <c r="F21812" s="0" t="s">
        <v>13</v>
      </c>
      <c r="G21812" s="0" t="s">
        <v>49</v>
      </c>
      <c r="H21812" s="5">
        <v>102.008400</v>
      </c>
    </row>
    <row r="21813" spans="1:9">
      <c r="A21813" s="22" t="str">
        <f>HYPERLINK("https://app.vivvix.com/360/KMI/IntelliDrive/ApplUI/Pages/CreativePages/CustomReportCreativeDetail.aspx?App=23&amp;ReportView=4&amp;Qid=1711279&amp;Row=21805&amp;Col=1","No Title Assigned - #15280264311")</f>
        <v/>
      </c>
      <c r="B21813" s="0" t="s">
        <v>28943</v>
      </c>
      <c r="C21813" s="0" t="s">
        <v>28944</v>
      </c>
      <c r="D21813" s="0" t="s">
        <v>9167</v>
      </c>
      <c r="E21813" s="0" t="inlineStr">
        <is>
          <t xml:space="preserve">Mazda</t>
        </is>
      </c>
      <c r="F21813" s="0" t="s">
        <v>13</v>
      </c>
      <c r="G21813" s="0" t="s">
        <v>49</v>
      </c>
      <c r="H21813" s="5">
        <v>59.257900</v>
      </c>
    </row>
    <row r="21814" spans="1:9">
      <c r="A21814" s="22" t="str">
        <f>HYPERLINK("https://app.vivvix.com/360/KMI/IntelliDrive/ApplUI/Pages/CreativePages/CustomReportCreativeDetail.aspx?App=23&amp;ReportView=4&amp;Qid=1711279&amp;Row=21806&amp;Col=1","No Title Assigned - #15280267333")</f>
        <v/>
      </c>
      <c r="B21814" s="0" t="s">
        <v>28945</v>
      </c>
      <c r="C21814" s="0" t="s">
        <v>28946</v>
      </c>
      <c r="D21814" s="0" t="s">
        <v>28946</v>
      </c>
      <c r="E21814" s="0" t="inlineStr">
        <is>
          <t xml:space="preserve">Mazda</t>
        </is>
      </c>
      <c r="F21814" s="0" t="s">
        <v>13</v>
      </c>
      <c r="G21814" s="0" t="s">
        <v>49</v>
      </c>
      <c r="H21814" s="5">
        <v>118.515800</v>
      </c>
    </row>
    <row r="21815" spans="1:9">
      <c r="A21815" s="22" t="str">
        <f>HYPERLINK("https://app.vivvix.com/360/KMI/IntelliDrive/ApplUI/Pages/CreativePages/CustomReportCreativeDetail.aspx?App=23&amp;ReportView=4&amp;Qid=1711279&amp;Row=21807&amp;Col=1","No Title Assigned - #15280268854")</f>
        <v/>
      </c>
      <c r="B21815" s="0" t="s">
        <v>28947</v>
      </c>
      <c r="C21815" s="0" t="s">
        <v>28948</v>
      </c>
      <c r="D21815" s="0" t="s">
        <v>28948</v>
      </c>
      <c r="E21815" s="0" t="inlineStr">
        <is>
          <t xml:space="preserve">Mazda</t>
        </is>
      </c>
      <c r="F21815" s="0" t="s">
        <v>13</v>
      </c>
      <c r="G21815" s="0" t="s">
        <v>49</v>
      </c>
      <c r="H21815" s="5">
        <v>54182.597200</v>
      </c>
    </row>
    <row r="21816" spans="1:9">
      <c r="A21816" s="22" t="str">
        <f>HYPERLINK("https://app.vivvix.com/360/KMI/IntelliDrive/ApplUI/Pages/CreativePages/CustomReportCreativeDetail.aspx?App=23&amp;ReportView=4&amp;Qid=1711279&amp;Row=21808&amp;Col=1","No Title Assigned - #15280269199")</f>
        <v/>
      </c>
      <c r="B21816" s="0" t="s">
        <v>28949</v>
      </c>
      <c r="C21816" s="0" t="s">
        <v>28950</v>
      </c>
      <c r="D21816" s="0" t="s">
        <v>28950</v>
      </c>
      <c r="E21816" s="0" t="inlineStr">
        <is>
          <t xml:space="preserve">Mazda</t>
        </is>
      </c>
      <c r="F21816" s="0" t="s">
        <v>13</v>
      </c>
      <c r="G21816" s="0" t="s">
        <v>49</v>
      </c>
      <c r="H21816" s="5">
        <v>129.891700</v>
      </c>
    </row>
    <row r="21817" spans="1:9">
      <c r="A21817" s="22" t="str">
        <f>HYPERLINK("https://app.vivvix.com/360/KMI/IntelliDrive/ApplUI/Pages/CreativePages/CustomReportCreativeDetail.aspx?App=23&amp;ReportView=4&amp;Qid=1711279&amp;Row=21809&amp;Col=1","No Title Assigned - #15280269641")</f>
        <v/>
      </c>
      <c r="B21817" s="0" t="s">
        <v>28951</v>
      </c>
      <c r="E21817" s="0" t="inlineStr">
        <is>
          <t xml:space="preserve">Mazda</t>
        </is>
      </c>
      <c r="F21817" s="0" t="s">
        <v>13</v>
      </c>
      <c r="G21817" s="0" t="s">
        <v>49</v>
      </c>
      <c r="H21817" s="5">
        <v>30.114400</v>
      </c>
    </row>
    <row r="21818" spans="1:9">
      <c r="A21818" s="22" t="str">
        <f>HYPERLINK("https://app.vivvix.com/360/KMI/IntelliDrive/ApplUI/Pages/CreativePages/CustomReportCreativeDetail.aspx?App=23&amp;ReportView=4&amp;Qid=1711279&amp;Row=21810&amp;Col=1","No Title Assigned - #15280270880")</f>
        <v/>
      </c>
      <c r="B21818" s="0" t="s">
        <v>28952</v>
      </c>
      <c r="C21818" s="0" t="s">
        <v>28953</v>
      </c>
      <c r="D21818" s="0" t="s">
        <v>28953</v>
      </c>
      <c r="E21818" s="0" t="inlineStr">
        <is>
          <t xml:space="preserve">Mazda</t>
        </is>
      </c>
      <c r="F21818" s="0" t="s">
        <v>13</v>
      </c>
      <c r="G21818" s="0" t="s">
        <v>49</v>
      </c>
      <c r="H21818" s="5">
        <v>1527.531900</v>
      </c>
    </row>
    <row r="21819" spans="1:9">
      <c r="A21819" s="22" t="str">
        <f>HYPERLINK("https://app.vivvix.com/360/KMI/IntelliDrive/ApplUI/Pages/CreativePages/CustomReportCreativeDetail.aspx?App=23&amp;ReportView=4&amp;Qid=1711279&amp;Row=21811&amp;Col=1","No Title Assigned - #15280270884")</f>
        <v/>
      </c>
      <c r="B21819" s="0" t="s">
        <v>28954</v>
      </c>
      <c r="C21819" s="0" t="s">
        <v>28955</v>
      </c>
      <c r="D21819" s="0" t="s">
        <v>28955</v>
      </c>
      <c r="E21819" s="0" t="inlineStr">
        <is>
          <t xml:space="preserve">Mazda</t>
        </is>
      </c>
      <c r="F21819" s="0" t="s">
        <v>13</v>
      </c>
      <c r="G21819" s="0" t="s">
        <v>49</v>
      </c>
      <c r="H21819" s="5">
        <v>3656.576100</v>
      </c>
    </row>
    <row r="21820" spans="1:9">
      <c r="A21820" s="22" t="str">
        <f>HYPERLINK("https://app.vivvix.com/360/KMI/IntelliDrive/ApplUI/Pages/CreativePages/CustomReportCreativeDetail.aspx?App=23&amp;ReportView=4&amp;Qid=1711279&amp;Row=21812&amp;Col=1","No Title Assigned - #15280270961")</f>
        <v/>
      </c>
      <c r="B21820" s="0" t="s">
        <v>28956</v>
      </c>
      <c r="C21820" s="0" t="s">
        <v>28957</v>
      </c>
      <c r="D21820" s="0" t="s">
        <v>28957</v>
      </c>
      <c r="E21820" s="0" t="inlineStr">
        <is>
          <t xml:space="preserve">Mazda</t>
        </is>
      </c>
      <c r="F21820" s="0" t="s">
        <v>13</v>
      </c>
      <c r="G21820" s="0" t="s">
        <v>49</v>
      </c>
      <c r="H21820" s="5">
        <v>119.720900</v>
      </c>
    </row>
    <row r="21821" spans="1:9">
      <c r="A21821" s="22" t="str">
        <f>HYPERLINK("https://app.vivvix.com/360/KMI/IntelliDrive/ApplUI/Pages/CreativePages/CustomReportCreativeDetail.aspx?App=23&amp;ReportView=4&amp;Qid=1711279&amp;Row=21813&amp;Col=1","No Title Assigned - #15280271333")</f>
        <v/>
      </c>
      <c r="B21821" s="0" t="s">
        <v>28958</v>
      </c>
      <c r="C21821" s="0" t="s">
        <v>28959</v>
      </c>
      <c r="D21821" s="0" t="s">
        <v>16585</v>
      </c>
      <c r="E21821" s="0" t="inlineStr">
        <is>
          <t xml:space="preserve">Mazda</t>
        </is>
      </c>
      <c r="F21821" s="0" t="inlineStr">
        <is>
          <t xml:space="preserve">Mazda</t>
        </is>
      </c>
      <c r="G21821" s="0" t="s">
        <v>210</v>
      </c>
      <c r="H21821" s="5">
        <v>717.502000</v>
      </c>
    </row>
    <row r="21822" spans="1:9">
      <c r="A21822" s="22" t="str">
        <f>HYPERLINK("https://app.vivvix.com/360/KMI/IntelliDrive/ApplUI/Pages/CreativePages/CustomReportCreativeDetail.aspx?App=23&amp;ReportView=4&amp;Qid=1711279&amp;Row=21814&amp;Col=1","No Title Assigned - #15280271485")</f>
        <v/>
      </c>
      <c r="B21822" s="0" t="s">
        <v>28960</v>
      </c>
      <c r="C21822" s="0" t="s">
        <v>28961</v>
      </c>
      <c r="D21822" s="0" t="s">
        <v>28961</v>
      </c>
      <c r="E21822" s="0" t="inlineStr">
        <is>
          <t xml:space="preserve">Mazda</t>
        </is>
      </c>
      <c r="F21822" s="0" t="s">
        <v>13</v>
      </c>
      <c r="G21822" s="0" t="s">
        <v>49</v>
      </c>
      <c r="H21822" s="5">
        <v>90.844700</v>
      </c>
    </row>
    <row r="21823" spans="1:9">
      <c r="A21823" s="22" t="str">
        <f>HYPERLINK("https://app.vivvix.com/360/KMI/IntelliDrive/ApplUI/Pages/CreativePages/CustomReportCreativeDetail.aspx?App=23&amp;ReportView=4&amp;Qid=1711279&amp;Row=21815&amp;Col=1","No Title Assigned - #15280274044")</f>
        <v/>
      </c>
      <c r="B21823" s="0" t="s">
        <v>28962</v>
      </c>
      <c r="E21823" s="0" t="inlineStr">
        <is>
          <t xml:space="preserve">Mazda</t>
        </is>
      </c>
      <c r="F21823" s="0" t="inlineStr">
        <is>
          <t xml:space="preserve">Mazda</t>
        </is>
      </c>
      <c r="G21823" s="0" t="s">
        <v>171</v>
      </c>
      <c r="H21823" s="5">
        <v>46854.801200</v>
      </c>
    </row>
    <row r="21824" spans="1:9">
      <c r="A21824" s="22" t="str">
        <f>HYPERLINK("https://app.vivvix.com/360/KMI/IntelliDrive/ApplUI/Pages/CreativePages/CustomReportCreativeDetail.aspx?App=23&amp;ReportView=4&amp;Qid=1711279&amp;Row=21816&amp;Col=1","No Title Assigned - #15280274650")</f>
        <v/>
      </c>
      <c r="B21824" s="0" t="s">
        <v>28963</v>
      </c>
      <c r="C21824" s="0" t="s">
        <v>28964</v>
      </c>
      <c r="D21824" s="0" t="s">
        <v>28964</v>
      </c>
      <c r="E21824" s="0" t="inlineStr">
        <is>
          <t xml:space="preserve">Mazda</t>
        </is>
      </c>
      <c r="F21824" s="0" t="s">
        <v>13</v>
      </c>
      <c r="G21824" s="0" t="s">
        <v>49</v>
      </c>
      <c r="H21824" s="5">
        <v>28985.533400</v>
      </c>
    </row>
    <row r="21825" spans="1:9">
      <c r="A21825" s="22" t="str">
        <f>HYPERLINK("https://app.vivvix.com/360/KMI/IntelliDrive/ApplUI/Pages/CreativePages/CustomReportCreativeDetail.aspx?App=23&amp;ReportView=4&amp;Qid=1711279&amp;Row=21817&amp;Col=1","No Title Assigned - #15280281089")</f>
        <v/>
      </c>
      <c r="B21825" s="0" t="s">
        <v>28965</v>
      </c>
      <c r="C21825" s="0" t="s">
        <v>28966</v>
      </c>
      <c r="D21825" s="0" t="s">
        <v>28966</v>
      </c>
      <c r="E21825" s="0" t="inlineStr">
        <is>
          <t xml:space="preserve">Mazda</t>
        </is>
      </c>
      <c r="F21825" s="0" t="s">
        <v>13</v>
      </c>
      <c r="G21825" s="0" t="s">
        <v>49</v>
      </c>
      <c r="H21825" s="5">
        <v>117.285400</v>
      </c>
    </row>
    <row r="21826" spans="1:9">
      <c r="A21826" s="22" t="str">
        <f>HYPERLINK("https://app.vivvix.com/360/KMI/IntelliDrive/ApplUI/Pages/CreativePages/CustomReportCreativeDetail.aspx?App=23&amp;ReportView=4&amp;Qid=1711279&amp;Row=21818&amp;Col=1","No Title Assigned - #15280281090")</f>
        <v/>
      </c>
      <c r="B21826" s="0" t="s">
        <v>28967</v>
      </c>
      <c r="C21826" s="0" t="s">
        <v>28968</v>
      </c>
      <c r="D21826" s="0" t="s">
        <v>28968</v>
      </c>
      <c r="E21826" s="0" t="inlineStr">
        <is>
          <t xml:space="preserve">Mazda</t>
        </is>
      </c>
      <c r="F21826" s="0" t="s">
        <v>13</v>
      </c>
      <c r="G21826" s="0" t="s">
        <v>49</v>
      </c>
      <c r="H21826" s="5">
        <v>117.285400</v>
      </c>
    </row>
    <row r="21827" spans="1:9">
      <c r="A21827" s="22" t="str">
        <f>HYPERLINK("https://app.vivvix.com/360/KMI/IntelliDrive/ApplUI/Pages/CreativePages/CustomReportCreativeDetail.aspx?App=23&amp;ReportView=4&amp;Qid=1711279&amp;Row=21819&amp;Col=1","No Title Assigned - #15280281095")</f>
        <v/>
      </c>
      <c r="B21827" s="0" t="s">
        <v>28969</v>
      </c>
      <c r="C21827" s="0" t="s">
        <v>28970</v>
      </c>
      <c r="D21827" s="0" t="s">
        <v>28970</v>
      </c>
      <c r="E21827" s="0" t="inlineStr">
        <is>
          <t xml:space="preserve">Mazda</t>
        </is>
      </c>
      <c r="F21827" s="0" t="s">
        <v>13</v>
      </c>
      <c r="G21827" s="0" t="s">
        <v>49</v>
      </c>
      <c r="H21827" s="5">
        <v>117.285400</v>
      </c>
    </row>
    <row r="21828" spans="1:9">
      <c r="A21828" s="22" t="str">
        <f>HYPERLINK("https://app.vivvix.com/360/KMI/IntelliDrive/ApplUI/Pages/CreativePages/CustomReportCreativeDetail.aspx?App=23&amp;ReportView=4&amp;Qid=1711279&amp;Row=21820&amp;Col=1","No Title Assigned - #15280281150")</f>
        <v/>
      </c>
      <c r="B21828" s="0" t="s">
        <v>28971</v>
      </c>
      <c r="C21828" s="0" t="s">
        <v>28972</v>
      </c>
      <c r="D21828" s="0" t="s">
        <v>28972</v>
      </c>
      <c r="E21828" s="0" t="inlineStr">
        <is>
          <t xml:space="preserve">Mazda</t>
        </is>
      </c>
      <c r="F21828" s="0" t="inlineStr">
        <is>
          <t xml:space="preserve">Mazda</t>
        </is>
      </c>
      <c r="G21828" s="0" t="s">
        <v>210</v>
      </c>
      <c r="H21828" s="5">
        <v>1196.758200</v>
      </c>
    </row>
    <row r="21829" spans="1:9">
      <c r="A21829" s="22" t="str">
        <f>HYPERLINK("https://app.vivvix.com/360/KMI/IntelliDrive/ApplUI/Pages/CreativePages/CustomReportCreativeDetail.aspx?App=23&amp;ReportView=4&amp;Qid=1711279&amp;Row=21821&amp;Col=1","No Title Assigned - #15280282802")</f>
        <v/>
      </c>
      <c r="B21829" s="0" t="s">
        <v>28973</v>
      </c>
      <c r="C21829" s="0" t="s">
        <v>28974</v>
      </c>
      <c r="D21829" s="0" t="s">
        <v>10008</v>
      </c>
      <c r="E21829" s="0" t="inlineStr">
        <is>
          <t xml:space="preserve">Mazda</t>
        </is>
      </c>
      <c r="F21829" s="0" t="s">
        <v>13</v>
      </c>
      <c r="G21829" s="0" t="s">
        <v>49</v>
      </c>
      <c r="H21829" s="5">
        <v>338.345500</v>
      </c>
    </row>
    <row r="21830" spans="1:9">
      <c r="A21830" s="22" t="str">
        <f>HYPERLINK("https://app.vivvix.com/360/KMI/IntelliDrive/ApplUI/Pages/CreativePages/CustomReportCreativeDetail.aspx?App=23&amp;ReportView=4&amp;Qid=1711279&amp;Row=21822&amp;Col=1","No Title Assigned - #15280282905")</f>
        <v/>
      </c>
      <c r="B21830" s="0" t="s">
        <v>28975</v>
      </c>
      <c r="C21830" s="0" t="s">
        <v>28976</v>
      </c>
      <c r="D21830" s="0" t="s">
        <v>28976</v>
      </c>
      <c r="E21830" s="0" t="inlineStr">
        <is>
          <t xml:space="preserve">Mazda</t>
        </is>
      </c>
      <c r="F21830" s="0" t="s">
        <v>13</v>
      </c>
      <c r="G21830" s="0" t="s">
        <v>49</v>
      </c>
      <c r="H21830" s="5">
        <v>8433.619100</v>
      </c>
    </row>
    <row r="21831" spans="1:9">
      <c r="A21831" s="22" t="str">
        <f>HYPERLINK("https://app.vivvix.com/360/KMI/IntelliDrive/ApplUI/Pages/CreativePages/CustomReportCreativeDetail.aspx?App=23&amp;ReportView=4&amp;Qid=1711279&amp;Row=21823&amp;Col=1","No Title Assigned - #15280282909")</f>
        <v/>
      </c>
      <c r="B21831" s="0" t="s">
        <v>28977</v>
      </c>
      <c r="C21831" s="0" t="s">
        <v>28978</v>
      </c>
      <c r="D21831" s="0" t="s">
        <v>28978</v>
      </c>
      <c r="E21831" s="0" t="inlineStr">
        <is>
          <t xml:space="preserve">Mazda</t>
        </is>
      </c>
      <c r="F21831" s="0" t="s">
        <v>13</v>
      </c>
      <c r="G21831" s="0" t="s">
        <v>49</v>
      </c>
      <c r="H21831" s="5">
        <v>5724.747600</v>
      </c>
    </row>
    <row r="21832" spans="1:9">
      <c r="A21832" s="22" t="str">
        <f>HYPERLINK("https://app.vivvix.com/360/KMI/IntelliDrive/ApplUI/Pages/CreativePages/CustomReportCreativeDetail.aspx?App=23&amp;ReportView=4&amp;Qid=1711279&amp;Row=21824&amp;Col=1","No Title Assigned - #15280284527")</f>
        <v/>
      </c>
      <c r="B21832" s="0" t="s">
        <v>28979</v>
      </c>
      <c r="C21832" s="0" t="s">
        <v>28980</v>
      </c>
      <c r="D21832" s="0" t="s">
        <v>28980</v>
      </c>
      <c r="E21832" s="0" t="inlineStr">
        <is>
          <t xml:space="preserve">Mazda</t>
        </is>
      </c>
      <c r="F21832" s="0" t="s">
        <v>13</v>
      </c>
      <c r="G21832" s="0" t="s">
        <v>49</v>
      </c>
      <c r="H21832" s="5">
        <v>499.931600</v>
      </c>
    </row>
    <row r="21833" spans="1:9">
      <c r="A21833" s="22" t="str">
        <f>HYPERLINK("https://app.vivvix.com/360/KMI/IntelliDrive/ApplUI/Pages/CreativePages/CustomReportCreativeDetail.aspx?App=23&amp;ReportView=4&amp;Qid=1711279&amp;Row=21825&amp;Col=1","No Title Assigned - #15280284683")</f>
        <v/>
      </c>
      <c r="B21833" s="0" t="s">
        <v>28981</v>
      </c>
      <c r="C21833" s="0" t="s">
        <v>28982</v>
      </c>
      <c r="D21833" s="0" t="s">
        <v>28982</v>
      </c>
      <c r="E21833" s="0" t="inlineStr">
        <is>
          <t xml:space="preserve">Mazda</t>
        </is>
      </c>
      <c r="F21833" s="0" t="s">
        <v>13</v>
      </c>
      <c r="G21833" s="0" t="s">
        <v>49</v>
      </c>
      <c r="H21833" s="5">
        <v>111.424000</v>
      </c>
    </row>
    <row r="21834" spans="1:9">
      <c r="A21834" s="22" t="str">
        <f>HYPERLINK("https://app.vivvix.com/360/KMI/IntelliDrive/ApplUI/Pages/CreativePages/CustomReportCreativeDetail.aspx?App=23&amp;ReportView=4&amp;Qid=1711279&amp;Row=21826&amp;Col=1","No Title Assigned - #15280284996")</f>
        <v/>
      </c>
      <c r="B21834" s="0" t="s">
        <v>28983</v>
      </c>
      <c r="C21834" s="0" t="s">
        <v>28984</v>
      </c>
      <c r="D21834" s="0" t="s">
        <v>28984</v>
      </c>
      <c r="E21834" s="0" t="inlineStr">
        <is>
          <t xml:space="preserve">Mazda</t>
        </is>
      </c>
      <c r="F21834" s="0" t="inlineStr">
        <is>
          <t xml:space="preserve">Mazda</t>
        </is>
      </c>
      <c r="G21834" s="0" t="s">
        <v>210</v>
      </c>
      <c r="H21834" s="5">
        <v>912.610500</v>
      </c>
    </row>
    <row r="21835" spans="1:9">
      <c r="A21835" s="22" t="str">
        <f>HYPERLINK("https://app.vivvix.com/360/KMI/IntelliDrive/ApplUI/Pages/CreativePages/CustomReportCreativeDetail.aspx?App=23&amp;ReportView=4&amp;Qid=1711279&amp;Row=21827&amp;Col=1","No Title Assigned - #15280291817")</f>
        <v/>
      </c>
      <c r="B21835" s="0" t="s">
        <v>28985</v>
      </c>
      <c r="E21835" s="0" t="inlineStr">
        <is>
          <t xml:space="preserve">Mazda</t>
        </is>
      </c>
      <c r="F21835" s="0" t="inlineStr">
        <is>
          <t xml:space="preserve">Mazda</t>
        </is>
      </c>
      <c r="G21835" s="0" t="s">
        <v>171</v>
      </c>
      <c r="H21835" s="5">
        <v>438.597200</v>
      </c>
    </row>
    <row r="21836" spans="1:9">
      <c r="A21836" s="22" t="str">
        <f>HYPERLINK("https://app.vivvix.com/360/KMI/IntelliDrive/ApplUI/Pages/CreativePages/CustomReportCreativeDetail.aspx?App=23&amp;ReportView=4&amp;Qid=1711279&amp;Row=21828&amp;Col=1","No Title Assigned - #15280292449")</f>
        <v/>
      </c>
      <c r="B21836" s="0" t="s">
        <v>28986</v>
      </c>
      <c r="C21836" s="0" t="s">
        <v>28987</v>
      </c>
      <c r="D21836" s="0" t="s">
        <v>28987</v>
      </c>
      <c r="E21836" s="0" t="inlineStr">
        <is>
          <t xml:space="preserve">Mazda</t>
        </is>
      </c>
      <c r="F21836" s="0" t="inlineStr">
        <is>
          <t xml:space="preserve">Mazda</t>
        </is>
      </c>
      <c r="G21836" s="0" t="s">
        <v>171</v>
      </c>
      <c r="H21836" s="5">
        <v>2815.823000</v>
      </c>
    </row>
    <row r="21837" spans="1:9">
      <c r="A21837" s="22" t="str">
        <f>HYPERLINK("https://app.vivvix.com/360/KMI/IntelliDrive/ApplUI/Pages/CreativePages/CustomReportCreativeDetail.aspx?App=23&amp;ReportView=4&amp;Qid=1711279&amp;Row=21829&amp;Col=1","No Title Assigned - #15280297209")</f>
        <v/>
      </c>
      <c r="B21837" s="0" t="s">
        <v>28988</v>
      </c>
      <c r="E21837" s="0" t="inlineStr">
        <is>
          <t xml:space="preserve">Mazda</t>
        </is>
      </c>
      <c r="F21837" s="0" t="inlineStr">
        <is>
          <t xml:space="preserve">Mazda</t>
        </is>
      </c>
      <c r="G21837" s="0" t="s">
        <v>171</v>
      </c>
      <c r="H21837" s="5">
        <v>32527.601900</v>
      </c>
    </row>
    <row r="21838" spans="1:9">
      <c r="A21838" s="22" t="str">
        <f>HYPERLINK("https://app.vivvix.com/360/KMI/IntelliDrive/ApplUI/Pages/CreativePages/CustomReportCreativeDetail.aspx?App=23&amp;ReportView=4&amp;Qid=1711279&amp;Row=21830&amp;Col=1","No Title Assigned - #15280300489")</f>
        <v/>
      </c>
      <c r="B21838" s="0" t="s">
        <v>28989</v>
      </c>
      <c r="E21838" s="0" t="inlineStr">
        <is>
          <t xml:space="preserve">Mazda</t>
        </is>
      </c>
      <c r="F21838" s="0" t="inlineStr">
        <is>
          <t xml:space="preserve">Mazda</t>
        </is>
      </c>
      <c r="G21838" s="0" t="s">
        <v>171</v>
      </c>
      <c r="H21838" s="5">
        <v>50.203400</v>
      </c>
    </row>
    <row r="21839" spans="1:9">
      <c r="A21839" s="22" t="str">
        <f>HYPERLINK("https://app.vivvix.com/360/KMI/IntelliDrive/ApplUI/Pages/CreativePages/CustomReportCreativeDetail.aspx?App=23&amp;ReportView=4&amp;Qid=1711279&amp;Row=21831&amp;Col=1","No Title Assigned - #15280303908")</f>
        <v/>
      </c>
      <c r="B21839" s="0" t="s">
        <v>28990</v>
      </c>
      <c r="E21839" s="0" t="inlineStr">
        <is>
          <t xml:space="preserve">Mazda</t>
        </is>
      </c>
      <c r="F21839" s="0" t="inlineStr">
        <is>
          <t xml:space="preserve">Mazda</t>
        </is>
      </c>
      <c r="G21839" s="0" t="s">
        <v>171</v>
      </c>
      <c r="H21839" s="5">
        <v>77.594300</v>
      </c>
    </row>
    <row r="21840" spans="1:9">
      <c r="A21840" s="22" t="str">
        <f>HYPERLINK("https://app.vivvix.com/360/KMI/IntelliDrive/ApplUI/Pages/CreativePages/CustomReportCreativeDetail.aspx?App=23&amp;ReportView=4&amp;Qid=1711279&amp;Row=21832&amp;Col=1","No Title Assigned - #15280305195")</f>
        <v/>
      </c>
      <c r="B21840" s="0" t="s">
        <v>28991</v>
      </c>
      <c r="C21840" s="0" t="s">
        <v>28992</v>
      </c>
      <c r="D21840" s="0" t="s">
        <v>28992</v>
      </c>
      <c r="E21840" s="0" t="inlineStr">
        <is>
          <t xml:space="preserve">Mazda</t>
        </is>
      </c>
      <c r="F21840" s="0" t="s">
        <v>13</v>
      </c>
      <c r="G21840" s="0" t="s">
        <v>49</v>
      </c>
      <c r="H21840" s="5">
        <v>8.876300</v>
      </c>
    </row>
    <row r="21841" spans="1:9">
      <c r="A21841" s="22" t="str">
        <f>HYPERLINK("https://app.vivvix.com/360/KMI/IntelliDrive/ApplUI/Pages/CreativePages/CustomReportCreativeDetail.aspx?App=23&amp;ReportView=4&amp;Qid=1711279&amp;Row=21833&amp;Col=1","No Title Assigned - #15280305746")</f>
        <v/>
      </c>
      <c r="B21841" s="0" t="s">
        <v>28993</v>
      </c>
      <c r="C21841" s="0" t="s">
        <v>28994</v>
      </c>
      <c r="D21841" s="0" t="s">
        <v>28994</v>
      </c>
      <c r="E21841" s="0" t="inlineStr">
        <is>
          <t xml:space="preserve">Mazda</t>
        </is>
      </c>
      <c r="F21841" s="0" t="s">
        <v>13</v>
      </c>
      <c r="G21841" s="0" t="s">
        <v>49</v>
      </c>
      <c r="H21841" s="5">
        <v>522.552600</v>
      </c>
    </row>
    <row r="21842" spans="1:9">
      <c r="A21842" s="22" t="str">
        <f>HYPERLINK("https://app.vivvix.com/360/KMI/IntelliDrive/ApplUI/Pages/CreativePages/CustomReportCreativeDetail.aspx?App=23&amp;ReportView=4&amp;Qid=1711279&amp;Row=21834&amp;Col=1","No Title Assigned - #15280306103")</f>
        <v/>
      </c>
      <c r="B21842" s="0" t="s">
        <v>28995</v>
      </c>
      <c r="C21842" s="0" t="s">
        <v>28996</v>
      </c>
      <c r="D21842" s="0" t="s">
        <v>28996</v>
      </c>
      <c r="E21842" s="0" t="inlineStr">
        <is>
          <t xml:space="preserve">Mazda</t>
        </is>
      </c>
      <c r="F21842" s="0" t="s">
        <v>13</v>
      </c>
      <c r="G21842" s="0" t="s">
        <v>49</v>
      </c>
      <c r="H21842" s="5">
        <v>93.257900</v>
      </c>
    </row>
    <row r="21843" spans="1:9">
      <c r="A21843" s="22" t="str">
        <f>HYPERLINK("https://app.vivvix.com/360/KMI/IntelliDrive/ApplUI/Pages/CreativePages/CustomReportCreativeDetail.aspx?App=23&amp;ReportView=4&amp;Qid=1711279&amp;Row=21835&amp;Col=1","No Title Assigned - #15280306696")</f>
        <v/>
      </c>
      <c r="B21843" s="0" t="s">
        <v>28997</v>
      </c>
      <c r="C21843" s="0" t="s">
        <v>28998</v>
      </c>
      <c r="D21843" s="0" t="s">
        <v>28998</v>
      </c>
      <c r="E21843" s="0" t="inlineStr">
        <is>
          <t xml:space="preserve">Mazda</t>
        </is>
      </c>
      <c r="F21843" s="0" t="s">
        <v>13</v>
      </c>
      <c r="G21843" s="0" t="s">
        <v>49</v>
      </c>
      <c r="H21843" s="5">
        <v>37.499800</v>
      </c>
    </row>
    <row r="21844" spans="1:9">
      <c r="A21844" s="22" t="str">
        <f>HYPERLINK("https://app.vivvix.com/360/KMI/IntelliDrive/ApplUI/Pages/CreativePages/CustomReportCreativeDetail.aspx?App=23&amp;ReportView=4&amp;Qid=1711279&amp;Row=21836&amp;Col=1","No Title Assigned - #15280306844")</f>
        <v/>
      </c>
      <c r="B21844" s="0" t="s">
        <v>28999</v>
      </c>
      <c r="C21844" s="0" t="s">
        <v>29000</v>
      </c>
      <c r="D21844" s="0" t="s">
        <v>4774</v>
      </c>
      <c r="E21844" s="0" t="inlineStr">
        <is>
          <t xml:space="preserve">Mazda</t>
        </is>
      </c>
      <c r="F21844" s="0" t="s">
        <v>13</v>
      </c>
      <c r="G21844" s="0" t="s">
        <v>49</v>
      </c>
      <c r="H21844" s="5">
        <v>313.750400</v>
      </c>
    </row>
    <row r="21845" spans="1:9">
      <c r="A21845" s="22" t="str">
        <f>HYPERLINK("https://app.vivvix.com/360/KMI/IntelliDrive/ApplUI/Pages/CreativePages/CustomReportCreativeDetail.aspx?App=23&amp;ReportView=4&amp;Qid=1711279&amp;Row=21837&amp;Col=1","No Title Assigned - #15280307976")</f>
        <v/>
      </c>
      <c r="B21845" s="0" t="s">
        <v>29001</v>
      </c>
      <c r="C21845" s="0" t="s">
        <v>29002</v>
      </c>
      <c r="D21845" s="0" t="s">
        <v>29002</v>
      </c>
      <c r="E21845" s="0" t="inlineStr">
        <is>
          <t xml:space="preserve">Mazda</t>
        </is>
      </c>
      <c r="F21845" s="0" t="s">
        <v>13</v>
      </c>
      <c r="G21845" s="0" t="s">
        <v>49</v>
      </c>
      <c r="H21845" s="5">
        <v>1208.119100</v>
      </c>
    </row>
    <row r="21846" spans="1:9">
      <c r="A21846" s="22" t="str">
        <f>HYPERLINK("https://app.vivvix.com/360/KMI/IntelliDrive/ApplUI/Pages/CreativePages/CustomReportCreativeDetail.aspx?App=23&amp;ReportView=4&amp;Qid=1711279&amp;Row=21838&amp;Col=1","No Title Assigned - #15280308914")</f>
        <v/>
      </c>
      <c r="B21846" s="0" t="s">
        <v>29003</v>
      </c>
      <c r="C21846" s="0" t="s">
        <v>29004</v>
      </c>
      <c r="D21846" s="0" t="s">
        <v>29004</v>
      </c>
      <c r="E21846" s="0" t="inlineStr">
        <is>
          <t xml:space="preserve">Mazda</t>
        </is>
      </c>
      <c r="F21846" s="0" t="s">
        <v>13</v>
      </c>
      <c r="G21846" s="0" t="s">
        <v>49</v>
      </c>
      <c r="H21846" s="5">
        <v>66.635200</v>
      </c>
    </row>
    <row r="21847" spans="1:9">
      <c r="A21847" s="22" t="str">
        <f>HYPERLINK("https://app.vivvix.com/360/KMI/IntelliDrive/ApplUI/Pages/CreativePages/CustomReportCreativeDetail.aspx?App=23&amp;ReportView=4&amp;Qid=1711279&amp;Row=21839&amp;Col=1","No Title Assigned - #15280309821")</f>
        <v/>
      </c>
      <c r="B21847" s="0" t="s">
        <v>29005</v>
      </c>
      <c r="C21847" s="0" t="s">
        <v>29006</v>
      </c>
      <c r="D21847" s="0" t="s">
        <v>29006</v>
      </c>
      <c r="E21847" s="0" t="inlineStr">
        <is>
          <t xml:space="preserve">Mazda</t>
        </is>
      </c>
      <c r="F21847" s="0" t="s">
        <v>13</v>
      </c>
      <c r="G21847" s="0" t="s">
        <v>49</v>
      </c>
      <c r="H21847" s="5">
        <v>533.731500</v>
      </c>
    </row>
    <row r="21848" spans="1:9">
      <c r="A21848" s="22" t="str">
        <f>HYPERLINK("https://app.vivvix.com/360/KMI/IntelliDrive/ApplUI/Pages/CreativePages/CustomReportCreativeDetail.aspx?App=23&amp;ReportView=4&amp;Qid=1711279&amp;Row=21840&amp;Col=1","No Title Assigned - #15280310324")</f>
        <v/>
      </c>
      <c r="B21848" s="0" t="s">
        <v>29007</v>
      </c>
      <c r="C21848" s="0" t="s">
        <v>29008</v>
      </c>
      <c r="D21848" s="0" t="s">
        <v>29008</v>
      </c>
      <c r="E21848" s="0" t="inlineStr">
        <is>
          <t xml:space="preserve">Mazda</t>
        </is>
      </c>
      <c r="F21848" s="0" t="s">
        <v>13</v>
      </c>
      <c r="G21848" s="0" t="s">
        <v>49</v>
      </c>
      <c r="H21848" s="5">
        <v>466.958500</v>
      </c>
    </row>
    <row r="21849" spans="1:9">
      <c r="A21849" s="22" t="str">
        <f>HYPERLINK("https://app.vivvix.com/360/KMI/IntelliDrive/ApplUI/Pages/CreativePages/CustomReportCreativeDetail.aspx?App=23&amp;ReportView=4&amp;Qid=1711279&amp;Row=21841&amp;Col=1","No Title Assigned - #15280310324")</f>
        <v/>
      </c>
      <c r="B21849" s="0" t="s">
        <v>29007</v>
      </c>
      <c r="C21849" s="0" t="s">
        <v>29009</v>
      </c>
      <c r="D21849" s="0" t="s">
        <v>29009</v>
      </c>
      <c r="E21849" s="0" t="inlineStr">
        <is>
          <t xml:space="preserve">Mazda</t>
        </is>
      </c>
      <c r="F21849" s="0" t="s">
        <v>13</v>
      </c>
      <c r="G21849" s="0" t="s">
        <v>49</v>
      </c>
      <c r="H21849" s="5">
        <v>405.548100</v>
      </c>
    </row>
    <row r="21850" spans="1:9">
      <c r="A21850" s="22" t="str">
        <f>HYPERLINK("https://app.vivvix.com/360/KMI/IntelliDrive/ApplUI/Pages/CreativePages/CustomReportCreativeDetail.aspx?App=23&amp;ReportView=4&amp;Qid=1711279&amp;Row=21842&amp;Col=1","No Title Assigned - #15280310890")</f>
        <v/>
      </c>
      <c r="B21850" s="0" t="s">
        <v>29010</v>
      </c>
      <c r="C21850" s="0" t="s">
        <v>29011</v>
      </c>
      <c r="D21850" s="0" t="s">
        <v>29011</v>
      </c>
      <c r="E21850" s="0" t="inlineStr">
        <is>
          <t xml:space="preserve">Mazda</t>
        </is>
      </c>
      <c r="F21850" s="0" t="s">
        <v>13</v>
      </c>
      <c r="G21850" s="0" t="s">
        <v>49</v>
      </c>
      <c r="H21850" s="5">
        <v>5.292900</v>
      </c>
    </row>
    <row r="21851" spans="1:9">
      <c r="A21851" s="22" t="str">
        <f>HYPERLINK("https://app.vivvix.com/360/KMI/IntelliDrive/ApplUI/Pages/CreativePages/CustomReportCreativeDetail.aspx?App=23&amp;ReportView=4&amp;Qid=1711279&amp;Row=21843&amp;Col=1","No Title Assigned - #15280311115")</f>
        <v/>
      </c>
      <c r="B21851" s="0" t="s">
        <v>29012</v>
      </c>
      <c r="C21851" s="0" t="s">
        <v>29013</v>
      </c>
      <c r="D21851" s="0" t="s">
        <v>4774</v>
      </c>
      <c r="E21851" s="0" t="inlineStr">
        <is>
          <t xml:space="preserve">Mazda</t>
        </is>
      </c>
      <c r="F21851" s="0" t="s">
        <v>13</v>
      </c>
      <c r="G21851" s="0" t="s">
        <v>49</v>
      </c>
      <c r="H21851" s="5">
        <v>3.442600</v>
      </c>
    </row>
    <row r="21852" spans="1:9">
      <c r="A21852" s="22" t="str">
        <f>HYPERLINK("https://app.vivvix.com/360/KMI/IntelliDrive/ApplUI/Pages/CreativePages/CustomReportCreativeDetail.aspx?App=23&amp;ReportView=4&amp;Qid=1711279&amp;Row=21844&amp;Col=1","No Title Assigned - #15280313983")</f>
        <v/>
      </c>
      <c r="B21852" s="0" t="s">
        <v>29014</v>
      </c>
      <c r="C21852" s="0" t="s">
        <v>29015</v>
      </c>
      <c r="D21852" s="0" t="s">
        <v>11639</v>
      </c>
      <c r="E21852" s="0" t="inlineStr">
        <is>
          <t xml:space="preserve">Mazda</t>
        </is>
      </c>
      <c r="F21852" s="0" t="s">
        <v>13</v>
      </c>
      <c r="G21852" s="0" t="s">
        <v>49</v>
      </c>
      <c r="H21852" s="5">
        <v>510.726600</v>
      </c>
    </row>
    <row r="21853" spans="1:9">
      <c r="A21853" s="22" t="str">
        <f>HYPERLINK("https://app.vivvix.com/360/KMI/IntelliDrive/ApplUI/Pages/CreativePages/CustomReportCreativeDetail.aspx?App=23&amp;ReportView=4&amp;Qid=1711279&amp;Row=21845&amp;Col=1","No Title Assigned - #15280313984")</f>
        <v/>
      </c>
      <c r="B21853" s="0" t="s">
        <v>29016</v>
      </c>
      <c r="C21853" s="0" t="s">
        <v>29017</v>
      </c>
      <c r="D21853" s="0" t="s">
        <v>11639</v>
      </c>
      <c r="E21853" s="0" t="inlineStr">
        <is>
          <t xml:space="preserve">Mazda</t>
        </is>
      </c>
      <c r="F21853" s="0" t="s">
        <v>13</v>
      </c>
      <c r="G21853" s="0" t="s">
        <v>49</v>
      </c>
      <c r="H21853" s="5">
        <v>102.163600</v>
      </c>
    </row>
    <row r="21854" spans="1:9">
      <c r="A21854" s="22" t="str">
        <f>HYPERLINK("https://app.vivvix.com/360/KMI/IntelliDrive/ApplUI/Pages/CreativePages/CustomReportCreativeDetail.aspx?App=23&amp;ReportView=4&amp;Qid=1711279&amp;Row=21846&amp;Col=1","No Title Assigned - #15280314838")</f>
        <v/>
      </c>
      <c r="B21854" s="0" t="s">
        <v>29018</v>
      </c>
      <c r="C21854" s="0" t="s">
        <v>29019</v>
      </c>
      <c r="D21854" s="0" t="s">
        <v>11639</v>
      </c>
      <c r="E21854" s="0" t="inlineStr">
        <is>
          <t xml:space="preserve">Mazda</t>
        </is>
      </c>
      <c r="F21854" s="0" t="s">
        <v>13</v>
      </c>
      <c r="G21854" s="0" t="s">
        <v>49</v>
      </c>
      <c r="H21854" s="5">
        <v>54.806400</v>
      </c>
    </row>
    <row r="21855" spans="1:9">
      <c r="A21855" s="22" t="str">
        <f>HYPERLINK("https://app.vivvix.com/360/KMI/IntelliDrive/ApplUI/Pages/CreativePages/CustomReportCreativeDetail.aspx?App=23&amp;ReportView=4&amp;Qid=1711279&amp;Row=21847&amp;Col=1","No Title Assigned - #15280314847")</f>
        <v/>
      </c>
      <c r="B21855" s="0" t="s">
        <v>29020</v>
      </c>
      <c r="C21855" s="0" t="s">
        <v>29021</v>
      </c>
      <c r="D21855" s="0" t="s">
        <v>29021</v>
      </c>
      <c r="E21855" s="0" t="inlineStr">
        <is>
          <t xml:space="preserve">Mazda</t>
        </is>
      </c>
      <c r="F21855" s="0" t="s">
        <v>13</v>
      </c>
      <c r="G21855" s="0" t="s">
        <v>49</v>
      </c>
      <c r="H21855" s="5">
        <v>1104.954500</v>
      </c>
    </row>
    <row r="21856" spans="1:9">
      <c r="A21856" s="22" t="str">
        <f>HYPERLINK("https://app.vivvix.com/360/KMI/IntelliDrive/ApplUI/Pages/CreativePages/CustomReportCreativeDetail.aspx?App=23&amp;ReportView=4&amp;Qid=1711279&amp;Row=21848&amp;Col=1","No Title Assigned - #15280314992")</f>
        <v/>
      </c>
      <c r="B21856" s="0" t="s">
        <v>29022</v>
      </c>
      <c r="C21856" s="0" t="s">
        <v>29023</v>
      </c>
      <c r="D21856" s="0" t="s">
        <v>29023</v>
      </c>
      <c r="E21856" s="0" t="inlineStr">
        <is>
          <t xml:space="preserve">Mazda</t>
        </is>
      </c>
      <c r="F21856" s="0" t="s">
        <v>13</v>
      </c>
      <c r="G21856" s="0" t="s">
        <v>49</v>
      </c>
      <c r="H21856" s="5">
        <v>7.886200</v>
      </c>
    </row>
    <row r="21857" spans="1:9">
      <c r="A21857" s="22" t="str">
        <f>HYPERLINK("https://app.vivvix.com/360/KMI/IntelliDrive/ApplUI/Pages/CreativePages/CustomReportCreativeDetail.aspx?App=23&amp;ReportView=4&amp;Qid=1711279&amp;Row=21849&amp;Col=1","No Title Assigned - #15280316074")</f>
        <v/>
      </c>
      <c r="B21857" s="0" t="s">
        <v>29024</v>
      </c>
      <c r="C21857" s="0" t="s">
        <v>29025</v>
      </c>
      <c r="D21857" s="0" t="s">
        <v>29025</v>
      </c>
      <c r="E21857" s="0" t="inlineStr">
        <is>
          <t xml:space="preserve">Mazda</t>
        </is>
      </c>
      <c r="F21857" s="0" t="s">
        <v>13</v>
      </c>
      <c r="G21857" s="0" t="s">
        <v>49</v>
      </c>
      <c r="H21857" s="5">
        <v>67.293200</v>
      </c>
    </row>
    <row r="21858" spans="1:9">
      <c r="A21858" s="22" t="str">
        <f>HYPERLINK("https://app.vivvix.com/360/KMI/IntelliDrive/ApplUI/Pages/CreativePages/CustomReportCreativeDetail.aspx?App=23&amp;ReportView=4&amp;Qid=1711279&amp;Row=21850&amp;Col=1","No Title Assigned - #15280316689")</f>
        <v/>
      </c>
      <c r="B21858" s="0" t="s">
        <v>29026</v>
      </c>
      <c r="C21858" s="0" t="s">
        <v>29027</v>
      </c>
      <c r="D21858" s="0" t="s">
        <v>29027</v>
      </c>
      <c r="E21858" s="0" t="inlineStr">
        <is>
          <t xml:space="preserve">Mazda</t>
        </is>
      </c>
      <c r="F21858" s="0" t="s">
        <v>13</v>
      </c>
      <c r="G21858" s="0" t="s">
        <v>49</v>
      </c>
      <c r="H21858" s="5">
        <v>165.052800</v>
      </c>
    </row>
    <row r="21859" spans="1:9">
      <c r="A21859" s="22" t="str">
        <f>HYPERLINK("https://app.vivvix.com/360/KMI/IntelliDrive/ApplUI/Pages/CreativePages/CustomReportCreativeDetail.aspx?App=23&amp;ReportView=4&amp;Qid=1711279&amp;Row=21851&amp;Col=1","No Title Assigned - #15280317189")</f>
        <v/>
      </c>
      <c r="B21859" s="0" t="s">
        <v>29028</v>
      </c>
      <c r="C21859" s="0" t="s">
        <v>29029</v>
      </c>
      <c r="D21859" s="0" t="s">
        <v>10095</v>
      </c>
      <c r="E21859" s="0" t="inlineStr">
        <is>
          <t xml:space="preserve">Mazda</t>
        </is>
      </c>
      <c r="F21859" s="0" t="s">
        <v>13</v>
      </c>
      <c r="G21859" s="0" t="s">
        <v>49</v>
      </c>
      <c r="H21859" s="5">
        <v>9966.991700</v>
      </c>
    </row>
    <row r="21860" spans="1:9">
      <c r="A21860" s="22" t="str">
        <f>HYPERLINK("https://app.vivvix.com/360/KMI/IntelliDrive/ApplUI/Pages/CreativePages/CustomReportCreativeDetail.aspx?App=23&amp;ReportView=4&amp;Qid=1711279&amp;Row=21852&amp;Col=1","No Title Assigned - #15280320435")</f>
        <v/>
      </c>
      <c r="B21860" s="0" t="s">
        <v>29030</v>
      </c>
      <c r="E21860" s="0" t="inlineStr">
        <is>
          <t xml:space="preserve">Mazda</t>
        </is>
      </c>
      <c r="F21860" s="0" t="inlineStr">
        <is>
          <t xml:space="preserve">Mazda</t>
        </is>
      </c>
      <c r="G21860" s="0" t="s">
        <v>171</v>
      </c>
      <c r="H21860" s="5">
        <v>50.203400</v>
      </c>
    </row>
    <row r="21861" spans="1:9">
      <c r="A21861" s="22" t="str">
        <f>HYPERLINK("https://app.vivvix.com/360/KMI/IntelliDrive/ApplUI/Pages/CreativePages/CustomReportCreativeDetail.aspx?App=23&amp;ReportView=4&amp;Qid=1711279&amp;Row=21853&amp;Col=1","No Title Assigned - #15280320484")</f>
        <v/>
      </c>
      <c r="B21861" s="0" t="s">
        <v>29031</v>
      </c>
      <c r="E21861" s="0" t="inlineStr">
        <is>
          <t xml:space="preserve">Mazda</t>
        </is>
      </c>
      <c r="F21861" s="0" t="inlineStr">
        <is>
          <t xml:space="preserve">Mazda</t>
        </is>
      </c>
      <c r="G21861" s="0" t="s">
        <v>171</v>
      </c>
      <c r="H21861" s="5">
        <v>61.774700</v>
      </c>
    </row>
    <row r="21862" spans="1:9">
      <c r="A21862" s="22" t="str">
        <f>HYPERLINK("https://app.vivvix.com/360/KMI/IntelliDrive/ApplUI/Pages/CreativePages/CustomReportCreativeDetail.aspx?App=23&amp;ReportView=4&amp;Qid=1711279&amp;Row=21854&amp;Col=1","No Title Assigned - #15280320562")</f>
        <v/>
      </c>
      <c r="B21862" s="0" t="s">
        <v>29032</v>
      </c>
      <c r="E21862" s="0" t="inlineStr">
        <is>
          <t xml:space="preserve">Mazda</t>
        </is>
      </c>
      <c r="F21862" s="0" t="inlineStr">
        <is>
          <t xml:space="preserve">Mazda</t>
        </is>
      </c>
      <c r="G21862" s="0" t="s">
        <v>171</v>
      </c>
      <c r="H21862" s="5">
        <v>3898.201200</v>
      </c>
    </row>
    <row r="21863" spans="1:9">
      <c r="A21863" s="22" t="str">
        <f>HYPERLINK("https://app.vivvix.com/360/KMI/IntelliDrive/ApplUI/Pages/CreativePages/CustomReportCreativeDetail.aspx?App=23&amp;ReportView=4&amp;Qid=1711279&amp;Row=21855&amp;Col=1","No Title Assigned - #15280320728")</f>
        <v/>
      </c>
      <c r="B21863" s="0" t="s">
        <v>29033</v>
      </c>
      <c r="E21863" s="0" t="inlineStr">
        <is>
          <t xml:space="preserve">Mazda</t>
        </is>
      </c>
      <c r="F21863" s="0" t="inlineStr">
        <is>
          <t xml:space="preserve">Mazda</t>
        </is>
      </c>
      <c r="G21863" s="0" t="s">
        <v>171</v>
      </c>
      <c r="H21863" s="5">
        <v>13.022400</v>
      </c>
    </row>
    <row r="21864" spans="1:9">
      <c r="A21864" s="22" t="str">
        <f>HYPERLINK("https://app.vivvix.com/360/KMI/IntelliDrive/ApplUI/Pages/CreativePages/CustomReportCreativeDetail.aspx?App=23&amp;ReportView=4&amp;Qid=1711279&amp;Row=21856&amp;Col=1","No Title Assigned - #15280320886")</f>
        <v/>
      </c>
      <c r="B21864" s="0" t="s">
        <v>29034</v>
      </c>
      <c r="E21864" s="0" t="inlineStr">
        <is>
          <t xml:space="preserve">Mazda</t>
        </is>
      </c>
      <c r="F21864" s="0" t="inlineStr">
        <is>
          <t xml:space="preserve">Mazda</t>
        </is>
      </c>
      <c r="G21864" s="0" t="s">
        <v>171</v>
      </c>
      <c r="H21864" s="5">
        <v>149.686400</v>
      </c>
    </row>
    <row r="21865" spans="1:9">
      <c r="A21865" s="22" t="str">
        <f>HYPERLINK("https://app.vivvix.com/360/KMI/IntelliDrive/ApplUI/Pages/CreativePages/CustomReportCreativeDetail.aspx?App=23&amp;ReportView=4&amp;Qid=1711279&amp;Row=21857&amp;Col=1","No Title Assigned - #15280321686")</f>
        <v/>
      </c>
      <c r="B21865" s="0" t="s">
        <v>29035</v>
      </c>
      <c r="E21865" s="0" t="inlineStr">
        <is>
          <t xml:space="preserve">Mazda</t>
        </is>
      </c>
      <c r="F21865" s="0" t="inlineStr">
        <is>
          <t xml:space="preserve">Mazda</t>
        </is>
      </c>
      <c r="G21865" s="0" t="s">
        <v>171</v>
      </c>
      <c r="H21865" s="5">
        <v>622.438900</v>
      </c>
    </row>
    <row r="21866" spans="1:9">
      <c r="A21866" s="22" t="str">
        <f>HYPERLINK("https://app.vivvix.com/360/KMI/IntelliDrive/ApplUI/Pages/CreativePages/CustomReportCreativeDetail.aspx?App=23&amp;ReportView=4&amp;Qid=1711279&amp;Row=21858&amp;Col=1","No Title Assigned - #15280321936")</f>
        <v/>
      </c>
      <c r="B21866" s="0" t="s">
        <v>29036</v>
      </c>
      <c r="E21866" s="0" t="inlineStr">
        <is>
          <t xml:space="preserve">Mazda</t>
        </is>
      </c>
      <c r="F21866" s="0" t="inlineStr">
        <is>
          <t xml:space="preserve">Mazda</t>
        </is>
      </c>
      <c r="G21866" s="0" t="s">
        <v>171</v>
      </c>
      <c r="H21866" s="5">
        <v>9.851700</v>
      </c>
    </row>
    <row r="21867" spans="1:9">
      <c r="A21867" s="22" t="str">
        <f>HYPERLINK("https://app.vivvix.com/360/KMI/IntelliDrive/ApplUI/Pages/CreativePages/CustomReportCreativeDetail.aspx?App=23&amp;ReportView=4&amp;Qid=1711279&amp;Row=21859&amp;Col=1","No Title Assigned - #15280321970")</f>
        <v/>
      </c>
      <c r="B21867" s="0" t="s">
        <v>29037</v>
      </c>
      <c r="E21867" s="0" t="inlineStr">
        <is>
          <t xml:space="preserve">Mazda</t>
        </is>
      </c>
      <c r="F21867" s="0" t="inlineStr">
        <is>
          <t xml:space="preserve">Mazda</t>
        </is>
      </c>
      <c r="G21867" s="0" t="s">
        <v>171</v>
      </c>
      <c r="H21867" s="5">
        <v>104.051100</v>
      </c>
    </row>
    <row r="21868" spans="1:9">
      <c r="A21868" s="22" t="str">
        <f>HYPERLINK("https://app.vivvix.com/360/KMI/IntelliDrive/ApplUI/Pages/CreativePages/CustomReportCreativeDetail.aspx?App=23&amp;ReportView=4&amp;Qid=1711279&amp;Row=21860&amp;Col=1","No Title Assigned - #15280321994")</f>
        <v/>
      </c>
      <c r="B21868" s="0" t="s">
        <v>29038</v>
      </c>
      <c r="E21868" s="0" t="inlineStr">
        <is>
          <t xml:space="preserve">Mazda</t>
        </is>
      </c>
      <c r="F21868" s="0" t="inlineStr">
        <is>
          <t xml:space="preserve">Mazda</t>
        </is>
      </c>
      <c r="G21868" s="0" t="s">
        <v>171</v>
      </c>
      <c r="H21868" s="5">
        <v>179.279500</v>
      </c>
    </row>
    <row r="21869" spans="1:9">
      <c r="A21869" s="22" t="str">
        <f>HYPERLINK("https://app.vivvix.com/360/KMI/IntelliDrive/ApplUI/Pages/CreativePages/CustomReportCreativeDetail.aspx?App=23&amp;ReportView=4&amp;Qid=1711279&amp;Row=21861&amp;Col=1","No Title Assigned - #15280322128")</f>
        <v/>
      </c>
      <c r="B21869" s="0" t="s">
        <v>29039</v>
      </c>
      <c r="E21869" s="0" t="inlineStr">
        <is>
          <t xml:space="preserve">Mazda</t>
        </is>
      </c>
      <c r="F21869" s="0" t="inlineStr">
        <is>
          <t xml:space="preserve">Mazda</t>
        </is>
      </c>
      <c r="G21869" s="0" t="s">
        <v>171</v>
      </c>
      <c r="H21869" s="5">
        <v>2.651800</v>
      </c>
    </row>
    <row r="21870" spans="1:9">
      <c r="A21870" s="22" t="str">
        <f>HYPERLINK("https://app.vivvix.com/360/KMI/IntelliDrive/ApplUI/Pages/CreativePages/CustomReportCreativeDetail.aspx?App=23&amp;ReportView=4&amp;Qid=1711279&amp;Row=21862&amp;Col=1","No Title Assigned - #15280322432")</f>
        <v/>
      </c>
      <c r="B21870" s="0" t="s">
        <v>29040</v>
      </c>
      <c r="E21870" s="0" t="inlineStr">
        <is>
          <t xml:space="preserve">Mazda</t>
        </is>
      </c>
      <c r="F21870" s="0" t="inlineStr">
        <is>
          <t xml:space="preserve">Mazda</t>
        </is>
      </c>
      <c r="G21870" s="0" t="s">
        <v>171</v>
      </c>
      <c r="H21870" s="5">
        <v>990.038100</v>
      </c>
    </row>
    <row r="21871" spans="1:9">
      <c r="A21871" s="22" t="str">
        <f>HYPERLINK("https://app.vivvix.com/360/KMI/IntelliDrive/ApplUI/Pages/CreativePages/CustomReportCreativeDetail.aspx?App=23&amp;ReportView=4&amp;Qid=1711279&amp;Row=21863&amp;Col=1","No Title Assigned - #15280322645")</f>
        <v/>
      </c>
      <c r="B21871" s="0" t="s">
        <v>29041</v>
      </c>
      <c r="E21871" s="0" t="inlineStr">
        <is>
          <t xml:space="preserve">Mazda</t>
        </is>
      </c>
      <c r="F21871" s="0" t="inlineStr">
        <is>
          <t xml:space="preserve">Mazda</t>
        </is>
      </c>
      <c r="G21871" s="0" t="s">
        <v>171</v>
      </c>
      <c r="H21871" s="5">
        <v>81.613900</v>
      </c>
    </row>
    <row r="21872" spans="1:9">
      <c r="A21872" s="22" t="str">
        <f>HYPERLINK("https://app.vivvix.com/360/KMI/IntelliDrive/ApplUI/Pages/CreativePages/CustomReportCreativeDetail.aspx?App=23&amp;ReportView=4&amp;Qid=1711279&amp;Row=21864&amp;Col=1","No Title Assigned - #15280322732")</f>
        <v/>
      </c>
      <c r="B21872" s="0" t="s">
        <v>29042</v>
      </c>
      <c r="E21872" s="0" t="inlineStr">
        <is>
          <t xml:space="preserve">Mazda</t>
        </is>
      </c>
      <c r="F21872" s="0" t="inlineStr">
        <is>
          <t xml:space="preserve">Mazda</t>
        </is>
      </c>
      <c r="G21872" s="0" t="s">
        <v>171</v>
      </c>
      <c r="H21872" s="5">
        <v>17.799600</v>
      </c>
    </row>
    <row r="21873" spans="1:9">
      <c r="A21873" s="22" t="str">
        <f>HYPERLINK("https://app.vivvix.com/360/KMI/IntelliDrive/ApplUI/Pages/CreativePages/CustomReportCreativeDetail.aspx?App=23&amp;ReportView=4&amp;Qid=1711279&amp;Row=21865&amp;Col=1","No Title Assigned - #15280322807")</f>
        <v/>
      </c>
      <c r="B21873" s="0" t="s">
        <v>29043</v>
      </c>
      <c r="E21873" s="0" t="inlineStr">
        <is>
          <t xml:space="preserve">Mazda</t>
        </is>
      </c>
      <c r="F21873" s="0" t="inlineStr">
        <is>
          <t xml:space="preserve">Mazda</t>
        </is>
      </c>
      <c r="G21873" s="0" t="s">
        <v>171</v>
      </c>
      <c r="H21873" s="5">
        <v>142.712400</v>
      </c>
    </row>
    <row r="21874" spans="1:9">
      <c r="A21874" s="22" t="str">
        <f>HYPERLINK("https://app.vivvix.com/360/KMI/IntelliDrive/ApplUI/Pages/CreativePages/CustomReportCreativeDetail.aspx?App=23&amp;ReportView=4&amp;Qid=1711279&amp;Row=21866&amp;Col=1","No Title Assigned - #15280323235")</f>
        <v/>
      </c>
      <c r="B21874" s="0" t="s">
        <v>29044</v>
      </c>
      <c r="E21874" s="0" t="inlineStr">
        <is>
          <t xml:space="preserve">Mazda</t>
        </is>
      </c>
      <c r="F21874" s="0" t="inlineStr">
        <is>
          <t xml:space="preserve">Mazda</t>
        </is>
      </c>
      <c r="G21874" s="0" t="s">
        <v>171</v>
      </c>
      <c r="H21874" s="5">
        <v>353.368900</v>
      </c>
    </row>
    <row r="21875" spans="1:9">
      <c r="A21875" s="22" t="str">
        <f>HYPERLINK("https://app.vivvix.com/360/KMI/IntelliDrive/ApplUI/Pages/CreativePages/CustomReportCreativeDetail.aspx?App=23&amp;ReportView=4&amp;Qid=1711279&amp;Row=21867&amp;Col=1","No Title Assigned - #15280323308")</f>
        <v/>
      </c>
      <c r="B21875" s="0" t="s">
        <v>29045</v>
      </c>
      <c r="E21875" s="0" t="inlineStr">
        <is>
          <t xml:space="preserve">Mazda</t>
        </is>
      </c>
      <c r="F21875" s="0" t="inlineStr">
        <is>
          <t xml:space="preserve">Mazda</t>
        </is>
      </c>
      <c r="G21875" s="0" t="s">
        <v>171</v>
      </c>
      <c r="H21875" s="5">
        <v>20.530300</v>
      </c>
    </row>
    <row r="21876" spans="1:9">
      <c r="A21876" s="22" t="str">
        <f>HYPERLINK("https://app.vivvix.com/360/KMI/IntelliDrive/ApplUI/Pages/CreativePages/CustomReportCreativeDetail.aspx?App=23&amp;ReportView=4&amp;Qid=1711279&amp;Row=21868&amp;Col=1","No Title Assigned - #15280323607")</f>
        <v/>
      </c>
      <c r="B21876" s="0" t="s">
        <v>29046</v>
      </c>
      <c r="E21876" s="0" t="inlineStr">
        <is>
          <t xml:space="preserve">Mazda</t>
        </is>
      </c>
      <c r="F21876" s="0" t="inlineStr">
        <is>
          <t xml:space="preserve">Mazda</t>
        </is>
      </c>
      <c r="G21876" s="0" t="s">
        <v>171</v>
      </c>
      <c r="H21876" s="5">
        <v>606.812100</v>
      </c>
    </row>
    <row r="21877" spans="1:9">
      <c r="A21877" s="22" t="str">
        <f>HYPERLINK("https://app.vivvix.com/360/KMI/IntelliDrive/ApplUI/Pages/CreativePages/CustomReportCreativeDetail.aspx?App=23&amp;ReportView=4&amp;Qid=1711279&amp;Row=21869&amp;Col=1","No Title Assigned - #15280324363")</f>
        <v/>
      </c>
      <c r="B21877" s="0" t="s">
        <v>29047</v>
      </c>
      <c r="C21877" s="0" t="s">
        <v>29048</v>
      </c>
      <c r="D21877" s="0" t="s">
        <v>4335</v>
      </c>
      <c r="E21877" s="0" t="inlineStr">
        <is>
          <t xml:space="preserve">Mazda</t>
        </is>
      </c>
      <c r="F21877" s="0" t="s">
        <v>13</v>
      </c>
      <c r="G21877" s="0" t="s">
        <v>49</v>
      </c>
      <c r="H21877" s="5">
        <v>50.854300</v>
      </c>
    </row>
    <row r="21878" spans="1:9">
      <c r="A21878" s="22" t="str">
        <f>HYPERLINK("https://app.vivvix.com/360/KMI/IntelliDrive/ApplUI/Pages/CreativePages/CustomReportCreativeDetail.aspx?App=23&amp;ReportView=4&amp;Qid=1711279&amp;Row=21870&amp;Col=1","No Title Assigned - #15280324397")</f>
        <v/>
      </c>
      <c r="B21878" s="0" t="s">
        <v>29049</v>
      </c>
      <c r="E21878" s="0" t="inlineStr">
        <is>
          <t xml:space="preserve">Mazda</t>
        </is>
      </c>
      <c r="F21878" s="0" t="inlineStr">
        <is>
          <t xml:space="preserve">Mazda</t>
        </is>
      </c>
      <c r="G21878" s="0" t="s">
        <v>171</v>
      </c>
      <c r="H21878" s="5">
        <v>545.943800</v>
      </c>
    </row>
    <row r="21879" spans="1:9">
      <c r="A21879" s="22" t="str">
        <f>HYPERLINK("https://app.vivvix.com/360/KMI/IntelliDrive/ApplUI/Pages/CreativePages/CustomReportCreativeDetail.aspx?App=23&amp;ReportView=4&amp;Qid=1711279&amp;Row=21871&amp;Col=1","No Title Assigned - #15280325120")</f>
        <v/>
      </c>
      <c r="B21879" s="0" t="s">
        <v>29050</v>
      </c>
      <c r="E21879" s="0" t="inlineStr">
        <is>
          <t xml:space="preserve">Mazda</t>
        </is>
      </c>
      <c r="F21879" s="0" t="inlineStr">
        <is>
          <t xml:space="preserve">Mazda</t>
        </is>
      </c>
      <c r="G21879" s="0" t="s">
        <v>171</v>
      </c>
      <c r="H21879" s="5">
        <v>128.523000</v>
      </c>
    </row>
    <row r="21880" spans="1:9">
      <c r="A21880" s="22" t="str">
        <f>HYPERLINK("https://app.vivvix.com/360/KMI/IntelliDrive/ApplUI/Pages/CreativePages/CustomReportCreativeDetail.aspx?App=23&amp;ReportView=4&amp;Qid=1711279&amp;Row=21872&amp;Col=1","No Title Assigned - #15280325390")</f>
        <v/>
      </c>
      <c r="B21880" s="0" t="s">
        <v>29051</v>
      </c>
      <c r="E21880" s="0" t="inlineStr">
        <is>
          <t xml:space="preserve">Mazda</t>
        </is>
      </c>
      <c r="F21880" s="0" t="inlineStr">
        <is>
          <t xml:space="preserve">Mazda</t>
        </is>
      </c>
      <c r="G21880" s="0" t="s">
        <v>171</v>
      </c>
      <c r="H21880" s="5">
        <v>134.937600</v>
      </c>
    </row>
    <row r="21881" spans="1:9">
      <c r="A21881" s="22" t="str">
        <f>HYPERLINK("https://app.vivvix.com/360/KMI/IntelliDrive/ApplUI/Pages/CreativePages/CustomReportCreativeDetail.aspx?App=23&amp;ReportView=4&amp;Qid=1711279&amp;Row=21873&amp;Col=1","No Title Assigned - #15280325678")</f>
        <v/>
      </c>
      <c r="B21881" s="0" t="s">
        <v>29052</v>
      </c>
      <c r="E21881" s="0" t="inlineStr">
        <is>
          <t xml:space="preserve">Mazda</t>
        </is>
      </c>
      <c r="F21881" s="0" t="inlineStr">
        <is>
          <t xml:space="preserve">Mazda</t>
        </is>
      </c>
      <c r="G21881" s="0" t="s">
        <v>171</v>
      </c>
      <c r="H21881" s="5">
        <v>7798.744300</v>
      </c>
    </row>
    <row r="21882" spans="1:9">
      <c r="A21882" s="22" t="str">
        <f>HYPERLINK("https://app.vivvix.com/360/KMI/IntelliDrive/ApplUI/Pages/CreativePages/CustomReportCreativeDetail.aspx?App=23&amp;ReportView=4&amp;Qid=1711279&amp;Row=21874&amp;Col=1","No Title Assigned - #15280325893")</f>
        <v/>
      </c>
      <c r="B21882" s="0" t="s">
        <v>29053</v>
      </c>
      <c r="E21882" s="0" t="inlineStr">
        <is>
          <t xml:space="preserve">Mazda</t>
        </is>
      </c>
      <c r="F21882" s="0" t="inlineStr">
        <is>
          <t xml:space="preserve">Mazda</t>
        </is>
      </c>
      <c r="G21882" s="0" t="s">
        <v>171</v>
      </c>
      <c r="H21882" s="5">
        <v>19.703400</v>
      </c>
    </row>
    <row r="21883" spans="1:9">
      <c r="A21883" s="22" t="str">
        <f>HYPERLINK("https://app.vivvix.com/360/KMI/IntelliDrive/ApplUI/Pages/CreativePages/CustomReportCreativeDetail.aspx?App=23&amp;ReportView=4&amp;Qid=1711279&amp;Row=21875&amp;Col=1","No Title Assigned - #15280326893")</f>
        <v/>
      </c>
      <c r="B21883" s="0" t="s">
        <v>29054</v>
      </c>
      <c r="E21883" s="0" t="inlineStr">
        <is>
          <t xml:space="preserve">Mazda</t>
        </is>
      </c>
      <c r="F21883" s="0" t="inlineStr">
        <is>
          <t xml:space="preserve">Mazda</t>
        </is>
      </c>
      <c r="G21883" s="0" t="s">
        <v>171</v>
      </c>
      <c r="H21883" s="5">
        <v>9.851700</v>
      </c>
    </row>
    <row r="21884" spans="1:9">
      <c r="A21884" s="22" t="str">
        <f>HYPERLINK("https://app.vivvix.com/360/KMI/IntelliDrive/ApplUI/Pages/CreativePages/CustomReportCreativeDetail.aspx?App=23&amp;ReportView=4&amp;Qid=1711279&amp;Row=21876&amp;Col=1","No Title Assigned - #15280336822")</f>
        <v/>
      </c>
      <c r="B21884" s="0" t="s">
        <v>29055</v>
      </c>
      <c r="E21884" s="0" t="inlineStr">
        <is>
          <t xml:space="preserve">Mazda</t>
        </is>
      </c>
      <c r="F21884" s="0" t="inlineStr">
        <is>
          <t xml:space="preserve">Mazda</t>
        </is>
      </c>
      <c r="G21884" s="0" t="s">
        <v>171</v>
      </c>
      <c r="H21884" s="5">
        <v>123.252900</v>
      </c>
    </row>
    <row r="21885" spans="1:9">
      <c r="A21885" s="22" t="str">
        <f>HYPERLINK("https://app.vivvix.com/360/KMI/IntelliDrive/ApplUI/Pages/CreativePages/CustomReportCreativeDetail.aspx?App=23&amp;ReportView=4&amp;Qid=1711279&amp;Row=21877&amp;Col=1","No Title Assigned - #15280337317")</f>
        <v/>
      </c>
      <c r="B21885" s="0" t="s">
        <v>29056</v>
      </c>
      <c r="E21885" s="0" t="inlineStr">
        <is>
          <t xml:space="preserve">Mazda</t>
        </is>
      </c>
      <c r="F21885" s="0" t="inlineStr">
        <is>
          <t xml:space="preserve">Mazda</t>
        </is>
      </c>
      <c r="G21885" s="0" t="s">
        <v>171</v>
      </c>
      <c r="H21885" s="5">
        <v>409.573200</v>
      </c>
    </row>
    <row r="21886" spans="1:9">
      <c r="A21886" s="22" t="str">
        <f>HYPERLINK("https://app.vivvix.com/360/KMI/IntelliDrive/ApplUI/Pages/CreativePages/CustomReportCreativeDetail.aspx?App=23&amp;ReportView=4&amp;Qid=1711279&amp;Row=21878&amp;Col=1","No Title Assigned - #15280348813")</f>
        <v/>
      </c>
      <c r="B21886" s="0" t="s">
        <v>29057</v>
      </c>
      <c r="C21886" s="0" t="s">
        <v>29058</v>
      </c>
      <c r="D21886" s="0" t="s">
        <v>9155</v>
      </c>
      <c r="E21886" s="0" t="inlineStr">
        <is>
          <t xml:space="preserve">Mazda</t>
        </is>
      </c>
      <c r="F21886" s="0" t="s">
        <v>13</v>
      </c>
      <c r="G21886" s="0" t="s">
        <v>49</v>
      </c>
      <c r="H21886" s="5">
        <v>82.019100</v>
      </c>
    </row>
    <row r="21887" spans="1:9">
      <c r="A21887" s="22" t="str">
        <f>HYPERLINK("https://app.vivvix.com/360/KMI/IntelliDrive/ApplUI/Pages/CreativePages/CustomReportCreativeDetail.aspx?App=23&amp;ReportView=4&amp;Qid=1711279&amp;Row=21879&amp;Col=1","No Title Assigned - #15280349672")</f>
        <v/>
      </c>
      <c r="B21887" s="0" t="s">
        <v>29059</v>
      </c>
      <c r="C21887" s="0" t="s">
        <v>29060</v>
      </c>
      <c r="D21887" s="0" t="s">
        <v>29060</v>
      </c>
      <c r="E21887" s="0" t="inlineStr">
        <is>
          <t xml:space="preserve">Mazda</t>
        </is>
      </c>
      <c r="F21887" s="0" t="s">
        <v>13</v>
      </c>
      <c r="G21887" s="0" t="s">
        <v>49</v>
      </c>
      <c r="H21887" s="5">
        <v>15.878700</v>
      </c>
    </row>
    <row r="21888" spans="1:9">
      <c r="A21888" s="22" t="str">
        <f>HYPERLINK("https://app.vivvix.com/360/KMI/IntelliDrive/ApplUI/Pages/CreativePages/CustomReportCreativeDetail.aspx?App=23&amp;ReportView=4&amp;Qid=1711279&amp;Row=21880&amp;Col=1","No Title Assigned - #15280349736")</f>
        <v/>
      </c>
      <c r="B21888" s="0" t="s">
        <v>29061</v>
      </c>
      <c r="C21888" s="0" t="s">
        <v>29062</v>
      </c>
      <c r="D21888" s="0" t="s">
        <v>29062</v>
      </c>
      <c r="E21888" s="0" t="inlineStr">
        <is>
          <t xml:space="preserve">Mazda</t>
        </is>
      </c>
      <c r="F21888" s="0" t="s">
        <v>13</v>
      </c>
      <c r="G21888" s="0" t="s">
        <v>49</v>
      </c>
      <c r="H21888" s="5">
        <v>10.585800</v>
      </c>
    </row>
    <row r="21889" spans="1:9">
      <c r="A21889" s="22" t="str">
        <f>HYPERLINK("https://app.vivvix.com/360/KMI/IntelliDrive/ApplUI/Pages/CreativePages/CustomReportCreativeDetail.aspx?App=23&amp;ReportView=4&amp;Qid=1711279&amp;Row=21881&amp;Col=1","No Title Assigned - #15280350303")</f>
        <v/>
      </c>
      <c r="B21889" s="0" t="s">
        <v>29063</v>
      </c>
      <c r="C21889" s="0" t="s">
        <v>29064</v>
      </c>
      <c r="D21889" s="0" t="s">
        <v>4774</v>
      </c>
      <c r="E21889" s="0" t="inlineStr">
        <is>
          <t xml:space="preserve">Mazda</t>
        </is>
      </c>
      <c r="F21889" s="0" t="s">
        <v>13</v>
      </c>
      <c r="G21889" s="0" t="s">
        <v>49</v>
      </c>
      <c r="H21889" s="5">
        <v>1228.149200</v>
      </c>
    </row>
    <row r="21890" spans="1:9">
      <c r="A21890" s="22" t="str">
        <f>HYPERLINK("https://app.vivvix.com/360/KMI/IntelliDrive/ApplUI/Pages/CreativePages/CustomReportCreativeDetail.aspx?App=23&amp;ReportView=4&amp;Qid=1711279&amp;Row=21882&amp;Col=1","No Title Assigned - #15280351315")</f>
        <v/>
      </c>
      <c r="B21890" s="0" t="s">
        <v>29065</v>
      </c>
      <c r="C21890" s="0" t="s">
        <v>29066</v>
      </c>
      <c r="D21890" s="0" t="s">
        <v>10988</v>
      </c>
      <c r="E21890" s="0" t="inlineStr">
        <is>
          <t xml:space="preserve">Mazda</t>
        </is>
      </c>
      <c r="F21890" s="0" t="s">
        <v>13</v>
      </c>
      <c r="G21890" s="0" t="s">
        <v>49</v>
      </c>
      <c r="H21890" s="5">
        <v>17.799600</v>
      </c>
    </row>
    <row r="21891" spans="1:9">
      <c r="A21891" s="22" t="str">
        <f>HYPERLINK("https://app.vivvix.com/360/KMI/IntelliDrive/ApplUI/Pages/CreativePages/CustomReportCreativeDetail.aspx?App=23&amp;ReportView=4&amp;Qid=1711279&amp;Row=21883&amp;Col=1","No Title Assigned - #15280353220")</f>
        <v/>
      </c>
      <c r="B21891" s="0" t="s">
        <v>29067</v>
      </c>
      <c r="C21891" s="0" t="s">
        <v>29068</v>
      </c>
      <c r="D21891" s="0" t="s">
        <v>11639</v>
      </c>
      <c r="E21891" s="0" t="inlineStr">
        <is>
          <t xml:space="preserve">Mazda</t>
        </is>
      </c>
      <c r="F21891" s="0" t="s">
        <v>13</v>
      </c>
      <c r="G21891" s="0" t="s">
        <v>49</v>
      </c>
      <c r="H21891" s="5">
        <v>211.591400</v>
      </c>
    </row>
    <row r="21892" spans="1:9">
      <c r="A21892" s="22" t="str">
        <f>HYPERLINK("https://app.vivvix.com/360/KMI/IntelliDrive/ApplUI/Pages/CreativePages/CustomReportCreativeDetail.aspx?App=23&amp;ReportView=4&amp;Qid=1711279&amp;Row=21884&amp;Col=1","No Title Assigned - #15280355812")</f>
        <v/>
      </c>
      <c r="B21892" s="0" t="s">
        <v>29069</v>
      </c>
      <c r="C21892" s="0" t="s">
        <v>29070</v>
      </c>
      <c r="D21892" s="0" t="s">
        <v>29070</v>
      </c>
      <c r="E21892" s="0" t="inlineStr">
        <is>
          <t xml:space="preserve">Mazda</t>
        </is>
      </c>
      <c r="F21892" s="0" t="s">
        <v>13</v>
      </c>
      <c r="G21892" s="0" t="s">
        <v>49</v>
      </c>
      <c r="H21892" s="5">
        <v>1278.838700</v>
      </c>
    </row>
    <row r="21893" spans="1:9">
      <c r="A21893" s="22" t="str">
        <f>HYPERLINK("https://app.vivvix.com/360/KMI/IntelliDrive/ApplUI/Pages/CreativePages/CustomReportCreativeDetail.aspx?App=23&amp;ReportView=4&amp;Qid=1711279&amp;Row=21885&amp;Col=1","No Title Assigned - #15280359574")</f>
        <v/>
      </c>
      <c r="B21893" s="0" t="s">
        <v>29071</v>
      </c>
      <c r="C21893" s="0" t="s">
        <v>29072</v>
      </c>
      <c r="D21893" s="0" t="s">
        <v>29072</v>
      </c>
      <c r="E21893" s="0" t="inlineStr">
        <is>
          <t xml:space="preserve">Mazda</t>
        </is>
      </c>
      <c r="F21893" s="0" t="s">
        <v>13</v>
      </c>
      <c r="G21893" s="0" t="s">
        <v>49</v>
      </c>
      <c r="H21893" s="5">
        <v>1196.758200</v>
      </c>
    </row>
    <row r="21894" spans="1:9">
      <c r="A21894" s="22" t="str">
        <f>HYPERLINK("https://app.vivvix.com/360/KMI/IntelliDrive/ApplUI/Pages/CreativePages/CustomReportCreativeDetail.aspx?App=23&amp;ReportView=4&amp;Qid=1711279&amp;Row=21886&amp;Col=1","No Title Assigned - #15280360103")</f>
        <v/>
      </c>
      <c r="B21894" s="0" t="s">
        <v>29073</v>
      </c>
      <c r="C21894" s="0" t="s">
        <v>29074</v>
      </c>
      <c r="D21894" s="0" t="s">
        <v>29074</v>
      </c>
      <c r="E21894" s="0" t="inlineStr">
        <is>
          <t xml:space="preserve">Mazda</t>
        </is>
      </c>
      <c r="F21894" s="0" t="s">
        <v>13</v>
      </c>
      <c r="G21894" s="0" t="s">
        <v>49</v>
      </c>
      <c r="H21894" s="5">
        <v>295.908400</v>
      </c>
    </row>
    <row r="21895" spans="1:9">
      <c r="A21895" s="22" t="str">
        <f>HYPERLINK("https://app.vivvix.com/360/KMI/IntelliDrive/ApplUI/Pages/CreativePages/CustomReportCreativeDetail.aspx?App=23&amp;ReportView=4&amp;Qid=1711279&amp;Row=21887&amp;Col=1","No Title Assigned - #15280360421")</f>
        <v/>
      </c>
      <c r="B21895" s="0" t="s">
        <v>29075</v>
      </c>
      <c r="C21895" s="0" t="s">
        <v>29076</v>
      </c>
      <c r="D21895" s="0" t="s">
        <v>29076</v>
      </c>
      <c r="E21895" s="0" t="inlineStr">
        <is>
          <t xml:space="preserve">Mazda</t>
        </is>
      </c>
      <c r="F21895" s="0" t="s">
        <v>13</v>
      </c>
      <c r="G21895" s="0" t="s">
        <v>49</v>
      </c>
      <c r="H21895" s="5">
        <v>17358.962400</v>
      </c>
    </row>
    <row r="21896" spans="1:9">
      <c r="A21896" s="22" t="str">
        <f>HYPERLINK("https://app.vivvix.com/360/KMI/IntelliDrive/ApplUI/Pages/CreativePages/CustomReportCreativeDetail.aspx?App=23&amp;ReportView=4&amp;Qid=1711279&amp;Row=21888&amp;Col=1","No Title Assigned - #15280362770")</f>
        <v/>
      </c>
      <c r="B21896" s="0" t="s">
        <v>29077</v>
      </c>
      <c r="C21896" s="0" t="s">
        <v>29078</v>
      </c>
      <c r="D21896" s="0" t="s">
        <v>29078</v>
      </c>
      <c r="E21896" s="0" t="inlineStr">
        <is>
          <t xml:space="preserve">Mazda</t>
        </is>
      </c>
      <c r="F21896" s="0" t="s">
        <v>13</v>
      </c>
      <c r="G21896" s="0" t="s">
        <v>49</v>
      </c>
      <c r="H21896" s="5">
        <v>72.817500</v>
      </c>
    </row>
    <row r="21897" spans="1:9">
      <c r="A21897" s="22" t="str">
        <f>HYPERLINK("https://app.vivvix.com/360/KMI/IntelliDrive/ApplUI/Pages/CreativePages/CustomReportCreativeDetail.aspx?App=23&amp;ReportView=4&amp;Qid=1711279&amp;Row=21889&amp;Col=1","No Title Assigned - #15280363543")</f>
        <v/>
      </c>
      <c r="B21897" s="0" t="s">
        <v>29079</v>
      </c>
      <c r="C21897" s="0" t="s">
        <v>29080</v>
      </c>
      <c r="D21897" s="0" t="s">
        <v>29080</v>
      </c>
      <c r="E21897" s="0" t="inlineStr">
        <is>
          <t xml:space="preserve">Mazda</t>
        </is>
      </c>
      <c r="F21897" s="0" t="s">
        <v>21</v>
      </c>
      <c r="G21897" s="0" t="s">
        <v>22</v>
      </c>
      <c r="H21897" s="5">
        <v>480.120300</v>
      </c>
    </row>
    <row r="21898" spans="1:9">
      <c r="A21898" s="22" t="str">
        <f>HYPERLINK("https://app.vivvix.com/360/KMI/IntelliDrive/ApplUI/Pages/CreativePages/CustomReportCreativeDetail.aspx?App=23&amp;ReportView=4&amp;Qid=1711279&amp;Row=21890&amp;Col=1","No Title Assigned - #15280363965")</f>
        <v/>
      </c>
      <c r="B21898" s="0" t="s">
        <v>29081</v>
      </c>
      <c r="C21898" s="0" t="s">
        <v>29082</v>
      </c>
      <c r="D21898" s="0" t="s">
        <v>10311</v>
      </c>
      <c r="E21898" s="0" t="inlineStr">
        <is>
          <t xml:space="preserve">Mazda</t>
        </is>
      </c>
      <c r="F21898" s="0" t="s">
        <v>13</v>
      </c>
      <c r="G21898" s="0" t="s">
        <v>49</v>
      </c>
      <c r="H21898" s="5">
        <v>249.189200</v>
      </c>
    </row>
    <row r="21899" spans="1:9">
      <c r="A21899" s="22" t="str">
        <f>HYPERLINK("https://app.vivvix.com/360/KMI/IntelliDrive/ApplUI/Pages/CreativePages/CustomReportCreativeDetail.aspx?App=23&amp;ReportView=4&amp;Qid=1711279&amp;Row=21891&amp;Col=1","No Title Assigned - #15280364037")</f>
        <v/>
      </c>
      <c r="B21899" s="0" t="s">
        <v>29083</v>
      </c>
      <c r="C21899" s="0" t="s">
        <v>29084</v>
      </c>
      <c r="D21899" s="0" t="s">
        <v>23080</v>
      </c>
      <c r="E21899" s="0" t="inlineStr">
        <is>
          <t xml:space="preserve">Mazda</t>
        </is>
      </c>
      <c r="F21899" s="0" t="s">
        <v>13</v>
      </c>
      <c r="G21899" s="0" t="s">
        <v>49</v>
      </c>
      <c r="H21899" s="5">
        <v>573.362600</v>
      </c>
    </row>
    <row r="21900" spans="1:9">
      <c r="A21900" s="22" t="str">
        <f>HYPERLINK("https://app.vivvix.com/360/KMI/IntelliDrive/ApplUI/Pages/CreativePages/CustomReportCreativeDetail.aspx?App=23&amp;ReportView=4&amp;Qid=1711279&amp;Row=21892&amp;Col=1","No Title Assigned - #15280365692")</f>
        <v/>
      </c>
      <c r="B21900" s="0" t="s">
        <v>29085</v>
      </c>
      <c r="C21900" s="0" t="s">
        <v>29086</v>
      </c>
      <c r="D21900" s="0" t="s">
        <v>4774</v>
      </c>
      <c r="E21900" s="0" t="inlineStr">
        <is>
          <t xml:space="preserve">Mazda</t>
        </is>
      </c>
      <c r="F21900" s="0" t="s">
        <v>13</v>
      </c>
      <c r="G21900" s="0" t="s">
        <v>49</v>
      </c>
      <c r="H21900" s="5">
        <v>209.258300</v>
      </c>
    </row>
    <row r="21901" spans="1:9">
      <c r="A21901" s="22" t="str">
        <f>HYPERLINK("https://app.vivvix.com/360/KMI/IntelliDrive/ApplUI/Pages/CreativePages/CustomReportCreativeDetail.aspx?App=23&amp;ReportView=4&amp;Qid=1711279&amp;Row=21893&amp;Col=1","No Title Assigned - #15280366298")</f>
        <v/>
      </c>
      <c r="B21901" s="0" t="s">
        <v>29087</v>
      </c>
      <c r="E21901" s="0" t="inlineStr">
        <is>
          <t xml:space="preserve">Mazda</t>
        </is>
      </c>
      <c r="F21901" s="0" t="inlineStr">
        <is>
          <t xml:space="preserve">Mazda</t>
        </is>
      </c>
      <c r="G21901" s="0" t="s">
        <v>171</v>
      </c>
      <c r="H21901" s="5">
        <v>1131.189500</v>
      </c>
    </row>
    <row r="21902" spans="1:9">
      <c r="A21902" s="22" t="str">
        <f>HYPERLINK("https://app.vivvix.com/360/KMI/IntelliDrive/ApplUI/Pages/CreativePages/CustomReportCreativeDetail.aspx?App=23&amp;ReportView=4&amp;Qid=1711279&amp;Row=21894&amp;Col=1","No Title Assigned - #15280368339")</f>
        <v/>
      </c>
      <c r="B21902" s="0" t="s">
        <v>29088</v>
      </c>
      <c r="E21902" s="0" t="inlineStr">
        <is>
          <t xml:space="preserve">Mazda</t>
        </is>
      </c>
      <c r="F21902" s="0" t="inlineStr">
        <is>
          <t xml:space="preserve">Mazda</t>
        </is>
      </c>
      <c r="G21902" s="0" t="s">
        <v>171</v>
      </c>
      <c r="H21902" s="5">
        <v>82.633000</v>
      </c>
    </row>
    <row r="21903" spans="1:9">
      <c r="A21903" s="22" t="str">
        <f>HYPERLINK("https://app.vivvix.com/360/KMI/IntelliDrive/ApplUI/Pages/CreativePages/CustomReportCreativeDetail.aspx?App=23&amp;ReportView=4&amp;Qid=1711279&amp;Row=21895&amp;Col=1","No Title Assigned - #15280369345")</f>
        <v/>
      </c>
      <c r="B21903" s="0" t="s">
        <v>29089</v>
      </c>
      <c r="E21903" s="0" t="inlineStr">
        <is>
          <t xml:space="preserve">Mazda</t>
        </is>
      </c>
      <c r="F21903" s="0" t="inlineStr">
        <is>
          <t xml:space="preserve">Mazda</t>
        </is>
      </c>
      <c r="G21903" s="0" t="s">
        <v>171</v>
      </c>
      <c r="H21903" s="5">
        <v>142.712400</v>
      </c>
    </row>
    <row r="21904" spans="1:9">
      <c r="A21904" s="22" t="str">
        <f>HYPERLINK("https://app.vivvix.com/360/KMI/IntelliDrive/ApplUI/Pages/CreativePages/CustomReportCreativeDetail.aspx?App=23&amp;ReportView=4&amp;Qid=1711279&amp;Row=21896&amp;Col=1","No Title Assigned - #15280369551")</f>
        <v/>
      </c>
      <c r="B21904" s="0" t="s">
        <v>29090</v>
      </c>
      <c r="E21904" s="0" t="inlineStr">
        <is>
          <t xml:space="preserve">Mazda</t>
        </is>
      </c>
      <c r="F21904" s="0" t="inlineStr">
        <is>
          <t xml:space="preserve">Mazda</t>
        </is>
      </c>
      <c r="G21904" s="0" t="s">
        <v>171</v>
      </c>
      <c r="H21904" s="5">
        <v>8.136000</v>
      </c>
    </row>
    <row r="21905" spans="1:9">
      <c r="A21905" s="22" t="str">
        <f>HYPERLINK("https://app.vivvix.com/360/KMI/IntelliDrive/ApplUI/Pages/CreativePages/CustomReportCreativeDetail.aspx?App=23&amp;ReportView=4&amp;Qid=1711279&amp;Row=21897&amp;Col=1","No Title Assigned - #15280369762")</f>
        <v/>
      </c>
      <c r="B21905" s="0" t="s">
        <v>29091</v>
      </c>
      <c r="E21905" s="0" t="inlineStr">
        <is>
          <t xml:space="preserve">Mazda</t>
        </is>
      </c>
      <c r="F21905" s="0" t="inlineStr">
        <is>
          <t xml:space="preserve">Mazda</t>
        </is>
      </c>
      <c r="G21905" s="0" t="s">
        <v>171</v>
      </c>
      <c r="H21905" s="5">
        <v>459.878500</v>
      </c>
    </row>
    <row r="21906" spans="1:9">
      <c r="A21906" s="22" t="str">
        <f>HYPERLINK("https://app.vivvix.com/360/KMI/IntelliDrive/ApplUI/Pages/CreativePages/CustomReportCreativeDetail.aspx?App=23&amp;ReportView=4&amp;Qid=1711279&amp;Row=21898&amp;Col=1","No Title Assigned - #15280370048")</f>
        <v/>
      </c>
      <c r="B21906" s="0" t="s">
        <v>29092</v>
      </c>
      <c r="E21906" s="0" t="inlineStr">
        <is>
          <t xml:space="preserve">Mazda</t>
        </is>
      </c>
      <c r="F21906" s="0" t="inlineStr">
        <is>
          <t xml:space="preserve">Mazda</t>
        </is>
      </c>
      <c r="G21906" s="0" t="s">
        <v>171</v>
      </c>
      <c r="H21906" s="5">
        <v>5.020100</v>
      </c>
    </row>
    <row r="21907" spans="1:9">
      <c r="A21907" s="22" t="str">
        <f>HYPERLINK("https://app.vivvix.com/360/KMI/IntelliDrive/ApplUI/Pages/CreativePages/CustomReportCreativeDetail.aspx?App=23&amp;ReportView=4&amp;Qid=1711279&amp;Row=21899&amp;Col=1","No Title Assigned - #15280370148")</f>
        <v/>
      </c>
      <c r="B21907" s="0" t="s">
        <v>29093</v>
      </c>
      <c r="E21907" s="0" t="inlineStr">
        <is>
          <t xml:space="preserve">Mazda</t>
        </is>
      </c>
      <c r="F21907" s="0" t="inlineStr">
        <is>
          <t xml:space="preserve">Mazda</t>
        </is>
      </c>
      <c r="G21907" s="0" t="s">
        <v>171</v>
      </c>
      <c r="H21907" s="5">
        <v>33771.160200</v>
      </c>
    </row>
    <row r="21908" spans="1:9">
      <c r="A21908" s="22" t="str">
        <f>HYPERLINK("https://app.vivvix.com/360/KMI/IntelliDrive/ApplUI/Pages/CreativePages/CustomReportCreativeDetail.aspx?App=23&amp;ReportView=4&amp;Qid=1711279&amp;Row=21900&amp;Col=1","No Title Assigned - #15280370286")</f>
        <v/>
      </c>
      <c r="B21908" s="0" t="s">
        <v>29094</v>
      </c>
      <c r="E21908" s="0" t="inlineStr">
        <is>
          <t xml:space="preserve">Mazda</t>
        </is>
      </c>
      <c r="F21908" s="0" t="inlineStr">
        <is>
          <t xml:space="preserve">Mazda</t>
        </is>
      </c>
      <c r="G21908" s="0" t="s">
        <v>171</v>
      </c>
      <c r="H21908" s="5">
        <v>8.136000</v>
      </c>
    </row>
    <row r="21909" spans="1:9">
      <c r="A21909" s="22" t="str">
        <f>HYPERLINK("https://app.vivvix.com/360/KMI/IntelliDrive/ApplUI/Pages/CreativePages/CustomReportCreativeDetail.aspx?App=23&amp;ReportView=4&amp;Qid=1711279&amp;Row=21901&amp;Col=1","No Title Assigned - #15280370312")</f>
        <v/>
      </c>
      <c r="B21909" s="0" t="s">
        <v>29095</v>
      </c>
      <c r="E21909" s="0" t="inlineStr">
        <is>
          <t xml:space="preserve">Mazda</t>
        </is>
      </c>
      <c r="F21909" s="0" t="inlineStr">
        <is>
          <t xml:space="preserve">Mazda</t>
        </is>
      </c>
      <c r="G21909" s="0" t="s">
        <v>171</v>
      </c>
      <c r="H21909" s="5">
        <v>61.313100</v>
      </c>
    </row>
    <row r="21910" spans="1:9">
      <c r="A21910" s="22" t="str">
        <f>HYPERLINK("https://app.vivvix.com/360/KMI/IntelliDrive/ApplUI/Pages/CreativePages/CustomReportCreativeDetail.aspx?App=23&amp;ReportView=4&amp;Qid=1711279&amp;Row=21902&amp;Col=1","No Title Assigned - #15280370414")</f>
        <v/>
      </c>
      <c r="B21910" s="0" t="s">
        <v>29096</v>
      </c>
      <c r="E21910" s="0" t="inlineStr">
        <is>
          <t xml:space="preserve">Mazda</t>
        </is>
      </c>
      <c r="F21910" s="0" t="inlineStr">
        <is>
          <t xml:space="preserve">Mazda</t>
        </is>
      </c>
      <c r="G21910" s="0" t="s">
        <v>171</v>
      </c>
      <c r="H21910" s="5">
        <v>64.625600</v>
      </c>
    </row>
    <row r="21911" spans="1:9">
      <c r="A21911" s="22" t="str">
        <f>HYPERLINK("https://app.vivvix.com/360/KMI/IntelliDrive/ApplUI/Pages/CreativePages/CustomReportCreativeDetail.aspx?App=23&amp;ReportView=4&amp;Qid=1711279&amp;Row=21903&amp;Col=1","No Title Assigned - #15280370500")</f>
        <v/>
      </c>
      <c r="B21911" s="0" t="s">
        <v>29097</v>
      </c>
      <c r="E21911" s="0" t="inlineStr">
        <is>
          <t xml:space="preserve">Mazda</t>
        </is>
      </c>
      <c r="F21911" s="0" t="inlineStr">
        <is>
          <t xml:space="preserve">Mazda</t>
        </is>
      </c>
      <c r="G21911" s="0" t="s">
        <v>171</v>
      </c>
      <c r="H21911" s="5">
        <v>23.510500</v>
      </c>
    </row>
    <row r="21912" spans="1:9">
      <c r="A21912" s="22" t="str">
        <f>HYPERLINK("https://app.vivvix.com/360/KMI/IntelliDrive/ApplUI/Pages/CreativePages/CustomReportCreativeDetail.aspx?App=23&amp;ReportView=4&amp;Qid=1711279&amp;Row=21904&amp;Col=1","No Title Assigned - #15280370682")</f>
        <v/>
      </c>
      <c r="B21912" s="0" t="s">
        <v>29098</v>
      </c>
      <c r="E21912" s="0" t="inlineStr">
        <is>
          <t xml:space="preserve">Mazda</t>
        </is>
      </c>
      <c r="F21912" s="0" t="inlineStr">
        <is>
          <t xml:space="preserve">Mazda</t>
        </is>
      </c>
      <c r="G21912" s="0" t="s">
        <v>171</v>
      </c>
      <c r="H21912" s="5">
        <v>618.427100</v>
      </c>
    </row>
    <row r="21913" spans="1:9">
      <c r="A21913" s="22" t="str">
        <f>HYPERLINK("https://app.vivvix.com/360/KMI/IntelliDrive/ApplUI/Pages/CreativePages/CustomReportCreativeDetail.aspx?App=23&amp;ReportView=4&amp;Qid=1711279&amp;Row=21905&amp;Col=1","No Title Assigned - #15280370762")</f>
        <v/>
      </c>
      <c r="B21913" s="0" t="s">
        <v>29099</v>
      </c>
      <c r="E21913" s="0" t="inlineStr">
        <is>
          <t xml:space="preserve">Mazda</t>
        </is>
      </c>
      <c r="F21913" s="0" t="inlineStr">
        <is>
          <t xml:space="preserve">Mazda</t>
        </is>
      </c>
      <c r="G21913" s="0" t="s">
        <v>171</v>
      </c>
      <c r="H21913" s="5">
        <v>8.136000</v>
      </c>
    </row>
    <row r="21914" spans="1:9">
      <c r="A21914" s="22" t="str">
        <f>HYPERLINK("https://app.vivvix.com/360/KMI/IntelliDrive/ApplUI/Pages/CreativePages/CustomReportCreativeDetail.aspx?App=23&amp;ReportView=4&amp;Qid=1711279&amp;Row=21906&amp;Col=1","No Title Assigned - #15280371435")</f>
        <v/>
      </c>
      <c r="B21914" s="0" t="s">
        <v>29100</v>
      </c>
      <c r="E21914" s="0" t="inlineStr">
        <is>
          <t xml:space="preserve">Mazda</t>
        </is>
      </c>
      <c r="F21914" s="0" t="inlineStr">
        <is>
          <t xml:space="preserve">Mazda</t>
        </is>
      </c>
      <c r="G21914" s="0" t="s">
        <v>171</v>
      </c>
      <c r="H21914" s="5">
        <v>5.672900</v>
      </c>
    </row>
    <row r="21915" spans="1:9">
      <c r="A21915" s="22" t="str">
        <f>HYPERLINK("https://app.vivvix.com/360/KMI/IntelliDrive/ApplUI/Pages/CreativePages/CustomReportCreativeDetail.aspx?App=23&amp;ReportView=4&amp;Qid=1711279&amp;Row=21907&amp;Col=1","No Title Assigned - #15280372435")</f>
        <v/>
      </c>
      <c r="B21915" s="0" t="s">
        <v>29101</v>
      </c>
      <c r="E21915" s="0" t="inlineStr">
        <is>
          <t xml:space="preserve">Mazda</t>
        </is>
      </c>
      <c r="F21915" s="0" t="inlineStr">
        <is>
          <t xml:space="preserve">Mazda</t>
        </is>
      </c>
      <c r="G21915" s="0" t="s">
        <v>171</v>
      </c>
      <c r="H21915" s="5">
        <v>1102.709800</v>
      </c>
    </row>
    <row r="21916" spans="1:9">
      <c r="A21916" s="22" t="str">
        <f>HYPERLINK("https://app.vivvix.com/360/KMI/IntelliDrive/ApplUI/Pages/CreativePages/CustomReportCreativeDetail.aspx?App=23&amp;ReportView=4&amp;Qid=1711279&amp;Row=21908&amp;Col=1","No Title Assigned - #15280372837")</f>
        <v/>
      </c>
      <c r="B21916" s="0" t="s">
        <v>29102</v>
      </c>
      <c r="E21916" s="0" t="inlineStr">
        <is>
          <t xml:space="preserve">Mazda</t>
        </is>
      </c>
      <c r="F21916" s="0" t="inlineStr">
        <is>
          <t xml:space="preserve">Mazda</t>
        </is>
      </c>
      <c r="G21916" s="0" t="s">
        <v>171</v>
      </c>
      <c r="H21916" s="5">
        <v>37.097900</v>
      </c>
    </row>
    <row r="21917" spans="1:9">
      <c r="A21917" s="22" t="str">
        <f>HYPERLINK("https://app.vivvix.com/360/KMI/IntelliDrive/ApplUI/Pages/CreativePages/CustomReportCreativeDetail.aspx?App=23&amp;ReportView=4&amp;Qid=1711279&amp;Row=21909&amp;Col=1","No Title Assigned - #15280372883")</f>
        <v/>
      </c>
      <c r="B21917" s="0" t="s">
        <v>29103</v>
      </c>
      <c r="E21917" s="0" t="inlineStr">
        <is>
          <t xml:space="preserve">Mazda</t>
        </is>
      </c>
      <c r="F21917" s="0" t="inlineStr">
        <is>
          <t xml:space="preserve">Mazda</t>
        </is>
      </c>
      <c r="G21917" s="0" t="s">
        <v>171</v>
      </c>
      <c r="H21917" s="5">
        <v>5.672900</v>
      </c>
    </row>
    <row r="21918" spans="1:9">
      <c r="A21918" s="22" t="str">
        <f>HYPERLINK("https://app.vivvix.com/360/KMI/IntelliDrive/ApplUI/Pages/CreativePages/CustomReportCreativeDetail.aspx?App=23&amp;ReportView=4&amp;Qid=1711279&amp;Row=21910&amp;Col=1","No Title Assigned - #15280372946")</f>
        <v/>
      </c>
      <c r="B21918" s="0" t="s">
        <v>29104</v>
      </c>
      <c r="E21918" s="0" t="inlineStr">
        <is>
          <t xml:space="preserve">Mazda</t>
        </is>
      </c>
      <c r="F21918" s="0" t="inlineStr">
        <is>
          <t xml:space="preserve">Mazda</t>
        </is>
      </c>
      <c r="G21918" s="0" t="s">
        <v>171</v>
      </c>
      <c r="H21918" s="5">
        <v>23.510500</v>
      </c>
    </row>
    <row r="21919" spans="1:9">
      <c r="A21919" s="22" t="str">
        <f>HYPERLINK("https://app.vivvix.com/360/KMI/IntelliDrive/ApplUI/Pages/CreativePages/CustomReportCreativeDetail.aspx?App=23&amp;ReportView=4&amp;Qid=1711279&amp;Row=21911&amp;Col=1","No Title Assigned - #15280373666")</f>
        <v/>
      </c>
      <c r="B21919" s="0" t="s">
        <v>29105</v>
      </c>
      <c r="C21919" s="0" t="s">
        <v>29106</v>
      </c>
      <c r="D21919" s="0" t="s">
        <v>29106</v>
      </c>
      <c r="E21919" s="0" t="inlineStr">
        <is>
          <t xml:space="preserve">Mazda</t>
        </is>
      </c>
      <c r="F21919" s="0" t="inlineStr">
        <is>
          <t xml:space="preserve">Mazda</t>
        </is>
      </c>
      <c r="G21919" s="0" t="s">
        <v>171</v>
      </c>
      <c r="H21919" s="5">
        <v>13.259000</v>
      </c>
    </row>
    <row r="21920" spans="1:9">
      <c r="A21920" s="22" t="str">
        <f>HYPERLINK("https://app.vivvix.com/360/KMI/IntelliDrive/ApplUI/Pages/CreativePages/CustomReportCreativeDetail.aspx?App=23&amp;ReportView=4&amp;Qid=1711279&amp;Row=21912&amp;Col=1","No Title Assigned - #15280374127")</f>
        <v/>
      </c>
      <c r="B21920" s="0" t="s">
        <v>29107</v>
      </c>
      <c r="E21920" s="0" t="inlineStr">
        <is>
          <t xml:space="preserve">Mazda</t>
        </is>
      </c>
      <c r="F21920" s="0" t="inlineStr">
        <is>
          <t xml:space="preserve">Mazda</t>
        </is>
      </c>
      <c r="G21920" s="0" t="s">
        <v>171</v>
      </c>
      <c r="H21920" s="5">
        <v>63.450900</v>
      </c>
    </row>
    <row r="21921" spans="1:9">
      <c r="A21921" s="22" t="str">
        <f>HYPERLINK("https://app.vivvix.com/360/KMI/IntelliDrive/ApplUI/Pages/CreativePages/CustomReportCreativeDetail.aspx?App=23&amp;ReportView=4&amp;Qid=1711279&amp;Row=21913&amp;Col=1","No Title Assigned - #15280374304")</f>
        <v/>
      </c>
      <c r="B21921" s="0" t="s">
        <v>29108</v>
      </c>
      <c r="E21921" s="0" t="inlineStr">
        <is>
          <t xml:space="preserve">Mazda</t>
        </is>
      </c>
      <c r="F21921" s="0" t="inlineStr">
        <is>
          <t xml:space="preserve">Mazda</t>
        </is>
      </c>
      <c r="G21921" s="0" t="s">
        <v>171</v>
      </c>
      <c r="H21921" s="5">
        <v>21.937100</v>
      </c>
    </row>
    <row r="21922" spans="1:9">
      <c r="A21922" s="22" t="str">
        <f>HYPERLINK("https://app.vivvix.com/360/KMI/IntelliDrive/ApplUI/Pages/CreativePages/CustomReportCreativeDetail.aspx?App=23&amp;ReportView=4&amp;Qid=1711279&amp;Row=21914&amp;Col=1","No Title Assigned - #15280374538")</f>
        <v/>
      </c>
      <c r="B21922" s="0" t="s">
        <v>29109</v>
      </c>
      <c r="E21922" s="0" t="inlineStr">
        <is>
          <t xml:space="preserve">Mazda</t>
        </is>
      </c>
      <c r="F21922" s="0" t="inlineStr">
        <is>
          <t xml:space="preserve">Mazda</t>
        </is>
      </c>
      <c r="G21922" s="0" t="s">
        <v>171</v>
      </c>
      <c r="H21922" s="5">
        <v>2.297700</v>
      </c>
    </row>
    <row r="21923" spans="1:9">
      <c r="A21923" s="22" t="str">
        <f>HYPERLINK("https://app.vivvix.com/360/KMI/IntelliDrive/ApplUI/Pages/CreativePages/CustomReportCreativeDetail.aspx?App=23&amp;ReportView=4&amp;Qid=1711279&amp;Row=21915&amp;Col=1","No Title Assigned - #15280375044")</f>
        <v/>
      </c>
      <c r="B21923" s="0" t="s">
        <v>29110</v>
      </c>
      <c r="C21923" s="0" t="s">
        <v>29111</v>
      </c>
      <c r="D21923" s="0" t="s">
        <v>10354</v>
      </c>
      <c r="E21923" s="0" t="inlineStr">
        <is>
          <t xml:space="preserve">Mazda</t>
        </is>
      </c>
      <c r="F21923" s="0" t="s">
        <v>13</v>
      </c>
      <c r="G21923" s="0" t="s">
        <v>49</v>
      </c>
      <c r="H21923" s="5">
        <v>75.820200</v>
      </c>
    </row>
    <row r="21924" spans="1:9">
      <c r="A21924" s="22" t="str">
        <f>HYPERLINK("https://app.vivvix.com/360/KMI/IntelliDrive/ApplUI/Pages/CreativePages/CustomReportCreativeDetail.aspx?App=23&amp;ReportView=4&amp;Qid=1711279&amp;Row=21916&amp;Col=1","No Title Assigned - #15280375637")</f>
        <v/>
      </c>
      <c r="B21924" s="0" t="s">
        <v>29112</v>
      </c>
      <c r="E21924" s="0" t="inlineStr">
        <is>
          <t xml:space="preserve">Mazda</t>
        </is>
      </c>
      <c r="F21924" s="0" t="inlineStr">
        <is>
          <t xml:space="preserve">Mazda</t>
        </is>
      </c>
      <c r="G21924" s="0" t="s">
        <v>171</v>
      </c>
      <c r="H21924" s="5">
        <v>71.173000</v>
      </c>
    </row>
    <row r="21925" spans="1:9">
      <c r="A21925" s="22" t="str">
        <f>HYPERLINK("https://app.vivvix.com/360/KMI/IntelliDrive/ApplUI/Pages/CreativePages/CustomReportCreativeDetail.aspx?App=23&amp;ReportView=4&amp;Qid=1711279&amp;Row=21917&amp;Col=1","No Title Assigned - #15280376242")</f>
        <v/>
      </c>
      <c r="B21925" s="0" t="s">
        <v>29113</v>
      </c>
      <c r="E21925" s="0" t="inlineStr">
        <is>
          <t xml:space="preserve">Mazda</t>
        </is>
      </c>
      <c r="F21925" s="0" t="inlineStr">
        <is>
          <t xml:space="preserve">Mazda</t>
        </is>
      </c>
      <c r="G21925" s="0" t="s">
        <v>171</v>
      </c>
      <c r="H21925" s="5">
        <v>689.845900</v>
      </c>
    </row>
    <row r="21926" spans="1:9">
      <c r="A21926" s="22" t="str">
        <f>HYPERLINK("https://app.vivvix.com/360/KMI/IntelliDrive/ApplUI/Pages/CreativePages/CustomReportCreativeDetail.aspx?App=23&amp;ReportView=4&amp;Qid=1711279&amp;Row=21918&amp;Col=1","No Title Assigned - #15280376377")</f>
        <v/>
      </c>
      <c r="B21926" s="0" t="s">
        <v>29114</v>
      </c>
      <c r="C21926" s="0" t="s">
        <v>29115</v>
      </c>
      <c r="D21926" s="0" t="s">
        <v>24679</v>
      </c>
      <c r="E21926" s="0" t="inlineStr">
        <is>
          <t xml:space="preserve">Mazda</t>
        </is>
      </c>
      <c r="F21926" s="0" t="s">
        <v>13</v>
      </c>
      <c r="G21926" s="0" t="s">
        <v>49</v>
      </c>
      <c r="H21926" s="5">
        <v>1118.587800</v>
      </c>
    </row>
    <row r="21927" spans="1:9">
      <c r="A21927" s="22" t="str">
        <f>HYPERLINK("https://app.vivvix.com/360/KMI/IntelliDrive/ApplUI/Pages/CreativePages/CustomReportCreativeDetail.aspx?App=23&amp;ReportView=4&amp;Qid=1711279&amp;Row=21919&amp;Col=1","No Title Assigned - #15280377004")</f>
        <v/>
      </c>
      <c r="B21927" s="0" t="s">
        <v>29116</v>
      </c>
      <c r="E21927" s="0" t="inlineStr">
        <is>
          <t xml:space="preserve">Mazda</t>
        </is>
      </c>
      <c r="F21927" s="0" t="inlineStr">
        <is>
          <t xml:space="preserve">Mazda</t>
        </is>
      </c>
      <c r="G21927" s="0" t="s">
        <v>171</v>
      </c>
      <c r="H21927" s="5">
        <v>33.119500</v>
      </c>
    </row>
    <row r="21928" spans="1:9">
      <c r="A21928" s="22" t="str">
        <f>HYPERLINK("https://app.vivvix.com/360/KMI/IntelliDrive/ApplUI/Pages/CreativePages/CustomReportCreativeDetail.aspx?App=23&amp;ReportView=4&amp;Qid=1711279&amp;Row=21920&amp;Col=1","No Title Assigned - #15280377664")</f>
        <v/>
      </c>
      <c r="B21928" s="0" t="s">
        <v>29117</v>
      </c>
      <c r="E21928" s="0" t="inlineStr">
        <is>
          <t xml:space="preserve">Mazda</t>
        </is>
      </c>
      <c r="F21928" s="0" t="inlineStr">
        <is>
          <t xml:space="preserve">Mazda</t>
        </is>
      </c>
      <c r="G21928" s="0" t="s">
        <v>171</v>
      </c>
      <c r="H21928" s="5">
        <v>245.959800</v>
      </c>
    </row>
    <row r="21929" spans="1:9">
      <c r="A21929" s="22" t="str">
        <f>HYPERLINK("https://app.vivvix.com/360/KMI/IntelliDrive/ApplUI/Pages/CreativePages/CustomReportCreativeDetail.aspx?App=23&amp;ReportView=4&amp;Qid=1711279&amp;Row=21921&amp;Col=1","No Title Assigned - #15280382047")</f>
        <v/>
      </c>
      <c r="B21929" s="0" t="s">
        <v>29118</v>
      </c>
      <c r="C21929" s="0" t="s">
        <v>29119</v>
      </c>
      <c r="D21929" s="0" t="s">
        <v>29119</v>
      </c>
      <c r="E21929" s="0" t="inlineStr">
        <is>
          <t xml:space="preserve">Mazda</t>
        </is>
      </c>
      <c r="F21929" s="0" t="inlineStr">
        <is>
          <t xml:space="preserve">Mazda</t>
        </is>
      </c>
      <c r="G21929" s="0" t="s">
        <v>210</v>
      </c>
      <c r="H21929" s="5">
        <v>6104.311000</v>
      </c>
    </row>
    <row r="21930" spans="1:9">
      <c r="A21930" s="22" t="str">
        <f>HYPERLINK("https://app.vivvix.com/360/KMI/IntelliDrive/ApplUI/Pages/CreativePages/CustomReportCreativeDetail.aspx?App=23&amp;ReportView=4&amp;Qid=1711279&amp;Row=21922&amp;Col=1","No Title Assigned - #15280382486")</f>
        <v/>
      </c>
      <c r="B21930" s="0" t="s">
        <v>29120</v>
      </c>
      <c r="E21930" s="0" t="inlineStr">
        <is>
          <t xml:space="preserve">Mazda</t>
        </is>
      </c>
      <c r="F21930" s="0" t="inlineStr">
        <is>
          <t xml:space="preserve">Mazda</t>
        </is>
      </c>
      <c r="G21930" s="0" t="s">
        <v>171</v>
      </c>
      <c r="H21930" s="5">
        <v>17.799600</v>
      </c>
    </row>
    <row r="21931" spans="1:9">
      <c r="A21931" s="22" t="str">
        <f>HYPERLINK("https://app.vivvix.com/360/KMI/IntelliDrive/ApplUI/Pages/CreativePages/CustomReportCreativeDetail.aspx?App=23&amp;ReportView=4&amp;Qid=1711279&amp;Row=21923&amp;Col=1","No Title Assigned - #15280382576")</f>
        <v/>
      </c>
      <c r="B21931" s="0" t="s">
        <v>29121</v>
      </c>
      <c r="E21931" s="0" t="inlineStr">
        <is>
          <t xml:space="preserve">Mazda</t>
        </is>
      </c>
      <c r="F21931" s="0" t="inlineStr">
        <is>
          <t xml:space="preserve">Mazda</t>
        </is>
      </c>
      <c r="G21931" s="0" t="s">
        <v>171</v>
      </c>
      <c r="H21931" s="5">
        <v>17.799600</v>
      </c>
    </row>
    <row r="21932" spans="1:9">
      <c r="A21932" s="22" t="str">
        <f>HYPERLINK("https://app.vivvix.com/360/KMI/IntelliDrive/ApplUI/Pages/CreativePages/CustomReportCreativeDetail.aspx?App=23&amp;ReportView=4&amp;Qid=1711279&amp;Row=21924&amp;Col=1","No Title Assigned - #15280394128")</f>
        <v/>
      </c>
      <c r="B21932" s="0" t="s">
        <v>29122</v>
      </c>
      <c r="C21932" s="0" t="s">
        <v>29123</v>
      </c>
      <c r="D21932" s="0" t="s">
        <v>22540</v>
      </c>
      <c r="E21932" s="0" t="inlineStr">
        <is>
          <t xml:space="preserve">Mazda</t>
        </is>
      </c>
      <c r="F21932" s="0" t="s">
        <v>13</v>
      </c>
      <c r="G21932" s="0" t="s">
        <v>49</v>
      </c>
      <c r="H21932" s="5">
        <v>11.511600</v>
      </c>
    </row>
    <row r="21933" spans="1:9">
      <c r="A21933" s="22" t="str">
        <f>HYPERLINK("https://app.vivvix.com/360/KMI/IntelliDrive/ApplUI/Pages/CreativePages/CustomReportCreativeDetail.aspx?App=23&amp;ReportView=4&amp;Qid=1711279&amp;Row=21925&amp;Col=1","No Title Assigned - #15280394876")</f>
        <v/>
      </c>
      <c r="B21933" s="0" t="s">
        <v>29124</v>
      </c>
      <c r="C21933" s="0" t="s">
        <v>29125</v>
      </c>
      <c r="D21933" s="0" t="s">
        <v>10860</v>
      </c>
      <c r="E21933" s="0" t="inlineStr">
        <is>
          <t xml:space="preserve">Mazda</t>
        </is>
      </c>
      <c r="F21933" s="0" t="s">
        <v>13</v>
      </c>
      <c r="G21933" s="0" t="s">
        <v>49</v>
      </c>
      <c r="H21933" s="5">
        <v>279.505400</v>
      </c>
    </row>
    <row r="21934" spans="1:9">
      <c r="A21934" s="22" t="str">
        <f>HYPERLINK("https://app.vivvix.com/360/KMI/IntelliDrive/ApplUI/Pages/CreativePages/CustomReportCreativeDetail.aspx?App=23&amp;ReportView=4&amp;Qid=1711279&amp;Row=21926&amp;Col=1","No Title Assigned - #15280395613")</f>
        <v/>
      </c>
      <c r="B21934" s="0" t="s">
        <v>29126</v>
      </c>
      <c r="C21934" s="0" t="s">
        <v>29127</v>
      </c>
      <c r="D21934" s="0" t="s">
        <v>29127</v>
      </c>
      <c r="E21934" s="0" t="inlineStr">
        <is>
          <t xml:space="preserve">Mazda</t>
        </is>
      </c>
      <c r="F21934" s="0" t="s">
        <v>13</v>
      </c>
      <c r="G21934" s="0" t="s">
        <v>49</v>
      </c>
      <c r="H21934" s="5">
        <v>81.683200</v>
      </c>
    </row>
    <row r="21935" spans="1:9">
      <c r="A21935" s="22" t="str">
        <f>HYPERLINK("https://app.vivvix.com/360/KMI/IntelliDrive/ApplUI/Pages/CreativePages/CustomReportCreativeDetail.aspx?App=23&amp;ReportView=4&amp;Qid=1711279&amp;Row=21927&amp;Col=1","No Title Assigned - #15280396988")</f>
        <v/>
      </c>
      <c r="B21935" s="0" t="s">
        <v>29128</v>
      </c>
      <c r="C21935" s="0" t="s">
        <v>29129</v>
      </c>
      <c r="D21935" s="0" t="s">
        <v>29129</v>
      </c>
      <c r="E21935" s="0" t="inlineStr">
        <is>
          <t xml:space="preserve">Mazda</t>
        </is>
      </c>
      <c r="F21935" s="0" t="s">
        <v>13</v>
      </c>
      <c r="G21935" s="0" t="s">
        <v>49</v>
      </c>
      <c r="H21935" s="5">
        <v>10.585800</v>
      </c>
    </row>
    <row r="21936" spans="1:9">
      <c r="A21936" s="22" t="str">
        <f>HYPERLINK("https://app.vivvix.com/360/KMI/IntelliDrive/ApplUI/Pages/CreativePages/CustomReportCreativeDetail.aspx?App=23&amp;ReportView=4&amp;Qid=1711279&amp;Row=21928&amp;Col=1","No Title Assigned - #15280397067")</f>
        <v/>
      </c>
      <c r="B21936" s="0" t="s">
        <v>29130</v>
      </c>
      <c r="C21936" s="0" t="s">
        <v>29131</v>
      </c>
      <c r="D21936" s="0" t="s">
        <v>29131</v>
      </c>
      <c r="E21936" s="0" t="inlineStr">
        <is>
          <t xml:space="preserve">Mazda</t>
        </is>
      </c>
      <c r="F21936" s="0" t="s">
        <v>13</v>
      </c>
      <c r="G21936" s="0" t="s">
        <v>49</v>
      </c>
      <c r="H21936" s="5">
        <v>15.878700</v>
      </c>
    </row>
    <row r="21937" spans="1:9">
      <c r="A21937" s="22" t="str">
        <f>HYPERLINK("https://app.vivvix.com/360/KMI/IntelliDrive/ApplUI/Pages/CreativePages/CustomReportCreativeDetail.aspx?App=23&amp;ReportView=4&amp;Qid=1711279&amp;Row=21929&amp;Col=1","No Title Assigned - #15280397074")</f>
        <v/>
      </c>
      <c r="B21937" s="0" t="s">
        <v>29132</v>
      </c>
      <c r="C21937" s="0" t="s">
        <v>29133</v>
      </c>
      <c r="D21937" s="0" t="s">
        <v>29133</v>
      </c>
      <c r="E21937" s="0" t="inlineStr">
        <is>
          <t xml:space="preserve">Mazda</t>
        </is>
      </c>
      <c r="F21937" s="0" t="s">
        <v>13</v>
      </c>
      <c r="G21937" s="0" t="s">
        <v>49</v>
      </c>
      <c r="H21937" s="5">
        <v>189.821300</v>
      </c>
    </row>
    <row r="21938" spans="1:9">
      <c r="A21938" s="22" t="str">
        <f>HYPERLINK("https://app.vivvix.com/360/KMI/IntelliDrive/ApplUI/Pages/CreativePages/CustomReportCreativeDetail.aspx?App=23&amp;ReportView=4&amp;Qid=1711279&amp;Row=21930&amp;Col=1","No Title Assigned - #15280397965")</f>
        <v/>
      </c>
      <c r="B21938" s="0" t="s">
        <v>29134</v>
      </c>
      <c r="C21938" s="0" t="s">
        <v>29135</v>
      </c>
      <c r="D21938" s="0" t="s">
        <v>15020</v>
      </c>
      <c r="E21938" s="0" t="inlineStr">
        <is>
          <t xml:space="preserve">Mazda</t>
        </is>
      </c>
      <c r="F21938" s="0" t="s">
        <v>13</v>
      </c>
      <c r="G21938" s="0" t="s">
        <v>49</v>
      </c>
      <c r="H21938" s="5">
        <v>85.478500</v>
      </c>
    </row>
    <row r="21939" spans="1:9">
      <c r="A21939" s="22" t="str">
        <f>HYPERLINK("https://app.vivvix.com/360/KMI/IntelliDrive/ApplUI/Pages/CreativePages/CustomReportCreativeDetail.aspx?App=23&amp;ReportView=4&amp;Qid=1711279&amp;Row=21931&amp;Col=1","No Title Assigned - #15280398004")</f>
        <v/>
      </c>
      <c r="B21939" s="0" t="s">
        <v>29136</v>
      </c>
      <c r="C21939" s="0" t="s">
        <v>29137</v>
      </c>
      <c r="D21939" s="0" t="s">
        <v>4774</v>
      </c>
      <c r="E21939" s="0" t="inlineStr">
        <is>
          <t xml:space="preserve">Mazda</t>
        </is>
      </c>
      <c r="F21939" s="0" t="s">
        <v>13</v>
      </c>
      <c r="G21939" s="0" t="s">
        <v>49</v>
      </c>
      <c r="H21939" s="5">
        <v>119.720900</v>
      </c>
    </row>
    <row r="21940" spans="1:9">
      <c r="A21940" s="22" t="str">
        <f>HYPERLINK("https://app.vivvix.com/360/KMI/IntelliDrive/ApplUI/Pages/CreativePages/CustomReportCreativeDetail.aspx?App=23&amp;ReportView=4&amp;Qid=1711279&amp;Row=21932&amp;Col=1","No Title Assigned - #15280398878")</f>
        <v/>
      </c>
      <c r="B21940" s="0" t="s">
        <v>29138</v>
      </c>
      <c r="E21940" s="0" t="inlineStr">
        <is>
          <t xml:space="preserve">Mazda</t>
        </is>
      </c>
      <c r="F21940" s="0" t="inlineStr">
        <is>
          <t xml:space="preserve">Mazda</t>
        </is>
      </c>
      <c r="G21940" s="0" t="s">
        <v>171</v>
      </c>
      <c r="H21940" s="5">
        <v>9.851700</v>
      </c>
    </row>
    <row r="21941" spans="1:9">
      <c r="A21941" s="22" t="str">
        <f>HYPERLINK("https://app.vivvix.com/360/KMI/IntelliDrive/ApplUI/Pages/CreativePages/CustomReportCreativeDetail.aspx?App=23&amp;ReportView=4&amp;Qid=1711279&amp;Row=21933&amp;Col=1","No Title Assigned - #15280398951")</f>
        <v/>
      </c>
      <c r="B21941" s="0" t="s">
        <v>29139</v>
      </c>
      <c r="E21941" s="0" t="inlineStr">
        <is>
          <t xml:space="preserve">Mazda</t>
        </is>
      </c>
      <c r="F21941" s="0" t="inlineStr">
        <is>
          <t xml:space="preserve">Mazda</t>
        </is>
      </c>
      <c r="G21941" s="0" t="s">
        <v>171</v>
      </c>
      <c r="H21941" s="5">
        <v>9.851700</v>
      </c>
    </row>
    <row r="21942" spans="1:9">
      <c r="A21942" s="22" t="str">
        <f>HYPERLINK("https://app.vivvix.com/360/KMI/IntelliDrive/ApplUI/Pages/CreativePages/CustomReportCreativeDetail.aspx?App=23&amp;ReportView=4&amp;Qid=1711279&amp;Row=21934&amp;Col=1","No Title Assigned - #15280400319")</f>
        <v/>
      </c>
      <c r="B21942" s="0" t="s">
        <v>29140</v>
      </c>
      <c r="C21942" s="0" t="s">
        <v>29141</v>
      </c>
      <c r="D21942" s="0" t="s">
        <v>8006</v>
      </c>
      <c r="E21942" s="0" t="inlineStr">
        <is>
          <t xml:space="preserve">Mazda</t>
        </is>
      </c>
      <c r="F21942" s="0" t="s">
        <v>13</v>
      </c>
      <c r="G21942" s="0" t="s">
        <v>49</v>
      </c>
      <c r="H21942" s="5">
        <v>518.177700</v>
      </c>
    </row>
    <row r="21943" spans="1:9">
      <c r="A21943" s="22" t="str">
        <f>HYPERLINK("https://app.vivvix.com/360/KMI/IntelliDrive/ApplUI/Pages/CreativePages/CustomReportCreativeDetail.aspx?App=23&amp;ReportView=4&amp;Qid=1711279&amp;Row=21935&amp;Col=1","No Title Assigned - #15280402616")</f>
        <v/>
      </c>
      <c r="B21943" s="0" t="s">
        <v>29142</v>
      </c>
      <c r="C21943" s="0" t="s">
        <v>29143</v>
      </c>
      <c r="D21943" s="0" t="s">
        <v>11639</v>
      </c>
      <c r="E21943" s="0" t="inlineStr">
        <is>
          <t xml:space="preserve">Mazda</t>
        </is>
      </c>
      <c r="F21943" s="0" t="s">
        <v>13</v>
      </c>
      <c r="G21943" s="0" t="s">
        <v>49</v>
      </c>
      <c r="H21943" s="5">
        <v>468.936600</v>
      </c>
    </row>
    <row r="21944" spans="1:9">
      <c r="A21944" s="22" t="str">
        <f>HYPERLINK("https://app.vivvix.com/360/KMI/IntelliDrive/ApplUI/Pages/CreativePages/CustomReportCreativeDetail.aspx?App=23&amp;ReportView=4&amp;Qid=1711279&amp;Row=21936&amp;Col=1","No Title Assigned - #15280402880")</f>
        <v/>
      </c>
      <c r="B21944" s="0" t="s">
        <v>29144</v>
      </c>
      <c r="C21944" s="0" t="s">
        <v>29145</v>
      </c>
      <c r="D21944" s="0" t="s">
        <v>29145</v>
      </c>
      <c r="E21944" s="0" t="inlineStr">
        <is>
          <t xml:space="preserve">Mazda</t>
        </is>
      </c>
      <c r="F21944" s="0" t="s">
        <v>13</v>
      </c>
      <c r="G21944" s="0" t="s">
        <v>49</v>
      </c>
      <c r="H21944" s="5">
        <v>55.747600</v>
      </c>
    </row>
    <row r="21945" spans="1:9">
      <c r="A21945" s="22" t="str">
        <f>HYPERLINK("https://app.vivvix.com/360/KMI/IntelliDrive/ApplUI/Pages/CreativePages/CustomReportCreativeDetail.aspx?App=23&amp;ReportView=4&amp;Qid=1711279&amp;Row=21937&amp;Col=1","No Title Assigned - #15280403579")</f>
        <v/>
      </c>
      <c r="B21945" s="0" t="s">
        <v>29146</v>
      </c>
      <c r="C21945" s="0" t="s">
        <v>29147</v>
      </c>
      <c r="D21945" s="0" t="s">
        <v>29147</v>
      </c>
      <c r="E21945" s="0" t="inlineStr">
        <is>
          <t xml:space="preserve">Mazda</t>
        </is>
      </c>
      <c r="F21945" s="0" t="s">
        <v>13</v>
      </c>
      <c r="G21945" s="0" t="s">
        <v>49</v>
      </c>
      <c r="H21945" s="5">
        <v>2346.863200</v>
      </c>
    </row>
    <row r="21946" spans="1:9">
      <c r="A21946" s="22" t="str">
        <f>HYPERLINK("https://app.vivvix.com/360/KMI/IntelliDrive/ApplUI/Pages/CreativePages/CustomReportCreativeDetail.aspx?App=23&amp;ReportView=4&amp;Qid=1711279&amp;Row=21938&amp;Col=1","No Title Assigned - #15280403791")</f>
        <v/>
      </c>
      <c r="B21946" s="0" t="s">
        <v>29148</v>
      </c>
      <c r="C21946" s="0" t="s">
        <v>29149</v>
      </c>
      <c r="D21946" s="0" t="s">
        <v>29149</v>
      </c>
      <c r="E21946" s="0" t="inlineStr">
        <is>
          <t xml:space="preserve">Mazda</t>
        </is>
      </c>
      <c r="F21946" s="0" t="s">
        <v>13</v>
      </c>
      <c r="G21946" s="0" t="s">
        <v>49</v>
      </c>
      <c r="H21946" s="5">
        <v>3520.294800</v>
      </c>
    </row>
    <row r="21947" spans="1:9">
      <c r="A21947" s="22" t="str">
        <f>HYPERLINK("https://app.vivvix.com/360/KMI/IntelliDrive/ApplUI/Pages/CreativePages/CustomReportCreativeDetail.aspx?App=23&amp;ReportView=4&amp;Qid=1711279&amp;Row=21939&amp;Col=1","No Title Assigned - #15280405073")</f>
        <v/>
      </c>
      <c r="B21947" s="0" t="s">
        <v>29150</v>
      </c>
      <c r="C21947" s="0" t="s">
        <v>29151</v>
      </c>
      <c r="D21947" s="0" t="s">
        <v>29151</v>
      </c>
      <c r="E21947" s="0" t="inlineStr">
        <is>
          <t xml:space="preserve">Mazda</t>
        </is>
      </c>
      <c r="F21947" s="0" t="s">
        <v>13</v>
      </c>
      <c r="G21947" s="0" t="s">
        <v>49</v>
      </c>
      <c r="H21947" s="5">
        <v>211.308000</v>
      </c>
    </row>
    <row r="21948" spans="1:9">
      <c r="A21948" s="22" t="str">
        <f>HYPERLINK("https://app.vivvix.com/360/KMI/IntelliDrive/ApplUI/Pages/CreativePages/CustomReportCreativeDetail.aspx?App=23&amp;ReportView=4&amp;Qid=1711279&amp;Row=21940&amp;Col=1","No Title Assigned - #15280405090")</f>
        <v/>
      </c>
      <c r="B21948" s="0" t="s">
        <v>29152</v>
      </c>
      <c r="C21948" s="0" t="s">
        <v>29153</v>
      </c>
      <c r="D21948" s="0" t="s">
        <v>9713</v>
      </c>
      <c r="E21948" s="0" t="inlineStr">
        <is>
          <t xml:space="preserve">Mazda</t>
        </is>
      </c>
      <c r="F21948" s="0" t="s">
        <v>13</v>
      </c>
      <c r="G21948" s="0" t="s">
        <v>49</v>
      </c>
      <c r="H21948" s="5">
        <v>41.994200</v>
      </c>
    </row>
    <row r="21949" spans="1:9">
      <c r="A21949" s="22" t="str">
        <f>HYPERLINK("https://app.vivvix.com/360/KMI/IntelliDrive/ApplUI/Pages/CreativePages/CustomReportCreativeDetail.aspx?App=23&amp;ReportView=4&amp;Qid=1711279&amp;Row=21941&amp;Col=1","No Title Assigned - #15280405722")</f>
        <v/>
      </c>
      <c r="B21949" s="0" t="s">
        <v>29154</v>
      </c>
      <c r="E21949" s="0" t="inlineStr">
        <is>
          <t xml:space="preserve">Mazda</t>
        </is>
      </c>
      <c r="F21949" s="0" t="inlineStr">
        <is>
          <t xml:space="preserve">Mazda</t>
        </is>
      </c>
      <c r="G21949" s="0" t="s">
        <v>171</v>
      </c>
      <c r="H21949" s="5">
        <v>355.995400</v>
      </c>
    </row>
    <row r="21950" spans="1:9">
      <c r="A21950" s="22" t="str">
        <f>HYPERLINK("https://app.vivvix.com/360/KMI/IntelliDrive/ApplUI/Pages/CreativePages/CustomReportCreativeDetail.aspx?App=23&amp;ReportView=4&amp;Qid=1711279&amp;Row=21942&amp;Col=1","No Title Assigned - #15280405774")</f>
        <v/>
      </c>
      <c r="B21950" s="0" t="s">
        <v>29155</v>
      </c>
      <c r="C21950" s="0" t="s">
        <v>29156</v>
      </c>
      <c r="D21950" s="0" t="s">
        <v>29156</v>
      </c>
      <c r="E21950" s="0" t="inlineStr">
        <is>
          <t xml:space="preserve">Mazda</t>
        </is>
      </c>
      <c r="F21950" s="0" t="s">
        <v>13</v>
      </c>
      <c r="G21950" s="0" t="s">
        <v>49</v>
      </c>
      <c r="H21950" s="5">
        <v>264.448300</v>
      </c>
    </row>
    <row r="21951" spans="1:9">
      <c r="A21951" s="22" t="str">
        <f>HYPERLINK("https://app.vivvix.com/360/KMI/IntelliDrive/ApplUI/Pages/CreativePages/CustomReportCreativeDetail.aspx?App=23&amp;ReportView=4&amp;Qid=1711279&amp;Row=21943&amp;Col=1","No Title Assigned - #15280406615")</f>
        <v/>
      </c>
      <c r="B21951" s="0" t="s">
        <v>29157</v>
      </c>
      <c r="C21951" s="0" t="s">
        <v>29158</v>
      </c>
      <c r="D21951" s="0" t="s">
        <v>29158</v>
      </c>
      <c r="E21951" s="0" t="inlineStr">
        <is>
          <t xml:space="preserve">Mazda</t>
        </is>
      </c>
      <c r="F21951" s="0" t="inlineStr">
        <is>
          <t xml:space="preserve">Mazda</t>
        </is>
      </c>
      <c r="G21951" s="0" t="s">
        <v>210</v>
      </c>
      <c r="H21951" s="5">
        <v>180.459700</v>
      </c>
    </row>
    <row r="21952" spans="1:9">
      <c r="A21952" s="22" t="str">
        <f>HYPERLINK("https://app.vivvix.com/360/KMI/IntelliDrive/ApplUI/Pages/CreativePages/CustomReportCreativeDetail.aspx?App=23&amp;ReportView=4&amp;Qid=1711279&amp;Row=21944&amp;Col=1","No Title Assigned - #15280407129")</f>
        <v/>
      </c>
      <c r="B21952" s="0" t="s">
        <v>29159</v>
      </c>
      <c r="C21952" s="0" t="s">
        <v>29160</v>
      </c>
      <c r="D21952" s="0" t="s">
        <v>10860</v>
      </c>
      <c r="E21952" s="0" t="inlineStr">
        <is>
          <t xml:space="preserve">Mazda</t>
        </is>
      </c>
      <c r="F21952" s="0" t="s">
        <v>13</v>
      </c>
      <c r="G21952" s="0" t="s">
        <v>49</v>
      </c>
      <c r="H21952" s="5">
        <v>1173.431600</v>
      </c>
    </row>
    <row r="21953" spans="1:9">
      <c r="A21953" s="22" t="str">
        <f>HYPERLINK("https://app.vivvix.com/360/KMI/IntelliDrive/ApplUI/Pages/CreativePages/CustomReportCreativeDetail.aspx?App=23&amp;ReportView=4&amp;Qid=1711279&amp;Row=21945&amp;Col=1","No Title Assigned - #15280408379")</f>
        <v/>
      </c>
      <c r="B21953" s="0" t="s">
        <v>29161</v>
      </c>
      <c r="C21953" s="0" t="s">
        <v>29162</v>
      </c>
      <c r="D21953" s="0" t="s">
        <v>29162</v>
      </c>
      <c r="E21953" s="0" t="inlineStr">
        <is>
          <t xml:space="preserve">Mazda</t>
        </is>
      </c>
      <c r="F21953" s="0" t="s">
        <v>13</v>
      </c>
      <c r="G21953" s="0" t="s">
        <v>49</v>
      </c>
      <c r="H21953" s="5">
        <v>93.132000</v>
      </c>
    </row>
    <row r="21954" spans="1:9">
      <c r="A21954" s="22" t="str">
        <f>HYPERLINK("https://app.vivvix.com/360/KMI/IntelliDrive/ApplUI/Pages/CreativePages/CustomReportCreativeDetail.aspx?App=23&amp;ReportView=4&amp;Qid=1711279&amp;Row=21946&amp;Col=1","No Title Assigned - #15280408779")</f>
        <v/>
      </c>
      <c r="B21954" s="0" t="s">
        <v>29163</v>
      </c>
      <c r="C21954" s="0" t="s">
        <v>29164</v>
      </c>
      <c r="D21954" s="0" t="s">
        <v>10059</v>
      </c>
      <c r="E21954" s="0" t="inlineStr">
        <is>
          <t xml:space="preserve">Mazda</t>
        </is>
      </c>
      <c r="F21954" s="0" t="s">
        <v>13</v>
      </c>
      <c r="G21954" s="0" t="s">
        <v>49</v>
      </c>
      <c r="H21954" s="5">
        <v>24.093200</v>
      </c>
    </row>
    <row r="21955" spans="1:9">
      <c r="A21955" s="22" t="str">
        <f>HYPERLINK("https://app.vivvix.com/360/KMI/IntelliDrive/ApplUI/Pages/CreativePages/CustomReportCreativeDetail.aspx?App=23&amp;ReportView=4&amp;Qid=1711279&amp;Row=21947&amp;Col=1","No Title Assigned - #15280408845")</f>
        <v/>
      </c>
      <c r="B21955" s="0" t="s">
        <v>29165</v>
      </c>
      <c r="C21955" s="0" t="s">
        <v>29166</v>
      </c>
      <c r="D21955" s="0" t="s">
        <v>6420</v>
      </c>
      <c r="E21955" s="0" t="inlineStr">
        <is>
          <t xml:space="preserve">Mazda</t>
        </is>
      </c>
      <c r="F21955" s="0" t="s">
        <v>13</v>
      </c>
      <c r="G21955" s="0" t="s">
        <v>49</v>
      </c>
      <c r="H21955" s="5">
        <v>24.093200</v>
      </c>
    </row>
    <row r="21956" spans="1:9">
      <c r="A21956" s="22" t="str">
        <f>HYPERLINK("https://app.vivvix.com/360/KMI/IntelliDrive/ApplUI/Pages/CreativePages/CustomReportCreativeDetail.aspx?App=23&amp;ReportView=4&amp;Qid=1711279&amp;Row=21948&amp;Col=1","No Title Assigned - #15280409443")</f>
        <v/>
      </c>
      <c r="B21956" s="0" t="s">
        <v>29167</v>
      </c>
      <c r="C21956" s="0" t="s">
        <v>29168</v>
      </c>
      <c r="D21956" s="0" t="s">
        <v>29168</v>
      </c>
      <c r="E21956" s="0" t="inlineStr">
        <is>
          <t xml:space="preserve">Mazda</t>
        </is>
      </c>
      <c r="F21956" s="0" t="s">
        <v>13</v>
      </c>
      <c r="G21956" s="0" t="s">
        <v>49</v>
      </c>
      <c r="H21956" s="5">
        <v>29.189600</v>
      </c>
    </row>
    <row r="21957" spans="1:9">
      <c r="A21957" s="22" t="str">
        <f>HYPERLINK("https://app.vivvix.com/360/KMI/IntelliDrive/ApplUI/Pages/CreativePages/CustomReportCreativeDetail.aspx?App=23&amp;ReportView=4&amp;Qid=1711279&amp;Row=21949&amp;Col=1","No Title Assigned - #15280409608")</f>
        <v/>
      </c>
      <c r="B21957" s="0" t="s">
        <v>29169</v>
      </c>
      <c r="C21957" s="0" t="s">
        <v>29170</v>
      </c>
      <c r="D21957" s="0" t="s">
        <v>29170</v>
      </c>
      <c r="E21957" s="0" t="inlineStr">
        <is>
          <t xml:space="preserve">Mazda</t>
        </is>
      </c>
      <c r="F21957" s="0" t="s">
        <v>13</v>
      </c>
      <c r="G21957" s="0" t="s">
        <v>49</v>
      </c>
      <c r="H21957" s="5">
        <v>218.821800</v>
      </c>
    </row>
    <row r="21958" spans="1:9">
      <c r="A21958" s="22" t="str">
        <f>HYPERLINK("https://app.vivvix.com/360/KMI/IntelliDrive/ApplUI/Pages/CreativePages/CustomReportCreativeDetail.aspx?App=23&amp;ReportView=4&amp;Qid=1711279&amp;Row=21950&amp;Col=1","No Title Assigned - #15280409829")</f>
        <v/>
      </c>
      <c r="B21958" s="0" t="s">
        <v>29171</v>
      </c>
      <c r="C21958" s="0" t="s">
        <v>29172</v>
      </c>
      <c r="D21958" s="0" t="s">
        <v>14231</v>
      </c>
      <c r="E21958" s="0" t="inlineStr">
        <is>
          <t xml:space="preserve">Mazda</t>
        </is>
      </c>
      <c r="F21958" s="0" t="s">
        <v>28</v>
      </c>
      <c r="G21958" s="0" t="s">
        <v>29</v>
      </c>
      <c r="H21958" s="5">
        <v>281.770000</v>
      </c>
    </row>
    <row r="21959" spans="1:9">
      <c r="A21959" s="22" t="str">
        <f>HYPERLINK("https://app.vivvix.com/360/KMI/IntelliDrive/ApplUI/Pages/CreativePages/CustomReportCreativeDetail.aspx?App=23&amp;ReportView=4&amp;Qid=1711279&amp;Row=21951&amp;Col=1","No Title Assigned - #15280410096")</f>
        <v/>
      </c>
      <c r="B21959" s="0" t="s">
        <v>29173</v>
      </c>
      <c r="C21959" s="0" t="s">
        <v>29174</v>
      </c>
      <c r="D21959" s="0" t="s">
        <v>29174</v>
      </c>
      <c r="E21959" s="0" t="inlineStr">
        <is>
          <t xml:space="preserve">Mazda</t>
        </is>
      </c>
      <c r="F21959" s="0" t="s">
        <v>13</v>
      </c>
      <c r="G21959" s="0" t="s">
        <v>49</v>
      </c>
      <c r="H21959" s="5">
        <v>1278.838700</v>
      </c>
    </row>
    <row r="21960" spans="1:9">
      <c r="A21960" s="22" t="str">
        <f>HYPERLINK("https://app.vivvix.com/360/KMI/IntelliDrive/ApplUI/Pages/CreativePages/CustomReportCreativeDetail.aspx?App=23&amp;ReportView=4&amp;Qid=1711279&amp;Row=21952&amp;Col=1","No Title Assigned - #15280410104")</f>
        <v/>
      </c>
      <c r="B21960" s="0" t="s">
        <v>29175</v>
      </c>
      <c r="C21960" s="0" t="s">
        <v>29176</v>
      </c>
      <c r="D21960" s="0" t="s">
        <v>29176</v>
      </c>
      <c r="E21960" s="0" t="inlineStr">
        <is>
          <t xml:space="preserve">Mazda</t>
        </is>
      </c>
      <c r="F21960" s="0" t="s">
        <v>13</v>
      </c>
      <c r="G21960" s="0" t="s">
        <v>49</v>
      </c>
      <c r="H21960" s="5">
        <v>1278.838700</v>
      </c>
    </row>
    <row r="21961" spans="1:9">
      <c r="A21961" s="22" t="str">
        <f>HYPERLINK("https://app.vivvix.com/360/KMI/IntelliDrive/ApplUI/Pages/CreativePages/CustomReportCreativeDetail.aspx?App=23&amp;ReportView=4&amp;Qid=1711279&amp;Row=21953&amp;Col=1","No Title Assigned - #15280411072")</f>
        <v/>
      </c>
      <c r="B21961" s="0" t="s">
        <v>29177</v>
      </c>
      <c r="C21961" s="0" t="s">
        <v>29178</v>
      </c>
      <c r="D21961" s="0" t="s">
        <v>17192</v>
      </c>
      <c r="E21961" s="0" t="inlineStr">
        <is>
          <t xml:space="preserve">Mazda</t>
        </is>
      </c>
      <c r="F21961" s="0" t="s">
        <v>21</v>
      </c>
      <c r="G21961" s="0" t="s">
        <v>22</v>
      </c>
      <c r="H21961" s="5">
        <v>423.545300</v>
      </c>
    </row>
    <row r="21962" spans="1:9">
      <c r="A21962" s="22" t="str">
        <f>HYPERLINK("https://app.vivvix.com/360/KMI/IntelliDrive/ApplUI/Pages/CreativePages/CustomReportCreativeDetail.aspx?App=23&amp;ReportView=4&amp;Qid=1711279&amp;Row=21954&amp;Col=1","No Title Assigned - #15280411494")</f>
        <v/>
      </c>
      <c r="B21962" s="0" t="s">
        <v>29179</v>
      </c>
      <c r="C21962" s="0" t="s">
        <v>29180</v>
      </c>
      <c r="D21962" s="0" t="s">
        <v>29180</v>
      </c>
      <c r="E21962" s="0" t="inlineStr">
        <is>
          <t xml:space="preserve">Mazda</t>
        </is>
      </c>
      <c r="F21962" s="0" t="s">
        <v>13</v>
      </c>
      <c r="G21962" s="0" t="s">
        <v>49</v>
      </c>
      <c r="H21962" s="5">
        <v>15.863300</v>
      </c>
    </row>
    <row r="21963" spans="1:9">
      <c r="A21963" s="22" t="str">
        <f>HYPERLINK("https://app.vivvix.com/360/KMI/IntelliDrive/ApplUI/Pages/CreativePages/CustomReportCreativeDetail.aspx?App=23&amp;ReportView=4&amp;Qid=1711279&amp;Row=21955&amp;Col=1","No Title Assigned - #15280411874")</f>
        <v/>
      </c>
      <c r="B21963" s="0" t="s">
        <v>29181</v>
      </c>
      <c r="C21963" s="0" t="s">
        <v>29182</v>
      </c>
      <c r="D21963" s="0" t="s">
        <v>8006</v>
      </c>
      <c r="E21963" s="0" t="inlineStr">
        <is>
          <t xml:space="preserve">Mazda</t>
        </is>
      </c>
      <c r="F21963" s="0" t="s">
        <v>13</v>
      </c>
      <c r="G21963" s="0" t="s">
        <v>49</v>
      </c>
      <c r="H21963" s="5">
        <v>497.590300</v>
      </c>
    </row>
    <row r="21964" spans="1:9">
      <c r="A21964" s="22" t="str">
        <f>HYPERLINK("https://app.vivvix.com/360/KMI/IntelliDrive/ApplUI/Pages/CreativePages/CustomReportCreativeDetail.aspx?App=23&amp;ReportView=4&amp;Qid=1711279&amp;Row=21956&amp;Col=1","No Title Assigned - #15280411880")</f>
        <v/>
      </c>
      <c r="B21964" s="0" t="s">
        <v>29183</v>
      </c>
      <c r="C21964" s="0" t="s">
        <v>29184</v>
      </c>
      <c r="D21964" s="0" t="s">
        <v>29184</v>
      </c>
      <c r="E21964" s="0" t="inlineStr">
        <is>
          <t xml:space="preserve">Mazda</t>
        </is>
      </c>
      <c r="F21964" s="0" t="s">
        <v>13</v>
      </c>
      <c r="G21964" s="0" t="s">
        <v>49</v>
      </c>
      <c r="H21964" s="5">
        <v>122.005000</v>
      </c>
    </row>
    <row r="21965" spans="1:9">
      <c r="A21965" s="22" t="str">
        <f>HYPERLINK("https://app.vivvix.com/360/KMI/IntelliDrive/ApplUI/Pages/CreativePages/CustomReportCreativeDetail.aspx?App=23&amp;ReportView=4&amp;Qid=1711279&amp;Row=21957&amp;Col=1","No Title Assigned - #15280411981")</f>
        <v/>
      </c>
      <c r="B21965" s="0" t="s">
        <v>29185</v>
      </c>
      <c r="C21965" s="0" t="s">
        <v>29186</v>
      </c>
      <c r="D21965" s="0" t="s">
        <v>29186</v>
      </c>
      <c r="E21965" s="0" t="inlineStr">
        <is>
          <t xml:space="preserve">Mazda</t>
        </is>
      </c>
      <c r="F21965" s="0" t="s">
        <v>13</v>
      </c>
      <c r="G21965" s="0" t="s">
        <v>49</v>
      </c>
      <c r="H21965" s="5">
        <v>93.848400</v>
      </c>
    </row>
    <row r="21966" spans="1:9">
      <c r="A21966" s="22" t="str">
        <f>HYPERLINK("https://app.vivvix.com/360/KMI/IntelliDrive/ApplUI/Pages/CreativePages/CustomReportCreativeDetail.aspx?App=23&amp;ReportView=4&amp;Qid=1711279&amp;Row=21958&amp;Col=1","No Title Assigned - #15280412125")</f>
        <v/>
      </c>
      <c r="B21966" s="0" t="s">
        <v>29187</v>
      </c>
      <c r="C21966" s="0" t="s">
        <v>29188</v>
      </c>
      <c r="D21966" s="0" t="s">
        <v>29188</v>
      </c>
      <c r="E21966" s="0" t="inlineStr">
        <is>
          <t xml:space="preserve">Mazda</t>
        </is>
      </c>
      <c r="F21966" s="0" t="s">
        <v>13</v>
      </c>
      <c r="G21966" s="0" t="s">
        <v>49</v>
      </c>
      <c r="H21966" s="5">
        <v>37.910100</v>
      </c>
    </row>
    <row r="21967" spans="1:9">
      <c r="A21967" s="22" t="str">
        <f>HYPERLINK("https://app.vivvix.com/360/KMI/IntelliDrive/ApplUI/Pages/CreativePages/CustomReportCreativeDetail.aspx?App=23&amp;ReportView=4&amp;Qid=1711279&amp;Row=21959&amp;Col=1","No Title Assigned - #15280412162")</f>
        <v/>
      </c>
      <c r="B21967" s="0" t="s">
        <v>29189</v>
      </c>
      <c r="C21967" s="0" t="s">
        <v>29190</v>
      </c>
      <c r="D21967" s="0" t="s">
        <v>19918</v>
      </c>
      <c r="E21967" s="0" t="inlineStr">
        <is>
          <t xml:space="preserve">Mazda</t>
        </is>
      </c>
      <c r="F21967" s="0" t="inlineStr">
        <is>
          <t xml:space="preserve">Mazda</t>
        </is>
      </c>
      <c r="G21967" s="0" t="s">
        <v>210</v>
      </c>
      <c r="H21967" s="5">
        <v>476.069800</v>
      </c>
    </row>
    <row r="21968" spans="1:9">
      <c r="A21968" s="22" t="str">
        <f>HYPERLINK("https://app.vivvix.com/360/KMI/IntelliDrive/ApplUI/Pages/CreativePages/CustomReportCreativeDetail.aspx?App=23&amp;ReportView=4&amp;Qid=1711279&amp;Row=21960&amp;Col=1","No Title Assigned - #15280412346")</f>
        <v/>
      </c>
      <c r="B21968" s="0" t="s">
        <v>29191</v>
      </c>
      <c r="C21968" s="0" t="s">
        <v>29192</v>
      </c>
      <c r="D21968" s="0" t="s">
        <v>29192</v>
      </c>
      <c r="E21968" s="0" t="inlineStr">
        <is>
          <t xml:space="preserve">Mazda</t>
        </is>
      </c>
      <c r="F21968" s="0" t="s">
        <v>13</v>
      </c>
      <c r="G21968" s="0" t="s">
        <v>49</v>
      </c>
      <c r="H21968" s="5">
        <v>15.878700</v>
      </c>
    </row>
    <row r="21969" spans="1:9">
      <c r="A21969" s="22" t="str">
        <f>HYPERLINK("https://app.vivvix.com/360/KMI/IntelliDrive/ApplUI/Pages/CreativePages/CustomReportCreativeDetail.aspx?App=23&amp;ReportView=4&amp;Qid=1711279&amp;Row=21961&amp;Col=1","No Title Assigned - #15280412388")</f>
        <v/>
      </c>
      <c r="B21969" s="0" t="s">
        <v>29193</v>
      </c>
      <c r="C21969" s="0" t="s">
        <v>29194</v>
      </c>
      <c r="D21969" s="0" t="s">
        <v>10770</v>
      </c>
      <c r="E21969" s="0" t="inlineStr">
        <is>
          <t xml:space="preserve">Mazda</t>
        </is>
      </c>
      <c r="F21969" s="0" t="s">
        <v>13</v>
      </c>
      <c r="G21969" s="0" t="s">
        <v>49</v>
      </c>
      <c r="H21969" s="5">
        <v>165.052800</v>
      </c>
    </row>
    <row r="21970" spans="1:9">
      <c r="A21970" s="22" t="str">
        <f>HYPERLINK("https://app.vivvix.com/360/KMI/IntelliDrive/ApplUI/Pages/CreativePages/CustomReportCreativeDetail.aspx?App=23&amp;ReportView=4&amp;Qid=1711279&amp;Row=21962&amp;Col=1","No Title Assigned - #15280412995")</f>
        <v/>
      </c>
      <c r="B21970" s="0" t="s">
        <v>29195</v>
      </c>
      <c r="C21970" s="0" t="s">
        <v>29196</v>
      </c>
      <c r="D21970" s="0" t="s">
        <v>29196</v>
      </c>
      <c r="E21970" s="0" t="inlineStr">
        <is>
          <t xml:space="preserve">Mazda</t>
        </is>
      </c>
      <c r="F21970" s="0" t="s">
        <v>17</v>
      </c>
      <c r="G21970" s="0" t="s">
        <v>33</v>
      </c>
      <c r="H21970" s="5">
        <v>1136.442900</v>
      </c>
    </row>
    <row r="21971" spans="1:9">
      <c r="A21971" s="22" t="str">
        <f>HYPERLINK("https://app.vivvix.com/360/KMI/IntelliDrive/ApplUI/Pages/CreativePages/CustomReportCreativeDetail.aspx?App=23&amp;ReportView=4&amp;Qid=1711279&amp;Row=21963&amp;Col=1","No Title Assigned - #15280414312")</f>
        <v/>
      </c>
      <c r="B21971" s="0" t="s">
        <v>29197</v>
      </c>
      <c r="C21971" s="0" t="s">
        <v>29198</v>
      </c>
      <c r="D21971" s="0" t="s">
        <v>29198</v>
      </c>
      <c r="E21971" s="0" t="inlineStr">
        <is>
          <t xml:space="preserve">Mazda</t>
        </is>
      </c>
      <c r="F21971" s="0" t="s">
        <v>13</v>
      </c>
      <c r="G21971" s="0" t="s">
        <v>49</v>
      </c>
      <c r="H21971" s="5">
        <v>4221.946400</v>
      </c>
    </row>
    <row r="21972" spans="1:9">
      <c r="A21972" s="22" t="str">
        <f>HYPERLINK("https://app.vivvix.com/360/KMI/IntelliDrive/ApplUI/Pages/CreativePages/CustomReportCreativeDetail.aspx?App=23&amp;ReportView=4&amp;Qid=1711279&amp;Row=21964&amp;Col=1","No Title Assigned - #15280414360")</f>
        <v/>
      </c>
      <c r="B21972" s="0" t="s">
        <v>29199</v>
      </c>
      <c r="C21972" s="0" t="s">
        <v>29200</v>
      </c>
      <c r="D21972" s="0" t="s">
        <v>29200</v>
      </c>
      <c r="E21972" s="0" t="inlineStr">
        <is>
          <t xml:space="preserve">Mazda</t>
        </is>
      </c>
      <c r="F21972" s="0" t="s">
        <v>13</v>
      </c>
      <c r="G21972" s="0" t="s">
        <v>49</v>
      </c>
      <c r="H21972" s="5">
        <v>23.045500</v>
      </c>
    </row>
    <row r="21973" spans="1:9">
      <c r="A21973" s="22" t="str">
        <f>HYPERLINK("https://app.vivvix.com/360/KMI/IntelliDrive/ApplUI/Pages/CreativePages/CustomReportCreativeDetail.aspx?App=23&amp;ReportView=4&amp;Qid=1711279&amp;Row=21965&amp;Col=1","No Title Assigned - #15280414380")</f>
        <v/>
      </c>
      <c r="B21973" s="0" t="s">
        <v>29201</v>
      </c>
      <c r="C21973" s="0" t="s">
        <v>29202</v>
      </c>
      <c r="D21973" s="0" t="s">
        <v>29202</v>
      </c>
      <c r="E21973" s="0" t="inlineStr">
        <is>
          <t xml:space="preserve">Mazda</t>
        </is>
      </c>
      <c r="F21973" s="0" t="s">
        <v>13</v>
      </c>
      <c r="G21973" s="0" t="s">
        <v>49</v>
      </c>
      <c r="H21973" s="5">
        <v>10696.290400</v>
      </c>
    </row>
    <row r="21974" spans="1:9">
      <c r="A21974" s="22" t="str">
        <f>HYPERLINK("https://app.vivvix.com/360/KMI/IntelliDrive/ApplUI/Pages/CreativePages/CustomReportCreativeDetail.aspx?App=23&amp;ReportView=4&amp;Qid=1711279&amp;Row=21966&amp;Col=1","No Title Assigned - #15280414386")</f>
        <v/>
      </c>
      <c r="B21974" s="0" t="s">
        <v>29203</v>
      </c>
      <c r="C21974" s="0" t="s">
        <v>29204</v>
      </c>
      <c r="D21974" s="0" t="s">
        <v>10311</v>
      </c>
      <c r="E21974" s="0" t="inlineStr">
        <is>
          <t xml:space="preserve">Mazda</t>
        </is>
      </c>
      <c r="F21974" s="0" t="s">
        <v>13</v>
      </c>
      <c r="G21974" s="0" t="s">
        <v>49</v>
      </c>
      <c r="H21974" s="5">
        <v>102.008400</v>
      </c>
    </row>
    <row r="21975" spans="1:9">
      <c r="A21975" s="22" t="str">
        <f>HYPERLINK("https://app.vivvix.com/360/KMI/IntelliDrive/ApplUI/Pages/CreativePages/CustomReportCreativeDetail.aspx?App=23&amp;ReportView=4&amp;Qid=1711279&amp;Row=21967&amp;Col=1","No Title Assigned - #15280414629")</f>
        <v/>
      </c>
      <c r="B21975" s="0" t="s">
        <v>29205</v>
      </c>
      <c r="C21975" s="0" t="s">
        <v>29206</v>
      </c>
      <c r="D21975" s="0" t="s">
        <v>4774</v>
      </c>
      <c r="E21975" s="0" t="inlineStr">
        <is>
          <t xml:space="preserve">Mazda</t>
        </is>
      </c>
      <c r="F21975" s="0" t="s">
        <v>13</v>
      </c>
      <c r="G21975" s="0" t="s">
        <v>49</v>
      </c>
      <c r="H21975" s="5">
        <v>171.940600</v>
      </c>
    </row>
    <row r="21976" spans="1:9">
      <c r="A21976" s="22" t="str">
        <f>HYPERLINK("https://app.vivvix.com/360/KMI/IntelliDrive/ApplUI/Pages/CreativePages/CustomReportCreativeDetail.aspx?App=23&amp;ReportView=4&amp;Qid=1711279&amp;Row=21968&amp;Col=1","No Title Assigned - #15280415241")</f>
        <v/>
      </c>
      <c r="B21976" s="0" t="s">
        <v>29207</v>
      </c>
      <c r="C21976" s="0" t="s">
        <v>29208</v>
      </c>
      <c r="D21976" s="0" t="s">
        <v>29208</v>
      </c>
      <c r="E21976" s="0" t="inlineStr">
        <is>
          <t xml:space="preserve">Mazda</t>
        </is>
      </c>
      <c r="F21976" s="0" t="inlineStr">
        <is>
          <t xml:space="preserve">Mazda</t>
        </is>
      </c>
      <c r="G21976" s="0" t="s">
        <v>171</v>
      </c>
      <c r="H21976" s="5">
        <v>1391.677500</v>
      </c>
    </row>
    <row r="21977" spans="1:9">
      <c r="A21977" s="22" t="str">
        <f>HYPERLINK("https://app.vivvix.com/360/KMI/IntelliDrive/ApplUI/Pages/CreativePages/CustomReportCreativeDetail.aspx?App=23&amp;ReportView=4&amp;Qid=1711279&amp;Row=21969&amp;Col=1","No Title Assigned - #15280415481")</f>
        <v/>
      </c>
      <c r="B21977" s="0" t="s">
        <v>29209</v>
      </c>
      <c r="E21977" s="0" t="inlineStr">
        <is>
          <t xml:space="preserve">Mazda</t>
        </is>
      </c>
      <c r="F21977" s="0" t="inlineStr">
        <is>
          <t xml:space="preserve">Mazda</t>
        </is>
      </c>
      <c r="G21977" s="0" t="s">
        <v>171</v>
      </c>
      <c r="H21977" s="5">
        <v>393.295600</v>
      </c>
    </row>
    <row r="21978" spans="1:9">
      <c r="A21978" s="22" t="str">
        <f>HYPERLINK("https://app.vivvix.com/360/KMI/IntelliDrive/ApplUI/Pages/CreativePages/CustomReportCreativeDetail.aspx?App=23&amp;ReportView=4&amp;Qid=1711279&amp;Row=21970&amp;Col=1","No Title Assigned - #15280416173")</f>
        <v/>
      </c>
      <c r="B21978" s="0" t="s">
        <v>29210</v>
      </c>
      <c r="E21978" s="0" t="inlineStr">
        <is>
          <t xml:space="preserve">Mazda</t>
        </is>
      </c>
      <c r="F21978" s="0" t="inlineStr">
        <is>
          <t xml:space="preserve">Mazda</t>
        </is>
      </c>
      <c r="G21978" s="0" t="s">
        <v>171</v>
      </c>
      <c r="H21978" s="5">
        <v>906.617400</v>
      </c>
    </row>
    <row r="21979" spans="1:9">
      <c r="A21979" s="22" t="str">
        <f>HYPERLINK("https://app.vivvix.com/360/KMI/IntelliDrive/ApplUI/Pages/CreativePages/CustomReportCreativeDetail.aspx?App=23&amp;ReportView=4&amp;Qid=1711279&amp;Row=21971&amp;Col=1","No Title Assigned - #15280416175")</f>
        <v/>
      </c>
      <c r="B21979" s="0" t="s">
        <v>29211</v>
      </c>
      <c r="E21979" s="0" t="inlineStr">
        <is>
          <t xml:space="preserve">Mazda</t>
        </is>
      </c>
      <c r="F21979" s="0" t="inlineStr">
        <is>
          <t xml:space="preserve">Mazda</t>
        </is>
      </c>
      <c r="G21979" s="0" t="s">
        <v>171</v>
      </c>
      <c r="H21979" s="5">
        <v>13035.457900</v>
      </c>
    </row>
    <row r="21980" spans="1:9">
      <c r="A21980" s="22" t="str">
        <f>HYPERLINK("https://app.vivvix.com/360/KMI/IntelliDrive/ApplUI/Pages/CreativePages/CustomReportCreativeDetail.aspx?App=23&amp;ReportView=4&amp;Qid=1711279&amp;Row=21972&amp;Col=1","No Title Assigned - #15280416329")</f>
        <v/>
      </c>
      <c r="B21980" s="0" t="s">
        <v>29212</v>
      </c>
      <c r="E21980" s="0" t="inlineStr">
        <is>
          <t xml:space="preserve">Mazda</t>
        </is>
      </c>
      <c r="F21980" s="0" t="inlineStr">
        <is>
          <t xml:space="preserve">Mazda</t>
        </is>
      </c>
      <c r="G21980" s="0" t="s">
        <v>171</v>
      </c>
      <c r="H21980" s="5">
        <v>83.043500</v>
      </c>
    </row>
    <row r="21981" spans="1:9">
      <c r="A21981" s="22" t="str">
        <f>HYPERLINK("https://app.vivvix.com/360/KMI/IntelliDrive/ApplUI/Pages/CreativePages/CustomReportCreativeDetail.aspx?App=23&amp;ReportView=4&amp;Qid=1711279&amp;Row=21973&amp;Col=1","No Title Assigned - #15280416509")</f>
        <v/>
      </c>
      <c r="B21981" s="0" t="s">
        <v>29213</v>
      </c>
      <c r="E21981" s="0" t="inlineStr">
        <is>
          <t xml:space="preserve">Mazda</t>
        </is>
      </c>
      <c r="F21981" s="0" t="inlineStr">
        <is>
          <t xml:space="preserve">Mazda</t>
        </is>
      </c>
      <c r="G21981" s="0" t="s">
        <v>171</v>
      </c>
      <c r="H21981" s="5">
        <v>572.625900</v>
      </c>
    </row>
    <row r="21982" spans="1:9">
      <c r="A21982" s="22" t="str">
        <f>HYPERLINK("https://app.vivvix.com/360/KMI/IntelliDrive/ApplUI/Pages/CreativePages/CustomReportCreativeDetail.aspx?App=23&amp;ReportView=4&amp;Qid=1711279&amp;Row=21974&amp;Col=1","No Title Assigned - #15280417397")</f>
        <v/>
      </c>
      <c r="B21982" s="0" t="s">
        <v>29214</v>
      </c>
      <c r="C21982" s="0" t="s">
        <v>29215</v>
      </c>
      <c r="D21982" s="0" t="s">
        <v>29215</v>
      </c>
      <c r="E21982" s="0" t="inlineStr">
        <is>
          <t xml:space="preserve">Mazda</t>
        </is>
      </c>
      <c r="F21982" s="0" t="inlineStr">
        <is>
          <t xml:space="preserve">Mazda</t>
        </is>
      </c>
      <c r="G21982" s="0" t="s">
        <v>171</v>
      </c>
      <c r="H21982" s="5">
        <v>209.831600</v>
      </c>
    </row>
    <row r="21983" spans="1:9">
      <c r="A21983" s="22" t="str">
        <f>HYPERLINK("https://app.vivvix.com/360/KMI/IntelliDrive/ApplUI/Pages/CreativePages/CustomReportCreativeDetail.aspx?App=23&amp;ReportView=4&amp;Qid=1711279&amp;Row=21975&amp;Col=1","No Title Assigned - #15280417941")</f>
        <v/>
      </c>
      <c r="B21983" s="0" t="s">
        <v>29216</v>
      </c>
      <c r="E21983" s="0" t="inlineStr">
        <is>
          <t xml:space="preserve">Mazda</t>
        </is>
      </c>
      <c r="F21983" s="0" t="inlineStr">
        <is>
          <t xml:space="preserve">Mazda</t>
        </is>
      </c>
      <c r="G21983" s="0" t="s">
        <v>171</v>
      </c>
      <c r="H21983" s="5">
        <v>99.770000</v>
      </c>
    </row>
    <row r="21984" spans="1:9">
      <c r="A21984" s="22" t="str">
        <f>HYPERLINK("https://app.vivvix.com/360/KMI/IntelliDrive/ApplUI/Pages/CreativePages/CustomReportCreativeDetail.aspx?App=23&amp;ReportView=4&amp;Qid=1711279&amp;Row=21976&amp;Col=1","No Title Assigned - #15280418152")</f>
        <v/>
      </c>
      <c r="B21984" s="0" t="s">
        <v>29217</v>
      </c>
      <c r="E21984" s="0" t="inlineStr">
        <is>
          <t xml:space="preserve">Mazda</t>
        </is>
      </c>
      <c r="F21984" s="0" t="inlineStr">
        <is>
          <t xml:space="preserve">Mazda</t>
        </is>
      </c>
      <c r="G21984" s="0" t="s">
        <v>171</v>
      </c>
      <c r="H21984" s="5">
        <v>393.307800</v>
      </c>
    </row>
    <row r="21985" spans="1:9">
      <c r="A21985" s="22" t="str">
        <f>HYPERLINK("https://app.vivvix.com/360/KMI/IntelliDrive/ApplUI/Pages/CreativePages/CustomReportCreativeDetail.aspx?App=23&amp;ReportView=4&amp;Qid=1711279&amp;Row=21977&amp;Col=1","No Title Assigned - #15280418216")</f>
        <v/>
      </c>
      <c r="B21985" s="0" t="s">
        <v>29218</v>
      </c>
      <c r="E21985" s="0" t="inlineStr">
        <is>
          <t xml:space="preserve">Mazda</t>
        </is>
      </c>
      <c r="F21985" s="0" t="inlineStr">
        <is>
          <t xml:space="preserve">Mazda</t>
        </is>
      </c>
      <c r="G21985" s="0" t="s">
        <v>171</v>
      </c>
      <c r="H21985" s="5">
        <v>7072.911300</v>
      </c>
    </row>
    <row r="21986" spans="1:9">
      <c r="A21986" s="22" t="str">
        <f>HYPERLINK("https://app.vivvix.com/360/KMI/IntelliDrive/ApplUI/Pages/CreativePages/CustomReportCreativeDetail.aspx?App=23&amp;ReportView=4&amp;Qid=1711279&amp;Row=21978&amp;Col=1","No Title Assigned - #15280421255")</f>
        <v/>
      </c>
      <c r="B21986" s="0" t="s">
        <v>29219</v>
      </c>
      <c r="E21986" s="0" t="inlineStr">
        <is>
          <t xml:space="preserve">Mazda</t>
        </is>
      </c>
      <c r="F21986" s="0" t="inlineStr">
        <is>
          <t xml:space="preserve">Mazda</t>
        </is>
      </c>
      <c r="G21986" s="0" t="s">
        <v>171</v>
      </c>
      <c r="H21986" s="5">
        <v>35.599200</v>
      </c>
    </row>
    <row r="21987" spans="1:9">
      <c r="A21987" s="22" t="str">
        <f>HYPERLINK("https://app.vivvix.com/360/KMI/IntelliDrive/ApplUI/Pages/CreativePages/CustomReportCreativeDetail.aspx?App=23&amp;ReportView=4&amp;Qid=1711279&amp;Row=21979&amp;Col=1","No Title Assigned - #15280425619")</f>
        <v/>
      </c>
      <c r="B21987" s="0" t="s">
        <v>29220</v>
      </c>
      <c r="E21987" s="0" t="inlineStr">
        <is>
          <t xml:space="preserve">Mazda</t>
        </is>
      </c>
      <c r="F21987" s="0" t="inlineStr">
        <is>
          <t xml:space="preserve">Mazda</t>
        </is>
      </c>
      <c r="G21987" s="0" t="s">
        <v>171</v>
      </c>
      <c r="H21987" s="5">
        <v>203.776300</v>
      </c>
    </row>
    <row r="21988" spans="1:9">
      <c r="A21988" s="22" t="str">
        <f>HYPERLINK("https://app.vivvix.com/360/KMI/IntelliDrive/ApplUI/Pages/CreativePages/CustomReportCreativeDetail.aspx?App=23&amp;ReportView=4&amp;Qid=1711279&amp;Row=21980&amp;Col=1","No Title Assigned - #15280426775")</f>
        <v/>
      </c>
      <c r="B21988" s="0" t="s">
        <v>29221</v>
      </c>
      <c r="E21988" s="0" t="inlineStr">
        <is>
          <t xml:space="preserve">Mazda</t>
        </is>
      </c>
      <c r="F21988" s="0" t="inlineStr">
        <is>
          <t xml:space="preserve">Mazda</t>
        </is>
      </c>
      <c r="G21988" s="0" t="s">
        <v>171</v>
      </c>
      <c r="H21988" s="5">
        <v>67.275100</v>
      </c>
    </row>
    <row r="21989" spans="1:9">
      <c r="A21989" s="22" t="str">
        <f>HYPERLINK("https://app.vivvix.com/360/KMI/IntelliDrive/ApplUI/Pages/CreativePages/CustomReportCreativeDetail.aspx?App=23&amp;ReportView=4&amp;Qid=1711279&amp;Row=21981&amp;Col=1","No Title Assigned - #15280427129")</f>
        <v/>
      </c>
      <c r="B21989" s="0" t="s">
        <v>29222</v>
      </c>
      <c r="E21989" s="0" t="inlineStr">
        <is>
          <t xml:space="preserve">Mazda</t>
        </is>
      </c>
      <c r="F21989" s="0" t="inlineStr">
        <is>
          <t xml:space="preserve">Mazda</t>
        </is>
      </c>
      <c r="G21989" s="0" t="s">
        <v>171</v>
      </c>
      <c r="H21989" s="5">
        <v>227.258700</v>
      </c>
    </row>
    <row r="21990" spans="1:9">
      <c r="A21990" s="22" t="str">
        <f>HYPERLINK("https://app.vivvix.com/360/KMI/IntelliDrive/ApplUI/Pages/CreativePages/CustomReportCreativeDetail.aspx?App=23&amp;ReportView=4&amp;Qid=1711279&amp;Row=21982&amp;Col=1","No Title Assigned - #15280435583")</f>
        <v/>
      </c>
      <c r="B21990" s="0" t="s">
        <v>29223</v>
      </c>
      <c r="E21990" s="0" t="inlineStr">
        <is>
          <t xml:space="preserve">Mazda</t>
        </is>
      </c>
      <c r="F21990" s="0" t="inlineStr">
        <is>
          <t xml:space="preserve">Mazda</t>
        </is>
      </c>
      <c r="G21990" s="0" t="s">
        <v>171</v>
      </c>
      <c r="H21990" s="5">
        <v>427.781600</v>
      </c>
    </row>
    <row r="21991" spans="1:9">
      <c r="A21991" s="22" t="str">
        <f>HYPERLINK("https://app.vivvix.com/360/KMI/IntelliDrive/ApplUI/Pages/CreativePages/CustomReportCreativeDetail.aspx?App=23&amp;ReportView=4&amp;Qid=1711279&amp;Row=21983&amp;Col=1","No Title Assigned - #15280437728")</f>
        <v/>
      </c>
      <c r="B21991" s="0" t="s">
        <v>29224</v>
      </c>
      <c r="E21991" s="0" t="inlineStr">
        <is>
          <t xml:space="preserve">Mazda</t>
        </is>
      </c>
      <c r="F21991" s="0" t="inlineStr">
        <is>
          <t xml:space="preserve">Mazda</t>
        </is>
      </c>
      <c r="G21991" s="0" t="s">
        <v>171</v>
      </c>
      <c r="H21991" s="5">
        <v>104.051100</v>
      </c>
    </row>
    <row r="21992" spans="1:9">
      <c r="A21992" s="22" t="str">
        <f>HYPERLINK("https://app.vivvix.com/360/KMI/IntelliDrive/ApplUI/Pages/CreativePages/CustomReportCreativeDetail.aspx?App=23&amp;ReportView=4&amp;Qid=1711279&amp;Row=21984&amp;Col=1","No Title Assigned - #15280448713")</f>
        <v/>
      </c>
      <c r="B21992" s="0" t="s">
        <v>29225</v>
      </c>
      <c r="C21992" s="0" t="s">
        <v>29226</v>
      </c>
      <c r="D21992" s="0" t="s">
        <v>29226</v>
      </c>
      <c r="E21992" s="0" t="inlineStr">
        <is>
          <t xml:space="preserve">Mazda</t>
        </is>
      </c>
      <c r="F21992" s="0" t="s">
        <v>13</v>
      </c>
      <c r="G21992" s="0" t="s">
        <v>49</v>
      </c>
      <c r="H21992" s="5">
        <v>378.536000</v>
      </c>
    </row>
    <row r="21993" spans="1:9">
      <c r="A21993" s="22" t="str">
        <f>HYPERLINK("https://app.vivvix.com/360/KMI/IntelliDrive/ApplUI/Pages/CreativePages/CustomReportCreativeDetail.aspx?App=23&amp;ReportView=4&amp;Qid=1711279&amp;Row=21985&amp;Col=1","No Title Assigned - #15280448746")</f>
        <v/>
      </c>
      <c r="B21993" s="0" t="s">
        <v>29227</v>
      </c>
      <c r="C21993" s="0" t="s">
        <v>29228</v>
      </c>
      <c r="D21993" s="0" t="s">
        <v>29228</v>
      </c>
      <c r="E21993" s="0" t="inlineStr">
        <is>
          <t xml:space="preserve">Mazda</t>
        </is>
      </c>
      <c r="F21993" s="0" t="s">
        <v>13</v>
      </c>
      <c r="G21993" s="0" t="s">
        <v>49</v>
      </c>
      <c r="H21993" s="5">
        <v>5.292900</v>
      </c>
    </row>
    <row r="21994" spans="1:9">
      <c r="A21994" s="22" t="str">
        <f>HYPERLINK("https://app.vivvix.com/360/KMI/IntelliDrive/ApplUI/Pages/CreativePages/CustomReportCreativeDetail.aspx?App=23&amp;ReportView=4&amp;Qid=1711279&amp;Row=21986&amp;Col=1","No Title Assigned - #15280449922")</f>
        <v/>
      </c>
      <c r="B21994" s="0" t="s">
        <v>29229</v>
      </c>
      <c r="C21994" s="0" t="s">
        <v>29230</v>
      </c>
      <c r="D21994" s="0" t="s">
        <v>29230</v>
      </c>
      <c r="E21994" s="0" t="inlineStr">
        <is>
          <t xml:space="preserve">Mazda</t>
        </is>
      </c>
      <c r="F21994" s="0" t="s">
        <v>13</v>
      </c>
      <c r="G21994" s="0" t="s">
        <v>49</v>
      </c>
      <c r="H21994" s="5">
        <v>15.878700</v>
      </c>
    </row>
    <row r="21995" spans="1:9">
      <c r="A21995" s="22" t="str">
        <f>HYPERLINK("https://app.vivvix.com/360/KMI/IntelliDrive/ApplUI/Pages/CreativePages/CustomReportCreativeDetail.aspx?App=23&amp;ReportView=4&amp;Qid=1711279&amp;Row=21987&amp;Col=1","No Title Assigned - #15280449987")</f>
        <v/>
      </c>
      <c r="B21995" s="0" t="s">
        <v>29231</v>
      </c>
      <c r="C21995" s="0" t="s">
        <v>29232</v>
      </c>
      <c r="D21995" s="0" t="s">
        <v>29232</v>
      </c>
      <c r="E21995" s="0" t="inlineStr">
        <is>
          <t xml:space="preserve">Mazda</t>
        </is>
      </c>
      <c r="F21995" s="0" t="s">
        <v>13</v>
      </c>
      <c r="G21995" s="0" t="s">
        <v>49</v>
      </c>
      <c r="H21995" s="5">
        <v>5.292900</v>
      </c>
    </row>
    <row r="21996" spans="1:9">
      <c r="A21996" s="22" t="str">
        <f>HYPERLINK("https://app.vivvix.com/360/KMI/IntelliDrive/ApplUI/Pages/CreativePages/CustomReportCreativeDetail.aspx?App=23&amp;ReportView=4&amp;Qid=1711279&amp;Row=21988&amp;Col=1","No Title Assigned - #15280450120")</f>
        <v/>
      </c>
      <c r="B21996" s="0" t="s">
        <v>29233</v>
      </c>
      <c r="C21996" s="0" t="s">
        <v>29234</v>
      </c>
      <c r="D21996" s="0" t="s">
        <v>29234</v>
      </c>
      <c r="E21996" s="0" t="inlineStr">
        <is>
          <t xml:space="preserve">Mazda</t>
        </is>
      </c>
      <c r="F21996" s="0" t="s">
        <v>13</v>
      </c>
      <c r="G21996" s="0" t="s">
        <v>49</v>
      </c>
      <c r="H21996" s="5">
        <v>75.964500</v>
      </c>
    </row>
    <row r="21997" spans="1:9">
      <c r="A21997" s="22" t="str">
        <f>HYPERLINK("https://app.vivvix.com/360/KMI/IntelliDrive/ApplUI/Pages/CreativePages/CustomReportCreativeDetail.aspx?App=23&amp;ReportView=4&amp;Qid=1711279&amp;Row=21989&amp;Col=1","No Title Assigned - #15280450445")</f>
        <v/>
      </c>
      <c r="B21997" s="0" t="s">
        <v>29235</v>
      </c>
      <c r="C21997" s="0" t="s">
        <v>29236</v>
      </c>
      <c r="D21997" s="0" t="s">
        <v>13101</v>
      </c>
      <c r="E21997" s="0" t="inlineStr">
        <is>
          <t xml:space="preserve">Mazda</t>
        </is>
      </c>
      <c r="F21997" s="0" t="s">
        <v>13</v>
      </c>
      <c r="G21997" s="0" t="s">
        <v>49</v>
      </c>
      <c r="H21997" s="5">
        <v>6.092100</v>
      </c>
    </row>
    <row r="21998" spans="1:9">
      <c r="A21998" s="22" t="str">
        <f>HYPERLINK("https://app.vivvix.com/360/KMI/IntelliDrive/ApplUI/Pages/CreativePages/CustomReportCreativeDetail.aspx?App=23&amp;ReportView=4&amp;Qid=1711279&amp;Row=21990&amp;Col=1","No Title Assigned - #15280450926")</f>
        <v/>
      </c>
      <c r="B21998" s="0" t="s">
        <v>29237</v>
      </c>
      <c r="C21998" s="0" t="s">
        <v>29238</v>
      </c>
      <c r="D21998" s="0" t="s">
        <v>29238</v>
      </c>
      <c r="E21998" s="0" t="inlineStr">
        <is>
          <t xml:space="preserve">Mazda</t>
        </is>
      </c>
      <c r="F21998" s="0" t="s">
        <v>13</v>
      </c>
      <c r="G21998" s="0" t="s">
        <v>49</v>
      </c>
      <c r="H21998" s="5">
        <v>378.535600</v>
      </c>
    </row>
    <row r="21999" spans="1:9">
      <c r="A21999" s="22" t="str">
        <f>HYPERLINK("https://app.vivvix.com/360/KMI/IntelliDrive/ApplUI/Pages/CreativePages/CustomReportCreativeDetail.aspx?App=23&amp;ReportView=4&amp;Qid=1711279&amp;Row=21991&amp;Col=1","No Title Assigned - #15280451823")</f>
        <v/>
      </c>
      <c r="B21999" s="0" t="s">
        <v>29239</v>
      </c>
      <c r="C21999" s="0" t="s">
        <v>29240</v>
      </c>
      <c r="D21999" s="0" t="s">
        <v>29240</v>
      </c>
      <c r="E21999" s="0" t="inlineStr">
        <is>
          <t xml:space="preserve">Mazda</t>
        </is>
      </c>
      <c r="F21999" s="0" t="s">
        <v>28</v>
      </c>
      <c r="G21999" s="0" t="s">
        <v>29</v>
      </c>
      <c r="H21999" s="5">
        <v>538.461500</v>
      </c>
    </row>
    <row r="22000" spans="1:9">
      <c r="A22000" s="22" t="str">
        <f>HYPERLINK("https://app.vivvix.com/360/KMI/IntelliDrive/ApplUI/Pages/CreativePages/CustomReportCreativeDetail.aspx?App=23&amp;ReportView=4&amp;Qid=1711279&amp;Row=21992&amp;Col=1","No Title Assigned - #15280451983")</f>
        <v/>
      </c>
      <c r="B22000" s="0" t="s">
        <v>29241</v>
      </c>
      <c r="C22000" s="0" t="s">
        <v>29242</v>
      </c>
      <c r="D22000" s="0" t="s">
        <v>29242</v>
      </c>
      <c r="E22000" s="0" t="inlineStr">
        <is>
          <t xml:space="preserve">Mazda</t>
        </is>
      </c>
      <c r="F22000" s="0" t="inlineStr">
        <is>
          <t xml:space="preserve">Mazda</t>
        </is>
      </c>
      <c r="G22000" s="0" t="s">
        <v>210</v>
      </c>
      <c r="H22000" s="5">
        <v>479.889000</v>
      </c>
    </row>
    <row r="22001" spans="1:9">
      <c r="A22001" s="22" t="str">
        <f>HYPERLINK("https://app.vivvix.com/360/KMI/IntelliDrive/ApplUI/Pages/CreativePages/CustomReportCreativeDetail.aspx?App=23&amp;ReportView=4&amp;Qid=1711279&amp;Row=21993&amp;Col=1","No Title Assigned - #15280455544")</f>
        <v/>
      </c>
      <c r="B22001" s="0" t="s">
        <v>29243</v>
      </c>
      <c r="C22001" s="0" t="s">
        <v>29244</v>
      </c>
      <c r="D22001" s="0" t="s">
        <v>29244</v>
      </c>
      <c r="E22001" s="0" t="inlineStr">
        <is>
          <t xml:space="preserve">Mazda</t>
        </is>
      </c>
      <c r="F22001" s="0" t="s">
        <v>13</v>
      </c>
      <c r="G22001" s="0" t="s">
        <v>49</v>
      </c>
      <c r="H22001" s="5">
        <v>5.292900</v>
      </c>
    </row>
    <row r="22002" spans="1:9">
      <c r="A22002" s="22" t="str">
        <f>HYPERLINK("https://app.vivvix.com/360/KMI/IntelliDrive/ApplUI/Pages/CreativePages/CustomReportCreativeDetail.aspx?App=23&amp;ReportView=4&amp;Qid=1711279&amp;Row=21994&amp;Col=1","No Title Assigned - #15280455578")</f>
        <v/>
      </c>
      <c r="B22002" s="0" t="s">
        <v>29245</v>
      </c>
      <c r="C22002" s="0" t="s">
        <v>29246</v>
      </c>
      <c r="D22002" s="0" t="s">
        <v>6420</v>
      </c>
      <c r="E22002" s="0" t="inlineStr">
        <is>
          <t xml:space="preserve">Mazda</t>
        </is>
      </c>
      <c r="F22002" s="0" t="s">
        <v>13</v>
      </c>
      <c r="G22002" s="0" t="s">
        <v>49</v>
      </c>
      <c r="H22002" s="5">
        <v>461.739700</v>
      </c>
    </row>
    <row r="22003" spans="1:9">
      <c r="A22003" s="22" t="str">
        <f>HYPERLINK("https://app.vivvix.com/360/KMI/IntelliDrive/ApplUI/Pages/CreativePages/CustomReportCreativeDetail.aspx?App=23&amp;ReportView=4&amp;Qid=1711279&amp;Row=21995&amp;Col=1","No Title Assigned - #15280456134")</f>
        <v/>
      </c>
      <c r="B22003" s="0" t="s">
        <v>29247</v>
      </c>
      <c r="C22003" s="0" t="s">
        <v>29248</v>
      </c>
      <c r="D22003" s="0" t="s">
        <v>29248</v>
      </c>
      <c r="E22003" s="0" t="inlineStr">
        <is>
          <t xml:space="preserve">Mazda</t>
        </is>
      </c>
      <c r="F22003" s="0" t="s">
        <v>13</v>
      </c>
      <c r="G22003" s="0" t="s">
        <v>49</v>
      </c>
      <c r="H22003" s="5">
        <v>547.477000</v>
      </c>
    </row>
    <row r="22004" spans="1:9">
      <c r="A22004" s="22" t="str">
        <f>HYPERLINK("https://app.vivvix.com/360/KMI/IntelliDrive/ApplUI/Pages/CreativePages/CustomReportCreativeDetail.aspx?App=23&amp;ReportView=4&amp;Qid=1711279&amp;Row=21996&amp;Col=1","No Title Assigned - #15280457561")</f>
        <v/>
      </c>
      <c r="B22004" s="0" t="s">
        <v>29249</v>
      </c>
      <c r="C22004" s="0" t="s">
        <v>29250</v>
      </c>
      <c r="D22004" s="0" t="s">
        <v>29250</v>
      </c>
      <c r="E22004" s="0" t="inlineStr">
        <is>
          <t xml:space="preserve">Mazda</t>
        </is>
      </c>
      <c r="F22004" s="0" t="s">
        <v>13</v>
      </c>
      <c r="G22004" s="0" t="s">
        <v>49</v>
      </c>
      <c r="H22004" s="5">
        <v>506819.768800</v>
      </c>
    </row>
    <row r="22005" spans="1:9">
      <c r="A22005" s="22" t="str">
        <f>HYPERLINK("https://app.vivvix.com/360/KMI/IntelliDrive/ApplUI/Pages/CreativePages/CustomReportCreativeDetail.aspx?App=23&amp;ReportView=4&amp;Qid=1711279&amp;Row=21997&amp;Col=1","No Title Assigned - #15280457561")</f>
        <v/>
      </c>
      <c r="B22005" s="0" t="s">
        <v>29249</v>
      </c>
      <c r="E22005" s="0" t="inlineStr">
        <is>
          <t xml:space="preserve">Mazda</t>
        </is>
      </c>
      <c r="F22005" s="0" t="s">
        <v>13</v>
      </c>
      <c r="G22005" s="0" t="s">
        <v>49</v>
      </c>
      <c r="H22005" s="5">
        <v>95938.071800</v>
      </c>
    </row>
    <row r="22006" spans="1:9">
      <c r="A22006" s="22" t="str">
        <f>HYPERLINK("https://app.vivvix.com/360/KMI/IntelliDrive/ApplUI/Pages/CreativePages/CustomReportCreativeDetail.aspx?App=23&amp;ReportView=4&amp;Qid=1711279&amp;Row=21998&amp;Col=1","No Title Assigned - #15280457743")</f>
        <v/>
      </c>
      <c r="B22006" s="0" t="s">
        <v>29251</v>
      </c>
      <c r="C22006" s="0" t="s">
        <v>29252</v>
      </c>
      <c r="D22006" s="0" t="s">
        <v>6183</v>
      </c>
      <c r="E22006" s="0" t="inlineStr">
        <is>
          <t xml:space="preserve">Mazda</t>
        </is>
      </c>
      <c r="F22006" s="0" t="s">
        <v>13</v>
      </c>
      <c r="G22006" s="0" t="s">
        <v>49</v>
      </c>
      <c r="H22006" s="5">
        <v>173.052100</v>
      </c>
    </row>
    <row r="22007" spans="1:9">
      <c r="A22007" s="22" t="str">
        <f>HYPERLINK("https://app.vivvix.com/360/KMI/IntelliDrive/ApplUI/Pages/CreativePages/CustomReportCreativeDetail.aspx?App=23&amp;ReportView=4&amp;Qid=1711279&amp;Row=21999&amp;Col=1","No Title Assigned - #15280458837")</f>
        <v/>
      </c>
      <c r="B22007" s="0" t="s">
        <v>29253</v>
      </c>
      <c r="C22007" s="0" t="s">
        <v>29254</v>
      </c>
      <c r="D22007" s="0" t="s">
        <v>29254</v>
      </c>
      <c r="E22007" s="0" t="inlineStr">
        <is>
          <t xml:space="preserve">Mazda</t>
        </is>
      </c>
      <c r="F22007" s="0" t="s">
        <v>28</v>
      </c>
      <c r="G22007" s="0" t="s">
        <v>29</v>
      </c>
      <c r="H22007" s="5">
        <v>680.877200</v>
      </c>
    </row>
    <row r="22008" spans="1:9">
      <c r="A22008" s="22" t="str">
        <f>HYPERLINK("https://app.vivvix.com/360/KMI/IntelliDrive/ApplUI/Pages/CreativePages/CustomReportCreativeDetail.aspx?App=23&amp;ReportView=4&amp;Qid=1711279&amp;Row=22000&amp;Col=1","No Title Assigned - #15280459623")</f>
        <v/>
      </c>
      <c r="B22008" s="0" t="s">
        <v>29255</v>
      </c>
      <c r="C22008" s="0" t="s">
        <v>29256</v>
      </c>
      <c r="D22008" s="0" t="s">
        <v>29256</v>
      </c>
      <c r="E22008" s="0" t="inlineStr">
        <is>
          <t xml:space="preserve">Mazda</t>
        </is>
      </c>
      <c r="F22008" s="0" t="s">
        <v>13</v>
      </c>
      <c r="G22008" s="0" t="s">
        <v>49</v>
      </c>
      <c r="H22008" s="5">
        <v>71.375100</v>
      </c>
    </row>
    <row r="22009" spans="1:9">
      <c r="A22009" s="22" t="str">
        <f>HYPERLINK("https://app.vivvix.com/360/KMI/IntelliDrive/ApplUI/Pages/CreativePages/CustomReportCreativeDetail.aspx?App=23&amp;ReportView=4&amp;Qid=1711279&amp;Row=22001&amp;Col=1","No Title Assigned - #15280460102")</f>
        <v/>
      </c>
      <c r="B22009" s="0" t="s">
        <v>29257</v>
      </c>
      <c r="C22009" s="0" t="s">
        <v>29258</v>
      </c>
      <c r="D22009" s="0" t="s">
        <v>19918</v>
      </c>
      <c r="E22009" s="0" t="inlineStr">
        <is>
          <t xml:space="preserve">Mazda</t>
        </is>
      </c>
      <c r="F22009" s="0" t="inlineStr">
        <is>
          <t xml:space="preserve">Mazda</t>
        </is>
      </c>
      <c r="G22009" s="0" t="s">
        <v>210</v>
      </c>
      <c r="H22009" s="5">
        <v>1125.993600</v>
      </c>
    </row>
    <row r="22010" spans="1:9">
      <c r="A22010" s="22" t="str">
        <f>HYPERLINK("https://app.vivvix.com/360/KMI/IntelliDrive/ApplUI/Pages/CreativePages/CustomReportCreativeDetail.aspx?App=23&amp;ReportView=4&amp;Qid=1711279&amp;Row=22002&amp;Col=1","No Title Assigned - #15280461478")</f>
        <v/>
      </c>
      <c r="B22010" s="0" t="s">
        <v>29259</v>
      </c>
      <c r="C22010" s="0" t="s">
        <v>29260</v>
      </c>
      <c r="D22010" s="0" t="s">
        <v>29260</v>
      </c>
      <c r="E22010" s="0" t="inlineStr">
        <is>
          <t xml:space="preserve">Mazda</t>
        </is>
      </c>
      <c r="F22010" s="0" t="s">
        <v>13</v>
      </c>
      <c r="G22010" s="0" t="s">
        <v>49</v>
      </c>
      <c r="H22010" s="5">
        <v>109.949600</v>
      </c>
    </row>
    <row r="22011" spans="1:9">
      <c r="A22011" s="22" t="str">
        <f>HYPERLINK("https://app.vivvix.com/360/KMI/IntelliDrive/ApplUI/Pages/CreativePages/CustomReportCreativeDetail.aspx?App=23&amp;ReportView=4&amp;Qid=1711279&amp;Row=22003&amp;Col=1","No Title Assigned - #15280461486")</f>
        <v/>
      </c>
      <c r="B22011" s="0" t="s">
        <v>29261</v>
      </c>
      <c r="C22011" s="0" t="s">
        <v>29262</v>
      </c>
      <c r="D22011" s="0" t="s">
        <v>29262</v>
      </c>
      <c r="E22011" s="0" t="inlineStr">
        <is>
          <t xml:space="preserve">Mazda</t>
        </is>
      </c>
      <c r="F22011" s="0" t="s">
        <v>13</v>
      </c>
      <c r="G22011" s="0" t="s">
        <v>49</v>
      </c>
      <c r="H22011" s="5">
        <v>5.292900</v>
      </c>
    </row>
    <row r="22012" spans="1:9">
      <c r="A22012" s="22" t="str">
        <f>HYPERLINK("https://app.vivvix.com/360/KMI/IntelliDrive/ApplUI/Pages/CreativePages/CustomReportCreativeDetail.aspx?App=23&amp;ReportView=4&amp;Qid=1711279&amp;Row=22004&amp;Col=1","No Title Assigned - #15280461730")</f>
        <v/>
      </c>
      <c r="B22012" s="0" t="s">
        <v>29263</v>
      </c>
      <c r="C22012" s="0" t="s">
        <v>29264</v>
      </c>
      <c r="D22012" s="0" t="s">
        <v>29264</v>
      </c>
      <c r="E22012" s="0" t="inlineStr">
        <is>
          <t xml:space="preserve">Mazda</t>
        </is>
      </c>
      <c r="F22012" s="0" t="s">
        <v>13</v>
      </c>
      <c r="G22012" s="0" t="s">
        <v>49</v>
      </c>
      <c r="H22012" s="5">
        <v>120.845400</v>
      </c>
    </row>
    <row r="22013" spans="1:9">
      <c r="A22013" s="22" t="str">
        <f>HYPERLINK("https://app.vivvix.com/360/KMI/IntelliDrive/ApplUI/Pages/CreativePages/CustomReportCreativeDetail.aspx?App=23&amp;ReportView=4&amp;Qid=1711279&amp;Row=22005&amp;Col=1","No Title Assigned - #15280461977")</f>
        <v/>
      </c>
      <c r="B22013" s="0" t="s">
        <v>29265</v>
      </c>
      <c r="C22013" s="0" t="s">
        <v>29266</v>
      </c>
      <c r="D22013" s="0" t="s">
        <v>17671</v>
      </c>
      <c r="E22013" s="0" t="inlineStr">
        <is>
          <t xml:space="preserve">Mazda</t>
        </is>
      </c>
      <c r="F22013" s="0" t="s">
        <v>13</v>
      </c>
      <c r="G22013" s="0" t="s">
        <v>49</v>
      </c>
      <c r="H22013" s="5">
        <v>17.799600</v>
      </c>
    </row>
    <row r="22014" spans="1:9">
      <c r="A22014" s="22" t="str">
        <f>HYPERLINK("https://app.vivvix.com/360/KMI/IntelliDrive/ApplUI/Pages/CreativePages/CustomReportCreativeDetail.aspx?App=23&amp;ReportView=4&amp;Qid=1711279&amp;Row=22006&amp;Col=1","No Title Assigned - #15280463844")</f>
        <v/>
      </c>
      <c r="B22014" s="0" t="s">
        <v>29267</v>
      </c>
      <c r="C22014" s="0" t="s">
        <v>29268</v>
      </c>
      <c r="D22014" s="0" t="s">
        <v>29268</v>
      </c>
      <c r="E22014" s="0" t="inlineStr">
        <is>
          <t xml:space="preserve">Mazda</t>
        </is>
      </c>
      <c r="F22014" s="0" t="s">
        <v>13</v>
      </c>
      <c r="G22014" s="0" t="s">
        <v>49</v>
      </c>
      <c r="H22014" s="5">
        <v>237.839800</v>
      </c>
    </row>
    <row r="22015" spans="1:9">
      <c r="A22015" s="22" t="str">
        <f>HYPERLINK("https://app.vivvix.com/360/KMI/IntelliDrive/ApplUI/Pages/CreativePages/CustomReportCreativeDetail.aspx?App=23&amp;ReportView=4&amp;Qid=1711279&amp;Row=22007&amp;Col=1","No Title Assigned - #15280465099")</f>
        <v/>
      </c>
      <c r="B22015" s="0" t="s">
        <v>29269</v>
      </c>
      <c r="C22015" s="0" t="s">
        <v>29270</v>
      </c>
      <c r="D22015" s="0" t="s">
        <v>13101</v>
      </c>
      <c r="E22015" s="0" t="inlineStr">
        <is>
          <t xml:space="preserve">Mazda</t>
        </is>
      </c>
      <c r="F22015" s="0" t="s">
        <v>13</v>
      </c>
      <c r="G22015" s="0" t="s">
        <v>49</v>
      </c>
      <c r="H22015" s="5">
        <v>100.126800</v>
      </c>
    </row>
    <row r="22016" spans="1:9">
      <c r="A22016" s="22" t="str">
        <f>HYPERLINK("https://app.vivvix.com/360/KMI/IntelliDrive/ApplUI/Pages/CreativePages/CustomReportCreativeDetail.aspx?App=23&amp;ReportView=4&amp;Qid=1711279&amp;Row=22008&amp;Col=1","No Title Assigned - #15280465170")</f>
        <v/>
      </c>
      <c r="B22016" s="0" t="s">
        <v>29271</v>
      </c>
      <c r="E22016" s="0" t="inlineStr">
        <is>
          <t xml:space="preserve">Mazda</t>
        </is>
      </c>
      <c r="F22016" s="0" t="inlineStr">
        <is>
          <t xml:space="preserve">Mazda</t>
        </is>
      </c>
      <c r="G22016" s="0" t="s">
        <v>171</v>
      </c>
      <c r="H22016" s="5">
        <v>502.665000</v>
      </c>
    </row>
    <row r="22017" spans="1:9">
      <c r="A22017" s="22" t="str">
        <f>HYPERLINK("https://app.vivvix.com/360/KMI/IntelliDrive/ApplUI/Pages/CreativePages/CustomReportCreativeDetail.aspx?App=23&amp;ReportView=4&amp;Qid=1711279&amp;Row=22009&amp;Col=1","No Title Assigned - #15280465674")</f>
        <v/>
      </c>
      <c r="B22017" s="0" t="s">
        <v>29272</v>
      </c>
      <c r="C22017" s="0" t="s">
        <v>29273</v>
      </c>
      <c r="D22017" s="0" t="s">
        <v>9155</v>
      </c>
      <c r="E22017" s="0" t="inlineStr">
        <is>
          <t xml:space="preserve">Mazda</t>
        </is>
      </c>
      <c r="F22017" s="0" t="s">
        <v>13</v>
      </c>
      <c r="G22017" s="0" t="s">
        <v>49</v>
      </c>
      <c r="H22017" s="5">
        <v>511.153200</v>
      </c>
    </row>
    <row r="22018" spans="1:9">
      <c r="A22018" s="22" t="str">
        <f>HYPERLINK("https://app.vivvix.com/360/KMI/IntelliDrive/ApplUI/Pages/CreativePages/CustomReportCreativeDetail.aspx?App=23&amp;ReportView=4&amp;Qid=1711279&amp;Row=22010&amp;Col=1","No Title Assigned - #15280465892")</f>
        <v/>
      </c>
      <c r="B22018" s="0" t="s">
        <v>29274</v>
      </c>
      <c r="C22018" s="0" t="s">
        <v>29275</v>
      </c>
      <c r="D22018" s="0" t="s">
        <v>6183</v>
      </c>
      <c r="E22018" s="0" t="inlineStr">
        <is>
          <t xml:space="preserve">Mazda</t>
        </is>
      </c>
      <c r="F22018" s="0" t="s">
        <v>13</v>
      </c>
      <c r="G22018" s="0" t="s">
        <v>49</v>
      </c>
      <c r="H22018" s="5">
        <v>956.857900</v>
      </c>
    </row>
    <row r="22019" spans="1:9">
      <c r="A22019" s="22" t="str">
        <f>HYPERLINK("https://app.vivvix.com/360/KMI/IntelliDrive/ApplUI/Pages/CreativePages/CustomReportCreativeDetail.aspx?App=23&amp;ReportView=4&amp;Qid=1711279&amp;Row=22011&amp;Col=1","No Title Assigned - #15280466172")</f>
        <v/>
      </c>
      <c r="B22019" s="0" t="s">
        <v>29276</v>
      </c>
      <c r="C22019" s="0" t="s">
        <v>29277</v>
      </c>
      <c r="D22019" s="0" t="s">
        <v>22457</v>
      </c>
      <c r="E22019" s="0" t="inlineStr">
        <is>
          <t xml:space="preserve">Mazda</t>
        </is>
      </c>
      <c r="F22019" s="0" t="s">
        <v>13</v>
      </c>
      <c r="G22019" s="0" t="s">
        <v>49</v>
      </c>
      <c r="H22019" s="5">
        <v>26.279500</v>
      </c>
    </row>
    <row r="22020" spans="1:9">
      <c r="A22020" s="22" t="str">
        <f>HYPERLINK("https://app.vivvix.com/360/KMI/IntelliDrive/ApplUI/Pages/CreativePages/CustomReportCreativeDetail.aspx?App=23&amp;ReportView=4&amp;Qid=1711279&amp;Row=22012&amp;Col=1","No Title Assigned - #15280466504")</f>
        <v/>
      </c>
      <c r="B22020" s="0" t="s">
        <v>29278</v>
      </c>
      <c r="C22020" s="0" t="s">
        <v>29279</v>
      </c>
      <c r="D22020" s="0" t="s">
        <v>22120</v>
      </c>
      <c r="E22020" s="0" t="inlineStr">
        <is>
          <t xml:space="preserve">Mazda</t>
        </is>
      </c>
      <c r="F22020" s="0" t="s">
        <v>13</v>
      </c>
      <c r="G22020" s="0" t="s">
        <v>49</v>
      </c>
      <c r="H22020" s="5">
        <v>97.594700</v>
      </c>
    </row>
    <row r="22021" spans="1:9">
      <c r="A22021" s="22" t="str">
        <f>HYPERLINK("https://app.vivvix.com/360/KMI/IntelliDrive/ApplUI/Pages/CreativePages/CustomReportCreativeDetail.aspx?App=23&amp;ReportView=4&amp;Qid=1711279&amp;Row=22013&amp;Col=1","No Title Assigned - #15280466623")</f>
        <v/>
      </c>
      <c r="B22021" s="0" t="s">
        <v>29280</v>
      </c>
      <c r="E22021" s="0" t="inlineStr">
        <is>
          <t xml:space="preserve">Mazda</t>
        </is>
      </c>
      <c r="F22021" s="0" t="s">
        <v>13</v>
      </c>
      <c r="G22021" s="0" t="s">
        <v>49</v>
      </c>
      <c r="H22021" s="5">
        <v>769.063200</v>
      </c>
    </row>
    <row r="22022" spans="1:9">
      <c r="A22022" s="22" t="str">
        <f>HYPERLINK("https://app.vivvix.com/360/KMI/IntelliDrive/ApplUI/Pages/CreativePages/CustomReportCreativeDetail.aspx?App=23&amp;ReportView=4&amp;Qid=1711279&amp;Row=22014&amp;Col=1","No Title Assigned - #15280466623")</f>
        <v/>
      </c>
      <c r="B22022" s="0" t="s">
        <v>29280</v>
      </c>
      <c r="C22022" s="0" t="s">
        <v>29281</v>
      </c>
      <c r="D22022" s="0" t="s">
        <v>29281</v>
      </c>
      <c r="E22022" s="0" t="inlineStr">
        <is>
          <t xml:space="preserve">Mazda</t>
        </is>
      </c>
      <c r="F22022" s="0" t="s">
        <v>13</v>
      </c>
      <c r="G22022" s="0" t="s">
        <v>49</v>
      </c>
      <c r="H22022" s="5">
        <v>5604.682100</v>
      </c>
    </row>
    <row r="22023" spans="1:9">
      <c r="A22023" s="22" t="str">
        <f>HYPERLINK("https://app.vivvix.com/360/KMI/IntelliDrive/ApplUI/Pages/CreativePages/CustomReportCreativeDetail.aspx?App=23&amp;ReportView=4&amp;Qid=1711279&amp;Row=22015&amp;Col=1","No Title Assigned - #15280466694")</f>
        <v/>
      </c>
      <c r="B22023" s="0" t="s">
        <v>29282</v>
      </c>
      <c r="C22023" s="0" t="s">
        <v>29283</v>
      </c>
      <c r="D22023" s="0" t="s">
        <v>29283</v>
      </c>
      <c r="E22023" s="0" t="inlineStr">
        <is>
          <t xml:space="preserve">Mazda</t>
        </is>
      </c>
      <c r="F22023" s="0" t="s">
        <v>13</v>
      </c>
      <c r="G22023" s="0" t="s">
        <v>49</v>
      </c>
      <c r="H22023" s="5">
        <v>146321.251000</v>
      </c>
    </row>
    <row r="22024" spans="1:9">
      <c r="A22024" s="22" t="str">
        <f>HYPERLINK("https://app.vivvix.com/360/KMI/IntelliDrive/ApplUI/Pages/CreativePages/CustomReportCreativeDetail.aspx?App=23&amp;ReportView=4&amp;Qid=1711279&amp;Row=22016&amp;Col=1","No Title Assigned - #15280466694")</f>
        <v/>
      </c>
      <c r="B22024" s="0" t="s">
        <v>29282</v>
      </c>
      <c r="E22024" s="0" t="inlineStr">
        <is>
          <t xml:space="preserve">Mazda</t>
        </is>
      </c>
      <c r="F22024" s="0" t="s">
        <v>13</v>
      </c>
      <c r="G22024" s="0" t="s">
        <v>49</v>
      </c>
      <c r="H22024" s="5">
        <v>567506.532000</v>
      </c>
    </row>
    <row r="22025" spans="1:9">
      <c r="A22025" s="22" t="str">
        <f>HYPERLINK("https://app.vivvix.com/360/KMI/IntelliDrive/ApplUI/Pages/CreativePages/CustomReportCreativeDetail.aspx?App=23&amp;ReportView=4&amp;Qid=1711279&amp;Row=22017&amp;Col=1","No Title Assigned - #15280466888")</f>
        <v/>
      </c>
      <c r="B22025" s="0" t="s">
        <v>29284</v>
      </c>
      <c r="C22025" s="0" t="s">
        <v>29285</v>
      </c>
      <c r="D22025" s="0" t="s">
        <v>29285</v>
      </c>
      <c r="E22025" s="0" t="inlineStr">
        <is>
          <t xml:space="preserve">Mazda</t>
        </is>
      </c>
      <c r="F22025" s="0" t="s">
        <v>13</v>
      </c>
      <c r="G22025" s="0" t="s">
        <v>49</v>
      </c>
      <c r="H22025" s="5">
        <v>251.680900</v>
      </c>
    </row>
    <row r="22026" spans="1:9">
      <c r="A22026" s="22" t="str">
        <f>HYPERLINK("https://app.vivvix.com/360/KMI/IntelliDrive/ApplUI/Pages/CreativePages/CustomReportCreativeDetail.aspx?App=23&amp;ReportView=4&amp;Qid=1711279&amp;Row=22018&amp;Col=1","No Title Assigned - #15280467367")</f>
        <v/>
      </c>
      <c r="B22026" s="0" t="s">
        <v>29286</v>
      </c>
      <c r="E22026" s="0" t="inlineStr">
        <is>
          <t xml:space="preserve">Mazda</t>
        </is>
      </c>
      <c r="F22026" s="0" t="inlineStr">
        <is>
          <t xml:space="preserve">Mazda</t>
        </is>
      </c>
      <c r="G22026" s="0" t="s">
        <v>171</v>
      </c>
      <c r="H22026" s="5">
        <v>82470.794400</v>
      </c>
    </row>
    <row r="22027" spans="1:9">
      <c r="A22027" s="22" t="str">
        <f>HYPERLINK("https://app.vivvix.com/360/KMI/IntelliDrive/ApplUI/Pages/CreativePages/CustomReportCreativeDetail.aspx?App=23&amp;ReportView=4&amp;Qid=1711279&amp;Row=22019&amp;Col=1","No Title Assigned - #15280467367")</f>
        <v/>
      </c>
      <c r="B22027" s="0" t="s">
        <v>29286</v>
      </c>
      <c r="E22027" s="0" t="inlineStr">
        <is>
          <t xml:space="preserve">Mazda</t>
        </is>
      </c>
      <c r="F22027" s="0" t="inlineStr">
        <is>
          <t xml:space="preserve">Mazda</t>
        </is>
      </c>
      <c r="G22027" s="0" t="s">
        <v>171</v>
      </c>
      <c r="H22027" s="5">
        <v>2010.904500</v>
      </c>
    </row>
    <row r="22028" spans="1:9">
      <c r="A22028" s="22" t="str">
        <f>HYPERLINK("https://app.vivvix.com/360/KMI/IntelliDrive/ApplUI/Pages/CreativePages/CustomReportCreativeDetail.aspx?App=23&amp;ReportView=4&amp;Qid=1711279&amp;Row=22020&amp;Col=1","No Title Assigned - #15280467716")</f>
        <v/>
      </c>
      <c r="B22028" s="0" t="s">
        <v>29287</v>
      </c>
      <c r="C22028" s="0" t="s">
        <v>29288</v>
      </c>
      <c r="D22028" s="0" t="s">
        <v>29288</v>
      </c>
      <c r="E22028" s="0" t="inlineStr">
        <is>
          <t xml:space="preserve">Mazda</t>
        </is>
      </c>
      <c r="F22028" s="0" t="s">
        <v>13</v>
      </c>
      <c r="G22028" s="0" t="s">
        <v>49</v>
      </c>
      <c r="H22028" s="5">
        <v>769.303800</v>
      </c>
    </row>
    <row r="22029" spans="1:9">
      <c r="A22029" s="22" t="str">
        <f>HYPERLINK("https://app.vivvix.com/360/KMI/IntelliDrive/ApplUI/Pages/CreativePages/CustomReportCreativeDetail.aspx?App=23&amp;ReportView=4&amp;Qid=1711279&amp;Row=22021&amp;Col=1","No Title Assigned - #15280468019")</f>
        <v/>
      </c>
      <c r="B22029" s="0" t="s">
        <v>29289</v>
      </c>
      <c r="C22029" s="0" t="s">
        <v>29290</v>
      </c>
      <c r="D22029" s="0" t="s">
        <v>29290</v>
      </c>
      <c r="E22029" s="0" t="inlineStr">
        <is>
          <t xml:space="preserve">Mazda</t>
        </is>
      </c>
      <c r="F22029" s="0" t="s">
        <v>13</v>
      </c>
      <c r="G22029" s="0" t="s">
        <v>49</v>
      </c>
      <c r="H22029" s="5">
        <v>32.964700</v>
      </c>
    </row>
    <row r="22030" spans="1:9">
      <c r="A22030" s="22" t="str">
        <f>HYPERLINK("https://app.vivvix.com/360/KMI/IntelliDrive/ApplUI/Pages/CreativePages/CustomReportCreativeDetail.aspx?App=23&amp;ReportView=4&amp;Qid=1711279&amp;Row=22022&amp;Col=1","No Title Assigned - #15280470728")</f>
        <v/>
      </c>
      <c r="B22030" s="0" t="s">
        <v>29291</v>
      </c>
      <c r="C22030" s="0" t="s">
        <v>29292</v>
      </c>
      <c r="D22030" s="0" t="s">
        <v>29292</v>
      </c>
      <c r="E22030" s="0" t="inlineStr">
        <is>
          <t xml:space="preserve">Mazda</t>
        </is>
      </c>
      <c r="F22030" s="0" t="s">
        <v>13</v>
      </c>
      <c r="G22030" s="0" t="s">
        <v>49</v>
      </c>
      <c r="H22030" s="5">
        <v>17.799600</v>
      </c>
    </row>
    <row r="22031" spans="1:9">
      <c r="A22031" s="22" t="str">
        <f>HYPERLINK("https://app.vivvix.com/360/KMI/IntelliDrive/ApplUI/Pages/CreativePages/CustomReportCreativeDetail.aspx?App=23&amp;ReportView=4&amp;Qid=1711279&amp;Row=22023&amp;Col=1","No Title Assigned - #15280470736")</f>
        <v/>
      </c>
      <c r="B22031" s="0" t="s">
        <v>29293</v>
      </c>
      <c r="C22031" s="0" t="s">
        <v>29294</v>
      </c>
      <c r="D22031" s="0" t="s">
        <v>9699</v>
      </c>
      <c r="E22031" s="0" t="inlineStr">
        <is>
          <t xml:space="preserve">Mazda</t>
        </is>
      </c>
      <c r="F22031" s="0" t="s">
        <v>13</v>
      </c>
      <c r="G22031" s="0" t="s">
        <v>49</v>
      </c>
      <c r="H22031" s="5">
        <v>255.343000</v>
      </c>
    </row>
    <row r="22032" spans="1:9">
      <c r="A22032" s="22" t="str">
        <f>HYPERLINK("https://app.vivvix.com/360/KMI/IntelliDrive/ApplUI/Pages/CreativePages/CustomReportCreativeDetail.aspx?App=23&amp;ReportView=4&amp;Qid=1711279&amp;Row=22024&amp;Col=1","No Title Assigned - #15280472421")</f>
        <v/>
      </c>
      <c r="B22032" s="0" t="s">
        <v>29295</v>
      </c>
      <c r="E22032" s="0" t="inlineStr">
        <is>
          <t xml:space="preserve">Mazda</t>
        </is>
      </c>
      <c r="F22032" s="0" t="inlineStr">
        <is>
          <t xml:space="preserve">Mazda</t>
        </is>
      </c>
      <c r="G22032" s="0" t="s">
        <v>171</v>
      </c>
      <c r="H22032" s="5">
        <v>16.109200</v>
      </c>
    </row>
    <row r="22033" spans="1:9">
      <c r="A22033" s="22" t="str">
        <f>HYPERLINK("https://app.vivvix.com/360/KMI/IntelliDrive/ApplUI/Pages/CreativePages/CustomReportCreativeDetail.aspx?App=23&amp;ReportView=4&amp;Qid=1711279&amp;Row=22025&amp;Col=1","No Title Assigned - #15280472465")</f>
        <v/>
      </c>
      <c r="B22033" s="0" t="s">
        <v>29296</v>
      </c>
      <c r="E22033" s="0" t="inlineStr">
        <is>
          <t xml:space="preserve">Mazda</t>
        </is>
      </c>
      <c r="F22033" s="0" t="inlineStr">
        <is>
          <t xml:space="preserve">Mazda</t>
        </is>
      </c>
      <c r="G22033" s="0" t="s">
        <v>171</v>
      </c>
      <c r="H22033" s="5">
        <v>323.682900</v>
      </c>
    </row>
    <row r="22034" spans="1:9">
      <c r="A22034" s="22" t="str">
        <f>HYPERLINK("https://app.vivvix.com/360/KMI/IntelliDrive/ApplUI/Pages/CreativePages/CustomReportCreativeDetail.aspx?App=23&amp;ReportView=4&amp;Qid=1711279&amp;Row=22026&amp;Col=1","No Title Assigned - #15280474170")</f>
        <v/>
      </c>
      <c r="B22034" s="0" t="s">
        <v>29297</v>
      </c>
      <c r="E22034" s="0" t="inlineStr">
        <is>
          <t xml:space="preserve">Mazda</t>
        </is>
      </c>
      <c r="F22034" s="0" t="inlineStr">
        <is>
          <t xml:space="preserve">Mazda</t>
        </is>
      </c>
      <c r="G22034" s="0" t="s">
        <v>171</v>
      </c>
      <c r="H22034" s="5">
        <v>285.847700</v>
      </c>
    </row>
    <row r="22035" spans="1:9">
      <c r="A22035" s="22" t="str">
        <f>HYPERLINK("https://app.vivvix.com/360/KMI/IntelliDrive/ApplUI/Pages/CreativePages/CustomReportCreativeDetail.aspx?App=23&amp;ReportView=4&amp;Qid=1711279&amp;Row=22027&amp;Col=1","No Title Assigned - #15280480709")</f>
        <v/>
      </c>
      <c r="B22035" s="0" t="s">
        <v>29298</v>
      </c>
      <c r="E22035" s="0" t="inlineStr">
        <is>
          <t xml:space="preserve">Mazda</t>
        </is>
      </c>
      <c r="F22035" s="0" t="inlineStr">
        <is>
          <t xml:space="preserve">Mazda</t>
        </is>
      </c>
      <c r="G22035" s="0" t="s">
        <v>171</v>
      </c>
      <c r="H22035" s="5">
        <v>1022.542800</v>
      </c>
    </row>
    <row r="22036" spans="1:9">
      <c r="A22036" s="22" t="str">
        <f>HYPERLINK("https://app.vivvix.com/360/KMI/IntelliDrive/ApplUI/Pages/CreativePages/CustomReportCreativeDetail.aspx?App=23&amp;ReportView=4&amp;Qid=1711279&amp;Row=22028&amp;Col=1","No Title Assigned - #15280486954")</f>
        <v/>
      </c>
      <c r="B22036" s="0" t="s">
        <v>29299</v>
      </c>
      <c r="E22036" s="0" t="inlineStr">
        <is>
          <t xml:space="preserve">Mazda</t>
        </is>
      </c>
      <c r="F22036" s="0" t="inlineStr">
        <is>
          <t xml:space="preserve">Mazda</t>
        </is>
      </c>
      <c r="G22036" s="0" t="s">
        <v>171</v>
      </c>
      <c r="H22036" s="5">
        <v>52.070000</v>
      </c>
    </row>
    <row r="22037" spans="1:9">
      <c r="A22037" s="22" t="str">
        <f>HYPERLINK("https://app.vivvix.com/360/KMI/IntelliDrive/ApplUI/Pages/CreativePages/CustomReportCreativeDetail.aspx?App=23&amp;ReportView=4&amp;Qid=1711279&amp;Row=22029&amp;Col=1","No Title Assigned - #15280487872")</f>
        <v/>
      </c>
      <c r="B22037" s="0" t="s">
        <v>29300</v>
      </c>
      <c r="C22037" s="0" t="s">
        <v>29301</v>
      </c>
      <c r="D22037" s="0" t="s">
        <v>29301</v>
      </c>
      <c r="E22037" s="0" t="inlineStr">
        <is>
          <t xml:space="preserve">Mazda</t>
        </is>
      </c>
      <c r="F22037" s="0" t="inlineStr">
        <is>
          <t xml:space="preserve">Mazda</t>
        </is>
      </c>
      <c r="G22037" s="0" t="s">
        <v>171</v>
      </c>
      <c r="H22037" s="5">
        <v>2286.495300</v>
      </c>
    </row>
    <row r="22038" spans="1:9">
      <c r="A22038" s="22" t="str">
        <f>HYPERLINK("https://app.vivvix.com/360/KMI/IntelliDrive/ApplUI/Pages/CreativePages/CustomReportCreativeDetail.aspx?App=23&amp;ReportView=4&amp;Qid=1711279&amp;Row=22030&amp;Col=1","No Title Assigned - #15280489582")</f>
        <v/>
      </c>
      <c r="B22038" s="0" t="s">
        <v>29302</v>
      </c>
      <c r="C22038" s="0" t="s">
        <v>29303</v>
      </c>
      <c r="D22038" s="0" t="s">
        <v>4335</v>
      </c>
      <c r="E22038" s="0" t="inlineStr">
        <is>
          <t xml:space="preserve">Mazda</t>
        </is>
      </c>
      <c r="F22038" s="0" t="s">
        <v>13</v>
      </c>
      <c r="G22038" s="0" t="s">
        <v>49</v>
      </c>
      <c r="H22038" s="5">
        <v>2.149000</v>
      </c>
    </row>
    <row r="22039" spans="1:9">
      <c r="A22039" s="22" t="str">
        <f>HYPERLINK("https://app.vivvix.com/360/KMI/IntelliDrive/ApplUI/Pages/CreativePages/CustomReportCreativeDetail.aspx?App=23&amp;ReportView=4&amp;Qid=1711279&amp;Row=22031&amp;Col=1","No Title Assigned - #15280497329")</f>
        <v/>
      </c>
      <c r="B22039" s="0" t="s">
        <v>29304</v>
      </c>
      <c r="C22039" s="0" t="s">
        <v>29305</v>
      </c>
      <c r="D22039" s="0" t="s">
        <v>10067</v>
      </c>
      <c r="E22039" s="0" t="inlineStr">
        <is>
          <t xml:space="preserve">Mazda</t>
        </is>
      </c>
      <c r="F22039" s="0" t="s">
        <v>13</v>
      </c>
      <c r="G22039" s="0" t="s">
        <v>49</v>
      </c>
      <c r="H22039" s="5">
        <v>190.389700</v>
      </c>
    </row>
    <row r="22040" spans="1:9">
      <c r="A22040" s="22" t="str">
        <f>HYPERLINK("https://app.vivvix.com/360/KMI/IntelliDrive/ApplUI/Pages/CreativePages/CustomReportCreativeDetail.aspx?App=23&amp;ReportView=4&amp;Qid=1711279&amp;Row=22032&amp;Col=1","No Title Assigned - #15280502001")</f>
        <v/>
      </c>
      <c r="B22040" s="0" t="s">
        <v>29306</v>
      </c>
      <c r="E22040" s="0" t="inlineStr">
        <is>
          <t xml:space="preserve">Mazda</t>
        </is>
      </c>
      <c r="F22040" s="0" t="inlineStr">
        <is>
          <t xml:space="preserve">Mazda</t>
        </is>
      </c>
      <c r="G22040" s="0" t="s">
        <v>171</v>
      </c>
      <c r="H22040" s="5">
        <v>142.978100</v>
      </c>
    </row>
    <row r="22041" spans="1:9">
      <c r="A22041" s="22" t="str">
        <f>HYPERLINK("https://app.vivvix.com/360/KMI/IntelliDrive/ApplUI/Pages/CreativePages/CustomReportCreativeDetail.aspx?App=23&amp;ReportView=4&amp;Qid=1711279&amp;Row=22033&amp;Col=1","No Title Assigned - #15280502272")</f>
        <v/>
      </c>
      <c r="B22041" s="0" t="s">
        <v>29307</v>
      </c>
      <c r="E22041" s="0" t="inlineStr">
        <is>
          <t xml:space="preserve">Mazda</t>
        </is>
      </c>
      <c r="F22041" s="0" t="inlineStr">
        <is>
          <t xml:space="preserve">Mazda</t>
        </is>
      </c>
      <c r="G22041" s="0" t="s">
        <v>171</v>
      </c>
      <c r="H22041" s="5">
        <v>6.247700</v>
      </c>
    </row>
    <row r="22042" spans="1:9">
      <c r="A22042" s="22" t="str">
        <f>HYPERLINK("https://app.vivvix.com/360/KMI/IntelliDrive/ApplUI/Pages/CreativePages/CustomReportCreativeDetail.aspx?App=23&amp;ReportView=4&amp;Qid=1711279&amp;Row=22034&amp;Col=1","No Title Assigned - #15280503615")</f>
        <v/>
      </c>
      <c r="B22042" s="0" t="s">
        <v>29308</v>
      </c>
      <c r="E22042" s="0" t="inlineStr">
        <is>
          <t xml:space="preserve">Mazda</t>
        </is>
      </c>
      <c r="F22042" s="0" t="inlineStr">
        <is>
          <t xml:space="preserve">Mazda</t>
        </is>
      </c>
      <c r="G22042" s="0" t="s">
        <v>171</v>
      </c>
      <c r="H22042" s="5">
        <v>1148.615900</v>
      </c>
    </row>
    <row r="22043" spans="1:9">
      <c r="A22043" s="22" t="str">
        <f>HYPERLINK("https://app.vivvix.com/360/KMI/IntelliDrive/ApplUI/Pages/CreativePages/CustomReportCreativeDetail.aspx?App=23&amp;ReportView=4&amp;Qid=1711279&amp;Row=22035&amp;Col=1","No Title Assigned - #15280504551")</f>
        <v/>
      </c>
      <c r="B22043" s="0" t="s">
        <v>29309</v>
      </c>
      <c r="E22043" s="0" t="inlineStr">
        <is>
          <t xml:space="preserve">Mazda</t>
        </is>
      </c>
      <c r="F22043" s="0" t="inlineStr">
        <is>
          <t xml:space="preserve">Mazda</t>
        </is>
      </c>
      <c r="G22043" s="0" t="s">
        <v>171</v>
      </c>
      <c r="H22043" s="5">
        <v>57.768900</v>
      </c>
    </row>
    <row r="22044" spans="1:9">
      <c r="A22044" s="22" t="str">
        <f>HYPERLINK("https://app.vivvix.com/360/KMI/IntelliDrive/ApplUI/Pages/CreativePages/CustomReportCreativeDetail.aspx?App=23&amp;ReportView=4&amp;Qid=1711279&amp;Row=22036&amp;Col=1","No Title Assigned - #15280504660")</f>
        <v/>
      </c>
      <c r="B22044" s="0" t="s">
        <v>29310</v>
      </c>
      <c r="E22044" s="0" t="inlineStr">
        <is>
          <t xml:space="preserve">Mazda</t>
        </is>
      </c>
      <c r="F22044" s="0" t="inlineStr">
        <is>
          <t xml:space="preserve">Mazda</t>
        </is>
      </c>
      <c r="G22044" s="0" t="s">
        <v>171</v>
      </c>
      <c r="H22044" s="5">
        <v>95.589800</v>
      </c>
    </row>
    <row r="22045" spans="1:9">
      <c r="A22045" s="22" t="str">
        <f>HYPERLINK("https://app.vivvix.com/360/KMI/IntelliDrive/ApplUI/Pages/CreativePages/CustomReportCreativeDetail.aspx?App=23&amp;ReportView=4&amp;Qid=1711279&amp;Row=22037&amp;Col=1","No Title Assigned - #15280505300")</f>
        <v/>
      </c>
      <c r="B22045" s="0" t="s">
        <v>29311</v>
      </c>
      <c r="C22045" s="0" t="s">
        <v>29312</v>
      </c>
      <c r="D22045" s="0" t="s">
        <v>29312</v>
      </c>
      <c r="E22045" s="0" t="inlineStr">
        <is>
          <t xml:space="preserve">Mazda</t>
        </is>
      </c>
      <c r="F22045" s="0" t="inlineStr">
        <is>
          <t xml:space="preserve">Mazda</t>
        </is>
      </c>
      <c r="G22045" s="0" t="s">
        <v>171</v>
      </c>
      <c r="H22045" s="5">
        <v>16.979200</v>
      </c>
    </row>
    <row r="22046" spans="1:9">
      <c r="A22046" s="22" t="str">
        <f>HYPERLINK("https://app.vivvix.com/360/KMI/IntelliDrive/ApplUI/Pages/CreativePages/CustomReportCreativeDetail.aspx?App=23&amp;ReportView=4&amp;Qid=1711279&amp;Row=22038&amp;Col=1","No Title Assigned - #15280505302")</f>
        <v/>
      </c>
      <c r="B22046" s="0" t="s">
        <v>29313</v>
      </c>
      <c r="C22046" s="0" t="s">
        <v>29314</v>
      </c>
      <c r="D22046" s="0" t="s">
        <v>29314</v>
      </c>
      <c r="E22046" s="0" t="inlineStr">
        <is>
          <t xml:space="preserve">Mazda</t>
        </is>
      </c>
      <c r="F22046" s="0" t="inlineStr">
        <is>
          <t xml:space="preserve">Mazda</t>
        </is>
      </c>
      <c r="G22046" s="0" t="s">
        <v>171</v>
      </c>
      <c r="H22046" s="5">
        <v>16.979200</v>
      </c>
    </row>
    <row r="22047" spans="1:9">
      <c r="A22047" s="22" t="str">
        <f>HYPERLINK("https://app.vivvix.com/360/KMI/IntelliDrive/ApplUI/Pages/CreativePages/CustomReportCreativeDetail.aspx?App=23&amp;ReportView=4&amp;Qid=1711279&amp;Row=22039&amp;Col=1","No Title Assigned - #15280506094")</f>
        <v/>
      </c>
      <c r="B22047" s="0" t="s">
        <v>29315</v>
      </c>
      <c r="C22047" s="0" t="s">
        <v>29316</v>
      </c>
      <c r="D22047" s="0" t="s">
        <v>29316</v>
      </c>
      <c r="E22047" s="0" t="inlineStr">
        <is>
          <t xml:space="preserve">Mazda</t>
        </is>
      </c>
      <c r="F22047" s="0" t="inlineStr">
        <is>
          <t xml:space="preserve">Mazda</t>
        </is>
      </c>
      <c r="G22047" s="0" t="s">
        <v>171</v>
      </c>
      <c r="H22047" s="5">
        <v>67.275100</v>
      </c>
    </row>
    <row r="22048" spans="1:9">
      <c r="A22048" s="22" t="str">
        <f>HYPERLINK("https://app.vivvix.com/360/KMI/IntelliDrive/ApplUI/Pages/CreativePages/CustomReportCreativeDetail.aspx?App=23&amp;ReportView=4&amp;Qid=1711279&amp;Row=22040&amp;Col=1","No Title Assigned - #15280506215")</f>
        <v/>
      </c>
      <c r="B22048" s="0" t="s">
        <v>29317</v>
      </c>
      <c r="E22048" s="0" t="inlineStr">
        <is>
          <t xml:space="preserve">Mazda</t>
        </is>
      </c>
      <c r="F22048" s="0" t="inlineStr">
        <is>
          <t xml:space="preserve">Mazda</t>
        </is>
      </c>
      <c r="G22048" s="0" t="s">
        <v>171</v>
      </c>
      <c r="H22048" s="5">
        <v>926.378200</v>
      </c>
    </row>
    <row r="22049" spans="1:9">
      <c r="A22049" s="22" t="str">
        <f>HYPERLINK("https://app.vivvix.com/360/KMI/IntelliDrive/ApplUI/Pages/CreativePages/CustomReportCreativeDetail.aspx?App=23&amp;ReportView=4&amp;Qid=1711279&amp;Row=22041&amp;Col=1","No Title Assigned - #15280506671")</f>
        <v/>
      </c>
      <c r="B22049" s="0" t="s">
        <v>29318</v>
      </c>
      <c r="E22049" s="0" t="inlineStr">
        <is>
          <t xml:space="preserve">Mazda</t>
        </is>
      </c>
      <c r="F22049" s="0" t="inlineStr">
        <is>
          <t xml:space="preserve">Mazda</t>
        </is>
      </c>
      <c r="G22049" s="0" t="s">
        <v>171</v>
      </c>
      <c r="H22049" s="5">
        <v>9.851700</v>
      </c>
    </row>
    <row r="22050" spans="1:9">
      <c r="A22050" s="22" t="str">
        <f>HYPERLINK("https://app.vivvix.com/360/KMI/IntelliDrive/ApplUI/Pages/CreativePages/CustomReportCreativeDetail.aspx?App=23&amp;ReportView=4&amp;Qid=1711279&amp;Row=22042&amp;Col=1","No Title Assigned - #15280506772")</f>
        <v/>
      </c>
      <c r="B22050" s="0" t="s">
        <v>29319</v>
      </c>
      <c r="E22050" s="0" t="inlineStr">
        <is>
          <t xml:space="preserve">Mazda</t>
        </is>
      </c>
      <c r="F22050" s="0" t="inlineStr">
        <is>
          <t xml:space="preserve">Mazda</t>
        </is>
      </c>
      <c r="G22050" s="0" t="s">
        <v>171</v>
      </c>
      <c r="H22050" s="5">
        <v>21.937100</v>
      </c>
    </row>
    <row r="22051" spans="1:9">
      <c r="A22051" s="22" t="str">
        <f>HYPERLINK("https://app.vivvix.com/360/KMI/IntelliDrive/ApplUI/Pages/CreativePages/CustomReportCreativeDetail.aspx?App=23&amp;ReportView=4&amp;Qid=1711279&amp;Row=22043&amp;Col=1","No Title Assigned - #15280506858")</f>
        <v/>
      </c>
      <c r="B22051" s="0" t="s">
        <v>29320</v>
      </c>
      <c r="E22051" s="0" t="inlineStr">
        <is>
          <t xml:space="preserve">Mazda</t>
        </is>
      </c>
      <c r="F22051" s="0" t="inlineStr">
        <is>
          <t xml:space="preserve">Mazda</t>
        </is>
      </c>
      <c r="G22051" s="0" t="s">
        <v>171</v>
      </c>
      <c r="H22051" s="5">
        <v>1554.706600</v>
      </c>
    </row>
    <row r="22052" spans="1:9">
      <c r="A22052" s="22" t="str">
        <f>HYPERLINK("https://app.vivvix.com/360/KMI/IntelliDrive/ApplUI/Pages/CreativePages/CustomReportCreativeDetail.aspx?App=23&amp;ReportView=4&amp;Qid=1711279&amp;Row=22044&amp;Col=1","No Title Assigned - #15280509217")</f>
        <v/>
      </c>
      <c r="B22052" s="0" t="s">
        <v>29321</v>
      </c>
      <c r="C22052" s="0" t="s">
        <v>29322</v>
      </c>
      <c r="D22052" s="0" t="s">
        <v>29322</v>
      </c>
      <c r="E22052" s="0" t="inlineStr">
        <is>
          <t xml:space="preserve">Mazda</t>
        </is>
      </c>
      <c r="F22052" s="0" t="s">
        <v>13</v>
      </c>
      <c r="G22052" s="0" t="s">
        <v>49</v>
      </c>
      <c r="H22052" s="5">
        <v>5.292900</v>
      </c>
    </row>
    <row r="22053" spans="1:9">
      <c r="A22053" s="22" t="str">
        <f>HYPERLINK("https://app.vivvix.com/360/KMI/IntelliDrive/ApplUI/Pages/CreativePages/CustomReportCreativeDetail.aspx?App=23&amp;ReportView=4&amp;Qid=1711279&amp;Row=22045&amp;Col=1","No Title Assigned - #15280509217")</f>
        <v/>
      </c>
      <c r="B22053" s="0" t="s">
        <v>29321</v>
      </c>
      <c r="E22053" s="0" t="inlineStr">
        <is>
          <t xml:space="preserve">Mazda</t>
        </is>
      </c>
      <c r="F22053" s="0" t="s">
        <v>13</v>
      </c>
      <c r="G22053" s="0" t="s">
        <v>49</v>
      </c>
      <c r="H22053" s="5">
        <v>130.865700</v>
      </c>
    </row>
    <row r="22054" spans="1:9">
      <c r="A22054" s="22" t="str">
        <f>HYPERLINK("https://app.vivvix.com/360/KMI/IntelliDrive/ApplUI/Pages/CreativePages/CustomReportCreativeDetail.aspx?App=23&amp;ReportView=4&amp;Qid=1711279&amp;Row=22046&amp;Col=1","No Title Assigned - #15280509584")</f>
        <v/>
      </c>
      <c r="B22054" s="0" t="s">
        <v>29323</v>
      </c>
      <c r="C22054" s="0" t="s">
        <v>29324</v>
      </c>
      <c r="D22054" s="0" t="s">
        <v>19758</v>
      </c>
      <c r="E22054" s="0" t="inlineStr">
        <is>
          <t xml:space="preserve">Mazda</t>
        </is>
      </c>
      <c r="F22054" s="0" t="s">
        <v>13</v>
      </c>
      <c r="G22054" s="0" t="s">
        <v>49</v>
      </c>
      <c r="H22054" s="5">
        <v>71.328000</v>
      </c>
    </row>
    <row r="22055" spans="1:9">
      <c r="A22055" s="22" t="str">
        <f>HYPERLINK("https://app.vivvix.com/360/KMI/IntelliDrive/ApplUI/Pages/CreativePages/CustomReportCreativeDetail.aspx?App=23&amp;ReportView=4&amp;Qid=1711279&amp;Row=22047&amp;Col=1","No Title Assigned - #15280509747")</f>
        <v/>
      </c>
      <c r="B22055" s="0" t="s">
        <v>29325</v>
      </c>
      <c r="C22055" s="0" t="s">
        <v>29326</v>
      </c>
      <c r="D22055" s="0" t="s">
        <v>29326</v>
      </c>
      <c r="E22055" s="0" t="inlineStr">
        <is>
          <t xml:space="preserve">Mazda</t>
        </is>
      </c>
      <c r="F22055" s="0" t="s">
        <v>13</v>
      </c>
      <c r="G22055" s="0" t="s">
        <v>49</v>
      </c>
      <c r="H22055" s="5">
        <v>80.820200</v>
      </c>
    </row>
    <row r="22056" spans="1:9">
      <c r="A22056" s="22" t="str">
        <f>HYPERLINK("https://app.vivvix.com/360/KMI/IntelliDrive/ApplUI/Pages/CreativePages/CustomReportCreativeDetail.aspx?App=23&amp;ReportView=4&amp;Qid=1711279&amp;Row=22048&amp;Col=1","No Title Assigned - #15280510117")</f>
        <v/>
      </c>
      <c r="B22056" s="0" t="s">
        <v>29327</v>
      </c>
      <c r="C22056" s="0" t="s">
        <v>29328</v>
      </c>
      <c r="D22056" s="0" t="s">
        <v>29328</v>
      </c>
      <c r="E22056" s="0" t="inlineStr">
        <is>
          <t xml:space="preserve">Mazda</t>
        </is>
      </c>
      <c r="F22056" s="0" t="s">
        <v>13</v>
      </c>
      <c r="G22056" s="0" t="s">
        <v>49</v>
      </c>
      <c r="H22056" s="5">
        <v>44.366200</v>
      </c>
    </row>
    <row r="22057" spans="1:9">
      <c r="A22057" s="22" t="str">
        <f>HYPERLINK("https://app.vivvix.com/360/KMI/IntelliDrive/ApplUI/Pages/CreativePages/CustomReportCreativeDetail.aspx?App=23&amp;ReportView=4&amp;Qid=1711279&amp;Row=22049&amp;Col=1","No Title Assigned - #15280510502")</f>
        <v/>
      </c>
      <c r="B22057" s="0" t="s">
        <v>29329</v>
      </c>
      <c r="E22057" s="0" t="inlineStr">
        <is>
          <t xml:space="preserve">Mazda</t>
        </is>
      </c>
      <c r="F22057" s="0" t="inlineStr">
        <is>
          <t xml:space="preserve">Mazda</t>
        </is>
      </c>
      <c r="G22057" s="0" t="s">
        <v>171</v>
      </c>
      <c r="H22057" s="5">
        <v>28.341200</v>
      </c>
    </row>
    <row r="22058" spans="1:9">
      <c r="A22058" s="22" t="str">
        <f>HYPERLINK("https://app.vivvix.com/360/KMI/IntelliDrive/ApplUI/Pages/CreativePages/CustomReportCreativeDetail.aspx?App=23&amp;ReportView=4&amp;Qid=1711279&amp;Row=22050&amp;Col=1","No Title Assigned - #15280512214")</f>
        <v/>
      </c>
      <c r="B22058" s="0" t="s">
        <v>29330</v>
      </c>
      <c r="C22058" s="0" t="s">
        <v>29331</v>
      </c>
      <c r="D22058" s="0" t="s">
        <v>29331</v>
      </c>
      <c r="E22058" s="0" t="inlineStr">
        <is>
          <t xml:space="preserve">Mazda</t>
        </is>
      </c>
      <c r="F22058" s="0" t="inlineStr">
        <is>
          <t xml:space="preserve">Mazda</t>
        </is>
      </c>
      <c r="G22058" s="0" t="s">
        <v>171</v>
      </c>
      <c r="H22058" s="5">
        <v>184.517000</v>
      </c>
    </row>
    <row r="22059" spans="1:9">
      <c r="A22059" s="22" t="str">
        <f>HYPERLINK("https://app.vivvix.com/360/KMI/IntelliDrive/ApplUI/Pages/CreativePages/CustomReportCreativeDetail.aspx?App=23&amp;ReportView=4&amp;Qid=1711279&amp;Row=22051&amp;Col=1","No Title Assigned - #15280512232")</f>
        <v/>
      </c>
      <c r="B22059" s="0" t="s">
        <v>29332</v>
      </c>
      <c r="E22059" s="0" t="inlineStr">
        <is>
          <t xml:space="preserve">Mazda</t>
        </is>
      </c>
      <c r="F22059" s="0" t="inlineStr">
        <is>
          <t xml:space="preserve">Mazda</t>
        </is>
      </c>
      <c r="G22059" s="0" t="s">
        <v>171</v>
      </c>
      <c r="H22059" s="5">
        <v>130.574200</v>
      </c>
    </row>
    <row r="22060" spans="1:9">
      <c r="A22060" s="22" t="str">
        <f>HYPERLINK("https://app.vivvix.com/360/KMI/IntelliDrive/ApplUI/Pages/CreativePages/CustomReportCreativeDetail.aspx?App=23&amp;ReportView=4&amp;Qid=1711279&amp;Row=22052&amp;Col=1","No Title Assigned - #15280512326")</f>
        <v/>
      </c>
      <c r="B22060" s="0" t="s">
        <v>29333</v>
      </c>
      <c r="E22060" s="0" t="inlineStr">
        <is>
          <t xml:space="preserve">Mazda</t>
        </is>
      </c>
      <c r="F22060" s="0" t="inlineStr">
        <is>
          <t xml:space="preserve">Mazda</t>
        </is>
      </c>
      <c r="G22060" s="0" t="s">
        <v>171</v>
      </c>
      <c r="H22060" s="5">
        <v>845.591600</v>
      </c>
    </row>
    <row r="22061" spans="1:9">
      <c r="A22061" s="22" t="str">
        <f>HYPERLINK("https://app.vivvix.com/360/KMI/IntelliDrive/ApplUI/Pages/CreativePages/CustomReportCreativeDetail.aspx?App=23&amp;ReportView=4&amp;Qid=1711279&amp;Row=22053&amp;Col=1","No Title Assigned - #15280512959")</f>
        <v/>
      </c>
      <c r="B22061" s="0" t="s">
        <v>29334</v>
      </c>
      <c r="E22061" s="0" t="inlineStr">
        <is>
          <t xml:space="preserve">Mazda</t>
        </is>
      </c>
      <c r="F22061" s="0" t="inlineStr">
        <is>
          <t xml:space="preserve">Mazda</t>
        </is>
      </c>
      <c r="G22061" s="0" t="s">
        <v>171</v>
      </c>
      <c r="H22061" s="5">
        <v>143.563800</v>
      </c>
    </row>
    <row r="22062" spans="1:9">
      <c r="A22062" s="22" t="str">
        <f>HYPERLINK("https://app.vivvix.com/360/KMI/IntelliDrive/ApplUI/Pages/CreativePages/CustomReportCreativeDetail.aspx?App=23&amp;ReportView=4&amp;Qid=1711279&amp;Row=22054&amp;Col=1","No Title Assigned - #15280512960")</f>
        <v/>
      </c>
      <c r="B22062" s="0" t="s">
        <v>29335</v>
      </c>
      <c r="C22062" s="0" t="s">
        <v>29336</v>
      </c>
      <c r="D22062" s="0" t="s">
        <v>29336</v>
      </c>
      <c r="E22062" s="0" t="inlineStr">
        <is>
          <t xml:space="preserve">Mazda</t>
        </is>
      </c>
      <c r="F22062" s="0" t="inlineStr">
        <is>
          <t xml:space="preserve">Mazda</t>
        </is>
      </c>
      <c r="G22062" s="0" t="s">
        <v>171</v>
      </c>
      <c r="H22062" s="5">
        <v>71.781900</v>
      </c>
    </row>
    <row r="22063" spans="1:9">
      <c r="A22063" s="22" t="str">
        <f>HYPERLINK("https://app.vivvix.com/360/KMI/IntelliDrive/ApplUI/Pages/CreativePages/CustomReportCreativeDetail.aspx?App=23&amp;ReportView=4&amp;Qid=1711279&amp;Row=22055&amp;Col=1","No Title Assigned - #15280513254")</f>
        <v/>
      </c>
      <c r="B22063" s="0" t="s">
        <v>29337</v>
      </c>
      <c r="E22063" s="0" t="inlineStr">
        <is>
          <t xml:space="preserve">Mazda</t>
        </is>
      </c>
      <c r="F22063" s="0" t="inlineStr">
        <is>
          <t xml:space="preserve">Mazda</t>
        </is>
      </c>
      <c r="G22063" s="0" t="s">
        <v>171</v>
      </c>
      <c r="H22063" s="5">
        <v>156.027600</v>
      </c>
    </row>
    <row r="22064" spans="1:9">
      <c r="A22064" s="22" t="str">
        <f>HYPERLINK("https://app.vivvix.com/360/KMI/IntelliDrive/ApplUI/Pages/CreativePages/CustomReportCreativeDetail.aspx?App=23&amp;ReportView=4&amp;Qid=1711279&amp;Row=22056&amp;Col=1","No Title Assigned - #15280513319")</f>
        <v/>
      </c>
      <c r="B22064" s="0" t="s">
        <v>29338</v>
      </c>
      <c r="E22064" s="0" t="inlineStr">
        <is>
          <t xml:space="preserve">Mazda</t>
        </is>
      </c>
      <c r="F22064" s="0" t="inlineStr">
        <is>
          <t xml:space="preserve">Mazda</t>
        </is>
      </c>
      <c r="G22064" s="0" t="s">
        <v>171</v>
      </c>
      <c r="H22064" s="5">
        <v>147.367300</v>
      </c>
    </row>
    <row r="22065" spans="1:9">
      <c r="A22065" s="22" t="str">
        <f>HYPERLINK("https://app.vivvix.com/360/KMI/IntelliDrive/ApplUI/Pages/CreativePages/CustomReportCreativeDetail.aspx?App=23&amp;ReportView=4&amp;Qid=1711279&amp;Row=22057&amp;Col=1","No Title Assigned - #15280513768")</f>
        <v/>
      </c>
      <c r="B22065" s="0" t="s">
        <v>29339</v>
      </c>
      <c r="E22065" s="0" t="inlineStr">
        <is>
          <t xml:space="preserve">Mazda</t>
        </is>
      </c>
      <c r="F22065" s="0" t="inlineStr">
        <is>
          <t xml:space="preserve">Mazda</t>
        </is>
      </c>
      <c r="G22065" s="0" t="s">
        <v>171</v>
      </c>
      <c r="H22065" s="5">
        <v>306.387800</v>
      </c>
    </row>
    <row r="22066" spans="1:9">
      <c r="A22066" s="22" t="str">
        <f>HYPERLINK("https://app.vivvix.com/360/KMI/IntelliDrive/ApplUI/Pages/CreativePages/CustomReportCreativeDetail.aspx?App=23&amp;ReportView=4&amp;Qid=1711279&amp;Row=22058&amp;Col=1","No Title Assigned - #15280514114")</f>
        <v/>
      </c>
      <c r="B22066" s="0" t="s">
        <v>29340</v>
      </c>
      <c r="E22066" s="0" t="inlineStr">
        <is>
          <t xml:space="preserve">Mazda</t>
        </is>
      </c>
      <c r="F22066" s="0" t="inlineStr">
        <is>
          <t xml:space="preserve">Mazda</t>
        </is>
      </c>
      <c r="G22066" s="0" t="s">
        <v>171</v>
      </c>
      <c r="H22066" s="5">
        <v>84156.946000</v>
      </c>
    </row>
    <row r="22067" spans="1:9">
      <c r="A22067" s="22" t="str">
        <f>HYPERLINK("https://app.vivvix.com/360/KMI/IntelliDrive/ApplUI/Pages/CreativePages/CustomReportCreativeDetail.aspx?App=23&amp;ReportView=4&amp;Qid=1711279&amp;Row=22059&amp;Col=1","No Title Assigned - #15280514189")</f>
        <v/>
      </c>
      <c r="B22067" s="0" t="s">
        <v>29341</v>
      </c>
      <c r="E22067" s="0" t="inlineStr">
        <is>
          <t xml:space="preserve">Mazda</t>
        </is>
      </c>
      <c r="F22067" s="0" t="inlineStr">
        <is>
          <t xml:space="preserve">Mazda</t>
        </is>
      </c>
      <c r="G22067" s="0" t="s">
        <v>171</v>
      </c>
      <c r="H22067" s="5">
        <v>251.276600</v>
      </c>
    </row>
    <row r="22068" spans="1:9">
      <c r="A22068" s="22" t="str">
        <f>HYPERLINK("https://app.vivvix.com/360/KMI/IntelliDrive/ApplUI/Pages/CreativePages/CustomReportCreativeDetail.aspx?App=23&amp;ReportView=4&amp;Qid=1711279&amp;Row=22060&amp;Col=1","No Title Assigned - #15280514243")</f>
        <v/>
      </c>
      <c r="B22068" s="0" t="s">
        <v>29342</v>
      </c>
      <c r="E22068" s="0" t="inlineStr">
        <is>
          <t xml:space="preserve">Mazda</t>
        </is>
      </c>
      <c r="F22068" s="0" t="inlineStr">
        <is>
          <t xml:space="preserve">Mazda</t>
        </is>
      </c>
      <c r="G22068" s="0" t="s">
        <v>171</v>
      </c>
      <c r="H22068" s="5">
        <v>21.937100</v>
      </c>
    </row>
    <row r="22069" spans="1:9">
      <c r="A22069" s="22" t="str">
        <f>HYPERLINK("https://app.vivvix.com/360/KMI/IntelliDrive/ApplUI/Pages/CreativePages/CustomReportCreativeDetail.aspx?App=23&amp;ReportView=4&amp;Qid=1711279&amp;Row=22061&amp;Col=1","No Title Assigned - #15280514349")</f>
        <v/>
      </c>
      <c r="B22069" s="0" t="s">
        <v>29343</v>
      </c>
      <c r="E22069" s="0" t="inlineStr">
        <is>
          <t xml:space="preserve">Mazda</t>
        </is>
      </c>
      <c r="F22069" s="0" t="inlineStr">
        <is>
          <t xml:space="preserve">Mazda</t>
        </is>
      </c>
      <c r="G22069" s="0" t="s">
        <v>171</v>
      </c>
      <c r="H22069" s="5">
        <v>1056.581200</v>
      </c>
    </row>
    <row r="22070" spans="1:9">
      <c r="A22070" s="22" t="str">
        <f>HYPERLINK("https://app.vivvix.com/360/KMI/IntelliDrive/ApplUI/Pages/CreativePages/CustomReportCreativeDetail.aspx?App=23&amp;ReportView=4&amp;Qid=1711279&amp;Row=22062&amp;Col=1","No Title Assigned - #15280514842")</f>
        <v/>
      </c>
      <c r="B22070" s="0" t="s">
        <v>29344</v>
      </c>
      <c r="E22070" s="0" t="inlineStr">
        <is>
          <t xml:space="preserve">Mazda</t>
        </is>
      </c>
      <c r="F22070" s="0" t="inlineStr">
        <is>
          <t xml:space="preserve">Mazda</t>
        </is>
      </c>
      <c r="G22070" s="0" t="s">
        <v>171</v>
      </c>
      <c r="H22070" s="5">
        <v>49.281300</v>
      </c>
    </row>
    <row r="22071" spans="1:9">
      <c r="A22071" s="22" t="str">
        <f>HYPERLINK("https://app.vivvix.com/360/KMI/IntelliDrive/ApplUI/Pages/CreativePages/CustomReportCreativeDetail.aspx?App=23&amp;ReportView=4&amp;Qid=1711279&amp;Row=22063&amp;Col=1","No Title Assigned - #15280516782")</f>
        <v/>
      </c>
      <c r="B22071" s="0" t="s">
        <v>29345</v>
      </c>
      <c r="E22071" s="0" t="inlineStr">
        <is>
          <t xml:space="preserve">Mazda</t>
        </is>
      </c>
      <c r="F22071" s="0" t="inlineStr">
        <is>
          <t xml:space="preserve">Mazda</t>
        </is>
      </c>
      <c r="G22071" s="0" t="s">
        <v>171</v>
      </c>
      <c r="H22071" s="5">
        <v>6.200000</v>
      </c>
    </row>
    <row r="22072" spans="1:9">
      <c r="A22072" s="22" t="str">
        <f>HYPERLINK("https://app.vivvix.com/360/KMI/IntelliDrive/ApplUI/Pages/CreativePages/CustomReportCreativeDetail.aspx?App=23&amp;ReportView=4&amp;Qid=1711279&amp;Row=22064&amp;Col=1","No Title Assigned - #15280516934")</f>
        <v/>
      </c>
      <c r="B22072" s="0" t="s">
        <v>29346</v>
      </c>
      <c r="E22072" s="0" t="inlineStr">
        <is>
          <t xml:space="preserve">Mazda</t>
        </is>
      </c>
      <c r="F22072" s="0" t="inlineStr">
        <is>
          <t xml:space="preserve">Mazda</t>
        </is>
      </c>
      <c r="G22072" s="0" t="s">
        <v>171</v>
      </c>
      <c r="H22072" s="5">
        <v>251.633000</v>
      </c>
    </row>
    <row r="22073" spans="1:9">
      <c r="A22073" s="22" t="str">
        <f>HYPERLINK("https://app.vivvix.com/360/KMI/IntelliDrive/ApplUI/Pages/CreativePages/CustomReportCreativeDetail.aspx?App=23&amp;ReportView=4&amp;Qid=1711279&amp;Row=22065&amp;Col=1","No Title Assigned - #15280518801")</f>
        <v/>
      </c>
      <c r="B22073" s="0" t="s">
        <v>29347</v>
      </c>
      <c r="E22073" s="0" t="inlineStr">
        <is>
          <t xml:space="preserve">Mazda</t>
        </is>
      </c>
      <c r="F22073" s="0" t="inlineStr">
        <is>
          <t xml:space="preserve">Mazda</t>
        </is>
      </c>
      <c r="G22073" s="0" t="s">
        <v>171</v>
      </c>
      <c r="H22073" s="5">
        <v>66.576200</v>
      </c>
    </row>
    <row r="22074" spans="1:9">
      <c r="A22074" s="22" t="str">
        <f>HYPERLINK("https://app.vivvix.com/360/KMI/IntelliDrive/ApplUI/Pages/CreativePages/CustomReportCreativeDetail.aspx?App=23&amp;ReportView=4&amp;Qid=1711279&amp;Row=22066&amp;Col=1","No Title Assigned - #15280520563")</f>
        <v/>
      </c>
      <c r="B22074" s="0" t="s">
        <v>29348</v>
      </c>
      <c r="E22074" s="0" t="inlineStr">
        <is>
          <t xml:space="preserve">Mazda</t>
        </is>
      </c>
      <c r="F22074" s="0" t="inlineStr">
        <is>
          <t xml:space="preserve">Mazda</t>
        </is>
      </c>
      <c r="G22074" s="0" t="s">
        <v>171</v>
      </c>
      <c r="H22074" s="5">
        <v>159.767800</v>
      </c>
    </row>
    <row r="22075" spans="1:9">
      <c r="A22075" s="22" t="str">
        <f>HYPERLINK("https://app.vivvix.com/360/KMI/IntelliDrive/ApplUI/Pages/CreativePages/CustomReportCreativeDetail.aspx?App=23&amp;ReportView=4&amp;Qid=1711279&amp;Row=22067&amp;Col=1","No Title Assigned - #15280523751")</f>
        <v/>
      </c>
      <c r="B22075" s="0" t="s">
        <v>29349</v>
      </c>
      <c r="C22075" s="0" t="s">
        <v>29350</v>
      </c>
      <c r="D22075" s="0" t="s">
        <v>29350</v>
      </c>
      <c r="E22075" s="0" t="inlineStr">
        <is>
          <t xml:space="preserve">Mazda</t>
        </is>
      </c>
      <c r="F22075" s="0" t="s">
        <v>13</v>
      </c>
      <c r="G22075" s="0" t="s">
        <v>49</v>
      </c>
      <c r="H22075" s="5">
        <v>1335.692200</v>
      </c>
    </row>
    <row r="22076" spans="1:9">
      <c r="A22076" s="22" t="str">
        <f>HYPERLINK("https://app.vivvix.com/360/KMI/IntelliDrive/ApplUI/Pages/CreativePages/CustomReportCreativeDetail.aspx?App=23&amp;ReportView=4&amp;Qid=1711279&amp;Row=22068&amp;Col=1","No Title Assigned - #15280525126")</f>
        <v/>
      </c>
      <c r="B22076" s="0" t="s">
        <v>29351</v>
      </c>
      <c r="E22076" s="0" t="inlineStr">
        <is>
          <t xml:space="preserve">Mazda</t>
        </is>
      </c>
      <c r="F22076" s="0" t="inlineStr">
        <is>
          <t xml:space="preserve">Mazda</t>
        </is>
      </c>
      <c r="G22076" s="0" t="s">
        <v>171</v>
      </c>
      <c r="H22076" s="5">
        <v>43.874200</v>
      </c>
    </row>
    <row r="22077" spans="1:9">
      <c r="A22077" s="22" t="str">
        <f>HYPERLINK("https://app.vivvix.com/360/KMI/IntelliDrive/ApplUI/Pages/CreativePages/CustomReportCreativeDetail.aspx?App=23&amp;ReportView=4&amp;Qid=1711279&amp;Row=22069&amp;Col=1","No Title Assigned - #15280534407")</f>
        <v/>
      </c>
      <c r="B22077" s="0" t="s">
        <v>29352</v>
      </c>
      <c r="E22077" s="0" t="inlineStr">
        <is>
          <t xml:space="preserve">Mazda</t>
        </is>
      </c>
      <c r="F22077" s="0" t="inlineStr">
        <is>
          <t xml:space="preserve">Mazda</t>
        </is>
      </c>
      <c r="G22077" s="0" t="s">
        <v>171</v>
      </c>
      <c r="H22077" s="5">
        <v>252.179900</v>
      </c>
    </row>
    <row r="22078" spans="1:9">
      <c r="A22078" s="22" t="str">
        <f>HYPERLINK("https://app.vivvix.com/360/KMI/IntelliDrive/ApplUI/Pages/CreativePages/CustomReportCreativeDetail.aspx?App=23&amp;ReportView=4&amp;Qid=1711279&amp;Row=22070&amp;Col=1","No Title Assigned - #15280534421")</f>
        <v/>
      </c>
      <c r="B22078" s="0" t="s">
        <v>29353</v>
      </c>
      <c r="E22078" s="0" t="inlineStr">
        <is>
          <t xml:space="preserve">Mazda</t>
        </is>
      </c>
      <c r="F22078" s="0" t="inlineStr">
        <is>
          <t xml:space="preserve">Mazda</t>
        </is>
      </c>
      <c r="G22078" s="0" t="s">
        <v>171</v>
      </c>
      <c r="H22078" s="5">
        <v>16.979200</v>
      </c>
    </row>
    <row r="22079" spans="1:9">
      <c r="A22079" s="22" t="str">
        <f>HYPERLINK("https://app.vivvix.com/360/KMI/IntelliDrive/ApplUI/Pages/CreativePages/CustomReportCreativeDetail.aspx?App=23&amp;ReportView=4&amp;Qid=1711279&amp;Row=22071&amp;Col=1","No Title Assigned - #15280534430")</f>
        <v/>
      </c>
      <c r="B22079" s="0" t="s">
        <v>29354</v>
      </c>
      <c r="E22079" s="0" t="inlineStr">
        <is>
          <t xml:space="preserve">Mazda</t>
        </is>
      </c>
      <c r="F22079" s="0" t="inlineStr">
        <is>
          <t xml:space="preserve">Mazda</t>
        </is>
      </c>
      <c r="G22079" s="0" t="s">
        <v>171</v>
      </c>
      <c r="H22079" s="5">
        <v>403.036500</v>
      </c>
    </row>
    <row r="22080" spans="1:9">
      <c r="A22080" s="22" t="str">
        <f>HYPERLINK("https://app.vivvix.com/360/KMI/IntelliDrive/ApplUI/Pages/CreativePages/CustomReportCreativeDetail.aspx?App=23&amp;ReportView=4&amp;Qid=1711279&amp;Row=22072&amp;Col=1","No Title Assigned - #15280534610")</f>
        <v/>
      </c>
      <c r="B22080" s="0" t="s">
        <v>29355</v>
      </c>
      <c r="E22080" s="0" t="inlineStr">
        <is>
          <t xml:space="preserve">Mazda</t>
        </is>
      </c>
      <c r="F22080" s="0" t="inlineStr">
        <is>
          <t xml:space="preserve">Mazda</t>
        </is>
      </c>
      <c r="G22080" s="0" t="s">
        <v>171</v>
      </c>
      <c r="H22080" s="5">
        <v>166.087000</v>
      </c>
    </row>
    <row r="22081" spans="1:9">
      <c r="A22081" s="22" t="str">
        <f>HYPERLINK("https://app.vivvix.com/360/KMI/IntelliDrive/ApplUI/Pages/CreativePages/CustomReportCreativeDetail.aspx?App=23&amp;ReportView=4&amp;Qid=1711279&amp;Row=22073&amp;Col=1","No Title Assigned - #15280534737")</f>
        <v/>
      </c>
      <c r="B22081" s="0" t="s">
        <v>29356</v>
      </c>
      <c r="E22081" s="0" t="inlineStr">
        <is>
          <t xml:space="preserve">Mazda</t>
        </is>
      </c>
      <c r="F22081" s="0" t="inlineStr">
        <is>
          <t xml:space="preserve">Mazda</t>
        </is>
      </c>
      <c r="G22081" s="0" t="s">
        <v>171</v>
      </c>
      <c r="H22081" s="5">
        <v>16.979200</v>
      </c>
    </row>
    <row r="22082" spans="1:9">
      <c r="A22082" s="22" t="str">
        <f>HYPERLINK("https://app.vivvix.com/360/KMI/IntelliDrive/ApplUI/Pages/CreativePages/CustomReportCreativeDetail.aspx?App=23&amp;ReportView=4&amp;Qid=1711279&amp;Row=22074&amp;Col=1","No Title Assigned - #15280535677")</f>
        <v/>
      </c>
      <c r="B22082" s="0" t="s">
        <v>29357</v>
      </c>
      <c r="E22082" s="0" t="inlineStr">
        <is>
          <t xml:space="preserve">Mazda</t>
        </is>
      </c>
      <c r="F22082" s="0" t="inlineStr">
        <is>
          <t xml:space="preserve">Mazda</t>
        </is>
      </c>
      <c r="G22082" s="0" t="s">
        <v>171</v>
      </c>
      <c r="H22082" s="5">
        <v>48.955500</v>
      </c>
    </row>
    <row r="22083" spans="1:9">
      <c r="A22083" s="22" t="str">
        <f>HYPERLINK("https://app.vivvix.com/360/KMI/IntelliDrive/ApplUI/Pages/CreativePages/CustomReportCreativeDetail.aspx?App=23&amp;ReportView=4&amp;Qid=1711279&amp;Row=22075&amp;Col=1","No Title Assigned - #15280536291")</f>
        <v/>
      </c>
      <c r="B22083" s="0" t="s">
        <v>29358</v>
      </c>
      <c r="E22083" s="0" t="inlineStr">
        <is>
          <t xml:space="preserve">Mazda</t>
        </is>
      </c>
      <c r="F22083" s="0" t="inlineStr">
        <is>
          <t xml:space="preserve">Mazda</t>
        </is>
      </c>
      <c r="G22083" s="0" t="s">
        <v>171</v>
      </c>
      <c r="H22083" s="5">
        <v>61700.523600</v>
      </c>
    </row>
    <row r="22084" spans="1:9">
      <c r="A22084" s="22" t="str">
        <f>HYPERLINK("https://app.vivvix.com/360/KMI/IntelliDrive/ApplUI/Pages/CreativePages/CustomReportCreativeDetail.aspx?App=23&amp;ReportView=4&amp;Qid=1711279&amp;Row=22076&amp;Col=1","No Title Assigned - #15280536851")</f>
        <v/>
      </c>
      <c r="B22084" s="0" t="s">
        <v>29359</v>
      </c>
      <c r="E22084" s="0" t="inlineStr">
        <is>
          <t xml:space="preserve">Mazda</t>
        </is>
      </c>
      <c r="F22084" s="0" t="inlineStr">
        <is>
          <t xml:space="preserve">Mazda</t>
        </is>
      </c>
      <c r="G22084" s="0" t="s">
        <v>171</v>
      </c>
      <c r="H22084" s="5">
        <v>22978.646400</v>
      </c>
    </row>
    <row r="22085" spans="1:9">
      <c r="A22085" s="22" t="str">
        <f>HYPERLINK("https://app.vivvix.com/360/KMI/IntelliDrive/ApplUI/Pages/CreativePages/CustomReportCreativeDetail.aspx?App=23&amp;ReportView=4&amp;Qid=1711279&amp;Row=22077&amp;Col=1","No Title Assigned - #15280537917")</f>
        <v/>
      </c>
      <c r="B22085" s="0" t="s">
        <v>29360</v>
      </c>
      <c r="C22085" s="0" t="s">
        <v>29361</v>
      </c>
      <c r="D22085" s="0" t="s">
        <v>29361</v>
      </c>
      <c r="E22085" s="0" t="inlineStr">
        <is>
          <t xml:space="preserve">Mazda</t>
        </is>
      </c>
      <c r="F22085" s="0" t="s">
        <v>13</v>
      </c>
      <c r="G22085" s="0" t="s">
        <v>49</v>
      </c>
      <c r="H22085" s="5">
        <v>29.374100</v>
      </c>
    </row>
    <row r="22086" spans="1:9">
      <c r="A22086" s="22" t="str">
        <f>HYPERLINK("https://app.vivvix.com/360/KMI/IntelliDrive/ApplUI/Pages/CreativePages/CustomReportCreativeDetail.aspx?App=23&amp;ReportView=4&amp;Qid=1711279&amp;Row=22078&amp;Col=1","No Title Assigned - #15280537921")</f>
        <v/>
      </c>
      <c r="B22086" s="0" t="s">
        <v>29362</v>
      </c>
      <c r="C22086" s="0" t="s">
        <v>29363</v>
      </c>
      <c r="D22086" s="0" t="s">
        <v>29363</v>
      </c>
      <c r="E22086" s="0" t="inlineStr">
        <is>
          <t xml:space="preserve">Mazda</t>
        </is>
      </c>
      <c r="F22086" s="0" t="s">
        <v>13</v>
      </c>
      <c r="G22086" s="0" t="s">
        <v>49</v>
      </c>
      <c r="H22086" s="5">
        <v>29.374100</v>
      </c>
    </row>
    <row r="22087" spans="1:9">
      <c r="A22087" s="22" t="str">
        <f>HYPERLINK("https://app.vivvix.com/360/KMI/IntelliDrive/ApplUI/Pages/CreativePages/CustomReportCreativeDetail.aspx?App=23&amp;ReportView=4&amp;Qid=1711279&amp;Row=22079&amp;Col=1","No Title Assigned - #15280538134")</f>
        <v/>
      </c>
      <c r="B22087" s="0" t="s">
        <v>29364</v>
      </c>
      <c r="C22087" s="0" t="s">
        <v>29365</v>
      </c>
      <c r="D22087" s="0" t="s">
        <v>20883</v>
      </c>
      <c r="E22087" s="0" t="inlineStr">
        <is>
          <t xml:space="preserve">Mazda</t>
        </is>
      </c>
      <c r="F22087" s="0" t="s">
        <v>13</v>
      </c>
      <c r="G22087" s="0" t="s">
        <v>49</v>
      </c>
      <c r="H22087" s="5">
        <v>127.096400</v>
      </c>
    </row>
    <row r="22088" spans="1:9">
      <c r="A22088" s="22" t="str">
        <f>HYPERLINK("https://app.vivvix.com/360/KMI/IntelliDrive/ApplUI/Pages/CreativePages/CustomReportCreativeDetail.aspx?App=23&amp;ReportView=4&amp;Qid=1711279&amp;Row=22080&amp;Col=1","No Title Assigned - #15280539573")</f>
        <v/>
      </c>
      <c r="B22088" s="0" t="s">
        <v>29366</v>
      </c>
      <c r="E22088" s="0" t="inlineStr">
        <is>
          <t xml:space="preserve">Mazda</t>
        </is>
      </c>
      <c r="F22088" s="0" t="s">
        <v>13</v>
      </c>
      <c r="G22088" s="0" t="s">
        <v>49</v>
      </c>
      <c r="H22088" s="5">
        <v>9.370700</v>
      </c>
    </row>
    <row r="22089" spans="1:9">
      <c r="A22089" s="22" t="str">
        <f>HYPERLINK("https://app.vivvix.com/360/KMI/IntelliDrive/ApplUI/Pages/CreativePages/CustomReportCreativeDetail.aspx?App=23&amp;ReportView=4&amp;Qid=1711279&amp;Row=22081&amp;Col=1","No Title Assigned - #15280539851")</f>
        <v/>
      </c>
      <c r="B22089" s="0" t="s">
        <v>29367</v>
      </c>
      <c r="C22089" s="0" t="s">
        <v>29368</v>
      </c>
      <c r="D22089" s="0" t="s">
        <v>10860</v>
      </c>
      <c r="E22089" s="0" t="inlineStr">
        <is>
          <t xml:space="preserve">Mazda</t>
        </is>
      </c>
      <c r="F22089" s="0" t="s">
        <v>13</v>
      </c>
      <c r="G22089" s="0" t="s">
        <v>49</v>
      </c>
      <c r="H22089" s="5">
        <v>279.505400</v>
      </c>
    </row>
    <row r="22090" spans="1:9">
      <c r="A22090" s="22" t="str">
        <f>HYPERLINK("https://app.vivvix.com/360/KMI/IntelliDrive/ApplUI/Pages/CreativePages/CustomReportCreativeDetail.aspx?App=23&amp;ReportView=4&amp;Qid=1711279&amp;Row=22082&amp;Col=1","No Title Assigned - #15280540211")</f>
        <v/>
      </c>
      <c r="B22090" s="0" t="s">
        <v>29369</v>
      </c>
      <c r="C22090" s="0" t="s">
        <v>29370</v>
      </c>
      <c r="D22090" s="0" t="s">
        <v>10311</v>
      </c>
      <c r="E22090" s="0" t="inlineStr">
        <is>
          <t xml:space="preserve">Mazda</t>
        </is>
      </c>
      <c r="F22090" s="0" t="s">
        <v>13</v>
      </c>
      <c r="G22090" s="0" t="s">
        <v>49</v>
      </c>
      <c r="H22090" s="5">
        <v>991.223000</v>
      </c>
    </row>
    <row r="22091" spans="1:9">
      <c r="A22091" s="22" t="str">
        <f>HYPERLINK("https://app.vivvix.com/360/KMI/IntelliDrive/ApplUI/Pages/CreativePages/CustomReportCreativeDetail.aspx?App=23&amp;ReportView=4&amp;Qid=1711279&amp;Row=22083&amp;Col=1","No Title Assigned - #15280540211")</f>
        <v/>
      </c>
      <c r="B22091" s="0" t="s">
        <v>29369</v>
      </c>
      <c r="E22091" s="0" t="inlineStr">
        <is>
          <t xml:space="preserve">Mazda</t>
        </is>
      </c>
      <c r="F22091" s="0" t="s">
        <v>13</v>
      </c>
      <c r="G22091" s="0" t="s">
        <v>49</v>
      </c>
      <c r="H22091" s="5">
        <v>449.072700</v>
      </c>
    </row>
    <row r="22092" spans="1:9">
      <c r="A22092" s="22" t="str">
        <f>HYPERLINK("https://app.vivvix.com/360/KMI/IntelliDrive/ApplUI/Pages/CreativePages/CustomReportCreativeDetail.aspx?App=23&amp;ReportView=4&amp;Qid=1711279&amp;Row=22084&amp;Col=1","No Title Assigned - #15280546117")</f>
        <v/>
      </c>
      <c r="B22092" s="0" t="s">
        <v>29371</v>
      </c>
      <c r="C22092" s="0" t="s">
        <v>29372</v>
      </c>
      <c r="D22092" s="0" t="s">
        <v>15956</v>
      </c>
      <c r="E22092" s="0" t="inlineStr">
        <is>
          <t xml:space="preserve">Mazda</t>
        </is>
      </c>
      <c r="F22092" s="0" t="s">
        <v>13</v>
      </c>
      <c r="G22092" s="0" t="s">
        <v>49</v>
      </c>
      <c r="H22092" s="5">
        <v>194.566700</v>
      </c>
    </row>
    <row r="22093" spans="1:9">
      <c r="A22093" s="22" t="str">
        <f>HYPERLINK("https://app.vivvix.com/360/KMI/IntelliDrive/ApplUI/Pages/CreativePages/CustomReportCreativeDetail.aspx?App=23&amp;ReportView=4&amp;Qid=1711279&amp;Row=22085&amp;Col=1","No Title Assigned - #15280546146")</f>
        <v/>
      </c>
      <c r="B22093" s="0" t="s">
        <v>29373</v>
      </c>
      <c r="E22093" s="0" t="inlineStr">
        <is>
          <t xml:space="preserve">Mazda</t>
        </is>
      </c>
      <c r="F22093" s="0" t="inlineStr">
        <is>
          <t xml:space="preserve">Mazda</t>
        </is>
      </c>
      <c r="G22093" s="0" t="s">
        <v>171</v>
      </c>
      <c r="H22093" s="5">
        <v>22978.646400</v>
      </c>
    </row>
    <row r="22094" spans="1:9">
      <c r="A22094" s="22" t="str">
        <f>HYPERLINK("https://app.vivvix.com/360/KMI/IntelliDrive/ApplUI/Pages/CreativePages/CustomReportCreativeDetail.aspx?App=23&amp;ReportView=4&amp;Qid=1711279&amp;Row=22086&amp;Col=1","No Title Assigned - #15280546327")</f>
        <v/>
      </c>
      <c r="B22094" s="0" t="s">
        <v>29374</v>
      </c>
      <c r="C22094" s="0" t="s">
        <v>29375</v>
      </c>
      <c r="D22094" s="0" t="s">
        <v>10067</v>
      </c>
      <c r="E22094" s="0" t="inlineStr">
        <is>
          <t xml:space="preserve">Mazda</t>
        </is>
      </c>
      <c r="F22094" s="0" t="s">
        <v>13</v>
      </c>
      <c r="G22094" s="0" t="s">
        <v>49</v>
      </c>
      <c r="H22094" s="5">
        <v>120.953100</v>
      </c>
    </row>
    <row r="22095" spans="1:9">
      <c r="A22095" s="22" t="str">
        <f>HYPERLINK("https://app.vivvix.com/360/KMI/IntelliDrive/ApplUI/Pages/CreativePages/CustomReportCreativeDetail.aspx?App=23&amp;ReportView=4&amp;Qid=1711279&amp;Row=22087&amp;Col=1","No Title Assigned - #15280546900")</f>
        <v/>
      </c>
      <c r="B22095" s="0" t="s">
        <v>29376</v>
      </c>
      <c r="C22095" s="0" t="s">
        <v>29377</v>
      </c>
      <c r="D22095" s="0" t="s">
        <v>11639</v>
      </c>
      <c r="E22095" s="0" t="inlineStr">
        <is>
          <t xml:space="preserve">Mazda</t>
        </is>
      </c>
      <c r="F22095" s="0" t="s">
        <v>13</v>
      </c>
      <c r="G22095" s="0" t="s">
        <v>49</v>
      </c>
      <c r="H22095" s="5">
        <v>1932.469200</v>
      </c>
    </row>
    <row r="22096" spans="1:9">
      <c r="A22096" s="22" t="str">
        <f>HYPERLINK("https://app.vivvix.com/360/KMI/IntelliDrive/ApplUI/Pages/CreativePages/CustomReportCreativeDetail.aspx?App=23&amp;ReportView=4&amp;Qid=1711279&amp;Row=22088&amp;Col=1","No Title Assigned - #15280546900")</f>
        <v/>
      </c>
      <c r="B22096" s="0" t="s">
        <v>29376</v>
      </c>
      <c r="E22096" s="0" t="inlineStr">
        <is>
          <t xml:space="preserve">Mazda</t>
        </is>
      </c>
      <c r="F22096" s="0" t="s">
        <v>13</v>
      </c>
      <c r="G22096" s="0" t="s">
        <v>49</v>
      </c>
      <c r="H22096" s="5">
        <v>9958.186000</v>
      </c>
    </row>
    <row r="22097" spans="1:9">
      <c r="A22097" s="22" t="str">
        <f>HYPERLINK("https://app.vivvix.com/360/KMI/IntelliDrive/ApplUI/Pages/CreativePages/CustomReportCreativeDetail.aspx?App=23&amp;ReportView=4&amp;Qid=1711279&amp;Row=22089&amp;Col=1","No Title Assigned - #15280547368")</f>
        <v/>
      </c>
      <c r="B22097" s="0" t="s">
        <v>29378</v>
      </c>
      <c r="C22097" s="0" t="s">
        <v>29379</v>
      </c>
      <c r="D22097" s="0" t="s">
        <v>29379</v>
      </c>
      <c r="E22097" s="0" t="inlineStr">
        <is>
          <t xml:space="preserve">Mazda</t>
        </is>
      </c>
      <c r="F22097" s="0" t="s">
        <v>330</v>
      </c>
      <c r="G22097" s="0" t="s">
        <v>331</v>
      </c>
      <c r="H22097" s="5">
        <v>45630.889000</v>
      </c>
    </row>
    <row r="22098" spans="1:9">
      <c r="A22098" s="22" t="str">
        <f>HYPERLINK("https://app.vivvix.com/360/KMI/IntelliDrive/ApplUI/Pages/CreativePages/CustomReportCreativeDetail.aspx?App=23&amp;ReportView=4&amp;Qid=1711279&amp;Row=22090&amp;Col=1","No Title Assigned - #15280548119")</f>
        <v/>
      </c>
      <c r="B22098" s="0" t="s">
        <v>29380</v>
      </c>
      <c r="C22098" s="0" t="s">
        <v>29381</v>
      </c>
      <c r="D22098" s="0" t="s">
        <v>15956</v>
      </c>
      <c r="E22098" s="0" t="inlineStr">
        <is>
          <t xml:space="preserve">Mazda</t>
        </is>
      </c>
      <c r="F22098" s="0" t="s">
        <v>13</v>
      </c>
      <c r="G22098" s="0" t="s">
        <v>49</v>
      </c>
      <c r="H22098" s="5">
        <v>1474.332400</v>
      </c>
    </row>
    <row r="22099" spans="1:9">
      <c r="A22099" s="22" t="str">
        <f>HYPERLINK("https://app.vivvix.com/360/KMI/IntelliDrive/ApplUI/Pages/CreativePages/CustomReportCreativeDetail.aspx?App=23&amp;ReportView=4&amp;Qid=1711279&amp;Row=22091&amp;Col=1","No Title Assigned - #15280548384")</f>
        <v/>
      </c>
      <c r="B22099" s="0" t="s">
        <v>29382</v>
      </c>
      <c r="C22099" s="0" t="s">
        <v>29383</v>
      </c>
      <c r="D22099" s="0" t="s">
        <v>4774</v>
      </c>
      <c r="E22099" s="0" t="inlineStr">
        <is>
          <t xml:space="preserve">Mazda</t>
        </is>
      </c>
      <c r="F22099" s="0" t="s">
        <v>13</v>
      </c>
      <c r="G22099" s="0" t="s">
        <v>49</v>
      </c>
      <c r="H22099" s="5">
        <v>1278.838700</v>
      </c>
    </row>
    <row r="22100" spans="1:9">
      <c r="A22100" s="22" t="str">
        <f>HYPERLINK("https://app.vivvix.com/360/KMI/IntelliDrive/ApplUI/Pages/CreativePages/CustomReportCreativeDetail.aspx?App=23&amp;ReportView=4&amp;Qid=1711279&amp;Row=22092&amp;Col=1","No Title Assigned - #15280550507")</f>
        <v/>
      </c>
      <c r="B22100" s="0" t="s">
        <v>29384</v>
      </c>
      <c r="C22100" s="0" t="s">
        <v>29385</v>
      </c>
      <c r="D22100" s="0" t="s">
        <v>15956</v>
      </c>
      <c r="E22100" s="0" t="inlineStr">
        <is>
          <t xml:space="preserve">Mazda</t>
        </is>
      </c>
      <c r="F22100" s="0" t="s">
        <v>13</v>
      </c>
      <c r="G22100" s="0" t="s">
        <v>49</v>
      </c>
      <c r="H22100" s="5">
        <v>35.599200</v>
      </c>
    </row>
    <row r="22101" spans="1:9">
      <c r="A22101" s="22" t="str">
        <f>HYPERLINK("https://app.vivvix.com/360/KMI/IntelliDrive/ApplUI/Pages/CreativePages/CustomReportCreativeDetail.aspx?App=23&amp;ReportView=4&amp;Qid=1711279&amp;Row=22093&amp;Col=1","No Title Assigned - #15280550961")</f>
        <v/>
      </c>
      <c r="B22101" s="0" t="s">
        <v>29386</v>
      </c>
      <c r="C22101" s="0" t="s">
        <v>29387</v>
      </c>
      <c r="D22101" s="0" t="s">
        <v>29387</v>
      </c>
      <c r="E22101" s="0" t="inlineStr">
        <is>
          <t xml:space="preserve">Mazda</t>
        </is>
      </c>
      <c r="F22101" s="0" t="s">
        <v>13</v>
      </c>
      <c r="G22101" s="0" t="s">
        <v>49</v>
      </c>
      <c r="H22101" s="5">
        <v>97.594700</v>
      </c>
    </row>
    <row r="22102" spans="1:9">
      <c r="A22102" s="22" t="str">
        <f>HYPERLINK("https://app.vivvix.com/360/KMI/IntelliDrive/ApplUI/Pages/CreativePages/CustomReportCreativeDetail.aspx?App=23&amp;ReportView=4&amp;Qid=1711279&amp;Row=22094&amp;Col=1","No Title Assigned - #15280551561")</f>
        <v/>
      </c>
      <c r="B22102" s="0" t="s">
        <v>29388</v>
      </c>
      <c r="C22102" s="0" t="s">
        <v>28926</v>
      </c>
      <c r="D22102" s="0" t="s">
        <v>28926</v>
      </c>
      <c r="E22102" s="0" t="inlineStr">
        <is>
          <t xml:space="preserve">Mazda</t>
        </is>
      </c>
      <c r="F22102" s="0" t="s">
        <v>13</v>
      </c>
      <c r="G22102" s="0" t="s">
        <v>49</v>
      </c>
      <c r="H22102" s="5">
        <v>120.340700</v>
      </c>
    </row>
    <row r="22103" spans="1:9">
      <c r="A22103" s="22" t="str">
        <f>HYPERLINK("https://app.vivvix.com/360/KMI/IntelliDrive/ApplUI/Pages/CreativePages/CustomReportCreativeDetail.aspx?App=23&amp;ReportView=4&amp;Qid=1711279&amp;Row=22095&amp;Col=1","No Title Assigned - #15280551680")</f>
        <v/>
      </c>
      <c r="B22103" s="0" t="s">
        <v>29389</v>
      </c>
      <c r="C22103" s="0" t="s">
        <v>29390</v>
      </c>
      <c r="D22103" s="0" t="s">
        <v>14393</v>
      </c>
      <c r="E22103" s="0" t="inlineStr">
        <is>
          <t xml:space="preserve">Mazda</t>
        </is>
      </c>
      <c r="F22103" s="0" t="s">
        <v>13</v>
      </c>
      <c r="G22103" s="0" t="s">
        <v>49</v>
      </c>
      <c r="H22103" s="5">
        <v>509.016600</v>
      </c>
    </row>
    <row r="22104" spans="1:9">
      <c r="A22104" s="22" t="str">
        <f>HYPERLINK("https://app.vivvix.com/360/KMI/IntelliDrive/ApplUI/Pages/CreativePages/CustomReportCreativeDetail.aspx?App=23&amp;ReportView=4&amp;Qid=1711279&amp;Row=22096&amp;Col=1","No Title Assigned - #15280553147")</f>
        <v/>
      </c>
      <c r="B22104" s="0" t="s">
        <v>29391</v>
      </c>
      <c r="C22104" s="0" t="s">
        <v>29392</v>
      </c>
      <c r="D22104" s="0" t="s">
        <v>10095</v>
      </c>
      <c r="E22104" s="0" t="inlineStr">
        <is>
          <t xml:space="preserve">Mazda</t>
        </is>
      </c>
      <c r="F22104" s="0" t="s">
        <v>13</v>
      </c>
      <c r="G22104" s="0" t="s">
        <v>49</v>
      </c>
      <c r="H22104" s="5">
        <v>4550.197500</v>
      </c>
    </row>
    <row r="22105" spans="1:9">
      <c r="A22105" s="22" t="str">
        <f>HYPERLINK("https://app.vivvix.com/360/KMI/IntelliDrive/ApplUI/Pages/CreativePages/CustomReportCreativeDetail.aspx?App=23&amp;ReportView=4&amp;Qid=1711279&amp;Row=22097&amp;Col=1","No Title Assigned - #15280553804")</f>
        <v/>
      </c>
      <c r="B22105" s="0" t="s">
        <v>29393</v>
      </c>
      <c r="C22105" s="0" t="s">
        <v>29394</v>
      </c>
      <c r="D22105" s="0" t="s">
        <v>29394</v>
      </c>
      <c r="E22105" s="0" t="inlineStr">
        <is>
          <t xml:space="preserve">Mazda</t>
        </is>
      </c>
      <c r="F22105" s="0" t="s">
        <v>13</v>
      </c>
      <c r="G22105" s="0" t="s">
        <v>49</v>
      </c>
      <c r="H22105" s="5">
        <v>8.876300</v>
      </c>
    </row>
    <row r="22106" spans="1:9">
      <c r="A22106" s="22" t="str">
        <f>HYPERLINK("https://app.vivvix.com/360/KMI/IntelliDrive/ApplUI/Pages/CreativePages/CustomReportCreativeDetail.aspx?App=23&amp;ReportView=4&amp;Qid=1711279&amp;Row=22098&amp;Col=1","No Title Assigned - #15280553860")</f>
        <v/>
      </c>
      <c r="B22106" s="0" t="s">
        <v>29395</v>
      </c>
      <c r="C22106" s="0" t="s">
        <v>29396</v>
      </c>
      <c r="D22106" s="0" t="s">
        <v>29396</v>
      </c>
      <c r="E22106" s="0" t="inlineStr">
        <is>
          <t xml:space="preserve">Mazda</t>
        </is>
      </c>
      <c r="F22106" s="0" t="s">
        <v>13</v>
      </c>
      <c r="G22106" s="0" t="s">
        <v>49</v>
      </c>
      <c r="H22106" s="5">
        <v>2288.224000</v>
      </c>
    </row>
    <row r="22107" spans="1:9">
      <c r="A22107" s="22" t="str">
        <f>HYPERLINK("https://app.vivvix.com/360/KMI/IntelliDrive/ApplUI/Pages/CreativePages/CustomReportCreativeDetail.aspx?App=23&amp;ReportView=4&amp;Qid=1711279&amp;Row=22099&amp;Col=1","No Title Assigned - #15280553906")</f>
        <v/>
      </c>
      <c r="B22107" s="0" t="s">
        <v>29397</v>
      </c>
      <c r="C22107" s="0" t="s">
        <v>29398</v>
      </c>
      <c r="D22107" s="0" t="s">
        <v>29398</v>
      </c>
      <c r="E22107" s="0" t="inlineStr">
        <is>
          <t xml:space="preserve">Mazda</t>
        </is>
      </c>
      <c r="F22107" s="0" t="s">
        <v>13</v>
      </c>
      <c r="G22107" s="0" t="s">
        <v>49</v>
      </c>
      <c r="H22107" s="5">
        <v>5.292900</v>
      </c>
    </row>
    <row r="22108" spans="1:9">
      <c r="A22108" s="22" t="str">
        <f>HYPERLINK("https://app.vivvix.com/360/KMI/IntelliDrive/ApplUI/Pages/CreativePages/CustomReportCreativeDetail.aspx?App=23&amp;ReportView=4&amp;Qid=1711279&amp;Row=22100&amp;Col=1","No Title Assigned - #15280553938")</f>
        <v/>
      </c>
      <c r="B22108" s="0" t="s">
        <v>29399</v>
      </c>
      <c r="C22108" s="0" t="s">
        <v>29400</v>
      </c>
      <c r="D22108" s="0" t="s">
        <v>10101</v>
      </c>
      <c r="E22108" s="0" t="inlineStr">
        <is>
          <t xml:space="preserve">Mazda</t>
        </is>
      </c>
      <c r="F22108" s="0" t="s">
        <v>13</v>
      </c>
      <c r="G22108" s="0" t="s">
        <v>49</v>
      </c>
      <c r="H22108" s="5">
        <v>338.345500</v>
      </c>
    </row>
    <row r="22109" spans="1:9">
      <c r="A22109" s="22" t="str">
        <f>HYPERLINK("https://app.vivvix.com/360/KMI/IntelliDrive/ApplUI/Pages/CreativePages/CustomReportCreativeDetail.aspx?App=23&amp;ReportView=4&amp;Qid=1711279&amp;Row=22101&amp;Col=1","No Title Assigned - #15280553999")</f>
        <v/>
      </c>
      <c r="B22109" s="0" t="s">
        <v>29401</v>
      </c>
      <c r="C22109" s="0" t="s">
        <v>29402</v>
      </c>
      <c r="D22109" s="0" t="s">
        <v>29402</v>
      </c>
      <c r="E22109" s="0" t="inlineStr">
        <is>
          <t xml:space="preserve">Mazda</t>
        </is>
      </c>
      <c r="F22109" s="0" t="s">
        <v>13</v>
      </c>
      <c r="G22109" s="0" t="s">
        <v>49</v>
      </c>
      <c r="H22109" s="5">
        <v>5.292900</v>
      </c>
    </row>
    <row r="22110" spans="1:9">
      <c r="A22110" s="22" t="str">
        <f>HYPERLINK("https://app.vivvix.com/360/KMI/IntelliDrive/ApplUI/Pages/CreativePages/CustomReportCreativeDetail.aspx?App=23&amp;ReportView=4&amp;Qid=1711279&amp;Row=22102&amp;Col=1","No Title Assigned - #15280554619")</f>
        <v/>
      </c>
      <c r="B22110" s="0" t="s">
        <v>29403</v>
      </c>
      <c r="C22110" s="0" t="s">
        <v>29404</v>
      </c>
      <c r="D22110" s="0" t="s">
        <v>29404</v>
      </c>
      <c r="E22110" s="0" t="inlineStr">
        <is>
          <t xml:space="preserve">Mazda</t>
        </is>
      </c>
      <c r="F22110" s="0" t="s">
        <v>13</v>
      </c>
      <c r="G22110" s="0" t="s">
        <v>49</v>
      </c>
      <c r="H22110" s="5">
        <v>159.940000</v>
      </c>
    </row>
    <row r="22111" spans="1:9">
      <c r="A22111" s="22" t="str">
        <f>HYPERLINK("https://app.vivvix.com/360/KMI/IntelliDrive/ApplUI/Pages/CreativePages/CustomReportCreativeDetail.aspx?App=23&amp;ReportView=4&amp;Qid=1711279&amp;Row=22103&amp;Col=1","No Title Assigned - #15280554651")</f>
        <v/>
      </c>
      <c r="B22111" s="0" t="s">
        <v>29405</v>
      </c>
      <c r="C22111" s="0" t="s">
        <v>29406</v>
      </c>
      <c r="D22111" s="0" t="s">
        <v>28926</v>
      </c>
      <c r="E22111" s="0" t="inlineStr">
        <is>
          <t xml:space="preserve">Mazda</t>
        </is>
      </c>
      <c r="F22111" s="0" t="s">
        <v>13</v>
      </c>
      <c r="G22111" s="0" t="s">
        <v>49</v>
      </c>
      <c r="H22111" s="5">
        <v>514.014100</v>
      </c>
    </row>
    <row r="22112" spans="1:9">
      <c r="A22112" s="22" t="str">
        <f>HYPERLINK("https://app.vivvix.com/360/KMI/IntelliDrive/ApplUI/Pages/CreativePages/CustomReportCreativeDetail.aspx?App=23&amp;ReportView=4&amp;Qid=1711279&amp;Row=22104&amp;Col=1","No Title Assigned - #15280554700")</f>
        <v/>
      </c>
      <c r="B22112" s="0" t="s">
        <v>29407</v>
      </c>
      <c r="C22112" s="0" t="s">
        <v>29408</v>
      </c>
      <c r="D22112" s="0" t="s">
        <v>4335</v>
      </c>
      <c r="E22112" s="0" t="inlineStr">
        <is>
          <t xml:space="preserve">Mazda</t>
        </is>
      </c>
      <c r="F22112" s="0" t="s">
        <v>13</v>
      </c>
      <c r="G22112" s="0" t="s">
        <v>49</v>
      </c>
      <c r="H22112" s="5">
        <v>5326.864700</v>
      </c>
    </row>
    <row r="22113" spans="1:9">
      <c r="A22113" s="22" t="str">
        <f>HYPERLINK("https://app.vivvix.com/360/KMI/IntelliDrive/ApplUI/Pages/CreativePages/CustomReportCreativeDetail.aspx?App=23&amp;ReportView=4&amp;Qid=1711279&amp;Row=22105&amp;Col=1","No Title Assigned - #15280555068")</f>
        <v/>
      </c>
      <c r="B22113" s="0" t="s">
        <v>29409</v>
      </c>
      <c r="C22113" s="0" t="s">
        <v>29410</v>
      </c>
      <c r="D22113" s="0" t="s">
        <v>9749</v>
      </c>
      <c r="E22113" s="0" t="inlineStr">
        <is>
          <t xml:space="preserve">Mazda</t>
        </is>
      </c>
      <c r="F22113" s="0" t="s">
        <v>13</v>
      </c>
      <c r="G22113" s="0" t="s">
        <v>49</v>
      </c>
      <c r="H22113" s="5">
        <v>17.799600</v>
      </c>
    </row>
    <row r="22114" spans="1:9">
      <c r="A22114" s="22" t="str">
        <f>HYPERLINK("https://app.vivvix.com/360/KMI/IntelliDrive/ApplUI/Pages/CreativePages/CustomReportCreativeDetail.aspx?App=23&amp;ReportView=4&amp;Qid=1711279&amp;Row=22106&amp;Col=1","No Title Assigned - #15280555551")</f>
        <v/>
      </c>
      <c r="B22114" s="0" t="s">
        <v>29411</v>
      </c>
      <c r="E22114" s="0" t="inlineStr">
        <is>
          <t xml:space="preserve">Mazda</t>
        </is>
      </c>
      <c r="F22114" s="0" t="s">
        <v>13</v>
      </c>
      <c r="G22114" s="0" t="s">
        <v>49</v>
      </c>
      <c r="H22114" s="5">
        <v>121.920400</v>
      </c>
    </row>
    <row r="22115" spans="1:9">
      <c r="A22115" s="22" t="str">
        <f>HYPERLINK("https://app.vivvix.com/360/KMI/IntelliDrive/ApplUI/Pages/CreativePages/CustomReportCreativeDetail.aspx?App=23&amp;ReportView=4&amp;Qid=1711279&amp;Row=22107&amp;Col=1","No Title Assigned - #15280556622")</f>
        <v/>
      </c>
      <c r="B22115" s="0" t="s">
        <v>29412</v>
      </c>
      <c r="C22115" s="0" t="s">
        <v>29413</v>
      </c>
      <c r="D22115" s="0" t="s">
        <v>29413</v>
      </c>
      <c r="E22115" s="0" t="inlineStr">
        <is>
          <t xml:space="preserve">Mazda</t>
        </is>
      </c>
      <c r="F22115" s="0" t="s">
        <v>13</v>
      </c>
      <c r="G22115" s="0" t="s">
        <v>49</v>
      </c>
      <c r="H22115" s="5">
        <v>55.712000</v>
      </c>
    </row>
    <row r="22116" spans="1:9">
      <c r="A22116" s="22" t="str">
        <f>HYPERLINK("https://app.vivvix.com/360/KMI/IntelliDrive/ApplUI/Pages/CreativePages/CustomReportCreativeDetail.aspx?App=23&amp;ReportView=4&amp;Qid=1711279&amp;Row=22108&amp;Col=1","No Title Assigned - #15280558600")</f>
        <v/>
      </c>
      <c r="B22116" s="0" t="s">
        <v>29414</v>
      </c>
      <c r="C22116" s="0" t="s">
        <v>29415</v>
      </c>
      <c r="D22116" s="0" t="s">
        <v>29415</v>
      </c>
      <c r="E22116" s="0" t="inlineStr">
        <is>
          <t xml:space="preserve">Mazda</t>
        </is>
      </c>
      <c r="F22116" s="0" t="s">
        <v>13</v>
      </c>
      <c r="G22116" s="0" t="s">
        <v>49</v>
      </c>
      <c r="H22116" s="5">
        <v>211.576600</v>
      </c>
    </row>
    <row r="22117" spans="1:9">
      <c r="A22117" s="22" t="str">
        <f>HYPERLINK("https://app.vivvix.com/360/KMI/IntelliDrive/ApplUI/Pages/CreativePages/CustomReportCreativeDetail.aspx?App=23&amp;ReportView=4&amp;Qid=1711279&amp;Row=22109&amp;Col=1","No Title Assigned - #15280559310")</f>
        <v/>
      </c>
      <c r="B22117" s="0" t="s">
        <v>29416</v>
      </c>
      <c r="C22117" s="0" t="s">
        <v>29417</v>
      </c>
      <c r="D22117" s="0" t="s">
        <v>29417</v>
      </c>
      <c r="E22117" s="0" t="inlineStr">
        <is>
          <t xml:space="preserve">Mazda</t>
        </is>
      </c>
      <c r="F22117" s="0" t="inlineStr">
        <is>
          <t xml:space="preserve">Mazda</t>
        </is>
      </c>
      <c r="G22117" s="0" t="s">
        <v>171</v>
      </c>
      <c r="H22117" s="5">
        <v>65.157800</v>
      </c>
    </row>
    <row r="22118" spans="1:9">
      <c r="A22118" s="22" t="str">
        <f>HYPERLINK("https://app.vivvix.com/360/KMI/IntelliDrive/ApplUI/Pages/CreativePages/CustomReportCreativeDetail.aspx?App=23&amp;ReportView=4&amp;Qid=1711279&amp;Row=22110&amp;Col=1","No Title Assigned - #15280559618")</f>
        <v/>
      </c>
      <c r="B22118" s="0" t="s">
        <v>29418</v>
      </c>
      <c r="E22118" s="0" t="inlineStr">
        <is>
          <t xml:space="preserve">Mazda</t>
        </is>
      </c>
      <c r="F22118" s="0" t="inlineStr">
        <is>
          <t xml:space="preserve">Mazda</t>
        </is>
      </c>
      <c r="G22118" s="0" t="s">
        <v>171</v>
      </c>
      <c r="H22118" s="5">
        <v>472.504500</v>
      </c>
    </row>
    <row r="22119" spans="1:9">
      <c r="A22119" s="22" t="str">
        <f>HYPERLINK("https://app.vivvix.com/360/KMI/IntelliDrive/ApplUI/Pages/CreativePages/CustomReportCreativeDetail.aspx?App=23&amp;ReportView=4&amp;Qid=1711279&amp;Row=22111&amp;Col=1","No Title Assigned - #15280560072")</f>
        <v/>
      </c>
      <c r="B22119" s="0" t="s">
        <v>29419</v>
      </c>
      <c r="E22119" s="0" t="inlineStr">
        <is>
          <t xml:space="preserve">Mazda</t>
        </is>
      </c>
      <c r="F22119" s="0" t="inlineStr">
        <is>
          <t xml:space="preserve">Mazda</t>
        </is>
      </c>
      <c r="G22119" s="0" t="s">
        <v>171</v>
      </c>
      <c r="H22119" s="5">
        <v>144.847200</v>
      </c>
    </row>
    <row r="22120" spans="1:9">
      <c r="A22120" s="22" t="str">
        <f>HYPERLINK("https://app.vivvix.com/360/KMI/IntelliDrive/ApplUI/Pages/CreativePages/CustomReportCreativeDetail.aspx?App=23&amp;ReportView=4&amp;Qid=1711279&amp;Row=22112&amp;Col=1","No Title Assigned - #15280560207")</f>
        <v/>
      </c>
      <c r="B22120" s="0" t="s">
        <v>29420</v>
      </c>
      <c r="E22120" s="0" t="inlineStr">
        <is>
          <t xml:space="preserve">Mazda</t>
        </is>
      </c>
      <c r="F22120" s="0" t="inlineStr">
        <is>
          <t xml:space="preserve">Mazda</t>
        </is>
      </c>
      <c r="G22120" s="0" t="s">
        <v>171</v>
      </c>
      <c r="H22120" s="5">
        <v>108.541100</v>
      </c>
    </row>
    <row r="22121" spans="1:9">
      <c r="A22121" s="22" t="str">
        <f>HYPERLINK("https://app.vivvix.com/360/KMI/IntelliDrive/ApplUI/Pages/CreativePages/CustomReportCreativeDetail.aspx?App=23&amp;ReportView=4&amp;Qid=1711279&amp;Row=22113&amp;Col=1","No Title Assigned - #15280560401")</f>
        <v/>
      </c>
      <c r="B22121" s="0" t="s">
        <v>29421</v>
      </c>
      <c r="E22121" s="0" t="inlineStr">
        <is>
          <t xml:space="preserve">Mazda</t>
        </is>
      </c>
      <c r="F22121" s="0" t="inlineStr">
        <is>
          <t xml:space="preserve">Mazda</t>
        </is>
      </c>
      <c r="G22121" s="0" t="s">
        <v>171</v>
      </c>
      <c r="H22121" s="5">
        <v>35.768400</v>
      </c>
    </row>
    <row r="22122" spans="1:9">
      <c r="A22122" s="22" t="str">
        <f>HYPERLINK("https://app.vivvix.com/360/KMI/IntelliDrive/ApplUI/Pages/CreativePages/CustomReportCreativeDetail.aspx?App=23&amp;ReportView=4&amp;Qid=1711279&amp;Row=22114&amp;Col=1","No Title Assigned - #15280560468")</f>
        <v/>
      </c>
      <c r="B22122" s="0" t="s">
        <v>29422</v>
      </c>
      <c r="E22122" s="0" t="inlineStr">
        <is>
          <t xml:space="preserve">Mazda</t>
        </is>
      </c>
      <c r="F22122" s="0" t="inlineStr">
        <is>
          <t xml:space="preserve">Mazda</t>
        </is>
      </c>
      <c r="G22122" s="0" t="s">
        <v>171</v>
      </c>
      <c r="H22122" s="5">
        <v>433.086600</v>
      </c>
    </row>
    <row r="22123" spans="1:9">
      <c r="A22123" s="22" t="str">
        <f>HYPERLINK("https://app.vivvix.com/360/KMI/IntelliDrive/ApplUI/Pages/CreativePages/CustomReportCreativeDetail.aspx?App=23&amp;ReportView=4&amp;Qid=1711279&amp;Row=22115&amp;Col=1","No Title Assigned - #15280561025")</f>
        <v/>
      </c>
      <c r="B22123" s="0" t="s">
        <v>29423</v>
      </c>
      <c r="E22123" s="0" t="inlineStr">
        <is>
          <t xml:space="preserve">Mazda</t>
        </is>
      </c>
      <c r="F22123" s="0" t="inlineStr">
        <is>
          <t xml:space="preserve">Mazda</t>
        </is>
      </c>
      <c r="G22123" s="0" t="s">
        <v>171</v>
      </c>
      <c r="H22123" s="5">
        <v>126.452900</v>
      </c>
    </row>
    <row r="22124" spans="1:9">
      <c r="A22124" s="22" t="str">
        <f>HYPERLINK("https://app.vivvix.com/360/KMI/IntelliDrive/ApplUI/Pages/CreativePages/CustomReportCreativeDetail.aspx?App=23&amp;ReportView=4&amp;Qid=1711279&amp;Row=22116&amp;Col=1","No Title Assigned - #15280561136")</f>
        <v/>
      </c>
      <c r="B22124" s="0" t="s">
        <v>29424</v>
      </c>
      <c r="E22124" s="0" t="inlineStr">
        <is>
          <t xml:space="preserve">Mazda</t>
        </is>
      </c>
      <c r="F22124" s="0" t="inlineStr">
        <is>
          <t xml:space="preserve">Mazda</t>
        </is>
      </c>
      <c r="G22124" s="0" t="s">
        <v>171</v>
      </c>
      <c r="H22124" s="5">
        <v>21.937100</v>
      </c>
    </row>
    <row r="22125" spans="1:9">
      <c r="A22125" s="22" t="str">
        <f>HYPERLINK("https://app.vivvix.com/360/KMI/IntelliDrive/ApplUI/Pages/CreativePages/CustomReportCreativeDetail.aspx?App=23&amp;ReportView=4&amp;Qid=1711279&amp;Row=22117&amp;Col=1","No Title Assigned - #15280562115")</f>
        <v/>
      </c>
      <c r="B22125" s="0" t="s">
        <v>29425</v>
      </c>
      <c r="E22125" s="0" t="inlineStr">
        <is>
          <t xml:space="preserve">Mazda</t>
        </is>
      </c>
      <c r="F22125" s="0" t="inlineStr">
        <is>
          <t xml:space="preserve">Mazda</t>
        </is>
      </c>
      <c r="G22125" s="0" t="s">
        <v>171</v>
      </c>
      <c r="H22125" s="5">
        <v>176.832200</v>
      </c>
    </row>
    <row r="22126" spans="1:9">
      <c r="A22126" s="22" t="str">
        <f>HYPERLINK("https://app.vivvix.com/360/KMI/IntelliDrive/ApplUI/Pages/CreativePages/CustomReportCreativeDetail.aspx?App=23&amp;ReportView=4&amp;Qid=1711279&amp;Row=22118&amp;Col=1","No Title Assigned - #15280563737")</f>
        <v/>
      </c>
      <c r="B22126" s="0" t="s">
        <v>29426</v>
      </c>
      <c r="E22126" s="0" t="inlineStr">
        <is>
          <t xml:space="preserve">Mazda</t>
        </is>
      </c>
      <c r="F22126" s="0" t="inlineStr">
        <is>
          <t xml:space="preserve">Mazda</t>
        </is>
      </c>
      <c r="G22126" s="0" t="s">
        <v>171</v>
      </c>
      <c r="H22126" s="5">
        <v>78.591200</v>
      </c>
    </row>
    <row r="22127" spans="1:9">
      <c r="A22127" s="22" t="str">
        <f>HYPERLINK("https://app.vivvix.com/360/KMI/IntelliDrive/ApplUI/Pages/CreativePages/CustomReportCreativeDetail.aspx?App=23&amp;ReportView=4&amp;Qid=1711279&amp;Row=22119&amp;Col=1","No Title Assigned - #15280564156")</f>
        <v/>
      </c>
      <c r="B22127" s="0" t="s">
        <v>29427</v>
      </c>
      <c r="E22127" s="0" t="inlineStr">
        <is>
          <t xml:space="preserve">Mazda</t>
        </is>
      </c>
      <c r="F22127" s="0" t="inlineStr">
        <is>
          <t xml:space="preserve">Mazda</t>
        </is>
      </c>
      <c r="G22127" s="0" t="s">
        <v>171</v>
      </c>
      <c r="H22127" s="5">
        <v>37.460000</v>
      </c>
    </row>
    <row r="22128" spans="1:9">
      <c r="A22128" s="22" t="str">
        <f>HYPERLINK("https://app.vivvix.com/360/KMI/IntelliDrive/ApplUI/Pages/CreativePages/CustomReportCreativeDetail.aspx?App=23&amp;ReportView=4&amp;Qid=1711279&amp;Row=22120&amp;Col=1","No Title Assigned - #15280564273")</f>
        <v/>
      </c>
      <c r="B22128" s="0" t="s">
        <v>29428</v>
      </c>
      <c r="E22128" s="0" t="inlineStr">
        <is>
          <t xml:space="preserve">Mazda</t>
        </is>
      </c>
      <c r="F22128" s="0" t="inlineStr">
        <is>
          <t xml:space="preserve">Mazda</t>
        </is>
      </c>
      <c r="G22128" s="0" t="s">
        <v>171</v>
      </c>
      <c r="H22128" s="5">
        <v>20.159800</v>
      </c>
    </row>
    <row r="22129" spans="1:9">
      <c r="A22129" s="22" t="str">
        <f>HYPERLINK("https://app.vivvix.com/360/KMI/IntelliDrive/ApplUI/Pages/CreativePages/CustomReportCreativeDetail.aspx?App=23&amp;ReportView=4&amp;Qid=1711279&amp;Row=22121&amp;Col=1","No Title Assigned - #15280564438")</f>
        <v/>
      </c>
      <c r="B22129" s="0" t="s">
        <v>29429</v>
      </c>
      <c r="E22129" s="0" t="inlineStr">
        <is>
          <t xml:space="preserve">Mazda</t>
        </is>
      </c>
      <c r="F22129" s="0" t="inlineStr">
        <is>
          <t xml:space="preserve">Mazda</t>
        </is>
      </c>
      <c r="G22129" s="0" t="s">
        <v>171</v>
      </c>
      <c r="H22129" s="5">
        <v>2.297700</v>
      </c>
    </row>
    <row r="22130" spans="1:9">
      <c r="A22130" s="22" t="str">
        <f>HYPERLINK("https://app.vivvix.com/360/KMI/IntelliDrive/ApplUI/Pages/CreativePages/CustomReportCreativeDetail.aspx?App=23&amp;ReportView=4&amp;Qid=1711279&amp;Row=22122&amp;Col=1","No Title Assigned - #15280564958")</f>
        <v/>
      </c>
      <c r="B22130" s="0" t="s">
        <v>29430</v>
      </c>
      <c r="E22130" s="0" t="inlineStr">
        <is>
          <t xml:space="preserve">Mazda</t>
        </is>
      </c>
      <c r="F22130" s="0" t="inlineStr">
        <is>
          <t xml:space="preserve">Mazda</t>
        </is>
      </c>
      <c r="G22130" s="0" t="s">
        <v>171</v>
      </c>
      <c r="H22130" s="5">
        <v>1774.144400</v>
      </c>
    </row>
    <row r="22131" spans="1:9">
      <c r="A22131" s="22" t="str">
        <f>HYPERLINK("https://app.vivvix.com/360/KMI/IntelliDrive/ApplUI/Pages/CreativePages/CustomReportCreativeDetail.aspx?App=23&amp;ReportView=4&amp;Qid=1711279&amp;Row=22123&amp;Col=1","No Title Assigned - #15280565254")</f>
        <v/>
      </c>
      <c r="B22131" s="0" t="s">
        <v>29431</v>
      </c>
      <c r="E22131" s="0" t="inlineStr">
        <is>
          <t xml:space="preserve">Mazda</t>
        </is>
      </c>
      <c r="F22131" s="0" t="inlineStr">
        <is>
          <t xml:space="preserve">Mazda</t>
        </is>
      </c>
      <c r="G22131" s="0" t="s">
        <v>171</v>
      </c>
      <c r="H22131" s="5">
        <v>44.083800</v>
      </c>
    </row>
    <row r="22132" spans="1:9">
      <c r="A22132" s="22" t="str">
        <f>HYPERLINK("https://app.vivvix.com/360/KMI/IntelliDrive/ApplUI/Pages/CreativePages/CustomReportCreativeDetail.aspx?App=23&amp;ReportView=4&amp;Qid=1711279&amp;Row=22124&amp;Col=1","No Title Assigned - #15280566422")</f>
        <v/>
      </c>
      <c r="B22132" s="0" t="s">
        <v>29432</v>
      </c>
      <c r="E22132" s="0" t="inlineStr">
        <is>
          <t xml:space="preserve">Mazda</t>
        </is>
      </c>
      <c r="F22132" s="0" t="inlineStr">
        <is>
          <t xml:space="preserve">Mazda</t>
        </is>
      </c>
      <c r="G22132" s="0" t="s">
        <v>171</v>
      </c>
      <c r="H22132" s="5">
        <v>249.911100</v>
      </c>
    </row>
    <row r="22133" spans="1:9">
      <c r="A22133" s="22" t="str">
        <f>HYPERLINK("https://app.vivvix.com/360/KMI/IntelliDrive/ApplUI/Pages/CreativePages/CustomReportCreativeDetail.aspx?App=23&amp;ReportView=4&amp;Qid=1711279&amp;Row=22125&amp;Col=1","No Title Assigned - #15280568241")</f>
        <v/>
      </c>
      <c r="B22133" s="0" t="s">
        <v>29433</v>
      </c>
      <c r="E22133" s="0" t="inlineStr">
        <is>
          <t xml:space="preserve">Mazda</t>
        </is>
      </c>
      <c r="F22133" s="0" t="inlineStr">
        <is>
          <t xml:space="preserve">Mazda</t>
        </is>
      </c>
      <c r="G22133" s="0" t="s">
        <v>171</v>
      </c>
      <c r="H22133" s="5">
        <v>26.579700</v>
      </c>
    </row>
    <row r="22134" spans="1:9">
      <c r="A22134" s="22" t="str">
        <f>HYPERLINK("https://app.vivvix.com/360/KMI/IntelliDrive/ApplUI/Pages/CreativePages/CustomReportCreativeDetail.aspx?App=23&amp;ReportView=4&amp;Qid=1711279&amp;Row=22126&amp;Col=1","No Title Assigned - #15280568445")</f>
        <v/>
      </c>
      <c r="B22134" s="0" t="s">
        <v>29434</v>
      </c>
      <c r="E22134" s="0" t="inlineStr">
        <is>
          <t xml:space="preserve">Mazda</t>
        </is>
      </c>
      <c r="F22134" s="0" t="inlineStr">
        <is>
          <t xml:space="preserve">Mazda</t>
        </is>
      </c>
      <c r="G22134" s="0" t="s">
        <v>171</v>
      </c>
      <c r="H22134" s="5">
        <v>22.652500</v>
      </c>
    </row>
    <row r="22135" spans="1:9">
      <c r="A22135" s="22" t="str">
        <f>HYPERLINK("https://app.vivvix.com/360/KMI/IntelliDrive/ApplUI/Pages/CreativePages/CustomReportCreativeDetail.aspx?App=23&amp;ReportView=4&amp;Qid=1711279&amp;Row=22127&amp;Col=1","No Title Assigned - #15280568947")</f>
        <v/>
      </c>
      <c r="B22135" s="0" t="s">
        <v>29435</v>
      </c>
      <c r="E22135" s="0" t="inlineStr">
        <is>
          <t xml:space="preserve">Mazda</t>
        </is>
      </c>
      <c r="F22135" s="0" t="inlineStr">
        <is>
          <t xml:space="preserve">Mazda</t>
        </is>
      </c>
      <c r="G22135" s="0" t="s">
        <v>171</v>
      </c>
      <c r="H22135" s="5">
        <v>57.696800</v>
      </c>
    </row>
    <row r="22136" spans="1:9">
      <c r="A22136" s="22" t="str">
        <f>HYPERLINK("https://app.vivvix.com/360/KMI/IntelliDrive/ApplUI/Pages/CreativePages/CustomReportCreativeDetail.aspx?App=23&amp;ReportView=4&amp;Qid=1711279&amp;Row=22128&amp;Col=1","No Title Assigned - #15280572932")</f>
        <v/>
      </c>
      <c r="B22136" s="0" t="s">
        <v>29436</v>
      </c>
      <c r="E22136" s="0" t="inlineStr">
        <is>
          <t xml:space="preserve">Mazda</t>
        </is>
      </c>
      <c r="F22136" s="0" t="inlineStr">
        <is>
          <t xml:space="preserve">Mazda</t>
        </is>
      </c>
      <c r="G22136" s="0" t="s">
        <v>171</v>
      </c>
      <c r="H22136" s="5">
        <v>245.959800</v>
      </c>
    </row>
    <row r="22137" spans="1:9">
      <c r="A22137" s="22" t="str">
        <f>HYPERLINK("https://app.vivvix.com/360/KMI/IntelliDrive/ApplUI/Pages/CreativePages/CustomReportCreativeDetail.aspx?App=23&amp;ReportView=4&amp;Qid=1711279&amp;Row=22129&amp;Col=1","No Title Assigned - #15280577995")</f>
        <v/>
      </c>
      <c r="B22137" s="0" t="s">
        <v>29437</v>
      </c>
      <c r="E22137" s="0" t="inlineStr">
        <is>
          <t xml:space="preserve">Mazda</t>
        </is>
      </c>
      <c r="F22137" s="0" t="inlineStr">
        <is>
          <t xml:space="preserve">Mazda</t>
        </is>
      </c>
      <c r="G22137" s="0" t="s">
        <v>171</v>
      </c>
      <c r="H22137" s="5">
        <v>8.136000</v>
      </c>
    </row>
    <row r="22138" spans="1:9">
      <c r="A22138" s="22" t="str">
        <f>HYPERLINK("https://app.vivvix.com/360/KMI/IntelliDrive/ApplUI/Pages/CreativePages/CustomReportCreativeDetail.aspx?App=23&amp;ReportView=4&amp;Qid=1711279&amp;Row=22130&amp;Col=1","No Title Assigned - #15280583289")</f>
        <v/>
      </c>
      <c r="B22138" s="0" t="s">
        <v>29438</v>
      </c>
      <c r="C22138" s="0" t="s">
        <v>29439</v>
      </c>
      <c r="D22138" s="0" t="s">
        <v>29439</v>
      </c>
      <c r="E22138" s="0" t="inlineStr">
        <is>
          <t xml:space="preserve">Mazda</t>
        </is>
      </c>
      <c r="F22138" s="0" t="s">
        <v>13</v>
      </c>
      <c r="G22138" s="0" t="s">
        <v>49</v>
      </c>
      <c r="H22138" s="5">
        <v>506.664900</v>
      </c>
    </row>
    <row r="22139" spans="1:9">
      <c r="A22139" s="22" t="str">
        <f>HYPERLINK("https://app.vivvix.com/360/KMI/IntelliDrive/ApplUI/Pages/CreativePages/CustomReportCreativeDetail.aspx?App=23&amp;ReportView=4&amp;Qid=1711279&amp;Row=22131&amp;Col=1","No Title Assigned - #15280585046")</f>
        <v/>
      </c>
      <c r="B22139" s="0" t="s">
        <v>29440</v>
      </c>
      <c r="C22139" s="0" t="s">
        <v>29441</v>
      </c>
      <c r="D22139" s="0" t="s">
        <v>29441</v>
      </c>
      <c r="E22139" s="0" t="inlineStr">
        <is>
          <t xml:space="preserve">Mazda</t>
        </is>
      </c>
      <c r="F22139" s="0" t="s">
        <v>13</v>
      </c>
      <c r="G22139" s="0" t="s">
        <v>49</v>
      </c>
      <c r="H22139" s="5">
        <v>11.511600</v>
      </c>
    </row>
    <row r="22140" spans="1:9">
      <c r="A22140" s="22" t="str">
        <f>HYPERLINK("https://app.vivvix.com/360/KMI/IntelliDrive/ApplUI/Pages/CreativePages/CustomReportCreativeDetail.aspx?App=23&amp;ReportView=4&amp;Qid=1711279&amp;Row=22132&amp;Col=1","No Title Assigned - #15280585144")</f>
        <v/>
      </c>
      <c r="B22140" s="0" t="s">
        <v>29442</v>
      </c>
      <c r="C22140" s="0" t="s">
        <v>29443</v>
      </c>
      <c r="D22140" s="0" t="s">
        <v>29443</v>
      </c>
      <c r="E22140" s="0" t="inlineStr">
        <is>
          <t xml:space="preserve">Mazda</t>
        </is>
      </c>
      <c r="F22140" s="0" t="s">
        <v>13</v>
      </c>
      <c r="G22140" s="0" t="s">
        <v>49</v>
      </c>
      <c r="H22140" s="5">
        <v>7.292400</v>
      </c>
    </row>
    <row r="22141" spans="1:9">
      <c r="A22141" s="22" t="str">
        <f>HYPERLINK("https://app.vivvix.com/360/KMI/IntelliDrive/ApplUI/Pages/CreativePages/CustomReportCreativeDetail.aspx?App=23&amp;ReportView=4&amp;Qid=1711279&amp;Row=22133&amp;Col=1","No Title Assigned - #15280585218")</f>
        <v/>
      </c>
      <c r="B22141" s="0" t="s">
        <v>29444</v>
      </c>
      <c r="C22141" s="0" t="s">
        <v>29445</v>
      </c>
      <c r="D22141" s="0" t="s">
        <v>20883</v>
      </c>
      <c r="E22141" s="0" t="inlineStr">
        <is>
          <t xml:space="preserve">Mazda</t>
        </is>
      </c>
      <c r="F22141" s="0" t="s">
        <v>13</v>
      </c>
      <c r="G22141" s="0" t="s">
        <v>49</v>
      </c>
      <c r="H22141" s="5">
        <v>70.009900</v>
      </c>
    </row>
    <row r="22142" spans="1:9">
      <c r="A22142" s="22" t="str">
        <f>HYPERLINK("https://app.vivvix.com/360/KMI/IntelliDrive/ApplUI/Pages/CreativePages/CustomReportCreativeDetail.aspx?App=23&amp;ReportView=4&amp;Qid=1711279&amp;Row=22134&amp;Col=1","No Title Assigned - #15280587653")</f>
        <v/>
      </c>
      <c r="B22142" s="0" t="s">
        <v>29446</v>
      </c>
      <c r="C22142" s="0" t="s">
        <v>29447</v>
      </c>
      <c r="D22142" s="0" t="s">
        <v>29447</v>
      </c>
      <c r="E22142" s="0" t="inlineStr">
        <is>
          <t xml:space="preserve">Mazda</t>
        </is>
      </c>
      <c r="F22142" s="0" t="s">
        <v>13</v>
      </c>
      <c r="G22142" s="0" t="s">
        <v>49</v>
      </c>
      <c r="H22142" s="5">
        <v>60.263700</v>
      </c>
    </row>
    <row r="22143" spans="1:9">
      <c r="A22143" s="22" t="str">
        <f>HYPERLINK("https://app.vivvix.com/360/KMI/IntelliDrive/ApplUI/Pages/CreativePages/CustomReportCreativeDetail.aspx?App=23&amp;ReportView=4&amp;Qid=1711279&amp;Row=22135&amp;Col=1","No Title Assigned - #15280587754")</f>
        <v/>
      </c>
      <c r="B22143" s="0" t="s">
        <v>29448</v>
      </c>
      <c r="C22143" s="0" t="s">
        <v>29449</v>
      </c>
      <c r="D22143" s="0" t="s">
        <v>27877</v>
      </c>
      <c r="E22143" s="0" t="inlineStr">
        <is>
          <t xml:space="preserve">Mazda</t>
        </is>
      </c>
      <c r="F22143" s="0" t="s">
        <v>13</v>
      </c>
      <c r="G22143" s="0" t="s">
        <v>49</v>
      </c>
      <c r="H22143" s="5">
        <v>3309.425100</v>
      </c>
    </row>
    <row r="22144" spans="1:9">
      <c r="A22144" s="22" t="str">
        <f>HYPERLINK("https://app.vivvix.com/360/KMI/IntelliDrive/ApplUI/Pages/CreativePages/CustomReportCreativeDetail.aspx?App=23&amp;ReportView=4&amp;Qid=1711279&amp;Row=22136&amp;Col=1","No Title Assigned - #15280587754")</f>
        <v/>
      </c>
      <c r="B22144" s="0" t="s">
        <v>29448</v>
      </c>
      <c r="E22144" s="0" t="inlineStr">
        <is>
          <t xml:space="preserve">Mazda</t>
        </is>
      </c>
      <c r="F22144" s="0" t="s">
        <v>13</v>
      </c>
      <c r="G22144" s="0" t="s">
        <v>49</v>
      </c>
      <c r="H22144" s="5">
        <v>8582.803800</v>
      </c>
    </row>
    <row r="22145" spans="1:9">
      <c r="A22145" s="22" t="str">
        <f>HYPERLINK("https://app.vivvix.com/360/KMI/IntelliDrive/ApplUI/Pages/CreativePages/CustomReportCreativeDetail.aspx?App=23&amp;ReportView=4&amp;Qid=1711279&amp;Row=22137&amp;Col=1","No Title Assigned - #15280588316")</f>
        <v/>
      </c>
      <c r="B22145" s="0" t="s">
        <v>29450</v>
      </c>
      <c r="C22145" s="0" t="s">
        <v>29451</v>
      </c>
      <c r="D22145" s="0" t="s">
        <v>29451</v>
      </c>
      <c r="E22145" s="0" t="inlineStr">
        <is>
          <t xml:space="preserve">Mazda</t>
        </is>
      </c>
      <c r="F22145" s="0" t="s">
        <v>13</v>
      </c>
      <c r="G22145" s="0" t="s">
        <v>49</v>
      </c>
      <c r="H22145" s="5">
        <v>5.292900</v>
      </c>
    </row>
    <row r="22146" spans="1:9">
      <c r="A22146" s="22" t="str">
        <f>HYPERLINK("https://app.vivvix.com/360/KMI/IntelliDrive/ApplUI/Pages/CreativePages/CustomReportCreativeDetail.aspx?App=23&amp;ReportView=4&amp;Qid=1711279&amp;Row=22138&amp;Col=1","No Title Assigned - #15280588317")</f>
        <v/>
      </c>
      <c r="B22146" s="0" t="s">
        <v>29452</v>
      </c>
      <c r="C22146" s="0" t="s">
        <v>29453</v>
      </c>
      <c r="D22146" s="0" t="s">
        <v>29453</v>
      </c>
      <c r="E22146" s="0" t="inlineStr">
        <is>
          <t xml:space="preserve">Mazda</t>
        </is>
      </c>
      <c r="F22146" s="0" t="s">
        <v>13</v>
      </c>
      <c r="G22146" s="0" t="s">
        <v>49</v>
      </c>
      <c r="H22146" s="5">
        <v>10.585800</v>
      </c>
    </row>
    <row r="22147" spans="1:9">
      <c r="A22147" s="22" t="str">
        <f>HYPERLINK("https://app.vivvix.com/360/KMI/IntelliDrive/ApplUI/Pages/CreativePages/CustomReportCreativeDetail.aspx?App=23&amp;ReportView=4&amp;Qid=1711279&amp;Row=22139&amp;Col=1","No Title Assigned - #15280591405")</f>
        <v/>
      </c>
      <c r="B22147" s="0" t="s">
        <v>29454</v>
      </c>
      <c r="C22147" s="0" t="s">
        <v>29455</v>
      </c>
      <c r="D22147" s="0" t="s">
        <v>4335</v>
      </c>
      <c r="E22147" s="0" t="inlineStr">
        <is>
          <t xml:space="preserve">Mazda</t>
        </is>
      </c>
      <c r="F22147" s="0" t="s">
        <v>13</v>
      </c>
      <c r="G22147" s="0" t="s">
        <v>49</v>
      </c>
      <c r="H22147" s="5">
        <v>499.329600</v>
      </c>
    </row>
    <row r="22148" spans="1:9">
      <c r="A22148" s="22" t="str">
        <f>HYPERLINK("https://app.vivvix.com/360/KMI/IntelliDrive/ApplUI/Pages/CreativePages/CustomReportCreativeDetail.aspx?App=23&amp;ReportView=4&amp;Qid=1711279&amp;Row=22140&amp;Col=1","No Title Assigned - #15280592172")</f>
        <v/>
      </c>
      <c r="B22148" s="0" t="s">
        <v>29456</v>
      </c>
      <c r="C22148" s="0" t="s">
        <v>29457</v>
      </c>
      <c r="D22148" s="0" t="s">
        <v>4774</v>
      </c>
      <c r="E22148" s="0" t="inlineStr">
        <is>
          <t xml:space="preserve">Mazda</t>
        </is>
      </c>
      <c r="F22148" s="0" t="s">
        <v>13</v>
      </c>
      <c r="G22148" s="0" t="s">
        <v>49</v>
      </c>
      <c r="H22148" s="5">
        <v>3.943100</v>
      </c>
    </row>
    <row r="22149" spans="1:9">
      <c r="A22149" s="22" t="str">
        <f>HYPERLINK("https://app.vivvix.com/360/KMI/IntelliDrive/ApplUI/Pages/CreativePages/CustomReportCreativeDetail.aspx?App=23&amp;ReportView=4&amp;Qid=1711279&amp;Row=22141&amp;Col=1","No Title Assigned - #15280594703")</f>
        <v/>
      </c>
      <c r="B22149" s="0" t="s">
        <v>29458</v>
      </c>
      <c r="C22149" s="0" t="s">
        <v>29459</v>
      </c>
      <c r="D22149" s="0" t="s">
        <v>4774</v>
      </c>
      <c r="E22149" s="0" t="inlineStr">
        <is>
          <t xml:space="preserve">Mazda</t>
        </is>
      </c>
      <c r="F22149" s="0" t="s">
        <v>13</v>
      </c>
      <c r="G22149" s="0" t="s">
        <v>49</v>
      </c>
      <c r="H22149" s="5">
        <v>5326.864700</v>
      </c>
    </row>
    <row r="22150" spans="1:9">
      <c r="A22150" s="22" t="str">
        <f>HYPERLINK("https://app.vivvix.com/360/KMI/IntelliDrive/ApplUI/Pages/CreativePages/CustomReportCreativeDetail.aspx?App=23&amp;ReportView=4&amp;Qid=1711279&amp;Row=22142&amp;Col=1","No Title Assigned - #15280596406")</f>
        <v/>
      </c>
      <c r="B22150" s="0" t="s">
        <v>29460</v>
      </c>
      <c r="C22150" s="0" t="s">
        <v>29461</v>
      </c>
      <c r="D22150" s="0" t="s">
        <v>29461</v>
      </c>
      <c r="E22150" s="0" t="inlineStr">
        <is>
          <t xml:space="preserve">Mazda</t>
        </is>
      </c>
      <c r="F22150" s="0" t="s">
        <v>13</v>
      </c>
      <c r="G22150" s="0" t="s">
        <v>49</v>
      </c>
      <c r="H22150" s="5">
        <v>168.977900</v>
      </c>
    </row>
    <row r="22151" spans="1:9">
      <c r="A22151" s="22" t="str">
        <f>HYPERLINK("https://app.vivvix.com/360/KMI/IntelliDrive/ApplUI/Pages/CreativePages/CustomReportCreativeDetail.aspx?App=23&amp;ReportView=4&amp;Qid=1711279&amp;Row=22143&amp;Col=1","No Title Assigned - #15280596787")</f>
        <v/>
      </c>
      <c r="B22151" s="0" t="s">
        <v>29462</v>
      </c>
      <c r="C22151" s="0" t="s">
        <v>29463</v>
      </c>
      <c r="D22151" s="0" t="s">
        <v>4774</v>
      </c>
      <c r="E22151" s="0" t="inlineStr">
        <is>
          <t xml:space="preserve">Mazda</t>
        </is>
      </c>
      <c r="F22151" s="0" t="s">
        <v>13</v>
      </c>
      <c r="G22151" s="0" t="s">
        <v>49</v>
      </c>
      <c r="H22151" s="5">
        <v>404.908200</v>
      </c>
    </row>
    <row r="22152" spans="1:9">
      <c r="A22152" s="22" t="str">
        <f>HYPERLINK("https://app.vivvix.com/360/KMI/IntelliDrive/ApplUI/Pages/CreativePages/CustomReportCreativeDetail.aspx?App=23&amp;ReportView=4&amp;Qid=1711279&amp;Row=22144&amp;Col=1","No Title Assigned - #15280597034")</f>
        <v/>
      </c>
      <c r="B22152" s="0" t="s">
        <v>29464</v>
      </c>
      <c r="C22152" s="0" t="s">
        <v>29465</v>
      </c>
      <c r="D22152" s="0" t="s">
        <v>11639</v>
      </c>
      <c r="E22152" s="0" t="inlineStr">
        <is>
          <t xml:space="preserve">Mazda</t>
        </is>
      </c>
      <c r="F22152" s="0" t="s">
        <v>13</v>
      </c>
      <c r="G22152" s="0" t="s">
        <v>49</v>
      </c>
      <c r="H22152" s="5">
        <v>3267.553000</v>
      </c>
    </row>
    <row r="22153" spans="1:9">
      <c r="A22153" s="22" t="str">
        <f>HYPERLINK("https://app.vivvix.com/360/KMI/IntelliDrive/ApplUI/Pages/CreativePages/CustomReportCreativeDetail.aspx?App=23&amp;ReportView=4&amp;Qid=1711279&amp;Row=22145&amp;Col=1","No Title Assigned - #15280597555")</f>
        <v/>
      </c>
      <c r="B22153" s="0" t="s">
        <v>29466</v>
      </c>
      <c r="C22153" s="0" t="s">
        <v>29467</v>
      </c>
      <c r="D22153" s="0" t="s">
        <v>29467</v>
      </c>
      <c r="E22153" s="0" t="inlineStr">
        <is>
          <t xml:space="preserve">Mazda</t>
        </is>
      </c>
      <c r="F22153" s="0" t="s">
        <v>13</v>
      </c>
      <c r="G22153" s="0" t="s">
        <v>49</v>
      </c>
      <c r="H22153" s="5">
        <v>880.933600</v>
      </c>
    </row>
    <row r="22154" spans="1:9">
      <c r="A22154" s="22" t="str">
        <f>HYPERLINK("https://app.vivvix.com/360/KMI/IntelliDrive/ApplUI/Pages/CreativePages/CustomReportCreativeDetail.aspx?App=23&amp;ReportView=4&amp;Qid=1711279&amp;Row=22146&amp;Col=1","No Title Assigned - #15280597869")</f>
        <v/>
      </c>
      <c r="B22154" s="0" t="s">
        <v>29468</v>
      </c>
      <c r="E22154" s="0" t="inlineStr">
        <is>
          <t xml:space="preserve">Mazda</t>
        </is>
      </c>
      <c r="F22154" s="0" t="inlineStr">
        <is>
          <t xml:space="preserve">Mazda</t>
        </is>
      </c>
      <c r="G22154" s="0" t="s">
        <v>171</v>
      </c>
      <c r="H22154" s="5">
        <v>152.123000</v>
      </c>
    </row>
    <row r="22155" spans="1:9">
      <c r="A22155" s="22" t="str">
        <f>HYPERLINK("https://app.vivvix.com/360/KMI/IntelliDrive/ApplUI/Pages/CreativePages/CustomReportCreativeDetail.aspx?App=23&amp;ReportView=4&amp;Qid=1711279&amp;Row=22147&amp;Col=1","No Title Assigned - #15280598655")</f>
        <v/>
      </c>
      <c r="B22155" s="0" t="s">
        <v>29469</v>
      </c>
      <c r="C22155" s="0" t="s">
        <v>29470</v>
      </c>
      <c r="D22155" s="0" t="s">
        <v>29470</v>
      </c>
      <c r="E22155" s="0" t="inlineStr">
        <is>
          <t xml:space="preserve">Mazda</t>
        </is>
      </c>
      <c r="F22155" s="0" t="s">
        <v>13</v>
      </c>
      <c r="G22155" s="0" t="s">
        <v>49</v>
      </c>
      <c r="H22155" s="5">
        <v>5059.907600</v>
      </c>
    </row>
    <row r="22156" spans="1:9">
      <c r="A22156" s="22" t="str">
        <f>HYPERLINK("https://app.vivvix.com/360/KMI/IntelliDrive/ApplUI/Pages/CreativePages/CustomReportCreativeDetail.aspx?App=23&amp;ReportView=4&amp;Qid=1711279&amp;Row=22148&amp;Col=1","No Title Assigned - #15280600928")</f>
        <v/>
      </c>
      <c r="B22156" s="0" t="s">
        <v>29471</v>
      </c>
      <c r="C22156" s="0" t="s">
        <v>29472</v>
      </c>
      <c r="D22156" s="0" t="s">
        <v>28071</v>
      </c>
      <c r="E22156" s="0" t="inlineStr">
        <is>
          <t xml:space="preserve">Mazda</t>
        </is>
      </c>
      <c r="F22156" s="0" t="s">
        <v>28</v>
      </c>
      <c r="G22156" s="0" t="s">
        <v>29</v>
      </c>
      <c r="H22156" s="5">
        <v>1215.513100</v>
      </c>
    </row>
    <row r="22157" spans="1:9">
      <c r="A22157" s="22" t="str">
        <f>HYPERLINK("https://app.vivvix.com/360/KMI/IntelliDrive/ApplUI/Pages/CreativePages/CustomReportCreativeDetail.aspx?App=23&amp;ReportView=4&amp;Qid=1711279&amp;Row=22149&amp;Col=1","No Title Assigned - #15280601493")</f>
        <v/>
      </c>
      <c r="B22157" s="0" t="s">
        <v>29473</v>
      </c>
      <c r="C22157" s="0" t="s">
        <v>29474</v>
      </c>
      <c r="D22157" s="0" t="s">
        <v>9729</v>
      </c>
      <c r="E22157" s="0" t="inlineStr">
        <is>
          <t xml:space="preserve">Mazda</t>
        </is>
      </c>
      <c r="F22157" s="0" t="s">
        <v>13</v>
      </c>
      <c r="G22157" s="0" t="s">
        <v>49</v>
      </c>
      <c r="H22157" s="5">
        <v>15985.537700</v>
      </c>
    </row>
    <row r="22158" spans="1:9">
      <c r="A22158" s="22" t="str">
        <f>HYPERLINK("https://app.vivvix.com/360/KMI/IntelliDrive/ApplUI/Pages/CreativePages/CustomReportCreativeDetail.aspx?App=23&amp;ReportView=4&amp;Qid=1711279&amp;Row=22150&amp;Col=1","No Title Assigned - #15280601734")</f>
        <v/>
      </c>
      <c r="B22158" s="0" t="s">
        <v>29475</v>
      </c>
      <c r="C22158" s="0" t="s">
        <v>29476</v>
      </c>
      <c r="D22158" s="0" t="s">
        <v>27659</v>
      </c>
      <c r="E22158" s="0" t="inlineStr">
        <is>
          <t xml:space="preserve">Mazda</t>
        </is>
      </c>
      <c r="F22158" s="0" t="s">
        <v>13</v>
      </c>
      <c r="G22158" s="0" t="s">
        <v>49</v>
      </c>
      <c r="H22158" s="5">
        <v>7.292400</v>
      </c>
    </row>
    <row r="22159" spans="1:9">
      <c r="A22159" s="22" t="str">
        <f>HYPERLINK("https://app.vivvix.com/360/KMI/IntelliDrive/ApplUI/Pages/CreativePages/CustomReportCreativeDetail.aspx?App=23&amp;ReportView=4&amp;Qid=1711279&amp;Row=22151&amp;Col=1","No Title Assigned - #15280602161")</f>
        <v/>
      </c>
      <c r="B22159" s="0" t="s">
        <v>29477</v>
      </c>
      <c r="C22159" s="0" t="s">
        <v>29478</v>
      </c>
      <c r="D22159" s="0" t="s">
        <v>29478</v>
      </c>
      <c r="E22159" s="0" t="inlineStr">
        <is>
          <t xml:space="preserve">Mazda</t>
        </is>
      </c>
      <c r="F22159" s="0" t="s">
        <v>13</v>
      </c>
      <c r="G22159" s="0" t="s">
        <v>49</v>
      </c>
      <c r="H22159" s="5">
        <v>5.292900</v>
      </c>
    </row>
    <row r="22160" spans="1:9">
      <c r="A22160" s="22" t="str">
        <f>HYPERLINK("https://app.vivvix.com/360/KMI/IntelliDrive/ApplUI/Pages/CreativePages/CustomReportCreativeDetail.aspx?App=23&amp;ReportView=4&amp;Qid=1711279&amp;Row=22152&amp;Col=1","No Title Assigned - #15280602164")</f>
        <v/>
      </c>
      <c r="B22160" s="0" t="s">
        <v>29479</v>
      </c>
      <c r="C22160" s="0" t="s">
        <v>29480</v>
      </c>
      <c r="D22160" s="0" t="s">
        <v>29480</v>
      </c>
      <c r="E22160" s="0" t="inlineStr">
        <is>
          <t xml:space="preserve">Mazda</t>
        </is>
      </c>
      <c r="F22160" s="0" t="s">
        <v>13</v>
      </c>
      <c r="G22160" s="0" t="s">
        <v>49</v>
      </c>
      <c r="H22160" s="5">
        <v>5.292900</v>
      </c>
    </row>
    <row r="22161" spans="1:9">
      <c r="A22161" s="22" t="str">
        <f>HYPERLINK("https://app.vivvix.com/360/KMI/IntelliDrive/ApplUI/Pages/CreativePages/CustomReportCreativeDetail.aspx?App=23&amp;ReportView=4&amp;Qid=1711279&amp;Row=22153&amp;Col=1","No Title Assigned - #15280602280")</f>
        <v/>
      </c>
      <c r="B22161" s="0" t="s">
        <v>29481</v>
      </c>
      <c r="C22161" s="0" t="s">
        <v>29482</v>
      </c>
      <c r="D22161" s="0" t="s">
        <v>29482</v>
      </c>
      <c r="E22161" s="0" t="inlineStr">
        <is>
          <t xml:space="preserve">Mazda</t>
        </is>
      </c>
      <c r="F22161" s="0" t="s">
        <v>13</v>
      </c>
      <c r="G22161" s="0" t="s">
        <v>49</v>
      </c>
      <c r="H22161" s="5">
        <v>999.298200</v>
      </c>
    </row>
    <row r="22162" spans="1:9">
      <c r="A22162" s="22" t="str">
        <f>HYPERLINK("https://app.vivvix.com/360/KMI/IntelliDrive/ApplUI/Pages/CreativePages/CustomReportCreativeDetail.aspx?App=23&amp;ReportView=4&amp;Qid=1711279&amp;Row=22154&amp;Col=1","No Title Assigned - #15280602682")</f>
        <v/>
      </c>
      <c r="B22162" s="0" t="s">
        <v>29483</v>
      </c>
      <c r="C22162" s="0" t="s">
        <v>29484</v>
      </c>
      <c r="D22162" s="0" t="s">
        <v>27877</v>
      </c>
      <c r="E22162" s="0" t="inlineStr">
        <is>
          <t xml:space="preserve">Mazda</t>
        </is>
      </c>
      <c r="F22162" s="0" t="s">
        <v>13</v>
      </c>
      <c r="G22162" s="0" t="s">
        <v>49</v>
      </c>
      <c r="H22162" s="5">
        <v>17.799600</v>
      </c>
    </row>
    <row r="22163" spans="1:9">
      <c r="A22163" s="22" t="str">
        <f>HYPERLINK("https://app.vivvix.com/360/KMI/IntelliDrive/ApplUI/Pages/CreativePages/CustomReportCreativeDetail.aspx?App=23&amp;ReportView=4&amp;Qid=1711279&amp;Row=22155&amp;Col=1","No Title Assigned - #15280602883")</f>
        <v/>
      </c>
      <c r="B22163" s="0" t="s">
        <v>29485</v>
      </c>
      <c r="C22163" s="0" t="s">
        <v>29486</v>
      </c>
      <c r="D22163" s="0" t="s">
        <v>29486</v>
      </c>
      <c r="E22163" s="0" t="inlineStr">
        <is>
          <t xml:space="preserve">Mazda</t>
        </is>
      </c>
      <c r="F22163" s="0" t="s">
        <v>13</v>
      </c>
      <c r="G22163" s="0" t="s">
        <v>49</v>
      </c>
      <c r="H22163" s="5">
        <v>140.985100</v>
      </c>
    </row>
    <row r="22164" spans="1:9">
      <c r="A22164" s="22" t="str">
        <f>HYPERLINK("https://app.vivvix.com/360/KMI/IntelliDrive/ApplUI/Pages/CreativePages/CustomReportCreativeDetail.aspx?App=23&amp;ReportView=4&amp;Qid=1711279&amp;Row=22156&amp;Col=1","No Title Assigned - #15280604212")</f>
        <v/>
      </c>
      <c r="B22164" s="0" t="s">
        <v>29487</v>
      </c>
      <c r="C22164" s="0" t="s">
        <v>29488</v>
      </c>
      <c r="D22164" s="0" t="s">
        <v>4774</v>
      </c>
      <c r="E22164" s="0" t="inlineStr">
        <is>
          <t xml:space="preserve">Mazda</t>
        </is>
      </c>
      <c r="F22164" s="0" t="s">
        <v>13</v>
      </c>
      <c r="G22164" s="0" t="s">
        <v>49</v>
      </c>
      <c r="H22164" s="5">
        <v>589.067000</v>
      </c>
    </row>
    <row r="22165" spans="1:9">
      <c r="A22165" s="22" t="str">
        <f>HYPERLINK("https://app.vivvix.com/360/KMI/IntelliDrive/ApplUI/Pages/CreativePages/CustomReportCreativeDetail.aspx?App=23&amp;ReportView=4&amp;Qid=1711279&amp;Row=22157&amp;Col=1","No Title Assigned - #15280604308")</f>
        <v/>
      </c>
      <c r="B22165" s="0" t="s">
        <v>29489</v>
      </c>
      <c r="C22165" s="0" t="s">
        <v>29490</v>
      </c>
      <c r="D22165" s="0" t="s">
        <v>27631</v>
      </c>
      <c r="E22165" s="0" t="inlineStr">
        <is>
          <t xml:space="preserve">Mazda</t>
        </is>
      </c>
      <c r="F22165" s="0" t="s">
        <v>13</v>
      </c>
      <c r="G22165" s="0" t="s">
        <v>49</v>
      </c>
      <c r="H22165" s="5">
        <v>6404.549500</v>
      </c>
    </row>
    <row r="22166" spans="1:9">
      <c r="A22166" s="22" t="str">
        <f>HYPERLINK("https://app.vivvix.com/360/KMI/IntelliDrive/ApplUI/Pages/CreativePages/CustomReportCreativeDetail.aspx?App=23&amp;ReportView=4&amp;Qid=1711279&amp;Row=22158&amp;Col=1","No Title Assigned - #15280604308")</f>
        <v/>
      </c>
      <c r="B22166" s="0" t="s">
        <v>29489</v>
      </c>
      <c r="E22166" s="0" t="inlineStr">
        <is>
          <t xml:space="preserve">Mazda</t>
        </is>
      </c>
      <c r="F22166" s="0" t="s">
        <v>13</v>
      </c>
      <c r="G22166" s="0" t="s">
        <v>49</v>
      </c>
      <c r="H22166" s="5">
        <v>5879.051800</v>
      </c>
    </row>
    <row r="22167" spans="1:9">
      <c r="A22167" s="22" t="str">
        <f>HYPERLINK("https://app.vivvix.com/360/KMI/IntelliDrive/ApplUI/Pages/CreativePages/CustomReportCreativeDetail.aspx?App=23&amp;ReportView=4&amp;Qid=1711279&amp;Row=22159&amp;Col=1","No Title Assigned - #15280604376")</f>
        <v/>
      </c>
      <c r="B22167" s="0" t="s">
        <v>29491</v>
      </c>
      <c r="C22167" s="0" t="s">
        <v>29492</v>
      </c>
      <c r="D22167" s="0" t="s">
        <v>21598</v>
      </c>
      <c r="E22167" s="0" t="inlineStr">
        <is>
          <t xml:space="preserve">Mazda</t>
        </is>
      </c>
      <c r="F22167" s="0" t="s">
        <v>13</v>
      </c>
      <c r="G22167" s="0" t="s">
        <v>49</v>
      </c>
      <c r="H22167" s="5">
        <v>526.177100</v>
      </c>
    </row>
    <row r="22168" spans="1:9">
      <c r="A22168" s="22" t="str">
        <f>HYPERLINK("https://app.vivvix.com/360/KMI/IntelliDrive/ApplUI/Pages/CreativePages/CustomReportCreativeDetail.aspx?App=23&amp;ReportView=4&amp;Qid=1711279&amp;Row=22160&amp;Col=1","No Title Assigned - #15280604376")</f>
        <v/>
      </c>
      <c r="B22168" s="0" t="s">
        <v>29491</v>
      </c>
      <c r="E22168" s="0" t="inlineStr">
        <is>
          <t xml:space="preserve">Mazda</t>
        </is>
      </c>
      <c r="F22168" s="0" t="s">
        <v>13</v>
      </c>
      <c r="G22168" s="0" t="s">
        <v>49</v>
      </c>
      <c r="H22168" s="5">
        <v>1971.009800</v>
      </c>
    </row>
    <row r="22169" spans="1:9">
      <c r="A22169" s="22" t="str">
        <f>HYPERLINK("https://app.vivvix.com/360/KMI/IntelliDrive/ApplUI/Pages/CreativePages/CustomReportCreativeDetail.aspx?App=23&amp;ReportView=4&amp;Qid=1711279&amp;Row=22161&amp;Col=1","No Title Assigned - #15280604477")</f>
        <v/>
      </c>
      <c r="B22169" s="0" t="s">
        <v>29493</v>
      </c>
      <c r="C22169" s="0" t="s">
        <v>29494</v>
      </c>
      <c r="D22169" s="0" t="s">
        <v>29494</v>
      </c>
      <c r="E22169" s="0" t="inlineStr">
        <is>
          <t xml:space="preserve">Mazda</t>
        </is>
      </c>
      <c r="F22169" s="0" t="inlineStr">
        <is>
          <t xml:space="preserve">Mazda</t>
        </is>
      </c>
      <c r="G22169" s="0" t="s">
        <v>210</v>
      </c>
      <c r="H22169" s="5">
        <v>640.340300</v>
      </c>
    </row>
    <row r="22170" spans="1:9">
      <c r="A22170" s="22" t="str">
        <f>HYPERLINK("https://app.vivvix.com/360/KMI/IntelliDrive/ApplUI/Pages/CreativePages/CustomReportCreativeDetail.aspx?App=23&amp;ReportView=4&amp;Qid=1711279&amp;Row=22162&amp;Col=1","No Title Assigned - #15280605186")</f>
        <v/>
      </c>
      <c r="B22170" s="0" t="s">
        <v>29495</v>
      </c>
      <c r="E22170" s="0" t="inlineStr">
        <is>
          <t xml:space="preserve">Mazda</t>
        </is>
      </c>
      <c r="F22170" s="0" t="inlineStr">
        <is>
          <t xml:space="preserve">Mazda</t>
        </is>
      </c>
      <c r="G22170" s="0" t="s">
        <v>171</v>
      </c>
      <c r="H22170" s="5">
        <v>151.147300</v>
      </c>
    </row>
    <row r="22171" spans="1:9">
      <c r="A22171" s="22" t="str">
        <f>HYPERLINK("https://app.vivvix.com/360/KMI/IntelliDrive/ApplUI/Pages/CreativePages/CustomReportCreativeDetail.aspx?App=23&amp;ReportView=4&amp;Qid=1711279&amp;Row=22163&amp;Col=1","No Title Assigned - #15280613167")</f>
        <v/>
      </c>
      <c r="B22171" s="0" t="s">
        <v>29496</v>
      </c>
      <c r="E22171" s="0" t="inlineStr">
        <is>
          <t xml:space="preserve">Mazda</t>
        </is>
      </c>
      <c r="F22171" s="0" t="inlineStr">
        <is>
          <t xml:space="preserve">Mazda</t>
        </is>
      </c>
      <c r="G22171" s="0" t="s">
        <v>171</v>
      </c>
      <c r="H22171" s="5">
        <v>650.609900</v>
      </c>
    </row>
    <row r="22172" spans="1:9">
      <c r="A22172" s="22" t="str">
        <f>HYPERLINK("https://app.vivvix.com/360/KMI/IntelliDrive/ApplUI/Pages/CreativePages/CustomReportCreativeDetail.aspx?App=23&amp;ReportView=4&amp;Qid=1711279&amp;Row=22164&amp;Col=1","No Title Assigned - #15280613444")</f>
        <v/>
      </c>
      <c r="B22172" s="0" t="s">
        <v>29497</v>
      </c>
      <c r="E22172" s="0" t="inlineStr">
        <is>
          <t xml:space="preserve">Mazda</t>
        </is>
      </c>
      <c r="F22172" s="0" t="inlineStr">
        <is>
          <t xml:space="preserve">Mazda</t>
        </is>
      </c>
      <c r="G22172" s="0" t="s">
        <v>171</v>
      </c>
      <c r="H22172" s="5">
        <v>795.762900</v>
      </c>
    </row>
    <row r="22173" spans="1:9">
      <c r="A22173" s="22" t="str">
        <f>HYPERLINK("https://app.vivvix.com/360/KMI/IntelliDrive/ApplUI/Pages/CreativePages/CustomReportCreativeDetail.aspx?App=23&amp;ReportView=4&amp;Qid=1711279&amp;Row=22165&amp;Col=1","No Title Assigned - #15280613681")</f>
        <v/>
      </c>
      <c r="B22173" s="0" t="s">
        <v>29498</v>
      </c>
      <c r="E22173" s="0" t="inlineStr">
        <is>
          <t xml:space="preserve">Mazda</t>
        </is>
      </c>
      <c r="F22173" s="0" t="inlineStr">
        <is>
          <t xml:space="preserve">Mazda</t>
        </is>
      </c>
      <c r="G22173" s="0" t="s">
        <v>171</v>
      </c>
      <c r="H22173" s="5">
        <v>39.351400</v>
      </c>
    </row>
    <row r="22174" spans="1:9">
      <c r="A22174" s="22" t="str">
        <f>HYPERLINK("https://app.vivvix.com/360/KMI/IntelliDrive/ApplUI/Pages/CreativePages/CustomReportCreativeDetail.aspx?App=23&amp;ReportView=4&amp;Qid=1711279&amp;Row=22166&amp;Col=1","No Title Assigned - #15280616088")</f>
        <v/>
      </c>
      <c r="B22174" s="0" t="s">
        <v>29499</v>
      </c>
      <c r="E22174" s="0" t="inlineStr">
        <is>
          <t xml:space="preserve">Mazda</t>
        </is>
      </c>
      <c r="F22174" s="0" t="inlineStr">
        <is>
          <t xml:space="preserve">Mazda</t>
        </is>
      </c>
      <c r="G22174" s="0" t="s">
        <v>171</v>
      </c>
      <c r="H22174" s="5">
        <v>453.308700</v>
      </c>
    </row>
    <row r="22175" spans="1:9">
      <c r="A22175" s="22" t="str">
        <f>HYPERLINK("https://app.vivvix.com/360/KMI/IntelliDrive/ApplUI/Pages/CreativePages/CustomReportCreativeDetail.aspx?App=23&amp;ReportView=4&amp;Qid=1711279&amp;Row=22167&amp;Col=1","No Title Assigned - #15280616819")</f>
        <v/>
      </c>
      <c r="B22175" s="0" t="s">
        <v>29500</v>
      </c>
      <c r="E22175" s="0" t="inlineStr">
        <is>
          <t xml:space="preserve">Mazda</t>
        </is>
      </c>
      <c r="F22175" s="0" t="inlineStr">
        <is>
          <t xml:space="preserve">Mazda</t>
        </is>
      </c>
      <c r="G22175" s="0" t="s">
        <v>171</v>
      </c>
      <c r="H22175" s="5">
        <v>33.459700</v>
      </c>
    </row>
    <row r="22176" spans="1:9">
      <c r="A22176" s="22" t="str">
        <f>HYPERLINK("https://app.vivvix.com/360/KMI/IntelliDrive/ApplUI/Pages/CreativePages/CustomReportCreativeDetail.aspx?App=23&amp;ReportView=4&amp;Qid=1711279&amp;Row=22168&amp;Col=1","No Title Assigned - #15280617135")</f>
        <v/>
      </c>
      <c r="B22176" s="0" t="s">
        <v>29501</v>
      </c>
      <c r="E22176" s="0" t="inlineStr">
        <is>
          <t xml:space="preserve">Mazda</t>
        </is>
      </c>
      <c r="F22176" s="0" t="inlineStr">
        <is>
          <t xml:space="preserve">Mazda</t>
        </is>
      </c>
      <c r="G22176" s="0" t="s">
        <v>171</v>
      </c>
      <c r="H22176" s="5">
        <v>256.812000</v>
      </c>
    </row>
    <row r="22177" spans="1:9">
      <c r="A22177" s="22" t="str">
        <f>HYPERLINK("https://app.vivvix.com/360/KMI/IntelliDrive/ApplUI/Pages/CreativePages/CustomReportCreativeDetail.aspx?App=23&amp;ReportView=4&amp;Qid=1711279&amp;Row=22169&amp;Col=1","No Title Assigned - #15280617325")</f>
        <v/>
      </c>
      <c r="B22177" s="0" t="s">
        <v>29502</v>
      </c>
      <c r="E22177" s="0" t="inlineStr">
        <is>
          <t xml:space="preserve">Mazda</t>
        </is>
      </c>
      <c r="F22177" s="0" t="inlineStr">
        <is>
          <t xml:space="preserve">Mazda</t>
        </is>
      </c>
      <c r="G22177" s="0" t="s">
        <v>171</v>
      </c>
      <c r="H22177" s="5">
        <v>7659.548800</v>
      </c>
    </row>
    <row r="22178" spans="1:9">
      <c r="A22178" s="22" t="str">
        <f>HYPERLINK("https://app.vivvix.com/360/KMI/IntelliDrive/ApplUI/Pages/CreativePages/CustomReportCreativeDetail.aspx?App=23&amp;ReportView=4&amp;Qid=1711279&amp;Row=22170&amp;Col=1","No Title Assigned - #15280620814")</f>
        <v/>
      </c>
      <c r="B22178" s="0" t="s">
        <v>29503</v>
      </c>
      <c r="C22178" s="0" t="s">
        <v>29504</v>
      </c>
      <c r="D22178" s="0" t="s">
        <v>29504</v>
      </c>
      <c r="E22178" s="0" t="inlineStr">
        <is>
          <t xml:space="preserve">Mazda</t>
        </is>
      </c>
      <c r="F22178" s="0" t="inlineStr">
        <is>
          <t xml:space="preserve">Mazda</t>
        </is>
      </c>
      <c r="G22178" s="0" t="s">
        <v>171</v>
      </c>
      <c r="H22178" s="5">
        <v>96.041800</v>
      </c>
    </row>
    <row r="22179" spans="1:9">
      <c r="A22179" s="22" t="str">
        <f>HYPERLINK("https://app.vivvix.com/360/KMI/IntelliDrive/ApplUI/Pages/CreativePages/CustomReportCreativeDetail.aspx?App=23&amp;ReportView=4&amp;Qid=1711279&amp;Row=22171&amp;Col=1","No Title Assigned - #15280624490")</f>
        <v/>
      </c>
      <c r="B22179" s="0" t="s">
        <v>29505</v>
      </c>
      <c r="C22179" s="0" t="s">
        <v>29506</v>
      </c>
      <c r="D22179" s="0" t="s">
        <v>11639</v>
      </c>
      <c r="E22179" s="0" t="inlineStr">
        <is>
          <t xml:space="preserve">Mazda</t>
        </is>
      </c>
      <c r="F22179" s="0" t="s">
        <v>13</v>
      </c>
      <c r="G22179" s="0" t="s">
        <v>49</v>
      </c>
      <c r="H22179" s="5">
        <v>603.231000</v>
      </c>
    </row>
    <row r="22180" spans="1:9">
      <c r="A22180" s="22" t="str">
        <f>HYPERLINK("https://app.vivvix.com/360/KMI/IntelliDrive/ApplUI/Pages/CreativePages/CustomReportCreativeDetail.aspx?App=23&amp;ReportView=4&amp;Qid=1711279&amp;Row=22172&amp;Col=1","No Title Assigned - #15280625235")</f>
        <v/>
      </c>
      <c r="B22180" s="0" t="s">
        <v>29507</v>
      </c>
      <c r="C22180" s="0" t="s">
        <v>29508</v>
      </c>
      <c r="D22180" s="0" t="s">
        <v>11420</v>
      </c>
      <c r="E22180" s="0" t="inlineStr">
        <is>
          <t xml:space="preserve">Mazda</t>
        </is>
      </c>
      <c r="F22180" s="0" t="s">
        <v>13</v>
      </c>
      <c r="G22180" s="0" t="s">
        <v>49</v>
      </c>
      <c r="H22180" s="5">
        <v>574.560100</v>
      </c>
    </row>
    <row r="22181" spans="1:9">
      <c r="A22181" s="22" t="str">
        <f>HYPERLINK("https://app.vivvix.com/360/KMI/IntelliDrive/ApplUI/Pages/CreativePages/CustomReportCreativeDetail.aspx?App=23&amp;ReportView=4&amp;Qid=1711279&amp;Row=22173&amp;Col=1","No Title Assigned - #15280625349")</f>
        <v/>
      </c>
      <c r="B22181" s="0" t="s">
        <v>29509</v>
      </c>
      <c r="E22181" s="0" t="inlineStr">
        <is>
          <t xml:space="preserve">Mazda</t>
        </is>
      </c>
      <c r="F22181" s="0" t="s">
        <v>13</v>
      </c>
      <c r="G22181" s="0" t="s">
        <v>49</v>
      </c>
      <c r="H22181" s="5">
        <v>9650.277600</v>
      </c>
    </row>
    <row r="22182" spans="1:9">
      <c r="A22182" s="22" t="str">
        <f>HYPERLINK("https://app.vivvix.com/360/KMI/IntelliDrive/ApplUI/Pages/CreativePages/CustomReportCreativeDetail.aspx?App=23&amp;ReportView=4&amp;Qid=1711279&amp;Row=22174&amp;Col=1","No Title Assigned - #15280625349")</f>
        <v/>
      </c>
      <c r="B22182" s="0" t="s">
        <v>29509</v>
      </c>
      <c r="C22182" s="0" t="s">
        <v>29510</v>
      </c>
      <c r="D22182" s="0" t="s">
        <v>29510</v>
      </c>
      <c r="E22182" s="0" t="inlineStr">
        <is>
          <t xml:space="preserve">Mazda</t>
        </is>
      </c>
      <c r="F22182" s="0" t="s">
        <v>13</v>
      </c>
      <c r="G22182" s="0" t="s">
        <v>49</v>
      </c>
      <c r="H22182" s="5">
        <v>14.594800</v>
      </c>
    </row>
    <row r="22183" spans="1:9">
      <c r="A22183" s="22" t="str">
        <f>HYPERLINK("https://app.vivvix.com/360/KMI/IntelliDrive/ApplUI/Pages/CreativePages/CustomReportCreativeDetail.aspx?App=23&amp;ReportView=4&amp;Qid=1711279&amp;Row=22175&amp;Col=1","No Title Assigned - #15280625814")</f>
        <v/>
      </c>
      <c r="B22183" s="0" t="s">
        <v>29511</v>
      </c>
      <c r="C22183" s="0" t="s">
        <v>29512</v>
      </c>
      <c r="D22183" s="0" t="s">
        <v>29512</v>
      </c>
      <c r="E22183" s="0" t="inlineStr">
        <is>
          <t xml:space="preserve">Mazda</t>
        </is>
      </c>
      <c r="F22183" s="0" t="s">
        <v>13</v>
      </c>
      <c r="G22183" s="0" t="s">
        <v>49</v>
      </c>
      <c r="H22183" s="5">
        <v>512.374200</v>
      </c>
    </row>
    <row r="22184" spans="1:9">
      <c r="A22184" s="22" t="str">
        <f>HYPERLINK("https://app.vivvix.com/360/KMI/IntelliDrive/ApplUI/Pages/CreativePages/CustomReportCreativeDetail.aspx?App=23&amp;ReportView=4&amp;Qid=1711279&amp;Row=22176&amp;Col=1","No Title Assigned - #15280627537")</f>
        <v/>
      </c>
      <c r="B22184" s="0" t="s">
        <v>29513</v>
      </c>
      <c r="C22184" s="0" t="s">
        <v>29514</v>
      </c>
      <c r="D22184" s="0" t="s">
        <v>29514</v>
      </c>
      <c r="E22184" s="0" t="inlineStr">
        <is>
          <t xml:space="preserve">Mazda</t>
        </is>
      </c>
      <c r="F22184" s="0" t="s">
        <v>13</v>
      </c>
      <c r="G22184" s="0" t="s">
        <v>49</v>
      </c>
      <c r="H22184" s="5">
        <v>850.322300</v>
      </c>
    </row>
    <row r="22185" spans="1:9">
      <c r="A22185" s="22" t="str">
        <f>HYPERLINK("https://app.vivvix.com/360/KMI/IntelliDrive/ApplUI/Pages/CreativePages/CustomReportCreativeDetail.aspx?App=23&amp;ReportView=4&amp;Qid=1711279&amp;Row=22177&amp;Col=1","No Title Assigned - #15280627603")</f>
        <v/>
      </c>
      <c r="B22185" s="0" t="s">
        <v>29515</v>
      </c>
      <c r="C22185" s="0" t="s">
        <v>29516</v>
      </c>
      <c r="D22185" s="0" t="s">
        <v>29516</v>
      </c>
      <c r="E22185" s="0" t="inlineStr">
        <is>
          <t xml:space="preserve">Mazda</t>
        </is>
      </c>
      <c r="F22185" s="0" t="s">
        <v>13</v>
      </c>
      <c r="G22185" s="0" t="s">
        <v>49</v>
      </c>
      <c r="H22185" s="5">
        <v>16989.703000</v>
      </c>
    </row>
    <row r="22186" spans="1:9">
      <c r="A22186" s="22" t="str">
        <f>HYPERLINK("https://app.vivvix.com/360/KMI/IntelliDrive/ApplUI/Pages/CreativePages/CustomReportCreativeDetail.aspx?App=23&amp;ReportView=4&amp;Qid=1711279&amp;Row=22178&amp;Col=1","No Title Assigned - #15280627603")</f>
        <v/>
      </c>
      <c r="B22186" s="0" t="s">
        <v>29515</v>
      </c>
      <c r="E22186" s="0" t="inlineStr">
        <is>
          <t xml:space="preserve">Mazda</t>
        </is>
      </c>
      <c r="F22186" s="0" t="s">
        <v>13</v>
      </c>
      <c r="G22186" s="0" t="s">
        <v>49</v>
      </c>
      <c r="H22186" s="5">
        <v>3.583400</v>
      </c>
    </row>
    <row r="22187" spans="1:9">
      <c r="A22187" s="22" t="str">
        <f>HYPERLINK("https://app.vivvix.com/360/KMI/IntelliDrive/ApplUI/Pages/CreativePages/CustomReportCreativeDetail.aspx?App=23&amp;ReportView=4&amp;Qid=1711279&amp;Row=22179&amp;Col=1","No Title Assigned - #15280628322")</f>
        <v/>
      </c>
      <c r="B22187" s="0" t="s">
        <v>29517</v>
      </c>
      <c r="C22187" s="0" t="s">
        <v>29518</v>
      </c>
      <c r="D22187" s="0" t="s">
        <v>29518</v>
      </c>
      <c r="E22187" s="0" t="inlineStr">
        <is>
          <t xml:space="preserve">Mazda</t>
        </is>
      </c>
      <c r="F22187" s="0" t="s">
        <v>13</v>
      </c>
      <c r="G22187" s="0" t="s">
        <v>49</v>
      </c>
      <c r="H22187" s="5">
        <v>25.625200</v>
      </c>
    </row>
    <row r="22188" spans="1:9">
      <c r="A22188" s="22" t="str">
        <f>HYPERLINK("https://app.vivvix.com/360/KMI/IntelliDrive/ApplUI/Pages/CreativePages/CustomReportCreativeDetail.aspx?App=23&amp;ReportView=4&amp;Qid=1711279&amp;Row=22180&amp;Col=1","No Title Assigned - #15280628694")</f>
        <v/>
      </c>
      <c r="B22188" s="0" t="s">
        <v>29519</v>
      </c>
      <c r="C22188" s="0" t="s">
        <v>29520</v>
      </c>
      <c r="D22188" s="0" t="s">
        <v>29520</v>
      </c>
      <c r="E22188" s="0" t="inlineStr">
        <is>
          <t xml:space="preserve">Mazda</t>
        </is>
      </c>
      <c r="F22188" s="0" t="s">
        <v>13</v>
      </c>
      <c r="G22188" s="0" t="s">
        <v>49</v>
      </c>
      <c r="H22188" s="5">
        <v>1978.382500</v>
      </c>
    </row>
    <row r="22189" spans="1:9">
      <c r="A22189" s="22" t="str">
        <f>HYPERLINK("https://app.vivvix.com/360/KMI/IntelliDrive/ApplUI/Pages/CreativePages/CustomReportCreativeDetail.aspx?App=23&amp;ReportView=4&amp;Qid=1711279&amp;Row=22181&amp;Col=1","No Title Assigned - #15280629290")</f>
        <v/>
      </c>
      <c r="B22189" s="0" t="s">
        <v>29521</v>
      </c>
      <c r="C22189" s="0" t="s">
        <v>29522</v>
      </c>
      <c r="D22189" s="0" t="s">
        <v>29522</v>
      </c>
      <c r="E22189" s="0" t="inlineStr">
        <is>
          <t xml:space="preserve">Mazda</t>
        </is>
      </c>
      <c r="F22189" s="0" t="s">
        <v>13</v>
      </c>
      <c r="G22189" s="0" t="s">
        <v>49</v>
      </c>
      <c r="H22189" s="5">
        <v>118.087800</v>
      </c>
    </row>
    <row r="22190" spans="1:9">
      <c r="A22190" s="22" t="str">
        <f>HYPERLINK("https://app.vivvix.com/360/KMI/IntelliDrive/ApplUI/Pages/CreativePages/CustomReportCreativeDetail.aspx?App=23&amp;ReportView=4&amp;Qid=1711279&amp;Row=22182&amp;Col=1","No Title Assigned - #15280629291")</f>
        <v/>
      </c>
      <c r="B22190" s="0" t="s">
        <v>29523</v>
      </c>
      <c r="C22190" s="0" t="s">
        <v>29524</v>
      </c>
      <c r="D22190" s="0" t="s">
        <v>29524</v>
      </c>
      <c r="E22190" s="0" t="inlineStr">
        <is>
          <t xml:space="preserve">Mazda</t>
        </is>
      </c>
      <c r="F22190" s="0" t="s">
        <v>13</v>
      </c>
      <c r="G22190" s="0" t="s">
        <v>49</v>
      </c>
      <c r="H22190" s="5">
        <v>16.043100</v>
      </c>
    </row>
    <row r="22191" spans="1:9">
      <c r="A22191" s="22" t="str">
        <f>HYPERLINK("https://app.vivvix.com/360/KMI/IntelliDrive/ApplUI/Pages/CreativePages/CustomReportCreativeDetail.aspx?App=23&amp;ReportView=4&amp;Qid=1711279&amp;Row=22183&amp;Col=1","No Title Assigned - #15280630430")</f>
        <v/>
      </c>
      <c r="B22191" s="0" t="s">
        <v>29525</v>
      </c>
      <c r="C22191" s="0" t="s">
        <v>29526</v>
      </c>
      <c r="D22191" s="0" t="s">
        <v>4335</v>
      </c>
      <c r="E22191" s="0" t="inlineStr">
        <is>
          <t xml:space="preserve">Mazda</t>
        </is>
      </c>
      <c r="F22191" s="0" t="s">
        <v>13</v>
      </c>
      <c r="G22191" s="0" t="s">
        <v>49</v>
      </c>
      <c r="H22191" s="5">
        <v>4204.913600</v>
      </c>
    </row>
    <row r="22192" spans="1:9">
      <c r="A22192" s="22" t="str">
        <f>HYPERLINK("https://app.vivvix.com/360/KMI/IntelliDrive/ApplUI/Pages/CreativePages/CustomReportCreativeDetail.aspx?App=23&amp;ReportView=4&amp;Qid=1711279&amp;Row=22184&amp;Col=1","No Title Assigned - #15280631193")</f>
        <v/>
      </c>
      <c r="B22192" s="0" t="s">
        <v>29527</v>
      </c>
      <c r="C22192" s="0" t="s">
        <v>29528</v>
      </c>
      <c r="D22192" s="0" t="s">
        <v>4774</v>
      </c>
      <c r="E22192" s="0" t="inlineStr">
        <is>
          <t xml:space="preserve">Mazda</t>
        </is>
      </c>
      <c r="F22192" s="0" t="s">
        <v>13</v>
      </c>
      <c r="G22192" s="0" t="s">
        <v>49</v>
      </c>
      <c r="H22192" s="5">
        <v>648.047200</v>
      </c>
    </row>
    <row r="22193" spans="1:9">
      <c r="A22193" s="22" t="str">
        <f>HYPERLINK("https://app.vivvix.com/360/KMI/IntelliDrive/ApplUI/Pages/CreativePages/CustomReportCreativeDetail.aspx?App=23&amp;ReportView=4&amp;Qid=1711279&amp;Row=22185&amp;Col=1","No Title Assigned - #15280631241")</f>
        <v/>
      </c>
      <c r="B22193" s="0" t="s">
        <v>29529</v>
      </c>
      <c r="C22193" s="0" t="s">
        <v>29530</v>
      </c>
      <c r="D22193" s="0" t="s">
        <v>29530</v>
      </c>
      <c r="E22193" s="0" t="inlineStr">
        <is>
          <t xml:space="preserve">Mazda</t>
        </is>
      </c>
      <c r="F22193" s="0" t="s">
        <v>13</v>
      </c>
      <c r="G22193" s="0" t="s">
        <v>49</v>
      </c>
      <c r="H22193" s="5">
        <v>218.578300</v>
      </c>
    </row>
    <row r="22194" spans="1:9">
      <c r="A22194" s="22" t="str">
        <f>HYPERLINK("https://app.vivvix.com/360/KMI/IntelliDrive/ApplUI/Pages/CreativePages/CustomReportCreativeDetail.aspx?App=23&amp;ReportView=4&amp;Qid=1711279&amp;Row=22186&amp;Col=1","No Title Assigned - #15280631241")</f>
        <v/>
      </c>
      <c r="B22194" s="0" t="s">
        <v>29529</v>
      </c>
      <c r="C22194" s="0" t="s">
        <v>29531</v>
      </c>
      <c r="D22194" s="0" t="s">
        <v>29531</v>
      </c>
      <c r="E22194" s="0" t="inlineStr">
        <is>
          <t xml:space="preserve">Mazda</t>
        </is>
      </c>
      <c r="F22194" s="0" t="s">
        <v>13</v>
      </c>
      <c r="G22194" s="0" t="s">
        <v>49</v>
      </c>
      <c r="H22194" s="5">
        <v>983.458000</v>
      </c>
    </row>
    <row r="22195" spans="1:9">
      <c r="A22195" s="22" t="str">
        <f>HYPERLINK("https://app.vivvix.com/360/KMI/IntelliDrive/ApplUI/Pages/CreativePages/CustomReportCreativeDetail.aspx?App=23&amp;ReportView=4&amp;Qid=1711279&amp;Row=22187&amp;Col=1","No Title Assigned - #15280634410")</f>
        <v/>
      </c>
      <c r="B22195" s="0" t="s">
        <v>29532</v>
      </c>
      <c r="C22195" s="0" t="s">
        <v>29533</v>
      </c>
      <c r="D22195" s="0" t="s">
        <v>10964</v>
      </c>
      <c r="E22195" s="0" t="inlineStr">
        <is>
          <t xml:space="preserve">Mazda</t>
        </is>
      </c>
      <c r="F22195" s="0" t="s">
        <v>13</v>
      </c>
      <c r="G22195" s="0" t="s">
        <v>49</v>
      </c>
      <c r="H22195" s="5">
        <v>3.448500</v>
      </c>
    </row>
    <row r="22196" spans="1:9">
      <c r="A22196" s="22" t="str">
        <f>HYPERLINK("https://app.vivvix.com/360/KMI/IntelliDrive/ApplUI/Pages/CreativePages/CustomReportCreativeDetail.aspx?App=23&amp;ReportView=4&amp;Qid=1711279&amp;Row=22188&amp;Col=1","No Title Assigned - #15280634625")</f>
        <v/>
      </c>
      <c r="B22196" s="0" t="s">
        <v>29534</v>
      </c>
      <c r="C22196" s="0" t="s">
        <v>29535</v>
      </c>
      <c r="D22196" s="0" t="s">
        <v>29535</v>
      </c>
      <c r="E22196" s="0" t="inlineStr">
        <is>
          <t xml:space="preserve">Mazda</t>
        </is>
      </c>
      <c r="F22196" s="0" t="s">
        <v>13</v>
      </c>
      <c r="G22196" s="0" t="s">
        <v>49</v>
      </c>
      <c r="H22196" s="5">
        <v>14.169200</v>
      </c>
    </row>
    <row r="22197" spans="1:9">
      <c r="A22197" s="22" t="str">
        <f>HYPERLINK("https://app.vivvix.com/360/KMI/IntelliDrive/ApplUI/Pages/CreativePages/CustomReportCreativeDetail.aspx?App=23&amp;ReportView=4&amp;Qid=1711279&amp;Row=22189&amp;Col=1","No Title Assigned - #15280635277")</f>
        <v/>
      </c>
      <c r="B22197" s="0" t="s">
        <v>29536</v>
      </c>
      <c r="C22197" s="0" t="s">
        <v>29537</v>
      </c>
      <c r="D22197" s="0" t="s">
        <v>10770</v>
      </c>
      <c r="E22197" s="0" t="inlineStr">
        <is>
          <t xml:space="preserve">Mazda</t>
        </is>
      </c>
      <c r="F22197" s="0" t="s">
        <v>13</v>
      </c>
      <c r="G22197" s="0" t="s">
        <v>49</v>
      </c>
      <c r="H22197" s="5">
        <v>271.571400</v>
      </c>
    </row>
    <row r="22198" spans="1:9">
      <c r="A22198" s="22" t="str">
        <f>HYPERLINK("https://app.vivvix.com/360/KMI/IntelliDrive/ApplUI/Pages/CreativePages/CustomReportCreativeDetail.aspx?App=23&amp;ReportView=4&amp;Qid=1711279&amp;Row=22190&amp;Col=1","No Title Assigned - #15280635278")</f>
        <v/>
      </c>
      <c r="B22198" s="0" t="s">
        <v>29538</v>
      </c>
      <c r="C22198" s="0" t="s">
        <v>29539</v>
      </c>
      <c r="D22198" s="0" t="s">
        <v>29539</v>
      </c>
      <c r="E22198" s="0" t="inlineStr">
        <is>
          <t xml:space="preserve">Mazda</t>
        </is>
      </c>
      <c r="F22198" s="0" t="s">
        <v>13</v>
      </c>
      <c r="G22198" s="0" t="s">
        <v>49</v>
      </c>
      <c r="H22198" s="5">
        <v>37.910100</v>
      </c>
    </row>
    <row r="22199" spans="1:9">
      <c r="A22199" s="22" t="str">
        <f>HYPERLINK("https://app.vivvix.com/360/KMI/IntelliDrive/ApplUI/Pages/CreativePages/CustomReportCreativeDetail.aspx?App=23&amp;ReportView=4&amp;Qid=1711279&amp;Row=22191&amp;Col=1","No Title Assigned - #15280635394")</f>
        <v/>
      </c>
      <c r="B22199" s="0" t="s">
        <v>29540</v>
      </c>
      <c r="C22199" s="0" t="s">
        <v>29541</v>
      </c>
      <c r="D22199" s="0" t="s">
        <v>8006</v>
      </c>
      <c r="E22199" s="0" t="inlineStr">
        <is>
          <t xml:space="preserve">Mazda</t>
        </is>
      </c>
      <c r="F22199" s="0" t="s">
        <v>13</v>
      </c>
      <c r="G22199" s="0" t="s">
        <v>49</v>
      </c>
      <c r="H22199" s="5">
        <v>797.105700</v>
      </c>
    </row>
    <row r="22200" spans="1:9">
      <c r="A22200" s="22" t="str">
        <f>HYPERLINK("https://app.vivvix.com/360/KMI/IntelliDrive/ApplUI/Pages/CreativePages/CustomReportCreativeDetail.aspx?App=23&amp;ReportView=4&amp;Qid=1711279&amp;Row=22192&amp;Col=1","No Title Assigned - #15280635454")</f>
        <v/>
      </c>
      <c r="B22200" s="0" t="s">
        <v>29542</v>
      </c>
      <c r="C22200" s="0" t="s">
        <v>29543</v>
      </c>
      <c r="D22200" s="0" t="s">
        <v>9167</v>
      </c>
      <c r="E22200" s="0" t="inlineStr">
        <is>
          <t xml:space="preserve">Mazda</t>
        </is>
      </c>
      <c r="F22200" s="0" t="s">
        <v>13</v>
      </c>
      <c r="G22200" s="0" t="s">
        <v>49</v>
      </c>
      <c r="H22200" s="5">
        <v>494.852700</v>
      </c>
    </row>
    <row r="22201" spans="1:9">
      <c r="A22201" s="22" t="str">
        <f>HYPERLINK("https://app.vivvix.com/360/KMI/IntelliDrive/ApplUI/Pages/CreativePages/CustomReportCreativeDetail.aspx?App=23&amp;ReportView=4&amp;Qid=1711279&amp;Row=22193&amp;Col=1","No Title Assigned - #15280635547")</f>
        <v/>
      </c>
      <c r="B22201" s="0" t="s">
        <v>29544</v>
      </c>
      <c r="C22201" s="0" t="s">
        <v>29545</v>
      </c>
      <c r="D22201" s="0" t="s">
        <v>16884</v>
      </c>
      <c r="E22201" s="0" t="inlineStr">
        <is>
          <t xml:space="preserve">Mazda</t>
        </is>
      </c>
      <c r="F22201" s="0" t="s">
        <v>13</v>
      </c>
      <c r="G22201" s="0" t="s">
        <v>49</v>
      </c>
      <c r="H22201" s="5">
        <v>361.121300</v>
      </c>
    </row>
    <row r="22202" spans="1:9">
      <c r="A22202" s="22" t="str">
        <f>HYPERLINK("https://app.vivvix.com/360/KMI/IntelliDrive/ApplUI/Pages/CreativePages/CustomReportCreativeDetail.aspx?App=23&amp;ReportView=4&amp;Qid=1711279&amp;Row=22194&amp;Col=1","No Title Assigned - #15280636302")</f>
        <v/>
      </c>
      <c r="B22202" s="0" t="s">
        <v>29546</v>
      </c>
      <c r="C22202" s="0" t="s">
        <v>29547</v>
      </c>
      <c r="D22202" s="0" t="s">
        <v>29547</v>
      </c>
      <c r="E22202" s="0" t="inlineStr">
        <is>
          <t xml:space="preserve">Mazda</t>
        </is>
      </c>
      <c r="F22202" s="0" t="s">
        <v>13</v>
      </c>
      <c r="G22202" s="0" t="s">
        <v>49</v>
      </c>
      <c r="H22202" s="5">
        <v>102.008400</v>
      </c>
    </row>
    <row r="22203" spans="1:9">
      <c r="A22203" s="22" t="str">
        <f>HYPERLINK("https://app.vivvix.com/360/KMI/IntelliDrive/ApplUI/Pages/CreativePages/CustomReportCreativeDetail.aspx?App=23&amp;ReportView=4&amp;Qid=1711279&amp;Row=22195&amp;Col=1","No Title Assigned - #15280636343")</f>
        <v/>
      </c>
      <c r="B22203" s="0" t="s">
        <v>29548</v>
      </c>
      <c r="C22203" s="0" t="s">
        <v>29549</v>
      </c>
      <c r="D22203" s="0" t="s">
        <v>29549</v>
      </c>
      <c r="E22203" s="0" t="inlineStr">
        <is>
          <t xml:space="preserve">Mazda</t>
        </is>
      </c>
      <c r="F22203" s="0" t="inlineStr">
        <is>
          <t xml:space="preserve">Mazda</t>
        </is>
      </c>
      <c r="G22203" s="0" t="s">
        <v>210</v>
      </c>
      <c r="H22203" s="5">
        <v>560.710900</v>
      </c>
    </row>
    <row r="22204" spans="1:9">
      <c r="A22204" s="22" t="str">
        <f>HYPERLINK("https://app.vivvix.com/360/KMI/IntelliDrive/ApplUI/Pages/CreativePages/CustomReportCreativeDetail.aspx?App=23&amp;ReportView=4&amp;Qid=1711279&amp;Row=22196&amp;Col=1","No Title Assigned - #15280638797")</f>
        <v/>
      </c>
      <c r="B22204" s="0" t="s">
        <v>29550</v>
      </c>
      <c r="C22204" s="0" t="s">
        <v>29551</v>
      </c>
      <c r="D22204" s="0" t="s">
        <v>29551</v>
      </c>
      <c r="E22204" s="0" t="inlineStr">
        <is>
          <t xml:space="preserve">Mazda</t>
        </is>
      </c>
      <c r="F22204" s="0" t="s">
        <v>13</v>
      </c>
      <c r="G22204" s="0" t="s">
        <v>49</v>
      </c>
      <c r="H22204" s="5">
        <v>39.218800</v>
      </c>
    </row>
    <row r="22205" spans="1:9">
      <c r="A22205" s="22" t="str">
        <f>HYPERLINK("https://app.vivvix.com/360/KMI/IntelliDrive/ApplUI/Pages/CreativePages/CustomReportCreativeDetail.aspx?App=23&amp;ReportView=4&amp;Qid=1711279&amp;Row=22197&amp;Col=1","No Title Assigned - #15280638949")</f>
        <v/>
      </c>
      <c r="B22205" s="0" t="s">
        <v>29552</v>
      </c>
      <c r="C22205" s="0" t="s">
        <v>29553</v>
      </c>
      <c r="D22205" s="0" t="s">
        <v>11469</v>
      </c>
      <c r="E22205" s="0" t="inlineStr">
        <is>
          <t xml:space="preserve">Mazda</t>
        </is>
      </c>
      <c r="F22205" s="0" t="s">
        <v>13</v>
      </c>
      <c r="G22205" s="0" t="s">
        <v>49</v>
      </c>
      <c r="H22205" s="5">
        <v>60.960200</v>
      </c>
    </row>
    <row r="22206" spans="1:9">
      <c r="A22206" s="22" t="str">
        <f>HYPERLINK("https://app.vivvix.com/360/KMI/IntelliDrive/ApplUI/Pages/CreativePages/CustomReportCreativeDetail.aspx?App=23&amp;ReportView=4&amp;Qid=1711279&amp;Row=22198&amp;Col=1","No Title Assigned - #15280640638")</f>
        <v/>
      </c>
      <c r="B22206" s="0" t="s">
        <v>29554</v>
      </c>
      <c r="C22206" s="0" t="s">
        <v>29555</v>
      </c>
      <c r="D22206" s="0" t="s">
        <v>29555</v>
      </c>
      <c r="E22206" s="0" t="inlineStr">
        <is>
          <t xml:space="preserve">Mazda</t>
        </is>
      </c>
      <c r="F22206" s="0" t="s">
        <v>28</v>
      </c>
      <c r="G22206" s="0" t="s">
        <v>29</v>
      </c>
      <c r="H22206" s="5">
        <v>340.438600</v>
      </c>
    </row>
    <row r="22207" spans="1:9">
      <c r="A22207" s="22" t="str">
        <f>HYPERLINK("https://app.vivvix.com/360/KMI/IntelliDrive/ApplUI/Pages/CreativePages/CustomReportCreativeDetail.aspx?App=23&amp;ReportView=4&amp;Qid=1711279&amp;Row=22199&amp;Col=1","No Title Assigned - #15280642424")</f>
        <v/>
      </c>
      <c r="B22207" s="0" t="s">
        <v>29556</v>
      </c>
      <c r="C22207" s="0" t="s">
        <v>29557</v>
      </c>
      <c r="D22207" s="0" t="s">
        <v>29557</v>
      </c>
      <c r="E22207" s="0" t="inlineStr">
        <is>
          <t xml:space="preserve">Mazda</t>
        </is>
      </c>
      <c r="F22207" s="0" t="s">
        <v>28</v>
      </c>
      <c r="G22207" s="0" t="s">
        <v>29</v>
      </c>
      <c r="H22207" s="5">
        <v>230.353100</v>
      </c>
    </row>
    <row r="22208" spans="1:9">
      <c r="A22208" s="22" t="str">
        <f>HYPERLINK("https://app.vivvix.com/360/KMI/IntelliDrive/ApplUI/Pages/CreativePages/CustomReportCreativeDetail.aspx?App=23&amp;ReportView=4&amp;Qid=1711279&amp;Row=22200&amp;Col=1","No Title Assigned - #15280643116")</f>
        <v/>
      </c>
      <c r="B22208" s="0" t="s">
        <v>29558</v>
      </c>
      <c r="E22208" s="0" t="inlineStr">
        <is>
          <t xml:space="preserve">Mazda</t>
        </is>
      </c>
      <c r="F22208" s="0" t="inlineStr">
        <is>
          <t xml:space="preserve">Mazda</t>
        </is>
      </c>
      <c r="G22208" s="0" t="s">
        <v>171</v>
      </c>
      <c r="H22208" s="5">
        <v>2014.098200</v>
      </c>
    </row>
    <row r="22209" spans="1:9">
      <c r="A22209" s="22" t="str">
        <f>HYPERLINK("https://app.vivvix.com/360/KMI/IntelliDrive/ApplUI/Pages/CreativePages/CustomReportCreativeDetail.aspx?App=23&amp;ReportView=4&amp;Qid=1711279&amp;Row=22201&amp;Col=1","No Title Assigned - #15280643229")</f>
        <v/>
      </c>
      <c r="B22209" s="0" t="s">
        <v>29559</v>
      </c>
      <c r="E22209" s="0" t="inlineStr">
        <is>
          <t xml:space="preserve">Mazda</t>
        </is>
      </c>
      <c r="F22209" s="0" t="inlineStr">
        <is>
          <t xml:space="preserve">Mazda</t>
        </is>
      </c>
      <c r="G22209" s="0" t="s">
        <v>171</v>
      </c>
      <c r="H22209" s="5">
        <v>19.703400</v>
      </c>
    </row>
    <row r="22210" spans="1:9">
      <c r="A22210" s="22" t="str">
        <f>HYPERLINK("https://app.vivvix.com/360/KMI/IntelliDrive/ApplUI/Pages/CreativePages/CustomReportCreativeDetail.aspx?App=23&amp;ReportView=4&amp;Qid=1711279&amp;Row=22202&amp;Col=1","No Title Assigned - #15280643260")</f>
        <v/>
      </c>
      <c r="B22210" s="0" t="s">
        <v>29560</v>
      </c>
      <c r="C22210" s="0" t="s">
        <v>29561</v>
      </c>
      <c r="D22210" s="0" t="s">
        <v>15762</v>
      </c>
      <c r="E22210" s="0" t="inlineStr">
        <is>
          <t xml:space="preserve">Mazda</t>
        </is>
      </c>
      <c r="F22210" s="0" t="s">
        <v>13</v>
      </c>
      <c r="G22210" s="0" t="s">
        <v>49</v>
      </c>
      <c r="H22210" s="5">
        <v>20.788800</v>
      </c>
    </row>
    <row r="22211" spans="1:9">
      <c r="A22211" s="22" t="str">
        <f>HYPERLINK("https://app.vivvix.com/360/KMI/IntelliDrive/ApplUI/Pages/CreativePages/CustomReportCreativeDetail.aspx?App=23&amp;ReportView=4&amp;Qid=1711279&amp;Row=22203&amp;Col=1","No Title Assigned - #15280643345")</f>
        <v/>
      </c>
      <c r="B22211" s="0" t="s">
        <v>29562</v>
      </c>
      <c r="C22211" s="0" t="s">
        <v>29563</v>
      </c>
      <c r="D22211" s="0" t="s">
        <v>19730</v>
      </c>
      <c r="E22211" s="0" t="inlineStr">
        <is>
          <t xml:space="preserve">Mazda</t>
        </is>
      </c>
      <c r="F22211" s="0" t="s">
        <v>13</v>
      </c>
      <c r="G22211" s="0" t="s">
        <v>49</v>
      </c>
      <c r="H22211" s="5">
        <v>167.010400</v>
      </c>
    </row>
    <row r="22212" spans="1:9">
      <c r="A22212" s="22" t="str">
        <f>HYPERLINK("https://app.vivvix.com/360/KMI/IntelliDrive/ApplUI/Pages/CreativePages/CustomReportCreativeDetail.aspx?App=23&amp;ReportView=4&amp;Qid=1711279&amp;Row=22204&amp;Col=1","No Title Assigned - #15280643529")</f>
        <v/>
      </c>
      <c r="B22212" s="0" t="s">
        <v>29564</v>
      </c>
      <c r="E22212" s="0" t="inlineStr">
        <is>
          <t xml:space="preserve">Mazda</t>
        </is>
      </c>
      <c r="F22212" s="0" t="inlineStr">
        <is>
          <t xml:space="preserve">Mazda</t>
        </is>
      </c>
      <c r="G22212" s="0" t="s">
        <v>171</v>
      </c>
      <c r="H22212" s="5">
        <v>39.351400</v>
      </c>
    </row>
    <row r="22213" spans="1:9">
      <c r="A22213" s="22" t="str">
        <f>HYPERLINK("https://app.vivvix.com/360/KMI/IntelliDrive/ApplUI/Pages/CreativePages/CustomReportCreativeDetail.aspx?App=23&amp;ReportView=4&amp;Qid=1711279&amp;Row=22205&amp;Col=1","No Title Assigned - #15280643694")</f>
        <v/>
      </c>
      <c r="B22213" s="0" t="s">
        <v>29565</v>
      </c>
      <c r="E22213" s="0" t="inlineStr">
        <is>
          <t xml:space="preserve">Mazda</t>
        </is>
      </c>
      <c r="F22213" s="0" t="inlineStr">
        <is>
          <t xml:space="preserve">Mazda</t>
        </is>
      </c>
      <c r="G22213" s="0" t="s">
        <v>171</v>
      </c>
      <c r="H22213" s="5">
        <v>4029.712200</v>
      </c>
    </row>
    <row r="22214" spans="1:9">
      <c r="A22214" s="22" t="str">
        <f>HYPERLINK("https://app.vivvix.com/360/KMI/IntelliDrive/ApplUI/Pages/CreativePages/CustomReportCreativeDetail.aspx?App=23&amp;ReportView=4&amp;Qid=1711279&amp;Row=22206&amp;Col=1","No Title Assigned - #15280643694")</f>
        <v/>
      </c>
      <c r="B22214" s="0" t="s">
        <v>29565</v>
      </c>
      <c r="E22214" s="0" t="inlineStr">
        <is>
          <t xml:space="preserve">Mazda</t>
        </is>
      </c>
      <c r="F22214" s="0" t="inlineStr">
        <is>
          <t xml:space="preserve">Mazda</t>
        </is>
      </c>
      <c r="G22214" s="0" t="s">
        <v>171</v>
      </c>
      <c r="H22214" s="5">
        <v>1100.490100</v>
      </c>
    </row>
    <row r="22215" spans="1:9">
      <c r="A22215" s="22" t="str">
        <f>HYPERLINK("https://app.vivvix.com/360/KMI/IntelliDrive/ApplUI/Pages/CreativePages/CustomReportCreativeDetail.aspx?App=23&amp;ReportView=4&amp;Qid=1711279&amp;Row=22207&amp;Col=1","No Title Assigned - #15280643700")</f>
        <v/>
      </c>
      <c r="B22215" s="0" t="s">
        <v>29566</v>
      </c>
      <c r="E22215" s="0" t="inlineStr">
        <is>
          <t xml:space="preserve">Mazda</t>
        </is>
      </c>
      <c r="F22215" s="0" t="inlineStr">
        <is>
          <t xml:space="preserve">Mazda</t>
        </is>
      </c>
      <c r="G22215" s="0" t="s">
        <v>171</v>
      </c>
      <c r="H22215" s="5">
        <v>673.575500</v>
      </c>
    </row>
    <row r="22216" spans="1:9">
      <c r="A22216" s="22" t="str">
        <f>HYPERLINK("https://app.vivvix.com/360/KMI/IntelliDrive/ApplUI/Pages/CreativePages/CustomReportCreativeDetail.aspx?App=23&amp;ReportView=4&amp;Qid=1711279&amp;Row=22208&amp;Col=1","No Title Assigned - #15280643738")</f>
        <v/>
      </c>
      <c r="B22216" s="0" t="s">
        <v>29567</v>
      </c>
      <c r="E22216" s="0" t="inlineStr">
        <is>
          <t xml:space="preserve">Mazda</t>
        </is>
      </c>
      <c r="F22216" s="0" t="inlineStr">
        <is>
          <t xml:space="preserve">Mazda</t>
        </is>
      </c>
      <c r="G22216" s="0" t="s">
        <v>171</v>
      </c>
      <c r="H22216" s="5">
        <v>1117.880600</v>
      </c>
    </row>
    <row r="22217" spans="1:9">
      <c r="A22217" s="22" t="str">
        <f>HYPERLINK("https://app.vivvix.com/360/KMI/IntelliDrive/ApplUI/Pages/CreativePages/CustomReportCreativeDetail.aspx?App=23&amp;ReportView=4&amp;Qid=1711279&amp;Row=22209&amp;Col=1","No Title Assigned - #15280643889")</f>
        <v/>
      </c>
      <c r="B22217" s="0" t="s">
        <v>29568</v>
      </c>
      <c r="E22217" s="0" t="inlineStr">
        <is>
          <t xml:space="preserve">Mazda</t>
        </is>
      </c>
      <c r="F22217" s="0" t="inlineStr">
        <is>
          <t xml:space="preserve">Mazda</t>
        </is>
      </c>
      <c r="G22217" s="0" t="s">
        <v>171</v>
      </c>
      <c r="H22217" s="5">
        <v>1484.608800</v>
      </c>
    </row>
    <row r="22218" spans="1:9">
      <c r="A22218" s="22" t="str">
        <f>HYPERLINK("https://app.vivvix.com/360/KMI/IntelliDrive/ApplUI/Pages/CreativePages/CustomReportCreativeDetail.aspx?App=23&amp;ReportView=4&amp;Qid=1711279&amp;Row=22210&amp;Col=1","No Title Assigned - #15280643946")</f>
        <v/>
      </c>
      <c r="B22218" s="0" t="s">
        <v>29569</v>
      </c>
      <c r="E22218" s="0" t="inlineStr">
        <is>
          <t xml:space="preserve">Mazda</t>
        </is>
      </c>
      <c r="F22218" s="0" t="inlineStr">
        <is>
          <t xml:space="preserve">Mazda</t>
        </is>
      </c>
      <c r="G22218" s="0" t="s">
        <v>171</v>
      </c>
      <c r="H22218" s="5">
        <v>126.354600</v>
      </c>
    </row>
    <row r="22219" spans="1:9">
      <c r="A22219" s="22" t="str">
        <f>HYPERLINK("https://app.vivvix.com/360/KMI/IntelliDrive/ApplUI/Pages/CreativePages/CustomReportCreativeDetail.aspx?App=23&amp;ReportView=4&amp;Qid=1711279&amp;Row=22211&amp;Col=1","No Title Assigned - #15280643947")</f>
        <v/>
      </c>
      <c r="B22219" s="0" t="s">
        <v>29570</v>
      </c>
      <c r="C22219" s="0" t="s">
        <v>29571</v>
      </c>
      <c r="D22219" s="0" t="s">
        <v>13101</v>
      </c>
      <c r="E22219" s="0" t="inlineStr">
        <is>
          <t xml:space="preserve">Mazda</t>
        </is>
      </c>
      <c r="F22219" s="0" t="s">
        <v>13</v>
      </c>
      <c r="G22219" s="0" t="s">
        <v>49</v>
      </c>
      <c r="H22219" s="5">
        <v>2217.398000</v>
      </c>
    </row>
    <row r="22220" spans="1:9">
      <c r="A22220" s="22" t="str">
        <f>HYPERLINK("https://app.vivvix.com/360/KMI/IntelliDrive/ApplUI/Pages/CreativePages/CustomReportCreativeDetail.aspx?App=23&amp;ReportView=4&amp;Qid=1711279&amp;Row=22212&amp;Col=1","No Title Assigned - #15280644273")</f>
        <v/>
      </c>
      <c r="B22220" s="0" t="s">
        <v>29572</v>
      </c>
      <c r="E22220" s="0" t="inlineStr">
        <is>
          <t xml:space="preserve">Mazda</t>
        </is>
      </c>
      <c r="F22220" s="0" t="inlineStr">
        <is>
          <t xml:space="preserve">Mazda</t>
        </is>
      </c>
      <c r="G22220" s="0" t="s">
        <v>171</v>
      </c>
      <c r="H22220" s="5">
        <v>25.375400</v>
      </c>
    </row>
    <row r="22221" spans="1:9">
      <c r="A22221" s="22" t="str">
        <f>HYPERLINK("https://app.vivvix.com/360/KMI/IntelliDrive/ApplUI/Pages/CreativePages/CustomReportCreativeDetail.aspx?App=23&amp;ReportView=4&amp;Qid=1711279&amp;Row=22213&amp;Col=1","No Title Assigned - #15280644362")</f>
        <v/>
      </c>
      <c r="B22221" s="0" t="s">
        <v>29573</v>
      </c>
      <c r="C22221" s="0" t="s">
        <v>29574</v>
      </c>
      <c r="D22221" s="0" t="s">
        <v>29574</v>
      </c>
      <c r="E22221" s="0" t="inlineStr">
        <is>
          <t xml:space="preserve">Mazda</t>
        </is>
      </c>
      <c r="F22221" s="0" t="inlineStr">
        <is>
          <t xml:space="preserve">Mazda</t>
        </is>
      </c>
      <c r="G22221" s="0" t="s">
        <v>171</v>
      </c>
      <c r="H22221" s="5">
        <v>1128.294400</v>
      </c>
    </row>
    <row r="22222" spans="1:9">
      <c r="A22222" s="22" t="str">
        <f>HYPERLINK("https://app.vivvix.com/360/KMI/IntelliDrive/ApplUI/Pages/CreativePages/CustomReportCreativeDetail.aspx?App=23&amp;ReportView=4&amp;Qid=1711279&amp;Row=22214&amp;Col=1","No Title Assigned - #15280646304")</f>
        <v/>
      </c>
      <c r="B22222" s="0" t="s">
        <v>29575</v>
      </c>
      <c r="E22222" s="0" t="inlineStr">
        <is>
          <t xml:space="preserve">Mazda</t>
        </is>
      </c>
      <c r="F22222" s="0" t="inlineStr">
        <is>
          <t xml:space="preserve">Mazda</t>
        </is>
      </c>
      <c r="G22222" s="0" t="s">
        <v>171</v>
      </c>
      <c r="H22222" s="5">
        <v>9.851700</v>
      </c>
    </row>
    <row r="22223" spans="1:9">
      <c r="A22223" s="22" t="str">
        <f>HYPERLINK("https://app.vivvix.com/360/KMI/IntelliDrive/ApplUI/Pages/CreativePages/CustomReportCreativeDetail.aspx?App=23&amp;ReportView=4&amp;Qid=1711279&amp;Row=22215&amp;Col=1","No Title Assigned - #15280646528")</f>
        <v/>
      </c>
      <c r="B22223" s="0" t="s">
        <v>29576</v>
      </c>
      <c r="E22223" s="0" t="inlineStr">
        <is>
          <t xml:space="preserve">Mazda</t>
        </is>
      </c>
      <c r="F22223" s="0" t="inlineStr">
        <is>
          <t xml:space="preserve">Mazda</t>
        </is>
      </c>
      <c r="G22223" s="0" t="s">
        <v>171</v>
      </c>
      <c r="H22223" s="5">
        <v>44328.326000</v>
      </c>
    </row>
    <row r="22224" spans="1:9">
      <c r="A22224" s="22" t="str">
        <f>HYPERLINK("https://app.vivvix.com/360/KMI/IntelliDrive/ApplUI/Pages/CreativePages/CustomReportCreativeDetail.aspx?App=23&amp;ReportView=4&amp;Qid=1711279&amp;Row=22216&amp;Col=1","No Title Assigned - #15280646865")</f>
        <v/>
      </c>
      <c r="B22224" s="0" t="s">
        <v>29577</v>
      </c>
      <c r="E22224" s="0" t="inlineStr">
        <is>
          <t xml:space="preserve">Mazda</t>
        </is>
      </c>
      <c r="F22224" s="0" t="inlineStr">
        <is>
          <t xml:space="preserve">Mazda</t>
        </is>
      </c>
      <c r="G22224" s="0" t="s">
        <v>171</v>
      </c>
      <c r="H22224" s="5">
        <v>355.838400</v>
      </c>
    </row>
    <row r="22225" spans="1:9">
      <c r="A22225" s="22" t="str">
        <f>HYPERLINK("https://app.vivvix.com/360/KMI/IntelliDrive/ApplUI/Pages/CreativePages/CustomReportCreativeDetail.aspx?App=23&amp;ReportView=4&amp;Qid=1711279&amp;Row=22217&amp;Col=1","No Title Assigned - #15280646930")</f>
        <v/>
      </c>
      <c r="B22225" s="0" t="s">
        <v>29578</v>
      </c>
      <c r="E22225" s="0" t="inlineStr">
        <is>
          <t xml:space="preserve">Mazda</t>
        </is>
      </c>
      <c r="F22225" s="0" t="inlineStr">
        <is>
          <t xml:space="preserve">Mazda</t>
        </is>
      </c>
      <c r="G22225" s="0" t="s">
        <v>171</v>
      </c>
      <c r="H22225" s="5">
        <v>187.167500</v>
      </c>
    </row>
    <row r="22226" spans="1:9">
      <c r="A22226" s="22" t="str">
        <f>HYPERLINK("https://app.vivvix.com/360/KMI/IntelliDrive/ApplUI/Pages/CreativePages/CustomReportCreativeDetail.aspx?App=23&amp;ReportView=4&amp;Qid=1711279&amp;Row=22218&amp;Col=1","No Title Assigned - #15280647221")</f>
        <v/>
      </c>
      <c r="B22226" s="0" t="s">
        <v>29579</v>
      </c>
      <c r="E22226" s="0" t="inlineStr">
        <is>
          <t xml:space="preserve">Mazda</t>
        </is>
      </c>
      <c r="F22226" s="0" t="inlineStr">
        <is>
          <t xml:space="preserve">Mazda</t>
        </is>
      </c>
      <c r="G22226" s="0" t="s">
        <v>210</v>
      </c>
      <c r="H22226" s="5">
        <v>124.585500</v>
      </c>
    </row>
    <row r="22227" spans="1:9">
      <c r="A22227" s="22" t="str">
        <f>HYPERLINK("https://app.vivvix.com/360/KMI/IntelliDrive/ApplUI/Pages/CreativePages/CustomReportCreativeDetail.aspx?App=23&amp;ReportView=4&amp;Qid=1711279&amp;Row=22219&amp;Col=1","No Title Assigned - #15280647345")</f>
        <v/>
      </c>
      <c r="B22227" s="0" t="s">
        <v>29580</v>
      </c>
      <c r="E22227" s="0" t="inlineStr">
        <is>
          <t xml:space="preserve">Mazda</t>
        </is>
      </c>
      <c r="F22227" s="0" t="inlineStr">
        <is>
          <t xml:space="preserve">Mazda</t>
        </is>
      </c>
      <c r="G22227" s="0" t="s">
        <v>171</v>
      </c>
      <c r="H22227" s="5">
        <v>1030.248300</v>
      </c>
    </row>
    <row r="22228" spans="1:9">
      <c r="A22228" s="22" t="str">
        <f>HYPERLINK("https://app.vivvix.com/360/KMI/IntelliDrive/ApplUI/Pages/CreativePages/CustomReportCreativeDetail.aspx?App=23&amp;ReportView=4&amp;Qid=1711279&amp;Row=22220&amp;Col=1","No Title Assigned - #15280647348")</f>
        <v/>
      </c>
      <c r="B22228" s="0" t="s">
        <v>29581</v>
      </c>
      <c r="E22228" s="0" t="inlineStr">
        <is>
          <t xml:space="preserve">Mazda</t>
        </is>
      </c>
      <c r="F22228" s="0" t="inlineStr">
        <is>
          <t xml:space="preserve">Mazda</t>
        </is>
      </c>
      <c r="G22228" s="0" t="s">
        <v>171</v>
      </c>
      <c r="H22228" s="5">
        <v>820.566400</v>
      </c>
    </row>
    <row r="22229" spans="1:9">
      <c r="A22229" s="22" t="str">
        <f>HYPERLINK("https://app.vivvix.com/360/KMI/IntelliDrive/ApplUI/Pages/CreativePages/CustomReportCreativeDetail.aspx?App=23&amp;ReportView=4&amp;Qid=1711279&amp;Row=22221&amp;Col=1","No Title Assigned - #15280647524")</f>
        <v/>
      </c>
      <c r="B22229" s="0" t="s">
        <v>29582</v>
      </c>
      <c r="E22229" s="0" t="inlineStr">
        <is>
          <t xml:space="preserve">Mazda</t>
        </is>
      </c>
      <c r="F22229" s="0" t="inlineStr">
        <is>
          <t xml:space="preserve">Mazda</t>
        </is>
      </c>
      <c r="G22229" s="0" t="s">
        <v>171</v>
      </c>
      <c r="H22229" s="5">
        <v>7659.548800</v>
      </c>
    </row>
    <row r="22230" spans="1:9">
      <c r="A22230" s="22" t="str">
        <f>HYPERLINK("https://app.vivvix.com/360/KMI/IntelliDrive/ApplUI/Pages/CreativePages/CustomReportCreativeDetail.aspx?App=23&amp;ReportView=4&amp;Qid=1711279&amp;Row=22222&amp;Col=1","No Title Assigned - #15280647834")</f>
        <v/>
      </c>
      <c r="B22230" s="0" t="s">
        <v>29583</v>
      </c>
      <c r="C22230" s="0" t="s">
        <v>29584</v>
      </c>
      <c r="D22230" s="0" t="s">
        <v>29584</v>
      </c>
      <c r="E22230" s="0" t="inlineStr">
        <is>
          <t xml:space="preserve">Mazda</t>
        </is>
      </c>
      <c r="F22230" s="0" t="s">
        <v>13</v>
      </c>
      <c r="G22230" s="0" t="s">
        <v>49</v>
      </c>
      <c r="H22230" s="5">
        <v>20.788800</v>
      </c>
    </row>
    <row r="22231" spans="1:9">
      <c r="A22231" s="22" t="str">
        <f>HYPERLINK("https://app.vivvix.com/360/KMI/IntelliDrive/ApplUI/Pages/CreativePages/CustomReportCreativeDetail.aspx?App=23&amp;ReportView=4&amp;Qid=1711279&amp;Row=22223&amp;Col=1","No Title Assigned - #15280648277")</f>
        <v/>
      </c>
      <c r="B22231" s="0" t="s">
        <v>29585</v>
      </c>
      <c r="E22231" s="0" t="inlineStr">
        <is>
          <t xml:space="preserve">Mazda</t>
        </is>
      </c>
      <c r="F22231" s="0" t="inlineStr">
        <is>
          <t xml:space="preserve">Mazda</t>
        </is>
      </c>
      <c r="G22231" s="0" t="s">
        <v>171</v>
      </c>
      <c r="H22231" s="5">
        <v>27.902300</v>
      </c>
    </row>
    <row r="22232" spans="1:9">
      <c r="A22232" s="22" t="str">
        <f>HYPERLINK("https://app.vivvix.com/360/KMI/IntelliDrive/ApplUI/Pages/CreativePages/CustomReportCreativeDetail.aspx?App=23&amp;ReportView=4&amp;Qid=1711279&amp;Row=22224&amp;Col=1","No Title Assigned - #15280648386")</f>
        <v/>
      </c>
      <c r="B22232" s="0" t="s">
        <v>29586</v>
      </c>
      <c r="E22232" s="0" t="inlineStr">
        <is>
          <t xml:space="preserve">Mazda</t>
        </is>
      </c>
      <c r="F22232" s="0" t="inlineStr">
        <is>
          <t xml:space="preserve">Mazda</t>
        </is>
      </c>
      <c r="G22232" s="0" t="s">
        <v>171</v>
      </c>
      <c r="H22232" s="5">
        <v>2462.770500</v>
      </c>
    </row>
    <row r="22233" spans="1:9">
      <c r="A22233" s="22" t="str">
        <f>HYPERLINK("https://app.vivvix.com/360/KMI/IntelliDrive/ApplUI/Pages/CreativePages/CustomReportCreativeDetail.aspx?App=23&amp;ReportView=4&amp;Qid=1711279&amp;Row=22225&amp;Col=1","No Title Assigned - #15280648835")</f>
        <v/>
      </c>
      <c r="B22233" s="0" t="s">
        <v>29587</v>
      </c>
      <c r="C22233" s="0" t="s">
        <v>29588</v>
      </c>
      <c r="D22233" s="0" t="s">
        <v>29588</v>
      </c>
      <c r="E22233" s="0" t="inlineStr">
        <is>
          <t xml:space="preserve">Mazda</t>
        </is>
      </c>
      <c r="F22233" s="0" t="inlineStr">
        <is>
          <t xml:space="preserve">Mazda</t>
        </is>
      </c>
      <c r="G22233" s="0" t="s">
        <v>171</v>
      </c>
      <c r="H22233" s="5">
        <v>505.782800</v>
      </c>
    </row>
    <row r="22234" spans="1:9">
      <c r="A22234" s="22" t="str">
        <f>HYPERLINK("https://app.vivvix.com/360/KMI/IntelliDrive/ApplUI/Pages/CreativePages/CustomReportCreativeDetail.aspx?App=23&amp;ReportView=4&amp;Qid=1711279&amp;Row=22226&amp;Col=1","No Title Assigned - #15280649643")</f>
        <v/>
      </c>
      <c r="B22234" s="0" t="s">
        <v>29589</v>
      </c>
      <c r="E22234" s="0" t="inlineStr">
        <is>
          <t xml:space="preserve">Mazda</t>
        </is>
      </c>
      <c r="F22234" s="0" t="inlineStr">
        <is>
          <t xml:space="preserve">Mazda</t>
        </is>
      </c>
      <c r="G22234" s="0" t="s">
        <v>171</v>
      </c>
      <c r="H22234" s="5">
        <v>354.898500</v>
      </c>
    </row>
    <row r="22235" spans="1:9">
      <c r="A22235" s="22" t="str">
        <f>HYPERLINK("https://app.vivvix.com/360/KMI/IntelliDrive/ApplUI/Pages/CreativePages/CustomReportCreativeDetail.aspx?App=23&amp;ReportView=4&amp;Qid=1711279&amp;Row=22227&amp;Col=1","No Title Assigned - #15280649643")</f>
        <v/>
      </c>
      <c r="B22235" s="0" t="s">
        <v>29589</v>
      </c>
      <c r="C22235" s="0" t="s">
        <v>29590</v>
      </c>
      <c r="D22235" s="0" t="s">
        <v>29590</v>
      </c>
      <c r="E22235" s="0" t="inlineStr">
        <is>
          <t xml:space="preserve">Mazda</t>
        </is>
      </c>
      <c r="F22235" s="0" t="inlineStr">
        <is>
          <t xml:space="preserve">Mazda</t>
        </is>
      </c>
      <c r="G22235" s="0" t="s">
        <v>171</v>
      </c>
      <c r="H22235" s="5">
        <v>655.509600</v>
      </c>
    </row>
    <row r="22236" spans="1:9">
      <c r="A22236" s="22" t="str">
        <f>HYPERLINK("https://app.vivvix.com/360/KMI/IntelliDrive/ApplUI/Pages/CreativePages/CustomReportCreativeDetail.aspx?App=23&amp;ReportView=4&amp;Qid=1711279&amp;Row=22228&amp;Col=1","No Title Assigned - #15280649684")</f>
        <v/>
      </c>
      <c r="B22236" s="0" t="s">
        <v>29591</v>
      </c>
      <c r="E22236" s="0" t="inlineStr">
        <is>
          <t xml:space="preserve">Mazda</t>
        </is>
      </c>
      <c r="F22236" s="0" t="inlineStr">
        <is>
          <t xml:space="preserve">Mazda</t>
        </is>
      </c>
      <c r="G22236" s="0" t="s">
        <v>171</v>
      </c>
      <c r="H22236" s="5">
        <v>49.258500</v>
      </c>
    </row>
    <row r="22237" spans="1:9">
      <c r="A22237" s="22" t="str">
        <f>HYPERLINK("https://app.vivvix.com/360/KMI/IntelliDrive/ApplUI/Pages/CreativePages/CustomReportCreativeDetail.aspx?App=23&amp;ReportView=4&amp;Qid=1711279&amp;Row=22229&amp;Col=1","No Title Assigned - #15280649722")</f>
        <v/>
      </c>
      <c r="B22237" s="0" t="s">
        <v>29592</v>
      </c>
      <c r="E22237" s="0" t="inlineStr">
        <is>
          <t xml:space="preserve">Mazda</t>
        </is>
      </c>
      <c r="F22237" s="0" t="inlineStr">
        <is>
          <t xml:space="preserve">Mazda</t>
        </is>
      </c>
      <c r="G22237" s="0" t="s">
        <v>171</v>
      </c>
      <c r="H22237" s="5">
        <v>16497.672400</v>
      </c>
    </row>
    <row r="22238" spans="1:9">
      <c r="A22238" s="22" t="str">
        <f>HYPERLINK("https://app.vivvix.com/360/KMI/IntelliDrive/ApplUI/Pages/CreativePages/CustomReportCreativeDetail.aspx?App=23&amp;ReportView=4&amp;Qid=1711279&amp;Row=22230&amp;Col=1","No Title Assigned - #15280649730")</f>
        <v/>
      </c>
      <c r="B22238" s="0" t="s">
        <v>29593</v>
      </c>
      <c r="E22238" s="0" t="inlineStr">
        <is>
          <t xml:space="preserve">Mazda</t>
        </is>
      </c>
      <c r="F22238" s="0" t="inlineStr">
        <is>
          <t xml:space="preserve">Mazda</t>
        </is>
      </c>
      <c r="G22238" s="0" t="s">
        <v>171</v>
      </c>
      <c r="H22238" s="5">
        <v>9.851700</v>
      </c>
    </row>
    <row r="22239" spans="1:9">
      <c r="A22239" s="22" t="str">
        <f>HYPERLINK("https://app.vivvix.com/360/KMI/IntelliDrive/ApplUI/Pages/CreativePages/CustomReportCreativeDetail.aspx?App=23&amp;ReportView=4&amp;Qid=1711279&amp;Row=22231&amp;Col=1","No Title Assigned - #15280649759")</f>
        <v/>
      </c>
      <c r="B22239" s="0" t="s">
        <v>29594</v>
      </c>
      <c r="E22239" s="0" t="inlineStr">
        <is>
          <t xml:space="preserve">Mazda</t>
        </is>
      </c>
      <c r="F22239" s="0" t="inlineStr">
        <is>
          <t xml:space="preserve">Mazda</t>
        </is>
      </c>
      <c r="G22239" s="0" t="s">
        <v>171</v>
      </c>
      <c r="H22239" s="5">
        <v>4669.795700</v>
      </c>
    </row>
    <row r="22240" spans="1:9">
      <c r="A22240" s="22" t="str">
        <f>HYPERLINK("https://app.vivvix.com/360/KMI/IntelliDrive/ApplUI/Pages/CreativePages/CustomReportCreativeDetail.aspx?App=23&amp;ReportView=4&amp;Qid=1711279&amp;Row=22232&amp;Col=1","No Title Assigned - #15280649801")</f>
        <v/>
      </c>
      <c r="B22240" s="0" t="s">
        <v>29595</v>
      </c>
      <c r="E22240" s="0" t="inlineStr">
        <is>
          <t xml:space="preserve">Mazda</t>
        </is>
      </c>
      <c r="F22240" s="0" t="inlineStr">
        <is>
          <t xml:space="preserve">Mazda</t>
        </is>
      </c>
      <c r="G22240" s="0" t="s">
        <v>171</v>
      </c>
      <c r="H22240" s="5">
        <v>66.798100</v>
      </c>
    </row>
    <row r="22241" spans="1:9">
      <c r="A22241" s="22" t="str">
        <f>HYPERLINK("https://app.vivvix.com/360/KMI/IntelliDrive/ApplUI/Pages/CreativePages/CustomReportCreativeDetail.aspx?App=23&amp;ReportView=4&amp;Qid=1711279&amp;Row=22233&amp;Col=1","No Title Assigned - #15280649806")</f>
        <v/>
      </c>
      <c r="B22241" s="0" t="s">
        <v>29596</v>
      </c>
      <c r="E22241" s="0" t="inlineStr">
        <is>
          <t xml:space="preserve">Mazda</t>
        </is>
      </c>
      <c r="F22241" s="0" t="inlineStr">
        <is>
          <t xml:space="preserve">Mazda</t>
        </is>
      </c>
      <c r="G22241" s="0" t="s">
        <v>171</v>
      </c>
      <c r="H22241" s="5">
        <v>9.851700</v>
      </c>
    </row>
    <row r="22242" spans="1:9">
      <c r="A22242" s="22" t="str">
        <f>HYPERLINK("https://app.vivvix.com/360/KMI/IntelliDrive/ApplUI/Pages/CreativePages/CustomReportCreativeDetail.aspx?App=23&amp;ReportView=4&amp;Qid=1711279&amp;Row=22234&amp;Col=1","No Title Assigned - #15280649834")</f>
        <v/>
      </c>
      <c r="B22242" s="0" t="s">
        <v>29597</v>
      </c>
      <c r="E22242" s="0" t="inlineStr">
        <is>
          <t xml:space="preserve">Mazda</t>
        </is>
      </c>
      <c r="F22242" s="0" t="inlineStr">
        <is>
          <t xml:space="preserve">Mazda</t>
        </is>
      </c>
      <c r="G22242" s="0" t="s">
        <v>171</v>
      </c>
      <c r="H22242" s="5">
        <v>1358.697500</v>
      </c>
    </row>
    <row r="22243" spans="1:9">
      <c r="A22243" s="22" t="str">
        <f>HYPERLINK("https://app.vivvix.com/360/KMI/IntelliDrive/ApplUI/Pages/CreativePages/CustomReportCreativeDetail.aspx?App=23&amp;ReportView=4&amp;Qid=1711279&amp;Row=22235&amp;Col=1","No Title Assigned - #15280649911")</f>
        <v/>
      </c>
      <c r="B22243" s="0" t="s">
        <v>29598</v>
      </c>
      <c r="E22243" s="0" t="inlineStr">
        <is>
          <t xml:space="preserve">Mazda</t>
        </is>
      </c>
      <c r="F22243" s="0" t="inlineStr">
        <is>
          <t xml:space="preserve">Mazda</t>
        </is>
      </c>
      <c r="G22243" s="0" t="s">
        <v>171</v>
      </c>
      <c r="H22243" s="5">
        <v>9.851700</v>
      </c>
    </row>
    <row r="22244" spans="1:9">
      <c r="A22244" s="22" t="str">
        <f>HYPERLINK("https://app.vivvix.com/360/KMI/IntelliDrive/ApplUI/Pages/CreativePages/CustomReportCreativeDetail.aspx?App=23&amp;ReportView=4&amp;Qid=1711279&amp;Row=22236&amp;Col=1","No Title Assigned - #15280649932")</f>
        <v/>
      </c>
      <c r="B22244" s="0" t="s">
        <v>29599</v>
      </c>
      <c r="E22244" s="0" t="inlineStr">
        <is>
          <t xml:space="preserve">Mazda</t>
        </is>
      </c>
      <c r="F22244" s="0" t="inlineStr">
        <is>
          <t xml:space="preserve">Mazda</t>
        </is>
      </c>
      <c r="G22244" s="0" t="s">
        <v>171</v>
      </c>
      <c r="H22244" s="5">
        <v>9.851700</v>
      </c>
    </row>
    <row r="22245" spans="1:9">
      <c r="A22245" s="22" t="str">
        <f>HYPERLINK("https://app.vivvix.com/360/KMI/IntelliDrive/ApplUI/Pages/CreativePages/CustomReportCreativeDetail.aspx?App=23&amp;ReportView=4&amp;Qid=1711279&amp;Row=22237&amp;Col=1","No Title Assigned - #15280649970")</f>
        <v/>
      </c>
      <c r="B22245" s="0" t="s">
        <v>29600</v>
      </c>
      <c r="E22245" s="0" t="inlineStr">
        <is>
          <t xml:space="preserve">Mazda</t>
        </is>
      </c>
      <c r="F22245" s="0" t="inlineStr">
        <is>
          <t xml:space="preserve">Mazda</t>
        </is>
      </c>
      <c r="G22245" s="0" t="s">
        <v>171</v>
      </c>
      <c r="H22245" s="5">
        <v>9.851700</v>
      </c>
    </row>
    <row r="22246" spans="1:9">
      <c r="A22246" s="22" t="str">
        <f>HYPERLINK("https://app.vivvix.com/360/KMI/IntelliDrive/ApplUI/Pages/CreativePages/CustomReportCreativeDetail.aspx?App=23&amp;ReportView=4&amp;Qid=1711279&amp;Row=22238&amp;Col=1","No Title Assigned - #15280650584")</f>
        <v/>
      </c>
      <c r="B22246" s="0" t="s">
        <v>29601</v>
      </c>
      <c r="E22246" s="0" t="inlineStr">
        <is>
          <t xml:space="preserve">Mazda</t>
        </is>
      </c>
      <c r="F22246" s="0" t="inlineStr">
        <is>
          <t xml:space="preserve">Mazda</t>
        </is>
      </c>
      <c r="G22246" s="0" t="s">
        <v>171</v>
      </c>
      <c r="H22246" s="5">
        <v>204.599400</v>
      </c>
    </row>
    <row r="22247" spans="1:9">
      <c r="A22247" s="22" t="str">
        <f>HYPERLINK("https://app.vivvix.com/360/KMI/IntelliDrive/ApplUI/Pages/CreativePages/CustomReportCreativeDetail.aspx?App=23&amp;ReportView=4&amp;Qid=1711279&amp;Row=22239&amp;Col=1","No Title Assigned - #15280652799")</f>
        <v/>
      </c>
      <c r="B22247" s="0" t="s">
        <v>29602</v>
      </c>
      <c r="E22247" s="0" t="inlineStr">
        <is>
          <t xml:space="preserve">Mazda</t>
        </is>
      </c>
      <c r="F22247" s="0" t="inlineStr">
        <is>
          <t xml:space="preserve">Mazda</t>
        </is>
      </c>
      <c r="G22247" s="0" t="s">
        <v>171</v>
      </c>
      <c r="H22247" s="5">
        <v>1045.358700</v>
      </c>
    </row>
    <row r="22248" spans="1:9">
      <c r="A22248" s="22" t="str">
        <f>HYPERLINK("https://app.vivvix.com/360/KMI/IntelliDrive/ApplUI/Pages/CreativePages/CustomReportCreativeDetail.aspx?App=23&amp;ReportView=4&amp;Qid=1711279&amp;Row=22240&amp;Col=1","No Title Assigned - #15280673074")</f>
        <v/>
      </c>
      <c r="B22248" s="0" t="s">
        <v>29603</v>
      </c>
      <c r="C22248" s="0" t="s">
        <v>29604</v>
      </c>
      <c r="D22248" s="0" t="s">
        <v>29604</v>
      </c>
      <c r="E22248" s="0" t="inlineStr">
        <is>
          <t xml:space="preserve">Mazda</t>
        </is>
      </c>
      <c r="F22248" s="0" t="s">
        <v>13</v>
      </c>
      <c r="G22248" s="0" t="s">
        <v>49</v>
      </c>
      <c r="H22248" s="5">
        <v>597.006800</v>
      </c>
    </row>
    <row r="22249" spans="1:9">
      <c r="A22249" s="22" t="str">
        <f>HYPERLINK("https://app.vivvix.com/360/KMI/IntelliDrive/ApplUI/Pages/CreativePages/CustomReportCreativeDetail.aspx?App=23&amp;ReportView=4&amp;Qid=1711279&amp;Row=22241&amp;Col=1","No Title Assigned - #15280677102")</f>
        <v/>
      </c>
      <c r="B22249" s="0" t="s">
        <v>29605</v>
      </c>
      <c r="C22249" s="0" t="s">
        <v>29606</v>
      </c>
      <c r="D22249" s="0" t="s">
        <v>29606</v>
      </c>
      <c r="E22249" s="0" t="inlineStr">
        <is>
          <t xml:space="preserve">Mazda</t>
        </is>
      </c>
      <c r="F22249" s="0" t="s">
        <v>28</v>
      </c>
      <c r="G22249" s="0" t="s">
        <v>29</v>
      </c>
      <c r="H22249" s="5">
        <v>310.345400</v>
      </c>
    </row>
    <row r="22250" spans="1:9">
      <c r="A22250" s="22" t="str">
        <f>HYPERLINK("https://app.vivvix.com/360/KMI/IntelliDrive/ApplUI/Pages/CreativePages/CustomReportCreativeDetail.aspx?App=23&amp;ReportView=4&amp;Qid=1711279&amp;Row=22242&amp;Col=1","No Title Assigned - #15280680364")</f>
        <v/>
      </c>
      <c r="B22250" s="0" t="s">
        <v>29607</v>
      </c>
      <c r="E22250" s="0" t="inlineStr">
        <is>
          <t xml:space="preserve">Mazda</t>
        </is>
      </c>
      <c r="F22250" s="0" t="inlineStr">
        <is>
          <t xml:space="preserve">Mazda</t>
        </is>
      </c>
      <c r="G22250" s="0" t="s">
        <v>171</v>
      </c>
      <c r="H22250" s="5">
        <v>7659.548800</v>
      </c>
    </row>
    <row r="22251" spans="1:9">
      <c r="A22251" s="22" t="str">
        <f>HYPERLINK("https://app.vivvix.com/360/KMI/IntelliDrive/ApplUI/Pages/CreativePages/CustomReportCreativeDetail.aspx?App=23&amp;ReportView=4&amp;Qid=1711279&amp;Row=22243&amp;Col=1","No Title Assigned - #15280680524")</f>
        <v/>
      </c>
      <c r="B22251" s="0" t="s">
        <v>29608</v>
      </c>
      <c r="C22251" s="0" t="s">
        <v>29609</v>
      </c>
      <c r="D22251" s="0" t="s">
        <v>29609</v>
      </c>
      <c r="E22251" s="0" t="inlineStr">
        <is>
          <t xml:space="preserve">Mazda</t>
        </is>
      </c>
      <c r="F22251" s="0" t="s">
        <v>13</v>
      </c>
      <c r="G22251" s="0" t="s">
        <v>49</v>
      </c>
      <c r="H22251" s="5">
        <v>37.910100</v>
      </c>
    </row>
    <row r="22252" spans="1:9">
      <c r="A22252" s="22" t="str">
        <f>HYPERLINK("https://app.vivvix.com/360/KMI/IntelliDrive/ApplUI/Pages/CreativePages/CustomReportCreativeDetail.aspx?App=23&amp;ReportView=4&amp;Qid=1711279&amp;Row=22244&amp;Col=1","No Title Assigned - #15280683423")</f>
        <v/>
      </c>
      <c r="B22252" s="0" t="s">
        <v>29610</v>
      </c>
      <c r="C22252" s="0" t="s">
        <v>29611</v>
      </c>
      <c r="D22252" s="0" t="s">
        <v>29611</v>
      </c>
      <c r="E22252" s="0" t="inlineStr">
        <is>
          <t xml:space="preserve">Mazda</t>
        </is>
      </c>
      <c r="F22252" s="0" t="s">
        <v>13</v>
      </c>
      <c r="G22252" s="0" t="s">
        <v>49</v>
      </c>
      <c r="H22252" s="5">
        <v>167.010400</v>
      </c>
    </row>
    <row r="22253" spans="1:9">
      <c r="A22253" s="22" t="str">
        <f>HYPERLINK("https://app.vivvix.com/360/KMI/IntelliDrive/ApplUI/Pages/CreativePages/CustomReportCreativeDetail.aspx?App=23&amp;ReportView=4&amp;Qid=1711279&amp;Row=22245&amp;Col=1","No Title Assigned - #15280683424")</f>
        <v/>
      </c>
      <c r="B22253" s="0" t="s">
        <v>29612</v>
      </c>
      <c r="C22253" s="0" t="s">
        <v>29613</v>
      </c>
      <c r="D22253" s="0" t="s">
        <v>29613</v>
      </c>
      <c r="E22253" s="0" t="inlineStr">
        <is>
          <t xml:space="preserve">Mazda</t>
        </is>
      </c>
      <c r="F22253" s="0" t="s">
        <v>13</v>
      </c>
      <c r="G22253" s="0" t="s">
        <v>49</v>
      </c>
      <c r="H22253" s="5">
        <v>482.968400</v>
      </c>
    </row>
    <row r="22254" spans="1:9">
      <c r="A22254" s="22" t="str">
        <f>HYPERLINK("https://app.vivvix.com/360/KMI/IntelliDrive/ApplUI/Pages/CreativePages/CustomReportCreativeDetail.aspx?App=23&amp;ReportView=4&amp;Qid=1711279&amp;Row=22246&amp;Col=1","No Title Assigned - #15280683425")</f>
        <v/>
      </c>
      <c r="B22254" s="0" t="s">
        <v>29614</v>
      </c>
      <c r="C22254" s="0" t="s">
        <v>29615</v>
      </c>
      <c r="D22254" s="0" t="s">
        <v>11469</v>
      </c>
      <c r="E22254" s="0" t="inlineStr">
        <is>
          <t xml:space="preserve">Mazda</t>
        </is>
      </c>
      <c r="F22254" s="0" t="s">
        <v>13</v>
      </c>
      <c r="G22254" s="0" t="s">
        <v>49</v>
      </c>
      <c r="H22254" s="5">
        <v>167.010400</v>
      </c>
    </row>
    <row r="22255" spans="1:9">
      <c r="A22255" s="22" t="str">
        <f>HYPERLINK("https://app.vivvix.com/360/KMI/IntelliDrive/ApplUI/Pages/CreativePages/CustomReportCreativeDetail.aspx?App=23&amp;ReportView=4&amp;Qid=1711279&amp;Row=22247&amp;Col=1","No Title Assigned - #15280684916")</f>
        <v/>
      </c>
      <c r="B22255" s="0" t="s">
        <v>29616</v>
      </c>
      <c r="C22255" s="0" t="s">
        <v>29617</v>
      </c>
      <c r="D22255" s="0" t="s">
        <v>4335</v>
      </c>
      <c r="E22255" s="0" t="inlineStr">
        <is>
          <t xml:space="preserve">Mazda</t>
        </is>
      </c>
      <c r="F22255" s="0" t="s">
        <v>13</v>
      </c>
      <c r="G22255" s="0" t="s">
        <v>49</v>
      </c>
      <c r="H22255" s="5">
        <v>3534.852300</v>
      </c>
    </row>
    <row r="22256" spans="1:9">
      <c r="A22256" s="22" t="str">
        <f>HYPERLINK("https://app.vivvix.com/360/KMI/IntelliDrive/ApplUI/Pages/CreativePages/CustomReportCreativeDetail.aspx?App=23&amp;ReportView=4&amp;Qid=1711279&amp;Row=22248&amp;Col=1","No Title Assigned - #15280688106")</f>
        <v/>
      </c>
      <c r="B22256" s="0" t="s">
        <v>29618</v>
      </c>
      <c r="C22256" s="0" t="s">
        <v>29619</v>
      </c>
      <c r="D22256" s="0" t="s">
        <v>11469</v>
      </c>
      <c r="E22256" s="0" t="inlineStr">
        <is>
          <t xml:space="preserve">Mazda</t>
        </is>
      </c>
      <c r="F22256" s="0" t="s">
        <v>13</v>
      </c>
      <c r="G22256" s="0" t="s">
        <v>49</v>
      </c>
      <c r="H22256" s="5">
        <v>127.933400</v>
      </c>
    </row>
    <row r="22257" spans="1:9">
      <c r="A22257" s="22" t="str">
        <f>HYPERLINK("https://app.vivvix.com/360/KMI/IntelliDrive/ApplUI/Pages/CreativePages/CustomReportCreativeDetail.aspx?App=23&amp;ReportView=4&amp;Qid=1711279&amp;Row=22249&amp;Col=1","No Title Assigned - #15280688606")</f>
        <v/>
      </c>
      <c r="B22257" s="0" t="s">
        <v>29620</v>
      </c>
      <c r="C22257" s="0" t="s">
        <v>29621</v>
      </c>
      <c r="D22257" s="0" t="s">
        <v>29621</v>
      </c>
      <c r="E22257" s="0" t="inlineStr">
        <is>
          <t xml:space="preserve">Mazda</t>
        </is>
      </c>
      <c r="F22257" s="0" t="s">
        <v>13</v>
      </c>
      <c r="G22257" s="0" t="s">
        <v>49</v>
      </c>
      <c r="H22257" s="5">
        <v>1651.854100</v>
      </c>
    </row>
    <row r="22258" spans="1:9">
      <c r="A22258" s="22" t="str">
        <f>HYPERLINK("https://app.vivvix.com/360/KMI/IntelliDrive/ApplUI/Pages/CreativePages/CustomReportCreativeDetail.aspx?App=23&amp;ReportView=4&amp;Qid=1711279&amp;Row=22250&amp;Col=1","No Title Assigned - #15280690091")</f>
        <v/>
      </c>
      <c r="B22258" s="0" t="s">
        <v>29622</v>
      </c>
      <c r="C22258" s="0" t="s">
        <v>29623</v>
      </c>
      <c r="D22258" s="0" t="s">
        <v>29557</v>
      </c>
      <c r="E22258" s="0" t="inlineStr">
        <is>
          <t xml:space="preserve">Mazda</t>
        </is>
      </c>
      <c r="F22258" s="0" t="s">
        <v>28</v>
      </c>
      <c r="G22258" s="0" t="s">
        <v>29</v>
      </c>
      <c r="H22258" s="5">
        <v>281.770000</v>
      </c>
    </row>
    <row r="22259" spans="1:9">
      <c r="A22259" s="22" t="str">
        <f>HYPERLINK("https://app.vivvix.com/360/KMI/IntelliDrive/ApplUI/Pages/CreativePages/CustomReportCreativeDetail.aspx?App=23&amp;ReportView=4&amp;Qid=1711279&amp;Row=22251&amp;Col=1","No Title Assigned - #15280692525")</f>
        <v/>
      </c>
      <c r="B22259" s="0" t="s">
        <v>29624</v>
      </c>
      <c r="E22259" s="0" t="inlineStr">
        <is>
          <t xml:space="preserve">Mazda</t>
        </is>
      </c>
      <c r="F22259" s="0" t="inlineStr">
        <is>
          <t xml:space="preserve">Mazda</t>
        </is>
      </c>
      <c r="G22259" s="0" t="s">
        <v>171</v>
      </c>
      <c r="H22259" s="5">
        <v>19.703400</v>
      </c>
    </row>
    <row r="22260" spans="1:9">
      <c r="A22260" s="22" t="str">
        <f>HYPERLINK("https://app.vivvix.com/360/KMI/IntelliDrive/ApplUI/Pages/CreativePages/CustomReportCreativeDetail.aspx?App=23&amp;ReportView=4&amp;Qid=1711279&amp;Row=22252&amp;Col=1","No Title Assigned - #15280692947")</f>
        <v/>
      </c>
      <c r="B22260" s="0" t="s">
        <v>29625</v>
      </c>
      <c r="E22260" s="0" t="inlineStr">
        <is>
          <t xml:space="preserve">Mazda</t>
        </is>
      </c>
      <c r="F22260" s="0" t="inlineStr">
        <is>
          <t xml:space="preserve">Mazda</t>
        </is>
      </c>
      <c r="G22260" s="0" t="s">
        <v>171</v>
      </c>
      <c r="H22260" s="5">
        <v>9.851700</v>
      </c>
    </row>
    <row r="22261" spans="1:9">
      <c r="A22261" s="22" t="str">
        <f>HYPERLINK("https://app.vivvix.com/360/KMI/IntelliDrive/ApplUI/Pages/CreativePages/CustomReportCreativeDetail.aspx?App=23&amp;ReportView=4&amp;Qid=1711279&amp;Row=22253&amp;Col=1","No Title Assigned - #15280694015")</f>
        <v/>
      </c>
      <c r="B22261" s="0" t="s">
        <v>29626</v>
      </c>
      <c r="E22261" s="0" t="inlineStr">
        <is>
          <t xml:space="preserve">Mazda</t>
        </is>
      </c>
      <c r="F22261" s="0" t="inlineStr">
        <is>
          <t xml:space="preserve">Mazda</t>
        </is>
      </c>
      <c r="G22261" s="0" t="s">
        <v>171</v>
      </c>
      <c r="H22261" s="5">
        <v>17.799600</v>
      </c>
    </row>
    <row r="22262" spans="1:9">
      <c r="A22262" s="22" t="str">
        <f>HYPERLINK("https://app.vivvix.com/360/KMI/IntelliDrive/ApplUI/Pages/CreativePages/CustomReportCreativeDetail.aspx?App=23&amp;ReportView=4&amp;Qid=1711279&amp;Row=22254&amp;Col=1","No Title Assigned - #15280694016")</f>
        <v/>
      </c>
      <c r="B22262" s="0" t="s">
        <v>29627</v>
      </c>
      <c r="E22262" s="0" t="inlineStr">
        <is>
          <t xml:space="preserve">Mazda</t>
        </is>
      </c>
      <c r="F22262" s="0" t="inlineStr">
        <is>
          <t xml:space="preserve">Mazda</t>
        </is>
      </c>
      <c r="G22262" s="0" t="s">
        <v>171</v>
      </c>
      <c r="H22262" s="5">
        <v>17.799600</v>
      </c>
    </row>
    <row r="22263" spans="1:9">
      <c r="A22263" s="22" t="str">
        <f>HYPERLINK("https://app.vivvix.com/360/KMI/IntelliDrive/ApplUI/Pages/CreativePages/CustomReportCreativeDetail.aspx?App=23&amp;ReportView=4&amp;Qid=1711279&amp;Row=22255&amp;Col=1","No Title Assigned - #15280694444")</f>
        <v/>
      </c>
      <c r="B22263" s="0" t="s">
        <v>29628</v>
      </c>
      <c r="E22263" s="0" t="inlineStr">
        <is>
          <t xml:space="preserve">Mazda</t>
        </is>
      </c>
      <c r="F22263" s="0" t="inlineStr">
        <is>
          <t xml:space="preserve">Mazda</t>
        </is>
      </c>
      <c r="G22263" s="0" t="s">
        <v>171</v>
      </c>
      <c r="H22263" s="5">
        <v>32269.186800</v>
      </c>
    </row>
    <row r="22264" spans="1:9">
      <c r="A22264" s="22" t="str">
        <f>HYPERLINK("https://app.vivvix.com/360/KMI/IntelliDrive/ApplUI/Pages/CreativePages/CustomReportCreativeDetail.aspx?App=23&amp;ReportView=4&amp;Qid=1711279&amp;Row=22256&amp;Col=1","No Title Assigned - #15280694444")</f>
        <v/>
      </c>
      <c r="B22264" s="0" t="s">
        <v>29628</v>
      </c>
      <c r="E22264" s="0" t="inlineStr">
        <is>
          <t xml:space="preserve">Mazda</t>
        </is>
      </c>
      <c r="F22264" s="0" t="inlineStr">
        <is>
          <t xml:space="preserve">Mazda</t>
        </is>
      </c>
      <c r="G22264" s="0" t="s">
        <v>171</v>
      </c>
      <c r="H22264" s="5">
        <v>273.239200</v>
      </c>
    </row>
    <row r="22265" spans="1:9">
      <c r="A22265" s="22" t="str">
        <f>HYPERLINK("https://app.vivvix.com/360/KMI/IntelliDrive/ApplUI/Pages/CreativePages/CustomReportCreativeDetail.aspx?App=23&amp;ReportView=4&amp;Qid=1711279&amp;Row=22257&amp;Col=1","No Title Assigned - #15280694868")</f>
        <v/>
      </c>
      <c r="B22265" s="0" t="s">
        <v>29629</v>
      </c>
      <c r="C22265" s="0" t="s">
        <v>29630</v>
      </c>
      <c r="D22265" s="0" t="s">
        <v>29630</v>
      </c>
      <c r="E22265" s="0" t="inlineStr">
        <is>
          <t xml:space="preserve">Mazda</t>
        </is>
      </c>
      <c r="F22265" s="0" t="inlineStr">
        <is>
          <t xml:space="preserve">Mazda</t>
        </is>
      </c>
      <c r="G22265" s="0" t="s">
        <v>171</v>
      </c>
      <c r="H22265" s="5">
        <v>87.424900</v>
      </c>
    </row>
    <row r="22266" spans="1:9">
      <c r="A22266" s="22" t="str">
        <f>HYPERLINK("https://app.vivvix.com/360/KMI/IntelliDrive/ApplUI/Pages/CreativePages/CustomReportCreativeDetail.aspx?App=23&amp;ReportView=4&amp;Qid=1711279&amp;Row=22258&amp;Col=1","No Title Assigned - #15280695058")</f>
        <v/>
      </c>
      <c r="B22266" s="0" t="s">
        <v>29631</v>
      </c>
      <c r="C22266" s="0" t="s">
        <v>29632</v>
      </c>
      <c r="D22266" s="0" t="s">
        <v>11639</v>
      </c>
      <c r="E22266" s="0" t="inlineStr">
        <is>
          <t xml:space="preserve">Mazda</t>
        </is>
      </c>
      <c r="F22266" s="0" t="s">
        <v>13</v>
      </c>
      <c r="G22266" s="0" t="s">
        <v>49</v>
      </c>
      <c r="H22266" s="5">
        <v>479.584500</v>
      </c>
    </row>
    <row r="22267" spans="1:9">
      <c r="A22267" s="22" t="str">
        <f>HYPERLINK("https://app.vivvix.com/360/KMI/IntelliDrive/ApplUI/Pages/CreativePages/CustomReportCreativeDetail.aspx?App=23&amp;ReportView=4&amp;Qid=1711279&amp;Row=22259&amp;Col=1","No Title Assigned - #15280695358")</f>
        <v/>
      </c>
      <c r="B22267" s="0" t="s">
        <v>29633</v>
      </c>
      <c r="E22267" s="0" t="inlineStr">
        <is>
          <t xml:space="preserve">Mazda</t>
        </is>
      </c>
      <c r="F22267" s="0" t="inlineStr">
        <is>
          <t xml:space="preserve">Mazda</t>
        </is>
      </c>
      <c r="G22267" s="0" t="s">
        <v>171</v>
      </c>
      <c r="H22267" s="5">
        <v>17.884200</v>
      </c>
    </row>
    <row r="22268" spans="1:9">
      <c r="A22268" s="22" t="str">
        <f>HYPERLINK("https://app.vivvix.com/360/KMI/IntelliDrive/ApplUI/Pages/CreativePages/CustomReportCreativeDetail.aspx?App=23&amp;ReportView=4&amp;Qid=1711279&amp;Row=22260&amp;Col=1","No Title Assigned - #15280695687")</f>
        <v/>
      </c>
      <c r="B22268" s="0" t="s">
        <v>29634</v>
      </c>
      <c r="E22268" s="0" t="inlineStr">
        <is>
          <t xml:space="preserve">Mazda</t>
        </is>
      </c>
      <c r="F22268" s="0" t="inlineStr">
        <is>
          <t xml:space="preserve">Mazda</t>
        </is>
      </c>
      <c r="G22268" s="0" t="s">
        <v>171</v>
      </c>
      <c r="H22268" s="5">
        <v>5774.257000</v>
      </c>
    </row>
    <row r="22269" spans="1:9">
      <c r="A22269" s="22" t="str">
        <f>HYPERLINK("https://app.vivvix.com/360/KMI/IntelliDrive/ApplUI/Pages/CreativePages/CustomReportCreativeDetail.aspx?App=23&amp;ReportView=4&amp;Qid=1711279&amp;Row=22261&amp;Col=1","No Title Assigned - #15280695931")</f>
        <v/>
      </c>
      <c r="B22269" s="0" t="s">
        <v>29635</v>
      </c>
      <c r="E22269" s="0" t="inlineStr">
        <is>
          <t xml:space="preserve">Mazda</t>
        </is>
      </c>
      <c r="F22269" s="0" t="inlineStr">
        <is>
          <t xml:space="preserve">Mazda</t>
        </is>
      </c>
      <c r="G22269" s="0" t="s">
        <v>171</v>
      </c>
      <c r="H22269" s="5">
        <v>51.097800</v>
      </c>
    </row>
    <row r="22270" spans="1:9">
      <c r="A22270" s="22" t="str">
        <f>HYPERLINK("https://app.vivvix.com/360/KMI/IntelliDrive/ApplUI/Pages/CreativePages/CustomReportCreativeDetail.aspx?App=23&amp;ReportView=4&amp;Qid=1711279&amp;Row=22262&amp;Col=1","No Title Assigned - #15280696109")</f>
        <v/>
      </c>
      <c r="B22270" s="0" t="s">
        <v>29636</v>
      </c>
      <c r="E22270" s="0" t="inlineStr">
        <is>
          <t xml:space="preserve">Mazda</t>
        </is>
      </c>
      <c r="F22270" s="0" t="inlineStr">
        <is>
          <t xml:space="preserve">Mazda</t>
        </is>
      </c>
      <c r="G22270" s="0" t="s">
        <v>171</v>
      </c>
      <c r="H22270" s="5">
        <v>476.876000</v>
      </c>
    </row>
    <row r="22271" spans="1:9">
      <c r="A22271" s="22" t="str">
        <f>HYPERLINK("https://app.vivvix.com/360/KMI/IntelliDrive/ApplUI/Pages/CreativePages/CustomReportCreativeDetail.aspx?App=23&amp;ReportView=4&amp;Qid=1711279&amp;Row=22263&amp;Col=1","No Title Assigned - #15280696265")</f>
        <v/>
      </c>
      <c r="B22271" s="0" t="s">
        <v>29637</v>
      </c>
      <c r="E22271" s="0" t="inlineStr">
        <is>
          <t xml:space="preserve">Mazda</t>
        </is>
      </c>
      <c r="F22271" s="0" t="inlineStr">
        <is>
          <t xml:space="preserve">Mazda</t>
        </is>
      </c>
      <c r="G22271" s="0" t="s">
        <v>171</v>
      </c>
      <c r="H22271" s="5">
        <v>3142.097800</v>
      </c>
    </row>
    <row r="22272" spans="1:9">
      <c r="A22272" s="22" t="str">
        <f>HYPERLINK("https://app.vivvix.com/360/KMI/IntelliDrive/ApplUI/Pages/CreativePages/CustomReportCreativeDetail.aspx?App=23&amp;ReportView=4&amp;Qid=1711279&amp;Row=22264&amp;Col=1","No Title Assigned - #15280696590")</f>
        <v/>
      </c>
      <c r="B22272" s="0" t="s">
        <v>29638</v>
      </c>
      <c r="E22272" s="0" t="inlineStr">
        <is>
          <t xml:space="preserve">Mazda</t>
        </is>
      </c>
      <c r="F22272" s="0" t="inlineStr">
        <is>
          <t xml:space="preserve">Mazda</t>
        </is>
      </c>
      <c r="G22272" s="0" t="s">
        <v>171</v>
      </c>
      <c r="H22272" s="5">
        <v>755.641800</v>
      </c>
    </row>
    <row r="22273" spans="1:9">
      <c r="A22273" s="22" t="str">
        <f>HYPERLINK("https://app.vivvix.com/360/KMI/IntelliDrive/ApplUI/Pages/CreativePages/CustomReportCreativeDetail.aspx?App=23&amp;ReportView=4&amp;Qid=1711279&amp;Row=22265&amp;Col=1","No Title Assigned - #15280697224")</f>
        <v/>
      </c>
      <c r="B22273" s="0" t="s">
        <v>29639</v>
      </c>
      <c r="E22273" s="0" t="inlineStr">
        <is>
          <t xml:space="preserve">Mazda</t>
        </is>
      </c>
      <c r="F22273" s="0" t="inlineStr">
        <is>
          <t xml:space="preserve">Mazda</t>
        </is>
      </c>
      <c r="G22273" s="0" t="s">
        <v>171</v>
      </c>
      <c r="H22273" s="5">
        <v>3025.212800</v>
      </c>
    </row>
    <row r="22274" spans="1:9">
      <c r="A22274" s="22" t="str">
        <f>HYPERLINK("https://app.vivvix.com/360/KMI/IntelliDrive/ApplUI/Pages/CreativePages/CustomReportCreativeDetail.aspx?App=23&amp;ReportView=4&amp;Qid=1711279&amp;Row=22266&amp;Col=1","No Title Assigned - #15280697504")</f>
        <v/>
      </c>
      <c r="B22274" s="0" t="s">
        <v>29640</v>
      </c>
      <c r="E22274" s="0" t="inlineStr">
        <is>
          <t xml:space="preserve">Mazda</t>
        </is>
      </c>
      <c r="F22274" s="0" t="inlineStr">
        <is>
          <t xml:space="preserve">Mazda</t>
        </is>
      </c>
      <c r="G22274" s="0" t="s">
        <v>171</v>
      </c>
      <c r="H22274" s="5">
        <v>60.313600</v>
      </c>
    </row>
    <row r="22275" spans="1:9">
      <c r="A22275" s="22" t="str">
        <f>HYPERLINK("https://app.vivvix.com/360/KMI/IntelliDrive/ApplUI/Pages/CreativePages/CustomReportCreativeDetail.aspx?App=23&amp;ReportView=4&amp;Qid=1711279&amp;Row=22267&amp;Col=1","No Title Assigned - #15280697613")</f>
        <v/>
      </c>
      <c r="B22275" s="0" t="s">
        <v>29641</v>
      </c>
      <c r="C22275" s="0" t="s">
        <v>29642</v>
      </c>
      <c r="D22275" s="0" t="s">
        <v>11499</v>
      </c>
      <c r="E22275" s="0" t="inlineStr">
        <is>
          <t xml:space="preserve">Mazda</t>
        </is>
      </c>
      <c r="F22275" s="0" t="s">
        <v>13</v>
      </c>
      <c r="G22275" s="0" t="s">
        <v>49</v>
      </c>
      <c r="H22275" s="5">
        <v>17.175600</v>
      </c>
    </row>
    <row r="22276" spans="1:9">
      <c r="A22276" s="22" t="str">
        <f>HYPERLINK("https://app.vivvix.com/360/KMI/IntelliDrive/ApplUI/Pages/CreativePages/CustomReportCreativeDetail.aspx?App=23&amp;ReportView=4&amp;Qid=1711279&amp;Row=22268&amp;Col=1","No Title Assigned - #15280697632")</f>
        <v/>
      </c>
      <c r="B22276" s="0" t="s">
        <v>29643</v>
      </c>
      <c r="E22276" s="0" t="inlineStr">
        <is>
          <t xml:space="preserve">Mazda</t>
        </is>
      </c>
      <c r="F22276" s="0" t="inlineStr">
        <is>
          <t xml:space="preserve">Mazda</t>
        </is>
      </c>
      <c r="G22276" s="0" t="s">
        <v>171</v>
      </c>
      <c r="H22276" s="5">
        <v>27.531300</v>
      </c>
    </row>
    <row r="22277" spans="1:9">
      <c r="A22277" s="22" t="str">
        <f>HYPERLINK("https://app.vivvix.com/360/KMI/IntelliDrive/ApplUI/Pages/CreativePages/CustomReportCreativeDetail.aspx?App=23&amp;ReportView=4&amp;Qid=1711279&amp;Row=22269&amp;Col=1","No Title Assigned - #15280698116")</f>
        <v/>
      </c>
      <c r="B22277" s="0" t="s">
        <v>29644</v>
      </c>
      <c r="E22277" s="0" t="inlineStr">
        <is>
          <t xml:space="preserve">Mazda</t>
        </is>
      </c>
      <c r="F22277" s="0" t="inlineStr">
        <is>
          <t xml:space="preserve">Mazda</t>
        </is>
      </c>
      <c r="G22277" s="0" t="s">
        <v>171</v>
      </c>
      <c r="H22277" s="5">
        <v>51.097800</v>
      </c>
    </row>
    <row r="22278" spans="1:9">
      <c r="A22278" s="22" t="str">
        <f>HYPERLINK("https://app.vivvix.com/360/KMI/IntelliDrive/ApplUI/Pages/CreativePages/CustomReportCreativeDetail.aspx?App=23&amp;ReportView=4&amp;Qid=1711279&amp;Row=22270&amp;Col=1","No Title Assigned - #15280698213")</f>
        <v/>
      </c>
      <c r="B22278" s="0" t="s">
        <v>29645</v>
      </c>
      <c r="E22278" s="0" t="inlineStr">
        <is>
          <t xml:space="preserve">Mazda</t>
        </is>
      </c>
      <c r="F22278" s="0" t="inlineStr">
        <is>
          <t xml:space="preserve">Mazda</t>
        </is>
      </c>
      <c r="G22278" s="0" t="s">
        <v>171</v>
      </c>
      <c r="H22278" s="5">
        <v>17.300300</v>
      </c>
    </row>
    <row r="22279" spans="1:9">
      <c r="A22279" s="22" t="str">
        <f>HYPERLINK("https://app.vivvix.com/360/KMI/IntelliDrive/ApplUI/Pages/CreativePages/CustomReportCreativeDetail.aspx?App=23&amp;ReportView=4&amp;Qid=1711279&amp;Row=22271&amp;Col=1","No Title Assigned - #15280698213")</f>
        <v/>
      </c>
      <c r="B22279" s="0" t="s">
        <v>29645</v>
      </c>
      <c r="E22279" s="0" t="inlineStr">
        <is>
          <t xml:space="preserve">Mazda</t>
        </is>
      </c>
      <c r="F22279" s="0" t="inlineStr">
        <is>
          <t xml:space="preserve">Mazda</t>
        </is>
      </c>
      <c r="G22279" s="0" t="s">
        <v>171</v>
      </c>
      <c r="H22279" s="5">
        <v>1678.249700</v>
      </c>
    </row>
    <row r="22280" spans="1:9">
      <c r="A22280" s="22" t="str">
        <f>HYPERLINK("https://app.vivvix.com/360/KMI/IntelliDrive/ApplUI/Pages/CreativePages/CustomReportCreativeDetail.aspx?App=23&amp;ReportView=4&amp;Qid=1711279&amp;Row=22272&amp;Col=1","No Title Assigned - #15280700404")</f>
        <v/>
      </c>
      <c r="B22280" s="0" t="s">
        <v>29646</v>
      </c>
      <c r="E22280" s="0" t="inlineStr">
        <is>
          <t xml:space="preserve">Mazda</t>
        </is>
      </c>
      <c r="F22280" s="0" t="inlineStr">
        <is>
          <t xml:space="preserve">Mazda</t>
        </is>
      </c>
      <c r="G22280" s="0" t="s">
        <v>171</v>
      </c>
      <c r="H22280" s="5">
        <v>355.995400</v>
      </c>
    </row>
    <row r="22281" spans="1:9">
      <c r="A22281" s="22" t="str">
        <f>HYPERLINK("https://app.vivvix.com/360/KMI/IntelliDrive/ApplUI/Pages/CreativePages/CustomReportCreativeDetail.aspx?App=23&amp;ReportView=4&amp;Qid=1711279&amp;Row=22273&amp;Col=1","No Title Assigned - #15280700802")</f>
        <v/>
      </c>
      <c r="B22281" s="0" t="s">
        <v>29647</v>
      </c>
      <c r="E22281" s="0" t="inlineStr">
        <is>
          <t xml:space="preserve">Mazda</t>
        </is>
      </c>
      <c r="F22281" s="0" t="inlineStr">
        <is>
          <t xml:space="preserve">Mazda</t>
        </is>
      </c>
      <c r="G22281" s="0" t="s">
        <v>171</v>
      </c>
      <c r="H22281" s="5">
        <v>1947.004900</v>
      </c>
    </row>
    <row r="22282" spans="1:9">
      <c r="A22282" s="22" t="str">
        <f>HYPERLINK("https://app.vivvix.com/360/KMI/IntelliDrive/ApplUI/Pages/CreativePages/CustomReportCreativeDetail.aspx?App=23&amp;ReportView=4&amp;Qid=1711279&amp;Row=22274&amp;Col=1","No Title Assigned - #15280700920")</f>
        <v/>
      </c>
      <c r="B22282" s="0" t="s">
        <v>29648</v>
      </c>
      <c r="E22282" s="0" t="inlineStr">
        <is>
          <t xml:space="preserve">Mazda</t>
        </is>
      </c>
      <c r="F22282" s="0" t="inlineStr">
        <is>
          <t xml:space="preserve">Mazda</t>
        </is>
      </c>
      <c r="G22282" s="0" t="s">
        <v>171</v>
      </c>
      <c r="H22282" s="5">
        <v>1.517600</v>
      </c>
    </row>
    <row r="22283" spans="1:9">
      <c r="A22283" s="22" t="str">
        <f>HYPERLINK("https://app.vivvix.com/360/KMI/IntelliDrive/ApplUI/Pages/CreativePages/CustomReportCreativeDetail.aspx?App=23&amp;ReportView=4&amp;Qid=1711279&amp;Row=22275&amp;Col=1","No Title Assigned - #15280700920")</f>
        <v/>
      </c>
      <c r="B22283" s="0" t="s">
        <v>29648</v>
      </c>
      <c r="E22283" s="0" t="inlineStr">
        <is>
          <t xml:space="preserve">Mazda</t>
        </is>
      </c>
      <c r="F22283" s="0" t="inlineStr">
        <is>
          <t xml:space="preserve">Mazda</t>
        </is>
      </c>
      <c r="G22283" s="0" t="s">
        <v>171</v>
      </c>
      <c r="H22283" s="5">
        <v>415.314000</v>
      </c>
    </row>
    <row r="22284" spans="1:9">
      <c r="A22284" s="22" t="str">
        <f>HYPERLINK("https://app.vivvix.com/360/KMI/IntelliDrive/ApplUI/Pages/CreativePages/CustomReportCreativeDetail.aspx?App=23&amp;ReportView=4&amp;Qid=1711279&amp;Row=22276&amp;Col=1","No Title Assigned - #15280701480")</f>
        <v/>
      </c>
      <c r="B22284" s="0" t="s">
        <v>29649</v>
      </c>
      <c r="E22284" s="0" t="inlineStr">
        <is>
          <t xml:space="preserve">Mazda</t>
        </is>
      </c>
      <c r="F22284" s="0" t="inlineStr">
        <is>
          <t xml:space="preserve">Mazda</t>
        </is>
      </c>
      <c r="G22284" s="0" t="s">
        <v>171</v>
      </c>
      <c r="H22284" s="5">
        <v>2.297700</v>
      </c>
    </row>
    <row r="22285" spans="1:9">
      <c r="A22285" s="22" t="str">
        <f>HYPERLINK("https://app.vivvix.com/360/KMI/IntelliDrive/ApplUI/Pages/CreativePages/CustomReportCreativeDetail.aspx?App=23&amp;ReportView=4&amp;Qid=1711279&amp;Row=22277&amp;Col=1","No Title Assigned - #15280703491")</f>
        <v/>
      </c>
      <c r="B22285" s="0" t="s">
        <v>29650</v>
      </c>
      <c r="E22285" s="0" t="inlineStr">
        <is>
          <t xml:space="preserve">Mazda</t>
        </is>
      </c>
      <c r="F22285" s="0" t="inlineStr">
        <is>
          <t xml:space="preserve">Mazda</t>
        </is>
      </c>
      <c r="G22285" s="0" t="s">
        <v>171</v>
      </c>
      <c r="H22285" s="5">
        <v>521.176600</v>
      </c>
    </row>
    <row r="22286" spans="1:9">
      <c r="A22286" s="22" t="str">
        <f>HYPERLINK("https://app.vivvix.com/360/KMI/IntelliDrive/ApplUI/Pages/CreativePages/CustomReportCreativeDetail.aspx?App=23&amp;ReportView=4&amp;Qid=1711279&amp;Row=22278&amp;Col=1","No Title Assigned - #15280705462")</f>
        <v/>
      </c>
      <c r="B22286" s="0" t="s">
        <v>29651</v>
      </c>
      <c r="E22286" s="0" t="inlineStr">
        <is>
          <t xml:space="preserve">Mazda</t>
        </is>
      </c>
      <c r="F22286" s="0" t="inlineStr">
        <is>
          <t xml:space="preserve">Mazda</t>
        </is>
      </c>
      <c r="G22286" s="0" t="s">
        <v>171</v>
      </c>
      <c r="H22286" s="5">
        <v>525.777400</v>
      </c>
    </row>
    <row r="22287" spans="1:9">
      <c r="A22287" s="22" t="str">
        <f>HYPERLINK("https://app.vivvix.com/360/KMI/IntelliDrive/ApplUI/Pages/CreativePages/CustomReportCreativeDetail.aspx?App=23&amp;ReportView=4&amp;Qid=1711279&amp;Row=22279&amp;Col=1","No Title Assigned - #15280705865")</f>
        <v/>
      </c>
      <c r="B22287" s="0" t="s">
        <v>29652</v>
      </c>
      <c r="E22287" s="0" t="inlineStr">
        <is>
          <t xml:space="preserve">Mazda</t>
        </is>
      </c>
      <c r="F22287" s="0" t="inlineStr">
        <is>
          <t xml:space="preserve">Mazda</t>
        </is>
      </c>
      <c r="G22287" s="0" t="s">
        <v>171</v>
      </c>
      <c r="H22287" s="5">
        <v>46.658800</v>
      </c>
    </row>
    <row r="22288" spans="1:9">
      <c r="A22288" s="22" t="str">
        <f>HYPERLINK("https://app.vivvix.com/360/KMI/IntelliDrive/ApplUI/Pages/CreativePages/CustomReportCreativeDetail.aspx?App=23&amp;ReportView=4&amp;Qid=1711279&amp;Row=22280&amp;Col=1","No Title Assigned - #15280711431")</f>
        <v/>
      </c>
      <c r="B22288" s="0" t="s">
        <v>29653</v>
      </c>
      <c r="E22288" s="0" t="inlineStr">
        <is>
          <t xml:space="preserve">Mazda</t>
        </is>
      </c>
      <c r="F22288" s="0" t="inlineStr">
        <is>
          <t xml:space="preserve">Mazda</t>
        </is>
      </c>
      <c r="G22288" s="0" t="s">
        <v>171</v>
      </c>
      <c r="H22288" s="5">
        <v>1471.750700</v>
      </c>
    </row>
    <row r="22289" spans="1:9">
      <c r="A22289" s="22" t="str">
        <f>HYPERLINK("https://app.vivvix.com/360/KMI/IntelliDrive/ApplUI/Pages/CreativePages/CustomReportCreativeDetail.aspx?App=23&amp;ReportView=4&amp;Qid=1711279&amp;Row=22281&amp;Col=1","No Title Assigned - #15280711431")</f>
        <v/>
      </c>
      <c r="B22289" s="0" t="s">
        <v>29653</v>
      </c>
      <c r="E22289" s="0" t="inlineStr">
        <is>
          <t xml:space="preserve">Mazda</t>
        </is>
      </c>
      <c r="F22289" s="0" t="inlineStr">
        <is>
          <t xml:space="preserve">Mazda</t>
        </is>
      </c>
      <c r="G22289" s="0" t="s">
        <v>171</v>
      </c>
      <c r="H22289" s="5">
        <v>203.406700</v>
      </c>
    </row>
    <row r="22290" spans="1:9">
      <c r="A22290" s="22" t="str">
        <f>HYPERLINK("https://app.vivvix.com/360/KMI/IntelliDrive/ApplUI/Pages/CreativePages/CustomReportCreativeDetail.aspx?App=23&amp;ReportView=4&amp;Qid=1711279&amp;Row=22282&amp;Col=1","No Title Assigned - #15280719374")</f>
        <v/>
      </c>
      <c r="B22290" s="0" t="s">
        <v>29654</v>
      </c>
      <c r="C22290" s="0" t="s">
        <v>29655</v>
      </c>
      <c r="D22290" s="0" t="s">
        <v>29655</v>
      </c>
      <c r="E22290" s="0" t="inlineStr">
        <is>
          <t xml:space="preserve">Mazda</t>
        </is>
      </c>
      <c r="F22290" s="0" t="s">
        <v>13</v>
      </c>
      <c r="G22290" s="0" t="s">
        <v>49</v>
      </c>
      <c r="H22290" s="5">
        <v>5.292900</v>
      </c>
    </row>
    <row r="22291" spans="1:9">
      <c r="A22291" s="22" t="str">
        <f>HYPERLINK("https://app.vivvix.com/360/KMI/IntelliDrive/ApplUI/Pages/CreativePages/CustomReportCreativeDetail.aspx?App=23&amp;ReportView=4&amp;Qid=1711279&amp;Row=22283&amp;Col=1","No Title Assigned - #15280719842")</f>
        <v/>
      </c>
      <c r="B22291" s="0" t="s">
        <v>29656</v>
      </c>
      <c r="C22291" s="0" t="s">
        <v>29657</v>
      </c>
      <c r="D22291" s="0" t="s">
        <v>29657</v>
      </c>
      <c r="E22291" s="0" t="inlineStr">
        <is>
          <t xml:space="preserve">Mazda</t>
        </is>
      </c>
      <c r="F22291" s="0" t="s">
        <v>13</v>
      </c>
      <c r="G22291" s="0" t="s">
        <v>49</v>
      </c>
      <c r="H22291" s="5">
        <v>59.151300</v>
      </c>
    </row>
    <row r="22292" spans="1:9">
      <c r="A22292" s="22" t="str">
        <f>HYPERLINK("https://app.vivvix.com/360/KMI/IntelliDrive/ApplUI/Pages/CreativePages/CustomReportCreativeDetail.aspx?App=23&amp;ReportView=4&amp;Qid=1711279&amp;Row=22284&amp;Col=1","No Title Assigned - #15280721150")</f>
        <v/>
      </c>
      <c r="B22292" s="0" t="s">
        <v>29658</v>
      </c>
      <c r="C22292" s="0" t="s">
        <v>29659</v>
      </c>
      <c r="D22292" s="0" t="s">
        <v>12067</v>
      </c>
      <c r="E22292" s="0" t="inlineStr">
        <is>
          <t xml:space="preserve">Mazda</t>
        </is>
      </c>
      <c r="F22292" s="0" t="s">
        <v>13</v>
      </c>
      <c r="G22292" s="0" t="s">
        <v>49</v>
      </c>
      <c r="H22292" s="5">
        <v>61.692500</v>
      </c>
    </row>
    <row r="22293" spans="1:9">
      <c r="A22293" s="22" t="str">
        <f>HYPERLINK("https://app.vivvix.com/360/KMI/IntelliDrive/ApplUI/Pages/CreativePages/CustomReportCreativeDetail.aspx?App=23&amp;ReportView=4&amp;Qid=1711279&amp;Row=22285&amp;Col=1","No Title Assigned - #15280721915")</f>
        <v/>
      </c>
      <c r="B22293" s="0" t="s">
        <v>29660</v>
      </c>
      <c r="C22293" s="0" t="s">
        <v>29661</v>
      </c>
      <c r="D22293" s="0" t="s">
        <v>29661</v>
      </c>
      <c r="E22293" s="0" t="inlineStr">
        <is>
          <t xml:space="preserve">Mazda</t>
        </is>
      </c>
      <c r="F22293" s="0" t="inlineStr">
        <is>
          <t xml:space="preserve">Mazda</t>
        </is>
      </c>
      <c r="G22293" s="0" t="s">
        <v>210</v>
      </c>
      <c r="H22293" s="5">
        <v>240.706500</v>
      </c>
    </row>
    <row r="22294" spans="1:9">
      <c r="A22294" s="22" t="str">
        <f>HYPERLINK("https://app.vivvix.com/360/KMI/IntelliDrive/ApplUI/Pages/CreativePages/CustomReportCreativeDetail.aspx?App=23&amp;ReportView=4&amp;Qid=1711279&amp;Row=22286&amp;Col=1","No Title Assigned - #15280728018")</f>
        <v/>
      </c>
      <c r="B22294" s="0" t="s">
        <v>29662</v>
      </c>
      <c r="C22294" s="0" t="s">
        <v>29663</v>
      </c>
      <c r="D22294" s="0" t="s">
        <v>29663</v>
      </c>
      <c r="E22294" s="0" t="inlineStr">
        <is>
          <t xml:space="preserve">Mazda</t>
        </is>
      </c>
      <c r="F22294" s="0" t="s">
        <v>13</v>
      </c>
      <c r="G22294" s="0" t="s">
        <v>49</v>
      </c>
      <c r="H22294" s="5">
        <v>39.086200</v>
      </c>
    </row>
    <row r="22295" spans="1:9">
      <c r="A22295" s="22" t="str">
        <f>HYPERLINK("https://app.vivvix.com/360/KMI/IntelliDrive/ApplUI/Pages/CreativePages/CustomReportCreativeDetail.aspx?App=23&amp;ReportView=4&amp;Qid=1711279&amp;Row=22287&amp;Col=1","No Title Assigned - #15280728032")</f>
        <v/>
      </c>
      <c r="B22295" s="0" t="s">
        <v>29664</v>
      </c>
      <c r="C22295" s="0" t="s">
        <v>29665</v>
      </c>
      <c r="D22295" s="0" t="s">
        <v>29665</v>
      </c>
      <c r="E22295" s="0" t="inlineStr">
        <is>
          <t xml:space="preserve">Mazda</t>
        </is>
      </c>
      <c r="F22295" s="0" t="s">
        <v>56</v>
      </c>
      <c r="G22295" s="0" t="s">
        <v>57</v>
      </c>
      <c r="H22295" s="5">
        <v>316.177200</v>
      </c>
    </row>
    <row r="22296" spans="1:9">
      <c r="A22296" s="22" t="str">
        <f>HYPERLINK("https://app.vivvix.com/360/KMI/IntelliDrive/ApplUI/Pages/CreativePages/CustomReportCreativeDetail.aspx?App=23&amp;ReportView=4&amp;Qid=1711279&amp;Row=22288&amp;Col=1","No Title Assigned - #15280730315")</f>
        <v/>
      </c>
      <c r="B22296" s="0" t="s">
        <v>29666</v>
      </c>
      <c r="C22296" s="0" t="s">
        <v>29667</v>
      </c>
      <c r="D22296" s="0" t="s">
        <v>6420</v>
      </c>
      <c r="E22296" s="0" t="inlineStr">
        <is>
          <t xml:space="preserve">Mazda</t>
        </is>
      </c>
      <c r="F22296" s="0" t="s">
        <v>13</v>
      </c>
      <c r="G22296" s="0" t="s">
        <v>49</v>
      </c>
      <c r="H22296" s="5">
        <v>29.374100</v>
      </c>
    </row>
    <row r="22297" spans="1:9">
      <c r="A22297" s="22" t="str">
        <f>HYPERLINK("https://app.vivvix.com/360/KMI/IntelliDrive/ApplUI/Pages/CreativePages/CustomReportCreativeDetail.aspx?App=23&amp;ReportView=4&amp;Qid=1711279&amp;Row=22289&amp;Col=1","No Title Assigned - #15280730683")</f>
        <v/>
      </c>
      <c r="B22297" s="0" t="s">
        <v>29668</v>
      </c>
      <c r="C22297" s="0" t="s">
        <v>29669</v>
      </c>
      <c r="D22297" s="0" t="s">
        <v>29669</v>
      </c>
      <c r="E22297" s="0" t="inlineStr">
        <is>
          <t xml:space="preserve">Mazda</t>
        </is>
      </c>
      <c r="F22297" s="0" t="s">
        <v>13</v>
      </c>
      <c r="G22297" s="0" t="s">
        <v>49</v>
      </c>
      <c r="H22297" s="5">
        <v>162.822300</v>
      </c>
    </row>
    <row r="22298" spans="1:9">
      <c r="A22298" s="22" t="str">
        <f>HYPERLINK("https://app.vivvix.com/360/KMI/IntelliDrive/ApplUI/Pages/CreativePages/CustomReportCreativeDetail.aspx?App=23&amp;ReportView=4&amp;Qid=1711279&amp;Row=22290&amp;Col=1","No Title Assigned - #15280731104")</f>
        <v/>
      </c>
      <c r="B22298" s="0" t="s">
        <v>29670</v>
      </c>
      <c r="C22298" s="0" t="s">
        <v>29671</v>
      </c>
      <c r="D22298" s="0" t="s">
        <v>20089</v>
      </c>
      <c r="E22298" s="0" t="inlineStr">
        <is>
          <t xml:space="preserve">Mazda</t>
        </is>
      </c>
      <c r="F22298" s="0" t="s">
        <v>13</v>
      </c>
      <c r="G22298" s="0" t="s">
        <v>49</v>
      </c>
      <c r="H22298" s="5">
        <v>44.483900</v>
      </c>
    </row>
    <row r="22299" spans="1:9">
      <c r="A22299" s="22" t="str">
        <f>HYPERLINK("https://app.vivvix.com/360/KMI/IntelliDrive/ApplUI/Pages/CreativePages/CustomReportCreativeDetail.aspx?App=23&amp;ReportView=4&amp;Qid=1711279&amp;Row=22291&amp;Col=1","No Title Assigned - #15280735931")</f>
        <v/>
      </c>
      <c r="B22299" s="0" t="s">
        <v>29672</v>
      </c>
      <c r="C22299" s="0" t="s">
        <v>29673</v>
      </c>
      <c r="D22299" s="0" t="s">
        <v>29673</v>
      </c>
      <c r="E22299" s="0" t="inlineStr">
        <is>
          <t xml:space="preserve">Mazda</t>
        </is>
      </c>
      <c r="F22299" s="0" t="s">
        <v>13</v>
      </c>
      <c r="G22299" s="0" t="s">
        <v>49</v>
      </c>
      <c r="H22299" s="5">
        <v>149.823600</v>
      </c>
    </row>
    <row r="22300" spans="1:9">
      <c r="A22300" s="22" t="str">
        <f>HYPERLINK("https://app.vivvix.com/360/KMI/IntelliDrive/ApplUI/Pages/CreativePages/CustomReportCreativeDetail.aspx?App=23&amp;ReportView=4&amp;Qid=1711279&amp;Row=22292&amp;Col=1","No Title Assigned - #15280736477")</f>
        <v/>
      </c>
      <c r="B22300" s="0" t="s">
        <v>29674</v>
      </c>
      <c r="C22300" s="0" t="s">
        <v>29675</v>
      </c>
      <c r="D22300" s="0" t="s">
        <v>9749</v>
      </c>
      <c r="E22300" s="0" t="inlineStr">
        <is>
          <t xml:space="preserve">Mazda</t>
        </is>
      </c>
      <c r="F22300" s="0" t="s">
        <v>13</v>
      </c>
      <c r="G22300" s="0" t="s">
        <v>49</v>
      </c>
      <c r="H22300" s="5">
        <v>3804.523600</v>
      </c>
    </row>
    <row r="22301" spans="1:9">
      <c r="A22301" s="22" t="str">
        <f>HYPERLINK("https://app.vivvix.com/360/KMI/IntelliDrive/ApplUI/Pages/CreativePages/CustomReportCreativeDetail.aspx?App=23&amp;ReportView=4&amp;Qid=1711279&amp;Row=22293&amp;Col=1","No Title Assigned - #15280737018")</f>
        <v/>
      </c>
      <c r="B22301" s="0" t="s">
        <v>29676</v>
      </c>
      <c r="C22301" s="0" t="s">
        <v>29677</v>
      </c>
      <c r="D22301" s="0" t="s">
        <v>15762</v>
      </c>
      <c r="E22301" s="0" t="inlineStr">
        <is>
          <t xml:space="preserve">Mazda</t>
        </is>
      </c>
      <c r="F22301" s="0" t="s">
        <v>13</v>
      </c>
      <c r="G22301" s="0" t="s">
        <v>49</v>
      </c>
      <c r="H22301" s="5">
        <v>109.339800</v>
      </c>
    </row>
    <row r="22302" spans="1:9">
      <c r="A22302" s="22" t="str">
        <f>HYPERLINK("https://app.vivvix.com/360/KMI/IntelliDrive/ApplUI/Pages/CreativePages/CustomReportCreativeDetail.aspx?App=23&amp;ReportView=4&amp;Qid=1711279&amp;Row=22294&amp;Col=1","No Title Assigned - #15280737587")</f>
        <v/>
      </c>
      <c r="B22302" s="0" t="s">
        <v>29678</v>
      </c>
      <c r="C22302" s="0" t="s">
        <v>29679</v>
      </c>
      <c r="D22302" s="0" t="s">
        <v>29679</v>
      </c>
      <c r="E22302" s="0" t="inlineStr">
        <is>
          <t xml:space="preserve">Mazda</t>
        </is>
      </c>
      <c r="F22302" s="0" t="s">
        <v>21</v>
      </c>
      <c r="G22302" s="0" t="s">
        <v>22</v>
      </c>
      <c r="H22302" s="5">
        <v>347.179900</v>
      </c>
    </row>
    <row r="22303" spans="1:9">
      <c r="A22303" s="22" t="str">
        <f>HYPERLINK("https://app.vivvix.com/360/KMI/IntelliDrive/ApplUI/Pages/CreativePages/CustomReportCreativeDetail.aspx?App=23&amp;ReportView=4&amp;Qid=1711279&amp;Row=22295&amp;Col=1","No Title Assigned - #15280740823")</f>
        <v/>
      </c>
      <c r="B22303" s="0" t="s">
        <v>29680</v>
      </c>
      <c r="C22303" s="0" t="s">
        <v>29681</v>
      </c>
      <c r="D22303" s="0" t="s">
        <v>29681</v>
      </c>
      <c r="E22303" s="0" t="inlineStr">
        <is>
          <t xml:space="preserve">Mazda</t>
        </is>
      </c>
      <c r="F22303" s="0" t="s">
        <v>13</v>
      </c>
      <c r="G22303" s="0" t="s">
        <v>49</v>
      </c>
      <c r="H22303" s="5">
        <v>216.964700</v>
      </c>
    </row>
    <row r="22304" spans="1:9">
      <c r="A22304" s="22" t="str">
        <f>HYPERLINK("https://app.vivvix.com/360/KMI/IntelliDrive/ApplUI/Pages/CreativePages/CustomReportCreativeDetail.aspx?App=23&amp;ReportView=4&amp;Qid=1711279&amp;Row=22296&amp;Col=1","No Title Assigned - #15280740905")</f>
        <v/>
      </c>
      <c r="B22304" s="0" t="s">
        <v>29682</v>
      </c>
      <c r="C22304" s="0" t="s">
        <v>29683</v>
      </c>
      <c r="D22304" s="0" t="s">
        <v>29683</v>
      </c>
      <c r="E22304" s="0" t="inlineStr">
        <is>
          <t xml:space="preserve">Mazda</t>
        </is>
      </c>
      <c r="F22304" s="0" t="s">
        <v>13</v>
      </c>
      <c r="G22304" s="0" t="s">
        <v>49</v>
      </c>
      <c r="H22304" s="5">
        <v>66.928300</v>
      </c>
    </row>
    <row r="22305" spans="1:9">
      <c r="A22305" s="22" t="str">
        <f>HYPERLINK("https://app.vivvix.com/360/KMI/IntelliDrive/ApplUI/Pages/CreativePages/CustomReportCreativeDetail.aspx?App=23&amp;ReportView=4&amp;Qid=1711279&amp;Row=22297&amp;Col=1","No Title Assigned - #15280741022")</f>
        <v/>
      </c>
      <c r="B22305" s="0" t="s">
        <v>29684</v>
      </c>
      <c r="C22305" s="0" t="s">
        <v>29685</v>
      </c>
      <c r="D22305" s="0" t="s">
        <v>29685</v>
      </c>
      <c r="E22305" s="0" t="inlineStr">
        <is>
          <t xml:space="preserve">Mazda</t>
        </is>
      </c>
      <c r="F22305" s="0" t="s">
        <v>13</v>
      </c>
      <c r="G22305" s="0" t="s">
        <v>49</v>
      </c>
      <c r="H22305" s="5">
        <v>8.876300</v>
      </c>
    </row>
    <row r="22306" spans="1:9">
      <c r="A22306" s="22" t="str">
        <f>HYPERLINK("https://app.vivvix.com/360/KMI/IntelliDrive/ApplUI/Pages/CreativePages/CustomReportCreativeDetail.aspx?App=23&amp;ReportView=4&amp;Qid=1711279&amp;Row=22298&amp;Col=1","No Title Assigned - #15280743760")</f>
        <v/>
      </c>
      <c r="B22306" s="0" t="s">
        <v>29686</v>
      </c>
      <c r="C22306" s="0" t="s">
        <v>29687</v>
      </c>
      <c r="D22306" s="0" t="s">
        <v>18410</v>
      </c>
      <c r="E22306" s="0" t="inlineStr">
        <is>
          <t xml:space="preserve">Mazda</t>
        </is>
      </c>
      <c r="F22306" s="0" t="s">
        <v>13</v>
      </c>
      <c r="G22306" s="0" t="s">
        <v>49</v>
      </c>
      <c r="H22306" s="5">
        <v>201.648300</v>
      </c>
    </row>
    <row r="22307" spans="1:9">
      <c r="A22307" s="22" t="str">
        <f>HYPERLINK("https://app.vivvix.com/360/KMI/IntelliDrive/ApplUI/Pages/CreativePages/CustomReportCreativeDetail.aspx?App=23&amp;ReportView=4&amp;Qid=1711279&amp;Row=22299&amp;Col=1","No Title Assigned - #15280743760")</f>
        <v/>
      </c>
      <c r="B22307" s="0" t="s">
        <v>29686</v>
      </c>
      <c r="E22307" s="0" t="inlineStr">
        <is>
          <t xml:space="preserve">Mazda</t>
        </is>
      </c>
      <c r="F22307" s="0" t="s">
        <v>13</v>
      </c>
      <c r="G22307" s="0" t="s">
        <v>49</v>
      </c>
      <c r="H22307" s="5">
        <v>1671.962500</v>
      </c>
    </row>
    <row r="22308" spans="1:9">
      <c r="A22308" s="22" t="str">
        <f>HYPERLINK("https://app.vivvix.com/360/KMI/IntelliDrive/ApplUI/Pages/CreativePages/CustomReportCreativeDetail.aspx?App=23&amp;ReportView=4&amp;Qid=1711279&amp;Row=22300&amp;Col=1","No Title Assigned - #15280755234")</f>
        <v/>
      </c>
      <c r="B22308" s="0" t="s">
        <v>29688</v>
      </c>
      <c r="E22308" s="0" t="inlineStr">
        <is>
          <t xml:space="preserve">Mazda</t>
        </is>
      </c>
      <c r="F22308" s="0" t="inlineStr">
        <is>
          <t xml:space="preserve">Mazda</t>
        </is>
      </c>
      <c r="G22308" s="0" t="s">
        <v>171</v>
      </c>
      <c r="H22308" s="5">
        <v>692.808500</v>
      </c>
    </row>
    <row r="22309" spans="1:9">
      <c r="A22309" s="22" t="str">
        <f>HYPERLINK("https://app.vivvix.com/360/KMI/IntelliDrive/ApplUI/Pages/CreativePages/CustomReportCreativeDetail.aspx?App=23&amp;ReportView=4&amp;Qid=1711279&amp;Row=22301&amp;Col=1","No Title Assigned - #15280759044")</f>
        <v/>
      </c>
      <c r="B22309" s="0" t="s">
        <v>29689</v>
      </c>
      <c r="C22309" s="0" t="s">
        <v>29690</v>
      </c>
      <c r="D22309" s="0" t="s">
        <v>29690</v>
      </c>
      <c r="E22309" s="0" t="inlineStr">
        <is>
          <t xml:space="preserve">Mazda</t>
        </is>
      </c>
      <c r="F22309" s="0" t="inlineStr">
        <is>
          <t xml:space="preserve">Mazda</t>
        </is>
      </c>
      <c r="G22309" s="0" t="s">
        <v>171</v>
      </c>
      <c r="H22309" s="5">
        <v>94.322900</v>
      </c>
    </row>
    <row r="22310" spans="1:9">
      <c r="A22310" s="22" t="str">
        <f>HYPERLINK("https://app.vivvix.com/360/KMI/IntelliDrive/ApplUI/Pages/CreativePages/CustomReportCreativeDetail.aspx?App=23&amp;ReportView=4&amp;Qid=1711279&amp;Row=22302&amp;Col=1","No Title Assigned - #15280759194")</f>
        <v/>
      </c>
      <c r="B22310" s="0" t="s">
        <v>29691</v>
      </c>
      <c r="E22310" s="0" t="inlineStr">
        <is>
          <t xml:space="preserve">Mazda</t>
        </is>
      </c>
      <c r="F22310" s="0" t="inlineStr">
        <is>
          <t xml:space="preserve">Mazda</t>
        </is>
      </c>
      <c r="G22310" s="0" t="s">
        <v>171</v>
      </c>
      <c r="H22310" s="5">
        <v>767.549300</v>
      </c>
    </row>
    <row r="22311" spans="1:9">
      <c r="A22311" s="22" t="str">
        <f>HYPERLINK("https://app.vivvix.com/360/KMI/IntelliDrive/ApplUI/Pages/CreativePages/CustomReportCreativeDetail.aspx?App=23&amp;ReportView=4&amp;Qid=1711279&amp;Row=22303&amp;Col=1","No Title Assigned - #15280760524")</f>
        <v/>
      </c>
      <c r="B22311" s="0" t="s">
        <v>29692</v>
      </c>
      <c r="E22311" s="0" t="inlineStr">
        <is>
          <t xml:space="preserve">Mazda</t>
        </is>
      </c>
      <c r="F22311" s="0" t="inlineStr">
        <is>
          <t xml:space="preserve">Mazda</t>
        </is>
      </c>
      <c r="G22311" s="0" t="s">
        <v>171</v>
      </c>
      <c r="H22311" s="5">
        <v>9.851700</v>
      </c>
    </row>
    <row r="22312" spans="1:9">
      <c r="A22312" s="22" t="str">
        <f>HYPERLINK("https://app.vivvix.com/360/KMI/IntelliDrive/ApplUI/Pages/CreativePages/CustomReportCreativeDetail.aspx?App=23&amp;ReportView=4&amp;Qid=1711279&amp;Row=22304&amp;Col=1","No Title Assigned - #15280762480")</f>
        <v/>
      </c>
      <c r="B22312" s="0" t="s">
        <v>29693</v>
      </c>
      <c r="C22312" s="0" t="s">
        <v>29694</v>
      </c>
      <c r="D22312" s="0" t="s">
        <v>15762</v>
      </c>
      <c r="E22312" s="0" t="inlineStr">
        <is>
          <t xml:space="preserve">Mazda</t>
        </is>
      </c>
      <c r="F22312" s="0" t="s">
        <v>13</v>
      </c>
      <c r="G22312" s="0" t="s">
        <v>49</v>
      </c>
      <c r="H22312" s="5">
        <v>88.383300</v>
      </c>
    </row>
    <row r="22313" spans="1:9">
      <c r="A22313" s="22" t="str">
        <f>HYPERLINK("https://app.vivvix.com/360/KMI/IntelliDrive/ApplUI/Pages/CreativePages/CustomReportCreativeDetail.aspx?App=23&amp;ReportView=4&amp;Qid=1711279&amp;Row=22305&amp;Col=1","No Title Assigned - #15280769136")</f>
        <v/>
      </c>
      <c r="B22313" s="0" t="s">
        <v>29695</v>
      </c>
      <c r="E22313" s="0" t="inlineStr">
        <is>
          <t xml:space="preserve">Mazda</t>
        </is>
      </c>
      <c r="F22313" s="0" t="inlineStr">
        <is>
          <t xml:space="preserve">Mazda</t>
        </is>
      </c>
      <c r="G22313" s="0" t="s">
        <v>171</v>
      </c>
      <c r="H22313" s="5">
        <v>707.842600</v>
      </c>
    </row>
    <row r="22314" spans="1:9">
      <c r="A22314" s="22" t="str">
        <f>HYPERLINK("https://app.vivvix.com/360/KMI/IntelliDrive/ApplUI/Pages/CreativePages/CustomReportCreativeDetail.aspx?App=23&amp;ReportView=4&amp;Qid=1711279&amp;Row=22306&amp;Col=1","No Title Assigned - #15280769178")</f>
        <v/>
      </c>
      <c r="B22314" s="0" t="s">
        <v>29696</v>
      </c>
      <c r="E22314" s="0" t="inlineStr">
        <is>
          <t xml:space="preserve">Mazda</t>
        </is>
      </c>
      <c r="F22314" s="0" t="inlineStr">
        <is>
          <t xml:space="preserve">Mazda</t>
        </is>
      </c>
      <c r="G22314" s="0" t="s">
        <v>171</v>
      </c>
      <c r="H22314" s="5">
        <v>7659.548800</v>
      </c>
    </row>
    <row r="22315" spans="1:9">
      <c r="A22315" s="22" t="str">
        <f>HYPERLINK("https://app.vivvix.com/360/KMI/IntelliDrive/ApplUI/Pages/CreativePages/CustomReportCreativeDetail.aspx?App=23&amp;ReportView=4&amp;Qid=1711279&amp;Row=22307&amp;Col=1","No Title Assigned - #15280769388")</f>
        <v/>
      </c>
      <c r="B22315" s="0" t="s">
        <v>29697</v>
      </c>
      <c r="E22315" s="0" t="inlineStr">
        <is>
          <t xml:space="preserve">Mazda</t>
        </is>
      </c>
      <c r="F22315" s="0" t="inlineStr">
        <is>
          <t xml:space="preserve">Mazda</t>
        </is>
      </c>
      <c r="G22315" s="0" t="s">
        <v>171</v>
      </c>
      <c r="H22315" s="5">
        <v>2158.915100</v>
      </c>
    </row>
    <row r="22316" spans="1:9">
      <c r="A22316" s="22" t="str">
        <f>HYPERLINK("https://app.vivvix.com/360/KMI/IntelliDrive/ApplUI/Pages/CreativePages/CustomReportCreativeDetail.aspx?App=23&amp;ReportView=4&amp;Qid=1711279&amp;Row=22308&amp;Col=1","No Title Assigned - #15280769896")</f>
        <v/>
      </c>
      <c r="B22316" s="0" t="s">
        <v>29698</v>
      </c>
      <c r="E22316" s="0" t="inlineStr">
        <is>
          <t xml:space="preserve">Mazda</t>
        </is>
      </c>
      <c r="F22316" s="0" t="inlineStr">
        <is>
          <t xml:space="preserve">Mazda</t>
        </is>
      </c>
      <c r="G22316" s="0" t="s">
        <v>171</v>
      </c>
      <c r="H22316" s="5">
        <v>4388.816000</v>
      </c>
    </row>
    <row r="22317" spans="1:9">
      <c r="A22317" s="22" t="str">
        <f>HYPERLINK("https://app.vivvix.com/360/KMI/IntelliDrive/ApplUI/Pages/CreativePages/CustomReportCreativeDetail.aspx?App=23&amp;ReportView=4&amp;Qid=1711279&amp;Row=22309&amp;Col=1","No Title Assigned - #15280771570")</f>
        <v/>
      </c>
      <c r="B22317" s="0" t="s">
        <v>29699</v>
      </c>
      <c r="E22317" s="0" t="inlineStr">
        <is>
          <t xml:space="preserve">Mazda</t>
        </is>
      </c>
      <c r="F22317" s="0" t="inlineStr">
        <is>
          <t xml:space="preserve">Mazda</t>
        </is>
      </c>
      <c r="G22317" s="0" t="s">
        <v>171</v>
      </c>
      <c r="H22317" s="5">
        <v>1593.838600</v>
      </c>
    </row>
    <row r="22318" spans="1:9">
      <c r="A22318" s="22" t="str">
        <f>HYPERLINK("https://app.vivvix.com/360/KMI/IntelliDrive/ApplUI/Pages/CreativePages/CustomReportCreativeDetail.aspx?App=23&amp;ReportView=4&amp;Qid=1711279&amp;Row=22310&amp;Col=1","No Title Assigned - #15280771945")</f>
        <v/>
      </c>
      <c r="B22318" s="0" t="s">
        <v>29700</v>
      </c>
      <c r="E22318" s="0" t="inlineStr">
        <is>
          <t xml:space="preserve">Mazda</t>
        </is>
      </c>
      <c r="F22318" s="0" t="inlineStr">
        <is>
          <t xml:space="preserve">Mazda</t>
        </is>
      </c>
      <c r="G22318" s="0" t="s">
        <v>171</v>
      </c>
      <c r="H22318" s="5">
        <v>641.231300</v>
      </c>
    </row>
    <row r="22319" spans="1:9">
      <c r="A22319" s="22" t="str">
        <f>HYPERLINK("https://app.vivvix.com/360/KMI/IntelliDrive/ApplUI/Pages/CreativePages/CustomReportCreativeDetail.aspx?App=23&amp;ReportView=4&amp;Qid=1711279&amp;Row=22311&amp;Col=1","No Title Assigned - #15280772003")</f>
        <v/>
      </c>
      <c r="B22319" s="0" t="s">
        <v>29701</v>
      </c>
      <c r="E22319" s="0" t="inlineStr">
        <is>
          <t xml:space="preserve">Mazda</t>
        </is>
      </c>
      <c r="F22319" s="0" t="inlineStr">
        <is>
          <t xml:space="preserve">Mazda</t>
        </is>
      </c>
      <c r="G22319" s="0" t="s">
        <v>171</v>
      </c>
      <c r="H22319" s="5">
        <v>833.877600</v>
      </c>
    </row>
    <row r="22320" spans="1:9">
      <c r="A22320" s="22" t="str">
        <f>HYPERLINK("https://app.vivvix.com/360/KMI/IntelliDrive/ApplUI/Pages/CreativePages/CustomReportCreativeDetail.aspx?App=23&amp;ReportView=4&amp;Qid=1711279&amp;Row=22312&amp;Col=1","No Title Assigned - #15280772617")</f>
        <v/>
      </c>
      <c r="B22320" s="0" t="s">
        <v>29702</v>
      </c>
      <c r="E22320" s="0" t="inlineStr">
        <is>
          <t xml:space="preserve">Mazda</t>
        </is>
      </c>
      <c r="F22320" s="0" t="inlineStr">
        <is>
          <t xml:space="preserve">Mazda</t>
        </is>
      </c>
      <c r="G22320" s="0" t="s">
        <v>171</v>
      </c>
      <c r="H22320" s="5">
        <v>355.995400</v>
      </c>
    </row>
    <row r="22321" spans="1:9">
      <c r="A22321" s="22" t="str">
        <f>HYPERLINK("https://app.vivvix.com/360/KMI/IntelliDrive/ApplUI/Pages/CreativePages/CustomReportCreativeDetail.aspx?App=23&amp;ReportView=4&amp;Qid=1711279&amp;Row=22313&amp;Col=1","No Title Assigned - #15280772649")</f>
        <v/>
      </c>
      <c r="B22321" s="0" t="s">
        <v>29703</v>
      </c>
      <c r="E22321" s="0" t="inlineStr">
        <is>
          <t xml:space="preserve">Mazda</t>
        </is>
      </c>
      <c r="F22321" s="0" t="inlineStr">
        <is>
          <t xml:space="preserve">Mazda</t>
        </is>
      </c>
      <c r="G22321" s="0" t="s">
        <v>171</v>
      </c>
      <c r="H22321" s="5">
        <v>711.990800</v>
      </c>
    </row>
    <row r="22322" spans="1:9">
      <c r="A22322" s="22" t="str">
        <f>HYPERLINK("https://app.vivvix.com/360/KMI/IntelliDrive/ApplUI/Pages/CreativePages/CustomReportCreativeDetail.aspx?App=23&amp;ReportView=4&amp;Qid=1711279&amp;Row=22314&amp;Col=1","No Title Assigned - #15280773280")</f>
        <v/>
      </c>
      <c r="B22322" s="0" t="s">
        <v>29704</v>
      </c>
      <c r="E22322" s="0" t="inlineStr">
        <is>
          <t xml:space="preserve">Mazda</t>
        </is>
      </c>
      <c r="F22322" s="0" t="inlineStr">
        <is>
          <t xml:space="preserve">Mazda</t>
        </is>
      </c>
      <c r="G22322" s="0" t="s">
        <v>171</v>
      </c>
      <c r="H22322" s="5">
        <v>190.208200</v>
      </c>
    </row>
    <row r="22323" spans="1:9">
      <c r="A22323" s="22" t="str">
        <f>HYPERLINK("https://app.vivvix.com/360/KMI/IntelliDrive/ApplUI/Pages/CreativePages/CustomReportCreativeDetail.aspx?App=23&amp;ReportView=4&amp;Qid=1711279&amp;Row=22315&amp;Col=1","No Title Assigned - #15280773554")</f>
        <v/>
      </c>
      <c r="B22323" s="0" t="s">
        <v>29705</v>
      </c>
      <c r="E22323" s="0" t="inlineStr">
        <is>
          <t xml:space="preserve">Mazda</t>
        </is>
      </c>
      <c r="F22323" s="0" t="inlineStr">
        <is>
          <t xml:space="preserve">Mazda</t>
        </is>
      </c>
      <c r="G22323" s="0" t="s">
        <v>171</v>
      </c>
      <c r="H22323" s="5">
        <v>5.672900</v>
      </c>
    </row>
    <row r="22324" spans="1:9">
      <c r="A22324" s="22" t="str">
        <f>HYPERLINK("https://app.vivvix.com/360/KMI/IntelliDrive/ApplUI/Pages/CreativePages/CustomReportCreativeDetail.aspx?App=23&amp;ReportView=4&amp;Qid=1711279&amp;Row=22316&amp;Col=1","No Title Assigned - #15280773757")</f>
        <v/>
      </c>
      <c r="B22324" s="0" t="s">
        <v>29706</v>
      </c>
      <c r="E22324" s="0" t="inlineStr">
        <is>
          <t xml:space="preserve">Mazda</t>
        </is>
      </c>
      <c r="F22324" s="0" t="inlineStr">
        <is>
          <t xml:space="preserve">Mazda</t>
        </is>
      </c>
      <c r="G22324" s="0" t="s">
        <v>171</v>
      </c>
      <c r="H22324" s="5">
        <v>71.119300</v>
      </c>
    </row>
    <row r="22325" spans="1:9">
      <c r="A22325" s="22" t="str">
        <f>HYPERLINK("https://app.vivvix.com/360/KMI/IntelliDrive/ApplUI/Pages/CreativePages/CustomReportCreativeDetail.aspx?App=23&amp;ReportView=4&amp;Qid=1711279&amp;Row=22317&amp;Col=1","No Title Assigned - #15280775638")</f>
        <v/>
      </c>
      <c r="B22325" s="0" t="s">
        <v>29707</v>
      </c>
      <c r="E22325" s="0" t="inlineStr">
        <is>
          <t xml:space="preserve">Mazda</t>
        </is>
      </c>
      <c r="F22325" s="0" t="inlineStr">
        <is>
          <t xml:space="preserve">Mazda</t>
        </is>
      </c>
      <c r="G22325" s="0" t="s">
        <v>171</v>
      </c>
      <c r="H22325" s="5">
        <v>17.018700</v>
      </c>
    </row>
    <row r="22326" spans="1:9">
      <c r="A22326" s="22" t="str">
        <f>HYPERLINK("https://app.vivvix.com/360/KMI/IntelliDrive/ApplUI/Pages/CreativePages/CustomReportCreativeDetail.aspx?App=23&amp;ReportView=4&amp;Qid=1711279&amp;Row=22318&amp;Col=1","No Title Assigned - #15280776833")</f>
        <v/>
      </c>
      <c r="B22326" s="0" t="s">
        <v>29708</v>
      </c>
      <c r="C22326" s="0" t="s">
        <v>29709</v>
      </c>
      <c r="D22326" s="0" t="s">
        <v>9699</v>
      </c>
      <c r="E22326" s="0" t="inlineStr">
        <is>
          <t xml:space="preserve">Mazda</t>
        </is>
      </c>
      <c r="F22326" s="0" t="s">
        <v>13</v>
      </c>
      <c r="G22326" s="0" t="s">
        <v>49</v>
      </c>
      <c r="H22326" s="5">
        <v>20.788800</v>
      </c>
    </row>
    <row r="22327" spans="1:9">
      <c r="A22327" s="22" t="str">
        <f>HYPERLINK("https://app.vivvix.com/360/KMI/IntelliDrive/ApplUI/Pages/CreativePages/CustomReportCreativeDetail.aspx?App=23&amp;ReportView=4&amp;Qid=1711279&amp;Row=22319&amp;Col=1","No Title Assigned - #15280778536")</f>
        <v/>
      </c>
      <c r="B22327" s="0" t="s">
        <v>29710</v>
      </c>
      <c r="C22327" s="0" t="s">
        <v>29711</v>
      </c>
      <c r="D22327" s="0" t="s">
        <v>6183</v>
      </c>
      <c r="E22327" s="0" t="inlineStr">
        <is>
          <t xml:space="preserve">Mazda</t>
        </is>
      </c>
      <c r="F22327" s="0" t="s">
        <v>13</v>
      </c>
      <c r="G22327" s="0" t="s">
        <v>49</v>
      </c>
      <c r="H22327" s="5">
        <v>425.270200</v>
      </c>
    </row>
    <row r="22328" spans="1:9">
      <c r="A22328" s="22" t="str">
        <f>HYPERLINK("https://app.vivvix.com/360/KMI/IntelliDrive/ApplUI/Pages/CreativePages/CustomReportCreativeDetail.aspx?App=23&amp;ReportView=4&amp;Qid=1711279&amp;Row=22320&amp;Col=1","No Title Assigned - #15280779661")</f>
        <v/>
      </c>
      <c r="B22328" s="0" t="s">
        <v>29712</v>
      </c>
      <c r="C22328" s="0" t="s">
        <v>29713</v>
      </c>
      <c r="D22328" s="0" t="s">
        <v>4774</v>
      </c>
      <c r="E22328" s="0" t="inlineStr">
        <is>
          <t xml:space="preserve">Mazda</t>
        </is>
      </c>
      <c r="F22328" s="0" t="s">
        <v>13</v>
      </c>
      <c r="G22328" s="0" t="s">
        <v>49</v>
      </c>
      <c r="H22328" s="5">
        <v>349.545500</v>
      </c>
    </row>
    <row r="22329" spans="1:9">
      <c r="A22329" s="22" t="str">
        <f>HYPERLINK("https://app.vivvix.com/360/KMI/IntelliDrive/ApplUI/Pages/CreativePages/CustomReportCreativeDetail.aspx?App=23&amp;ReportView=4&amp;Qid=1711279&amp;Row=22321&amp;Col=1","No Title Assigned - #15280780634")</f>
        <v/>
      </c>
      <c r="B22329" s="0" t="s">
        <v>29714</v>
      </c>
      <c r="C22329" s="0" t="s">
        <v>29715</v>
      </c>
      <c r="D22329" s="0" t="s">
        <v>29715</v>
      </c>
      <c r="E22329" s="0" t="inlineStr">
        <is>
          <t xml:space="preserve">Mazda</t>
        </is>
      </c>
      <c r="F22329" s="0" t="s">
        <v>13</v>
      </c>
      <c r="G22329" s="0" t="s">
        <v>49</v>
      </c>
      <c r="H22329" s="5">
        <v>96.898700</v>
      </c>
    </row>
    <row r="22330" spans="1:9">
      <c r="A22330" s="22" t="str">
        <f>HYPERLINK("https://app.vivvix.com/360/KMI/IntelliDrive/ApplUI/Pages/CreativePages/CustomReportCreativeDetail.aspx?App=23&amp;ReportView=4&amp;Qid=1711279&amp;Row=22322&amp;Col=1","No Title Assigned - #15280780722")</f>
        <v/>
      </c>
      <c r="B22330" s="0" t="s">
        <v>29716</v>
      </c>
      <c r="C22330" s="0" t="s">
        <v>29717</v>
      </c>
      <c r="D22330" s="0" t="s">
        <v>10004</v>
      </c>
      <c r="E22330" s="0" t="inlineStr">
        <is>
          <t xml:space="preserve">Mazda</t>
        </is>
      </c>
      <c r="F22330" s="0" t="s">
        <v>13</v>
      </c>
      <c r="G22330" s="0" t="s">
        <v>49</v>
      </c>
      <c r="H22330" s="5">
        <v>178.574100</v>
      </c>
    </row>
    <row r="22331" spans="1:9">
      <c r="A22331" s="22" t="str">
        <f>HYPERLINK("https://app.vivvix.com/360/KMI/IntelliDrive/ApplUI/Pages/CreativePages/CustomReportCreativeDetail.aspx?App=23&amp;ReportView=4&amp;Qid=1711279&amp;Row=22323&amp;Col=1","No Title Assigned - #15280781566")</f>
        <v/>
      </c>
      <c r="B22331" s="0" t="s">
        <v>29718</v>
      </c>
      <c r="C22331" s="0" t="s">
        <v>29719</v>
      </c>
      <c r="D22331" s="0" t="s">
        <v>9167</v>
      </c>
      <c r="E22331" s="0" t="inlineStr">
        <is>
          <t xml:space="preserve">Mazda</t>
        </is>
      </c>
      <c r="F22331" s="0" t="s">
        <v>13</v>
      </c>
      <c r="G22331" s="0" t="s">
        <v>49</v>
      </c>
      <c r="H22331" s="5">
        <v>338.345500</v>
      </c>
    </row>
    <row r="22332" spans="1:9">
      <c r="A22332" s="22" t="str">
        <f>HYPERLINK("https://app.vivvix.com/360/KMI/IntelliDrive/ApplUI/Pages/CreativePages/CustomReportCreativeDetail.aspx?App=23&amp;ReportView=4&amp;Qid=1711279&amp;Row=22324&amp;Col=1","No Title Assigned - #15280782526")</f>
        <v/>
      </c>
      <c r="B22332" s="0" t="s">
        <v>29720</v>
      </c>
      <c r="C22332" s="0" t="s">
        <v>29721</v>
      </c>
      <c r="D22332" s="0" t="s">
        <v>19918</v>
      </c>
      <c r="E22332" s="0" t="inlineStr">
        <is>
          <t xml:space="preserve">Mazda</t>
        </is>
      </c>
      <c r="F22332" s="0" t="inlineStr">
        <is>
          <t xml:space="preserve">Mazda</t>
        </is>
      </c>
      <c r="G22332" s="0" t="s">
        <v>210</v>
      </c>
      <c r="H22332" s="5">
        <v>244.019500</v>
      </c>
    </row>
    <row r="22333" spans="1:9">
      <c r="A22333" s="22" t="str">
        <f>HYPERLINK("https://app.vivvix.com/360/KMI/IntelliDrive/ApplUI/Pages/CreativePages/CustomReportCreativeDetail.aspx?App=23&amp;ReportView=4&amp;Qid=1711279&amp;Row=22325&amp;Col=1","No Title Assigned - #15280784670")</f>
        <v/>
      </c>
      <c r="B22333" s="0" t="s">
        <v>29722</v>
      </c>
      <c r="C22333" s="0" t="s">
        <v>29723</v>
      </c>
      <c r="D22333" s="0" t="s">
        <v>29723</v>
      </c>
      <c r="E22333" s="0" t="inlineStr">
        <is>
          <t xml:space="preserve">Mazda</t>
        </is>
      </c>
      <c r="F22333" s="0" t="s">
        <v>13</v>
      </c>
      <c r="G22333" s="0" t="s">
        <v>49</v>
      </c>
      <c r="H22333" s="5">
        <v>7.828200</v>
      </c>
    </row>
    <row r="22334" spans="1:9">
      <c r="A22334" s="22" t="str">
        <f>HYPERLINK("https://app.vivvix.com/360/KMI/IntelliDrive/ApplUI/Pages/CreativePages/CustomReportCreativeDetail.aspx?App=23&amp;ReportView=4&amp;Qid=1711279&amp;Row=22326&amp;Col=1","No Title Assigned - #15280785414")</f>
        <v/>
      </c>
      <c r="B22334" s="0" t="s">
        <v>29724</v>
      </c>
      <c r="C22334" s="0" t="s">
        <v>29725</v>
      </c>
      <c r="D22334" s="0" t="s">
        <v>20883</v>
      </c>
      <c r="E22334" s="0" t="inlineStr">
        <is>
          <t xml:space="preserve">Mazda</t>
        </is>
      </c>
      <c r="F22334" s="0" t="s">
        <v>13</v>
      </c>
      <c r="G22334" s="0" t="s">
        <v>49</v>
      </c>
      <c r="H22334" s="5">
        <v>39.218800</v>
      </c>
    </row>
    <row r="22335" spans="1:9">
      <c r="A22335" s="22" t="str">
        <f>HYPERLINK("https://app.vivvix.com/360/KMI/IntelliDrive/ApplUI/Pages/CreativePages/CustomReportCreativeDetail.aspx?App=23&amp;ReportView=4&amp;Qid=1711279&amp;Row=22327&amp;Col=1","No Title Assigned - #15280785672")</f>
        <v/>
      </c>
      <c r="B22335" s="0" t="s">
        <v>29726</v>
      </c>
      <c r="C22335" s="0" t="s">
        <v>29727</v>
      </c>
      <c r="D22335" s="0" t="s">
        <v>8962</v>
      </c>
      <c r="E22335" s="0" t="inlineStr">
        <is>
          <t xml:space="preserve">Mazda</t>
        </is>
      </c>
      <c r="F22335" s="0" t="s">
        <v>13</v>
      </c>
      <c r="G22335" s="0" t="s">
        <v>49</v>
      </c>
      <c r="H22335" s="5">
        <v>256.751100</v>
      </c>
    </row>
    <row r="22336" spans="1:9">
      <c r="A22336" s="22" t="str">
        <f>HYPERLINK("https://app.vivvix.com/360/KMI/IntelliDrive/ApplUI/Pages/CreativePages/CustomReportCreativeDetail.aspx?App=23&amp;ReportView=4&amp;Qid=1711279&amp;Row=22328&amp;Col=1","No Title Assigned - #15280785718")</f>
        <v/>
      </c>
      <c r="B22336" s="0" t="s">
        <v>29728</v>
      </c>
      <c r="C22336" s="0" t="s">
        <v>29729</v>
      </c>
      <c r="D22336" s="0" t="s">
        <v>29729</v>
      </c>
      <c r="E22336" s="0" t="inlineStr">
        <is>
          <t xml:space="preserve">Mazda</t>
        </is>
      </c>
      <c r="F22336" s="0" t="s">
        <v>13</v>
      </c>
      <c r="G22336" s="0" t="s">
        <v>49</v>
      </c>
      <c r="H22336" s="5">
        <v>359.162700</v>
      </c>
    </row>
    <row r="22337" spans="1:9">
      <c r="A22337" s="22" t="str">
        <f>HYPERLINK("https://app.vivvix.com/360/KMI/IntelliDrive/ApplUI/Pages/CreativePages/CustomReportCreativeDetail.aspx?App=23&amp;ReportView=4&amp;Qid=1711279&amp;Row=22329&amp;Col=1","No Title Assigned - #15280787037")</f>
        <v/>
      </c>
      <c r="B22337" s="0" t="s">
        <v>29730</v>
      </c>
      <c r="C22337" s="0" t="s">
        <v>29731</v>
      </c>
      <c r="D22337" s="0" t="s">
        <v>29731</v>
      </c>
      <c r="E22337" s="0" t="inlineStr">
        <is>
          <t xml:space="preserve">Mazda</t>
        </is>
      </c>
      <c r="F22337" s="0" t="s">
        <v>13</v>
      </c>
      <c r="G22337" s="0" t="s">
        <v>49</v>
      </c>
      <c r="H22337" s="5">
        <v>130.633500</v>
      </c>
    </row>
    <row r="22338" spans="1:9">
      <c r="A22338" s="22" t="str">
        <f>HYPERLINK("https://app.vivvix.com/360/KMI/IntelliDrive/ApplUI/Pages/CreativePages/CustomReportCreativeDetail.aspx?App=23&amp;ReportView=4&amp;Qid=1711279&amp;Row=22330&amp;Col=1","No Title Assigned - #15280787142")</f>
        <v/>
      </c>
      <c r="B22338" s="0" t="s">
        <v>29732</v>
      </c>
      <c r="C22338" s="0" t="s">
        <v>29733</v>
      </c>
      <c r="D22338" s="0" t="s">
        <v>29733</v>
      </c>
      <c r="E22338" s="0" t="inlineStr">
        <is>
          <t xml:space="preserve">Mazda</t>
        </is>
      </c>
      <c r="F22338" s="0" t="s">
        <v>13</v>
      </c>
      <c r="G22338" s="0" t="s">
        <v>49</v>
      </c>
      <c r="H22338" s="5">
        <v>35857.036600</v>
      </c>
    </row>
    <row r="22339" spans="1:9">
      <c r="A22339" s="22" t="str">
        <f>HYPERLINK("https://app.vivvix.com/360/KMI/IntelliDrive/ApplUI/Pages/CreativePages/CustomReportCreativeDetail.aspx?App=23&amp;ReportView=4&amp;Qid=1711279&amp;Row=22331&amp;Col=1","No Title Assigned - #15280787196")</f>
        <v/>
      </c>
      <c r="B22339" s="0" t="s">
        <v>29734</v>
      </c>
      <c r="C22339" s="0" t="s">
        <v>29735</v>
      </c>
      <c r="D22339" s="0" t="s">
        <v>29735</v>
      </c>
      <c r="E22339" s="0" t="inlineStr">
        <is>
          <t xml:space="preserve">Mazda</t>
        </is>
      </c>
      <c r="F22339" s="0" t="s">
        <v>13</v>
      </c>
      <c r="G22339" s="0" t="s">
        <v>49</v>
      </c>
      <c r="H22339" s="5">
        <v>354.688300</v>
      </c>
    </row>
    <row r="22340" spans="1:9">
      <c r="A22340" s="22" t="str">
        <f>HYPERLINK("https://app.vivvix.com/360/KMI/IntelliDrive/ApplUI/Pages/CreativePages/CustomReportCreativeDetail.aspx?App=23&amp;ReportView=4&amp;Qid=1711279&amp;Row=22332&amp;Col=1","No Title Assigned - #15280787507")</f>
        <v/>
      </c>
      <c r="B22340" s="0" t="s">
        <v>29736</v>
      </c>
      <c r="C22340" s="0" t="s">
        <v>29737</v>
      </c>
      <c r="D22340" s="0" t="s">
        <v>29737</v>
      </c>
      <c r="E22340" s="0" t="inlineStr">
        <is>
          <t xml:space="preserve">Mazda</t>
        </is>
      </c>
      <c r="F22340" s="0" t="s">
        <v>13</v>
      </c>
      <c r="G22340" s="0" t="s">
        <v>49</v>
      </c>
      <c r="H22340" s="5">
        <v>202.792200</v>
      </c>
    </row>
    <row r="22341" spans="1:9">
      <c r="A22341" s="22" t="str">
        <f>HYPERLINK("https://app.vivvix.com/360/KMI/IntelliDrive/ApplUI/Pages/CreativePages/CustomReportCreativeDetail.aspx?App=23&amp;ReportView=4&amp;Qid=1711279&amp;Row=22333&amp;Col=1","No Title Assigned - #15280787667")</f>
        <v/>
      </c>
      <c r="B22341" s="0" t="s">
        <v>29738</v>
      </c>
      <c r="C22341" s="0" t="s">
        <v>29739</v>
      </c>
      <c r="D22341" s="0" t="s">
        <v>29739</v>
      </c>
      <c r="E22341" s="0" t="inlineStr">
        <is>
          <t xml:space="preserve">Mazda</t>
        </is>
      </c>
      <c r="F22341" s="0" t="s">
        <v>13</v>
      </c>
      <c r="G22341" s="0" t="s">
        <v>49</v>
      </c>
      <c r="H22341" s="5">
        <v>17.799600</v>
      </c>
    </row>
    <row r="22342" spans="1:9">
      <c r="A22342" s="22" t="str">
        <f>HYPERLINK("https://app.vivvix.com/360/KMI/IntelliDrive/ApplUI/Pages/CreativePages/CustomReportCreativeDetail.aspx?App=23&amp;ReportView=4&amp;Qid=1711279&amp;Row=22334&amp;Col=1","No Title Assigned - #15280787698")</f>
        <v/>
      </c>
      <c r="B22342" s="0" t="s">
        <v>29740</v>
      </c>
      <c r="C22342" s="0" t="s">
        <v>29741</v>
      </c>
      <c r="D22342" s="0" t="s">
        <v>29741</v>
      </c>
      <c r="E22342" s="0" t="inlineStr">
        <is>
          <t xml:space="preserve">Mazda</t>
        </is>
      </c>
      <c r="F22342" s="0" t="s">
        <v>13</v>
      </c>
      <c r="G22342" s="0" t="s">
        <v>49</v>
      </c>
      <c r="H22342" s="5">
        <v>97.470200</v>
      </c>
    </row>
    <row r="22343" spans="1:9">
      <c r="A22343" s="22" t="str">
        <f>HYPERLINK("https://app.vivvix.com/360/KMI/IntelliDrive/ApplUI/Pages/CreativePages/CustomReportCreativeDetail.aspx?App=23&amp;ReportView=4&amp;Qid=1711279&amp;Row=22335&amp;Col=1","No Title Assigned - #15280787796")</f>
        <v/>
      </c>
      <c r="B22343" s="0" t="s">
        <v>29742</v>
      </c>
      <c r="C22343" s="0" t="s">
        <v>29743</v>
      </c>
      <c r="D22343" s="0" t="s">
        <v>15819</v>
      </c>
      <c r="E22343" s="0" t="inlineStr">
        <is>
          <t xml:space="preserve">Mazda</t>
        </is>
      </c>
      <c r="F22343" s="0" t="s">
        <v>13</v>
      </c>
      <c r="G22343" s="0" t="s">
        <v>49</v>
      </c>
      <c r="H22343" s="5">
        <v>7.292400</v>
      </c>
    </row>
    <row r="22344" spans="1:9">
      <c r="A22344" s="22" t="str">
        <f>HYPERLINK("https://app.vivvix.com/360/KMI/IntelliDrive/ApplUI/Pages/CreativePages/CustomReportCreativeDetail.aspx?App=23&amp;ReportView=4&amp;Qid=1711279&amp;Row=22336&amp;Col=1","No Title Assigned - #15280788945")</f>
        <v/>
      </c>
      <c r="B22344" s="0" t="s">
        <v>29744</v>
      </c>
      <c r="C22344" s="0" t="s">
        <v>29745</v>
      </c>
      <c r="D22344" s="0" t="s">
        <v>29745</v>
      </c>
      <c r="E22344" s="0" t="inlineStr">
        <is>
          <t xml:space="preserve">Mazda</t>
        </is>
      </c>
      <c r="F22344" s="0" t="inlineStr">
        <is>
          <t xml:space="preserve">Mazda</t>
        </is>
      </c>
      <c r="G22344" s="0" t="s">
        <v>210</v>
      </c>
      <c r="H22344" s="5">
        <v>5576.794700</v>
      </c>
    </row>
    <row r="22345" spans="1:9">
      <c r="A22345" s="22" t="str">
        <f>HYPERLINK("https://app.vivvix.com/360/KMI/IntelliDrive/ApplUI/Pages/CreativePages/CustomReportCreativeDetail.aspx?App=23&amp;ReportView=4&amp;Qid=1711279&amp;Row=22337&amp;Col=1","No Title Assigned - #15280790052")</f>
        <v/>
      </c>
      <c r="B22345" s="0" t="s">
        <v>29746</v>
      </c>
      <c r="C22345" s="0" t="s">
        <v>29747</v>
      </c>
      <c r="D22345" s="0" t="s">
        <v>27877</v>
      </c>
      <c r="E22345" s="0" t="inlineStr">
        <is>
          <t xml:space="preserve">Mazda</t>
        </is>
      </c>
      <c r="F22345" s="0" t="s">
        <v>13</v>
      </c>
      <c r="G22345" s="0" t="s">
        <v>49</v>
      </c>
      <c r="H22345" s="5">
        <v>251.873200</v>
      </c>
    </row>
    <row r="22346" spans="1:9">
      <c r="A22346" s="22" t="str">
        <f>HYPERLINK("https://app.vivvix.com/360/KMI/IntelliDrive/ApplUI/Pages/CreativePages/CustomReportCreativeDetail.aspx?App=23&amp;ReportView=4&amp;Qid=1711279&amp;Row=22338&amp;Col=1","No Title Assigned - #15280790971")</f>
        <v/>
      </c>
      <c r="B22346" s="0" t="s">
        <v>29748</v>
      </c>
      <c r="C22346" s="0" t="s">
        <v>29749</v>
      </c>
      <c r="D22346" s="0" t="s">
        <v>10770</v>
      </c>
      <c r="E22346" s="0" t="inlineStr">
        <is>
          <t xml:space="preserve">Mazda</t>
        </is>
      </c>
      <c r="F22346" s="0" t="s">
        <v>13</v>
      </c>
      <c r="G22346" s="0" t="s">
        <v>49</v>
      </c>
      <c r="H22346" s="5">
        <v>7.916500</v>
      </c>
    </row>
    <row r="22347" spans="1:9">
      <c r="A22347" s="22" t="str">
        <f>HYPERLINK("https://app.vivvix.com/360/KMI/IntelliDrive/ApplUI/Pages/CreativePages/CustomReportCreativeDetail.aspx?App=23&amp;ReportView=4&amp;Qid=1711279&amp;Row=22339&amp;Col=1","No Title Assigned - #15280791179")</f>
        <v/>
      </c>
      <c r="B22347" s="0" t="s">
        <v>29750</v>
      </c>
      <c r="C22347" s="0" t="s">
        <v>29751</v>
      </c>
      <c r="D22347" s="0" t="s">
        <v>9167</v>
      </c>
      <c r="E22347" s="0" t="inlineStr">
        <is>
          <t xml:space="preserve">Mazda</t>
        </is>
      </c>
      <c r="F22347" s="0" t="s">
        <v>13</v>
      </c>
      <c r="G22347" s="0" t="s">
        <v>49</v>
      </c>
      <c r="H22347" s="5">
        <v>811.956000</v>
      </c>
    </row>
    <row r="22348" spans="1:9">
      <c r="A22348" s="22" t="str">
        <f>HYPERLINK("https://app.vivvix.com/360/KMI/IntelliDrive/ApplUI/Pages/CreativePages/CustomReportCreativeDetail.aspx?App=23&amp;ReportView=4&amp;Qid=1711279&amp;Row=22340&amp;Col=1","No Title Assigned - #15280798881")</f>
        <v/>
      </c>
      <c r="B22348" s="0" t="s">
        <v>29752</v>
      </c>
      <c r="C22348" s="0" t="s">
        <v>29753</v>
      </c>
      <c r="D22348" s="0" t="s">
        <v>9167</v>
      </c>
      <c r="E22348" s="0" t="inlineStr">
        <is>
          <t xml:space="preserve">Mazda</t>
        </is>
      </c>
      <c r="F22348" s="0" t="s">
        <v>13</v>
      </c>
      <c r="G22348" s="0" t="s">
        <v>49</v>
      </c>
      <c r="H22348" s="5">
        <v>7.292400</v>
      </c>
    </row>
    <row r="22349" spans="1:9">
      <c r="A22349" s="22" t="str">
        <f>HYPERLINK("https://app.vivvix.com/360/KMI/IntelliDrive/ApplUI/Pages/CreativePages/CustomReportCreativeDetail.aspx?App=23&amp;ReportView=4&amp;Qid=1711279&amp;Row=22341&amp;Col=1","No Title Assigned - #15280799488")</f>
        <v/>
      </c>
      <c r="B22349" s="0" t="s">
        <v>29754</v>
      </c>
      <c r="C22349" s="0" t="s">
        <v>29755</v>
      </c>
      <c r="D22349" s="0" t="s">
        <v>23394</v>
      </c>
      <c r="E22349" s="0" t="inlineStr">
        <is>
          <t xml:space="preserve">Mazda</t>
        </is>
      </c>
      <c r="F22349" s="0" t="s">
        <v>13</v>
      </c>
      <c r="G22349" s="0" t="s">
        <v>49</v>
      </c>
      <c r="H22349" s="5">
        <v>1218.269300</v>
      </c>
    </row>
    <row r="22350" spans="1:9">
      <c r="A22350" s="22" t="str">
        <f>HYPERLINK("https://app.vivvix.com/360/KMI/IntelliDrive/ApplUI/Pages/CreativePages/CustomReportCreativeDetail.aspx?App=23&amp;ReportView=4&amp;Qid=1711279&amp;Row=22342&amp;Col=1","No Title Assigned - #15280801585")</f>
        <v/>
      </c>
      <c r="B22350" s="0" t="s">
        <v>29756</v>
      </c>
      <c r="C22350" s="0" t="s">
        <v>29757</v>
      </c>
      <c r="D22350" s="0" t="s">
        <v>11639</v>
      </c>
      <c r="E22350" s="0" t="inlineStr">
        <is>
          <t xml:space="preserve">Mazda</t>
        </is>
      </c>
      <c r="F22350" s="0" t="s">
        <v>13</v>
      </c>
      <c r="G22350" s="0" t="s">
        <v>49</v>
      </c>
      <c r="H22350" s="5">
        <v>28.367400</v>
      </c>
    </row>
    <row r="22351" spans="1:9">
      <c r="A22351" s="22" t="str">
        <f>HYPERLINK("https://app.vivvix.com/360/KMI/IntelliDrive/ApplUI/Pages/CreativePages/CustomReportCreativeDetail.aspx?App=23&amp;ReportView=4&amp;Qid=1711279&amp;Row=22343&amp;Col=1","No Title Assigned - #15280803789")</f>
        <v/>
      </c>
      <c r="B22351" s="0" t="s">
        <v>29758</v>
      </c>
      <c r="C22351" s="0" t="s">
        <v>29759</v>
      </c>
      <c r="D22351" s="0" t="s">
        <v>29759</v>
      </c>
      <c r="E22351" s="0" t="inlineStr">
        <is>
          <t xml:space="preserve">Mazda</t>
        </is>
      </c>
      <c r="F22351" s="0" t="s">
        <v>13</v>
      </c>
      <c r="G22351" s="0" t="s">
        <v>49</v>
      </c>
      <c r="H22351" s="5">
        <v>3.943100</v>
      </c>
    </row>
    <row r="22352" spans="1:9">
      <c r="A22352" s="22" t="str">
        <f>HYPERLINK("https://app.vivvix.com/360/KMI/IntelliDrive/ApplUI/Pages/CreativePages/CustomReportCreativeDetail.aspx?App=23&amp;ReportView=4&amp;Qid=1711279&amp;Row=22344&amp;Col=1","No Title Assigned - #15280804348")</f>
        <v/>
      </c>
      <c r="B22352" s="0" t="s">
        <v>29760</v>
      </c>
      <c r="C22352" s="0" t="s">
        <v>29761</v>
      </c>
      <c r="D22352" s="0" t="s">
        <v>29761</v>
      </c>
      <c r="E22352" s="0" t="inlineStr">
        <is>
          <t xml:space="preserve">Mazda</t>
        </is>
      </c>
      <c r="F22352" s="0" t="s">
        <v>13</v>
      </c>
      <c r="G22352" s="0" t="s">
        <v>49</v>
      </c>
      <c r="H22352" s="5">
        <v>161.868400</v>
      </c>
    </row>
    <row r="22353" spans="1:9">
      <c r="A22353" s="22" t="str">
        <f>HYPERLINK("https://app.vivvix.com/360/KMI/IntelliDrive/ApplUI/Pages/CreativePages/CustomReportCreativeDetail.aspx?App=23&amp;ReportView=4&amp;Qid=1711279&amp;Row=22345&amp;Col=1","No Title Assigned - #15280805731")</f>
        <v/>
      </c>
      <c r="B22353" s="0" t="s">
        <v>29762</v>
      </c>
      <c r="C22353" s="0" t="s">
        <v>29763</v>
      </c>
      <c r="D22353" s="0" t="s">
        <v>11420</v>
      </c>
      <c r="E22353" s="0" t="inlineStr">
        <is>
          <t xml:space="preserve">Mazda</t>
        </is>
      </c>
      <c r="F22353" s="0" t="s">
        <v>13</v>
      </c>
      <c r="G22353" s="0" t="s">
        <v>49</v>
      </c>
      <c r="H22353" s="5">
        <v>131.265300</v>
      </c>
    </row>
    <row r="22354" spans="1:9">
      <c r="A22354" s="22" t="str">
        <f>HYPERLINK("https://app.vivvix.com/360/KMI/IntelliDrive/ApplUI/Pages/CreativePages/CustomReportCreativeDetail.aspx?App=23&amp;ReportView=4&amp;Qid=1711279&amp;Row=22346&amp;Col=1","No Title Assigned - #15280806108")</f>
        <v/>
      </c>
      <c r="B22354" s="0" t="s">
        <v>29764</v>
      </c>
      <c r="C22354" s="0" t="s">
        <v>29765</v>
      </c>
      <c r="D22354" s="0" t="s">
        <v>21598</v>
      </c>
      <c r="E22354" s="0" t="inlineStr">
        <is>
          <t xml:space="preserve">Mazda</t>
        </is>
      </c>
      <c r="F22354" s="0" t="s">
        <v>13</v>
      </c>
      <c r="G22354" s="0" t="s">
        <v>49</v>
      </c>
      <c r="H22354" s="5">
        <v>679.764600</v>
      </c>
    </row>
    <row r="22355" spans="1:9">
      <c r="A22355" s="22" t="str">
        <f>HYPERLINK("https://app.vivvix.com/360/KMI/IntelliDrive/ApplUI/Pages/CreativePages/CustomReportCreativeDetail.aspx?App=23&amp;ReportView=4&amp;Qid=1711279&amp;Row=22347&amp;Col=1","No Title Assigned - #15280806270")</f>
        <v/>
      </c>
      <c r="B22355" s="0" t="s">
        <v>29766</v>
      </c>
      <c r="C22355" s="0" t="s">
        <v>29767</v>
      </c>
      <c r="D22355" s="0" t="s">
        <v>4335</v>
      </c>
      <c r="E22355" s="0" t="inlineStr">
        <is>
          <t xml:space="preserve">Mazda</t>
        </is>
      </c>
      <c r="F22355" s="0" t="s">
        <v>13</v>
      </c>
      <c r="G22355" s="0" t="s">
        <v>49</v>
      </c>
      <c r="H22355" s="5">
        <v>1240.664600</v>
      </c>
    </row>
    <row r="22356" spans="1:9">
      <c r="A22356" s="22" t="str">
        <f>HYPERLINK("https://app.vivvix.com/360/KMI/IntelliDrive/ApplUI/Pages/CreativePages/CustomReportCreativeDetail.aspx?App=23&amp;ReportView=4&amp;Qid=1711279&amp;Row=22348&amp;Col=1","No Title Assigned - #15280806891")</f>
        <v/>
      </c>
      <c r="B22356" s="0" t="s">
        <v>29768</v>
      </c>
      <c r="C22356" s="0" t="s">
        <v>29769</v>
      </c>
      <c r="D22356" s="0" t="s">
        <v>9167</v>
      </c>
      <c r="E22356" s="0" t="inlineStr">
        <is>
          <t xml:space="preserve">Mazda</t>
        </is>
      </c>
      <c r="F22356" s="0" t="s">
        <v>13</v>
      </c>
      <c r="G22356" s="0" t="s">
        <v>49</v>
      </c>
      <c r="H22356" s="5">
        <v>193.938900</v>
      </c>
    </row>
    <row r="22357" spans="1:9">
      <c r="A22357" s="22" t="str">
        <f>HYPERLINK("https://app.vivvix.com/360/KMI/IntelliDrive/ApplUI/Pages/CreativePages/CustomReportCreativeDetail.aspx?App=23&amp;ReportView=4&amp;Qid=1711279&amp;Row=22349&amp;Col=1","No Title Assigned - #15280807002")</f>
        <v/>
      </c>
      <c r="B22357" s="0" t="s">
        <v>29770</v>
      </c>
      <c r="C22357" s="0" t="s">
        <v>29771</v>
      </c>
      <c r="D22357" s="0" t="s">
        <v>29771</v>
      </c>
      <c r="E22357" s="0" t="inlineStr">
        <is>
          <t xml:space="preserve">Mazda</t>
        </is>
      </c>
      <c r="F22357" s="0" t="s">
        <v>13</v>
      </c>
      <c r="G22357" s="0" t="s">
        <v>49</v>
      </c>
      <c r="H22357" s="5">
        <v>66.635200</v>
      </c>
    </row>
    <row r="22358" spans="1:9">
      <c r="A22358" s="22" t="str">
        <f>HYPERLINK("https://app.vivvix.com/360/KMI/IntelliDrive/ApplUI/Pages/CreativePages/CustomReportCreativeDetail.aspx?App=23&amp;ReportView=4&amp;Qid=1711279&amp;Row=22350&amp;Col=1","No Title Assigned - #15280808152")</f>
        <v/>
      </c>
      <c r="B22358" s="0" t="s">
        <v>29772</v>
      </c>
      <c r="C22358" s="0" t="s">
        <v>29773</v>
      </c>
      <c r="D22358" s="0" t="s">
        <v>29773</v>
      </c>
      <c r="E22358" s="0" t="inlineStr">
        <is>
          <t xml:space="preserve">Mazda</t>
        </is>
      </c>
      <c r="F22358" s="0" t="s">
        <v>13</v>
      </c>
      <c r="G22358" s="0" t="s">
        <v>49</v>
      </c>
      <c r="H22358" s="5">
        <v>119.369800</v>
      </c>
    </row>
    <row r="22359" spans="1:9">
      <c r="A22359" s="22" t="str">
        <f>HYPERLINK("https://app.vivvix.com/360/KMI/IntelliDrive/ApplUI/Pages/CreativePages/CustomReportCreativeDetail.aspx?App=23&amp;ReportView=4&amp;Qid=1711279&amp;Row=22351&amp;Col=1","No Title Assigned - #15280808153")</f>
        <v/>
      </c>
      <c r="B22359" s="0" t="s">
        <v>29774</v>
      </c>
      <c r="C22359" s="0" t="s">
        <v>29775</v>
      </c>
      <c r="D22359" s="0" t="s">
        <v>29775</v>
      </c>
      <c r="E22359" s="0" t="inlineStr">
        <is>
          <t xml:space="preserve">Mazda</t>
        </is>
      </c>
      <c r="F22359" s="0" t="s">
        <v>13</v>
      </c>
      <c r="G22359" s="0" t="s">
        <v>49</v>
      </c>
      <c r="H22359" s="5">
        <v>119.369800</v>
      </c>
    </row>
    <row r="22360" spans="1:9">
      <c r="A22360" s="22" t="str">
        <f>HYPERLINK("https://app.vivvix.com/360/KMI/IntelliDrive/ApplUI/Pages/CreativePages/CustomReportCreativeDetail.aspx?App=23&amp;ReportView=4&amp;Qid=1711279&amp;Row=22352&amp;Col=1","No Title Assigned - #15280808876")</f>
        <v/>
      </c>
      <c r="B22360" s="0" t="s">
        <v>29776</v>
      </c>
      <c r="C22360" s="0" t="s">
        <v>29777</v>
      </c>
      <c r="D22360" s="0" t="s">
        <v>29777</v>
      </c>
      <c r="E22360" s="0" t="inlineStr">
        <is>
          <t xml:space="preserve">Mazda</t>
        </is>
      </c>
      <c r="F22360" s="0" t="s">
        <v>28</v>
      </c>
      <c r="G22360" s="0" t="s">
        <v>29</v>
      </c>
      <c r="H22360" s="5">
        <v>2787.688600</v>
      </c>
    </row>
    <row r="22361" spans="1:9">
      <c r="A22361" s="22" t="str">
        <f>HYPERLINK("https://app.vivvix.com/360/KMI/IntelliDrive/ApplUI/Pages/CreativePages/CustomReportCreativeDetail.aspx?App=23&amp;ReportView=4&amp;Qid=1711279&amp;Row=22353&amp;Col=1","No Title Assigned - #15280809876")</f>
        <v/>
      </c>
      <c r="B22361" s="0" t="s">
        <v>29778</v>
      </c>
      <c r="E22361" s="0" t="inlineStr">
        <is>
          <t xml:space="preserve">Mazda</t>
        </is>
      </c>
      <c r="F22361" s="0" t="inlineStr">
        <is>
          <t xml:space="preserve">Mazda</t>
        </is>
      </c>
      <c r="G22361" s="0" t="s">
        <v>171</v>
      </c>
      <c r="H22361" s="5">
        <v>544.984900</v>
      </c>
    </row>
    <row r="22362" spans="1:9">
      <c r="A22362" s="22" t="str">
        <f>HYPERLINK("https://app.vivvix.com/360/KMI/IntelliDrive/ApplUI/Pages/CreativePages/CustomReportCreativeDetail.aspx?App=23&amp;ReportView=4&amp;Qid=1711279&amp;Row=22354&amp;Col=1","No Title Assigned - #15280810640")</f>
        <v/>
      </c>
      <c r="B22362" s="0" t="s">
        <v>29779</v>
      </c>
      <c r="E22362" s="0" t="inlineStr">
        <is>
          <t xml:space="preserve">Mazda</t>
        </is>
      </c>
      <c r="F22362" s="0" t="inlineStr">
        <is>
          <t xml:space="preserve">Mazda</t>
        </is>
      </c>
      <c r="G22362" s="0" t="s">
        <v>171</v>
      </c>
      <c r="H22362" s="5">
        <v>246.912200</v>
      </c>
    </row>
    <row r="22363" spans="1:9">
      <c r="A22363" s="22" t="str">
        <f>HYPERLINK("https://app.vivvix.com/360/KMI/IntelliDrive/ApplUI/Pages/CreativePages/CustomReportCreativeDetail.aspx?App=23&amp;ReportView=4&amp;Qid=1711279&amp;Row=22355&amp;Col=1","No Title Assigned - #15280811538")</f>
        <v/>
      </c>
      <c r="B22363" s="0" t="s">
        <v>29780</v>
      </c>
      <c r="E22363" s="0" t="inlineStr">
        <is>
          <t xml:space="preserve">Mazda</t>
        </is>
      </c>
      <c r="F22363" s="0" t="inlineStr">
        <is>
          <t xml:space="preserve">Mazda</t>
        </is>
      </c>
      <c r="G22363" s="0" t="s">
        <v>171</v>
      </c>
      <c r="H22363" s="5">
        <v>45.774000</v>
      </c>
    </row>
    <row r="22364" spans="1:9">
      <c r="A22364" s="22" t="str">
        <f>HYPERLINK("https://app.vivvix.com/360/KMI/IntelliDrive/ApplUI/Pages/CreativePages/CustomReportCreativeDetail.aspx?App=23&amp;ReportView=4&amp;Qid=1711279&amp;Row=22356&amp;Col=1","No Title Assigned - #15280811620")</f>
        <v/>
      </c>
      <c r="B22364" s="0" t="s">
        <v>29781</v>
      </c>
      <c r="E22364" s="0" t="inlineStr">
        <is>
          <t xml:space="preserve">Mazda</t>
        </is>
      </c>
      <c r="F22364" s="0" t="inlineStr">
        <is>
          <t xml:space="preserve">Mazda</t>
        </is>
      </c>
      <c r="G22364" s="0" t="s">
        <v>171</v>
      </c>
      <c r="H22364" s="5">
        <v>290.697300</v>
      </c>
    </row>
    <row r="22365" spans="1:9">
      <c r="A22365" s="22" t="str">
        <f>HYPERLINK("https://app.vivvix.com/360/KMI/IntelliDrive/ApplUI/Pages/CreativePages/CustomReportCreativeDetail.aspx?App=23&amp;ReportView=4&amp;Qid=1711279&amp;Row=22357&amp;Col=1","No Title Assigned - #15280811713")</f>
        <v/>
      </c>
      <c r="B22365" s="0" t="s">
        <v>29782</v>
      </c>
      <c r="E22365" s="0" t="inlineStr">
        <is>
          <t xml:space="preserve">Mazda</t>
        </is>
      </c>
      <c r="F22365" s="0" t="inlineStr">
        <is>
          <t xml:space="preserve">Mazda</t>
        </is>
      </c>
      <c r="G22365" s="0" t="s">
        <v>171</v>
      </c>
      <c r="H22365" s="5">
        <v>56.680700</v>
      </c>
    </row>
    <row r="22366" spans="1:9">
      <c r="A22366" s="22" t="str">
        <f>HYPERLINK("https://app.vivvix.com/360/KMI/IntelliDrive/ApplUI/Pages/CreativePages/CustomReportCreativeDetail.aspx?App=23&amp;ReportView=4&amp;Qid=1711279&amp;Row=22358&amp;Col=1","No Title Assigned - #15280811785")</f>
        <v/>
      </c>
      <c r="B22366" s="0" t="s">
        <v>29783</v>
      </c>
      <c r="E22366" s="0" t="inlineStr">
        <is>
          <t xml:space="preserve">Mazda</t>
        </is>
      </c>
      <c r="F22366" s="0" t="inlineStr">
        <is>
          <t xml:space="preserve">Mazda</t>
        </is>
      </c>
      <c r="G22366" s="0" t="s">
        <v>171</v>
      </c>
      <c r="H22366" s="5">
        <v>405.023200</v>
      </c>
    </row>
    <row r="22367" spans="1:9">
      <c r="A22367" s="22" t="str">
        <f>HYPERLINK("https://app.vivvix.com/360/KMI/IntelliDrive/ApplUI/Pages/CreativePages/CustomReportCreativeDetail.aspx?App=23&amp;ReportView=4&amp;Qid=1711279&amp;Row=22359&amp;Col=1","No Title Assigned - #15280811983")</f>
        <v/>
      </c>
      <c r="B22367" s="0" t="s">
        <v>29784</v>
      </c>
      <c r="E22367" s="0" t="inlineStr">
        <is>
          <t xml:space="preserve">Mazda</t>
        </is>
      </c>
      <c r="F22367" s="0" t="inlineStr">
        <is>
          <t xml:space="preserve">Mazda</t>
        </is>
      </c>
      <c r="G22367" s="0" t="s">
        <v>171</v>
      </c>
      <c r="H22367" s="5">
        <v>6509.736500</v>
      </c>
    </row>
    <row r="22368" spans="1:9">
      <c r="A22368" s="22" t="str">
        <f>HYPERLINK("https://app.vivvix.com/360/KMI/IntelliDrive/ApplUI/Pages/CreativePages/CustomReportCreativeDetail.aspx?App=23&amp;ReportView=4&amp;Qid=1711279&amp;Row=22360&amp;Col=1","No Title Assigned - #15280812108")</f>
        <v/>
      </c>
      <c r="B22368" s="0" t="s">
        <v>29785</v>
      </c>
      <c r="E22368" s="0" t="inlineStr">
        <is>
          <t xml:space="preserve">Mazda</t>
        </is>
      </c>
      <c r="F22368" s="0" t="inlineStr">
        <is>
          <t xml:space="preserve">Mazda</t>
        </is>
      </c>
      <c r="G22368" s="0" t="s">
        <v>171</v>
      </c>
      <c r="H22368" s="5">
        <v>81.729100</v>
      </c>
    </row>
    <row r="22369" spans="1:9">
      <c r="A22369" s="22" t="str">
        <f>HYPERLINK("https://app.vivvix.com/360/KMI/IntelliDrive/ApplUI/Pages/CreativePages/CustomReportCreativeDetail.aspx?App=23&amp;ReportView=4&amp;Qid=1711279&amp;Row=22361&amp;Col=1","No Title Assigned - #15280812506")</f>
        <v/>
      </c>
      <c r="B22369" s="0" t="s">
        <v>29786</v>
      </c>
      <c r="C22369" s="0" t="s">
        <v>29787</v>
      </c>
      <c r="D22369" s="0" t="s">
        <v>9167</v>
      </c>
      <c r="E22369" s="0" t="inlineStr">
        <is>
          <t xml:space="preserve">Mazda</t>
        </is>
      </c>
      <c r="F22369" s="0" t="s">
        <v>13</v>
      </c>
      <c r="G22369" s="0" t="s">
        <v>49</v>
      </c>
      <c r="H22369" s="5">
        <v>211.308000</v>
      </c>
    </row>
    <row r="22370" spans="1:9">
      <c r="A22370" s="22" t="str">
        <f>HYPERLINK("https://app.vivvix.com/360/KMI/IntelliDrive/ApplUI/Pages/CreativePages/CustomReportCreativeDetail.aspx?App=23&amp;ReportView=4&amp;Qid=1711279&amp;Row=22362&amp;Col=1","No Title Assigned - #15280812970")</f>
        <v/>
      </c>
      <c r="B22370" s="0" t="s">
        <v>29788</v>
      </c>
      <c r="E22370" s="0" t="inlineStr">
        <is>
          <t xml:space="preserve">Mazda</t>
        </is>
      </c>
      <c r="F22370" s="0" t="inlineStr">
        <is>
          <t xml:space="preserve">Mazda</t>
        </is>
      </c>
      <c r="G22370" s="0" t="s">
        <v>171</v>
      </c>
      <c r="H22370" s="5">
        <v>939.953600</v>
      </c>
    </row>
    <row r="22371" spans="1:9">
      <c r="A22371" s="22" t="str">
        <f>HYPERLINK("https://app.vivvix.com/360/KMI/IntelliDrive/ApplUI/Pages/CreativePages/CustomReportCreativeDetail.aspx?App=23&amp;ReportView=4&amp;Qid=1711279&amp;Row=22363&amp;Col=1","No Title Assigned - #15280813090")</f>
        <v/>
      </c>
      <c r="B22371" s="0" t="s">
        <v>29789</v>
      </c>
      <c r="E22371" s="0" t="inlineStr">
        <is>
          <t xml:space="preserve">Mazda</t>
        </is>
      </c>
      <c r="F22371" s="0" t="inlineStr">
        <is>
          <t xml:space="preserve">Mazda</t>
        </is>
      </c>
      <c r="G22371" s="0" t="s">
        <v>171</v>
      </c>
      <c r="H22371" s="5">
        <v>100.285200</v>
      </c>
    </row>
    <row r="22372" spans="1:9">
      <c r="A22372" s="22" t="str">
        <f>HYPERLINK("https://app.vivvix.com/360/KMI/IntelliDrive/ApplUI/Pages/CreativePages/CustomReportCreativeDetail.aspx?App=23&amp;ReportView=4&amp;Qid=1711279&amp;Row=22364&amp;Col=1","No Title Assigned - #15280813418")</f>
        <v/>
      </c>
      <c r="B22372" s="0" t="s">
        <v>29790</v>
      </c>
      <c r="E22372" s="0" t="inlineStr">
        <is>
          <t xml:space="preserve">Mazda</t>
        </is>
      </c>
      <c r="F22372" s="0" t="inlineStr">
        <is>
          <t xml:space="preserve">Mazda</t>
        </is>
      </c>
      <c r="G22372" s="0" t="s">
        <v>171</v>
      </c>
      <c r="H22372" s="5">
        <v>1.517600</v>
      </c>
    </row>
    <row r="22373" spans="1:9">
      <c r="A22373" s="22" t="str">
        <f>HYPERLINK("https://app.vivvix.com/360/KMI/IntelliDrive/ApplUI/Pages/CreativePages/CustomReportCreativeDetail.aspx?App=23&amp;ReportView=4&amp;Qid=1711279&amp;Row=22365&amp;Col=1","No Title Assigned - #15280813737")</f>
        <v/>
      </c>
      <c r="B22373" s="0" t="s">
        <v>29791</v>
      </c>
      <c r="E22373" s="0" t="inlineStr">
        <is>
          <t xml:space="preserve">Mazda</t>
        </is>
      </c>
      <c r="F22373" s="0" t="inlineStr">
        <is>
          <t xml:space="preserve">Mazda</t>
        </is>
      </c>
      <c r="G22373" s="0" t="s">
        <v>171</v>
      </c>
      <c r="H22373" s="5">
        <v>832.624600</v>
      </c>
    </row>
    <row r="22374" spans="1:9">
      <c r="A22374" s="22" t="str">
        <f>HYPERLINK("https://app.vivvix.com/360/KMI/IntelliDrive/ApplUI/Pages/CreativePages/CustomReportCreativeDetail.aspx?App=23&amp;ReportView=4&amp;Qid=1711279&amp;Row=22366&amp;Col=1","No Title Assigned - #15280814255")</f>
        <v/>
      </c>
      <c r="B22374" s="0" t="s">
        <v>29792</v>
      </c>
      <c r="E22374" s="0" t="inlineStr">
        <is>
          <t xml:space="preserve">Mazda</t>
        </is>
      </c>
      <c r="F22374" s="0" t="inlineStr">
        <is>
          <t xml:space="preserve">Mazda</t>
        </is>
      </c>
      <c r="G22374" s="0" t="s">
        <v>171</v>
      </c>
      <c r="H22374" s="5">
        <v>4644.976300</v>
      </c>
    </row>
    <row r="22375" spans="1:9">
      <c r="A22375" s="22" t="str">
        <f>HYPERLINK("https://app.vivvix.com/360/KMI/IntelliDrive/ApplUI/Pages/CreativePages/CustomReportCreativeDetail.aspx?App=23&amp;ReportView=4&amp;Qid=1711279&amp;Row=22367&amp;Col=1","No Title Assigned - #15280814412")</f>
        <v/>
      </c>
      <c r="B22375" s="0" t="s">
        <v>29793</v>
      </c>
      <c r="E22375" s="0" t="inlineStr">
        <is>
          <t xml:space="preserve">Mazda</t>
        </is>
      </c>
      <c r="F22375" s="0" t="inlineStr">
        <is>
          <t xml:space="preserve">Mazda</t>
        </is>
      </c>
      <c r="G22375" s="0" t="s">
        <v>171</v>
      </c>
      <c r="H22375" s="5">
        <v>27.831800</v>
      </c>
    </row>
    <row r="22376" spans="1:9">
      <c r="A22376" s="22" t="str">
        <f>HYPERLINK("https://app.vivvix.com/360/KMI/IntelliDrive/ApplUI/Pages/CreativePages/CustomReportCreativeDetail.aspx?App=23&amp;ReportView=4&amp;Qid=1711279&amp;Row=22368&amp;Col=1","No Title Assigned - #15280814572")</f>
        <v/>
      </c>
      <c r="B22376" s="0" t="s">
        <v>29794</v>
      </c>
      <c r="E22376" s="0" t="inlineStr">
        <is>
          <t xml:space="preserve">Mazda</t>
        </is>
      </c>
      <c r="F22376" s="0" t="inlineStr">
        <is>
          <t xml:space="preserve">Mazda</t>
        </is>
      </c>
      <c r="G22376" s="0" t="s">
        <v>171</v>
      </c>
      <c r="H22376" s="5">
        <v>605.594200</v>
      </c>
    </row>
    <row r="22377" spans="1:9">
      <c r="A22377" s="22" t="str">
        <f>HYPERLINK("https://app.vivvix.com/360/KMI/IntelliDrive/ApplUI/Pages/CreativePages/CustomReportCreativeDetail.aspx?App=23&amp;ReportView=4&amp;Qid=1711279&amp;Row=22369&amp;Col=1","No Title Assigned - #15280814838")</f>
        <v/>
      </c>
      <c r="B22377" s="0" t="s">
        <v>29795</v>
      </c>
      <c r="E22377" s="0" t="inlineStr">
        <is>
          <t xml:space="preserve">Mazda</t>
        </is>
      </c>
      <c r="F22377" s="0" t="s">
        <v>204</v>
      </c>
      <c r="G22377" s="0" t="s">
        <v>205</v>
      </c>
      <c r="H22377" s="5">
        <v>620.520000</v>
      </c>
    </row>
    <row r="22378" spans="1:9">
      <c r="A22378" s="22" t="str">
        <f>HYPERLINK("https://app.vivvix.com/360/KMI/IntelliDrive/ApplUI/Pages/CreativePages/CustomReportCreativeDetail.aspx?App=23&amp;ReportView=4&amp;Qid=1711279&amp;Row=22370&amp;Col=1","No Title Assigned - #15280814940")</f>
        <v/>
      </c>
      <c r="B22378" s="0" t="s">
        <v>29796</v>
      </c>
      <c r="E22378" s="0" t="inlineStr">
        <is>
          <t xml:space="preserve">Mazda</t>
        </is>
      </c>
      <c r="F22378" s="0" t="inlineStr">
        <is>
          <t xml:space="preserve">Mazda</t>
        </is>
      </c>
      <c r="G22378" s="0" t="s">
        <v>171</v>
      </c>
      <c r="H22378" s="5">
        <v>120.082300</v>
      </c>
    </row>
    <row r="22379" spans="1:9">
      <c r="A22379" s="22" t="str">
        <f>HYPERLINK("https://app.vivvix.com/360/KMI/IntelliDrive/ApplUI/Pages/CreativePages/CustomReportCreativeDetail.aspx?App=23&amp;ReportView=4&amp;Qid=1711279&amp;Row=22371&amp;Col=1","No Title Assigned - #15280815089")</f>
        <v/>
      </c>
      <c r="B22379" s="0" t="s">
        <v>29797</v>
      </c>
      <c r="E22379" s="0" t="inlineStr">
        <is>
          <t xml:space="preserve">Mazda</t>
        </is>
      </c>
      <c r="F22379" s="0" t="inlineStr">
        <is>
          <t xml:space="preserve">Mazda</t>
        </is>
      </c>
      <c r="G22379" s="0" t="s">
        <v>171</v>
      </c>
      <c r="H22379" s="5">
        <v>111.289600</v>
      </c>
    </row>
    <row r="22380" spans="1:9">
      <c r="A22380" s="22" t="str">
        <f>HYPERLINK("https://app.vivvix.com/360/KMI/IntelliDrive/ApplUI/Pages/CreativePages/CustomReportCreativeDetail.aspx?App=23&amp;ReportView=4&amp;Qid=1711279&amp;Row=22372&amp;Col=1","No Title Assigned - #15280815140")</f>
        <v/>
      </c>
      <c r="B22380" s="0" t="s">
        <v>29798</v>
      </c>
      <c r="E22380" s="0" t="inlineStr">
        <is>
          <t xml:space="preserve">Mazda</t>
        </is>
      </c>
      <c r="F22380" s="0" t="inlineStr">
        <is>
          <t xml:space="preserve">Mazda</t>
        </is>
      </c>
      <c r="G22380" s="0" t="s">
        <v>171</v>
      </c>
      <c r="H22380" s="5">
        <v>215.416500</v>
      </c>
    </row>
    <row r="22381" spans="1:9">
      <c r="A22381" s="22" t="str">
        <f>HYPERLINK("https://app.vivvix.com/360/KMI/IntelliDrive/ApplUI/Pages/CreativePages/CustomReportCreativeDetail.aspx?App=23&amp;ReportView=4&amp;Qid=1711279&amp;Row=22373&amp;Col=1","No Title Assigned - #15280816052")</f>
        <v/>
      </c>
      <c r="B22381" s="0" t="s">
        <v>29799</v>
      </c>
      <c r="E22381" s="0" t="inlineStr">
        <is>
          <t xml:space="preserve">Mazda</t>
        </is>
      </c>
      <c r="F22381" s="0" t="inlineStr">
        <is>
          <t xml:space="preserve">Mazda</t>
        </is>
      </c>
      <c r="G22381" s="0" t="s">
        <v>171</v>
      </c>
      <c r="H22381" s="5">
        <v>9874.285200</v>
      </c>
    </row>
    <row r="22382" spans="1:9">
      <c r="A22382" s="22" t="str">
        <f>HYPERLINK("https://app.vivvix.com/360/KMI/IntelliDrive/ApplUI/Pages/CreativePages/CustomReportCreativeDetail.aspx?App=23&amp;ReportView=4&amp;Qid=1711279&amp;Row=22374&amp;Col=1","No Title Assigned - #15280816566")</f>
        <v/>
      </c>
      <c r="B22382" s="0" t="s">
        <v>29800</v>
      </c>
      <c r="E22382" s="0" t="inlineStr">
        <is>
          <t xml:space="preserve">Mazda</t>
        </is>
      </c>
      <c r="F22382" s="0" t="inlineStr">
        <is>
          <t xml:space="preserve">Mazda</t>
        </is>
      </c>
      <c r="G22382" s="0" t="s">
        <v>171</v>
      </c>
      <c r="H22382" s="5">
        <v>4980.316500</v>
      </c>
    </row>
    <row r="22383" spans="1:9">
      <c r="A22383" s="22" t="str">
        <f>HYPERLINK("https://app.vivvix.com/360/KMI/IntelliDrive/ApplUI/Pages/CreativePages/CustomReportCreativeDetail.aspx?App=23&amp;ReportView=4&amp;Qid=1711279&amp;Row=22375&amp;Col=1","No Title Assigned - #15280817267")</f>
        <v/>
      </c>
      <c r="B22383" s="0" t="s">
        <v>29801</v>
      </c>
      <c r="E22383" s="0" t="inlineStr">
        <is>
          <t xml:space="preserve">Mazda</t>
        </is>
      </c>
      <c r="F22383" s="0" t="inlineStr">
        <is>
          <t xml:space="preserve">Mazda</t>
        </is>
      </c>
      <c r="G22383" s="0" t="s">
        <v>171</v>
      </c>
      <c r="H22383" s="5">
        <v>316.643500</v>
      </c>
    </row>
    <row r="22384" spans="1:9">
      <c r="A22384" s="22" t="str">
        <f>HYPERLINK("https://app.vivvix.com/360/KMI/IntelliDrive/ApplUI/Pages/CreativePages/CustomReportCreativeDetail.aspx?App=23&amp;ReportView=4&amp;Qid=1711279&amp;Row=22376&amp;Col=1","No Title Assigned - #15280818299")</f>
        <v/>
      </c>
      <c r="B22384" s="0" t="s">
        <v>29802</v>
      </c>
      <c r="E22384" s="0" t="inlineStr">
        <is>
          <t xml:space="preserve">Mazda</t>
        </is>
      </c>
      <c r="F22384" s="0" t="inlineStr">
        <is>
          <t xml:space="preserve">Mazda</t>
        </is>
      </c>
      <c r="G22384" s="0" t="s">
        <v>171</v>
      </c>
      <c r="H22384" s="5">
        <v>753.836600</v>
      </c>
    </row>
    <row r="22385" spans="1:9">
      <c r="A22385" s="22" t="str">
        <f>HYPERLINK("https://app.vivvix.com/360/KMI/IntelliDrive/ApplUI/Pages/CreativePages/CustomReportCreativeDetail.aspx?App=23&amp;ReportView=4&amp;Qid=1711279&amp;Row=22377&amp;Col=1","No Title Assigned - #15280818666")</f>
        <v/>
      </c>
      <c r="B22385" s="0" t="s">
        <v>29803</v>
      </c>
      <c r="E22385" s="0" t="inlineStr">
        <is>
          <t xml:space="preserve">Mazda</t>
        </is>
      </c>
      <c r="F22385" s="0" t="inlineStr">
        <is>
          <t xml:space="preserve">Mazda</t>
        </is>
      </c>
      <c r="G22385" s="0" t="s">
        <v>171</v>
      </c>
      <c r="H22385" s="5">
        <v>5.735300</v>
      </c>
    </row>
    <row r="22386" spans="1:9">
      <c r="A22386" s="22" t="str">
        <f>HYPERLINK("https://app.vivvix.com/360/KMI/IntelliDrive/ApplUI/Pages/CreativePages/CustomReportCreativeDetail.aspx?App=23&amp;ReportView=4&amp;Qid=1711279&amp;Row=22378&amp;Col=1","No Title Assigned - #15280818869")</f>
        <v/>
      </c>
      <c r="B22386" s="0" t="s">
        <v>29804</v>
      </c>
      <c r="E22386" s="0" t="inlineStr">
        <is>
          <t xml:space="preserve">Mazda</t>
        </is>
      </c>
      <c r="F22386" s="0" t="inlineStr">
        <is>
          <t xml:space="preserve">Mazda</t>
        </is>
      </c>
      <c r="G22386" s="0" t="s">
        <v>171</v>
      </c>
      <c r="H22386" s="5">
        <v>372.664200</v>
      </c>
    </row>
    <row r="22387" spans="1:9">
      <c r="A22387" s="22" t="str">
        <f>HYPERLINK("https://app.vivvix.com/360/KMI/IntelliDrive/ApplUI/Pages/CreativePages/CustomReportCreativeDetail.aspx?App=23&amp;ReportView=4&amp;Qid=1711279&amp;Row=22379&amp;Col=1","No Title Assigned - #15280819927")</f>
        <v/>
      </c>
      <c r="B22387" s="0" t="s">
        <v>29805</v>
      </c>
      <c r="E22387" s="0" t="inlineStr">
        <is>
          <t xml:space="preserve">Mazda</t>
        </is>
      </c>
      <c r="F22387" s="0" t="inlineStr">
        <is>
          <t xml:space="preserve">Mazda</t>
        </is>
      </c>
      <c r="G22387" s="0" t="s">
        <v>171</v>
      </c>
      <c r="H22387" s="5">
        <v>23.866200</v>
      </c>
    </row>
    <row r="22388" spans="1:9">
      <c r="A22388" s="22" t="str">
        <f>HYPERLINK("https://app.vivvix.com/360/KMI/IntelliDrive/ApplUI/Pages/CreativePages/CustomReportCreativeDetail.aspx?App=23&amp;ReportView=4&amp;Qid=1711279&amp;Row=22380&amp;Col=1","No Title Assigned - #15280820023")</f>
        <v/>
      </c>
      <c r="B22388" s="0" t="s">
        <v>29806</v>
      </c>
      <c r="C22388" s="0" t="s">
        <v>29807</v>
      </c>
      <c r="D22388" s="0" t="s">
        <v>29807</v>
      </c>
      <c r="E22388" s="0" t="inlineStr">
        <is>
          <t xml:space="preserve">Mazda</t>
        </is>
      </c>
      <c r="F22388" s="0" t="inlineStr">
        <is>
          <t xml:space="preserve">Mazda</t>
        </is>
      </c>
      <c r="G22388" s="0" t="s">
        <v>171</v>
      </c>
      <c r="H22388" s="5">
        <v>10550.295000</v>
      </c>
    </row>
    <row r="22389" spans="1:9">
      <c r="A22389" s="22" t="str">
        <f>HYPERLINK("https://app.vivvix.com/360/KMI/IntelliDrive/ApplUI/Pages/CreativePages/CustomReportCreativeDetail.aspx?App=23&amp;ReportView=4&amp;Qid=1711279&amp;Row=22381&amp;Col=1","No Title Assigned - #15280820680")</f>
        <v/>
      </c>
      <c r="B22389" s="0" t="s">
        <v>29808</v>
      </c>
      <c r="C22389" s="0" t="s">
        <v>29809</v>
      </c>
      <c r="D22389" s="0" t="s">
        <v>29809</v>
      </c>
      <c r="E22389" s="0" t="inlineStr">
        <is>
          <t xml:space="preserve">Mazda</t>
        </is>
      </c>
      <c r="F22389" s="0" t="inlineStr">
        <is>
          <t xml:space="preserve">Mazda</t>
        </is>
      </c>
      <c r="G22389" s="0" t="s">
        <v>171</v>
      </c>
      <c r="H22389" s="5">
        <v>12028.894600</v>
      </c>
    </row>
    <row r="22390" spans="1:9">
      <c r="A22390" s="22" t="str">
        <f>HYPERLINK("https://app.vivvix.com/360/KMI/IntelliDrive/ApplUI/Pages/CreativePages/CustomReportCreativeDetail.aspx?App=23&amp;ReportView=4&amp;Qid=1711279&amp;Row=22382&amp;Col=1","No Title Assigned - #15280821521")</f>
        <v/>
      </c>
      <c r="B22390" s="0" t="s">
        <v>29810</v>
      </c>
      <c r="E22390" s="0" t="inlineStr">
        <is>
          <t xml:space="preserve">Mazda</t>
        </is>
      </c>
      <c r="F22390" s="0" t="inlineStr">
        <is>
          <t xml:space="preserve">Mazda</t>
        </is>
      </c>
      <c r="G22390" s="0" t="s">
        <v>171</v>
      </c>
      <c r="H22390" s="5">
        <v>215.433300</v>
      </c>
    </row>
    <row r="22391" spans="1:9">
      <c r="A22391" s="22" t="str">
        <f>HYPERLINK("https://app.vivvix.com/360/KMI/IntelliDrive/ApplUI/Pages/CreativePages/CustomReportCreativeDetail.aspx?App=23&amp;ReportView=4&amp;Qid=1711279&amp;Row=22383&amp;Col=1","No Title Assigned - #15280821664")</f>
        <v/>
      </c>
      <c r="B22391" s="0" t="s">
        <v>29811</v>
      </c>
      <c r="E22391" s="0" t="inlineStr">
        <is>
          <t xml:space="preserve">Mazda</t>
        </is>
      </c>
      <c r="F22391" s="0" t="inlineStr">
        <is>
          <t xml:space="preserve">Mazda</t>
        </is>
      </c>
      <c r="G22391" s="0" t="s">
        <v>171</v>
      </c>
      <c r="H22391" s="5">
        <v>537.683800</v>
      </c>
    </row>
    <row r="22392" spans="1:9">
      <c r="A22392" s="22" t="str">
        <f>HYPERLINK("https://app.vivvix.com/360/KMI/IntelliDrive/ApplUI/Pages/CreativePages/CustomReportCreativeDetail.aspx?App=23&amp;ReportView=4&amp;Qid=1711279&amp;Row=22384&amp;Col=1","No Title Assigned - #15280821712")</f>
        <v/>
      </c>
      <c r="B22392" s="0" t="s">
        <v>29812</v>
      </c>
      <c r="E22392" s="0" t="inlineStr">
        <is>
          <t xml:space="preserve">Mazda</t>
        </is>
      </c>
      <c r="F22392" s="0" t="inlineStr">
        <is>
          <t xml:space="preserve">Mazda</t>
        </is>
      </c>
      <c r="G22392" s="0" t="s">
        <v>171</v>
      </c>
      <c r="H22392" s="5">
        <v>183.939300</v>
      </c>
    </row>
    <row r="22393" spans="1:9">
      <c r="A22393" s="22" t="str">
        <f>HYPERLINK("https://app.vivvix.com/360/KMI/IntelliDrive/ApplUI/Pages/CreativePages/CustomReportCreativeDetail.aspx?App=23&amp;ReportView=4&amp;Qid=1711279&amp;Row=22385&amp;Col=1","No Title Assigned - #15280822618")</f>
        <v/>
      </c>
      <c r="B22393" s="0" t="s">
        <v>29813</v>
      </c>
      <c r="E22393" s="0" t="inlineStr">
        <is>
          <t xml:space="preserve">Mazda</t>
        </is>
      </c>
      <c r="F22393" s="0" t="inlineStr">
        <is>
          <t xml:space="preserve">Mazda</t>
        </is>
      </c>
      <c r="G22393" s="0" t="s">
        <v>171</v>
      </c>
      <c r="H22393" s="5">
        <v>280.073600</v>
      </c>
    </row>
    <row r="22394" spans="1:9">
      <c r="A22394" s="22" t="str">
        <f>HYPERLINK("https://app.vivvix.com/360/KMI/IntelliDrive/ApplUI/Pages/CreativePages/CustomReportCreativeDetail.aspx?App=23&amp;ReportView=4&amp;Qid=1711279&amp;Row=22386&amp;Col=1","No Title Assigned - #15280824310")</f>
        <v/>
      </c>
      <c r="B22394" s="0" t="s">
        <v>29814</v>
      </c>
      <c r="E22394" s="0" t="inlineStr">
        <is>
          <t xml:space="preserve">Mazda</t>
        </is>
      </c>
      <c r="F22394" s="0" t="inlineStr">
        <is>
          <t xml:space="preserve">Mazda</t>
        </is>
      </c>
      <c r="G22394" s="0" t="s">
        <v>171</v>
      </c>
      <c r="H22394" s="5">
        <v>25.375400</v>
      </c>
    </row>
    <row r="22395" spans="1:9">
      <c r="A22395" s="22" t="str">
        <f>HYPERLINK("https://app.vivvix.com/360/KMI/IntelliDrive/ApplUI/Pages/CreativePages/CustomReportCreativeDetail.aspx?App=23&amp;ReportView=4&amp;Qid=1711279&amp;Row=22387&amp;Col=1","No Title Assigned - #15280824906")</f>
        <v/>
      </c>
      <c r="B22395" s="0" t="s">
        <v>29815</v>
      </c>
      <c r="E22395" s="0" t="inlineStr">
        <is>
          <t xml:space="preserve">Mazda</t>
        </is>
      </c>
      <c r="F22395" s="0" t="inlineStr">
        <is>
          <t xml:space="preserve">Mazda</t>
        </is>
      </c>
      <c r="G22395" s="0" t="s">
        <v>171</v>
      </c>
      <c r="H22395" s="5">
        <v>529.617600</v>
      </c>
    </row>
    <row r="22396" spans="1:9">
      <c r="A22396" s="22" t="str">
        <f>HYPERLINK("https://app.vivvix.com/360/KMI/IntelliDrive/ApplUI/Pages/CreativePages/CustomReportCreativeDetail.aspx?App=23&amp;ReportView=4&amp;Qid=1711279&amp;Row=22388&amp;Col=1","No Title Assigned - #15280825052")</f>
        <v/>
      </c>
      <c r="B22396" s="0" t="s">
        <v>29816</v>
      </c>
      <c r="E22396" s="0" t="inlineStr">
        <is>
          <t xml:space="preserve">Mazda</t>
        </is>
      </c>
      <c r="F22396" s="0" t="inlineStr">
        <is>
          <t xml:space="preserve">Mazda</t>
        </is>
      </c>
      <c r="G22396" s="0" t="s">
        <v>171</v>
      </c>
      <c r="H22396" s="5">
        <v>1.517600</v>
      </c>
    </row>
    <row r="22397" spans="1:9">
      <c r="A22397" s="22" t="str">
        <f>HYPERLINK("https://app.vivvix.com/360/KMI/IntelliDrive/ApplUI/Pages/CreativePages/CustomReportCreativeDetail.aspx?App=23&amp;ReportView=4&amp;Qid=1711279&amp;Row=22389&amp;Col=1","No Title Assigned - #15280825754")</f>
        <v/>
      </c>
      <c r="B22397" s="0" t="s">
        <v>29817</v>
      </c>
      <c r="E22397" s="0" t="inlineStr">
        <is>
          <t xml:space="preserve">Mazda</t>
        </is>
      </c>
      <c r="F22397" s="0" t="inlineStr">
        <is>
          <t xml:space="preserve">Mazda</t>
        </is>
      </c>
      <c r="G22397" s="0" t="s">
        <v>171</v>
      </c>
      <c r="H22397" s="5">
        <v>642.653800</v>
      </c>
    </row>
    <row r="22398" spans="1:9">
      <c r="A22398" s="22" t="str">
        <f>HYPERLINK("https://app.vivvix.com/360/KMI/IntelliDrive/ApplUI/Pages/CreativePages/CustomReportCreativeDetail.aspx?App=23&amp;ReportView=4&amp;Qid=1711279&amp;Row=22390&amp;Col=1","No Title Assigned - #15280825757")</f>
        <v/>
      </c>
      <c r="B22398" s="0" t="s">
        <v>29818</v>
      </c>
      <c r="E22398" s="0" t="inlineStr">
        <is>
          <t xml:space="preserve">Mazda</t>
        </is>
      </c>
      <c r="F22398" s="0" t="inlineStr">
        <is>
          <t xml:space="preserve">Mazda</t>
        </is>
      </c>
      <c r="G22398" s="0" t="s">
        <v>171</v>
      </c>
      <c r="H22398" s="5">
        <v>5.735300</v>
      </c>
    </row>
    <row r="22399" spans="1:9">
      <c r="A22399" s="22" t="str">
        <f>HYPERLINK("https://app.vivvix.com/360/KMI/IntelliDrive/ApplUI/Pages/CreativePages/CustomReportCreativeDetail.aspx?App=23&amp;ReportView=4&amp;Qid=1711279&amp;Row=22391&amp;Col=1","No Title Assigned - #15280825792")</f>
        <v/>
      </c>
      <c r="B22399" s="0" t="s">
        <v>29819</v>
      </c>
      <c r="E22399" s="0" t="inlineStr">
        <is>
          <t xml:space="preserve">Mazda</t>
        </is>
      </c>
      <c r="F22399" s="0" t="inlineStr">
        <is>
          <t xml:space="preserve">Mazda</t>
        </is>
      </c>
      <c r="G22399" s="0" t="s">
        <v>171</v>
      </c>
      <c r="H22399" s="5">
        <v>931.576200</v>
      </c>
    </row>
    <row r="22400" spans="1:9">
      <c r="A22400" s="22" t="str">
        <f>HYPERLINK("https://app.vivvix.com/360/KMI/IntelliDrive/ApplUI/Pages/CreativePages/CustomReportCreativeDetail.aspx?App=23&amp;ReportView=4&amp;Qid=1711279&amp;Row=22392&amp;Col=1","No Title Assigned - #15280827296")</f>
        <v/>
      </c>
      <c r="B22400" s="0" t="s">
        <v>29820</v>
      </c>
      <c r="E22400" s="0" t="inlineStr">
        <is>
          <t xml:space="preserve">Mazda</t>
        </is>
      </c>
      <c r="F22400" s="0" t="inlineStr">
        <is>
          <t xml:space="preserve">Mazda</t>
        </is>
      </c>
      <c r="G22400" s="0" t="s">
        <v>171</v>
      </c>
      <c r="H22400" s="5">
        <v>2.297700</v>
      </c>
    </row>
    <row r="22401" spans="1:9">
      <c r="A22401" s="22" t="str">
        <f>HYPERLINK("https://app.vivvix.com/360/KMI/IntelliDrive/ApplUI/Pages/CreativePages/CustomReportCreativeDetail.aspx?App=23&amp;ReportView=4&amp;Qid=1711279&amp;Row=22393&amp;Col=1","No Title Assigned - #15280827683")</f>
        <v/>
      </c>
      <c r="B22401" s="0" t="s">
        <v>29821</v>
      </c>
      <c r="E22401" s="0" t="inlineStr">
        <is>
          <t xml:space="preserve">Mazda</t>
        </is>
      </c>
      <c r="F22401" s="0" t="inlineStr">
        <is>
          <t xml:space="preserve">Mazda</t>
        </is>
      </c>
      <c r="G22401" s="0" t="s">
        <v>171</v>
      </c>
      <c r="H22401" s="5">
        <v>129.456500</v>
      </c>
    </row>
    <row r="22402" spans="1:9">
      <c r="A22402" s="22" t="str">
        <f>HYPERLINK("https://app.vivvix.com/360/KMI/IntelliDrive/ApplUI/Pages/CreativePages/CustomReportCreativeDetail.aspx?App=23&amp;ReportView=4&amp;Qid=1711279&amp;Row=22394&amp;Col=1","No Title Assigned - #15280827945")</f>
        <v/>
      </c>
      <c r="B22402" s="0" t="s">
        <v>29822</v>
      </c>
      <c r="E22402" s="0" t="inlineStr">
        <is>
          <t xml:space="preserve">Mazda</t>
        </is>
      </c>
      <c r="F22402" s="0" t="inlineStr">
        <is>
          <t xml:space="preserve">Mazda</t>
        </is>
      </c>
      <c r="G22402" s="0" t="s">
        <v>171</v>
      </c>
      <c r="H22402" s="5">
        <v>38.005600</v>
      </c>
    </row>
    <row r="22403" spans="1:9">
      <c r="A22403" s="22" t="str">
        <f>HYPERLINK("https://app.vivvix.com/360/KMI/IntelliDrive/ApplUI/Pages/CreativePages/CustomReportCreativeDetail.aspx?App=23&amp;ReportView=4&amp;Qid=1711279&amp;Row=22395&amp;Col=1","No Title Assigned - #15280828825")</f>
        <v/>
      </c>
      <c r="B22403" s="0" t="s">
        <v>29823</v>
      </c>
      <c r="C22403" s="0" t="s">
        <v>29824</v>
      </c>
      <c r="D22403" s="0" t="s">
        <v>4774</v>
      </c>
      <c r="E22403" s="0" t="inlineStr">
        <is>
          <t xml:space="preserve">Mazda</t>
        </is>
      </c>
      <c r="F22403" s="0" t="s">
        <v>13</v>
      </c>
      <c r="G22403" s="0" t="s">
        <v>49</v>
      </c>
      <c r="H22403" s="5">
        <v>598.320900</v>
      </c>
    </row>
    <row r="22404" spans="1:9">
      <c r="A22404" s="22" t="str">
        <f>HYPERLINK("https://app.vivvix.com/360/KMI/IntelliDrive/ApplUI/Pages/CreativePages/CustomReportCreativeDetail.aspx?App=23&amp;ReportView=4&amp;Qid=1711279&amp;Row=22396&amp;Col=1","No Title Assigned - #15280828997")</f>
        <v/>
      </c>
      <c r="B22404" s="0" t="s">
        <v>29825</v>
      </c>
      <c r="C22404" s="0" t="s">
        <v>29826</v>
      </c>
      <c r="D22404" s="0" t="s">
        <v>29826</v>
      </c>
      <c r="E22404" s="0" t="inlineStr">
        <is>
          <t xml:space="preserve">Mazda</t>
        </is>
      </c>
      <c r="F22404" s="0" t="s">
        <v>13</v>
      </c>
      <c r="G22404" s="0" t="s">
        <v>49</v>
      </c>
      <c r="H22404" s="5">
        <v>1418.677800</v>
      </c>
    </row>
    <row r="22405" spans="1:9">
      <c r="A22405" s="22" t="str">
        <f>HYPERLINK("https://app.vivvix.com/360/KMI/IntelliDrive/ApplUI/Pages/CreativePages/CustomReportCreativeDetail.aspx?App=23&amp;ReportView=4&amp;Qid=1711279&amp;Row=22397&amp;Col=1","No Title Assigned - #15280829160")</f>
        <v/>
      </c>
      <c r="B22405" s="0" t="s">
        <v>29827</v>
      </c>
      <c r="C22405" s="0" t="s">
        <v>29828</v>
      </c>
      <c r="D22405" s="0" t="s">
        <v>29828</v>
      </c>
      <c r="E22405" s="0" t="inlineStr">
        <is>
          <t xml:space="preserve">Mazda</t>
        </is>
      </c>
      <c r="F22405" s="0" t="s">
        <v>13</v>
      </c>
      <c r="G22405" s="0" t="s">
        <v>49</v>
      </c>
      <c r="H22405" s="5">
        <v>817.736700</v>
      </c>
    </row>
    <row r="22406" spans="1:9">
      <c r="A22406" s="22" t="str">
        <f>HYPERLINK("https://app.vivvix.com/360/KMI/IntelliDrive/ApplUI/Pages/CreativePages/CustomReportCreativeDetail.aspx?App=23&amp;ReportView=4&amp;Qid=1711279&amp;Row=22398&amp;Col=1","No Title Assigned - #15280829180")</f>
        <v/>
      </c>
      <c r="B22406" s="0" t="s">
        <v>29829</v>
      </c>
      <c r="C22406" s="0" t="s">
        <v>29830</v>
      </c>
      <c r="D22406" s="0" t="s">
        <v>29830</v>
      </c>
      <c r="E22406" s="0" t="inlineStr">
        <is>
          <t xml:space="preserve">Mazda</t>
        </is>
      </c>
      <c r="F22406" s="0" t="s">
        <v>13</v>
      </c>
      <c r="G22406" s="0" t="s">
        <v>49</v>
      </c>
      <c r="H22406" s="5">
        <v>365.397400</v>
      </c>
    </row>
    <row r="22407" spans="1:9">
      <c r="A22407" s="22" t="str">
        <f>HYPERLINK("https://app.vivvix.com/360/KMI/IntelliDrive/ApplUI/Pages/CreativePages/CustomReportCreativeDetail.aspx?App=23&amp;ReportView=4&amp;Qid=1711279&amp;Row=22399&amp;Col=1","No Title Assigned - #15280829220")</f>
        <v/>
      </c>
      <c r="B22407" s="0" t="s">
        <v>29831</v>
      </c>
      <c r="C22407" s="0" t="s">
        <v>29832</v>
      </c>
      <c r="D22407" s="0" t="s">
        <v>9167</v>
      </c>
      <c r="E22407" s="0" t="inlineStr">
        <is>
          <t xml:space="preserve">Mazda</t>
        </is>
      </c>
      <c r="F22407" s="0" t="s">
        <v>13</v>
      </c>
      <c r="G22407" s="0" t="s">
        <v>49</v>
      </c>
      <c r="H22407" s="5">
        <v>645.918600</v>
      </c>
    </row>
    <row r="22408" spans="1:9">
      <c r="A22408" s="22" t="str">
        <f>HYPERLINK("https://app.vivvix.com/360/KMI/IntelliDrive/ApplUI/Pages/CreativePages/CustomReportCreativeDetail.aspx?App=23&amp;ReportView=4&amp;Qid=1711279&amp;Row=22400&amp;Col=1","No Title Assigned - #15280829317")</f>
        <v/>
      </c>
      <c r="B22408" s="0" t="s">
        <v>29833</v>
      </c>
      <c r="C22408" s="0" t="s">
        <v>29834</v>
      </c>
      <c r="D22408" s="0" t="s">
        <v>4335</v>
      </c>
      <c r="E22408" s="0" t="inlineStr">
        <is>
          <t xml:space="preserve">Mazda</t>
        </is>
      </c>
      <c r="F22408" s="0" t="s">
        <v>13</v>
      </c>
      <c r="G22408" s="0" t="s">
        <v>49</v>
      </c>
      <c r="H22408" s="5">
        <v>5345.400500</v>
      </c>
    </row>
    <row r="22409" spans="1:9">
      <c r="A22409" s="22" t="str">
        <f>HYPERLINK("https://app.vivvix.com/360/KMI/IntelliDrive/ApplUI/Pages/CreativePages/CustomReportCreativeDetail.aspx?App=23&amp;ReportView=4&amp;Qid=1711279&amp;Row=22401&amp;Col=1","No Title Assigned - #15280829332")</f>
        <v/>
      </c>
      <c r="B22409" s="0" t="s">
        <v>29835</v>
      </c>
      <c r="C22409" s="0" t="s">
        <v>29836</v>
      </c>
      <c r="D22409" s="0" t="s">
        <v>29836</v>
      </c>
      <c r="E22409" s="0" t="inlineStr">
        <is>
          <t xml:space="preserve">Mazda</t>
        </is>
      </c>
      <c r="F22409" s="0" t="s">
        <v>13</v>
      </c>
      <c r="G22409" s="0" t="s">
        <v>49</v>
      </c>
      <c r="H22409" s="5">
        <v>55.729900</v>
      </c>
    </row>
    <row r="22410" spans="1:9">
      <c r="A22410" s="22" t="str">
        <f>HYPERLINK("https://app.vivvix.com/360/KMI/IntelliDrive/ApplUI/Pages/CreativePages/CustomReportCreativeDetail.aspx?App=23&amp;ReportView=4&amp;Qid=1711279&amp;Row=22402&amp;Col=1","No Title Assigned - #15280829352")</f>
        <v/>
      </c>
      <c r="B22410" s="0" t="s">
        <v>29837</v>
      </c>
      <c r="C22410" s="0" t="s">
        <v>29838</v>
      </c>
      <c r="D22410" s="0" t="s">
        <v>9167</v>
      </c>
      <c r="E22410" s="0" t="inlineStr">
        <is>
          <t xml:space="preserve">Mazda</t>
        </is>
      </c>
      <c r="F22410" s="0" t="s">
        <v>13</v>
      </c>
      <c r="G22410" s="0" t="s">
        <v>49</v>
      </c>
      <c r="H22410" s="5">
        <v>65.256900</v>
      </c>
    </row>
    <row r="22411" spans="1:9">
      <c r="A22411" s="22" t="str">
        <f>HYPERLINK("https://app.vivvix.com/360/KMI/IntelliDrive/ApplUI/Pages/CreativePages/CustomReportCreativeDetail.aspx?App=23&amp;ReportView=4&amp;Qid=1711279&amp;Row=22403&amp;Col=1","No Title Assigned - #15280829519")</f>
        <v/>
      </c>
      <c r="B22411" s="0" t="s">
        <v>29839</v>
      </c>
      <c r="E22411" s="0" t="inlineStr">
        <is>
          <t xml:space="preserve">Mazda</t>
        </is>
      </c>
      <c r="F22411" s="0" t="s">
        <v>13</v>
      </c>
      <c r="G22411" s="0" t="s">
        <v>49</v>
      </c>
      <c r="H22411" s="5">
        <v>873.889100</v>
      </c>
    </row>
    <row r="22412" spans="1:9">
      <c r="A22412" s="22" t="str">
        <f>HYPERLINK("https://app.vivvix.com/360/KMI/IntelliDrive/ApplUI/Pages/CreativePages/CustomReportCreativeDetail.aspx?App=23&amp;ReportView=4&amp;Qid=1711279&amp;Row=22404&amp;Col=1","No Title Assigned - #15280829519")</f>
        <v/>
      </c>
      <c r="B22412" s="0" t="s">
        <v>29839</v>
      </c>
      <c r="C22412" s="0" t="s">
        <v>29840</v>
      </c>
      <c r="D22412" s="0" t="s">
        <v>29840</v>
      </c>
      <c r="E22412" s="0" t="inlineStr">
        <is>
          <t xml:space="preserve">Mazda</t>
        </is>
      </c>
      <c r="F22412" s="0" t="s">
        <v>13</v>
      </c>
      <c r="G22412" s="0" t="s">
        <v>49</v>
      </c>
      <c r="H22412" s="5">
        <v>9102.697300</v>
      </c>
    </row>
    <row r="22413" spans="1:9">
      <c r="A22413" s="22" t="str">
        <f>HYPERLINK("https://app.vivvix.com/360/KMI/IntelliDrive/ApplUI/Pages/CreativePages/CustomReportCreativeDetail.aspx?App=23&amp;ReportView=4&amp;Qid=1711279&amp;Row=22405&amp;Col=1","No Title Assigned - #15280829803")</f>
        <v/>
      </c>
      <c r="B22413" s="0" t="s">
        <v>29841</v>
      </c>
      <c r="E22413" s="0" t="inlineStr">
        <is>
          <t xml:space="preserve">Mazda</t>
        </is>
      </c>
      <c r="F22413" s="0" t="s">
        <v>13</v>
      </c>
      <c r="G22413" s="0" t="s">
        <v>49</v>
      </c>
      <c r="H22413" s="5">
        <v>26.022900</v>
      </c>
    </row>
    <row r="22414" spans="1:9">
      <c r="A22414" s="22" t="str">
        <f>HYPERLINK("https://app.vivvix.com/360/KMI/IntelliDrive/ApplUI/Pages/CreativePages/CustomReportCreativeDetail.aspx?App=23&amp;ReportView=4&amp;Qid=1711279&amp;Row=22406&amp;Col=1","No Title Assigned - #15280830186")</f>
        <v/>
      </c>
      <c r="B22414" s="0" t="s">
        <v>29842</v>
      </c>
      <c r="C22414" s="0" t="s">
        <v>29843</v>
      </c>
      <c r="D22414" s="0" t="s">
        <v>17856</v>
      </c>
      <c r="E22414" s="0" t="inlineStr">
        <is>
          <t xml:space="preserve">Mazda</t>
        </is>
      </c>
      <c r="F22414" s="0" t="s">
        <v>13</v>
      </c>
      <c r="G22414" s="0" t="s">
        <v>49</v>
      </c>
      <c r="H22414" s="5">
        <v>9.370700</v>
      </c>
    </row>
    <row r="22415" spans="1:9">
      <c r="A22415" s="22" t="str">
        <f>HYPERLINK("https://app.vivvix.com/360/KMI/IntelliDrive/ApplUI/Pages/CreativePages/CustomReportCreativeDetail.aspx?App=23&amp;ReportView=4&amp;Qid=1711279&amp;Row=22407&amp;Col=1","No Title Assigned - #15280830635")</f>
        <v/>
      </c>
      <c r="B22415" s="0" t="s">
        <v>29844</v>
      </c>
      <c r="C22415" s="0" t="s">
        <v>29845</v>
      </c>
      <c r="D22415" s="0" t="s">
        <v>29845</v>
      </c>
      <c r="E22415" s="0" t="inlineStr">
        <is>
          <t xml:space="preserve">Mazda</t>
        </is>
      </c>
      <c r="F22415" s="0" t="s">
        <v>13</v>
      </c>
      <c r="G22415" s="0" t="s">
        <v>49</v>
      </c>
      <c r="H22415" s="5">
        <v>179.244000</v>
      </c>
    </row>
    <row r="22416" spans="1:9">
      <c r="A22416" s="22" t="str">
        <f>HYPERLINK("https://app.vivvix.com/360/KMI/IntelliDrive/ApplUI/Pages/CreativePages/CustomReportCreativeDetail.aspx?App=23&amp;ReportView=4&amp;Qid=1711279&amp;Row=22408&amp;Col=1","No Title Assigned - #15280830739")</f>
        <v/>
      </c>
      <c r="B22416" s="0" t="s">
        <v>29846</v>
      </c>
      <c r="E22416" s="0" t="inlineStr">
        <is>
          <t xml:space="preserve">Mazda</t>
        </is>
      </c>
      <c r="F22416" s="0" t="s">
        <v>13</v>
      </c>
      <c r="G22416" s="0" t="s">
        <v>49</v>
      </c>
      <c r="H22416" s="5">
        <v>6488.909200</v>
      </c>
    </row>
    <row r="22417" spans="1:9">
      <c r="A22417" s="22" t="str">
        <f>HYPERLINK("https://app.vivvix.com/360/KMI/IntelliDrive/ApplUI/Pages/CreativePages/CustomReportCreativeDetail.aspx?App=23&amp;ReportView=4&amp;Qid=1711279&amp;Row=22409&amp;Col=1","No Title Assigned - #15280830739")</f>
        <v/>
      </c>
      <c r="B22417" s="0" t="s">
        <v>29846</v>
      </c>
      <c r="C22417" s="0" t="s">
        <v>29847</v>
      </c>
      <c r="D22417" s="0" t="s">
        <v>11639</v>
      </c>
      <c r="E22417" s="0" t="inlineStr">
        <is>
          <t xml:space="preserve">Mazda</t>
        </is>
      </c>
      <c r="F22417" s="0" t="s">
        <v>13</v>
      </c>
      <c r="G22417" s="0" t="s">
        <v>49</v>
      </c>
      <c r="H22417" s="5">
        <v>422.197500</v>
      </c>
    </row>
    <row r="22418" spans="1:9">
      <c r="A22418" s="22" t="str">
        <f>HYPERLINK("https://app.vivvix.com/360/KMI/IntelliDrive/ApplUI/Pages/CreativePages/CustomReportCreativeDetail.aspx?App=23&amp;ReportView=4&amp;Qid=1711279&amp;Row=22410&amp;Col=1","No Title Assigned - #15280831431")</f>
        <v/>
      </c>
      <c r="B22418" s="0" t="s">
        <v>29848</v>
      </c>
      <c r="C22418" s="0" t="s">
        <v>29849</v>
      </c>
      <c r="D22418" s="0" t="s">
        <v>4774</v>
      </c>
      <c r="E22418" s="0" t="inlineStr">
        <is>
          <t xml:space="preserve">Mazda</t>
        </is>
      </c>
      <c r="F22418" s="0" t="s">
        <v>13</v>
      </c>
      <c r="G22418" s="0" t="s">
        <v>49</v>
      </c>
      <c r="H22418" s="5">
        <v>1173.431600</v>
      </c>
    </row>
    <row r="22419" spans="1:9">
      <c r="A22419" s="22" t="str">
        <f>HYPERLINK("https://app.vivvix.com/360/KMI/IntelliDrive/ApplUI/Pages/CreativePages/CustomReportCreativeDetail.aspx?App=23&amp;ReportView=4&amp;Qid=1711279&amp;Row=22411&amp;Col=1","No Title Assigned - #15280831471")</f>
        <v/>
      </c>
      <c r="B22419" s="0" t="s">
        <v>29850</v>
      </c>
      <c r="C22419" s="0" t="s">
        <v>29851</v>
      </c>
      <c r="D22419" s="0" t="s">
        <v>29851</v>
      </c>
      <c r="E22419" s="0" t="inlineStr">
        <is>
          <t xml:space="preserve">Mazda</t>
        </is>
      </c>
      <c r="F22419" s="0" t="s">
        <v>115</v>
      </c>
      <c r="G22419" s="0" t="s">
        <v>365</v>
      </c>
      <c r="H22419" s="5">
        <v>234.618900</v>
      </c>
    </row>
    <row r="22420" spans="1:9">
      <c r="A22420" s="22" t="str">
        <f>HYPERLINK("https://app.vivvix.com/360/KMI/IntelliDrive/ApplUI/Pages/CreativePages/CustomReportCreativeDetail.aspx?App=23&amp;ReportView=4&amp;Qid=1711279&amp;Row=22412&amp;Col=1","No Title Assigned - #15280832209")</f>
        <v/>
      </c>
      <c r="B22420" s="0" t="s">
        <v>29852</v>
      </c>
      <c r="E22420" s="0" t="inlineStr">
        <is>
          <t xml:space="preserve">Mazda</t>
        </is>
      </c>
      <c r="F22420" s="0" t="inlineStr">
        <is>
          <t xml:space="preserve">Mazda</t>
        </is>
      </c>
      <c r="G22420" s="0" t="s">
        <v>171</v>
      </c>
      <c r="H22420" s="5">
        <v>2242.303500</v>
      </c>
    </row>
    <row r="22421" spans="1:9">
      <c r="A22421" s="22" t="str">
        <f>HYPERLINK("https://app.vivvix.com/360/KMI/IntelliDrive/ApplUI/Pages/CreativePages/CustomReportCreativeDetail.aspx?App=23&amp;ReportView=4&amp;Qid=1711279&amp;Row=22413&amp;Col=1","No Title Assigned - #15280833502")</f>
        <v/>
      </c>
      <c r="B22421" s="0" t="s">
        <v>29853</v>
      </c>
      <c r="E22421" s="0" t="inlineStr">
        <is>
          <t xml:space="preserve">Mazda</t>
        </is>
      </c>
      <c r="F22421" s="0" t="inlineStr">
        <is>
          <t xml:space="preserve">Mazda</t>
        </is>
      </c>
      <c r="G22421" s="0" t="s">
        <v>171</v>
      </c>
      <c r="H22421" s="5">
        <v>5410.849300</v>
      </c>
    </row>
    <row r="22422" spans="1:9">
      <c r="A22422" s="22" t="str">
        <f>HYPERLINK("https://app.vivvix.com/360/KMI/IntelliDrive/ApplUI/Pages/CreativePages/CustomReportCreativeDetail.aspx?App=23&amp;ReportView=4&amp;Qid=1711279&amp;Row=22414&amp;Col=1","No Title Assigned - #15280833919")</f>
        <v/>
      </c>
      <c r="B22422" s="0" t="s">
        <v>29854</v>
      </c>
      <c r="E22422" s="0" t="inlineStr">
        <is>
          <t xml:space="preserve">Mazda</t>
        </is>
      </c>
      <c r="F22422" s="0" t="inlineStr">
        <is>
          <t xml:space="preserve">Mazda</t>
        </is>
      </c>
      <c r="G22422" s="0" t="s">
        <v>171</v>
      </c>
      <c r="H22422" s="5">
        <v>1.517600</v>
      </c>
    </row>
    <row r="22423" spans="1:9">
      <c r="A22423" s="22" t="str">
        <f>HYPERLINK("https://app.vivvix.com/360/KMI/IntelliDrive/ApplUI/Pages/CreativePages/CustomReportCreativeDetail.aspx?App=23&amp;ReportView=4&amp;Qid=1711279&amp;Row=22415&amp;Col=1","No Title Assigned - #15280834141")</f>
        <v/>
      </c>
      <c r="B22423" s="0" t="s">
        <v>29855</v>
      </c>
      <c r="E22423" s="0" t="inlineStr">
        <is>
          <t xml:space="preserve">Mazda</t>
        </is>
      </c>
      <c r="F22423" s="0" t="inlineStr">
        <is>
          <t xml:space="preserve">Mazda</t>
        </is>
      </c>
      <c r="G22423" s="0" t="s">
        <v>171</v>
      </c>
      <c r="H22423" s="5">
        <v>164.038200</v>
      </c>
    </row>
    <row r="22424" spans="1:9">
      <c r="A22424" s="22" t="str">
        <f>HYPERLINK("https://app.vivvix.com/360/KMI/IntelliDrive/ApplUI/Pages/CreativePages/CustomReportCreativeDetail.aspx?App=23&amp;ReportView=4&amp;Qid=1711279&amp;Row=22416&amp;Col=1","No Title Assigned - #15280834462")</f>
        <v/>
      </c>
      <c r="B22424" s="0" t="s">
        <v>29856</v>
      </c>
      <c r="E22424" s="0" t="inlineStr">
        <is>
          <t xml:space="preserve">Mazda</t>
        </is>
      </c>
      <c r="F22424" s="0" t="inlineStr">
        <is>
          <t xml:space="preserve">Mazda</t>
        </is>
      </c>
      <c r="G22424" s="0" t="s">
        <v>171</v>
      </c>
      <c r="H22424" s="5">
        <v>134.969400</v>
      </c>
    </row>
    <row r="22425" spans="1:9">
      <c r="A22425" s="22" t="str">
        <f>HYPERLINK("https://app.vivvix.com/360/KMI/IntelliDrive/ApplUI/Pages/CreativePages/CustomReportCreativeDetail.aspx?App=23&amp;ReportView=4&amp;Qid=1711279&amp;Row=22417&amp;Col=1","No Title Assigned - #15280834463")</f>
        <v/>
      </c>
      <c r="B22425" s="0" t="s">
        <v>29857</v>
      </c>
      <c r="E22425" s="0" t="inlineStr">
        <is>
          <t xml:space="preserve">Mazda</t>
        </is>
      </c>
      <c r="F22425" s="0" t="inlineStr">
        <is>
          <t xml:space="preserve">Mazda</t>
        </is>
      </c>
      <c r="G22425" s="0" t="s">
        <v>171</v>
      </c>
      <c r="H22425" s="5">
        <v>134.969400</v>
      </c>
    </row>
    <row r="22426" spans="1:9">
      <c r="A22426" s="22" t="str">
        <f>HYPERLINK("https://app.vivvix.com/360/KMI/IntelliDrive/ApplUI/Pages/CreativePages/CustomReportCreativeDetail.aspx?App=23&amp;ReportView=4&amp;Qid=1711279&amp;Row=22418&amp;Col=1","No Title Assigned - #15280834877")</f>
        <v/>
      </c>
      <c r="B22426" s="0" t="s">
        <v>29858</v>
      </c>
      <c r="E22426" s="0" t="inlineStr">
        <is>
          <t xml:space="preserve">Mazda</t>
        </is>
      </c>
      <c r="F22426" s="0" t="inlineStr">
        <is>
          <t xml:space="preserve">Mazda</t>
        </is>
      </c>
      <c r="G22426" s="0" t="s">
        <v>171</v>
      </c>
      <c r="H22426" s="5">
        <v>2188.444100</v>
      </c>
    </row>
    <row r="22427" spans="1:9">
      <c r="A22427" s="22" t="str">
        <f>HYPERLINK("https://app.vivvix.com/360/KMI/IntelliDrive/ApplUI/Pages/CreativePages/CustomReportCreativeDetail.aspx?App=23&amp;ReportView=4&amp;Qid=1711279&amp;Row=22419&amp;Col=1","No Title Assigned - #15280835386")</f>
        <v/>
      </c>
      <c r="B22427" s="0" t="s">
        <v>29859</v>
      </c>
      <c r="E22427" s="0" t="inlineStr">
        <is>
          <t xml:space="preserve">Mazda</t>
        </is>
      </c>
      <c r="F22427" s="0" t="inlineStr">
        <is>
          <t xml:space="preserve">Mazda</t>
        </is>
      </c>
      <c r="G22427" s="0" t="s">
        <v>171</v>
      </c>
      <c r="H22427" s="5">
        <v>5.672900</v>
      </c>
    </row>
    <row r="22428" spans="1:9">
      <c r="A22428" s="22" t="str">
        <f>HYPERLINK("https://app.vivvix.com/360/KMI/IntelliDrive/ApplUI/Pages/CreativePages/CustomReportCreativeDetail.aspx?App=23&amp;ReportView=4&amp;Qid=1711279&amp;Row=22420&amp;Col=1","No Title Assigned - #15280836341")</f>
        <v/>
      </c>
      <c r="B22428" s="0" t="s">
        <v>29860</v>
      </c>
      <c r="E22428" s="0" t="inlineStr">
        <is>
          <t xml:space="preserve">Mazda</t>
        </is>
      </c>
      <c r="F22428" s="0" t="inlineStr">
        <is>
          <t xml:space="preserve">Mazda</t>
        </is>
      </c>
      <c r="G22428" s="0" t="s">
        <v>171</v>
      </c>
      <c r="H22428" s="5">
        <v>55297.789100</v>
      </c>
    </row>
    <row r="22429" spans="1:9">
      <c r="A22429" s="22" t="str">
        <f>HYPERLINK("https://app.vivvix.com/360/KMI/IntelliDrive/ApplUI/Pages/CreativePages/CustomReportCreativeDetail.aspx?App=23&amp;ReportView=4&amp;Qid=1711279&amp;Row=22421&amp;Col=1","No Title Assigned - #15280837337")</f>
        <v/>
      </c>
      <c r="B22429" s="0" t="s">
        <v>29861</v>
      </c>
      <c r="E22429" s="0" t="inlineStr">
        <is>
          <t xml:space="preserve">Mazda</t>
        </is>
      </c>
      <c r="F22429" s="0" t="inlineStr">
        <is>
          <t xml:space="preserve">Mazda</t>
        </is>
      </c>
      <c r="G22429" s="0" t="s">
        <v>171</v>
      </c>
      <c r="H22429" s="5">
        <v>706.741000</v>
      </c>
    </row>
    <row r="22430" spans="1:9">
      <c r="A22430" s="22" t="str">
        <f>HYPERLINK("https://app.vivvix.com/360/KMI/IntelliDrive/ApplUI/Pages/CreativePages/CustomReportCreativeDetail.aspx?App=23&amp;ReportView=4&amp;Qid=1711279&amp;Row=22422&amp;Col=1","No Title Assigned - #15280853490")</f>
        <v/>
      </c>
      <c r="B22430" s="0" t="s">
        <v>29862</v>
      </c>
      <c r="C22430" s="0" t="s">
        <v>29863</v>
      </c>
      <c r="D22430" s="0" t="s">
        <v>15762</v>
      </c>
      <c r="E22430" s="0" t="inlineStr">
        <is>
          <t xml:space="preserve">Mazda</t>
        </is>
      </c>
      <c r="F22430" s="0" t="s">
        <v>13</v>
      </c>
      <c r="G22430" s="0" t="s">
        <v>49</v>
      </c>
      <c r="H22430" s="5">
        <v>4605.255600</v>
      </c>
    </row>
    <row r="22431" spans="1:9">
      <c r="A22431" s="22" t="str">
        <f>HYPERLINK("https://app.vivvix.com/360/KMI/IntelliDrive/ApplUI/Pages/CreativePages/CustomReportCreativeDetail.aspx?App=23&amp;ReportView=4&amp;Qid=1711279&amp;Row=22423&amp;Col=1","No Title Assigned - #15280853490")</f>
        <v/>
      </c>
      <c r="B22431" s="0" t="s">
        <v>29862</v>
      </c>
      <c r="E22431" s="0" t="inlineStr">
        <is>
          <t xml:space="preserve">Mazda</t>
        </is>
      </c>
      <c r="F22431" s="0" t="s">
        <v>13</v>
      </c>
      <c r="G22431" s="0" t="s">
        <v>49</v>
      </c>
      <c r="H22431" s="5">
        <v>17803.858400</v>
      </c>
    </row>
    <row r="22432" spans="1:9">
      <c r="A22432" s="22" t="str">
        <f>HYPERLINK("https://app.vivvix.com/360/KMI/IntelliDrive/ApplUI/Pages/CreativePages/CustomReportCreativeDetail.aspx?App=23&amp;ReportView=4&amp;Qid=1711279&amp;Row=22424&amp;Col=1","No Title Assigned - #15280854502")</f>
        <v/>
      </c>
      <c r="B22432" s="0" t="s">
        <v>29864</v>
      </c>
      <c r="E22432" s="0" t="inlineStr">
        <is>
          <t xml:space="preserve">Mazda</t>
        </is>
      </c>
      <c r="F22432" s="0" t="inlineStr">
        <is>
          <t xml:space="preserve">Mazda</t>
        </is>
      </c>
      <c r="G22432" s="0" t="s">
        <v>171</v>
      </c>
      <c r="H22432" s="5">
        <v>34.721200</v>
      </c>
    </row>
    <row r="22433" spans="1:9">
      <c r="A22433" s="22" t="str">
        <f>HYPERLINK("https://app.vivvix.com/360/KMI/IntelliDrive/ApplUI/Pages/CreativePages/CustomReportCreativeDetail.aspx?App=23&amp;ReportView=4&amp;Qid=1711279&amp;Row=22425&amp;Col=1","No Title Assigned - #15280854659")</f>
        <v/>
      </c>
      <c r="B22433" s="0" t="s">
        <v>29865</v>
      </c>
      <c r="E22433" s="0" t="inlineStr">
        <is>
          <t xml:space="preserve">Mazda</t>
        </is>
      </c>
      <c r="F22433" s="0" t="inlineStr">
        <is>
          <t xml:space="preserve">Mazda</t>
        </is>
      </c>
      <c r="G22433" s="0" t="s">
        <v>171</v>
      </c>
      <c r="H22433" s="5">
        <v>682.720500</v>
      </c>
    </row>
    <row r="22434" spans="1:9">
      <c r="A22434" s="22" t="str">
        <f>HYPERLINK("https://app.vivvix.com/360/KMI/IntelliDrive/ApplUI/Pages/CreativePages/CustomReportCreativeDetail.aspx?App=23&amp;ReportView=4&amp;Qid=1711279&amp;Row=22426&amp;Col=1","No Title Assigned - #15280854765")</f>
        <v/>
      </c>
      <c r="B22434" s="0" t="s">
        <v>29866</v>
      </c>
      <c r="E22434" s="0" t="inlineStr">
        <is>
          <t xml:space="preserve">Mazda</t>
        </is>
      </c>
      <c r="F22434" s="0" t="inlineStr">
        <is>
          <t xml:space="preserve">Mazda</t>
        </is>
      </c>
      <c r="G22434" s="0" t="s">
        <v>171</v>
      </c>
      <c r="H22434" s="5">
        <v>15.246200</v>
      </c>
    </row>
    <row r="22435" spans="1:9">
      <c r="A22435" s="22" t="str">
        <f>HYPERLINK("https://app.vivvix.com/360/KMI/IntelliDrive/ApplUI/Pages/CreativePages/CustomReportCreativeDetail.aspx?App=23&amp;ReportView=4&amp;Qid=1711279&amp;Row=22427&amp;Col=1","No Title Assigned - #15280855512")</f>
        <v/>
      </c>
      <c r="B22435" s="0" t="s">
        <v>29867</v>
      </c>
      <c r="E22435" s="0" t="inlineStr">
        <is>
          <t xml:space="preserve">Mazda</t>
        </is>
      </c>
      <c r="F22435" s="0" t="inlineStr">
        <is>
          <t xml:space="preserve">Mazda</t>
        </is>
      </c>
      <c r="G22435" s="0" t="s">
        <v>171</v>
      </c>
      <c r="H22435" s="5">
        <v>1443.116600</v>
      </c>
    </row>
    <row r="22436" spans="1:9">
      <c r="A22436" s="22" t="str">
        <f>HYPERLINK("https://app.vivvix.com/360/KMI/IntelliDrive/ApplUI/Pages/CreativePages/CustomReportCreativeDetail.aspx?App=23&amp;ReportView=4&amp;Qid=1711279&amp;Row=22428&amp;Col=1","No Title Assigned - #15280855958")</f>
        <v/>
      </c>
      <c r="B22436" s="0" t="s">
        <v>29868</v>
      </c>
      <c r="E22436" s="0" t="inlineStr">
        <is>
          <t xml:space="preserve">Mazda</t>
        </is>
      </c>
      <c r="F22436" s="0" t="inlineStr">
        <is>
          <t xml:space="preserve">Mazda</t>
        </is>
      </c>
      <c r="G22436" s="0" t="s">
        <v>171</v>
      </c>
      <c r="H22436" s="5">
        <v>22534.990200</v>
      </c>
    </row>
    <row r="22437" spans="1:9">
      <c r="A22437" s="22" t="str">
        <f>HYPERLINK("https://app.vivvix.com/360/KMI/IntelliDrive/ApplUI/Pages/CreativePages/CustomReportCreativeDetail.aspx?App=23&amp;ReportView=4&amp;Qid=1711279&amp;Row=22429&amp;Col=1","No Title Assigned - #15280861936")</f>
        <v/>
      </c>
      <c r="B22437" s="0" t="s">
        <v>29869</v>
      </c>
      <c r="C22437" s="0" t="s">
        <v>29870</v>
      </c>
      <c r="D22437" s="0" t="s">
        <v>29870</v>
      </c>
      <c r="E22437" s="0" t="inlineStr">
        <is>
          <t xml:space="preserve">Mazda</t>
        </is>
      </c>
      <c r="F22437" s="0" t="s">
        <v>13</v>
      </c>
      <c r="G22437" s="0" t="s">
        <v>49</v>
      </c>
      <c r="H22437" s="5">
        <v>5.292900</v>
      </c>
    </row>
    <row r="22438" spans="1:9">
      <c r="A22438" s="22" t="str">
        <f>HYPERLINK("https://app.vivvix.com/360/KMI/IntelliDrive/ApplUI/Pages/CreativePages/CustomReportCreativeDetail.aspx?App=23&amp;ReportView=4&amp;Qid=1711279&amp;Row=22430&amp;Col=1","No Title Assigned - #15280861986")</f>
        <v/>
      </c>
      <c r="B22438" s="0" t="s">
        <v>29871</v>
      </c>
      <c r="C22438" s="0" t="s">
        <v>29872</v>
      </c>
      <c r="D22438" s="0" t="s">
        <v>29872</v>
      </c>
      <c r="E22438" s="0" t="inlineStr">
        <is>
          <t xml:space="preserve">Mazda</t>
        </is>
      </c>
      <c r="F22438" s="0" t="inlineStr">
        <is>
          <t xml:space="preserve">Mazda</t>
        </is>
      </c>
      <c r="G22438" s="0" t="s">
        <v>210</v>
      </c>
      <c r="H22438" s="5">
        <v>1002.471000</v>
      </c>
    </row>
    <row r="22439" spans="1:9">
      <c r="A22439" s="22" t="str">
        <f>HYPERLINK("https://app.vivvix.com/360/KMI/IntelliDrive/ApplUI/Pages/CreativePages/CustomReportCreativeDetail.aspx?App=23&amp;ReportView=4&amp;Qid=1711279&amp;Row=22431&amp;Col=1","No Title Assigned - #15280861990")</f>
        <v/>
      </c>
      <c r="B22439" s="0" t="s">
        <v>29873</v>
      </c>
      <c r="C22439" s="0" t="s">
        <v>29874</v>
      </c>
      <c r="D22439" s="0" t="s">
        <v>29874</v>
      </c>
      <c r="E22439" s="0" t="inlineStr">
        <is>
          <t xml:space="preserve">Mazda</t>
        </is>
      </c>
      <c r="F22439" s="0" t="s">
        <v>13</v>
      </c>
      <c r="G22439" s="0" t="s">
        <v>49</v>
      </c>
      <c r="H22439" s="5">
        <v>15.878700</v>
      </c>
    </row>
    <row r="22440" spans="1:9">
      <c r="A22440" s="22" t="str">
        <f>HYPERLINK("https://app.vivvix.com/360/KMI/IntelliDrive/ApplUI/Pages/CreativePages/CustomReportCreativeDetail.aspx?App=23&amp;ReportView=4&amp;Qid=1711279&amp;Row=22432&amp;Col=1","No Title Assigned - #15280864402")</f>
        <v/>
      </c>
      <c r="B22440" s="0" t="s">
        <v>29875</v>
      </c>
      <c r="C22440" s="0" t="s">
        <v>29876</v>
      </c>
      <c r="D22440" s="0" t="s">
        <v>29876</v>
      </c>
      <c r="E22440" s="0" t="inlineStr">
        <is>
          <t xml:space="preserve">Mazda</t>
        </is>
      </c>
      <c r="F22440" s="0" t="s">
        <v>13</v>
      </c>
      <c r="G22440" s="0" t="s">
        <v>49</v>
      </c>
      <c r="H22440" s="5">
        <v>2223.515400</v>
      </c>
    </row>
    <row r="22441" spans="1:9">
      <c r="A22441" s="22" t="str">
        <f>HYPERLINK("https://app.vivvix.com/360/KMI/IntelliDrive/ApplUI/Pages/CreativePages/CustomReportCreativeDetail.aspx?App=23&amp;ReportView=4&amp;Qid=1711279&amp;Row=22433&amp;Col=1","No Title Assigned - #15280864403")</f>
        <v/>
      </c>
      <c r="B22441" s="0" t="s">
        <v>29877</v>
      </c>
      <c r="C22441" s="0" t="s">
        <v>29878</v>
      </c>
      <c r="D22441" s="0" t="s">
        <v>22073</v>
      </c>
      <c r="E22441" s="0" t="inlineStr">
        <is>
          <t xml:space="preserve">Mazda</t>
        </is>
      </c>
      <c r="F22441" s="0" t="s">
        <v>13</v>
      </c>
      <c r="G22441" s="0" t="s">
        <v>49</v>
      </c>
      <c r="H22441" s="5">
        <v>2223.515400</v>
      </c>
    </row>
    <row r="22442" spans="1:9">
      <c r="A22442" s="22" t="str">
        <f>HYPERLINK("https://app.vivvix.com/360/KMI/IntelliDrive/ApplUI/Pages/CreativePages/CustomReportCreativeDetail.aspx?App=23&amp;ReportView=4&amp;Qid=1711279&amp;Row=22434&amp;Col=1","No Title Assigned - #15280864622")</f>
        <v/>
      </c>
      <c r="B22442" s="0" t="s">
        <v>29879</v>
      </c>
      <c r="E22442" s="0" t="inlineStr">
        <is>
          <t xml:space="preserve">Mazda</t>
        </is>
      </c>
      <c r="F22442" s="0" t="s">
        <v>1568</v>
      </c>
      <c r="G22442" s="0" t="s">
        <v>1569</v>
      </c>
      <c r="H22442" s="5">
        <v>2571.694000</v>
      </c>
    </row>
    <row r="22443" spans="1:9">
      <c r="A22443" s="22" t="str">
        <f>HYPERLINK("https://app.vivvix.com/360/KMI/IntelliDrive/ApplUI/Pages/CreativePages/CustomReportCreativeDetail.aspx?App=23&amp;ReportView=4&amp;Qid=1711279&amp;Row=22435&amp;Col=1","No Title Assigned - #15280864707")</f>
        <v/>
      </c>
      <c r="B22443" s="0" t="s">
        <v>29880</v>
      </c>
      <c r="C22443" s="0" t="s">
        <v>29881</v>
      </c>
      <c r="D22443" s="0" t="s">
        <v>29881</v>
      </c>
      <c r="E22443" s="0" t="inlineStr">
        <is>
          <t xml:space="preserve">Mazda</t>
        </is>
      </c>
      <c r="F22443" s="0" t="s">
        <v>13</v>
      </c>
      <c r="G22443" s="0" t="s">
        <v>49</v>
      </c>
      <c r="H22443" s="5">
        <v>81.683200</v>
      </c>
    </row>
    <row r="22444" spans="1:9">
      <c r="A22444" s="22" t="str">
        <f>HYPERLINK("https://app.vivvix.com/360/KMI/IntelliDrive/ApplUI/Pages/CreativePages/CustomReportCreativeDetail.aspx?App=23&amp;ReportView=4&amp;Qid=1711279&amp;Row=22436&amp;Col=1","No Title Assigned - #15280867343")</f>
        <v/>
      </c>
      <c r="B22444" s="0" t="s">
        <v>29882</v>
      </c>
      <c r="C22444" s="0" t="s">
        <v>29883</v>
      </c>
      <c r="D22444" s="0" t="s">
        <v>29883</v>
      </c>
      <c r="E22444" s="0" t="inlineStr">
        <is>
          <t xml:space="preserve">Mazda</t>
        </is>
      </c>
      <c r="F22444" s="0" t="s">
        <v>3108</v>
      </c>
      <c r="G22444" s="0" t="s">
        <v>12635</v>
      </c>
      <c r="H22444" s="5">
        <v>522.764800</v>
      </c>
    </row>
    <row r="22445" spans="1:9">
      <c r="A22445" s="22" t="str">
        <f>HYPERLINK("https://app.vivvix.com/360/KMI/IntelliDrive/ApplUI/Pages/CreativePages/CustomReportCreativeDetail.aspx?App=23&amp;ReportView=4&amp;Qid=1711279&amp;Row=22437&amp;Col=1","No Title Assigned - #15280868840")</f>
        <v/>
      </c>
      <c r="B22445" s="0" t="s">
        <v>29884</v>
      </c>
      <c r="C22445" s="0" t="s">
        <v>29885</v>
      </c>
      <c r="D22445" s="0" t="s">
        <v>29885</v>
      </c>
      <c r="E22445" s="0" t="inlineStr">
        <is>
          <t xml:space="preserve">Mazda</t>
        </is>
      </c>
      <c r="F22445" s="0" t="s">
        <v>369</v>
      </c>
      <c r="G22445" s="0" t="s">
        <v>370</v>
      </c>
      <c r="H22445" s="5">
        <v>522.764800</v>
      </c>
    </row>
    <row r="22446" spans="1:9">
      <c r="A22446" s="22" t="str">
        <f>HYPERLINK("https://app.vivvix.com/360/KMI/IntelliDrive/ApplUI/Pages/CreativePages/CustomReportCreativeDetail.aspx?App=23&amp;ReportView=4&amp;Qid=1711279&amp;Row=22438&amp;Col=1","No Title Assigned - #15280869935")</f>
        <v/>
      </c>
      <c r="B22446" s="0" t="s">
        <v>29886</v>
      </c>
      <c r="C22446" s="0" t="s">
        <v>29887</v>
      </c>
      <c r="D22446" s="0" t="s">
        <v>15762</v>
      </c>
      <c r="E22446" s="0" t="inlineStr">
        <is>
          <t xml:space="preserve">Mazda</t>
        </is>
      </c>
      <c r="F22446" s="0" t="s">
        <v>13</v>
      </c>
      <c r="G22446" s="0" t="s">
        <v>49</v>
      </c>
      <c r="H22446" s="5">
        <v>750.461600</v>
      </c>
    </row>
    <row r="22447" spans="1:9">
      <c r="A22447" s="22" t="str">
        <f>HYPERLINK("https://app.vivvix.com/360/KMI/IntelliDrive/ApplUI/Pages/CreativePages/CustomReportCreativeDetail.aspx?App=23&amp;ReportView=4&amp;Qid=1711279&amp;Row=22439&amp;Col=1","No Title Assigned - #15280872324")</f>
        <v/>
      </c>
      <c r="B22447" s="0" t="s">
        <v>29888</v>
      </c>
      <c r="C22447" s="0" t="s">
        <v>29889</v>
      </c>
      <c r="D22447" s="0" t="s">
        <v>29889</v>
      </c>
      <c r="E22447" s="0" t="inlineStr">
        <is>
          <t xml:space="preserve">Mazda</t>
        </is>
      </c>
      <c r="F22447" s="0" t="s">
        <v>3108</v>
      </c>
      <c r="G22447" s="0" t="s">
        <v>3109</v>
      </c>
      <c r="H22447" s="5">
        <v>522.764800</v>
      </c>
    </row>
    <row r="22448" spans="1:9">
      <c r="A22448" s="22" t="str">
        <f>HYPERLINK("https://app.vivvix.com/360/KMI/IntelliDrive/ApplUI/Pages/CreativePages/CustomReportCreativeDetail.aspx?App=23&amp;ReportView=4&amp;Qid=1711279&amp;Row=22440&amp;Col=1","No Title Assigned - #15280874533")</f>
        <v/>
      </c>
      <c r="B22448" s="0" t="s">
        <v>29890</v>
      </c>
      <c r="C22448" s="0" t="s">
        <v>29891</v>
      </c>
      <c r="D22448" s="0" t="s">
        <v>29891</v>
      </c>
      <c r="E22448" s="0" t="inlineStr">
        <is>
          <t xml:space="preserve">Mazda</t>
        </is>
      </c>
      <c r="F22448" s="0" t="s">
        <v>13</v>
      </c>
      <c r="G22448" s="0" t="s">
        <v>49</v>
      </c>
      <c r="H22448" s="5">
        <v>48.293700</v>
      </c>
    </row>
    <row r="22449" spans="1:9">
      <c r="A22449" s="22" t="str">
        <f>HYPERLINK("https://app.vivvix.com/360/KMI/IntelliDrive/ApplUI/Pages/CreativePages/CustomReportCreativeDetail.aspx?App=23&amp;ReportView=4&amp;Qid=1711279&amp;Row=22441&amp;Col=1","No Title Assigned - #15280874534")</f>
        <v/>
      </c>
      <c r="B22449" s="0" t="s">
        <v>29892</v>
      </c>
      <c r="C22449" s="0" t="s">
        <v>29893</v>
      </c>
      <c r="D22449" s="0" t="s">
        <v>29893</v>
      </c>
      <c r="E22449" s="0" t="inlineStr">
        <is>
          <t xml:space="preserve">Mazda</t>
        </is>
      </c>
      <c r="F22449" s="0" t="s">
        <v>13</v>
      </c>
      <c r="G22449" s="0" t="s">
        <v>49</v>
      </c>
      <c r="H22449" s="5">
        <v>5.292900</v>
      </c>
    </row>
    <row r="22450" spans="1:9">
      <c r="A22450" s="22" t="str">
        <f>HYPERLINK("https://app.vivvix.com/360/KMI/IntelliDrive/ApplUI/Pages/CreativePages/CustomReportCreativeDetail.aspx?App=23&amp;ReportView=4&amp;Qid=1711279&amp;Row=22442&amp;Col=1","No Title Assigned - #15280875804")</f>
        <v/>
      </c>
      <c r="B22450" s="0" t="s">
        <v>29894</v>
      </c>
      <c r="E22450" s="0" t="inlineStr">
        <is>
          <t xml:space="preserve">Mazda</t>
        </is>
      </c>
      <c r="F22450" s="0" t="s">
        <v>204</v>
      </c>
      <c r="G22450" s="0" t="s">
        <v>205</v>
      </c>
      <c r="H22450" s="5">
        <v>810.965600</v>
      </c>
    </row>
    <row r="22451" spans="1:9">
      <c r="A22451" s="22" t="str">
        <f>HYPERLINK("https://app.vivvix.com/360/KMI/IntelliDrive/ApplUI/Pages/CreativePages/CustomReportCreativeDetail.aspx?App=23&amp;ReportView=4&amp;Qid=1711279&amp;Row=22443&amp;Col=1","No Title Assigned - #15280876479")</f>
        <v/>
      </c>
      <c r="B22451" s="0" t="s">
        <v>29895</v>
      </c>
      <c r="C22451" s="0" t="s">
        <v>29896</v>
      </c>
      <c r="D22451" s="0" t="s">
        <v>29896</v>
      </c>
      <c r="E22451" s="0" t="inlineStr">
        <is>
          <t xml:space="preserve">Mazda</t>
        </is>
      </c>
      <c r="F22451" s="0" t="inlineStr">
        <is>
          <t xml:space="preserve">Mazda</t>
        </is>
      </c>
      <c r="G22451" s="0" t="s">
        <v>210</v>
      </c>
      <c r="H22451" s="5">
        <v>479.839600</v>
      </c>
    </row>
    <row r="22452" spans="1:9">
      <c r="A22452" s="22" t="str">
        <f>HYPERLINK("https://app.vivvix.com/360/KMI/IntelliDrive/ApplUI/Pages/CreativePages/CustomReportCreativeDetail.aspx?App=23&amp;ReportView=4&amp;Qid=1711279&amp;Row=22444&amp;Col=1","No Title Assigned - #15280877471")</f>
        <v/>
      </c>
      <c r="B22452" s="0" t="s">
        <v>29897</v>
      </c>
      <c r="E22452" s="0" t="inlineStr">
        <is>
          <t xml:space="preserve">Mazda</t>
        </is>
      </c>
      <c r="F22452" s="0" t="inlineStr">
        <is>
          <t xml:space="preserve">Mazda</t>
        </is>
      </c>
      <c r="G22452" s="0" t="s">
        <v>171</v>
      </c>
      <c r="H22452" s="5">
        <v>9837.923200</v>
      </c>
    </row>
    <row r="22453" spans="1:9">
      <c r="A22453" s="22" t="str">
        <f>HYPERLINK("https://app.vivvix.com/360/KMI/IntelliDrive/ApplUI/Pages/CreativePages/CustomReportCreativeDetail.aspx?App=23&amp;ReportView=4&amp;Qid=1711279&amp;Row=22445&amp;Col=1","No Title Assigned - #15280877471")</f>
        <v/>
      </c>
      <c r="B22453" s="0" t="s">
        <v>29897</v>
      </c>
      <c r="E22453" s="0" t="inlineStr">
        <is>
          <t xml:space="preserve">Mazda</t>
        </is>
      </c>
      <c r="F22453" s="0" t="inlineStr">
        <is>
          <t xml:space="preserve">Mazda</t>
        </is>
      </c>
      <c r="G22453" s="0" t="s">
        <v>171</v>
      </c>
      <c r="H22453" s="5">
        <v>3057.774300</v>
      </c>
    </row>
    <row r="22454" spans="1:9">
      <c r="A22454" s="22" t="str">
        <f>HYPERLINK("https://app.vivvix.com/360/KMI/IntelliDrive/ApplUI/Pages/CreativePages/CustomReportCreativeDetail.aspx?App=23&amp;ReportView=4&amp;Qid=1711279&amp;Row=22446&amp;Col=1","No Title Assigned - #15280879332")</f>
        <v/>
      </c>
      <c r="B22454" s="0" t="s">
        <v>29898</v>
      </c>
      <c r="E22454" s="0" t="inlineStr">
        <is>
          <t xml:space="preserve">Mazda</t>
        </is>
      </c>
      <c r="F22454" s="0" t="inlineStr">
        <is>
          <t xml:space="preserve">Mazda</t>
        </is>
      </c>
      <c r="G22454" s="0" t="s">
        <v>171</v>
      </c>
      <c r="H22454" s="5">
        <v>165.470400</v>
      </c>
    </row>
    <row r="22455" spans="1:9">
      <c r="A22455" s="22" t="str">
        <f>HYPERLINK("https://app.vivvix.com/360/KMI/IntelliDrive/ApplUI/Pages/CreativePages/CustomReportCreativeDetail.aspx?App=23&amp;ReportView=4&amp;Qid=1711279&amp;Row=22447&amp;Col=1","No Title Assigned - #15280879886")</f>
        <v/>
      </c>
      <c r="B22455" s="0" t="s">
        <v>29899</v>
      </c>
      <c r="C22455" s="0" t="s">
        <v>29900</v>
      </c>
      <c r="D22455" s="0" t="s">
        <v>29900</v>
      </c>
      <c r="E22455" s="0" t="inlineStr">
        <is>
          <t xml:space="preserve">Mazda</t>
        </is>
      </c>
      <c r="F22455" s="0" t="inlineStr">
        <is>
          <t xml:space="preserve">Mazda</t>
        </is>
      </c>
      <c r="G22455" s="0" t="s">
        <v>171</v>
      </c>
      <c r="H22455" s="5">
        <v>421.199200</v>
      </c>
    </row>
    <row r="22456" spans="1:9">
      <c r="A22456" s="22" t="str">
        <f>HYPERLINK("https://app.vivvix.com/360/KMI/IntelliDrive/ApplUI/Pages/CreativePages/CustomReportCreativeDetail.aspx?App=23&amp;ReportView=4&amp;Qid=1711279&amp;Row=22448&amp;Col=1","No Title Assigned - #15280882649")</f>
        <v/>
      </c>
      <c r="B22456" s="0" t="s">
        <v>29901</v>
      </c>
      <c r="E22456" s="0" t="inlineStr">
        <is>
          <t xml:space="preserve">Mazda</t>
        </is>
      </c>
      <c r="F22456" s="0" t="inlineStr">
        <is>
          <t xml:space="preserve">Mazda</t>
        </is>
      </c>
      <c r="G22456" s="0" t="s">
        <v>171</v>
      </c>
      <c r="H22456" s="5">
        <v>253.816000</v>
      </c>
    </row>
    <row r="22457" spans="1:9">
      <c r="A22457" s="22" t="str">
        <f>HYPERLINK("https://app.vivvix.com/360/KMI/IntelliDrive/ApplUI/Pages/CreativePages/CustomReportCreativeDetail.aspx?App=23&amp;ReportView=4&amp;Qid=1711279&amp;Row=22449&amp;Col=1","No Title Assigned - #15280882939")</f>
        <v/>
      </c>
      <c r="B22457" s="0" t="s">
        <v>29902</v>
      </c>
      <c r="C22457" s="0" t="s">
        <v>29903</v>
      </c>
      <c r="D22457" s="0" t="s">
        <v>29903</v>
      </c>
      <c r="E22457" s="0" t="inlineStr">
        <is>
          <t xml:space="preserve">Mazda</t>
        </is>
      </c>
      <c r="F22457" s="0" t="s">
        <v>21</v>
      </c>
      <c r="G22457" s="0" t="s">
        <v>22</v>
      </c>
      <c r="H22457" s="5">
        <v>556.711400</v>
      </c>
    </row>
    <row r="22458" spans="1:9">
      <c r="A22458" s="22" t="str">
        <f>HYPERLINK("https://app.vivvix.com/360/KMI/IntelliDrive/ApplUI/Pages/CreativePages/CustomReportCreativeDetail.aspx?App=23&amp;ReportView=4&amp;Qid=1711279&amp;Row=22450&amp;Col=1","No Title Assigned - #15280885822")</f>
        <v/>
      </c>
      <c r="B22458" s="0" t="s">
        <v>29904</v>
      </c>
      <c r="C22458" s="0" t="s">
        <v>29905</v>
      </c>
      <c r="D22458" s="0" t="s">
        <v>29905</v>
      </c>
      <c r="E22458" s="0" t="inlineStr">
        <is>
          <t xml:space="preserve">Mazda</t>
        </is>
      </c>
      <c r="F22458" s="0" t="s">
        <v>13</v>
      </c>
      <c r="G22458" s="0" t="s">
        <v>49</v>
      </c>
      <c r="H22458" s="5">
        <v>338.345500</v>
      </c>
    </row>
    <row r="22459" spans="1:9">
      <c r="A22459" s="22" t="str">
        <f>HYPERLINK("https://app.vivvix.com/360/KMI/IntelliDrive/ApplUI/Pages/CreativePages/CustomReportCreativeDetail.aspx?App=23&amp;ReportView=4&amp;Qid=1711279&amp;Row=22451&amp;Col=1","No Title Assigned - #15280886942")</f>
        <v/>
      </c>
      <c r="B22459" s="0" t="s">
        <v>29906</v>
      </c>
      <c r="C22459" s="0" t="s">
        <v>29907</v>
      </c>
      <c r="D22459" s="0" t="s">
        <v>27659</v>
      </c>
      <c r="E22459" s="0" t="inlineStr">
        <is>
          <t xml:space="preserve">Mazda</t>
        </is>
      </c>
      <c r="F22459" s="0" t="s">
        <v>13</v>
      </c>
      <c r="G22459" s="0" t="s">
        <v>49</v>
      </c>
      <c r="H22459" s="5">
        <v>317.965200</v>
      </c>
    </row>
    <row r="22460" spans="1:9">
      <c r="A22460" s="22" t="str">
        <f>HYPERLINK("https://app.vivvix.com/360/KMI/IntelliDrive/ApplUI/Pages/CreativePages/CustomReportCreativeDetail.aspx?App=23&amp;ReportView=4&amp;Qid=1711279&amp;Row=22452&amp;Col=1","No Title Assigned - #15280887425")</f>
        <v/>
      </c>
      <c r="B22460" s="0" t="s">
        <v>29908</v>
      </c>
      <c r="C22460" s="0" t="s">
        <v>29909</v>
      </c>
      <c r="D22460" s="0" t="s">
        <v>15956</v>
      </c>
      <c r="E22460" s="0" t="inlineStr">
        <is>
          <t xml:space="preserve">Mazda</t>
        </is>
      </c>
      <c r="F22460" s="0" t="s">
        <v>13</v>
      </c>
      <c r="G22460" s="0" t="s">
        <v>49</v>
      </c>
      <c r="H22460" s="5">
        <v>25.648500</v>
      </c>
    </row>
    <row r="22461" spans="1:9">
      <c r="A22461" s="22" t="str">
        <f>HYPERLINK("https://app.vivvix.com/360/KMI/IntelliDrive/ApplUI/Pages/CreativePages/CustomReportCreativeDetail.aspx?App=23&amp;ReportView=4&amp;Qid=1711279&amp;Row=22453&amp;Col=1","No Title Assigned - #15280887465")</f>
        <v/>
      </c>
      <c r="B22461" s="0" t="s">
        <v>29910</v>
      </c>
      <c r="C22461" s="0" t="s">
        <v>29911</v>
      </c>
      <c r="D22461" s="0" t="s">
        <v>8453</v>
      </c>
      <c r="E22461" s="0" t="inlineStr">
        <is>
          <t xml:space="preserve">Mazda</t>
        </is>
      </c>
      <c r="F22461" s="0" t="s">
        <v>13</v>
      </c>
      <c r="G22461" s="0" t="s">
        <v>49</v>
      </c>
      <c r="H22461" s="5">
        <v>185.950400</v>
      </c>
    </row>
    <row r="22462" spans="1:9">
      <c r="A22462" s="22" t="str">
        <f>HYPERLINK("https://app.vivvix.com/360/KMI/IntelliDrive/ApplUI/Pages/CreativePages/CustomReportCreativeDetail.aspx?App=23&amp;ReportView=4&amp;Qid=1711279&amp;Row=22454&amp;Col=1","No Title Assigned - #15280887581")</f>
        <v/>
      </c>
      <c r="B22462" s="0" t="s">
        <v>29912</v>
      </c>
      <c r="C22462" s="0" t="s">
        <v>29913</v>
      </c>
      <c r="D22462" s="0" t="s">
        <v>29913</v>
      </c>
      <c r="E22462" s="0" t="inlineStr">
        <is>
          <t xml:space="preserve">Mazda</t>
        </is>
      </c>
      <c r="F22462" s="0" t="s">
        <v>13</v>
      </c>
      <c r="G22462" s="0" t="s">
        <v>49</v>
      </c>
      <c r="H22462" s="5">
        <v>2.196800</v>
      </c>
    </row>
    <row r="22463" spans="1:9">
      <c r="A22463" s="22" t="str">
        <f>HYPERLINK("https://app.vivvix.com/360/KMI/IntelliDrive/ApplUI/Pages/CreativePages/CustomReportCreativeDetail.aspx?App=23&amp;ReportView=4&amp;Qid=1711279&amp;Row=22455&amp;Col=1","No Title Assigned - #15280887581")</f>
        <v/>
      </c>
      <c r="B22463" s="0" t="s">
        <v>29912</v>
      </c>
      <c r="E22463" s="0" t="inlineStr">
        <is>
          <t xml:space="preserve">Mazda</t>
        </is>
      </c>
      <c r="F22463" s="0" t="s">
        <v>13</v>
      </c>
      <c r="G22463" s="0" t="s">
        <v>49</v>
      </c>
      <c r="H22463" s="5">
        <v>1534.456300</v>
      </c>
    </row>
    <row r="22464" spans="1:9">
      <c r="A22464" s="22" t="str">
        <f>HYPERLINK("https://app.vivvix.com/360/KMI/IntelliDrive/ApplUI/Pages/CreativePages/CustomReportCreativeDetail.aspx?App=23&amp;ReportView=4&amp;Qid=1711279&amp;Row=22456&amp;Col=1","No Title Assigned - #15280887630")</f>
        <v/>
      </c>
      <c r="B22464" s="0" t="s">
        <v>29914</v>
      </c>
      <c r="C22464" s="0" t="s">
        <v>29915</v>
      </c>
      <c r="D22464" s="0" t="s">
        <v>28293</v>
      </c>
      <c r="E22464" s="0" t="inlineStr">
        <is>
          <t xml:space="preserve">Mazda</t>
        </is>
      </c>
      <c r="F22464" s="0" t="s">
        <v>13</v>
      </c>
      <c r="G22464" s="0" t="s">
        <v>49</v>
      </c>
      <c r="H22464" s="5">
        <v>68.421000</v>
      </c>
    </row>
    <row r="22465" spans="1:9">
      <c r="A22465" s="22" t="str">
        <f>HYPERLINK("https://app.vivvix.com/360/KMI/IntelliDrive/ApplUI/Pages/CreativePages/CustomReportCreativeDetail.aspx?App=23&amp;ReportView=4&amp;Qid=1711279&amp;Row=22457&amp;Col=1","No Title Assigned - #15280887668")</f>
        <v/>
      </c>
      <c r="B22465" s="0" t="s">
        <v>29916</v>
      </c>
      <c r="C22465" s="0" t="s">
        <v>29917</v>
      </c>
      <c r="D22465" s="0" t="s">
        <v>29917</v>
      </c>
      <c r="E22465" s="0" t="inlineStr">
        <is>
          <t xml:space="preserve">Mazda</t>
        </is>
      </c>
      <c r="F22465" s="0" t="s">
        <v>13</v>
      </c>
      <c r="G22465" s="0" t="s">
        <v>49</v>
      </c>
      <c r="H22465" s="5">
        <v>2054.710700</v>
      </c>
    </row>
    <row r="22466" spans="1:9">
      <c r="A22466" s="22" t="str">
        <f>HYPERLINK("https://app.vivvix.com/360/KMI/IntelliDrive/ApplUI/Pages/CreativePages/CustomReportCreativeDetail.aspx?App=23&amp;ReportView=4&amp;Qid=1711279&amp;Row=22458&amp;Col=1","No Title Assigned - #15280887695")</f>
        <v/>
      </c>
      <c r="B22466" s="0" t="s">
        <v>29918</v>
      </c>
      <c r="C22466" s="0" t="s">
        <v>29919</v>
      </c>
      <c r="D22466" s="0" t="s">
        <v>29919</v>
      </c>
      <c r="E22466" s="0" t="inlineStr">
        <is>
          <t xml:space="preserve">Mazda</t>
        </is>
      </c>
      <c r="F22466" s="0" t="s">
        <v>13</v>
      </c>
      <c r="G22466" s="0" t="s">
        <v>49</v>
      </c>
      <c r="H22466" s="5">
        <v>703.624800</v>
      </c>
    </row>
    <row r="22467" spans="1:9">
      <c r="A22467" s="22" t="str">
        <f>HYPERLINK("https://app.vivvix.com/360/KMI/IntelliDrive/ApplUI/Pages/CreativePages/CustomReportCreativeDetail.aspx?App=23&amp;ReportView=4&amp;Qid=1711279&amp;Row=22459&amp;Col=1","No Title Assigned - #15280888325")</f>
        <v/>
      </c>
      <c r="B22467" s="0" t="s">
        <v>29920</v>
      </c>
      <c r="C22467" s="0" t="s">
        <v>29921</v>
      </c>
      <c r="D22467" s="0" t="s">
        <v>29921</v>
      </c>
      <c r="E22467" s="0" t="inlineStr">
        <is>
          <t xml:space="preserve">Mazda</t>
        </is>
      </c>
      <c r="F22467" s="0" t="s">
        <v>13</v>
      </c>
      <c r="G22467" s="0" t="s">
        <v>49</v>
      </c>
      <c r="H22467" s="5">
        <v>1155.983800</v>
      </c>
    </row>
    <row r="22468" spans="1:9">
      <c r="A22468" s="22" t="str">
        <f>HYPERLINK("https://app.vivvix.com/360/KMI/IntelliDrive/ApplUI/Pages/CreativePages/CustomReportCreativeDetail.aspx?App=23&amp;ReportView=4&amp;Qid=1711279&amp;Row=22460&amp;Col=1","No Title Assigned - #15280888527")</f>
        <v/>
      </c>
      <c r="B22468" s="0" t="s">
        <v>29922</v>
      </c>
      <c r="C22468" s="0" t="s">
        <v>29923</v>
      </c>
      <c r="D22468" s="0" t="s">
        <v>29923</v>
      </c>
      <c r="E22468" s="0" t="inlineStr">
        <is>
          <t xml:space="preserve">Mazda</t>
        </is>
      </c>
      <c r="F22468" s="0" t="inlineStr">
        <is>
          <t xml:space="preserve">Mazda</t>
        </is>
      </c>
      <c r="G22468" s="0" t="s">
        <v>210</v>
      </c>
      <c r="H22468" s="5">
        <v>605.594200</v>
      </c>
    </row>
    <row r="22469" spans="1:9">
      <c r="A22469" s="22" t="str">
        <f>HYPERLINK("https://app.vivvix.com/360/KMI/IntelliDrive/ApplUI/Pages/CreativePages/CustomReportCreativeDetail.aspx?App=23&amp;ReportView=4&amp;Qid=1711279&amp;Row=22461&amp;Col=1","No Title Assigned - #15280890867")</f>
        <v/>
      </c>
      <c r="B22469" s="0" t="s">
        <v>29924</v>
      </c>
      <c r="E22469" s="0" t="inlineStr">
        <is>
          <t xml:space="preserve">Mazda</t>
        </is>
      </c>
      <c r="F22469" s="0" t="inlineStr">
        <is>
          <t xml:space="preserve">Mazda</t>
        </is>
      </c>
      <c r="G22469" s="0" t="s">
        <v>171</v>
      </c>
      <c r="H22469" s="5">
        <v>22.045000</v>
      </c>
    </row>
    <row r="22470" spans="1:9">
      <c r="A22470" s="22" t="str">
        <f>HYPERLINK("https://app.vivvix.com/360/KMI/IntelliDrive/ApplUI/Pages/CreativePages/CustomReportCreativeDetail.aspx?App=23&amp;ReportView=4&amp;Qid=1711279&amp;Row=22462&amp;Col=1","No Title Assigned - #15280891116")</f>
        <v/>
      </c>
      <c r="B22470" s="0" t="s">
        <v>29925</v>
      </c>
      <c r="E22470" s="0" t="inlineStr">
        <is>
          <t xml:space="preserve">Mazda</t>
        </is>
      </c>
      <c r="F22470" s="0" t="inlineStr">
        <is>
          <t xml:space="preserve">Mazda</t>
        </is>
      </c>
      <c r="G22470" s="0" t="s">
        <v>171</v>
      </c>
      <c r="H22470" s="5">
        <v>41.671900</v>
      </c>
    </row>
    <row r="22471" spans="1:9">
      <c r="A22471" s="22" t="str">
        <f>HYPERLINK("https://app.vivvix.com/360/KMI/IntelliDrive/ApplUI/Pages/CreativePages/CustomReportCreativeDetail.aspx?App=23&amp;ReportView=4&amp;Qid=1711279&amp;Row=22463&amp;Col=1","No Title Assigned - #15280891974")</f>
        <v/>
      </c>
      <c r="B22471" s="0" t="s">
        <v>29926</v>
      </c>
      <c r="C22471" s="0" t="s">
        <v>29927</v>
      </c>
      <c r="D22471" s="0" t="s">
        <v>29927</v>
      </c>
      <c r="E22471" s="0" t="inlineStr">
        <is>
          <t xml:space="preserve">Mazda</t>
        </is>
      </c>
      <c r="F22471" s="0" t="inlineStr">
        <is>
          <t xml:space="preserve">Mazda</t>
        </is>
      </c>
      <c r="G22471" s="0" t="s">
        <v>171</v>
      </c>
      <c r="H22471" s="5">
        <v>612.736700</v>
      </c>
    </row>
    <row r="22472" spans="1:9">
      <c r="A22472" s="22" t="str">
        <f>HYPERLINK("https://app.vivvix.com/360/KMI/IntelliDrive/ApplUI/Pages/CreativePages/CustomReportCreativeDetail.aspx?App=23&amp;ReportView=4&amp;Qid=1711279&amp;Row=22464&amp;Col=1","No Title Assigned - #15280895807")</f>
        <v/>
      </c>
      <c r="B22472" s="0" t="s">
        <v>29928</v>
      </c>
      <c r="E22472" s="0" t="inlineStr">
        <is>
          <t xml:space="preserve">Mazda</t>
        </is>
      </c>
      <c r="F22472" s="0" t="inlineStr">
        <is>
          <t xml:space="preserve">Mazda</t>
        </is>
      </c>
      <c r="G22472" s="0" t="s">
        <v>171</v>
      </c>
      <c r="H22472" s="5">
        <v>293.349100</v>
      </c>
    </row>
    <row r="22473" spans="1:9">
      <c r="A22473" s="22" t="str">
        <f>HYPERLINK("https://app.vivvix.com/360/KMI/IntelliDrive/ApplUI/Pages/CreativePages/CustomReportCreativeDetail.aspx?App=23&amp;ReportView=4&amp;Qid=1711279&amp;Row=22465&amp;Col=1","No Title Assigned - #15280902893")</f>
        <v/>
      </c>
      <c r="B22473" s="0" t="s">
        <v>29929</v>
      </c>
      <c r="E22473" s="0" t="inlineStr">
        <is>
          <t xml:space="preserve">Mazda</t>
        </is>
      </c>
      <c r="F22473" s="0" t="inlineStr">
        <is>
          <t xml:space="preserve">Mazda</t>
        </is>
      </c>
      <c r="G22473" s="0" t="s">
        <v>171</v>
      </c>
      <c r="H22473" s="5">
        <v>1124.298800</v>
      </c>
    </row>
    <row r="22474" spans="1:9">
      <c r="A22474" s="22" t="str">
        <f>HYPERLINK("https://app.vivvix.com/360/KMI/IntelliDrive/ApplUI/Pages/CreativePages/CustomReportCreativeDetail.aspx?App=23&amp;ReportView=4&amp;Qid=1711279&amp;Row=22466&amp;Col=1","No Title Assigned - #15280903189")</f>
        <v/>
      </c>
      <c r="B22474" s="0" t="s">
        <v>29930</v>
      </c>
      <c r="E22474" s="0" t="inlineStr">
        <is>
          <t xml:space="preserve">Mazda</t>
        </is>
      </c>
      <c r="F22474" s="0" t="inlineStr">
        <is>
          <t xml:space="preserve">Mazda</t>
        </is>
      </c>
      <c r="G22474" s="0" t="s">
        <v>171</v>
      </c>
      <c r="H22474" s="5">
        <v>796.229300</v>
      </c>
    </row>
    <row r="22475" spans="1:9">
      <c r="A22475" s="22" t="str">
        <f>HYPERLINK("https://app.vivvix.com/360/KMI/IntelliDrive/ApplUI/Pages/CreativePages/CustomReportCreativeDetail.aspx?App=23&amp;ReportView=4&amp;Qid=1711279&amp;Row=22467&amp;Col=1","No Title Assigned - #15280903795")</f>
        <v/>
      </c>
      <c r="B22475" s="0" t="s">
        <v>29931</v>
      </c>
      <c r="E22475" s="0" t="inlineStr">
        <is>
          <t xml:space="preserve">Mazda</t>
        </is>
      </c>
      <c r="F22475" s="0" t="inlineStr">
        <is>
          <t xml:space="preserve">Mazda</t>
        </is>
      </c>
      <c r="G22475" s="0" t="s">
        <v>171</v>
      </c>
      <c r="H22475" s="5">
        <v>7659.548800</v>
      </c>
    </row>
    <row r="22476" spans="1:9">
      <c r="A22476" s="22" t="str">
        <f>HYPERLINK("https://app.vivvix.com/360/KMI/IntelliDrive/ApplUI/Pages/CreativePages/CustomReportCreativeDetail.aspx?App=23&amp;ReportView=4&amp;Qid=1711279&amp;Row=22468&amp;Col=1","No Title Assigned - #15280905968")</f>
        <v/>
      </c>
      <c r="B22476" s="0" t="s">
        <v>29932</v>
      </c>
      <c r="C22476" s="0" t="s">
        <v>29933</v>
      </c>
      <c r="D22476" s="0" t="s">
        <v>29933</v>
      </c>
      <c r="E22476" s="0" t="inlineStr">
        <is>
          <t xml:space="preserve">Mazda</t>
        </is>
      </c>
      <c r="F22476" s="0" t="s">
        <v>13</v>
      </c>
      <c r="G22476" s="0" t="s">
        <v>49</v>
      </c>
      <c r="H22476" s="5">
        <v>100.147700</v>
      </c>
    </row>
    <row r="22477" spans="1:9">
      <c r="A22477" s="22" t="str">
        <f>HYPERLINK("https://app.vivvix.com/360/KMI/IntelliDrive/ApplUI/Pages/CreativePages/CustomReportCreativeDetail.aspx?App=23&amp;ReportView=4&amp;Qid=1711279&amp;Row=22469&amp;Col=1","No Title Assigned - #15280906360")</f>
        <v/>
      </c>
      <c r="B22477" s="0" t="s">
        <v>29934</v>
      </c>
      <c r="C22477" s="0" t="s">
        <v>29935</v>
      </c>
      <c r="D22477" s="0" t="s">
        <v>11499</v>
      </c>
      <c r="E22477" s="0" t="inlineStr">
        <is>
          <t xml:space="preserve">Mazda</t>
        </is>
      </c>
      <c r="F22477" s="0" t="s">
        <v>13</v>
      </c>
      <c r="G22477" s="0" t="s">
        <v>49</v>
      </c>
      <c r="H22477" s="5">
        <v>25.754500</v>
      </c>
    </row>
    <row r="22478" spans="1:9">
      <c r="A22478" s="22" t="str">
        <f>HYPERLINK("https://app.vivvix.com/360/KMI/IntelliDrive/ApplUI/Pages/CreativePages/CustomReportCreativeDetail.aspx?App=23&amp;ReportView=4&amp;Qid=1711279&amp;Row=22470&amp;Col=1","No Title Assigned - #15280906860")</f>
        <v/>
      </c>
      <c r="B22478" s="0" t="s">
        <v>29936</v>
      </c>
      <c r="C22478" s="0" t="s">
        <v>29937</v>
      </c>
      <c r="D22478" s="0" t="s">
        <v>29937</v>
      </c>
      <c r="E22478" s="0" t="inlineStr">
        <is>
          <t xml:space="preserve">Mazda</t>
        </is>
      </c>
      <c r="F22478" s="0" t="s">
        <v>13</v>
      </c>
      <c r="G22478" s="0" t="s">
        <v>49</v>
      </c>
      <c r="H22478" s="5">
        <v>121.117800</v>
      </c>
    </row>
    <row r="22479" spans="1:9">
      <c r="A22479" s="22" t="str">
        <f>HYPERLINK("https://app.vivvix.com/360/KMI/IntelliDrive/ApplUI/Pages/CreativePages/CustomReportCreativeDetail.aspx?App=23&amp;ReportView=4&amp;Qid=1711279&amp;Row=22471&amp;Col=1","No Title Assigned - #15280906997")</f>
        <v/>
      </c>
      <c r="B22479" s="0" t="s">
        <v>29938</v>
      </c>
      <c r="C22479" s="0" t="s">
        <v>29939</v>
      </c>
      <c r="D22479" s="0" t="s">
        <v>29939</v>
      </c>
      <c r="E22479" s="0" t="inlineStr">
        <is>
          <t xml:space="preserve">Mazda</t>
        </is>
      </c>
      <c r="F22479" s="0" t="s">
        <v>13</v>
      </c>
      <c r="G22479" s="0" t="s">
        <v>49</v>
      </c>
      <c r="H22479" s="5">
        <v>359.849400</v>
      </c>
    </row>
    <row r="22480" spans="1:9">
      <c r="A22480" s="22" t="str">
        <f>HYPERLINK("https://app.vivvix.com/360/KMI/IntelliDrive/ApplUI/Pages/CreativePages/CustomReportCreativeDetail.aspx?App=23&amp;ReportView=4&amp;Qid=1711279&amp;Row=22472&amp;Col=1","No Title Assigned - #15280907257")</f>
        <v/>
      </c>
      <c r="B22480" s="0" t="s">
        <v>29940</v>
      </c>
      <c r="C22480" s="0" t="s">
        <v>29941</v>
      </c>
      <c r="D22480" s="0" t="s">
        <v>9167</v>
      </c>
      <c r="E22480" s="0" t="inlineStr">
        <is>
          <t xml:space="preserve">Mazda</t>
        </is>
      </c>
      <c r="F22480" s="0" t="s">
        <v>13</v>
      </c>
      <c r="G22480" s="0" t="s">
        <v>49</v>
      </c>
      <c r="H22480" s="5">
        <v>53278.468000</v>
      </c>
    </row>
    <row r="22481" spans="1:9">
      <c r="A22481" s="22" t="str">
        <f>HYPERLINK("https://app.vivvix.com/360/KMI/IntelliDrive/ApplUI/Pages/CreativePages/CustomReportCreativeDetail.aspx?App=23&amp;ReportView=4&amp;Qid=1711279&amp;Row=22473&amp;Col=1","No Title Assigned - #15280907257")</f>
        <v/>
      </c>
      <c r="B22481" s="0" t="s">
        <v>29940</v>
      </c>
      <c r="E22481" s="0" t="inlineStr">
        <is>
          <t xml:space="preserve">Mazda</t>
        </is>
      </c>
      <c r="F22481" s="0" t="s">
        <v>13</v>
      </c>
      <c r="G22481" s="0" t="s">
        <v>49</v>
      </c>
      <c r="H22481" s="5">
        <v>278.837900</v>
      </c>
    </row>
    <row r="22482" spans="1:9">
      <c r="A22482" s="22" t="str">
        <f>HYPERLINK("https://app.vivvix.com/360/KMI/IntelliDrive/ApplUI/Pages/CreativePages/CustomReportCreativeDetail.aspx?App=23&amp;ReportView=4&amp;Qid=1711279&amp;Row=22474&amp;Col=1","No Title Assigned - #15280909330")</f>
        <v/>
      </c>
      <c r="B22482" s="0" t="s">
        <v>29942</v>
      </c>
      <c r="C22482" s="0" t="s">
        <v>29943</v>
      </c>
      <c r="D22482" s="0" t="s">
        <v>9167</v>
      </c>
      <c r="E22482" s="0" t="inlineStr">
        <is>
          <t xml:space="preserve">Mazda</t>
        </is>
      </c>
      <c r="F22482" s="0" t="s">
        <v>13</v>
      </c>
      <c r="G22482" s="0" t="s">
        <v>49</v>
      </c>
      <c r="H22482" s="5">
        <v>563.727800</v>
      </c>
    </row>
    <row r="22483" spans="1:9">
      <c r="A22483" s="22" t="str">
        <f>HYPERLINK("https://app.vivvix.com/360/KMI/IntelliDrive/ApplUI/Pages/CreativePages/CustomReportCreativeDetail.aspx?App=23&amp;ReportView=4&amp;Qid=1711279&amp;Row=22475&amp;Col=1","No Title Assigned - #15280909365")</f>
        <v/>
      </c>
      <c r="B22483" s="0" t="s">
        <v>29944</v>
      </c>
      <c r="C22483" s="0" t="s">
        <v>29945</v>
      </c>
      <c r="D22483" s="0" t="s">
        <v>29945</v>
      </c>
      <c r="E22483" s="0" t="inlineStr">
        <is>
          <t xml:space="preserve">Mazda</t>
        </is>
      </c>
      <c r="F22483" s="0" t="inlineStr">
        <is>
          <t xml:space="preserve">Mazda</t>
        </is>
      </c>
      <c r="G22483" s="0" t="s">
        <v>210</v>
      </c>
      <c r="H22483" s="5">
        <v>513.370000</v>
      </c>
    </row>
    <row r="22484" spans="1:9">
      <c r="A22484" s="22" t="str">
        <f>HYPERLINK("https://app.vivvix.com/360/KMI/IntelliDrive/ApplUI/Pages/CreativePages/CustomReportCreativeDetail.aspx?App=23&amp;ReportView=4&amp;Qid=1711279&amp;Row=22476&amp;Col=1","No Title Assigned - #15280910645")</f>
        <v/>
      </c>
      <c r="B22484" s="0" t="s">
        <v>29946</v>
      </c>
      <c r="C22484" s="0" t="s">
        <v>29947</v>
      </c>
      <c r="D22484" s="0" t="s">
        <v>29947</v>
      </c>
      <c r="E22484" s="0" t="inlineStr">
        <is>
          <t xml:space="preserve">Mazda</t>
        </is>
      </c>
      <c r="F22484" s="0" t="inlineStr">
        <is>
          <t xml:space="preserve">Mazda</t>
        </is>
      </c>
      <c r="G22484" s="0" t="s">
        <v>210</v>
      </c>
      <c r="H22484" s="5">
        <v>123.420300</v>
      </c>
    </row>
    <row r="22485" spans="1:9">
      <c r="A22485" s="22" t="str">
        <f>HYPERLINK("https://app.vivvix.com/360/KMI/IntelliDrive/ApplUI/Pages/CreativePages/CustomReportCreativeDetail.aspx?App=23&amp;ReportView=4&amp;Qid=1711279&amp;Row=22477&amp;Col=1","No Title Assigned - #15280914562")</f>
        <v/>
      </c>
      <c r="B22485" s="0" t="s">
        <v>29948</v>
      </c>
      <c r="C22485" s="0" t="s">
        <v>29949</v>
      </c>
      <c r="D22485" s="0" t="s">
        <v>29949</v>
      </c>
      <c r="E22485" s="0" t="inlineStr">
        <is>
          <t xml:space="preserve">Mazda</t>
        </is>
      </c>
      <c r="F22485" s="0" t="s">
        <v>13</v>
      </c>
      <c r="G22485" s="0" t="s">
        <v>49</v>
      </c>
    </row>
    <row r="22486" spans="1:9">
      <c r="A22486" s="22" t="str">
        <f>HYPERLINK("https://app.vivvix.com/360/KMI/IntelliDrive/ApplUI/Pages/CreativePages/CustomReportCreativeDetail.aspx?App=23&amp;ReportView=4&amp;Qid=1711279&amp;Row=22478&amp;Col=1","No Title Assigned - #15280916151")</f>
        <v/>
      </c>
      <c r="B22486" s="0" t="s">
        <v>29950</v>
      </c>
      <c r="C22486" s="0" t="s">
        <v>29951</v>
      </c>
      <c r="D22486" s="0" t="s">
        <v>4335</v>
      </c>
      <c r="E22486" s="0" t="inlineStr">
        <is>
          <t xml:space="preserve">Mazda</t>
        </is>
      </c>
      <c r="F22486" s="0" t="s">
        <v>13</v>
      </c>
      <c r="G22486" s="0" t="s">
        <v>49</v>
      </c>
      <c r="H22486" s="5">
        <v>956.857900</v>
      </c>
    </row>
    <row r="22487" spans="1:9">
      <c r="A22487" s="22" t="str">
        <f>HYPERLINK("https://app.vivvix.com/360/KMI/IntelliDrive/ApplUI/Pages/CreativePages/CustomReportCreativeDetail.aspx?App=23&amp;ReportView=4&amp;Qid=1711279&amp;Row=22479&amp;Col=1","No Title Assigned - #15280916175")</f>
        <v/>
      </c>
      <c r="B22487" s="0" t="s">
        <v>29952</v>
      </c>
      <c r="E22487" s="0" t="inlineStr">
        <is>
          <t xml:space="preserve">Mazda</t>
        </is>
      </c>
      <c r="F22487" s="0" t="inlineStr">
        <is>
          <t xml:space="preserve">Mazda</t>
        </is>
      </c>
      <c r="G22487" s="0" t="s">
        <v>171</v>
      </c>
      <c r="H22487" s="5">
        <v>20367.451600</v>
      </c>
    </row>
    <row r="22488" spans="1:9">
      <c r="A22488" s="22" t="str">
        <f>HYPERLINK("https://app.vivvix.com/360/KMI/IntelliDrive/ApplUI/Pages/CreativePages/CustomReportCreativeDetail.aspx?App=23&amp;ReportView=4&amp;Qid=1711279&amp;Row=22480&amp;Col=1","No Title Assigned - #15280916850")</f>
        <v/>
      </c>
      <c r="B22488" s="0" t="s">
        <v>29953</v>
      </c>
      <c r="C22488" s="0" t="s">
        <v>29954</v>
      </c>
      <c r="D22488" s="0" t="s">
        <v>29954</v>
      </c>
      <c r="E22488" s="0" t="inlineStr">
        <is>
          <t xml:space="preserve">Mazda</t>
        </is>
      </c>
      <c r="F22488" s="0" t="s">
        <v>13</v>
      </c>
      <c r="G22488" s="0" t="s">
        <v>49</v>
      </c>
      <c r="H22488" s="5">
        <v>9.370700</v>
      </c>
    </row>
    <row r="22489" spans="1:9">
      <c r="A22489" s="22" t="str">
        <f>HYPERLINK("https://app.vivvix.com/360/KMI/IntelliDrive/ApplUI/Pages/CreativePages/CustomReportCreativeDetail.aspx?App=23&amp;ReportView=4&amp;Qid=1711279&amp;Row=22481&amp;Col=1","No Title Assigned - #15280917458")</f>
        <v/>
      </c>
      <c r="B22489" s="0" t="s">
        <v>29955</v>
      </c>
      <c r="C22489" s="0" t="s">
        <v>29956</v>
      </c>
      <c r="D22489" s="0" t="s">
        <v>27659</v>
      </c>
      <c r="E22489" s="0" t="inlineStr">
        <is>
          <t xml:space="preserve">Mazda</t>
        </is>
      </c>
      <c r="F22489" s="0" t="s">
        <v>13</v>
      </c>
      <c r="G22489" s="0" t="s">
        <v>49</v>
      </c>
      <c r="H22489" s="5">
        <v>265.572100</v>
      </c>
    </row>
    <row r="22490" spans="1:9">
      <c r="A22490" s="22" t="str">
        <f>HYPERLINK("https://app.vivvix.com/360/KMI/IntelliDrive/ApplUI/Pages/CreativePages/CustomReportCreativeDetail.aspx?App=23&amp;ReportView=4&amp;Qid=1711279&amp;Row=22482&amp;Col=1","No Title Assigned - #15280923608")</f>
        <v/>
      </c>
      <c r="B22490" s="0" t="s">
        <v>29957</v>
      </c>
      <c r="C22490" s="0" t="s">
        <v>29958</v>
      </c>
      <c r="D22490" s="0" t="s">
        <v>29958</v>
      </c>
      <c r="E22490" s="0" t="inlineStr">
        <is>
          <t xml:space="preserve">Mazda</t>
        </is>
      </c>
      <c r="F22490" s="0" t="s">
        <v>28</v>
      </c>
      <c r="G22490" s="0" t="s">
        <v>29</v>
      </c>
      <c r="H22490" s="5">
        <v>528.831900</v>
      </c>
    </row>
    <row r="22491" spans="1:9">
      <c r="A22491" s="22" t="str">
        <f>HYPERLINK("https://app.vivvix.com/360/KMI/IntelliDrive/ApplUI/Pages/CreativePages/CustomReportCreativeDetail.aspx?App=23&amp;ReportView=4&amp;Qid=1711279&amp;Row=22483&amp;Col=1","No Title Assigned - #15280924544")</f>
        <v/>
      </c>
      <c r="B22491" s="0" t="s">
        <v>29959</v>
      </c>
      <c r="C22491" s="0" t="s">
        <v>29960</v>
      </c>
      <c r="D22491" s="0" t="s">
        <v>15762</v>
      </c>
      <c r="E22491" s="0" t="inlineStr">
        <is>
          <t xml:space="preserve">Mazda</t>
        </is>
      </c>
      <c r="F22491" s="0" t="s">
        <v>13</v>
      </c>
      <c r="G22491" s="0" t="s">
        <v>49</v>
      </c>
      <c r="H22491" s="5">
        <v>241.945900</v>
      </c>
    </row>
    <row r="22492" spans="1:9">
      <c r="A22492" s="22" t="str">
        <f>HYPERLINK("https://app.vivvix.com/360/KMI/IntelliDrive/ApplUI/Pages/CreativePages/CustomReportCreativeDetail.aspx?App=23&amp;ReportView=4&amp;Qid=1711279&amp;Row=22484&amp;Col=1","No Title Assigned - #15280925017")</f>
        <v/>
      </c>
      <c r="B22492" s="0" t="s">
        <v>29961</v>
      </c>
      <c r="C22492" s="0" t="s">
        <v>29962</v>
      </c>
      <c r="D22492" s="0" t="s">
        <v>29962</v>
      </c>
      <c r="E22492" s="0" t="inlineStr">
        <is>
          <t xml:space="preserve">Mazda</t>
        </is>
      </c>
      <c r="F22492" s="0" t="s">
        <v>13</v>
      </c>
      <c r="G22492" s="0" t="s">
        <v>49</v>
      </c>
      <c r="H22492" s="5">
        <v>296.045300</v>
      </c>
    </row>
    <row r="22493" spans="1:9">
      <c r="A22493" s="22" t="str">
        <f>HYPERLINK("https://app.vivvix.com/360/KMI/IntelliDrive/ApplUI/Pages/CreativePages/CustomReportCreativeDetail.aspx?App=23&amp;ReportView=4&amp;Qid=1711279&amp;Row=22485&amp;Col=1","No Title Assigned - #15280926587")</f>
        <v/>
      </c>
      <c r="B22493" s="0" t="s">
        <v>29963</v>
      </c>
      <c r="C22493" s="0" t="s">
        <v>29964</v>
      </c>
      <c r="D22493" s="0" t="s">
        <v>29964</v>
      </c>
      <c r="E22493" s="0" t="inlineStr">
        <is>
          <t xml:space="preserve">Mazda</t>
        </is>
      </c>
      <c r="F22493" s="0" t="s">
        <v>13</v>
      </c>
      <c r="G22493" s="0" t="s">
        <v>49</v>
      </c>
      <c r="H22493" s="5">
        <v>17.630800</v>
      </c>
    </row>
    <row r="22494" spans="1:9">
      <c r="A22494" s="22" t="str">
        <f>HYPERLINK("https://app.vivvix.com/360/KMI/IntelliDrive/ApplUI/Pages/CreativePages/CustomReportCreativeDetail.aspx?App=23&amp;ReportView=4&amp;Qid=1711279&amp;Row=22486&amp;Col=1","No Title Assigned - #15280926787")</f>
        <v/>
      </c>
      <c r="B22494" s="0" t="s">
        <v>29965</v>
      </c>
      <c r="C22494" s="0" t="s">
        <v>29966</v>
      </c>
      <c r="D22494" s="0" t="s">
        <v>9167</v>
      </c>
      <c r="E22494" s="0" t="inlineStr">
        <is>
          <t xml:space="preserve">Mazda</t>
        </is>
      </c>
      <c r="F22494" s="0" t="s">
        <v>13</v>
      </c>
      <c r="G22494" s="0" t="s">
        <v>49</v>
      </c>
      <c r="H22494" s="5">
        <v>421.583200</v>
      </c>
    </row>
    <row r="22495" spans="1:9">
      <c r="A22495" s="22" t="str">
        <f>HYPERLINK("https://app.vivvix.com/360/KMI/IntelliDrive/ApplUI/Pages/CreativePages/CustomReportCreativeDetail.aspx?App=23&amp;ReportView=4&amp;Qid=1711279&amp;Row=22487&amp;Col=1","No Title Assigned - #15280926850")</f>
        <v/>
      </c>
      <c r="B22495" s="0" t="s">
        <v>29967</v>
      </c>
      <c r="C22495" s="0" t="s">
        <v>29968</v>
      </c>
      <c r="D22495" s="0" t="s">
        <v>9167</v>
      </c>
      <c r="E22495" s="0" t="inlineStr">
        <is>
          <t xml:space="preserve">Mazda</t>
        </is>
      </c>
      <c r="F22495" s="0" t="s">
        <v>13</v>
      </c>
      <c r="G22495" s="0" t="s">
        <v>49</v>
      </c>
      <c r="H22495" s="5">
        <v>292.314400</v>
      </c>
    </row>
    <row r="22496" spans="1:9">
      <c r="A22496" s="22" t="str">
        <f>HYPERLINK("https://app.vivvix.com/360/KMI/IntelliDrive/ApplUI/Pages/CreativePages/CustomReportCreativeDetail.aspx?App=23&amp;ReportView=4&amp;Qid=1711279&amp;Row=22488&amp;Col=1","No Title Assigned - #15280927469")</f>
        <v/>
      </c>
      <c r="B22496" s="0" t="s">
        <v>29969</v>
      </c>
      <c r="C22496" s="0" t="s">
        <v>29970</v>
      </c>
      <c r="D22496" s="0" t="s">
        <v>8453</v>
      </c>
      <c r="E22496" s="0" t="inlineStr">
        <is>
          <t xml:space="preserve">Mazda</t>
        </is>
      </c>
      <c r="F22496" s="0" t="s">
        <v>13</v>
      </c>
      <c r="G22496" s="0" t="s">
        <v>49</v>
      </c>
      <c r="H22496" s="5">
        <v>69.120400</v>
      </c>
    </row>
    <row r="22497" spans="1:9">
      <c r="A22497" s="22" t="str">
        <f>HYPERLINK("https://app.vivvix.com/360/KMI/IntelliDrive/ApplUI/Pages/CreativePages/CustomReportCreativeDetail.aspx?App=23&amp;ReportView=4&amp;Qid=1711279&amp;Row=22489&amp;Col=1","No Title Assigned - #15280927540")</f>
        <v/>
      </c>
      <c r="B22497" s="0" t="s">
        <v>29971</v>
      </c>
      <c r="C22497" s="0" t="s">
        <v>29972</v>
      </c>
      <c r="D22497" s="0" t="s">
        <v>29972</v>
      </c>
      <c r="E22497" s="0" t="inlineStr">
        <is>
          <t xml:space="preserve">Mazda</t>
        </is>
      </c>
      <c r="F22497" s="0" t="s">
        <v>13</v>
      </c>
      <c r="G22497" s="0" t="s">
        <v>49</v>
      </c>
      <c r="H22497" s="5">
        <v>10.585800</v>
      </c>
    </row>
    <row r="22498" spans="1:9">
      <c r="A22498" s="22" t="str">
        <f>HYPERLINK("https://app.vivvix.com/360/KMI/IntelliDrive/ApplUI/Pages/CreativePages/CustomReportCreativeDetail.aspx?App=23&amp;ReportView=4&amp;Qid=1711279&amp;Row=22490&amp;Col=1","No Title Assigned - #15280927540")</f>
        <v/>
      </c>
      <c r="B22498" s="0" t="s">
        <v>29971</v>
      </c>
      <c r="E22498" s="0" t="inlineStr">
        <is>
          <t xml:space="preserve">Mazda</t>
        </is>
      </c>
      <c r="F22498" s="0" t="s">
        <v>13</v>
      </c>
      <c r="G22498" s="0" t="s">
        <v>49</v>
      </c>
      <c r="H22498" s="5">
        <v>9.383400</v>
      </c>
    </row>
    <row r="22499" spans="1:9">
      <c r="A22499" s="22" t="str">
        <f>HYPERLINK("https://app.vivvix.com/360/KMI/IntelliDrive/ApplUI/Pages/CreativePages/CustomReportCreativeDetail.aspx?App=23&amp;ReportView=4&amp;Qid=1711279&amp;Row=22491&amp;Col=1","No Title Assigned - #15280927613")</f>
        <v/>
      </c>
      <c r="B22499" s="0" t="s">
        <v>29973</v>
      </c>
      <c r="C22499" s="0" t="s">
        <v>29974</v>
      </c>
      <c r="D22499" s="0" t="s">
        <v>9155</v>
      </c>
      <c r="E22499" s="0" t="inlineStr">
        <is>
          <t xml:space="preserve">Mazda</t>
        </is>
      </c>
      <c r="F22499" s="0" t="s">
        <v>13</v>
      </c>
      <c r="G22499" s="0" t="s">
        <v>49</v>
      </c>
      <c r="H22499" s="5">
        <v>131.265300</v>
      </c>
    </row>
    <row r="22500" spans="1:9">
      <c r="A22500" s="22" t="str">
        <f>HYPERLINK("https://app.vivvix.com/360/KMI/IntelliDrive/ApplUI/Pages/CreativePages/CustomReportCreativeDetail.aspx?App=23&amp;ReportView=4&amp;Qid=1711279&amp;Row=22492&amp;Col=1","No Title Assigned - #15280927804")</f>
        <v/>
      </c>
      <c r="B22500" s="0" t="s">
        <v>29975</v>
      </c>
      <c r="C22500" s="0" t="s">
        <v>29976</v>
      </c>
      <c r="D22500" s="0" t="s">
        <v>29976</v>
      </c>
      <c r="E22500" s="0" t="inlineStr">
        <is>
          <t xml:space="preserve">Mazda</t>
        </is>
      </c>
      <c r="F22500" s="0" t="s">
        <v>13</v>
      </c>
      <c r="G22500" s="0" t="s">
        <v>49</v>
      </c>
      <c r="H22500" s="5">
        <v>186.332100</v>
      </c>
    </row>
    <row r="22501" spans="1:9">
      <c r="A22501" s="22" t="str">
        <f>HYPERLINK("https://app.vivvix.com/360/KMI/IntelliDrive/ApplUI/Pages/CreativePages/CustomReportCreativeDetail.aspx?App=23&amp;ReportView=4&amp;Qid=1711279&amp;Row=22493&amp;Col=1","No Title Assigned - #15280940454")</f>
        <v/>
      </c>
      <c r="B22501" s="0" t="s">
        <v>29977</v>
      </c>
      <c r="E22501" s="0" t="inlineStr">
        <is>
          <t xml:space="preserve">Mazda</t>
        </is>
      </c>
      <c r="F22501" s="0" t="inlineStr">
        <is>
          <t xml:space="preserve">Mazda</t>
        </is>
      </c>
      <c r="G22501" s="0" t="s">
        <v>171</v>
      </c>
      <c r="H22501" s="5">
        <v>134.969400</v>
      </c>
    </row>
    <row r="22502" spans="1:9">
      <c r="A22502" s="22" t="str">
        <f>HYPERLINK("https://app.vivvix.com/360/KMI/IntelliDrive/ApplUI/Pages/CreativePages/CustomReportCreativeDetail.aspx?App=23&amp;ReportView=4&amp;Qid=1711279&amp;Row=22494&amp;Col=1","No Title Assigned - #15280940455")</f>
        <v/>
      </c>
      <c r="B22502" s="0" t="s">
        <v>29978</v>
      </c>
      <c r="E22502" s="0" t="inlineStr">
        <is>
          <t xml:space="preserve">Mazda</t>
        </is>
      </c>
      <c r="F22502" s="0" t="inlineStr">
        <is>
          <t xml:space="preserve">Mazda</t>
        </is>
      </c>
      <c r="G22502" s="0" t="s">
        <v>171</v>
      </c>
      <c r="H22502" s="5">
        <v>134.969400</v>
      </c>
    </row>
    <row r="22503" spans="1:9">
      <c r="A22503" s="22" t="str">
        <f>HYPERLINK("https://app.vivvix.com/360/KMI/IntelliDrive/ApplUI/Pages/CreativePages/CustomReportCreativeDetail.aspx?App=23&amp;ReportView=4&amp;Qid=1711279&amp;Row=22495&amp;Col=1","No Title Assigned - #15280941244")</f>
        <v/>
      </c>
      <c r="B22503" s="0" t="s">
        <v>29979</v>
      </c>
      <c r="C22503" s="0" t="s">
        <v>29980</v>
      </c>
      <c r="D22503" s="0" t="s">
        <v>29980</v>
      </c>
      <c r="E22503" s="0" t="inlineStr">
        <is>
          <t xml:space="preserve">Mazda</t>
        </is>
      </c>
      <c r="F22503" s="0" t="inlineStr">
        <is>
          <t xml:space="preserve">Mazda</t>
        </is>
      </c>
      <c r="G22503" s="0" t="s">
        <v>171</v>
      </c>
      <c r="H22503" s="5">
        <v>765.701500</v>
      </c>
    </row>
    <row r="22504" spans="1:9">
      <c r="A22504" s="22" t="str">
        <f>HYPERLINK("https://app.vivvix.com/360/KMI/IntelliDrive/ApplUI/Pages/CreativePages/CustomReportCreativeDetail.aspx?App=23&amp;ReportView=4&amp;Qid=1711279&amp;Row=22496&amp;Col=1","No Title Assigned - #15280941244")</f>
        <v/>
      </c>
      <c r="B22504" s="0" t="s">
        <v>29979</v>
      </c>
      <c r="E22504" s="0" t="inlineStr">
        <is>
          <t xml:space="preserve">Mazda</t>
        </is>
      </c>
      <c r="F22504" s="0" t="inlineStr">
        <is>
          <t xml:space="preserve">Mazda</t>
        </is>
      </c>
      <c r="G22504" s="0" t="s">
        <v>171</v>
      </c>
      <c r="H22504" s="5">
        <v>1870.154000</v>
      </c>
    </row>
    <row r="22505" spans="1:9">
      <c r="A22505" s="22" t="str">
        <f>HYPERLINK("https://app.vivvix.com/360/KMI/IntelliDrive/ApplUI/Pages/CreativePages/CustomReportCreativeDetail.aspx?App=23&amp;ReportView=4&amp;Qid=1711279&amp;Row=22497&amp;Col=1","No Title Assigned - #15280941685")</f>
        <v/>
      </c>
      <c r="B22505" s="0" t="s">
        <v>29981</v>
      </c>
      <c r="E22505" s="0" t="inlineStr">
        <is>
          <t xml:space="preserve">Mazda</t>
        </is>
      </c>
      <c r="F22505" s="0" t="inlineStr">
        <is>
          <t xml:space="preserve">Mazda</t>
        </is>
      </c>
      <c r="G22505" s="0" t="s">
        <v>171</v>
      </c>
      <c r="H22505" s="5">
        <v>26.147600</v>
      </c>
    </row>
    <row r="22506" spans="1:9">
      <c r="A22506" s="22" t="str">
        <f>HYPERLINK("https://app.vivvix.com/360/KMI/IntelliDrive/ApplUI/Pages/CreativePages/CustomReportCreativeDetail.aspx?App=23&amp;ReportView=4&amp;Qid=1711279&amp;Row=22498&amp;Col=1","No Title Assigned - #15280941988")</f>
        <v/>
      </c>
      <c r="B22506" s="0" t="s">
        <v>29982</v>
      </c>
      <c r="E22506" s="0" t="inlineStr">
        <is>
          <t xml:space="preserve">Mazda</t>
        </is>
      </c>
      <c r="F22506" s="0" t="inlineStr">
        <is>
          <t xml:space="preserve">Mazda</t>
        </is>
      </c>
      <c r="G22506" s="0" t="s">
        <v>171</v>
      </c>
      <c r="H22506" s="5">
        <v>1.517600</v>
      </c>
    </row>
    <row r="22507" spans="1:9">
      <c r="A22507" s="22" t="str">
        <f>HYPERLINK("https://app.vivvix.com/360/KMI/IntelliDrive/ApplUI/Pages/CreativePages/CustomReportCreativeDetail.aspx?App=23&amp;ReportView=4&amp;Qid=1711279&amp;Row=22499&amp;Col=1","No Title Assigned - #15280942457")</f>
        <v/>
      </c>
      <c r="B22507" s="0" t="s">
        <v>29983</v>
      </c>
      <c r="E22507" s="0" t="inlineStr">
        <is>
          <t xml:space="preserve">Mazda</t>
        </is>
      </c>
      <c r="F22507" s="0" t="inlineStr">
        <is>
          <t xml:space="preserve">Mazda</t>
        </is>
      </c>
      <c r="G22507" s="0" t="s">
        <v>171</v>
      </c>
      <c r="H22507" s="5">
        <v>11.206200</v>
      </c>
    </row>
    <row r="22508" spans="1:9">
      <c r="A22508" s="22" t="str">
        <f>HYPERLINK("https://app.vivvix.com/360/KMI/IntelliDrive/ApplUI/Pages/CreativePages/CustomReportCreativeDetail.aspx?App=23&amp;ReportView=4&amp;Qid=1711279&amp;Row=22500&amp;Col=1","No Title Assigned - #15280947273")</f>
        <v/>
      </c>
      <c r="B22508" s="0" t="s">
        <v>29984</v>
      </c>
      <c r="E22508" s="0" t="inlineStr">
        <is>
          <t xml:space="preserve">Mazda</t>
        </is>
      </c>
      <c r="F22508" s="0" t="inlineStr">
        <is>
          <t xml:space="preserve">Mazda</t>
        </is>
      </c>
      <c r="G22508" s="0" t="s">
        <v>171</v>
      </c>
      <c r="H22508" s="5">
        <v>659.094300</v>
      </c>
    </row>
    <row r="22509" spans="1:9">
      <c r="A22509" s="22" t="str">
        <f>HYPERLINK("https://app.vivvix.com/360/KMI/IntelliDrive/ApplUI/Pages/CreativePages/CustomReportCreativeDetail.aspx?App=23&amp;ReportView=4&amp;Qid=1711279&amp;Row=22501&amp;Col=1","No Title Assigned - #15280953373")</f>
        <v/>
      </c>
      <c r="B22509" s="0" t="s">
        <v>29985</v>
      </c>
      <c r="C22509" s="0" t="s">
        <v>29986</v>
      </c>
      <c r="D22509" s="0" t="s">
        <v>29986</v>
      </c>
      <c r="E22509" s="0" t="inlineStr">
        <is>
          <t xml:space="preserve">Mazda</t>
        </is>
      </c>
      <c r="F22509" s="0" t="s">
        <v>17</v>
      </c>
      <c r="G22509" s="0" t="s">
        <v>33</v>
      </c>
      <c r="H22509" s="5">
        <v>353.921300</v>
      </c>
    </row>
    <row r="22510" spans="1:9">
      <c r="A22510" s="22" t="str">
        <f>HYPERLINK("https://app.vivvix.com/360/KMI/IntelliDrive/ApplUI/Pages/CreativePages/CustomReportCreativeDetail.aspx?App=23&amp;ReportView=4&amp;Qid=1711279&amp;Row=22502&amp;Col=1","No Title Assigned - #15280955531")</f>
        <v/>
      </c>
      <c r="B22510" s="0" t="s">
        <v>29987</v>
      </c>
      <c r="C22510" s="0" t="s">
        <v>29988</v>
      </c>
      <c r="D22510" s="0" t="s">
        <v>29988</v>
      </c>
      <c r="E22510" s="0" t="inlineStr">
        <is>
          <t xml:space="preserve">Mazda</t>
        </is>
      </c>
      <c r="F22510" s="0" t="inlineStr">
        <is>
          <t xml:space="preserve">Mazda</t>
        </is>
      </c>
      <c r="G22510" s="0" t="s">
        <v>210</v>
      </c>
      <c r="H22510" s="5">
        <v>245.769000</v>
      </c>
    </row>
    <row r="22511" spans="1:9">
      <c r="A22511" s="22" t="str">
        <f>HYPERLINK("https://app.vivvix.com/360/KMI/IntelliDrive/ApplUI/Pages/CreativePages/CustomReportCreativeDetail.aspx?App=23&amp;ReportView=4&amp;Qid=1711279&amp;Row=22503&amp;Col=1","No Title Assigned - #15280956526")</f>
        <v/>
      </c>
      <c r="B22511" s="0" t="s">
        <v>29989</v>
      </c>
      <c r="C22511" s="0" t="s">
        <v>29990</v>
      </c>
      <c r="D22511" s="0" t="s">
        <v>10311</v>
      </c>
      <c r="E22511" s="0" t="inlineStr">
        <is>
          <t xml:space="preserve">Mazda</t>
        </is>
      </c>
      <c r="F22511" s="0" t="s">
        <v>13</v>
      </c>
      <c r="G22511" s="0" t="s">
        <v>49</v>
      </c>
      <c r="H22511" s="5">
        <v>3978.877100</v>
      </c>
    </row>
    <row r="22512" spans="1:9">
      <c r="A22512" s="22" t="str">
        <f>HYPERLINK("https://app.vivvix.com/360/KMI/IntelliDrive/ApplUI/Pages/CreativePages/CustomReportCreativeDetail.aspx?App=23&amp;ReportView=4&amp;Qid=1711279&amp;Row=22504&amp;Col=1","No Title Assigned - #15280958121")</f>
        <v/>
      </c>
      <c r="B22512" s="0" t="s">
        <v>29991</v>
      </c>
      <c r="C22512" s="0" t="s">
        <v>29992</v>
      </c>
      <c r="D22512" s="0" t="s">
        <v>29992</v>
      </c>
      <c r="E22512" s="0" t="inlineStr">
        <is>
          <t xml:space="preserve">Mazda</t>
        </is>
      </c>
      <c r="F22512" s="0" t="s">
        <v>13</v>
      </c>
      <c r="G22512" s="0" t="s">
        <v>49</v>
      </c>
      <c r="H22512" s="5">
        <v>118.136100</v>
      </c>
    </row>
    <row r="22513" spans="1:9">
      <c r="A22513" s="22" t="str">
        <f>HYPERLINK("https://app.vivvix.com/360/KMI/IntelliDrive/ApplUI/Pages/CreativePages/CustomReportCreativeDetail.aspx?App=23&amp;ReportView=4&amp;Qid=1711279&amp;Row=22505&amp;Col=1","No Title Assigned - #15280958371")</f>
        <v/>
      </c>
      <c r="B22513" s="0" t="s">
        <v>29993</v>
      </c>
      <c r="C22513" s="0" t="s">
        <v>29994</v>
      </c>
      <c r="D22513" s="0" t="s">
        <v>9167</v>
      </c>
      <c r="E22513" s="0" t="inlineStr">
        <is>
          <t xml:space="preserve">Mazda</t>
        </is>
      </c>
      <c r="F22513" s="0" t="s">
        <v>13</v>
      </c>
      <c r="G22513" s="0" t="s">
        <v>49</v>
      </c>
      <c r="H22513" s="5">
        <v>532.926500</v>
      </c>
    </row>
    <row r="22514" spans="1:9">
      <c r="A22514" s="22" t="str">
        <f>HYPERLINK("https://app.vivvix.com/360/KMI/IntelliDrive/ApplUI/Pages/CreativePages/CustomReportCreativeDetail.aspx?App=23&amp;ReportView=4&amp;Qid=1711279&amp;Row=22506&amp;Col=1","No Title Assigned - #15280959291")</f>
        <v/>
      </c>
      <c r="B22514" s="0" t="s">
        <v>29995</v>
      </c>
      <c r="C22514" s="0" t="s">
        <v>29996</v>
      </c>
      <c r="D22514" s="0" t="s">
        <v>11639</v>
      </c>
      <c r="E22514" s="0" t="inlineStr">
        <is>
          <t xml:space="preserve">Mazda</t>
        </is>
      </c>
      <c r="F22514" s="0" t="s">
        <v>13</v>
      </c>
      <c r="G22514" s="0" t="s">
        <v>49</v>
      </c>
      <c r="H22514" s="5">
        <v>563.005600</v>
      </c>
    </row>
    <row r="22515" spans="1:9">
      <c r="A22515" s="22" t="str">
        <f>HYPERLINK("https://app.vivvix.com/360/KMI/IntelliDrive/ApplUI/Pages/CreativePages/CustomReportCreativeDetail.aspx?App=23&amp;ReportView=4&amp;Qid=1711279&amp;Row=22507&amp;Col=1","No Title Assigned - #15280959925")</f>
        <v/>
      </c>
      <c r="B22515" s="0" t="s">
        <v>29997</v>
      </c>
      <c r="C22515" s="0" t="s">
        <v>29998</v>
      </c>
      <c r="D22515" s="0" t="s">
        <v>19758</v>
      </c>
      <c r="E22515" s="0" t="inlineStr">
        <is>
          <t xml:space="preserve">Mazda</t>
        </is>
      </c>
      <c r="F22515" s="0" t="s">
        <v>13</v>
      </c>
      <c r="G22515" s="0" t="s">
        <v>49</v>
      </c>
      <c r="H22515" s="5">
        <v>1091.958500</v>
      </c>
    </row>
    <row r="22516" spans="1:9">
      <c r="A22516" s="22" t="str">
        <f>HYPERLINK("https://app.vivvix.com/360/KMI/IntelliDrive/ApplUI/Pages/CreativePages/CustomReportCreativeDetail.aspx?App=23&amp;ReportView=4&amp;Qid=1711279&amp;Row=22508&amp;Col=1","No Title Assigned - #15280961394")</f>
        <v/>
      </c>
      <c r="B22516" s="0" t="s">
        <v>29999</v>
      </c>
      <c r="C22516" s="0" t="s">
        <v>30000</v>
      </c>
      <c r="D22516" s="0" t="s">
        <v>4335</v>
      </c>
      <c r="E22516" s="0" t="inlineStr">
        <is>
          <t xml:space="preserve">Mazda</t>
        </is>
      </c>
      <c r="F22516" s="0" t="s">
        <v>13</v>
      </c>
      <c r="G22516" s="0" t="s">
        <v>49</v>
      </c>
      <c r="H22516" s="5">
        <v>41114.698600</v>
      </c>
    </row>
    <row r="22517" spans="1:9">
      <c r="A22517" s="22" t="str">
        <f>HYPERLINK("https://app.vivvix.com/360/KMI/IntelliDrive/ApplUI/Pages/CreativePages/CustomReportCreativeDetail.aspx?App=23&amp;ReportView=4&amp;Qid=1711279&amp;Row=22509&amp;Col=1","No Title Assigned - #15280964777")</f>
        <v/>
      </c>
      <c r="B22517" s="0" t="s">
        <v>30001</v>
      </c>
      <c r="C22517" s="0" t="s">
        <v>30002</v>
      </c>
      <c r="D22517" s="0" t="s">
        <v>30002</v>
      </c>
      <c r="E22517" s="0" t="inlineStr">
        <is>
          <t xml:space="preserve">Mazda</t>
        </is>
      </c>
      <c r="F22517" s="0" t="s">
        <v>13</v>
      </c>
      <c r="G22517" s="0" t="s">
        <v>49</v>
      </c>
      <c r="H22517" s="5">
        <v>915.989400</v>
      </c>
    </row>
    <row r="22518" spans="1:9">
      <c r="A22518" s="22" t="str">
        <f>HYPERLINK("https://app.vivvix.com/360/KMI/IntelliDrive/ApplUI/Pages/CreativePages/CustomReportCreativeDetail.aspx?App=23&amp;ReportView=4&amp;Qid=1711279&amp;Row=22510&amp;Col=1","No Title Assigned - #15280965471")</f>
        <v/>
      </c>
      <c r="B22518" s="0" t="s">
        <v>30003</v>
      </c>
      <c r="C22518" s="0" t="s">
        <v>30004</v>
      </c>
      <c r="D22518" s="0" t="s">
        <v>30004</v>
      </c>
      <c r="E22518" s="0" t="inlineStr">
        <is>
          <t xml:space="preserve">Mazda</t>
        </is>
      </c>
      <c r="F22518" s="0" t="s">
        <v>13</v>
      </c>
      <c r="G22518" s="0" t="s">
        <v>49</v>
      </c>
      <c r="H22518" s="5">
        <v>10.585800</v>
      </c>
    </row>
    <row r="22519" spans="1:9">
      <c r="A22519" s="22" t="str">
        <f>HYPERLINK("https://app.vivvix.com/360/KMI/IntelliDrive/ApplUI/Pages/CreativePages/CustomReportCreativeDetail.aspx?App=23&amp;ReportView=4&amp;Qid=1711279&amp;Row=22511&amp;Col=1","No Title Assigned - #15280965492")</f>
        <v/>
      </c>
      <c r="B22519" s="0" t="s">
        <v>30005</v>
      </c>
      <c r="C22519" s="0" t="s">
        <v>30006</v>
      </c>
      <c r="D22519" s="0" t="s">
        <v>30006</v>
      </c>
      <c r="E22519" s="0" t="inlineStr">
        <is>
          <t xml:space="preserve">Mazda</t>
        </is>
      </c>
      <c r="F22519" s="0" t="s">
        <v>13</v>
      </c>
      <c r="G22519" s="0" t="s">
        <v>49</v>
      </c>
      <c r="H22519" s="5">
        <v>16.043100</v>
      </c>
    </row>
    <row r="22520" spans="1:9">
      <c r="A22520" s="22" t="str">
        <f>HYPERLINK("https://app.vivvix.com/360/KMI/IntelliDrive/ApplUI/Pages/CreativePages/CustomReportCreativeDetail.aspx?App=23&amp;ReportView=4&amp;Qid=1711279&amp;Row=22512&amp;Col=1","No Title Assigned - #15280965698")</f>
        <v/>
      </c>
      <c r="B22520" s="0" t="s">
        <v>30007</v>
      </c>
      <c r="C22520" s="0" t="s">
        <v>30008</v>
      </c>
      <c r="D22520" s="0" t="s">
        <v>30008</v>
      </c>
      <c r="E22520" s="0" t="inlineStr">
        <is>
          <t xml:space="preserve">Mazda</t>
        </is>
      </c>
      <c r="F22520" s="0" t="s">
        <v>21</v>
      </c>
      <c r="G22520" s="0" t="s">
        <v>22</v>
      </c>
      <c r="H22520" s="5">
        <v>1842.426000</v>
      </c>
    </row>
    <row r="22521" spans="1:9">
      <c r="A22521" s="22" t="str">
        <f>HYPERLINK("https://app.vivvix.com/360/KMI/IntelliDrive/ApplUI/Pages/CreativePages/CustomReportCreativeDetail.aspx?App=23&amp;ReportView=4&amp;Qid=1711279&amp;Row=22513&amp;Col=1","No Title Assigned - #15280965993")</f>
        <v/>
      </c>
      <c r="B22521" s="0" t="s">
        <v>30009</v>
      </c>
      <c r="C22521" s="0" t="s">
        <v>30010</v>
      </c>
      <c r="D22521" s="0" t="s">
        <v>9167</v>
      </c>
      <c r="E22521" s="0" t="inlineStr">
        <is>
          <t xml:space="preserve">Mazda</t>
        </is>
      </c>
      <c r="F22521" s="0" t="s">
        <v>13</v>
      </c>
      <c r="G22521" s="0" t="s">
        <v>49</v>
      </c>
      <c r="H22521" s="5">
        <v>171.449600</v>
      </c>
    </row>
    <row r="22522" spans="1:9">
      <c r="A22522" s="22" t="str">
        <f>HYPERLINK("https://app.vivvix.com/360/KMI/IntelliDrive/ApplUI/Pages/CreativePages/CustomReportCreativeDetail.aspx?App=23&amp;ReportView=4&amp;Qid=1711279&amp;Row=22514&amp;Col=1","No Title Assigned - #15280969335")</f>
        <v/>
      </c>
      <c r="B22522" s="0" t="s">
        <v>30011</v>
      </c>
      <c r="C22522" s="0" t="s">
        <v>30012</v>
      </c>
      <c r="D22522" s="0" t="s">
        <v>30012</v>
      </c>
      <c r="E22522" s="0" t="inlineStr">
        <is>
          <t xml:space="preserve">Mazda</t>
        </is>
      </c>
      <c r="F22522" s="0" t="s">
        <v>17</v>
      </c>
      <c r="G22522" s="0" t="s">
        <v>33</v>
      </c>
      <c r="H22522" s="5">
        <v>6571.335600</v>
      </c>
    </row>
    <row r="22523" spans="1:9">
      <c r="A22523" s="22" t="str">
        <f>HYPERLINK("https://app.vivvix.com/360/KMI/IntelliDrive/ApplUI/Pages/CreativePages/CustomReportCreativeDetail.aspx?App=23&amp;ReportView=4&amp;Qid=1711279&amp;Row=22515&amp;Col=1","No Title Assigned - #15280970538")</f>
        <v/>
      </c>
      <c r="B22523" s="0" t="s">
        <v>30013</v>
      </c>
      <c r="C22523" s="0" t="s">
        <v>30014</v>
      </c>
      <c r="D22523" s="0" t="s">
        <v>30014</v>
      </c>
      <c r="E22523" s="0" t="inlineStr">
        <is>
          <t xml:space="preserve">Mazda</t>
        </is>
      </c>
      <c r="F22523" s="0" t="s">
        <v>13</v>
      </c>
      <c r="G22523" s="0" t="s">
        <v>49</v>
      </c>
      <c r="H22523" s="5">
        <v>448.257800</v>
      </c>
    </row>
    <row r="22524" spans="1:9">
      <c r="A22524" s="22" t="str">
        <f>HYPERLINK("https://app.vivvix.com/360/KMI/IntelliDrive/ApplUI/Pages/CreativePages/CustomReportCreativeDetail.aspx?App=23&amp;ReportView=4&amp;Qid=1711279&amp;Row=22516&amp;Col=1","No Title Assigned - #15280973172")</f>
        <v/>
      </c>
      <c r="B22524" s="0" t="s">
        <v>30015</v>
      </c>
      <c r="E22524" s="0" t="inlineStr">
        <is>
          <t xml:space="preserve">Mazda</t>
        </is>
      </c>
      <c r="F22524" s="0" t="inlineStr">
        <is>
          <t xml:space="preserve">Mazda</t>
        </is>
      </c>
      <c r="G22524" s="0" t="s">
        <v>171</v>
      </c>
      <c r="H22524" s="5">
        <v>227.258700</v>
      </c>
    </row>
    <row r="22525" spans="1:9">
      <c r="A22525" s="22" t="str">
        <f>HYPERLINK("https://app.vivvix.com/360/KMI/IntelliDrive/ApplUI/Pages/CreativePages/CustomReportCreativeDetail.aspx?App=23&amp;ReportView=4&amp;Qid=1711279&amp;Row=22517&amp;Col=1","No Title Assigned - #15280974297")</f>
        <v/>
      </c>
      <c r="B22525" s="0" t="s">
        <v>30016</v>
      </c>
      <c r="E22525" s="0" t="inlineStr">
        <is>
          <t xml:space="preserve">Mazda</t>
        </is>
      </c>
      <c r="F22525" s="0" t="inlineStr">
        <is>
          <t xml:space="preserve">Mazda</t>
        </is>
      </c>
      <c r="G22525" s="0" t="s">
        <v>171</v>
      </c>
      <c r="H22525" s="5">
        <v>134.142200</v>
      </c>
    </row>
    <row r="22526" spans="1:9">
      <c r="A22526" s="22" t="str">
        <f>HYPERLINK("https://app.vivvix.com/360/KMI/IntelliDrive/ApplUI/Pages/CreativePages/CustomReportCreativeDetail.aspx?App=23&amp;ReportView=4&amp;Qid=1711279&amp;Row=22518&amp;Col=1","No Title Assigned - #15280975052")</f>
        <v/>
      </c>
      <c r="B22526" s="0" t="s">
        <v>30017</v>
      </c>
      <c r="E22526" s="0" t="inlineStr">
        <is>
          <t xml:space="preserve">Mazda</t>
        </is>
      </c>
      <c r="F22526" s="0" t="inlineStr">
        <is>
          <t xml:space="preserve">Mazda</t>
        </is>
      </c>
      <c r="G22526" s="0" t="s">
        <v>171</v>
      </c>
      <c r="H22526" s="5">
        <v>812.168000</v>
      </c>
    </row>
    <row r="22527" spans="1:9">
      <c r="A22527" s="22" t="str">
        <f>HYPERLINK("https://app.vivvix.com/360/KMI/IntelliDrive/ApplUI/Pages/CreativePages/CustomReportCreativeDetail.aspx?App=23&amp;ReportView=4&amp;Qid=1711279&amp;Row=22519&amp;Col=1","No Title Assigned - #15280975374")</f>
        <v/>
      </c>
      <c r="B22527" s="0" t="s">
        <v>30018</v>
      </c>
      <c r="E22527" s="0" t="inlineStr">
        <is>
          <t xml:space="preserve">Mazda</t>
        </is>
      </c>
      <c r="F22527" s="0" t="inlineStr">
        <is>
          <t xml:space="preserve">Mazda</t>
        </is>
      </c>
      <c r="G22527" s="0" t="s">
        <v>171</v>
      </c>
      <c r="H22527" s="5">
        <v>785.837700</v>
      </c>
    </row>
    <row r="22528" spans="1:9">
      <c r="A22528" s="22" t="str">
        <f>HYPERLINK("https://app.vivvix.com/360/KMI/IntelliDrive/ApplUI/Pages/CreativePages/CustomReportCreativeDetail.aspx?App=23&amp;ReportView=4&amp;Qid=1711279&amp;Row=22520&amp;Col=1","No Title Assigned - #15280975598")</f>
        <v/>
      </c>
      <c r="B22528" s="0" t="s">
        <v>30019</v>
      </c>
      <c r="E22528" s="0" t="inlineStr">
        <is>
          <t xml:space="preserve">Mazda</t>
        </is>
      </c>
      <c r="F22528" s="0" t="inlineStr">
        <is>
          <t xml:space="preserve">Mazda</t>
        </is>
      </c>
      <c r="G22528" s="0" t="s">
        <v>171</v>
      </c>
      <c r="H22528" s="5">
        <v>26.579700</v>
      </c>
    </row>
    <row r="22529" spans="1:9">
      <c r="A22529" s="22" t="str">
        <f>HYPERLINK("https://app.vivvix.com/360/KMI/IntelliDrive/ApplUI/Pages/CreativePages/CustomReportCreativeDetail.aspx?App=23&amp;ReportView=4&amp;Qid=1711279&amp;Row=22521&amp;Col=1","No Title Assigned - #15280976056")</f>
        <v/>
      </c>
      <c r="B22529" s="0" t="s">
        <v>30020</v>
      </c>
      <c r="E22529" s="0" t="inlineStr">
        <is>
          <t xml:space="preserve">Mazda</t>
        </is>
      </c>
      <c r="F22529" s="0" t="inlineStr">
        <is>
          <t xml:space="preserve">Mazda</t>
        </is>
      </c>
      <c r="G22529" s="0" t="s">
        <v>171</v>
      </c>
      <c r="H22529" s="5">
        <v>22.652500</v>
      </c>
    </row>
    <row r="22530" spans="1:9">
      <c r="A22530" s="22" t="str">
        <f>HYPERLINK("https://app.vivvix.com/360/KMI/IntelliDrive/ApplUI/Pages/CreativePages/CustomReportCreativeDetail.aspx?App=23&amp;ReportView=4&amp;Qid=1711279&amp;Row=22522&amp;Col=1","No Title Assigned - #15280976068")</f>
        <v/>
      </c>
      <c r="B22530" s="0" t="s">
        <v>30021</v>
      </c>
      <c r="E22530" s="0" t="inlineStr">
        <is>
          <t xml:space="preserve">Mazda</t>
        </is>
      </c>
      <c r="F22530" s="0" t="inlineStr">
        <is>
          <t xml:space="preserve">Mazda</t>
        </is>
      </c>
      <c r="G22530" s="0" t="s">
        <v>171</v>
      </c>
      <c r="H22530" s="5">
        <v>663.653500</v>
      </c>
    </row>
    <row r="22531" spans="1:9">
      <c r="A22531" s="22" t="str">
        <f>HYPERLINK("https://app.vivvix.com/360/KMI/IntelliDrive/ApplUI/Pages/CreativePages/CustomReportCreativeDetail.aspx?App=23&amp;ReportView=4&amp;Qid=1711279&amp;Row=22523&amp;Col=1","No Title Assigned - #15280976111")</f>
        <v/>
      </c>
      <c r="B22531" s="0" t="s">
        <v>30022</v>
      </c>
      <c r="E22531" s="0" t="inlineStr">
        <is>
          <t xml:space="preserve">Mazda</t>
        </is>
      </c>
      <c r="F22531" s="0" t="inlineStr">
        <is>
          <t xml:space="preserve">Mazda</t>
        </is>
      </c>
      <c r="G22531" s="0" t="s">
        <v>171</v>
      </c>
      <c r="H22531" s="5">
        <v>353.664400</v>
      </c>
    </row>
    <row r="22532" spans="1:9">
      <c r="A22532" s="22" t="str">
        <f>HYPERLINK("https://app.vivvix.com/360/KMI/IntelliDrive/ApplUI/Pages/CreativePages/CustomReportCreativeDetail.aspx?App=23&amp;ReportView=4&amp;Qid=1711279&amp;Row=22524&amp;Col=1","No Title Assigned - #15280976183")</f>
        <v/>
      </c>
      <c r="B22532" s="0" t="s">
        <v>30023</v>
      </c>
      <c r="E22532" s="0" t="inlineStr">
        <is>
          <t xml:space="preserve">Mazda</t>
        </is>
      </c>
      <c r="F22532" s="0" t="inlineStr">
        <is>
          <t xml:space="preserve">Mazda</t>
        </is>
      </c>
      <c r="G22532" s="0" t="s">
        <v>171</v>
      </c>
      <c r="H22532" s="5">
        <v>51.479400</v>
      </c>
    </row>
    <row r="22533" spans="1:9">
      <c r="A22533" s="22" t="str">
        <f>HYPERLINK("https://app.vivvix.com/360/KMI/IntelliDrive/ApplUI/Pages/CreativePages/CustomReportCreativeDetail.aspx?App=23&amp;ReportView=4&amp;Qid=1711279&amp;Row=22525&amp;Col=1","No Title Assigned - #15280976261")</f>
        <v/>
      </c>
      <c r="B22533" s="0" t="s">
        <v>30024</v>
      </c>
      <c r="E22533" s="0" t="inlineStr">
        <is>
          <t xml:space="preserve">Mazda</t>
        </is>
      </c>
      <c r="F22533" s="0" t="inlineStr">
        <is>
          <t xml:space="preserve">Mazda</t>
        </is>
      </c>
      <c r="G22533" s="0" t="s">
        <v>171</v>
      </c>
      <c r="H22533" s="5">
        <v>503.145500</v>
      </c>
    </row>
    <row r="22534" spans="1:9">
      <c r="A22534" s="22" t="str">
        <f>HYPERLINK("https://app.vivvix.com/360/KMI/IntelliDrive/ApplUI/Pages/CreativePages/CustomReportCreativeDetail.aspx?App=23&amp;ReportView=4&amp;Qid=1711279&amp;Row=22526&amp;Col=1","No Title Assigned - #15280976261")</f>
        <v/>
      </c>
      <c r="B22534" s="0" t="s">
        <v>30024</v>
      </c>
      <c r="E22534" s="0" t="inlineStr">
        <is>
          <t xml:space="preserve">Mazda</t>
        </is>
      </c>
      <c r="F22534" s="0" t="inlineStr">
        <is>
          <t xml:space="preserve">Mazda</t>
        </is>
      </c>
      <c r="G22534" s="0" t="s">
        <v>171</v>
      </c>
      <c r="H22534" s="5">
        <v>159.779100</v>
      </c>
    </row>
    <row r="22535" spans="1:9">
      <c r="A22535" s="22" t="str">
        <f>HYPERLINK("https://app.vivvix.com/360/KMI/IntelliDrive/ApplUI/Pages/CreativePages/CustomReportCreativeDetail.aspx?App=23&amp;ReportView=4&amp;Qid=1711279&amp;Row=22527&amp;Col=1","No Title Assigned - #15280976498")</f>
        <v/>
      </c>
      <c r="B22535" s="0" t="s">
        <v>30025</v>
      </c>
      <c r="E22535" s="0" t="inlineStr">
        <is>
          <t xml:space="preserve">Mazda</t>
        </is>
      </c>
      <c r="F22535" s="0" t="inlineStr">
        <is>
          <t xml:space="preserve">Mazda</t>
        </is>
      </c>
      <c r="G22535" s="0" t="s">
        <v>171</v>
      </c>
      <c r="H22535" s="5">
        <v>168.579700</v>
      </c>
    </row>
    <row r="22536" spans="1:9">
      <c r="A22536" s="22" t="str">
        <f>HYPERLINK("https://app.vivvix.com/360/KMI/IntelliDrive/ApplUI/Pages/CreativePages/CustomReportCreativeDetail.aspx?App=23&amp;ReportView=4&amp;Qid=1711279&amp;Row=22528&amp;Col=1","No Title Assigned - #15280977283")</f>
        <v/>
      </c>
      <c r="B22536" s="0" t="s">
        <v>30026</v>
      </c>
      <c r="E22536" s="0" t="inlineStr">
        <is>
          <t xml:space="preserve">Mazda</t>
        </is>
      </c>
      <c r="F22536" s="0" t="inlineStr">
        <is>
          <t xml:space="preserve">Mazda</t>
        </is>
      </c>
      <c r="G22536" s="0" t="s">
        <v>171</v>
      </c>
      <c r="H22536" s="5">
        <v>5.303600</v>
      </c>
    </row>
    <row r="22537" spans="1:9">
      <c r="A22537" s="22" t="str">
        <f>HYPERLINK("https://app.vivvix.com/360/KMI/IntelliDrive/ApplUI/Pages/CreativePages/CustomReportCreativeDetail.aspx?App=23&amp;ReportView=4&amp;Qid=1711279&amp;Row=22529&amp;Col=1","No Title Assigned - #15280977523")</f>
        <v/>
      </c>
      <c r="B22537" s="0" t="s">
        <v>30027</v>
      </c>
      <c r="E22537" s="0" t="inlineStr">
        <is>
          <t xml:space="preserve">Mazda</t>
        </is>
      </c>
      <c r="F22537" s="0" t="inlineStr">
        <is>
          <t xml:space="preserve">Mazda</t>
        </is>
      </c>
      <c r="G22537" s="0" t="s">
        <v>171</v>
      </c>
      <c r="H22537" s="5">
        <v>291.834000</v>
      </c>
    </row>
    <row r="22538" spans="1:9">
      <c r="A22538" s="22" t="str">
        <f>HYPERLINK("https://app.vivvix.com/360/KMI/IntelliDrive/ApplUI/Pages/CreativePages/CustomReportCreativeDetail.aspx?App=23&amp;ReportView=4&amp;Qid=1711279&amp;Row=22530&amp;Col=1","No Title Assigned - #15280979172")</f>
        <v/>
      </c>
      <c r="B22538" s="0" t="s">
        <v>30028</v>
      </c>
      <c r="E22538" s="0" t="inlineStr">
        <is>
          <t xml:space="preserve">Mazda</t>
        </is>
      </c>
      <c r="F22538" s="0" t="inlineStr">
        <is>
          <t xml:space="preserve">Mazda</t>
        </is>
      </c>
      <c r="G22538" s="0" t="s">
        <v>171</v>
      </c>
      <c r="H22538" s="5">
        <v>263.097400</v>
      </c>
    </row>
    <row r="22539" spans="1:9">
      <c r="A22539" s="22" t="str">
        <f>HYPERLINK("https://app.vivvix.com/360/KMI/IntelliDrive/ApplUI/Pages/CreativePages/CustomReportCreativeDetail.aspx?App=23&amp;ReportView=4&amp;Qid=1711279&amp;Row=22531&amp;Col=1","No Title Assigned - #15280980567")</f>
        <v/>
      </c>
      <c r="B22539" s="0" t="s">
        <v>30029</v>
      </c>
      <c r="E22539" s="0" t="inlineStr">
        <is>
          <t xml:space="preserve">Mazda</t>
        </is>
      </c>
      <c r="F22539" s="0" t="inlineStr">
        <is>
          <t xml:space="preserve">Mazda</t>
        </is>
      </c>
      <c r="G22539" s="0" t="s">
        <v>171</v>
      </c>
      <c r="H22539" s="5">
        <v>17.884200</v>
      </c>
    </row>
    <row r="22540" spans="1:9">
      <c r="A22540" s="22" t="str">
        <f>HYPERLINK("https://app.vivvix.com/360/KMI/IntelliDrive/ApplUI/Pages/CreativePages/CustomReportCreativeDetail.aspx?App=23&amp;ReportView=4&amp;Qid=1711279&amp;Row=22532&amp;Col=1","No Title Assigned - #15280980649")</f>
        <v/>
      </c>
      <c r="B22540" s="0" t="s">
        <v>30030</v>
      </c>
      <c r="C22540" s="0" t="s">
        <v>30031</v>
      </c>
      <c r="D22540" s="0" t="s">
        <v>30031</v>
      </c>
      <c r="E22540" s="0" t="inlineStr">
        <is>
          <t xml:space="preserve">Mazda</t>
        </is>
      </c>
      <c r="F22540" s="0" t="inlineStr">
        <is>
          <t xml:space="preserve">Mazda</t>
        </is>
      </c>
      <c r="G22540" s="0" t="s">
        <v>171</v>
      </c>
      <c r="H22540" s="5">
        <v>385.390500</v>
      </c>
    </row>
    <row r="22541" spans="1:9">
      <c r="A22541" s="22" t="str">
        <f>HYPERLINK("https://app.vivvix.com/360/KMI/IntelliDrive/ApplUI/Pages/CreativePages/CustomReportCreativeDetail.aspx?App=23&amp;ReportView=4&amp;Qid=1711279&amp;Row=22533&amp;Col=1","No Title Assigned - #15280980741")</f>
        <v/>
      </c>
      <c r="B22541" s="0" t="s">
        <v>30032</v>
      </c>
      <c r="E22541" s="0" t="inlineStr">
        <is>
          <t xml:space="preserve">Mazda</t>
        </is>
      </c>
      <c r="F22541" s="0" t="inlineStr">
        <is>
          <t xml:space="preserve">Mazda</t>
        </is>
      </c>
      <c r="G22541" s="0" t="s">
        <v>171</v>
      </c>
      <c r="H22541" s="5">
        <v>169.956400</v>
      </c>
    </row>
    <row r="22542" spans="1:9">
      <c r="A22542" s="22" t="str">
        <f>HYPERLINK("https://app.vivvix.com/360/KMI/IntelliDrive/ApplUI/Pages/CreativePages/CustomReportCreativeDetail.aspx?App=23&amp;ReportView=4&amp;Qid=1711279&amp;Row=22534&amp;Col=1","No Title Assigned - #15280981049")</f>
        <v/>
      </c>
      <c r="B22542" s="0" t="s">
        <v>30033</v>
      </c>
      <c r="E22542" s="0" t="inlineStr">
        <is>
          <t xml:space="preserve">Mazda</t>
        </is>
      </c>
      <c r="F22542" s="0" t="inlineStr">
        <is>
          <t xml:space="preserve">Mazda</t>
        </is>
      </c>
      <c r="G22542" s="0" t="s">
        <v>171</v>
      </c>
      <c r="H22542" s="5">
        <v>17.799600</v>
      </c>
    </row>
    <row r="22543" spans="1:9">
      <c r="A22543" s="22" t="str">
        <f>HYPERLINK("https://app.vivvix.com/360/KMI/IntelliDrive/ApplUI/Pages/CreativePages/CustomReportCreativeDetail.aspx?App=23&amp;ReportView=4&amp;Qid=1711279&amp;Row=22535&amp;Col=1","No Title Assigned - #15280981482")</f>
        <v/>
      </c>
      <c r="B22543" s="0" t="s">
        <v>30034</v>
      </c>
      <c r="E22543" s="0" t="inlineStr">
        <is>
          <t xml:space="preserve">Mazda</t>
        </is>
      </c>
      <c r="F22543" s="0" t="inlineStr">
        <is>
          <t xml:space="preserve">Mazda</t>
        </is>
      </c>
      <c r="G22543" s="0" t="s">
        <v>171</v>
      </c>
      <c r="H22543" s="5">
        <v>100.340500</v>
      </c>
    </row>
    <row r="22544" spans="1:9">
      <c r="A22544" s="22" t="str">
        <f>HYPERLINK("https://app.vivvix.com/360/KMI/IntelliDrive/ApplUI/Pages/CreativePages/CustomReportCreativeDetail.aspx?App=23&amp;ReportView=4&amp;Qid=1711279&amp;Row=22536&amp;Col=1","No Title Assigned - #15280981674")</f>
        <v/>
      </c>
      <c r="B22544" s="0" t="s">
        <v>30035</v>
      </c>
      <c r="E22544" s="0" t="inlineStr">
        <is>
          <t xml:space="preserve">Mazda</t>
        </is>
      </c>
      <c r="F22544" s="0" t="inlineStr">
        <is>
          <t xml:space="preserve">Mazda</t>
        </is>
      </c>
      <c r="G22544" s="0" t="s">
        <v>171</v>
      </c>
      <c r="H22544" s="5">
        <v>699.535100</v>
      </c>
    </row>
    <row r="22545" spans="1:9">
      <c r="A22545" s="22" t="str">
        <f>HYPERLINK("https://app.vivvix.com/360/KMI/IntelliDrive/ApplUI/Pages/CreativePages/CustomReportCreativeDetail.aspx?App=23&amp;ReportView=4&amp;Qid=1711279&amp;Row=22537&amp;Col=1","No Title Assigned - #15280981922")</f>
        <v/>
      </c>
      <c r="B22545" s="0" t="s">
        <v>30036</v>
      </c>
      <c r="E22545" s="0" t="inlineStr">
        <is>
          <t xml:space="preserve">Mazda</t>
        </is>
      </c>
      <c r="F22545" s="0" t="inlineStr">
        <is>
          <t xml:space="preserve">Mazda</t>
        </is>
      </c>
      <c r="G22545" s="0" t="s">
        <v>171</v>
      </c>
      <c r="H22545" s="5">
        <v>145.860500</v>
      </c>
    </row>
    <row r="22546" spans="1:9">
      <c r="A22546" s="22" t="str">
        <f>HYPERLINK("https://app.vivvix.com/360/KMI/IntelliDrive/ApplUI/Pages/CreativePages/CustomReportCreativeDetail.aspx?App=23&amp;ReportView=4&amp;Qid=1711279&amp;Row=22538&amp;Col=1","No Title Assigned - #15280983098")</f>
        <v/>
      </c>
      <c r="B22546" s="0" t="s">
        <v>30037</v>
      </c>
      <c r="C22546" s="0" t="s">
        <v>30038</v>
      </c>
      <c r="D22546" s="0" t="s">
        <v>30038</v>
      </c>
      <c r="E22546" s="0" t="inlineStr">
        <is>
          <t xml:space="preserve">Mazda</t>
        </is>
      </c>
      <c r="F22546" s="0" t="inlineStr">
        <is>
          <t xml:space="preserve">Mazda</t>
        </is>
      </c>
      <c r="G22546" s="0" t="s">
        <v>171</v>
      </c>
      <c r="H22546" s="5">
        <v>421.569600</v>
      </c>
    </row>
    <row r="22547" spans="1:9">
      <c r="A22547" s="22" t="str">
        <f>HYPERLINK("https://app.vivvix.com/360/KMI/IntelliDrive/ApplUI/Pages/CreativePages/CustomReportCreativeDetail.aspx?App=23&amp;ReportView=4&amp;Qid=1711279&amp;Row=22539&amp;Col=1","No Title Assigned - #15280984711")</f>
        <v/>
      </c>
      <c r="B22547" s="0" t="s">
        <v>30039</v>
      </c>
      <c r="E22547" s="0" t="inlineStr">
        <is>
          <t xml:space="preserve">Mazda</t>
        </is>
      </c>
      <c r="F22547" s="0" t="inlineStr">
        <is>
          <t xml:space="preserve">Mazda</t>
        </is>
      </c>
      <c r="G22547" s="0" t="s">
        <v>171</v>
      </c>
      <c r="H22547" s="5">
        <v>10.607200</v>
      </c>
    </row>
    <row r="22548" spans="1:9">
      <c r="A22548" s="22" t="str">
        <f>HYPERLINK("https://app.vivvix.com/360/KMI/IntelliDrive/ApplUI/Pages/CreativePages/CustomReportCreativeDetail.aspx?App=23&amp;ReportView=4&amp;Qid=1711279&amp;Row=22540&amp;Col=1","No Title Assigned - #15280985266")</f>
        <v/>
      </c>
      <c r="B22548" s="0" t="s">
        <v>30040</v>
      </c>
      <c r="C22548" s="0" t="s">
        <v>30041</v>
      </c>
      <c r="D22548" s="0" t="s">
        <v>17671</v>
      </c>
      <c r="E22548" s="0" t="inlineStr">
        <is>
          <t xml:space="preserve">Mazda</t>
        </is>
      </c>
      <c r="F22548" s="0" t="s">
        <v>13</v>
      </c>
      <c r="G22548" s="0" t="s">
        <v>49</v>
      </c>
      <c r="H22548" s="5">
        <v>107.585600</v>
      </c>
    </row>
    <row r="22549" spans="1:9">
      <c r="A22549" s="22" t="str">
        <f>HYPERLINK("https://app.vivvix.com/360/KMI/IntelliDrive/ApplUI/Pages/CreativePages/CustomReportCreativeDetail.aspx?App=23&amp;ReportView=4&amp;Qid=1711279&amp;Row=22541&amp;Col=1","No Title Assigned - #15280985903")</f>
        <v/>
      </c>
      <c r="B22549" s="0" t="s">
        <v>30042</v>
      </c>
      <c r="E22549" s="0" t="inlineStr">
        <is>
          <t xml:space="preserve">Mazda</t>
        </is>
      </c>
      <c r="F22549" s="0" t="inlineStr">
        <is>
          <t xml:space="preserve">Mazda</t>
        </is>
      </c>
      <c r="G22549" s="0" t="s">
        <v>171</v>
      </c>
      <c r="H22549" s="5">
        <v>328.348000</v>
      </c>
    </row>
    <row r="22550" spans="1:9">
      <c r="A22550" s="22" t="str">
        <f>HYPERLINK("https://app.vivvix.com/360/KMI/IntelliDrive/ApplUI/Pages/CreativePages/CustomReportCreativeDetail.aspx?App=23&amp;ReportView=4&amp;Qid=1711279&amp;Row=22542&amp;Col=1","No Title Assigned - #15280991983")</f>
        <v/>
      </c>
      <c r="B22550" s="0" t="s">
        <v>30043</v>
      </c>
      <c r="E22550" s="0" t="inlineStr">
        <is>
          <t xml:space="preserve">Mazda</t>
        </is>
      </c>
      <c r="F22550" s="0" t="inlineStr">
        <is>
          <t xml:space="preserve">Mazda</t>
        </is>
      </c>
      <c r="G22550" s="0" t="s">
        <v>171</v>
      </c>
      <c r="H22550" s="5">
        <v>736.655500</v>
      </c>
    </row>
    <row r="22551" spans="1:9">
      <c r="A22551" s="22" t="str">
        <f>HYPERLINK("https://app.vivvix.com/360/KMI/IntelliDrive/ApplUI/Pages/CreativePages/CustomReportCreativeDetail.aspx?App=23&amp;ReportView=4&amp;Qid=1711279&amp;Row=22543&amp;Col=1","No Title Assigned - #15280992778")</f>
        <v/>
      </c>
      <c r="B22551" s="0" t="s">
        <v>30044</v>
      </c>
      <c r="E22551" s="0" t="inlineStr">
        <is>
          <t xml:space="preserve">Mazda</t>
        </is>
      </c>
      <c r="F22551" s="0" t="inlineStr">
        <is>
          <t xml:space="preserve">Mazda</t>
        </is>
      </c>
      <c r="G22551" s="0" t="s">
        <v>171</v>
      </c>
      <c r="H22551" s="5">
        <v>137.171400</v>
      </c>
    </row>
    <row r="22552" spans="1:9">
      <c r="A22552" s="22" t="str">
        <f>HYPERLINK("https://app.vivvix.com/360/KMI/IntelliDrive/ApplUI/Pages/CreativePages/CustomReportCreativeDetail.aspx?App=23&amp;ReportView=4&amp;Qid=1711279&amp;Row=22544&amp;Col=1","No Title Assigned - #15280993335")</f>
        <v/>
      </c>
      <c r="B22552" s="0" t="s">
        <v>30045</v>
      </c>
      <c r="E22552" s="0" t="inlineStr">
        <is>
          <t xml:space="preserve">Mazda</t>
        </is>
      </c>
      <c r="F22552" s="0" t="inlineStr">
        <is>
          <t xml:space="preserve">Mazda</t>
        </is>
      </c>
      <c r="G22552" s="0" t="s">
        <v>171</v>
      </c>
      <c r="H22552" s="5">
        <v>91.980900</v>
      </c>
    </row>
    <row r="22553" spans="1:9">
      <c r="A22553" s="22" t="str">
        <f>HYPERLINK("https://app.vivvix.com/360/KMI/IntelliDrive/ApplUI/Pages/CreativePages/CustomReportCreativeDetail.aspx?App=23&amp;ReportView=4&amp;Qid=1711279&amp;Row=22545&amp;Col=1","No Title Assigned - #15281006445")</f>
        <v/>
      </c>
      <c r="B22553" s="0" t="s">
        <v>30046</v>
      </c>
      <c r="C22553" s="0" t="s">
        <v>30047</v>
      </c>
      <c r="D22553" s="0" t="s">
        <v>30047</v>
      </c>
      <c r="E22553" s="0" t="inlineStr">
        <is>
          <t xml:space="preserve">Mazda</t>
        </is>
      </c>
      <c r="F22553" s="0" t="s">
        <v>56</v>
      </c>
      <c r="G22553" s="0" t="s">
        <v>57</v>
      </c>
      <c r="H22553" s="5">
        <v>158.088600</v>
      </c>
    </row>
    <row r="22554" spans="1:9">
      <c r="A22554" s="22" t="str">
        <f>HYPERLINK("https://app.vivvix.com/360/KMI/IntelliDrive/ApplUI/Pages/CreativePages/CustomReportCreativeDetail.aspx?App=23&amp;ReportView=4&amp;Qid=1711279&amp;Row=22546&amp;Col=1","No Title Assigned - #15281012218")</f>
        <v/>
      </c>
      <c r="B22554" s="0" t="s">
        <v>30048</v>
      </c>
      <c r="C22554" s="0" t="s">
        <v>30049</v>
      </c>
      <c r="D22554" s="0" t="s">
        <v>30049</v>
      </c>
      <c r="E22554" s="0" t="inlineStr">
        <is>
          <t xml:space="preserve">Mazda</t>
        </is>
      </c>
      <c r="F22554" s="0" t="inlineStr">
        <is>
          <t xml:space="preserve">Mazda</t>
        </is>
      </c>
      <c r="G22554" s="0" t="s">
        <v>210</v>
      </c>
      <c r="H22554" s="5">
        <v>1083.112800</v>
      </c>
    </row>
    <row r="22555" spans="1:9">
      <c r="A22555" s="22" t="str">
        <f>HYPERLINK("https://app.vivvix.com/360/KMI/IntelliDrive/ApplUI/Pages/CreativePages/CustomReportCreativeDetail.aspx?App=23&amp;ReportView=4&amp;Qid=1711279&amp;Row=22547&amp;Col=1","No Title Assigned - #15281013542")</f>
        <v/>
      </c>
      <c r="B22555" s="0" t="s">
        <v>30050</v>
      </c>
      <c r="C22555" s="0" t="s">
        <v>30051</v>
      </c>
      <c r="D22555" s="0" t="s">
        <v>30051</v>
      </c>
      <c r="E22555" s="0" t="inlineStr">
        <is>
          <t xml:space="preserve">Mazda</t>
        </is>
      </c>
      <c r="F22555" s="0" t="s">
        <v>17</v>
      </c>
      <c r="G22555" s="0" t="s">
        <v>33</v>
      </c>
      <c r="H22555" s="5">
        <v>1083.112800</v>
      </c>
    </row>
    <row r="22556" spans="1:9">
      <c r="A22556" s="22" t="str">
        <f>HYPERLINK("https://app.vivvix.com/360/KMI/IntelliDrive/ApplUI/Pages/CreativePages/CustomReportCreativeDetail.aspx?App=23&amp;ReportView=4&amp;Qid=1711279&amp;Row=22548&amp;Col=1","No Title Assigned - #15281014513")</f>
        <v/>
      </c>
      <c r="B22556" s="0" t="s">
        <v>30052</v>
      </c>
      <c r="C22556" s="0" t="s">
        <v>30053</v>
      </c>
      <c r="D22556" s="0" t="s">
        <v>9850</v>
      </c>
      <c r="E22556" s="0" t="inlineStr">
        <is>
          <t xml:space="preserve">Mazda</t>
        </is>
      </c>
      <c r="F22556" s="0" t="s">
        <v>13</v>
      </c>
      <c r="G22556" s="0" t="s">
        <v>49</v>
      </c>
      <c r="H22556" s="5">
        <v>144.903300</v>
      </c>
    </row>
    <row r="22557" spans="1:9">
      <c r="A22557" s="22" t="str">
        <f>HYPERLINK("https://app.vivvix.com/360/KMI/IntelliDrive/ApplUI/Pages/CreativePages/CustomReportCreativeDetail.aspx?App=23&amp;ReportView=4&amp;Qid=1711279&amp;Row=22549&amp;Col=1","No Title Assigned - #15281017483")</f>
        <v/>
      </c>
      <c r="B22557" s="0" t="s">
        <v>30054</v>
      </c>
      <c r="C22557" s="0" t="s">
        <v>30055</v>
      </c>
      <c r="D22557" s="0" t="s">
        <v>30055</v>
      </c>
      <c r="E22557" s="0" t="inlineStr">
        <is>
          <t xml:space="preserve">Mazda</t>
        </is>
      </c>
      <c r="F22557" s="0" t="s">
        <v>13</v>
      </c>
      <c r="G22557" s="0" t="s">
        <v>49</v>
      </c>
      <c r="H22557" s="5">
        <v>43.531700</v>
      </c>
    </row>
    <row r="22558" spans="1:9">
      <c r="A22558" s="22" t="str">
        <f>HYPERLINK("https://app.vivvix.com/360/KMI/IntelliDrive/ApplUI/Pages/CreativePages/CustomReportCreativeDetail.aspx?App=23&amp;ReportView=4&amp;Qid=1711279&amp;Row=22550&amp;Col=1","No Title Assigned - #15281017492")</f>
        <v/>
      </c>
      <c r="B22558" s="0" t="s">
        <v>30056</v>
      </c>
      <c r="C22558" s="0" t="s">
        <v>30057</v>
      </c>
      <c r="D22558" s="0" t="s">
        <v>30057</v>
      </c>
      <c r="E22558" s="0" t="inlineStr">
        <is>
          <t xml:space="preserve">Mazda</t>
        </is>
      </c>
      <c r="F22558" s="0" t="s">
        <v>13</v>
      </c>
      <c r="G22558" s="0" t="s">
        <v>49</v>
      </c>
      <c r="H22558" s="5">
        <v>156.763700</v>
      </c>
    </row>
    <row r="22559" spans="1:9">
      <c r="A22559" s="22" t="str">
        <f>HYPERLINK("https://app.vivvix.com/360/KMI/IntelliDrive/ApplUI/Pages/CreativePages/CustomReportCreativeDetail.aspx?App=23&amp;ReportView=4&amp;Qid=1711279&amp;Row=22551&amp;Col=1","No Title Assigned - #15281017548")</f>
        <v/>
      </c>
      <c r="B22559" s="0" t="s">
        <v>30058</v>
      </c>
      <c r="C22559" s="0" t="s">
        <v>30059</v>
      </c>
      <c r="D22559" s="0" t="s">
        <v>30059</v>
      </c>
      <c r="E22559" s="0" t="inlineStr">
        <is>
          <t xml:space="preserve">Mazda</t>
        </is>
      </c>
      <c r="F22559" s="0" t="s">
        <v>13</v>
      </c>
      <c r="G22559" s="0" t="s">
        <v>49</v>
      </c>
      <c r="H22559" s="5">
        <v>5.292900</v>
      </c>
    </row>
    <row r="22560" spans="1:9">
      <c r="A22560" s="22" t="str">
        <f>HYPERLINK("https://app.vivvix.com/360/KMI/IntelliDrive/ApplUI/Pages/CreativePages/CustomReportCreativeDetail.aspx?App=23&amp;ReportView=4&amp;Qid=1711279&amp;Row=22552&amp;Col=1","No Title Assigned - #15281019492")</f>
        <v/>
      </c>
      <c r="B22560" s="0" t="s">
        <v>30060</v>
      </c>
      <c r="C22560" s="0" t="s">
        <v>30061</v>
      </c>
      <c r="D22560" s="0" t="s">
        <v>30061</v>
      </c>
      <c r="E22560" s="0" t="inlineStr">
        <is>
          <t xml:space="preserve">Mazda</t>
        </is>
      </c>
      <c r="F22560" s="0" t="s">
        <v>13</v>
      </c>
      <c r="G22560" s="0" t="s">
        <v>49</v>
      </c>
      <c r="H22560" s="5">
        <v>78.621100</v>
      </c>
    </row>
    <row r="22561" spans="1:9">
      <c r="A22561" s="22" t="str">
        <f>HYPERLINK("https://app.vivvix.com/360/KMI/IntelliDrive/ApplUI/Pages/CreativePages/CustomReportCreativeDetail.aspx?App=23&amp;ReportView=4&amp;Qid=1711279&amp;Row=22553&amp;Col=1","No Title Assigned - #15281020103")</f>
        <v/>
      </c>
      <c r="B22561" s="0" t="s">
        <v>30062</v>
      </c>
      <c r="C22561" s="0" t="s">
        <v>30063</v>
      </c>
      <c r="D22561" s="0" t="s">
        <v>30063</v>
      </c>
      <c r="E22561" s="0" t="inlineStr">
        <is>
          <t xml:space="preserve">Mazda</t>
        </is>
      </c>
      <c r="F22561" s="0" t="s">
        <v>17</v>
      </c>
      <c r="G22561" s="0" t="s">
        <v>33</v>
      </c>
      <c r="H22561" s="5">
        <v>463.862400</v>
      </c>
    </row>
    <row r="22562" spans="1:9">
      <c r="A22562" s="22" t="str">
        <f>HYPERLINK("https://app.vivvix.com/360/KMI/IntelliDrive/ApplUI/Pages/CreativePages/CustomReportCreativeDetail.aspx?App=23&amp;ReportView=4&amp;Qid=1711279&amp;Row=22554&amp;Col=1","No Title Assigned - #15281020290")</f>
        <v/>
      </c>
      <c r="B22562" s="0" t="s">
        <v>30064</v>
      </c>
      <c r="C22562" s="0" t="s">
        <v>30065</v>
      </c>
      <c r="D22562" s="0" t="s">
        <v>4452</v>
      </c>
      <c r="E22562" s="0" t="inlineStr">
        <is>
          <t xml:space="preserve">Mazda</t>
        </is>
      </c>
      <c r="F22562" s="0" t="s">
        <v>369</v>
      </c>
      <c r="G22562" s="0" t="s">
        <v>370</v>
      </c>
      <c r="H22562" s="5">
        <v>9.389100</v>
      </c>
    </row>
    <row r="22563" spans="1:9">
      <c r="A22563" s="22" t="str">
        <f>HYPERLINK("https://app.vivvix.com/360/KMI/IntelliDrive/ApplUI/Pages/CreativePages/CustomReportCreativeDetail.aspx?App=23&amp;ReportView=4&amp;Qid=1711279&amp;Row=22555&amp;Col=1","No Title Assigned - #15281021080")</f>
        <v/>
      </c>
      <c r="B22563" s="0" t="s">
        <v>30066</v>
      </c>
      <c r="C22563" s="0" t="s">
        <v>30067</v>
      </c>
      <c r="D22563" s="0" t="s">
        <v>24212</v>
      </c>
      <c r="E22563" s="0" t="inlineStr">
        <is>
          <t xml:space="preserve">Mazda</t>
        </is>
      </c>
      <c r="F22563" s="0" t="s">
        <v>13</v>
      </c>
      <c r="G22563" s="0" t="s">
        <v>49</v>
      </c>
      <c r="H22563" s="5">
        <v>43.531700</v>
      </c>
    </row>
    <row r="22564" spans="1:9">
      <c r="A22564" s="22" t="str">
        <f>HYPERLINK("https://app.vivvix.com/360/KMI/IntelliDrive/ApplUI/Pages/CreativePages/CustomReportCreativeDetail.aspx?App=23&amp;ReportView=4&amp;Qid=1711279&amp;Row=22556&amp;Col=1","No Title Assigned - #15281021192")</f>
        <v/>
      </c>
      <c r="B22564" s="0" t="s">
        <v>30068</v>
      </c>
      <c r="C22564" s="0" t="s">
        <v>30069</v>
      </c>
      <c r="D22564" s="0" t="s">
        <v>30069</v>
      </c>
      <c r="E22564" s="0" t="inlineStr">
        <is>
          <t xml:space="preserve">Mazda</t>
        </is>
      </c>
      <c r="F22564" s="0" t="s">
        <v>28</v>
      </c>
      <c r="G22564" s="0" t="s">
        <v>29</v>
      </c>
      <c r="H22564" s="5">
        <v>1520.596600</v>
      </c>
    </row>
    <row r="22565" spans="1:9">
      <c r="A22565" s="22" t="str">
        <f>HYPERLINK("https://app.vivvix.com/360/KMI/IntelliDrive/ApplUI/Pages/CreativePages/CustomReportCreativeDetail.aspx?App=23&amp;ReportView=4&amp;Qid=1711279&amp;Row=22557&amp;Col=1","No Title Assigned - #15281022039")</f>
        <v/>
      </c>
      <c r="B22565" s="0" t="s">
        <v>30070</v>
      </c>
      <c r="E22565" s="0" t="inlineStr">
        <is>
          <t xml:space="preserve">Mazda</t>
        </is>
      </c>
      <c r="F22565" s="0" t="inlineStr">
        <is>
          <t xml:space="preserve">Mazda</t>
        </is>
      </c>
      <c r="G22565" s="0" t="s">
        <v>171</v>
      </c>
      <c r="H22565" s="5">
        <v>91.980900</v>
      </c>
    </row>
    <row r="22566" spans="1:9">
      <c r="A22566" s="22" t="str">
        <f>HYPERLINK("https://app.vivvix.com/360/KMI/IntelliDrive/ApplUI/Pages/CreativePages/CustomReportCreativeDetail.aspx?App=23&amp;ReportView=4&amp;Qid=1711279&amp;Row=22558&amp;Col=1","No Title Assigned - #15281022119")</f>
        <v/>
      </c>
      <c r="B22566" s="0" t="s">
        <v>30071</v>
      </c>
      <c r="E22566" s="0" t="inlineStr">
        <is>
          <t xml:space="preserve">Mazda</t>
        </is>
      </c>
      <c r="F22566" s="0" t="inlineStr">
        <is>
          <t xml:space="preserve">Mazda</t>
        </is>
      </c>
      <c r="G22566" s="0" t="s">
        <v>171</v>
      </c>
      <c r="H22566" s="5">
        <v>796.229300</v>
      </c>
    </row>
    <row r="22567" spans="1:9">
      <c r="A22567" s="22" t="str">
        <f>HYPERLINK("https://app.vivvix.com/360/KMI/IntelliDrive/ApplUI/Pages/CreativePages/CustomReportCreativeDetail.aspx?App=23&amp;ReportView=4&amp;Qid=1711279&amp;Row=22559&amp;Col=1","No Title Assigned - #15281025771")</f>
        <v/>
      </c>
      <c r="B22567" s="0" t="s">
        <v>30072</v>
      </c>
      <c r="E22567" s="0" t="inlineStr">
        <is>
          <t xml:space="preserve">Mazda</t>
        </is>
      </c>
      <c r="F22567" s="0" t="inlineStr">
        <is>
          <t xml:space="preserve">Mazda</t>
        </is>
      </c>
      <c r="G22567" s="0" t="s">
        <v>171</v>
      </c>
      <c r="H22567" s="5">
        <v>450.111800</v>
      </c>
    </row>
    <row r="22568" spans="1:9">
      <c r="A22568" s="22" t="str">
        <f>HYPERLINK("https://app.vivvix.com/360/KMI/IntelliDrive/ApplUI/Pages/CreativePages/CustomReportCreativeDetail.aspx?App=23&amp;ReportView=4&amp;Qid=1711279&amp;Row=22560&amp;Col=1","No Title Assigned - #15281025800")</f>
        <v/>
      </c>
      <c r="B22568" s="0" t="s">
        <v>30073</v>
      </c>
      <c r="C22568" s="0" t="s">
        <v>30074</v>
      </c>
      <c r="D22568" s="0" t="s">
        <v>30074</v>
      </c>
      <c r="E22568" s="0" t="inlineStr">
        <is>
          <t xml:space="preserve">Mazda</t>
        </is>
      </c>
      <c r="F22568" s="0" t="inlineStr">
        <is>
          <t xml:space="preserve">Mazda</t>
        </is>
      </c>
      <c r="G22568" s="0" t="s">
        <v>171</v>
      </c>
      <c r="H22568" s="5">
        <v>590.030600</v>
      </c>
    </row>
    <row r="22569" spans="1:9">
      <c r="A22569" s="22" t="str">
        <f>HYPERLINK("https://app.vivvix.com/360/KMI/IntelliDrive/ApplUI/Pages/CreativePages/CustomReportCreativeDetail.aspx?App=23&amp;ReportView=4&amp;Qid=1711279&amp;Row=22561&amp;Col=1","No Title Assigned - #15281025829")</f>
        <v/>
      </c>
      <c r="B22569" s="0" t="s">
        <v>30075</v>
      </c>
      <c r="E22569" s="0" t="inlineStr">
        <is>
          <t xml:space="preserve">Mazda</t>
        </is>
      </c>
      <c r="F22569" s="0" t="inlineStr">
        <is>
          <t xml:space="preserve">Mazda</t>
        </is>
      </c>
      <c r="G22569" s="0" t="s">
        <v>171</v>
      </c>
      <c r="H22569" s="5">
        <v>560.533700</v>
      </c>
    </row>
    <row r="22570" spans="1:9">
      <c r="A22570" s="22" t="str">
        <f>HYPERLINK("https://app.vivvix.com/360/KMI/IntelliDrive/ApplUI/Pages/CreativePages/CustomReportCreativeDetail.aspx?App=23&amp;ReportView=4&amp;Qid=1711279&amp;Row=22562&amp;Col=1","No Title Assigned - #15281026799")</f>
        <v/>
      </c>
      <c r="B22570" s="0" t="s">
        <v>30076</v>
      </c>
      <c r="E22570" s="0" t="inlineStr">
        <is>
          <t xml:space="preserve">Mazda</t>
        </is>
      </c>
      <c r="F22570" s="0" t="inlineStr">
        <is>
          <t xml:space="preserve">Mazda</t>
        </is>
      </c>
      <c r="G22570" s="0" t="s">
        <v>171</v>
      </c>
      <c r="H22570" s="5">
        <v>27.239400</v>
      </c>
    </row>
    <row r="22571" spans="1:9">
      <c r="A22571" s="22" t="str">
        <f>HYPERLINK("https://app.vivvix.com/360/KMI/IntelliDrive/ApplUI/Pages/CreativePages/CustomReportCreativeDetail.aspx?App=23&amp;ReportView=4&amp;Qid=1711279&amp;Row=22563&amp;Col=1","No Title Assigned - #15281029093")</f>
        <v/>
      </c>
      <c r="B22571" s="0" t="s">
        <v>30077</v>
      </c>
      <c r="E22571" s="0" t="inlineStr">
        <is>
          <t xml:space="preserve">Mazda</t>
        </is>
      </c>
      <c r="F22571" s="0" t="inlineStr">
        <is>
          <t xml:space="preserve">Mazda</t>
        </is>
      </c>
      <c r="G22571" s="0" t="s">
        <v>171</v>
      </c>
      <c r="H22571" s="5">
        <v>391.562600</v>
      </c>
    </row>
    <row r="22572" spans="1:9">
      <c r="A22572" s="22" t="str">
        <f>HYPERLINK("https://app.vivvix.com/360/KMI/IntelliDrive/ApplUI/Pages/CreativePages/CustomReportCreativeDetail.aspx?App=23&amp;ReportView=4&amp;Qid=1711279&amp;Row=22564&amp;Col=1","No Title Assigned - #15281029715")</f>
        <v/>
      </c>
      <c r="B22572" s="0" t="s">
        <v>30078</v>
      </c>
      <c r="E22572" s="0" t="inlineStr">
        <is>
          <t xml:space="preserve">Mazda</t>
        </is>
      </c>
      <c r="F22572" s="0" t="inlineStr">
        <is>
          <t xml:space="preserve">Mazda</t>
        </is>
      </c>
      <c r="G22572" s="0" t="s">
        <v>171</v>
      </c>
      <c r="H22572" s="5">
        <v>34.721200</v>
      </c>
    </row>
    <row r="22573" spans="1:9">
      <c r="A22573" s="22" t="str">
        <f>HYPERLINK("https://app.vivvix.com/360/KMI/IntelliDrive/ApplUI/Pages/CreativePages/CustomReportCreativeDetail.aspx?App=23&amp;ReportView=4&amp;Qid=1711279&amp;Row=22565&amp;Col=1","No Title Assigned - #15281030162")</f>
        <v/>
      </c>
      <c r="B22573" s="0" t="s">
        <v>30079</v>
      </c>
      <c r="E22573" s="0" t="inlineStr">
        <is>
          <t xml:space="preserve">Mazda</t>
        </is>
      </c>
      <c r="F22573" s="0" t="inlineStr">
        <is>
          <t xml:space="preserve">Mazda</t>
        </is>
      </c>
      <c r="G22573" s="0" t="s">
        <v>171</v>
      </c>
      <c r="H22573" s="5">
        <v>145.163900</v>
      </c>
    </row>
    <row r="22574" spans="1:9">
      <c r="A22574" s="22" t="str">
        <f>HYPERLINK("https://app.vivvix.com/360/KMI/IntelliDrive/ApplUI/Pages/CreativePages/CustomReportCreativeDetail.aspx?App=23&amp;ReportView=4&amp;Qid=1711279&amp;Row=22566&amp;Col=1","No Title Assigned - #15281031642")</f>
        <v/>
      </c>
      <c r="B22574" s="0" t="s">
        <v>30080</v>
      </c>
      <c r="E22574" s="0" t="inlineStr">
        <is>
          <t xml:space="preserve">Mazda</t>
        </is>
      </c>
      <c r="F22574" s="0" t="inlineStr">
        <is>
          <t xml:space="preserve">Mazda</t>
        </is>
      </c>
      <c r="G22574" s="0" t="s">
        <v>171</v>
      </c>
      <c r="H22574" s="5">
        <v>1862.493900</v>
      </c>
    </row>
    <row r="22575" spans="1:9">
      <c r="A22575" s="22" t="str">
        <f>HYPERLINK("https://app.vivvix.com/360/KMI/IntelliDrive/ApplUI/Pages/CreativePages/CustomReportCreativeDetail.aspx?App=23&amp;ReportView=4&amp;Qid=1711279&amp;Row=22567&amp;Col=1","No Title Assigned - #15281031988")</f>
        <v/>
      </c>
      <c r="B22575" s="0" t="s">
        <v>30081</v>
      </c>
      <c r="C22575" s="0" t="s">
        <v>30082</v>
      </c>
      <c r="D22575" s="0" t="s">
        <v>30082</v>
      </c>
      <c r="E22575" s="0" t="inlineStr">
        <is>
          <t xml:space="preserve">Mazda</t>
        </is>
      </c>
      <c r="F22575" s="0" t="inlineStr">
        <is>
          <t xml:space="preserve">Mazda</t>
        </is>
      </c>
      <c r="G22575" s="0" t="s">
        <v>210</v>
      </c>
      <c r="H22575" s="5">
        <v>1007.686200</v>
      </c>
    </row>
    <row r="22576" spans="1:9">
      <c r="A22576" s="22" t="str">
        <f>HYPERLINK("https://app.vivvix.com/360/KMI/IntelliDrive/ApplUI/Pages/CreativePages/CustomReportCreativeDetail.aspx?App=23&amp;ReportView=4&amp;Qid=1711279&amp;Row=22568&amp;Col=1","No Title Assigned - #15281039212")</f>
        <v/>
      </c>
      <c r="B22576" s="0" t="s">
        <v>30083</v>
      </c>
      <c r="E22576" s="0" t="inlineStr">
        <is>
          <t xml:space="preserve">Mazda</t>
        </is>
      </c>
      <c r="F22576" s="0" t="s">
        <v>13</v>
      </c>
      <c r="G22576" s="0" t="s">
        <v>49</v>
      </c>
      <c r="H22576" s="5">
        <v>102.680200</v>
      </c>
    </row>
    <row r="22577" spans="1:9">
      <c r="A22577" s="22" t="str">
        <f>HYPERLINK("https://app.vivvix.com/360/KMI/IntelliDrive/ApplUI/Pages/CreativePages/CustomReportCreativeDetail.aspx?App=23&amp;ReportView=4&amp;Qid=1711279&amp;Row=22569&amp;Col=1","No Title Assigned - #15281045250")</f>
        <v/>
      </c>
      <c r="B22577" s="0" t="s">
        <v>30084</v>
      </c>
      <c r="C22577" s="0" t="s">
        <v>30085</v>
      </c>
      <c r="D22577" s="0" t="s">
        <v>30085</v>
      </c>
      <c r="E22577" s="0" t="inlineStr">
        <is>
          <t xml:space="preserve">Mazda</t>
        </is>
      </c>
      <c r="F22577" s="0" t="s">
        <v>13</v>
      </c>
      <c r="G22577" s="0" t="s">
        <v>49</v>
      </c>
      <c r="H22577" s="5">
        <v>17.287700</v>
      </c>
    </row>
    <row r="22578" spans="1:9">
      <c r="A22578" s="22" t="str">
        <f>HYPERLINK("https://app.vivvix.com/360/KMI/IntelliDrive/ApplUI/Pages/CreativePages/CustomReportCreativeDetail.aspx?App=23&amp;ReportView=4&amp;Qid=1711279&amp;Row=22570&amp;Col=1","No Title Assigned - #15281046742")</f>
        <v/>
      </c>
      <c r="B22578" s="0" t="s">
        <v>30086</v>
      </c>
      <c r="C22578" s="0" t="s">
        <v>30087</v>
      </c>
      <c r="D22578" s="0" t="s">
        <v>30087</v>
      </c>
      <c r="E22578" s="0" t="inlineStr">
        <is>
          <t xml:space="preserve">Mazda</t>
        </is>
      </c>
      <c r="F22578" s="0" t="s">
        <v>21</v>
      </c>
      <c r="G22578" s="0" t="s">
        <v>22</v>
      </c>
      <c r="H22578" s="5">
        <v>699.685200</v>
      </c>
    </row>
    <row r="22579" spans="1:9">
      <c r="A22579" s="22" t="str">
        <f>HYPERLINK("https://app.vivvix.com/360/KMI/IntelliDrive/ApplUI/Pages/CreativePages/CustomReportCreativeDetail.aspx?App=23&amp;ReportView=4&amp;Qid=1711279&amp;Row=22571&amp;Col=1","No Title Assigned - #15281048087")</f>
        <v/>
      </c>
      <c r="B22579" s="0" t="s">
        <v>30088</v>
      </c>
      <c r="C22579" s="0" t="s">
        <v>30089</v>
      </c>
      <c r="D22579" s="0" t="s">
        <v>29557</v>
      </c>
      <c r="E22579" s="0" t="inlineStr">
        <is>
          <t xml:space="preserve">Mazda</t>
        </is>
      </c>
      <c r="F22579" s="0" t="s">
        <v>28</v>
      </c>
      <c r="G22579" s="0" t="s">
        <v>29</v>
      </c>
      <c r="H22579" s="5">
        <v>3779.577200</v>
      </c>
    </row>
    <row r="22580" spans="1:9">
      <c r="A22580" s="22" t="str">
        <f>HYPERLINK("https://app.vivvix.com/360/KMI/IntelliDrive/ApplUI/Pages/CreativePages/CustomReportCreativeDetail.aspx?App=23&amp;ReportView=4&amp;Qid=1711279&amp;Row=22572&amp;Col=1","No Title Assigned - #15281055876")</f>
        <v/>
      </c>
      <c r="B22580" s="0" t="s">
        <v>30090</v>
      </c>
      <c r="C22580" s="0" t="s">
        <v>30091</v>
      </c>
      <c r="D22580" s="0" t="s">
        <v>30091</v>
      </c>
      <c r="E22580" s="0" t="inlineStr">
        <is>
          <t xml:space="preserve">Mazda</t>
        </is>
      </c>
      <c r="F22580" s="0" t="s">
        <v>13</v>
      </c>
      <c r="G22580" s="0" t="s">
        <v>49</v>
      </c>
      <c r="H22580" s="5">
        <v>740.118400</v>
      </c>
    </row>
    <row r="22581" spans="1:9">
      <c r="A22581" s="22" t="str">
        <f>HYPERLINK("https://app.vivvix.com/360/KMI/IntelliDrive/ApplUI/Pages/CreativePages/CustomReportCreativeDetail.aspx?App=23&amp;ReportView=4&amp;Qid=1711279&amp;Row=22573&amp;Col=1","No Title Assigned - #15281058381")</f>
        <v/>
      </c>
      <c r="B22581" s="0" t="s">
        <v>30092</v>
      </c>
      <c r="C22581" s="0" t="s">
        <v>30093</v>
      </c>
      <c r="D22581" s="0" t="s">
        <v>30093</v>
      </c>
      <c r="E22581" s="0" t="inlineStr">
        <is>
          <t xml:space="preserve">Mazda</t>
        </is>
      </c>
      <c r="F22581" s="0" t="s">
        <v>13</v>
      </c>
      <c r="G22581" s="0" t="s">
        <v>49</v>
      </c>
      <c r="H22581" s="5">
        <v>436.356400</v>
      </c>
    </row>
    <row r="22582" spans="1:9">
      <c r="A22582" s="22" t="str">
        <f>HYPERLINK("https://app.vivvix.com/360/KMI/IntelliDrive/ApplUI/Pages/CreativePages/CustomReportCreativeDetail.aspx?App=23&amp;ReportView=4&amp;Qid=1711279&amp;Row=22574&amp;Col=1","No Title Assigned - #15281058416")</f>
        <v/>
      </c>
      <c r="B22582" s="0" t="s">
        <v>30094</v>
      </c>
      <c r="C22582" s="0" t="s">
        <v>30095</v>
      </c>
      <c r="D22582" s="0" t="s">
        <v>11639</v>
      </c>
      <c r="E22582" s="0" t="inlineStr">
        <is>
          <t xml:space="preserve">Mazda</t>
        </is>
      </c>
      <c r="F22582" s="0" t="s">
        <v>13</v>
      </c>
      <c r="G22582" s="0" t="s">
        <v>49</v>
      </c>
      <c r="H22582" s="5">
        <v>954.672900</v>
      </c>
    </row>
    <row r="22583" spans="1:9">
      <c r="A22583" s="22" t="str">
        <f>HYPERLINK("https://app.vivvix.com/360/KMI/IntelliDrive/ApplUI/Pages/CreativePages/CustomReportCreativeDetail.aspx?App=23&amp;ReportView=4&amp;Qid=1711279&amp;Row=22575&amp;Col=1","No Title Assigned - #15281061253")</f>
        <v/>
      </c>
      <c r="B22583" s="0" t="s">
        <v>30096</v>
      </c>
      <c r="C22583" s="0" t="s">
        <v>30097</v>
      </c>
      <c r="D22583" s="0" t="s">
        <v>30097</v>
      </c>
      <c r="E22583" s="0" t="inlineStr">
        <is>
          <t xml:space="preserve">Mazda</t>
        </is>
      </c>
      <c r="F22583" s="0" t="s">
        <v>13</v>
      </c>
      <c r="G22583" s="0" t="s">
        <v>49</v>
      </c>
      <c r="H22583" s="5">
        <v>337.077800</v>
      </c>
    </row>
    <row r="22584" spans="1:9">
      <c r="A22584" s="22" t="str">
        <f>HYPERLINK("https://app.vivvix.com/360/KMI/IntelliDrive/ApplUI/Pages/CreativePages/CustomReportCreativeDetail.aspx?App=23&amp;ReportView=4&amp;Qid=1711279&amp;Row=22576&amp;Col=1","No Title Assigned - #15281062111")</f>
        <v/>
      </c>
      <c r="B22584" s="0" t="s">
        <v>30098</v>
      </c>
      <c r="C22584" s="0" t="s">
        <v>30099</v>
      </c>
      <c r="D22584" s="0" t="s">
        <v>11639</v>
      </c>
      <c r="E22584" s="0" t="inlineStr">
        <is>
          <t xml:space="preserve">Mazda</t>
        </is>
      </c>
      <c r="F22584" s="0" t="s">
        <v>13</v>
      </c>
      <c r="G22584" s="0" t="s">
        <v>49</v>
      </c>
      <c r="H22584" s="5">
        <v>4538.598100</v>
      </c>
    </row>
    <row r="22585" spans="1:9">
      <c r="A22585" s="22" t="str">
        <f>HYPERLINK("https://app.vivvix.com/360/KMI/IntelliDrive/ApplUI/Pages/CreativePages/CustomReportCreativeDetail.aspx?App=23&amp;ReportView=4&amp;Qid=1711279&amp;Row=22577&amp;Col=1","No Title Assigned - #15281063073")</f>
        <v/>
      </c>
      <c r="B22585" s="0" t="s">
        <v>30100</v>
      </c>
      <c r="E22585" s="0" t="inlineStr">
        <is>
          <t xml:space="preserve">Mazda</t>
        </is>
      </c>
      <c r="F22585" s="0" t="inlineStr">
        <is>
          <t xml:space="preserve">Mazda</t>
        </is>
      </c>
      <c r="G22585" s="0" t="s">
        <v>171</v>
      </c>
      <c r="H22585" s="5">
        <v>453.308700</v>
      </c>
    </row>
    <row r="22586" spans="1:9">
      <c r="A22586" s="22" t="str">
        <f>HYPERLINK("https://app.vivvix.com/360/KMI/IntelliDrive/ApplUI/Pages/CreativePages/CustomReportCreativeDetail.aspx?App=23&amp;ReportView=4&amp;Qid=1711279&amp;Row=22578&amp;Col=1","No Title Assigned - #15281065143")</f>
        <v/>
      </c>
      <c r="B22586" s="0" t="s">
        <v>30101</v>
      </c>
      <c r="C22586" s="0" t="s">
        <v>30102</v>
      </c>
      <c r="D22586" s="0" t="s">
        <v>20089</v>
      </c>
      <c r="E22586" s="0" t="inlineStr">
        <is>
          <t xml:space="preserve">Mazda</t>
        </is>
      </c>
      <c r="F22586" s="0" t="s">
        <v>13</v>
      </c>
      <c r="G22586" s="0" t="s">
        <v>49</v>
      </c>
      <c r="H22586" s="5">
        <v>1085.970000</v>
      </c>
    </row>
    <row r="22587" spans="1:9">
      <c r="A22587" s="22" t="str">
        <f>HYPERLINK("https://app.vivvix.com/360/KMI/IntelliDrive/ApplUI/Pages/CreativePages/CustomReportCreativeDetail.aspx?App=23&amp;ReportView=4&amp;Qid=1711279&amp;Row=22579&amp;Col=1","No Title Assigned - #15281068675")</f>
        <v/>
      </c>
      <c r="B22587" s="0" t="s">
        <v>30103</v>
      </c>
      <c r="C22587" s="0" t="s">
        <v>30104</v>
      </c>
      <c r="D22587" s="0" t="s">
        <v>30104</v>
      </c>
      <c r="E22587" s="0" t="inlineStr">
        <is>
          <t xml:space="preserve">Mazda</t>
        </is>
      </c>
      <c r="F22587" s="0" t="s">
        <v>21</v>
      </c>
      <c r="G22587" s="0" t="s">
        <v>22</v>
      </c>
      <c r="H22587" s="5">
        <v>888.099900</v>
      </c>
    </row>
    <row r="22588" spans="1:9">
      <c r="A22588" s="22" t="str">
        <f>HYPERLINK("https://app.vivvix.com/360/KMI/IntelliDrive/ApplUI/Pages/CreativePages/CustomReportCreativeDetail.aspx?App=23&amp;ReportView=4&amp;Qid=1711279&amp;Row=22580&amp;Col=1","No Title Assigned - #15281071050")</f>
        <v/>
      </c>
      <c r="B22588" s="0" t="s">
        <v>30105</v>
      </c>
      <c r="E22588" s="0" t="inlineStr">
        <is>
          <t xml:space="preserve">Mazda</t>
        </is>
      </c>
      <c r="F22588" s="0" t="inlineStr">
        <is>
          <t xml:space="preserve">Mazda</t>
        </is>
      </c>
      <c r="G22588" s="0" t="s">
        <v>171</v>
      </c>
      <c r="H22588" s="5">
        <v>195.158000</v>
      </c>
    </row>
    <row r="22589" spans="1:9">
      <c r="A22589" s="22" t="str">
        <f>HYPERLINK("https://app.vivvix.com/360/KMI/IntelliDrive/ApplUI/Pages/CreativePages/CustomReportCreativeDetail.aspx?App=23&amp;ReportView=4&amp;Qid=1711279&amp;Row=22581&amp;Col=1","No Title Assigned - #15281072116")</f>
        <v/>
      </c>
      <c r="B22589" s="0" t="s">
        <v>30106</v>
      </c>
      <c r="E22589" s="0" t="inlineStr">
        <is>
          <t xml:space="preserve">Mazda</t>
        </is>
      </c>
      <c r="F22589" s="0" t="inlineStr">
        <is>
          <t xml:space="preserve">Mazda</t>
        </is>
      </c>
      <c r="G22589" s="0" t="s">
        <v>171</v>
      </c>
      <c r="H22589" s="5">
        <v>108.565700</v>
      </c>
    </row>
    <row r="22590" spans="1:9">
      <c r="A22590" s="22" t="str">
        <f>HYPERLINK("https://app.vivvix.com/360/KMI/IntelliDrive/ApplUI/Pages/CreativePages/CustomReportCreativeDetail.aspx?App=23&amp;ReportView=4&amp;Qid=1711279&amp;Row=22582&amp;Col=1","No Title Assigned - #15281072541")</f>
        <v/>
      </c>
      <c r="B22590" s="0" t="s">
        <v>30107</v>
      </c>
      <c r="E22590" s="0" t="inlineStr">
        <is>
          <t xml:space="preserve">Mazda</t>
        </is>
      </c>
      <c r="F22590" s="0" t="inlineStr">
        <is>
          <t xml:space="preserve">Mazda</t>
        </is>
      </c>
      <c r="G22590" s="0" t="s">
        <v>171</v>
      </c>
      <c r="H22590" s="5">
        <v>19.703400</v>
      </c>
    </row>
    <row r="22591" spans="1:9">
      <c r="A22591" s="22" t="str">
        <f>HYPERLINK("https://app.vivvix.com/360/KMI/IntelliDrive/ApplUI/Pages/CreativePages/CustomReportCreativeDetail.aspx?App=23&amp;ReportView=4&amp;Qid=1711279&amp;Row=22583&amp;Col=1","No Title Assigned - #15281072565")</f>
        <v/>
      </c>
      <c r="B22591" s="0" t="s">
        <v>30108</v>
      </c>
      <c r="E22591" s="0" t="inlineStr">
        <is>
          <t xml:space="preserve">Mazda</t>
        </is>
      </c>
      <c r="F22591" s="0" t="inlineStr">
        <is>
          <t xml:space="preserve">Mazda</t>
        </is>
      </c>
      <c r="G22591" s="0" t="s">
        <v>171</v>
      </c>
      <c r="H22591" s="5">
        <v>34.600600</v>
      </c>
    </row>
    <row r="22592" spans="1:9">
      <c r="A22592" s="22" t="str">
        <f>HYPERLINK("https://app.vivvix.com/360/KMI/IntelliDrive/ApplUI/Pages/CreativePages/CustomReportCreativeDetail.aspx?App=23&amp;ReportView=4&amp;Qid=1711279&amp;Row=22584&amp;Col=1","No Title Assigned - #15281073221")</f>
        <v/>
      </c>
      <c r="B22592" s="0" t="s">
        <v>30109</v>
      </c>
      <c r="C22592" s="0" t="s">
        <v>30110</v>
      </c>
      <c r="D22592" s="0" t="s">
        <v>30110</v>
      </c>
      <c r="E22592" s="0" t="inlineStr">
        <is>
          <t xml:space="preserve">Mazda</t>
        </is>
      </c>
      <c r="F22592" s="0" t="inlineStr">
        <is>
          <t xml:space="preserve">Mazda</t>
        </is>
      </c>
      <c r="G22592" s="0" t="s">
        <v>171</v>
      </c>
      <c r="H22592" s="5">
        <v>550.351200</v>
      </c>
    </row>
    <row r="22593" spans="1:9">
      <c r="A22593" s="22" t="str">
        <f>HYPERLINK("https://app.vivvix.com/360/KMI/IntelliDrive/ApplUI/Pages/CreativePages/CustomReportCreativeDetail.aspx?App=23&amp;ReportView=4&amp;Qid=1711279&amp;Row=22585&amp;Col=1","No Title Assigned - #15281073221")</f>
        <v/>
      </c>
      <c r="B22593" s="0" t="s">
        <v>30109</v>
      </c>
      <c r="E22593" s="0" t="inlineStr">
        <is>
          <t xml:space="preserve">Mazda</t>
        </is>
      </c>
      <c r="F22593" s="0" t="inlineStr">
        <is>
          <t xml:space="preserve">Mazda</t>
        </is>
      </c>
      <c r="G22593" s="0" t="s">
        <v>171</v>
      </c>
      <c r="H22593" s="5">
        <v>470.399000</v>
      </c>
    </row>
    <row r="22594" spans="1:9">
      <c r="A22594" s="22" t="str">
        <f>HYPERLINK("https://app.vivvix.com/360/KMI/IntelliDrive/ApplUI/Pages/CreativePages/CustomReportCreativeDetail.aspx?App=23&amp;ReportView=4&amp;Qid=1711279&amp;Row=22586&amp;Col=1","No Title Assigned - #15281073370")</f>
        <v/>
      </c>
      <c r="B22594" s="0" t="s">
        <v>30111</v>
      </c>
      <c r="E22594" s="0" t="inlineStr">
        <is>
          <t xml:space="preserve">Mazda</t>
        </is>
      </c>
      <c r="F22594" s="0" t="inlineStr">
        <is>
          <t xml:space="preserve">Mazda</t>
        </is>
      </c>
      <c r="G22594" s="0" t="s">
        <v>171</v>
      </c>
      <c r="H22594" s="5">
        <v>11.206200</v>
      </c>
    </row>
    <row r="22595" spans="1:9">
      <c r="A22595" s="22" t="str">
        <f>HYPERLINK("https://app.vivvix.com/360/KMI/IntelliDrive/ApplUI/Pages/CreativePages/CustomReportCreativeDetail.aspx?App=23&amp;ReportView=4&amp;Qid=1711279&amp;Row=22587&amp;Col=1","No Title Assigned - #15281074359")</f>
        <v/>
      </c>
      <c r="B22595" s="0" t="s">
        <v>30112</v>
      </c>
      <c r="E22595" s="0" t="inlineStr">
        <is>
          <t xml:space="preserve">Mazda</t>
        </is>
      </c>
      <c r="F22595" s="0" t="inlineStr">
        <is>
          <t xml:space="preserve">Mazda</t>
        </is>
      </c>
      <c r="G22595" s="0" t="s">
        <v>171</v>
      </c>
      <c r="H22595" s="5">
        <v>2716.804800</v>
      </c>
    </row>
    <row r="22596" spans="1:9">
      <c r="A22596" s="22" t="str">
        <f>HYPERLINK("https://app.vivvix.com/360/KMI/IntelliDrive/ApplUI/Pages/CreativePages/CustomReportCreativeDetail.aspx?App=23&amp;ReportView=4&amp;Qid=1711279&amp;Row=22588&amp;Col=1","No Title Assigned - #15281074359")</f>
        <v/>
      </c>
      <c r="B22596" s="0" t="s">
        <v>30112</v>
      </c>
      <c r="E22596" s="0" t="inlineStr">
        <is>
          <t xml:space="preserve">Mazda</t>
        </is>
      </c>
      <c r="F22596" s="0" t="inlineStr">
        <is>
          <t xml:space="preserve">Mazda</t>
        </is>
      </c>
      <c r="G22596" s="0" t="s">
        <v>171</v>
      </c>
      <c r="H22596" s="5">
        <v>865.772600</v>
      </c>
    </row>
    <row r="22597" spans="1:9">
      <c r="A22597" s="22" t="str">
        <f>HYPERLINK("https://app.vivvix.com/360/KMI/IntelliDrive/ApplUI/Pages/CreativePages/CustomReportCreativeDetail.aspx?App=23&amp;ReportView=4&amp;Qid=1711279&amp;Row=22589&amp;Col=1","No Title Assigned - #15281074679")</f>
        <v/>
      </c>
      <c r="B22597" s="0" t="s">
        <v>30113</v>
      </c>
      <c r="E22597" s="0" t="inlineStr">
        <is>
          <t xml:space="preserve">Mazda</t>
        </is>
      </c>
      <c r="F22597" s="0" t="inlineStr">
        <is>
          <t xml:space="preserve">Mazda</t>
        </is>
      </c>
      <c r="G22597" s="0" t="s">
        <v>171</v>
      </c>
      <c r="H22597" s="5">
        <v>10.867100</v>
      </c>
    </row>
    <row r="22598" spans="1:9">
      <c r="A22598" s="22" t="str">
        <f>HYPERLINK("https://app.vivvix.com/360/KMI/IntelliDrive/ApplUI/Pages/CreativePages/CustomReportCreativeDetail.aspx?App=23&amp;ReportView=4&amp;Qid=1711279&amp;Row=22590&amp;Col=1","No Title Assigned - #15281075119")</f>
        <v/>
      </c>
      <c r="B22598" s="0" t="s">
        <v>30114</v>
      </c>
      <c r="E22598" s="0" t="inlineStr">
        <is>
          <t xml:space="preserve">Mazda</t>
        </is>
      </c>
      <c r="F22598" s="0" t="inlineStr">
        <is>
          <t xml:space="preserve">Mazda</t>
        </is>
      </c>
      <c r="G22598" s="0" t="s">
        <v>171</v>
      </c>
      <c r="H22598" s="5">
        <v>19.703400</v>
      </c>
    </row>
    <row r="22599" spans="1:9">
      <c r="A22599" s="22" t="str">
        <f>HYPERLINK("https://app.vivvix.com/360/KMI/IntelliDrive/ApplUI/Pages/CreativePages/CustomReportCreativeDetail.aspx?App=23&amp;ReportView=4&amp;Qid=1711279&amp;Row=22591&amp;Col=1","No Title Assigned - #15281075120")</f>
        <v/>
      </c>
      <c r="B22599" s="0" t="s">
        <v>30115</v>
      </c>
      <c r="E22599" s="0" t="inlineStr">
        <is>
          <t xml:space="preserve">Mazda</t>
        </is>
      </c>
      <c r="F22599" s="0" t="inlineStr">
        <is>
          <t xml:space="preserve">Mazda</t>
        </is>
      </c>
      <c r="G22599" s="0" t="s">
        <v>171</v>
      </c>
      <c r="H22599" s="5">
        <v>9.851700</v>
      </c>
    </row>
    <row r="22600" spans="1:9">
      <c r="A22600" s="22" t="str">
        <f>HYPERLINK("https://app.vivvix.com/360/KMI/IntelliDrive/ApplUI/Pages/CreativePages/CustomReportCreativeDetail.aspx?App=23&amp;ReportView=4&amp;Qid=1711279&amp;Row=22592&amp;Col=1","No Title Assigned - #15281076734")</f>
        <v/>
      </c>
      <c r="B22600" s="0" t="s">
        <v>30116</v>
      </c>
      <c r="C22600" s="0" t="s">
        <v>30117</v>
      </c>
      <c r="D22600" s="0" t="s">
        <v>30117</v>
      </c>
      <c r="E22600" s="0" t="inlineStr">
        <is>
          <t xml:space="preserve">Mazda</t>
        </is>
      </c>
      <c r="F22600" s="0" t="inlineStr">
        <is>
          <t xml:space="preserve">Mazda</t>
        </is>
      </c>
      <c r="G22600" s="0" t="s">
        <v>171</v>
      </c>
      <c r="H22600" s="5">
        <v>198.793800</v>
      </c>
    </row>
    <row r="22601" spans="1:9">
      <c r="A22601" s="22" t="str">
        <f>HYPERLINK("https://app.vivvix.com/360/KMI/IntelliDrive/ApplUI/Pages/CreativePages/CustomReportCreativeDetail.aspx?App=23&amp;ReportView=4&amp;Qid=1711279&amp;Row=22593&amp;Col=1","No Title Assigned - #15281079042")</f>
        <v/>
      </c>
      <c r="B22601" s="0" t="s">
        <v>30118</v>
      </c>
      <c r="E22601" s="0" t="inlineStr">
        <is>
          <t xml:space="preserve">Mazda</t>
        </is>
      </c>
      <c r="F22601" s="0" t="inlineStr">
        <is>
          <t xml:space="preserve">Mazda</t>
        </is>
      </c>
      <c r="G22601" s="0" t="s">
        <v>171</v>
      </c>
      <c r="H22601" s="5">
        <v>1.517600</v>
      </c>
    </row>
    <row r="22602" spans="1:9">
      <c r="A22602" s="22" t="str">
        <f>HYPERLINK("https://app.vivvix.com/360/KMI/IntelliDrive/ApplUI/Pages/CreativePages/CustomReportCreativeDetail.aspx?App=23&amp;ReportView=4&amp;Qid=1711279&amp;Row=22594&amp;Col=1","No Title Assigned - #15281080687")</f>
        <v/>
      </c>
      <c r="B22602" s="0" t="s">
        <v>30119</v>
      </c>
      <c r="E22602" s="0" t="inlineStr">
        <is>
          <t xml:space="preserve">Mazda</t>
        </is>
      </c>
      <c r="F22602" s="0" t="inlineStr">
        <is>
          <t xml:space="preserve">Mazda</t>
        </is>
      </c>
      <c r="G22602" s="0" t="s">
        <v>171</v>
      </c>
      <c r="H22602" s="5">
        <v>83368.710100</v>
      </c>
    </row>
    <row r="22603" spans="1:9">
      <c r="A22603" s="22" t="str">
        <f>HYPERLINK("https://app.vivvix.com/360/KMI/IntelliDrive/ApplUI/Pages/CreativePages/CustomReportCreativeDetail.aspx?App=23&amp;ReportView=4&amp;Qid=1711279&amp;Row=22595&amp;Col=1","No Title Assigned - #15281080687")</f>
        <v/>
      </c>
      <c r="B22603" s="0" t="s">
        <v>30119</v>
      </c>
      <c r="E22603" s="0" t="inlineStr">
        <is>
          <t xml:space="preserve">Mazda</t>
        </is>
      </c>
      <c r="F22603" s="0" t="inlineStr">
        <is>
          <t xml:space="preserve">Mazda</t>
        </is>
      </c>
      <c r="G22603" s="0" t="s">
        <v>171</v>
      </c>
      <c r="H22603" s="5">
        <v>3676.509900</v>
      </c>
    </row>
    <row r="22604" spans="1:9">
      <c r="A22604" s="22" t="str">
        <f>HYPERLINK("https://app.vivvix.com/360/KMI/IntelliDrive/ApplUI/Pages/CreativePages/CustomReportCreativeDetail.aspx?App=23&amp;ReportView=4&amp;Qid=1711279&amp;Row=22596&amp;Col=1","No Title Assigned - #15281080972")</f>
        <v/>
      </c>
      <c r="B22604" s="0" t="s">
        <v>30120</v>
      </c>
      <c r="E22604" s="0" t="inlineStr">
        <is>
          <t xml:space="preserve">Mazda</t>
        </is>
      </c>
      <c r="F22604" s="0" t="inlineStr">
        <is>
          <t xml:space="preserve">Mazda</t>
        </is>
      </c>
      <c r="G22604" s="0" t="s">
        <v>171</v>
      </c>
      <c r="H22604" s="5">
        <v>53.652600</v>
      </c>
    </row>
    <row r="22605" spans="1:9">
      <c r="A22605" s="22" t="str">
        <f>HYPERLINK("https://app.vivvix.com/360/KMI/IntelliDrive/ApplUI/Pages/CreativePages/CustomReportCreativeDetail.aspx?App=23&amp;ReportView=4&amp;Qid=1711279&amp;Row=22597&amp;Col=1","No Title Assigned - #15281081124")</f>
        <v/>
      </c>
      <c r="B22605" s="0" t="s">
        <v>30121</v>
      </c>
      <c r="C22605" s="0" t="s">
        <v>30122</v>
      </c>
      <c r="D22605" s="0" t="s">
        <v>30122</v>
      </c>
      <c r="E22605" s="0" t="inlineStr">
        <is>
          <t xml:space="preserve">Mazda</t>
        </is>
      </c>
      <c r="F22605" s="0" t="inlineStr">
        <is>
          <t xml:space="preserve">Mazda</t>
        </is>
      </c>
      <c r="G22605" s="0" t="s">
        <v>171</v>
      </c>
      <c r="H22605" s="5">
        <v>1.517600</v>
      </c>
    </row>
    <row r="22606" spans="1:9">
      <c r="A22606" s="22" t="str">
        <f>HYPERLINK("https://app.vivvix.com/360/KMI/IntelliDrive/ApplUI/Pages/CreativePages/CustomReportCreativeDetail.aspx?App=23&amp;ReportView=4&amp;Qid=1711279&amp;Row=22598&amp;Col=1","No Title Assigned - #15281125244")</f>
        <v/>
      </c>
      <c r="B22606" s="0" t="s">
        <v>30123</v>
      </c>
      <c r="C22606" s="0" t="s">
        <v>30124</v>
      </c>
      <c r="D22606" s="0" t="s">
        <v>30124</v>
      </c>
      <c r="E22606" s="0" t="inlineStr">
        <is>
          <t xml:space="preserve">Mazda</t>
        </is>
      </c>
      <c r="F22606" s="0" t="s">
        <v>13</v>
      </c>
      <c r="G22606" s="0" t="s">
        <v>49</v>
      </c>
      <c r="H22606" s="5">
        <v>814.094300</v>
      </c>
    </row>
    <row r="22607" spans="1:9">
      <c r="A22607" s="22" t="str">
        <f>HYPERLINK("https://app.vivvix.com/360/KMI/IntelliDrive/ApplUI/Pages/CreativePages/CustomReportCreativeDetail.aspx?App=23&amp;ReportView=4&amp;Qid=1711279&amp;Row=22599&amp;Col=1","No Title Assigned - #15281125364")</f>
        <v/>
      </c>
      <c r="B22607" s="0" t="s">
        <v>30125</v>
      </c>
      <c r="C22607" s="0" t="s">
        <v>30126</v>
      </c>
      <c r="D22607" s="0" t="s">
        <v>22540</v>
      </c>
      <c r="E22607" s="0" t="inlineStr">
        <is>
          <t xml:space="preserve">Mazda</t>
        </is>
      </c>
      <c r="F22607" s="0" t="s">
        <v>13</v>
      </c>
      <c r="G22607" s="0" t="s">
        <v>49</v>
      </c>
      <c r="H22607" s="5">
        <v>32.556300</v>
      </c>
    </row>
    <row r="22608" spans="1:9">
      <c r="A22608" s="22" t="str">
        <f>HYPERLINK("https://app.vivvix.com/360/KMI/IntelliDrive/ApplUI/Pages/CreativePages/CustomReportCreativeDetail.aspx?App=23&amp;ReportView=4&amp;Qid=1711279&amp;Row=22600&amp;Col=1","No Title Assigned - #15281132186")</f>
        <v/>
      </c>
      <c r="B22608" s="0" t="s">
        <v>30127</v>
      </c>
      <c r="C22608" s="0" t="s">
        <v>30128</v>
      </c>
      <c r="D22608" s="0" t="s">
        <v>30128</v>
      </c>
      <c r="E22608" s="0" t="inlineStr">
        <is>
          <t xml:space="preserve">Mazda</t>
        </is>
      </c>
      <c r="F22608" s="0" t="s">
        <v>13</v>
      </c>
      <c r="G22608" s="0" t="s">
        <v>49</v>
      </c>
      <c r="H22608" s="5">
        <v>134.666000</v>
      </c>
    </row>
    <row r="22609" spans="1:9">
      <c r="A22609" s="22" t="str">
        <f>HYPERLINK("https://app.vivvix.com/360/KMI/IntelliDrive/ApplUI/Pages/CreativePages/CustomReportCreativeDetail.aspx?App=23&amp;ReportView=4&amp;Qid=1711279&amp;Row=22601&amp;Col=1","No Title Assigned - #15281133595")</f>
        <v/>
      </c>
      <c r="B22609" s="0" t="s">
        <v>30129</v>
      </c>
      <c r="C22609" s="0" t="s">
        <v>30130</v>
      </c>
      <c r="D22609" s="0" t="s">
        <v>18549</v>
      </c>
      <c r="E22609" s="0" t="inlineStr">
        <is>
          <t xml:space="preserve">Mazda</t>
        </is>
      </c>
      <c r="F22609" s="0" t="s">
        <v>13</v>
      </c>
      <c r="G22609" s="0" t="s">
        <v>49</v>
      </c>
      <c r="H22609" s="5">
        <v>184.625800</v>
      </c>
    </row>
    <row r="22610" spans="1:9">
      <c r="A22610" s="22" t="str">
        <f>HYPERLINK("https://app.vivvix.com/360/KMI/IntelliDrive/ApplUI/Pages/CreativePages/CustomReportCreativeDetail.aspx?App=23&amp;ReportView=4&amp;Qid=1711279&amp;Row=22602&amp;Col=1","No Title Assigned - #15281148609")</f>
        <v/>
      </c>
      <c r="B22610" s="0" t="s">
        <v>30131</v>
      </c>
      <c r="C22610" s="0" t="s">
        <v>30132</v>
      </c>
      <c r="D22610" s="0" t="s">
        <v>30132</v>
      </c>
      <c r="E22610" s="0" t="inlineStr">
        <is>
          <t xml:space="preserve">Mazda</t>
        </is>
      </c>
      <c r="F22610" s="0" t="s">
        <v>13</v>
      </c>
      <c r="G22610" s="0" t="s">
        <v>49</v>
      </c>
      <c r="H22610" s="5">
        <v>915.851300</v>
      </c>
    </row>
    <row r="22611" spans="1:9">
      <c r="A22611" s="22" t="str">
        <f>HYPERLINK("https://app.vivvix.com/360/KMI/IntelliDrive/ApplUI/Pages/CreativePages/CustomReportCreativeDetail.aspx?App=23&amp;ReportView=4&amp;Qid=1711279&amp;Row=22603&amp;Col=1","No Title Assigned - #15281165862")</f>
        <v/>
      </c>
      <c r="B22611" s="0" t="s">
        <v>30133</v>
      </c>
      <c r="C22611" s="0" t="s">
        <v>30134</v>
      </c>
      <c r="D22611" s="0" t="s">
        <v>11053</v>
      </c>
      <c r="E22611" s="0" t="inlineStr">
        <is>
          <t xml:space="preserve">Mazda</t>
        </is>
      </c>
      <c r="F22611" s="0" t="s">
        <v>13</v>
      </c>
      <c r="G22611" s="0" t="s">
        <v>49</v>
      </c>
      <c r="H22611" s="5">
        <v>42.483300</v>
      </c>
    </row>
    <row r="22612" spans="1:9">
      <c r="A22612" s="22" t="str">
        <f>HYPERLINK("https://app.vivvix.com/360/KMI/IntelliDrive/ApplUI/Pages/CreativePages/CustomReportCreativeDetail.aspx?App=23&amp;ReportView=4&amp;Qid=1711279&amp;Row=22604&amp;Col=1","No Title Assigned - #15281166244")</f>
        <v/>
      </c>
      <c r="B22612" s="0" t="s">
        <v>30135</v>
      </c>
      <c r="C22612" s="0" t="s">
        <v>30136</v>
      </c>
      <c r="D22612" s="0" t="s">
        <v>30136</v>
      </c>
      <c r="E22612" s="0" t="inlineStr">
        <is>
          <t xml:space="preserve">Mazda</t>
        </is>
      </c>
      <c r="F22612" s="0" t="s">
        <v>13</v>
      </c>
      <c r="G22612" s="0" t="s">
        <v>49</v>
      </c>
      <c r="H22612" s="5">
        <v>292.196200</v>
      </c>
    </row>
    <row r="22613" spans="1:9">
      <c r="A22613" s="22" t="str">
        <f>HYPERLINK("https://app.vivvix.com/360/KMI/IntelliDrive/ApplUI/Pages/CreativePages/CustomReportCreativeDetail.aspx?App=23&amp;ReportView=4&amp;Qid=1711279&amp;Row=22605&amp;Col=1","No Title Assigned - #15281173305")</f>
        <v/>
      </c>
      <c r="B22613" s="0" t="s">
        <v>30137</v>
      </c>
      <c r="C22613" s="0" t="s">
        <v>30138</v>
      </c>
      <c r="D22613" s="0" t="s">
        <v>30138</v>
      </c>
      <c r="E22613" s="0" t="inlineStr">
        <is>
          <t xml:space="preserve">Mazda</t>
        </is>
      </c>
      <c r="F22613" s="0" t="s">
        <v>13</v>
      </c>
      <c r="G22613" s="0" t="s">
        <v>49</v>
      </c>
      <c r="H22613" s="5">
        <v>108.264200</v>
      </c>
    </row>
    <row r="22614" spans="1:9">
      <c r="A22614" s="22" t="str">
        <f>HYPERLINK("https://app.vivvix.com/360/KMI/IntelliDrive/ApplUI/Pages/CreativePages/CustomReportCreativeDetail.aspx?App=23&amp;ReportView=4&amp;Qid=1711279&amp;Row=22606&amp;Col=1","No Title Assigned - #15281179034")</f>
        <v/>
      </c>
      <c r="B22614" s="0" t="s">
        <v>30139</v>
      </c>
      <c r="C22614" s="0" t="s">
        <v>30140</v>
      </c>
      <c r="D22614" s="0" t="s">
        <v>30140</v>
      </c>
      <c r="E22614" s="0" t="inlineStr">
        <is>
          <t xml:space="preserve">Mazda</t>
        </is>
      </c>
      <c r="F22614" s="0" t="s">
        <v>13</v>
      </c>
      <c r="G22614" s="0" t="s">
        <v>49</v>
      </c>
      <c r="H22614" s="5">
        <v>46.169600</v>
      </c>
    </row>
    <row r="22615" spans="1:9">
      <c r="A22615" s="22" t="str">
        <f>HYPERLINK("https://app.vivvix.com/360/KMI/IntelliDrive/ApplUI/Pages/CreativePages/CustomReportCreativeDetail.aspx?App=23&amp;ReportView=4&amp;Qid=1711279&amp;Row=22607&amp;Col=1","No Title Assigned - #15281180076")</f>
        <v/>
      </c>
      <c r="B22615" s="0" t="s">
        <v>30141</v>
      </c>
      <c r="C22615" s="0" t="s">
        <v>30142</v>
      </c>
      <c r="D22615" s="0" t="s">
        <v>30142</v>
      </c>
      <c r="E22615" s="0" t="inlineStr">
        <is>
          <t xml:space="preserve">Mazda</t>
        </is>
      </c>
      <c r="F22615" s="0" t="s">
        <v>13</v>
      </c>
      <c r="G22615" s="0" t="s">
        <v>49</v>
      </c>
      <c r="H22615" s="5">
        <v>112.349500</v>
      </c>
    </row>
    <row r="22616" spans="1:9">
      <c r="A22616" s="22" t="str">
        <f>HYPERLINK("https://app.vivvix.com/360/KMI/IntelliDrive/ApplUI/Pages/CreativePages/CustomReportCreativeDetail.aspx?App=23&amp;ReportView=4&amp;Qid=1711279&amp;Row=22608&amp;Col=1","No Title Assigned - #15281182299")</f>
        <v/>
      </c>
      <c r="B22616" s="0" t="s">
        <v>30143</v>
      </c>
      <c r="E22616" s="0" t="inlineStr">
        <is>
          <t xml:space="preserve">Mazda</t>
        </is>
      </c>
      <c r="F22616" s="0" t="s">
        <v>13</v>
      </c>
      <c r="G22616" s="0" t="s">
        <v>49</v>
      </c>
      <c r="H22616" s="5">
        <v>252.675800</v>
      </c>
    </row>
    <row r="22617" spans="1:9">
      <c r="A22617" s="22" t="str">
        <f>HYPERLINK("https://app.vivvix.com/360/KMI/IntelliDrive/ApplUI/Pages/CreativePages/CustomReportCreativeDetail.aspx?App=23&amp;ReportView=4&amp;Qid=1711279&amp;Row=22609&amp;Col=1","No Title Assigned - #15281185551")</f>
        <v/>
      </c>
      <c r="B22617" s="0" t="s">
        <v>30144</v>
      </c>
      <c r="C22617" s="0" t="s">
        <v>30145</v>
      </c>
      <c r="D22617" s="0" t="s">
        <v>27877</v>
      </c>
      <c r="E22617" s="0" t="inlineStr">
        <is>
          <t xml:space="preserve">Mazda</t>
        </is>
      </c>
      <c r="F22617" s="0" t="s">
        <v>13</v>
      </c>
      <c r="G22617" s="0" t="s">
        <v>49</v>
      </c>
      <c r="H22617" s="5">
        <v>296.045300</v>
      </c>
    </row>
    <row r="22618" spans="1:9">
      <c r="A22618" s="22" t="str">
        <f>HYPERLINK("https://app.vivvix.com/360/KMI/IntelliDrive/ApplUI/Pages/CreativePages/CustomReportCreativeDetail.aspx?App=23&amp;ReportView=4&amp;Qid=1711279&amp;Row=22610&amp;Col=1","No Title Assigned - #15281187683")</f>
        <v/>
      </c>
      <c r="B22618" s="0" t="s">
        <v>30146</v>
      </c>
      <c r="C22618" s="0" t="s">
        <v>30147</v>
      </c>
      <c r="D22618" s="0" t="s">
        <v>30147</v>
      </c>
      <c r="E22618" s="0" t="inlineStr">
        <is>
          <t xml:space="preserve">Mazda</t>
        </is>
      </c>
      <c r="F22618" s="0" t="s">
        <v>13</v>
      </c>
      <c r="G22618" s="0" t="s">
        <v>49</v>
      </c>
      <c r="H22618" s="5">
        <v>81.979200</v>
      </c>
    </row>
    <row r="22619" spans="1:9">
      <c r="A22619" s="22" t="str">
        <f>HYPERLINK("https://app.vivvix.com/360/KMI/IntelliDrive/ApplUI/Pages/CreativePages/CustomReportCreativeDetail.aspx?App=23&amp;ReportView=4&amp;Qid=1711279&amp;Row=22611&amp;Col=1","No Title Assigned - #15281187684")</f>
        <v/>
      </c>
      <c r="B22619" s="0" t="s">
        <v>30148</v>
      </c>
      <c r="C22619" s="0" t="s">
        <v>30149</v>
      </c>
      <c r="D22619" s="0" t="s">
        <v>10860</v>
      </c>
      <c r="E22619" s="0" t="inlineStr">
        <is>
          <t xml:space="preserve">Mazda</t>
        </is>
      </c>
      <c r="F22619" s="0" t="s">
        <v>13</v>
      </c>
      <c r="G22619" s="0" t="s">
        <v>49</v>
      </c>
      <c r="H22619" s="5">
        <v>134.147900</v>
      </c>
    </row>
    <row r="22620" spans="1:9">
      <c r="A22620" s="22" t="str">
        <f>HYPERLINK("https://app.vivvix.com/360/KMI/IntelliDrive/ApplUI/Pages/CreativePages/CustomReportCreativeDetail.aspx?App=23&amp;ReportView=4&amp;Qid=1711279&amp;Row=22612&amp;Col=1","No Title Assigned - #15281188146")</f>
        <v/>
      </c>
      <c r="B22620" s="0" t="s">
        <v>30150</v>
      </c>
      <c r="C22620" s="0" t="s">
        <v>30151</v>
      </c>
      <c r="D22620" s="0" t="s">
        <v>30151</v>
      </c>
      <c r="E22620" s="0" t="inlineStr">
        <is>
          <t xml:space="preserve">Mazda</t>
        </is>
      </c>
      <c r="F22620" s="0" t="s">
        <v>17</v>
      </c>
      <c r="G22620" s="0" t="s">
        <v>33</v>
      </c>
      <c r="H22620" s="5">
        <v>281.770000</v>
      </c>
    </row>
    <row r="22621" spans="1:9">
      <c r="A22621" s="22" t="str">
        <f>HYPERLINK("https://app.vivvix.com/360/KMI/IntelliDrive/ApplUI/Pages/CreativePages/CustomReportCreativeDetail.aspx?App=23&amp;ReportView=4&amp;Qid=1711279&amp;Row=22613&amp;Col=1","No Title Assigned - #15281188381")</f>
        <v/>
      </c>
      <c r="B22621" s="0" t="s">
        <v>30152</v>
      </c>
      <c r="C22621" s="0" t="s">
        <v>30153</v>
      </c>
      <c r="D22621" s="0" t="s">
        <v>30153</v>
      </c>
      <c r="E22621" s="0" t="inlineStr">
        <is>
          <t xml:space="preserve">Mazda</t>
        </is>
      </c>
      <c r="F22621" s="0" t="inlineStr">
        <is>
          <t xml:space="preserve">Mazda</t>
        </is>
      </c>
      <c r="G22621" s="0" t="s">
        <v>210</v>
      </c>
      <c r="H22621" s="5">
        <v>180.459700</v>
      </c>
    </row>
    <row r="22622" spans="1:9">
      <c r="A22622" s="22" t="str">
        <f>HYPERLINK("https://app.vivvix.com/360/KMI/IntelliDrive/ApplUI/Pages/CreativePages/CustomReportCreativeDetail.aspx?App=23&amp;ReportView=4&amp;Qid=1711279&amp;Row=22614&amp;Col=1","No Title Assigned - #15281190061")</f>
        <v/>
      </c>
      <c r="B22622" s="0" t="s">
        <v>30154</v>
      </c>
      <c r="E22622" s="0" t="inlineStr">
        <is>
          <t xml:space="preserve">Mazda</t>
        </is>
      </c>
      <c r="F22622" s="0" t="inlineStr">
        <is>
          <t xml:space="preserve">Mazda</t>
        </is>
      </c>
      <c r="G22622" s="0" t="s">
        <v>171</v>
      </c>
      <c r="H22622" s="5">
        <v>1898.430300</v>
      </c>
    </row>
    <row r="22623" spans="1:9">
      <c r="A22623" s="22" t="str">
        <f>HYPERLINK("https://app.vivvix.com/360/KMI/IntelliDrive/ApplUI/Pages/CreativePages/CustomReportCreativeDetail.aspx?App=23&amp;ReportView=4&amp;Qid=1711279&amp;Row=22615&amp;Col=1","No Title Assigned - #15281190107")</f>
        <v/>
      </c>
      <c r="B22623" s="0" t="s">
        <v>30155</v>
      </c>
      <c r="C22623" s="0" t="s">
        <v>30156</v>
      </c>
      <c r="D22623" s="0" t="s">
        <v>30156</v>
      </c>
      <c r="E22623" s="0" t="inlineStr">
        <is>
          <t xml:space="preserve">Mazda</t>
        </is>
      </c>
      <c r="F22623" s="0" t="inlineStr">
        <is>
          <t xml:space="preserve">Mazda</t>
        </is>
      </c>
      <c r="G22623" s="0" t="s">
        <v>171</v>
      </c>
      <c r="H22623" s="5">
        <v>476.693900</v>
      </c>
    </row>
    <row r="22624" spans="1:9">
      <c r="A22624" s="22" t="str">
        <f>HYPERLINK("https://app.vivvix.com/360/KMI/IntelliDrive/ApplUI/Pages/CreativePages/CustomReportCreativeDetail.aspx?App=23&amp;ReportView=4&amp;Qid=1711279&amp;Row=22616&amp;Col=1","No Title Assigned - #15281191475")</f>
        <v/>
      </c>
      <c r="B22624" s="0" t="s">
        <v>30157</v>
      </c>
      <c r="E22624" s="0" t="inlineStr">
        <is>
          <t xml:space="preserve">Mazda</t>
        </is>
      </c>
      <c r="F22624" s="0" t="inlineStr">
        <is>
          <t xml:space="preserve">Mazda</t>
        </is>
      </c>
      <c r="G22624" s="0" t="s">
        <v>171</v>
      </c>
      <c r="H22624" s="5">
        <v>20.793200</v>
      </c>
    </row>
    <row r="22625" spans="1:9">
      <c r="A22625" s="22" t="str">
        <f>HYPERLINK("https://app.vivvix.com/360/KMI/IntelliDrive/ApplUI/Pages/CreativePages/CustomReportCreativeDetail.aspx?App=23&amp;ReportView=4&amp;Qid=1711279&amp;Row=22617&amp;Col=1","No Title Assigned - #15281191775")</f>
        <v/>
      </c>
      <c r="B22625" s="0" t="s">
        <v>30158</v>
      </c>
      <c r="C22625" s="0" t="s">
        <v>30159</v>
      </c>
      <c r="D22625" s="0" t="s">
        <v>30159</v>
      </c>
      <c r="E22625" s="0" t="inlineStr">
        <is>
          <t xml:space="preserve">Mazda</t>
        </is>
      </c>
      <c r="F22625" s="0" t="inlineStr">
        <is>
          <t xml:space="preserve">Mazda</t>
        </is>
      </c>
      <c r="G22625" s="0" t="s">
        <v>171</v>
      </c>
      <c r="H22625" s="5">
        <v>1255.297400</v>
      </c>
    </row>
    <row r="22626" spans="1:9">
      <c r="A22626" s="22" t="str">
        <f>HYPERLINK("https://app.vivvix.com/360/KMI/IntelliDrive/ApplUI/Pages/CreativePages/CustomReportCreativeDetail.aspx?App=23&amp;ReportView=4&amp;Qid=1711279&amp;Row=22618&amp;Col=1","No Title Assigned - #15281192100")</f>
        <v/>
      </c>
      <c r="B22626" s="0" t="s">
        <v>30160</v>
      </c>
      <c r="E22626" s="0" t="inlineStr">
        <is>
          <t xml:space="preserve">Mazda</t>
        </is>
      </c>
      <c r="F22626" s="0" t="inlineStr">
        <is>
          <t xml:space="preserve">Mazda</t>
        </is>
      </c>
      <c r="G22626" s="0" t="s">
        <v>171</v>
      </c>
      <c r="H22626" s="5">
        <v>227.258700</v>
      </c>
    </row>
    <row r="22627" spans="1:9">
      <c r="A22627" s="22" t="str">
        <f>HYPERLINK("https://app.vivvix.com/360/KMI/IntelliDrive/ApplUI/Pages/CreativePages/CustomReportCreativeDetail.aspx?App=23&amp;ReportView=4&amp;Qid=1711279&amp;Row=22619&amp;Col=1","No Title Assigned - #15281193430")</f>
        <v/>
      </c>
      <c r="B22627" s="0" t="s">
        <v>30161</v>
      </c>
      <c r="E22627" s="0" t="inlineStr">
        <is>
          <t xml:space="preserve">Mazda</t>
        </is>
      </c>
      <c r="F22627" s="0" t="inlineStr">
        <is>
          <t xml:space="preserve">Mazda</t>
        </is>
      </c>
      <c r="G22627" s="0" t="s">
        <v>171</v>
      </c>
      <c r="H22627" s="5">
        <v>372.488700</v>
      </c>
    </row>
    <row r="22628" spans="1:9">
      <c r="A22628" s="22" t="str">
        <f>HYPERLINK("https://app.vivvix.com/360/KMI/IntelliDrive/ApplUI/Pages/CreativePages/CustomReportCreativeDetail.aspx?App=23&amp;ReportView=4&amp;Qid=1711279&amp;Row=22620&amp;Col=1","No Title Assigned - #15281194053")</f>
        <v/>
      </c>
      <c r="B22628" s="0" t="s">
        <v>30162</v>
      </c>
      <c r="E22628" s="0" t="inlineStr">
        <is>
          <t xml:space="preserve">Mazda</t>
        </is>
      </c>
      <c r="F22628" s="0" t="inlineStr">
        <is>
          <t xml:space="preserve">Mazda</t>
        </is>
      </c>
      <c r="G22628" s="0" t="s">
        <v>171</v>
      </c>
      <c r="H22628" s="5">
        <v>39.351400</v>
      </c>
    </row>
    <row r="22629" spans="1:9">
      <c r="A22629" s="22" t="str">
        <f>HYPERLINK("https://app.vivvix.com/360/KMI/IntelliDrive/ApplUI/Pages/CreativePages/CustomReportCreativeDetail.aspx?App=23&amp;ReportView=4&amp;Qid=1711279&amp;Row=22621&amp;Col=1","No Title Assigned - #15281194233")</f>
        <v/>
      </c>
      <c r="B22629" s="0" t="s">
        <v>30163</v>
      </c>
      <c r="E22629" s="0" t="inlineStr">
        <is>
          <t xml:space="preserve">Mazda</t>
        </is>
      </c>
      <c r="F22629" s="0" t="inlineStr">
        <is>
          <t xml:space="preserve">Mazda</t>
        </is>
      </c>
      <c r="G22629" s="0" t="s">
        <v>171</v>
      </c>
      <c r="H22629" s="5">
        <v>181.135400</v>
      </c>
    </row>
    <row r="22630" spans="1:9">
      <c r="A22630" s="22" t="str">
        <f>HYPERLINK("https://app.vivvix.com/360/KMI/IntelliDrive/ApplUI/Pages/CreativePages/CustomReportCreativeDetail.aspx?App=23&amp;ReportView=4&amp;Qid=1711279&amp;Row=22622&amp;Col=1","No Title Assigned - #15281194234")</f>
        <v/>
      </c>
      <c r="B22630" s="0" t="s">
        <v>30164</v>
      </c>
      <c r="E22630" s="0" t="inlineStr">
        <is>
          <t xml:space="preserve">Mazda</t>
        </is>
      </c>
      <c r="F22630" s="0" t="inlineStr">
        <is>
          <t xml:space="preserve">Mazda</t>
        </is>
      </c>
      <c r="G22630" s="0" t="s">
        <v>171</v>
      </c>
      <c r="H22630" s="5">
        <v>2.297700</v>
      </c>
    </row>
    <row r="22631" spans="1:9">
      <c r="A22631" s="22" t="str">
        <f>HYPERLINK("https://app.vivvix.com/360/KMI/IntelliDrive/ApplUI/Pages/CreativePages/CustomReportCreativeDetail.aspx?App=23&amp;ReportView=4&amp;Qid=1711279&amp;Row=22623&amp;Col=1","No Title Assigned - #15281194542")</f>
        <v/>
      </c>
      <c r="B22631" s="0" t="s">
        <v>30165</v>
      </c>
      <c r="C22631" s="0" t="s">
        <v>30166</v>
      </c>
      <c r="D22631" s="0" t="s">
        <v>30166</v>
      </c>
      <c r="E22631" s="0" t="inlineStr">
        <is>
          <t xml:space="preserve">Mazda</t>
        </is>
      </c>
      <c r="F22631" s="0" t="inlineStr">
        <is>
          <t xml:space="preserve">Mazda</t>
        </is>
      </c>
      <c r="G22631" s="0" t="s">
        <v>171</v>
      </c>
      <c r="H22631" s="5">
        <v>3631.434300</v>
      </c>
    </row>
    <row r="22632" spans="1:9">
      <c r="A22632" s="22" t="str">
        <f>HYPERLINK("https://app.vivvix.com/360/KMI/IntelliDrive/ApplUI/Pages/CreativePages/CustomReportCreativeDetail.aspx?App=23&amp;ReportView=4&amp;Qid=1711279&amp;Row=22624&amp;Col=1","No Title Assigned - #15281194901")</f>
        <v/>
      </c>
      <c r="B22632" s="0" t="s">
        <v>30167</v>
      </c>
      <c r="E22632" s="0" t="inlineStr">
        <is>
          <t xml:space="preserve">Mazda</t>
        </is>
      </c>
      <c r="F22632" s="0" t="inlineStr">
        <is>
          <t xml:space="preserve">Mazda</t>
        </is>
      </c>
      <c r="G22632" s="0" t="s">
        <v>171</v>
      </c>
      <c r="H22632" s="5">
        <v>9.851700</v>
      </c>
    </row>
    <row r="22633" spans="1:9">
      <c r="A22633" s="22" t="str">
        <f>HYPERLINK("https://app.vivvix.com/360/KMI/IntelliDrive/ApplUI/Pages/CreativePages/CustomReportCreativeDetail.aspx?App=23&amp;ReportView=4&amp;Qid=1711279&amp;Row=22625&amp;Col=1","No Title Assigned - #15281194942")</f>
        <v/>
      </c>
      <c r="B22633" s="0" t="s">
        <v>30168</v>
      </c>
      <c r="E22633" s="0" t="inlineStr">
        <is>
          <t xml:space="preserve">Mazda</t>
        </is>
      </c>
      <c r="F22633" s="0" t="inlineStr">
        <is>
          <t xml:space="preserve">Mazda</t>
        </is>
      </c>
      <c r="G22633" s="0" t="s">
        <v>171</v>
      </c>
      <c r="H22633" s="5">
        <v>59.110200</v>
      </c>
    </row>
    <row r="22634" spans="1:9">
      <c r="A22634" s="22" t="str">
        <f>HYPERLINK("https://app.vivvix.com/360/KMI/IntelliDrive/ApplUI/Pages/CreativePages/CustomReportCreativeDetail.aspx?App=23&amp;ReportView=4&amp;Qid=1711279&amp;Row=22626&amp;Col=1","No Title Assigned - #15281195458")</f>
        <v/>
      </c>
      <c r="B22634" s="0" t="s">
        <v>30169</v>
      </c>
      <c r="E22634" s="0" t="inlineStr">
        <is>
          <t xml:space="preserve">Mazda</t>
        </is>
      </c>
      <c r="F22634" s="0" t="inlineStr">
        <is>
          <t xml:space="preserve">Mazda</t>
        </is>
      </c>
      <c r="G22634" s="0" t="s">
        <v>171</v>
      </c>
      <c r="H22634" s="5">
        <v>485.192900</v>
      </c>
    </row>
    <row r="22635" spans="1:9">
      <c r="A22635" s="22" t="str">
        <f>HYPERLINK("https://app.vivvix.com/360/KMI/IntelliDrive/ApplUI/Pages/CreativePages/CustomReportCreativeDetail.aspx?App=23&amp;ReportView=4&amp;Qid=1711279&amp;Row=22627&amp;Col=1","No Title Assigned - #15281198072")</f>
        <v/>
      </c>
      <c r="B22635" s="0" t="s">
        <v>30170</v>
      </c>
      <c r="E22635" s="0" t="inlineStr">
        <is>
          <t xml:space="preserve">Mazda</t>
        </is>
      </c>
      <c r="F22635" s="0" t="inlineStr">
        <is>
          <t xml:space="preserve">Mazda</t>
        </is>
      </c>
      <c r="G22635" s="0" t="s">
        <v>171</v>
      </c>
      <c r="H22635" s="5">
        <v>27.807900</v>
      </c>
    </row>
    <row r="22636" spans="1:9">
      <c r="A22636" s="22" t="str">
        <f>HYPERLINK("https://app.vivvix.com/360/KMI/IntelliDrive/ApplUI/Pages/CreativePages/CustomReportCreativeDetail.aspx?App=23&amp;ReportView=4&amp;Qid=1711279&amp;Row=22628&amp;Col=1","No Title Assigned - #15281203175")</f>
        <v/>
      </c>
      <c r="B22636" s="0" t="s">
        <v>30171</v>
      </c>
      <c r="E22636" s="0" t="inlineStr">
        <is>
          <t xml:space="preserve">Mazda</t>
        </is>
      </c>
      <c r="F22636" s="0" t="inlineStr">
        <is>
          <t xml:space="preserve">Mazda</t>
        </is>
      </c>
      <c r="G22636" s="0" t="s">
        <v>171</v>
      </c>
      <c r="H22636" s="5">
        <v>297.134600</v>
      </c>
    </row>
    <row r="22637" spans="1:9">
      <c r="A22637" s="22" t="str">
        <f>HYPERLINK("https://app.vivvix.com/360/KMI/IntelliDrive/ApplUI/Pages/CreativePages/CustomReportCreativeDetail.aspx?App=23&amp;ReportView=4&amp;Qid=1711279&amp;Row=22629&amp;Col=1","No Title Assigned - #15281203509")</f>
        <v/>
      </c>
      <c r="B22637" s="0" t="s">
        <v>30172</v>
      </c>
      <c r="E22637" s="0" t="inlineStr">
        <is>
          <t xml:space="preserve">Mazda</t>
        </is>
      </c>
      <c r="F22637" s="0" t="inlineStr">
        <is>
          <t xml:space="preserve">Mazda</t>
        </is>
      </c>
      <c r="G22637" s="0" t="s">
        <v>171</v>
      </c>
      <c r="H22637" s="5">
        <v>96.592500</v>
      </c>
    </row>
    <row r="22638" spans="1:9">
      <c r="A22638" s="22" t="str">
        <f>HYPERLINK("https://app.vivvix.com/360/KMI/IntelliDrive/ApplUI/Pages/CreativePages/CustomReportCreativeDetail.aspx?App=23&amp;ReportView=4&amp;Qid=1711279&amp;Row=22630&amp;Col=1","No Title Assigned - #15281205479")</f>
        <v/>
      </c>
      <c r="B22638" s="0" t="s">
        <v>30173</v>
      </c>
      <c r="C22638" s="0" t="s">
        <v>30174</v>
      </c>
      <c r="D22638" s="0" t="s">
        <v>30174</v>
      </c>
      <c r="E22638" s="0" t="inlineStr">
        <is>
          <t xml:space="preserve">Mazda</t>
        </is>
      </c>
      <c r="F22638" s="0" t="inlineStr">
        <is>
          <t xml:space="preserve">Mazda</t>
        </is>
      </c>
      <c r="G22638" s="0" t="s">
        <v>171</v>
      </c>
      <c r="H22638" s="5">
        <v>169.956400</v>
      </c>
    </row>
    <row r="22639" spans="1:9">
      <c r="A22639" s="22" t="str">
        <f>HYPERLINK("https://app.vivvix.com/360/KMI/IntelliDrive/ApplUI/Pages/CreativePages/CustomReportCreativeDetail.aspx?App=23&amp;ReportView=4&amp;Qid=1711279&amp;Row=22631&amp;Col=1","No Title Assigned - #15281213132")</f>
        <v/>
      </c>
      <c r="B22639" s="0" t="s">
        <v>30175</v>
      </c>
      <c r="C22639" s="0" t="s">
        <v>30176</v>
      </c>
      <c r="D22639" s="0" t="s">
        <v>30176</v>
      </c>
      <c r="E22639" s="0" t="inlineStr">
        <is>
          <t xml:space="preserve">Mazda</t>
        </is>
      </c>
      <c r="F22639" s="0" t="s">
        <v>13</v>
      </c>
      <c r="G22639" s="0" t="s">
        <v>49</v>
      </c>
      <c r="H22639" s="5">
        <v>641.506800</v>
      </c>
    </row>
    <row r="22640" spans="1:9">
      <c r="A22640" s="22" t="str">
        <f>HYPERLINK("https://app.vivvix.com/360/KMI/IntelliDrive/ApplUI/Pages/CreativePages/CustomReportCreativeDetail.aspx?App=23&amp;ReportView=4&amp;Qid=1711279&amp;Row=22632&amp;Col=1","No Title Assigned - #15281214089")</f>
        <v/>
      </c>
      <c r="B22640" s="0" t="s">
        <v>30177</v>
      </c>
      <c r="E22640" s="0" t="inlineStr">
        <is>
          <t xml:space="preserve">Mazda</t>
        </is>
      </c>
      <c r="F22640" s="0" t="inlineStr">
        <is>
          <t xml:space="preserve">Mazda</t>
        </is>
      </c>
      <c r="G22640" s="0" t="s">
        <v>210</v>
      </c>
      <c r="H22640" s="5">
        <v>501.223100</v>
      </c>
    </row>
    <row r="22641" spans="1:9">
      <c r="A22641" s="22" t="str">
        <f>HYPERLINK("https://app.vivvix.com/360/KMI/IntelliDrive/ApplUI/Pages/CreativePages/CustomReportCreativeDetail.aspx?App=23&amp;ReportView=4&amp;Qid=1711279&amp;Row=22633&amp;Col=1","No Title Assigned - #15281216680")</f>
        <v/>
      </c>
      <c r="B22641" s="0" t="s">
        <v>30178</v>
      </c>
      <c r="C22641" s="0" t="s">
        <v>30179</v>
      </c>
      <c r="D22641" s="0" t="s">
        <v>30179</v>
      </c>
      <c r="E22641" s="0" t="inlineStr">
        <is>
          <t xml:space="preserve">Mazda</t>
        </is>
      </c>
      <c r="F22641" s="0" t="s">
        <v>13</v>
      </c>
      <c r="G22641" s="0" t="s">
        <v>49</v>
      </c>
      <c r="H22641" s="5">
        <v>982.247100</v>
      </c>
    </row>
    <row r="22642" spans="1:9">
      <c r="A22642" s="22" t="str">
        <f>HYPERLINK("https://app.vivvix.com/360/KMI/IntelliDrive/ApplUI/Pages/CreativePages/CustomReportCreativeDetail.aspx?App=23&amp;ReportView=4&amp;Qid=1711279&amp;Row=22634&amp;Col=1","No Title Assigned - #15281219642")</f>
        <v/>
      </c>
      <c r="B22642" s="0" t="s">
        <v>30180</v>
      </c>
      <c r="C22642" s="0" t="s">
        <v>30181</v>
      </c>
      <c r="D22642" s="0" t="s">
        <v>10095</v>
      </c>
      <c r="E22642" s="0" t="inlineStr">
        <is>
          <t xml:space="preserve">Mazda</t>
        </is>
      </c>
      <c r="F22642" s="0" t="s">
        <v>13</v>
      </c>
      <c r="G22642" s="0" t="s">
        <v>49</v>
      </c>
      <c r="H22642" s="5">
        <v>176.435700</v>
      </c>
    </row>
    <row r="22643" spans="1:9">
      <c r="A22643" s="22" t="str">
        <f>HYPERLINK("https://app.vivvix.com/360/KMI/IntelliDrive/ApplUI/Pages/CreativePages/CustomReportCreativeDetail.aspx?App=23&amp;ReportView=4&amp;Qid=1711279&amp;Row=22635&amp;Col=1","No Title Assigned - #15281220241")</f>
        <v/>
      </c>
      <c r="B22643" s="0" t="s">
        <v>30182</v>
      </c>
      <c r="C22643" s="0" t="s">
        <v>30183</v>
      </c>
      <c r="D22643" s="0" t="s">
        <v>30183</v>
      </c>
      <c r="E22643" s="0" t="inlineStr">
        <is>
          <t xml:space="preserve">Mazda</t>
        </is>
      </c>
      <c r="F22643" s="0" t="s">
        <v>13</v>
      </c>
      <c r="G22643" s="0" t="s">
        <v>49</v>
      </c>
      <c r="H22643" s="5">
        <v>148161.128300</v>
      </c>
    </row>
    <row r="22644" spans="1:9">
      <c r="A22644" s="22" t="str">
        <f>HYPERLINK("https://app.vivvix.com/360/KMI/IntelliDrive/ApplUI/Pages/CreativePages/CustomReportCreativeDetail.aspx?App=23&amp;ReportView=4&amp;Qid=1711279&amp;Row=22636&amp;Col=1","No Title Assigned - #15281222001")</f>
        <v/>
      </c>
      <c r="B22644" s="0" t="s">
        <v>30184</v>
      </c>
      <c r="C22644" s="0" t="s">
        <v>30185</v>
      </c>
      <c r="D22644" s="0" t="s">
        <v>19006</v>
      </c>
      <c r="E22644" s="0" t="inlineStr">
        <is>
          <t xml:space="preserve">Mazda</t>
        </is>
      </c>
      <c r="F22644" s="0" t="s">
        <v>13</v>
      </c>
      <c r="G22644" s="0" t="s">
        <v>49</v>
      </c>
      <c r="H22644" s="5">
        <v>47.763500</v>
      </c>
    </row>
    <row r="22645" spans="1:9">
      <c r="A22645" s="22" t="str">
        <f>HYPERLINK("https://app.vivvix.com/360/KMI/IntelliDrive/ApplUI/Pages/CreativePages/CustomReportCreativeDetail.aspx?App=23&amp;ReportView=4&amp;Qid=1711279&amp;Row=22637&amp;Col=1","No Title Assigned - #15281222948")</f>
        <v/>
      </c>
      <c r="B22645" s="0" t="s">
        <v>30186</v>
      </c>
      <c r="C22645" s="0" t="s">
        <v>30187</v>
      </c>
      <c r="D22645" s="0" t="s">
        <v>30187</v>
      </c>
      <c r="E22645" s="0" t="inlineStr">
        <is>
          <t xml:space="preserve">Mazda</t>
        </is>
      </c>
      <c r="F22645" s="0" t="s">
        <v>13</v>
      </c>
      <c r="G22645" s="0" t="s">
        <v>49</v>
      </c>
      <c r="H22645" s="5">
        <v>216.085300</v>
      </c>
    </row>
    <row r="22646" spans="1:9">
      <c r="A22646" s="22" t="str">
        <f>HYPERLINK("https://app.vivvix.com/360/KMI/IntelliDrive/ApplUI/Pages/CreativePages/CustomReportCreativeDetail.aspx?App=23&amp;ReportView=4&amp;Qid=1711279&amp;Row=22638&amp;Col=1","No Title Assigned - #15281223392")</f>
        <v/>
      </c>
      <c r="B22646" s="0" t="s">
        <v>30188</v>
      </c>
      <c r="C22646" s="0" t="s">
        <v>30189</v>
      </c>
      <c r="D22646" s="0" t="s">
        <v>15762</v>
      </c>
      <c r="E22646" s="0" t="inlineStr">
        <is>
          <t xml:space="preserve">Mazda</t>
        </is>
      </c>
      <c r="F22646" s="0" t="s">
        <v>13</v>
      </c>
      <c r="G22646" s="0" t="s">
        <v>49</v>
      </c>
      <c r="H22646" s="5">
        <v>383.016900</v>
      </c>
    </row>
    <row r="22647" spans="1:9">
      <c r="A22647" s="22" t="str">
        <f>HYPERLINK("https://app.vivvix.com/360/KMI/IntelliDrive/ApplUI/Pages/CreativePages/CustomReportCreativeDetail.aspx?App=23&amp;ReportView=4&amp;Qid=1711279&amp;Row=22639&amp;Col=1","No Title Assigned - #15281225845")</f>
        <v/>
      </c>
      <c r="B22647" s="0" t="s">
        <v>30190</v>
      </c>
      <c r="C22647" s="0" t="s">
        <v>30191</v>
      </c>
      <c r="D22647" s="0" t="s">
        <v>30191</v>
      </c>
      <c r="E22647" s="0" t="inlineStr">
        <is>
          <t xml:space="preserve">Mazda</t>
        </is>
      </c>
      <c r="F22647" s="0" t="s">
        <v>21</v>
      </c>
      <c r="G22647" s="0" t="s">
        <v>22</v>
      </c>
      <c r="H22647" s="5">
        <v>705.010600</v>
      </c>
    </row>
    <row r="22648" spans="1:9">
      <c r="A22648" s="22" t="str">
        <f>HYPERLINK("https://app.vivvix.com/360/KMI/IntelliDrive/ApplUI/Pages/CreativePages/CustomReportCreativeDetail.aspx?App=23&amp;ReportView=4&amp;Qid=1711279&amp;Row=22640&amp;Col=1","No Title Assigned - #15281228548")</f>
        <v/>
      </c>
      <c r="B22648" s="0" t="s">
        <v>30192</v>
      </c>
      <c r="C22648" s="0" t="s">
        <v>30193</v>
      </c>
      <c r="D22648" s="0" t="s">
        <v>30193</v>
      </c>
      <c r="E22648" s="0" t="inlineStr">
        <is>
          <t xml:space="preserve">Mazda</t>
        </is>
      </c>
      <c r="F22648" s="0" t="s">
        <v>13</v>
      </c>
      <c r="G22648" s="0" t="s">
        <v>49</v>
      </c>
      <c r="H22648" s="5">
        <v>822.641200</v>
      </c>
    </row>
    <row r="22649" spans="1:9">
      <c r="A22649" s="22" t="str">
        <f>HYPERLINK("https://app.vivvix.com/360/KMI/IntelliDrive/ApplUI/Pages/CreativePages/CustomReportCreativeDetail.aspx?App=23&amp;ReportView=4&amp;Qid=1711279&amp;Row=22641&amp;Col=1","No Title Assigned - #15281230651")</f>
        <v/>
      </c>
      <c r="B22649" s="0" t="s">
        <v>30194</v>
      </c>
      <c r="C22649" s="0" t="s">
        <v>30195</v>
      </c>
      <c r="D22649" s="0" t="s">
        <v>30195</v>
      </c>
      <c r="E22649" s="0" t="inlineStr">
        <is>
          <t xml:space="preserve">Mazda</t>
        </is>
      </c>
      <c r="F22649" s="0" t="s">
        <v>13</v>
      </c>
      <c r="G22649" s="0" t="s">
        <v>49</v>
      </c>
      <c r="H22649" s="5">
        <v>1291.887000</v>
      </c>
    </row>
    <row r="22650" spans="1:9">
      <c r="A22650" s="22" t="str">
        <f>HYPERLINK("https://app.vivvix.com/360/KMI/IntelliDrive/ApplUI/Pages/CreativePages/CustomReportCreativeDetail.aspx?App=23&amp;ReportView=4&amp;Qid=1711279&amp;Row=22642&amp;Col=1","No Title Assigned - #15281232047")</f>
        <v/>
      </c>
      <c r="B22650" s="0" t="s">
        <v>30196</v>
      </c>
      <c r="C22650" s="0" t="s">
        <v>30197</v>
      </c>
      <c r="D22650" s="0" t="s">
        <v>11469</v>
      </c>
      <c r="E22650" s="0" t="inlineStr">
        <is>
          <t xml:space="preserve">Mazda</t>
        </is>
      </c>
      <c r="F22650" s="0" t="s">
        <v>13</v>
      </c>
      <c r="G22650" s="0" t="s">
        <v>49</v>
      </c>
      <c r="H22650" s="5">
        <v>1058.497000</v>
      </c>
    </row>
    <row r="22651" spans="1:9">
      <c r="A22651" s="22" t="str">
        <f>HYPERLINK("https://app.vivvix.com/360/KMI/IntelliDrive/ApplUI/Pages/CreativePages/CustomReportCreativeDetail.aspx?App=23&amp;ReportView=4&amp;Qid=1711279&amp;Row=22643&amp;Col=1","No Title Assigned - #15281232101")</f>
        <v/>
      </c>
      <c r="B22651" s="0" t="s">
        <v>30198</v>
      </c>
      <c r="C22651" s="0" t="s">
        <v>30199</v>
      </c>
      <c r="D22651" s="0" t="s">
        <v>30199</v>
      </c>
      <c r="E22651" s="0" t="inlineStr">
        <is>
          <t xml:space="preserve">Mazda</t>
        </is>
      </c>
      <c r="F22651" s="0" t="s">
        <v>13</v>
      </c>
      <c r="G22651" s="0" t="s">
        <v>49</v>
      </c>
      <c r="H22651" s="5">
        <v>9.370700</v>
      </c>
    </row>
    <row r="22652" spans="1:9">
      <c r="A22652" s="22" t="str">
        <f>HYPERLINK("https://app.vivvix.com/360/KMI/IntelliDrive/ApplUI/Pages/CreativePages/CustomReportCreativeDetail.aspx?App=23&amp;ReportView=4&amp;Qid=1711279&amp;Row=22644&amp;Col=1","No Title Assigned - #15281232649")</f>
        <v/>
      </c>
      <c r="B22652" s="0" t="s">
        <v>30200</v>
      </c>
      <c r="C22652" s="0" t="s">
        <v>30201</v>
      </c>
      <c r="D22652" s="0" t="s">
        <v>30201</v>
      </c>
      <c r="E22652" s="0" t="inlineStr">
        <is>
          <t xml:space="preserve">Mazda</t>
        </is>
      </c>
      <c r="F22652" s="0" t="s">
        <v>13</v>
      </c>
      <c r="G22652" s="0" t="s">
        <v>49</v>
      </c>
      <c r="H22652" s="5">
        <v>38.399400</v>
      </c>
    </row>
    <row r="22653" spans="1:9">
      <c r="A22653" s="22" t="str">
        <f>HYPERLINK("https://app.vivvix.com/360/KMI/IntelliDrive/ApplUI/Pages/CreativePages/CustomReportCreativeDetail.aspx?App=23&amp;ReportView=4&amp;Qid=1711279&amp;Row=22645&amp;Col=1","No Title Assigned - #15281233127")</f>
        <v/>
      </c>
      <c r="B22653" s="0" t="s">
        <v>30202</v>
      </c>
      <c r="C22653" s="0" t="s">
        <v>30203</v>
      </c>
      <c r="D22653" s="0" t="s">
        <v>24626</v>
      </c>
      <c r="E22653" s="0" t="inlineStr">
        <is>
          <t xml:space="preserve">Mazda</t>
        </is>
      </c>
      <c r="F22653" s="0" t="s">
        <v>13</v>
      </c>
      <c r="G22653" s="0" t="s">
        <v>49</v>
      </c>
      <c r="H22653" s="5">
        <v>481.324800</v>
      </c>
    </row>
    <row r="22654" spans="1:9">
      <c r="A22654" s="22" t="str">
        <f>HYPERLINK("https://app.vivvix.com/360/KMI/IntelliDrive/ApplUI/Pages/CreativePages/CustomReportCreativeDetail.aspx?App=23&amp;ReportView=4&amp;Qid=1711279&amp;Row=22646&amp;Col=1","No Title Assigned - #15281233622")</f>
        <v/>
      </c>
      <c r="B22654" s="0" t="s">
        <v>30204</v>
      </c>
      <c r="C22654" s="0" t="s">
        <v>30205</v>
      </c>
      <c r="D22654" s="0" t="s">
        <v>30205</v>
      </c>
      <c r="E22654" s="0" t="inlineStr">
        <is>
          <t xml:space="preserve">Mazda</t>
        </is>
      </c>
      <c r="F22654" s="0" t="s">
        <v>13</v>
      </c>
      <c r="G22654" s="0" t="s">
        <v>49</v>
      </c>
      <c r="H22654" s="5">
        <v>1870.913900</v>
      </c>
    </row>
    <row r="22655" spans="1:9">
      <c r="A22655" s="22" t="str">
        <f>HYPERLINK("https://app.vivvix.com/360/KMI/IntelliDrive/ApplUI/Pages/CreativePages/CustomReportCreativeDetail.aspx?App=23&amp;ReportView=4&amp;Qid=1711279&amp;Row=22647&amp;Col=1","No Title Assigned - #15281233622")</f>
        <v/>
      </c>
      <c r="B22655" s="0" t="s">
        <v>30204</v>
      </c>
      <c r="E22655" s="0" t="inlineStr">
        <is>
          <t xml:space="preserve">Mazda</t>
        </is>
      </c>
      <c r="F22655" s="0" t="s">
        <v>13</v>
      </c>
      <c r="G22655" s="0" t="s">
        <v>49</v>
      </c>
      <c r="H22655" s="5">
        <v>253.073400</v>
      </c>
    </row>
    <row r="22656" spans="1:9">
      <c r="A22656" s="22" t="str">
        <f>HYPERLINK("https://app.vivvix.com/360/KMI/IntelliDrive/ApplUI/Pages/CreativePages/CustomReportCreativeDetail.aspx?App=23&amp;ReportView=4&amp;Qid=1711279&amp;Row=22648&amp;Col=1","No Title Assigned - #15281233662")</f>
        <v/>
      </c>
      <c r="B22656" s="0" t="s">
        <v>30206</v>
      </c>
      <c r="C22656" s="0" t="s">
        <v>30207</v>
      </c>
      <c r="D22656" s="0" t="s">
        <v>30207</v>
      </c>
      <c r="E22656" s="0" t="inlineStr">
        <is>
          <t xml:space="preserve">Mazda</t>
        </is>
      </c>
      <c r="F22656" s="0" t="s">
        <v>13</v>
      </c>
      <c r="G22656" s="0" t="s">
        <v>49</v>
      </c>
      <c r="H22656" s="5">
        <v>521.493900</v>
      </c>
    </row>
    <row r="22657" spans="1:9">
      <c r="A22657" s="22" t="str">
        <f>HYPERLINK("https://app.vivvix.com/360/KMI/IntelliDrive/ApplUI/Pages/CreativePages/CustomReportCreativeDetail.aspx?App=23&amp;ReportView=4&amp;Qid=1711279&amp;Row=22649&amp;Col=1","No Title Assigned - #15281233662")</f>
        <v/>
      </c>
      <c r="B22657" s="0" t="s">
        <v>30206</v>
      </c>
      <c r="E22657" s="0" t="inlineStr">
        <is>
          <t xml:space="preserve">Mazda</t>
        </is>
      </c>
      <c r="F22657" s="0" t="s">
        <v>13</v>
      </c>
      <c r="G22657" s="0" t="s">
        <v>49</v>
      </c>
      <c r="H22657" s="5">
        <v>3.583400</v>
      </c>
    </row>
    <row r="22658" spans="1:9">
      <c r="A22658" s="22" t="str">
        <f>HYPERLINK("https://app.vivvix.com/360/KMI/IntelliDrive/ApplUI/Pages/CreativePages/CustomReportCreativeDetail.aspx?App=23&amp;ReportView=4&amp;Qid=1711279&amp;Row=22650&amp;Col=1","No Title Assigned - #15281234196")</f>
        <v/>
      </c>
      <c r="B22658" s="0" t="s">
        <v>30208</v>
      </c>
      <c r="C22658" s="0" t="s">
        <v>30209</v>
      </c>
      <c r="D22658" s="0" t="s">
        <v>14231</v>
      </c>
      <c r="E22658" s="0" t="inlineStr">
        <is>
          <t xml:space="preserve">Mazda</t>
        </is>
      </c>
      <c r="F22658" s="0" t="s">
        <v>28</v>
      </c>
      <c r="G22658" s="0" t="s">
        <v>29</v>
      </c>
      <c r="H22658" s="5">
        <v>549.231500</v>
      </c>
    </row>
    <row r="22659" spans="1:9">
      <c r="A22659" s="22" t="str">
        <f>HYPERLINK("https://app.vivvix.com/360/KMI/IntelliDrive/ApplUI/Pages/CreativePages/CustomReportCreativeDetail.aspx?App=23&amp;ReportView=4&amp;Qid=1711279&amp;Row=22651&amp;Col=1","No Title Assigned - #15281236770")</f>
        <v/>
      </c>
      <c r="B22659" s="0" t="s">
        <v>30210</v>
      </c>
      <c r="E22659" s="0" t="inlineStr">
        <is>
          <t xml:space="preserve">Mazda</t>
        </is>
      </c>
      <c r="F22659" s="0" t="s">
        <v>13</v>
      </c>
      <c r="G22659" s="0" t="s">
        <v>49</v>
      </c>
      <c r="H22659" s="5">
        <v>19708.832000</v>
      </c>
    </row>
    <row r="22660" spans="1:9">
      <c r="A22660" s="22" t="str">
        <f>HYPERLINK("https://app.vivvix.com/360/KMI/IntelliDrive/ApplUI/Pages/CreativePages/CustomReportCreativeDetail.aspx?App=23&amp;ReportView=4&amp;Qid=1711279&amp;Row=22652&amp;Col=1","No Title Assigned - #15281236770")</f>
        <v/>
      </c>
      <c r="B22660" s="0" t="s">
        <v>30210</v>
      </c>
      <c r="C22660" s="0" t="s">
        <v>30211</v>
      </c>
      <c r="D22660" s="0" t="s">
        <v>30211</v>
      </c>
      <c r="E22660" s="0" t="inlineStr">
        <is>
          <t xml:space="preserve">Mazda</t>
        </is>
      </c>
      <c r="F22660" s="0" t="s">
        <v>13</v>
      </c>
      <c r="G22660" s="0" t="s">
        <v>49</v>
      </c>
      <c r="H22660" s="5">
        <v>111.777500</v>
      </c>
    </row>
    <row r="22661" spans="1:9">
      <c r="A22661" s="22" t="str">
        <f>HYPERLINK("https://app.vivvix.com/360/KMI/IntelliDrive/ApplUI/Pages/CreativePages/CustomReportCreativeDetail.aspx?App=23&amp;ReportView=4&amp;Qid=1711279&amp;Row=22653&amp;Col=1","No Title Assigned - #15281237300")</f>
        <v/>
      </c>
      <c r="B22661" s="0" t="s">
        <v>30212</v>
      </c>
      <c r="C22661" s="0" t="s">
        <v>30213</v>
      </c>
      <c r="D22661" s="0" t="s">
        <v>19918</v>
      </c>
      <c r="E22661" s="0" t="inlineStr">
        <is>
          <t xml:space="preserve">Mazda</t>
        </is>
      </c>
      <c r="F22661" s="0" t="inlineStr">
        <is>
          <t xml:space="preserve">Mazda</t>
        </is>
      </c>
      <c r="G22661" s="0" t="s">
        <v>210</v>
      </c>
      <c r="H22661" s="5">
        <v>49.838500</v>
      </c>
    </row>
    <row r="22662" spans="1:9">
      <c r="A22662" s="22" t="str">
        <f>HYPERLINK("https://app.vivvix.com/360/KMI/IntelliDrive/ApplUI/Pages/CreativePages/CustomReportCreativeDetail.aspx?App=23&amp;ReportView=4&amp;Qid=1711279&amp;Row=22654&amp;Col=1","No Title Assigned - #15281239310")</f>
        <v/>
      </c>
      <c r="B22662" s="0" t="s">
        <v>30214</v>
      </c>
      <c r="E22662" s="0" t="inlineStr">
        <is>
          <t xml:space="preserve">Mazda</t>
        </is>
      </c>
      <c r="F22662" s="0" t="inlineStr">
        <is>
          <t xml:space="preserve">Mazda</t>
        </is>
      </c>
      <c r="G22662" s="0" t="s">
        <v>171</v>
      </c>
      <c r="H22662" s="5">
        <v>3195.296500</v>
      </c>
    </row>
    <row r="22663" spans="1:9">
      <c r="A22663" s="22" t="str">
        <f>HYPERLINK("https://app.vivvix.com/360/KMI/IntelliDrive/ApplUI/Pages/CreativePages/CustomReportCreativeDetail.aspx?App=23&amp;ReportView=4&amp;Qid=1711279&amp;Row=22655&amp;Col=1","No Title Assigned - #15281239565")</f>
        <v/>
      </c>
      <c r="B22663" s="0" t="s">
        <v>30215</v>
      </c>
      <c r="E22663" s="0" t="inlineStr">
        <is>
          <t xml:space="preserve">Mazda</t>
        </is>
      </c>
      <c r="F22663" s="0" t="inlineStr">
        <is>
          <t xml:space="preserve">Mazda</t>
        </is>
      </c>
      <c r="G22663" s="0" t="s">
        <v>171</v>
      </c>
      <c r="H22663" s="5">
        <v>230.094200</v>
      </c>
    </row>
    <row r="22664" spans="1:9">
      <c r="A22664" s="22" t="str">
        <f>HYPERLINK("https://app.vivvix.com/360/KMI/IntelliDrive/ApplUI/Pages/CreativePages/CustomReportCreativeDetail.aspx?App=23&amp;ReportView=4&amp;Qid=1711279&amp;Row=22656&amp;Col=1","No Title Assigned - #15281240222")</f>
        <v/>
      </c>
      <c r="B22664" s="0" t="s">
        <v>30216</v>
      </c>
      <c r="E22664" s="0" t="inlineStr">
        <is>
          <t xml:space="preserve">Mazda</t>
        </is>
      </c>
      <c r="F22664" s="0" t="inlineStr">
        <is>
          <t xml:space="preserve">Mazda</t>
        </is>
      </c>
      <c r="G22664" s="0" t="s">
        <v>171</v>
      </c>
      <c r="H22664" s="5">
        <v>481.160600</v>
      </c>
    </row>
    <row r="22665" spans="1:9">
      <c r="A22665" s="22" t="str">
        <f>HYPERLINK("https://app.vivvix.com/360/KMI/IntelliDrive/ApplUI/Pages/CreativePages/CustomReportCreativeDetail.aspx?App=23&amp;ReportView=4&amp;Qid=1711279&amp;Row=22657&amp;Col=1","No Title Assigned - #15281240310")</f>
        <v/>
      </c>
      <c r="B22665" s="0" t="s">
        <v>30217</v>
      </c>
      <c r="E22665" s="0" t="inlineStr">
        <is>
          <t xml:space="preserve">Mazda</t>
        </is>
      </c>
      <c r="F22665" s="0" t="inlineStr">
        <is>
          <t xml:space="preserve">Mazda</t>
        </is>
      </c>
      <c r="G22665" s="0" t="s">
        <v>171</v>
      </c>
      <c r="H22665" s="5">
        <v>52.355200</v>
      </c>
    </row>
    <row r="22666" spans="1:9">
      <c r="A22666" s="22" t="str">
        <f>HYPERLINK("https://app.vivvix.com/360/KMI/IntelliDrive/ApplUI/Pages/CreativePages/CustomReportCreativeDetail.aspx?App=23&amp;ReportView=4&amp;Qid=1711279&amp;Row=22658&amp;Col=1","No Title Assigned - #15281241787")</f>
        <v/>
      </c>
      <c r="B22666" s="0" t="s">
        <v>30218</v>
      </c>
      <c r="C22666" s="0" t="s">
        <v>30219</v>
      </c>
      <c r="D22666" s="0" t="s">
        <v>30219</v>
      </c>
      <c r="E22666" s="0" t="inlineStr">
        <is>
          <t xml:space="preserve">Mazda</t>
        </is>
      </c>
      <c r="F22666" s="0" t="inlineStr">
        <is>
          <t xml:space="preserve">Mazda</t>
        </is>
      </c>
      <c r="G22666" s="0" t="s">
        <v>171</v>
      </c>
      <c r="H22666" s="5">
        <v>3.858800</v>
      </c>
    </row>
    <row r="22667" spans="1:9">
      <c r="A22667" s="22" t="str">
        <f>HYPERLINK("https://app.vivvix.com/360/KMI/IntelliDrive/ApplUI/Pages/CreativePages/CustomReportCreativeDetail.aspx?App=23&amp;ReportView=4&amp;Qid=1711279&amp;Row=22659&amp;Col=1","No Title Assigned - #15281242093")</f>
        <v/>
      </c>
      <c r="B22667" s="0" t="s">
        <v>30220</v>
      </c>
      <c r="E22667" s="0" t="inlineStr">
        <is>
          <t xml:space="preserve">Mazda</t>
        </is>
      </c>
      <c r="F22667" s="0" t="inlineStr">
        <is>
          <t xml:space="preserve">Mazda</t>
        </is>
      </c>
      <c r="G22667" s="0" t="s">
        <v>171</v>
      </c>
      <c r="H22667" s="5">
        <v>1421.497900</v>
      </c>
    </row>
    <row r="22668" spans="1:9">
      <c r="A22668" s="22" t="str">
        <f>HYPERLINK("https://app.vivvix.com/360/KMI/IntelliDrive/ApplUI/Pages/CreativePages/CustomReportCreativeDetail.aspx?App=23&amp;ReportView=4&amp;Qid=1711279&amp;Row=22660&amp;Col=1","No Title Assigned - #15281242333")</f>
        <v/>
      </c>
      <c r="B22668" s="0" t="s">
        <v>30221</v>
      </c>
      <c r="C22668" s="0" t="s">
        <v>30222</v>
      </c>
      <c r="D22668" s="0" t="s">
        <v>30222</v>
      </c>
      <c r="E22668" s="0" t="inlineStr">
        <is>
          <t xml:space="preserve">Mazda</t>
        </is>
      </c>
      <c r="F22668" s="0" t="inlineStr">
        <is>
          <t xml:space="preserve">Mazda</t>
        </is>
      </c>
      <c r="G22668" s="0" t="s">
        <v>171</v>
      </c>
      <c r="H22668" s="5">
        <v>3389.243600</v>
      </c>
    </row>
    <row r="22669" spans="1:9">
      <c r="A22669" s="22" t="str">
        <f>HYPERLINK("https://app.vivvix.com/360/KMI/IntelliDrive/ApplUI/Pages/CreativePages/CustomReportCreativeDetail.aspx?App=23&amp;ReportView=4&amp;Qid=1711279&amp;Row=22661&amp;Col=1","No Title Assigned - #15281247569")</f>
        <v/>
      </c>
      <c r="B22669" s="0" t="s">
        <v>30223</v>
      </c>
      <c r="E22669" s="0" t="inlineStr">
        <is>
          <t xml:space="preserve">Mazda</t>
        </is>
      </c>
      <c r="F22669" s="0" t="inlineStr">
        <is>
          <t xml:space="preserve">Mazda</t>
        </is>
      </c>
      <c r="G22669" s="0" t="s">
        <v>171</v>
      </c>
      <c r="H22669" s="5">
        <v>7659.548800</v>
      </c>
    </row>
    <row r="22670" spans="1:9">
      <c r="A22670" s="22" t="str">
        <f>HYPERLINK("https://app.vivvix.com/360/KMI/IntelliDrive/ApplUI/Pages/CreativePages/CustomReportCreativeDetail.aspx?App=23&amp;ReportView=4&amp;Qid=1711279&amp;Row=22662&amp;Col=1","No Title Assigned - #15281253996")</f>
        <v/>
      </c>
      <c r="B22670" s="0" t="s">
        <v>30224</v>
      </c>
      <c r="E22670" s="0" t="inlineStr">
        <is>
          <t xml:space="preserve">Mazda</t>
        </is>
      </c>
      <c r="F22670" s="0" t="inlineStr">
        <is>
          <t xml:space="preserve">Mazda</t>
        </is>
      </c>
      <c r="G22670" s="0" t="s">
        <v>171</v>
      </c>
      <c r="H22670" s="5">
        <v>199.010500</v>
      </c>
    </row>
    <row r="22671" spans="1:9">
      <c r="A22671" s="22" t="str">
        <f>HYPERLINK("https://app.vivvix.com/360/KMI/IntelliDrive/ApplUI/Pages/CreativePages/CustomReportCreativeDetail.aspx?App=23&amp;ReportView=4&amp;Qid=1711279&amp;Row=22663&amp;Col=1","No Title Assigned - #15281255445")</f>
        <v/>
      </c>
      <c r="B22671" s="0" t="s">
        <v>30225</v>
      </c>
      <c r="C22671" s="0" t="s">
        <v>30226</v>
      </c>
      <c r="D22671" s="0" t="s">
        <v>30226</v>
      </c>
      <c r="E22671" s="0" t="inlineStr">
        <is>
          <t xml:space="preserve">Mazda</t>
        </is>
      </c>
      <c r="F22671" s="0" t="inlineStr">
        <is>
          <t xml:space="preserve">Mazda</t>
        </is>
      </c>
      <c r="G22671" s="0" t="s">
        <v>171</v>
      </c>
      <c r="H22671" s="5">
        <v>1.517600</v>
      </c>
    </row>
    <row r="22672" spans="1:9">
      <c r="A22672" s="22" t="str">
        <f>HYPERLINK("https://app.vivvix.com/360/KMI/IntelliDrive/ApplUI/Pages/CreativePages/CustomReportCreativeDetail.aspx?App=23&amp;ReportView=4&amp;Qid=1711279&amp;Row=22664&amp;Col=1","No Title Assigned - #15281255678")</f>
        <v/>
      </c>
      <c r="B22672" s="0" t="s">
        <v>30227</v>
      </c>
      <c r="E22672" s="0" t="inlineStr">
        <is>
          <t xml:space="preserve">Mazda</t>
        </is>
      </c>
      <c r="F22672" s="0" t="inlineStr">
        <is>
          <t xml:space="preserve">Mazda</t>
        </is>
      </c>
      <c r="G22672" s="0" t="s">
        <v>171</v>
      </c>
      <c r="H22672" s="5">
        <v>67.275100</v>
      </c>
    </row>
    <row r="22673" spans="1:9">
      <c r="A22673" s="22" t="str">
        <f>HYPERLINK("https://app.vivvix.com/360/KMI/IntelliDrive/ApplUI/Pages/CreativePages/CustomReportCreativeDetail.aspx?App=23&amp;ReportView=4&amp;Qid=1711279&amp;Row=22665&amp;Col=1","No Title Assigned - #15281255678")</f>
        <v/>
      </c>
      <c r="B22673" s="0" t="s">
        <v>30227</v>
      </c>
      <c r="E22673" s="0" t="inlineStr">
        <is>
          <t xml:space="preserve">Mazda</t>
        </is>
      </c>
      <c r="F22673" s="0" t="inlineStr">
        <is>
          <t xml:space="preserve">Mazda</t>
        </is>
      </c>
      <c r="G22673" s="0" t="s">
        <v>171</v>
      </c>
      <c r="H22673" s="5">
        <v>827.038700</v>
      </c>
    </row>
    <row r="22674" spans="1:9">
      <c r="A22674" s="22" t="str">
        <f>HYPERLINK("https://app.vivvix.com/360/KMI/IntelliDrive/ApplUI/Pages/CreativePages/CustomReportCreativeDetail.aspx?App=23&amp;ReportView=4&amp;Qid=1711279&amp;Row=22666&amp;Col=1","No Title Assigned - #15281255684")</f>
        <v/>
      </c>
      <c r="B22674" s="0" t="s">
        <v>30228</v>
      </c>
      <c r="E22674" s="0" t="inlineStr">
        <is>
          <t xml:space="preserve">Mazda</t>
        </is>
      </c>
      <c r="F22674" s="0" t="inlineStr">
        <is>
          <t xml:space="preserve">Mazda</t>
        </is>
      </c>
      <c r="G22674" s="0" t="s">
        <v>171</v>
      </c>
      <c r="H22674" s="5">
        <v>1442.637700</v>
      </c>
    </row>
    <row r="22675" spans="1:9">
      <c r="A22675" s="22" t="str">
        <f>HYPERLINK("https://app.vivvix.com/360/KMI/IntelliDrive/ApplUI/Pages/CreativePages/CustomReportCreativeDetail.aspx?App=23&amp;ReportView=4&amp;Qid=1711279&amp;Row=22667&amp;Col=1","No Title Assigned - #15281256148")</f>
        <v/>
      </c>
      <c r="B22675" s="0" t="s">
        <v>30229</v>
      </c>
      <c r="E22675" s="0" t="inlineStr">
        <is>
          <t xml:space="preserve">Mazda</t>
        </is>
      </c>
      <c r="F22675" s="0" t="inlineStr">
        <is>
          <t xml:space="preserve">Mazda</t>
        </is>
      </c>
      <c r="G22675" s="0" t="s">
        <v>171</v>
      </c>
      <c r="H22675" s="5">
        <v>1656.481400</v>
      </c>
    </row>
    <row r="22676" spans="1:9">
      <c r="A22676" s="22" t="str">
        <f>HYPERLINK("https://app.vivvix.com/360/KMI/IntelliDrive/ApplUI/Pages/CreativePages/CustomReportCreativeDetail.aspx?App=23&amp;ReportView=4&amp;Qid=1711279&amp;Row=22668&amp;Col=1","No Title Assigned - #15281262569")</f>
        <v/>
      </c>
      <c r="B22676" s="0" t="s">
        <v>30230</v>
      </c>
      <c r="E22676" s="0" t="inlineStr">
        <is>
          <t xml:space="preserve">Mazda</t>
        </is>
      </c>
      <c r="F22676" s="0" t="inlineStr">
        <is>
          <t xml:space="preserve">Mazda</t>
        </is>
      </c>
      <c r="G22676" s="0" t="s">
        <v>171</v>
      </c>
      <c r="H22676" s="5">
        <v>93.073100</v>
      </c>
    </row>
    <row r="22677" spans="1:9">
      <c r="A22677" s="22" t="str">
        <f>HYPERLINK("https://app.vivvix.com/360/KMI/IntelliDrive/ApplUI/Pages/CreativePages/CustomReportCreativeDetail.aspx?App=23&amp;ReportView=4&amp;Qid=1711279&amp;Row=22669&amp;Col=1","No Title Assigned - #15281262846")</f>
        <v/>
      </c>
      <c r="B22677" s="0" t="s">
        <v>30231</v>
      </c>
      <c r="C22677" s="0" t="s">
        <v>30232</v>
      </c>
      <c r="D22677" s="0" t="s">
        <v>30232</v>
      </c>
      <c r="E22677" s="0" t="inlineStr">
        <is>
          <t xml:space="preserve">Mazda</t>
        </is>
      </c>
      <c r="F22677" s="0" t="inlineStr">
        <is>
          <t xml:space="preserve">Mazda</t>
        </is>
      </c>
      <c r="G22677" s="0" t="s">
        <v>171</v>
      </c>
      <c r="H22677" s="5">
        <v>542.615200</v>
      </c>
    </row>
    <row r="22678" spans="1:9">
      <c r="A22678" s="22" t="str">
        <f>HYPERLINK("https://app.vivvix.com/360/KMI/IntelliDrive/ApplUI/Pages/CreativePages/CustomReportCreativeDetail.aspx?App=23&amp;ReportView=4&amp;Qid=1711279&amp;Row=22670&amp;Col=1","No Title Assigned - #15281263372")</f>
        <v/>
      </c>
      <c r="B22678" s="0" t="s">
        <v>30233</v>
      </c>
      <c r="E22678" s="0" t="inlineStr">
        <is>
          <t xml:space="preserve">Mazda</t>
        </is>
      </c>
      <c r="F22678" s="0" t="inlineStr">
        <is>
          <t xml:space="preserve">Mazda</t>
        </is>
      </c>
      <c r="G22678" s="0" t="s">
        <v>171</v>
      </c>
      <c r="H22678" s="5">
        <v>30.111800</v>
      </c>
    </row>
    <row r="22679" spans="1:9">
      <c r="A22679" s="22" t="str">
        <f>HYPERLINK("https://app.vivvix.com/360/KMI/IntelliDrive/ApplUI/Pages/CreativePages/CustomReportCreativeDetail.aspx?App=23&amp;ReportView=4&amp;Qid=1711279&amp;Row=22671&amp;Col=1","No Title Assigned - #15281266429")</f>
        <v/>
      </c>
      <c r="B22679" s="0" t="s">
        <v>30234</v>
      </c>
      <c r="C22679" s="0" t="s">
        <v>30235</v>
      </c>
      <c r="D22679" s="0" t="s">
        <v>13101</v>
      </c>
      <c r="E22679" s="0" t="inlineStr">
        <is>
          <t xml:space="preserve">Mazda</t>
        </is>
      </c>
      <c r="F22679" s="0" t="s">
        <v>13</v>
      </c>
      <c r="G22679" s="0" t="s">
        <v>49</v>
      </c>
      <c r="H22679" s="5">
        <v>570.956300</v>
      </c>
    </row>
    <row r="22680" spans="1:9">
      <c r="A22680" s="22" t="str">
        <f>HYPERLINK("https://app.vivvix.com/360/KMI/IntelliDrive/ApplUI/Pages/CreativePages/CustomReportCreativeDetail.aspx?App=23&amp;ReportView=4&amp;Qid=1711279&amp;Row=22672&amp;Col=1","No Title Assigned - #15281266429")</f>
        <v/>
      </c>
      <c r="B22680" s="0" t="s">
        <v>30234</v>
      </c>
      <c r="E22680" s="0" t="inlineStr">
        <is>
          <t xml:space="preserve">Mazda</t>
        </is>
      </c>
      <c r="F22680" s="0" t="s">
        <v>13</v>
      </c>
      <c r="G22680" s="0" t="s">
        <v>49</v>
      </c>
      <c r="H22680" s="5">
        <v>169.118000</v>
      </c>
    </row>
    <row r="22681" spans="1:9">
      <c r="A22681" s="22" t="str">
        <f>HYPERLINK("https://app.vivvix.com/360/KMI/IntelliDrive/ApplUI/Pages/CreativePages/CustomReportCreativeDetail.aspx?App=23&amp;ReportView=4&amp;Qid=1711279&amp;Row=22673&amp;Col=1","No Title Assigned - #15281266552")</f>
        <v/>
      </c>
      <c r="B22681" s="0" t="s">
        <v>30236</v>
      </c>
      <c r="C22681" s="0" t="s">
        <v>30237</v>
      </c>
      <c r="D22681" s="0" t="s">
        <v>15762</v>
      </c>
      <c r="E22681" s="0" t="inlineStr">
        <is>
          <t xml:space="preserve">Mazda</t>
        </is>
      </c>
      <c r="F22681" s="0" t="s">
        <v>13</v>
      </c>
      <c r="G22681" s="0" t="s">
        <v>49</v>
      </c>
      <c r="H22681" s="5">
        <v>171.097000</v>
      </c>
    </row>
    <row r="22682" spans="1:9">
      <c r="A22682" s="22" t="str">
        <f>HYPERLINK("https://app.vivvix.com/360/KMI/IntelliDrive/ApplUI/Pages/CreativePages/CustomReportCreativeDetail.aspx?App=23&amp;ReportView=4&amp;Qid=1711279&amp;Row=22674&amp;Col=1","No Title Assigned - #15281267403")</f>
        <v/>
      </c>
      <c r="B22682" s="0" t="s">
        <v>30238</v>
      </c>
      <c r="C22682" s="0" t="s">
        <v>30239</v>
      </c>
      <c r="D22682" s="0" t="s">
        <v>30239</v>
      </c>
      <c r="E22682" s="0" t="inlineStr">
        <is>
          <t xml:space="preserve">Mazda</t>
        </is>
      </c>
      <c r="F22682" s="0" t="s">
        <v>13</v>
      </c>
      <c r="G22682" s="0" t="s">
        <v>49</v>
      </c>
      <c r="H22682" s="5">
        <v>4.393600</v>
      </c>
    </row>
    <row r="22683" spans="1:9">
      <c r="A22683" s="22" t="str">
        <f>HYPERLINK("https://app.vivvix.com/360/KMI/IntelliDrive/ApplUI/Pages/CreativePages/CustomReportCreativeDetail.aspx?App=23&amp;ReportView=4&amp;Qid=1711279&amp;Row=22675&amp;Col=1","No Title Assigned - #15281267821")</f>
        <v/>
      </c>
      <c r="B22683" s="0" t="s">
        <v>30240</v>
      </c>
      <c r="C22683" s="0" t="s">
        <v>30241</v>
      </c>
      <c r="D22683" s="0" t="s">
        <v>30241</v>
      </c>
      <c r="E22683" s="0" t="inlineStr">
        <is>
          <t xml:space="preserve">Mazda</t>
        </is>
      </c>
      <c r="F22683" s="0" t="s">
        <v>13</v>
      </c>
      <c r="G22683" s="0" t="s">
        <v>49</v>
      </c>
      <c r="H22683" s="5">
        <v>6.110900</v>
      </c>
    </row>
    <row r="22684" spans="1:9">
      <c r="A22684" s="22" t="str">
        <f>HYPERLINK("https://app.vivvix.com/360/KMI/IntelliDrive/ApplUI/Pages/CreativePages/CustomReportCreativeDetail.aspx?App=23&amp;ReportView=4&amp;Qid=1711279&amp;Row=22676&amp;Col=1","No Title Assigned - #15281267896")</f>
        <v/>
      </c>
      <c r="B22684" s="0" t="s">
        <v>30242</v>
      </c>
      <c r="C22684" s="0" t="s">
        <v>30243</v>
      </c>
      <c r="D22684" s="0" t="s">
        <v>29557</v>
      </c>
      <c r="E22684" s="0" t="inlineStr">
        <is>
          <t xml:space="preserve">Mazda</t>
        </is>
      </c>
      <c r="F22684" s="0" t="s">
        <v>28</v>
      </c>
      <c r="G22684" s="0" t="s">
        <v>29</v>
      </c>
      <c r="H22684" s="5">
        <v>500.488700</v>
      </c>
    </row>
    <row r="22685" spans="1:9">
      <c r="A22685" s="22" t="str">
        <f>HYPERLINK("https://app.vivvix.com/360/KMI/IntelliDrive/ApplUI/Pages/CreativePages/CustomReportCreativeDetail.aspx?App=23&amp;ReportView=4&amp;Qid=1711279&amp;Row=22677&amp;Col=1","No Title Assigned - #15281267966")</f>
        <v/>
      </c>
      <c r="B22685" s="0" t="s">
        <v>30244</v>
      </c>
      <c r="C22685" s="0" t="s">
        <v>30245</v>
      </c>
      <c r="D22685" s="0" t="s">
        <v>30245</v>
      </c>
      <c r="E22685" s="0" t="inlineStr">
        <is>
          <t xml:space="preserve">Mazda</t>
        </is>
      </c>
      <c r="F22685" s="0" t="s">
        <v>13</v>
      </c>
      <c r="G22685" s="0" t="s">
        <v>49</v>
      </c>
      <c r="H22685" s="5">
        <v>119.720900</v>
      </c>
    </row>
    <row r="22686" spans="1:9">
      <c r="A22686" s="22" t="str">
        <f>HYPERLINK("https://app.vivvix.com/360/KMI/IntelliDrive/ApplUI/Pages/CreativePages/CustomReportCreativeDetail.aspx?App=23&amp;ReportView=4&amp;Qid=1711279&amp;Row=22678&amp;Col=1","No Title Assigned - #15281268062")</f>
        <v/>
      </c>
      <c r="B22686" s="0" t="s">
        <v>30246</v>
      </c>
      <c r="C22686" s="0" t="s">
        <v>30247</v>
      </c>
      <c r="D22686" s="0" t="s">
        <v>30247</v>
      </c>
      <c r="E22686" s="0" t="inlineStr">
        <is>
          <t xml:space="preserve">Mazda</t>
        </is>
      </c>
      <c r="F22686" s="0" t="s">
        <v>13</v>
      </c>
      <c r="G22686" s="0" t="s">
        <v>49</v>
      </c>
      <c r="H22686" s="5">
        <v>31.369500</v>
      </c>
    </row>
    <row r="22687" spans="1:9">
      <c r="A22687" s="22" t="str">
        <f>HYPERLINK("https://app.vivvix.com/360/KMI/IntelliDrive/ApplUI/Pages/CreativePages/CustomReportCreativeDetail.aspx?App=23&amp;ReportView=4&amp;Qid=1711279&amp;Row=22679&amp;Col=1","No Title Assigned - #15281268365")</f>
        <v/>
      </c>
      <c r="B22687" s="0" t="s">
        <v>30248</v>
      </c>
      <c r="C22687" s="0" t="s">
        <v>30249</v>
      </c>
      <c r="D22687" s="0" t="s">
        <v>30249</v>
      </c>
      <c r="E22687" s="0" t="inlineStr">
        <is>
          <t xml:space="preserve">Mazda</t>
        </is>
      </c>
      <c r="F22687" s="0" t="s">
        <v>13</v>
      </c>
      <c r="G22687" s="0" t="s">
        <v>49</v>
      </c>
      <c r="H22687" s="5">
        <v>3227.491800</v>
      </c>
    </row>
    <row r="22688" spans="1:9">
      <c r="A22688" s="22" t="str">
        <f>HYPERLINK("https://app.vivvix.com/360/KMI/IntelliDrive/ApplUI/Pages/CreativePages/CustomReportCreativeDetail.aspx?App=23&amp;ReportView=4&amp;Qid=1711279&amp;Row=22680&amp;Col=1","No Title Assigned - #15281268648")</f>
        <v/>
      </c>
      <c r="B22688" s="0" t="s">
        <v>30250</v>
      </c>
      <c r="C22688" s="0" t="s">
        <v>30251</v>
      </c>
      <c r="D22688" s="0" t="s">
        <v>30251</v>
      </c>
      <c r="E22688" s="0" t="inlineStr">
        <is>
          <t xml:space="preserve">Mazda</t>
        </is>
      </c>
      <c r="F22688" s="0" t="inlineStr">
        <is>
          <t xml:space="preserve">Mazda</t>
        </is>
      </c>
      <c r="G22688" s="0" t="s">
        <v>210</v>
      </c>
      <c r="H22688" s="5">
        <v>777.257300</v>
      </c>
    </row>
    <row r="22689" spans="1:9">
      <c r="A22689" s="22" t="str">
        <f>HYPERLINK("https://app.vivvix.com/360/KMI/IntelliDrive/ApplUI/Pages/CreativePages/CustomReportCreativeDetail.aspx?App=23&amp;ReportView=4&amp;Qid=1711279&amp;Row=22681&amp;Col=1","No Title Assigned - #15281270817")</f>
        <v/>
      </c>
      <c r="B22689" s="0" t="s">
        <v>30252</v>
      </c>
      <c r="C22689" s="0" t="s">
        <v>30253</v>
      </c>
      <c r="D22689" s="0" t="s">
        <v>19006</v>
      </c>
      <c r="E22689" s="0" t="inlineStr">
        <is>
          <t xml:space="preserve">Mazda</t>
        </is>
      </c>
      <c r="F22689" s="0" t="s">
        <v>13</v>
      </c>
      <c r="G22689" s="0" t="s">
        <v>49</v>
      </c>
      <c r="H22689" s="5">
        <v>1173.431600</v>
      </c>
    </row>
    <row r="22690" spans="1:9">
      <c r="A22690" s="22" t="str">
        <f>HYPERLINK("https://app.vivvix.com/360/KMI/IntelliDrive/ApplUI/Pages/CreativePages/CustomReportCreativeDetail.aspx?App=23&amp;ReportView=4&amp;Qid=1711279&amp;Row=22682&amp;Col=1","No Title Assigned - #15281271311")</f>
        <v/>
      </c>
      <c r="B22690" s="0" t="s">
        <v>30254</v>
      </c>
      <c r="C22690" s="0" t="s">
        <v>30255</v>
      </c>
      <c r="D22690" s="0" t="s">
        <v>30255</v>
      </c>
      <c r="E22690" s="0" t="inlineStr">
        <is>
          <t xml:space="preserve">Mazda</t>
        </is>
      </c>
      <c r="F22690" s="0" t="s">
        <v>13</v>
      </c>
      <c r="G22690" s="0" t="s">
        <v>49</v>
      </c>
      <c r="H22690" s="5">
        <v>93.132000</v>
      </c>
    </row>
    <row r="22691" spans="1:9">
      <c r="A22691" s="22" t="str">
        <f>HYPERLINK("https://app.vivvix.com/360/KMI/IntelliDrive/ApplUI/Pages/CreativePages/CustomReportCreativeDetail.aspx?App=23&amp;ReportView=4&amp;Qid=1711279&amp;Row=22683&amp;Col=1","No Title Assigned - #15281272227")</f>
        <v/>
      </c>
      <c r="B22691" s="0" t="s">
        <v>30256</v>
      </c>
      <c r="C22691" s="0" t="s">
        <v>30257</v>
      </c>
      <c r="D22691" s="0" t="s">
        <v>30257</v>
      </c>
      <c r="E22691" s="0" t="inlineStr">
        <is>
          <t xml:space="preserve">Mazda</t>
        </is>
      </c>
      <c r="F22691" s="0" t="s">
        <v>13</v>
      </c>
      <c r="G22691" s="0" t="s">
        <v>49</v>
      </c>
      <c r="H22691" s="5">
        <v>540.716700</v>
      </c>
    </row>
    <row r="22692" spans="1:9">
      <c r="A22692" s="22" t="str">
        <f>HYPERLINK("https://app.vivvix.com/360/KMI/IntelliDrive/ApplUI/Pages/CreativePages/CustomReportCreativeDetail.aspx?App=23&amp;ReportView=4&amp;Qid=1711279&amp;Row=22684&amp;Col=1","No Title Assigned - #15281273654")</f>
        <v/>
      </c>
      <c r="B22692" s="0" t="s">
        <v>30258</v>
      </c>
      <c r="C22692" s="0" t="s">
        <v>30259</v>
      </c>
      <c r="D22692" s="0" t="s">
        <v>30259</v>
      </c>
      <c r="E22692" s="0" t="inlineStr">
        <is>
          <t xml:space="preserve">Mazda</t>
        </is>
      </c>
      <c r="F22692" s="0" t="s">
        <v>13</v>
      </c>
      <c r="G22692" s="0" t="s">
        <v>49</v>
      </c>
      <c r="H22692" s="5">
        <v>413.478900</v>
      </c>
    </row>
    <row r="22693" spans="1:9">
      <c r="A22693" s="22" t="str">
        <f>HYPERLINK("https://app.vivvix.com/360/KMI/IntelliDrive/ApplUI/Pages/CreativePages/CustomReportCreativeDetail.aspx?App=23&amp;ReportView=4&amp;Qid=1711279&amp;Row=22685&amp;Col=1","No Title Assigned - #15281274268")</f>
        <v/>
      </c>
      <c r="B22693" s="0" t="s">
        <v>30260</v>
      </c>
      <c r="C22693" s="0" t="s">
        <v>30261</v>
      </c>
      <c r="D22693" s="0" t="s">
        <v>30261</v>
      </c>
      <c r="E22693" s="0" t="inlineStr">
        <is>
          <t xml:space="preserve">Mazda</t>
        </is>
      </c>
      <c r="F22693" s="0" t="s">
        <v>13</v>
      </c>
      <c r="G22693" s="0" t="s">
        <v>49</v>
      </c>
      <c r="H22693" s="5">
        <v>211.308000</v>
      </c>
    </row>
    <row r="22694" spans="1:9">
      <c r="A22694" s="22" t="str">
        <f>HYPERLINK("https://app.vivvix.com/360/KMI/IntelliDrive/ApplUI/Pages/CreativePages/CustomReportCreativeDetail.aspx?App=23&amp;ReportView=4&amp;Qid=1711279&amp;Row=22686&amp;Col=1","No Title Assigned - #15281278692")</f>
        <v/>
      </c>
      <c r="B22694" s="0" t="s">
        <v>30262</v>
      </c>
      <c r="C22694" s="0" t="s">
        <v>30263</v>
      </c>
      <c r="D22694" s="0" t="s">
        <v>11420</v>
      </c>
      <c r="E22694" s="0" t="inlineStr">
        <is>
          <t xml:space="preserve">Mazda</t>
        </is>
      </c>
      <c r="F22694" s="0" t="s">
        <v>13</v>
      </c>
      <c r="G22694" s="0" t="s">
        <v>49</v>
      </c>
      <c r="H22694" s="5">
        <v>140.498500</v>
      </c>
    </row>
    <row r="22695" spans="1:9">
      <c r="A22695" s="22" t="str">
        <f>HYPERLINK("https://app.vivvix.com/360/KMI/IntelliDrive/ApplUI/Pages/CreativePages/CustomReportCreativeDetail.aspx?App=23&amp;ReportView=4&amp;Qid=1711279&amp;Row=22687&amp;Col=1","No Title Assigned - #15281279056")</f>
        <v/>
      </c>
      <c r="B22695" s="0" t="s">
        <v>30264</v>
      </c>
      <c r="C22695" s="0" t="s">
        <v>30265</v>
      </c>
      <c r="D22695" s="0" t="s">
        <v>30265</v>
      </c>
      <c r="E22695" s="0" t="inlineStr">
        <is>
          <t xml:space="preserve">Mazda</t>
        </is>
      </c>
      <c r="F22695" s="0" t="s">
        <v>13</v>
      </c>
      <c r="G22695" s="0" t="s">
        <v>49</v>
      </c>
      <c r="H22695" s="5">
        <v>238.988800</v>
      </c>
    </row>
    <row r="22696" spans="1:9">
      <c r="A22696" s="22" t="str">
        <f>HYPERLINK("https://app.vivvix.com/360/KMI/IntelliDrive/ApplUI/Pages/CreativePages/CustomReportCreativeDetail.aspx?App=23&amp;ReportView=4&amp;Qid=1711279&amp;Row=22688&amp;Col=1","No Title Assigned - #15281280557")</f>
        <v/>
      </c>
      <c r="B22696" s="0" t="s">
        <v>30266</v>
      </c>
      <c r="C22696" s="0" t="s">
        <v>30267</v>
      </c>
      <c r="D22696" s="0" t="s">
        <v>30267</v>
      </c>
      <c r="E22696" s="0" t="inlineStr">
        <is>
          <t xml:space="preserve">Mazda</t>
        </is>
      </c>
      <c r="F22696" s="0" t="s">
        <v>13</v>
      </c>
      <c r="G22696" s="0" t="s">
        <v>49</v>
      </c>
      <c r="H22696" s="5">
        <v>620.681000</v>
      </c>
    </row>
    <row r="22697" spans="1:9">
      <c r="A22697" s="22" t="str">
        <f>HYPERLINK("https://app.vivvix.com/360/KMI/IntelliDrive/ApplUI/Pages/CreativePages/CustomReportCreativeDetail.aspx?App=23&amp;ReportView=4&amp;Qid=1711279&amp;Row=22689&amp;Col=1","No Title Assigned - #15281280955")</f>
        <v/>
      </c>
      <c r="B22697" s="0" t="s">
        <v>30268</v>
      </c>
      <c r="C22697" s="0" t="s">
        <v>30269</v>
      </c>
      <c r="D22697" s="0" t="s">
        <v>30269</v>
      </c>
      <c r="E22697" s="0" t="inlineStr">
        <is>
          <t xml:space="preserve">Mazda</t>
        </is>
      </c>
      <c r="F22697" s="0" t="inlineStr">
        <is>
          <t xml:space="preserve">Mazda</t>
        </is>
      </c>
      <c r="G22697" s="0" t="s">
        <v>210</v>
      </c>
      <c r="H22697" s="5">
        <v>88.826600</v>
      </c>
    </row>
    <row r="22698" spans="1:9">
      <c r="A22698" s="22" t="str">
        <f>HYPERLINK("https://app.vivvix.com/360/KMI/IntelliDrive/ApplUI/Pages/CreativePages/CustomReportCreativeDetail.aspx?App=23&amp;ReportView=4&amp;Qid=1711279&amp;Row=22690&amp;Col=1","No Title Assigned - #15281281238")</f>
        <v/>
      </c>
      <c r="B22698" s="0" t="s">
        <v>30270</v>
      </c>
      <c r="C22698" s="0" t="s">
        <v>30271</v>
      </c>
      <c r="D22698" s="0" t="s">
        <v>30271</v>
      </c>
      <c r="E22698" s="0" t="inlineStr">
        <is>
          <t xml:space="preserve">Mazda</t>
        </is>
      </c>
      <c r="F22698" s="0" t="s">
        <v>13</v>
      </c>
      <c r="G22698" s="0" t="s">
        <v>49</v>
      </c>
      <c r="H22698" s="5">
        <v>134.969400</v>
      </c>
    </row>
    <row r="22699" spans="1:9">
      <c r="A22699" s="22" t="str">
        <f>HYPERLINK("https://app.vivvix.com/360/KMI/IntelliDrive/ApplUI/Pages/CreativePages/CustomReportCreativeDetail.aspx?App=23&amp;ReportView=4&amp;Qid=1711279&amp;Row=22691&amp;Col=1","No Title Assigned - #15281281607")</f>
        <v/>
      </c>
      <c r="B22699" s="0" t="s">
        <v>30272</v>
      </c>
      <c r="C22699" s="0" t="s">
        <v>30273</v>
      </c>
      <c r="D22699" s="0" t="s">
        <v>30273</v>
      </c>
      <c r="E22699" s="0" t="inlineStr">
        <is>
          <t xml:space="preserve">Mazda</t>
        </is>
      </c>
      <c r="F22699" s="0" t="s">
        <v>13</v>
      </c>
      <c r="G22699" s="0" t="s">
        <v>49</v>
      </c>
      <c r="H22699" s="5">
        <v>18.741400</v>
      </c>
    </row>
    <row r="22700" spans="1:9">
      <c r="A22700" s="22" t="str">
        <f>HYPERLINK("https://app.vivvix.com/360/KMI/IntelliDrive/ApplUI/Pages/CreativePages/CustomReportCreativeDetail.aspx?App=23&amp;ReportView=4&amp;Qid=1711279&amp;Row=22692&amp;Col=1","No Title Assigned - #15281283454")</f>
        <v/>
      </c>
      <c r="B22700" s="0" t="s">
        <v>30274</v>
      </c>
      <c r="C22700" s="0" t="s">
        <v>30275</v>
      </c>
      <c r="D22700" s="0" t="s">
        <v>11469</v>
      </c>
      <c r="E22700" s="0" t="inlineStr">
        <is>
          <t xml:space="preserve">Mazda</t>
        </is>
      </c>
      <c r="F22700" s="0" t="s">
        <v>13</v>
      </c>
      <c r="G22700" s="0" t="s">
        <v>49</v>
      </c>
      <c r="H22700" s="5">
        <v>3317.588000</v>
      </c>
    </row>
    <row r="22701" spans="1:9">
      <c r="A22701" s="22" t="str">
        <f>HYPERLINK("https://app.vivvix.com/360/KMI/IntelliDrive/ApplUI/Pages/CreativePages/CustomReportCreativeDetail.aspx?App=23&amp;ReportView=4&amp;Qid=1711279&amp;Row=22693&amp;Col=1","No Title Assigned - #15281284928")</f>
        <v/>
      </c>
      <c r="B22701" s="0" t="s">
        <v>30276</v>
      </c>
      <c r="C22701" s="0" t="s">
        <v>30277</v>
      </c>
      <c r="D22701" s="0" t="s">
        <v>30277</v>
      </c>
      <c r="E22701" s="0" t="inlineStr">
        <is>
          <t xml:space="preserve">Mazda</t>
        </is>
      </c>
      <c r="F22701" s="0" t="s">
        <v>13</v>
      </c>
      <c r="G22701" s="0" t="s">
        <v>49</v>
      </c>
      <c r="H22701" s="5">
        <v>12.459700</v>
      </c>
    </row>
    <row r="22702" spans="1:9">
      <c r="A22702" s="22" t="str">
        <f>HYPERLINK("https://app.vivvix.com/360/KMI/IntelliDrive/ApplUI/Pages/CreativePages/CustomReportCreativeDetail.aspx?App=23&amp;ReportView=4&amp;Qid=1711279&amp;Row=22694&amp;Col=1","No Title Assigned - #15281285247")</f>
        <v/>
      </c>
      <c r="B22702" s="0" t="s">
        <v>30278</v>
      </c>
      <c r="C22702" s="0" t="s">
        <v>30279</v>
      </c>
      <c r="D22702" s="0" t="s">
        <v>30279</v>
      </c>
      <c r="E22702" s="0" t="inlineStr">
        <is>
          <t xml:space="preserve">Mazda</t>
        </is>
      </c>
      <c r="F22702" s="0" t="s">
        <v>13</v>
      </c>
      <c r="G22702" s="0" t="s">
        <v>49</v>
      </c>
      <c r="H22702" s="5">
        <v>2346.863200</v>
      </c>
    </row>
    <row r="22703" spans="1:9">
      <c r="A22703" s="22" t="str">
        <f>HYPERLINK("https://app.vivvix.com/360/KMI/IntelliDrive/ApplUI/Pages/CreativePages/CustomReportCreativeDetail.aspx?App=23&amp;ReportView=4&amp;Qid=1711279&amp;Row=22695&amp;Col=1","No Title Assigned - #15281285964")</f>
        <v/>
      </c>
      <c r="B22703" s="0" t="s">
        <v>30280</v>
      </c>
      <c r="C22703" s="0" t="s">
        <v>30281</v>
      </c>
      <c r="D22703" s="0" t="s">
        <v>6183</v>
      </c>
      <c r="E22703" s="0" t="inlineStr">
        <is>
          <t xml:space="preserve">Mazda</t>
        </is>
      </c>
      <c r="F22703" s="0" t="s">
        <v>13</v>
      </c>
      <c r="G22703" s="0" t="s">
        <v>49</v>
      </c>
      <c r="H22703" s="5">
        <v>17.799600</v>
      </c>
    </row>
    <row r="22704" spans="1:9">
      <c r="A22704" s="22" t="str">
        <f>HYPERLINK("https://app.vivvix.com/360/KMI/IntelliDrive/ApplUI/Pages/CreativePages/CustomReportCreativeDetail.aspx?App=23&amp;ReportView=4&amp;Qid=1711279&amp;Row=22696&amp;Col=1","No Title Assigned - #15281286129")</f>
        <v/>
      </c>
      <c r="B22704" s="0" t="s">
        <v>30282</v>
      </c>
      <c r="E22704" s="0" t="inlineStr">
        <is>
          <t xml:space="preserve">Mazda</t>
        </is>
      </c>
      <c r="F22704" s="0" t="inlineStr">
        <is>
          <t xml:space="preserve">Mazda</t>
        </is>
      </c>
      <c r="G22704" s="0" t="s">
        <v>171</v>
      </c>
      <c r="H22704" s="5">
        <v>642.748000</v>
      </c>
    </row>
    <row r="22705" spans="1:9">
      <c r="A22705" s="22" t="str">
        <f>HYPERLINK("https://app.vivvix.com/360/KMI/IntelliDrive/ApplUI/Pages/CreativePages/CustomReportCreativeDetail.aspx?App=23&amp;ReportView=4&amp;Qid=1711279&amp;Row=22697&amp;Col=1","No Title Assigned - #15281286301")</f>
        <v/>
      </c>
      <c r="B22705" s="0" t="s">
        <v>30283</v>
      </c>
      <c r="C22705" s="0" t="s">
        <v>30284</v>
      </c>
      <c r="D22705" s="0" t="s">
        <v>30284</v>
      </c>
      <c r="E22705" s="0" t="inlineStr">
        <is>
          <t xml:space="preserve">Mazda</t>
        </is>
      </c>
      <c r="F22705" s="0" t="s">
        <v>13</v>
      </c>
      <c r="G22705" s="0" t="s">
        <v>49</v>
      </c>
      <c r="H22705" s="5">
        <v>308.472500</v>
      </c>
    </row>
    <row r="22706" spans="1:9">
      <c r="A22706" s="22" t="str">
        <f>HYPERLINK("https://app.vivvix.com/360/KMI/IntelliDrive/ApplUI/Pages/CreativePages/CustomReportCreativeDetail.aspx?App=23&amp;ReportView=4&amp;Qid=1711279&amp;Row=22698&amp;Col=1","No Title Assigned - #15281287904")</f>
        <v/>
      </c>
      <c r="B22706" s="0" t="s">
        <v>30285</v>
      </c>
      <c r="C22706" s="0" t="s">
        <v>30286</v>
      </c>
      <c r="D22706" s="0" t="s">
        <v>11499</v>
      </c>
      <c r="E22706" s="0" t="inlineStr">
        <is>
          <t xml:space="preserve">Mazda</t>
        </is>
      </c>
      <c r="F22706" s="0" t="s">
        <v>13</v>
      </c>
      <c r="G22706" s="0" t="s">
        <v>49</v>
      </c>
      <c r="H22706" s="5">
        <v>16.031300</v>
      </c>
    </row>
    <row r="22707" spans="1:9">
      <c r="A22707" s="22" t="str">
        <f>HYPERLINK("https://app.vivvix.com/360/KMI/IntelliDrive/ApplUI/Pages/CreativePages/CustomReportCreativeDetail.aspx?App=23&amp;ReportView=4&amp;Qid=1711279&amp;Row=22699&amp;Col=1","No Title Assigned - #15281288325")</f>
        <v/>
      </c>
      <c r="B22707" s="0" t="s">
        <v>30287</v>
      </c>
      <c r="C22707" s="0" t="s">
        <v>30288</v>
      </c>
      <c r="D22707" s="0" t="s">
        <v>30288</v>
      </c>
      <c r="E22707" s="0" t="inlineStr">
        <is>
          <t xml:space="preserve">Mazda</t>
        </is>
      </c>
      <c r="F22707" s="0" t="s">
        <v>13</v>
      </c>
      <c r="G22707" s="0" t="s">
        <v>49</v>
      </c>
      <c r="H22707" s="5">
        <v>4285.219200</v>
      </c>
    </row>
    <row r="22708" spans="1:9">
      <c r="A22708" s="22" t="str">
        <f>HYPERLINK("https://app.vivvix.com/360/KMI/IntelliDrive/ApplUI/Pages/CreativePages/CustomReportCreativeDetail.aspx?App=23&amp;ReportView=4&amp;Qid=1711279&amp;Row=22700&amp;Col=1","No Title Assigned - #15281288702")</f>
        <v/>
      </c>
      <c r="B22708" s="0" t="s">
        <v>30289</v>
      </c>
      <c r="C22708" s="0" t="s">
        <v>30290</v>
      </c>
      <c r="D22708" s="0" t="s">
        <v>30290</v>
      </c>
      <c r="E22708" s="0" t="inlineStr">
        <is>
          <t xml:space="preserve">Mazda</t>
        </is>
      </c>
      <c r="F22708" s="0" t="s">
        <v>13</v>
      </c>
      <c r="G22708" s="0" t="s">
        <v>49</v>
      </c>
      <c r="H22708" s="5">
        <v>247.442900</v>
      </c>
    </row>
    <row r="22709" spans="1:9">
      <c r="A22709" s="22" t="str">
        <f>HYPERLINK("https://app.vivvix.com/360/KMI/IntelliDrive/ApplUI/Pages/CreativePages/CustomReportCreativeDetail.aspx?App=23&amp;ReportView=4&amp;Qid=1711279&amp;Row=22701&amp;Col=1","No Title Assigned - #15281289552")</f>
        <v/>
      </c>
      <c r="B22709" s="0" t="s">
        <v>30291</v>
      </c>
      <c r="C22709" s="0" t="s">
        <v>30292</v>
      </c>
      <c r="D22709" s="0" t="s">
        <v>30292</v>
      </c>
      <c r="E22709" s="0" t="inlineStr">
        <is>
          <t xml:space="preserve">Mazda</t>
        </is>
      </c>
      <c r="F22709" s="0" t="s">
        <v>13</v>
      </c>
      <c r="G22709" s="0" t="s">
        <v>49</v>
      </c>
      <c r="H22709" s="5">
        <v>10.585800</v>
      </c>
    </row>
    <row r="22710" spans="1:9">
      <c r="A22710" s="22" t="str">
        <f>HYPERLINK("https://app.vivvix.com/360/KMI/IntelliDrive/ApplUI/Pages/CreativePages/CustomReportCreativeDetail.aspx?App=23&amp;ReportView=4&amp;Qid=1711279&amp;Row=22702&amp;Col=1","No Title Assigned - #15281289631")</f>
        <v/>
      </c>
      <c r="B22710" s="0" t="s">
        <v>30293</v>
      </c>
      <c r="C22710" s="0" t="s">
        <v>30294</v>
      </c>
      <c r="D22710" s="0" t="s">
        <v>30294</v>
      </c>
      <c r="E22710" s="0" t="inlineStr">
        <is>
          <t xml:space="preserve">Mazda</t>
        </is>
      </c>
      <c r="F22710" s="0" t="inlineStr">
        <is>
          <t xml:space="preserve">Mazda</t>
        </is>
      </c>
      <c r="G22710" s="0" t="s">
        <v>171</v>
      </c>
      <c r="H22710" s="5">
        <v>460.251400</v>
      </c>
    </row>
    <row r="22711" spans="1:9">
      <c r="A22711" s="22" t="str">
        <f>HYPERLINK("https://app.vivvix.com/360/KMI/IntelliDrive/ApplUI/Pages/CreativePages/CustomReportCreativeDetail.aspx?App=23&amp;ReportView=4&amp;Qid=1711279&amp;Row=22703&amp;Col=1","No Title Assigned - #15281289727")</f>
        <v/>
      </c>
      <c r="B22711" s="0" t="s">
        <v>30295</v>
      </c>
      <c r="E22711" s="0" t="inlineStr">
        <is>
          <t xml:space="preserve">Mazda</t>
        </is>
      </c>
      <c r="F22711" s="0" t="inlineStr">
        <is>
          <t xml:space="preserve">Mazda</t>
        </is>
      </c>
      <c r="G22711" s="0" t="s">
        <v>171</v>
      </c>
      <c r="H22711" s="5">
        <v>25.375400</v>
      </c>
    </row>
    <row r="22712" spans="1:9">
      <c r="A22712" s="22" t="str">
        <f>HYPERLINK("https://app.vivvix.com/360/KMI/IntelliDrive/ApplUI/Pages/CreativePages/CustomReportCreativeDetail.aspx?App=23&amp;ReportView=4&amp;Qid=1711279&amp;Row=22704&amp;Col=1","No Title Assigned - #15281290707")</f>
        <v/>
      </c>
      <c r="B22712" s="0" t="s">
        <v>30296</v>
      </c>
      <c r="E22712" s="0" t="inlineStr">
        <is>
          <t xml:space="preserve">Mazda</t>
        </is>
      </c>
      <c r="F22712" s="0" t="inlineStr">
        <is>
          <t xml:space="preserve">Mazda</t>
        </is>
      </c>
      <c r="G22712" s="0" t="s">
        <v>171</v>
      </c>
      <c r="H22712" s="5">
        <v>292.219600</v>
      </c>
    </row>
    <row r="22713" spans="1:9">
      <c r="A22713" s="22" t="str">
        <f>HYPERLINK("https://app.vivvix.com/360/KMI/IntelliDrive/ApplUI/Pages/CreativePages/CustomReportCreativeDetail.aspx?App=23&amp;ReportView=4&amp;Qid=1711279&amp;Row=22705&amp;Col=1","No Title Assigned - #15281295335")</f>
        <v/>
      </c>
      <c r="B22713" s="0" t="s">
        <v>30297</v>
      </c>
      <c r="E22713" s="0" t="inlineStr">
        <is>
          <t xml:space="preserve">Mazda</t>
        </is>
      </c>
      <c r="F22713" s="0" t="inlineStr">
        <is>
          <t xml:space="preserve">Mazda</t>
        </is>
      </c>
      <c r="G22713" s="0" t="s">
        <v>171</v>
      </c>
      <c r="H22713" s="5">
        <v>245.959800</v>
      </c>
    </row>
    <row r="22714" spans="1:9">
      <c r="A22714" s="22" t="str">
        <f>HYPERLINK("https://app.vivvix.com/360/KMI/IntelliDrive/ApplUI/Pages/CreativePages/CustomReportCreativeDetail.aspx?App=23&amp;ReportView=4&amp;Qid=1711279&amp;Row=22706&amp;Col=1","No Title Assigned - #15281299303")</f>
        <v/>
      </c>
      <c r="B22714" s="0" t="s">
        <v>30298</v>
      </c>
      <c r="E22714" s="0" t="inlineStr">
        <is>
          <t xml:space="preserve">Mazda</t>
        </is>
      </c>
      <c r="F22714" s="0" t="inlineStr">
        <is>
          <t xml:space="preserve">Mazda</t>
        </is>
      </c>
      <c r="G22714" s="0" t="s">
        <v>171</v>
      </c>
      <c r="H22714" s="5">
        <v>58.947100</v>
      </c>
    </row>
    <row r="22715" spans="1:9">
      <c r="A22715" s="22" t="str">
        <f>HYPERLINK("https://app.vivvix.com/360/KMI/IntelliDrive/ApplUI/Pages/CreativePages/CustomReportCreativeDetail.aspx?App=23&amp;ReportView=4&amp;Qid=1711279&amp;Row=22707&amp;Col=1","No Title Assigned - #15281299953")</f>
        <v/>
      </c>
      <c r="B22715" s="0" t="s">
        <v>30299</v>
      </c>
      <c r="E22715" s="0" t="inlineStr">
        <is>
          <t xml:space="preserve">Mazda</t>
        </is>
      </c>
      <c r="F22715" s="0" t="inlineStr">
        <is>
          <t xml:space="preserve">Mazda</t>
        </is>
      </c>
      <c r="G22715" s="0" t="s">
        <v>171</v>
      </c>
      <c r="H22715" s="5">
        <v>386.423100</v>
      </c>
    </row>
    <row r="22716" spans="1:9">
      <c r="A22716" s="22" t="str">
        <f>HYPERLINK("https://app.vivvix.com/360/KMI/IntelliDrive/ApplUI/Pages/CreativePages/CustomReportCreativeDetail.aspx?App=23&amp;ReportView=4&amp;Qid=1711279&amp;Row=22708&amp;Col=1","No Title Assigned - #15281303563")</f>
        <v/>
      </c>
      <c r="B22716" s="0" t="s">
        <v>30300</v>
      </c>
      <c r="C22716" s="0" t="s">
        <v>30301</v>
      </c>
      <c r="D22716" s="0" t="s">
        <v>30301</v>
      </c>
      <c r="E22716" s="0" t="inlineStr">
        <is>
          <t xml:space="preserve">Mazda</t>
        </is>
      </c>
      <c r="F22716" s="0" t="s">
        <v>13</v>
      </c>
      <c r="G22716" s="0" t="s">
        <v>49</v>
      </c>
      <c r="H22716" s="5">
        <v>5.292900</v>
      </c>
    </row>
    <row r="22717" spans="1:9">
      <c r="A22717" s="22" t="str">
        <f>HYPERLINK("https://app.vivvix.com/360/KMI/IntelliDrive/ApplUI/Pages/CreativePages/CustomReportCreativeDetail.aspx?App=23&amp;ReportView=4&amp;Qid=1711279&amp;Row=22709&amp;Col=1","No Title Assigned - #15281303580")</f>
        <v/>
      </c>
      <c r="B22717" s="0" t="s">
        <v>30302</v>
      </c>
      <c r="C22717" s="0" t="s">
        <v>30303</v>
      </c>
      <c r="D22717" s="0" t="s">
        <v>30303</v>
      </c>
      <c r="E22717" s="0" t="inlineStr">
        <is>
          <t xml:space="preserve">Mazda</t>
        </is>
      </c>
      <c r="F22717" s="0" t="s">
        <v>13</v>
      </c>
      <c r="G22717" s="0" t="s">
        <v>49</v>
      </c>
      <c r="H22717" s="5">
        <v>5.292900</v>
      </c>
    </row>
    <row r="22718" spans="1:9">
      <c r="A22718" s="22" t="str">
        <f>HYPERLINK("https://app.vivvix.com/360/KMI/IntelliDrive/ApplUI/Pages/CreativePages/CustomReportCreativeDetail.aspx?App=23&amp;ReportView=4&amp;Qid=1711279&amp;Row=22710&amp;Col=1","No Title Assigned - #15281303749")</f>
        <v/>
      </c>
      <c r="B22718" s="0" t="s">
        <v>30304</v>
      </c>
      <c r="E22718" s="0" t="inlineStr">
        <is>
          <t xml:space="preserve">Mazda</t>
        </is>
      </c>
      <c r="F22718" s="0" t="inlineStr">
        <is>
          <t xml:space="preserve">Mazda</t>
        </is>
      </c>
      <c r="G22718" s="0" t="s">
        <v>171</v>
      </c>
      <c r="H22718" s="5">
        <v>580.005500</v>
      </c>
    </row>
    <row r="22719" spans="1:9">
      <c r="A22719" s="22" t="str">
        <f>HYPERLINK("https://app.vivvix.com/360/KMI/IntelliDrive/ApplUI/Pages/CreativePages/CustomReportCreativeDetail.aspx?App=23&amp;ReportView=4&amp;Qid=1711279&amp;Row=22711&amp;Col=1","No Title Assigned - #15281304123")</f>
        <v/>
      </c>
      <c r="B22719" s="0" t="s">
        <v>30305</v>
      </c>
      <c r="E22719" s="0" t="inlineStr">
        <is>
          <t xml:space="preserve">Mazda</t>
        </is>
      </c>
      <c r="F22719" s="0" t="s">
        <v>13</v>
      </c>
      <c r="G22719" s="0" t="s">
        <v>49</v>
      </c>
      <c r="H22719" s="5">
        <v>103.845700</v>
      </c>
    </row>
    <row r="22720" spans="1:9">
      <c r="A22720" s="22" t="str">
        <f>HYPERLINK("https://app.vivvix.com/360/KMI/IntelliDrive/ApplUI/Pages/CreativePages/CustomReportCreativeDetail.aspx?App=23&amp;ReportView=4&amp;Qid=1711279&amp;Row=22712&amp;Col=1","No Title Assigned - #15281304123")</f>
        <v/>
      </c>
      <c r="B22720" s="0" t="s">
        <v>30305</v>
      </c>
      <c r="C22720" s="0" t="s">
        <v>30306</v>
      </c>
      <c r="D22720" s="0" t="s">
        <v>30306</v>
      </c>
      <c r="E22720" s="0" t="inlineStr">
        <is>
          <t xml:space="preserve">Mazda</t>
        </is>
      </c>
      <c r="F22720" s="0" t="s">
        <v>13</v>
      </c>
      <c r="G22720" s="0" t="s">
        <v>49</v>
      </c>
      <c r="H22720" s="5">
        <v>1043.883200</v>
      </c>
    </row>
    <row r="22721" spans="1:9">
      <c r="A22721" s="22" t="str">
        <f>HYPERLINK("https://app.vivvix.com/360/KMI/IntelliDrive/ApplUI/Pages/CreativePages/CustomReportCreativeDetail.aspx?App=23&amp;ReportView=4&amp;Qid=1711279&amp;Row=22713&amp;Col=1","No Title Assigned - #15281309264")</f>
        <v/>
      </c>
      <c r="B22721" s="0" t="s">
        <v>30307</v>
      </c>
      <c r="C22721" s="0" t="s">
        <v>30308</v>
      </c>
      <c r="D22721" s="0" t="s">
        <v>8453</v>
      </c>
      <c r="E22721" s="0" t="inlineStr">
        <is>
          <t xml:space="preserve">Mazda</t>
        </is>
      </c>
      <c r="F22721" s="0" t="s">
        <v>13</v>
      </c>
      <c r="G22721" s="0" t="s">
        <v>49</v>
      </c>
      <c r="H22721" s="5">
        <v>54.892300</v>
      </c>
    </row>
    <row r="22722" spans="1:9">
      <c r="A22722" s="22" t="str">
        <f>HYPERLINK("https://app.vivvix.com/360/KMI/IntelliDrive/ApplUI/Pages/CreativePages/CustomReportCreativeDetail.aspx?App=23&amp;ReportView=4&amp;Qid=1711279&amp;Row=22714&amp;Col=1","No Title Assigned - #15281311340")</f>
        <v/>
      </c>
      <c r="B22722" s="0" t="s">
        <v>30309</v>
      </c>
      <c r="C22722" s="0" t="s">
        <v>30310</v>
      </c>
      <c r="D22722" s="0" t="s">
        <v>11420</v>
      </c>
      <c r="E22722" s="0" t="inlineStr">
        <is>
          <t xml:space="preserve">Mazda</t>
        </is>
      </c>
      <c r="F22722" s="0" t="s">
        <v>13</v>
      </c>
      <c r="G22722" s="0" t="s">
        <v>49</v>
      </c>
      <c r="H22722" s="5">
        <v>7.606400</v>
      </c>
    </row>
    <row r="22723" spans="1:9">
      <c r="A22723" s="22" t="str">
        <f>HYPERLINK("https://app.vivvix.com/360/KMI/IntelliDrive/ApplUI/Pages/CreativePages/CustomReportCreativeDetail.aspx?App=23&amp;ReportView=4&amp;Qid=1711279&amp;Row=22715&amp;Col=1","No Title Assigned - #15281311398")</f>
        <v/>
      </c>
      <c r="B22723" s="0" t="s">
        <v>30311</v>
      </c>
      <c r="C22723" s="0" t="s">
        <v>30312</v>
      </c>
      <c r="D22723" s="0" t="s">
        <v>18410</v>
      </c>
      <c r="E22723" s="0" t="inlineStr">
        <is>
          <t xml:space="preserve">Mazda</t>
        </is>
      </c>
      <c r="F22723" s="0" t="s">
        <v>13</v>
      </c>
      <c r="G22723" s="0" t="s">
        <v>49</v>
      </c>
      <c r="H22723" s="5">
        <v>28.482400</v>
      </c>
    </row>
    <row r="22724" spans="1:9">
      <c r="A22724" s="22" t="str">
        <f>HYPERLINK("https://app.vivvix.com/360/KMI/IntelliDrive/ApplUI/Pages/CreativePages/CustomReportCreativeDetail.aspx?App=23&amp;ReportView=4&amp;Qid=1711279&amp;Row=22716&amp;Col=1","No Title Assigned - #15281314256")</f>
        <v/>
      </c>
      <c r="B22724" s="0" t="s">
        <v>30313</v>
      </c>
      <c r="C22724" s="0" t="s">
        <v>30314</v>
      </c>
      <c r="D22724" s="0" t="s">
        <v>30314</v>
      </c>
      <c r="E22724" s="0" t="inlineStr">
        <is>
          <t xml:space="preserve">Mazda</t>
        </is>
      </c>
      <c r="F22724" s="0" t="s">
        <v>13</v>
      </c>
      <c r="G22724" s="0" t="s">
        <v>49</v>
      </c>
      <c r="H22724" s="5">
        <v>5.292900</v>
      </c>
    </row>
    <row r="22725" spans="1:9">
      <c r="A22725" s="22" t="str">
        <f>HYPERLINK("https://app.vivvix.com/360/KMI/IntelliDrive/ApplUI/Pages/CreativePages/CustomReportCreativeDetail.aspx?App=23&amp;ReportView=4&amp;Qid=1711279&amp;Row=22717&amp;Col=1","No Title Assigned - #15281314454")</f>
        <v/>
      </c>
      <c r="B22725" s="0" t="s">
        <v>30315</v>
      </c>
      <c r="C22725" s="0" t="s">
        <v>30316</v>
      </c>
      <c r="D22725" s="0" t="s">
        <v>30316</v>
      </c>
      <c r="E22725" s="0" t="inlineStr">
        <is>
          <t xml:space="preserve">Mazda</t>
        </is>
      </c>
      <c r="F22725" s="0" t="s">
        <v>13</v>
      </c>
      <c r="G22725" s="0" t="s">
        <v>49</v>
      </c>
      <c r="H22725" s="5">
        <v>3785.032400</v>
      </c>
    </row>
    <row r="22726" spans="1:9">
      <c r="A22726" s="22" t="str">
        <f>HYPERLINK("https://app.vivvix.com/360/KMI/IntelliDrive/ApplUI/Pages/CreativePages/CustomReportCreativeDetail.aspx?App=23&amp;ReportView=4&amp;Qid=1711279&amp;Row=22718&amp;Col=1","No Title Assigned - #15281316635")</f>
        <v/>
      </c>
      <c r="B22726" s="0" t="s">
        <v>30317</v>
      </c>
      <c r="E22726" s="0" t="inlineStr">
        <is>
          <t xml:space="preserve">Mazda</t>
        </is>
      </c>
      <c r="F22726" s="0" t="inlineStr">
        <is>
          <t xml:space="preserve">Mazda</t>
        </is>
      </c>
      <c r="G22726" s="0" t="s">
        <v>171</v>
      </c>
      <c r="H22726" s="5">
        <v>45957.292800</v>
      </c>
    </row>
    <row r="22727" spans="1:9">
      <c r="A22727" s="22" t="str">
        <f>HYPERLINK("https://app.vivvix.com/360/KMI/IntelliDrive/ApplUI/Pages/CreativePages/CustomReportCreativeDetail.aspx?App=23&amp;ReportView=4&amp;Qid=1711279&amp;Row=22719&amp;Col=1","No Title Assigned - #15281318836")</f>
        <v/>
      </c>
      <c r="B22727" s="0" t="s">
        <v>30318</v>
      </c>
      <c r="C22727" s="0" t="s">
        <v>30319</v>
      </c>
      <c r="D22727" s="0" t="s">
        <v>11420</v>
      </c>
      <c r="E22727" s="0" t="inlineStr">
        <is>
          <t xml:space="preserve">Mazda</t>
        </is>
      </c>
      <c r="F22727" s="0" t="s">
        <v>13</v>
      </c>
      <c r="G22727" s="0" t="s">
        <v>49</v>
      </c>
      <c r="H22727" s="5">
        <v>1241.366300</v>
      </c>
    </row>
    <row r="22728" spans="1:9">
      <c r="A22728" s="22" t="str">
        <f>HYPERLINK("https://app.vivvix.com/360/KMI/IntelliDrive/ApplUI/Pages/CreativePages/CustomReportCreativeDetail.aspx?App=23&amp;ReportView=4&amp;Qid=1711279&amp;Row=22720&amp;Col=1","No Title Assigned - #15281320734")</f>
        <v/>
      </c>
      <c r="B22728" s="0" t="s">
        <v>30320</v>
      </c>
      <c r="C22728" s="0" t="s">
        <v>30321</v>
      </c>
      <c r="D22728" s="0" t="s">
        <v>30321</v>
      </c>
      <c r="E22728" s="0" t="inlineStr">
        <is>
          <t xml:space="preserve">Mazda</t>
        </is>
      </c>
      <c r="F22728" s="0" t="s">
        <v>21</v>
      </c>
      <c r="G22728" s="0" t="s">
        <v>22</v>
      </c>
      <c r="H22728" s="5">
        <v>517.702900</v>
      </c>
    </row>
    <row r="22729" spans="1:9">
      <c r="A22729" s="22" t="str">
        <f>HYPERLINK("https://app.vivvix.com/360/KMI/IntelliDrive/ApplUI/Pages/CreativePages/CustomReportCreativeDetail.aspx?App=23&amp;ReportView=4&amp;Qid=1711279&amp;Row=22721&amp;Col=1","No Title Assigned - #15281321162")</f>
        <v/>
      </c>
      <c r="B22729" s="0" t="s">
        <v>30322</v>
      </c>
      <c r="C22729" s="0" t="s">
        <v>30323</v>
      </c>
      <c r="D22729" s="0" t="s">
        <v>30323</v>
      </c>
      <c r="E22729" s="0" t="inlineStr">
        <is>
          <t xml:space="preserve">Mazda</t>
        </is>
      </c>
      <c r="F22729" s="0" t="s">
        <v>13</v>
      </c>
      <c r="G22729" s="0" t="s">
        <v>49</v>
      </c>
      <c r="H22729" s="5">
        <v>7.189200</v>
      </c>
    </row>
    <row r="22730" spans="1:9">
      <c r="A22730" s="22" t="str">
        <f>HYPERLINK("https://app.vivvix.com/360/KMI/IntelliDrive/ApplUI/Pages/CreativePages/CustomReportCreativeDetail.aspx?App=23&amp;ReportView=4&amp;Qid=1711279&amp;Row=22722&amp;Col=1","No Title Assigned - #15281322334")</f>
        <v/>
      </c>
      <c r="B22730" s="0" t="s">
        <v>30324</v>
      </c>
      <c r="C22730" s="0" t="s">
        <v>30325</v>
      </c>
      <c r="D22730" s="0" t="s">
        <v>30325</v>
      </c>
      <c r="E22730" s="0" t="inlineStr">
        <is>
          <t xml:space="preserve">Mazda</t>
        </is>
      </c>
      <c r="F22730" s="0" t="s">
        <v>13</v>
      </c>
      <c r="G22730" s="0" t="s">
        <v>49</v>
      </c>
      <c r="H22730" s="5">
        <v>5.292900</v>
      </c>
    </row>
    <row r="22731" spans="1:9">
      <c r="A22731" s="22" t="str">
        <f>HYPERLINK("https://app.vivvix.com/360/KMI/IntelliDrive/ApplUI/Pages/CreativePages/CustomReportCreativeDetail.aspx?App=23&amp;ReportView=4&amp;Qid=1711279&amp;Row=22723&amp;Col=1","No Title Assigned - #15281322335")</f>
        <v/>
      </c>
      <c r="B22731" s="0" t="s">
        <v>30326</v>
      </c>
      <c r="C22731" s="0" t="s">
        <v>30327</v>
      </c>
      <c r="D22731" s="0" t="s">
        <v>30327</v>
      </c>
      <c r="E22731" s="0" t="inlineStr">
        <is>
          <t xml:space="preserve">Mazda</t>
        </is>
      </c>
      <c r="F22731" s="0" t="s">
        <v>13</v>
      </c>
      <c r="G22731" s="0" t="s">
        <v>49</v>
      </c>
      <c r="H22731" s="5">
        <v>12.459700</v>
      </c>
    </row>
    <row r="22732" spans="1:9">
      <c r="A22732" s="22" t="str">
        <f>HYPERLINK("https://app.vivvix.com/360/KMI/IntelliDrive/ApplUI/Pages/CreativePages/CustomReportCreativeDetail.aspx?App=23&amp;ReportView=4&amp;Qid=1711279&amp;Row=22724&amp;Col=1","No Title Assigned - #15281322405")</f>
        <v/>
      </c>
      <c r="B22732" s="0" t="s">
        <v>30328</v>
      </c>
      <c r="C22732" s="0" t="s">
        <v>30329</v>
      </c>
      <c r="D22732" s="0" t="s">
        <v>30329</v>
      </c>
      <c r="E22732" s="0" t="inlineStr">
        <is>
          <t xml:space="preserve">Mazda</t>
        </is>
      </c>
      <c r="F22732" s="0" t="s">
        <v>28</v>
      </c>
      <c r="G22732" s="0" t="s">
        <v>29</v>
      </c>
      <c r="H22732" s="5">
        <v>161.071400</v>
      </c>
    </row>
    <row r="22733" spans="1:9">
      <c r="A22733" s="22" t="str">
        <f>HYPERLINK("https://app.vivvix.com/360/KMI/IntelliDrive/ApplUI/Pages/CreativePages/CustomReportCreativeDetail.aspx?App=23&amp;ReportView=4&amp;Qid=1711279&amp;Row=22725&amp;Col=1","No Title Assigned - #15281322780")</f>
        <v/>
      </c>
      <c r="B22733" s="0" t="s">
        <v>30330</v>
      </c>
      <c r="C22733" s="0" t="s">
        <v>30331</v>
      </c>
      <c r="D22733" s="0" t="s">
        <v>13101</v>
      </c>
      <c r="E22733" s="0" t="inlineStr">
        <is>
          <t xml:space="preserve">Mazda</t>
        </is>
      </c>
      <c r="F22733" s="0" t="s">
        <v>13</v>
      </c>
      <c r="G22733" s="0" t="s">
        <v>49</v>
      </c>
      <c r="H22733" s="5">
        <v>575.375900</v>
      </c>
    </row>
    <row r="22734" spans="1:9">
      <c r="A22734" s="22" t="str">
        <f>HYPERLINK("https://app.vivvix.com/360/KMI/IntelliDrive/ApplUI/Pages/CreativePages/CustomReportCreativeDetail.aspx?App=23&amp;ReportView=4&amp;Qid=1711279&amp;Row=22726&amp;Col=1","No Title Assigned - #15281323395")</f>
        <v/>
      </c>
      <c r="B22734" s="0" t="s">
        <v>30332</v>
      </c>
      <c r="C22734" s="0" t="s">
        <v>30333</v>
      </c>
      <c r="D22734" s="0" t="s">
        <v>17743</v>
      </c>
      <c r="E22734" s="0" t="inlineStr">
        <is>
          <t xml:space="preserve">Mazda</t>
        </is>
      </c>
      <c r="F22734" s="0" t="s">
        <v>13</v>
      </c>
      <c r="G22734" s="0" t="s">
        <v>49</v>
      </c>
      <c r="H22734" s="5">
        <v>3895.436000</v>
      </c>
    </row>
    <row r="22735" spans="1:9">
      <c r="A22735" s="22" t="str">
        <f>HYPERLINK("https://app.vivvix.com/360/KMI/IntelliDrive/ApplUI/Pages/CreativePages/CustomReportCreativeDetail.aspx?App=23&amp;ReportView=4&amp;Qid=1711279&amp;Row=22727&amp;Col=1","No Title Assigned - #15281323787")</f>
        <v/>
      </c>
      <c r="B22735" s="0" t="s">
        <v>30334</v>
      </c>
      <c r="C22735" s="0" t="s">
        <v>30335</v>
      </c>
      <c r="D22735" s="0" t="s">
        <v>9167</v>
      </c>
      <c r="E22735" s="0" t="inlineStr">
        <is>
          <t xml:space="preserve">Mazda</t>
        </is>
      </c>
      <c r="F22735" s="0" t="s">
        <v>13</v>
      </c>
      <c r="G22735" s="0" t="s">
        <v>49</v>
      </c>
      <c r="H22735" s="5">
        <v>171.893100</v>
      </c>
    </row>
    <row r="22736" spans="1:9">
      <c r="A22736" s="22" t="str">
        <f>HYPERLINK("https://app.vivvix.com/360/KMI/IntelliDrive/ApplUI/Pages/CreativePages/CustomReportCreativeDetail.aspx?App=23&amp;ReportView=4&amp;Qid=1711279&amp;Row=22728&amp;Col=1","No Title Assigned - #15281323942")</f>
        <v/>
      </c>
      <c r="B22736" s="0" t="s">
        <v>30336</v>
      </c>
      <c r="C22736" s="0" t="s">
        <v>30337</v>
      </c>
      <c r="D22736" s="0" t="s">
        <v>30337</v>
      </c>
      <c r="E22736" s="0" t="inlineStr">
        <is>
          <t xml:space="preserve">Mazda</t>
        </is>
      </c>
      <c r="F22736" s="0" t="s">
        <v>13</v>
      </c>
      <c r="G22736" s="0" t="s">
        <v>49</v>
      </c>
      <c r="H22736" s="5">
        <v>105.744200</v>
      </c>
    </row>
    <row r="22737" spans="1:9">
      <c r="A22737" s="22" t="str">
        <f>HYPERLINK("https://app.vivvix.com/360/KMI/IntelliDrive/ApplUI/Pages/CreativePages/CustomReportCreativeDetail.aspx?App=23&amp;ReportView=4&amp;Qid=1711279&amp;Row=22729&amp;Col=1","No Title Assigned - #15281325554")</f>
        <v/>
      </c>
      <c r="B22737" s="0" t="s">
        <v>30338</v>
      </c>
      <c r="C22737" s="0" t="s">
        <v>30339</v>
      </c>
      <c r="D22737" s="0" t="s">
        <v>6044</v>
      </c>
      <c r="E22737" s="0" t="inlineStr">
        <is>
          <t xml:space="preserve">Mazda</t>
        </is>
      </c>
      <c r="F22737" s="0" t="s">
        <v>13</v>
      </c>
      <c r="G22737" s="0" t="s">
        <v>49</v>
      </c>
      <c r="H22737" s="5">
        <v>1433.279200</v>
      </c>
    </row>
    <row r="22738" spans="1:9">
      <c r="A22738" s="22" t="str">
        <f>HYPERLINK("https://app.vivvix.com/360/KMI/IntelliDrive/ApplUI/Pages/CreativePages/CustomReportCreativeDetail.aspx?App=23&amp;ReportView=4&amp;Qid=1711279&amp;Row=22730&amp;Col=1","No Title Assigned - #15281326635")</f>
        <v/>
      </c>
      <c r="B22738" s="0" t="s">
        <v>30340</v>
      </c>
      <c r="C22738" s="0" t="s">
        <v>30341</v>
      </c>
      <c r="D22738" s="0" t="s">
        <v>30341</v>
      </c>
      <c r="E22738" s="0" t="inlineStr">
        <is>
          <t xml:space="preserve">Mazda</t>
        </is>
      </c>
      <c r="F22738" s="0" t="inlineStr">
        <is>
          <t xml:space="preserve">Mazda</t>
        </is>
      </c>
      <c r="G22738" s="0" t="s">
        <v>210</v>
      </c>
      <c r="H22738" s="5">
        <v>495.118700</v>
      </c>
    </row>
    <row r="22739" spans="1:9">
      <c r="A22739" s="22" t="str">
        <f>HYPERLINK("https://app.vivvix.com/360/KMI/IntelliDrive/ApplUI/Pages/CreativePages/CustomReportCreativeDetail.aspx?App=23&amp;ReportView=4&amp;Qid=1711279&amp;Row=22731&amp;Col=1","No Title Assigned - #15281327359")</f>
        <v/>
      </c>
      <c r="B22739" s="0" t="s">
        <v>30342</v>
      </c>
      <c r="C22739" s="0" t="s">
        <v>30343</v>
      </c>
      <c r="D22739" s="0" t="s">
        <v>12067</v>
      </c>
      <c r="E22739" s="0" t="inlineStr">
        <is>
          <t xml:space="preserve">Mazda</t>
        </is>
      </c>
      <c r="F22739" s="0" t="s">
        <v>13</v>
      </c>
      <c r="G22739" s="0" t="s">
        <v>49</v>
      </c>
      <c r="H22739" s="5">
        <v>166.329300</v>
      </c>
    </row>
    <row r="22740" spans="1:9">
      <c r="A22740" s="22" t="str">
        <f>HYPERLINK("https://app.vivvix.com/360/KMI/IntelliDrive/ApplUI/Pages/CreativePages/CustomReportCreativeDetail.aspx?App=23&amp;ReportView=4&amp;Qid=1711279&amp;Row=22732&amp;Col=1","No Title Assigned - #15281327544")</f>
        <v/>
      </c>
      <c r="B22740" s="0" t="s">
        <v>30344</v>
      </c>
      <c r="C22740" s="0" t="s">
        <v>30345</v>
      </c>
      <c r="D22740" s="0" t="s">
        <v>30345</v>
      </c>
      <c r="E22740" s="0" t="inlineStr">
        <is>
          <t xml:space="preserve">Mazda</t>
        </is>
      </c>
      <c r="F22740" s="0" t="s">
        <v>13</v>
      </c>
      <c r="G22740" s="0" t="s">
        <v>49</v>
      </c>
      <c r="H22740" s="5">
        <v>26.279500</v>
      </c>
    </row>
    <row r="22741" spans="1:9">
      <c r="A22741" s="22" t="str">
        <f>HYPERLINK("https://app.vivvix.com/360/KMI/IntelliDrive/ApplUI/Pages/CreativePages/CustomReportCreativeDetail.aspx?App=23&amp;ReportView=4&amp;Qid=1711279&amp;Row=22733&amp;Col=1","No Title Assigned - #15281327555")</f>
        <v/>
      </c>
      <c r="B22741" s="0" t="s">
        <v>30346</v>
      </c>
      <c r="C22741" s="0" t="s">
        <v>30347</v>
      </c>
      <c r="D22741" s="0" t="s">
        <v>30347</v>
      </c>
      <c r="E22741" s="0" t="inlineStr">
        <is>
          <t xml:space="preserve">Mazda</t>
        </is>
      </c>
      <c r="F22741" s="0" t="s">
        <v>13</v>
      </c>
      <c r="G22741" s="0" t="s">
        <v>49</v>
      </c>
      <c r="H22741" s="5">
        <v>174.390900</v>
      </c>
    </row>
    <row r="22742" spans="1:9">
      <c r="A22742" s="22" t="str">
        <f>HYPERLINK("https://app.vivvix.com/360/KMI/IntelliDrive/ApplUI/Pages/CreativePages/CustomReportCreativeDetail.aspx?App=23&amp;ReportView=4&amp;Qid=1711279&amp;Row=22734&amp;Col=1","No Title Assigned - #15281328301")</f>
        <v/>
      </c>
      <c r="B22742" s="0" t="s">
        <v>30348</v>
      </c>
      <c r="C22742" s="0" t="s">
        <v>30349</v>
      </c>
      <c r="D22742" s="0" t="s">
        <v>30349</v>
      </c>
      <c r="E22742" s="0" t="inlineStr">
        <is>
          <t xml:space="preserve">Mazda</t>
        </is>
      </c>
      <c r="F22742" s="0" t="s">
        <v>28</v>
      </c>
      <c r="G22742" s="0" t="s">
        <v>29</v>
      </c>
      <c r="H22742" s="5">
        <v>4359.486000</v>
      </c>
    </row>
    <row r="22743" spans="1:9">
      <c r="A22743" s="22" t="str">
        <f>HYPERLINK("https://app.vivvix.com/360/KMI/IntelliDrive/ApplUI/Pages/CreativePages/CustomReportCreativeDetail.aspx?App=23&amp;ReportView=4&amp;Qid=1711279&amp;Row=22735&amp;Col=1","No Title Assigned - #15281328302")</f>
        <v/>
      </c>
      <c r="B22743" s="0" t="s">
        <v>30350</v>
      </c>
      <c r="C22743" s="0" t="s">
        <v>30351</v>
      </c>
      <c r="D22743" s="0" t="s">
        <v>29557</v>
      </c>
      <c r="E22743" s="0" t="inlineStr">
        <is>
          <t xml:space="preserve">Mazda</t>
        </is>
      </c>
      <c r="F22743" s="0" t="s">
        <v>28</v>
      </c>
      <c r="G22743" s="0" t="s">
        <v>29</v>
      </c>
      <c r="H22743" s="5">
        <v>33.155500</v>
      </c>
    </row>
    <row r="22744" spans="1:9">
      <c r="A22744" s="22" t="str">
        <f>HYPERLINK("https://app.vivvix.com/360/KMI/IntelliDrive/ApplUI/Pages/CreativePages/CustomReportCreativeDetail.aspx?App=23&amp;ReportView=4&amp;Qid=1711279&amp;Row=22736&amp;Col=1","No Title Assigned - #15281329292")</f>
        <v/>
      </c>
      <c r="B22744" s="0" t="s">
        <v>30352</v>
      </c>
      <c r="C22744" s="0" t="s">
        <v>30353</v>
      </c>
      <c r="D22744" s="0" t="s">
        <v>30353</v>
      </c>
      <c r="E22744" s="0" t="inlineStr">
        <is>
          <t xml:space="preserve">Mazda</t>
        </is>
      </c>
      <c r="F22744" s="0" t="s">
        <v>13</v>
      </c>
      <c r="G22744" s="0" t="s">
        <v>49</v>
      </c>
      <c r="H22744" s="5">
        <v>490.807100</v>
      </c>
    </row>
    <row r="22745" spans="1:9">
      <c r="A22745" s="22" t="str">
        <f>HYPERLINK("https://app.vivvix.com/360/KMI/IntelliDrive/ApplUI/Pages/CreativePages/CustomReportCreativeDetail.aspx?App=23&amp;ReportView=4&amp;Qid=1711279&amp;Row=22737&amp;Col=1","No Title Assigned - #15281329953")</f>
        <v/>
      </c>
      <c r="B22745" s="0" t="s">
        <v>30354</v>
      </c>
      <c r="C22745" s="0" t="s">
        <v>30355</v>
      </c>
      <c r="D22745" s="0" t="s">
        <v>15762</v>
      </c>
      <c r="E22745" s="0" t="inlineStr">
        <is>
          <t xml:space="preserve">Mazda</t>
        </is>
      </c>
      <c r="F22745" s="0" t="s">
        <v>13</v>
      </c>
      <c r="G22745" s="0" t="s">
        <v>49</v>
      </c>
      <c r="H22745" s="5">
        <v>167.139000</v>
      </c>
    </row>
    <row r="22746" spans="1:9">
      <c r="A22746" s="22" t="str">
        <f>HYPERLINK("https://app.vivvix.com/360/KMI/IntelliDrive/ApplUI/Pages/CreativePages/CustomReportCreativeDetail.aspx?App=23&amp;ReportView=4&amp;Qid=1711279&amp;Row=22738&amp;Col=1","No Title Assigned - #15281330045")</f>
        <v/>
      </c>
      <c r="B22746" s="0" t="s">
        <v>30356</v>
      </c>
      <c r="C22746" s="0" t="s">
        <v>30357</v>
      </c>
      <c r="D22746" s="0" t="s">
        <v>30357</v>
      </c>
      <c r="E22746" s="0" t="inlineStr">
        <is>
          <t xml:space="preserve">Mazda</t>
        </is>
      </c>
      <c r="F22746" s="0" t="s">
        <v>13</v>
      </c>
      <c r="G22746" s="0" t="s">
        <v>49</v>
      </c>
      <c r="H22746" s="5">
        <v>6486.674300</v>
      </c>
    </row>
    <row r="22747" spans="1:9">
      <c r="A22747" s="22" t="str">
        <f>HYPERLINK("https://app.vivvix.com/360/KMI/IntelliDrive/ApplUI/Pages/CreativePages/CustomReportCreativeDetail.aspx?App=23&amp;ReportView=4&amp;Qid=1711279&amp;Row=22739&amp;Col=1","No Title Assigned - #15281330333")</f>
        <v/>
      </c>
      <c r="B22747" s="0" t="s">
        <v>30358</v>
      </c>
      <c r="C22747" s="0" t="s">
        <v>30359</v>
      </c>
      <c r="D22747" s="0" t="s">
        <v>30359</v>
      </c>
      <c r="E22747" s="0" t="inlineStr">
        <is>
          <t xml:space="preserve">Mazda</t>
        </is>
      </c>
      <c r="F22747" s="0" t="s">
        <v>13</v>
      </c>
      <c r="G22747" s="0" t="s">
        <v>49</v>
      </c>
      <c r="H22747" s="5">
        <v>3.943100</v>
      </c>
    </row>
    <row r="22748" spans="1:9">
      <c r="A22748" s="22" t="str">
        <f>HYPERLINK("https://app.vivvix.com/360/KMI/IntelliDrive/ApplUI/Pages/CreativePages/CustomReportCreativeDetail.aspx?App=23&amp;ReportView=4&amp;Qid=1711279&amp;Row=22740&amp;Col=1","No Title Assigned - #15281330651")</f>
        <v/>
      </c>
      <c r="B22748" s="0" t="s">
        <v>30360</v>
      </c>
      <c r="C22748" s="0" t="s">
        <v>30361</v>
      </c>
      <c r="D22748" s="0" t="s">
        <v>30361</v>
      </c>
      <c r="E22748" s="0" t="inlineStr">
        <is>
          <t xml:space="preserve">Mazda</t>
        </is>
      </c>
      <c r="F22748" s="0" t="s">
        <v>13</v>
      </c>
      <c r="G22748" s="0" t="s">
        <v>49</v>
      </c>
      <c r="H22748" s="5">
        <v>9.123900</v>
      </c>
    </row>
    <row r="22749" spans="1:9">
      <c r="A22749" s="22" t="str">
        <f>HYPERLINK("https://app.vivvix.com/360/KMI/IntelliDrive/ApplUI/Pages/CreativePages/CustomReportCreativeDetail.aspx?App=23&amp;ReportView=4&amp;Qid=1711279&amp;Row=22741&amp;Col=1","No Title Assigned - #15281330788")</f>
        <v/>
      </c>
      <c r="B22749" s="0" t="s">
        <v>30362</v>
      </c>
      <c r="C22749" s="0" t="s">
        <v>30363</v>
      </c>
      <c r="D22749" s="0" t="s">
        <v>30363</v>
      </c>
      <c r="E22749" s="0" t="inlineStr">
        <is>
          <t xml:space="preserve">Mazda</t>
        </is>
      </c>
      <c r="F22749" s="0" t="s">
        <v>13</v>
      </c>
      <c r="G22749" s="0" t="s">
        <v>49</v>
      </c>
      <c r="H22749" s="5">
        <v>2.196800</v>
      </c>
    </row>
    <row r="22750" spans="1:9">
      <c r="A22750" s="22" t="str">
        <f>HYPERLINK("https://app.vivvix.com/360/KMI/IntelliDrive/ApplUI/Pages/CreativePages/CustomReportCreativeDetail.aspx?App=23&amp;ReportView=4&amp;Qid=1711279&amp;Row=22742&amp;Col=1","No Title Assigned - #15281331198")</f>
        <v/>
      </c>
      <c r="B22750" s="0" t="s">
        <v>30364</v>
      </c>
      <c r="C22750" s="0" t="s">
        <v>30365</v>
      </c>
      <c r="D22750" s="0" t="s">
        <v>15762</v>
      </c>
      <c r="E22750" s="0" t="inlineStr">
        <is>
          <t xml:space="preserve">Mazda</t>
        </is>
      </c>
      <c r="F22750" s="0" t="s">
        <v>13</v>
      </c>
      <c r="G22750" s="0" t="s">
        <v>49</v>
      </c>
      <c r="H22750" s="5">
        <v>246.993200</v>
      </c>
    </row>
    <row r="22751" spans="1:9">
      <c r="A22751" s="22" t="str">
        <f>HYPERLINK("https://app.vivvix.com/360/KMI/IntelliDrive/ApplUI/Pages/CreativePages/CustomReportCreativeDetail.aspx?App=23&amp;ReportView=4&amp;Qid=1711279&amp;Row=22743&amp;Col=1","No Title Assigned - #15281331198")</f>
        <v/>
      </c>
      <c r="B22751" s="0" t="s">
        <v>30364</v>
      </c>
      <c r="E22751" s="0" t="inlineStr">
        <is>
          <t xml:space="preserve">Mazda</t>
        </is>
      </c>
      <c r="F22751" s="0" t="s">
        <v>13</v>
      </c>
      <c r="G22751" s="0" t="s">
        <v>49</v>
      </c>
      <c r="H22751" s="5">
        <v>467.883400</v>
      </c>
    </row>
    <row r="22752" spans="1:9">
      <c r="A22752" s="22" t="str">
        <f>HYPERLINK("https://app.vivvix.com/360/KMI/IntelliDrive/ApplUI/Pages/CreativePages/CustomReportCreativeDetail.aspx?App=23&amp;ReportView=4&amp;Qid=1711279&amp;Row=22744&amp;Col=1","No Title Assigned - #15281336487")</f>
        <v/>
      </c>
      <c r="B22752" s="0" t="s">
        <v>30366</v>
      </c>
      <c r="E22752" s="0" t="inlineStr">
        <is>
          <t xml:space="preserve">Mazda</t>
        </is>
      </c>
      <c r="F22752" s="0" t="inlineStr">
        <is>
          <t xml:space="preserve">Mazda</t>
        </is>
      </c>
      <c r="G22752" s="0" t="s">
        <v>171</v>
      </c>
      <c r="H22752" s="5">
        <v>46.043300</v>
      </c>
    </row>
    <row r="22753" spans="1:9">
      <c r="A22753" s="22" t="str">
        <f>HYPERLINK("https://app.vivvix.com/360/KMI/IntelliDrive/ApplUI/Pages/CreativePages/CustomReportCreativeDetail.aspx?App=23&amp;ReportView=4&amp;Qid=1711279&amp;Row=22745&amp;Col=1","No Title Assigned - #15281338299")</f>
        <v/>
      </c>
      <c r="B22753" s="0" t="s">
        <v>30367</v>
      </c>
      <c r="E22753" s="0" t="inlineStr">
        <is>
          <t xml:space="preserve">Mazda</t>
        </is>
      </c>
      <c r="F22753" s="0" t="inlineStr">
        <is>
          <t xml:space="preserve">Mazda</t>
        </is>
      </c>
      <c r="G22753" s="0" t="s">
        <v>171</v>
      </c>
      <c r="H22753" s="5">
        <v>46.043300</v>
      </c>
    </row>
    <row r="22754" spans="1:9">
      <c r="A22754" s="22" t="str">
        <f>HYPERLINK("https://app.vivvix.com/360/KMI/IntelliDrive/ApplUI/Pages/CreativePages/CustomReportCreativeDetail.aspx?App=23&amp;ReportView=4&amp;Qid=1711279&amp;Row=22746&amp;Col=1","No Title Assigned - #15281339383")</f>
        <v/>
      </c>
      <c r="B22754" s="0" t="s">
        <v>30368</v>
      </c>
      <c r="E22754" s="0" t="inlineStr">
        <is>
          <t xml:space="preserve">Mazda</t>
        </is>
      </c>
      <c r="F22754" s="0" t="inlineStr">
        <is>
          <t xml:space="preserve">Mazda</t>
        </is>
      </c>
      <c r="G22754" s="0" t="s">
        <v>171</v>
      </c>
      <c r="H22754" s="5">
        <v>925.785700</v>
      </c>
    </row>
    <row r="22755" spans="1:9">
      <c r="A22755" s="22" t="str">
        <f>HYPERLINK("https://app.vivvix.com/360/KMI/IntelliDrive/ApplUI/Pages/CreativePages/CustomReportCreativeDetail.aspx?App=23&amp;ReportView=4&amp;Qid=1711279&amp;Row=22747&amp;Col=1","No Title Assigned - #15281339980")</f>
        <v/>
      </c>
      <c r="B22755" s="0" t="s">
        <v>30369</v>
      </c>
      <c r="C22755" s="0" t="s">
        <v>30370</v>
      </c>
      <c r="D22755" s="0" t="s">
        <v>30370</v>
      </c>
      <c r="E22755" s="0" t="inlineStr">
        <is>
          <t xml:space="preserve">Mazda</t>
        </is>
      </c>
      <c r="F22755" s="0" t="inlineStr">
        <is>
          <t xml:space="preserve">Mazda</t>
        </is>
      </c>
      <c r="G22755" s="0" t="s">
        <v>171</v>
      </c>
      <c r="H22755" s="5">
        <v>111.692000</v>
      </c>
    </row>
    <row r="22756" spans="1:9">
      <c r="A22756" s="22" t="str">
        <f>HYPERLINK("https://app.vivvix.com/360/KMI/IntelliDrive/ApplUI/Pages/CreativePages/CustomReportCreativeDetail.aspx?App=23&amp;ReportView=4&amp;Qid=1711279&amp;Row=22748&amp;Col=1","No Title Assigned - #15281342830")</f>
        <v/>
      </c>
      <c r="B22756" s="0" t="s">
        <v>30371</v>
      </c>
      <c r="E22756" s="0" t="inlineStr">
        <is>
          <t xml:space="preserve">Mazda</t>
        </is>
      </c>
      <c r="F22756" s="0" t="s">
        <v>13</v>
      </c>
      <c r="G22756" s="0" t="s">
        <v>49</v>
      </c>
      <c r="H22756" s="5">
        <v>54.806400</v>
      </c>
    </row>
    <row r="22757" spans="1:9">
      <c r="A22757" s="22" t="str">
        <f>HYPERLINK("https://app.vivvix.com/360/KMI/IntelliDrive/ApplUI/Pages/CreativePages/CustomReportCreativeDetail.aspx?App=23&amp;ReportView=4&amp;Qid=1711279&amp;Row=22749&amp;Col=1","No Title Assigned - #15281342953")</f>
        <v/>
      </c>
      <c r="B22757" s="0" t="s">
        <v>30372</v>
      </c>
      <c r="C22757" s="0" t="s">
        <v>30373</v>
      </c>
      <c r="D22757" s="0" t="s">
        <v>21598</v>
      </c>
      <c r="E22757" s="0" t="inlineStr">
        <is>
          <t xml:space="preserve">Mazda</t>
        </is>
      </c>
      <c r="F22757" s="0" t="s">
        <v>13</v>
      </c>
      <c r="G22757" s="0" t="s">
        <v>49</v>
      </c>
      <c r="H22757" s="5">
        <v>17.287700</v>
      </c>
    </row>
    <row r="22758" spans="1:9">
      <c r="A22758" s="22" t="str">
        <f>HYPERLINK("https://app.vivvix.com/360/KMI/IntelliDrive/ApplUI/Pages/CreativePages/CustomReportCreativeDetail.aspx?App=23&amp;ReportView=4&amp;Qid=1711279&amp;Row=22750&amp;Col=1","No Title Assigned - #15281343056")</f>
        <v/>
      </c>
      <c r="B22758" s="0" t="s">
        <v>30374</v>
      </c>
      <c r="C22758" s="0" t="s">
        <v>30375</v>
      </c>
      <c r="D22758" s="0" t="s">
        <v>30375</v>
      </c>
      <c r="E22758" s="0" t="inlineStr">
        <is>
          <t xml:space="preserve">Mazda</t>
        </is>
      </c>
      <c r="F22758" s="0" t="s">
        <v>13</v>
      </c>
      <c r="G22758" s="0" t="s">
        <v>49</v>
      </c>
      <c r="H22758" s="5">
        <v>30.212300</v>
      </c>
    </row>
    <row r="22759" spans="1:9">
      <c r="A22759" s="22" t="str">
        <f>HYPERLINK("https://app.vivvix.com/360/KMI/IntelliDrive/ApplUI/Pages/CreativePages/CustomReportCreativeDetail.aspx?App=23&amp;ReportView=4&amp;Qid=1711279&amp;Row=22751&amp;Col=1","No Title Assigned - #15281343074")</f>
        <v/>
      </c>
      <c r="B22759" s="0" t="s">
        <v>30376</v>
      </c>
      <c r="C22759" s="0" t="s">
        <v>30377</v>
      </c>
      <c r="D22759" s="0" t="s">
        <v>30377</v>
      </c>
      <c r="E22759" s="0" t="inlineStr">
        <is>
          <t xml:space="preserve">Mazda</t>
        </is>
      </c>
      <c r="F22759" s="0" t="s">
        <v>13</v>
      </c>
      <c r="G22759" s="0" t="s">
        <v>49</v>
      </c>
      <c r="H22759" s="5">
        <v>5.292900</v>
      </c>
    </row>
    <row r="22760" spans="1:9">
      <c r="A22760" s="22" t="str">
        <f>HYPERLINK("https://app.vivvix.com/360/KMI/IntelliDrive/ApplUI/Pages/CreativePages/CustomReportCreativeDetail.aspx?App=23&amp;ReportView=4&amp;Qid=1711279&amp;Row=22752&amp;Col=1","No Title Assigned - #15281343076")</f>
        <v/>
      </c>
      <c r="B22760" s="0" t="s">
        <v>30378</v>
      </c>
      <c r="C22760" s="0" t="s">
        <v>30379</v>
      </c>
      <c r="D22760" s="0" t="s">
        <v>30379</v>
      </c>
      <c r="E22760" s="0" t="inlineStr">
        <is>
          <t xml:space="preserve">Mazda</t>
        </is>
      </c>
      <c r="F22760" s="0" t="s">
        <v>13</v>
      </c>
      <c r="G22760" s="0" t="s">
        <v>49</v>
      </c>
      <c r="H22760" s="5">
        <v>5.292900</v>
      </c>
    </row>
    <row r="22761" spans="1:9">
      <c r="A22761" s="22" t="str">
        <f>HYPERLINK("https://app.vivvix.com/360/KMI/IntelliDrive/ApplUI/Pages/CreativePages/CustomReportCreativeDetail.aspx?App=23&amp;ReportView=4&amp;Qid=1711279&amp;Row=22753&amp;Col=1","No Title Assigned - #15281343168")</f>
        <v/>
      </c>
      <c r="B22761" s="0" t="s">
        <v>30380</v>
      </c>
      <c r="C22761" s="0" t="s">
        <v>30381</v>
      </c>
      <c r="D22761" s="0" t="s">
        <v>30381</v>
      </c>
      <c r="E22761" s="0" t="inlineStr">
        <is>
          <t xml:space="preserve">Mazda</t>
        </is>
      </c>
      <c r="F22761" s="0" t="s">
        <v>13</v>
      </c>
      <c r="G22761" s="0" t="s">
        <v>49</v>
      </c>
      <c r="H22761" s="5">
        <v>5.292900</v>
      </c>
    </row>
    <row r="22762" spans="1:9">
      <c r="A22762" s="22" t="str">
        <f>HYPERLINK("https://app.vivvix.com/360/KMI/IntelliDrive/ApplUI/Pages/CreativePages/CustomReportCreativeDetail.aspx?App=23&amp;ReportView=4&amp;Qid=1711279&amp;Row=22754&amp;Col=1","No Title Assigned - #15281344170")</f>
        <v/>
      </c>
      <c r="B22762" s="0" t="s">
        <v>30382</v>
      </c>
      <c r="C22762" s="0" t="s">
        <v>30383</v>
      </c>
      <c r="D22762" s="0" t="s">
        <v>11469</v>
      </c>
      <c r="E22762" s="0" t="inlineStr">
        <is>
          <t xml:space="preserve">Mazda</t>
        </is>
      </c>
      <c r="F22762" s="0" t="s">
        <v>13</v>
      </c>
      <c r="G22762" s="0" t="s">
        <v>49</v>
      </c>
      <c r="H22762" s="5">
        <v>91.283200</v>
      </c>
    </row>
    <row r="22763" spans="1:9">
      <c r="A22763" s="22" t="str">
        <f>HYPERLINK("https://app.vivvix.com/360/KMI/IntelliDrive/ApplUI/Pages/CreativePages/CustomReportCreativeDetail.aspx?App=23&amp;ReportView=4&amp;Qid=1711279&amp;Row=22755&amp;Col=1","No Title Assigned - #15281344204")</f>
        <v/>
      </c>
      <c r="B22763" s="0" t="s">
        <v>30384</v>
      </c>
      <c r="C22763" s="0" t="s">
        <v>30385</v>
      </c>
      <c r="D22763" s="0" t="s">
        <v>30385</v>
      </c>
      <c r="E22763" s="0" t="inlineStr">
        <is>
          <t xml:space="preserve">Mazda</t>
        </is>
      </c>
      <c r="F22763" s="0" t="s">
        <v>13</v>
      </c>
      <c r="G22763" s="0" t="s">
        <v>49</v>
      </c>
      <c r="H22763" s="5">
        <v>54.806400</v>
      </c>
    </row>
    <row r="22764" spans="1:9">
      <c r="A22764" s="22" t="str">
        <f>HYPERLINK("https://app.vivvix.com/360/KMI/IntelliDrive/ApplUI/Pages/CreativePages/CustomReportCreativeDetail.aspx?App=23&amp;ReportView=4&amp;Qid=1711279&amp;Row=22756&amp;Col=1","No Title Assigned - #15281345022")</f>
        <v/>
      </c>
      <c r="B22764" s="0" t="s">
        <v>30386</v>
      </c>
      <c r="C22764" s="0" t="s">
        <v>30387</v>
      </c>
      <c r="D22764" s="0" t="s">
        <v>30387</v>
      </c>
      <c r="E22764" s="0" t="inlineStr">
        <is>
          <t xml:space="preserve">Mazda</t>
        </is>
      </c>
      <c r="F22764" s="0" t="s">
        <v>13</v>
      </c>
      <c r="G22764" s="0" t="s">
        <v>49</v>
      </c>
      <c r="H22764" s="5">
        <v>51.877100</v>
      </c>
    </row>
    <row r="22765" spans="1:9">
      <c r="A22765" s="22" t="str">
        <f>HYPERLINK("https://app.vivvix.com/360/KMI/IntelliDrive/ApplUI/Pages/CreativePages/CustomReportCreativeDetail.aspx?App=23&amp;ReportView=4&amp;Qid=1711279&amp;Row=22757&amp;Col=1","No Title Assigned - #15281345348")</f>
        <v/>
      </c>
      <c r="B22765" s="0" t="s">
        <v>30388</v>
      </c>
      <c r="C22765" s="0" t="s">
        <v>30389</v>
      </c>
      <c r="D22765" s="0" t="s">
        <v>15762</v>
      </c>
      <c r="E22765" s="0" t="inlineStr">
        <is>
          <t xml:space="preserve">Mazda</t>
        </is>
      </c>
      <c r="F22765" s="0" t="s">
        <v>13</v>
      </c>
      <c r="G22765" s="0" t="s">
        <v>49</v>
      </c>
      <c r="H22765" s="5">
        <v>2095.126400</v>
      </c>
    </row>
    <row r="22766" spans="1:9">
      <c r="A22766" s="22" t="str">
        <f>HYPERLINK("https://app.vivvix.com/360/KMI/IntelliDrive/ApplUI/Pages/CreativePages/CustomReportCreativeDetail.aspx?App=23&amp;ReportView=4&amp;Qid=1711279&amp;Row=22758&amp;Col=1","No Title Assigned - #15281349069")</f>
        <v/>
      </c>
      <c r="B22766" s="0" t="s">
        <v>30390</v>
      </c>
      <c r="C22766" s="0" t="s">
        <v>30391</v>
      </c>
      <c r="D22766" s="0" t="s">
        <v>21854</v>
      </c>
      <c r="E22766" s="0" t="inlineStr">
        <is>
          <t xml:space="preserve">Mazda</t>
        </is>
      </c>
      <c r="F22766" s="0" t="s">
        <v>13</v>
      </c>
      <c r="G22766" s="0" t="s">
        <v>49</v>
      </c>
      <c r="H22766" s="5">
        <v>151.294000</v>
      </c>
    </row>
    <row r="22767" spans="1:9">
      <c r="A22767" s="22" t="str">
        <f>HYPERLINK("https://app.vivvix.com/360/KMI/IntelliDrive/ApplUI/Pages/CreativePages/CustomReportCreativeDetail.aspx?App=23&amp;ReportView=4&amp;Qid=1711279&amp;Row=22759&amp;Col=1","No Title Assigned - #15281349069")</f>
        <v/>
      </c>
      <c r="B22767" s="0" t="s">
        <v>30390</v>
      </c>
      <c r="E22767" s="0" t="inlineStr">
        <is>
          <t xml:space="preserve">Mazda</t>
        </is>
      </c>
      <c r="F22767" s="0" t="s">
        <v>13</v>
      </c>
      <c r="G22767" s="0" t="s">
        <v>49</v>
      </c>
      <c r="H22767" s="5">
        <v>52.162200</v>
      </c>
    </row>
    <row r="22768" spans="1:9">
      <c r="A22768" s="22" t="str">
        <f>HYPERLINK("https://app.vivvix.com/360/KMI/IntelliDrive/ApplUI/Pages/CreativePages/CustomReportCreativeDetail.aspx?App=23&amp;ReportView=4&amp;Qid=1711279&amp;Row=22760&amp;Col=1","No Title Assigned - #15281353466")</f>
        <v/>
      </c>
      <c r="B22768" s="0" t="s">
        <v>30392</v>
      </c>
      <c r="C22768" s="0" t="s">
        <v>30393</v>
      </c>
      <c r="D22768" s="0" t="s">
        <v>9167</v>
      </c>
      <c r="E22768" s="0" t="inlineStr">
        <is>
          <t xml:space="preserve">Mazda</t>
        </is>
      </c>
      <c r="F22768" s="0" t="s">
        <v>13</v>
      </c>
      <c r="G22768" s="0" t="s">
        <v>49</v>
      </c>
      <c r="H22768" s="5">
        <v>119.720900</v>
      </c>
    </row>
    <row r="22769" spans="1:9">
      <c r="A22769" s="22" t="str">
        <f>HYPERLINK("https://app.vivvix.com/360/KMI/IntelliDrive/ApplUI/Pages/CreativePages/CustomReportCreativeDetail.aspx?App=23&amp;ReportView=4&amp;Qid=1711279&amp;Row=22761&amp;Col=1","No Title Assigned - #15281360373")</f>
        <v/>
      </c>
      <c r="B22769" s="0" t="s">
        <v>30394</v>
      </c>
      <c r="C22769" s="0" t="s">
        <v>30395</v>
      </c>
      <c r="D22769" s="0" t="s">
        <v>30395</v>
      </c>
      <c r="E22769" s="0" t="inlineStr">
        <is>
          <t xml:space="preserve">Mazda</t>
        </is>
      </c>
      <c r="F22769" s="0" t="s">
        <v>13</v>
      </c>
      <c r="G22769" s="0" t="s">
        <v>49</v>
      </c>
      <c r="H22769" s="5">
        <v>2459.755200</v>
      </c>
    </row>
    <row r="22770" spans="1:9">
      <c r="A22770" s="22" t="str">
        <f>HYPERLINK("https://app.vivvix.com/360/KMI/IntelliDrive/ApplUI/Pages/CreativePages/CustomReportCreativeDetail.aspx?App=23&amp;ReportView=4&amp;Qid=1711279&amp;Row=22762&amp;Col=1","No Title Assigned - #15281360624")</f>
        <v/>
      </c>
      <c r="B22770" s="0" t="s">
        <v>30396</v>
      </c>
      <c r="C22770" s="0" t="s">
        <v>30397</v>
      </c>
      <c r="D22770" s="0" t="s">
        <v>10008</v>
      </c>
      <c r="E22770" s="0" t="inlineStr">
        <is>
          <t xml:space="preserve">Mazda</t>
        </is>
      </c>
      <c r="F22770" s="0" t="s">
        <v>13</v>
      </c>
      <c r="G22770" s="0" t="s">
        <v>49</v>
      </c>
      <c r="H22770" s="5">
        <v>114.256400</v>
      </c>
    </row>
    <row r="22771" spans="1:9">
      <c r="A22771" s="22" t="str">
        <f>HYPERLINK("https://app.vivvix.com/360/KMI/IntelliDrive/ApplUI/Pages/CreativePages/CustomReportCreativeDetail.aspx?App=23&amp;ReportView=4&amp;Qid=1711279&amp;Row=22763&amp;Col=1","No Title Assigned - #15281360757")</f>
        <v/>
      </c>
      <c r="B22771" s="0" t="s">
        <v>30398</v>
      </c>
      <c r="C22771" s="0" t="s">
        <v>30399</v>
      </c>
      <c r="D22771" s="0" t="s">
        <v>10770</v>
      </c>
      <c r="E22771" s="0" t="inlineStr">
        <is>
          <t xml:space="preserve">Mazda</t>
        </is>
      </c>
      <c r="F22771" s="0" t="s">
        <v>13</v>
      </c>
      <c r="G22771" s="0" t="s">
        <v>49</v>
      </c>
      <c r="H22771" s="5">
        <v>26695.959900</v>
      </c>
    </row>
    <row r="22772" spans="1:9">
      <c r="A22772" s="22" t="str">
        <f>HYPERLINK("https://app.vivvix.com/360/KMI/IntelliDrive/ApplUI/Pages/CreativePages/CustomReportCreativeDetail.aspx?App=23&amp;ReportView=4&amp;Qid=1711279&amp;Row=22764&amp;Col=1","No Title Assigned - #15281360757")</f>
        <v/>
      </c>
      <c r="B22772" s="0" t="s">
        <v>30398</v>
      </c>
      <c r="E22772" s="0" t="inlineStr">
        <is>
          <t xml:space="preserve">Mazda</t>
        </is>
      </c>
      <c r="F22772" s="0" t="s">
        <v>13</v>
      </c>
      <c r="G22772" s="0" t="s">
        <v>49</v>
      </c>
      <c r="H22772" s="5">
        <v>6343.929700</v>
      </c>
    </row>
    <row r="22773" spans="1:9">
      <c r="A22773" s="22" t="str">
        <f>HYPERLINK("https://app.vivvix.com/360/KMI/IntelliDrive/ApplUI/Pages/CreativePages/CustomReportCreativeDetail.aspx?App=23&amp;ReportView=4&amp;Qid=1711279&amp;Row=22765&amp;Col=1","No Title Assigned - #15281361580")</f>
        <v/>
      </c>
      <c r="B22773" s="0" t="s">
        <v>30400</v>
      </c>
      <c r="E22773" s="0" t="inlineStr">
        <is>
          <t xml:space="preserve">Mazda</t>
        </is>
      </c>
      <c r="F22773" s="0" t="s">
        <v>204</v>
      </c>
      <c r="G22773" s="0" t="s">
        <v>205</v>
      </c>
      <c r="H22773" s="5">
        <v>583.680100</v>
      </c>
    </row>
    <row r="22774" spans="1:9">
      <c r="A22774" s="22" t="str">
        <f>HYPERLINK("https://app.vivvix.com/360/KMI/IntelliDrive/ApplUI/Pages/CreativePages/CustomReportCreativeDetail.aspx?App=23&amp;ReportView=4&amp;Qid=1711279&amp;Row=22766&amp;Col=1","No Title Assigned - #15281361592")</f>
        <v/>
      </c>
      <c r="B22774" s="0" t="s">
        <v>30401</v>
      </c>
      <c r="C22774" s="0" t="s">
        <v>30402</v>
      </c>
      <c r="D22774" s="0" t="s">
        <v>30402</v>
      </c>
      <c r="E22774" s="0" t="inlineStr">
        <is>
          <t xml:space="preserve">Mazda</t>
        </is>
      </c>
      <c r="F22774" s="0" t="s">
        <v>13</v>
      </c>
      <c r="G22774" s="0" t="s">
        <v>49</v>
      </c>
      <c r="H22774" s="5">
        <v>447.543300</v>
      </c>
    </row>
    <row r="22775" spans="1:9">
      <c r="A22775" s="22" t="str">
        <f>HYPERLINK("https://app.vivvix.com/360/KMI/IntelliDrive/ApplUI/Pages/CreativePages/CustomReportCreativeDetail.aspx?App=23&amp;ReportView=4&amp;Qid=1711279&amp;Row=22767&amp;Col=1","No Title Assigned - #15281362964")</f>
        <v/>
      </c>
      <c r="B22775" s="0" t="s">
        <v>30403</v>
      </c>
      <c r="C22775" s="0" t="s">
        <v>30404</v>
      </c>
      <c r="D22775" s="0" t="s">
        <v>10004</v>
      </c>
      <c r="E22775" s="0" t="inlineStr">
        <is>
          <t xml:space="preserve">Mazda</t>
        </is>
      </c>
      <c r="F22775" s="0" t="s">
        <v>13</v>
      </c>
      <c r="G22775" s="0" t="s">
        <v>49</v>
      </c>
      <c r="H22775" s="5">
        <v>1066.345500</v>
      </c>
    </row>
    <row r="22776" spans="1:9">
      <c r="A22776" s="22" t="str">
        <f>HYPERLINK("https://app.vivvix.com/360/KMI/IntelliDrive/ApplUI/Pages/CreativePages/CustomReportCreativeDetail.aspx?App=23&amp;ReportView=4&amp;Qid=1711279&amp;Row=22768&amp;Col=1","No Title Assigned - #15281362964")</f>
        <v/>
      </c>
      <c r="B22776" s="0" t="s">
        <v>30403</v>
      </c>
      <c r="E22776" s="0" t="inlineStr">
        <is>
          <t xml:space="preserve">Mazda</t>
        </is>
      </c>
      <c r="F22776" s="0" t="s">
        <v>13</v>
      </c>
      <c r="G22776" s="0" t="s">
        <v>49</v>
      </c>
      <c r="H22776" s="5">
        <v>110.264000</v>
      </c>
    </row>
    <row r="22777" spans="1:9">
      <c r="A22777" s="22" t="str">
        <f>HYPERLINK("https://app.vivvix.com/360/KMI/IntelliDrive/ApplUI/Pages/CreativePages/CustomReportCreativeDetail.aspx?App=23&amp;ReportView=4&amp;Qid=1711279&amp;Row=22769&amp;Col=1","No Title Assigned - #15281366561")</f>
        <v/>
      </c>
      <c r="B22777" s="0" t="s">
        <v>30405</v>
      </c>
      <c r="C22777" s="0" t="s">
        <v>30406</v>
      </c>
      <c r="D22777" s="0" t="s">
        <v>9167</v>
      </c>
      <c r="E22777" s="0" t="inlineStr">
        <is>
          <t xml:space="preserve">Mazda</t>
        </is>
      </c>
      <c r="F22777" s="0" t="s">
        <v>13</v>
      </c>
      <c r="G22777" s="0" t="s">
        <v>49</v>
      </c>
      <c r="H22777" s="5">
        <v>137.895500</v>
      </c>
    </row>
    <row r="22778" spans="1:9">
      <c r="A22778" s="22" t="str">
        <f>HYPERLINK("https://app.vivvix.com/360/KMI/IntelliDrive/ApplUI/Pages/CreativePages/CustomReportCreativeDetail.aspx?App=23&amp;ReportView=4&amp;Qid=1711279&amp;Row=22770&amp;Col=1","No Title Assigned - #15281366562")</f>
        <v/>
      </c>
      <c r="B22778" s="0" t="s">
        <v>30407</v>
      </c>
      <c r="C22778" s="0" t="s">
        <v>30408</v>
      </c>
      <c r="D22778" s="0" t="s">
        <v>9167</v>
      </c>
      <c r="E22778" s="0" t="inlineStr">
        <is>
          <t xml:space="preserve">Mazda</t>
        </is>
      </c>
      <c r="F22778" s="0" t="s">
        <v>13</v>
      </c>
      <c r="G22778" s="0" t="s">
        <v>49</v>
      </c>
      <c r="H22778" s="5">
        <v>95.902800</v>
      </c>
    </row>
    <row r="22779" spans="1:9">
      <c r="A22779" s="22" t="str">
        <f>HYPERLINK("https://app.vivvix.com/360/KMI/IntelliDrive/ApplUI/Pages/CreativePages/CustomReportCreativeDetail.aspx?App=23&amp;ReportView=4&amp;Qid=1711279&amp;Row=22771&amp;Col=1","No Title Assigned - #15281366987")</f>
        <v/>
      </c>
      <c r="B22779" s="0" t="s">
        <v>30409</v>
      </c>
      <c r="C22779" s="0" t="s">
        <v>30410</v>
      </c>
      <c r="D22779" s="0" t="s">
        <v>30410</v>
      </c>
      <c r="E22779" s="0" t="inlineStr">
        <is>
          <t xml:space="preserve">Mazda</t>
        </is>
      </c>
      <c r="F22779" s="0" t="s">
        <v>13</v>
      </c>
      <c r="G22779" s="0" t="s">
        <v>49</v>
      </c>
      <c r="H22779" s="5">
        <v>8.544700</v>
      </c>
    </row>
    <row r="22780" spans="1:9">
      <c r="A22780" s="22" t="str">
        <f>HYPERLINK("https://app.vivvix.com/360/KMI/IntelliDrive/ApplUI/Pages/CreativePages/CustomReportCreativeDetail.aspx?App=23&amp;ReportView=4&amp;Qid=1711279&amp;Row=22772&amp;Col=1","No Title Assigned - #15281367015")</f>
        <v/>
      </c>
      <c r="B22780" s="0" t="s">
        <v>30411</v>
      </c>
      <c r="C22780" s="0" t="s">
        <v>30412</v>
      </c>
      <c r="D22780" s="0" t="s">
        <v>30412</v>
      </c>
      <c r="E22780" s="0" t="inlineStr">
        <is>
          <t xml:space="preserve">Mazda</t>
        </is>
      </c>
      <c r="F22780" s="0" t="s">
        <v>13</v>
      </c>
      <c r="G22780" s="0" t="s">
        <v>49</v>
      </c>
      <c r="H22780" s="5">
        <v>1010.516400</v>
      </c>
    </row>
    <row r="22781" spans="1:9">
      <c r="A22781" s="22" t="str">
        <f>HYPERLINK("https://app.vivvix.com/360/KMI/IntelliDrive/ApplUI/Pages/CreativePages/CustomReportCreativeDetail.aspx?App=23&amp;ReportView=4&amp;Qid=1711279&amp;Row=22773&amp;Col=1","No Title Assigned - #15281370435")</f>
        <v/>
      </c>
      <c r="B22781" s="0" t="s">
        <v>30413</v>
      </c>
      <c r="C22781" s="0" t="s">
        <v>30414</v>
      </c>
      <c r="D22781" s="0" t="s">
        <v>21496</v>
      </c>
      <c r="E22781" s="0" t="inlineStr">
        <is>
          <t xml:space="preserve">Mazda</t>
        </is>
      </c>
      <c r="F22781" s="0" t="s">
        <v>13</v>
      </c>
      <c r="G22781" s="0" t="s">
        <v>49</v>
      </c>
      <c r="H22781" s="5">
        <v>1990.785200</v>
      </c>
    </row>
    <row r="22782" spans="1:9">
      <c r="A22782" s="22" t="str">
        <f>HYPERLINK("https://app.vivvix.com/360/KMI/IntelliDrive/ApplUI/Pages/CreativePages/CustomReportCreativeDetail.aspx?App=23&amp;ReportView=4&amp;Qid=1711279&amp;Row=22774&amp;Col=1","No Title Assigned - #15281370793")</f>
        <v/>
      </c>
      <c r="B22782" s="0" t="s">
        <v>30415</v>
      </c>
      <c r="E22782" s="0" t="inlineStr">
        <is>
          <t xml:space="preserve">Mazda</t>
        </is>
      </c>
      <c r="F22782" s="0" t="inlineStr">
        <is>
          <t xml:space="preserve">Mazda</t>
        </is>
      </c>
      <c r="G22782" s="0" t="s">
        <v>171</v>
      </c>
      <c r="H22782" s="5">
        <v>502.487700</v>
      </c>
    </row>
    <row r="22783" spans="1:9">
      <c r="A22783" s="22" t="str">
        <f>HYPERLINK("https://app.vivvix.com/360/KMI/IntelliDrive/ApplUI/Pages/CreativePages/CustomReportCreativeDetail.aspx?App=23&amp;ReportView=4&amp;Qid=1711279&amp;Row=22775&amp;Col=1","No Title Assigned - #15281372172")</f>
        <v/>
      </c>
      <c r="B22783" s="0" t="s">
        <v>30416</v>
      </c>
      <c r="E22783" s="0" t="inlineStr">
        <is>
          <t xml:space="preserve">Mazda</t>
        </is>
      </c>
      <c r="F22783" s="0" t="inlineStr">
        <is>
          <t xml:space="preserve">Mazda</t>
        </is>
      </c>
      <c r="G22783" s="0" t="s">
        <v>171</v>
      </c>
      <c r="H22783" s="5">
        <v>15176.387400</v>
      </c>
    </row>
    <row r="22784" spans="1:9">
      <c r="A22784" s="22" t="str">
        <f>HYPERLINK("https://app.vivvix.com/360/KMI/IntelliDrive/ApplUI/Pages/CreativePages/CustomReportCreativeDetail.aspx?App=23&amp;ReportView=4&amp;Qid=1711279&amp;Row=22776&amp;Col=1","No Title Assigned - #15281372925")</f>
        <v/>
      </c>
      <c r="B22784" s="0" t="s">
        <v>30417</v>
      </c>
      <c r="E22784" s="0" t="inlineStr">
        <is>
          <t xml:space="preserve">Mazda</t>
        </is>
      </c>
      <c r="F22784" s="0" t="inlineStr">
        <is>
          <t xml:space="preserve">Mazda</t>
        </is>
      </c>
      <c r="G22784" s="0" t="s">
        <v>171</v>
      </c>
      <c r="H22784" s="5">
        <v>47.094700</v>
      </c>
    </row>
    <row r="22785" spans="1:9">
      <c r="A22785" s="22" t="str">
        <f>HYPERLINK("https://app.vivvix.com/360/KMI/IntelliDrive/ApplUI/Pages/CreativePages/CustomReportCreativeDetail.aspx?App=23&amp;ReportView=4&amp;Qid=1711279&amp;Row=22777&amp;Col=1","No Title Assigned - #15281372925")</f>
        <v/>
      </c>
      <c r="B22785" s="0" t="s">
        <v>30417</v>
      </c>
      <c r="C22785" s="0" t="s">
        <v>30418</v>
      </c>
      <c r="D22785" s="0" t="s">
        <v>30418</v>
      </c>
      <c r="E22785" s="0" t="inlineStr">
        <is>
          <t xml:space="preserve">Mazda</t>
        </is>
      </c>
      <c r="F22785" s="0" t="inlineStr">
        <is>
          <t xml:space="preserve">Mazda</t>
        </is>
      </c>
      <c r="G22785" s="0" t="s">
        <v>171</v>
      </c>
      <c r="H22785" s="5">
        <v>328.606000</v>
      </c>
    </row>
    <row r="22786" spans="1:9">
      <c r="A22786" s="22" t="str">
        <f>HYPERLINK("https://app.vivvix.com/360/KMI/IntelliDrive/ApplUI/Pages/CreativePages/CustomReportCreativeDetail.aspx?App=23&amp;ReportView=4&amp;Qid=1711279&amp;Row=22778&amp;Col=1","No Title Assigned - #15281373570")</f>
        <v/>
      </c>
      <c r="B22786" s="0" t="s">
        <v>30419</v>
      </c>
      <c r="E22786" s="0" t="inlineStr">
        <is>
          <t xml:space="preserve">Mazda</t>
        </is>
      </c>
      <c r="F22786" s="0" t="inlineStr">
        <is>
          <t xml:space="preserve">Mazda</t>
        </is>
      </c>
      <c r="G22786" s="0" t="s">
        <v>171</v>
      </c>
      <c r="H22786" s="5">
        <v>310.180800</v>
      </c>
    </row>
    <row r="22787" spans="1:9">
      <c r="A22787" s="22" t="str">
        <f>HYPERLINK("https://app.vivvix.com/360/KMI/IntelliDrive/ApplUI/Pages/CreativePages/CustomReportCreativeDetail.aspx?App=23&amp;ReportView=4&amp;Qid=1711279&amp;Row=22779&amp;Col=1","No Title Assigned - #15281373756")</f>
        <v/>
      </c>
      <c r="B22787" s="0" t="s">
        <v>30420</v>
      </c>
      <c r="C22787" s="0" t="s">
        <v>30421</v>
      </c>
      <c r="D22787" s="0" t="s">
        <v>30421</v>
      </c>
      <c r="E22787" s="0" t="inlineStr">
        <is>
          <t xml:space="preserve">Mazda</t>
        </is>
      </c>
      <c r="F22787" s="0" t="inlineStr">
        <is>
          <t xml:space="preserve">Mazda</t>
        </is>
      </c>
      <c r="G22787" s="0" t="s">
        <v>171</v>
      </c>
      <c r="H22787" s="5">
        <v>573.337200</v>
      </c>
    </row>
    <row r="22788" spans="1:9">
      <c r="A22788" s="22" t="str">
        <f>HYPERLINK("https://app.vivvix.com/360/KMI/IntelliDrive/ApplUI/Pages/CreativePages/CustomReportCreativeDetail.aspx?App=23&amp;ReportView=4&amp;Qid=1711279&amp;Row=22780&amp;Col=1","No Title Assigned - #15281374779")</f>
        <v/>
      </c>
      <c r="B22788" s="0" t="s">
        <v>30422</v>
      </c>
      <c r="E22788" s="0" t="inlineStr">
        <is>
          <t xml:space="preserve">Mazda</t>
        </is>
      </c>
      <c r="F22788" s="0" t="inlineStr">
        <is>
          <t xml:space="preserve">Mazda</t>
        </is>
      </c>
      <c r="G22788" s="0" t="s">
        <v>171</v>
      </c>
      <c r="H22788" s="5">
        <v>476.099400</v>
      </c>
    </row>
    <row r="22789" spans="1:9">
      <c r="A22789" s="22" t="str">
        <f>HYPERLINK("https://app.vivvix.com/360/KMI/IntelliDrive/ApplUI/Pages/CreativePages/CustomReportCreativeDetail.aspx?App=23&amp;ReportView=4&amp;Qid=1711279&amp;Row=22781&amp;Col=1","No Title Assigned - #15281375340")</f>
        <v/>
      </c>
      <c r="B22789" s="0" t="s">
        <v>30423</v>
      </c>
      <c r="E22789" s="0" t="inlineStr">
        <is>
          <t xml:space="preserve">Mazda</t>
        </is>
      </c>
      <c r="F22789" s="0" t="inlineStr">
        <is>
          <t xml:space="preserve">Mazda</t>
        </is>
      </c>
      <c r="G22789" s="0" t="s">
        <v>171</v>
      </c>
      <c r="H22789" s="5">
        <v>26.095500</v>
      </c>
    </row>
    <row r="22790" spans="1:9">
      <c r="A22790" s="22" t="str">
        <f>HYPERLINK("https://app.vivvix.com/360/KMI/IntelliDrive/ApplUI/Pages/CreativePages/CustomReportCreativeDetail.aspx?App=23&amp;ReportView=4&amp;Qid=1711279&amp;Row=22782&amp;Col=1","No Title Assigned - #15281377122")</f>
        <v/>
      </c>
      <c r="B22790" s="0" t="s">
        <v>30424</v>
      </c>
      <c r="E22790" s="0" t="inlineStr">
        <is>
          <t xml:space="preserve">Mazda</t>
        </is>
      </c>
      <c r="F22790" s="0" t="inlineStr">
        <is>
          <t xml:space="preserve">Mazda</t>
        </is>
      </c>
      <c r="G22790" s="0" t="s">
        <v>171</v>
      </c>
      <c r="H22790" s="5">
        <v>20.793200</v>
      </c>
    </row>
    <row r="22791" spans="1:9">
      <c r="A22791" s="22" t="str">
        <f>HYPERLINK("https://app.vivvix.com/360/KMI/IntelliDrive/ApplUI/Pages/CreativePages/CustomReportCreativeDetail.aspx?App=23&amp;ReportView=4&amp;Qid=1711279&amp;Row=22783&amp;Col=1","No Title Assigned - #15281383680")</f>
        <v/>
      </c>
      <c r="B22791" s="0" t="s">
        <v>30425</v>
      </c>
      <c r="C22791" s="0" t="s">
        <v>30426</v>
      </c>
      <c r="D22791" s="0" t="s">
        <v>30426</v>
      </c>
      <c r="E22791" s="0" t="inlineStr">
        <is>
          <t xml:space="preserve">Mazda</t>
        </is>
      </c>
      <c r="F22791" s="0" t="inlineStr">
        <is>
          <t xml:space="preserve">Mazda</t>
        </is>
      </c>
      <c r="G22791" s="0" t="s">
        <v>171</v>
      </c>
      <c r="H22791" s="5">
        <v>137.867100</v>
      </c>
    </row>
    <row r="22792" spans="1:9">
      <c r="A22792" s="22" t="str">
        <f>HYPERLINK("https://app.vivvix.com/360/KMI/IntelliDrive/ApplUI/Pages/CreativePages/CustomReportCreativeDetail.aspx?App=23&amp;ReportView=4&amp;Qid=1711279&amp;Row=22784&amp;Col=1","No Title Assigned - #15281384850")</f>
        <v/>
      </c>
      <c r="B22792" s="0" t="s">
        <v>30427</v>
      </c>
      <c r="E22792" s="0" t="inlineStr">
        <is>
          <t xml:space="preserve">Mazda</t>
        </is>
      </c>
      <c r="F22792" s="0" t="inlineStr">
        <is>
          <t xml:space="preserve">Mazda</t>
        </is>
      </c>
      <c r="G22792" s="0" t="s">
        <v>171</v>
      </c>
      <c r="H22792" s="5">
        <v>55.971900</v>
      </c>
    </row>
    <row r="22793" spans="1:9">
      <c r="A22793" s="22" t="str">
        <f>HYPERLINK("https://app.vivvix.com/360/KMI/IntelliDrive/ApplUI/Pages/CreativePages/CustomReportCreativeDetail.aspx?App=23&amp;ReportView=4&amp;Qid=1711279&amp;Row=22785&amp;Col=1","No Title Assigned - #15281384853")</f>
        <v/>
      </c>
      <c r="B22793" s="0" t="s">
        <v>30428</v>
      </c>
      <c r="E22793" s="0" t="inlineStr">
        <is>
          <t xml:space="preserve">Mazda</t>
        </is>
      </c>
      <c r="F22793" s="0" t="inlineStr">
        <is>
          <t xml:space="preserve">Mazda</t>
        </is>
      </c>
      <c r="G22793" s="0" t="s">
        <v>171</v>
      </c>
      <c r="H22793" s="5">
        <v>16935.834000</v>
      </c>
    </row>
    <row r="22794" spans="1:9">
      <c r="A22794" s="22" t="str">
        <f>HYPERLINK("https://app.vivvix.com/360/KMI/IntelliDrive/ApplUI/Pages/CreativePages/CustomReportCreativeDetail.aspx?App=23&amp;ReportView=4&amp;Qid=1711279&amp;Row=22786&amp;Col=1","No Title Assigned - #15281392228")</f>
        <v/>
      </c>
      <c r="B22794" s="0" t="s">
        <v>30429</v>
      </c>
      <c r="E22794" s="0" t="inlineStr">
        <is>
          <t xml:space="preserve">Mazda</t>
        </is>
      </c>
      <c r="F22794" s="0" t="inlineStr">
        <is>
          <t xml:space="preserve">Mazda</t>
        </is>
      </c>
      <c r="G22794" s="0" t="s">
        <v>171</v>
      </c>
      <c r="H22794" s="5">
        <v>28959.072800</v>
      </c>
    </row>
    <row r="22795" spans="1:9">
      <c r="A22795" s="22" t="str">
        <f>HYPERLINK("https://app.vivvix.com/360/KMI/IntelliDrive/ApplUI/Pages/CreativePages/CustomReportCreativeDetail.aspx?App=23&amp;ReportView=4&amp;Qid=1711279&amp;Row=22787&amp;Col=1","No Title Assigned - #15281392228")</f>
        <v/>
      </c>
      <c r="B22795" s="0" t="s">
        <v>30429</v>
      </c>
      <c r="E22795" s="0" t="inlineStr">
        <is>
          <t xml:space="preserve">Mazda</t>
        </is>
      </c>
      <c r="F22795" s="0" t="inlineStr">
        <is>
          <t xml:space="preserve">Mazda</t>
        </is>
      </c>
      <c r="G22795" s="0" t="s">
        <v>171</v>
      </c>
      <c r="H22795" s="5">
        <v>1457.287000</v>
      </c>
    </row>
    <row r="22796" spans="1:9">
      <c r="A22796" s="22" t="str">
        <f>HYPERLINK("https://app.vivvix.com/360/KMI/IntelliDrive/ApplUI/Pages/CreativePages/CustomReportCreativeDetail.aspx?App=23&amp;ReportView=4&amp;Qid=1711279&amp;Row=22788&amp;Col=1","No Title Assigned - #15281392563")</f>
        <v/>
      </c>
      <c r="B22796" s="0" t="s">
        <v>30430</v>
      </c>
      <c r="E22796" s="0" t="inlineStr">
        <is>
          <t xml:space="preserve">Mazda</t>
        </is>
      </c>
      <c r="F22796" s="0" t="inlineStr">
        <is>
          <t xml:space="preserve">Mazda</t>
        </is>
      </c>
      <c r="G22796" s="0" t="s">
        <v>171</v>
      </c>
      <c r="H22796" s="5">
        <v>76.237900</v>
      </c>
    </row>
    <row r="22797" spans="1:9">
      <c r="A22797" s="22" t="str">
        <f>HYPERLINK("https://app.vivvix.com/360/KMI/IntelliDrive/ApplUI/Pages/CreativePages/CustomReportCreativeDetail.aspx?App=23&amp;ReportView=4&amp;Qid=1711279&amp;Row=22789&amp;Col=1","No Title Assigned - #15281392723")</f>
        <v/>
      </c>
      <c r="B22797" s="0" t="s">
        <v>30431</v>
      </c>
      <c r="E22797" s="0" t="inlineStr">
        <is>
          <t xml:space="preserve">Mazda</t>
        </is>
      </c>
      <c r="F22797" s="0" t="inlineStr">
        <is>
          <t xml:space="preserve">Mazda</t>
        </is>
      </c>
      <c r="G22797" s="0" t="s">
        <v>171</v>
      </c>
      <c r="H22797" s="5">
        <v>169.956400</v>
      </c>
    </row>
    <row r="22798" spans="1:9">
      <c r="A22798" s="22" t="str">
        <f>HYPERLINK("https://app.vivvix.com/360/KMI/IntelliDrive/ApplUI/Pages/CreativePages/CustomReportCreativeDetail.aspx?App=23&amp;ReportView=4&amp;Qid=1711279&amp;Row=22790&amp;Col=1","No Title Assigned - #15281395385")</f>
        <v/>
      </c>
      <c r="B22798" s="0" t="s">
        <v>30432</v>
      </c>
      <c r="E22798" s="0" t="inlineStr">
        <is>
          <t xml:space="preserve">Mazda</t>
        </is>
      </c>
      <c r="F22798" s="0" t="inlineStr">
        <is>
          <t xml:space="preserve">Mazda</t>
        </is>
      </c>
      <c r="G22798" s="0" t="s">
        <v>171</v>
      </c>
      <c r="H22798" s="5">
        <v>49.408800</v>
      </c>
    </row>
    <row r="22799" spans="1:9">
      <c r="A22799" s="22" t="str">
        <f>HYPERLINK("https://app.vivvix.com/360/KMI/IntelliDrive/ApplUI/Pages/CreativePages/CustomReportCreativeDetail.aspx?App=23&amp;ReportView=4&amp;Qid=1711279&amp;Row=22791&amp;Col=1","No Title Assigned - #15281397548")</f>
        <v/>
      </c>
      <c r="B22799" s="0" t="s">
        <v>30433</v>
      </c>
      <c r="E22799" s="0" t="inlineStr">
        <is>
          <t xml:space="preserve">Mazda</t>
        </is>
      </c>
      <c r="F22799" s="0" t="s">
        <v>56</v>
      </c>
      <c r="G22799" s="0" t="s">
        <v>30434</v>
      </c>
      <c r="H22799" s="5">
        <v>1083.112800</v>
      </c>
    </row>
    <row r="22800" spans="1:9">
      <c r="A22800" s="22" t="str">
        <f>HYPERLINK("https://app.vivvix.com/360/KMI/IntelliDrive/ApplUI/Pages/CreativePages/CustomReportCreativeDetail.aspx?App=23&amp;ReportView=4&amp;Qid=1711279&amp;Row=22792&amp;Col=1","No Title Assigned - #15281398832")</f>
        <v/>
      </c>
      <c r="B22800" s="0" t="s">
        <v>30435</v>
      </c>
      <c r="C22800" s="0" t="s">
        <v>30436</v>
      </c>
      <c r="D22800" s="0" t="s">
        <v>30436</v>
      </c>
      <c r="E22800" s="0" t="inlineStr">
        <is>
          <t xml:space="preserve">Mazda</t>
        </is>
      </c>
      <c r="F22800" s="0" t="s">
        <v>13</v>
      </c>
      <c r="G22800" s="0" t="s">
        <v>49</v>
      </c>
      <c r="H22800" s="5">
        <v>33.960100</v>
      </c>
    </row>
    <row r="22801" spans="1:9">
      <c r="A22801" s="22" t="str">
        <f>HYPERLINK("https://app.vivvix.com/360/KMI/IntelliDrive/ApplUI/Pages/CreativePages/CustomReportCreativeDetail.aspx?App=23&amp;ReportView=4&amp;Qid=1711279&amp;Row=22793&amp;Col=1","No Title Assigned - #15281401561")</f>
        <v/>
      </c>
      <c r="B22801" s="0" t="s">
        <v>30437</v>
      </c>
      <c r="C22801" s="0" t="s">
        <v>30438</v>
      </c>
      <c r="D22801" s="0" t="s">
        <v>17126</v>
      </c>
      <c r="E22801" s="0" t="inlineStr">
        <is>
          <t xml:space="preserve">Mazda</t>
        </is>
      </c>
      <c r="F22801" s="0" t="s">
        <v>13</v>
      </c>
      <c r="G22801" s="0" t="s">
        <v>49</v>
      </c>
      <c r="H22801" s="5">
        <v>352.527100</v>
      </c>
    </row>
    <row r="22802" spans="1:9">
      <c r="A22802" s="22" t="str">
        <f>HYPERLINK("https://app.vivvix.com/360/KMI/IntelliDrive/ApplUI/Pages/CreativePages/CustomReportCreativeDetail.aspx?App=23&amp;ReportView=4&amp;Qid=1711279&amp;Row=22794&amp;Col=1","No Title Assigned - #15281406273")</f>
        <v/>
      </c>
      <c r="B22802" s="0" t="s">
        <v>30439</v>
      </c>
      <c r="C22802" s="0" t="s">
        <v>30440</v>
      </c>
      <c r="D22802" s="0" t="s">
        <v>20089</v>
      </c>
      <c r="E22802" s="0" t="inlineStr">
        <is>
          <t xml:space="preserve">Mazda</t>
        </is>
      </c>
      <c r="F22802" s="0" t="s">
        <v>13</v>
      </c>
      <c r="G22802" s="0" t="s">
        <v>49</v>
      </c>
      <c r="H22802" s="5">
        <v>17.287700</v>
      </c>
    </row>
    <row r="22803" spans="1:9">
      <c r="A22803" s="22" t="str">
        <f>HYPERLINK("https://app.vivvix.com/360/KMI/IntelliDrive/ApplUI/Pages/CreativePages/CustomReportCreativeDetail.aspx?App=23&amp;ReportView=4&amp;Qid=1711279&amp;Row=22795&amp;Col=1","No Title Assigned - #15281406273")</f>
        <v/>
      </c>
      <c r="B22803" s="0" t="s">
        <v>30439</v>
      </c>
      <c r="E22803" s="0" t="inlineStr">
        <is>
          <t xml:space="preserve">Mazda</t>
        </is>
      </c>
      <c r="F22803" s="0" t="s">
        <v>13</v>
      </c>
      <c r="G22803" s="0" t="s">
        <v>49</v>
      </c>
      <c r="H22803" s="5">
        <v>493.413500</v>
      </c>
    </row>
    <row r="22804" spans="1:9">
      <c r="A22804" s="22" t="str">
        <f>HYPERLINK("https://app.vivvix.com/360/KMI/IntelliDrive/ApplUI/Pages/CreativePages/CustomReportCreativeDetail.aspx?App=23&amp;ReportView=4&amp;Qid=1711279&amp;Row=22796&amp;Col=1","No Title Assigned - #15281408062")</f>
        <v/>
      </c>
      <c r="B22804" s="0" t="s">
        <v>30441</v>
      </c>
      <c r="C22804" s="0" t="s">
        <v>30442</v>
      </c>
      <c r="D22804" s="0" t="s">
        <v>30442</v>
      </c>
      <c r="E22804" s="0" t="inlineStr">
        <is>
          <t xml:space="preserve">Mazda</t>
        </is>
      </c>
      <c r="F22804" s="0" t="s">
        <v>13</v>
      </c>
      <c r="G22804" s="0" t="s">
        <v>49</v>
      </c>
      <c r="H22804" s="5">
        <v>401.099700</v>
      </c>
    </row>
    <row r="22805" spans="1:9">
      <c r="A22805" s="22" t="str">
        <f>HYPERLINK("https://app.vivvix.com/360/KMI/IntelliDrive/ApplUI/Pages/CreativePages/CustomReportCreativeDetail.aspx?App=23&amp;ReportView=4&amp;Qid=1711279&amp;Row=22797&amp;Col=1","No Title Assigned - #15281409025")</f>
        <v/>
      </c>
      <c r="B22805" s="0" t="s">
        <v>30443</v>
      </c>
      <c r="C22805" s="0" t="s">
        <v>30444</v>
      </c>
      <c r="D22805" s="0" t="s">
        <v>15355</v>
      </c>
      <c r="E22805" s="0" t="inlineStr">
        <is>
          <t xml:space="preserve">Mazda</t>
        </is>
      </c>
      <c r="F22805" s="0" t="s">
        <v>13</v>
      </c>
      <c r="G22805" s="0" t="s">
        <v>49</v>
      </c>
      <c r="H22805" s="5">
        <v>256.249600</v>
      </c>
    </row>
    <row r="22806" spans="1:9">
      <c r="A22806" s="22" t="str">
        <f>HYPERLINK("https://app.vivvix.com/360/KMI/IntelliDrive/ApplUI/Pages/CreativePages/CustomReportCreativeDetail.aspx?App=23&amp;ReportView=4&amp;Qid=1711279&amp;Row=22798&amp;Col=1","No Title Assigned - #15281409609")</f>
        <v/>
      </c>
      <c r="B22806" s="0" t="s">
        <v>30445</v>
      </c>
      <c r="C22806" s="0" t="s">
        <v>30446</v>
      </c>
      <c r="D22806" s="0" t="s">
        <v>15762</v>
      </c>
      <c r="E22806" s="0" t="inlineStr">
        <is>
          <t xml:space="preserve">Mazda</t>
        </is>
      </c>
      <c r="F22806" s="0" t="s">
        <v>13</v>
      </c>
      <c r="G22806" s="0" t="s">
        <v>49</v>
      </c>
      <c r="H22806" s="5">
        <v>15.832900</v>
      </c>
    </row>
    <row r="22807" spans="1:9">
      <c r="A22807" s="22" t="str">
        <f>HYPERLINK("https://app.vivvix.com/360/KMI/IntelliDrive/ApplUI/Pages/CreativePages/CustomReportCreativeDetail.aspx?App=23&amp;ReportView=4&amp;Qid=1711279&amp;Row=22799&amp;Col=1","No Title Assigned - #15281410595")</f>
        <v/>
      </c>
      <c r="B22807" s="0" t="s">
        <v>30447</v>
      </c>
      <c r="C22807" s="0" t="s">
        <v>30448</v>
      </c>
      <c r="D22807" s="0" t="s">
        <v>19918</v>
      </c>
      <c r="E22807" s="0" t="inlineStr">
        <is>
          <t xml:space="preserve">Mazda</t>
        </is>
      </c>
      <c r="F22807" s="0" t="inlineStr">
        <is>
          <t xml:space="preserve">Mazda</t>
        </is>
      </c>
      <c r="G22807" s="0" t="s">
        <v>210</v>
      </c>
      <c r="H22807" s="5">
        <v>1269.817400</v>
      </c>
    </row>
    <row r="22808" spans="1:9">
      <c r="A22808" s="22" t="str">
        <f>HYPERLINK("https://app.vivvix.com/360/KMI/IntelliDrive/ApplUI/Pages/CreativePages/CustomReportCreativeDetail.aspx?App=23&amp;ReportView=4&amp;Qid=1711279&amp;Row=22800&amp;Col=1","No Title Assigned - #15281410634")</f>
        <v/>
      </c>
      <c r="B22808" s="0" t="s">
        <v>30449</v>
      </c>
      <c r="C22808" s="0" t="s">
        <v>30450</v>
      </c>
      <c r="D22808" s="0" t="s">
        <v>30450</v>
      </c>
      <c r="E22808" s="0" t="inlineStr">
        <is>
          <t xml:space="preserve">Mazda</t>
        </is>
      </c>
      <c r="F22808" s="0" t="s">
        <v>21</v>
      </c>
      <c r="G22808" s="0" t="s">
        <v>22</v>
      </c>
      <c r="H22808" s="5">
        <v>347.179900</v>
      </c>
    </row>
    <row r="22809" spans="1:9">
      <c r="A22809" s="22" t="str">
        <f>HYPERLINK("https://app.vivvix.com/360/KMI/IntelliDrive/ApplUI/Pages/CreativePages/CustomReportCreativeDetail.aspx?App=23&amp;ReportView=4&amp;Qid=1711279&amp;Row=22801&amp;Col=1","No Title Assigned - #15281410791")</f>
        <v/>
      </c>
      <c r="B22809" s="0" t="s">
        <v>30451</v>
      </c>
      <c r="C22809" s="0" t="s">
        <v>30452</v>
      </c>
      <c r="D22809" s="0" t="s">
        <v>30452</v>
      </c>
      <c r="E22809" s="0" t="inlineStr">
        <is>
          <t xml:space="preserve">Mazda</t>
        </is>
      </c>
      <c r="F22809" s="0" t="s">
        <v>13</v>
      </c>
      <c r="G22809" s="0" t="s">
        <v>49</v>
      </c>
      <c r="H22809" s="5">
        <v>160.977200</v>
      </c>
    </row>
    <row r="22810" spans="1:9">
      <c r="A22810" s="22" t="str">
        <f>HYPERLINK("https://app.vivvix.com/360/KMI/IntelliDrive/ApplUI/Pages/CreativePages/CustomReportCreativeDetail.aspx?App=23&amp;ReportView=4&amp;Qid=1711279&amp;Row=22802&amp;Col=1","No Title Assigned - #15281412166")</f>
        <v/>
      </c>
      <c r="B22810" s="0" t="s">
        <v>30453</v>
      </c>
      <c r="C22810" s="0" t="s">
        <v>30454</v>
      </c>
      <c r="D22810" s="0" t="s">
        <v>11825</v>
      </c>
      <c r="E22810" s="0" t="inlineStr">
        <is>
          <t xml:space="preserve">Mazda</t>
        </is>
      </c>
      <c r="F22810" s="0" t="s">
        <v>13</v>
      </c>
      <c r="G22810" s="0" t="s">
        <v>49</v>
      </c>
      <c r="H22810" s="5">
        <v>2.149000</v>
      </c>
    </row>
    <row r="22811" spans="1:9">
      <c r="A22811" s="22" t="str">
        <f>HYPERLINK("https://app.vivvix.com/360/KMI/IntelliDrive/ApplUI/Pages/CreativePages/CustomReportCreativeDetail.aspx?App=23&amp;ReportView=4&amp;Qid=1711279&amp;Row=22803&amp;Col=1","No Title Assigned - #15281412297")</f>
        <v/>
      </c>
      <c r="B22811" s="0" t="s">
        <v>30455</v>
      </c>
      <c r="E22811" s="0" t="inlineStr">
        <is>
          <t xml:space="preserve">Mazda</t>
        </is>
      </c>
      <c r="F22811" s="0" t="s">
        <v>13</v>
      </c>
      <c r="G22811" s="0" t="s">
        <v>49</v>
      </c>
      <c r="H22811" s="5">
        <v>109.914600</v>
      </c>
    </row>
    <row r="22812" spans="1:9">
      <c r="A22812" s="22" t="str">
        <f>HYPERLINK("https://app.vivvix.com/360/KMI/IntelliDrive/ApplUI/Pages/CreativePages/CustomReportCreativeDetail.aspx?App=23&amp;ReportView=4&amp;Qid=1711279&amp;Row=22804&amp;Col=1","No Title Assigned - #15281414918")</f>
        <v/>
      </c>
      <c r="B22812" s="0" t="s">
        <v>30456</v>
      </c>
      <c r="C22812" s="0" t="s">
        <v>30457</v>
      </c>
      <c r="D22812" s="0" t="s">
        <v>30457</v>
      </c>
      <c r="E22812" s="0" t="inlineStr">
        <is>
          <t xml:space="preserve">Mazda</t>
        </is>
      </c>
      <c r="F22812" s="0" t="s">
        <v>13</v>
      </c>
      <c r="G22812" s="0" t="s">
        <v>49</v>
      </c>
      <c r="H22812" s="5">
        <v>538.461500</v>
      </c>
    </row>
    <row r="22813" spans="1:9">
      <c r="A22813" s="22" t="str">
        <f>HYPERLINK("https://app.vivvix.com/360/KMI/IntelliDrive/ApplUI/Pages/CreativePages/CustomReportCreativeDetail.aspx?App=23&amp;ReportView=4&amp;Qid=1711279&amp;Row=22805&amp;Col=1","No Title Assigned - #15281415298")</f>
        <v/>
      </c>
      <c r="B22813" s="0" t="s">
        <v>30458</v>
      </c>
      <c r="C22813" s="0" t="s">
        <v>30459</v>
      </c>
      <c r="D22813" s="0" t="s">
        <v>11469</v>
      </c>
      <c r="E22813" s="0" t="inlineStr">
        <is>
          <t xml:space="preserve">Mazda</t>
        </is>
      </c>
      <c r="F22813" s="0" t="s">
        <v>13</v>
      </c>
      <c r="G22813" s="0" t="s">
        <v>49</v>
      </c>
      <c r="H22813" s="5">
        <v>601.818500</v>
      </c>
    </row>
    <row r="22814" spans="1:9">
      <c r="A22814" s="22" t="str">
        <f>HYPERLINK("https://app.vivvix.com/360/KMI/IntelliDrive/ApplUI/Pages/CreativePages/CustomReportCreativeDetail.aspx?App=23&amp;ReportView=4&amp;Qid=1711279&amp;Row=22806&amp;Col=1","No Title Assigned - #15281418151")</f>
        <v/>
      </c>
      <c r="B22814" s="0" t="s">
        <v>30460</v>
      </c>
      <c r="E22814" s="0" t="inlineStr">
        <is>
          <t xml:space="preserve">Mazda</t>
        </is>
      </c>
      <c r="F22814" s="0" t="inlineStr">
        <is>
          <t xml:space="preserve">Mazda</t>
        </is>
      </c>
      <c r="G22814" s="0" t="s">
        <v>171</v>
      </c>
      <c r="H22814" s="5">
        <v>906.775500</v>
      </c>
    </row>
    <row r="22815" spans="1:9">
      <c r="A22815" s="22" t="str">
        <f>HYPERLINK("https://app.vivvix.com/360/KMI/IntelliDrive/ApplUI/Pages/CreativePages/CustomReportCreativeDetail.aspx?App=23&amp;ReportView=4&amp;Qid=1711279&amp;Row=22807&amp;Col=1","No Title Assigned - #15281418151")</f>
        <v/>
      </c>
      <c r="B22815" s="0" t="s">
        <v>30460</v>
      </c>
      <c r="E22815" s="0" t="inlineStr">
        <is>
          <t xml:space="preserve">Mazda</t>
        </is>
      </c>
      <c r="F22815" s="0" t="inlineStr">
        <is>
          <t xml:space="preserve">Mazda</t>
        </is>
      </c>
      <c r="G22815" s="0" t="s">
        <v>171</v>
      </c>
      <c r="H22815" s="5">
        <v>1271.353900</v>
      </c>
    </row>
    <row r="22816" spans="1:9">
      <c r="A22816" s="22" t="str">
        <f>HYPERLINK("https://app.vivvix.com/360/KMI/IntelliDrive/ApplUI/Pages/CreativePages/CustomReportCreativeDetail.aspx?App=23&amp;ReportView=4&amp;Qid=1711279&amp;Row=22808&amp;Col=1","No Title Assigned - #15281418793")</f>
        <v/>
      </c>
      <c r="B22816" s="0" t="s">
        <v>30461</v>
      </c>
      <c r="E22816" s="0" t="inlineStr">
        <is>
          <t xml:space="preserve">Mazda</t>
        </is>
      </c>
      <c r="F22816" s="0" t="inlineStr">
        <is>
          <t xml:space="preserve">Mazda</t>
        </is>
      </c>
      <c r="G22816" s="0" t="s">
        <v>171</v>
      </c>
      <c r="H22816" s="5">
        <v>901.030500</v>
      </c>
    </row>
    <row r="22817" spans="1:9">
      <c r="A22817" s="22" t="str">
        <f>HYPERLINK("https://app.vivvix.com/360/KMI/IntelliDrive/ApplUI/Pages/CreativePages/CustomReportCreativeDetail.aspx?App=23&amp;ReportView=4&amp;Qid=1711279&amp;Row=22809&amp;Col=1","No Title Assigned - #15281418963")</f>
        <v/>
      </c>
      <c r="B22817" s="0" t="s">
        <v>30462</v>
      </c>
      <c r="E22817" s="0" t="inlineStr">
        <is>
          <t xml:space="preserve">Mazda</t>
        </is>
      </c>
      <c r="F22817" s="0" t="inlineStr">
        <is>
          <t xml:space="preserve">Mazda</t>
        </is>
      </c>
      <c r="G22817" s="0" t="s">
        <v>171</v>
      </c>
      <c r="H22817" s="5">
        <v>87.445800</v>
      </c>
    </row>
    <row r="22818" spans="1:9">
      <c r="A22818" s="22" t="str">
        <f>HYPERLINK("https://app.vivvix.com/360/KMI/IntelliDrive/ApplUI/Pages/CreativePages/CustomReportCreativeDetail.aspx?App=23&amp;ReportView=4&amp;Qid=1711279&amp;Row=22810&amp;Col=1","No Title Assigned - #15281419094")</f>
        <v/>
      </c>
      <c r="B22818" s="0" t="s">
        <v>30463</v>
      </c>
      <c r="C22818" s="0" t="s">
        <v>30464</v>
      </c>
      <c r="D22818" s="0" t="s">
        <v>30464</v>
      </c>
      <c r="E22818" s="0" t="inlineStr">
        <is>
          <t xml:space="preserve">Mazda</t>
        </is>
      </c>
      <c r="F22818" s="0" t="inlineStr">
        <is>
          <t xml:space="preserve">Mazda</t>
        </is>
      </c>
      <c r="G22818" s="0" t="s">
        <v>171</v>
      </c>
      <c r="H22818" s="5">
        <v>109.781000</v>
      </c>
    </row>
    <row r="22819" spans="1:9">
      <c r="A22819" s="22" t="str">
        <f>HYPERLINK("https://app.vivvix.com/360/KMI/IntelliDrive/ApplUI/Pages/CreativePages/CustomReportCreativeDetail.aspx?App=23&amp;ReportView=4&amp;Qid=1711279&amp;Row=22811&amp;Col=1","No Title Assigned - #15281419484")</f>
        <v/>
      </c>
      <c r="B22819" s="0" t="s">
        <v>30465</v>
      </c>
      <c r="E22819" s="0" t="inlineStr">
        <is>
          <t xml:space="preserve">Mazda</t>
        </is>
      </c>
      <c r="F22819" s="0" t="inlineStr">
        <is>
          <t xml:space="preserve">Mazda</t>
        </is>
      </c>
      <c r="G22819" s="0" t="s">
        <v>171</v>
      </c>
      <c r="H22819" s="5">
        <v>155.706400</v>
      </c>
    </row>
    <row r="22820" spans="1:9">
      <c r="A22820" s="22" t="str">
        <f>HYPERLINK("https://app.vivvix.com/360/KMI/IntelliDrive/ApplUI/Pages/CreativePages/CustomReportCreativeDetail.aspx?App=23&amp;ReportView=4&amp;Qid=1711279&amp;Row=22812&amp;Col=1","No Title Assigned - #15281420105")</f>
        <v/>
      </c>
      <c r="B22820" s="0" t="s">
        <v>30466</v>
      </c>
      <c r="E22820" s="0" t="inlineStr">
        <is>
          <t xml:space="preserve">Mazda</t>
        </is>
      </c>
      <c r="F22820" s="0" t="inlineStr">
        <is>
          <t xml:space="preserve">Mazda</t>
        </is>
      </c>
      <c r="G22820" s="0" t="s">
        <v>171</v>
      </c>
      <c r="H22820" s="5">
        <v>4272.802400</v>
      </c>
    </row>
    <row r="22821" spans="1:9">
      <c r="A22821" s="22" t="str">
        <f>HYPERLINK("https://app.vivvix.com/360/KMI/IntelliDrive/ApplUI/Pages/CreativePages/CustomReportCreativeDetail.aspx?App=23&amp;ReportView=4&amp;Qid=1711279&amp;Row=22813&amp;Col=1","No Title Assigned - #15281421241")</f>
        <v/>
      </c>
      <c r="B22821" s="0" t="s">
        <v>30467</v>
      </c>
      <c r="E22821" s="0" t="inlineStr">
        <is>
          <t xml:space="preserve">Mazda</t>
        </is>
      </c>
      <c r="F22821" s="0" t="inlineStr">
        <is>
          <t xml:space="preserve">Mazda</t>
        </is>
      </c>
      <c r="G22821" s="0" t="s">
        <v>171</v>
      </c>
      <c r="H22821" s="5">
        <v>1.652300</v>
      </c>
    </row>
    <row r="22822" spans="1:9">
      <c r="A22822" s="22" t="str">
        <f>HYPERLINK("https://app.vivvix.com/360/KMI/IntelliDrive/ApplUI/Pages/CreativePages/CustomReportCreativeDetail.aspx?App=23&amp;ReportView=4&amp;Qid=1711279&amp;Row=22814&amp;Col=1","No Title Assigned - #15281421718")</f>
        <v/>
      </c>
      <c r="B22822" s="0" t="s">
        <v>30468</v>
      </c>
      <c r="E22822" s="0" t="inlineStr">
        <is>
          <t xml:space="preserve">Mazda</t>
        </is>
      </c>
      <c r="F22822" s="0" t="inlineStr">
        <is>
          <t xml:space="preserve">Mazda</t>
        </is>
      </c>
      <c r="G22822" s="0" t="s">
        <v>171</v>
      </c>
      <c r="H22822" s="5">
        <v>493.436000</v>
      </c>
    </row>
    <row r="22823" spans="1:9">
      <c r="A22823" s="22" t="str">
        <f>HYPERLINK("https://app.vivvix.com/360/KMI/IntelliDrive/ApplUI/Pages/CreativePages/CustomReportCreativeDetail.aspx?App=23&amp;ReportView=4&amp;Qid=1711279&amp;Row=22815&amp;Col=1","No Title Assigned - #15281421909")</f>
        <v/>
      </c>
      <c r="B22823" s="0" t="s">
        <v>30469</v>
      </c>
      <c r="E22823" s="0" t="inlineStr">
        <is>
          <t xml:space="preserve">Mazda</t>
        </is>
      </c>
      <c r="F22823" s="0" t="inlineStr">
        <is>
          <t xml:space="preserve">Mazda</t>
        </is>
      </c>
      <c r="G22823" s="0" t="s">
        <v>171</v>
      </c>
      <c r="H22823" s="5">
        <v>487.919500</v>
      </c>
    </row>
    <row r="22824" spans="1:9">
      <c r="A22824" s="22" t="str">
        <f>HYPERLINK("https://app.vivvix.com/360/KMI/IntelliDrive/ApplUI/Pages/CreativePages/CustomReportCreativeDetail.aspx?App=23&amp;ReportView=4&amp;Qid=1711279&amp;Row=22816&amp;Col=1","No Title Assigned - #15281422427")</f>
        <v/>
      </c>
      <c r="B22824" s="0" t="s">
        <v>30470</v>
      </c>
      <c r="E22824" s="0" t="inlineStr">
        <is>
          <t xml:space="preserve">Mazda</t>
        </is>
      </c>
      <c r="F22824" s="0" t="inlineStr">
        <is>
          <t xml:space="preserve">Mazda</t>
        </is>
      </c>
      <c r="G22824" s="0" t="s">
        <v>171</v>
      </c>
      <c r="H22824" s="5">
        <v>443.514500</v>
      </c>
    </row>
    <row r="22825" spans="1:9">
      <c r="A22825" s="22" t="str">
        <f>HYPERLINK("https://app.vivvix.com/360/KMI/IntelliDrive/ApplUI/Pages/CreativePages/CustomReportCreativeDetail.aspx?App=23&amp;ReportView=4&amp;Qid=1711279&amp;Row=22817&amp;Col=1","No Title Assigned - #15281432379")</f>
        <v/>
      </c>
      <c r="B22825" s="0" t="s">
        <v>30471</v>
      </c>
      <c r="E22825" s="0" t="inlineStr">
        <is>
          <t xml:space="preserve">Mazda</t>
        </is>
      </c>
      <c r="F22825" s="0" t="inlineStr">
        <is>
          <t xml:space="preserve">Mazda</t>
        </is>
      </c>
      <c r="G22825" s="0" t="s">
        <v>171</v>
      </c>
      <c r="H22825" s="5">
        <v>1.652300</v>
      </c>
    </row>
    <row r="22826" spans="1:9">
      <c r="A22826" s="22" t="str">
        <f>HYPERLINK("https://app.vivvix.com/360/KMI/IntelliDrive/ApplUI/Pages/CreativePages/CustomReportCreativeDetail.aspx?App=23&amp;ReportView=4&amp;Qid=1711279&amp;Row=22818&amp;Col=1","No Title Assigned - #15281433038")</f>
        <v/>
      </c>
      <c r="B22826" s="0" t="s">
        <v>30472</v>
      </c>
      <c r="E22826" s="0" t="inlineStr">
        <is>
          <t xml:space="preserve">Mazda</t>
        </is>
      </c>
      <c r="F22826" s="0" t="inlineStr">
        <is>
          <t xml:space="preserve">Mazda</t>
        </is>
      </c>
      <c r="G22826" s="0" t="s">
        <v>171</v>
      </c>
      <c r="H22826" s="5">
        <v>414.995300</v>
      </c>
    </row>
    <row r="22827" spans="1:9">
      <c r="A22827" s="22" t="str">
        <f>HYPERLINK("https://app.vivvix.com/360/KMI/IntelliDrive/ApplUI/Pages/CreativePages/CustomReportCreativeDetail.aspx?App=23&amp;ReportView=4&amp;Qid=1711279&amp;Row=22819&amp;Col=1","No Title Assigned - #15281433813")</f>
        <v/>
      </c>
      <c r="B22827" s="0" t="s">
        <v>30473</v>
      </c>
      <c r="E22827" s="0" t="inlineStr">
        <is>
          <t xml:space="preserve">Mazda</t>
        </is>
      </c>
      <c r="F22827" s="0" t="inlineStr">
        <is>
          <t xml:space="preserve">Mazda</t>
        </is>
      </c>
      <c r="G22827" s="0" t="s">
        <v>171</v>
      </c>
      <c r="H22827" s="5">
        <v>19.813500</v>
      </c>
    </row>
    <row r="22828" spans="1:9">
      <c r="A22828" s="22" t="str">
        <f>HYPERLINK("https://app.vivvix.com/360/KMI/IntelliDrive/ApplUI/Pages/CreativePages/CustomReportCreativeDetail.aspx?App=23&amp;ReportView=4&amp;Qid=1711279&amp;Row=22820&amp;Col=1","No Title Assigned - #15281434156")</f>
        <v/>
      </c>
      <c r="B22828" s="0" t="s">
        <v>30474</v>
      </c>
      <c r="E22828" s="0" t="inlineStr">
        <is>
          <t xml:space="preserve">Mazda</t>
        </is>
      </c>
      <c r="F22828" s="0" t="inlineStr">
        <is>
          <t xml:space="preserve">Mazda</t>
        </is>
      </c>
      <c r="G22828" s="0" t="s">
        <v>171</v>
      </c>
      <c r="H22828" s="5">
        <v>206.870000</v>
      </c>
    </row>
    <row r="22829" spans="1:9">
      <c r="A22829" s="22" t="str">
        <f>HYPERLINK("https://app.vivvix.com/360/KMI/IntelliDrive/ApplUI/Pages/CreativePages/CustomReportCreativeDetail.aspx?App=23&amp;ReportView=4&amp;Qid=1711279&amp;Row=22821&amp;Col=1","No Title Assigned - #15281442630")</f>
        <v/>
      </c>
      <c r="B22829" s="0" t="s">
        <v>30475</v>
      </c>
      <c r="E22829" s="0" t="inlineStr">
        <is>
          <t xml:space="preserve">Mazda</t>
        </is>
      </c>
      <c r="F22829" s="0" t="inlineStr">
        <is>
          <t xml:space="preserve">Mazda</t>
        </is>
      </c>
      <c r="G22829" s="0" t="s">
        <v>171</v>
      </c>
      <c r="H22829" s="5">
        <v>15102.097200</v>
      </c>
    </row>
    <row r="22830" spans="1:9">
      <c r="A22830" s="22" t="str">
        <f>HYPERLINK("https://app.vivvix.com/360/KMI/IntelliDrive/ApplUI/Pages/CreativePages/CustomReportCreativeDetail.aspx?App=23&amp;ReportView=4&amp;Qid=1711279&amp;Row=22822&amp;Col=1","No Title Assigned - #15281442630")</f>
        <v/>
      </c>
      <c r="B22830" s="0" t="s">
        <v>30475</v>
      </c>
      <c r="E22830" s="0" t="inlineStr">
        <is>
          <t xml:space="preserve">Mazda</t>
        </is>
      </c>
      <c r="F22830" s="0" t="inlineStr">
        <is>
          <t xml:space="preserve">Mazda</t>
        </is>
      </c>
      <c r="G22830" s="0" t="s">
        <v>171</v>
      </c>
      <c r="H22830" s="5">
        <v>1168.894500</v>
      </c>
    </row>
    <row r="22831" spans="1:9">
      <c r="A22831" s="22" t="str">
        <f>HYPERLINK("https://app.vivvix.com/360/KMI/IntelliDrive/ApplUI/Pages/CreativePages/CustomReportCreativeDetail.aspx?App=23&amp;ReportView=4&amp;Qid=1711279&amp;Row=22823&amp;Col=1","No Title Assigned - #15281443144")</f>
        <v/>
      </c>
      <c r="B22831" s="0" t="s">
        <v>30476</v>
      </c>
      <c r="C22831" s="0" t="s">
        <v>30477</v>
      </c>
      <c r="D22831" s="0" t="s">
        <v>30477</v>
      </c>
      <c r="E22831" s="0" t="inlineStr">
        <is>
          <t xml:space="preserve">Mazda</t>
        </is>
      </c>
      <c r="F22831" s="0" t="inlineStr">
        <is>
          <t xml:space="preserve">Mazda</t>
        </is>
      </c>
      <c r="G22831" s="0" t="s">
        <v>171</v>
      </c>
      <c r="H22831" s="5">
        <v>4393.721500</v>
      </c>
    </row>
    <row r="22832" spans="1:9">
      <c r="A22832" s="22" t="str">
        <f>HYPERLINK("https://app.vivvix.com/360/KMI/IntelliDrive/ApplUI/Pages/CreativePages/CustomReportCreativeDetail.aspx?App=23&amp;ReportView=4&amp;Qid=1711279&amp;Row=22824&amp;Col=1","No Title Assigned - #15281443144")</f>
        <v/>
      </c>
      <c r="B22832" s="0" t="s">
        <v>30476</v>
      </c>
      <c r="E22832" s="0" t="inlineStr">
        <is>
          <t xml:space="preserve">Mazda</t>
        </is>
      </c>
      <c r="F22832" s="0" t="inlineStr">
        <is>
          <t xml:space="preserve">Mazda</t>
        </is>
      </c>
      <c r="G22832" s="0" t="s">
        <v>171</v>
      </c>
      <c r="H22832" s="5">
        <v>8144.524200</v>
      </c>
    </row>
    <row r="22833" spans="1:9">
      <c r="A22833" s="22" t="str">
        <f>HYPERLINK("https://app.vivvix.com/360/KMI/IntelliDrive/ApplUI/Pages/CreativePages/CustomReportCreativeDetail.aspx?App=23&amp;ReportView=4&amp;Qid=1711279&amp;Row=22825&amp;Col=1","No Title Assigned - #15281444119")</f>
        <v/>
      </c>
      <c r="B22833" s="0" t="s">
        <v>30478</v>
      </c>
      <c r="E22833" s="0" t="inlineStr">
        <is>
          <t xml:space="preserve">Mazda</t>
        </is>
      </c>
      <c r="F22833" s="0" t="inlineStr">
        <is>
          <t xml:space="preserve">Mazda</t>
        </is>
      </c>
      <c r="G22833" s="0" t="s">
        <v>171</v>
      </c>
      <c r="H22833" s="5">
        <v>67.194300</v>
      </c>
    </row>
    <row r="22834" spans="1:9">
      <c r="A22834" s="22" t="str">
        <f>HYPERLINK("https://app.vivvix.com/360/KMI/IntelliDrive/ApplUI/Pages/CreativePages/CustomReportCreativeDetail.aspx?App=23&amp;ReportView=4&amp;Qid=1711279&amp;Row=22826&amp;Col=1","No Title Assigned - #15281444198")</f>
        <v/>
      </c>
      <c r="B22834" s="0" t="s">
        <v>30479</v>
      </c>
      <c r="E22834" s="0" t="inlineStr">
        <is>
          <t xml:space="preserve">Mazda</t>
        </is>
      </c>
      <c r="F22834" s="0" t="inlineStr">
        <is>
          <t xml:space="preserve">Mazda</t>
        </is>
      </c>
      <c r="G22834" s="0" t="s">
        <v>171</v>
      </c>
      <c r="H22834" s="5">
        <v>9.120500</v>
      </c>
    </row>
    <row r="22835" spans="1:9">
      <c r="A22835" s="22" t="str">
        <f>HYPERLINK("https://app.vivvix.com/360/KMI/IntelliDrive/ApplUI/Pages/CreativePages/CustomReportCreativeDetail.aspx?App=23&amp;ReportView=4&amp;Qid=1711279&amp;Row=22827&amp;Col=1","No Title Assigned - #15281445693")</f>
        <v/>
      </c>
      <c r="B22835" s="0" t="s">
        <v>30480</v>
      </c>
      <c r="C22835" s="0" t="s">
        <v>30481</v>
      </c>
      <c r="D22835" s="0" t="s">
        <v>30482</v>
      </c>
      <c r="E22835" s="0" t="inlineStr">
        <is>
          <t xml:space="preserve">Mazda</t>
        </is>
      </c>
      <c r="F22835" s="0" t="s">
        <v>28</v>
      </c>
      <c r="G22835" s="0" t="s">
        <v>29</v>
      </c>
      <c r="H22835" s="5">
        <v>230.123200</v>
      </c>
    </row>
    <row r="22836" spans="1:9">
      <c r="A22836" s="22" t="str">
        <f>HYPERLINK("https://app.vivvix.com/360/KMI/IntelliDrive/ApplUI/Pages/CreativePages/CustomReportCreativeDetail.aspx?App=23&amp;ReportView=4&amp;Qid=1711279&amp;Row=22828&amp;Col=1","No Title Assigned - #15281445964")</f>
        <v/>
      </c>
      <c r="B22836" s="0" t="s">
        <v>30483</v>
      </c>
      <c r="C22836" s="0" t="s">
        <v>30484</v>
      </c>
      <c r="D22836" s="0" t="s">
        <v>30484</v>
      </c>
      <c r="E22836" s="0" t="inlineStr">
        <is>
          <t xml:space="preserve">Mazda</t>
        </is>
      </c>
      <c r="F22836" s="0" t="s">
        <v>28</v>
      </c>
      <c r="G22836" s="0" t="s">
        <v>29</v>
      </c>
      <c r="H22836" s="5">
        <v>746.198400</v>
      </c>
    </row>
    <row r="22837" spans="1:9">
      <c r="A22837" s="22" t="str">
        <f>HYPERLINK("https://app.vivvix.com/360/KMI/IntelliDrive/ApplUI/Pages/CreativePages/CustomReportCreativeDetail.aspx?App=23&amp;ReportView=4&amp;Qid=1711279&amp;Row=22829&amp;Col=1","No Title Assigned - #15281447430")</f>
        <v/>
      </c>
      <c r="B22837" s="0" t="s">
        <v>30485</v>
      </c>
      <c r="E22837" s="0" t="inlineStr">
        <is>
          <t xml:space="preserve">Mazda</t>
        </is>
      </c>
      <c r="F22837" s="0" t="inlineStr">
        <is>
          <t xml:space="preserve">Mazda</t>
        </is>
      </c>
      <c r="G22837" s="0" t="s">
        <v>171</v>
      </c>
      <c r="H22837" s="5">
        <v>6584.415200</v>
      </c>
    </row>
    <row r="22838" spans="1:9">
      <c r="A22838" s="22" t="str">
        <f>HYPERLINK("https://app.vivvix.com/360/KMI/IntelliDrive/ApplUI/Pages/CreativePages/CustomReportCreativeDetail.aspx?App=23&amp;ReportView=4&amp;Qid=1711279&amp;Row=22830&amp;Col=1","No Title Assigned - #15281447481")</f>
        <v/>
      </c>
      <c r="B22838" s="0" t="s">
        <v>30486</v>
      </c>
      <c r="E22838" s="0" t="inlineStr">
        <is>
          <t xml:space="preserve">Mazda</t>
        </is>
      </c>
      <c r="F22838" s="0" t="inlineStr">
        <is>
          <t xml:space="preserve">Mazda</t>
        </is>
      </c>
      <c r="G22838" s="0" t="s">
        <v>171</v>
      </c>
      <c r="H22838" s="5">
        <v>1197.491200</v>
      </c>
    </row>
    <row r="22839" spans="1:9">
      <c r="A22839" s="22" t="str">
        <f>HYPERLINK("https://app.vivvix.com/360/KMI/IntelliDrive/ApplUI/Pages/CreativePages/CustomReportCreativeDetail.aspx?App=23&amp;ReportView=4&amp;Qid=1711279&amp;Row=22831&amp;Col=1","No Title Assigned - #15281448253")</f>
        <v/>
      </c>
      <c r="B22839" s="0" t="s">
        <v>30487</v>
      </c>
      <c r="E22839" s="0" t="inlineStr">
        <is>
          <t xml:space="preserve">Mazda</t>
        </is>
      </c>
      <c r="F22839" s="0" t="inlineStr">
        <is>
          <t xml:space="preserve">Mazda</t>
        </is>
      </c>
      <c r="G22839" s="0" t="s">
        <v>171</v>
      </c>
      <c r="H22839" s="5">
        <v>22.177500</v>
      </c>
    </row>
    <row r="22840" spans="1:9">
      <c r="A22840" s="22" t="str">
        <f>HYPERLINK("https://app.vivvix.com/360/KMI/IntelliDrive/ApplUI/Pages/CreativePages/CustomReportCreativeDetail.aspx?App=23&amp;ReportView=4&amp;Qid=1711279&amp;Row=22832&amp;Col=1","No Title Assigned - #15281450763")</f>
        <v/>
      </c>
      <c r="B22840" s="0" t="s">
        <v>30488</v>
      </c>
      <c r="C22840" s="0" t="s">
        <v>30489</v>
      </c>
      <c r="D22840" s="0" t="s">
        <v>20972</v>
      </c>
      <c r="E22840" s="0" t="inlineStr">
        <is>
          <t xml:space="preserve">Mazda</t>
        </is>
      </c>
      <c r="F22840" s="0" t="s">
        <v>13</v>
      </c>
      <c r="G22840" s="0" t="s">
        <v>49</v>
      </c>
      <c r="H22840" s="5">
        <v>639.289600</v>
      </c>
    </row>
    <row r="22841" spans="1:9">
      <c r="A22841" s="22" t="str">
        <f>HYPERLINK("https://app.vivvix.com/360/KMI/IntelliDrive/ApplUI/Pages/CreativePages/CustomReportCreativeDetail.aspx?App=23&amp;ReportView=4&amp;Qid=1711279&amp;Row=22833&amp;Col=1","No Title Assigned - #15281452179")</f>
        <v/>
      </c>
      <c r="B22841" s="0" t="s">
        <v>30490</v>
      </c>
      <c r="C22841" s="0" t="s">
        <v>30482</v>
      </c>
      <c r="D22841" s="0" t="s">
        <v>30482</v>
      </c>
      <c r="E22841" s="0" t="inlineStr">
        <is>
          <t xml:space="preserve">Mazda</t>
        </is>
      </c>
      <c r="F22841" s="0" t="s">
        <v>28</v>
      </c>
      <c r="G22841" s="0" t="s">
        <v>29</v>
      </c>
      <c r="H22841" s="5">
        <v>300.943200</v>
      </c>
    </row>
    <row r="22842" spans="1:9">
      <c r="A22842" s="22" t="str">
        <f>HYPERLINK("https://app.vivvix.com/360/KMI/IntelliDrive/ApplUI/Pages/CreativePages/CustomReportCreativeDetail.aspx?App=23&amp;ReportView=4&amp;Qid=1711279&amp;Row=22834&amp;Col=1","No Title Assigned - #15281452182")</f>
        <v/>
      </c>
      <c r="B22842" s="0" t="s">
        <v>30491</v>
      </c>
      <c r="E22842" s="0" t="inlineStr">
        <is>
          <t xml:space="preserve">Mazda</t>
        </is>
      </c>
      <c r="F22842" s="0" t="inlineStr">
        <is>
          <t xml:space="preserve">Mazda</t>
        </is>
      </c>
      <c r="G22842" s="0" t="s">
        <v>171</v>
      </c>
      <c r="H22842" s="5">
        <v>190.249600</v>
      </c>
    </row>
    <row r="22843" spans="1:9">
      <c r="A22843" s="22" t="str">
        <f>HYPERLINK("https://app.vivvix.com/360/KMI/IntelliDrive/ApplUI/Pages/CreativePages/CustomReportCreativeDetail.aspx?App=23&amp;ReportView=4&amp;Qid=1711279&amp;Row=22835&amp;Col=1","No Title Assigned - #15281452384")</f>
        <v/>
      </c>
      <c r="B22843" s="0" t="s">
        <v>30492</v>
      </c>
      <c r="C22843" s="0" t="s">
        <v>30493</v>
      </c>
      <c r="D22843" s="0" t="s">
        <v>30493</v>
      </c>
      <c r="E22843" s="0" t="inlineStr">
        <is>
          <t xml:space="preserve">Mazda</t>
        </is>
      </c>
      <c r="F22843" s="0" t="s">
        <v>28</v>
      </c>
      <c r="G22843" s="0" t="s">
        <v>29</v>
      </c>
      <c r="H22843" s="5">
        <v>1038.226400</v>
      </c>
    </row>
    <row r="22844" spans="1:9">
      <c r="A22844" s="22" t="str">
        <f>HYPERLINK("https://app.vivvix.com/360/KMI/IntelliDrive/ApplUI/Pages/CreativePages/CustomReportCreativeDetail.aspx?App=23&amp;ReportView=4&amp;Qid=1711279&amp;Row=22836&amp;Col=1","No Title Assigned - #15281454638")</f>
        <v/>
      </c>
      <c r="B22844" s="0" t="s">
        <v>30494</v>
      </c>
      <c r="C22844" s="0" t="s">
        <v>30495</v>
      </c>
      <c r="D22844" s="0" t="s">
        <v>30495</v>
      </c>
      <c r="E22844" s="0" t="inlineStr">
        <is>
          <t xml:space="preserve">Mazda</t>
        </is>
      </c>
      <c r="F22844" s="0" t="s">
        <v>56</v>
      </c>
      <c r="G22844" s="0" t="s">
        <v>57</v>
      </c>
      <c r="H22844" s="5">
        <v>94.434400</v>
      </c>
    </row>
    <row r="22845" spans="1:9">
      <c r="A22845" s="22" t="str">
        <f>HYPERLINK("https://app.vivvix.com/360/KMI/IntelliDrive/ApplUI/Pages/CreativePages/CustomReportCreativeDetail.aspx?App=23&amp;ReportView=4&amp;Qid=1711279&amp;Row=22837&amp;Col=1","No Title Assigned - #15281455273")</f>
        <v/>
      </c>
      <c r="B22845" s="0" t="s">
        <v>30496</v>
      </c>
      <c r="C22845" s="0" t="s">
        <v>30497</v>
      </c>
      <c r="D22845" s="0" t="s">
        <v>30495</v>
      </c>
      <c r="E22845" s="0" t="inlineStr">
        <is>
          <t xml:space="preserve">Mazda</t>
        </is>
      </c>
      <c r="F22845" s="0" t="s">
        <v>56</v>
      </c>
      <c r="G22845" s="0" t="s">
        <v>57</v>
      </c>
      <c r="H22845" s="5">
        <v>944.344000</v>
      </c>
    </row>
    <row r="22846" spans="1:9">
      <c r="A22846" s="22" t="str">
        <f>HYPERLINK("https://app.vivvix.com/360/KMI/IntelliDrive/ApplUI/Pages/CreativePages/CustomReportCreativeDetail.aspx?App=23&amp;ReportView=4&amp;Qid=1711279&amp;Row=22838&amp;Col=1","No Title Assigned - #15281456260")</f>
        <v/>
      </c>
      <c r="B22846" s="0" t="s">
        <v>30498</v>
      </c>
      <c r="C22846" s="0" t="s">
        <v>30499</v>
      </c>
      <c r="D22846" s="0" t="s">
        <v>30499</v>
      </c>
      <c r="E22846" s="0" t="inlineStr">
        <is>
          <t xml:space="preserve">Mazda</t>
        </is>
      </c>
      <c r="F22846" s="0" t="s">
        <v>28</v>
      </c>
      <c r="G22846" s="0" t="s">
        <v>29</v>
      </c>
      <c r="H22846" s="5">
        <v>513.011400</v>
      </c>
    </row>
    <row r="22847" spans="1:9">
      <c r="A22847" s="22" t="str">
        <f>HYPERLINK("https://app.vivvix.com/360/KMI/IntelliDrive/ApplUI/Pages/CreativePages/CustomReportCreativeDetail.aspx?App=23&amp;ReportView=4&amp;Qid=1711279&amp;Row=22839&amp;Col=1","No Title Assigned - #15281457022")</f>
        <v/>
      </c>
      <c r="B22847" s="0" t="s">
        <v>30500</v>
      </c>
      <c r="C22847" s="0" t="s">
        <v>30501</v>
      </c>
      <c r="D22847" s="0" t="s">
        <v>30501</v>
      </c>
      <c r="E22847" s="0" t="inlineStr">
        <is>
          <t xml:space="preserve">Mazda</t>
        </is>
      </c>
      <c r="F22847" s="0" t="s">
        <v>13</v>
      </c>
      <c r="G22847" s="0" t="s">
        <v>49</v>
      </c>
      <c r="H22847" s="5">
        <v>204.977300</v>
      </c>
    </row>
    <row r="22848" spans="1:9">
      <c r="A22848" s="22" t="str">
        <f>HYPERLINK("https://app.vivvix.com/360/KMI/IntelliDrive/ApplUI/Pages/CreativePages/CustomReportCreativeDetail.aspx?App=23&amp;ReportView=4&amp;Qid=1711279&amp;Row=22840&amp;Col=1","No Title Assigned - #15281457317")</f>
        <v/>
      </c>
      <c r="B22848" s="0" t="s">
        <v>30502</v>
      </c>
      <c r="C22848" s="0" t="s">
        <v>30503</v>
      </c>
      <c r="D22848" s="0" t="s">
        <v>13101</v>
      </c>
      <c r="E22848" s="0" t="inlineStr">
        <is>
          <t xml:space="preserve">Mazda</t>
        </is>
      </c>
      <c r="F22848" s="0" t="s">
        <v>13</v>
      </c>
      <c r="G22848" s="0" t="s">
        <v>49</v>
      </c>
      <c r="H22848" s="5">
        <v>12.597800</v>
      </c>
    </row>
    <row r="22849" spans="1:9">
      <c r="A22849" s="22" t="str">
        <f>HYPERLINK("https://app.vivvix.com/360/KMI/IntelliDrive/ApplUI/Pages/CreativePages/CustomReportCreativeDetail.aspx?App=23&amp;ReportView=4&amp;Qid=1711279&amp;Row=22841&amp;Col=1","No Title Assigned - #15281459845")</f>
        <v/>
      </c>
      <c r="B22849" s="0" t="s">
        <v>30504</v>
      </c>
      <c r="C22849" s="0" t="s">
        <v>30505</v>
      </c>
      <c r="D22849" s="0" t="s">
        <v>30505</v>
      </c>
      <c r="E22849" s="0" t="inlineStr">
        <is>
          <t xml:space="preserve">Mazda</t>
        </is>
      </c>
      <c r="F22849" s="0" t="s">
        <v>13</v>
      </c>
      <c r="G22849" s="0" t="s">
        <v>49</v>
      </c>
      <c r="H22849" s="5">
        <v>1006.574000</v>
      </c>
    </row>
    <row r="22850" spans="1:9">
      <c r="A22850" s="22" t="str">
        <f>HYPERLINK("https://app.vivvix.com/360/KMI/IntelliDrive/ApplUI/Pages/CreativePages/CustomReportCreativeDetail.aspx?App=23&amp;ReportView=4&amp;Qid=1711279&amp;Row=22842&amp;Col=1","No Title Assigned - #15281461896")</f>
        <v/>
      </c>
      <c r="B22850" s="0" t="s">
        <v>30506</v>
      </c>
      <c r="C22850" s="0" t="s">
        <v>30507</v>
      </c>
      <c r="D22850" s="0" t="s">
        <v>30507</v>
      </c>
      <c r="E22850" s="0" t="inlineStr">
        <is>
          <t xml:space="preserve">Mazda</t>
        </is>
      </c>
      <c r="F22850" s="0" t="s">
        <v>56</v>
      </c>
      <c r="G22850" s="0" t="s">
        <v>57</v>
      </c>
      <c r="H22850" s="5">
        <v>424.954800</v>
      </c>
    </row>
    <row r="22851" spans="1:9">
      <c r="A22851" s="22" t="str">
        <f>HYPERLINK("https://app.vivvix.com/360/KMI/IntelliDrive/ApplUI/Pages/CreativePages/CustomReportCreativeDetail.aspx?App=23&amp;ReportView=4&amp;Qid=1711279&amp;Row=22843&amp;Col=1","No Title Assigned - #15281462564")</f>
        <v/>
      </c>
      <c r="B22851" s="0" t="s">
        <v>30508</v>
      </c>
      <c r="C22851" s="0" t="s">
        <v>30509</v>
      </c>
      <c r="D22851" s="0" t="s">
        <v>30509</v>
      </c>
      <c r="E22851" s="0" t="inlineStr">
        <is>
          <t xml:space="preserve">Mazda</t>
        </is>
      </c>
      <c r="F22851" s="0" t="s">
        <v>13</v>
      </c>
      <c r="G22851" s="0" t="s">
        <v>49</v>
      </c>
      <c r="H22851" s="5">
        <v>460.482900</v>
      </c>
    </row>
    <row r="22852" spans="1:9">
      <c r="A22852" s="22" t="str">
        <f>HYPERLINK("https://app.vivvix.com/360/KMI/IntelliDrive/ApplUI/Pages/CreativePages/CustomReportCreativeDetail.aspx?App=23&amp;ReportView=4&amp;Qid=1711279&amp;Row=22844&amp;Col=1","No Title Assigned - #15281463107")</f>
        <v/>
      </c>
      <c r="B22852" s="0" t="s">
        <v>30510</v>
      </c>
      <c r="C22852" s="0" t="s">
        <v>30511</v>
      </c>
      <c r="D22852" s="0" t="s">
        <v>30511</v>
      </c>
      <c r="E22852" s="0" t="inlineStr">
        <is>
          <t xml:space="preserve">Mazda</t>
        </is>
      </c>
      <c r="F22852" s="0" t="s">
        <v>13</v>
      </c>
      <c r="G22852" s="0" t="s">
        <v>49</v>
      </c>
      <c r="H22852" s="5">
        <v>276.153300</v>
      </c>
    </row>
    <row r="22853" spans="1:9">
      <c r="A22853" s="22" t="str">
        <f>HYPERLINK("https://app.vivvix.com/360/KMI/IntelliDrive/ApplUI/Pages/CreativePages/CustomReportCreativeDetail.aspx?App=23&amp;ReportView=4&amp;Qid=1711279&amp;Row=22845&amp;Col=1","No Title Assigned - #15281463258")</f>
        <v/>
      </c>
      <c r="B22853" s="0" t="s">
        <v>30512</v>
      </c>
      <c r="C22853" s="0" t="s">
        <v>30513</v>
      </c>
      <c r="D22853" s="0" t="s">
        <v>30513</v>
      </c>
      <c r="E22853" s="0" t="inlineStr">
        <is>
          <t xml:space="preserve">Mazda</t>
        </is>
      </c>
      <c r="F22853" s="0" t="s">
        <v>13</v>
      </c>
      <c r="G22853" s="0" t="s">
        <v>49</v>
      </c>
      <c r="H22853" s="5">
        <v>552.306600</v>
      </c>
    </row>
    <row r="22854" spans="1:9">
      <c r="A22854" s="22" t="str">
        <f>HYPERLINK("https://app.vivvix.com/360/KMI/IntelliDrive/ApplUI/Pages/CreativePages/CustomReportCreativeDetail.aspx?App=23&amp;ReportView=4&amp;Qid=1711279&amp;Row=22846&amp;Col=1","No Title Assigned - #15281463540")</f>
        <v/>
      </c>
      <c r="B22854" s="0" t="s">
        <v>30514</v>
      </c>
      <c r="C22854" s="0" t="s">
        <v>30515</v>
      </c>
      <c r="D22854" s="0" t="s">
        <v>30515</v>
      </c>
      <c r="E22854" s="0" t="inlineStr">
        <is>
          <t xml:space="preserve">Mazda</t>
        </is>
      </c>
      <c r="F22854" s="0" t="s">
        <v>13</v>
      </c>
      <c r="G22854" s="0" t="s">
        <v>49</v>
      </c>
      <c r="H22854" s="5">
        <v>46.293600</v>
      </c>
    </row>
    <row r="22855" spans="1:9">
      <c r="A22855" s="22" t="str">
        <f>HYPERLINK("https://app.vivvix.com/360/KMI/IntelliDrive/ApplUI/Pages/CreativePages/CustomReportCreativeDetail.aspx?App=23&amp;ReportView=4&amp;Qid=1711279&amp;Row=22847&amp;Col=1","No Title Assigned - #15281465498")</f>
        <v/>
      </c>
      <c r="B22855" s="0" t="s">
        <v>30516</v>
      </c>
      <c r="C22855" s="0" t="s">
        <v>30517</v>
      </c>
      <c r="D22855" s="0" t="s">
        <v>30517</v>
      </c>
      <c r="E22855" s="0" t="inlineStr">
        <is>
          <t xml:space="preserve">Mazda</t>
        </is>
      </c>
      <c r="F22855" s="0" t="s">
        <v>28</v>
      </c>
      <c r="G22855" s="0" t="s">
        <v>29</v>
      </c>
      <c r="H22855" s="5">
        <v>482.309400</v>
      </c>
    </row>
    <row r="22856" spans="1:9">
      <c r="A22856" s="22" t="str">
        <f>HYPERLINK("https://app.vivvix.com/360/KMI/IntelliDrive/ApplUI/Pages/CreativePages/CustomReportCreativeDetail.aspx?App=23&amp;ReportView=4&amp;Qid=1711279&amp;Row=22848&amp;Col=1","No Title Assigned - #15281465741")</f>
        <v/>
      </c>
      <c r="B22856" s="0" t="s">
        <v>30518</v>
      </c>
      <c r="C22856" s="0" t="s">
        <v>30519</v>
      </c>
      <c r="D22856" s="0" t="s">
        <v>9167</v>
      </c>
      <c r="E22856" s="0" t="inlineStr">
        <is>
          <t xml:space="preserve">Mazda</t>
        </is>
      </c>
      <c r="F22856" s="0" t="s">
        <v>13</v>
      </c>
      <c r="G22856" s="0" t="s">
        <v>49</v>
      </c>
      <c r="H22856" s="5">
        <v>5125.452600</v>
      </c>
    </row>
    <row r="22857" spans="1:9">
      <c r="A22857" s="22" t="str">
        <f>HYPERLINK("https://app.vivvix.com/360/KMI/IntelliDrive/ApplUI/Pages/CreativePages/CustomReportCreativeDetail.aspx?App=23&amp;ReportView=4&amp;Qid=1711279&amp;Row=22849&amp;Col=1","No Title Assigned - #15281466232")</f>
        <v/>
      </c>
      <c r="B22857" s="0" t="s">
        <v>30520</v>
      </c>
      <c r="E22857" s="0" t="inlineStr">
        <is>
          <t xml:space="preserve">Mazda</t>
        </is>
      </c>
      <c r="F22857" s="0" t="inlineStr">
        <is>
          <t xml:space="preserve">Mazda</t>
        </is>
      </c>
      <c r="G22857" s="0" t="s">
        <v>171</v>
      </c>
      <c r="H22857" s="5">
        <v>197.820000</v>
      </c>
    </row>
    <row r="22858" spans="1:9">
      <c r="A22858" s="22" t="str">
        <f>HYPERLINK("https://app.vivvix.com/360/KMI/IntelliDrive/ApplUI/Pages/CreativePages/CustomReportCreativeDetail.aspx?App=23&amp;ReportView=4&amp;Qid=1711279&amp;Row=22850&amp;Col=1","No Title Assigned - #15281466883")</f>
        <v/>
      </c>
      <c r="B22858" s="0" t="s">
        <v>30521</v>
      </c>
      <c r="C22858" s="0" t="s">
        <v>30522</v>
      </c>
      <c r="D22858" s="0" t="s">
        <v>30522</v>
      </c>
      <c r="E22858" s="0" t="inlineStr">
        <is>
          <t xml:space="preserve">Mazda</t>
        </is>
      </c>
      <c r="F22858" s="0" t="s">
        <v>17</v>
      </c>
      <c r="G22858" s="0" t="s">
        <v>33</v>
      </c>
      <c r="H22858" s="5">
        <v>819.819500</v>
      </c>
    </row>
    <row r="22859" spans="1:9">
      <c r="A22859" s="22" t="str">
        <f>HYPERLINK("https://app.vivvix.com/360/KMI/IntelliDrive/ApplUI/Pages/CreativePages/CustomReportCreativeDetail.aspx?App=23&amp;ReportView=4&amp;Qid=1711279&amp;Row=22851&amp;Col=1","No Title Assigned - #15281468728")</f>
        <v/>
      </c>
      <c r="B22859" s="0" t="s">
        <v>30523</v>
      </c>
      <c r="C22859" s="0" t="s">
        <v>30524</v>
      </c>
      <c r="D22859" s="0" t="s">
        <v>9167</v>
      </c>
      <c r="E22859" s="0" t="inlineStr">
        <is>
          <t xml:space="preserve">Mazda</t>
        </is>
      </c>
      <c r="F22859" s="0" t="s">
        <v>13</v>
      </c>
      <c r="G22859" s="0" t="s">
        <v>49</v>
      </c>
      <c r="H22859" s="5">
        <v>193.355000</v>
      </c>
    </row>
    <row r="22860" spans="1:9">
      <c r="A22860" s="22" t="str">
        <f>HYPERLINK("https://app.vivvix.com/360/KMI/IntelliDrive/ApplUI/Pages/CreativePages/CustomReportCreativeDetail.aspx?App=23&amp;ReportView=4&amp;Qid=1711279&amp;Row=22852&amp;Col=1","No Title Assigned - #15281469270")</f>
        <v/>
      </c>
      <c r="B22860" s="0" t="s">
        <v>30525</v>
      </c>
      <c r="C22860" s="0" t="s">
        <v>30526</v>
      </c>
      <c r="D22860" s="0" t="s">
        <v>15762</v>
      </c>
      <c r="E22860" s="0" t="inlineStr">
        <is>
          <t xml:space="preserve">Mazda</t>
        </is>
      </c>
      <c r="F22860" s="0" t="s">
        <v>13</v>
      </c>
      <c r="G22860" s="0" t="s">
        <v>49</v>
      </c>
      <c r="H22860" s="5">
        <v>178.742700</v>
      </c>
    </row>
    <row r="22861" spans="1:9">
      <c r="A22861" s="22" t="str">
        <f>HYPERLINK("https://app.vivvix.com/360/KMI/IntelliDrive/ApplUI/Pages/CreativePages/CustomReportCreativeDetail.aspx?App=23&amp;ReportView=4&amp;Qid=1711279&amp;Row=22853&amp;Col=1","No Title Assigned - #15281469359")</f>
        <v/>
      </c>
      <c r="B22861" s="0" t="s">
        <v>30527</v>
      </c>
      <c r="E22861" s="0" t="inlineStr">
        <is>
          <t xml:space="preserve">Mazda</t>
        </is>
      </c>
      <c r="F22861" s="0" t="inlineStr">
        <is>
          <t xml:space="preserve">Mazda</t>
        </is>
      </c>
      <c r="G22861" s="0" t="s">
        <v>30528</v>
      </c>
      <c r="H22861" s="5">
        <v>32.717700</v>
      </c>
    </row>
    <row r="22862" spans="1:9">
      <c r="A22862" s="22" t="str">
        <f>HYPERLINK("https://app.vivvix.com/360/KMI/IntelliDrive/ApplUI/Pages/CreativePages/CustomReportCreativeDetail.aspx?App=23&amp;ReportView=4&amp;Qid=1711279&amp;Row=22854&amp;Col=1","No Title Assigned - #15281469446")</f>
        <v/>
      </c>
      <c r="B22862" s="0" t="s">
        <v>30529</v>
      </c>
      <c r="C22862" s="0" t="s">
        <v>30530</v>
      </c>
      <c r="D22862" s="0" t="s">
        <v>11499</v>
      </c>
      <c r="E22862" s="0" t="inlineStr">
        <is>
          <t xml:space="preserve">Mazda</t>
        </is>
      </c>
      <c r="F22862" s="0" t="s">
        <v>13</v>
      </c>
      <c r="G22862" s="0" t="s">
        <v>49</v>
      </c>
      <c r="H22862" s="5">
        <v>206.509200</v>
      </c>
    </row>
    <row r="22863" spans="1:9">
      <c r="A22863" s="22" t="str">
        <f>HYPERLINK("https://app.vivvix.com/360/KMI/IntelliDrive/ApplUI/Pages/CreativePages/CustomReportCreativeDetail.aspx?App=23&amp;ReportView=4&amp;Qid=1711279&amp;Row=22855&amp;Col=1","No Title Assigned - #15281469618")</f>
        <v/>
      </c>
      <c r="B22863" s="0" t="s">
        <v>30531</v>
      </c>
      <c r="E22863" s="0" t="inlineStr">
        <is>
          <t xml:space="preserve">Mazda</t>
        </is>
      </c>
      <c r="F22863" s="0" t="s">
        <v>13</v>
      </c>
      <c r="G22863" s="0" t="s">
        <v>49</v>
      </c>
      <c r="H22863" s="5">
        <v>652.071800</v>
      </c>
    </row>
    <row r="22864" spans="1:9">
      <c r="A22864" s="22" t="str">
        <f>HYPERLINK("https://app.vivvix.com/360/KMI/IntelliDrive/ApplUI/Pages/CreativePages/CustomReportCreativeDetail.aspx?App=23&amp;ReportView=4&amp;Qid=1711279&amp;Row=22856&amp;Col=1","No Title Assigned - #15281471157")</f>
        <v/>
      </c>
      <c r="B22864" s="0" t="s">
        <v>30532</v>
      </c>
      <c r="C22864" s="0" t="s">
        <v>30533</v>
      </c>
      <c r="D22864" s="0" t="s">
        <v>30533</v>
      </c>
      <c r="E22864" s="0" t="inlineStr">
        <is>
          <t xml:space="preserve">Mazda</t>
        </is>
      </c>
      <c r="F22864" s="0" t="s">
        <v>13</v>
      </c>
      <c r="G22864" s="0" t="s">
        <v>49</v>
      </c>
      <c r="H22864" s="5">
        <v>493.413500</v>
      </c>
    </row>
    <row r="22865" spans="1:9">
      <c r="A22865" s="22" t="str">
        <f>HYPERLINK("https://app.vivvix.com/360/KMI/IntelliDrive/ApplUI/Pages/CreativePages/CustomReportCreativeDetail.aspx?App=23&amp;ReportView=4&amp;Qid=1711279&amp;Row=22857&amp;Col=1","No Title Assigned - #15281471228")</f>
        <v/>
      </c>
      <c r="B22865" s="0" t="s">
        <v>30534</v>
      </c>
      <c r="C22865" s="0" t="s">
        <v>30535</v>
      </c>
      <c r="D22865" s="0" t="s">
        <v>30535</v>
      </c>
      <c r="E22865" s="0" t="inlineStr">
        <is>
          <t xml:space="preserve">Mazda</t>
        </is>
      </c>
      <c r="F22865" s="0" t="s">
        <v>13</v>
      </c>
      <c r="G22865" s="0" t="s">
        <v>49</v>
      </c>
      <c r="H22865" s="5">
        <v>1256.214800</v>
      </c>
    </row>
    <row r="22866" spans="1:9">
      <c r="A22866" s="22" t="str">
        <f>HYPERLINK("https://app.vivvix.com/360/KMI/IntelliDrive/ApplUI/Pages/CreativePages/CustomReportCreativeDetail.aspx?App=23&amp;ReportView=4&amp;Qid=1711279&amp;Row=22858&amp;Col=1","No Title Assigned - #15281472129")</f>
        <v/>
      </c>
      <c r="B22866" s="0" t="s">
        <v>30536</v>
      </c>
      <c r="C22866" s="0" t="s">
        <v>30537</v>
      </c>
      <c r="D22866" s="0" t="s">
        <v>30537</v>
      </c>
      <c r="E22866" s="0" t="inlineStr">
        <is>
          <t xml:space="preserve">Mazda</t>
        </is>
      </c>
      <c r="F22866" s="0" t="s">
        <v>13</v>
      </c>
      <c r="G22866" s="0" t="s">
        <v>49</v>
      </c>
      <c r="H22866" s="5">
        <v>295.111200</v>
      </c>
    </row>
    <row r="22867" spans="1:9">
      <c r="A22867" s="22" t="str">
        <f>HYPERLINK("https://app.vivvix.com/360/KMI/IntelliDrive/ApplUI/Pages/CreativePages/CustomReportCreativeDetail.aspx?App=23&amp;ReportView=4&amp;Qid=1711279&amp;Row=22859&amp;Col=1","No Title Assigned - #15281473140")</f>
        <v/>
      </c>
      <c r="B22867" s="0" t="s">
        <v>30538</v>
      </c>
      <c r="E22867" s="0" t="inlineStr">
        <is>
          <t xml:space="preserve">Mazda</t>
        </is>
      </c>
      <c r="F22867" s="0" t="inlineStr">
        <is>
          <t xml:space="preserve">Mazda</t>
        </is>
      </c>
      <c r="G22867" s="0" t="s">
        <v>171</v>
      </c>
      <c r="H22867" s="5">
        <v>0.823600</v>
      </c>
    </row>
    <row r="22868" spans="1:9">
      <c r="A22868" s="22" t="str">
        <f>HYPERLINK("https://app.vivvix.com/360/KMI/IntelliDrive/ApplUI/Pages/CreativePages/CustomReportCreativeDetail.aspx?App=23&amp;ReportView=4&amp;Qid=1711279&amp;Row=22860&amp;Col=1","No Title Assigned - #15281475721")</f>
        <v/>
      </c>
      <c r="B22868" s="0" t="s">
        <v>30539</v>
      </c>
      <c r="E22868" s="0" t="inlineStr">
        <is>
          <t xml:space="preserve">Mazda</t>
        </is>
      </c>
      <c r="F22868" s="0" t="inlineStr">
        <is>
          <t xml:space="preserve">Mazda</t>
        </is>
      </c>
      <c r="G22868" s="0" t="s">
        <v>171</v>
      </c>
      <c r="H22868" s="5">
        <v>275.045000</v>
      </c>
    </row>
    <row r="22869" spans="1:9">
      <c r="A22869" s="22" t="str">
        <f>HYPERLINK("https://app.vivvix.com/360/KMI/IntelliDrive/ApplUI/Pages/CreativePages/CustomReportCreativeDetail.aspx?App=23&amp;ReportView=4&amp;Qid=1711279&amp;Row=22861&amp;Col=1","No Title Assigned - #15281475983")</f>
        <v/>
      </c>
      <c r="B22869" s="0" t="s">
        <v>30540</v>
      </c>
      <c r="C22869" s="0" t="s">
        <v>30541</v>
      </c>
      <c r="D22869" s="0" t="s">
        <v>30541</v>
      </c>
      <c r="E22869" s="0" t="inlineStr">
        <is>
          <t xml:space="preserve">Mazda</t>
        </is>
      </c>
      <c r="F22869" s="0" t="inlineStr">
        <is>
          <t xml:space="preserve">Mazda</t>
        </is>
      </c>
      <c r="G22869" s="0" t="s">
        <v>171</v>
      </c>
      <c r="H22869" s="5">
        <v>189.100300</v>
      </c>
    </row>
    <row r="22870" spans="1:9">
      <c r="A22870" s="22" t="str">
        <f>HYPERLINK("https://app.vivvix.com/360/KMI/IntelliDrive/ApplUI/Pages/CreativePages/CustomReportCreativeDetail.aspx?App=23&amp;ReportView=4&amp;Qid=1711279&amp;Row=22862&amp;Col=1","No Title Assigned - #15281476933")</f>
        <v/>
      </c>
      <c r="B22870" s="0" t="s">
        <v>30542</v>
      </c>
      <c r="C22870" s="0" t="s">
        <v>30543</v>
      </c>
      <c r="D22870" s="0" t="s">
        <v>30543</v>
      </c>
      <c r="E22870" s="0" t="inlineStr">
        <is>
          <t xml:space="preserve">Mazda</t>
        </is>
      </c>
      <c r="F22870" s="0" t="inlineStr">
        <is>
          <t xml:space="preserve">Mazda</t>
        </is>
      </c>
      <c r="G22870" s="0" t="s">
        <v>171</v>
      </c>
      <c r="H22870" s="5">
        <v>99.836400</v>
      </c>
    </row>
    <row r="22871" spans="1:9">
      <c r="A22871" s="22" t="str">
        <f>HYPERLINK("https://app.vivvix.com/360/KMI/IntelliDrive/ApplUI/Pages/CreativePages/CustomReportCreativeDetail.aspx?App=23&amp;ReportView=4&amp;Qid=1711279&amp;Row=22863&amp;Col=1","No Title Assigned - #15281478228")</f>
        <v/>
      </c>
      <c r="B22871" s="0" t="s">
        <v>30544</v>
      </c>
      <c r="E22871" s="0" t="inlineStr">
        <is>
          <t xml:space="preserve">Mazda</t>
        </is>
      </c>
      <c r="F22871" s="0" t="inlineStr">
        <is>
          <t xml:space="preserve">Mazda</t>
        </is>
      </c>
      <c r="G22871" s="0" t="s">
        <v>171</v>
      </c>
      <c r="H22871" s="5">
        <v>276.401800</v>
      </c>
    </row>
    <row r="22872" spans="1:9">
      <c r="A22872" s="22" t="str">
        <f>HYPERLINK("https://app.vivvix.com/360/KMI/IntelliDrive/ApplUI/Pages/CreativePages/CustomReportCreativeDetail.aspx?App=23&amp;ReportView=4&amp;Qid=1711279&amp;Row=22864&amp;Col=1","No Title Assigned - #15281478365")</f>
        <v/>
      </c>
      <c r="B22872" s="0" t="s">
        <v>30545</v>
      </c>
      <c r="E22872" s="0" t="inlineStr">
        <is>
          <t xml:space="preserve">Mazda</t>
        </is>
      </c>
      <c r="F22872" s="0" t="inlineStr">
        <is>
          <t xml:space="preserve">Mazda</t>
        </is>
      </c>
      <c r="G22872" s="0" t="s">
        <v>171</v>
      </c>
      <c r="H22872" s="5">
        <v>28.951300</v>
      </c>
    </row>
    <row r="22873" spans="1:9">
      <c r="A22873" s="22" t="str">
        <f>HYPERLINK("https://app.vivvix.com/360/KMI/IntelliDrive/ApplUI/Pages/CreativePages/CustomReportCreativeDetail.aspx?App=23&amp;ReportView=4&amp;Qid=1711279&amp;Row=22865&amp;Col=1","No Title Assigned - #15281478608")</f>
        <v/>
      </c>
      <c r="B22873" s="0" t="s">
        <v>30546</v>
      </c>
      <c r="E22873" s="0" t="inlineStr">
        <is>
          <t xml:space="preserve">Mazda</t>
        </is>
      </c>
      <c r="F22873" s="0" t="inlineStr">
        <is>
          <t xml:space="preserve">Mazda</t>
        </is>
      </c>
      <c r="G22873" s="0" t="s">
        <v>171</v>
      </c>
      <c r="H22873" s="5">
        <v>50.255800</v>
      </c>
    </row>
    <row r="22874" spans="1:9">
      <c r="A22874" s="22" t="str">
        <f>HYPERLINK("https://app.vivvix.com/360/KMI/IntelliDrive/ApplUI/Pages/CreativePages/CustomReportCreativeDetail.aspx?App=23&amp;ReportView=4&amp;Qid=1711279&amp;Row=22866&amp;Col=1","No Title Assigned - #15281478716")</f>
        <v/>
      </c>
      <c r="B22874" s="0" t="s">
        <v>30547</v>
      </c>
      <c r="E22874" s="0" t="inlineStr">
        <is>
          <t xml:space="preserve">Mazda</t>
        </is>
      </c>
      <c r="F22874" s="0" t="inlineStr">
        <is>
          <t xml:space="preserve">Mazda</t>
        </is>
      </c>
      <c r="G22874" s="0" t="s">
        <v>171</v>
      </c>
      <c r="H22874" s="5">
        <v>135.111200</v>
      </c>
    </row>
    <row r="22875" spans="1:9">
      <c r="A22875" s="22" t="str">
        <f>HYPERLINK("https://app.vivvix.com/360/KMI/IntelliDrive/ApplUI/Pages/CreativePages/CustomReportCreativeDetail.aspx?App=23&amp;ReportView=4&amp;Qid=1711279&amp;Row=22867&amp;Col=1","No Title Assigned - #15281479262")</f>
        <v/>
      </c>
      <c r="B22875" s="0" t="s">
        <v>30548</v>
      </c>
      <c r="E22875" s="0" t="inlineStr">
        <is>
          <t xml:space="preserve">Mazda</t>
        </is>
      </c>
      <c r="F22875" s="0" t="inlineStr">
        <is>
          <t xml:space="preserve">Mazda</t>
        </is>
      </c>
      <c r="G22875" s="0" t="s">
        <v>171</v>
      </c>
      <c r="H22875" s="5">
        <v>1.652300</v>
      </c>
    </row>
    <row r="22876" spans="1:9">
      <c r="A22876" s="22" t="str">
        <f>HYPERLINK("https://app.vivvix.com/360/KMI/IntelliDrive/ApplUI/Pages/CreativePages/CustomReportCreativeDetail.aspx?App=23&amp;ReportView=4&amp;Qid=1711279&amp;Row=22868&amp;Col=1","No Title Assigned - #15281479886")</f>
        <v/>
      </c>
      <c r="B22876" s="0" t="s">
        <v>30549</v>
      </c>
      <c r="E22876" s="0" t="inlineStr">
        <is>
          <t xml:space="preserve">Mazda</t>
        </is>
      </c>
      <c r="F22876" s="0" t="inlineStr">
        <is>
          <t xml:space="preserve">Mazda</t>
        </is>
      </c>
      <c r="G22876" s="0" t="s">
        <v>171</v>
      </c>
      <c r="H22876" s="5">
        <v>6.443400</v>
      </c>
    </row>
    <row r="22877" spans="1:9">
      <c r="A22877" s="22" t="str">
        <f>HYPERLINK("https://app.vivvix.com/360/KMI/IntelliDrive/ApplUI/Pages/CreativePages/CustomReportCreativeDetail.aspx?App=23&amp;ReportView=4&amp;Qid=1711279&amp;Row=22869&amp;Col=1","No Title Assigned - #15281480304")</f>
        <v/>
      </c>
      <c r="B22877" s="0" t="s">
        <v>30550</v>
      </c>
      <c r="E22877" s="0" t="inlineStr">
        <is>
          <t xml:space="preserve">Mazda</t>
        </is>
      </c>
      <c r="F22877" s="0" t="inlineStr">
        <is>
          <t xml:space="preserve">Mazda</t>
        </is>
      </c>
      <c r="G22877" s="0" t="s">
        <v>171</v>
      </c>
      <c r="H22877" s="5">
        <v>60.428100</v>
      </c>
    </row>
    <row r="22878" spans="1:9">
      <c r="A22878" s="22" t="str">
        <f>HYPERLINK("https://app.vivvix.com/360/KMI/IntelliDrive/ApplUI/Pages/CreativePages/CustomReportCreativeDetail.aspx?App=23&amp;ReportView=4&amp;Qid=1711279&amp;Row=22870&amp;Col=1","No Title Assigned - #15281480467")</f>
        <v/>
      </c>
      <c r="B22878" s="0" t="s">
        <v>30551</v>
      </c>
      <c r="E22878" s="0" t="inlineStr">
        <is>
          <t xml:space="preserve">Mazda</t>
        </is>
      </c>
      <c r="F22878" s="0" t="inlineStr">
        <is>
          <t xml:space="preserve">Mazda</t>
        </is>
      </c>
      <c r="G22878" s="0" t="s">
        <v>171</v>
      </c>
      <c r="H22878" s="5">
        <v>44.363300</v>
      </c>
    </row>
    <row r="22879" spans="1:9">
      <c r="A22879" s="22" t="str">
        <f>HYPERLINK("https://app.vivvix.com/360/KMI/IntelliDrive/ApplUI/Pages/CreativePages/CustomReportCreativeDetail.aspx?App=23&amp;ReportView=4&amp;Qid=1711279&amp;Row=22871&amp;Col=1","No Title Assigned - #15281480674")</f>
        <v/>
      </c>
      <c r="B22879" s="0" t="s">
        <v>30552</v>
      </c>
      <c r="E22879" s="0" t="inlineStr">
        <is>
          <t xml:space="preserve">Mazda</t>
        </is>
      </c>
      <c r="F22879" s="0" t="inlineStr">
        <is>
          <t xml:space="preserve">Mazda</t>
        </is>
      </c>
      <c r="G22879" s="0" t="s">
        <v>171</v>
      </c>
      <c r="H22879" s="5">
        <v>113.138900</v>
      </c>
    </row>
    <row r="22880" spans="1:9">
      <c r="A22880" s="22" t="str">
        <f>HYPERLINK("https://app.vivvix.com/360/KMI/IntelliDrive/ApplUI/Pages/CreativePages/CustomReportCreativeDetail.aspx?App=23&amp;ReportView=4&amp;Qid=1711279&amp;Row=22872&amp;Col=1","No Title Assigned - #15281480967")</f>
        <v/>
      </c>
      <c r="B22880" s="0" t="s">
        <v>30553</v>
      </c>
      <c r="E22880" s="0" t="inlineStr">
        <is>
          <t xml:space="preserve">Mazda</t>
        </is>
      </c>
      <c r="F22880" s="0" t="inlineStr">
        <is>
          <t xml:space="preserve">Mazda</t>
        </is>
      </c>
      <c r="G22880" s="0" t="s">
        <v>171</v>
      </c>
      <c r="H22880" s="5">
        <v>4718.437900</v>
      </c>
    </row>
    <row r="22881" spans="1:9">
      <c r="A22881" s="22" t="str">
        <f>HYPERLINK("https://app.vivvix.com/360/KMI/IntelliDrive/ApplUI/Pages/CreativePages/CustomReportCreativeDetail.aspx?App=23&amp;ReportView=4&amp;Qid=1711279&amp;Row=22873&amp;Col=1","No Title Assigned - #15281481048")</f>
        <v/>
      </c>
      <c r="B22881" s="0" t="s">
        <v>30554</v>
      </c>
      <c r="E22881" s="0" t="inlineStr">
        <is>
          <t xml:space="preserve">Mazda</t>
        </is>
      </c>
      <c r="F22881" s="0" t="inlineStr">
        <is>
          <t xml:space="preserve">Mazda</t>
        </is>
      </c>
      <c r="G22881" s="0" t="s">
        <v>171</v>
      </c>
      <c r="H22881" s="5">
        <v>162.206400</v>
      </c>
    </row>
    <row r="22882" spans="1:9">
      <c r="A22882" s="22" t="str">
        <f>HYPERLINK("https://app.vivvix.com/360/KMI/IntelliDrive/ApplUI/Pages/CreativePages/CustomReportCreativeDetail.aspx?App=23&amp;ReportView=4&amp;Qid=1711279&amp;Row=22874&amp;Col=1","No Title Assigned - #15281481060")</f>
        <v/>
      </c>
      <c r="B22882" s="0" t="s">
        <v>30555</v>
      </c>
      <c r="C22882" s="0" t="s">
        <v>30556</v>
      </c>
      <c r="D22882" s="0" t="s">
        <v>30556</v>
      </c>
      <c r="E22882" s="0" t="inlineStr">
        <is>
          <t xml:space="preserve">Mazda</t>
        </is>
      </c>
      <c r="F22882" s="0" t="inlineStr">
        <is>
          <t xml:space="preserve">Mazda</t>
        </is>
      </c>
      <c r="G22882" s="0" t="s">
        <v>171</v>
      </c>
      <c r="H22882" s="5">
        <v>1046.471800</v>
      </c>
    </row>
    <row r="22883" spans="1:9">
      <c r="A22883" s="22" t="str">
        <f>HYPERLINK("https://app.vivvix.com/360/KMI/IntelliDrive/ApplUI/Pages/CreativePages/CustomReportCreativeDetail.aspx?App=23&amp;ReportView=4&amp;Qid=1711279&amp;Row=22875&amp;Col=1","No Title Assigned - #15281481099")</f>
        <v/>
      </c>
      <c r="B22883" s="0" t="s">
        <v>30557</v>
      </c>
      <c r="E22883" s="0" t="inlineStr">
        <is>
          <t xml:space="preserve">Mazda</t>
        </is>
      </c>
      <c r="F22883" s="0" t="inlineStr">
        <is>
          <t xml:space="preserve">Mazda</t>
        </is>
      </c>
      <c r="G22883" s="0" t="s">
        <v>171</v>
      </c>
      <c r="H22883" s="5">
        <v>118.881000</v>
      </c>
    </row>
    <row r="22884" spans="1:9">
      <c r="A22884" s="22" t="str">
        <f>HYPERLINK("https://app.vivvix.com/360/KMI/IntelliDrive/ApplUI/Pages/CreativePages/CustomReportCreativeDetail.aspx?App=23&amp;ReportView=4&amp;Qid=1711279&amp;Row=22876&amp;Col=1","No Title Assigned - #15281481261")</f>
        <v/>
      </c>
      <c r="B22884" s="0" t="s">
        <v>30558</v>
      </c>
      <c r="C22884" s="0" t="s">
        <v>30559</v>
      </c>
      <c r="D22884" s="0" t="s">
        <v>30559</v>
      </c>
      <c r="E22884" s="0" t="inlineStr">
        <is>
          <t xml:space="preserve">Mazda</t>
        </is>
      </c>
      <c r="F22884" s="0" t="inlineStr">
        <is>
          <t xml:space="preserve">Mazda</t>
        </is>
      </c>
      <c r="G22884" s="0" t="s">
        <v>171</v>
      </c>
      <c r="H22884" s="5">
        <v>791.349800</v>
      </c>
    </row>
    <row r="22885" spans="1:9">
      <c r="A22885" s="22" t="str">
        <f>HYPERLINK("https://app.vivvix.com/360/KMI/IntelliDrive/ApplUI/Pages/CreativePages/CustomReportCreativeDetail.aspx?App=23&amp;ReportView=4&amp;Qid=1711279&amp;Row=22877&amp;Col=1","No Title Assigned - #15281493898")</f>
        <v/>
      </c>
      <c r="B22885" s="0" t="s">
        <v>30560</v>
      </c>
      <c r="E22885" s="0" t="inlineStr">
        <is>
          <t xml:space="preserve">Mazda</t>
        </is>
      </c>
      <c r="F22885" s="0" t="inlineStr">
        <is>
          <t xml:space="preserve">Mazda</t>
        </is>
      </c>
      <c r="G22885" s="0" t="s">
        <v>171</v>
      </c>
      <c r="H22885" s="5">
        <v>22797.902300</v>
      </c>
    </row>
    <row r="22886" spans="1:9">
      <c r="A22886" s="22" t="str">
        <f>HYPERLINK("https://app.vivvix.com/360/KMI/IntelliDrive/ApplUI/Pages/CreativePages/CustomReportCreativeDetail.aspx?App=23&amp;ReportView=4&amp;Qid=1711279&amp;Row=22878&amp;Col=1","No Title Assigned - #15281499608")</f>
        <v/>
      </c>
      <c r="B22886" s="0" t="s">
        <v>30561</v>
      </c>
      <c r="E22886" s="0" t="inlineStr">
        <is>
          <t xml:space="preserve">Mazda</t>
        </is>
      </c>
      <c r="F22886" s="0" t="inlineStr">
        <is>
          <t xml:space="preserve">Mazda</t>
        </is>
      </c>
      <c r="G22886" s="0" t="s">
        <v>171</v>
      </c>
      <c r="H22886" s="5">
        <v>102.493400</v>
      </c>
    </row>
    <row r="22887" spans="1:9">
      <c r="A22887" s="22" t="str">
        <f>HYPERLINK("https://app.vivvix.com/360/KMI/IntelliDrive/ApplUI/Pages/CreativePages/CustomReportCreativeDetail.aspx?App=23&amp;ReportView=4&amp;Qid=1711279&amp;Row=22879&amp;Col=1","No Title Assigned - #15281502223")</f>
        <v/>
      </c>
      <c r="B22887" s="0" t="s">
        <v>30562</v>
      </c>
      <c r="C22887" s="0" t="s">
        <v>30563</v>
      </c>
      <c r="D22887" s="0" t="s">
        <v>19006</v>
      </c>
      <c r="E22887" s="0" t="inlineStr">
        <is>
          <t xml:space="preserve">Mazda</t>
        </is>
      </c>
      <c r="F22887" s="0" t="s">
        <v>13</v>
      </c>
      <c r="G22887" s="0" t="s">
        <v>49</v>
      </c>
      <c r="H22887" s="5">
        <v>275.713800</v>
      </c>
    </row>
    <row r="22888" spans="1:9">
      <c r="A22888" s="22" t="str">
        <f>HYPERLINK("https://app.vivvix.com/360/KMI/IntelliDrive/ApplUI/Pages/CreativePages/CustomReportCreativeDetail.aspx?App=23&amp;ReportView=4&amp;Qid=1711279&amp;Row=22880&amp;Col=1","No Title Assigned - #15281502824")</f>
        <v/>
      </c>
      <c r="B22888" s="0" t="s">
        <v>30564</v>
      </c>
      <c r="C22888" s="0" t="s">
        <v>30565</v>
      </c>
      <c r="D22888" s="0" t="s">
        <v>15762</v>
      </c>
      <c r="E22888" s="0" t="inlineStr">
        <is>
          <t xml:space="preserve">Mazda</t>
        </is>
      </c>
      <c r="F22888" s="0" t="s">
        <v>13</v>
      </c>
      <c r="G22888" s="0" t="s">
        <v>49</v>
      </c>
      <c r="H22888" s="5">
        <v>85.604800</v>
      </c>
    </row>
    <row r="22889" spans="1:9">
      <c r="A22889" s="22" t="str">
        <f>HYPERLINK("https://app.vivvix.com/360/KMI/IntelliDrive/ApplUI/Pages/CreativePages/CustomReportCreativeDetail.aspx?App=23&amp;ReportView=4&amp;Qid=1711279&amp;Row=22881&amp;Col=1","No Title Assigned - #15281505635")</f>
        <v/>
      </c>
      <c r="B22889" s="0" t="s">
        <v>30566</v>
      </c>
      <c r="E22889" s="0" t="inlineStr">
        <is>
          <t xml:space="preserve">Mazda</t>
        </is>
      </c>
      <c r="F22889" s="0" t="s">
        <v>13</v>
      </c>
      <c r="G22889" s="0" t="s">
        <v>49</v>
      </c>
      <c r="H22889" s="5">
        <v>1316.878800</v>
      </c>
    </row>
    <row r="22890" spans="1:9">
      <c r="A22890" s="22" t="str">
        <f>HYPERLINK("https://app.vivvix.com/360/KMI/IntelliDrive/ApplUI/Pages/CreativePages/CustomReportCreativeDetail.aspx?App=23&amp;ReportView=4&amp;Qid=1711279&amp;Row=22882&amp;Col=1","No Title Assigned - #15281508691")</f>
        <v/>
      </c>
      <c r="B22890" s="0" t="s">
        <v>30567</v>
      </c>
      <c r="C22890" s="0" t="s">
        <v>30568</v>
      </c>
      <c r="D22890" s="0" t="s">
        <v>9749</v>
      </c>
      <c r="E22890" s="0" t="inlineStr">
        <is>
          <t xml:space="preserve">Mazda</t>
        </is>
      </c>
      <c r="F22890" s="0" t="s">
        <v>13</v>
      </c>
      <c r="G22890" s="0" t="s">
        <v>49</v>
      </c>
      <c r="H22890" s="5">
        <v>574.032900</v>
      </c>
    </row>
    <row r="22891" spans="1:9">
      <c r="A22891" s="22" t="str">
        <f>HYPERLINK("https://app.vivvix.com/360/KMI/IntelliDrive/ApplUI/Pages/CreativePages/CustomReportCreativeDetail.aspx?App=23&amp;ReportView=4&amp;Qid=1711279&amp;Row=22883&amp;Col=1","No Title Assigned - #15281508772")</f>
        <v/>
      </c>
      <c r="B22891" s="0" t="s">
        <v>30569</v>
      </c>
      <c r="C22891" s="0" t="s">
        <v>30570</v>
      </c>
      <c r="D22891" s="0" t="s">
        <v>30570</v>
      </c>
      <c r="E22891" s="0" t="inlineStr">
        <is>
          <t xml:space="preserve">Mazda</t>
        </is>
      </c>
      <c r="F22891" s="0" t="s">
        <v>13</v>
      </c>
      <c r="G22891" s="0" t="s">
        <v>49</v>
      </c>
      <c r="H22891" s="5">
        <v>888.281400</v>
      </c>
    </row>
    <row r="22892" spans="1:9">
      <c r="A22892" s="22" t="str">
        <f>HYPERLINK("https://app.vivvix.com/360/KMI/IntelliDrive/ApplUI/Pages/CreativePages/CustomReportCreativeDetail.aspx?App=23&amp;ReportView=4&amp;Qid=1711279&amp;Row=22884&amp;Col=1","No Title Assigned - #15281511391")</f>
        <v/>
      </c>
      <c r="B22892" s="0" t="s">
        <v>30571</v>
      </c>
      <c r="C22892" s="0" t="s">
        <v>30572</v>
      </c>
      <c r="D22892" s="0" t="s">
        <v>9749</v>
      </c>
      <c r="E22892" s="0" t="inlineStr">
        <is>
          <t xml:space="preserve">Mazda</t>
        </is>
      </c>
      <c r="F22892" s="0" t="s">
        <v>13</v>
      </c>
      <c r="G22892" s="0" t="s">
        <v>49</v>
      </c>
      <c r="H22892" s="5">
        <v>13248.176100</v>
      </c>
    </row>
    <row r="22893" spans="1:9">
      <c r="A22893" s="22" t="str">
        <f>HYPERLINK("https://app.vivvix.com/360/KMI/IntelliDrive/ApplUI/Pages/CreativePages/CustomReportCreativeDetail.aspx?App=23&amp;ReportView=4&amp;Qid=1711279&amp;Row=22885&amp;Col=1","No Title Assigned - #15281515147")</f>
        <v/>
      </c>
      <c r="B22893" s="0" t="s">
        <v>30573</v>
      </c>
      <c r="C22893" s="0" t="s">
        <v>30574</v>
      </c>
      <c r="D22893" s="0" t="s">
        <v>9167</v>
      </c>
      <c r="E22893" s="0" t="inlineStr">
        <is>
          <t xml:space="preserve">Mazda</t>
        </is>
      </c>
      <c r="F22893" s="0" t="s">
        <v>13</v>
      </c>
      <c r="G22893" s="0" t="s">
        <v>49</v>
      </c>
      <c r="H22893" s="5">
        <v>123.081200</v>
      </c>
    </row>
    <row r="22894" spans="1:9">
      <c r="A22894" s="22" t="str">
        <f>HYPERLINK("https://app.vivvix.com/360/KMI/IntelliDrive/ApplUI/Pages/CreativePages/CustomReportCreativeDetail.aspx?App=23&amp;ReportView=4&amp;Qid=1711279&amp;Row=22886&amp;Col=1","No Title Assigned - #15281515182")</f>
        <v/>
      </c>
      <c r="B22894" s="0" t="s">
        <v>30575</v>
      </c>
      <c r="C22894" s="0" t="s">
        <v>30576</v>
      </c>
      <c r="D22894" s="0" t="s">
        <v>9167</v>
      </c>
      <c r="E22894" s="0" t="inlineStr">
        <is>
          <t xml:space="preserve">Mazda</t>
        </is>
      </c>
      <c r="F22894" s="0" t="s">
        <v>13</v>
      </c>
      <c r="G22894" s="0" t="s">
        <v>49</v>
      </c>
      <c r="H22894" s="5">
        <v>324.040400</v>
      </c>
    </row>
    <row r="22895" spans="1:9">
      <c r="A22895" s="22" t="str">
        <f>HYPERLINK("https://app.vivvix.com/360/KMI/IntelliDrive/ApplUI/Pages/CreativePages/CustomReportCreativeDetail.aspx?App=23&amp;ReportView=4&amp;Qid=1711279&amp;Row=22887&amp;Col=1","No Title Assigned - #15281516671")</f>
        <v/>
      </c>
      <c r="B22895" s="0" t="s">
        <v>30577</v>
      </c>
      <c r="C22895" s="0" t="s">
        <v>30578</v>
      </c>
      <c r="D22895" s="0" t="s">
        <v>30578</v>
      </c>
      <c r="E22895" s="0" t="inlineStr">
        <is>
          <t xml:space="preserve">Mazda</t>
        </is>
      </c>
      <c r="F22895" s="0" t="s">
        <v>13</v>
      </c>
      <c r="G22895" s="0" t="s">
        <v>49</v>
      </c>
      <c r="H22895" s="5">
        <v>278.001900</v>
      </c>
    </row>
    <row r="22896" spans="1:9">
      <c r="A22896" s="22" t="str">
        <f>HYPERLINK("https://app.vivvix.com/360/KMI/IntelliDrive/ApplUI/Pages/CreativePages/CustomReportCreativeDetail.aspx?App=23&amp;ReportView=4&amp;Qid=1711279&amp;Row=22888&amp;Col=1","No Title Assigned - #15281517111")</f>
        <v/>
      </c>
      <c r="B22896" s="0" t="s">
        <v>30579</v>
      </c>
      <c r="C22896" s="0" t="s">
        <v>30580</v>
      </c>
      <c r="D22896" s="0" t="s">
        <v>30580</v>
      </c>
      <c r="E22896" s="0" t="inlineStr">
        <is>
          <t xml:space="preserve">Mazda</t>
        </is>
      </c>
      <c r="F22896" s="0" t="s">
        <v>13</v>
      </c>
      <c r="G22896" s="0" t="s">
        <v>49</v>
      </c>
      <c r="H22896" s="5">
        <v>3.583400</v>
      </c>
    </row>
    <row r="22897" spans="1:9">
      <c r="A22897" s="22" t="str">
        <f>HYPERLINK("https://app.vivvix.com/360/KMI/IntelliDrive/ApplUI/Pages/CreativePages/CustomReportCreativeDetail.aspx?App=23&amp;ReportView=4&amp;Qid=1711279&amp;Row=22889&amp;Col=1","No Title Assigned - #15281517155")</f>
        <v/>
      </c>
      <c r="B22897" s="0" t="s">
        <v>30581</v>
      </c>
      <c r="C22897" s="0" t="s">
        <v>30582</v>
      </c>
      <c r="D22897" s="0" t="s">
        <v>30582</v>
      </c>
      <c r="E22897" s="0" t="inlineStr">
        <is>
          <t xml:space="preserve">Mazda</t>
        </is>
      </c>
      <c r="F22897" s="0" t="s">
        <v>13</v>
      </c>
      <c r="G22897" s="0" t="s">
        <v>49</v>
      </c>
      <c r="H22897" s="5">
        <v>3.583400</v>
      </c>
    </row>
    <row r="22898" spans="1:9">
      <c r="A22898" s="22" t="str">
        <f>HYPERLINK("https://app.vivvix.com/360/KMI/IntelliDrive/ApplUI/Pages/CreativePages/CustomReportCreativeDetail.aspx?App=23&amp;ReportView=4&amp;Qid=1711279&amp;Row=22890&amp;Col=1","No Title Assigned - #15281517177")</f>
        <v/>
      </c>
      <c r="B22898" s="0" t="s">
        <v>30583</v>
      </c>
      <c r="C22898" s="0" t="s">
        <v>30584</v>
      </c>
      <c r="D22898" s="0" t="s">
        <v>30584</v>
      </c>
      <c r="E22898" s="0" t="inlineStr">
        <is>
          <t xml:space="preserve">Mazda</t>
        </is>
      </c>
      <c r="F22898" s="0" t="s">
        <v>13</v>
      </c>
      <c r="G22898" s="0" t="s">
        <v>49</v>
      </c>
      <c r="H22898" s="5">
        <v>383.105800</v>
      </c>
    </row>
    <row r="22899" spans="1:9">
      <c r="A22899" s="22" t="str">
        <f>HYPERLINK("https://app.vivvix.com/360/KMI/IntelliDrive/ApplUI/Pages/CreativePages/CustomReportCreativeDetail.aspx?App=23&amp;ReportView=4&amp;Qid=1711279&amp;Row=22891&amp;Col=1","No Title Assigned - #15281517550")</f>
        <v/>
      </c>
      <c r="B22899" s="0" t="s">
        <v>30585</v>
      </c>
      <c r="C22899" s="0" t="s">
        <v>30586</v>
      </c>
      <c r="D22899" s="0" t="s">
        <v>30586</v>
      </c>
      <c r="E22899" s="0" t="inlineStr">
        <is>
          <t xml:space="preserve">Mazda</t>
        </is>
      </c>
      <c r="F22899" s="0" t="inlineStr">
        <is>
          <t xml:space="preserve">Mazda</t>
        </is>
      </c>
      <c r="G22899" s="0" t="s">
        <v>210</v>
      </c>
      <c r="H22899" s="5">
        <v>414.702200</v>
      </c>
    </row>
    <row r="22900" spans="1:9">
      <c r="A22900" s="22" t="str">
        <f>HYPERLINK("https://app.vivvix.com/360/KMI/IntelliDrive/ApplUI/Pages/CreativePages/CustomReportCreativeDetail.aspx?App=23&amp;ReportView=4&amp;Qid=1711279&amp;Row=22892&amp;Col=1","No Title Assigned - #15281517835")</f>
        <v/>
      </c>
      <c r="B22900" s="0" t="s">
        <v>30587</v>
      </c>
      <c r="C22900" s="0" t="s">
        <v>30588</v>
      </c>
      <c r="D22900" s="0" t="s">
        <v>30588</v>
      </c>
      <c r="E22900" s="0" t="inlineStr">
        <is>
          <t xml:space="preserve">Mazda</t>
        </is>
      </c>
      <c r="F22900" s="0" t="s">
        <v>13</v>
      </c>
      <c r="G22900" s="0" t="s">
        <v>49</v>
      </c>
      <c r="H22900" s="5">
        <v>695.680800</v>
      </c>
    </row>
    <row r="22901" spans="1:9">
      <c r="A22901" s="22" t="str">
        <f>HYPERLINK("https://app.vivvix.com/360/KMI/IntelliDrive/ApplUI/Pages/CreativePages/CustomReportCreativeDetail.aspx?App=23&amp;ReportView=4&amp;Qid=1711279&amp;Row=22893&amp;Col=1","No Title Assigned - #15281524369")</f>
        <v/>
      </c>
      <c r="B22901" s="0" t="s">
        <v>30589</v>
      </c>
      <c r="E22901" s="0" t="inlineStr">
        <is>
          <t xml:space="preserve">Mazda</t>
        </is>
      </c>
      <c r="F22901" s="0" t="inlineStr">
        <is>
          <t xml:space="preserve">Mazda</t>
        </is>
      </c>
      <c r="G22901" s="0" t="s">
        <v>171</v>
      </c>
      <c r="H22901" s="5">
        <v>84.464300</v>
      </c>
    </row>
    <row r="22902" spans="1:9">
      <c r="A22902" s="22" t="str">
        <f>HYPERLINK("https://app.vivvix.com/360/KMI/IntelliDrive/ApplUI/Pages/CreativePages/CustomReportCreativeDetail.aspx?App=23&amp;ReportView=4&amp;Qid=1711279&amp;Row=22894&amp;Col=1","No Title Assigned - #15281525991")</f>
        <v/>
      </c>
      <c r="B22902" s="0" t="s">
        <v>30590</v>
      </c>
      <c r="E22902" s="0" t="inlineStr">
        <is>
          <t xml:space="preserve">Mazda</t>
        </is>
      </c>
      <c r="F22902" s="0" t="inlineStr">
        <is>
          <t xml:space="preserve">Mazda</t>
        </is>
      </c>
      <c r="G22902" s="0" t="s">
        <v>171</v>
      </c>
      <c r="H22902" s="5">
        <v>216.521100</v>
      </c>
    </row>
    <row r="22903" spans="1:9">
      <c r="A22903" s="22" t="str">
        <f>HYPERLINK("https://app.vivvix.com/360/KMI/IntelliDrive/ApplUI/Pages/CreativePages/CustomReportCreativeDetail.aspx?App=23&amp;ReportView=4&amp;Qid=1711279&amp;Row=22895&amp;Col=1","No Title Assigned - #15281526310")</f>
        <v/>
      </c>
      <c r="B22903" s="0" t="s">
        <v>30591</v>
      </c>
      <c r="E22903" s="0" t="inlineStr">
        <is>
          <t xml:space="preserve">Mazda</t>
        </is>
      </c>
      <c r="F22903" s="0" t="inlineStr">
        <is>
          <t xml:space="preserve">Mazda</t>
        </is>
      </c>
      <c r="G22903" s="0" t="s">
        <v>171</v>
      </c>
      <c r="H22903" s="5">
        <v>59.440500</v>
      </c>
    </row>
    <row r="22904" spans="1:9">
      <c r="A22904" s="22" t="str">
        <f>HYPERLINK("https://app.vivvix.com/360/KMI/IntelliDrive/ApplUI/Pages/CreativePages/CustomReportCreativeDetail.aspx?App=23&amp;ReportView=4&amp;Qid=1711279&amp;Row=22896&amp;Col=1","No Title Assigned - #15281526569")</f>
        <v/>
      </c>
      <c r="B22904" s="0" t="s">
        <v>30592</v>
      </c>
      <c r="E22904" s="0" t="inlineStr">
        <is>
          <t xml:space="preserve">Mazda</t>
        </is>
      </c>
      <c r="F22904" s="0" t="inlineStr">
        <is>
          <t xml:space="preserve">Mazda</t>
        </is>
      </c>
      <c r="G22904" s="0" t="s">
        <v>171</v>
      </c>
      <c r="H22904" s="5">
        <v>181.623800</v>
      </c>
    </row>
    <row r="22905" spans="1:9">
      <c r="A22905" s="22" t="str">
        <f>HYPERLINK("https://app.vivvix.com/360/KMI/IntelliDrive/ApplUI/Pages/CreativePages/CustomReportCreativeDetail.aspx?App=23&amp;ReportView=4&amp;Qid=1711279&amp;Row=22897&amp;Col=1","No Title Assigned - #15281527048")</f>
        <v/>
      </c>
      <c r="B22905" s="0" t="s">
        <v>30593</v>
      </c>
      <c r="C22905" s="0" t="s">
        <v>30594</v>
      </c>
      <c r="D22905" s="0" t="s">
        <v>30594</v>
      </c>
      <c r="E22905" s="0" t="inlineStr">
        <is>
          <t xml:space="preserve">Mazda</t>
        </is>
      </c>
      <c r="F22905" s="0" t="s">
        <v>13</v>
      </c>
      <c r="G22905" s="0" t="s">
        <v>49</v>
      </c>
      <c r="H22905" s="5">
        <v>958.982600</v>
      </c>
    </row>
    <row r="22906" spans="1:9">
      <c r="A22906" s="22" t="str">
        <f>HYPERLINK("https://app.vivvix.com/360/KMI/IntelliDrive/ApplUI/Pages/CreativePages/CustomReportCreativeDetail.aspx?App=23&amp;ReportView=4&amp;Qid=1711279&amp;Row=22898&amp;Col=1","No Title Assigned - #15281527191")</f>
        <v/>
      </c>
      <c r="B22906" s="0" t="s">
        <v>30595</v>
      </c>
      <c r="C22906" s="0" t="s">
        <v>30596</v>
      </c>
      <c r="D22906" s="0" t="s">
        <v>30596</v>
      </c>
      <c r="E22906" s="0" t="inlineStr">
        <is>
          <t xml:space="preserve">Mazda</t>
        </is>
      </c>
      <c r="F22906" s="0" t="s">
        <v>13</v>
      </c>
      <c r="G22906" s="0" t="s">
        <v>49</v>
      </c>
      <c r="H22906" s="5">
        <v>28774.579500</v>
      </c>
    </row>
    <row r="22907" spans="1:9">
      <c r="A22907" s="22" t="str">
        <f>HYPERLINK("https://app.vivvix.com/360/KMI/IntelliDrive/ApplUI/Pages/CreativePages/CustomReportCreativeDetail.aspx?App=23&amp;ReportView=4&amp;Qid=1711279&amp;Row=22899&amp;Col=1","No Title Assigned - #15281527240")</f>
        <v/>
      </c>
      <c r="B22907" s="0" t="s">
        <v>30597</v>
      </c>
      <c r="C22907" s="0" t="s">
        <v>30598</v>
      </c>
      <c r="D22907" s="0" t="s">
        <v>30598</v>
      </c>
      <c r="E22907" s="0" t="inlineStr">
        <is>
          <t xml:space="preserve">Mazda</t>
        </is>
      </c>
      <c r="F22907" s="0" t="s">
        <v>13</v>
      </c>
      <c r="G22907" s="0" t="s">
        <v>49</v>
      </c>
      <c r="H22907" s="5">
        <v>951.582600</v>
      </c>
    </row>
    <row r="22908" spans="1:9">
      <c r="A22908" s="22" t="str">
        <f>HYPERLINK("https://app.vivvix.com/360/KMI/IntelliDrive/ApplUI/Pages/CreativePages/CustomReportCreativeDetail.aspx?App=23&amp;ReportView=4&amp;Qid=1711279&amp;Row=22900&amp;Col=1","No Title Assigned - #15281530432")</f>
        <v/>
      </c>
      <c r="B22908" s="0" t="s">
        <v>30599</v>
      </c>
      <c r="C22908" s="0" t="s">
        <v>30600</v>
      </c>
      <c r="D22908" s="0" t="s">
        <v>17743</v>
      </c>
      <c r="E22908" s="0" t="inlineStr">
        <is>
          <t xml:space="preserve">Mazda</t>
        </is>
      </c>
      <c r="F22908" s="0" t="s">
        <v>13</v>
      </c>
      <c r="G22908" s="0" t="s">
        <v>49</v>
      </c>
      <c r="H22908" s="5">
        <v>8419.809100</v>
      </c>
    </row>
    <row r="22909" spans="1:9">
      <c r="A22909" s="22" t="str">
        <f>HYPERLINK("https://app.vivvix.com/360/KMI/IntelliDrive/ApplUI/Pages/CreativePages/CustomReportCreativeDetail.aspx?App=23&amp;ReportView=4&amp;Qid=1711279&amp;Row=22901&amp;Col=1","No Title Assigned - #15281530432")</f>
        <v/>
      </c>
      <c r="B22909" s="0" t="s">
        <v>30599</v>
      </c>
      <c r="E22909" s="0" t="inlineStr">
        <is>
          <t xml:space="preserve">Mazda</t>
        </is>
      </c>
      <c r="F22909" s="0" t="s">
        <v>13</v>
      </c>
      <c r="G22909" s="0" t="s">
        <v>49</v>
      </c>
      <c r="H22909" s="5">
        <v>7100.898800</v>
      </c>
    </row>
    <row r="22910" spans="1:9">
      <c r="A22910" s="22" t="str">
        <f>HYPERLINK("https://app.vivvix.com/360/KMI/IntelliDrive/ApplUI/Pages/CreativePages/CustomReportCreativeDetail.aspx?App=23&amp;ReportView=4&amp;Qid=1711279&amp;Row=22902&amp;Col=1","No Title Assigned - #15281530640")</f>
        <v/>
      </c>
      <c r="B22910" s="0" t="s">
        <v>30601</v>
      </c>
      <c r="E22910" s="0" t="inlineStr">
        <is>
          <t xml:space="preserve">Mazda</t>
        </is>
      </c>
      <c r="F22910" s="0" t="s">
        <v>13</v>
      </c>
      <c r="G22910" s="0" t="s">
        <v>49</v>
      </c>
      <c r="H22910" s="5">
        <v>349.013100</v>
      </c>
    </row>
    <row r="22911" spans="1:9">
      <c r="A22911" s="22" t="str">
        <f>HYPERLINK("https://app.vivvix.com/360/KMI/IntelliDrive/ApplUI/Pages/CreativePages/CustomReportCreativeDetail.aspx?App=23&amp;ReportView=4&amp;Qid=1711279&amp;Row=22903&amp;Col=1","No Title Assigned - #15281530640")</f>
        <v/>
      </c>
      <c r="B22911" s="0" t="s">
        <v>30601</v>
      </c>
      <c r="C22911" s="0" t="s">
        <v>30602</v>
      </c>
      <c r="D22911" s="0" t="s">
        <v>30602</v>
      </c>
      <c r="E22911" s="0" t="inlineStr">
        <is>
          <t xml:space="preserve">Mazda</t>
        </is>
      </c>
      <c r="F22911" s="0" t="s">
        <v>13</v>
      </c>
      <c r="G22911" s="0" t="s">
        <v>49</v>
      </c>
      <c r="H22911" s="5">
        <v>10.284800</v>
      </c>
    </row>
    <row r="22912" spans="1:9">
      <c r="A22912" s="22" t="str">
        <f>HYPERLINK("https://app.vivvix.com/360/KMI/IntelliDrive/ApplUI/Pages/CreativePages/CustomReportCreativeDetail.aspx?App=23&amp;ReportView=4&amp;Qid=1711279&amp;Row=22904&amp;Col=1","No Title Assigned - #15281530680")</f>
        <v/>
      </c>
      <c r="B22912" s="0" t="s">
        <v>30603</v>
      </c>
      <c r="C22912" s="0" t="s">
        <v>30604</v>
      </c>
      <c r="D22912" s="0" t="s">
        <v>30604</v>
      </c>
      <c r="E22912" s="0" t="inlineStr">
        <is>
          <t xml:space="preserve">Mazda</t>
        </is>
      </c>
      <c r="F22912" s="0" t="inlineStr">
        <is>
          <t xml:space="preserve">Mazda</t>
        </is>
      </c>
      <c r="G22912" s="0" t="s">
        <v>210</v>
      </c>
      <c r="H22912" s="5">
        <v>4833.754400</v>
      </c>
    </row>
    <row r="22913" spans="1:9">
      <c r="A22913" s="22" t="str">
        <f>HYPERLINK("https://app.vivvix.com/360/KMI/IntelliDrive/ApplUI/Pages/CreativePages/CustomReportCreativeDetail.aspx?App=23&amp;ReportView=4&amp;Qid=1711279&amp;Row=22905&amp;Col=1","No Title Assigned - #15281530680")</f>
        <v/>
      </c>
      <c r="B22913" s="0" t="s">
        <v>30603</v>
      </c>
      <c r="E22913" s="0" t="inlineStr">
        <is>
          <t xml:space="preserve">Mazda</t>
        </is>
      </c>
      <c r="F22913" s="0" t="inlineStr">
        <is>
          <t xml:space="preserve">Mazda</t>
        </is>
      </c>
      <c r="G22913" s="0" t="s">
        <v>210</v>
      </c>
      <c r="H22913" s="5">
        <v>536.230600</v>
      </c>
    </row>
    <row r="22914" spans="1:9">
      <c r="A22914" s="22" t="str">
        <f>HYPERLINK("https://app.vivvix.com/360/KMI/IntelliDrive/ApplUI/Pages/CreativePages/CustomReportCreativeDetail.aspx?App=23&amp;ReportView=4&amp;Qid=1711279&amp;Row=22906&amp;Col=1","No Title Assigned - #15281530687")</f>
        <v/>
      </c>
      <c r="B22914" s="0" t="s">
        <v>30605</v>
      </c>
      <c r="E22914" s="0" t="inlineStr">
        <is>
          <t xml:space="preserve">Mazda</t>
        </is>
      </c>
      <c r="F22914" s="0" t="s">
        <v>13</v>
      </c>
      <c r="G22914" s="0" t="s">
        <v>49</v>
      </c>
      <c r="H22914" s="5">
        <v>957.879600</v>
      </c>
    </row>
    <row r="22915" spans="1:9">
      <c r="A22915" s="22" t="str">
        <f>HYPERLINK("https://app.vivvix.com/360/KMI/IntelliDrive/ApplUI/Pages/CreativePages/CustomReportCreativeDetail.aspx?App=23&amp;ReportView=4&amp;Qid=1711279&amp;Row=22907&amp;Col=1","No Title Assigned - #15281530687")</f>
        <v/>
      </c>
      <c r="B22915" s="0" t="s">
        <v>30605</v>
      </c>
      <c r="C22915" s="0" t="s">
        <v>30606</v>
      </c>
      <c r="D22915" s="0" t="s">
        <v>30606</v>
      </c>
      <c r="E22915" s="0" t="inlineStr">
        <is>
          <t xml:space="preserve">Mazda</t>
        </is>
      </c>
      <c r="F22915" s="0" t="s">
        <v>13</v>
      </c>
      <c r="G22915" s="0" t="s">
        <v>49</v>
      </c>
      <c r="H22915" s="5">
        <v>35.669400</v>
      </c>
    </row>
    <row r="22916" spans="1:9">
      <c r="A22916" s="22" t="str">
        <f>HYPERLINK("https://app.vivvix.com/360/KMI/IntelliDrive/ApplUI/Pages/CreativePages/CustomReportCreativeDetail.aspx?App=23&amp;ReportView=4&amp;Qid=1711279&amp;Row=22908&amp;Col=1","No Title Assigned - #15281530946")</f>
        <v/>
      </c>
      <c r="B22916" s="0" t="s">
        <v>30607</v>
      </c>
      <c r="C22916" s="0" t="s">
        <v>30608</v>
      </c>
      <c r="D22916" s="0" t="s">
        <v>10860</v>
      </c>
      <c r="E22916" s="0" t="inlineStr">
        <is>
          <t xml:space="preserve">Mazda</t>
        </is>
      </c>
      <c r="F22916" s="0" t="s">
        <v>13</v>
      </c>
      <c r="G22916" s="0" t="s">
        <v>49</v>
      </c>
      <c r="H22916" s="5">
        <v>267.380400</v>
      </c>
    </row>
    <row r="22917" spans="1:9">
      <c r="A22917" s="22" t="str">
        <f>HYPERLINK("https://app.vivvix.com/360/KMI/IntelliDrive/ApplUI/Pages/CreativePages/CustomReportCreativeDetail.aspx?App=23&amp;ReportView=4&amp;Qid=1711279&amp;Row=22909&amp;Col=1","No Title Assigned - #15281532348")</f>
        <v/>
      </c>
      <c r="B22917" s="0" t="s">
        <v>30609</v>
      </c>
      <c r="C22917" s="0" t="s">
        <v>30610</v>
      </c>
      <c r="D22917" s="0" t="s">
        <v>8006</v>
      </c>
      <c r="E22917" s="0" t="inlineStr">
        <is>
          <t xml:space="preserve">Mazda</t>
        </is>
      </c>
      <c r="F22917" s="0" t="s">
        <v>13</v>
      </c>
      <c r="G22917" s="0" t="s">
        <v>49</v>
      </c>
      <c r="H22917" s="5">
        <v>54.738700</v>
      </c>
    </row>
    <row r="22918" spans="1:9">
      <c r="A22918" s="22" t="str">
        <f>HYPERLINK("https://app.vivvix.com/360/KMI/IntelliDrive/ApplUI/Pages/CreativePages/CustomReportCreativeDetail.aspx?App=23&amp;ReportView=4&amp;Qid=1711279&amp;Row=22910&amp;Col=1","No Title Assigned - #15281532362")</f>
        <v/>
      </c>
      <c r="B22918" s="0" t="s">
        <v>30611</v>
      </c>
      <c r="C22918" s="0" t="s">
        <v>30612</v>
      </c>
      <c r="D22918" s="0" t="s">
        <v>30612</v>
      </c>
      <c r="E22918" s="0" t="inlineStr">
        <is>
          <t xml:space="preserve">Mazda</t>
        </is>
      </c>
      <c r="F22918" s="0" t="s">
        <v>13</v>
      </c>
      <c r="G22918" s="0" t="s">
        <v>49</v>
      </c>
      <c r="H22918" s="5">
        <v>328.529900</v>
      </c>
    </row>
    <row r="22919" spans="1:9">
      <c r="A22919" s="22" t="str">
        <f>HYPERLINK("https://app.vivvix.com/360/KMI/IntelliDrive/ApplUI/Pages/CreativePages/CustomReportCreativeDetail.aspx?App=23&amp;ReportView=4&amp;Qid=1711279&amp;Row=22911&amp;Col=1","No Title Assigned - #15281533004")</f>
        <v/>
      </c>
      <c r="B22919" s="0" t="s">
        <v>30613</v>
      </c>
      <c r="C22919" s="0" t="s">
        <v>30614</v>
      </c>
      <c r="D22919" s="0" t="s">
        <v>30614</v>
      </c>
      <c r="E22919" s="0" t="inlineStr">
        <is>
          <t xml:space="preserve">Mazda</t>
        </is>
      </c>
      <c r="F22919" s="0" t="s">
        <v>13</v>
      </c>
      <c r="G22919" s="0" t="s">
        <v>49</v>
      </c>
      <c r="H22919" s="5">
        <v>80.050400</v>
      </c>
    </row>
    <row r="22920" spans="1:9">
      <c r="A22920" s="22" t="str">
        <f>HYPERLINK("https://app.vivvix.com/360/KMI/IntelliDrive/ApplUI/Pages/CreativePages/CustomReportCreativeDetail.aspx?App=23&amp;ReportView=4&amp;Qid=1711279&amp;Row=22912&amp;Col=1","No Title Assigned - #15281533435")</f>
        <v/>
      </c>
      <c r="B22920" s="0" t="s">
        <v>30615</v>
      </c>
      <c r="C22920" s="0" t="s">
        <v>30616</v>
      </c>
      <c r="D22920" s="0" t="s">
        <v>30616</v>
      </c>
      <c r="E22920" s="0" t="inlineStr">
        <is>
          <t xml:space="preserve">Mazda</t>
        </is>
      </c>
      <c r="F22920" s="0" t="s">
        <v>13</v>
      </c>
      <c r="G22920" s="0" t="s">
        <v>49</v>
      </c>
      <c r="H22920" s="5">
        <v>52124.043000</v>
      </c>
    </row>
    <row r="22921" spans="1:9">
      <c r="A22921" s="22" t="str">
        <f>HYPERLINK("https://app.vivvix.com/360/KMI/IntelliDrive/ApplUI/Pages/CreativePages/CustomReportCreativeDetail.aspx?App=23&amp;ReportView=4&amp;Qid=1711279&amp;Row=22913&amp;Col=1","No Title Assigned - #15281535335")</f>
        <v/>
      </c>
      <c r="B22921" s="0" t="s">
        <v>30617</v>
      </c>
      <c r="E22921" s="0" t="inlineStr">
        <is>
          <t xml:space="preserve">Mazda</t>
        </is>
      </c>
      <c r="F22921" s="0" t="inlineStr">
        <is>
          <t xml:space="preserve">Mazda</t>
        </is>
      </c>
      <c r="G22921" s="0" t="s">
        <v>171</v>
      </c>
      <c r="H22921" s="5">
        <v>146.536500</v>
      </c>
    </row>
    <row r="22922" spans="1:9">
      <c r="A22922" s="22" t="str">
        <f>HYPERLINK("https://app.vivvix.com/360/KMI/IntelliDrive/ApplUI/Pages/CreativePages/CustomReportCreativeDetail.aspx?App=23&amp;ReportView=4&amp;Qid=1711279&amp;Row=22914&amp;Col=1","No Title Assigned - #15281535563")</f>
        <v/>
      </c>
      <c r="B22922" s="0" t="s">
        <v>30618</v>
      </c>
      <c r="E22922" s="0" t="inlineStr">
        <is>
          <t xml:space="preserve">Mazda</t>
        </is>
      </c>
      <c r="F22922" s="0" t="inlineStr">
        <is>
          <t xml:space="preserve">Mazda</t>
        </is>
      </c>
      <c r="G22922" s="0" t="s">
        <v>171</v>
      </c>
      <c r="H22922" s="5">
        <v>1009.312000</v>
      </c>
    </row>
    <row r="22923" spans="1:9">
      <c r="A22923" s="22" t="str">
        <f>HYPERLINK("https://app.vivvix.com/360/KMI/IntelliDrive/ApplUI/Pages/CreativePages/CustomReportCreativeDetail.aspx?App=23&amp;ReportView=4&amp;Qid=1711279&amp;Row=22915&amp;Col=1","No Title Assigned - #15281539935")</f>
        <v/>
      </c>
      <c r="B22923" s="0" t="s">
        <v>30619</v>
      </c>
      <c r="E22923" s="0" t="inlineStr">
        <is>
          <t xml:space="preserve">Mazda</t>
        </is>
      </c>
      <c r="F22923" s="0" t="inlineStr">
        <is>
          <t xml:space="preserve">Mazda</t>
        </is>
      </c>
      <c r="G22923" s="0" t="s">
        <v>171</v>
      </c>
      <c r="H22923" s="5">
        <v>923.571000</v>
      </c>
    </row>
    <row r="22924" spans="1:9">
      <c r="A22924" s="22" t="str">
        <f>HYPERLINK("https://app.vivvix.com/360/KMI/IntelliDrive/ApplUI/Pages/CreativePages/CustomReportCreativeDetail.aspx?App=23&amp;ReportView=4&amp;Qid=1711279&amp;Row=22916&amp;Col=1","No Title Assigned - #15281546270")</f>
        <v/>
      </c>
      <c r="B22924" s="0" t="s">
        <v>30620</v>
      </c>
      <c r="E22924" s="0" t="inlineStr">
        <is>
          <t xml:space="preserve">Mazda</t>
        </is>
      </c>
      <c r="F22924" s="0" t="inlineStr">
        <is>
          <t xml:space="preserve">Mazda</t>
        </is>
      </c>
      <c r="G22924" s="0" t="s">
        <v>171</v>
      </c>
      <c r="H22924" s="5">
        <v>815.249100</v>
      </c>
    </row>
    <row r="22925" spans="1:9">
      <c r="A22925" s="22" t="str">
        <f>HYPERLINK("https://app.vivvix.com/360/KMI/IntelliDrive/ApplUI/Pages/CreativePages/CustomReportCreativeDetail.aspx?App=23&amp;ReportView=4&amp;Qid=1711279&amp;Row=22917&amp;Col=1","No Title Assigned - #15281546885")</f>
        <v/>
      </c>
      <c r="B22925" s="0" t="s">
        <v>30621</v>
      </c>
      <c r="E22925" s="0" t="inlineStr">
        <is>
          <t xml:space="preserve">Mazda</t>
        </is>
      </c>
      <c r="F22925" s="0" t="inlineStr">
        <is>
          <t xml:space="preserve">Mazda</t>
        </is>
      </c>
      <c r="G22925" s="0" t="s">
        <v>171</v>
      </c>
      <c r="H22925" s="5">
        <v>209.516400</v>
      </c>
    </row>
    <row r="22926" spans="1:9">
      <c r="A22926" s="22" t="str">
        <f>HYPERLINK("https://app.vivvix.com/360/KMI/IntelliDrive/ApplUI/Pages/CreativePages/CustomReportCreativeDetail.aspx?App=23&amp;ReportView=4&amp;Qid=1711279&amp;Row=22918&amp;Col=1","No Title Assigned - #15281551777")</f>
        <v/>
      </c>
      <c r="B22926" s="0" t="s">
        <v>30622</v>
      </c>
      <c r="E22926" s="0" t="inlineStr">
        <is>
          <t xml:space="preserve">Mazda</t>
        </is>
      </c>
      <c r="F22926" s="0" t="inlineStr">
        <is>
          <t xml:space="preserve">Mazda</t>
        </is>
      </c>
      <c r="G22926" s="0" t="s">
        <v>171</v>
      </c>
      <c r="H22926" s="5">
        <v>204.948500</v>
      </c>
    </row>
    <row r="22927" spans="1:9">
      <c r="A22927" s="22" t="str">
        <f>HYPERLINK("https://app.vivvix.com/360/KMI/IntelliDrive/ApplUI/Pages/CreativePages/CustomReportCreativeDetail.aspx?App=23&amp;ReportView=4&amp;Qid=1711279&amp;Row=22919&amp;Col=1","No Title Assigned - #15281554279")</f>
        <v/>
      </c>
      <c r="B22927" s="0" t="s">
        <v>30623</v>
      </c>
      <c r="C22927" s="0" t="s">
        <v>30624</v>
      </c>
      <c r="D22927" s="0" t="s">
        <v>30624</v>
      </c>
      <c r="E22927" s="0" t="inlineStr">
        <is>
          <t xml:space="preserve">Mazda</t>
        </is>
      </c>
      <c r="F22927" s="0" t="s">
        <v>13</v>
      </c>
      <c r="G22927" s="0" t="s">
        <v>49</v>
      </c>
      <c r="H22927" s="5">
        <v>476.206400</v>
      </c>
    </row>
    <row r="22928" spans="1:9">
      <c r="A22928" s="22" t="str">
        <f>HYPERLINK("https://app.vivvix.com/360/KMI/IntelliDrive/ApplUI/Pages/CreativePages/CustomReportCreativeDetail.aspx?App=23&amp;ReportView=4&amp;Qid=1711279&amp;Row=22920&amp;Col=1","No Title Assigned - #15281555358")</f>
        <v/>
      </c>
      <c r="B22928" s="0" t="s">
        <v>30625</v>
      </c>
      <c r="C22928" s="0" t="s">
        <v>30626</v>
      </c>
      <c r="D22928" s="0" t="s">
        <v>15762</v>
      </c>
      <c r="E22928" s="0" t="inlineStr">
        <is>
          <t xml:space="preserve">Mazda</t>
        </is>
      </c>
      <c r="F22928" s="0" t="s">
        <v>13</v>
      </c>
      <c r="G22928" s="0" t="s">
        <v>49</v>
      </c>
      <c r="H22928" s="5">
        <v>206.578800</v>
      </c>
    </row>
    <row r="22929" spans="1:9">
      <c r="A22929" s="22" t="str">
        <f>HYPERLINK("https://app.vivvix.com/360/KMI/IntelliDrive/ApplUI/Pages/CreativePages/CustomReportCreativeDetail.aspx?App=23&amp;ReportView=4&amp;Qid=1711279&amp;Row=22921&amp;Col=1","No Title Assigned - #15281556307")</f>
        <v/>
      </c>
      <c r="B22929" s="0" t="s">
        <v>30627</v>
      </c>
      <c r="C22929" s="0" t="s">
        <v>30628</v>
      </c>
      <c r="D22929" s="0" t="s">
        <v>9167</v>
      </c>
      <c r="E22929" s="0" t="inlineStr">
        <is>
          <t xml:space="preserve">Mazda</t>
        </is>
      </c>
      <c r="F22929" s="0" t="s">
        <v>13</v>
      </c>
      <c r="G22929" s="0" t="s">
        <v>49</v>
      </c>
      <c r="H22929" s="5">
        <v>143.340700</v>
      </c>
    </row>
    <row r="22930" spans="1:9">
      <c r="A22930" s="22" t="str">
        <f>HYPERLINK("https://app.vivvix.com/360/KMI/IntelliDrive/ApplUI/Pages/CreativePages/CustomReportCreativeDetail.aspx?App=23&amp;ReportView=4&amp;Qid=1711279&amp;Row=22922&amp;Col=1","No Title Assigned - #15281556307")</f>
        <v/>
      </c>
      <c r="B22930" s="0" t="s">
        <v>30627</v>
      </c>
      <c r="E22930" s="0" t="inlineStr">
        <is>
          <t xml:space="preserve">Mazda</t>
        </is>
      </c>
      <c r="F22930" s="0" t="s">
        <v>13</v>
      </c>
      <c r="G22930" s="0" t="s">
        <v>49</v>
      </c>
      <c r="H22930" s="5">
        <v>170.123500</v>
      </c>
    </row>
    <row r="22931" spans="1:9">
      <c r="A22931" s="22" t="str">
        <f>HYPERLINK("https://app.vivvix.com/360/KMI/IntelliDrive/ApplUI/Pages/CreativePages/CustomReportCreativeDetail.aspx?App=23&amp;ReportView=4&amp;Qid=1711279&amp;Row=22923&amp;Col=1","No Title Assigned - #15281557127")</f>
        <v/>
      </c>
      <c r="B22931" s="0" t="s">
        <v>30629</v>
      </c>
      <c r="C22931" s="0" t="s">
        <v>30630</v>
      </c>
      <c r="D22931" s="0" t="s">
        <v>15762</v>
      </c>
      <c r="E22931" s="0" t="inlineStr">
        <is>
          <t xml:space="preserve">Mazda</t>
        </is>
      </c>
      <c r="F22931" s="0" t="s">
        <v>13</v>
      </c>
      <c r="G22931" s="0" t="s">
        <v>49</v>
      </c>
      <c r="H22931" s="5">
        <v>2485.542800</v>
      </c>
    </row>
    <row r="22932" spans="1:9">
      <c r="A22932" s="22" t="str">
        <f>HYPERLINK("https://app.vivvix.com/360/KMI/IntelliDrive/ApplUI/Pages/CreativePages/CustomReportCreativeDetail.aspx?App=23&amp;ReportView=4&amp;Qid=1711279&amp;Row=22924&amp;Col=1","No Title Assigned - #15281557327")</f>
        <v/>
      </c>
      <c r="B22932" s="0" t="s">
        <v>30631</v>
      </c>
      <c r="C22932" s="0" t="s">
        <v>30632</v>
      </c>
      <c r="D22932" s="0" t="s">
        <v>10067</v>
      </c>
      <c r="E22932" s="0" t="inlineStr">
        <is>
          <t xml:space="preserve">Mazda</t>
        </is>
      </c>
      <c r="F22932" s="0" t="s">
        <v>13</v>
      </c>
      <c r="G22932" s="0" t="s">
        <v>49</v>
      </c>
      <c r="H22932" s="5">
        <v>113.120400</v>
      </c>
    </row>
    <row r="22933" spans="1:9">
      <c r="A22933" s="22" t="str">
        <f>HYPERLINK("https://app.vivvix.com/360/KMI/IntelliDrive/ApplUI/Pages/CreativePages/CustomReportCreativeDetail.aspx?App=23&amp;ReportView=4&amp;Qid=1711279&amp;Row=22925&amp;Col=1","No Title Assigned - #15281557766")</f>
        <v/>
      </c>
      <c r="B22933" s="0" t="s">
        <v>30633</v>
      </c>
      <c r="C22933" s="0" t="s">
        <v>30634</v>
      </c>
      <c r="D22933" s="0" t="s">
        <v>30634</v>
      </c>
      <c r="E22933" s="0" t="inlineStr">
        <is>
          <t xml:space="preserve">Mazda</t>
        </is>
      </c>
      <c r="F22933" s="0" t="s">
        <v>21</v>
      </c>
      <c r="G22933" s="0" t="s">
        <v>22</v>
      </c>
      <c r="H22933" s="5">
        <v>939.789300</v>
      </c>
    </row>
    <row r="22934" spans="1:9">
      <c r="A22934" s="22" t="str">
        <f>HYPERLINK("https://app.vivvix.com/360/KMI/IntelliDrive/ApplUI/Pages/CreativePages/CustomReportCreativeDetail.aspx?App=23&amp;ReportView=4&amp;Qid=1711279&amp;Row=22926&amp;Col=1","No Title Assigned - #15281558942")</f>
        <v/>
      </c>
      <c r="B22934" s="0" t="s">
        <v>30635</v>
      </c>
      <c r="C22934" s="0" t="s">
        <v>30636</v>
      </c>
      <c r="D22934" s="0" t="s">
        <v>11469</v>
      </c>
      <c r="E22934" s="0" t="inlineStr">
        <is>
          <t xml:space="preserve">Mazda</t>
        </is>
      </c>
      <c r="F22934" s="0" t="s">
        <v>13</v>
      </c>
      <c r="G22934" s="0" t="s">
        <v>49</v>
      </c>
      <c r="H22934" s="5">
        <v>781.009800</v>
      </c>
    </row>
    <row r="22935" spans="1:9">
      <c r="A22935" s="22" t="str">
        <f>HYPERLINK("https://app.vivvix.com/360/KMI/IntelliDrive/ApplUI/Pages/CreativePages/CustomReportCreativeDetail.aspx?App=23&amp;ReportView=4&amp;Qid=1711279&amp;Row=22927&amp;Col=1","No Title Assigned - #15281560869")</f>
        <v/>
      </c>
      <c r="B22935" s="0" t="s">
        <v>30637</v>
      </c>
      <c r="C22935" s="0" t="s">
        <v>30638</v>
      </c>
      <c r="D22935" s="0" t="s">
        <v>13612</v>
      </c>
      <c r="E22935" s="0" t="inlineStr">
        <is>
          <t xml:space="preserve">Mazda</t>
        </is>
      </c>
      <c r="F22935" s="0" t="s">
        <v>13</v>
      </c>
      <c r="G22935" s="0" t="s">
        <v>49</v>
      </c>
      <c r="H22935" s="5">
        <v>87.220400</v>
      </c>
    </row>
    <row r="22936" spans="1:9">
      <c r="A22936" s="22" t="str">
        <f>HYPERLINK("https://app.vivvix.com/360/KMI/IntelliDrive/ApplUI/Pages/CreativePages/CustomReportCreativeDetail.aspx?App=23&amp;ReportView=4&amp;Qid=1711279&amp;Row=22928&amp;Col=1","No Title Assigned - #15281561318")</f>
        <v/>
      </c>
      <c r="B22936" s="0" t="s">
        <v>30639</v>
      </c>
      <c r="C22936" s="0" t="s">
        <v>30640</v>
      </c>
      <c r="D22936" s="0" t="s">
        <v>30640</v>
      </c>
      <c r="E22936" s="0" t="inlineStr">
        <is>
          <t xml:space="preserve">Mazda</t>
        </is>
      </c>
      <c r="F22936" s="0" t="s">
        <v>13</v>
      </c>
      <c r="G22936" s="0" t="s">
        <v>49</v>
      </c>
      <c r="H22936" s="5">
        <v>64.501200</v>
      </c>
    </row>
    <row r="22937" spans="1:9">
      <c r="A22937" s="22" t="str">
        <f>HYPERLINK("https://app.vivvix.com/360/KMI/IntelliDrive/ApplUI/Pages/CreativePages/CustomReportCreativeDetail.aspx?App=23&amp;ReportView=4&amp;Qid=1711279&amp;Row=22929&amp;Col=1","No Title Assigned - #15281566227")</f>
        <v/>
      </c>
      <c r="B22937" s="0" t="s">
        <v>30641</v>
      </c>
      <c r="C22937" s="0" t="s">
        <v>30642</v>
      </c>
      <c r="D22937" s="0" t="s">
        <v>9167</v>
      </c>
      <c r="E22937" s="0" t="inlineStr">
        <is>
          <t xml:space="preserve">Mazda</t>
        </is>
      </c>
      <c r="F22937" s="0" t="s">
        <v>13</v>
      </c>
      <c r="G22937" s="0" t="s">
        <v>49</v>
      </c>
      <c r="H22937" s="5">
        <v>428.597000</v>
      </c>
    </row>
    <row r="22938" spans="1:9">
      <c r="A22938" s="22" t="str">
        <f>HYPERLINK("https://app.vivvix.com/360/KMI/IntelliDrive/ApplUI/Pages/CreativePages/CustomReportCreativeDetail.aspx?App=23&amp;ReportView=4&amp;Qid=1711279&amp;Row=22930&amp;Col=1","No Title Assigned - #15281568933")</f>
        <v/>
      </c>
      <c r="B22938" s="0" t="s">
        <v>30643</v>
      </c>
      <c r="E22938" s="0" t="inlineStr">
        <is>
          <t xml:space="preserve">Mazda</t>
        </is>
      </c>
      <c r="F22938" s="0" t="inlineStr">
        <is>
          <t xml:space="preserve">Mazda</t>
        </is>
      </c>
      <c r="G22938" s="0" t="s">
        <v>171</v>
      </c>
      <c r="H22938" s="5">
        <v>332.234300</v>
      </c>
    </row>
    <row r="22939" spans="1:9">
      <c r="A22939" s="22" t="str">
        <f>HYPERLINK("https://app.vivvix.com/360/KMI/IntelliDrive/ApplUI/Pages/CreativePages/CustomReportCreativeDetail.aspx?App=23&amp;ReportView=4&amp;Qid=1711279&amp;Row=22931&amp;Col=1","No Title Assigned - #15281569664")</f>
        <v/>
      </c>
      <c r="B22939" s="0" t="s">
        <v>30644</v>
      </c>
      <c r="E22939" s="0" t="inlineStr">
        <is>
          <t xml:space="preserve">Mazda</t>
        </is>
      </c>
      <c r="F22939" s="0" t="inlineStr">
        <is>
          <t xml:space="preserve">Mazda</t>
        </is>
      </c>
      <c r="G22939" s="0" t="s">
        <v>171</v>
      </c>
      <c r="H22939" s="5">
        <v>69.145000</v>
      </c>
    </row>
    <row r="22940" spans="1:9">
      <c r="A22940" s="22" t="str">
        <f>HYPERLINK("https://app.vivvix.com/360/KMI/IntelliDrive/ApplUI/Pages/CreativePages/CustomReportCreativeDetail.aspx?App=23&amp;ReportView=4&amp;Qid=1711279&amp;Row=22932&amp;Col=1","No Title Assigned - #15281572653")</f>
        <v/>
      </c>
      <c r="B22940" s="0" t="s">
        <v>30645</v>
      </c>
      <c r="E22940" s="0" t="inlineStr">
        <is>
          <t xml:space="preserve">Mazda</t>
        </is>
      </c>
      <c r="F22940" s="0" t="inlineStr">
        <is>
          <t xml:space="preserve">Mazda</t>
        </is>
      </c>
      <c r="G22940" s="0" t="s">
        <v>171</v>
      </c>
      <c r="H22940" s="5">
        <v>39.717700</v>
      </c>
    </row>
    <row r="22941" spans="1:9">
      <c r="A22941" s="22" t="str">
        <f>HYPERLINK("https://app.vivvix.com/360/KMI/IntelliDrive/ApplUI/Pages/CreativePages/CustomReportCreativeDetail.aspx?App=23&amp;ReportView=4&amp;Qid=1711279&amp;Row=22933&amp;Col=1","No Title Assigned - #15281572774")</f>
        <v/>
      </c>
      <c r="B22941" s="0" t="s">
        <v>30646</v>
      </c>
      <c r="E22941" s="0" t="inlineStr">
        <is>
          <t xml:space="preserve">Mazda</t>
        </is>
      </c>
      <c r="F22941" s="0" t="inlineStr">
        <is>
          <t xml:space="preserve">Mazda</t>
        </is>
      </c>
      <c r="G22941" s="0" t="s">
        <v>171</v>
      </c>
      <c r="H22941" s="5">
        <v>747.945200</v>
      </c>
    </row>
    <row r="22942" spans="1:9">
      <c r="A22942" s="22" t="str">
        <f>HYPERLINK("https://app.vivvix.com/360/KMI/IntelliDrive/ApplUI/Pages/CreativePages/CustomReportCreativeDetail.aspx?App=23&amp;ReportView=4&amp;Qid=1711279&amp;Row=22934&amp;Col=1","No Title Assigned - #15281573433")</f>
        <v/>
      </c>
      <c r="B22942" s="0" t="s">
        <v>30647</v>
      </c>
      <c r="E22942" s="0" t="inlineStr">
        <is>
          <t xml:space="preserve">Mazda</t>
        </is>
      </c>
      <c r="F22942" s="0" t="inlineStr">
        <is>
          <t xml:space="preserve">Mazda</t>
        </is>
      </c>
      <c r="G22942" s="0" t="s">
        <v>171</v>
      </c>
      <c r="H22942" s="5">
        <v>1157.057800</v>
      </c>
    </row>
    <row r="22943" spans="1:9">
      <c r="A22943" s="22" t="str">
        <f>HYPERLINK("https://app.vivvix.com/360/KMI/IntelliDrive/ApplUI/Pages/CreativePages/CustomReportCreativeDetail.aspx?App=23&amp;ReportView=4&amp;Qid=1711279&amp;Row=22935&amp;Col=1","No Title Assigned - #15281574188")</f>
        <v/>
      </c>
      <c r="B22943" s="0" t="s">
        <v>30648</v>
      </c>
      <c r="C22943" s="0" t="s">
        <v>30649</v>
      </c>
      <c r="D22943" s="0" t="s">
        <v>30649</v>
      </c>
      <c r="E22943" s="0" t="inlineStr">
        <is>
          <t xml:space="preserve">Mazda</t>
        </is>
      </c>
      <c r="F22943" s="0" t="s">
        <v>13</v>
      </c>
      <c r="G22943" s="0" t="s">
        <v>49</v>
      </c>
      <c r="H22943" s="5">
        <v>1003.830000</v>
      </c>
    </row>
    <row r="22944" spans="1:9">
      <c r="A22944" s="22" t="str">
        <f>HYPERLINK("https://app.vivvix.com/360/KMI/IntelliDrive/ApplUI/Pages/CreativePages/CustomReportCreativeDetail.aspx?App=23&amp;ReportView=4&amp;Qid=1711279&amp;Row=22936&amp;Col=1","No Title Assigned - #15281574309")</f>
        <v/>
      </c>
      <c r="B22944" s="0" t="s">
        <v>30650</v>
      </c>
      <c r="E22944" s="0" t="inlineStr">
        <is>
          <t xml:space="preserve">Mazda</t>
        </is>
      </c>
      <c r="F22944" s="0" t="inlineStr">
        <is>
          <t xml:space="preserve">Mazda</t>
        </is>
      </c>
      <c r="G22944" s="0" t="s">
        <v>171</v>
      </c>
      <c r="H22944" s="5">
        <v>37.243000</v>
      </c>
    </row>
    <row r="22945" spans="1:9">
      <c r="A22945" s="22" t="str">
        <f>HYPERLINK("https://app.vivvix.com/360/KMI/IntelliDrive/ApplUI/Pages/CreativePages/CustomReportCreativeDetail.aspx?App=23&amp;ReportView=4&amp;Qid=1711279&amp;Row=22937&amp;Col=1","No Title Assigned - #15281574337")</f>
        <v/>
      </c>
      <c r="B22945" s="0" t="s">
        <v>30651</v>
      </c>
      <c r="E22945" s="0" t="inlineStr">
        <is>
          <t xml:space="preserve">Mazda</t>
        </is>
      </c>
      <c r="F22945" s="0" t="inlineStr">
        <is>
          <t xml:space="preserve">Mazda</t>
        </is>
      </c>
      <c r="G22945" s="0" t="s">
        <v>171</v>
      </c>
      <c r="H22945" s="5">
        <v>29.794400</v>
      </c>
    </row>
    <row r="22946" spans="1:9">
      <c r="A22946" s="22" t="str">
        <f>HYPERLINK("https://app.vivvix.com/360/KMI/IntelliDrive/ApplUI/Pages/CreativePages/CustomReportCreativeDetail.aspx?App=23&amp;ReportView=4&amp;Qid=1711279&amp;Row=22938&amp;Col=1","No Title Assigned - #15281574352")</f>
        <v/>
      </c>
      <c r="B22946" s="0" t="s">
        <v>30652</v>
      </c>
      <c r="E22946" s="0" t="inlineStr">
        <is>
          <t xml:space="preserve">Mazda</t>
        </is>
      </c>
      <c r="F22946" s="0" t="inlineStr">
        <is>
          <t xml:space="preserve">Mazda</t>
        </is>
      </c>
      <c r="G22946" s="0" t="s">
        <v>171</v>
      </c>
      <c r="H22946" s="5">
        <v>22.345800</v>
      </c>
    </row>
    <row r="22947" spans="1:9">
      <c r="A22947" s="22" t="str">
        <f>HYPERLINK("https://app.vivvix.com/360/KMI/IntelliDrive/ApplUI/Pages/CreativePages/CustomReportCreativeDetail.aspx?App=23&amp;ReportView=4&amp;Qid=1711279&amp;Row=22939&amp;Col=1","No Title Assigned - #15281574591")</f>
        <v/>
      </c>
      <c r="B22947" s="0" t="s">
        <v>30653</v>
      </c>
      <c r="E22947" s="0" t="inlineStr">
        <is>
          <t xml:space="preserve">Mazda</t>
        </is>
      </c>
      <c r="F22947" s="0" t="inlineStr">
        <is>
          <t xml:space="preserve">Mazda</t>
        </is>
      </c>
      <c r="G22947" s="0" t="s">
        <v>171</v>
      </c>
      <c r="H22947" s="5">
        <v>490.662000</v>
      </c>
    </row>
    <row r="22948" spans="1:9">
      <c r="A22948" s="22" t="str">
        <f>HYPERLINK("https://app.vivvix.com/360/KMI/IntelliDrive/ApplUI/Pages/CreativePages/CustomReportCreativeDetail.aspx?App=23&amp;ReportView=4&amp;Qid=1711279&amp;Row=22940&amp;Col=1","No Title Assigned - #15281575550")</f>
        <v/>
      </c>
      <c r="B22948" s="0" t="s">
        <v>30654</v>
      </c>
      <c r="E22948" s="0" t="inlineStr">
        <is>
          <t xml:space="preserve">Mazda</t>
        </is>
      </c>
      <c r="F22948" s="0" t="inlineStr">
        <is>
          <t xml:space="preserve">Mazda</t>
        </is>
      </c>
      <c r="G22948" s="0" t="s">
        <v>171</v>
      </c>
      <c r="H22948" s="5">
        <v>816.766300</v>
      </c>
    </row>
    <row r="22949" spans="1:9">
      <c r="A22949" s="22" t="str">
        <f>HYPERLINK("https://app.vivvix.com/360/KMI/IntelliDrive/ApplUI/Pages/CreativePages/CustomReportCreativeDetail.aspx?App=23&amp;ReportView=4&amp;Qid=1711279&amp;Row=22941&amp;Col=1","No Title Assigned - #15281577162")</f>
        <v/>
      </c>
      <c r="B22949" s="0" t="s">
        <v>30655</v>
      </c>
      <c r="E22949" s="0" t="inlineStr">
        <is>
          <t xml:space="preserve">Mazda</t>
        </is>
      </c>
      <c r="F22949" s="0" t="inlineStr">
        <is>
          <t xml:space="preserve">Mazda</t>
        </is>
      </c>
      <c r="G22949" s="0" t="s">
        <v>171</v>
      </c>
      <c r="H22949" s="5">
        <v>29.794400</v>
      </c>
    </row>
    <row r="22950" spans="1:9">
      <c r="A22950" s="22" t="str">
        <f>HYPERLINK("https://app.vivvix.com/360/KMI/IntelliDrive/ApplUI/Pages/CreativePages/CustomReportCreativeDetail.aspx?App=23&amp;ReportView=4&amp;Qid=1711279&amp;Row=22942&amp;Col=1","No Title Assigned - #15281577310")</f>
        <v/>
      </c>
      <c r="B22950" s="0" t="s">
        <v>30656</v>
      </c>
      <c r="E22950" s="0" t="inlineStr">
        <is>
          <t xml:space="preserve">Mazda</t>
        </is>
      </c>
      <c r="F22950" s="0" t="inlineStr">
        <is>
          <t xml:space="preserve">Mazda</t>
        </is>
      </c>
      <c r="G22950" s="0" t="s">
        <v>171</v>
      </c>
      <c r="H22950" s="5">
        <v>648.900500</v>
      </c>
    </row>
    <row r="22951" spans="1:9">
      <c r="A22951" s="22" t="str">
        <f>HYPERLINK("https://app.vivvix.com/360/KMI/IntelliDrive/ApplUI/Pages/CreativePages/CustomReportCreativeDetail.aspx?App=23&amp;ReportView=4&amp;Qid=1711279&amp;Row=22943&amp;Col=1","No Title Assigned - #15281577763")</f>
        <v/>
      </c>
      <c r="B22951" s="0" t="s">
        <v>30657</v>
      </c>
      <c r="E22951" s="0" t="inlineStr">
        <is>
          <t xml:space="preserve">Mazda</t>
        </is>
      </c>
      <c r="F22951" s="0" t="inlineStr">
        <is>
          <t xml:space="preserve">Mazda</t>
        </is>
      </c>
      <c r="G22951" s="0" t="s">
        <v>171</v>
      </c>
      <c r="H22951" s="5">
        <v>124.707400</v>
      </c>
    </row>
    <row r="22952" spans="1:9">
      <c r="A22952" s="22" t="str">
        <f>HYPERLINK("https://app.vivvix.com/360/KMI/IntelliDrive/ApplUI/Pages/CreativePages/CustomReportCreativeDetail.aspx?App=23&amp;ReportView=4&amp;Qid=1711279&amp;Row=22944&amp;Col=1","No Title Assigned - #15281579529")</f>
        <v/>
      </c>
      <c r="B22952" s="0" t="s">
        <v>30658</v>
      </c>
      <c r="E22952" s="0" t="inlineStr">
        <is>
          <t xml:space="preserve">Mazda</t>
        </is>
      </c>
      <c r="F22952" s="0" t="inlineStr">
        <is>
          <t xml:space="preserve">Mazda</t>
        </is>
      </c>
      <c r="G22952" s="0" t="s">
        <v>171</v>
      </c>
      <c r="H22952" s="5">
        <v>127.420500</v>
      </c>
    </row>
    <row r="22953" spans="1:9">
      <c r="A22953" s="22" t="str">
        <f>HYPERLINK("https://app.vivvix.com/360/KMI/IntelliDrive/ApplUI/Pages/CreativePages/CustomReportCreativeDetail.aspx?App=23&amp;ReportView=4&amp;Qid=1711279&amp;Row=22945&amp;Col=1","No Title Assigned - #15281582436")</f>
        <v/>
      </c>
      <c r="B22953" s="0" t="s">
        <v>30659</v>
      </c>
      <c r="E22953" s="0" t="inlineStr">
        <is>
          <t xml:space="preserve">Mazda</t>
        </is>
      </c>
      <c r="F22953" s="0" t="inlineStr">
        <is>
          <t xml:space="preserve">Mazda</t>
        </is>
      </c>
      <c r="G22953" s="0" t="s">
        <v>171</v>
      </c>
      <c r="H22953" s="5">
        <v>2187.323000</v>
      </c>
    </row>
    <row r="22954" spans="1:9">
      <c r="A22954" s="22" t="str">
        <f>HYPERLINK("https://app.vivvix.com/360/KMI/IntelliDrive/ApplUI/Pages/CreativePages/CustomReportCreativeDetail.aspx?App=23&amp;ReportView=4&amp;Qid=1711279&amp;Row=22946&amp;Col=1","No Title Assigned - #15281583233")</f>
        <v/>
      </c>
      <c r="B22954" s="0" t="s">
        <v>30660</v>
      </c>
      <c r="E22954" s="0" t="inlineStr">
        <is>
          <t xml:space="preserve">Mazda</t>
        </is>
      </c>
      <c r="F22954" s="0" t="inlineStr">
        <is>
          <t xml:space="preserve">Mazda</t>
        </is>
      </c>
      <c r="G22954" s="0" t="s">
        <v>171</v>
      </c>
      <c r="H22954" s="5">
        <v>152.795700</v>
      </c>
    </row>
    <row r="22955" spans="1:9">
      <c r="A22955" s="22" t="str">
        <f>HYPERLINK("https://app.vivvix.com/360/KMI/IntelliDrive/ApplUI/Pages/CreativePages/CustomReportCreativeDetail.aspx?App=23&amp;ReportView=4&amp;Qid=1711279&amp;Row=22947&amp;Col=1","No Title Assigned - #15281583639")</f>
        <v/>
      </c>
      <c r="B22955" s="0" t="s">
        <v>30661</v>
      </c>
      <c r="E22955" s="0" t="inlineStr">
        <is>
          <t xml:space="preserve">Mazda</t>
        </is>
      </c>
      <c r="F22955" s="0" t="inlineStr">
        <is>
          <t xml:space="preserve">Mazda</t>
        </is>
      </c>
      <c r="G22955" s="0" t="s">
        <v>171</v>
      </c>
      <c r="H22955" s="5">
        <v>415.366000</v>
      </c>
    </row>
    <row r="22956" spans="1:9">
      <c r="A22956" s="22" t="str">
        <f>HYPERLINK("https://app.vivvix.com/360/KMI/IntelliDrive/ApplUI/Pages/CreativePages/CustomReportCreativeDetail.aspx?App=23&amp;ReportView=4&amp;Qid=1711279&amp;Row=22948&amp;Col=1","No Title Assigned - #15281590184")</f>
        <v/>
      </c>
      <c r="B22956" s="0" t="s">
        <v>30662</v>
      </c>
      <c r="E22956" s="0" t="inlineStr">
        <is>
          <t xml:space="preserve">Mazda</t>
        </is>
      </c>
      <c r="F22956" s="0" t="inlineStr">
        <is>
          <t xml:space="preserve">Mazda</t>
        </is>
      </c>
      <c r="G22956" s="0" t="s">
        <v>171</v>
      </c>
      <c r="H22956" s="5">
        <v>0.823600</v>
      </c>
    </row>
    <row r="22957" spans="1:9">
      <c r="A22957" s="22" t="str">
        <f>HYPERLINK("https://app.vivvix.com/360/KMI/IntelliDrive/ApplUI/Pages/CreativePages/CustomReportCreativeDetail.aspx?App=23&amp;ReportView=4&amp;Qid=1711279&amp;Row=22949&amp;Col=1","No Title Assigned - #15281590184")</f>
        <v/>
      </c>
      <c r="B22957" s="0" t="s">
        <v>30662</v>
      </c>
      <c r="E22957" s="0" t="inlineStr">
        <is>
          <t xml:space="preserve">Mazda</t>
        </is>
      </c>
      <c r="F22957" s="0" t="inlineStr">
        <is>
          <t xml:space="preserve">Mazda</t>
        </is>
      </c>
      <c r="G22957" s="0" t="s">
        <v>171</v>
      </c>
      <c r="H22957" s="5">
        <v>202.794100</v>
      </c>
    </row>
    <row r="22958" spans="1:9">
      <c r="A22958" s="22" t="str">
        <f>HYPERLINK("https://app.vivvix.com/360/KMI/IntelliDrive/ApplUI/Pages/CreativePages/CustomReportCreativeDetail.aspx?App=23&amp;ReportView=4&amp;Qid=1711279&amp;Row=22950&amp;Col=1","No Title Assigned - #15281592253")</f>
        <v/>
      </c>
      <c r="B22958" s="0" t="s">
        <v>30663</v>
      </c>
      <c r="E22958" s="0" t="inlineStr">
        <is>
          <t xml:space="preserve">Mazda</t>
        </is>
      </c>
      <c r="F22958" s="0" t="inlineStr">
        <is>
          <t xml:space="preserve">Mazda</t>
        </is>
      </c>
      <c r="G22958" s="0" t="s">
        <v>171</v>
      </c>
      <c r="H22958" s="5">
        <v>6.443400</v>
      </c>
    </row>
    <row r="22959" spans="1:9">
      <c r="A22959" s="22" t="str">
        <f>HYPERLINK("https://app.vivvix.com/360/KMI/IntelliDrive/ApplUI/Pages/CreativePages/CustomReportCreativeDetail.aspx?App=23&amp;ReportView=4&amp;Qid=1711279&amp;Row=22951&amp;Col=1","No Title Assigned - #15281594076")</f>
        <v/>
      </c>
      <c r="B22959" s="0" t="s">
        <v>30664</v>
      </c>
      <c r="C22959" s="0" t="s">
        <v>30665</v>
      </c>
      <c r="D22959" s="0" t="s">
        <v>11469</v>
      </c>
      <c r="E22959" s="0" t="inlineStr">
        <is>
          <t xml:space="preserve">Mazda</t>
        </is>
      </c>
      <c r="F22959" s="0" t="s">
        <v>13</v>
      </c>
      <c r="G22959" s="0" t="s">
        <v>49</v>
      </c>
      <c r="H22959" s="5">
        <v>7.610800</v>
      </c>
    </row>
    <row r="22960" spans="1:9">
      <c r="A22960" s="22" t="str">
        <f>HYPERLINK("https://app.vivvix.com/360/KMI/IntelliDrive/ApplUI/Pages/CreativePages/CustomReportCreativeDetail.aspx?App=23&amp;ReportView=4&amp;Qid=1711279&amp;Row=22952&amp;Col=1","No Title Assigned - #15281594599")</f>
        <v/>
      </c>
      <c r="B22960" s="0" t="s">
        <v>30666</v>
      </c>
      <c r="E22960" s="0" t="inlineStr">
        <is>
          <t xml:space="preserve">Mazda</t>
        </is>
      </c>
      <c r="F22960" s="0" t="inlineStr">
        <is>
          <t xml:space="preserve">Mazda</t>
        </is>
      </c>
      <c r="G22960" s="0" t="s">
        <v>171</v>
      </c>
      <c r="H22960" s="5">
        <v>3.304600</v>
      </c>
    </row>
    <row r="22961" spans="1:9">
      <c r="A22961" s="22" t="str">
        <f>HYPERLINK("https://app.vivvix.com/360/KMI/IntelliDrive/ApplUI/Pages/CreativePages/CustomReportCreativeDetail.aspx?App=23&amp;ReportView=4&amp;Qid=1711279&amp;Row=22953&amp;Col=1","No Title Assigned - #15281596246")</f>
        <v/>
      </c>
      <c r="B22961" s="0" t="s">
        <v>30667</v>
      </c>
      <c r="E22961" s="0" t="inlineStr">
        <is>
          <t xml:space="preserve">Mazda</t>
        </is>
      </c>
      <c r="F22961" s="0" t="inlineStr">
        <is>
          <t xml:space="preserve">Mazda</t>
        </is>
      </c>
      <c r="G22961" s="0" t="s">
        <v>171</v>
      </c>
      <c r="H22961" s="5">
        <v>86.965600</v>
      </c>
    </row>
    <row r="22962" spans="1:9">
      <c r="A22962" s="22" t="str">
        <f>HYPERLINK("https://app.vivvix.com/360/KMI/IntelliDrive/ApplUI/Pages/CreativePages/CustomReportCreativeDetail.aspx?App=23&amp;ReportView=4&amp;Qid=1711279&amp;Row=22954&amp;Col=1","No Title Assigned - #15281596462")</f>
        <v/>
      </c>
      <c r="B22962" s="0" t="s">
        <v>30668</v>
      </c>
      <c r="E22962" s="0" t="inlineStr">
        <is>
          <t xml:space="preserve">Mazda</t>
        </is>
      </c>
      <c r="F22962" s="0" t="inlineStr">
        <is>
          <t xml:space="preserve">Mazda</t>
        </is>
      </c>
      <c r="G22962" s="0" t="s">
        <v>171</v>
      </c>
      <c r="H22962" s="5">
        <v>5319.575600</v>
      </c>
    </row>
    <row r="22963" spans="1:9">
      <c r="A22963" s="22" t="str">
        <f>HYPERLINK("https://app.vivvix.com/360/KMI/IntelliDrive/ApplUI/Pages/CreativePages/CustomReportCreativeDetail.aspx?App=23&amp;ReportView=4&amp;Qid=1711279&amp;Row=22955&amp;Col=1","No Title Assigned - #15281598208")</f>
        <v/>
      </c>
      <c r="B22963" s="0" t="s">
        <v>30669</v>
      </c>
      <c r="E22963" s="0" t="inlineStr">
        <is>
          <t xml:space="preserve">Mazda</t>
        </is>
      </c>
      <c r="F22963" s="0" t="inlineStr">
        <is>
          <t xml:space="preserve">Mazda</t>
        </is>
      </c>
      <c r="G22963" s="0" t="s">
        <v>171</v>
      </c>
      <c r="H22963" s="5">
        <v>10.111600</v>
      </c>
    </row>
    <row r="22964" spans="1:9">
      <c r="A22964" s="22" t="str">
        <f>HYPERLINK("https://app.vivvix.com/360/KMI/IntelliDrive/ApplUI/Pages/CreativePages/CustomReportCreativeDetail.aspx?App=23&amp;ReportView=4&amp;Qid=1711279&amp;Row=22956&amp;Col=1","No Title Assigned - #15281598392")</f>
        <v/>
      </c>
      <c r="B22964" s="0" t="s">
        <v>30670</v>
      </c>
      <c r="E22964" s="0" t="inlineStr">
        <is>
          <t xml:space="preserve">Mazda</t>
        </is>
      </c>
      <c r="F22964" s="0" t="inlineStr">
        <is>
          <t xml:space="preserve">Mazda</t>
        </is>
      </c>
      <c r="G22964" s="0" t="s">
        <v>171</v>
      </c>
      <c r="H22964" s="5">
        <v>193.938200</v>
      </c>
    </row>
    <row r="22965" spans="1:9">
      <c r="A22965" s="22" t="str">
        <f>HYPERLINK("https://app.vivvix.com/360/KMI/IntelliDrive/ApplUI/Pages/CreativePages/CustomReportCreativeDetail.aspx?App=23&amp;ReportView=4&amp;Qid=1711279&amp;Row=22957&amp;Col=1","No Title Assigned - #15281598557")</f>
        <v/>
      </c>
      <c r="B22965" s="0" t="s">
        <v>30671</v>
      </c>
      <c r="E22965" s="0" t="inlineStr">
        <is>
          <t xml:space="preserve">Mazda</t>
        </is>
      </c>
      <c r="F22965" s="0" t="inlineStr">
        <is>
          <t xml:space="preserve">Mazda</t>
        </is>
      </c>
      <c r="G22965" s="0" t="s">
        <v>171</v>
      </c>
      <c r="H22965" s="5">
        <v>29.501000</v>
      </c>
    </row>
    <row r="22966" spans="1:9">
      <c r="A22966" s="22" t="str">
        <f>HYPERLINK("https://app.vivvix.com/360/KMI/IntelliDrive/ApplUI/Pages/CreativePages/CustomReportCreativeDetail.aspx?App=23&amp;ReportView=4&amp;Qid=1711279&amp;Row=22958&amp;Col=1","No Title Assigned - #15281598686")</f>
        <v/>
      </c>
      <c r="B22966" s="0" t="s">
        <v>30672</v>
      </c>
      <c r="E22966" s="0" t="inlineStr">
        <is>
          <t xml:space="preserve">Mazda</t>
        </is>
      </c>
      <c r="F22966" s="0" t="inlineStr">
        <is>
          <t xml:space="preserve">Mazda</t>
        </is>
      </c>
      <c r="G22966" s="0" t="s">
        <v>171</v>
      </c>
      <c r="H22966" s="5">
        <v>213.015200</v>
      </c>
    </row>
    <row r="22967" spans="1:9">
      <c r="A22967" s="22" t="str">
        <f>HYPERLINK("https://app.vivvix.com/360/KMI/IntelliDrive/ApplUI/Pages/CreativePages/CustomReportCreativeDetail.aspx?App=23&amp;ReportView=4&amp;Qid=1711279&amp;Row=22959&amp;Col=1","No Title Assigned - #15281600992")</f>
        <v/>
      </c>
      <c r="B22967" s="0" t="s">
        <v>30673</v>
      </c>
      <c r="E22967" s="0" t="inlineStr">
        <is>
          <t xml:space="preserve">Mazda</t>
        </is>
      </c>
      <c r="F22967" s="0" t="inlineStr">
        <is>
          <t xml:space="preserve">Mazda</t>
        </is>
      </c>
      <c r="G22967" s="0" t="s">
        <v>171</v>
      </c>
      <c r="H22967" s="5">
        <v>97.875600</v>
      </c>
    </row>
    <row r="22968" spans="1:9">
      <c r="A22968" s="22" t="str">
        <f>HYPERLINK("https://app.vivvix.com/360/KMI/IntelliDrive/ApplUI/Pages/CreativePages/CustomReportCreativeDetail.aspx?App=23&amp;ReportView=4&amp;Qid=1711279&amp;Row=22960&amp;Col=1","No Title Assigned - #15281601563")</f>
        <v/>
      </c>
      <c r="B22968" s="0" t="s">
        <v>30674</v>
      </c>
      <c r="E22968" s="0" t="inlineStr">
        <is>
          <t xml:space="preserve">Mazda</t>
        </is>
      </c>
      <c r="F22968" s="0" t="inlineStr">
        <is>
          <t xml:space="preserve">Mazda</t>
        </is>
      </c>
      <c r="G22968" s="0" t="s">
        <v>171</v>
      </c>
      <c r="H22968" s="5">
        <v>363.134200</v>
      </c>
    </row>
    <row r="22969" spans="1:9">
      <c r="A22969" s="22" t="str">
        <f>HYPERLINK("https://app.vivvix.com/360/KMI/IntelliDrive/ApplUI/Pages/CreativePages/CustomReportCreativeDetail.aspx?App=23&amp;ReportView=4&amp;Qid=1711279&amp;Row=22961&amp;Col=1","No Title Assigned - #15281601577")</f>
        <v/>
      </c>
      <c r="B22969" s="0" t="s">
        <v>30675</v>
      </c>
      <c r="E22969" s="0" t="inlineStr">
        <is>
          <t xml:space="preserve">Mazda</t>
        </is>
      </c>
      <c r="F22969" s="0" t="inlineStr">
        <is>
          <t xml:space="preserve">Mazda</t>
        </is>
      </c>
      <c r="G22969" s="0" t="s">
        <v>171</v>
      </c>
      <c r="H22969" s="5">
        <v>2.536600</v>
      </c>
    </row>
    <row r="22970" spans="1:9">
      <c r="A22970" s="22" t="str">
        <f>HYPERLINK("https://app.vivvix.com/360/KMI/IntelliDrive/ApplUI/Pages/CreativePages/CustomReportCreativeDetail.aspx?App=23&amp;ReportView=4&amp;Qid=1711279&amp;Row=22962&amp;Col=1","No Title Assigned - #15281601612")</f>
        <v/>
      </c>
      <c r="B22970" s="0" t="s">
        <v>30676</v>
      </c>
      <c r="E22970" s="0" t="inlineStr">
        <is>
          <t xml:space="preserve">Mazda</t>
        </is>
      </c>
      <c r="F22970" s="0" t="inlineStr">
        <is>
          <t xml:space="preserve">Mazda</t>
        </is>
      </c>
      <c r="G22970" s="0" t="s">
        <v>171</v>
      </c>
      <c r="H22970" s="5">
        <v>394.401400</v>
      </c>
    </row>
    <row r="22971" spans="1:9">
      <c r="A22971" s="22" t="str">
        <f>HYPERLINK("https://app.vivvix.com/360/KMI/IntelliDrive/ApplUI/Pages/CreativePages/CustomReportCreativeDetail.aspx?App=23&amp;ReportView=4&amp;Qid=1711279&amp;Row=22963&amp;Col=1","No Title Assigned - #15281604508")</f>
        <v/>
      </c>
      <c r="B22971" s="0" t="s">
        <v>30677</v>
      </c>
      <c r="E22971" s="0" t="inlineStr">
        <is>
          <t xml:space="preserve">Mazda</t>
        </is>
      </c>
      <c r="F22971" s="0" t="inlineStr">
        <is>
          <t xml:space="preserve">Mazda</t>
        </is>
      </c>
      <c r="G22971" s="0" t="s">
        <v>171</v>
      </c>
      <c r="H22971" s="5">
        <v>317.004100</v>
      </c>
    </row>
    <row r="22972" spans="1:9">
      <c r="A22972" s="22" t="str">
        <f>HYPERLINK("https://app.vivvix.com/360/KMI/IntelliDrive/ApplUI/Pages/CreativePages/CustomReportCreativeDetail.aspx?App=23&amp;ReportView=4&amp;Qid=1711279&amp;Row=22964&amp;Col=1","No Title Assigned - #15281604710")</f>
        <v/>
      </c>
      <c r="B22972" s="0" t="s">
        <v>30678</v>
      </c>
      <c r="E22972" s="0" t="inlineStr">
        <is>
          <t xml:space="preserve">Mazda</t>
        </is>
      </c>
      <c r="F22972" s="0" t="inlineStr">
        <is>
          <t xml:space="preserve">Mazda</t>
        </is>
      </c>
      <c r="G22972" s="0" t="s">
        <v>171</v>
      </c>
      <c r="H22972" s="5">
        <v>1226.772900</v>
      </c>
    </row>
    <row r="22973" spans="1:9">
      <c r="A22973" s="22" t="str">
        <f>HYPERLINK("https://app.vivvix.com/360/KMI/IntelliDrive/ApplUI/Pages/CreativePages/CustomReportCreativeDetail.aspx?App=23&amp;ReportView=4&amp;Qid=1711279&amp;Row=22965&amp;Col=1","No Title Assigned - #15281605922")</f>
        <v/>
      </c>
      <c r="B22973" s="0" t="s">
        <v>30679</v>
      </c>
      <c r="E22973" s="0" t="inlineStr">
        <is>
          <t xml:space="preserve">Mazda</t>
        </is>
      </c>
      <c r="F22973" s="0" t="inlineStr">
        <is>
          <t xml:space="preserve">Mazda</t>
        </is>
      </c>
      <c r="G22973" s="0" t="s">
        <v>171</v>
      </c>
      <c r="H22973" s="5">
        <v>69.145000</v>
      </c>
    </row>
    <row r="22974" spans="1:9">
      <c r="A22974" s="22" t="str">
        <f>HYPERLINK("https://app.vivvix.com/360/KMI/IntelliDrive/ApplUI/Pages/CreativePages/CustomReportCreativeDetail.aspx?App=23&amp;ReportView=4&amp;Qid=1711279&amp;Row=22966&amp;Col=1","No Title Assigned - #15281605924")</f>
        <v/>
      </c>
      <c r="B22974" s="0" t="s">
        <v>30680</v>
      </c>
      <c r="E22974" s="0" t="inlineStr">
        <is>
          <t xml:space="preserve">Mazda</t>
        </is>
      </c>
      <c r="F22974" s="0" t="inlineStr">
        <is>
          <t xml:space="preserve">Mazda</t>
        </is>
      </c>
      <c r="G22974" s="0" t="s">
        <v>171</v>
      </c>
      <c r="H22974" s="5">
        <v>69.145000</v>
      </c>
    </row>
    <row r="22975" spans="1:9">
      <c r="A22975" s="22" t="str">
        <f>HYPERLINK("https://app.vivvix.com/360/KMI/IntelliDrive/ApplUI/Pages/CreativePages/CustomReportCreativeDetail.aspx?App=23&amp;ReportView=4&amp;Qid=1711279&amp;Row=22967&amp;Col=1","No Title Assigned - #15281607710")</f>
        <v/>
      </c>
      <c r="B22975" s="0" t="s">
        <v>30681</v>
      </c>
      <c r="C22975" s="0" t="s">
        <v>30682</v>
      </c>
      <c r="D22975" s="0" t="s">
        <v>30682</v>
      </c>
      <c r="E22975" s="0" t="inlineStr">
        <is>
          <t xml:space="preserve">Mazda</t>
        </is>
      </c>
      <c r="F22975" s="0" t="inlineStr">
        <is>
          <t xml:space="preserve">Mazda</t>
        </is>
      </c>
      <c r="G22975" s="0" t="s">
        <v>171</v>
      </c>
      <c r="H22975" s="5">
        <v>83.246300</v>
      </c>
    </row>
    <row r="22976" spans="1:9">
      <c r="A22976" s="22" t="str">
        <f>HYPERLINK("https://app.vivvix.com/360/KMI/IntelliDrive/ApplUI/Pages/CreativePages/CustomReportCreativeDetail.aspx?App=23&amp;ReportView=4&amp;Qid=1711279&amp;Row=22968&amp;Col=1","No Title Assigned - #15281607710")</f>
        <v/>
      </c>
      <c r="B22976" s="0" t="s">
        <v>30681</v>
      </c>
      <c r="E22976" s="0" t="inlineStr">
        <is>
          <t xml:space="preserve">Mazda</t>
        </is>
      </c>
      <c r="F22976" s="0" t="inlineStr">
        <is>
          <t xml:space="preserve">Mazda</t>
        </is>
      </c>
      <c r="G22976" s="0" t="s">
        <v>171</v>
      </c>
      <c r="H22976" s="5">
        <v>141717.843800</v>
      </c>
    </row>
    <row r="22977" spans="1:9">
      <c r="A22977" s="22" t="str">
        <f>HYPERLINK("https://app.vivvix.com/360/KMI/IntelliDrive/ApplUI/Pages/CreativePages/CustomReportCreativeDetail.aspx?App=23&amp;ReportView=4&amp;Qid=1711279&amp;Row=22969&amp;Col=1","No Title Assigned - #15281608128")</f>
        <v/>
      </c>
      <c r="B22977" s="0" t="s">
        <v>30683</v>
      </c>
      <c r="E22977" s="0" t="inlineStr">
        <is>
          <t xml:space="preserve">Mazda</t>
        </is>
      </c>
      <c r="F22977" s="0" t="inlineStr">
        <is>
          <t xml:space="preserve">Mazda</t>
        </is>
      </c>
      <c r="G22977" s="0" t="s">
        <v>171</v>
      </c>
      <c r="H22977" s="5">
        <v>87.488400</v>
      </c>
    </row>
    <row r="22978" spans="1:9">
      <c r="A22978" s="22" t="str">
        <f>HYPERLINK("https://app.vivvix.com/360/KMI/IntelliDrive/ApplUI/Pages/CreativePages/CustomReportCreativeDetail.aspx?App=23&amp;ReportView=4&amp;Qid=1711279&amp;Row=22970&amp;Col=1","No Title Assigned - #15281608874")</f>
        <v/>
      </c>
      <c r="B22978" s="0" t="s">
        <v>30684</v>
      </c>
      <c r="E22978" s="0" t="inlineStr">
        <is>
          <t xml:space="preserve">Mazda</t>
        </is>
      </c>
      <c r="F22978" s="0" t="inlineStr">
        <is>
          <t xml:space="preserve">Mazda</t>
        </is>
      </c>
      <c r="G22978" s="0" t="s">
        <v>171</v>
      </c>
      <c r="H22978" s="5">
        <v>188.809100</v>
      </c>
    </row>
    <row r="22979" spans="1:9">
      <c r="A22979" s="22" t="str">
        <f>HYPERLINK("https://app.vivvix.com/360/KMI/IntelliDrive/ApplUI/Pages/CreativePages/CustomReportCreativeDetail.aspx?App=23&amp;ReportView=4&amp;Qid=1711279&amp;Row=22971&amp;Col=1","No Title Assigned - #15281609707")</f>
        <v/>
      </c>
      <c r="B22979" s="0" t="s">
        <v>30685</v>
      </c>
      <c r="E22979" s="0" t="inlineStr">
        <is>
          <t xml:space="preserve">Mazda</t>
        </is>
      </c>
      <c r="F22979" s="0" t="inlineStr">
        <is>
          <t xml:space="preserve">Mazda</t>
        </is>
      </c>
      <c r="G22979" s="0" t="s">
        <v>171</v>
      </c>
      <c r="H22979" s="5">
        <v>87.507500</v>
      </c>
    </row>
    <row r="22980" spans="1:9">
      <c r="A22980" s="22" t="str">
        <f>HYPERLINK("https://app.vivvix.com/360/KMI/IntelliDrive/ApplUI/Pages/CreativePages/CustomReportCreativeDetail.aspx?App=23&amp;ReportView=4&amp;Qid=1711279&amp;Row=22972&amp;Col=1","No Title Assigned - #15281611135")</f>
        <v/>
      </c>
      <c r="B22980" s="0" t="s">
        <v>30686</v>
      </c>
      <c r="E22980" s="0" t="inlineStr">
        <is>
          <t xml:space="preserve">Mazda</t>
        </is>
      </c>
      <c r="F22980" s="0" t="inlineStr">
        <is>
          <t xml:space="preserve">Mazda</t>
        </is>
      </c>
      <c r="G22980" s="0" t="s">
        <v>171</v>
      </c>
      <c r="H22980" s="5">
        <v>454.796400</v>
      </c>
    </row>
    <row r="22981" spans="1:9">
      <c r="A22981" s="22" t="str">
        <f>HYPERLINK("https://app.vivvix.com/360/KMI/IntelliDrive/ApplUI/Pages/CreativePages/CustomReportCreativeDetail.aspx?App=23&amp;ReportView=4&amp;Qid=1711279&amp;Row=22973&amp;Col=1","No Title Assigned - #15281611398")</f>
        <v/>
      </c>
      <c r="B22981" s="0" t="s">
        <v>30687</v>
      </c>
      <c r="E22981" s="0" t="inlineStr">
        <is>
          <t xml:space="preserve">Mazda</t>
        </is>
      </c>
      <c r="F22981" s="0" t="inlineStr">
        <is>
          <t xml:space="preserve">Mazda</t>
        </is>
      </c>
      <c r="G22981" s="0" t="s">
        <v>171</v>
      </c>
      <c r="H22981" s="5">
        <v>173.442400</v>
      </c>
    </row>
    <row r="22982" spans="1:9">
      <c r="A22982" s="22" t="str">
        <f>HYPERLINK("https://app.vivvix.com/360/KMI/IntelliDrive/ApplUI/Pages/CreativePages/CustomReportCreativeDetail.aspx?App=23&amp;ReportView=4&amp;Qid=1711279&amp;Row=22974&amp;Col=1","No Title Assigned - #15281611573")</f>
        <v/>
      </c>
      <c r="B22982" s="0" t="s">
        <v>30688</v>
      </c>
      <c r="E22982" s="0" t="inlineStr">
        <is>
          <t xml:space="preserve">Mazda</t>
        </is>
      </c>
      <c r="F22982" s="0" t="inlineStr">
        <is>
          <t xml:space="preserve">Mazda</t>
        </is>
      </c>
      <c r="G22982" s="0" t="s">
        <v>171</v>
      </c>
      <c r="H22982" s="5">
        <v>103.435000</v>
      </c>
    </row>
    <row r="22983" spans="1:9">
      <c r="A22983" s="22" t="str">
        <f>HYPERLINK("https://app.vivvix.com/360/KMI/IntelliDrive/ApplUI/Pages/CreativePages/CustomReportCreativeDetail.aspx?App=23&amp;ReportView=4&amp;Qid=1711279&amp;Row=22975&amp;Col=1","No Title Assigned - #15281612479")</f>
        <v/>
      </c>
      <c r="B22983" s="0" t="s">
        <v>30689</v>
      </c>
      <c r="E22983" s="0" t="inlineStr">
        <is>
          <t xml:space="preserve">Mazda</t>
        </is>
      </c>
      <c r="F22983" s="0" t="inlineStr">
        <is>
          <t xml:space="preserve">Mazda</t>
        </is>
      </c>
      <c r="G22983" s="0" t="s">
        <v>171</v>
      </c>
      <c r="H22983" s="5">
        <v>92.616000</v>
      </c>
    </row>
    <row r="22984" spans="1:9">
      <c r="A22984" s="22" t="str">
        <f>HYPERLINK("https://app.vivvix.com/360/KMI/IntelliDrive/ApplUI/Pages/CreativePages/CustomReportCreativeDetail.aspx?App=23&amp;ReportView=4&amp;Qid=1711279&amp;Row=22976&amp;Col=1","No Title Assigned - #15281613472")</f>
        <v/>
      </c>
      <c r="B22984" s="0" t="s">
        <v>30690</v>
      </c>
      <c r="E22984" s="0" t="inlineStr">
        <is>
          <t xml:space="preserve">Mazda</t>
        </is>
      </c>
      <c r="F22984" s="0" t="inlineStr">
        <is>
          <t xml:space="preserve">Mazda</t>
        </is>
      </c>
      <c r="G22984" s="0" t="s">
        <v>171</v>
      </c>
      <c r="H22984" s="5">
        <v>443.522800</v>
      </c>
    </row>
    <row r="22985" spans="1:9">
      <c r="A22985" s="22" t="str">
        <f>HYPERLINK("https://app.vivvix.com/360/KMI/IntelliDrive/ApplUI/Pages/CreativePages/CustomReportCreativeDetail.aspx?App=23&amp;ReportView=4&amp;Qid=1711279&amp;Row=22977&amp;Col=1","No Title Assigned - #15281614708")</f>
        <v/>
      </c>
      <c r="B22985" s="0" t="s">
        <v>30691</v>
      </c>
      <c r="E22985" s="0" t="inlineStr">
        <is>
          <t xml:space="preserve">Mazda</t>
        </is>
      </c>
      <c r="F22985" s="0" t="inlineStr">
        <is>
          <t xml:space="preserve">Mazda</t>
        </is>
      </c>
      <c r="G22985" s="0" t="s">
        <v>171</v>
      </c>
      <c r="H22985" s="5">
        <v>84.449200</v>
      </c>
    </row>
    <row r="22986" spans="1:9">
      <c r="A22986" s="22" t="str">
        <f>HYPERLINK("https://app.vivvix.com/360/KMI/IntelliDrive/ApplUI/Pages/CreativePages/CustomReportCreativeDetail.aspx?App=23&amp;ReportView=4&amp;Qid=1711279&amp;Row=22978&amp;Col=1","No Title Assigned - #15281614736")</f>
        <v/>
      </c>
      <c r="B22986" s="0" t="s">
        <v>30692</v>
      </c>
      <c r="E22986" s="0" t="inlineStr">
        <is>
          <t xml:space="preserve">Mazda</t>
        </is>
      </c>
      <c r="F22986" s="0" t="inlineStr">
        <is>
          <t xml:space="preserve">Mazda</t>
        </is>
      </c>
      <c r="G22986" s="0" t="s">
        <v>171</v>
      </c>
      <c r="H22986" s="5">
        <v>1.652300</v>
      </c>
    </row>
    <row r="22987" spans="1:9">
      <c r="A22987" s="22" t="str">
        <f>HYPERLINK("https://app.vivvix.com/360/KMI/IntelliDrive/ApplUI/Pages/CreativePages/CustomReportCreativeDetail.aspx?App=23&amp;ReportView=4&amp;Qid=1711279&amp;Row=22979&amp;Col=1","No Title Assigned - #15281615330")</f>
        <v/>
      </c>
      <c r="B22987" s="0" t="s">
        <v>30693</v>
      </c>
      <c r="E22987" s="0" t="inlineStr">
        <is>
          <t xml:space="preserve">Mazda</t>
        </is>
      </c>
      <c r="F22987" s="0" t="inlineStr">
        <is>
          <t xml:space="preserve">Mazda</t>
        </is>
      </c>
      <c r="G22987" s="0" t="s">
        <v>171</v>
      </c>
      <c r="H22987" s="5">
        <v>152.217900</v>
      </c>
    </row>
    <row r="22988" spans="1:9">
      <c r="A22988" s="22" t="str">
        <f>HYPERLINK("https://app.vivvix.com/360/KMI/IntelliDrive/ApplUI/Pages/CreativePages/CustomReportCreativeDetail.aspx?App=23&amp;ReportView=4&amp;Qid=1711279&amp;Row=22980&amp;Col=1","No Title Assigned - #15281615552")</f>
        <v/>
      </c>
      <c r="B22988" s="0" t="s">
        <v>30694</v>
      </c>
      <c r="E22988" s="0" t="inlineStr">
        <is>
          <t xml:space="preserve">Mazda</t>
        </is>
      </c>
      <c r="F22988" s="0" t="inlineStr">
        <is>
          <t xml:space="preserve">Mazda</t>
        </is>
      </c>
      <c r="G22988" s="0" t="s">
        <v>171</v>
      </c>
      <c r="H22988" s="5">
        <v>364.093300</v>
      </c>
    </row>
    <row r="22989" spans="1:9">
      <c r="A22989" s="22" t="str">
        <f>HYPERLINK("https://app.vivvix.com/360/KMI/IntelliDrive/ApplUI/Pages/CreativePages/CustomReportCreativeDetail.aspx?App=23&amp;ReportView=4&amp;Qid=1711279&amp;Row=22981&amp;Col=1","No Title Assigned - #15281616537")</f>
        <v/>
      </c>
      <c r="B22989" s="0" t="s">
        <v>30695</v>
      </c>
      <c r="E22989" s="0" t="inlineStr">
        <is>
          <t xml:space="preserve">Mazda</t>
        </is>
      </c>
      <c r="F22989" s="0" t="inlineStr">
        <is>
          <t xml:space="preserve">Mazda</t>
        </is>
      </c>
      <c r="G22989" s="0" t="s">
        <v>171</v>
      </c>
      <c r="H22989" s="5">
        <v>99.483000</v>
      </c>
    </row>
    <row r="22990" spans="1:9">
      <c r="A22990" s="22" t="str">
        <f>HYPERLINK("https://app.vivvix.com/360/KMI/IntelliDrive/ApplUI/Pages/CreativePages/CustomReportCreativeDetail.aspx?App=23&amp;ReportView=4&amp;Qid=1711279&amp;Row=22982&amp;Col=1","No Title Assigned - #15281617169")</f>
        <v/>
      </c>
      <c r="B22990" s="0" t="s">
        <v>30696</v>
      </c>
      <c r="E22990" s="0" t="inlineStr">
        <is>
          <t xml:space="preserve">Mazda</t>
        </is>
      </c>
      <c r="F22990" s="0" t="inlineStr">
        <is>
          <t xml:space="preserve">Mazda</t>
        </is>
      </c>
      <c r="G22990" s="0" t="s">
        <v>171</v>
      </c>
      <c r="H22990" s="5">
        <v>418.954800</v>
      </c>
    </row>
    <row r="22991" spans="1:9">
      <c r="A22991" s="22" t="str">
        <f>HYPERLINK("https://app.vivvix.com/360/KMI/IntelliDrive/ApplUI/Pages/CreativePages/CustomReportCreativeDetail.aspx?App=23&amp;ReportView=4&amp;Qid=1711279&amp;Row=22983&amp;Col=1","No Title Assigned - #15281617290")</f>
        <v/>
      </c>
      <c r="B22991" s="0" t="s">
        <v>30697</v>
      </c>
      <c r="E22991" s="0" t="inlineStr">
        <is>
          <t xml:space="preserve">Mazda</t>
        </is>
      </c>
      <c r="F22991" s="0" t="inlineStr">
        <is>
          <t xml:space="preserve">Mazda</t>
        </is>
      </c>
      <c r="G22991" s="0" t="s">
        <v>171</v>
      </c>
      <c r="H22991" s="5">
        <v>206.509200</v>
      </c>
    </row>
    <row r="22992" spans="1:9">
      <c r="A22992" s="22" t="str">
        <f>HYPERLINK("https://app.vivvix.com/360/KMI/IntelliDrive/ApplUI/Pages/CreativePages/CustomReportCreativeDetail.aspx?App=23&amp;ReportView=4&amp;Qid=1711279&amp;Row=22984&amp;Col=1","No Title Assigned - #15281617340")</f>
        <v/>
      </c>
      <c r="B22992" s="0" t="s">
        <v>30698</v>
      </c>
      <c r="E22992" s="0" t="inlineStr">
        <is>
          <t xml:space="preserve">Mazda</t>
        </is>
      </c>
      <c r="F22992" s="0" t="inlineStr">
        <is>
          <t xml:space="preserve">Mazda</t>
        </is>
      </c>
      <c r="G22992" s="0" t="s">
        <v>171</v>
      </c>
      <c r="H22992" s="5">
        <v>206.509200</v>
      </c>
    </row>
    <row r="22993" spans="1:9">
      <c r="A22993" s="22" t="str">
        <f>HYPERLINK("https://app.vivvix.com/360/KMI/IntelliDrive/ApplUI/Pages/CreativePages/CustomReportCreativeDetail.aspx?App=23&amp;ReportView=4&amp;Qid=1711279&amp;Row=22985&amp;Col=1","No Title Assigned - #15281618585")</f>
        <v/>
      </c>
      <c r="B22993" s="0" t="s">
        <v>30699</v>
      </c>
      <c r="E22993" s="0" t="inlineStr">
        <is>
          <t xml:space="preserve">Mazda</t>
        </is>
      </c>
      <c r="F22993" s="0" t="inlineStr">
        <is>
          <t xml:space="preserve">Mazda</t>
        </is>
      </c>
      <c r="G22993" s="0" t="s">
        <v>171</v>
      </c>
      <c r="H22993" s="5">
        <v>103.968200</v>
      </c>
    </row>
    <row r="22994" spans="1:9">
      <c r="A22994" s="22" t="str">
        <f>HYPERLINK("https://app.vivvix.com/360/KMI/IntelliDrive/ApplUI/Pages/CreativePages/CustomReportCreativeDetail.aspx?App=23&amp;ReportView=4&amp;Qid=1711279&amp;Row=22986&amp;Col=1","No Title Assigned - #15281618603")</f>
        <v/>
      </c>
      <c r="B22994" s="0" t="s">
        <v>30700</v>
      </c>
      <c r="E22994" s="0" t="inlineStr">
        <is>
          <t xml:space="preserve">Mazda</t>
        </is>
      </c>
      <c r="F22994" s="0" t="inlineStr">
        <is>
          <t xml:space="preserve">Mazda</t>
        </is>
      </c>
      <c r="G22994" s="0" t="s">
        <v>171</v>
      </c>
      <c r="H22994" s="5">
        <v>260.551500</v>
      </c>
    </row>
    <row r="22995" spans="1:9">
      <c r="A22995" s="22" t="str">
        <f>HYPERLINK("https://app.vivvix.com/360/KMI/IntelliDrive/ApplUI/Pages/CreativePages/CustomReportCreativeDetail.aspx?App=23&amp;ReportView=4&amp;Qid=1711279&amp;Row=22987&amp;Col=1","No Title Assigned - #15281618652")</f>
        <v/>
      </c>
      <c r="B22995" s="0" t="s">
        <v>30701</v>
      </c>
      <c r="C22995" s="0" t="s">
        <v>30702</v>
      </c>
      <c r="D22995" s="0" t="s">
        <v>30702</v>
      </c>
      <c r="E22995" s="0" t="inlineStr">
        <is>
          <t xml:space="preserve">Mazda</t>
        </is>
      </c>
      <c r="F22995" s="0" t="inlineStr">
        <is>
          <t xml:space="preserve">Mazda</t>
        </is>
      </c>
      <c r="G22995" s="0" t="s">
        <v>171</v>
      </c>
      <c r="H22995" s="5">
        <v>5382.764200</v>
      </c>
    </row>
    <row r="22996" spans="1:9">
      <c r="A22996" s="22" t="str">
        <f>HYPERLINK("https://app.vivvix.com/360/KMI/IntelliDrive/ApplUI/Pages/CreativePages/CustomReportCreativeDetail.aspx?App=23&amp;ReportView=4&amp;Qid=1711279&amp;Row=22988&amp;Col=1","No Title Assigned - #15281618652")</f>
        <v/>
      </c>
      <c r="B22996" s="0" t="s">
        <v>30701</v>
      </c>
      <c r="E22996" s="0" t="inlineStr">
        <is>
          <t xml:space="preserve">Mazda</t>
        </is>
      </c>
      <c r="F22996" s="0" t="inlineStr">
        <is>
          <t xml:space="preserve">Mazda</t>
        </is>
      </c>
      <c r="G22996" s="0" t="s">
        <v>171</v>
      </c>
      <c r="H22996" s="5">
        <v>15368.353000</v>
      </c>
    </row>
    <row r="22997" spans="1:9">
      <c r="A22997" s="22" t="str">
        <f>HYPERLINK("https://app.vivvix.com/360/KMI/IntelliDrive/ApplUI/Pages/CreativePages/CustomReportCreativeDetail.aspx?App=23&amp;ReportView=4&amp;Qid=1711279&amp;Row=22989&amp;Col=1","No Title Assigned - #15281619103")</f>
        <v/>
      </c>
      <c r="B22997" s="0" t="s">
        <v>30703</v>
      </c>
      <c r="E22997" s="0" t="inlineStr">
        <is>
          <t xml:space="preserve">Mazda</t>
        </is>
      </c>
      <c r="F22997" s="0" t="inlineStr">
        <is>
          <t xml:space="preserve">Mazda</t>
        </is>
      </c>
      <c r="G22997" s="0" t="s">
        <v>171</v>
      </c>
      <c r="H22997" s="5">
        <v>260.151200</v>
      </c>
    </row>
    <row r="22998" spans="1:9">
      <c r="A22998" s="22" t="str">
        <f>HYPERLINK("https://app.vivvix.com/360/KMI/IntelliDrive/ApplUI/Pages/CreativePages/CustomReportCreativeDetail.aspx?App=23&amp;ReportView=4&amp;Qid=1711279&amp;Row=22990&amp;Col=1","No Title Assigned - #15281619224")</f>
        <v/>
      </c>
      <c r="B22998" s="0" t="s">
        <v>30704</v>
      </c>
      <c r="E22998" s="0" t="inlineStr">
        <is>
          <t xml:space="preserve">Mazda</t>
        </is>
      </c>
      <c r="F22998" s="0" t="inlineStr">
        <is>
          <t xml:space="preserve">Mazda</t>
        </is>
      </c>
      <c r="G22998" s="0" t="s">
        <v>171</v>
      </c>
      <c r="H22998" s="5">
        <v>1.652300</v>
      </c>
    </row>
    <row r="22999" spans="1:9">
      <c r="A22999" s="22" t="str">
        <f>HYPERLINK("https://app.vivvix.com/360/KMI/IntelliDrive/ApplUI/Pages/CreativePages/CustomReportCreativeDetail.aspx?App=23&amp;ReportView=4&amp;Qid=1711279&amp;Row=22991&amp;Col=1","No Title Assigned - #15281621187")</f>
        <v/>
      </c>
      <c r="B22999" s="0" t="s">
        <v>30705</v>
      </c>
      <c r="E22999" s="0" t="inlineStr">
        <is>
          <t xml:space="preserve">Mazda</t>
        </is>
      </c>
      <c r="F22999" s="0" t="inlineStr">
        <is>
          <t xml:space="preserve">Mazda</t>
        </is>
      </c>
      <c r="G22999" s="0" t="s">
        <v>171</v>
      </c>
      <c r="H22999" s="5">
        <v>2615.217800</v>
      </c>
    </row>
    <row r="23000" spans="1:9">
      <c r="A23000" s="22" t="str">
        <f>HYPERLINK("https://app.vivvix.com/360/KMI/IntelliDrive/ApplUI/Pages/CreativePages/CustomReportCreativeDetail.aspx?App=23&amp;ReportView=4&amp;Qid=1711279&amp;Row=22992&amp;Col=1","No Title Assigned - #15281621500")</f>
        <v/>
      </c>
      <c r="B23000" s="0" t="s">
        <v>30706</v>
      </c>
      <c r="E23000" s="0" t="inlineStr">
        <is>
          <t xml:space="preserve">Mazda</t>
        </is>
      </c>
      <c r="F23000" s="0" t="inlineStr">
        <is>
          <t xml:space="preserve">Mazda</t>
        </is>
      </c>
      <c r="G23000" s="0" t="s">
        <v>171</v>
      </c>
      <c r="H23000" s="5">
        <v>306.066600</v>
      </c>
    </row>
    <row r="23001" spans="1:9">
      <c r="A23001" s="22" t="str">
        <f>HYPERLINK("https://app.vivvix.com/360/KMI/IntelliDrive/ApplUI/Pages/CreativePages/CustomReportCreativeDetail.aspx?App=23&amp;ReportView=4&amp;Qid=1711279&amp;Row=22993&amp;Col=1","No Title Assigned - #15281622019")</f>
        <v/>
      </c>
      <c r="B23001" s="0" t="s">
        <v>30707</v>
      </c>
      <c r="E23001" s="0" t="inlineStr">
        <is>
          <t xml:space="preserve">Mazda</t>
        </is>
      </c>
      <c r="F23001" s="0" t="inlineStr">
        <is>
          <t xml:space="preserve">Mazda</t>
        </is>
      </c>
      <c r="G23001" s="0" t="s">
        <v>171</v>
      </c>
      <c r="H23001" s="5">
        <v>1.652300</v>
      </c>
    </row>
    <row r="23002" spans="1:9">
      <c r="A23002" s="22" t="str">
        <f>HYPERLINK("https://app.vivvix.com/360/KMI/IntelliDrive/ApplUI/Pages/CreativePages/CustomReportCreativeDetail.aspx?App=23&amp;ReportView=4&amp;Qid=1711279&amp;Row=22994&amp;Col=1","No Title Assigned - #15281622227")</f>
        <v/>
      </c>
      <c r="B23002" s="0" t="s">
        <v>30708</v>
      </c>
      <c r="C23002" s="0" t="s">
        <v>30709</v>
      </c>
      <c r="D23002" s="0" t="s">
        <v>30709</v>
      </c>
      <c r="E23002" s="0" t="inlineStr">
        <is>
          <t xml:space="preserve">Mazda</t>
        </is>
      </c>
      <c r="F23002" s="0" t="inlineStr">
        <is>
          <t xml:space="preserve">Mazda</t>
        </is>
      </c>
      <c r="G23002" s="0" t="s">
        <v>171</v>
      </c>
      <c r="H23002" s="5">
        <v>36.835200</v>
      </c>
    </row>
    <row r="23003" spans="1:9">
      <c r="A23003" s="22" t="str">
        <f>HYPERLINK("https://app.vivvix.com/360/KMI/IntelliDrive/ApplUI/Pages/CreativePages/CustomReportCreativeDetail.aspx?App=23&amp;ReportView=4&amp;Qid=1711279&amp;Row=22995&amp;Col=1","No Title Assigned - #15281622227")</f>
        <v/>
      </c>
      <c r="B23003" s="0" t="s">
        <v>30708</v>
      </c>
      <c r="E23003" s="0" t="inlineStr">
        <is>
          <t xml:space="preserve">Mazda</t>
        </is>
      </c>
      <c r="F23003" s="0" t="inlineStr">
        <is>
          <t xml:space="preserve">Mazda</t>
        </is>
      </c>
      <c r="G23003" s="0" t="s">
        <v>171</v>
      </c>
      <c r="H23003" s="5">
        <v>89.172600</v>
      </c>
    </row>
    <row r="23004" spans="1:9">
      <c r="A23004" s="22" t="str">
        <f>HYPERLINK("https://app.vivvix.com/360/KMI/IntelliDrive/ApplUI/Pages/CreativePages/CustomReportCreativeDetail.aspx?App=23&amp;ReportView=4&amp;Qid=1711279&amp;Row=22996&amp;Col=1","No Title Assigned - #15281622314")</f>
        <v/>
      </c>
      <c r="B23004" s="0" t="s">
        <v>30710</v>
      </c>
      <c r="E23004" s="0" t="inlineStr">
        <is>
          <t xml:space="preserve">Mazda</t>
        </is>
      </c>
      <c r="F23004" s="0" t="inlineStr">
        <is>
          <t xml:space="preserve">Mazda</t>
        </is>
      </c>
      <c r="G23004" s="0" t="s">
        <v>171</v>
      </c>
      <c r="H23004" s="5">
        <v>3.304600</v>
      </c>
    </row>
    <row r="23005" spans="1:9">
      <c r="A23005" s="22" t="str">
        <f>HYPERLINK("https://app.vivvix.com/360/KMI/IntelliDrive/ApplUI/Pages/CreativePages/CustomReportCreativeDetail.aspx?App=23&amp;ReportView=4&amp;Qid=1711279&amp;Row=22997&amp;Col=1","No Title Assigned - #15281622521")</f>
        <v/>
      </c>
      <c r="B23005" s="0" t="s">
        <v>30711</v>
      </c>
      <c r="E23005" s="0" t="inlineStr">
        <is>
          <t xml:space="preserve">Mazda</t>
        </is>
      </c>
      <c r="F23005" s="0" t="inlineStr">
        <is>
          <t xml:space="preserve">Mazda</t>
        </is>
      </c>
      <c r="G23005" s="0" t="s">
        <v>171</v>
      </c>
      <c r="H23005" s="5">
        <v>2.536600</v>
      </c>
    </row>
    <row r="23006" spans="1:9">
      <c r="A23006" s="22" t="str">
        <f>HYPERLINK("https://app.vivvix.com/360/KMI/IntelliDrive/ApplUI/Pages/CreativePages/CustomReportCreativeDetail.aspx?App=23&amp;ReportView=4&amp;Qid=1711279&amp;Row=22998&amp;Col=1","No Title Assigned - #15281623000")</f>
        <v/>
      </c>
      <c r="B23006" s="0" t="s">
        <v>30712</v>
      </c>
      <c r="E23006" s="0" t="inlineStr">
        <is>
          <t xml:space="preserve">Mazda</t>
        </is>
      </c>
      <c r="F23006" s="0" t="inlineStr">
        <is>
          <t xml:space="preserve">Mazda</t>
        </is>
      </c>
      <c r="G23006" s="0" t="s">
        <v>171</v>
      </c>
      <c r="H23006" s="5">
        <v>13.751600</v>
      </c>
    </row>
    <row r="23007" spans="1:9">
      <c r="A23007" s="22" t="str">
        <f>HYPERLINK("https://app.vivvix.com/360/KMI/IntelliDrive/ApplUI/Pages/CreativePages/CustomReportCreativeDetail.aspx?App=23&amp;ReportView=4&amp;Qid=1711279&amp;Row=22999&amp;Col=1","No Title Assigned - #15281623265")</f>
        <v/>
      </c>
      <c r="B23007" s="0" t="s">
        <v>30713</v>
      </c>
      <c r="E23007" s="0" t="inlineStr">
        <is>
          <t xml:space="preserve">Mazda</t>
        </is>
      </c>
      <c r="F23007" s="0" t="inlineStr">
        <is>
          <t xml:space="preserve">Mazda</t>
        </is>
      </c>
      <c r="G23007" s="0" t="s">
        <v>171</v>
      </c>
      <c r="H23007" s="5">
        <v>420.224300</v>
      </c>
    </row>
    <row r="23008" spans="1:9">
      <c r="A23008" s="22" t="str">
        <f>HYPERLINK("https://app.vivvix.com/360/KMI/IntelliDrive/ApplUI/Pages/CreativePages/CustomReportCreativeDetail.aspx?App=23&amp;ReportView=4&amp;Qid=1711279&amp;Row=23000&amp;Col=1","No Title Assigned - #15281623373")</f>
        <v/>
      </c>
      <c r="B23008" s="0" t="s">
        <v>30714</v>
      </c>
      <c r="E23008" s="0" t="inlineStr">
        <is>
          <t xml:space="preserve">Mazda</t>
        </is>
      </c>
      <c r="F23008" s="0" t="inlineStr">
        <is>
          <t xml:space="preserve">Mazda</t>
        </is>
      </c>
      <c r="G23008" s="0" t="s">
        <v>171</v>
      </c>
      <c r="H23008" s="5">
        <v>226.534400</v>
      </c>
    </row>
    <row r="23009" spans="1:9">
      <c r="A23009" s="22" t="str">
        <f>HYPERLINK("https://app.vivvix.com/360/KMI/IntelliDrive/ApplUI/Pages/CreativePages/CustomReportCreativeDetail.aspx?App=23&amp;ReportView=4&amp;Qid=1711279&amp;Row=23001&amp;Col=1","No Title Assigned - #15281623635")</f>
        <v/>
      </c>
      <c r="B23009" s="0" t="s">
        <v>30715</v>
      </c>
      <c r="E23009" s="0" t="inlineStr">
        <is>
          <t xml:space="preserve">Mazda</t>
        </is>
      </c>
      <c r="F23009" s="0" t="inlineStr">
        <is>
          <t xml:space="preserve">Mazda</t>
        </is>
      </c>
      <c r="G23009" s="0" t="s">
        <v>171</v>
      </c>
      <c r="H23009" s="5">
        <v>111.864100</v>
      </c>
    </row>
    <row r="23010" spans="1:9">
      <c r="A23010" s="22" t="str">
        <f>HYPERLINK("https://app.vivvix.com/360/KMI/IntelliDrive/ApplUI/Pages/CreativePages/CustomReportCreativeDetail.aspx?App=23&amp;ReportView=4&amp;Qid=1711279&amp;Row=23002&amp;Col=1","No Title Assigned - #15281623635")</f>
        <v/>
      </c>
      <c r="B23010" s="0" t="s">
        <v>30715</v>
      </c>
      <c r="E23010" s="0" t="inlineStr">
        <is>
          <t xml:space="preserve">Mazda</t>
        </is>
      </c>
      <c r="F23010" s="0" t="inlineStr">
        <is>
          <t xml:space="preserve">Mazda</t>
        </is>
      </c>
      <c r="G23010" s="0" t="s">
        <v>171</v>
      </c>
      <c r="H23010" s="5">
        <v>883.020000</v>
      </c>
    </row>
    <row r="23011" spans="1:9">
      <c r="A23011" s="22" t="str">
        <f>HYPERLINK("https://app.vivvix.com/360/KMI/IntelliDrive/ApplUI/Pages/CreativePages/CustomReportCreativeDetail.aspx?App=23&amp;ReportView=4&amp;Qid=1711279&amp;Row=23003&amp;Col=1","No Title Assigned - #15281623803")</f>
        <v/>
      </c>
      <c r="B23011" s="0" t="s">
        <v>30716</v>
      </c>
      <c r="E23011" s="0" t="inlineStr">
        <is>
          <t xml:space="preserve">Mazda</t>
        </is>
      </c>
      <c r="F23011" s="0" t="inlineStr">
        <is>
          <t xml:space="preserve">Mazda</t>
        </is>
      </c>
      <c r="G23011" s="0" t="s">
        <v>171</v>
      </c>
      <c r="H23011" s="5">
        <v>749.250200</v>
      </c>
    </row>
    <row r="23012" spans="1:9">
      <c r="A23012" s="22" t="str">
        <f>HYPERLINK("https://app.vivvix.com/360/KMI/IntelliDrive/ApplUI/Pages/CreativePages/CustomReportCreativeDetail.aspx?App=23&amp;ReportView=4&amp;Qid=1711279&amp;Row=23004&amp;Col=1","No Title Assigned - #15281626802")</f>
        <v/>
      </c>
      <c r="B23012" s="0" t="s">
        <v>30717</v>
      </c>
      <c r="E23012" s="0" t="inlineStr">
        <is>
          <t xml:space="preserve">Mazda</t>
        </is>
      </c>
      <c r="F23012" s="0" t="inlineStr">
        <is>
          <t xml:space="preserve">Mazda</t>
        </is>
      </c>
      <c r="G23012" s="0" t="s">
        <v>171</v>
      </c>
      <c r="H23012" s="5">
        <v>57.902600</v>
      </c>
    </row>
    <row r="23013" spans="1:9">
      <c r="A23013" s="22" t="str">
        <f>HYPERLINK("https://app.vivvix.com/360/KMI/IntelliDrive/ApplUI/Pages/CreativePages/CustomReportCreativeDetail.aspx?App=23&amp;ReportView=4&amp;Qid=1711279&amp;Row=23005&amp;Col=1","No Title Assigned - #15281626899")</f>
        <v/>
      </c>
      <c r="B23013" s="0" t="s">
        <v>30718</v>
      </c>
      <c r="E23013" s="0" t="inlineStr">
        <is>
          <t xml:space="preserve">Mazda</t>
        </is>
      </c>
      <c r="F23013" s="0" t="inlineStr">
        <is>
          <t xml:space="preserve">Mazda</t>
        </is>
      </c>
      <c r="G23013" s="0" t="s">
        <v>171</v>
      </c>
      <c r="H23013" s="5">
        <v>1138.282800</v>
      </c>
    </row>
    <row r="23014" spans="1:9">
      <c r="A23014" s="22" t="str">
        <f>HYPERLINK("https://app.vivvix.com/360/KMI/IntelliDrive/ApplUI/Pages/CreativePages/CustomReportCreativeDetail.aspx?App=23&amp;ReportView=4&amp;Qid=1711279&amp;Row=23006&amp;Col=1","No Title Assigned - #15281626903")</f>
        <v/>
      </c>
      <c r="B23014" s="0" t="s">
        <v>30719</v>
      </c>
      <c r="E23014" s="0" t="inlineStr">
        <is>
          <t xml:space="preserve">Mazda</t>
        </is>
      </c>
      <c r="F23014" s="0" t="inlineStr">
        <is>
          <t xml:space="preserve">Mazda</t>
        </is>
      </c>
      <c r="G23014" s="0" t="s">
        <v>171</v>
      </c>
      <c r="H23014" s="5">
        <v>223.794000</v>
      </c>
    </row>
    <row r="23015" spans="1:9">
      <c r="A23015" s="22" t="str">
        <f>HYPERLINK("https://app.vivvix.com/360/KMI/IntelliDrive/ApplUI/Pages/CreativePages/CustomReportCreativeDetail.aspx?App=23&amp;ReportView=4&amp;Qid=1711279&amp;Row=23007&amp;Col=1","No Title Assigned - #15281626904")</f>
        <v/>
      </c>
      <c r="B23015" s="0" t="s">
        <v>30720</v>
      </c>
      <c r="E23015" s="0" t="inlineStr">
        <is>
          <t xml:space="preserve">Mazda</t>
        </is>
      </c>
      <c r="F23015" s="0" t="inlineStr">
        <is>
          <t xml:space="preserve">Mazda</t>
        </is>
      </c>
      <c r="G23015" s="0" t="s">
        <v>171</v>
      </c>
      <c r="H23015" s="5">
        <v>111.897000</v>
      </c>
    </row>
    <row r="23016" spans="1:9">
      <c r="A23016" s="22" t="str">
        <f>HYPERLINK("https://app.vivvix.com/360/KMI/IntelliDrive/ApplUI/Pages/CreativePages/CustomReportCreativeDetail.aspx?App=23&amp;ReportView=4&amp;Qid=1711279&amp;Row=23008&amp;Col=1","No Title Assigned - #15281627092")</f>
        <v/>
      </c>
      <c r="B23016" s="0" t="s">
        <v>30721</v>
      </c>
      <c r="E23016" s="0" t="inlineStr">
        <is>
          <t xml:space="preserve">Mazda</t>
        </is>
      </c>
      <c r="F23016" s="0" t="inlineStr">
        <is>
          <t xml:space="preserve">Mazda</t>
        </is>
      </c>
      <c r="G23016" s="0" t="s">
        <v>171</v>
      </c>
      <c r="H23016" s="5">
        <v>30034.018700</v>
      </c>
    </row>
    <row r="23017" spans="1:9">
      <c r="A23017" s="22" t="str">
        <f>HYPERLINK("https://app.vivvix.com/360/KMI/IntelliDrive/ApplUI/Pages/CreativePages/CustomReportCreativeDetail.aspx?App=23&amp;ReportView=4&amp;Qid=1711279&amp;Row=23009&amp;Col=1","No Title Assigned - #15281627266")</f>
        <v/>
      </c>
      <c r="B23017" s="0" t="s">
        <v>30722</v>
      </c>
      <c r="E23017" s="0" t="inlineStr">
        <is>
          <t xml:space="preserve">Mazda</t>
        </is>
      </c>
      <c r="F23017" s="0" t="inlineStr">
        <is>
          <t xml:space="preserve">Mazda</t>
        </is>
      </c>
      <c r="G23017" s="0" t="s">
        <v>171</v>
      </c>
      <c r="H23017" s="5">
        <v>241.592000</v>
      </c>
    </row>
    <row r="23018" spans="1:9">
      <c r="A23018" s="22" t="str">
        <f>HYPERLINK("https://app.vivvix.com/360/KMI/IntelliDrive/ApplUI/Pages/CreativePages/CustomReportCreativeDetail.aspx?App=23&amp;ReportView=4&amp;Qid=1711279&amp;Row=23010&amp;Col=1","No Title Assigned - #15281627380")</f>
        <v/>
      </c>
      <c r="B23018" s="0" t="s">
        <v>30723</v>
      </c>
      <c r="E23018" s="0" t="inlineStr">
        <is>
          <t xml:space="preserve">Mazda</t>
        </is>
      </c>
      <c r="F23018" s="0" t="inlineStr">
        <is>
          <t xml:space="preserve">Mazda</t>
        </is>
      </c>
      <c r="G23018" s="0" t="s">
        <v>171</v>
      </c>
      <c r="H23018" s="5">
        <v>443.928300</v>
      </c>
    </row>
    <row r="23019" spans="1:9">
      <c r="A23019" s="22" t="str">
        <f>HYPERLINK("https://app.vivvix.com/360/KMI/IntelliDrive/ApplUI/Pages/CreativePages/CustomReportCreativeDetail.aspx?App=23&amp;ReportView=4&amp;Qid=1711279&amp;Row=23011&amp;Col=1","No Title Assigned - #15281627671")</f>
        <v/>
      </c>
      <c r="B23019" s="0" t="s">
        <v>30724</v>
      </c>
      <c r="E23019" s="0" t="inlineStr">
        <is>
          <t xml:space="preserve">Mazda</t>
        </is>
      </c>
      <c r="F23019" s="0" t="inlineStr">
        <is>
          <t xml:space="preserve">Mazda</t>
        </is>
      </c>
      <c r="G23019" s="0" t="s">
        <v>171</v>
      </c>
      <c r="H23019" s="5">
        <v>19.813500</v>
      </c>
    </row>
    <row r="23020" spans="1:9">
      <c r="A23020" s="22" t="str">
        <f>HYPERLINK("https://app.vivvix.com/360/KMI/IntelliDrive/ApplUI/Pages/CreativePages/CustomReportCreativeDetail.aspx?App=23&amp;ReportView=4&amp;Qid=1711279&amp;Row=23012&amp;Col=1","No Title Assigned - #15281628407")</f>
        <v/>
      </c>
      <c r="B23020" s="0" t="s">
        <v>30725</v>
      </c>
      <c r="C23020" s="0" t="s">
        <v>30726</v>
      </c>
      <c r="D23020" s="0" t="s">
        <v>30726</v>
      </c>
      <c r="E23020" s="0" t="inlineStr">
        <is>
          <t xml:space="preserve">Mazda</t>
        </is>
      </c>
      <c r="F23020" s="0" t="inlineStr">
        <is>
          <t xml:space="preserve">Mazda</t>
        </is>
      </c>
      <c r="G23020" s="0" t="s">
        <v>171</v>
      </c>
      <c r="H23020" s="5">
        <v>7007.556300</v>
      </c>
    </row>
    <row r="23021" spans="1:9">
      <c r="A23021" s="22" t="str">
        <f>HYPERLINK("https://app.vivvix.com/360/KMI/IntelliDrive/ApplUI/Pages/CreativePages/CustomReportCreativeDetail.aspx?App=23&amp;ReportView=4&amp;Qid=1711279&amp;Row=23013&amp;Col=1","No Title Assigned - #15281628592")</f>
        <v/>
      </c>
      <c r="B23021" s="0" t="s">
        <v>30727</v>
      </c>
      <c r="E23021" s="0" t="inlineStr">
        <is>
          <t xml:space="preserve">Mazda</t>
        </is>
      </c>
      <c r="F23021" s="0" t="inlineStr">
        <is>
          <t xml:space="preserve">Mazda</t>
        </is>
      </c>
      <c r="G23021" s="0" t="s">
        <v>171</v>
      </c>
      <c r="H23021" s="5">
        <v>63.520800</v>
      </c>
    </row>
    <row r="23022" spans="1:9">
      <c r="A23022" s="22" t="str">
        <f>HYPERLINK("https://app.vivvix.com/360/KMI/IntelliDrive/ApplUI/Pages/CreativePages/CustomReportCreativeDetail.aspx?App=23&amp;ReportView=4&amp;Qid=1711279&amp;Row=23014&amp;Col=1","No Title Assigned - #15281628598")</f>
        <v/>
      </c>
      <c r="B23022" s="0" t="s">
        <v>30728</v>
      </c>
      <c r="E23022" s="0" t="inlineStr">
        <is>
          <t xml:space="preserve">Mazda</t>
        </is>
      </c>
      <c r="F23022" s="0" t="inlineStr">
        <is>
          <t xml:space="preserve">Mazda</t>
        </is>
      </c>
      <c r="G23022" s="0" t="s">
        <v>171</v>
      </c>
      <c r="H23022" s="5">
        <v>945.935600</v>
      </c>
    </row>
    <row r="23023" spans="1:9">
      <c r="A23023" s="22" t="str">
        <f>HYPERLINK("https://app.vivvix.com/360/KMI/IntelliDrive/ApplUI/Pages/CreativePages/CustomReportCreativeDetail.aspx?App=23&amp;ReportView=4&amp;Qid=1711279&amp;Row=23015&amp;Col=1","No Title Assigned - #15281628894")</f>
        <v/>
      </c>
      <c r="B23023" s="0" t="s">
        <v>30729</v>
      </c>
      <c r="E23023" s="0" t="inlineStr">
        <is>
          <t xml:space="preserve">Mazda</t>
        </is>
      </c>
      <c r="F23023" s="0" t="inlineStr">
        <is>
          <t xml:space="preserve">Mazda</t>
        </is>
      </c>
      <c r="G23023" s="0" t="s">
        <v>171</v>
      </c>
      <c r="H23023" s="5">
        <v>54.412000</v>
      </c>
    </row>
    <row r="23024" spans="1:9">
      <c r="A23024" s="22" t="str">
        <f>HYPERLINK("https://app.vivvix.com/360/KMI/IntelliDrive/ApplUI/Pages/CreativePages/CustomReportCreativeDetail.aspx?App=23&amp;ReportView=4&amp;Qid=1711279&amp;Row=23016&amp;Col=1","No Title Assigned - #15281629367")</f>
        <v/>
      </c>
      <c r="B23024" s="0" t="s">
        <v>30730</v>
      </c>
      <c r="E23024" s="0" t="inlineStr">
        <is>
          <t xml:space="preserve">Mazda</t>
        </is>
      </c>
      <c r="F23024" s="0" t="inlineStr">
        <is>
          <t xml:space="preserve">Mazda</t>
        </is>
      </c>
      <c r="G23024" s="0" t="s">
        <v>171</v>
      </c>
      <c r="H23024" s="5">
        <v>12.278400</v>
      </c>
    </row>
    <row r="23025" spans="1:9">
      <c r="A23025" s="22" t="str">
        <f>HYPERLINK("https://app.vivvix.com/360/KMI/IntelliDrive/ApplUI/Pages/CreativePages/CustomReportCreativeDetail.aspx?App=23&amp;ReportView=4&amp;Qid=1711279&amp;Row=23017&amp;Col=1","No Title Assigned - #15281629443")</f>
        <v/>
      </c>
      <c r="B23025" s="0" t="s">
        <v>30731</v>
      </c>
      <c r="E23025" s="0" t="inlineStr">
        <is>
          <t xml:space="preserve">Mazda</t>
        </is>
      </c>
      <c r="F23025" s="0" t="inlineStr">
        <is>
          <t xml:space="preserve">Mazda</t>
        </is>
      </c>
      <c r="G23025" s="0" t="s">
        <v>171</v>
      </c>
      <c r="H23025" s="5">
        <v>11189.618400</v>
      </c>
    </row>
    <row r="23026" spans="1:9">
      <c r="A23026" s="22" t="str">
        <f>HYPERLINK("https://app.vivvix.com/360/KMI/IntelliDrive/ApplUI/Pages/CreativePages/CustomReportCreativeDetail.aspx?App=23&amp;ReportView=4&amp;Qid=1711279&amp;Row=23018&amp;Col=1","No Title Assigned - #15281629851")</f>
        <v/>
      </c>
      <c r="B23026" s="0" t="s">
        <v>30732</v>
      </c>
      <c r="E23026" s="0" t="inlineStr">
        <is>
          <t xml:space="preserve">Mazda</t>
        </is>
      </c>
      <c r="F23026" s="0" t="inlineStr">
        <is>
          <t xml:space="preserve">Mazda</t>
        </is>
      </c>
      <c r="G23026" s="0" t="s">
        <v>171</v>
      </c>
      <c r="H23026" s="5">
        <v>1375.745200</v>
      </c>
    </row>
    <row r="23027" spans="1:9">
      <c r="A23027" s="22" t="str">
        <f>HYPERLINK("https://app.vivvix.com/360/KMI/IntelliDrive/ApplUI/Pages/CreativePages/CustomReportCreativeDetail.aspx?App=23&amp;ReportView=4&amp;Qid=1711279&amp;Row=23019&amp;Col=1","No Title Assigned - #15281629854")</f>
        <v/>
      </c>
      <c r="B23027" s="0" t="s">
        <v>30733</v>
      </c>
      <c r="E23027" s="0" t="inlineStr">
        <is>
          <t xml:space="preserve">Mazda</t>
        </is>
      </c>
      <c r="F23027" s="0" t="inlineStr">
        <is>
          <t xml:space="preserve">Mazda</t>
        </is>
      </c>
      <c r="G23027" s="0" t="s">
        <v>171</v>
      </c>
      <c r="H23027" s="5">
        <v>550.845200</v>
      </c>
    </row>
    <row r="23028" spans="1:9">
      <c r="A23028" s="22" t="str">
        <f>HYPERLINK("https://app.vivvix.com/360/KMI/IntelliDrive/ApplUI/Pages/CreativePages/CustomReportCreativeDetail.aspx?App=23&amp;ReportView=4&amp;Qid=1711279&amp;Row=23020&amp;Col=1","No Title Assigned - #15281632235")</f>
        <v/>
      </c>
      <c r="B23028" s="0" t="s">
        <v>30734</v>
      </c>
      <c r="E23028" s="0" t="inlineStr">
        <is>
          <t xml:space="preserve">Mazda</t>
        </is>
      </c>
      <c r="F23028" s="0" t="inlineStr">
        <is>
          <t xml:space="preserve">Mazda</t>
        </is>
      </c>
      <c r="G23028" s="0" t="s">
        <v>171</v>
      </c>
      <c r="H23028" s="5">
        <v>22.345800</v>
      </c>
    </row>
    <row r="23029" spans="1:9">
      <c r="A23029" s="22" t="str">
        <f>HYPERLINK("https://app.vivvix.com/360/KMI/IntelliDrive/ApplUI/Pages/CreativePages/CustomReportCreativeDetail.aspx?App=23&amp;ReportView=4&amp;Qid=1711279&amp;Row=23021&amp;Col=1","No Title Assigned - #15281646134")</f>
        <v/>
      </c>
      <c r="B23029" s="0" t="s">
        <v>30735</v>
      </c>
      <c r="E23029" s="0" t="inlineStr">
        <is>
          <t xml:space="preserve">Mazda</t>
        </is>
      </c>
      <c r="F23029" s="0" t="inlineStr">
        <is>
          <t xml:space="preserve">Mazda</t>
        </is>
      </c>
      <c r="G23029" s="0" t="s">
        <v>171</v>
      </c>
      <c r="H23029" s="5">
        <v>127.578400</v>
      </c>
    </row>
    <row r="23030" spans="1:9">
      <c r="A23030" s="22" t="str">
        <f>HYPERLINK("https://app.vivvix.com/360/KMI/IntelliDrive/ApplUI/Pages/CreativePages/CustomReportCreativeDetail.aspx?App=23&amp;ReportView=4&amp;Qid=1711279&amp;Row=23022&amp;Col=1","No Title Assigned - #15281647373")</f>
        <v/>
      </c>
      <c r="B23030" s="0" t="s">
        <v>30736</v>
      </c>
      <c r="E23030" s="0" t="inlineStr">
        <is>
          <t xml:space="preserve">Mazda</t>
        </is>
      </c>
      <c r="F23030" s="0" t="inlineStr">
        <is>
          <t xml:space="preserve">Mazda</t>
        </is>
      </c>
      <c r="G23030" s="0" t="s">
        <v>171</v>
      </c>
      <c r="H23030" s="5">
        <v>837.617900</v>
      </c>
    </row>
    <row r="23031" spans="1:9">
      <c r="A23031" s="22" t="str">
        <f>HYPERLINK("https://app.vivvix.com/360/KMI/IntelliDrive/ApplUI/Pages/CreativePages/CustomReportCreativeDetail.aspx?App=23&amp;ReportView=4&amp;Qid=1711279&amp;Row=23023&amp;Col=1","No Title Assigned - #15281647373")</f>
        <v/>
      </c>
      <c r="B23031" s="0" t="s">
        <v>30736</v>
      </c>
      <c r="E23031" s="0" t="inlineStr">
        <is>
          <t xml:space="preserve">Mazda</t>
        </is>
      </c>
      <c r="F23031" s="0" t="inlineStr">
        <is>
          <t xml:space="preserve">Mazda</t>
        </is>
      </c>
      <c r="G23031" s="0" t="s">
        <v>171</v>
      </c>
      <c r="H23031" s="5">
        <v>44.455800</v>
      </c>
    </row>
    <row r="23032" spans="1:9">
      <c r="A23032" s="22" t="str">
        <f>HYPERLINK("https://app.vivvix.com/360/KMI/IntelliDrive/ApplUI/Pages/CreativePages/CustomReportCreativeDetail.aspx?App=23&amp;ReportView=4&amp;Qid=1711279&amp;Row=23024&amp;Col=1","No Title Assigned - #15281647382")</f>
        <v/>
      </c>
      <c r="B23032" s="0" t="s">
        <v>30737</v>
      </c>
      <c r="E23032" s="0" t="inlineStr">
        <is>
          <t xml:space="preserve">Mazda</t>
        </is>
      </c>
      <c r="F23032" s="0" t="inlineStr">
        <is>
          <t xml:space="preserve">Mazda</t>
        </is>
      </c>
      <c r="G23032" s="0" t="s">
        <v>171</v>
      </c>
      <c r="H23032" s="5">
        <v>976.346600</v>
      </c>
    </row>
    <row r="23033" spans="1:9">
      <c r="A23033" s="22" t="str">
        <f>HYPERLINK("https://app.vivvix.com/360/KMI/IntelliDrive/ApplUI/Pages/CreativePages/CustomReportCreativeDetail.aspx?App=23&amp;ReportView=4&amp;Qid=1711279&amp;Row=23025&amp;Col=1","No Title Assigned - #15281647959")</f>
        <v/>
      </c>
      <c r="B23033" s="0" t="s">
        <v>30738</v>
      </c>
      <c r="E23033" s="0" t="inlineStr">
        <is>
          <t xml:space="preserve">Mazda</t>
        </is>
      </c>
      <c r="F23033" s="0" t="inlineStr">
        <is>
          <t xml:space="preserve">Mazda</t>
        </is>
      </c>
      <c r="G23033" s="0" t="s">
        <v>171</v>
      </c>
      <c r="H23033" s="5">
        <v>433.813500</v>
      </c>
    </row>
    <row r="23034" spans="1:9">
      <c r="A23034" s="22" t="str">
        <f>HYPERLINK("https://app.vivvix.com/360/KMI/IntelliDrive/ApplUI/Pages/CreativePages/CustomReportCreativeDetail.aspx?App=23&amp;ReportView=4&amp;Qid=1711279&amp;Row=23026&amp;Col=1","No Title Assigned - #15281647959")</f>
        <v/>
      </c>
      <c r="B23034" s="0" t="s">
        <v>30738</v>
      </c>
      <c r="E23034" s="0" t="inlineStr">
        <is>
          <t xml:space="preserve">Mazda</t>
        </is>
      </c>
      <c r="F23034" s="0" t="inlineStr">
        <is>
          <t xml:space="preserve">Mazda</t>
        </is>
      </c>
      <c r="G23034" s="0" t="s">
        <v>171</v>
      </c>
      <c r="H23034" s="5">
        <v>497.299600</v>
      </c>
    </row>
    <row r="23035" spans="1:9">
      <c r="A23035" s="22" t="str">
        <f>HYPERLINK("https://app.vivvix.com/360/KMI/IntelliDrive/ApplUI/Pages/CreativePages/CustomReportCreativeDetail.aspx?App=23&amp;ReportView=4&amp;Qid=1711279&amp;Row=23027&amp;Col=1","No Title Assigned - #15281648211")</f>
        <v/>
      </c>
      <c r="B23035" s="0" t="s">
        <v>30739</v>
      </c>
      <c r="E23035" s="0" t="inlineStr">
        <is>
          <t xml:space="preserve">Mazda</t>
        </is>
      </c>
      <c r="F23035" s="0" t="inlineStr">
        <is>
          <t xml:space="preserve">Mazda</t>
        </is>
      </c>
      <c r="G23035" s="0" t="s">
        <v>171</v>
      </c>
      <c r="H23035" s="5">
        <v>443.000400</v>
      </c>
    </row>
    <row r="23036" spans="1:9">
      <c r="A23036" s="22" t="str">
        <f>HYPERLINK("https://app.vivvix.com/360/KMI/IntelliDrive/ApplUI/Pages/CreativePages/CustomReportCreativeDetail.aspx?App=23&amp;ReportView=4&amp;Qid=1711279&amp;Row=23028&amp;Col=1","No Title Assigned - #15281655210")</f>
        <v/>
      </c>
      <c r="B23036" s="0" t="s">
        <v>30740</v>
      </c>
      <c r="E23036" s="0" t="inlineStr">
        <is>
          <t xml:space="preserve">Mazda</t>
        </is>
      </c>
      <c r="F23036" s="0" t="inlineStr">
        <is>
          <t xml:space="preserve">Mazda</t>
        </is>
      </c>
      <c r="G23036" s="0" t="s">
        <v>171</v>
      </c>
      <c r="H23036" s="5">
        <v>743.875500</v>
      </c>
    </row>
    <row r="23037" spans="1:9">
      <c r="A23037" s="22" t="str">
        <f>HYPERLINK("https://app.vivvix.com/360/KMI/IntelliDrive/ApplUI/Pages/CreativePages/CustomReportCreativeDetail.aspx?App=23&amp;ReportView=4&amp;Qid=1711279&amp;Row=23029&amp;Col=1","No Title Assigned - #15281656897")</f>
        <v/>
      </c>
      <c r="B23037" s="0" t="s">
        <v>30741</v>
      </c>
      <c r="E23037" s="0" t="inlineStr">
        <is>
          <t xml:space="preserve">Mazda</t>
        </is>
      </c>
      <c r="F23037" s="0" t="inlineStr">
        <is>
          <t xml:space="preserve">Mazda</t>
        </is>
      </c>
      <c r="G23037" s="0" t="s">
        <v>171</v>
      </c>
      <c r="H23037" s="5">
        <v>4249.779500</v>
      </c>
    </row>
    <row r="23038" spans="1:9">
      <c r="A23038" s="22" t="str">
        <f>HYPERLINK("https://app.vivvix.com/360/KMI/IntelliDrive/ApplUI/Pages/CreativePages/CustomReportCreativeDetail.aspx?App=23&amp;ReportView=4&amp;Qid=1711279&amp;Row=23030&amp;Col=1","No Title Assigned - #15281662171")</f>
        <v/>
      </c>
      <c r="B23038" s="0" t="s">
        <v>30742</v>
      </c>
      <c r="E23038" s="0" t="inlineStr">
        <is>
          <t xml:space="preserve">Mazda</t>
        </is>
      </c>
      <c r="F23038" s="0" t="inlineStr">
        <is>
          <t xml:space="preserve">Mazda</t>
        </is>
      </c>
      <c r="G23038" s="0" t="s">
        <v>171</v>
      </c>
      <c r="H23038" s="5">
        <v>49.839500</v>
      </c>
    </row>
    <row r="23039" spans="1:9">
      <c r="A23039" s="22" t="str">
        <f>HYPERLINK("https://app.vivvix.com/360/KMI/IntelliDrive/ApplUI/Pages/CreativePages/CustomReportCreativeDetail.aspx?App=23&amp;ReportView=4&amp;Qid=1711279&amp;Row=23031&amp;Col=1","No Title Assigned - #15281664215")</f>
        <v/>
      </c>
      <c r="B23039" s="0" t="s">
        <v>30743</v>
      </c>
      <c r="E23039" s="0" t="inlineStr">
        <is>
          <t xml:space="preserve">Mazda</t>
        </is>
      </c>
      <c r="F23039" s="0" t="inlineStr">
        <is>
          <t xml:space="preserve">Mazda</t>
        </is>
      </c>
      <c r="G23039" s="0" t="s">
        <v>171</v>
      </c>
      <c r="H23039" s="5">
        <v>1730.109800</v>
      </c>
    </row>
    <row r="23040" spans="1:9">
      <c r="A23040" s="22" t="str">
        <f>HYPERLINK("https://app.vivvix.com/360/KMI/IntelliDrive/ApplUI/Pages/CreativePages/CustomReportCreativeDetail.aspx?App=23&amp;ReportView=4&amp;Qid=1711279&amp;Row=23032&amp;Col=1","No Title Assigned - #15281665339")</f>
        <v/>
      </c>
      <c r="B23040" s="0" t="s">
        <v>30744</v>
      </c>
      <c r="E23040" s="0" t="inlineStr">
        <is>
          <t xml:space="preserve">Mazda</t>
        </is>
      </c>
      <c r="F23040" s="0" t="inlineStr">
        <is>
          <t xml:space="preserve">Mazda</t>
        </is>
      </c>
      <c r="G23040" s="0" t="s">
        <v>171</v>
      </c>
      <c r="H23040" s="5">
        <v>156.603600</v>
      </c>
    </row>
    <row r="23041" spans="1:9">
      <c r="A23041" s="22" t="str">
        <f>HYPERLINK("https://app.vivvix.com/360/KMI/IntelliDrive/ApplUI/Pages/CreativePages/CustomReportCreativeDetail.aspx?App=23&amp;ReportView=4&amp;Qid=1711279&amp;Row=23033&amp;Col=1","No Title Assigned - #15281671541")</f>
        <v/>
      </c>
      <c r="B23041" s="0" t="s">
        <v>30745</v>
      </c>
      <c r="E23041" s="0" t="inlineStr">
        <is>
          <t xml:space="preserve">Mazda</t>
        </is>
      </c>
      <c r="F23041" s="0" t="inlineStr">
        <is>
          <t xml:space="preserve">Mazda</t>
        </is>
      </c>
      <c r="G23041" s="0" t="s">
        <v>171</v>
      </c>
      <c r="H23041" s="5">
        <v>227.181800</v>
      </c>
    </row>
    <row r="23042" spans="1:9">
      <c r="A23042" s="22" t="str">
        <f>HYPERLINK("https://app.vivvix.com/360/KMI/IntelliDrive/ApplUI/Pages/CreativePages/CustomReportCreativeDetail.aspx?App=23&amp;ReportView=4&amp;Qid=1711279&amp;Row=23034&amp;Col=1","No Title Assigned - #15281671570")</f>
        <v/>
      </c>
      <c r="B23042" s="0" t="s">
        <v>30746</v>
      </c>
      <c r="C23042" s="0" t="s">
        <v>30747</v>
      </c>
      <c r="D23042" s="0" t="s">
        <v>30747</v>
      </c>
      <c r="E23042" s="0" t="inlineStr">
        <is>
          <t xml:space="preserve">Mazda</t>
        </is>
      </c>
      <c r="F23042" s="0" t="inlineStr">
        <is>
          <t xml:space="preserve">Mazda</t>
        </is>
      </c>
      <c r="G23042" s="0" t="s">
        <v>171</v>
      </c>
      <c r="H23042" s="5">
        <v>560.618700</v>
      </c>
    </row>
    <row r="23043" spans="1:9">
      <c r="A23043" s="22" t="str">
        <f>HYPERLINK("https://app.vivvix.com/360/KMI/IntelliDrive/ApplUI/Pages/CreativePages/CustomReportCreativeDetail.aspx?App=23&amp;ReportView=4&amp;Qid=1711279&amp;Row=23035&amp;Col=1","No Title Assigned - #15281671772")</f>
        <v/>
      </c>
      <c r="B23043" s="0" t="s">
        <v>30748</v>
      </c>
      <c r="E23043" s="0" t="inlineStr">
        <is>
          <t xml:space="preserve">Mazda</t>
        </is>
      </c>
      <c r="F23043" s="0" t="inlineStr">
        <is>
          <t xml:space="preserve">Mazda</t>
        </is>
      </c>
      <c r="G23043" s="0" t="s">
        <v>171</v>
      </c>
      <c r="H23043" s="5">
        <v>36862.742200</v>
      </c>
    </row>
    <row r="23044" spans="1:9">
      <c r="A23044" s="22" t="str">
        <f>HYPERLINK("https://app.vivvix.com/360/KMI/IntelliDrive/ApplUI/Pages/CreativePages/CustomReportCreativeDetail.aspx?App=23&amp;ReportView=4&amp;Qid=1711279&amp;Row=23036&amp;Col=1","No Title Assigned - #15281672451")</f>
        <v/>
      </c>
      <c r="B23044" s="0" t="s">
        <v>30749</v>
      </c>
      <c r="E23044" s="0" t="inlineStr">
        <is>
          <t xml:space="preserve">Mazda</t>
        </is>
      </c>
      <c r="F23044" s="0" t="inlineStr">
        <is>
          <t xml:space="preserve">Mazda</t>
        </is>
      </c>
      <c r="G23044" s="0" t="s">
        <v>171</v>
      </c>
      <c r="H23044" s="5">
        <v>407.400500</v>
      </c>
    </row>
    <row r="23045" spans="1:9">
      <c r="A23045" s="22" t="str">
        <f>HYPERLINK("https://app.vivvix.com/360/KMI/IntelliDrive/ApplUI/Pages/CreativePages/CustomReportCreativeDetail.aspx?App=23&amp;ReportView=4&amp;Qid=1711279&amp;Row=23037&amp;Col=1","No Title Assigned - #15281674211")</f>
        <v/>
      </c>
      <c r="B23045" s="0" t="s">
        <v>30750</v>
      </c>
      <c r="E23045" s="0" t="inlineStr">
        <is>
          <t xml:space="preserve">Mazda</t>
        </is>
      </c>
      <c r="F23045" s="0" t="inlineStr">
        <is>
          <t xml:space="preserve">Mazda</t>
        </is>
      </c>
      <c r="G23045" s="0" t="s">
        <v>171</v>
      </c>
      <c r="H23045" s="5">
        <v>85.401900</v>
      </c>
    </row>
    <row r="23046" spans="1:9">
      <c r="A23046" s="22" t="str">
        <f>HYPERLINK("https://app.vivvix.com/360/KMI/IntelliDrive/ApplUI/Pages/CreativePages/CustomReportCreativeDetail.aspx?App=23&amp;ReportView=4&amp;Qid=1711279&amp;Row=23038&amp;Col=1","No Title Assigned - #15281674549")</f>
        <v/>
      </c>
      <c r="B23046" s="0" t="s">
        <v>30751</v>
      </c>
      <c r="E23046" s="0" t="inlineStr">
        <is>
          <t xml:space="preserve">Mazda</t>
        </is>
      </c>
      <c r="F23046" s="0" t="inlineStr">
        <is>
          <t xml:space="preserve">Mazda</t>
        </is>
      </c>
      <c r="G23046" s="0" t="s">
        <v>171</v>
      </c>
      <c r="H23046" s="5">
        <v>289.298600</v>
      </c>
    </row>
    <row r="23047" spans="1:9">
      <c r="A23047" s="22" t="str">
        <f>HYPERLINK("https://app.vivvix.com/360/KMI/IntelliDrive/ApplUI/Pages/CreativePages/CustomReportCreativeDetail.aspx?App=23&amp;ReportView=4&amp;Qid=1711279&amp;Row=23039&amp;Col=1","No Title Assigned - #15281675034")</f>
        <v/>
      </c>
      <c r="B23047" s="0" t="s">
        <v>30752</v>
      </c>
      <c r="E23047" s="0" t="inlineStr">
        <is>
          <t xml:space="preserve">Mazda</t>
        </is>
      </c>
      <c r="F23047" s="0" t="inlineStr">
        <is>
          <t xml:space="preserve">Mazda</t>
        </is>
      </c>
      <c r="G23047" s="0" t="s">
        <v>171</v>
      </c>
      <c r="H23047" s="5">
        <v>667.373900</v>
      </c>
    </row>
    <row r="23048" spans="1:9">
      <c r="A23048" s="22" t="str">
        <f>HYPERLINK("https://app.vivvix.com/360/KMI/IntelliDrive/ApplUI/Pages/CreativePages/CustomReportCreativeDetail.aspx?App=23&amp;ReportView=4&amp;Qid=1711279&amp;Row=23040&amp;Col=1","No Title Assigned - #15281675119")</f>
        <v/>
      </c>
      <c r="B23048" s="0" t="s">
        <v>30753</v>
      </c>
      <c r="E23048" s="0" t="inlineStr">
        <is>
          <t xml:space="preserve">Mazda</t>
        </is>
      </c>
      <c r="F23048" s="0" t="inlineStr">
        <is>
          <t xml:space="preserve">Mazda</t>
        </is>
      </c>
      <c r="G23048" s="0" t="s">
        <v>171</v>
      </c>
      <c r="H23048" s="5">
        <v>65.310600</v>
      </c>
    </row>
    <row r="23049" spans="1:9">
      <c r="A23049" s="22" t="str">
        <f>HYPERLINK("https://app.vivvix.com/360/KMI/IntelliDrive/ApplUI/Pages/CreativePages/CustomReportCreativeDetail.aspx?App=23&amp;ReportView=4&amp;Qid=1711279&amp;Row=23041&amp;Col=1","No Title Assigned - #15281675405")</f>
        <v/>
      </c>
      <c r="B23049" s="0" t="s">
        <v>30754</v>
      </c>
      <c r="E23049" s="0" t="inlineStr">
        <is>
          <t xml:space="preserve">Mazda</t>
        </is>
      </c>
      <c r="F23049" s="0" t="inlineStr">
        <is>
          <t xml:space="preserve">Mazda</t>
        </is>
      </c>
      <c r="G23049" s="0" t="s">
        <v>171</v>
      </c>
      <c r="H23049" s="5">
        <v>30.872000</v>
      </c>
    </row>
    <row r="23050" spans="1:9">
      <c r="A23050" s="22" t="str">
        <f>HYPERLINK("https://app.vivvix.com/360/KMI/IntelliDrive/ApplUI/Pages/CreativePages/CustomReportCreativeDetail.aspx?App=23&amp;ReportView=4&amp;Qid=1711279&amp;Row=23042&amp;Col=1","No Title Assigned - #15281676535")</f>
        <v/>
      </c>
      <c r="B23050" s="0" t="s">
        <v>30755</v>
      </c>
      <c r="E23050" s="0" t="inlineStr">
        <is>
          <t xml:space="preserve">Mazda</t>
        </is>
      </c>
      <c r="F23050" s="0" t="inlineStr">
        <is>
          <t xml:space="preserve">Mazda</t>
        </is>
      </c>
      <c r="G23050" s="0" t="s">
        <v>171</v>
      </c>
      <c r="H23050" s="5">
        <v>15.843000</v>
      </c>
    </row>
    <row r="23051" spans="1:9">
      <c r="A23051" s="22" t="str">
        <f>HYPERLINK("https://app.vivvix.com/360/KMI/IntelliDrive/ApplUI/Pages/CreativePages/CustomReportCreativeDetail.aspx?App=23&amp;ReportView=4&amp;Qid=1711279&amp;Row=23043&amp;Col=1","No Title Assigned - #15281677032")</f>
        <v/>
      </c>
      <c r="B23051" s="0" t="s">
        <v>30756</v>
      </c>
      <c r="E23051" s="0" t="inlineStr">
        <is>
          <t xml:space="preserve">Mazda</t>
        </is>
      </c>
      <c r="F23051" s="0" t="inlineStr">
        <is>
          <t xml:space="preserve">Mazda</t>
        </is>
      </c>
      <c r="G23051" s="0" t="s">
        <v>171</v>
      </c>
      <c r="H23051" s="5">
        <v>39.717700</v>
      </c>
    </row>
    <row r="23052" spans="1:9">
      <c r="A23052" s="22" t="str">
        <f>HYPERLINK("https://app.vivvix.com/360/KMI/IntelliDrive/ApplUI/Pages/CreativePages/CustomReportCreativeDetail.aspx?App=23&amp;ReportView=4&amp;Qid=1711279&amp;Row=23044&amp;Col=1","No Title Assigned - #15281677301")</f>
        <v/>
      </c>
      <c r="B23052" s="0" t="s">
        <v>30757</v>
      </c>
      <c r="E23052" s="0" t="inlineStr">
        <is>
          <t xml:space="preserve">Mazda</t>
        </is>
      </c>
      <c r="F23052" s="0" t="inlineStr">
        <is>
          <t xml:space="preserve">Mazda</t>
        </is>
      </c>
      <c r="G23052" s="0" t="s">
        <v>171</v>
      </c>
      <c r="H23052" s="5">
        <v>113.138900</v>
      </c>
    </row>
    <row r="23053" spans="1:9">
      <c r="A23053" s="22" t="str">
        <f>HYPERLINK("https://app.vivvix.com/360/KMI/IntelliDrive/ApplUI/Pages/CreativePages/CustomReportCreativeDetail.aspx?App=23&amp;ReportView=4&amp;Qid=1711279&amp;Row=23045&amp;Col=1","No Title Assigned - #15281677538")</f>
        <v/>
      </c>
      <c r="B23053" s="0" t="s">
        <v>30758</v>
      </c>
      <c r="E23053" s="0" t="inlineStr">
        <is>
          <t xml:space="preserve">Mazda</t>
        </is>
      </c>
      <c r="F23053" s="0" t="inlineStr">
        <is>
          <t xml:space="preserve">Mazda</t>
        </is>
      </c>
      <c r="G23053" s="0" t="s">
        <v>171</v>
      </c>
      <c r="H23053" s="5">
        <v>309.374700</v>
      </c>
    </row>
    <row r="23054" spans="1:9">
      <c r="A23054" s="22" t="str">
        <f>HYPERLINK("https://app.vivvix.com/360/KMI/IntelliDrive/ApplUI/Pages/CreativePages/CustomReportCreativeDetail.aspx?App=23&amp;ReportView=4&amp;Qid=1711279&amp;Row=23046&amp;Col=1","No Title Assigned - #15281677538")</f>
        <v/>
      </c>
      <c r="B23054" s="0" t="s">
        <v>30758</v>
      </c>
      <c r="E23054" s="0" t="inlineStr">
        <is>
          <t xml:space="preserve">Mazda</t>
        </is>
      </c>
      <c r="F23054" s="0" t="inlineStr">
        <is>
          <t xml:space="preserve">Mazda</t>
        </is>
      </c>
      <c r="G23054" s="0" t="s">
        <v>171</v>
      </c>
      <c r="H23054" s="5">
        <v>90.612200</v>
      </c>
    </row>
    <row r="23055" spans="1:9">
      <c r="A23055" s="22" t="str">
        <f>HYPERLINK("https://app.vivvix.com/360/KMI/IntelliDrive/ApplUI/Pages/CreativePages/CustomReportCreativeDetail.aspx?App=23&amp;ReportView=4&amp;Qid=1711279&amp;Row=23047&amp;Col=1","No Title Assigned - #15281677785")</f>
        <v/>
      </c>
      <c r="B23055" s="0" t="s">
        <v>30759</v>
      </c>
      <c r="E23055" s="0" t="inlineStr">
        <is>
          <t xml:space="preserve">Mazda</t>
        </is>
      </c>
      <c r="F23055" s="0" t="inlineStr">
        <is>
          <t xml:space="preserve">Mazda</t>
        </is>
      </c>
      <c r="G23055" s="0" t="s">
        <v>171</v>
      </c>
      <c r="H23055" s="5">
        <v>125.679800</v>
      </c>
    </row>
    <row r="23056" spans="1:9">
      <c r="A23056" s="22" t="str">
        <f>HYPERLINK("https://app.vivvix.com/360/KMI/IntelliDrive/ApplUI/Pages/CreativePages/CustomReportCreativeDetail.aspx?App=23&amp;ReportView=4&amp;Qid=1711279&amp;Row=23048&amp;Col=1","No Title Assigned - #15281678851")</f>
        <v/>
      </c>
      <c r="B23056" s="0" t="s">
        <v>30760</v>
      </c>
      <c r="E23056" s="0" t="inlineStr">
        <is>
          <t xml:space="preserve">Mazda</t>
        </is>
      </c>
      <c r="F23056" s="0" t="inlineStr">
        <is>
          <t xml:space="preserve">Mazda</t>
        </is>
      </c>
      <c r="G23056" s="0" t="s">
        <v>171</v>
      </c>
      <c r="H23056" s="5">
        <v>786.759900</v>
      </c>
    </row>
    <row r="23057" spans="1:9">
      <c r="A23057" s="22" t="str">
        <f>HYPERLINK("https://app.vivvix.com/360/KMI/IntelliDrive/ApplUI/Pages/CreativePages/CustomReportCreativeDetail.aspx?App=23&amp;ReportView=4&amp;Qid=1711279&amp;Row=23049&amp;Col=1","No Title Assigned - #15281679287")</f>
        <v/>
      </c>
      <c r="B23057" s="0" t="s">
        <v>30761</v>
      </c>
      <c r="E23057" s="0" t="inlineStr">
        <is>
          <t xml:space="preserve">Mazda</t>
        </is>
      </c>
      <c r="F23057" s="0" t="inlineStr">
        <is>
          <t xml:space="preserve">Mazda</t>
        </is>
      </c>
      <c r="G23057" s="0" t="s">
        <v>171</v>
      </c>
      <c r="H23057" s="5">
        <v>3.304600</v>
      </c>
    </row>
    <row r="23058" spans="1:9">
      <c r="A23058" s="22" t="str">
        <f>HYPERLINK("https://app.vivvix.com/360/KMI/IntelliDrive/ApplUI/Pages/CreativePages/CustomReportCreativeDetail.aspx?App=23&amp;ReportView=4&amp;Qid=1711279&amp;Row=23050&amp;Col=1","No Title Assigned - #15281680351")</f>
        <v/>
      </c>
      <c r="B23058" s="0" t="s">
        <v>30762</v>
      </c>
      <c r="E23058" s="0" t="inlineStr">
        <is>
          <t xml:space="preserve">Mazda</t>
        </is>
      </c>
      <c r="F23058" s="0" t="inlineStr">
        <is>
          <t xml:space="preserve">Mazda</t>
        </is>
      </c>
      <c r="G23058" s="0" t="s">
        <v>171</v>
      </c>
      <c r="H23058" s="5">
        <v>183.450300</v>
      </c>
    </row>
    <row r="23059" spans="1:9">
      <c r="A23059" s="22" t="str">
        <f>HYPERLINK("https://app.vivvix.com/360/KMI/IntelliDrive/ApplUI/Pages/CreativePages/CustomReportCreativeDetail.aspx?App=23&amp;ReportView=4&amp;Qid=1711279&amp;Row=23051&amp;Col=1","No Title Assigned - #15281680774")</f>
        <v/>
      </c>
      <c r="B23059" s="0" t="s">
        <v>30763</v>
      </c>
      <c r="E23059" s="0" t="inlineStr">
        <is>
          <t xml:space="preserve">Mazda</t>
        </is>
      </c>
      <c r="F23059" s="0" t="inlineStr">
        <is>
          <t xml:space="preserve">Mazda</t>
        </is>
      </c>
      <c r="G23059" s="0" t="s">
        <v>171</v>
      </c>
      <c r="H23059" s="5">
        <v>5.073200</v>
      </c>
    </row>
    <row r="23060" spans="1:9">
      <c r="A23060" s="22" t="str">
        <f>HYPERLINK("https://app.vivvix.com/360/KMI/IntelliDrive/ApplUI/Pages/CreativePages/CustomReportCreativeDetail.aspx?App=23&amp;ReportView=4&amp;Qid=1711279&amp;Row=23052&amp;Col=1","No Title Assigned - #15281681003")</f>
        <v/>
      </c>
      <c r="B23060" s="0" t="s">
        <v>30764</v>
      </c>
      <c r="E23060" s="0" t="inlineStr">
        <is>
          <t xml:space="preserve">Mazda</t>
        </is>
      </c>
      <c r="F23060" s="0" t="inlineStr">
        <is>
          <t xml:space="preserve">Mazda</t>
        </is>
      </c>
      <c r="G23060" s="0" t="s">
        <v>171</v>
      </c>
      <c r="H23060" s="5">
        <v>190.332900</v>
      </c>
    </row>
    <row r="23061" spans="1:9">
      <c r="A23061" s="22" t="str">
        <f>HYPERLINK("https://app.vivvix.com/360/KMI/IntelliDrive/ApplUI/Pages/CreativePages/CustomReportCreativeDetail.aspx?App=23&amp;ReportView=4&amp;Qid=1711279&amp;Row=23053&amp;Col=1","No Title Assigned - #15281681007")</f>
        <v/>
      </c>
      <c r="B23061" s="0" t="s">
        <v>30765</v>
      </c>
      <c r="E23061" s="0" t="inlineStr">
        <is>
          <t xml:space="preserve">Mazda</t>
        </is>
      </c>
      <c r="F23061" s="0" t="inlineStr">
        <is>
          <t xml:space="preserve">Mazda</t>
        </is>
      </c>
      <c r="G23061" s="0" t="s">
        <v>171</v>
      </c>
      <c r="H23061" s="5">
        <v>13.751600</v>
      </c>
    </row>
    <row r="23062" spans="1:9">
      <c r="A23062" s="22" t="str">
        <f>HYPERLINK("https://app.vivvix.com/360/KMI/IntelliDrive/ApplUI/Pages/CreativePages/CustomReportCreativeDetail.aspx?App=23&amp;ReportView=4&amp;Qid=1711279&amp;Row=23054&amp;Col=1","No Title Assigned - #15281681106")</f>
        <v/>
      </c>
      <c r="B23062" s="0" t="s">
        <v>30766</v>
      </c>
      <c r="E23062" s="0" t="inlineStr">
        <is>
          <t xml:space="preserve">Mazda</t>
        </is>
      </c>
      <c r="F23062" s="0" t="inlineStr">
        <is>
          <t xml:space="preserve">Mazda</t>
        </is>
      </c>
      <c r="G23062" s="0" t="s">
        <v>171</v>
      </c>
      <c r="H23062" s="5">
        <v>885.525300</v>
      </c>
    </row>
    <row r="23063" spans="1:9">
      <c r="A23063" s="22" t="str">
        <f>HYPERLINK("https://app.vivvix.com/360/KMI/IntelliDrive/ApplUI/Pages/CreativePages/CustomReportCreativeDetail.aspx?App=23&amp;ReportView=4&amp;Qid=1711279&amp;Row=23055&amp;Col=1","No Title Assigned - #15281681128")</f>
        <v/>
      </c>
      <c r="B23063" s="0" t="s">
        <v>30767</v>
      </c>
      <c r="E23063" s="0" t="inlineStr">
        <is>
          <t xml:space="preserve">Mazda</t>
        </is>
      </c>
      <c r="F23063" s="0" t="inlineStr">
        <is>
          <t xml:space="preserve">Mazda</t>
        </is>
      </c>
      <c r="G23063" s="0" t="s">
        <v>171</v>
      </c>
      <c r="H23063" s="5">
        <v>310.133700</v>
      </c>
    </row>
    <row r="23064" spans="1:9">
      <c r="A23064" s="22" t="str">
        <f>HYPERLINK("https://app.vivvix.com/360/KMI/IntelliDrive/ApplUI/Pages/CreativePages/CustomReportCreativeDetail.aspx?App=23&amp;ReportView=4&amp;Qid=1711279&amp;Row=23056&amp;Col=1","No Title Assigned - #15281681310")</f>
        <v/>
      </c>
      <c r="B23064" s="0" t="s">
        <v>30768</v>
      </c>
      <c r="E23064" s="0" t="inlineStr">
        <is>
          <t xml:space="preserve">Mazda</t>
        </is>
      </c>
      <c r="F23064" s="0" t="inlineStr">
        <is>
          <t xml:space="preserve">Mazda</t>
        </is>
      </c>
      <c r="G23064" s="0" t="s">
        <v>171</v>
      </c>
      <c r="H23064" s="5">
        <v>13507.494200</v>
      </c>
    </row>
    <row r="23065" spans="1:9">
      <c r="A23065" s="22" t="str">
        <f>HYPERLINK("https://app.vivvix.com/360/KMI/IntelliDrive/ApplUI/Pages/CreativePages/CustomReportCreativeDetail.aspx?App=23&amp;ReportView=4&amp;Qid=1711279&amp;Row=23057&amp;Col=1","No Title Assigned - #15281681354")</f>
        <v/>
      </c>
      <c r="B23065" s="0" t="s">
        <v>30769</v>
      </c>
      <c r="E23065" s="0" t="inlineStr">
        <is>
          <t xml:space="preserve">Mazda</t>
        </is>
      </c>
      <c r="F23065" s="0" t="inlineStr">
        <is>
          <t xml:space="preserve">Mazda</t>
        </is>
      </c>
      <c r="G23065" s="0" t="s">
        <v>171</v>
      </c>
      <c r="H23065" s="5">
        <v>104.375400</v>
      </c>
    </row>
    <row r="23066" spans="1:9">
      <c r="A23066" s="22" t="str">
        <f>HYPERLINK("https://app.vivvix.com/360/KMI/IntelliDrive/ApplUI/Pages/CreativePages/CustomReportCreativeDetail.aspx?App=23&amp;ReportView=4&amp;Qid=1711279&amp;Row=23058&amp;Col=1","No Title Assigned - #15281681354")</f>
        <v/>
      </c>
      <c r="B23066" s="0" t="s">
        <v>30769</v>
      </c>
      <c r="E23066" s="0" t="inlineStr">
        <is>
          <t xml:space="preserve">Mazda</t>
        </is>
      </c>
      <c r="F23066" s="0" t="inlineStr">
        <is>
          <t xml:space="preserve">Mazda</t>
        </is>
      </c>
      <c r="G23066" s="0" t="s">
        <v>171</v>
      </c>
      <c r="H23066" s="5">
        <v>1120.467700</v>
      </c>
    </row>
    <row r="23067" spans="1:9">
      <c r="A23067" s="22" t="str">
        <f>HYPERLINK("https://app.vivvix.com/360/KMI/IntelliDrive/ApplUI/Pages/CreativePages/CustomReportCreativeDetail.aspx?App=23&amp;ReportView=4&amp;Qid=1711279&amp;Row=23059&amp;Col=1","No Title Assigned - #15281681457")</f>
        <v/>
      </c>
      <c r="B23067" s="0" t="s">
        <v>30770</v>
      </c>
      <c r="E23067" s="0" t="inlineStr">
        <is>
          <t xml:space="preserve">Mazda</t>
        </is>
      </c>
      <c r="F23067" s="0" t="inlineStr">
        <is>
          <t xml:space="preserve">Mazda</t>
        </is>
      </c>
      <c r="G23067" s="0" t="s">
        <v>171</v>
      </c>
      <c r="H23067" s="5">
        <v>179.013600</v>
      </c>
    </row>
    <row r="23068" spans="1:9">
      <c r="A23068" s="22" t="str">
        <f>HYPERLINK("https://app.vivvix.com/360/KMI/IntelliDrive/ApplUI/Pages/CreativePages/CustomReportCreativeDetail.aspx?App=23&amp;ReportView=4&amp;Qid=1711279&amp;Row=23060&amp;Col=1","No Title Assigned - #15281681530")</f>
        <v/>
      </c>
      <c r="B23068" s="0" t="s">
        <v>30771</v>
      </c>
      <c r="E23068" s="0" t="inlineStr">
        <is>
          <t xml:space="preserve">Mazda</t>
        </is>
      </c>
      <c r="F23068" s="0" t="inlineStr">
        <is>
          <t xml:space="preserve">Mazda</t>
        </is>
      </c>
      <c r="G23068" s="0" t="s">
        <v>171</v>
      </c>
      <c r="H23068" s="5">
        <v>2424.745700</v>
      </c>
    </row>
    <row r="23069" spans="1:9">
      <c r="A23069" s="22" t="str">
        <f>HYPERLINK("https://app.vivvix.com/360/KMI/IntelliDrive/ApplUI/Pages/CreativePages/CustomReportCreativeDetail.aspx?App=23&amp;ReportView=4&amp;Qid=1711279&amp;Row=23061&amp;Col=1","No Title Assigned - #15281681653")</f>
        <v/>
      </c>
      <c r="B23069" s="0" t="s">
        <v>30772</v>
      </c>
      <c r="E23069" s="0" t="inlineStr">
        <is>
          <t xml:space="preserve">Mazda</t>
        </is>
      </c>
      <c r="F23069" s="0" t="inlineStr">
        <is>
          <t xml:space="preserve">Mazda</t>
        </is>
      </c>
      <c r="G23069" s="0" t="s">
        <v>171</v>
      </c>
      <c r="H23069" s="5">
        <v>515.739600</v>
      </c>
    </row>
    <row r="23070" spans="1:9">
      <c r="A23070" s="22" t="str">
        <f>HYPERLINK("https://app.vivvix.com/360/KMI/IntelliDrive/ApplUI/Pages/CreativePages/CustomReportCreativeDetail.aspx?App=23&amp;ReportView=4&amp;Qid=1711279&amp;Row=23062&amp;Col=1","No Title Assigned - #15281681653")</f>
        <v/>
      </c>
      <c r="B23070" s="0" t="s">
        <v>30772</v>
      </c>
      <c r="E23070" s="0" t="inlineStr">
        <is>
          <t xml:space="preserve">Mazda</t>
        </is>
      </c>
      <c r="F23070" s="0" t="inlineStr">
        <is>
          <t xml:space="preserve">Mazda</t>
        </is>
      </c>
      <c r="G23070" s="0" t="s">
        <v>171</v>
      </c>
      <c r="H23070" s="5">
        <v>1514.204500</v>
      </c>
    </row>
    <row r="23071" spans="1:9">
      <c r="A23071" s="22" t="str">
        <f>HYPERLINK("https://app.vivvix.com/360/KMI/IntelliDrive/ApplUI/Pages/CreativePages/CustomReportCreativeDetail.aspx?App=23&amp;ReportView=4&amp;Qid=1711279&amp;Row=23063&amp;Col=1","No Title Assigned - #15281683529")</f>
        <v/>
      </c>
      <c r="B23071" s="0" t="s">
        <v>30773</v>
      </c>
      <c r="E23071" s="0" t="inlineStr">
        <is>
          <t xml:space="preserve">Mazda</t>
        </is>
      </c>
      <c r="F23071" s="0" t="inlineStr">
        <is>
          <t xml:space="preserve">Mazda</t>
        </is>
      </c>
      <c r="G23071" s="0" t="s">
        <v>171</v>
      </c>
      <c r="H23071" s="5">
        <v>208.862800</v>
      </c>
    </row>
    <row r="23072" spans="1:9">
      <c r="A23072" s="22" t="str">
        <f>HYPERLINK("https://app.vivvix.com/360/KMI/IntelliDrive/ApplUI/Pages/CreativePages/CustomReportCreativeDetail.aspx?App=23&amp;ReportView=4&amp;Qid=1711279&amp;Row=23064&amp;Col=1","No Title Assigned - #15281684461")</f>
        <v/>
      </c>
      <c r="B23072" s="0" t="s">
        <v>30774</v>
      </c>
      <c r="E23072" s="0" t="inlineStr">
        <is>
          <t xml:space="preserve">Mazda</t>
        </is>
      </c>
      <c r="F23072" s="0" t="inlineStr">
        <is>
          <t xml:space="preserve">Mazda</t>
        </is>
      </c>
      <c r="G23072" s="0" t="s">
        <v>171</v>
      </c>
      <c r="H23072" s="5">
        <v>858.196500</v>
      </c>
    </row>
    <row r="23073" spans="1:9">
      <c r="A23073" s="22" t="str">
        <f>HYPERLINK("https://app.vivvix.com/360/KMI/IntelliDrive/ApplUI/Pages/CreativePages/CustomReportCreativeDetail.aspx?App=23&amp;ReportView=4&amp;Qid=1711279&amp;Row=23065&amp;Col=1","No Title Assigned - #15281684575")</f>
        <v/>
      </c>
      <c r="B23073" s="0" t="s">
        <v>30775</v>
      </c>
      <c r="E23073" s="0" t="inlineStr">
        <is>
          <t xml:space="preserve">Mazda</t>
        </is>
      </c>
      <c r="F23073" s="0" t="inlineStr">
        <is>
          <t xml:space="preserve">Mazda</t>
        </is>
      </c>
      <c r="G23073" s="0" t="s">
        <v>171</v>
      </c>
      <c r="H23073" s="5">
        <v>74.488900</v>
      </c>
    </row>
    <row r="23074" spans="1:9">
      <c r="A23074" s="22" t="str">
        <f>HYPERLINK("https://app.vivvix.com/360/KMI/IntelliDrive/ApplUI/Pages/CreativePages/CustomReportCreativeDetail.aspx?App=23&amp;ReportView=4&amp;Qid=1711279&amp;Row=23066&amp;Col=1","No Title Assigned - #15281684703")</f>
        <v/>
      </c>
      <c r="B23074" s="0" t="s">
        <v>30776</v>
      </c>
      <c r="E23074" s="0" t="inlineStr">
        <is>
          <t xml:space="preserve">Mazda</t>
        </is>
      </c>
      <c r="F23074" s="0" t="inlineStr">
        <is>
          <t xml:space="preserve">Mazda</t>
        </is>
      </c>
      <c r="G23074" s="0" t="s">
        <v>171</v>
      </c>
      <c r="H23074" s="5">
        <v>15.880200</v>
      </c>
    </row>
    <row r="23075" spans="1:9">
      <c r="A23075" s="22" t="str">
        <f>HYPERLINK("https://app.vivvix.com/360/KMI/IntelliDrive/ApplUI/Pages/CreativePages/CustomReportCreativeDetail.aspx?App=23&amp;ReportView=4&amp;Qid=1711279&amp;Row=23067&amp;Col=1","No Title Assigned - #15281684704")</f>
        <v/>
      </c>
      <c r="B23075" s="0" t="s">
        <v>30777</v>
      </c>
      <c r="E23075" s="0" t="inlineStr">
        <is>
          <t xml:space="preserve">Mazda</t>
        </is>
      </c>
      <c r="F23075" s="0" t="inlineStr">
        <is>
          <t xml:space="preserve">Mazda</t>
        </is>
      </c>
      <c r="G23075" s="0" t="s">
        <v>171</v>
      </c>
      <c r="H23075" s="5">
        <v>15.880200</v>
      </c>
    </row>
    <row r="23076" spans="1:9">
      <c r="A23076" s="22" t="str">
        <f>HYPERLINK("https://app.vivvix.com/360/KMI/IntelliDrive/ApplUI/Pages/CreativePages/CustomReportCreativeDetail.aspx?App=23&amp;ReportView=4&amp;Qid=1711279&amp;Row=23068&amp;Col=1","No Title Assigned - #15281684706")</f>
        <v/>
      </c>
      <c r="B23076" s="0" t="s">
        <v>30778</v>
      </c>
      <c r="E23076" s="0" t="inlineStr">
        <is>
          <t xml:space="preserve">Mazda</t>
        </is>
      </c>
      <c r="F23076" s="0" t="inlineStr">
        <is>
          <t xml:space="preserve">Mazda</t>
        </is>
      </c>
      <c r="G23076" s="0" t="s">
        <v>171</v>
      </c>
      <c r="H23076" s="5">
        <v>15.880200</v>
      </c>
    </row>
    <row r="23077" spans="1:9">
      <c r="A23077" s="22" t="str">
        <f>HYPERLINK("https://app.vivvix.com/360/KMI/IntelliDrive/ApplUI/Pages/CreativePages/CustomReportCreativeDetail.aspx?App=23&amp;ReportView=4&amp;Qid=1711279&amp;Row=23069&amp;Col=1","No Title Assigned - #15281689925")</f>
        <v/>
      </c>
      <c r="B23077" s="0" t="s">
        <v>30779</v>
      </c>
      <c r="E23077" s="0" t="inlineStr">
        <is>
          <t xml:space="preserve">Mazda</t>
        </is>
      </c>
      <c r="F23077" s="0" t="inlineStr">
        <is>
          <t xml:space="preserve">Mazda</t>
        </is>
      </c>
      <c r="G23077" s="0" t="s">
        <v>171</v>
      </c>
      <c r="H23077" s="5">
        <v>4890.850600</v>
      </c>
    </row>
    <row r="23078" spans="1:9">
      <c r="A23078" s="22" t="str">
        <f>HYPERLINK("https://app.vivvix.com/360/KMI/IntelliDrive/ApplUI/Pages/CreativePages/CustomReportCreativeDetail.aspx?App=23&amp;ReportView=4&amp;Qid=1711279&amp;Row=23070&amp;Col=1","No Title Assigned - #15281690235")</f>
        <v/>
      </c>
      <c r="B23078" s="0" t="s">
        <v>30780</v>
      </c>
      <c r="E23078" s="0" t="inlineStr">
        <is>
          <t xml:space="preserve">Mazda</t>
        </is>
      </c>
      <c r="F23078" s="0" t="inlineStr">
        <is>
          <t xml:space="preserve">Mazda</t>
        </is>
      </c>
      <c r="G23078" s="0" t="s">
        <v>171</v>
      </c>
      <c r="H23078" s="5">
        <v>416.009100</v>
      </c>
    </row>
    <row r="23079" spans="1:9">
      <c r="A23079" s="22" t="str">
        <f>HYPERLINK("https://app.vivvix.com/360/KMI/IntelliDrive/ApplUI/Pages/CreativePages/CustomReportCreativeDetail.aspx?App=23&amp;ReportView=4&amp;Qid=1711279&amp;Row=23071&amp;Col=1","No Title Assigned - #15281690775")</f>
        <v/>
      </c>
      <c r="B23079" s="0" t="s">
        <v>30781</v>
      </c>
      <c r="C23079" s="0" t="s">
        <v>30782</v>
      </c>
      <c r="D23079" s="0" t="s">
        <v>30782</v>
      </c>
      <c r="E23079" s="0" t="inlineStr">
        <is>
          <t xml:space="preserve">Mazda</t>
        </is>
      </c>
      <c r="F23079" s="0" t="inlineStr">
        <is>
          <t xml:space="preserve">Mazda</t>
        </is>
      </c>
      <c r="G23079" s="0" t="s">
        <v>171</v>
      </c>
      <c r="H23079" s="5">
        <v>100.280100</v>
      </c>
    </row>
    <row r="23080" spans="1:9">
      <c r="A23080" s="22" t="str">
        <f>HYPERLINK("https://app.vivvix.com/360/KMI/IntelliDrive/ApplUI/Pages/CreativePages/CustomReportCreativeDetail.aspx?App=23&amp;ReportView=4&amp;Qid=1711279&amp;Row=23072&amp;Col=1","No Title Assigned - #15281690820")</f>
        <v/>
      </c>
      <c r="B23080" s="0" t="s">
        <v>30783</v>
      </c>
      <c r="E23080" s="0" t="inlineStr">
        <is>
          <t xml:space="preserve">Mazda</t>
        </is>
      </c>
      <c r="F23080" s="0" t="inlineStr">
        <is>
          <t xml:space="preserve">Mazda</t>
        </is>
      </c>
      <c r="G23080" s="0" t="s">
        <v>171</v>
      </c>
      <c r="H23080" s="5">
        <v>1.652300</v>
      </c>
    </row>
    <row r="23081" spans="1:9">
      <c r="A23081" s="22" t="str">
        <f>HYPERLINK("https://app.vivvix.com/360/KMI/IntelliDrive/ApplUI/Pages/CreativePages/CustomReportCreativeDetail.aspx?App=23&amp;ReportView=4&amp;Qid=1711279&amp;Row=23073&amp;Col=1","No Title Assigned - #15281691124")</f>
        <v/>
      </c>
      <c r="B23081" s="0" t="s">
        <v>30784</v>
      </c>
      <c r="E23081" s="0" t="inlineStr">
        <is>
          <t xml:space="preserve">Mazda</t>
        </is>
      </c>
      <c r="F23081" s="0" t="inlineStr">
        <is>
          <t xml:space="preserve">Mazda</t>
        </is>
      </c>
      <c r="G23081" s="0" t="s">
        <v>171</v>
      </c>
      <c r="H23081" s="5">
        <v>100.280100</v>
      </c>
    </row>
    <row r="23082" spans="1:9">
      <c r="A23082" s="22" t="str">
        <f>HYPERLINK("https://app.vivvix.com/360/KMI/IntelliDrive/ApplUI/Pages/CreativePages/CustomReportCreativeDetail.aspx?App=23&amp;ReportView=4&amp;Qid=1711279&amp;Row=23074&amp;Col=1","No Title Assigned - #15281695341")</f>
        <v/>
      </c>
      <c r="B23082" s="0" t="s">
        <v>30785</v>
      </c>
      <c r="E23082" s="0" t="inlineStr">
        <is>
          <t xml:space="preserve">Mazda</t>
        </is>
      </c>
      <c r="F23082" s="0" t="inlineStr">
        <is>
          <t xml:space="preserve">Mazda</t>
        </is>
      </c>
      <c r="G23082" s="0" t="s">
        <v>171</v>
      </c>
      <c r="H23082" s="5">
        <v>715.726100</v>
      </c>
    </row>
    <row r="23083" spans="1:9">
      <c r="A23083" s="22" t="str">
        <f>HYPERLINK("https://app.vivvix.com/360/KMI/IntelliDrive/ApplUI/Pages/CreativePages/CustomReportCreativeDetail.aspx?App=23&amp;ReportView=4&amp;Qid=1711279&amp;Row=23075&amp;Col=1","No Title Assigned - #15281695397")</f>
        <v/>
      </c>
      <c r="B23083" s="0" t="s">
        <v>30786</v>
      </c>
      <c r="E23083" s="0" t="inlineStr">
        <is>
          <t xml:space="preserve">Mazda</t>
        </is>
      </c>
      <c r="F23083" s="0" t="inlineStr">
        <is>
          <t xml:space="preserve">Mazda</t>
        </is>
      </c>
      <c r="G23083" s="0" t="s">
        <v>171</v>
      </c>
      <c r="H23083" s="5">
        <v>317.804100</v>
      </c>
    </row>
    <row r="23084" spans="1:9">
      <c r="A23084" s="22" t="str">
        <f>HYPERLINK("https://app.vivvix.com/360/KMI/IntelliDrive/ApplUI/Pages/CreativePages/CustomReportCreativeDetail.aspx?App=23&amp;ReportView=4&amp;Qid=1711279&amp;Row=23076&amp;Col=1","No Title Assigned - #15281696249")</f>
        <v/>
      </c>
      <c r="B23084" s="0" t="s">
        <v>30787</v>
      </c>
      <c r="E23084" s="0" t="inlineStr">
        <is>
          <t xml:space="preserve">Mazda</t>
        </is>
      </c>
      <c r="F23084" s="0" t="inlineStr">
        <is>
          <t xml:space="preserve">Mazda</t>
        </is>
      </c>
      <c r="G23084" s="0" t="s">
        <v>171</v>
      </c>
      <c r="H23084" s="5">
        <v>473.393800</v>
      </c>
    </row>
    <row r="23085" spans="1:9">
      <c r="A23085" s="22" t="str">
        <f>HYPERLINK("https://app.vivvix.com/360/KMI/IntelliDrive/ApplUI/Pages/CreativePages/CustomReportCreativeDetail.aspx?App=23&amp;ReportView=4&amp;Qid=1711279&amp;Row=23077&amp;Col=1","No Title Assigned - #15281696249")</f>
        <v/>
      </c>
      <c r="B23085" s="0" t="s">
        <v>30787</v>
      </c>
      <c r="E23085" s="0" t="inlineStr">
        <is>
          <t xml:space="preserve">Mazda</t>
        </is>
      </c>
      <c r="F23085" s="0" t="inlineStr">
        <is>
          <t xml:space="preserve">Mazda</t>
        </is>
      </c>
      <c r="G23085" s="0" t="s">
        <v>171</v>
      </c>
      <c r="H23085" s="5">
        <v>81.669900</v>
      </c>
    </row>
    <row r="23086" spans="1:9">
      <c r="A23086" s="22" t="str">
        <f>HYPERLINK("https://app.vivvix.com/360/KMI/IntelliDrive/ApplUI/Pages/CreativePages/CustomReportCreativeDetail.aspx?App=23&amp;ReportView=4&amp;Qid=1711279&amp;Row=23078&amp;Col=1","No Title Assigned - #15281699736")</f>
        <v/>
      </c>
      <c r="B23086" s="0" t="s">
        <v>30788</v>
      </c>
      <c r="E23086" s="0" t="inlineStr">
        <is>
          <t xml:space="preserve">Mazda</t>
        </is>
      </c>
      <c r="F23086" s="0" t="inlineStr">
        <is>
          <t xml:space="preserve">Mazda</t>
        </is>
      </c>
      <c r="G23086" s="0" t="s">
        <v>171</v>
      </c>
      <c r="H23086" s="5">
        <v>97.875600</v>
      </c>
    </row>
    <row r="23087" spans="1:9">
      <c r="A23087" s="22" t="str">
        <f>HYPERLINK("https://app.vivvix.com/360/KMI/IntelliDrive/ApplUI/Pages/CreativePages/CustomReportCreativeDetail.aspx?App=23&amp;ReportView=4&amp;Qid=1711279&amp;Row=23079&amp;Col=1","No Title Assigned - #15281702757")</f>
        <v/>
      </c>
      <c r="B23087" s="0" t="s">
        <v>30789</v>
      </c>
      <c r="E23087" s="0" t="inlineStr">
        <is>
          <t xml:space="preserve">Mazda</t>
        </is>
      </c>
      <c r="F23087" s="0" t="inlineStr">
        <is>
          <t xml:space="preserve">Mazda</t>
        </is>
      </c>
      <c r="G23087" s="0" t="s">
        <v>171</v>
      </c>
      <c r="H23087" s="5">
        <v>69.145000</v>
      </c>
    </row>
    <row r="23088" spans="1:9">
      <c r="A23088" s="22" t="str">
        <f>HYPERLINK("https://app.vivvix.com/360/KMI/IntelliDrive/ApplUI/Pages/CreativePages/CustomReportCreativeDetail.aspx?App=23&amp;ReportView=4&amp;Qid=1711279&amp;Row=23080&amp;Col=1","No Title Assigned - #15281704003")</f>
        <v/>
      </c>
      <c r="B23088" s="0" t="s">
        <v>30790</v>
      </c>
      <c r="C23088" s="0" t="s">
        <v>30791</v>
      </c>
      <c r="D23088" s="0" t="s">
        <v>30791</v>
      </c>
      <c r="E23088" s="0" t="inlineStr">
        <is>
          <t xml:space="preserve">Mazda</t>
        </is>
      </c>
      <c r="F23088" s="0" t="inlineStr">
        <is>
          <t xml:space="preserve">Mazda</t>
        </is>
      </c>
      <c r="G23088" s="0" t="s">
        <v>171</v>
      </c>
      <c r="H23088" s="5">
        <v>2823.772400</v>
      </c>
    </row>
    <row r="23089" spans="1:9">
      <c r="A23089" s="22" t="str">
        <f>HYPERLINK("https://app.vivvix.com/360/KMI/IntelliDrive/ApplUI/Pages/CreativePages/CustomReportCreativeDetail.aspx?App=23&amp;ReportView=4&amp;Qid=1711279&amp;Row=23081&amp;Col=1","No Title Assigned - #15281704712")</f>
        <v/>
      </c>
      <c r="B23089" s="0" t="s">
        <v>30792</v>
      </c>
      <c r="E23089" s="0" t="inlineStr">
        <is>
          <t xml:space="preserve">Mazda</t>
        </is>
      </c>
      <c r="F23089" s="0" t="inlineStr">
        <is>
          <t xml:space="preserve">Mazda</t>
        </is>
      </c>
      <c r="G23089" s="0" t="s">
        <v>171</v>
      </c>
      <c r="H23089" s="5">
        <v>309.643800</v>
      </c>
    </row>
    <row r="23090" spans="1:9">
      <c r="A23090" s="22" t="str">
        <f>HYPERLINK("https://app.vivvix.com/360/KMI/IntelliDrive/ApplUI/Pages/CreativePages/CustomReportCreativeDetail.aspx?App=23&amp;ReportView=4&amp;Qid=1711279&amp;Row=23082&amp;Col=1","No Title Assigned - #15281704719")</f>
        <v/>
      </c>
      <c r="B23090" s="0" t="s">
        <v>30793</v>
      </c>
      <c r="E23090" s="0" t="inlineStr">
        <is>
          <t xml:space="preserve">Mazda</t>
        </is>
      </c>
      <c r="F23090" s="0" t="inlineStr">
        <is>
          <t xml:space="preserve">Mazda</t>
        </is>
      </c>
      <c r="G23090" s="0" t="s">
        <v>171</v>
      </c>
      <c r="H23090" s="5">
        <v>341.782300</v>
      </c>
    </row>
    <row r="23091" spans="1:9">
      <c r="A23091" s="22" t="str">
        <f>HYPERLINK("https://app.vivvix.com/360/KMI/IntelliDrive/ApplUI/Pages/CreativePages/CustomReportCreativeDetail.aspx?App=23&amp;ReportView=4&amp;Qid=1711279&amp;Row=23083&amp;Col=1","No Title Assigned - #15281705869")</f>
        <v/>
      </c>
      <c r="B23091" s="0" t="s">
        <v>30794</v>
      </c>
      <c r="C23091" s="0" t="s">
        <v>30795</v>
      </c>
      <c r="D23091" s="0" t="s">
        <v>30795</v>
      </c>
      <c r="E23091" s="0" t="inlineStr">
        <is>
          <t xml:space="preserve">Mazda</t>
        </is>
      </c>
      <c r="F23091" s="0" t="s">
        <v>13</v>
      </c>
      <c r="G23091" s="0" t="s">
        <v>49</v>
      </c>
      <c r="H23091" s="5">
        <v>4124.647300</v>
      </c>
    </row>
    <row r="23092" spans="1:9">
      <c r="A23092" s="22" t="str">
        <f>HYPERLINK("https://app.vivvix.com/360/KMI/IntelliDrive/ApplUI/Pages/CreativePages/CustomReportCreativeDetail.aspx?App=23&amp;ReportView=4&amp;Qid=1711279&amp;Row=23084&amp;Col=1","No Title Assigned - #15281706332")</f>
        <v/>
      </c>
      <c r="B23092" s="0" t="s">
        <v>30796</v>
      </c>
      <c r="E23092" s="0" t="inlineStr">
        <is>
          <t xml:space="preserve">Mazda</t>
        </is>
      </c>
      <c r="F23092" s="0" t="inlineStr">
        <is>
          <t xml:space="preserve">Mazda</t>
        </is>
      </c>
      <c r="G23092" s="0" t="s">
        <v>171</v>
      </c>
      <c r="H23092" s="5">
        <v>67.754500</v>
      </c>
    </row>
    <row r="23093" spans="1:9">
      <c r="A23093" s="22" t="str">
        <f>HYPERLINK("https://app.vivvix.com/360/KMI/IntelliDrive/ApplUI/Pages/CreativePages/CustomReportCreativeDetail.aspx?App=23&amp;ReportView=4&amp;Qid=1711279&amp;Row=23085&amp;Col=1","No Title Assigned - #15281708742")</f>
        <v/>
      </c>
      <c r="B23093" s="0" t="s">
        <v>30797</v>
      </c>
      <c r="E23093" s="0" t="inlineStr">
        <is>
          <t xml:space="preserve">Mazda</t>
        </is>
      </c>
      <c r="F23093" s="0" t="inlineStr">
        <is>
          <t xml:space="preserve">Mazda</t>
        </is>
      </c>
      <c r="G23093" s="0" t="s">
        <v>171</v>
      </c>
      <c r="H23093" s="5">
        <v>7.609800</v>
      </c>
    </row>
    <row r="23094" spans="1:9">
      <c r="A23094" s="22" t="str">
        <f>HYPERLINK("https://app.vivvix.com/360/KMI/IntelliDrive/ApplUI/Pages/CreativePages/CustomReportCreativeDetail.aspx?App=23&amp;ReportView=4&amp;Qid=1711279&amp;Row=23086&amp;Col=1","No Title Assigned - #15281708754")</f>
        <v/>
      </c>
      <c r="B23094" s="0" t="s">
        <v>30798</v>
      </c>
      <c r="E23094" s="0" t="inlineStr">
        <is>
          <t xml:space="preserve">Mazda</t>
        </is>
      </c>
      <c r="F23094" s="0" t="inlineStr">
        <is>
          <t xml:space="preserve">Mazda</t>
        </is>
      </c>
      <c r="G23094" s="0" t="s">
        <v>171</v>
      </c>
      <c r="H23094" s="5">
        <v>1163.991200</v>
      </c>
    </row>
    <row r="23095" spans="1:9">
      <c r="A23095" s="22" t="str">
        <f>HYPERLINK("https://app.vivvix.com/360/KMI/IntelliDrive/ApplUI/Pages/CreativePages/CustomReportCreativeDetail.aspx?App=23&amp;ReportView=4&amp;Qid=1711279&amp;Row=23087&amp;Col=1","No Title Assigned - #15281709027")</f>
        <v/>
      </c>
      <c r="B23095" s="0" t="s">
        <v>30799</v>
      </c>
      <c r="E23095" s="0" t="inlineStr">
        <is>
          <t xml:space="preserve">Mazda</t>
        </is>
      </c>
      <c r="F23095" s="0" t="inlineStr">
        <is>
          <t xml:space="preserve">Mazda</t>
        </is>
      </c>
      <c r="G23095" s="0" t="s">
        <v>171</v>
      </c>
      <c r="H23095" s="5">
        <v>100.918200</v>
      </c>
    </row>
    <row r="23096" spans="1:9">
      <c r="A23096" s="22" t="str">
        <f>HYPERLINK("https://app.vivvix.com/360/KMI/IntelliDrive/ApplUI/Pages/CreativePages/CustomReportCreativeDetail.aspx?App=23&amp;ReportView=4&amp;Qid=1711279&amp;Row=23088&amp;Col=1","No Title Assigned - #15281710348")</f>
        <v/>
      </c>
      <c r="B23096" s="0" t="s">
        <v>30800</v>
      </c>
      <c r="E23096" s="0" t="inlineStr">
        <is>
          <t xml:space="preserve">Mazda</t>
        </is>
      </c>
      <c r="F23096" s="0" t="inlineStr">
        <is>
          <t xml:space="preserve">Mazda</t>
        </is>
      </c>
      <c r="G23096" s="0" t="s">
        <v>171</v>
      </c>
      <c r="H23096" s="5">
        <v>7.448600</v>
      </c>
    </row>
    <row r="23097" spans="1:9">
      <c r="A23097" s="22" t="str">
        <f>HYPERLINK("https://app.vivvix.com/360/KMI/IntelliDrive/ApplUI/Pages/CreativePages/CustomReportCreativeDetail.aspx?App=23&amp;ReportView=4&amp;Qid=1711279&amp;Row=23089&amp;Col=1","No Title Assigned - #15281711509")</f>
        <v/>
      </c>
      <c r="B23097" s="0" t="s">
        <v>30801</v>
      </c>
      <c r="E23097" s="0" t="inlineStr">
        <is>
          <t xml:space="preserve">Mazda</t>
        </is>
      </c>
      <c r="F23097" s="0" t="inlineStr">
        <is>
          <t xml:space="preserve">Mazda</t>
        </is>
      </c>
      <c r="G23097" s="0" t="s">
        <v>171</v>
      </c>
      <c r="H23097" s="5">
        <v>43.211900</v>
      </c>
    </row>
    <row r="23098" spans="1:9">
      <c r="A23098" s="22" t="str">
        <f>HYPERLINK("https://app.vivvix.com/360/KMI/IntelliDrive/ApplUI/Pages/CreativePages/CustomReportCreativeDetail.aspx?App=23&amp;ReportView=4&amp;Qid=1711279&amp;Row=23090&amp;Col=1","No Title Assigned - #15281711986")</f>
        <v/>
      </c>
      <c r="B23098" s="0" t="s">
        <v>30802</v>
      </c>
      <c r="E23098" s="0" t="inlineStr">
        <is>
          <t xml:space="preserve">Mazda</t>
        </is>
      </c>
      <c r="F23098" s="0" t="inlineStr">
        <is>
          <t xml:space="preserve">Mazda</t>
        </is>
      </c>
      <c r="G23098" s="0" t="s">
        <v>171</v>
      </c>
      <c r="H23098" s="5">
        <v>464.426500</v>
      </c>
    </row>
    <row r="23099" spans="1:9">
      <c r="A23099" s="22" t="str">
        <f>HYPERLINK("https://app.vivvix.com/360/KMI/IntelliDrive/ApplUI/Pages/CreativePages/CustomReportCreativeDetail.aspx?App=23&amp;ReportView=4&amp;Qid=1711279&amp;Row=23091&amp;Col=1","No Title Assigned - #15281714850")</f>
        <v/>
      </c>
      <c r="B23099" s="0" t="s">
        <v>30803</v>
      </c>
      <c r="E23099" s="0" t="inlineStr">
        <is>
          <t xml:space="preserve">Mazda</t>
        </is>
      </c>
      <c r="F23099" s="0" t="inlineStr">
        <is>
          <t xml:space="preserve">Mazda</t>
        </is>
      </c>
      <c r="G23099" s="0" t="s">
        <v>171</v>
      </c>
      <c r="H23099" s="5">
        <v>6464.197800</v>
      </c>
    </row>
    <row r="23100" spans="1:9">
      <c r="A23100" s="22" t="str">
        <f>HYPERLINK("https://app.vivvix.com/360/KMI/IntelliDrive/ApplUI/Pages/CreativePages/CustomReportCreativeDetail.aspx?App=23&amp;ReportView=4&amp;Qid=1711279&amp;Row=23092&amp;Col=1","No Title Assigned - #15281715360")</f>
        <v/>
      </c>
      <c r="B23100" s="0" t="s">
        <v>30804</v>
      </c>
      <c r="E23100" s="0" t="inlineStr">
        <is>
          <t xml:space="preserve">Mazda</t>
        </is>
      </c>
      <c r="F23100" s="0" t="inlineStr">
        <is>
          <t xml:space="preserve">Mazda</t>
        </is>
      </c>
      <c r="G23100" s="0" t="s">
        <v>171</v>
      </c>
      <c r="H23100" s="5">
        <v>370.844500</v>
      </c>
    </row>
    <row r="23101" spans="1:9">
      <c r="A23101" s="22" t="str">
        <f>HYPERLINK("https://app.vivvix.com/360/KMI/IntelliDrive/ApplUI/Pages/CreativePages/CustomReportCreativeDetail.aspx?App=23&amp;ReportView=4&amp;Qid=1711279&amp;Row=23093&amp;Col=1","No Title Assigned - #15281717304")</f>
        <v/>
      </c>
      <c r="B23101" s="0" t="s">
        <v>30805</v>
      </c>
      <c r="E23101" s="0" t="inlineStr">
        <is>
          <t xml:space="preserve">Mazda</t>
        </is>
      </c>
      <c r="F23101" s="0" t="inlineStr">
        <is>
          <t xml:space="preserve">Mazda</t>
        </is>
      </c>
      <c r="G23101" s="0" t="s">
        <v>171</v>
      </c>
      <c r="H23101" s="5">
        <v>67.754500</v>
      </c>
    </row>
    <row r="23102" spans="1:9">
      <c r="A23102" s="22" t="str">
        <f>HYPERLINK("https://app.vivvix.com/360/KMI/IntelliDrive/ApplUI/Pages/CreativePages/CustomReportCreativeDetail.aspx?App=23&amp;ReportView=4&amp;Qid=1711279&amp;Row=23094&amp;Col=1","No Title Assigned - #15281718185")</f>
        <v/>
      </c>
      <c r="B23102" s="0" t="s">
        <v>30806</v>
      </c>
      <c r="E23102" s="0" t="inlineStr">
        <is>
          <t xml:space="preserve">Mazda</t>
        </is>
      </c>
      <c r="F23102" s="0" t="inlineStr">
        <is>
          <t xml:space="preserve">Mazda</t>
        </is>
      </c>
      <c r="G23102" s="0" t="s">
        <v>171</v>
      </c>
      <c r="H23102" s="5">
        <v>867.962300</v>
      </c>
    </row>
    <row r="23103" spans="1:9">
      <c r="A23103" s="22" t="str">
        <f>HYPERLINK("https://app.vivvix.com/360/KMI/IntelliDrive/ApplUI/Pages/CreativePages/CustomReportCreativeDetail.aspx?App=23&amp;ReportView=4&amp;Qid=1711279&amp;Row=23095&amp;Col=1","No Title Assigned - #15281718389")</f>
        <v/>
      </c>
      <c r="B23103" s="0" t="s">
        <v>30807</v>
      </c>
      <c r="E23103" s="0" t="inlineStr">
        <is>
          <t xml:space="preserve">Mazda</t>
        </is>
      </c>
      <c r="F23103" s="0" t="inlineStr">
        <is>
          <t xml:space="preserve">Mazda</t>
        </is>
      </c>
      <c r="G23103" s="0" t="s">
        <v>171</v>
      </c>
      <c r="H23103" s="5">
        <v>95.596500</v>
      </c>
    </row>
    <row r="23104" spans="1:9">
      <c r="A23104" s="22" t="str">
        <f>HYPERLINK("https://app.vivvix.com/360/KMI/IntelliDrive/ApplUI/Pages/CreativePages/CustomReportCreativeDetail.aspx?App=23&amp;ReportView=4&amp;Qid=1711279&amp;Row=23096&amp;Col=1","No Title Assigned - #15281718602")</f>
        <v/>
      </c>
      <c r="B23104" s="0" t="s">
        <v>30808</v>
      </c>
      <c r="E23104" s="0" t="inlineStr">
        <is>
          <t xml:space="preserve">Mazda</t>
        </is>
      </c>
      <c r="F23104" s="0" t="inlineStr">
        <is>
          <t xml:space="preserve">Mazda</t>
        </is>
      </c>
      <c r="G23104" s="0" t="s">
        <v>171</v>
      </c>
      <c r="H23104" s="5">
        <v>376.049200</v>
      </c>
    </row>
    <row r="23105" spans="1:9">
      <c r="A23105" s="22" t="str">
        <f>HYPERLINK("https://app.vivvix.com/360/KMI/IntelliDrive/ApplUI/Pages/CreativePages/CustomReportCreativeDetail.aspx?App=23&amp;ReportView=4&amp;Qid=1711279&amp;Row=23097&amp;Col=1","No Title Assigned - #15281719484")</f>
        <v/>
      </c>
      <c r="B23105" s="0" t="s">
        <v>30809</v>
      </c>
      <c r="E23105" s="0" t="inlineStr">
        <is>
          <t xml:space="preserve">Mazda</t>
        </is>
      </c>
      <c r="F23105" s="0" t="inlineStr">
        <is>
          <t xml:space="preserve">Mazda</t>
        </is>
      </c>
      <c r="G23105" s="0" t="s">
        <v>171</v>
      </c>
      <c r="H23105" s="5">
        <v>10277.805900</v>
      </c>
    </row>
    <row r="23106" spans="1:9">
      <c r="A23106" s="22" t="str">
        <f>HYPERLINK("https://app.vivvix.com/360/KMI/IntelliDrive/ApplUI/Pages/CreativePages/CustomReportCreativeDetail.aspx?App=23&amp;ReportView=4&amp;Qid=1711279&amp;Row=23098&amp;Col=1","No Title Assigned - #15281720135")</f>
        <v/>
      </c>
      <c r="B23106" s="0" t="s">
        <v>30810</v>
      </c>
      <c r="E23106" s="0" t="inlineStr">
        <is>
          <t xml:space="preserve">Mazda</t>
        </is>
      </c>
      <c r="F23106" s="0" t="inlineStr">
        <is>
          <t xml:space="preserve">Mazda</t>
        </is>
      </c>
      <c r="G23106" s="0" t="s">
        <v>171</v>
      </c>
      <c r="H23106" s="5">
        <v>444.226200</v>
      </c>
    </row>
    <row r="23107" spans="1:9">
      <c r="A23107" s="22" t="str">
        <f>HYPERLINK("https://app.vivvix.com/360/KMI/IntelliDrive/ApplUI/Pages/CreativePages/CustomReportCreativeDetail.aspx?App=23&amp;ReportView=4&amp;Qid=1711279&amp;Row=23099&amp;Col=1","No Title Assigned - #15281720243")</f>
        <v/>
      </c>
      <c r="B23107" s="0" t="s">
        <v>30811</v>
      </c>
      <c r="E23107" s="0" t="inlineStr">
        <is>
          <t xml:space="preserve">Mazda</t>
        </is>
      </c>
      <c r="F23107" s="0" t="inlineStr">
        <is>
          <t xml:space="preserve">Mazda</t>
        </is>
      </c>
      <c r="G23107" s="0" t="s">
        <v>171</v>
      </c>
      <c r="H23107" s="5">
        <v>650.207500</v>
      </c>
    </row>
    <row r="23108" spans="1:9">
      <c r="A23108" s="22" t="str">
        <f>HYPERLINK("https://app.vivvix.com/360/KMI/IntelliDrive/ApplUI/Pages/CreativePages/CustomReportCreativeDetail.aspx?App=23&amp;ReportView=4&amp;Qid=1711279&amp;Row=23100&amp;Col=1","No Title Assigned - #15281721076")</f>
        <v/>
      </c>
      <c r="B23108" s="0" t="s">
        <v>30812</v>
      </c>
      <c r="E23108" s="0" t="inlineStr">
        <is>
          <t xml:space="preserve">Mazda</t>
        </is>
      </c>
      <c r="F23108" s="0" t="inlineStr">
        <is>
          <t xml:space="preserve">Mazda</t>
        </is>
      </c>
      <c r="G23108" s="0" t="s">
        <v>171</v>
      </c>
      <c r="H23108" s="5">
        <v>0.823600</v>
      </c>
    </row>
    <row r="23109" spans="1:9">
      <c r="A23109" s="22" t="str">
        <f>HYPERLINK("https://app.vivvix.com/360/KMI/IntelliDrive/ApplUI/Pages/CreativePages/CustomReportCreativeDetail.aspx?App=23&amp;ReportView=4&amp;Qid=1711279&amp;Row=23101&amp;Col=1","No Title Assigned - #15281721432")</f>
        <v/>
      </c>
      <c r="B23109" s="0" t="s">
        <v>30813</v>
      </c>
      <c r="C23109" s="0" t="s">
        <v>30814</v>
      </c>
      <c r="D23109" s="0" t="s">
        <v>30814</v>
      </c>
      <c r="E23109" s="0" t="inlineStr">
        <is>
          <t xml:space="preserve">Mazda</t>
        </is>
      </c>
      <c r="F23109" s="0" t="s">
        <v>13</v>
      </c>
      <c r="G23109" s="0" t="s">
        <v>49</v>
      </c>
      <c r="H23109" s="5">
        <v>7.610800</v>
      </c>
    </row>
    <row r="23110" spans="1:9">
      <c r="A23110" s="22" t="str">
        <f>HYPERLINK("https://app.vivvix.com/360/KMI/IntelliDrive/ApplUI/Pages/CreativePages/CustomReportCreativeDetail.aspx?App=23&amp;ReportView=4&amp;Qid=1711279&amp;Row=23102&amp;Col=1","No Title Assigned - #15281721618")</f>
        <v/>
      </c>
      <c r="B23110" s="0" t="s">
        <v>30815</v>
      </c>
      <c r="E23110" s="0" t="inlineStr">
        <is>
          <t xml:space="preserve">Mazda</t>
        </is>
      </c>
      <c r="F23110" s="0" t="inlineStr">
        <is>
          <t xml:space="preserve">Mazda</t>
        </is>
      </c>
      <c r="G23110" s="0" t="s">
        <v>171</v>
      </c>
      <c r="H23110" s="5">
        <v>712.340200</v>
      </c>
    </row>
    <row r="23111" spans="1:9">
      <c r="A23111" s="22" t="str">
        <f>HYPERLINK("https://app.vivvix.com/360/KMI/IntelliDrive/ApplUI/Pages/CreativePages/CustomReportCreativeDetail.aspx?App=23&amp;ReportView=4&amp;Qid=1711279&amp;Row=23103&amp;Col=1","No Title Assigned - #15281721623")</f>
        <v/>
      </c>
      <c r="B23111" s="0" t="s">
        <v>30816</v>
      </c>
      <c r="E23111" s="0" t="inlineStr">
        <is>
          <t xml:space="preserve">Mazda</t>
        </is>
      </c>
      <c r="F23111" s="0" t="inlineStr">
        <is>
          <t xml:space="preserve">Mazda</t>
        </is>
      </c>
      <c r="G23111" s="0" t="s">
        <v>171</v>
      </c>
      <c r="H23111" s="5">
        <v>395.281000</v>
      </c>
    </row>
    <row r="23112" spans="1:9">
      <c r="A23112" s="22" t="str">
        <f>HYPERLINK("https://app.vivvix.com/360/KMI/IntelliDrive/ApplUI/Pages/CreativePages/CustomReportCreativeDetail.aspx?App=23&amp;ReportView=4&amp;Qid=1711279&amp;Row=23104&amp;Col=1","No Title Assigned - #15281721663")</f>
        <v/>
      </c>
      <c r="B23112" s="0" t="s">
        <v>30817</v>
      </c>
      <c r="E23112" s="0" t="inlineStr">
        <is>
          <t xml:space="preserve">Mazda</t>
        </is>
      </c>
      <c r="F23112" s="0" t="inlineStr">
        <is>
          <t xml:space="preserve">Mazda</t>
        </is>
      </c>
      <c r="G23112" s="0" t="s">
        <v>171</v>
      </c>
      <c r="H23112" s="5">
        <v>683.655100</v>
      </c>
    </row>
    <row r="23113" spans="1:9">
      <c r="A23113" s="22" t="str">
        <f>HYPERLINK("https://app.vivvix.com/360/KMI/IntelliDrive/ApplUI/Pages/CreativePages/CustomReportCreativeDetail.aspx?App=23&amp;ReportView=4&amp;Qid=1711279&amp;Row=23105&amp;Col=1","No Title Assigned - #15281722337")</f>
        <v/>
      </c>
      <c r="B23113" s="0" t="s">
        <v>30818</v>
      </c>
      <c r="E23113" s="0" t="inlineStr">
        <is>
          <t xml:space="preserve">Mazda</t>
        </is>
      </c>
      <c r="F23113" s="0" t="inlineStr">
        <is>
          <t xml:space="preserve">Mazda</t>
        </is>
      </c>
      <c r="G23113" s="0" t="s">
        <v>171</v>
      </c>
      <c r="H23113" s="5">
        <v>327.157400</v>
      </c>
    </row>
    <row r="23114" spans="1:9">
      <c r="A23114" s="22" t="str">
        <f>HYPERLINK("https://app.vivvix.com/360/KMI/IntelliDrive/ApplUI/Pages/CreativePages/CustomReportCreativeDetail.aspx?App=23&amp;ReportView=4&amp;Qid=1711279&amp;Row=23106&amp;Col=1","No Title Assigned - #15281722337")</f>
        <v/>
      </c>
      <c r="B23114" s="0" t="s">
        <v>30818</v>
      </c>
      <c r="E23114" s="0" t="inlineStr">
        <is>
          <t xml:space="preserve">Mazda</t>
        </is>
      </c>
      <c r="F23114" s="0" t="inlineStr">
        <is>
          <t xml:space="preserve">Mazda</t>
        </is>
      </c>
      <c r="G23114" s="0" t="s">
        <v>171</v>
      </c>
      <c r="H23114" s="5">
        <v>811.909600</v>
      </c>
    </row>
    <row r="23115" spans="1:9">
      <c r="A23115" s="22" t="str">
        <f>HYPERLINK("https://app.vivvix.com/360/KMI/IntelliDrive/ApplUI/Pages/CreativePages/CustomReportCreativeDetail.aspx?App=23&amp;ReportView=4&amp;Qid=1711279&amp;Row=23107&amp;Col=1","No Title Assigned - #15281722490")</f>
        <v/>
      </c>
      <c r="B23115" s="0" t="s">
        <v>30819</v>
      </c>
      <c r="E23115" s="0" t="inlineStr">
        <is>
          <t xml:space="preserve">Mazda</t>
        </is>
      </c>
      <c r="F23115" s="0" t="inlineStr">
        <is>
          <t xml:space="preserve">Mazda</t>
        </is>
      </c>
      <c r="G23115" s="0" t="s">
        <v>171</v>
      </c>
      <c r="H23115" s="5">
        <v>7716.829800</v>
      </c>
    </row>
    <row r="23116" spans="1:9">
      <c r="A23116" s="22" t="str">
        <f>HYPERLINK("https://app.vivvix.com/360/KMI/IntelliDrive/ApplUI/Pages/CreativePages/CustomReportCreativeDetail.aspx?App=23&amp;ReportView=4&amp;Qid=1711279&amp;Row=23108&amp;Col=1","No Title Assigned - #15281723293")</f>
        <v/>
      </c>
      <c r="B23116" s="0" t="s">
        <v>30820</v>
      </c>
      <c r="E23116" s="0" t="inlineStr">
        <is>
          <t xml:space="preserve">Mazda</t>
        </is>
      </c>
      <c r="F23116" s="0" t="inlineStr">
        <is>
          <t xml:space="preserve">Mazda</t>
        </is>
      </c>
      <c r="G23116" s="0" t="s">
        <v>171</v>
      </c>
      <c r="H23116" s="5">
        <v>102.493400</v>
      </c>
    </row>
    <row r="23117" spans="1:9">
      <c r="A23117" s="22" t="str">
        <f>HYPERLINK("https://app.vivvix.com/360/KMI/IntelliDrive/ApplUI/Pages/CreativePages/CustomReportCreativeDetail.aspx?App=23&amp;ReportView=4&amp;Qid=1711279&amp;Row=23109&amp;Col=1","No Title Assigned - #15281724232")</f>
        <v/>
      </c>
      <c r="B23117" s="0" t="s">
        <v>30821</v>
      </c>
      <c r="E23117" s="0" t="inlineStr">
        <is>
          <t xml:space="preserve">Mazda</t>
        </is>
      </c>
      <c r="F23117" s="0" t="inlineStr">
        <is>
          <t xml:space="preserve">Mazda</t>
        </is>
      </c>
      <c r="G23117" s="0" t="s">
        <v>171</v>
      </c>
      <c r="H23117" s="5">
        <v>476.889700</v>
      </c>
    </row>
    <row r="23118" spans="1:9">
      <c r="A23118" s="22" t="str">
        <f>HYPERLINK("https://app.vivvix.com/360/KMI/IntelliDrive/ApplUI/Pages/CreativePages/CustomReportCreativeDetail.aspx?App=23&amp;ReportView=4&amp;Qid=1711279&amp;Row=23110&amp;Col=1","No Title Assigned - #15281724244")</f>
        <v/>
      </c>
      <c r="B23118" s="0" t="s">
        <v>30822</v>
      </c>
      <c r="E23118" s="0" t="inlineStr">
        <is>
          <t xml:space="preserve">Mazda</t>
        </is>
      </c>
      <c r="F23118" s="0" t="inlineStr">
        <is>
          <t xml:space="preserve">Mazda</t>
        </is>
      </c>
      <c r="G23118" s="0" t="s">
        <v>171</v>
      </c>
      <c r="H23118" s="5">
        <v>412.568700</v>
      </c>
    </row>
    <row r="23119" spans="1:9">
      <c r="A23119" s="22" t="str">
        <f>HYPERLINK("https://app.vivvix.com/360/KMI/IntelliDrive/ApplUI/Pages/CreativePages/CustomReportCreativeDetail.aspx?App=23&amp;ReportView=4&amp;Qid=1711279&amp;Row=23111&amp;Col=1","No Title Assigned - #15281724892")</f>
        <v/>
      </c>
      <c r="B23119" s="0" t="s">
        <v>30823</v>
      </c>
      <c r="E23119" s="0" t="inlineStr">
        <is>
          <t xml:space="preserve">Mazda</t>
        </is>
      </c>
      <c r="F23119" s="0" t="inlineStr">
        <is>
          <t xml:space="preserve">Mazda</t>
        </is>
      </c>
      <c r="G23119" s="0" t="s">
        <v>171</v>
      </c>
      <c r="H23119" s="5">
        <v>289.313400</v>
      </c>
    </row>
    <row r="23120" spans="1:9">
      <c r="A23120" s="22" t="str">
        <f>HYPERLINK("https://app.vivvix.com/360/KMI/IntelliDrive/ApplUI/Pages/CreativePages/CustomReportCreativeDetail.aspx?App=23&amp;ReportView=4&amp;Qid=1711279&amp;Row=23112&amp;Col=1","No Title Assigned - #15281725062")</f>
        <v/>
      </c>
      <c r="B23120" s="0" t="s">
        <v>30824</v>
      </c>
      <c r="E23120" s="0" t="inlineStr">
        <is>
          <t xml:space="preserve">Mazda</t>
        </is>
      </c>
      <c r="F23120" s="0" t="inlineStr">
        <is>
          <t xml:space="preserve">Mazda</t>
        </is>
      </c>
      <c r="G23120" s="0" t="s">
        <v>171</v>
      </c>
      <c r="H23120" s="5">
        <v>948.389700</v>
      </c>
    </row>
    <row r="23121" spans="1:9">
      <c r="A23121" s="22" t="str">
        <f>HYPERLINK("https://app.vivvix.com/360/KMI/IntelliDrive/ApplUI/Pages/CreativePages/CustomReportCreativeDetail.aspx?App=23&amp;ReportView=4&amp;Qid=1711279&amp;Row=23113&amp;Col=1","No Title Assigned - #15281725072")</f>
        <v/>
      </c>
      <c r="B23121" s="0" t="s">
        <v>30825</v>
      </c>
      <c r="E23121" s="0" t="inlineStr">
        <is>
          <t xml:space="preserve">Mazda</t>
        </is>
      </c>
      <c r="F23121" s="0" t="inlineStr">
        <is>
          <t xml:space="preserve">Mazda</t>
        </is>
      </c>
      <c r="G23121" s="0" t="s">
        <v>171</v>
      </c>
      <c r="H23121" s="5">
        <v>94.326300</v>
      </c>
    </row>
    <row r="23122" spans="1:9">
      <c r="A23122" s="22" t="str">
        <f>HYPERLINK("https://app.vivvix.com/360/KMI/IntelliDrive/ApplUI/Pages/CreativePages/CustomReportCreativeDetail.aspx?App=23&amp;ReportView=4&amp;Qid=1711279&amp;Row=23114&amp;Col=1","No Title Assigned - #15281725231")</f>
        <v/>
      </c>
      <c r="B23122" s="0" t="s">
        <v>30826</v>
      </c>
      <c r="E23122" s="0" t="inlineStr">
        <is>
          <t xml:space="preserve">Mazda</t>
        </is>
      </c>
      <c r="F23122" s="0" t="inlineStr">
        <is>
          <t xml:space="preserve">Mazda</t>
        </is>
      </c>
      <c r="G23122" s="0" t="s">
        <v>171</v>
      </c>
      <c r="H23122" s="5">
        <v>127.420500</v>
      </c>
    </row>
    <row r="23123" spans="1:9">
      <c r="A23123" s="22" t="str">
        <f>HYPERLINK("https://app.vivvix.com/360/KMI/IntelliDrive/ApplUI/Pages/CreativePages/CustomReportCreativeDetail.aspx?App=23&amp;ReportView=4&amp;Qid=1711279&amp;Row=23115&amp;Col=1","No Title Assigned - #15281725463")</f>
        <v/>
      </c>
      <c r="B23123" s="0" t="s">
        <v>30827</v>
      </c>
      <c r="E23123" s="0" t="inlineStr">
        <is>
          <t xml:space="preserve">Mazda</t>
        </is>
      </c>
      <c r="F23123" s="0" t="inlineStr">
        <is>
          <t xml:space="preserve">Mazda</t>
        </is>
      </c>
      <c r="G23123" s="0" t="s">
        <v>171</v>
      </c>
      <c r="H23123" s="5">
        <v>47.088300</v>
      </c>
    </row>
    <row r="23124" spans="1:9">
      <c r="A23124" s="22" t="str">
        <f>HYPERLINK("https://app.vivvix.com/360/KMI/IntelliDrive/ApplUI/Pages/CreativePages/CustomReportCreativeDetail.aspx?App=23&amp;ReportView=4&amp;Qid=1711279&amp;Row=23116&amp;Col=1","No Title Assigned - #15281725549")</f>
        <v/>
      </c>
      <c r="B23124" s="0" t="s">
        <v>30828</v>
      </c>
      <c r="E23124" s="0" t="inlineStr">
        <is>
          <t xml:space="preserve">Mazda</t>
        </is>
      </c>
      <c r="F23124" s="0" t="inlineStr">
        <is>
          <t xml:space="preserve">Mazda</t>
        </is>
      </c>
      <c r="G23124" s="0" t="s">
        <v>171</v>
      </c>
      <c r="H23124" s="5">
        <v>458.395800</v>
      </c>
    </row>
    <row r="23125" spans="1:9">
      <c r="A23125" s="22" t="str">
        <f>HYPERLINK("https://app.vivvix.com/360/KMI/IntelliDrive/ApplUI/Pages/CreativePages/CustomReportCreativeDetail.aspx?App=23&amp;ReportView=4&amp;Qid=1711279&amp;Row=23117&amp;Col=1","No Title Assigned - #15281725645")</f>
        <v/>
      </c>
      <c r="B23125" s="0" t="s">
        <v>30829</v>
      </c>
      <c r="E23125" s="0" t="inlineStr">
        <is>
          <t xml:space="preserve">Mazda</t>
        </is>
      </c>
      <c r="F23125" s="0" t="inlineStr">
        <is>
          <t xml:space="preserve">Mazda</t>
        </is>
      </c>
      <c r="G23125" s="0" t="s">
        <v>171</v>
      </c>
      <c r="H23125" s="5">
        <v>1451.402300</v>
      </c>
    </row>
    <row r="23126" spans="1:9">
      <c r="A23126" s="22" t="str">
        <f>HYPERLINK("https://app.vivvix.com/360/KMI/IntelliDrive/ApplUI/Pages/CreativePages/CustomReportCreativeDetail.aspx?App=23&amp;ReportView=4&amp;Qid=1711279&amp;Row=23118&amp;Col=1","No Title Assigned - #15281725654")</f>
        <v/>
      </c>
      <c r="B23126" s="0" t="s">
        <v>30830</v>
      </c>
      <c r="C23126" s="0" t="s">
        <v>30831</v>
      </c>
      <c r="D23126" s="0" t="s">
        <v>30831</v>
      </c>
      <c r="E23126" s="0" t="inlineStr">
        <is>
          <t xml:space="preserve">Mazda</t>
        </is>
      </c>
      <c r="F23126" s="0" t="inlineStr">
        <is>
          <t xml:space="preserve">Mazda</t>
        </is>
      </c>
      <c r="G23126" s="0" t="s">
        <v>171</v>
      </c>
      <c r="H23126" s="5">
        <v>1698.221700</v>
      </c>
    </row>
    <row r="23127" spans="1:9">
      <c r="A23127" s="22" t="str">
        <f>HYPERLINK("https://app.vivvix.com/360/KMI/IntelliDrive/ApplUI/Pages/CreativePages/CustomReportCreativeDetail.aspx?App=23&amp;ReportView=4&amp;Qid=1711279&amp;Row=23119&amp;Col=1","No Title Assigned - #15281725654")</f>
        <v/>
      </c>
      <c r="B23127" s="0" t="s">
        <v>30830</v>
      </c>
      <c r="E23127" s="0" t="inlineStr">
        <is>
          <t xml:space="preserve">Mazda</t>
        </is>
      </c>
      <c r="F23127" s="0" t="inlineStr">
        <is>
          <t xml:space="preserve">Mazda</t>
        </is>
      </c>
      <c r="G23127" s="0" t="s">
        <v>171</v>
      </c>
      <c r="H23127" s="5">
        <v>2292.515300</v>
      </c>
    </row>
    <row r="23128" spans="1:9">
      <c r="A23128" s="22" t="str">
        <f>HYPERLINK("https://app.vivvix.com/360/KMI/IntelliDrive/ApplUI/Pages/CreativePages/CustomReportCreativeDetail.aspx?App=23&amp;ReportView=4&amp;Qid=1711279&amp;Row=23120&amp;Col=1","No Title Assigned - #15281726073")</f>
        <v/>
      </c>
      <c r="B23128" s="0" t="s">
        <v>30832</v>
      </c>
      <c r="C23128" s="0" t="s">
        <v>30833</v>
      </c>
      <c r="D23128" s="0" t="s">
        <v>15762</v>
      </c>
      <c r="E23128" s="0" t="inlineStr">
        <is>
          <t xml:space="preserve">Mazda</t>
        </is>
      </c>
      <c r="F23128" s="0" t="s">
        <v>13</v>
      </c>
      <c r="G23128" s="0" t="s">
        <v>49</v>
      </c>
      <c r="H23128" s="5">
        <v>466.729700</v>
      </c>
    </row>
    <row r="23129" spans="1:9">
      <c r="A23129" s="22" t="str">
        <f>HYPERLINK("https://app.vivvix.com/360/KMI/IntelliDrive/ApplUI/Pages/CreativePages/CustomReportCreativeDetail.aspx?App=23&amp;ReportView=4&amp;Qid=1711279&amp;Row=23121&amp;Col=1","No Title Assigned - #15281726163")</f>
        <v/>
      </c>
      <c r="B23129" s="0" t="s">
        <v>30834</v>
      </c>
      <c r="E23129" s="0" t="inlineStr">
        <is>
          <t xml:space="preserve">Mazda</t>
        </is>
      </c>
      <c r="F23129" s="0" t="inlineStr">
        <is>
          <t xml:space="preserve">Mazda</t>
        </is>
      </c>
      <c r="G23129" s="0" t="s">
        <v>171</v>
      </c>
      <c r="H23129" s="5">
        <v>43.297800</v>
      </c>
    </row>
    <row r="23130" spans="1:9">
      <c r="A23130" s="22" t="str">
        <f>HYPERLINK("https://app.vivvix.com/360/KMI/IntelliDrive/ApplUI/Pages/CreativePages/CustomReportCreativeDetail.aspx?App=23&amp;ReportView=4&amp;Qid=1711279&amp;Row=23122&amp;Col=1","No Title Assigned - #15281726283")</f>
        <v/>
      </c>
      <c r="B23130" s="0" t="s">
        <v>30835</v>
      </c>
      <c r="E23130" s="0" t="inlineStr">
        <is>
          <t xml:space="preserve">Mazda</t>
        </is>
      </c>
      <c r="F23130" s="0" t="inlineStr">
        <is>
          <t xml:space="preserve">Mazda</t>
        </is>
      </c>
      <c r="G23130" s="0" t="s">
        <v>171</v>
      </c>
      <c r="H23130" s="5">
        <v>24536.039000</v>
      </c>
    </row>
    <row r="23131" spans="1:9">
      <c r="A23131" s="22" t="str">
        <f>HYPERLINK("https://app.vivvix.com/360/KMI/IntelliDrive/ApplUI/Pages/CreativePages/CustomReportCreativeDetail.aspx?App=23&amp;ReportView=4&amp;Qid=1711279&amp;Row=23123&amp;Col=1","No Title Assigned - #15281726283")</f>
        <v/>
      </c>
      <c r="B23131" s="0" t="s">
        <v>30835</v>
      </c>
      <c r="E23131" s="0" t="inlineStr">
        <is>
          <t xml:space="preserve">Mazda</t>
        </is>
      </c>
      <c r="F23131" s="0" t="inlineStr">
        <is>
          <t xml:space="preserve">Mazda</t>
        </is>
      </c>
      <c r="G23131" s="0" t="s">
        <v>171</v>
      </c>
      <c r="H23131" s="5">
        <v>47735.835900</v>
      </c>
    </row>
    <row r="23132" spans="1:9">
      <c r="A23132" s="22" t="str">
        <f>HYPERLINK("https://app.vivvix.com/360/KMI/IntelliDrive/ApplUI/Pages/CreativePages/CustomReportCreativeDetail.aspx?App=23&amp;ReportView=4&amp;Qid=1711279&amp;Row=23124&amp;Col=1","No Title Assigned - #15281726335")</f>
        <v/>
      </c>
      <c r="B23132" s="0" t="s">
        <v>30836</v>
      </c>
      <c r="E23132" s="0" t="inlineStr">
        <is>
          <t xml:space="preserve">Mazda</t>
        </is>
      </c>
      <c r="F23132" s="0" t="inlineStr">
        <is>
          <t xml:space="preserve">Mazda</t>
        </is>
      </c>
      <c r="G23132" s="0" t="s">
        <v>171</v>
      </c>
      <c r="H23132" s="5">
        <v>179.888500</v>
      </c>
    </row>
    <row r="23133" spans="1:9">
      <c r="A23133" s="22" t="str">
        <f>HYPERLINK("https://app.vivvix.com/360/KMI/IntelliDrive/ApplUI/Pages/CreativePages/CustomReportCreativeDetail.aspx?App=23&amp;ReportView=4&amp;Qid=1711279&amp;Row=23125&amp;Col=1","No Title Assigned - #15281726372")</f>
        <v/>
      </c>
      <c r="B23133" s="0" t="s">
        <v>30837</v>
      </c>
      <c r="E23133" s="0" t="inlineStr">
        <is>
          <t xml:space="preserve">Mazda</t>
        </is>
      </c>
      <c r="F23133" s="0" t="inlineStr">
        <is>
          <t xml:space="preserve">Mazda</t>
        </is>
      </c>
      <c r="G23133" s="0" t="s">
        <v>171</v>
      </c>
      <c r="H23133" s="5">
        <v>0.823600</v>
      </c>
    </row>
    <row r="23134" spans="1:9">
      <c r="A23134" s="22" t="str">
        <f>HYPERLINK("https://app.vivvix.com/360/KMI/IntelliDrive/ApplUI/Pages/CreativePages/CustomReportCreativeDetail.aspx?App=23&amp;ReportView=4&amp;Qid=1711279&amp;Row=23126&amp;Col=1","No Title Assigned - #15281726392")</f>
        <v/>
      </c>
      <c r="B23134" s="0" t="s">
        <v>30838</v>
      </c>
      <c r="E23134" s="0" t="inlineStr">
        <is>
          <t xml:space="preserve">Mazda</t>
        </is>
      </c>
      <c r="F23134" s="0" t="inlineStr">
        <is>
          <t xml:space="preserve">Mazda</t>
        </is>
      </c>
      <c r="G23134" s="0" t="s">
        <v>171</v>
      </c>
      <c r="H23134" s="5">
        <v>275.045000</v>
      </c>
    </row>
    <row r="23135" spans="1:9">
      <c r="A23135" s="22" t="str">
        <f>HYPERLINK("https://app.vivvix.com/360/KMI/IntelliDrive/ApplUI/Pages/CreativePages/CustomReportCreativeDetail.aspx?App=23&amp;ReportView=4&amp;Qid=1711279&amp;Row=23127&amp;Col=1","No Title Assigned - #15281726433")</f>
        <v/>
      </c>
      <c r="B23135" s="0" t="s">
        <v>30839</v>
      </c>
      <c r="E23135" s="0" t="inlineStr">
        <is>
          <t xml:space="preserve">Mazda</t>
        </is>
      </c>
      <c r="F23135" s="0" t="inlineStr">
        <is>
          <t xml:space="preserve">Mazda</t>
        </is>
      </c>
      <c r="G23135" s="0" t="s">
        <v>171</v>
      </c>
      <c r="H23135" s="5">
        <v>108.914200</v>
      </c>
    </row>
    <row r="23136" spans="1:9">
      <c r="A23136" s="22" t="str">
        <f>HYPERLINK("https://app.vivvix.com/360/KMI/IntelliDrive/ApplUI/Pages/CreativePages/CustomReportCreativeDetail.aspx?App=23&amp;ReportView=4&amp;Qid=1711279&amp;Row=23128&amp;Col=1","No Title Assigned - #15281726511")</f>
        <v/>
      </c>
      <c r="B23136" s="0" t="s">
        <v>30840</v>
      </c>
      <c r="E23136" s="0" t="inlineStr">
        <is>
          <t xml:space="preserve">Mazda</t>
        </is>
      </c>
      <c r="F23136" s="0" t="inlineStr">
        <is>
          <t xml:space="preserve">Mazda</t>
        </is>
      </c>
      <c r="G23136" s="0" t="s">
        <v>171</v>
      </c>
      <c r="H23136" s="5">
        <v>3224.963900</v>
      </c>
    </row>
    <row r="23137" spans="1:9">
      <c r="A23137" s="22" t="str">
        <f>HYPERLINK("https://app.vivvix.com/360/KMI/IntelliDrive/ApplUI/Pages/CreativePages/CustomReportCreativeDetail.aspx?App=23&amp;ReportView=4&amp;Qid=1711279&amp;Row=23129&amp;Col=1","No Title Assigned - #15281726579")</f>
        <v/>
      </c>
      <c r="B23137" s="0" t="s">
        <v>30841</v>
      </c>
      <c r="E23137" s="0" t="inlineStr">
        <is>
          <t xml:space="preserve">Mazda</t>
        </is>
      </c>
      <c r="F23137" s="0" t="inlineStr">
        <is>
          <t xml:space="preserve">Mazda</t>
        </is>
      </c>
      <c r="G23137" s="0" t="s">
        <v>171</v>
      </c>
      <c r="H23137" s="5">
        <v>105.019600</v>
      </c>
    </row>
    <row r="23138" spans="1:9">
      <c r="A23138" s="22" t="str">
        <f>HYPERLINK("https://app.vivvix.com/360/KMI/IntelliDrive/ApplUI/Pages/CreativePages/CustomReportCreativeDetail.aspx?App=23&amp;ReportView=4&amp;Qid=1711279&amp;Row=23130&amp;Col=1","No Title Assigned - #15281727516")</f>
        <v/>
      </c>
      <c r="B23138" s="0" t="s">
        <v>30842</v>
      </c>
      <c r="E23138" s="0" t="inlineStr">
        <is>
          <t xml:space="preserve">Mazda</t>
        </is>
      </c>
      <c r="F23138" s="0" t="inlineStr">
        <is>
          <t xml:space="preserve">Mazda</t>
        </is>
      </c>
      <c r="G23138" s="0" t="s">
        <v>171</v>
      </c>
      <c r="H23138" s="5">
        <v>211.230800</v>
      </c>
    </row>
    <row r="23139" spans="1:9">
      <c r="A23139" s="22" t="str">
        <f>HYPERLINK("https://app.vivvix.com/360/KMI/IntelliDrive/ApplUI/Pages/CreativePages/CustomReportCreativeDetail.aspx?App=23&amp;ReportView=4&amp;Qid=1711279&amp;Row=23131&amp;Col=1","No Title Assigned - #15281727567")</f>
        <v/>
      </c>
      <c r="B23139" s="0" t="s">
        <v>30843</v>
      </c>
      <c r="E23139" s="0" t="inlineStr">
        <is>
          <t xml:space="preserve">Mazda</t>
        </is>
      </c>
      <c r="F23139" s="0" t="inlineStr">
        <is>
          <t xml:space="preserve">Mazda</t>
        </is>
      </c>
      <c r="G23139" s="0" t="s">
        <v>171</v>
      </c>
      <c r="H23139" s="5">
        <v>218.976200</v>
      </c>
    </row>
    <row r="23140" spans="1:9">
      <c r="A23140" s="22" t="str">
        <f>HYPERLINK("https://app.vivvix.com/360/KMI/IntelliDrive/ApplUI/Pages/CreativePages/CustomReportCreativeDetail.aspx?App=23&amp;ReportView=4&amp;Qid=1711279&amp;Row=23132&amp;Col=1","No Title Assigned - #15281727568")</f>
        <v/>
      </c>
      <c r="B23140" s="0" t="s">
        <v>30844</v>
      </c>
      <c r="E23140" s="0" t="inlineStr">
        <is>
          <t xml:space="preserve">Mazda</t>
        </is>
      </c>
      <c r="F23140" s="0" t="inlineStr">
        <is>
          <t xml:space="preserve">Mazda</t>
        </is>
      </c>
      <c r="G23140" s="0" t="s">
        <v>171</v>
      </c>
      <c r="H23140" s="5">
        <v>7.216300</v>
      </c>
    </row>
    <row r="23141" spans="1:9">
      <c r="A23141" s="22" t="str">
        <f>HYPERLINK("https://app.vivvix.com/360/KMI/IntelliDrive/ApplUI/Pages/CreativePages/CustomReportCreativeDetail.aspx?App=23&amp;ReportView=4&amp;Qid=1711279&amp;Row=23133&amp;Col=1","No Title Assigned - #15281727694")</f>
        <v/>
      </c>
      <c r="B23141" s="0" t="s">
        <v>30845</v>
      </c>
      <c r="E23141" s="0" t="inlineStr">
        <is>
          <t xml:space="preserve">Mazda</t>
        </is>
      </c>
      <c r="F23141" s="0" t="inlineStr">
        <is>
          <t xml:space="preserve">Mazda</t>
        </is>
      </c>
      <c r="G23141" s="0" t="s">
        <v>171</v>
      </c>
      <c r="H23141" s="5">
        <v>719.071300</v>
      </c>
    </row>
    <row r="23142" spans="1:9">
      <c r="A23142" s="22" t="str">
        <f>HYPERLINK("https://app.vivvix.com/360/KMI/IntelliDrive/ApplUI/Pages/CreativePages/CustomReportCreativeDetail.aspx?App=23&amp;ReportView=4&amp;Qid=1711279&amp;Row=23134&amp;Col=1","No Title Assigned - #15281727957")</f>
        <v/>
      </c>
      <c r="B23142" s="0" t="s">
        <v>30846</v>
      </c>
      <c r="E23142" s="0" t="inlineStr">
        <is>
          <t xml:space="preserve">Mazda</t>
        </is>
      </c>
      <c r="F23142" s="0" t="inlineStr">
        <is>
          <t xml:space="preserve">Mazda</t>
        </is>
      </c>
      <c r="G23142" s="0" t="s">
        <v>171</v>
      </c>
      <c r="H23142" s="5">
        <v>17.293200</v>
      </c>
    </row>
    <row r="23143" spans="1:9">
      <c r="A23143" s="22" t="str">
        <f>HYPERLINK("https://app.vivvix.com/360/KMI/IntelliDrive/ApplUI/Pages/CreativePages/CustomReportCreativeDetail.aspx?App=23&amp;ReportView=4&amp;Qid=1711279&amp;Row=23135&amp;Col=1","No Title Assigned - #15281728195")</f>
        <v/>
      </c>
      <c r="B23143" s="0" t="s">
        <v>30847</v>
      </c>
      <c r="E23143" s="0" t="inlineStr">
        <is>
          <t xml:space="preserve">Mazda</t>
        </is>
      </c>
      <c r="F23143" s="0" t="inlineStr">
        <is>
          <t xml:space="preserve">Mazda</t>
        </is>
      </c>
      <c r="G23143" s="0" t="s">
        <v>171</v>
      </c>
      <c r="H23143" s="5">
        <v>676.715900</v>
      </c>
    </row>
    <row r="23144" spans="1:9">
      <c r="A23144" s="22" t="str">
        <f>HYPERLINK("https://app.vivvix.com/360/KMI/IntelliDrive/ApplUI/Pages/CreativePages/CustomReportCreativeDetail.aspx?App=23&amp;ReportView=4&amp;Qid=1711279&amp;Row=23136&amp;Col=1","No Title Assigned - #15281728515")</f>
        <v/>
      </c>
      <c r="B23144" s="0" t="s">
        <v>30848</v>
      </c>
      <c r="E23144" s="0" t="inlineStr">
        <is>
          <t xml:space="preserve">Mazda</t>
        </is>
      </c>
      <c r="F23144" s="0" t="inlineStr">
        <is>
          <t xml:space="preserve">Mazda</t>
        </is>
      </c>
      <c r="G23144" s="0" t="s">
        <v>171</v>
      </c>
      <c r="H23144" s="5">
        <v>557.416000</v>
      </c>
    </row>
    <row r="23145" spans="1:9">
      <c r="A23145" s="22" t="str">
        <f>HYPERLINK("https://app.vivvix.com/360/KMI/IntelliDrive/ApplUI/Pages/CreativePages/CustomReportCreativeDetail.aspx?App=23&amp;ReportView=4&amp;Qid=1711279&amp;Row=23137&amp;Col=1","No Title Assigned - #15281734013")</f>
        <v/>
      </c>
      <c r="B23145" s="0" t="s">
        <v>30849</v>
      </c>
      <c r="E23145" s="0" t="inlineStr">
        <is>
          <t xml:space="preserve">Mazda</t>
        </is>
      </c>
      <c r="F23145" s="0" t="inlineStr">
        <is>
          <t xml:space="preserve">Mazda</t>
        </is>
      </c>
      <c r="G23145" s="0" t="s">
        <v>171</v>
      </c>
      <c r="H23145" s="5">
        <v>5.764400</v>
      </c>
    </row>
    <row r="23146" spans="1:9">
      <c r="A23146" s="22" t="str">
        <f>HYPERLINK("https://app.vivvix.com/360/KMI/IntelliDrive/ApplUI/Pages/CreativePages/CustomReportCreativeDetail.aspx?App=23&amp;ReportView=4&amp;Qid=1711279&amp;Row=23138&amp;Col=1","No Title Assigned - #15281734472")</f>
        <v/>
      </c>
      <c r="B23146" s="0" t="s">
        <v>30850</v>
      </c>
      <c r="E23146" s="0" t="inlineStr">
        <is>
          <t xml:space="preserve">Mazda</t>
        </is>
      </c>
      <c r="F23146" s="0" t="inlineStr">
        <is>
          <t xml:space="preserve">Mazda</t>
        </is>
      </c>
      <c r="G23146" s="0" t="s">
        <v>171</v>
      </c>
      <c r="H23146" s="5">
        <v>358.027200</v>
      </c>
    </row>
    <row r="23147" spans="1:9">
      <c r="A23147" s="22" t="str">
        <f>HYPERLINK("https://app.vivvix.com/360/KMI/IntelliDrive/ApplUI/Pages/CreativePages/CustomReportCreativeDetail.aspx?App=23&amp;ReportView=4&amp;Qid=1711279&amp;Row=23139&amp;Col=1","No Title Assigned - #15281734473")</f>
        <v/>
      </c>
      <c r="B23147" s="0" t="s">
        <v>30851</v>
      </c>
      <c r="E23147" s="0" t="inlineStr">
        <is>
          <t xml:space="preserve">Mazda</t>
        </is>
      </c>
      <c r="F23147" s="0" t="inlineStr">
        <is>
          <t xml:space="preserve">Mazda</t>
        </is>
      </c>
      <c r="G23147" s="0" t="s">
        <v>171</v>
      </c>
      <c r="H23147" s="5">
        <v>179.013600</v>
      </c>
    </row>
    <row r="23148" spans="1:9">
      <c r="A23148" s="22" t="str">
        <f>HYPERLINK("https://app.vivvix.com/360/KMI/IntelliDrive/ApplUI/Pages/CreativePages/CustomReportCreativeDetail.aspx?App=23&amp;ReportView=4&amp;Qid=1711279&amp;Row=23140&amp;Col=1","No Title Assigned - #15281734728")</f>
        <v/>
      </c>
      <c r="B23148" s="0" t="s">
        <v>30852</v>
      </c>
      <c r="E23148" s="0" t="inlineStr">
        <is>
          <t xml:space="preserve">Mazda</t>
        </is>
      </c>
      <c r="F23148" s="0" t="inlineStr">
        <is>
          <t xml:space="preserve">Mazda</t>
        </is>
      </c>
      <c r="G23148" s="0" t="s">
        <v>171</v>
      </c>
      <c r="H23148" s="5">
        <v>135.635800</v>
      </c>
    </row>
    <row r="23149" spans="1:9">
      <c r="A23149" s="22" t="str">
        <f>HYPERLINK("https://app.vivvix.com/360/KMI/IntelliDrive/ApplUI/Pages/CreativePages/CustomReportCreativeDetail.aspx?App=23&amp;ReportView=4&amp;Qid=1711279&amp;Row=23141&amp;Col=1","No Title Assigned - #15281734913")</f>
        <v/>
      </c>
      <c r="B23149" s="0" t="s">
        <v>30853</v>
      </c>
      <c r="E23149" s="0" t="inlineStr">
        <is>
          <t xml:space="preserve">Mazda</t>
        </is>
      </c>
      <c r="F23149" s="0" t="inlineStr">
        <is>
          <t xml:space="preserve">Mazda</t>
        </is>
      </c>
      <c r="G23149" s="0" t="s">
        <v>171</v>
      </c>
      <c r="H23149" s="5">
        <v>23.004100</v>
      </c>
    </row>
    <row r="23150" spans="1:9">
      <c r="A23150" s="22" t="str">
        <f>HYPERLINK("https://app.vivvix.com/360/KMI/IntelliDrive/ApplUI/Pages/CreativePages/CustomReportCreativeDetail.aspx?App=23&amp;ReportView=4&amp;Qid=1711279&amp;Row=23142&amp;Col=1","No Title Assigned - #15281739642")</f>
        <v/>
      </c>
      <c r="B23150" s="0" t="s">
        <v>30854</v>
      </c>
      <c r="E23150" s="0" t="inlineStr">
        <is>
          <t xml:space="preserve">Mazda</t>
        </is>
      </c>
      <c r="F23150" s="0" t="inlineStr">
        <is>
          <t xml:space="preserve">Mazda</t>
        </is>
      </c>
      <c r="G23150" s="0" t="s">
        <v>171</v>
      </c>
      <c r="H23150" s="5">
        <v>3397.303800</v>
      </c>
    </row>
    <row r="23151" spans="1:9">
      <c r="A23151" s="22" t="str">
        <f>HYPERLINK("https://app.vivvix.com/360/KMI/IntelliDrive/ApplUI/Pages/CreativePages/CustomReportCreativeDetail.aspx?App=23&amp;ReportView=4&amp;Qid=1711279&amp;Row=23143&amp;Col=1","No Title Assigned - #15281741525")</f>
        <v/>
      </c>
      <c r="B23151" s="0" t="s">
        <v>30855</v>
      </c>
      <c r="C23151" s="0" t="s">
        <v>30856</v>
      </c>
      <c r="D23151" s="0" t="s">
        <v>30856</v>
      </c>
      <c r="E23151" s="0" t="inlineStr">
        <is>
          <t xml:space="preserve">Mazda</t>
        </is>
      </c>
      <c r="F23151" s="0" t="inlineStr">
        <is>
          <t xml:space="preserve">Mazda</t>
        </is>
      </c>
      <c r="G23151" s="0" t="s">
        <v>171</v>
      </c>
      <c r="H23151" s="5">
        <v>358.568000</v>
      </c>
    </row>
    <row r="23152" spans="1:9">
      <c r="A23152" s="22" t="str">
        <f>HYPERLINK("https://app.vivvix.com/360/KMI/IntelliDrive/ApplUI/Pages/CreativePages/CustomReportCreativeDetail.aspx?App=23&amp;ReportView=4&amp;Qid=1711279&amp;Row=23144&amp;Col=1","No Title Assigned - #15281741525")</f>
        <v/>
      </c>
      <c r="B23152" s="0" t="s">
        <v>30855</v>
      </c>
      <c r="E23152" s="0" t="inlineStr">
        <is>
          <t xml:space="preserve">Mazda</t>
        </is>
      </c>
      <c r="F23152" s="0" t="inlineStr">
        <is>
          <t xml:space="preserve">Mazda</t>
        </is>
      </c>
      <c r="G23152" s="0" t="s">
        <v>171</v>
      </c>
      <c r="H23152" s="5">
        <v>1168.894500</v>
      </c>
    </row>
    <row r="23153" spans="1:9">
      <c r="A23153" s="22" t="str">
        <f>HYPERLINK("https://app.vivvix.com/360/KMI/IntelliDrive/ApplUI/Pages/CreativePages/CustomReportCreativeDetail.aspx?App=23&amp;ReportView=4&amp;Qid=1711279&amp;Row=23145&amp;Col=1","No Title Assigned - #15281743099")</f>
        <v/>
      </c>
      <c r="B23153" s="0" t="s">
        <v>30857</v>
      </c>
      <c r="C23153" s="0" t="s">
        <v>30858</v>
      </c>
      <c r="D23153" s="0" t="s">
        <v>30858</v>
      </c>
      <c r="E23153" s="0" t="inlineStr">
        <is>
          <t xml:space="preserve">Mazda</t>
        </is>
      </c>
      <c r="F23153" s="0" t="s">
        <v>13</v>
      </c>
      <c r="G23153" s="0" t="s">
        <v>49</v>
      </c>
      <c r="H23153" s="5">
        <v>28.383000</v>
      </c>
    </row>
    <row r="23154" spans="1:9">
      <c r="A23154" s="22" t="str">
        <f>HYPERLINK("https://app.vivvix.com/360/KMI/IntelliDrive/ApplUI/Pages/CreativePages/CustomReportCreativeDetail.aspx?App=23&amp;ReportView=4&amp;Qid=1711279&amp;Row=23146&amp;Col=1","No Title Assigned - #15281743262")</f>
        <v/>
      </c>
      <c r="B23154" s="0" t="s">
        <v>30859</v>
      </c>
      <c r="E23154" s="0" t="inlineStr">
        <is>
          <t xml:space="preserve">Mazda</t>
        </is>
      </c>
      <c r="F23154" s="0" t="inlineStr">
        <is>
          <t xml:space="preserve">Mazda</t>
        </is>
      </c>
      <c r="G23154" s="0" t="s">
        <v>171</v>
      </c>
      <c r="H23154" s="5">
        <v>924.422400</v>
      </c>
    </row>
    <row r="23155" spans="1:9">
      <c r="A23155" s="22" t="str">
        <f>HYPERLINK("https://app.vivvix.com/360/KMI/IntelliDrive/ApplUI/Pages/CreativePages/CustomReportCreativeDetail.aspx?App=23&amp;ReportView=4&amp;Qid=1711279&amp;Row=23147&amp;Col=1","No Title Assigned - #15281743364")</f>
        <v/>
      </c>
      <c r="B23155" s="0" t="s">
        <v>30860</v>
      </c>
      <c r="E23155" s="0" t="inlineStr">
        <is>
          <t xml:space="preserve">Mazda</t>
        </is>
      </c>
      <c r="F23155" s="0" t="inlineStr">
        <is>
          <t xml:space="preserve">Mazda</t>
        </is>
      </c>
      <c r="G23155" s="0" t="s">
        <v>171</v>
      </c>
      <c r="H23155" s="5">
        <v>1084.083500</v>
      </c>
    </row>
    <row r="23156" spans="1:9">
      <c r="A23156" s="22" t="str">
        <f>HYPERLINK("https://app.vivvix.com/360/KMI/IntelliDrive/ApplUI/Pages/CreativePages/CustomReportCreativeDetail.aspx?App=23&amp;ReportView=4&amp;Qid=1711279&amp;Row=23148&amp;Col=1","No Title Assigned - #15281743514")</f>
        <v/>
      </c>
      <c r="B23156" s="0" t="s">
        <v>30861</v>
      </c>
      <c r="E23156" s="0" t="inlineStr">
        <is>
          <t xml:space="preserve">Mazda</t>
        </is>
      </c>
      <c r="F23156" s="0" t="inlineStr">
        <is>
          <t xml:space="preserve">Mazda</t>
        </is>
      </c>
      <c r="G23156" s="0" t="s">
        <v>171</v>
      </c>
      <c r="H23156" s="5">
        <v>127.578400</v>
      </c>
    </row>
    <row r="23157" spans="1:9">
      <c r="A23157" s="22" t="str">
        <f>HYPERLINK("https://app.vivvix.com/360/KMI/IntelliDrive/ApplUI/Pages/CreativePages/CustomReportCreativeDetail.aspx?App=23&amp;ReportView=4&amp;Qid=1711279&amp;Row=23149&amp;Col=1","No Title Assigned - #15281743569")</f>
        <v/>
      </c>
      <c r="B23157" s="0" t="s">
        <v>30862</v>
      </c>
      <c r="E23157" s="0" t="inlineStr">
        <is>
          <t xml:space="preserve">Mazda</t>
        </is>
      </c>
      <c r="F23157" s="0" t="inlineStr">
        <is>
          <t xml:space="preserve">Mazda</t>
        </is>
      </c>
      <c r="G23157" s="0" t="s">
        <v>171</v>
      </c>
      <c r="H23157" s="5">
        <v>59.871900</v>
      </c>
    </row>
    <row r="23158" spans="1:9">
      <c r="A23158" s="22" t="str">
        <f>HYPERLINK("https://app.vivvix.com/360/KMI/IntelliDrive/ApplUI/Pages/CreativePages/CustomReportCreativeDetail.aspx?App=23&amp;ReportView=4&amp;Qid=1711279&amp;Row=23150&amp;Col=1","No Title Assigned - #15281748818")</f>
        <v/>
      </c>
      <c r="B23158" s="0" t="s">
        <v>30863</v>
      </c>
      <c r="E23158" s="0" t="inlineStr">
        <is>
          <t xml:space="preserve">Mazda</t>
        </is>
      </c>
      <c r="F23158" s="0" t="inlineStr">
        <is>
          <t xml:space="preserve">Mazda</t>
        </is>
      </c>
      <c r="G23158" s="0" t="s">
        <v>171</v>
      </c>
      <c r="H23158" s="5">
        <v>1813.043100</v>
      </c>
    </row>
    <row r="23159" spans="1:9">
      <c r="A23159" s="22" t="str">
        <f>HYPERLINK("https://app.vivvix.com/360/KMI/IntelliDrive/ApplUI/Pages/CreativePages/CustomReportCreativeDetail.aspx?App=23&amp;ReportView=4&amp;Qid=1711279&amp;Row=23151&amp;Col=1","No Title Assigned - #15281750120")</f>
        <v/>
      </c>
      <c r="B23159" s="0" t="s">
        <v>30864</v>
      </c>
      <c r="C23159" s="0" t="s">
        <v>30865</v>
      </c>
      <c r="D23159" s="0" t="s">
        <v>30865</v>
      </c>
      <c r="E23159" s="0" t="inlineStr">
        <is>
          <t xml:space="preserve">Mazda</t>
        </is>
      </c>
      <c r="F23159" s="0" t="inlineStr">
        <is>
          <t xml:space="preserve">Mazda</t>
        </is>
      </c>
      <c r="G23159" s="0" t="s">
        <v>171</v>
      </c>
      <c r="H23159" s="5">
        <v>9649.131200</v>
      </c>
    </row>
    <row r="23160" spans="1:9">
      <c r="A23160" s="22" t="str">
        <f>HYPERLINK("https://app.vivvix.com/360/KMI/IntelliDrive/ApplUI/Pages/CreativePages/CustomReportCreativeDetail.aspx?App=23&amp;ReportView=4&amp;Qid=1711279&amp;Row=23152&amp;Col=1","No Title Assigned - #15281750120")</f>
        <v/>
      </c>
      <c r="B23160" s="0" t="s">
        <v>30864</v>
      </c>
      <c r="E23160" s="0" t="inlineStr">
        <is>
          <t xml:space="preserve">Mazda</t>
        </is>
      </c>
      <c r="F23160" s="0" t="inlineStr">
        <is>
          <t xml:space="preserve">Mazda</t>
        </is>
      </c>
      <c r="G23160" s="0" t="s">
        <v>171</v>
      </c>
      <c r="H23160" s="5">
        <v>99221.197400</v>
      </c>
    </row>
    <row r="23161" spans="1:9">
      <c r="A23161" s="22" t="str">
        <f>HYPERLINK("https://app.vivvix.com/360/KMI/IntelliDrive/ApplUI/Pages/CreativePages/CustomReportCreativeDetail.aspx?App=23&amp;ReportView=4&amp;Qid=1711279&amp;Row=23153&amp;Col=1","No Title Assigned - #15281750756")</f>
        <v/>
      </c>
      <c r="B23161" s="0" t="s">
        <v>30866</v>
      </c>
      <c r="C23161" s="0" t="s">
        <v>30867</v>
      </c>
      <c r="D23161" s="0" t="s">
        <v>30867</v>
      </c>
      <c r="E23161" s="0" t="inlineStr">
        <is>
          <t xml:space="preserve">Mazda</t>
        </is>
      </c>
      <c r="F23161" s="0" t="inlineStr">
        <is>
          <t xml:space="preserve">Mazda</t>
        </is>
      </c>
      <c r="G23161" s="0" t="s">
        <v>171</v>
      </c>
      <c r="H23161" s="5">
        <v>534.452500</v>
      </c>
    </row>
    <row r="23162" spans="1:9">
      <c r="A23162" s="22" t="str">
        <f>HYPERLINK("https://app.vivvix.com/360/KMI/IntelliDrive/ApplUI/Pages/CreativePages/CustomReportCreativeDetail.aspx?App=23&amp;ReportView=4&amp;Qid=1711279&amp;Row=23154&amp;Col=1","No Title Assigned - #15281752140")</f>
        <v/>
      </c>
      <c r="B23162" s="0" t="s">
        <v>30868</v>
      </c>
      <c r="C23162" s="0" t="s">
        <v>30869</v>
      </c>
      <c r="D23162" s="0" t="s">
        <v>30869</v>
      </c>
      <c r="E23162" s="0" t="inlineStr">
        <is>
          <t xml:space="preserve">Mazda</t>
        </is>
      </c>
      <c r="F23162" s="0" t="inlineStr">
        <is>
          <t xml:space="preserve">Mazda</t>
        </is>
      </c>
      <c r="G23162" s="0" t="s">
        <v>30528</v>
      </c>
      <c r="H23162" s="5">
        <v>2162.815300</v>
      </c>
    </row>
    <row r="23163" spans="1:9">
      <c r="A23163" s="22" t="str">
        <f>HYPERLINK("https://app.vivvix.com/360/KMI/IntelliDrive/ApplUI/Pages/CreativePages/CustomReportCreativeDetail.aspx?App=23&amp;ReportView=4&amp;Qid=1711279&amp;Row=23155&amp;Col=1","No Title Assigned - #15281753339")</f>
        <v/>
      </c>
      <c r="B23163" s="0" t="s">
        <v>30870</v>
      </c>
      <c r="E23163" s="0" t="inlineStr">
        <is>
          <t xml:space="preserve">Mazda</t>
        </is>
      </c>
      <c r="F23163" s="0" t="inlineStr">
        <is>
          <t xml:space="preserve">Mazda</t>
        </is>
      </c>
      <c r="G23163" s="0" t="s">
        <v>171</v>
      </c>
      <c r="H23163" s="5">
        <v>43.722900</v>
      </c>
    </row>
    <row r="23164" spans="1:9">
      <c r="A23164" s="22" t="str">
        <f>HYPERLINK("https://app.vivvix.com/360/KMI/IntelliDrive/ApplUI/Pages/CreativePages/CustomReportCreativeDetail.aspx?App=23&amp;ReportView=4&amp;Qid=1711279&amp;Row=23156&amp;Col=1","No Title Assigned - #15281755546")</f>
        <v/>
      </c>
      <c r="B23164" s="0" t="s">
        <v>30871</v>
      </c>
      <c r="E23164" s="0" t="inlineStr">
        <is>
          <t xml:space="preserve">Mazda</t>
        </is>
      </c>
      <c r="F23164" s="0" t="inlineStr">
        <is>
          <t xml:space="preserve">Mazda</t>
        </is>
      </c>
      <c r="G23164" s="0" t="s">
        <v>171</v>
      </c>
      <c r="H23164" s="5">
        <v>2643.576000</v>
      </c>
    </row>
    <row r="23165" spans="1:9">
      <c r="A23165" s="22" t="str">
        <f>HYPERLINK("https://app.vivvix.com/360/KMI/IntelliDrive/ApplUI/Pages/CreativePages/CustomReportCreativeDetail.aspx?App=23&amp;ReportView=4&amp;Qid=1711279&amp;Row=23157&amp;Col=1","No Title Assigned - #15281761538")</f>
        <v/>
      </c>
      <c r="B23165" s="0" t="s">
        <v>30872</v>
      </c>
      <c r="E23165" s="0" t="inlineStr">
        <is>
          <t xml:space="preserve">Mazda</t>
        </is>
      </c>
      <c r="F23165" s="0" t="inlineStr">
        <is>
          <t xml:space="preserve">Mazda</t>
        </is>
      </c>
      <c r="G23165" s="0" t="s">
        <v>171</v>
      </c>
      <c r="H23165" s="5">
        <v>126.773600</v>
      </c>
    </row>
    <row r="23166" spans="1:9">
      <c r="A23166" s="22" t="str">
        <f>HYPERLINK("https://app.vivvix.com/360/KMI/IntelliDrive/ApplUI/Pages/CreativePages/CustomReportCreativeDetail.aspx?App=23&amp;ReportView=4&amp;Qid=1711279&amp;Row=23158&amp;Col=1","No Title Assigned - #15281761540")</f>
        <v/>
      </c>
      <c r="B23166" s="0" t="s">
        <v>30873</v>
      </c>
      <c r="E23166" s="0" t="inlineStr">
        <is>
          <t xml:space="preserve">Mazda</t>
        </is>
      </c>
      <c r="F23166" s="0" t="inlineStr">
        <is>
          <t xml:space="preserve">Mazda</t>
        </is>
      </c>
      <c r="G23166" s="0" t="s">
        <v>171</v>
      </c>
      <c r="H23166" s="5">
        <v>63.386800</v>
      </c>
    </row>
    <row r="23167" spans="1:9">
      <c r="A23167" s="22" t="str">
        <f>HYPERLINK("https://app.vivvix.com/360/KMI/IntelliDrive/ApplUI/Pages/CreativePages/CustomReportCreativeDetail.aspx?App=23&amp;ReportView=4&amp;Qid=1711279&amp;Row=23159&amp;Col=1","No Title Assigned - #15281761541")</f>
        <v/>
      </c>
      <c r="B23167" s="0" t="s">
        <v>30874</v>
      </c>
      <c r="E23167" s="0" t="inlineStr">
        <is>
          <t xml:space="preserve">Mazda</t>
        </is>
      </c>
      <c r="F23167" s="0" t="inlineStr">
        <is>
          <t xml:space="preserve">Mazda</t>
        </is>
      </c>
      <c r="G23167" s="0" t="s">
        <v>171</v>
      </c>
      <c r="H23167" s="5">
        <v>1007.223300</v>
      </c>
    </row>
    <row r="23168" spans="1:9">
      <c r="A23168" s="22" t="str">
        <f>HYPERLINK("https://app.vivvix.com/360/KMI/IntelliDrive/ApplUI/Pages/CreativePages/CustomReportCreativeDetail.aspx?App=23&amp;ReportView=4&amp;Qid=1711279&amp;Row=23160&amp;Col=1","No Title Assigned - #15281762349")</f>
        <v/>
      </c>
      <c r="B23168" s="0" t="s">
        <v>30875</v>
      </c>
      <c r="E23168" s="0" t="inlineStr">
        <is>
          <t xml:space="preserve">Mazda</t>
        </is>
      </c>
      <c r="F23168" s="0" t="inlineStr">
        <is>
          <t xml:space="preserve">Mazda</t>
        </is>
      </c>
      <c r="G23168" s="0" t="s">
        <v>171</v>
      </c>
      <c r="H23168" s="5">
        <v>77.433500</v>
      </c>
    </row>
    <row r="23169" spans="1:9">
      <c r="A23169" s="22" t="str">
        <f>HYPERLINK("https://app.vivvix.com/360/KMI/IntelliDrive/ApplUI/Pages/CreativePages/CustomReportCreativeDetail.aspx?App=23&amp;ReportView=4&amp;Qid=1711279&amp;Row=23161&amp;Col=1","No Title Assigned - #15281762756")</f>
        <v/>
      </c>
      <c r="B23169" s="0" t="s">
        <v>30876</v>
      </c>
      <c r="E23169" s="0" t="inlineStr">
        <is>
          <t xml:space="preserve">Mazda</t>
        </is>
      </c>
      <c r="F23169" s="0" t="inlineStr">
        <is>
          <t xml:space="preserve">Mazda</t>
        </is>
      </c>
      <c r="G23169" s="0" t="s">
        <v>171</v>
      </c>
      <c r="H23169" s="5">
        <v>139.283700</v>
      </c>
    </row>
    <row r="23170" spans="1:9">
      <c r="A23170" s="22" t="str">
        <f>HYPERLINK("https://app.vivvix.com/360/KMI/IntelliDrive/ApplUI/Pages/CreativePages/CustomReportCreativeDetail.aspx?App=23&amp;ReportView=4&amp;Qid=1711279&amp;Row=23162&amp;Col=1","No Title Assigned - #15281764817")</f>
        <v/>
      </c>
      <c r="B23170" s="0" t="s">
        <v>30877</v>
      </c>
      <c r="E23170" s="0" t="inlineStr">
        <is>
          <t xml:space="preserve">Mazda</t>
        </is>
      </c>
      <c r="F23170" s="0" t="inlineStr">
        <is>
          <t xml:space="preserve">Mazda</t>
        </is>
      </c>
      <c r="G23170" s="0" t="s">
        <v>171</v>
      </c>
      <c r="H23170" s="5">
        <v>1213.015000</v>
      </c>
    </row>
    <row r="23171" spans="1:9">
      <c r="A23171" s="22" t="str">
        <f>HYPERLINK("https://app.vivvix.com/360/KMI/IntelliDrive/ApplUI/Pages/CreativePages/CustomReportCreativeDetail.aspx?App=23&amp;ReportView=4&amp;Qid=1711279&amp;Row=23163&amp;Col=1","No Title Assigned - #15281764928")</f>
        <v/>
      </c>
      <c r="B23171" s="0" t="s">
        <v>30878</v>
      </c>
      <c r="E23171" s="0" t="inlineStr">
        <is>
          <t xml:space="preserve">Mazda</t>
        </is>
      </c>
      <c r="F23171" s="0" t="inlineStr">
        <is>
          <t xml:space="preserve">Mazda</t>
        </is>
      </c>
      <c r="G23171" s="0" t="s">
        <v>171</v>
      </c>
      <c r="H23171" s="5">
        <v>2605.829600</v>
      </c>
    </row>
    <row r="23172" spans="1:9">
      <c r="A23172" s="22" t="str">
        <f>HYPERLINK("https://app.vivvix.com/360/KMI/IntelliDrive/ApplUI/Pages/CreativePages/CustomReportCreativeDetail.aspx?App=23&amp;ReportView=4&amp;Qid=1711279&amp;Row=23164&amp;Col=1","No Title Assigned - #15281769183")</f>
        <v/>
      </c>
      <c r="B23172" s="0" t="s">
        <v>30879</v>
      </c>
      <c r="E23172" s="0" t="inlineStr">
        <is>
          <t xml:space="preserve">Mazda</t>
        </is>
      </c>
      <c r="F23172" s="0" t="inlineStr">
        <is>
          <t xml:space="preserve">Mazda</t>
        </is>
      </c>
      <c r="G23172" s="0" t="s">
        <v>171</v>
      </c>
      <c r="H23172" s="5">
        <v>206.509200</v>
      </c>
    </row>
    <row r="23173" spans="1:9">
      <c r="A23173" s="22" t="str">
        <f>HYPERLINK("https://app.vivvix.com/360/KMI/IntelliDrive/ApplUI/Pages/CreativePages/CustomReportCreativeDetail.aspx?App=23&amp;ReportView=4&amp;Qid=1711279&amp;Row=23165&amp;Col=1","No Title Assigned - #15281769735")</f>
        <v/>
      </c>
      <c r="B23173" s="0" t="s">
        <v>30880</v>
      </c>
      <c r="C23173" s="0" t="s">
        <v>30881</v>
      </c>
      <c r="D23173" s="0" t="s">
        <v>30881</v>
      </c>
      <c r="E23173" s="0" t="inlineStr">
        <is>
          <t xml:space="preserve">Mazda</t>
        </is>
      </c>
      <c r="F23173" s="0" t="s">
        <v>13</v>
      </c>
      <c r="G23173" s="0" t="s">
        <v>49</v>
      </c>
      <c r="H23173" s="5">
        <v>10.901100</v>
      </c>
    </row>
    <row r="23174" spans="1:9">
      <c r="A23174" s="22" t="str">
        <f>HYPERLINK("https://app.vivvix.com/360/KMI/IntelliDrive/ApplUI/Pages/CreativePages/CustomReportCreativeDetail.aspx?App=23&amp;ReportView=4&amp;Qid=1711279&amp;Row=23166&amp;Col=1","No Title Assigned - #15281770244")</f>
        <v/>
      </c>
      <c r="B23174" s="0" t="s">
        <v>30882</v>
      </c>
      <c r="C23174" s="0" t="s">
        <v>30883</v>
      </c>
      <c r="D23174" s="0" t="s">
        <v>30883</v>
      </c>
      <c r="E23174" s="0" t="inlineStr">
        <is>
          <t xml:space="preserve">Mazda</t>
        </is>
      </c>
      <c r="F23174" s="0" t="s">
        <v>13</v>
      </c>
      <c r="G23174" s="0" t="s">
        <v>49</v>
      </c>
      <c r="H23174" s="5">
        <v>21.500400</v>
      </c>
    </row>
    <row r="23175" spans="1:9">
      <c r="A23175" s="22" t="str">
        <f>HYPERLINK("https://app.vivvix.com/360/KMI/IntelliDrive/ApplUI/Pages/CreativePages/CustomReportCreativeDetail.aspx?App=23&amp;ReportView=4&amp;Qid=1711279&amp;Row=23167&amp;Col=1","No Title Assigned - #15281770449")</f>
        <v/>
      </c>
      <c r="B23175" s="0" t="s">
        <v>30884</v>
      </c>
      <c r="C23175" s="0" t="s">
        <v>30885</v>
      </c>
      <c r="D23175" s="0" t="s">
        <v>15762</v>
      </c>
      <c r="E23175" s="0" t="inlineStr">
        <is>
          <t xml:space="preserve">Mazda</t>
        </is>
      </c>
      <c r="F23175" s="0" t="s">
        <v>13</v>
      </c>
      <c r="G23175" s="0" t="s">
        <v>49</v>
      </c>
      <c r="H23175" s="5">
        <v>287.106600</v>
      </c>
    </row>
    <row r="23176" spans="1:9">
      <c r="A23176" s="22" t="str">
        <f>HYPERLINK("https://app.vivvix.com/360/KMI/IntelliDrive/ApplUI/Pages/CreativePages/CustomReportCreativeDetail.aspx?App=23&amp;ReportView=4&amp;Qid=1711279&amp;Row=23168&amp;Col=1","No Title Assigned - #15281771047")</f>
        <v/>
      </c>
      <c r="B23176" s="0" t="s">
        <v>30886</v>
      </c>
      <c r="C23176" s="0" t="s">
        <v>30887</v>
      </c>
      <c r="D23176" s="0" t="s">
        <v>9167</v>
      </c>
      <c r="E23176" s="0" t="inlineStr">
        <is>
          <t xml:space="preserve">Mazda</t>
        </is>
      </c>
      <c r="F23176" s="0" t="s">
        <v>13</v>
      </c>
      <c r="G23176" s="0" t="s">
        <v>49</v>
      </c>
      <c r="H23176" s="5">
        <v>74.254100</v>
      </c>
    </row>
    <row r="23177" spans="1:9">
      <c r="A23177" s="22" t="str">
        <f>HYPERLINK("https://app.vivvix.com/360/KMI/IntelliDrive/ApplUI/Pages/CreativePages/CustomReportCreativeDetail.aspx?App=23&amp;ReportView=4&amp;Qid=1711279&amp;Row=23169&amp;Col=1","No Title Assigned - #15281771332")</f>
        <v/>
      </c>
      <c r="B23177" s="0" t="s">
        <v>30888</v>
      </c>
      <c r="C23177" s="0" t="s">
        <v>30889</v>
      </c>
      <c r="D23177" s="0" t="s">
        <v>30889</v>
      </c>
      <c r="E23177" s="0" t="inlineStr">
        <is>
          <t xml:space="preserve">Mazda</t>
        </is>
      </c>
      <c r="F23177" s="0" t="inlineStr">
        <is>
          <t xml:space="preserve">Mazda</t>
        </is>
      </c>
      <c r="G23177" s="0" t="s">
        <v>210</v>
      </c>
      <c r="H23177" s="5">
        <v>101.515800</v>
      </c>
    </row>
    <row r="23178" spans="1:9">
      <c r="A23178" s="22" t="str">
        <f>HYPERLINK("https://app.vivvix.com/360/KMI/IntelliDrive/ApplUI/Pages/CreativePages/CustomReportCreativeDetail.aspx?App=23&amp;ReportView=4&amp;Qid=1711279&amp;Row=23170&amp;Col=1","No Title Assigned - #15281772951")</f>
        <v/>
      </c>
      <c r="B23178" s="0" t="s">
        <v>30890</v>
      </c>
      <c r="C23178" s="0" t="s">
        <v>30891</v>
      </c>
      <c r="D23178" s="0" t="s">
        <v>30891</v>
      </c>
      <c r="E23178" s="0" t="inlineStr">
        <is>
          <t xml:space="preserve">Mazda</t>
        </is>
      </c>
      <c r="F23178" s="0" t="s">
        <v>13</v>
      </c>
      <c r="G23178" s="0" t="s">
        <v>49</v>
      </c>
      <c r="H23178" s="5">
        <v>898.436600</v>
      </c>
    </row>
    <row r="23179" spans="1:9">
      <c r="A23179" s="22" t="str">
        <f>HYPERLINK("https://app.vivvix.com/360/KMI/IntelliDrive/ApplUI/Pages/CreativePages/CustomReportCreativeDetail.aspx?App=23&amp;ReportView=4&amp;Qid=1711279&amp;Row=23171&amp;Col=1","No Title Assigned - #15281772961")</f>
        <v/>
      </c>
      <c r="B23179" s="0" t="s">
        <v>30892</v>
      </c>
      <c r="C23179" s="0" t="s">
        <v>30893</v>
      </c>
      <c r="D23179" s="0" t="s">
        <v>30893</v>
      </c>
      <c r="E23179" s="0" t="inlineStr">
        <is>
          <t xml:space="preserve">Mazda</t>
        </is>
      </c>
      <c r="F23179" s="0" t="s">
        <v>13</v>
      </c>
      <c r="G23179" s="0" t="s">
        <v>49</v>
      </c>
      <c r="H23179" s="5">
        <v>28.383000</v>
      </c>
    </row>
    <row r="23180" spans="1:9">
      <c r="A23180" s="22" t="str">
        <f>HYPERLINK("https://app.vivvix.com/360/KMI/IntelliDrive/ApplUI/Pages/CreativePages/CustomReportCreativeDetail.aspx?App=23&amp;ReportView=4&amp;Qid=1711279&amp;Row=23172&amp;Col=1","No Title Assigned - #15281773442")</f>
        <v/>
      </c>
      <c r="B23180" s="0" t="s">
        <v>30894</v>
      </c>
      <c r="E23180" s="0" t="inlineStr">
        <is>
          <t xml:space="preserve">Mazda</t>
        </is>
      </c>
      <c r="F23180" s="0" t="inlineStr">
        <is>
          <t xml:space="preserve">Mazda</t>
        </is>
      </c>
      <c r="G23180" s="0" t="s">
        <v>171</v>
      </c>
      <c r="H23180" s="5">
        <v>1075.678500</v>
      </c>
    </row>
    <row r="23181" spans="1:9">
      <c r="A23181" s="22" t="str">
        <f>HYPERLINK("https://app.vivvix.com/360/KMI/IntelliDrive/ApplUI/Pages/CreativePages/CustomReportCreativeDetail.aspx?App=23&amp;ReportView=4&amp;Qid=1711279&amp;Row=23173&amp;Col=1","No Title Assigned - #15281774709")</f>
        <v/>
      </c>
      <c r="B23181" s="0" t="s">
        <v>30895</v>
      </c>
      <c r="E23181" s="0" t="inlineStr">
        <is>
          <t xml:space="preserve">Mazda</t>
        </is>
      </c>
      <c r="F23181" s="0" t="inlineStr">
        <is>
          <t xml:space="preserve">Mazda</t>
        </is>
      </c>
      <c r="G23181" s="0" t="s">
        <v>171</v>
      </c>
      <c r="H23181" s="5">
        <v>520.432900</v>
      </c>
    </row>
    <row r="23182" spans="1:9">
      <c r="A23182" s="22" t="str">
        <f>HYPERLINK("https://app.vivvix.com/360/KMI/IntelliDrive/ApplUI/Pages/CreativePages/CustomReportCreativeDetail.aspx?App=23&amp;ReportView=4&amp;Qid=1711279&amp;Row=23174&amp;Col=1","No Title Assigned - #15281774799")</f>
        <v/>
      </c>
      <c r="B23182" s="0" t="s">
        <v>30896</v>
      </c>
      <c r="E23182" s="0" t="inlineStr">
        <is>
          <t xml:space="preserve">Mazda</t>
        </is>
      </c>
      <c r="F23182" s="0" t="inlineStr">
        <is>
          <t xml:space="preserve">Mazda</t>
        </is>
      </c>
      <c r="G23182" s="0" t="s">
        <v>171</v>
      </c>
      <c r="H23182" s="5">
        <v>6753.747100</v>
      </c>
    </row>
    <row r="23183" spans="1:9">
      <c r="A23183" s="22" t="str">
        <f>HYPERLINK("https://app.vivvix.com/360/KMI/IntelliDrive/ApplUI/Pages/CreativePages/CustomReportCreativeDetail.aspx?App=23&amp;ReportView=4&amp;Qid=1711279&amp;Row=23175&amp;Col=1","No Title Assigned - #15281775166")</f>
        <v/>
      </c>
      <c r="B23183" s="0" t="s">
        <v>30897</v>
      </c>
      <c r="E23183" s="0" t="inlineStr">
        <is>
          <t xml:space="preserve">Mazda</t>
        </is>
      </c>
      <c r="F23183" s="0" t="inlineStr">
        <is>
          <t xml:space="preserve">Mazda</t>
        </is>
      </c>
      <c r="G23183" s="0" t="s">
        <v>171</v>
      </c>
      <c r="H23183" s="5">
        <v>222.113100</v>
      </c>
    </row>
    <row r="23184" spans="1:9">
      <c r="A23184" s="22" t="str">
        <f>HYPERLINK("https://app.vivvix.com/360/KMI/IntelliDrive/ApplUI/Pages/CreativePages/CustomReportCreativeDetail.aspx?App=23&amp;ReportView=4&amp;Qid=1711279&amp;Row=23176&amp;Col=1","No Title Assigned - #15281775166")</f>
        <v/>
      </c>
      <c r="B23184" s="0" t="s">
        <v>30897</v>
      </c>
      <c r="E23184" s="0" t="inlineStr">
        <is>
          <t xml:space="preserve">Mazda</t>
        </is>
      </c>
      <c r="F23184" s="0" t="inlineStr">
        <is>
          <t xml:space="preserve">Mazda</t>
        </is>
      </c>
      <c r="G23184" s="0" t="s">
        <v>171</v>
      </c>
      <c r="H23184" s="5">
        <v>3.299500</v>
      </c>
    </row>
    <row r="23185" spans="1:9">
      <c r="A23185" s="22" t="str">
        <f>HYPERLINK("https://app.vivvix.com/360/KMI/IntelliDrive/ApplUI/Pages/CreativePages/CustomReportCreativeDetail.aspx?App=23&amp;ReportView=4&amp;Qid=1711279&amp;Row=23177&amp;Col=1","No Title Assigned - #15281775273")</f>
        <v/>
      </c>
      <c r="B23185" s="0" t="s">
        <v>30898</v>
      </c>
      <c r="E23185" s="0" t="inlineStr">
        <is>
          <t xml:space="preserve">Mazda</t>
        </is>
      </c>
      <c r="F23185" s="0" t="inlineStr">
        <is>
          <t xml:space="preserve">Mazda</t>
        </is>
      </c>
      <c r="G23185" s="0" t="s">
        <v>171</v>
      </c>
      <c r="H23185" s="5">
        <v>61.744000</v>
      </c>
    </row>
    <row r="23186" spans="1:9">
      <c r="A23186" s="22" t="str">
        <f>HYPERLINK("https://app.vivvix.com/360/KMI/IntelliDrive/ApplUI/Pages/CreativePages/CustomReportCreativeDetail.aspx?App=23&amp;ReportView=4&amp;Qid=1711279&amp;Row=23178&amp;Col=1","No Title Assigned - #15281775274")</f>
        <v/>
      </c>
      <c r="B23186" s="0" t="s">
        <v>30899</v>
      </c>
      <c r="E23186" s="0" t="inlineStr">
        <is>
          <t xml:space="preserve">Mazda</t>
        </is>
      </c>
      <c r="F23186" s="0" t="inlineStr">
        <is>
          <t xml:space="preserve">Mazda</t>
        </is>
      </c>
      <c r="G23186" s="0" t="s">
        <v>171</v>
      </c>
      <c r="H23186" s="5">
        <v>61.744000</v>
      </c>
    </row>
    <row r="23187" spans="1:9">
      <c r="A23187" s="22" t="str">
        <f>HYPERLINK("https://app.vivvix.com/360/KMI/IntelliDrive/ApplUI/Pages/CreativePages/CustomReportCreativeDetail.aspx?App=23&amp;ReportView=4&amp;Qid=1711279&amp;Row=23179&amp;Col=1","No Title Assigned - #15281786645")</f>
        <v/>
      </c>
      <c r="B23187" s="0" t="s">
        <v>30900</v>
      </c>
      <c r="E23187" s="0" t="inlineStr">
        <is>
          <t xml:space="preserve">Mazda</t>
        </is>
      </c>
      <c r="F23187" s="0" t="inlineStr">
        <is>
          <t xml:space="preserve">Mazda</t>
        </is>
      </c>
      <c r="G23187" s="0" t="s">
        <v>171</v>
      </c>
      <c r="H23187" s="5">
        <v>117.550400</v>
      </c>
    </row>
    <row r="23188" spans="1:9">
      <c r="A23188" s="22" t="str">
        <f>HYPERLINK("https://app.vivvix.com/360/KMI/IntelliDrive/ApplUI/Pages/CreativePages/CustomReportCreativeDetail.aspx?App=23&amp;ReportView=4&amp;Qid=1711279&amp;Row=23180&amp;Col=1","No Title Assigned - #15281802656")</f>
        <v/>
      </c>
      <c r="B23188" s="0" t="s">
        <v>30901</v>
      </c>
      <c r="C23188" s="0" t="s">
        <v>30902</v>
      </c>
      <c r="D23188" s="0" t="s">
        <v>30902</v>
      </c>
      <c r="E23188" s="0" t="inlineStr">
        <is>
          <t xml:space="preserve">Mazda</t>
        </is>
      </c>
      <c r="F23188" s="0" t="s">
        <v>13</v>
      </c>
      <c r="G23188" s="0" t="s">
        <v>49</v>
      </c>
      <c r="H23188" s="5">
        <v>3.583400</v>
      </c>
    </row>
    <row r="23189" spans="1:9">
      <c r="A23189" s="22" t="str">
        <f>HYPERLINK("https://app.vivvix.com/360/KMI/IntelliDrive/ApplUI/Pages/CreativePages/CustomReportCreativeDetail.aspx?App=23&amp;ReportView=4&amp;Qid=1711279&amp;Row=23181&amp;Col=1","No Title Assigned - #15281806891")</f>
        <v/>
      </c>
      <c r="B23189" s="0" t="s">
        <v>30903</v>
      </c>
      <c r="C23189" s="0" t="s">
        <v>30904</v>
      </c>
      <c r="D23189" s="0" t="s">
        <v>15762</v>
      </c>
      <c r="E23189" s="0" t="inlineStr">
        <is>
          <t xml:space="preserve">Mazda</t>
        </is>
      </c>
      <c r="F23189" s="0" t="s">
        <v>13</v>
      </c>
      <c r="G23189" s="0" t="s">
        <v>49</v>
      </c>
      <c r="H23189" s="5">
        <v>479.609500</v>
      </c>
    </row>
    <row r="23190" spans="1:9">
      <c r="A23190" s="22" t="str">
        <f>HYPERLINK("https://app.vivvix.com/360/KMI/IntelliDrive/ApplUI/Pages/CreativePages/CustomReportCreativeDetail.aspx?App=23&amp;ReportView=4&amp;Qid=1711279&amp;Row=23182&amp;Col=1","No Title Assigned - #15281806980")</f>
        <v/>
      </c>
      <c r="B23190" s="0" t="s">
        <v>30905</v>
      </c>
      <c r="C23190" s="0" t="s">
        <v>30906</v>
      </c>
      <c r="D23190" s="0" t="s">
        <v>30906</v>
      </c>
      <c r="E23190" s="0" t="inlineStr">
        <is>
          <t xml:space="preserve">Mazda</t>
        </is>
      </c>
      <c r="F23190" s="0" t="s">
        <v>13</v>
      </c>
      <c r="G23190" s="0" t="s">
        <v>49</v>
      </c>
      <c r="H23190" s="5">
        <v>6437.495100</v>
      </c>
    </row>
    <row r="23191" spans="1:9">
      <c r="A23191" s="22" t="str">
        <f>HYPERLINK("https://app.vivvix.com/360/KMI/IntelliDrive/ApplUI/Pages/CreativePages/CustomReportCreativeDetail.aspx?App=23&amp;ReportView=4&amp;Qid=1711279&amp;Row=23183&amp;Col=1","No Title Assigned - #15281808504")</f>
        <v/>
      </c>
      <c r="B23191" s="0" t="s">
        <v>30907</v>
      </c>
      <c r="C23191" s="0" t="s">
        <v>30908</v>
      </c>
      <c r="D23191" s="0" t="s">
        <v>30908</v>
      </c>
      <c r="E23191" s="0" t="inlineStr">
        <is>
          <t xml:space="preserve">Mazda</t>
        </is>
      </c>
      <c r="F23191" s="0" t="s">
        <v>52</v>
      </c>
      <c r="G23191" s="0" t="s">
        <v>325</v>
      </c>
      <c r="H23191" s="5">
        <v>1273.768700</v>
      </c>
    </row>
    <row r="23192" spans="1:9">
      <c r="A23192" s="22" t="str">
        <f>HYPERLINK("https://app.vivvix.com/360/KMI/IntelliDrive/ApplUI/Pages/CreativePages/CustomReportCreativeDetail.aspx?App=23&amp;ReportView=4&amp;Qid=1711279&amp;Row=23184&amp;Col=1","No Title Assigned - #15281809093")</f>
        <v/>
      </c>
      <c r="B23192" s="0" t="s">
        <v>30909</v>
      </c>
      <c r="C23192" s="0" t="s">
        <v>30910</v>
      </c>
      <c r="D23192" s="0" t="s">
        <v>30910</v>
      </c>
      <c r="E23192" s="0" t="inlineStr">
        <is>
          <t xml:space="preserve">Mazda</t>
        </is>
      </c>
      <c r="F23192" s="0" t="s">
        <v>13</v>
      </c>
      <c r="G23192" s="0" t="s">
        <v>49</v>
      </c>
      <c r="H23192" s="5">
        <v>106.053000</v>
      </c>
    </row>
    <row r="23193" spans="1:9">
      <c r="A23193" s="22" t="str">
        <f>HYPERLINK("https://app.vivvix.com/360/KMI/IntelliDrive/ApplUI/Pages/CreativePages/CustomReportCreativeDetail.aspx?App=23&amp;ReportView=4&amp;Qid=1711279&amp;Row=23185&amp;Col=1","No Title Assigned - #15281811145")</f>
        <v/>
      </c>
      <c r="B23193" s="0" t="s">
        <v>30911</v>
      </c>
      <c r="C23193" s="0" t="s">
        <v>30912</v>
      </c>
      <c r="D23193" s="0" t="s">
        <v>15762</v>
      </c>
      <c r="E23193" s="0" t="inlineStr">
        <is>
          <t xml:space="preserve">Mazda</t>
        </is>
      </c>
      <c r="F23193" s="0" t="s">
        <v>13</v>
      </c>
      <c r="G23193" s="0" t="s">
        <v>49</v>
      </c>
      <c r="H23193" s="5">
        <v>72.575200</v>
      </c>
    </row>
    <row r="23194" spans="1:9">
      <c r="A23194" s="22" t="str">
        <f>HYPERLINK("https://app.vivvix.com/360/KMI/IntelliDrive/ApplUI/Pages/CreativePages/CustomReportCreativeDetail.aspx?App=23&amp;ReportView=4&amp;Qid=1711279&amp;Row=23186&amp;Col=1","No Title Assigned - #15281811786")</f>
        <v/>
      </c>
      <c r="B23194" s="0" t="s">
        <v>30913</v>
      </c>
      <c r="C23194" s="0" t="s">
        <v>30914</v>
      </c>
      <c r="D23194" s="0" t="s">
        <v>30914</v>
      </c>
      <c r="E23194" s="0" t="inlineStr">
        <is>
          <t xml:space="preserve">Mazda</t>
        </is>
      </c>
      <c r="F23194" s="0" t="s">
        <v>13</v>
      </c>
      <c r="G23194" s="0" t="s">
        <v>49</v>
      </c>
      <c r="H23194" s="5">
        <v>3380.605600</v>
      </c>
    </row>
    <row r="23195" spans="1:9">
      <c r="A23195" s="22" t="str">
        <f>HYPERLINK("https://app.vivvix.com/360/KMI/IntelliDrive/ApplUI/Pages/CreativePages/CustomReportCreativeDetail.aspx?App=23&amp;ReportView=4&amp;Qid=1711279&amp;Row=23187&amp;Col=1","No Title Assigned - #15281814801")</f>
        <v/>
      </c>
      <c r="B23195" s="0" t="s">
        <v>30915</v>
      </c>
      <c r="E23195" s="0" t="inlineStr">
        <is>
          <t xml:space="preserve">Mazda</t>
        </is>
      </c>
      <c r="F23195" s="0" t="inlineStr">
        <is>
          <t xml:space="preserve">Mazda</t>
        </is>
      </c>
      <c r="G23195" s="0" t="s">
        <v>171</v>
      </c>
      <c r="H23195" s="5">
        <v>5.495000</v>
      </c>
    </row>
    <row r="23196" spans="1:9">
      <c r="A23196" s="22" t="str">
        <f>HYPERLINK("https://app.vivvix.com/360/KMI/IntelliDrive/ApplUI/Pages/CreativePages/CustomReportCreativeDetail.aspx?App=23&amp;ReportView=4&amp;Qid=1711279&amp;Row=23188&amp;Col=1","No Title Assigned - #15281814844")</f>
        <v/>
      </c>
      <c r="B23196" s="0" t="s">
        <v>30916</v>
      </c>
      <c r="E23196" s="0" t="inlineStr">
        <is>
          <t xml:space="preserve">Mazda</t>
        </is>
      </c>
      <c r="F23196" s="0" t="inlineStr">
        <is>
          <t xml:space="preserve">Mazda</t>
        </is>
      </c>
      <c r="G23196" s="0" t="s">
        <v>171</v>
      </c>
      <c r="H23196" s="5">
        <v>106.711900</v>
      </c>
    </row>
    <row r="23197" spans="1:9">
      <c r="A23197" s="22" t="str">
        <f>HYPERLINK("https://app.vivvix.com/360/KMI/IntelliDrive/ApplUI/Pages/CreativePages/CustomReportCreativeDetail.aspx?App=23&amp;ReportView=4&amp;Qid=1711279&amp;Row=23189&amp;Col=1","No Title Assigned - #15281815001")</f>
        <v/>
      </c>
      <c r="B23197" s="0" t="s">
        <v>30917</v>
      </c>
      <c r="E23197" s="0" t="inlineStr">
        <is>
          <t xml:space="preserve">Mazda</t>
        </is>
      </c>
      <c r="F23197" s="0" t="inlineStr">
        <is>
          <t xml:space="preserve">Mazda</t>
        </is>
      </c>
      <c r="G23197" s="0" t="s">
        <v>171</v>
      </c>
      <c r="H23197" s="5">
        <v>368.642500</v>
      </c>
    </row>
    <row r="23198" spans="1:9">
      <c r="A23198" s="22" t="str">
        <f>HYPERLINK("https://app.vivvix.com/360/KMI/IntelliDrive/ApplUI/Pages/CreativePages/CustomReportCreativeDetail.aspx?App=23&amp;ReportView=4&amp;Qid=1711279&amp;Row=23190&amp;Col=1","No Title Assigned - #15281815147")</f>
        <v/>
      </c>
      <c r="B23198" s="0" t="s">
        <v>30918</v>
      </c>
      <c r="E23198" s="0" t="inlineStr">
        <is>
          <t xml:space="preserve">Mazda</t>
        </is>
      </c>
      <c r="F23198" s="0" t="inlineStr">
        <is>
          <t xml:space="preserve">Mazda</t>
        </is>
      </c>
      <c r="G23198" s="0" t="s">
        <v>171</v>
      </c>
      <c r="H23198" s="5">
        <v>86.423800</v>
      </c>
    </row>
    <row r="23199" spans="1:9">
      <c r="A23199" s="22" t="str">
        <f>HYPERLINK("https://app.vivvix.com/360/KMI/IntelliDrive/ApplUI/Pages/CreativePages/CustomReportCreativeDetail.aspx?App=23&amp;ReportView=4&amp;Qid=1711279&amp;Row=23191&amp;Col=1","No Title Assigned - #15281815297")</f>
        <v/>
      </c>
      <c r="B23199" s="0" t="s">
        <v>30919</v>
      </c>
      <c r="E23199" s="0" t="inlineStr">
        <is>
          <t xml:space="preserve">Mazda</t>
        </is>
      </c>
      <c r="F23199" s="0" t="inlineStr">
        <is>
          <t xml:space="preserve">Mazda</t>
        </is>
      </c>
      <c r="G23199" s="0" t="s">
        <v>171</v>
      </c>
      <c r="H23199" s="5">
        <v>39.717700</v>
      </c>
    </row>
    <row r="23200" spans="1:9">
      <c r="A23200" s="22" t="str">
        <f>HYPERLINK("https://app.vivvix.com/360/KMI/IntelliDrive/ApplUI/Pages/CreativePages/CustomReportCreativeDetail.aspx?App=23&amp;ReportView=4&amp;Qid=1711279&amp;Row=23192&amp;Col=1","No Title Assigned - #15281815521")</f>
        <v/>
      </c>
      <c r="B23200" s="0" t="s">
        <v>30920</v>
      </c>
      <c r="E23200" s="0" t="inlineStr">
        <is>
          <t xml:space="preserve">Mazda</t>
        </is>
      </c>
      <c r="F23200" s="0" t="inlineStr">
        <is>
          <t xml:space="preserve">Mazda</t>
        </is>
      </c>
      <c r="G23200" s="0" t="s">
        <v>171</v>
      </c>
      <c r="H23200" s="5">
        <v>502.042500</v>
      </c>
    </row>
    <row r="23201" spans="1:9">
      <c r="A23201" s="22" t="str">
        <f>HYPERLINK("https://app.vivvix.com/360/KMI/IntelliDrive/ApplUI/Pages/CreativePages/CustomReportCreativeDetail.aspx?App=23&amp;ReportView=4&amp;Qid=1711279&amp;Row=23193&amp;Col=1","No Title Assigned - #15281816442")</f>
        <v/>
      </c>
      <c r="B23201" s="0" t="s">
        <v>30921</v>
      </c>
      <c r="E23201" s="0" t="inlineStr">
        <is>
          <t xml:space="preserve">Mazda</t>
        </is>
      </c>
      <c r="F23201" s="0" t="inlineStr">
        <is>
          <t xml:space="preserve">Mazda</t>
        </is>
      </c>
      <c r="G23201" s="0" t="s">
        <v>171</v>
      </c>
      <c r="H23201" s="5">
        <v>40.350800</v>
      </c>
    </row>
    <row r="23202" spans="1:9">
      <c r="A23202" s="22" t="str">
        <f>HYPERLINK("https://app.vivvix.com/360/KMI/IntelliDrive/ApplUI/Pages/CreativePages/CustomReportCreativeDetail.aspx?App=23&amp;ReportView=4&amp;Qid=1711279&amp;Row=23194&amp;Col=1","No Title Assigned - #15281816628")</f>
        <v/>
      </c>
      <c r="B23202" s="0" t="s">
        <v>30922</v>
      </c>
      <c r="E23202" s="0" t="inlineStr">
        <is>
          <t xml:space="preserve">Mazda</t>
        </is>
      </c>
      <c r="F23202" s="0" t="inlineStr">
        <is>
          <t xml:space="preserve">Mazda</t>
        </is>
      </c>
      <c r="G23202" s="0" t="s">
        <v>171</v>
      </c>
      <c r="H23202" s="5">
        <v>804.672200</v>
      </c>
    </row>
    <row r="23203" spans="1:9">
      <c r="A23203" s="22" t="str">
        <f>HYPERLINK("https://app.vivvix.com/360/KMI/IntelliDrive/ApplUI/Pages/CreativePages/CustomReportCreativeDetail.aspx?App=23&amp;ReportView=4&amp;Qid=1711279&amp;Row=23195&amp;Col=1","No Title Assigned - #15281816628")</f>
        <v/>
      </c>
      <c r="B23203" s="0" t="s">
        <v>30922</v>
      </c>
      <c r="E23203" s="0" t="inlineStr">
        <is>
          <t xml:space="preserve">Mazda</t>
        </is>
      </c>
      <c r="F23203" s="0" t="inlineStr">
        <is>
          <t xml:space="preserve">Mazda</t>
        </is>
      </c>
      <c r="G23203" s="0" t="s">
        <v>171</v>
      </c>
      <c r="H23203" s="5">
        <v>1441.326200</v>
      </c>
    </row>
    <row r="23204" spans="1:9">
      <c r="A23204" s="22" t="str">
        <f>HYPERLINK("https://app.vivvix.com/360/KMI/IntelliDrive/ApplUI/Pages/CreativePages/CustomReportCreativeDetail.aspx?App=23&amp;ReportView=4&amp;Qid=1711279&amp;Row=23196&amp;Col=1","No Title Assigned - #15281816646")</f>
        <v/>
      </c>
      <c r="B23204" s="0" t="s">
        <v>30923</v>
      </c>
      <c r="E23204" s="0" t="inlineStr">
        <is>
          <t xml:space="preserve">Mazda</t>
        </is>
      </c>
      <c r="F23204" s="0" t="inlineStr">
        <is>
          <t xml:space="preserve">Mazda</t>
        </is>
      </c>
      <c r="G23204" s="0" t="s">
        <v>171</v>
      </c>
      <c r="H23204" s="5">
        <v>2.470800</v>
      </c>
    </row>
    <row r="23205" spans="1:9">
      <c r="A23205" s="22" t="str">
        <f>HYPERLINK("https://app.vivvix.com/360/KMI/IntelliDrive/ApplUI/Pages/CreativePages/CustomReportCreativeDetail.aspx?App=23&amp;ReportView=4&amp;Qid=1711279&amp;Row=23197&amp;Col=1","No Title Assigned - #15281821703")</f>
        <v/>
      </c>
      <c r="B23205" s="0" t="s">
        <v>30924</v>
      </c>
      <c r="E23205" s="0" t="inlineStr">
        <is>
          <t xml:space="preserve">Mazda</t>
        </is>
      </c>
      <c r="F23205" s="0" t="inlineStr">
        <is>
          <t xml:space="preserve">Mazda</t>
        </is>
      </c>
      <c r="G23205" s="0" t="s">
        <v>171</v>
      </c>
      <c r="H23205" s="5">
        <v>1.652300</v>
      </c>
    </row>
    <row r="23206" spans="1:9">
      <c r="A23206" s="22" t="str">
        <f>HYPERLINK("https://app.vivvix.com/360/KMI/IntelliDrive/ApplUI/Pages/CreativePages/CustomReportCreativeDetail.aspx?App=23&amp;ReportView=4&amp;Qid=1711279&amp;Row=23198&amp;Col=1","No Title Assigned - #15281822718")</f>
        <v/>
      </c>
      <c r="B23206" s="0" t="s">
        <v>30925</v>
      </c>
      <c r="E23206" s="0" t="inlineStr">
        <is>
          <t xml:space="preserve">Mazda</t>
        </is>
      </c>
      <c r="F23206" s="0" t="inlineStr">
        <is>
          <t xml:space="preserve">Mazda</t>
        </is>
      </c>
      <c r="G23206" s="0" t="s">
        <v>171</v>
      </c>
      <c r="H23206" s="5">
        <v>3700.085400</v>
      </c>
    </row>
    <row r="23207" spans="1:9">
      <c r="A23207" s="22" t="str">
        <f>HYPERLINK("https://app.vivvix.com/360/KMI/IntelliDrive/ApplUI/Pages/CreativePages/CustomReportCreativeDetail.aspx?App=23&amp;ReportView=4&amp;Qid=1711279&amp;Row=23199&amp;Col=1","No Title Assigned - #15281823029")</f>
        <v/>
      </c>
      <c r="B23207" s="0" t="s">
        <v>30926</v>
      </c>
      <c r="E23207" s="0" t="inlineStr">
        <is>
          <t xml:space="preserve">Mazda</t>
        </is>
      </c>
      <c r="F23207" s="0" t="inlineStr">
        <is>
          <t xml:space="preserve">Mazda</t>
        </is>
      </c>
      <c r="G23207" s="0" t="s">
        <v>171</v>
      </c>
      <c r="H23207" s="5">
        <v>31.760400</v>
      </c>
    </row>
    <row r="23208" spans="1:9">
      <c r="A23208" s="22" t="str">
        <f>HYPERLINK("https://app.vivvix.com/360/KMI/IntelliDrive/ApplUI/Pages/CreativePages/CustomReportCreativeDetail.aspx?App=23&amp;ReportView=4&amp;Qid=1711279&amp;Row=23200&amp;Col=1","No Title Assigned - #15281823898")</f>
        <v/>
      </c>
      <c r="B23208" s="0" t="s">
        <v>30927</v>
      </c>
      <c r="E23208" s="0" t="inlineStr">
        <is>
          <t xml:space="preserve">Mazda</t>
        </is>
      </c>
      <c r="F23208" s="0" t="inlineStr">
        <is>
          <t xml:space="preserve">Mazda</t>
        </is>
      </c>
      <c r="G23208" s="0" t="s">
        <v>171</v>
      </c>
      <c r="H23208" s="5">
        <v>1138.282800</v>
      </c>
    </row>
    <row r="23209" spans="1:9">
      <c r="A23209" s="22" t="str">
        <f>HYPERLINK("https://app.vivvix.com/360/KMI/IntelliDrive/ApplUI/Pages/CreativePages/CustomReportCreativeDetail.aspx?App=23&amp;ReportView=4&amp;Qid=1711279&amp;Row=23201&amp;Col=1","No Title Assigned - #15281823902")</f>
        <v/>
      </c>
      <c r="B23209" s="0" t="s">
        <v>30928</v>
      </c>
      <c r="C23209" s="0" t="s">
        <v>30929</v>
      </c>
      <c r="D23209" s="0" t="s">
        <v>30929</v>
      </c>
      <c r="E23209" s="0" t="inlineStr">
        <is>
          <t xml:space="preserve">Mazda</t>
        </is>
      </c>
      <c r="F23209" s="0" t="inlineStr">
        <is>
          <t xml:space="preserve">Mazda</t>
        </is>
      </c>
      <c r="G23209" s="0" t="s">
        <v>171</v>
      </c>
      <c r="H23209" s="5">
        <v>1138.282800</v>
      </c>
    </row>
    <row r="23210" spans="1:9">
      <c r="A23210" s="22" t="str">
        <f>HYPERLINK("https://app.vivvix.com/360/KMI/IntelliDrive/ApplUI/Pages/CreativePages/CustomReportCreativeDetail.aspx?App=23&amp;ReportView=4&amp;Qid=1711279&amp;Row=23202&amp;Col=1","No Title Assigned - #15281825100")</f>
        <v/>
      </c>
      <c r="B23210" s="0" t="s">
        <v>30930</v>
      </c>
      <c r="E23210" s="0" t="inlineStr">
        <is>
          <t xml:space="preserve">Mazda</t>
        </is>
      </c>
      <c r="F23210" s="0" t="inlineStr">
        <is>
          <t xml:space="preserve">Mazda</t>
        </is>
      </c>
      <c r="G23210" s="0" t="s">
        <v>171</v>
      </c>
      <c r="H23210" s="5">
        <v>2896.471400</v>
      </c>
    </row>
    <row r="23211" spans="1:9">
      <c r="A23211" s="22" t="str">
        <f>HYPERLINK("https://app.vivvix.com/360/KMI/IntelliDrive/ApplUI/Pages/CreativePages/CustomReportCreativeDetail.aspx?App=23&amp;ReportView=4&amp;Qid=1711279&amp;Row=23203&amp;Col=1","No Title Assigned - #15281828713")</f>
        <v/>
      </c>
      <c r="B23211" s="0" t="s">
        <v>30931</v>
      </c>
      <c r="C23211" s="0" t="s">
        <v>30932</v>
      </c>
      <c r="D23211" s="0" t="s">
        <v>30932</v>
      </c>
      <c r="E23211" s="0" t="inlineStr">
        <is>
          <t xml:space="preserve">Mazda</t>
        </is>
      </c>
      <c r="F23211" s="0" t="inlineStr">
        <is>
          <t xml:space="preserve">Mazda</t>
        </is>
      </c>
      <c r="G23211" s="0" t="s">
        <v>171</v>
      </c>
      <c r="H23211" s="5">
        <v>214.044300</v>
      </c>
    </row>
    <row r="23212" spans="1:9">
      <c r="A23212" s="22" t="str">
        <f>HYPERLINK("https://app.vivvix.com/360/KMI/IntelliDrive/ApplUI/Pages/CreativePages/CustomReportCreativeDetail.aspx?App=23&amp;ReportView=4&amp;Qid=1711279&amp;Row=23204&amp;Col=1","No Title Assigned - #15281828713")</f>
        <v/>
      </c>
      <c r="B23212" s="0" t="s">
        <v>30931</v>
      </c>
      <c r="E23212" s="0" t="inlineStr">
        <is>
          <t xml:space="preserve">Mazda</t>
        </is>
      </c>
      <c r="F23212" s="0" t="inlineStr">
        <is>
          <t xml:space="preserve">Mazda</t>
        </is>
      </c>
      <c r="G23212" s="0" t="s">
        <v>171</v>
      </c>
      <c r="H23212" s="5">
        <v>749.802700</v>
      </c>
    </row>
    <row r="23213" spans="1:9">
      <c r="A23213" s="22" t="str">
        <f>HYPERLINK("https://app.vivvix.com/360/KMI/IntelliDrive/ApplUI/Pages/CreativePages/CustomReportCreativeDetail.aspx?App=23&amp;ReportView=4&amp;Qid=1711279&amp;Row=23205&amp;Col=1","No Title Assigned - #15281829053")</f>
        <v/>
      </c>
      <c r="B23213" s="0" t="s">
        <v>30933</v>
      </c>
      <c r="E23213" s="0" t="inlineStr">
        <is>
          <t xml:space="preserve">Mazda</t>
        </is>
      </c>
      <c r="F23213" s="0" t="inlineStr">
        <is>
          <t xml:space="preserve">Mazda</t>
        </is>
      </c>
      <c r="G23213" s="0" t="s">
        <v>171</v>
      </c>
      <c r="H23213" s="5">
        <v>347.840400</v>
      </c>
    </row>
    <row r="23214" spans="1:9">
      <c r="A23214" s="22" t="str">
        <f>HYPERLINK("https://app.vivvix.com/360/KMI/IntelliDrive/ApplUI/Pages/CreativePages/CustomReportCreativeDetail.aspx?App=23&amp;ReportView=4&amp;Qid=1711279&amp;Row=23206&amp;Col=1","No Title Assigned - #15281829608")</f>
        <v/>
      </c>
      <c r="B23214" s="0" t="s">
        <v>30934</v>
      </c>
      <c r="E23214" s="0" t="inlineStr">
        <is>
          <t xml:space="preserve">Mazda</t>
        </is>
      </c>
      <c r="F23214" s="0" t="inlineStr">
        <is>
          <t xml:space="preserve">Mazda</t>
        </is>
      </c>
      <c r="G23214" s="0" t="s">
        <v>171</v>
      </c>
      <c r="H23214" s="5">
        <v>241.812000</v>
      </c>
    </row>
    <row r="23215" spans="1:9">
      <c r="A23215" s="22" t="str">
        <f>HYPERLINK("https://app.vivvix.com/360/KMI/IntelliDrive/ApplUI/Pages/CreativePages/CustomReportCreativeDetail.aspx?App=23&amp;ReportView=4&amp;Qid=1711279&amp;Row=23207&amp;Col=1","No Title Assigned - #15281829797")</f>
        <v/>
      </c>
      <c r="B23215" s="0" t="s">
        <v>30935</v>
      </c>
      <c r="E23215" s="0" t="inlineStr">
        <is>
          <t xml:space="preserve">Mazda</t>
        </is>
      </c>
      <c r="F23215" s="0" t="inlineStr">
        <is>
          <t xml:space="preserve">Mazda</t>
        </is>
      </c>
      <c r="G23215" s="0" t="s">
        <v>171</v>
      </c>
      <c r="H23215" s="5">
        <v>89.067500</v>
      </c>
    </row>
    <row r="23216" spans="1:9">
      <c r="A23216" s="22" t="str">
        <f>HYPERLINK("https://app.vivvix.com/360/KMI/IntelliDrive/ApplUI/Pages/CreativePages/CustomReportCreativeDetail.aspx?App=23&amp;ReportView=4&amp;Qid=1711279&amp;Row=23208&amp;Col=1","No Title Assigned - #15281830346")</f>
        <v/>
      </c>
      <c r="B23216" s="0" t="s">
        <v>30936</v>
      </c>
      <c r="E23216" s="0" t="inlineStr">
        <is>
          <t xml:space="preserve">Mazda</t>
        </is>
      </c>
      <c r="F23216" s="0" t="inlineStr">
        <is>
          <t xml:space="preserve">Mazda</t>
        </is>
      </c>
      <c r="G23216" s="0" t="s">
        <v>171</v>
      </c>
      <c r="H23216" s="5">
        <v>467.453500</v>
      </c>
    </row>
    <row r="23217" spans="1:9">
      <c r="A23217" s="22" t="str">
        <f>HYPERLINK("https://app.vivvix.com/360/KMI/IntelliDrive/ApplUI/Pages/CreativePages/CustomReportCreativeDetail.aspx?App=23&amp;ReportView=4&amp;Qid=1711279&amp;Row=23209&amp;Col=1","No Title Assigned - #15281830396")</f>
        <v/>
      </c>
      <c r="B23217" s="0" t="s">
        <v>30937</v>
      </c>
      <c r="E23217" s="0" t="inlineStr">
        <is>
          <t xml:space="preserve">Mazda</t>
        </is>
      </c>
      <c r="F23217" s="0" t="inlineStr">
        <is>
          <t xml:space="preserve">Mazda</t>
        </is>
      </c>
      <c r="G23217" s="0" t="s">
        <v>171</v>
      </c>
      <c r="H23217" s="5">
        <v>29.321700</v>
      </c>
    </row>
    <row r="23218" spans="1:9">
      <c r="A23218" s="22" t="str">
        <f>HYPERLINK("https://app.vivvix.com/360/KMI/IntelliDrive/ApplUI/Pages/CreativePages/CustomReportCreativeDetail.aspx?App=23&amp;ReportView=4&amp;Qid=1711279&amp;Row=23210&amp;Col=1","No Title Assigned - #15281832968")</f>
        <v/>
      </c>
      <c r="B23218" s="0" t="s">
        <v>30938</v>
      </c>
      <c r="C23218" s="0" t="s">
        <v>30939</v>
      </c>
      <c r="D23218" s="0" t="s">
        <v>10745</v>
      </c>
      <c r="E23218" s="0" t="inlineStr">
        <is>
          <t xml:space="preserve">Mazda</t>
        </is>
      </c>
      <c r="F23218" s="0" t="s">
        <v>13</v>
      </c>
      <c r="G23218" s="0" t="s">
        <v>49</v>
      </c>
      <c r="H23218" s="5">
        <v>552.381600</v>
      </c>
    </row>
    <row r="23219" spans="1:9">
      <c r="A23219" s="22" t="str">
        <f>HYPERLINK("https://app.vivvix.com/360/KMI/IntelliDrive/ApplUI/Pages/CreativePages/CustomReportCreativeDetail.aspx?App=23&amp;ReportView=4&amp;Qid=1711279&amp;Row=23211&amp;Col=1","No Title Assigned - #15281833204")</f>
        <v/>
      </c>
      <c r="B23219" s="0" t="s">
        <v>30940</v>
      </c>
      <c r="C23219" s="0" t="s">
        <v>30941</v>
      </c>
      <c r="D23219" s="0" t="s">
        <v>20972</v>
      </c>
      <c r="E23219" s="0" t="inlineStr">
        <is>
          <t xml:space="preserve">Mazda</t>
        </is>
      </c>
      <c r="F23219" s="0" t="s">
        <v>13</v>
      </c>
      <c r="G23219" s="0" t="s">
        <v>49</v>
      </c>
      <c r="H23219" s="5">
        <v>3131.926500</v>
      </c>
    </row>
    <row r="23220" spans="1:9">
      <c r="A23220" s="22" t="str">
        <f>HYPERLINK("https://app.vivvix.com/360/KMI/IntelliDrive/ApplUI/Pages/CreativePages/CustomReportCreativeDetail.aspx?App=23&amp;ReportView=4&amp;Qid=1711279&amp;Row=23212&amp;Col=1","No Title Assigned - #15281833420")</f>
        <v/>
      </c>
      <c r="B23220" s="0" t="s">
        <v>30942</v>
      </c>
      <c r="C23220" s="0" t="s">
        <v>30943</v>
      </c>
      <c r="D23220" s="0" t="s">
        <v>30943</v>
      </c>
      <c r="E23220" s="0" t="inlineStr">
        <is>
          <t xml:space="preserve">Mazda</t>
        </is>
      </c>
      <c r="F23220" s="0" t="s">
        <v>13</v>
      </c>
      <c r="G23220" s="0" t="s">
        <v>49</v>
      </c>
      <c r="H23220" s="5">
        <v>2394.202600</v>
      </c>
    </row>
    <row r="23221" spans="1:9">
      <c r="A23221" s="22" t="str">
        <f>HYPERLINK("https://app.vivvix.com/360/KMI/IntelliDrive/ApplUI/Pages/CreativePages/CustomReportCreativeDetail.aspx?App=23&amp;ReportView=4&amp;Qid=1711279&amp;Row=23213&amp;Col=1","No Title Assigned - #15281838571")</f>
        <v/>
      </c>
      <c r="B23221" s="0" t="s">
        <v>30944</v>
      </c>
      <c r="E23221" s="0" t="inlineStr">
        <is>
          <t xml:space="preserve">Mazda</t>
        </is>
      </c>
      <c r="F23221" s="0" t="inlineStr">
        <is>
          <t xml:space="preserve">Mazda</t>
        </is>
      </c>
      <c r="G23221" s="0" t="s">
        <v>171</v>
      </c>
      <c r="H23221" s="5">
        <v>260.551500</v>
      </c>
    </row>
    <row r="23222" spans="1:9">
      <c r="A23222" s="22" t="str">
        <f>HYPERLINK("https://app.vivvix.com/360/KMI/IntelliDrive/ApplUI/Pages/CreativePages/CustomReportCreativeDetail.aspx?App=23&amp;ReportView=4&amp;Qid=1711279&amp;Row=23214&amp;Col=1","No Title Assigned - #15281839042")</f>
        <v/>
      </c>
      <c r="B23222" s="0" t="s">
        <v>30945</v>
      </c>
      <c r="C23222" s="0" t="s">
        <v>30946</v>
      </c>
      <c r="D23222" s="0" t="s">
        <v>11053</v>
      </c>
      <c r="E23222" s="0" t="inlineStr">
        <is>
          <t xml:space="preserve">Mazda</t>
        </is>
      </c>
      <c r="F23222" s="0" t="s">
        <v>13</v>
      </c>
      <c r="G23222" s="0" t="s">
        <v>49</v>
      </c>
      <c r="H23222" s="5">
        <v>158.397000</v>
      </c>
    </row>
    <row r="23223" spans="1:9">
      <c r="A23223" s="22" t="str">
        <f>HYPERLINK("https://app.vivvix.com/360/KMI/IntelliDrive/ApplUI/Pages/CreativePages/CustomReportCreativeDetail.aspx?App=23&amp;ReportView=4&amp;Qid=1711279&amp;Row=23215&amp;Col=1","No Title Assigned - #15281842969")</f>
        <v/>
      </c>
      <c r="B23223" s="0" t="s">
        <v>30947</v>
      </c>
      <c r="C23223" s="0" t="s">
        <v>30948</v>
      </c>
      <c r="D23223" s="0" t="s">
        <v>30948</v>
      </c>
      <c r="E23223" s="0" t="inlineStr">
        <is>
          <t xml:space="preserve">Mazda</t>
        </is>
      </c>
      <c r="F23223" s="0" t="inlineStr">
        <is>
          <t xml:space="preserve">Mazda</t>
        </is>
      </c>
      <c r="G23223" s="0" t="s">
        <v>171</v>
      </c>
      <c r="H23223" s="5">
        <v>416.286700</v>
      </c>
    </row>
    <row r="23224" spans="1:9">
      <c r="A23224" s="22" t="str">
        <f>HYPERLINK("https://app.vivvix.com/360/KMI/IntelliDrive/ApplUI/Pages/CreativePages/CustomReportCreativeDetail.aspx?App=23&amp;ReportView=4&amp;Qid=1711279&amp;Row=23216&amp;Col=1","No Title Assigned - #15281842969")</f>
        <v/>
      </c>
      <c r="B23224" s="0" t="s">
        <v>30947</v>
      </c>
      <c r="E23224" s="0" t="inlineStr">
        <is>
          <t xml:space="preserve">Mazda</t>
        </is>
      </c>
      <c r="F23224" s="0" t="inlineStr">
        <is>
          <t xml:space="preserve">Mazda</t>
        </is>
      </c>
      <c r="G23224" s="0" t="s">
        <v>171</v>
      </c>
      <c r="H23224" s="5">
        <v>461.479900</v>
      </c>
    </row>
    <row r="23225" spans="1:9">
      <c r="A23225" s="22" t="str">
        <f>HYPERLINK("https://app.vivvix.com/360/KMI/IntelliDrive/ApplUI/Pages/CreativePages/CustomReportCreativeDetail.aspx?App=23&amp;ReportView=4&amp;Qid=1711279&amp;Row=23217&amp;Col=1","No Title Assigned - #15281847314")</f>
        <v/>
      </c>
      <c r="B23225" s="0" t="s">
        <v>30949</v>
      </c>
      <c r="E23225" s="0" t="inlineStr">
        <is>
          <t xml:space="preserve">Mazda</t>
        </is>
      </c>
      <c r="F23225" s="0" t="inlineStr">
        <is>
          <t xml:space="preserve">Mazda</t>
        </is>
      </c>
      <c r="G23225" s="0" t="s">
        <v>171</v>
      </c>
      <c r="H23225" s="5">
        <v>1.652300</v>
      </c>
    </row>
    <row r="23226" spans="1:9">
      <c r="A23226" s="22" t="str">
        <f>HYPERLINK("https://app.vivvix.com/360/KMI/IntelliDrive/ApplUI/Pages/CreativePages/CustomReportCreativeDetail.aspx?App=23&amp;ReportView=4&amp;Qid=1711279&amp;Row=23218&amp;Col=1","No Title Assigned - #15281848560")</f>
        <v/>
      </c>
      <c r="B23226" s="0" t="s">
        <v>30950</v>
      </c>
      <c r="E23226" s="0" t="inlineStr">
        <is>
          <t xml:space="preserve">Mazda</t>
        </is>
      </c>
      <c r="F23226" s="0" t="inlineStr">
        <is>
          <t xml:space="preserve">Mazda</t>
        </is>
      </c>
      <c r="G23226" s="0" t="s">
        <v>171</v>
      </c>
      <c r="H23226" s="5">
        <v>44.455800</v>
      </c>
    </row>
    <row r="23227" spans="1:9">
      <c r="A23227" s="22" t="str">
        <f>HYPERLINK("https://app.vivvix.com/360/KMI/IntelliDrive/ApplUI/Pages/CreativePages/CustomReportCreativeDetail.aspx?App=23&amp;ReportView=4&amp;Qid=1711279&amp;Row=23219&amp;Col=1","No Title Assigned - #15281852504")</f>
        <v/>
      </c>
      <c r="B23227" s="0" t="s">
        <v>30951</v>
      </c>
      <c r="E23227" s="0" t="inlineStr">
        <is>
          <t xml:space="preserve">Mazda</t>
        </is>
      </c>
      <c r="F23227" s="0" t="inlineStr">
        <is>
          <t xml:space="preserve">Mazda</t>
        </is>
      </c>
      <c r="G23227" s="0" t="s">
        <v>171</v>
      </c>
      <c r="H23227" s="5">
        <v>124.707400</v>
      </c>
    </row>
    <row r="23228" spans="1:9">
      <c r="A23228" s="22" t="str">
        <f>HYPERLINK("https://app.vivvix.com/360/KMI/IntelliDrive/ApplUI/Pages/CreativePages/CustomReportCreativeDetail.aspx?App=23&amp;ReportView=4&amp;Qid=1711279&amp;Row=23220&amp;Col=1","No Title Assigned - #15281853820")</f>
        <v/>
      </c>
      <c r="B23228" s="0" t="s">
        <v>30952</v>
      </c>
      <c r="E23228" s="0" t="inlineStr">
        <is>
          <t xml:space="preserve">Mazda</t>
        </is>
      </c>
      <c r="F23228" s="0" t="inlineStr">
        <is>
          <t xml:space="preserve">Mazda</t>
        </is>
      </c>
      <c r="G23228" s="0" t="s">
        <v>171</v>
      </c>
      <c r="H23228" s="5">
        <v>334.082100</v>
      </c>
    </row>
    <row r="23229" spans="1:9">
      <c r="A23229" s="22" t="str">
        <f>HYPERLINK("https://app.vivvix.com/360/KMI/IntelliDrive/ApplUI/Pages/CreativePages/CustomReportCreativeDetail.aspx?App=23&amp;ReportView=4&amp;Qid=1711279&amp;Row=23221&amp;Col=1","No Title Assigned - #15281853934")</f>
        <v/>
      </c>
      <c r="B23229" s="0" t="s">
        <v>30953</v>
      </c>
      <c r="E23229" s="0" t="inlineStr">
        <is>
          <t xml:space="preserve">Mazda</t>
        </is>
      </c>
      <c r="F23229" s="0" t="inlineStr">
        <is>
          <t xml:space="preserve">Mazda</t>
        </is>
      </c>
      <c r="G23229" s="0" t="s">
        <v>171</v>
      </c>
      <c r="H23229" s="5">
        <v>137.725600</v>
      </c>
    </row>
    <row r="23230" spans="1:9">
      <c r="A23230" s="22" t="str">
        <f>HYPERLINK("https://app.vivvix.com/360/KMI/IntelliDrive/ApplUI/Pages/CreativePages/CustomReportCreativeDetail.aspx?App=23&amp;ReportView=4&amp;Qid=1711279&amp;Row=23222&amp;Col=1","No Title Assigned - #15281854054")</f>
        <v/>
      </c>
      <c r="B23230" s="0" t="s">
        <v>30954</v>
      </c>
      <c r="E23230" s="0" t="inlineStr">
        <is>
          <t xml:space="preserve">Mazda</t>
        </is>
      </c>
      <c r="F23230" s="0" t="inlineStr">
        <is>
          <t xml:space="preserve">Mazda</t>
        </is>
      </c>
      <c r="G23230" s="0" t="s">
        <v>171</v>
      </c>
      <c r="H23230" s="5">
        <v>0.823600</v>
      </c>
    </row>
    <row r="23231" spans="1:9">
      <c r="A23231" s="22" t="str">
        <f>HYPERLINK("https://app.vivvix.com/360/KMI/IntelliDrive/ApplUI/Pages/CreativePages/CustomReportCreativeDetail.aspx?App=23&amp;ReportView=4&amp;Qid=1711279&amp;Row=23223&amp;Col=1","No Title Assigned - #15281855433")</f>
        <v/>
      </c>
      <c r="B23231" s="0" t="s">
        <v>30955</v>
      </c>
      <c r="C23231" s="0" t="s">
        <v>30956</v>
      </c>
      <c r="D23231" s="0" t="s">
        <v>11469</v>
      </c>
      <c r="E23231" s="0" t="inlineStr">
        <is>
          <t xml:space="preserve">Mazda</t>
        </is>
      </c>
      <c r="F23231" s="0" t="s">
        <v>13</v>
      </c>
      <c r="G23231" s="0" t="s">
        <v>49</v>
      </c>
      <c r="H23231" s="5">
        <v>1450.246300</v>
      </c>
    </row>
    <row r="23232" spans="1:9">
      <c r="A23232" s="22" t="str">
        <f>HYPERLINK("https://app.vivvix.com/360/KMI/IntelliDrive/ApplUI/Pages/CreativePages/CustomReportCreativeDetail.aspx?App=23&amp;ReportView=4&amp;Qid=1711279&amp;Row=23224&amp;Col=1","No Title Assigned - #15281857861")</f>
        <v/>
      </c>
      <c r="B23232" s="0" t="s">
        <v>30957</v>
      </c>
      <c r="C23232" s="0" t="s">
        <v>30958</v>
      </c>
      <c r="D23232" s="0" t="s">
        <v>4335</v>
      </c>
      <c r="E23232" s="0" t="inlineStr">
        <is>
          <t xml:space="preserve">Mazda</t>
        </is>
      </c>
      <c r="F23232" s="0" t="s">
        <v>13</v>
      </c>
      <c r="G23232" s="0" t="s">
        <v>49</v>
      </c>
      <c r="H23232" s="5">
        <v>155.515600</v>
      </c>
    </row>
    <row r="23233" spans="1:9">
      <c r="A23233" s="22" t="str">
        <f>HYPERLINK("https://app.vivvix.com/360/KMI/IntelliDrive/ApplUI/Pages/CreativePages/CustomReportCreativeDetail.aspx?App=23&amp;ReportView=4&amp;Qid=1711279&amp;Row=23225&amp;Col=1","No Title Assigned - #15281860065")</f>
        <v/>
      </c>
      <c r="B23233" s="0" t="s">
        <v>30959</v>
      </c>
      <c r="C23233" s="0" t="s">
        <v>30960</v>
      </c>
      <c r="D23233" s="0" t="s">
        <v>30960</v>
      </c>
      <c r="E23233" s="0" t="inlineStr">
        <is>
          <t xml:space="preserve">Mazda</t>
        </is>
      </c>
      <c r="F23233" s="0" t="s">
        <v>17</v>
      </c>
      <c r="G23233" s="0" t="s">
        <v>33</v>
      </c>
      <c r="H23233" s="5">
        <v>9258.746500</v>
      </c>
    </row>
    <row r="23234" spans="1:9">
      <c r="A23234" s="22" t="str">
        <f>HYPERLINK("https://app.vivvix.com/360/KMI/IntelliDrive/ApplUI/Pages/CreativePages/CustomReportCreativeDetail.aspx?App=23&amp;ReportView=4&amp;Qid=1711279&amp;Row=23226&amp;Col=1","No Title Assigned - #15281861003")</f>
        <v/>
      </c>
      <c r="B23234" s="0" t="s">
        <v>30961</v>
      </c>
      <c r="C23234" s="0" t="s">
        <v>30962</v>
      </c>
      <c r="D23234" s="0" t="s">
        <v>30962</v>
      </c>
      <c r="E23234" s="0" t="inlineStr">
        <is>
          <t xml:space="preserve">Mazda</t>
        </is>
      </c>
      <c r="F23234" s="0" t="s">
        <v>17</v>
      </c>
      <c r="G23234" s="0" t="s">
        <v>33</v>
      </c>
      <c r="H23234" s="5">
        <v>1910.955300</v>
      </c>
    </row>
    <row r="23235" spans="1:9">
      <c r="A23235" s="22" t="str">
        <f>HYPERLINK("https://app.vivvix.com/360/KMI/IntelliDrive/ApplUI/Pages/CreativePages/CustomReportCreativeDetail.aspx?App=23&amp;ReportView=4&amp;Qid=1711279&amp;Row=23227&amp;Col=1","No Title Assigned - #15281861126")</f>
        <v/>
      </c>
      <c r="B23235" s="0" t="s">
        <v>30963</v>
      </c>
      <c r="C23235" s="0" t="s">
        <v>30964</v>
      </c>
      <c r="D23235" s="0" t="s">
        <v>18410</v>
      </c>
      <c r="E23235" s="0" t="inlineStr">
        <is>
          <t xml:space="preserve">Mazda</t>
        </is>
      </c>
      <c r="F23235" s="0" t="s">
        <v>13</v>
      </c>
      <c r="G23235" s="0" t="s">
        <v>49</v>
      </c>
      <c r="H23235" s="5">
        <v>192.425900</v>
      </c>
    </row>
    <row r="23236" spans="1:9">
      <c r="A23236" s="22" t="str">
        <f>HYPERLINK("https://app.vivvix.com/360/KMI/IntelliDrive/ApplUI/Pages/CreativePages/CustomReportCreativeDetail.aspx?App=23&amp;ReportView=4&amp;Qid=1711279&amp;Row=23228&amp;Col=1","No Title Assigned - #15281863042")</f>
        <v/>
      </c>
      <c r="B23236" s="0" t="s">
        <v>30965</v>
      </c>
      <c r="C23236" s="0" t="s">
        <v>30966</v>
      </c>
      <c r="D23236" s="0" t="s">
        <v>30966</v>
      </c>
      <c r="E23236" s="0" t="inlineStr">
        <is>
          <t xml:space="preserve">Mazda</t>
        </is>
      </c>
      <c r="F23236" s="0" t="s">
        <v>52</v>
      </c>
      <c r="G23236" s="0" t="s">
        <v>325</v>
      </c>
      <c r="H23236" s="5">
        <v>328.811600</v>
      </c>
    </row>
    <row r="23237" spans="1:9">
      <c r="A23237" s="22" t="str">
        <f>HYPERLINK("https://app.vivvix.com/360/KMI/IntelliDrive/ApplUI/Pages/CreativePages/CustomReportCreativeDetail.aspx?App=23&amp;ReportView=4&amp;Qid=1711279&amp;Row=23229&amp;Col=1","No Title Assigned - #15281865152")</f>
        <v/>
      </c>
      <c r="B23237" s="0" t="s">
        <v>30967</v>
      </c>
      <c r="C23237" s="0" t="s">
        <v>30968</v>
      </c>
      <c r="D23237" s="0" t="s">
        <v>21884</v>
      </c>
      <c r="E23237" s="0" t="inlineStr">
        <is>
          <t xml:space="preserve">Mazda</t>
        </is>
      </c>
      <c r="F23237" s="0" t="s">
        <v>13</v>
      </c>
      <c r="G23237" s="0" t="s">
        <v>49</v>
      </c>
      <c r="H23237" s="5">
        <v>115.160900</v>
      </c>
    </row>
    <row r="23238" spans="1:9">
      <c r="A23238" s="22" t="str">
        <f>HYPERLINK("https://app.vivvix.com/360/KMI/IntelliDrive/ApplUI/Pages/CreativePages/CustomReportCreativeDetail.aspx?App=23&amp;ReportView=4&amp;Qid=1711279&amp;Row=23230&amp;Col=1","No Title Assigned - #15281865190")</f>
        <v/>
      </c>
      <c r="B23238" s="0" t="s">
        <v>30969</v>
      </c>
      <c r="C23238" s="0" t="s">
        <v>30970</v>
      </c>
      <c r="D23238" s="0" t="s">
        <v>30970</v>
      </c>
      <c r="E23238" s="0" t="inlineStr">
        <is>
          <t xml:space="preserve">Mazda</t>
        </is>
      </c>
      <c r="F23238" s="0" t="s">
        <v>13</v>
      </c>
      <c r="G23238" s="0" t="s">
        <v>49</v>
      </c>
      <c r="H23238" s="5">
        <v>11538.035300</v>
      </c>
    </row>
    <row r="23239" spans="1:9">
      <c r="A23239" s="22" t="str">
        <f>HYPERLINK("https://app.vivvix.com/360/KMI/IntelliDrive/ApplUI/Pages/CreativePages/CustomReportCreativeDetail.aspx?App=23&amp;ReportView=4&amp;Qid=1711279&amp;Row=23231&amp;Col=1","No Title Assigned - #15281865190")</f>
        <v/>
      </c>
      <c r="B23239" s="0" t="s">
        <v>30969</v>
      </c>
      <c r="E23239" s="0" t="inlineStr">
        <is>
          <t xml:space="preserve">Mazda</t>
        </is>
      </c>
      <c r="F23239" s="0" t="s">
        <v>13</v>
      </c>
      <c r="G23239" s="0" t="s">
        <v>49</v>
      </c>
      <c r="H23239" s="5">
        <v>138.239200</v>
      </c>
    </row>
    <row r="23240" spans="1:9">
      <c r="A23240" s="22" t="str">
        <f>HYPERLINK("https://app.vivvix.com/360/KMI/IntelliDrive/ApplUI/Pages/CreativePages/CustomReportCreativeDetail.aspx?App=23&amp;ReportView=4&amp;Qid=1711279&amp;Row=23232&amp;Col=1","No Title Assigned - #15281865324")</f>
        <v/>
      </c>
      <c r="B23240" s="0" t="s">
        <v>30971</v>
      </c>
      <c r="E23240" s="0" t="inlineStr">
        <is>
          <t xml:space="preserve">Mazda</t>
        </is>
      </c>
      <c r="F23240" s="0" t="inlineStr">
        <is>
          <t xml:space="preserve">Mazda</t>
        </is>
      </c>
      <c r="G23240" s="0" t="s">
        <v>171</v>
      </c>
      <c r="H23240" s="5">
        <v>23746.184300</v>
      </c>
    </row>
    <row r="23241" spans="1:9">
      <c r="A23241" s="22" t="str">
        <f>HYPERLINK("https://app.vivvix.com/360/KMI/IntelliDrive/ApplUI/Pages/CreativePages/CustomReportCreativeDetail.aspx?App=23&amp;ReportView=4&amp;Qid=1711279&amp;Row=23233&amp;Col=1","No Title Assigned - #15281865342")</f>
        <v/>
      </c>
      <c r="B23241" s="0" t="s">
        <v>30972</v>
      </c>
      <c r="C23241" s="0" t="s">
        <v>30973</v>
      </c>
      <c r="D23241" s="0" t="s">
        <v>6412</v>
      </c>
      <c r="E23241" s="0" t="inlineStr">
        <is>
          <t xml:space="preserve">Mazda</t>
        </is>
      </c>
      <c r="F23241" s="0" t="s">
        <v>17</v>
      </c>
      <c r="G23241" s="0" t="s">
        <v>33</v>
      </c>
      <c r="H23241" s="5">
        <v>1065.342300</v>
      </c>
    </row>
    <row r="23242" spans="1:9">
      <c r="A23242" s="22" t="str">
        <f>HYPERLINK("https://app.vivvix.com/360/KMI/IntelliDrive/ApplUI/Pages/CreativePages/CustomReportCreativeDetail.aspx?App=23&amp;ReportView=4&amp;Qid=1711279&amp;Row=23234&amp;Col=1","No Title Assigned - #15281866205")</f>
        <v/>
      </c>
      <c r="B23242" s="0" t="s">
        <v>30974</v>
      </c>
      <c r="C23242" s="0" t="s">
        <v>30975</v>
      </c>
      <c r="D23242" s="0" t="s">
        <v>30975</v>
      </c>
      <c r="E23242" s="0" t="inlineStr">
        <is>
          <t xml:space="preserve">Mazda</t>
        </is>
      </c>
      <c r="F23242" s="0" t="s">
        <v>28</v>
      </c>
      <c r="G23242" s="0" t="s">
        <v>29</v>
      </c>
      <c r="H23242" s="5">
        <v>43657.250000</v>
      </c>
    </row>
    <row r="23243" spans="1:9">
      <c r="A23243" s="22" t="str">
        <f>HYPERLINK("https://app.vivvix.com/360/KMI/IntelliDrive/ApplUI/Pages/CreativePages/CustomReportCreativeDetail.aspx?App=23&amp;ReportView=4&amp;Qid=1711279&amp;Row=23235&amp;Col=1","No Title Assigned - #15281866964")</f>
        <v/>
      </c>
      <c r="B23243" s="0" t="s">
        <v>30976</v>
      </c>
      <c r="C23243" s="0" t="s">
        <v>30977</v>
      </c>
      <c r="D23243" s="0" t="s">
        <v>17743</v>
      </c>
      <c r="E23243" s="0" t="inlineStr">
        <is>
          <t xml:space="preserve">Mazda</t>
        </is>
      </c>
      <c r="F23243" s="0" t="s">
        <v>13</v>
      </c>
      <c r="G23243" s="0" t="s">
        <v>49</v>
      </c>
      <c r="H23243" s="5">
        <v>53.640400</v>
      </c>
    </row>
    <row r="23244" spans="1:9">
      <c r="A23244" s="22" t="str">
        <f>HYPERLINK("https://app.vivvix.com/360/KMI/IntelliDrive/ApplUI/Pages/CreativePages/CustomReportCreativeDetail.aspx?App=23&amp;ReportView=4&amp;Qid=1711279&amp;Row=23236&amp;Col=1","No Title Assigned - #15281870880")</f>
        <v/>
      </c>
      <c r="B23244" s="0" t="s">
        <v>30978</v>
      </c>
      <c r="C23244" s="0" t="s">
        <v>30979</v>
      </c>
      <c r="D23244" s="0" t="s">
        <v>15355</v>
      </c>
      <c r="E23244" s="0" t="inlineStr">
        <is>
          <t xml:space="preserve">Mazda</t>
        </is>
      </c>
      <c r="F23244" s="0" t="s">
        <v>13</v>
      </c>
      <c r="G23244" s="0" t="s">
        <v>49</v>
      </c>
      <c r="H23244" s="5">
        <v>94.620600</v>
      </c>
    </row>
    <row r="23245" spans="1:9">
      <c r="A23245" s="22" t="str">
        <f>HYPERLINK("https://app.vivvix.com/360/KMI/IntelliDrive/ApplUI/Pages/CreativePages/CustomReportCreativeDetail.aspx?App=23&amp;ReportView=4&amp;Qid=1711279&amp;Row=23237&amp;Col=1","No Title Assigned - #15281870909")</f>
        <v/>
      </c>
      <c r="B23245" s="0" t="s">
        <v>30980</v>
      </c>
      <c r="C23245" s="0" t="s">
        <v>30981</v>
      </c>
      <c r="D23245" s="0" t="s">
        <v>30981</v>
      </c>
      <c r="E23245" s="0" t="inlineStr">
        <is>
          <t xml:space="preserve">Mazda</t>
        </is>
      </c>
      <c r="F23245" s="0" t="s">
        <v>13</v>
      </c>
      <c r="G23245" s="0" t="s">
        <v>49</v>
      </c>
      <c r="H23245" s="5">
        <v>120.872800</v>
      </c>
    </row>
    <row r="23246" spans="1:9">
      <c r="A23246" s="22" t="str">
        <f>HYPERLINK("https://app.vivvix.com/360/KMI/IntelliDrive/ApplUI/Pages/CreativePages/CustomReportCreativeDetail.aspx?App=23&amp;ReportView=4&amp;Qid=1711279&amp;Row=23238&amp;Col=1","No Title Assigned - #15281871389")</f>
        <v/>
      </c>
      <c r="B23246" s="0" t="s">
        <v>30982</v>
      </c>
      <c r="C23246" s="0" t="s">
        <v>30983</v>
      </c>
      <c r="D23246" s="0" t="s">
        <v>30983</v>
      </c>
      <c r="E23246" s="0" t="inlineStr">
        <is>
          <t xml:space="preserve">Mazda</t>
        </is>
      </c>
      <c r="F23246" s="0" t="s">
        <v>13</v>
      </c>
      <c r="G23246" s="0" t="s">
        <v>49</v>
      </c>
      <c r="H23246" s="5">
        <v>256.107700</v>
      </c>
    </row>
    <row r="23247" spans="1:9">
      <c r="A23247" s="22" t="str">
        <f>HYPERLINK("https://app.vivvix.com/360/KMI/IntelliDrive/ApplUI/Pages/CreativePages/CustomReportCreativeDetail.aspx?App=23&amp;ReportView=4&amp;Qid=1711279&amp;Row=23239&amp;Col=1","No Title Assigned - #15281871404")</f>
        <v/>
      </c>
      <c r="B23247" s="0" t="s">
        <v>30984</v>
      </c>
      <c r="C23247" s="0" t="s">
        <v>30985</v>
      </c>
      <c r="D23247" s="0" t="s">
        <v>15762</v>
      </c>
      <c r="E23247" s="0" t="inlineStr">
        <is>
          <t xml:space="preserve">Mazda</t>
        </is>
      </c>
      <c r="F23247" s="0" t="s">
        <v>13</v>
      </c>
      <c r="G23247" s="0" t="s">
        <v>49</v>
      </c>
      <c r="H23247" s="5">
        <v>75.207400</v>
      </c>
    </row>
    <row r="23248" spans="1:9">
      <c r="A23248" s="22" t="str">
        <f>HYPERLINK("https://app.vivvix.com/360/KMI/IntelliDrive/ApplUI/Pages/CreativePages/CustomReportCreativeDetail.aspx?App=23&amp;ReportView=4&amp;Qid=1711279&amp;Row=23240&amp;Col=1","No Title Assigned - #15281872261")</f>
        <v/>
      </c>
      <c r="B23248" s="0" t="s">
        <v>30986</v>
      </c>
      <c r="C23248" s="0" t="s">
        <v>30987</v>
      </c>
      <c r="D23248" s="0" t="s">
        <v>11499</v>
      </c>
      <c r="E23248" s="0" t="inlineStr">
        <is>
          <t xml:space="preserve">Mazda</t>
        </is>
      </c>
      <c r="F23248" s="0" t="s">
        <v>13</v>
      </c>
      <c r="G23248" s="0" t="s">
        <v>49</v>
      </c>
      <c r="H23248" s="5">
        <v>1584.746900</v>
      </c>
    </row>
    <row r="23249" spans="1:9">
      <c r="A23249" s="22" t="str">
        <f>HYPERLINK("https://app.vivvix.com/360/KMI/IntelliDrive/ApplUI/Pages/CreativePages/CustomReportCreativeDetail.aspx?App=23&amp;ReportView=4&amp;Qid=1711279&amp;Row=23241&amp;Col=1","No Title Assigned - #15281872283")</f>
        <v/>
      </c>
      <c r="B23249" s="0" t="s">
        <v>30988</v>
      </c>
      <c r="C23249" s="0" t="s">
        <v>30989</v>
      </c>
      <c r="D23249" s="0" t="s">
        <v>9167</v>
      </c>
      <c r="E23249" s="0" t="inlineStr">
        <is>
          <t xml:space="preserve">Mazda</t>
        </is>
      </c>
      <c r="F23249" s="0" t="s">
        <v>13</v>
      </c>
      <c r="G23249" s="0" t="s">
        <v>49</v>
      </c>
      <c r="H23249" s="5">
        <v>641.606700</v>
      </c>
    </row>
    <row r="23250" spans="1:9">
      <c r="A23250" s="22" t="str">
        <f>HYPERLINK("https://app.vivvix.com/360/KMI/IntelliDrive/ApplUI/Pages/CreativePages/CustomReportCreativeDetail.aspx?App=23&amp;ReportView=4&amp;Qid=1711279&amp;Row=23242&amp;Col=1","No Title Assigned - #15281872792")</f>
        <v/>
      </c>
      <c r="B23250" s="0" t="s">
        <v>30990</v>
      </c>
      <c r="E23250" s="0" t="inlineStr">
        <is>
          <t xml:space="preserve">Mazda</t>
        </is>
      </c>
      <c r="F23250" s="0" t="inlineStr">
        <is>
          <t xml:space="preserve">Mazda</t>
        </is>
      </c>
      <c r="G23250" s="0" t="s">
        <v>171</v>
      </c>
      <c r="H23250" s="5">
        <v>455.267900</v>
      </c>
    </row>
    <row r="23251" spans="1:9">
      <c r="A23251" s="22" t="str">
        <f>HYPERLINK("https://app.vivvix.com/360/KMI/IntelliDrive/ApplUI/Pages/CreativePages/CustomReportCreativeDetail.aspx?App=23&amp;ReportView=4&amp;Qid=1711279&amp;Row=23243&amp;Col=1","No Title Assigned - #15281873992")</f>
        <v/>
      </c>
      <c r="B23251" s="0" t="s">
        <v>30991</v>
      </c>
      <c r="E23251" s="0" t="inlineStr">
        <is>
          <t xml:space="preserve">Mazda</t>
        </is>
      </c>
      <c r="F23251" s="0" t="inlineStr">
        <is>
          <t xml:space="preserve">Mazda</t>
        </is>
      </c>
      <c r="G23251" s="0" t="s">
        <v>171</v>
      </c>
      <c r="H23251" s="5">
        <v>28.951300</v>
      </c>
    </row>
    <row r="23252" spans="1:9">
      <c r="A23252" s="22" t="str">
        <f>HYPERLINK("https://app.vivvix.com/360/KMI/IntelliDrive/ApplUI/Pages/CreativePages/CustomReportCreativeDetail.aspx?App=23&amp;ReportView=4&amp;Qid=1711279&amp;Row=23244&amp;Col=1","No Title Assigned - #15281874490")</f>
        <v/>
      </c>
      <c r="B23252" s="0" t="s">
        <v>30992</v>
      </c>
      <c r="E23252" s="0" t="inlineStr">
        <is>
          <t xml:space="preserve">Mazda</t>
        </is>
      </c>
      <c r="F23252" s="0" t="inlineStr">
        <is>
          <t xml:space="preserve">Mazda</t>
        </is>
      </c>
      <c r="G23252" s="0" t="s">
        <v>171</v>
      </c>
      <c r="H23252" s="5">
        <v>377.220000</v>
      </c>
    </row>
    <row r="23253" spans="1:9">
      <c r="A23253" s="22" t="str">
        <f>HYPERLINK("https://app.vivvix.com/360/KMI/IntelliDrive/ApplUI/Pages/CreativePages/CustomReportCreativeDetail.aspx?App=23&amp;ReportView=4&amp;Qid=1711279&amp;Row=23245&amp;Col=1","No Title Assigned - #15281875412")</f>
        <v/>
      </c>
      <c r="B23253" s="0" t="s">
        <v>30993</v>
      </c>
      <c r="E23253" s="0" t="inlineStr">
        <is>
          <t xml:space="preserve">Mazda</t>
        </is>
      </c>
      <c r="F23253" s="0" t="inlineStr">
        <is>
          <t xml:space="preserve">Mazda</t>
        </is>
      </c>
      <c r="G23253" s="0" t="s">
        <v>171</v>
      </c>
      <c r="H23253" s="5">
        <v>807.295300</v>
      </c>
    </row>
    <row r="23254" spans="1:9">
      <c r="A23254" s="22" t="str">
        <f>HYPERLINK("https://app.vivvix.com/360/KMI/IntelliDrive/ApplUI/Pages/CreativePages/CustomReportCreativeDetail.aspx?App=23&amp;ReportView=4&amp;Qid=1711279&amp;Row=23246&amp;Col=1","No Title Assigned - #15281875476")</f>
        <v/>
      </c>
      <c r="B23254" s="0" t="s">
        <v>30994</v>
      </c>
      <c r="C23254" s="0" t="s">
        <v>30995</v>
      </c>
      <c r="D23254" s="0" t="s">
        <v>30995</v>
      </c>
      <c r="E23254" s="0" t="inlineStr">
        <is>
          <t xml:space="preserve">Mazda</t>
        </is>
      </c>
      <c r="F23254" s="0" t="inlineStr">
        <is>
          <t xml:space="preserve">Mazda</t>
        </is>
      </c>
      <c r="G23254" s="0" t="s">
        <v>171</v>
      </c>
      <c r="H23254" s="5">
        <v>1351.968200</v>
      </c>
    </row>
    <row r="23255" spans="1:9">
      <c r="A23255" s="22" t="str">
        <f>HYPERLINK("https://app.vivvix.com/360/KMI/IntelliDrive/ApplUI/Pages/CreativePages/CustomReportCreativeDetail.aspx?App=23&amp;ReportView=4&amp;Qid=1711279&amp;Row=23247&amp;Col=1","No Title Assigned - #15281875498")</f>
        <v/>
      </c>
      <c r="B23255" s="0" t="s">
        <v>30996</v>
      </c>
      <c r="E23255" s="0" t="inlineStr">
        <is>
          <t xml:space="preserve">Mazda</t>
        </is>
      </c>
      <c r="F23255" s="0" t="inlineStr">
        <is>
          <t xml:space="preserve">Mazda</t>
        </is>
      </c>
      <c r="G23255" s="0" t="s">
        <v>171</v>
      </c>
      <c r="H23255" s="5">
        <v>205.875600</v>
      </c>
    </row>
    <row r="23256" spans="1:9">
      <c r="A23256" s="22" t="str">
        <f>HYPERLINK("https://app.vivvix.com/360/KMI/IntelliDrive/ApplUI/Pages/CreativePages/CustomReportCreativeDetail.aspx?App=23&amp;ReportView=4&amp;Qid=1711279&amp;Row=23248&amp;Col=1","No Title Assigned - #15281875528")</f>
        <v/>
      </c>
      <c r="B23256" s="0" t="s">
        <v>30997</v>
      </c>
      <c r="E23256" s="0" t="inlineStr">
        <is>
          <t xml:space="preserve">Mazda</t>
        </is>
      </c>
      <c r="F23256" s="0" t="inlineStr">
        <is>
          <t xml:space="preserve">Mazda</t>
        </is>
      </c>
      <c r="G23256" s="0" t="s">
        <v>171</v>
      </c>
      <c r="H23256" s="5">
        <v>29.535700</v>
      </c>
    </row>
    <row r="23257" spans="1:9">
      <c r="A23257" s="22" t="str">
        <f>HYPERLINK("https://app.vivvix.com/360/KMI/IntelliDrive/ApplUI/Pages/CreativePages/CustomReportCreativeDetail.aspx?App=23&amp;ReportView=4&amp;Qid=1711279&amp;Row=23249&amp;Col=1","No Title Assigned - #15281875645")</f>
        <v/>
      </c>
      <c r="B23257" s="0" t="s">
        <v>30998</v>
      </c>
      <c r="E23257" s="0" t="inlineStr">
        <is>
          <t xml:space="preserve">Mazda</t>
        </is>
      </c>
      <c r="F23257" s="0" t="inlineStr">
        <is>
          <t xml:space="preserve">Mazda</t>
        </is>
      </c>
      <c r="G23257" s="0" t="s">
        <v>171</v>
      </c>
      <c r="H23257" s="5">
        <v>3273.471500</v>
      </c>
    </row>
    <row r="23258" spans="1:9">
      <c r="A23258" s="22" t="str">
        <f>HYPERLINK("https://app.vivvix.com/360/KMI/IntelliDrive/ApplUI/Pages/CreativePages/CustomReportCreativeDetail.aspx?App=23&amp;ReportView=4&amp;Qid=1711279&amp;Row=23250&amp;Col=1","No Title Assigned - #15281875746")</f>
        <v/>
      </c>
      <c r="B23258" s="0" t="s">
        <v>30999</v>
      </c>
      <c r="E23258" s="0" t="inlineStr">
        <is>
          <t xml:space="preserve">Mazda</t>
        </is>
      </c>
      <c r="F23258" s="0" t="inlineStr">
        <is>
          <t xml:space="preserve">Mazda</t>
        </is>
      </c>
      <c r="G23258" s="0" t="s">
        <v>171</v>
      </c>
      <c r="H23258" s="5">
        <v>19.813500</v>
      </c>
    </row>
    <row r="23259" spans="1:9">
      <c r="A23259" s="22" t="str">
        <f>HYPERLINK("https://app.vivvix.com/360/KMI/IntelliDrive/ApplUI/Pages/CreativePages/CustomReportCreativeDetail.aspx?App=23&amp;ReportView=4&amp;Qid=1711279&amp;Row=23251&amp;Col=1","No Title Assigned - #15281876560")</f>
        <v/>
      </c>
      <c r="B23259" s="0" t="s">
        <v>31000</v>
      </c>
      <c r="E23259" s="0" t="inlineStr">
        <is>
          <t xml:space="preserve">Mazda</t>
        </is>
      </c>
      <c r="F23259" s="0" t="inlineStr">
        <is>
          <t xml:space="preserve">Mazda</t>
        </is>
      </c>
      <c r="G23259" s="0" t="s">
        <v>171</v>
      </c>
      <c r="H23259" s="5">
        <v>63.386800</v>
      </c>
    </row>
    <row r="23260" spans="1:9">
      <c r="A23260" s="22" t="str">
        <f>HYPERLINK("https://app.vivvix.com/360/KMI/IntelliDrive/ApplUI/Pages/CreativePages/CustomReportCreativeDetail.aspx?App=23&amp;ReportView=4&amp;Qid=1711279&amp;Row=23252&amp;Col=1","No Title Assigned - #15281876903")</f>
        <v/>
      </c>
      <c r="B23260" s="0" t="s">
        <v>31001</v>
      </c>
      <c r="E23260" s="0" t="inlineStr">
        <is>
          <t xml:space="preserve">Mazda</t>
        </is>
      </c>
      <c r="F23260" s="0" t="inlineStr">
        <is>
          <t xml:space="preserve">Mazda</t>
        </is>
      </c>
      <c r="G23260" s="0" t="s">
        <v>171</v>
      </c>
      <c r="H23260" s="5">
        <v>153.033300</v>
      </c>
    </row>
    <row r="23261" spans="1:9">
      <c r="A23261" s="22" t="str">
        <f>HYPERLINK("https://app.vivvix.com/360/KMI/IntelliDrive/ApplUI/Pages/CreativePages/CustomReportCreativeDetail.aspx?App=23&amp;ReportView=4&amp;Qid=1711279&amp;Row=23253&amp;Col=1","No Title Assigned - #15281877486")</f>
        <v/>
      </c>
      <c r="B23261" s="0" t="s">
        <v>31002</v>
      </c>
      <c r="E23261" s="0" t="inlineStr">
        <is>
          <t xml:space="preserve">Mazda</t>
        </is>
      </c>
      <c r="F23261" s="0" t="inlineStr">
        <is>
          <t xml:space="preserve">Mazda</t>
        </is>
      </c>
      <c r="G23261" s="0" t="s">
        <v>171</v>
      </c>
      <c r="H23261" s="5">
        <v>5230.435600</v>
      </c>
    </row>
    <row r="23262" spans="1:9">
      <c r="A23262" s="22" t="str">
        <f>HYPERLINK("https://app.vivvix.com/360/KMI/IntelliDrive/ApplUI/Pages/CreativePages/CustomReportCreativeDetail.aspx?App=23&amp;ReportView=4&amp;Qid=1711279&amp;Row=23254&amp;Col=1","No Title Assigned - #15281877496")</f>
        <v/>
      </c>
      <c r="B23262" s="0" t="s">
        <v>31003</v>
      </c>
      <c r="E23262" s="0" t="inlineStr">
        <is>
          <t xml:space="preserve">Mazda</t>
        </is>
      </c>
      <c r="F23262" s="0" t="inlineStr">
        <is>
          <t xml:space="preserve">Mazda</t>
        </is>
      </c>
      <c r="G23262" s="0" t="s">
        <v>171</v>
      </c>
      <c r="H23262" s="5">
        <v>3662.647900</v>
      </c>
    </row>
    <row r="23263" spans="1:9">
      <c r="A23263" s="22" t="str">
        <f>HYPERLINK("https://app.vivvix.com/360/KMI/IntelliDrive/ApplUI/Pages/CreativePages/CustomReportCreativeDetail.aspx?App=23&amp;ReportView=4&amp;Qid=1711279&amp;Row=23255&amp;Col=1","No Title Assigned - #15281877496")</f>
        <v/>
      </c>
      <c r="B23263" s="0" t="s">
        <v>31003</v>
      </c>
      <c r="E23263" s="0" t="inlineStr">
        <is>
          <t xml:space="preserve">Mazda</t>
        </is>
      </c>
      <c r="F23263" s="0" t="inlineStr">
        <is>
          <t xml:space="preserve">Mazda</t>
        </is>
      </c>
      <c r="G23263" s="0" t="s">
        <v>171</v>
      </c>
      <c r="H23263" s="5">
        <v>151.564400</v>
      </c>
    </row>
    <row r="23264" spans="1:9">
      <c r="A23264" s="22" t="str">
        <f>HYPERLINK("https://app.vivvix.com/360/KMI/IntelliDrive/ApplUI/Pages/CreativePages/CustomReportCreativeDetail.aspx?App=23&amp;ReportView=4&amp;Qid=1711279&amp;Row=23256&amp;Col=1","No Title Assigned - #15281877510")</f>
        <v/>
      </c>
      <c r="B23264" s="0" t="s">
        <v>31004</v>
      </c>
      <c r="E23264" s="0" t="inlineStr">
        <is>
          <t xml:space="preserve">Mazda</t>
        </is>
      </c>
      <c r="F23264" s="0" t="inlineStr">
        <is>
          <t xml:space="preserve">Mazda</t>
        </is>
      </c>
      <c r="G23264" s="0" t="s">
        <v>171</v>
      </c>
      <c r="H23264" s="5">
        <v>183.342600</v>
      </c>
    </row>
    <row r="23265" spans="1:9">
      <c r="A23265" s="22" t="str">
        <f>HYPERLINK("https://app.vivvix.com/360/KMI/IntelliDrive/ApplUI/Pages/CreativePages/CustomReportCreativeDetail.aspx?App=23&amp;ReportView=4&amp;Qid=1711279&amp;Row=23257&amp;Col=1","No Title Assigned - #15281877969")</f>
        <v/>
      </c>
      <c r="B23265" s="0" t="s">
        <v>31005</v>
      </c>
      <c r="E23265" s="0" t="inlineStr">
        <is>
          <t xml:space="preserve">Mazda</t>
        </is>
      </c>
      <c r="F23265" s="0" t="inlineStr">
        <is>
          <t xml:space="preserve">Mazda</t>
        </is>
      </c>
      <c r="G23265" s="0" t="s">
        <v>171</v>
      </c>
      <c r="H23265" s="5">
        <v>388.290600</v>
      </c>
    </row>
    <row r="23266" spans="1:9">
      <c r="A23266" s="22" t="str">
        <f>HYPERLINK("https://app.vivvix.com/360/KMI/IntelliDrive/ApplUI/Pages/CreativePages/CustomReportCreativeDetail.aspx?App=23&amp;ReportView=4&amp;Qid=1711279&amp;Row=23258&amp;Col=1","No Title Assigned - #15281878844")</f>
        <v/>
      </c>
      <c r="B23266" s="0" t="s">
        <v>31006</v>
      </c>
      <c r="E23266" s="0" t="inlineStr">
        <is>
          <t xml:space="preserve">Mazda</t>
        </is>
      </c>
      <c r="F23266" s="0" t="inlineStr">
        <is>
          <t xml:space="preserve">Mazda</t>
        </is>
      </c>
      <c r="G23266" s="0" t="s">
        <v>171</v>
      </c>
      <c r="H23266" s="5">
        <v>57.902600</v>
      </c>
    </row>
    <row r="23267" spans="1:9">
      <c r="A23267" s="22" t="str">
        <f>HYPERLINK("https://app.vivvix.com/360/KMI/IntelliDrive/ApplUI/Pages/CreativePages/CustomReportCreativeDetail.aspx?App=23&amp;ReportView=4&amp;Qid=1711279&amp;Row=23259&amp;Col=1","No Title Assigned - #15281878901")</f>
        <v/>
      </c>
      <c r="B23267" s="0" t="s">
        <v>31007</v>
      </c>
      <c r="E23267" s="0" t="inlineStr">
        <is>
          <t xml:space="preserve">Mazda</t>
        </is>
      </c>
      <c r="F23267" s="0" t="inlineStr">
        <is>
          <t xml:space="preserve">Mazda</t>
        </is>
      </c>
      <c r="G23267" s="0" t="s">
        <v>171</v>
      </c>
      <c r="H23267" s="5">
        <v>61.744000</v>
      </c>
    </row>
    <row r="23268" spans="1:9">
      <c r="A23268" s="22" t="str">
        <f>HYPERLINK("https://app.vivvix.com/360/KMI/IntelliDrive/ApplUI/Pages/CreativePages/CustomReportCreativeDetail.aspx?App=23&amp;ReportView=4&amp;Qid=1711279&amp;Row=23260&amp;Col=1","No Title Assigned - #15281879544")</f>
        <v/>
      </c>
      <c r="B23268" s="0" t="s">
        <v>31008</v>
      </c>
      <c r="E23268" s="0" t="inlineStr">
        <is>
          <t xml:space="preserve">Mazda</t>
        </is>
      </c>
      <c r="F23268" s="0" t="inlineStr">
        <is>
          <t xml:space="preserve">Mazda</t>
        </is>
      </c>
      <c r="G23268" s="0" t="s">
        <v>171</v>
      </c>
      <c r="H23268" s="5">
        <v>5230.435600</v>
      </c>
    </row>
    <row r="23269" spans="1:9">
      <c r="A23269" s="22" t="str">
        <f>HYPERLINK("https://app.vivvix.com/360/KMI/IntelliDrive/ApplUI/Pages/CreativePages/CustomReportCreativeDetail.aspx?App=23&amp;ReportView=4&amp;Qid=1711279&amp;Row=23261&amp;Col=1","No Title Assigned - #15281880029")</f>
        <v/>
      </c>
      <c r="B23269" s="0" t="s">
        <v>31009</v>
      </c>
      <c r="E23269" s="0" t="inlineStr">
        <is>
          <t xml:space="preserve">Mazda</t>
        </is>
      </c>
      <c r="F23269" s="0" t="inlineStr">
        <is>
          <t xml:space="preserve">Mazda</t>
        </is>
      </c>
      <c r="G23269" s="0" t="s">
        <v>171</v>
      </c>
      <c r="H23269" s="5">
        <v>269.921500</v>
      </c>
    </row>
    <row r="23270" spans="1:9">
      <c r="A23270" s="22" t="str">
        <f>HYPERLINK("https://app.vivvix.com/360/KMI/IntelliDrive/ApplUI/Pages/CreativePages/CustomReportCreativeDetail.aspx?App=23&amp;ReportView=4&amp;Qid=1711279&amp;Row=23262&amp;Col=1","No Title Assigned - #15281880638")</f>
        <v/>
      </c>
      <c r="B23270" s="0" t="s">
        <v>31010</v>
      </c>
      <c r="E23270" s="0" t="inlineStr">
        <is>
          <t xml:space="preserve">Mazda</t>
        </is>
      </c>
      <c r="F23270" s="0" t="inlineStr">
        <is>
          <t xml:space="preserve">Mazda</t>
        </is>
      </c>
      <c r="G23270" s="0" t="s">
        <v>171</v>
      </c>
      <c r="H23270" s="5">
        <v>685.794600</v>
      </c>
    </row>
    <row r="23271" spans="1:9">
      <c r="A23271" s="22" t="str">
        <f>HYPERLINK("https://app.vivvix.com/360/KMI/IntelliDrive/ApplUI/Pages/CreativePages/CustomReportCreativeDetail.aspx?App=23&amp;ReportView=4&amp;Qid=1711279&amp;Row=23263&amp;Col=1","No Title Assigned - #15281880776")</f>
        <v/>
      </c>
      <c r="B23271" s="0" t="s">
        <v>31011</v>
      </c>
      <c r="E23271" s="0" t="inlineStr">
        <is>
          <t xml:space="preserve">Mazda</t>
        </is>
      </c>
      <c r="F23271" s="0" t="inlineStr">
        <is>
          <t xml:space="preserve">Mazda</t>
        </is>
      </c>
      <c r="G23271" s="0" t="s">
        <v>171</v>
      </c>
      <c r="H23271" s="5">
        <v>1138.282800</v>
      </c>
    </row>
    <row r="23272" spans="1:9">
      <c r="A23272" s="22" t="str">
        <f>HYPERLINK("https://app.vivvix.com/360/KMI/IntelliDrive/ApplUI/Pages/CreativePages/CustomReportCreativeDetail.aspx?App=23&amp;ReportView=4&amp;Qid=1711279&amp;Row=23264&amp;Col=1","No Title Assigned - #15281880901")</f>
        <v/>
      </c>
      <c r="B23272" s="0" t="s">
        <v>31012</v>
      </c>
      <c r="E23272" s="0" t="inlineStr">
        <is>
          <t xml:space="preserve">Mazda</t>
        </is>
      </c>
      <c r="F23272" s="0" t="inlineStr">
        <is>
          <t xml:space="preserve">Mazda</t>
        </is>
      </c>
      <c r="G23272" s="0" t="s">
        <v>171</v>
      </c>
      <c r="H23272" s="5">
        <v>19.813500</v>
      </c>
    </row>
    <row r="23273" spans="1:9">
      <c r="A23273" s="22" t="str">
        <f>HYPERLINK("https://app.vivvix.com/360/KMI/IntelliDrive/ApplUI/Pages/CreativePages/CustomReportCreativeDetail.aspx?App=23&amp;ReportView=4&amp;Qid=1711279&amp;Row=23265&amp;Col=1","No Title Assigned - #15281881048")</f>
        <v/>
      </c>
      <c r="B23273" s="0" t="s">
        <v>31013</v>
      </c>
      <c r="E23273" s="0" t="inlineStr">
        <is>
          <t xml:space="preserve">Mazda</t>
        </is>
      </c>
      <c r="F23273" s="0" t="inlineStr">
        <is>
          <t xml:space="preserve">Mazda</t>
        </is>
      </c>
      <c r="G23273" s="0" t="s">
        <v>171</v>
      </c>
      <c r="H23273" s="5">
        <v>140.513800</v>
      </c>
    </row>
    <row r="23274" spans="1:9">
      <c r="A23274" s="22" t="str">
        <f>HYPERLINK("https://app.vivvix.com/360/KMI/IntelliDrive/ApplUI/Pages/CreativePages/CustomReportCreativeDetail.aspx?App=23&amp;ReportView=4&amp;Qid=1711279&amp;Row=23266&amp;Col=1","No Title Assigned - #15281881417")</f>
        <v/>
      </c>
      <c r="B23274" s="0" t="s">
        <v>31014</v>
      </c>
      <c r="E23274" s="0" t="inlineStr">
        <is>
          <t xml:space="preserve">Mazda</t>
        </is>
      </c>
      <c r="F23274" s="0" t="inlineStr">
        <is>
          <t xml:space="preserve">Mazda</t>
        </is>
      </c>
      <c r="G23274" s="0" t="s">
        <v>171</v>
      </c>
      <c r="H23274" s="5">
        <v>317.885600</v>
      </c>
    </row>
    <row r="23275" spans="1:9">
      <c r="A23275" s="22" t="str">
        <f>HYPERLINK("https://app.vivvix.com/360/KMI/IntelliDrive/ApplUI/Pages/CreativePages/CustomReportCreativeDetail.aspx?App=23&amp;ReportView=4&amp;Qid=1711279&amp;Row=23267&amp;Col=1","No Title Assigned - #15281886736")</f>
        <v/>
      </c>
      <c r="B23275" s="0" t="s">
        <v>31015</v>
      </c>
      <c r="E23275" s="0" t="inlineStr">
        <is>
          <t xml:space="preserve">Mazda</t>
        </is>
      </c>
      <c r="F23275" s="0" t="inlineStr">
        <is>
          <t xml:space="preserve">Mazda</t>
        </is>
      </c>
      <c r="G23275" s="0" t="s">
        <v>171</v>
      </c>
      <c r="H23275" s="5">
        <v>178.135000</v>
      </c>
    </row>
    <row r="23276" spans="1:9">
      <c r="A23276" s="22" t="str">
        <f>HYPERLINK("https://app.vivvix.com/360/KMI/IntelliDrive/ApplUI/Pages/CreativePages/CustomReportCreativeDetail.aspx?App=23&amp;ReportView=4&amp;Qid=1711279&amp;Row=23268&amp;Col=1","No Title Assigned - #15281887119")</f>
        <v/>
      </c>
      <c r="B23276" s="0" t="s">
        <v>31016</v>
      </c>
      <c r="E23276" s="0" t="inlineStr">
        <is>
          <t xml:space="preserve">Mazda</t>
        </is>
      </c>
      <c r="F23276" s="0" t="inlineStr">
        <is>
          <t xml:space="preserve">Mazda</t>
        </is>
      </c>
      <c r="G23276" s="0" t="s">
        <v>171</v>
      </c>
      <c r="H23276" s="5">
        <v>649.572500</v>
      </c>
    </row>
    <row r="23277" spans="1:9">
      <c r="A23277" s="22" t="str">
        <f>HYPERLINK("https://app.vivvix.com/360/KMI/IntelliDrive/ApplUI/Pages/CreativePages/CustomReportCreativeDetail.aspx?App=23&amp;ReportView=4&amp;Qid=1711279&amp;Row=23269&amp;Col=1","No Title Assigned - #15281887119")</f>
        <v/>
      </c>
      <c r="B23277" s="0" t="s">
        <v>31016</v>
      </c>
      <c r="E23277" s="0" t="inlineStr">
        <is>
          <t xml:space="preserve">Mazda</t>
        </is>
      </c>
      <c r="F23277" s="0" t="inlineStr">
        <is>
          <t xml:space="preserve">Mazda</t>
        </is>
      </c>
      <c r="G23277" s="0" t="s">
        <v>171</v>
      </c>
      <c r="H23277" s="5">
        <v>7562.445000</v>
      </c>
    </row>
    <row r="23278" spans="1:9">
      <c r="A23278" s="22" t="str">
        <f>HYPERLINK("https://app.vivvix.com/360/KMI/IntelliDrive/ApplUI/Pages/CreativePages/CustomReportCreativeDetail.aspx?App=23&amp;ReportView=4&amp;Qid=1711279&amp;Row=23270&amp;Col=1","No Title Assigned - #15281890359")</f>
        <v/>
      </c>
      <c r="B23278" s="0" t="s">
        <v>31017</v>
      </c>
      <c r="E23278" s="0" t="inlineStr">
        <is>
          <t xml:space="preserve">Mazda</t>
        </is>
      </c>
      <c r="F23278" s="0" t="inlineStr">
        <is>
          <t xml:space="preserve">Mazda</t>
        </is>
      </c>
      <c r="G23278" s="0" t="s">
        <v>171</v>
      </c>
      <c r="H23278" s="5">
        <v>3.908300</v>
      </c>
    </row>
    <row r="23279" spans="1:9">
      <c r="A23279" s="22" t="str">
        <f>HYPERLINK("https://app.vivvix.com/360/KMI/IntelliDrive/ApplUI/Pages/CreativePages/CustomReportCreativeDetail.aspx?App=23&amp;ReportView=4&amp;Qid=1711279&amp;Row=23271&amp;Col=1","No Title Assigned - #15281890360")</f>
        <v/>
      </c>
      <c r="B23279" s="0" t="s">
        <v>31018</v>
      </c>
      <c r="E23279" s="0" t="inlineStr">
        <is>
          <t xml:space="preserve">Mazda</t>
        </is>
      </c>
      <c r="F23279" s="0" t="inlineStr">
        <is>
          <t xml:space="preserve">Mazda</t>
        </is>
      </c>
      <c r="G23279" s="0" t="s">
        <v>171</v>
      </c>
      <c r="H23279" s="5">
        <v>3.908300</v>
      </c>
    </row>
    <row r="23280" spans="1:9">
      <c r="A23280" s="22" t="str">
        <f>HYPERLINK("https://app.vivvix.com/360/KMI/IntelliDrive/ApplUI/Pages/CreativePages/CustomReportCreativeDetail.aspx?App=23&amp;ReportView=4&amp;Qid=1711279&amp;Row=23272&amp;Col=1","No Title Assigned - #15281894509")</f>
        <v/>
      </c>
      <c r="B23280" s="0" t="s">
        <v>31019</v>
      </c>
      <c r="E23280" s="0" t="inlineStr">
        <is>
          <t xml:space="preserve">Mazda</t>
        </is>
      </c>
      <c r="F23280" s="0" t="inlineStr">
        <is>
          <t xml:space="preserve">Mazda</t>
        </is>
      </c>
      <c r="G23280" s="0" t="s">
        <v>171</v>
      </c>
      <c r="H23280" s="5">
        <v>26.875500</v>
      </c>
    </row>
    <row r="23281" spans="1:9">
      <c r="A23281" s="22" t="str">
        <f>HYPERLINK("https://app.vivvix.com/360/KMI/IntelliDrive/ApplUI/Pages/CreativePages/CustomReportCreativeDetail.aspx?App=23&amp;ReportView=4&amp;Qid=1711279&amp;Row=23273&amp;Col=1","No Title Assigned - #15281895026")</f>
        <v/>
      </c>
      <c r="B23281" s="0" t="s">
        <v>31020</v>
      </c>
      <c r="E23281" s="0" t="inlineStr">
        <is>
          <t xml:space="preserve">Mazda</t>
        </is>
      </c>
      <c r="F23281" s="0" t="inlineStr">
        <is>
          <t xml:space="preserve">Mazda</t>
        </is>
      </c>
      <c r="G23281" s="0" t="s">
        <v>171</v>
      </c>
      <c r="H23281" s="5">
        <v>418.273900</v>
      </c>
    </row>
    <row r="23282" spans="1:9">
      <c r="A23282" s="22" t="str">
        <f>HYPERLINK("https://app.vivvix.com/360/KMI/IntelliDrive/ApplUI/Pages/CreativePages/CustomReportCreativeDetail.aspx?App=23&amp;ReportView=4&amp;Qid=1711279&amp;Row=23274&amp;Col=1","No Title Assigned - #15281898838")</f>
        <v/>
      </c>
      <c r="B23282" s="0" t="s">
        <v>31021</v>
      </c>
      <c r="E23282" s="0" t="inlineStr">
        <is>
          <t xml:space="preserve">Mazda</t>
        </is>
      </c>
      <c r="F23282" s="0" t="inlineStr">
        <is>
          <t xml:space="preserve">Mazda</t>
        </is>
      </c>
      <c r="G23282" s="0" t="s">
        <v>171</v>
      </c>
      <c r="H23282" s="5">
        <v>885.525300</v>
      </c>
    </row>
    <row r="23283" spans="1:9">
      <c r="A23283" s="22" t="str">
        <f>HYPERLINK("https://app.vivvix.com/360/KMI/IntelliDrive/ApplUI/Pages/CreativePages/CustomReportCreativeDetail.aspx?App=23&amp;ReportView=4&amp;Qid=1711279&amp;Row=23275&amp;Col=1","No Title Assigned - #15281898930")</f>
        <v/>
      </c>
      <c r="B23283" s="0" t="s">
        <v>31022</v>
      </c>
      <c r="E23283" s="0" t="inlineStr">
        <is>
          <t xml:space="preserve">Mazda</t>
        </is>
      </c>
      <c r="F23283" s="0" t="inlineStr">
        <is>
          <t xml:space="preserve">Mazda</t>
        </is>
      </c>
      <c r="G23283" s="0" t="s">
        <v>171</v>
      </c>
      <c r="H23283" s="5">
        <v>226.631900</v>
      </c>
    </row>
    <row r="23284" spans="1:9">
      <c r="A23284" s="22" t="str">
        <f>HYPERLINK("https://app.vivvix.com/360/KMI/IntelliDrive/ApplUI/Pages/CreativePages/CustomReportCreativeDetail.aspx?App=23&amp;ReportView=4&amp;Qid=1711279&amp;Row=23276&amp;Col=1","No Title Assigned - #15281900132")</f>
        <v/>
      </c>
      <c r="B23284" s="0" t="s">
        <v>31023</v>
      </c>
      <c r="E23284" s="0" t="inlineStr">
        <is>
          <t xml:space="preserve">Mazda</t>
        </is>
      </c>
      <c r="F23284" s="0" t="inlineStr">
        <is>
          <t xml:space="preserve">Mazda</t>
        </is>
      </c>
      <c r="G23284" s="0" t="s">
        <v>171</v>
      </c>
      <c r="H23284" s="5">
        <v>118.404600</v>
      </c>
    </row>
    <row r="23285" spans="1:9">
      <c r="A23285" s="22" t="str">
        <f>HYPERLINK("https://app.vivvix.com/360/KMI/IntelliDrive/ApplUI/Pages/CreativePages/CustomReportCreativeDetail.aspx?App=23&amp;ReportView=4&amp;Qid=1711279&amp;Row=23277&amp;Col=1","No Title Assigned - #15281900279")</f>
        <v/>
      </c>
      <c r="B23285" s="0" t="s">
        <v>31024</v>
      </c>
      <c r="C23285" s="0" t="s">
        <v>31025</v>
      </c>
      <c r="D23285" s="0" t="s">
        <v>17743</v>
      </c>
      <c r="E23285" s="0" t="inlineStr">
        <is>
          <t xml:space="preserve">Mazda</t>
        </is>
      </c>
      <c r="F23285" s="0" t="s">
        <v>13</v>
      </c>
      <c r="G23285" s="0" t="s">
        <v>49</v>
      </c>
      <c r="H23285" s="5">
        <v>38.244800</v>
      </c>
    </row>
    <row r="23286" spans="1:9">
      <c r="A23286" s="22" t="str">
        <f>HYPERLINK("https://app.vivvix.com/360/KMI/IntelliDrive/ApplUI/Pages/CreativePages/CustomReportCreativeDetail.aspx?App=23&amp;ReportView=4&amp;Qid=1711279&amp;Row=23278&amp;Col=1","No Title Assigned - #15281900568")</f>
        <v/>
      </c>
      <c r="B23286" s="0" t="s">
        <v>31026</v>
      </c>
      <c r="E23286" s="0" t="inlineStr">
        <is>
          <t xml:space="preserve">Mazda</t>
        </is>
      </c>
      <c r="F23286" s="0" t="inlineStr">
        <is>
          <t xml:space="preserve">Mazda</t>
        </is>
      </c>
      <c r="G23286" s="0" t="s">
        <v>171</v>
      </c>
      <c r="H23286" s="5">
        <v>47.946000</v>
      </c>
    </row>
    <row r="23287" spans="1:9">
      <c r="A23287" s="22" t="str">
        <f>HYPERLINK("https://app.vivvix.com/360/KMI/IntelliDrive/ApplUI/Pages/CreativePages/CustomReportCreativeDetail.aspx?App=23&amp;ReportView=4&amp;Qid=1711279&amp;Row=23279&amp;Col=1","No Title Assigned - #15281903403")</f>
        <v/>
      </c>
      <c r="B23287" s="0" t="s">
        <v>31027</v>
      </c>
      <c r="C23287" s="0" t="s">
        <v>31028</v>
      </c>
      <c r="D23287" s="0" t="s">
        <v>10889</v>
      </c>
      <c r="E23287" s="0" t="inlineStr">
        <is>
          <t xml:space="preserve">Mazda</t>
        </is>
      </c>
      <c r="F23287" s="0" t="s">
        <v>13</v>
      </c>
      <c r="G23287" s="0" t="s">
        <v>49</v>
      </c>
      <c r="H23287" s="5">
        <v>23.081600</v>
      </c>
    </row>
    <row r="23288" spans="1:9">
      <c r="A23288" s="22" t="str">
        <f>HYPERLINK("https://app.vivvix.com/360/KMI/IntelliDrive/ApplUI/Pages/CreativePages/CustomReportCreativeDetail.aspx?App=23&amp;ReportView=4&amp;Qid=1711279&amp;Row=23280&amp;Col=1","No Title Assigned - #15281903794")</f>
        <v/>
      </c>
      <c r="B23288" s="0" t="s">
        <v>31029</v>
      </c>
      <c r="C23288" s="0" t="s">
        <v>31030</v>
      </c>
      <c r="D23288" s="0" t="s">
        <v>31031</v>
      </c>
      <c r="E23288" s="0" t="inlineStr">
        <is>
          <t xml:space="preserve">Mazda</t>
        </is>
      </c>
      <c r="F23288" s="0" t="s">
        <v>13</v>
      </c>
      <c r="G23288" s="0" t="s">
        <v>49</v>
      </c>
      <c r="H23288" s="5">
        <v>47.310300</v>
      </c>
    </row>
    <row r="23289" spans="1:9">
      <c r="A23289" s="22" t="str">
        <f>HYPERLINK("https://app.vivvix.com/360/KMI/IntelliDrive/ApplUI/Pages/CreativePages/CustomReportCreativeDetail.aspx?App=23&amp;ReportView=4&amp;Qid=1711279&amp;Row=23281&amp;Col=1","No Title Assigned - #15281904137")</f>
        <v/>
      </c>
      <c r="B23289" s="0" t="s">
        <v>31032</v>
      </c>
      <c r="C23289" s="0" t="s">
        <v>31033</v>
      </c>
      <c r="D23289" s="0" t="s">
        <v>8560</v>
      </c>
      <c r="E23289" s="0" t="inlineStr">
        <is>
          <t xml:space="preserve">Mazda</t>
        </is>
      </c>
      <c r="F23289" s="0" t="s">
        <v>13</v>
      </c>
      <c r="G23289" s="0" t="s">
        <v>49</v>
      </c>
      <c r="H23289" s="5">
        <v>898.436600</v>
      </c>
    </row>
    <row r="23290" spans="1:9">
      <c r="A23290" s="22" t="str">
        <f>HYPERLINK("https://app.vivvix.com/360/KMI/IntelliDrive/ApplUI/Pages/CreativePages/CustomReportCreativeDetail.aspx?App=23&amp;ReportView=4&amp;Qid=1711279&amp;Row=23282&amp;Col=1","No Title Assigned - #15281904475")</f>
        <v/>
      </c>
      <c r="B23290" s="0" t="s">
        <v>31034</v>
      </c>
      <c r="C23290" s="0" t="s">
        <v>31035</v>
      </c>
      <c r="D23290" s="0" t="s">
        <v>31035</v>
      </c>
      <c r="E23290" s="0" t="inlineStr">
        <is>
          <t xml:space="preserve">Mazda</t>
        </is>
      </c>
      <c r="F23290" s="0" t="s">
        <v>13</v>
      </c>
      <c r="G23290" s="0" t="s">
        <v>49</v>
      </c>
      <c r="H23290" s="5">
        <v>3.583400</v>
      </c>
    </row>
    <row r="23291" spans="1:9">
      <c r="A23291" s="22" t="str">
        <f>HYPERLINK("https://app.vivvix.com/360/KMI/IntelliDrive/ApplUI/Pages/CreativePages/CustomReportCreativeDetail.aspx?App=23&amp;ReportView=4&amp;Qid=1711279&amp;Row=23283&amp;Col=1","No Title Assigned - #15281904579")</f>
        <v/>
      </c>
      <c r="B23291" s="0" t="s">
        <v>31036</v>
      </c>
      <c r="C23291" s="0" t="s">
        <v>31037</v>
      </c>
      <c r="D23291" s="0" t="s">
        <v>31031</v>
      </c>
      <c r="E23291" s="0" t="inlineStr">
        <is>
          <t xml:space="preserve">Mazda</t>
        </is>
      </c>
      <c r="F23291" s="0" t="s">
        <v>13</v>
      </c>
      <c r="G23291" s="0" t="s">
        <v>49</v>
      </c>
      <c r="H23291" s="5">
        <v>207.204300</v>
      </c>
    </row>
    <row r="23292" spans="1:9">
      <c r="A23292" s="22" t="str">
        <f>HYPERLINK("https://app.vivvix.com/360/KMI/IntelliDrive/ApplUI/Pages/CreativePages/CustomReportCreativeDetail.aspx?App=23&amp;ReportView=4&amp;Qid=1711279&amp;Row=23284&amp;Col=1","No Title Assigned - #15281905407")</f>
        <v/>
      </c>
      <c r="B23292" s="0" t="s">
        <v>31038</v>
      </c>
      <c r="C23292" s="0" t="s">
        <v>31039</v>
      </c>
      <c r="D23292" s="0" t="s">
        <v>10311</v>
      </c>
      <c r="E23292" s="0" t="inlineStr">
        <is>
          <t xml:space="preserve">Mazda</t>
        </is>
      </c>
      <c r="F23292" s="0" t="s">
        <v>13</v>
      </c>
      <c r="G23292" s="0" t="s">
        <v>49</v>
      </c>
      <c r="H23292" s="5">
        <v>1430.366100</v>
      </c>
    </row>
    <row r="23293" spans="1:9">
      <c r="A23293" s="22" t="str">
        <f>HYPERLINK("https://app.vivvix.com/360/KMI/IntelliDrive/ApplUI/Pages/CreativePages/CustomReportCreativeDetail.aspx?App=23&amp;ReportView=4&amp;Qid=1711279&amp;Row=23285&amp;Col=1","No Title Assigned - #15281905901")</f>
        <v/>
      </c>
      <c r="B23293" s="0" t="s">
        <v>31040</v>
      </c>
      <c r="C23293" s="0" t="s">
        <v>31041</v>
      </c>
      <c r="D23293" s="0" t="s">
        <v>27659</v>
      </c>
      <c r="E23293" s="0" t="inlineStr">
        <is>
          <t xml:space="preserve">Mazda</t>
        </is>
      </c>
      <c r="F23293" s="0" t="s">
        <v>13</v>
      </c>
      <c r="G23293" s="0" t="s">
        <v>49</v>
      </c>
      <c r="H23293" s="5">
        <v>523.764000</v>
      </c>
    </row>
    <row r="23294" spans="1:9">
      <c r="A23294" s="22" t="str">
        <f>HYPERLINK("https://app.vivvix.com/360/KMI/IntelliDrive/ApplUI/Pages/CreativePages/CustomReportCreativeDetail.aspx?App=23&amp;ReportView=4&amp;Qid=1711279&amp;Row=23286&amp;Col=1","No Title Assigned - #15281905948")</f>
        <v/>
      </c>
      <c r="B23294" s="0" t="s">
        <v>31042</v>
      </c>
      <c r="C23294" s="0" t="s">
        <v>31031</v>
      </c>
      <c r="D23294" s="0" t="s">
        <v>31031</v>
      </c>
      <c r="E23294" s="0" t="inlineStr">
        <is>
          <t xml:space="preserve">Mazda</t>
        </is>
      </c>
      <c r="F23294" s="0" t="s">
        <v>13</v>
      </c>
      <c r="G23294" s="0" t="s">
        <v>49</v>
      </c>
      <c r="H23294" s="5">
        <v>243.007100</v>
      </c>
    </row>
    <row r="23295" spans="1:9">
      <c r="A23295" s="22" t="str">
        <f>HYPERLINK("https://app.vivvix.com/360/KMI/IntelliDrive/ApplUI/Pages/CreativePages/CustomReportCreativeDetail.aspx?App=23&amp;ReportView=4&amp;Qid=1711279&amp;Row=23287&amp;Col=1","No Title Assigned - #15281906071")</f>
        <v/>
      </c>
      <c r="B23295" s="0" t="s">
        <v>31043</v>
      </c>
      <c r="C23295" s="0" t="s">
        <v>31044</v>
      </c>
      <c r="D23295" s="0" t="s">
        <v>31044</v>
      </c>
      <c r="E23295" s="0" t="inlineStr">
        <is>
          <t xml:space="preserve">Mazda</t>
        </is>
      </c>
      <c r="F23295" s="0" t="s">
        <v>13</v>
      </c>
      <c r="G23295" s="0" t="s">
        <v>49</v>
      </c>
      <c r="H23295" s="5">
        <v>106.295000</v>
      </c>
    </row>
    <row r="23296" spans="1:9">
      <c r="A23296" s="22" t="str">
        <f>HYPERLINK("https://app.vivvix.com/360/KMI/IntelliDrive/ApplUI/Pages/CreativePages/CustomReportCreativeDetail.aspx?App=23&amp;ReportView=4&amp;Qid=1711279&amp;Row=23288&amp;Col=1","No Title Assigned - #15281906071")</f>
        <v/>
      </c>
      <c r="B23296" s="0" t="s">
        <v>31043</v>
      </c>
      <c r="C23296" s="0" t="s">
        <v>31045</v>
      </c>
      <c r="D23296" s="0" t="s">
        <v>31045</v>
      </c>
      <c r="E23296" s="0" t="inlineStr">
        <is>
          <t xml:space="preserve">Mazda</t>
        </is>
      </c>
      <c r="F23296" s="0" t="s">
        <v>13</v>
      </c>
      <c r="G23296" s="0" t="s">
        <v>49</v>
      </c>
      <c r="H23296" s="5">
        <v>150.521800</v>
      </c>
    </row>
    <row r="23297" spans="1:9">
      <c r="A23297" s="22" t="str">
        <f>HYPERLINK("https://app.vivvix.com/360/KMI/IntelliDrive/ApplUI/Pages/CreativePages/CustomReportCreativeDetail.aspx?App=23&amp;ReportView=4&amp;Qid=1711279&amp;Row=23289&amp;Col=1","No Title Assigned - #15281906554")</f>
        <v/>
      </c>
      <c r="B23297" s="0" t="s">
        <v>31046</v>
      </c>
      <c r="C23297" s="0" t="s">
        <v>31047</v>
      </c>
      <c r="D23297" s="0" t="s">
        <v>9167</v>
      </c>
      <c r="E23297" s="0" t="inlineStr">
        <is>
          <t xml:space="preserve">Mazda</t>
        </is>
      </c>
      <c r="F23297" s="0" t="s">
        <v>13</v>
      </c>
      <c r="G23297" s="0" t="s">
        <v>49</v>
      </c>
      <c r="H23297" s="5">
        <v>456.066200</v>
      </c>
    </row>
    <row r="23298" spans="1:9">
      <c r="A23298" s="22" t="str">
        <f>HYPERLINK("https://app.vivvix.com/360/KMI/IntelliDrive/ApplUI/Pages/CreativePages/CustomReportCreativeDetail.aspx?App=23&amp;ReportView=4&amp;Qid=1711279&amp;Row=23290&amp;Col=1","No Title Assigned - #15281907519")</f>
        <v/>
      </c>
      <c r="B23298" s="0" t="s">
        <v>31048</v>
      </c>
      <c r="C23298" s="0" t="s">
        <v>31049</v>
      </c>
      <c r="D23298" s="0" t="s">
        <v>31049</v>
      </c>
      <c r="E23298" s="0" t="inlineStr">
        <is>
          <t xml:space="preserve">Mazda</t>
        </is>
      </c>
      <c r="F23298" s="0" t="s">
        <v>13</v>
      </c>
      <c r="G23298" s="0" t="s">
        <v>49</v>
      </c>
      <c r="H23298" s="5">
        <v>33.171300</v>
      </c>
    </row>
    <row r="23299" spans="1:9">
      <c r="A23299" s="22" t="str">
        <f>HYPERLINK("https://app.vivvix.com/360/KMI/IntelliDrive/ApplUI/Pages/CreativePages/CustomReportCreativeDetail.aspx?App=23&amp;ReportView=4&amp;Qid=1711279&amp;Row=23291&amp;Col=1","No Title Assigned - #15281908258")</f>
        <v/>
      </c>
      <c r="B23299" s="0" t="s">
        <v>31050</v>
      </c>
      <c r="C23299" s="0" t="s">
        <v>31051</v>
      </c>
      <c r="D23299" s="0" t="s">
        <v>31051</v>
      </c>
      <c r="E23299" s="0" t="inlineStr">
        <is>
          <t xml:space="preserve">Mazda</t>
        </is>
      </c>
      <c r="F23299" s="0" t="s">
        <v>13</v>
      </c>
      <c r="G23299" s="0" t="s">
        <v>49</v>
      </c>
      <c r="H23299" s="5">
        <v>4136.283700</v>
      </c>
    </row>
    <row r="23300" spans="1:9">
      <c r="A23300" s="22" t="str">
        <f>HYPERLINK("https://app.vivvix.com/360/KMI/IntelliDrive/ApplUI/Pages/CreativePages/CustomReportCreativeDetail.aspx?App=23&amp;ReportView=4&amp;Qid=1711279&amp;Row=23292&amp;Col=1","No Title Assigned - #15281911240")</f>
        <v/>
      </c>
      <c r="B23300" s="0" t="s">
        <v>31052</v>
      </c>
      <c r="C23300" s="0" t="s">
        <v>31053</v>
      </c>
      <c r="D23300" s="0" t="s">
        <v>21598</v>
      </c>
      <c r="E23300" s="0" t="inlineStr">
        <is>
          <t xml:space="preserve">Mazda</t>
        </is>
      </c>
      <c r="F23300" s="0" t="s">
        <v>13</v>
      </c>
      <c r="G23300" s="0" t="s">
        <v>49</v>
      </c>
      <c r="H23300" s="5">
        <v>15.208900</v>
      </c>
    </row>
    <row r="23301" spans="1:9">
      <c r="A23301" s="22" t="str">
        <f>HYPERLINK("https://app.vivvix.com/360/KMI/IntelliDrive/ApplUI/Pages/CreativePages/CustomReportCreativeDetail.aspx?App=23&amp;ReportView=4&amp;Qid=1711279&amp;Row=23293&amp;Col=1","No Title Assigned - #15281914286")</f>
        <v/>
      </c>
      <c r="B23301" s="0" t="s">
        <v>31054</v>
      </c>
      <c r="C23301" s="0" t="s">
        <v>31055</v>
      </c>
      <c r="D23301" s="0" t="s">
        <v>31055</v>
      </c>
      <c r="E23301" s="0" t="inlineStr">
        <is>
          <t xml:space="preserve">Mazda</t>
        </is>
      </c>
      <c r="F23301" s="0" t="s">
        <v>13</v>
      </c>
      <c r="G23301" s="0" t="s">
        <v>49</v>
      </c>
      <c r="H23301" s="5">
        <v>46.735800</v>
      </c>
    </row>
    <row r="23302" spans="1:9">
      <c r="A23302" s="22" t="str">
        <f>HYPERLINK("https://app.vivvix.com/360/KMI/IntelliDrive/ApplUI/Pages/CreativePages/CustomReportCreativeDetail.aspx?App=23&amp;ReportView=4&amp;Qid=1711279&amp;Row=23294&amp;Col=1","No Title Assigned - #15281914565")</f>
        <v/>
      </c>
      <c r="B23302" s="0" t="s">
        <v>31056</v>
      </c>
      <c r="C23302" s="0" t="s">
        <v>31057</v>
      </c>
      <c r="D23302" s="0" t="s">
        <v>15762</v>
      </c>
      <c r="E23302" s="0" t="inlineStr">
        <is>
          <t xml:space="preserve">Mazda</t>
        </is>
      </c>
      <c r="F23302" s="0" t="s">
        <v>13</v>
      </c>
      <c r="G23302" s="0" t="s">
        <v>49</v>
      </c>
      <c r="H23302" s="5">
        <v>128.185800</v>
      </c>
    </row>
    <row r="23303" spans="1:9">
      <c r="A23303" s="22" t="str">
        <f>HYPERLINK("https://app.vivvix.com/360/KMI/IntelliDrive/ApplUI/Pages/CreativePages/CustomReportCreativeDetail.aspx?App=23&amp;ReportView=4&amp;Qid=1711279&amp;Row=23295&amp;Col=1","No Title Assigned - #15281914851")</f>
        <v/>
      </c>
      <c r="B23303" s="0" t="s">
        <v>31058</v>
      </c>
      <c r="C23303" s="0" t="s">
        <v>31059</v>
      </c>
      <c r="D23303" s="0" t="s">
        <v>31059</v>
      </c>
      <c r="E23303" s="0" t="inlineStr">
        <is>
          <t xml:space="preserve">Mazda</t>
        </is>
      </c>
      <c r="F23303" s="0" t="s">
        <v>13</v>
      </c>
      <c r="G23303" s="0" t="s">
        <v>49</v>
      </c>
      <c r="H23303" s="5">
        <v>778.542100</v>
      </c>
    </row>
    <row r="23304" spans="1:9">
      <c r="A23304" s="22" t="str">
        <f>HYPERLINK("https://app.vivvix.com/360/KMI/IntelliDrive/ApplUI/Pages/CreativePages/CustomReportCreativeDetail.aspx?App=23&amp;ReportView=4&amp;Qid=1711279&amp;Row=23296&amp;Col=1","No Title Assigned - #15281915426")</f>
        <v/>
      </c>
      <c r="B23304" s="0" t="s">
        <v>31060</v>
      </c>
      <c r="C23304" s="0" t="s">
        <v>31061</v>
      </c>
      <c r="D23304" s="0" t="s">
        <v>31061</v>
      </c>
      <c r="E23304" s="0" t="inlineStr">
        <is>
          <t xml:space="preserve">Mazda</t>
        </is>
      </c>
      <c r="F23304" s="0" t="s">
        <v>13</v>
      </c>
      <c r="G23304" s="0" t="s">
        <v>49</v>
      </c>
      <c r="H23304" s="5">
        <v>62.989000</v>
      </c>
    </row>
    <row r="23305" spans="1:9">
      <c r="A23305" s="22" t="str">
        <f>HYPERLINK("https://app.vivvix.com/360/KMI/IntelliDrive/ApplUI/Pages/CreativePages/CustomReportCreativeDetail.aspx?App=23&amp;ReportView=4&amp;Qid=1711279&amp;Row=23297&amp;Col=1","No Title Assigned - #15281915495")</f>
        <v/>
      </c>
      <c r="B23305" s="0" t="s">
        <v>31062</v>
      </c>
      <c r="E23305" s="0" t="inlineStr">
        <is>
          <t xml:space="preserve">Mazda</t>
        </is>
      </c>
      <c r="F23305" s="0" t="s">
        <v>13</v>
      </c>
      <c r="G23305" s="0" t="s">
        <v>49</v>
      </c>
      <c r="H23305" s="5">
        <v>130.865700</v>
      </c>
    </row>
    <row r="23306" spans="1:9">
      <c r="A23306" s="22" t="str">
        <f>HYPERLINK("https://app.vivvix.com/360/KMI/IntelliDrive/ApplUI/Pages/CreativePages/CustomReportCreativeDetail.aspx?App=23&amp;ReportView=4&amp;Qid=1711279&amp;Row=23298&amp;Col=1","No Title Assigned - #15281916320")</f>
        <v/>
      </c>
      <c r="B23306" s="0" t="s">
        <v>31063</v>
      </c>
      <c r="C23306" s="0" t="s">
        <v>31064</v>
      </c>
      <c r="D23306" s="0" t="s">
        <v>10311</v>
      </c>
      <c r="E23306" s="0" t="inlineStr">
        <is>
          <t xml:space="preserve">Mazda</t>
        </is>
      </c>
      <c r="F23306" s="0" t="s">
        <v>13</v>
      </c>
      <c r="G23306" s="0" t="s">
        <v>49</v>
      </c>
      <c r="H23306" s="5">
        <v>121.242000</v>
      </c>
    </row>
    <row r="23307" spans="1:9">
      <c r="A23307" s="22" t="str">
        <f>HYPERLINK("https://app.vivvix.com/360/KMI/IntelliDrive/ApplUI/Pages/CreativePages/CustomReportCreativeDetail.aspx?App=23&amp;ReportView=4&amp;Qid=1711279&amp;Row=23299&amp;Col=1","No Title Assigned - #15281916398")</f>
        <v/>
      </c>
      <c r="B23307" s="0" t="s">
        <v>31065</v>
      </c>
      <c r="C23307" s="0" t="s">
        <v>31066</v>
      </c>
      <c r="D23307" s="0" t="s">
        <v>15762</v>
      </c>
      <c r="E23307" s="0" t="inlineStr">
        <is>
          <t xml:space="preserve">Mazda</t>
        </is>
      </c>
      <c r="F23307" s="0" t="s">
        <v>13</v>
      </c>
      <c r="G23307" s="0" t="s">
        <v>49</v>
      </c>
      <c r="H23307" s="5">
        <v>278.486000</v>
      </c>
    </row>
    <row r="23308" spans="1:9">
      <c r="A23308" s="22" t="str">
        <f>HYPERLINK("https://app.vivvix.com/360/KMI/IntelliDrive/ApplUI/Pages/CreativePages/CustomReportCreativeDetail.aspx?App=23&amp;ReportView=4&amp;Qid=1711279&amp;Row=23300&amp;Col=1","No Title Assigned - #15281916445")</f>
        <v/>
      </c>
      <c r="B23308" s="0" t="s">
        <v>31067</v>
      </c>
      <c r="C23308" s="0" t="s">
        <v>31068</v>
      </c>
      <c r="D23308" s="0" t="s">
        <v>20972</v>
      </c>
      <c r="E23308" s="0" t="inlineStr">
        <is>
          <t xml:space="preserve">Mazda</t>
        </is>
      </c>
      <c r="F23308" s="0" t="s">
        <v>13</v>
      </c>
      <c r="G23308" s="0" t="s">
        <v>49</v>
      </c>
      <c r="H23308" s="5">
        <v>315.958000</v>
      </c>
    </row>
    <row r="23309" spans="1:9">
      <c r="A23309" s="22" t="str">
        <f>HYPERLINK("https://app.vivvix.com/360/KMI/IntelliDrive/ApplUI/Pages/CreativePages/CustomReportCreativeDetail.aspx?App=23&amp;ReportView=4&amp;Qid=1711279&amp;Row=23301&amp;Col=1","No Title Assigned - #15281917736")</f>
        <v/>
      </c>
      <c r="B23309" s="0" t="s">
        <v>31069</v>
      </c>
      <c r="E23309" s="0" t="inlineStr">
        <is>
          <t xml:space="preserve">Mazda</t>
        </is>
      </c>
      <c r="F23309" s="0" t="inlineStr">
        <is>
          <t xml:space="preserve">Mazda</t>
        </is>
      </c>
      <c r="G23309" s="0" t="s">
        <v>210</v>
      </c>
      <c r="H23309" s="5">
        <v>420.079700</v>
      </c>
    </row>
    <row r="23310" spans="1:9">
      <c r="A23310" s="22" t="str">
        <f>HYPERLINK("https://app.vivvix.com/360/KMI/IntelliDrive/ApplUI/Pages/CreativePages/CustomReportCreativeDetail.aspx?App=23&amp;ReportView=4&amp;Qid=1711279&amp;Row=23302&amp;Col=1","No Title Assigned - #15281918073")</f>
        <v/>
      </c>
      <c r="B23310" s="0" t="s">
        <v>31070</v>
      </c>
      <c r="C23310" s="0" t="s">
        <v>31071</v>
      </c>
      <c r="D23310" s="0" t="s">
        <v>31071</v>
      </c>
      <c r="E23310" s="0" t="inlineStr">
        <is>
          <t xml:space="preserve">Mazda</t>
        </is>
      </c>
      <c r="F23310" s="0" t="s">
        <v>13</v>
      </c>
      <c r="G23310" s="0" t="s">
        <v>49</v>
      </c>
      <c r="H23310" s="5">
        <v>4201.186600</v>
      </c>
    </row>
    <row r="23311" spans="1:9">
      <c r="A23311" s="22" t="str">
        <f>HYPERLINK("https://app.vivvix.com/360/KMI/IntelliDrive/ApplUI/Pages/CreativePages/CustomReportCreativeDetail.aspx?App=23&amp;ReportView=4&amp;Qid=1711279&amp;Row=23303&amp;Col=1","No Title Assigned - #15281920363")</f>
        <v/>
      </c>
      <c r="B23311" s="0" t="s">
        <v>31072</v>
      </c>
      <c r="C23311" s="0" t="s">
        <v>31073</v>
      </c>
      <c r="D23311" s="0" t="s">
        <v>31073</v>
      </c>
      <c r="E23311" s="0" t="inlineStr">
        <is>
          <t xml:space="preserve">Mazda</t>
        </is>
      </c>
      <c r="F23311" s="0" t="s">
        <v>13</v>
      </c>
      <c r="G23311" s="0" t="s">
        <v>49</v>
      </c>
      <c r="H23311" s="5">
        <v>228.914500</v>
      </c>
    </row>
    <row r="23312" spans="1:9">
      <c r="A23312" s="22" t="str">
        <f>HYPERLINK("https://app.vivvix.com/360/KMI/IntelliDrive/ApplUI/Pages/CreativePages/CustomReportCreativeDetail.aspx?App=23&amp;ReportView=4&amp;Qid=1711279&amp;Row=23304&amp;Col=1","No Title Assigned - #15281920363")</f>
        <v/>
      </c>
      <c r="B23312" s="0" t="s">
        <v>31072</v>
      </c>
      <c r="E23312" s="0" t="inlineStr">
        <is>
          <t xml:space="preserve">Mazda</t>
        </is>
      </c>
      <c r="F23312" s="0" t="s">
        <v>13</v>
      </c>
      <c r="G23312" s="0" t="s">
        <v>49</v>
      </c>
      <c r="H23312" s="5">
        <v>563.842100</v>
      </c>
    </row>
    <row r="23313" spans="1:9">
      <c r="A23313" s="22" t="str">
        <f>HYPERLINK("https://app.vivvix.com/360/KMI/IntelliDrive/ApplUI/Pages/CreativePages/CustomReportCreativeDetail.aspx?App=23&amp;ReportView=4&amp;Qid=1711279&amp;Row=23305&amp;Col=1","No Title Assigned - #15281920389")</f>
        <v/>
      </c>
      <c r="B23313" s="0" t="s">
        <v>31074</v>
      </c>
      <c r="C23313" s="0" t="s">
        <v>31075</v>
      </c>
      <c r="D23313" s="0" t="s">
        <v>31075</v>
      </c>
      <c r="E23313" s="0" t="inlineStr">
        <is>
          <t xml:space="preserve">Mazda</t>
        </is>
      </c>
      <c r="F23313" s="0" t="s">
        <v>13</v>
      </c>
      <c r="G23313" s="0" t="s">
        <v>49</v>
      </c>
      <c r="H23313" s="5">
        <v>12.164300</v>
      </c>
    </row>
    <row r="23314" spans="1:9">
      <c r="A23314" s="22" t="str">
        <f>HYPERLINK("https://app.vivvix.com/360/KMI/IntelliDrive/ApplUI/Pages/CreativePages/CustomReportCreativeDetail.aspx?App=23&amp;ReportView=4&amp;Qid=1711279&amp;Row=23306&amp;Col=1","No Title Assigned - #15281925592")</f>
        <v/>
      </c>
      <c r="B23314" s="0" t="s">
        <v>31076</v>
      </c>
      <c r="E23314" s="0" t="inlineStr">
        <is>
          <t xml:space="preserve">Mazda</t>
        </is>
      </c>
      <c r="F23314" s="0" t="inlineStr">
        <is>
          <t xml:space="preserve">Mazda</t>
        </is>
      </c>
      <c r="G23314" s="0" t="s">
        <v>171</v>
      </c>
      <c r="H23314" s="5">
        <v>260.896800</v>
      </c>
    </row>
    <row r="23315" spans="1:9">
      <c r="A23315" s="22" t="str">
        <f>HYPERLINK("https://app.vivvix.com/360/KMI/IntelliDrive/ApplUI/Pages/CreativePages/CustomReportCreativeDetail.aspx?App=23&amp;ReportView=4&amp;Qid=1711279&amp;Row=23307&amp;Col=1","No Title Assigned - #15281925640")</f>
        <v/>
      </c>
      <c r="B23315" s="0" t="s">
        <v>31077</v>
      </c>
      <c r="E23315" s="0" t="inlineStr">
        <is>
          <t xml:space="preserve">Mazda</t>
        </is>
      </c>
      <c r="F23315" s="0" t="inlineStr">
        <is>
          <t xml:space="preserve">Mazda</t>
        </is>
      </c>
      <c r="G23315" s="0" t="s">
        <v>171</v>
      </c>
      <c r="H23315" s="5">
        <v>412.142600</v>
      </c>
    </row>
    <row r="23316" spans="1:9">
      <c r="A23316" s="22" t="str">
        <f>HYPERLINK("https://app.vivvix.com/360/KMI/IntelliDrive/ApplUI/Pages/CreativePages/CustomReportCreativeDetail.aspx?App=23&amp;ReportView=4&amp;Qid=1711279&amp;Row=23308&amp;Col=1","No Title Assigned - #15281925692")</f>
        <v/>
      </c>
      <c r="B23316" s="0" t="s">
        <v>31078</v>
      </c>
      <c r="E23316" s="0" t="inlineStr">
        <is>
          <t xml:space="preserve">Mazda</t>
        </is>
      </c>
      <c r="F23316" s="0" t="inlineStr">
        <is>
          <t xml:space="preserve">Mazda</t>
        </is>
      </c>
      <c r="G23316" s="0" t="s">
        <v>171</v>
      </c>
      <c r="H23316" s="5">
        <v>14.897200</v>
      </c>
    </row>
    <row r="23317" spans="1:9">
      <c r="A23317" s="22" t="str">
        <f>HYPERLINK("https://app.vivvix.com/360/KMI/IntelliDrive/ApplUI/Pages/CreativePages/CustomReportCreativeDetail.aspx?App=23&amp;ReportView=4&amp;Qid=1711279&amp;Row=23309&amp;Col=1","No Title Assigned - #15281926190")</f>
        <v/>
      </c>
      <c r="B23317" s="0" t="s">
        <v>31079</v>
      </c>
      <c r="E23317" s="0" t="inlineStr">
        <is>
          <t xml:space="preserve">Mazda</t>
        </is>
      </c>
      <c r="F23317" s="0" t="inlineStr">
        <is>
          <t xml:space="preserve">Mazda</t>
        </is>
      </c>
      <c r="G23317" s="0" t="s">
        <v>171</v>
      </c>
      <c r="H23317" s="5">
        <v>26.875500</v>
      </c>
    </row>
    <row r="23318" spans="1:9">
      <c r="A23318" s="22" t="str">
        <f>HYPERLINK("https://app.vivvix.com/360/KMI/IntelliDrive/ApplUI/Pages/CreativePages/CustomReportCreativeDetail.aspx?App=23&amp;ReportView=4&amp;Qid=1711279&amp;Row=23310&amp;Col=1","No Title Assigned - #15281926666")</f>
        <v/>
      </c>
      <c r="B23318" s="0" t="s">
        <v>31080</v>
      </c>
      <c r="E23318" s="0" t="inlineStr">
        <is>
          <t xml:space="preserve">Mazda</t>
        </is>
      </c>
      <c r="F23318" s="0" t="inlineStr">
        <is>
          <t xml:space="preserve">Mazda</t>
        </is>
      </c>
      <c r="G23318" s="0" t="s">
        <v>171</v>
      </c>
      <c r="H23318" s="5">
        <v>161.971400</v>
      </c>
    </row>
    <row r="23319" spans="1:9">
      <c r="A23319" s="22" t="str">
        <f>HYPERLINK("https://app.vivvix.com/360/KMI/IntelliDrive/ApplUI/Pages/CreativePages/CustomReportCreativeDetail.aspx?App=23&amp;ReportView=4&amp;Qid=1711279&amp;Row=23311&amp;Col=1","No Title Assigned - #15281926747")</f>
        <v/>
      </c>
      <c r="B23319" s="0" t="s">
        <v>31081</v>
      </c>
      <c r="E23319" s="0" t="inlineStr">
        <is>
          <t xml:space="preserve">Mazda</t>
        </is>
      </c>
      <c r="F23319" s="0" t="inlineStr">
        <is>
          <t xml:space="preserve">Mazda</t>
        </is>
      </c>
      <c r="G23319" s="0" t="s">
        <v>171</v>
      </c>
      <c r="H23319" s="5">
        <v>15.843000</v>
      </c>
    </row>
    <row r="23320" spans="1:9">
      <c r="A23320" s="22" t="str">
        <f>HYPERLINK("https://app.vivvix.com/360/KMI/IntelliDrive/ApplUI/Pages/CreativePages/CustomReportCreativeDetail.aspx?App=23&amp;ReportView=4&amp;Qid=1711279&amp;Row=23312&amp;Col=1","No Title Assigned - #15281927081")</f>
        <v/>
      </c>
      <c r="B23320" s="0" t="s">
        <v>31082</v>
      </c>
      <c r="E23320" s="0" t="inlineStr">
        <is>
          <t xml:space="preserve">Mazda</t>
        </is>
      </c>
      <c r="F23320" s="0" t="inlineStr">
        <is>
          <t xml:space="preserve">Mazda</t>
        </is>
      </c>
      <c r="G23320" s="0" t="s">
        <v>171</v>
      </c>
      <c r="H23320" s="5">
        <v>299.372800</v>
      </c>
    </row>
    <row r="23321" spans="1:9">
      <c r="A23321" s="22" t="str">
        <f>HYPERLINK("https://app.vivvix.com/360/KMI/IntelliDrive/ApplUI/Pages/CreativePages/CustomReportCreativeDetail.aspx?App=23&amp;ReportView=4&amp;Qid=1711279&amp;Row=23313&amp;Col=1","No Title Assigned - #15281928002")</f>
        <v/>
      </c>
      <c r="B23321" s="0" t="s">
        <v>31083</v>
      </c>
      <c r="E23321" s="0" t="inlineStr">
        <is>
          <t xml:space="preserve">Mazda</t>
        </is>
      </c>
      <c r="F23321" s="0" t="inlineStr">
        <is>
          <t xml:space="preserve">Mazda</t>
        </is>
      </c>
      <c r="G23321" s="0" t="s">
        <v>171</v>
      </c>
      <c r="H23321" s="5">
        <v>246.640800</v>
      </c>
    </row>
    <row r="23322" spans="1:9">
      <c r="A23322" s="22" t="str">
        <f>HYPERLINK("https://app.vivvix.com/360/KMI/IntelliDrive/ApplUI/Pages/CreativePages/CustomReportCreativeDetail.aspx?App=23&amp;ReportView=4&amp;Qid=1711279&amp;Row=23314&amp;Col=1","No Title Assigned - #15281928386")</f>
        <v/>
      </c>
      <c r="B23322" s="0" t="s">
        <v>31084</v>
      </c>
      <c r="E23322" s="0" t="inlineStr">
        <is>
          <t xml:space="preserve">Mazda</t>
        </is>
      </c>
      <c r="F23322" s="0" t="inlineStr">
        <is>
          <t xml:space="preserve">Mazda</t>
        </is>
      </c>
      <c r="G23322" s="0" t="s">
        <v>171</v>
      </c>
      <c r="H23322" s="5">
        <v>686.193400</v>
      </c>
    </row>
    <row r="23323" spans="1:9">
      <c r="A23323" s="22" t="str">
        <f>HYPERLINK("https://app.vivvix.com/360/KMI/IntelliDrive/ApplUI/Pages/CreativePages/CustomReportCreativeDetail.aspx?App=23&amp;ReportView=4&amp;Qid=1711279&amp;Row=23315&amp;Col=1","No Title Assigned - #15281929176")</f>
        <v/>
      </c>
      <c r="B23323" s="0" t="s">
        <v>31085</v>
      </c>
      <c r="E23323" s="0" t="inlineStr">
        <is>
          <t xml:space="preserve">Mazda</t>
        </is>
      </c>
      <c r="F23323" s="0" t="inlineStr">
        <is>
          <t xml:space="preserve">Mazda</t>
        </is>
      </c>
      <c r="G23323" s="0" t="s">
        <v>171</v>
      </c>
      <c r="H23323" s="5">
        <v>127.420500</v>
      </c>
    </row>
    <row r="23324" spans="1:9">
      <c r="A23324" s="22" t="str">
        <f>HYPERLINK("https://app.vivvix.com/360/KMI/IntelliDrive/ApplUI/Pages/CreativePages/CustomReportCreativeDetail.aspx?App=23&amp;ReportView=4&amp;Qid=1711279&amp;Row=23316&amp;Col=1","No Title Assigned - #15281929188")</f>
        <v/>
      </c>
      <c r="B23324" s="0" t="s">
        <v>31086</v>
      </c>
      <c r="E23324" s="0" t="inlineStr">
        <is>
          <t xml:space="preserve">Mazda</t>
        </is>
      </c>
      <c r="F23324" s="0" t="inlineStr">
        <is>
          <t xml:space="preserve">Mazda</t>
        </is>
      </c>
      <c r="G23324" s="0" t="s">
        <v>171</v>
      </c>
      <c r="H23324" s="5">
        <v>514.027500</v>
      </c>
    </row>
    <row r="23325" spans="1:9">
      <c r="A23325" s="22" t="str">
        <f>HYPERLINK("https://app.vivvix.com/360/KMI/IntelliDrive/ApplUI/Pages/CreativePages/CustomReportCreativeDetail.aspx?App=23&amp;ReportView=4&amp;Qid=1711279&amp;Row=23317&amp;Col=1","No Title Assigned - #15281929292")</f>
        <v/>
      </c>
      <c r="B23325" s="0" t="s">
        <v>31087</v>
      </c>
      <c r="E23325" s="0" t="inlineStr">
        <is>
          <t xml:space="preserve">Mazda</t>
        </is>
      </c>
      <c r="F23325" s="0" t="inlineStr">
        <is>
          <t xml:space="preserve">Mazda</t>
        </is>
      </c>
      <c r="G23325" s="0" t="s">
        <v>171</v>
      </c>
      <c r="H23325" s="5">
        <v>90.496100</v>
      </c>
    </row>
    <row r="23326" spans="1:9">
      <c r="A23326" s="22" t="str">
        <f>HYPERLINK("https://app.vivvix.com/360/KMI/IntelliDrive/ApplUI/Pages/CreativePages/CustomReportCreativeDetail.aspx?App=23&amp;ReportView=4&amp;Qid=1711279&amp;Row=23318&amp;Col=1","No Title Assigned - #15281929323")</f>
        <v/>
      </c>
      <c r="B23326" s="0" t="s">
        <v>31088</v>
      </c>
      <c r="E23326" s="0" t="inlineStr">
        <is>
          <t xml:space="preserve">Mazda</t>
        </is>
      </c>
      <c r="F23326" s="0" t="inlineStr">
        <is>
          <t xml:space="preserve">Mazda</t>
        </is>
      </c>
      <c r="G23326" s="0" t="s">
        <v>171</v>
      </c>
      <c r="H23326" s="5">
        <v>1.652300</v>
      </c>
    </row>
    <row r="23327" spans="1:9">
      <c r="A23327" s="22" t="str">
        <f>HYPERLINK("https://app.vivvix.com/360/KMI/IntelliDrive/ApplUI/Pages/CreativePages/CustomReportCreativeDetail.aspx?App=23&amp;ReportView=4&amp;Qid=1711279&amp;Row=23319&amp;Col=1","No Title Assigned - #15281937074")</f>
        <v/>
      </c>
      <c r="B23327" s="0" t="s">
        <v>31089</v>
      </c>
      <c r="E23327" s="0" t="inlineStr">
        <is>
          <t xml:space="preserve">Mazda</t>
        </is>
      </c>
      <c r="F23327" s="0" t="inlineStr">
        <is>
          <t xml:space="preserve">Mazda</t>
        </is>
      </c>
      <c r="G23327" s="0" t="s">
        <v>171</v>
      </c>
      <c r="H23327" s="5">
        <v>36.679700</v>
      </c>
    </row>
    <row r="23328" spans="1:9">
      <c r="A23328" s="22" t="str">
        <f>HYPERLINK("https://app.vivvix.com/360/KMI/IntelliDrive/ApplUI/Pages/CreativePages/CustomReportCreativeDetail.aspx?App=23&amp;ReportView=4&amp;Qid=1711279&amp;Row=23320&amp;Col=1","No Title Assigned - #15281937773")</f>
        <v/>
      </c>
      <c r="B23328" s="0" t="s">
        <v>31090</v>
      </c>
      <c r="E23328" s="0" t="inlineStr">
        <is>
          <t xml:space="preserve">Mazda</t>
        </is>
      </c>
      <c r="F23328" s="0" t="inlineStr">
        <is>
          <t xml:space="preserve">Mazda</t>
        </is>
      </c>
      <c r="G23328" s="0" t="s">
        <v>171</v>
      </c>
      <c r="H23328" s="5">
        <v>27.503200</v>
      </c>
    </row>
    <row r="23329" spans="1:9">
      <c r="A23329" s="22" t="str">
        <f>HYPERLINK("https://app.vivvix.com/360/KMI/IntelliDrive/ApplUI/Pages/CreativePages/CustomReportCreativeDetail.aspx?App=23&amp;ReportView=4&amp;Qid=1711279&amp;Row=23321&amp;Col=1","No Title Assigned - #15281941482")</f>
        <v/>
      </c>
      <c r="B23329" s="0" t="s">
        <v>31091</v>
      </c>
      <c r="E23329" s="0" t="inlineStr">
        <is>
          <t xml:space="preserve">Mazda</t>
        </is>
      </c>
      <c r="F23329" s="0" t="inlineStr">
        <is>
          <t xml:space="preserve">Mazda</t>
        </is>
      </c>
      <c r="G23329" s="0" t="s">
        <v>171</v>
      </c>
      <c r="H23329" s="5">
        <v>29.794400</v>
      </c>
    </row>
    <row r="23330" spans="1:9">
      <c r="A23330" s="22" t="str">
        <f>HYPERLINK("https://app.vivvix.com/360/KMI/IntelliDrive/ApplUI/Pages/CreativePages/CustomReportCreativeDetail.aspx?App=23&amp;ReportView=4&amp;Qid=1711279&amp;Row=23322&amp;Col=1","No Title Assigned - #15281941508")</f>
        <v/>
      </c>
      <c r="B23330" s="0" t="s">
        <v>31092</v>
      </c>
      <c r="E23330" s="0" t="inlineStr">
        <is>
          <t xml:space="preserve">Mazda</t>
        </is>
      </c>
      <c r="F23330" s="0" t="inlineStr">
        <is>
          <t xml:space="preserve">Mazda</t>
        </is>
      </c>
      <c r="G23330" s="0" t="s">
        <v>171</v>
      </c>
      <c r="H23330" s="5">
        <v>85.401900</v>
      </c>
    </row>
    <row r="23331" spans="1:9">
      <c r="A23331" s="22" t="str">
        <f>HYPERLINK("https://app.vivvix.com/360/KMI/IntelliDrive/ApplUI/Pages/CreativePages/CustomReportCreativeDetail.aspx?App=23&amp;ReportView=4&amp;Qid=1711279&amp;Row=23323&amp;Col=1","No Title Assigned - #15281941508")</f>
        <v/>
      </c>
      <c r="B23331" s="0" t="s">
        <v>31092</v>
      </c>
      <c r="E23331" s="0" t="inlineStr">
        <is>
          <t xml:space="preserve">Mazda</t>
        </is>
      </c>
      <c r="F23331" s="0" t="inlineStr">
        <is>
          <t xml:space="preserve">Mazda</t>
        </is>
      </c>
      <c r="G23331" s="0" t="s">
        <v>171</v>
      </c>
      <c r="H23331" s="5">
        <v>3333.901400</v>
      </c>
    </row>
    <row r="23332" spans="1:9">
      <c r="A23332" s="22" t="str">
        <f>HYPERLINK("https://app.vivvix.com/360/KMI/IntelliDrive/ApplUI/Pages/CreativePages/CustomReportCreativeDetail.aspx?App=23&amp;ReportView=4&amp;Qid=1711279&amp;Row=23324&amp;Col=1","No Title Assigned - #15281941990")</f>
        <v/>
      </c>
      <c r="B23332" s="0" t="s">
        <v>31093</v>
      </c>
      <c r="E23332" s="0" t="inlineStr">
        <is>
          <t xml:space="preserve">Mazda</t>
        </is>
      </c>
      <c r="F23332" s="0" t="inlineStr">
        <is>
          <t xml:space="preserve">Mazda</t>
        </is>
      </c>
      <c r="G23332" s="0" t="s">
        <v>171</v>
      </c>
      <c r="H23332" s="5">
        <v>7.448600</v>
      </c>
    </row>
    <row r="23333" spans="1:9">
      <c r="A23333" s="22" t="str">
        <f>HYPERLINK("https://app.vivvix.com/360/KMI/IntelliDrive/ApplUI/Pages/CreativePages/CustomReportCreativeDetail.aspx?App=23&amp;ReportView=4&amp;Qid=1711279&amp;Row=23325&amp;Col=1","No Title Assigned - #15281941991")</f>
        <v/>
      </c>
      <c r="B23333" s="0" t="s">
        <v>31094</v>
      </c>
      <c r="E23333" s="0" t="inlineStr">
        <is>
          <t xml:space="preserve">Mazda</t>
        </is>
      </c>
      <c r="F23333" s="0" t="inlineStr">
        <is>
          <t xml:space="preserve">Mazda</t>
        </is>
      </c>
      <c r="G23333" s="0" t="s">
        <v>171</v>
      </c>
      <c r="H23333" s="5">
        <v>14.897200</v>
      </c>
    </row>
    <row r="23334" spans="1:9">
      <c r="A23334" s="22" t="str">
        <f>HYPERLINK("https://app.vivvix.com/360/KMI/IntelliDrive/ApplUI/Pages/CreativePages/CustomReportCreativeDetail.aspx?App=23&amp;ReportView=4&amp;Qid=1711279&amp;Row=23326&amp;Col=1","No Title Assigned - #15281942145")</f>
        <v/>
      </c>
      <c r="B23334" s="0" t="s">
        <v>31095</v>
      </c>
      <c r="E23334" s="0" t="inlineStr">
        <is>
          <t xml:space="preserve">Mazda</t>
        </is>
      </c>
      <c r="F23334" s="0" t="inlineStr">
        <is>
          <t xml:space="preserve">Mazda</t>
        </is>
      </c>
      <c r="G23334" s="0" t="s">
        <v>171</v>
      </c>
      <c r="H23334" s="5">
        <v>914.602200</v>
      </c>
    </row>
    <row r="23335" spans="1:9">
      <c r="A23335" s="22" t="str">
        <f>HYPERLINK("https://app.vivvix.com/360/KMI/IntelliDrive/ApplUI/Pages/CreativePages/CustomReportCreativeDetail.aspx?App=23&amp;ReportView=4&amp;Qid=1711279&amp;Row=23327&amp;Col=1","No Title Assigned - #15281946518")</f>
        <v/>
      </c>
      <c r="B23335" s="0" t="s">
        <v>31096</v>
      </c>
      <c r="C23335" s="0" t="s">
        <v>31097</v>
      </c>
      <c r="D23335" s="0" t="s">
        <v>31097</v>
      </c>
      <c r="E23335" s="0" t="inlineStr">
        <is>
          <t xml:space="preserve">Mazda</t>
        </is>
      </c>
      <c r="F23335" s="0" t="s">
        <v>13</v>
      </c>
      <c r="G23335" s="0" t="s">
        <v>49</v>
      </c>
      <c r="H23335" s="5">
        <v>411.987600</v>
      </c>
    </row>
    <row r="23336" spans="1:9">
      <c r="A23336" s="22" t="str">
        <f>HYPERLINK("https://app.vivvix.com/360/KMI/IntelliDrive/ApplUI/Pages/CreativePages/CustomReportCreativeDetail.aspx?App=23&amp;ReportView=4&amp;Qid=1711279&amp;Row=23328&amp;Col=1","No Title Assigned - #15281948261")</f>
        <v/>
      </c>
      <c r="B23336" s="0" t="s">
        <v>31098</v>
      </c>
      <c r="C23336" s="0" t="s">
        <v>31099</v>
      </c>
      <c r="D23336" s="0" t="s">
        <v>4335</v>
      </c>
      <c r="E23336" s="0" t="inlineStr">
        <is>
          <t xml:space="preserve">Mazda</t>
        </is>
      </c>
      <c r="F23336" s="0" t="s">
        <v>13</v>
      </c>
      <c r="G23336" s="0" t="s">
        <v>49</v>
      </c>
      <c r="H23336" s="5">
        <v>469.735300</v>
      </c>
    </row>
    <row r="23337" spans="1:9">
      <c r="A23337" s="22" t="str">
        <f>HYPERLINK("https://app.vivvix.com/360/KMI/IntelliDrive/ApplUI/Pages/CreativePages/CustomReportCreativeDetail.aspx?App=23&amp;ReportView=4&amp;Qid=1711279&amp;Row=23329&amp;Col=1","No Title Assigned - #15281948573")</f>
        <v/>
      </c>
      <c r="B23337" s="0" t="s">
        <v>31100</v>
      </c>
      <c r="C23337" s="0" t="s">
        <v>31101</v>
      </c>
      <c r="D23337" s="0" t="s">
        <v>9167</v>
      </c>
      <c r="E23337" s="0" t="inlineStr">
        <is>
          <t xml:space="preserve">Mazda</t>
        </is>
      </c>
      <c r="F23337" s="0" t="s">
        <v>13</v>
      </c>
      <c r="G23337" s="0" t="s">
        <v>49</v>
      </c>
      <c r="H23337" s="5">
        <v>54.738700</v>
      </c>
    </row>
    <row r="23338" spans="1:9">
      <c r="A23338" s="22" t="str">
        <f>HYPERLINK("https://app.vivvix.com/360/KMI/IntelliDrive/ApplUI/Pages/CreativePages/CustomReportCreativeDetail.aspx?App=23&amp;ReportView=4&amp;Qid=1711279&amp;Row=23330&amp;Col=1","No Title Assigned - #15281953219")</f>
        <v/>
      </c>
      <c r="B23338" s="0" t="s">
        <v>31102</v>
      </c>
      <c r="C23338" s="0" t="s">
        <v>31103</v>
      </c>
      <c r="D23338" s="0" t="s">
        <v>23394</v>
      </c>
      <c r="E23338" s="0" t="inlineStr">
        <is>
          <t xml:space="preserve">Mazda</t>
        </is>
      </c>
      <c r="F23338" s="0" t="s">
        <v>13</v>
      </c>
      <c r="G23338" s="0" t="s">
        <v>49</v>
      </c>
      <c r="H23338" s="5">
        <v>457.957900</v>
      </c>
    </row>
    <row r="23339" spans="1:9">
      <c r="A23339" s="22" t="str">
        <f>HYPERLINK("https://app.vivvix.com/360/KMI/IntelliDrive/ApplUI/Pages/CreativePages/CustomReportCreativeDetail.aspx?App=23&amp;ReportView=4&amp;Qid=1711279&amp;Row=23331&amp;Col=1","No Title Assigned - #15281954049")</f>
        <v/>
      </c>
      <c r="B23339" s="0" t="s">
        <v>31104</v>
      </c>
      <c r="C23339" s="0" t="s">
        <v>31105</v>
      </c>
      <c r="D23339" s="0" t="s">
        <v>11053</v>
      </c>
      <c r="E23339" s="0" t="inlineStr">
        <is>
          <t xml:space="preserve">Mazda</t>
        </is>
      </c>
      <c r="F23339" s="0" t="s">
        <v>13</v>
      </c>
      <c r="G23339" s="0" t="s">
        <v>49</v>
      </c>
      <c r="H23339" s="5">
        <v>2360.849500</v>
      </c>
    </row>
    <row r="23340" spans="1:9">
      <c r="A23340" s="22" t="str">
        <f>HYPERLINK("https://app.vivvix.com/360/KMI/IntelliDrive/ApplUI/Pages/CreativePages/CustomReportCreativeDetail.aspx?App=23&amp;ReportView=4&amp;Qid=1711279&amp;Row=23332&amp;Col=1","No Title Assigned - #15281955251")</f>
        <v/>
      </c>
      <c r="B23340" s="0" t="s">
        <v>31106</v>
      </c>
      <c r="C23340" s="0" t="s">
        <v>31107</v>
      </c>
      <c r="D23340" s="0" t="s">
        <v>11469</v>
      </c>
      <c r="E23340" s="0" t="inlineStr">
        <is>
          <t xml:space="preserve">Mazda</t>
        </is>
      </c>
      <c r="F23340" s="0" t="s">
        <v>13</v>
      </c>
      <c r="G23340" s="0" t="s">
        <v>49</v>
      </c>
      <c r="H23340" s="5">
        <v>215.553100</v>
      </c>
    </row>
    <row r="23341" spans="1:9">
      <c r="A23341" s="22" t="str">
        <f>HYPERLINK("https://app.vivvix.com/360/KMI/IntelliDrive/ApplUI/Pages/CreativePages/CustomReportCreativeDetail.aspx?App=23&amp;ReportView=4&amp;Qid=1711279&amp;Row=23333&amp;Col=1","No Title Assigned - #15281955287")</f>
        <v/>
      </c>
      <c r="B23341" s="0" t="s">
        <v>31108</v>
      </c>
      <c r="C23341" s="0" t="s">
        <v>31109</v>
      </c>
      <c r="D23341" s="0" t="s">
        <v>31109</v>
      </c>
      <c r="E23341" s="0" t="inlineStr">
        <is>
          <t xml:space="preserve">Mazda</t>
        </is>
      </c>
      <c r="F23341" s="0" t="s">
        <v>13</v>
      </c>
      <c r="G23341" s="0" t="s">
        <v>49</v>
      </c>
      <c r="H23341" s="5">
        <v>7.166800</v>
      </c>
    </row>
    <row r="23342" spans="1:9">
      <c r="A23342" s="22" t="str">
        <f>HYPERLINK("https://app.vivvix.com/360/KMI/IntelliDrive/ApplUI/Pages/CreativePages/CustomReportCreativeDetail.aspx?App=23&amp;ReportView=4&amp;Qid=1711279&amp;Row=23334&amp;Col=1","No Title Assigned - #15281957341")</f>
        <v/>
      </c>
      <c r="B23342" s="0" t="s">
        <v>31110</v>
      </c>
      <c r="C23342" s="0" t="s">
        <v>31111</v>
      </c>
      <c r="D23342" s="0" t="s">
        <v>31111</v>
      </c>
      <c r="E23342" s="0" t="inlineStr">
        <is>
          <t xml:space="preserve">Mazda</t>
        </is>
      </c>
      <c r="F23342" s="0" t="inlineStr">
        <is>
          <t xml:space="preserve">Mazda</t>
        </is>
      </c>
      <c r="G23342" s="0" t="s">
        <v>210</v>
      </c>
      <c r="H23342" s="5">
        <v>879.380500</v>
      </c>
    </row>
    <row r="23343" spans="1:9">
      <c r="A23343" s="22" t="str">
        <f>HYPERLINK("https://app.vivvix.com/360/KMI/IntelliDrive/ApplUI/Pages/CreativePages/CustomReportCreativeDetail.aspx?App=23&amp;ReportView=4&amp;Qid=1711279&amp;Row=23335&amp;Col=1","No Title Assigned - #15281957987")</f>
        <v/>
      </c>
      <c r="B23343" s="0" t="s">
        <v>31112</v>
      </c>
      <c r="C23343" s="0" t="s">
        <v>31113</v>
      </c>
      <c r="D23343" s="0" t="s">
        <v>31113</v>
      </c>
      <c r="E23343" s="0" t="inlineStr">
        <is>
          <t xml:space="preserve">Mazda</t>
        </is>
      </c>
      <c r="F23343" s="0" t="s">
        <v>13</v>
      </c>
      <c r="G23343" s="0" t="s">
        <v>49</v>
      </c>
      <c r="H23343" s="5">
        <v>10.750200</v>
      </c>
    </row>
    <row r="23344" spans="1:9">
      <c r="A23344" s="22" t="str">
        <f>HYPERLINK("https://app.vivvix.com/360/KMI/IntelliDrive/ApplUI/Pages/CreativePages/CustomReportCreativeDetail.aspx?App=23&amp;ReportView=4&amp;Qid=1711279&amp;Row=23336&amp;Col=1","No Title Assigned - #15281958627")</f>
        <v/>
      </c>
      <c r="B23344" s="0" t="s">
        <v>31114</v>
      </c>
      <c r="C23344" s="0" t="s">
        <v>31115</v>
      </c>
      <c r="D23344" s="0" t="s">
        <v>31115</v>
      </c>
      <c r="E23344" s="0" t="inlineStr">
        <is>
          <t xml:space="preserve">Mazda</t>
        </is>
      </c>
      <c r="F23344" s="0" t="inlineStr">
        <is>
          <t xml:space="preserve">Mazda</t>
        </is>
      </c>
      <c r="G23344" s="0" t="s">
        <v>210</v>
      </c>
      <c r="H23344" s="5">
        <v>810.452000</v>
      </c>
    </row>
    <row r="23345" spans="1:9">
      <c r="A23345" s="22" t="str">
        <f>HYPERLINK("https://app.vivvix.com/360/KMI/IntelliDrive/ApplUI/Pages/CreativePages/CustomReportCreativeDetail.aspx?App=23&amp;ReportView=4&amp;Qid=1711279&amp;Row=23337&amp;Col=1","No Title Assigned - #15281958627")</f>
        <v/>
      </c>
      <c r="B23345" s="0" t="s">
        <v>31114</v>
      </c>
      <c r="E23345" s="0" t="inlineStr">
        <is>
          <t xml:space="preserve">Mazda</t>
        </is>
      </c>
      <c r="F23345" s="0" t="inlineStr">
        <is>
          <t xml:space="preserve">Mazda</t>
        </is>
      </c>
      <c r="G23345" s="0" t="s">
        <v>210</v>
      </c>
      <c r="H23345" s="5">
        <v>236.946800</v>
      </c>
    </row>
    <row r="23346" spans="1:9">
      <c r="A23346" s="22" t="str">
        <f>HYPERLINK("https://app.vivvix.com/360/KMI/IntelliDrive/ApplUI/Pages/CreativePages/CustomReportCreativeDetail.aspx?App=23&amp;ReportView=4&amp;Qid=1711279&amp;Row=23338&amp;Col=1","No Title Assigned - #15281959502")</f>
        <v/>
      </c>
      <c r="B23346" s="0" t="s">
        <v>31116</v>
      </c>
      <c r="C23346" s="0" t="s">
        <v>31117</v>
      </c>
      <c r="D23346" s="0" t="s">
        <v>31117</v>
      </c>
      <c r="E23346" s="0" t="inlineStr">
        <is>
          <t xml:space="preserve">Mazda</t>
        </is>
      </c>
      <c r="F23346" s="0" t="s">
        <v>13</v>
      </c>
      <c r="G23346" s="0" t="s">
        <v>49</v>
      </c>
      <c r="H23346" s="5">
        <v>5.140800</v>
      </c>
    </row>
    <row r="23347" spans="1:9">
      <c r="A23347" s="22" t="str">
        <f>HYPERLINK("https://app.vivvix.com/360/KMI/IntelliDrive/ApplUI/Pages/CreativePages/CustomReportCreativeDetail.aspx?App=23&amp;ReportView=4&amp;Qid=1711279&amp;Row=23339&amp;Col=1","No Title Assigned - #15281960243")</f>
        <v/>
      </c>
      <c r="B23347" s="0" t="s">
        <v>31118</v>
      </c>
      <c r="C23347" s="0" t="s">
        <v>31119</v>
      </c>
      <c r="D23347" s="0" t="s">
        <v>31119</v>
      </c>
      <c r="E23347" s="0" t="inlineStr">
        <is>
          <t xml:space="preserve">Mazda</t>
        </is>
      </c>
      <c r="F23347" s="0" t="s">
        <v>13</v>
      </c>
      <c r="G23347" s="0" t="s">
        <v>49</v>
      </c>
      <c r="H23347" s="5">
        <v>2275.658000</v>
      </c>
    </row>
    <row r="23348" spans="1:9">
      <c r="A23348" s="22" t="str">
        <f>HYPERLINK("https://app.vivvix.com/360/KMI/IntelliDrive/ApplUI/Pages/CreativePages/CustomReportCreativeDetail.aspx?App=23&amp;ReportView=4&amp;Qid=1711279&amp;Row=23340&amp;Col=1","No Title Assigned - #15281960436")</f>
        <v/>
      </c>
      <c r="B23348" s="0" t="s">
        <v>31120</v>
      </c>
      <c r="C23348" s="0" t="s">
        <v>31121</v>
      </c>
      <c r="D23348" s="0" t="s">
        <v>22540</v>
      </c>
      <c r="E23348" s="0" t="inlineStr">
        <is>
          <t xml:space="preserve">Mazda</t>
        </is>
      </c>
      <c r="F23348" s="0" t="s">
        <v>13</v>
      </c>
      <c r="G23348" s="0" t="s">
        <v>49</v>
      </c>
      <c r="H23348" s="5">
        <v>1.945200</v>
      </c>
    </row>
    <row r="23349" spans="1:9">
      <c r="A23349" s="22" t="str">
        <f>HYPERLINK("https://app.vivvix.com/360/KMI/IntelliDrive/ApplUI/Pages/CreativePages/CustomReportCreativeDetail.aspx?App=23&amp;ReportView=4&amp;Qid=1711279&amp;Row=23341&amp;Col=1","No Title Assigned - #15281960436")</f>
        <v/>
      </c>
      <c r="B23349" s="0" t="s">
        <v>31120</v>
      </c>
      <c r="E23349" s="0" t="inlineStr">
        <is>
          <t xml:space="preserve">Mazda</t>
        </is>
      </c>
      <c r="F23349" s="0" t="s">
        <v>13</v>
      </c>
      <c r="G23349" s="0" t="s">
        <v>49</v>
      </c>
      <c r="H23349" s="5">
        <v>35.669400</v>
      </c>
    </row>
    <row r="23350" spans="1:9">
      <c r="A23350" s="22" t="str">
        <f>HYPERLINK("https://app.vivvix.com/360/KMI/IntelliDrive/ApplUI/Pages/CreativePages/CustomReportCreativeDetail.aspx?App=23&amp;ReportView=4&amp;Qid=1711279&amp;Row=23342&amp;Col=1","No Title Assigned - #15281961642")</f>
        <v/>
      </c>
      <c r="B23350" s="0" t="s">
        <v>31122</v>
      </c>
      <c r="C23350" s="0" t="s">
        <v>31123</v>
      </c>
      <c r="D23350" s="0" t="s">
        <v>31123</v>
      </c>
      <c r="E23350" s="0" t="inlineStr">
        <is>
          <t xml:space="preserve">Mazda</t>
        </is>
      </c>
      <c r="F23350" s="0" t="s">
        <v>13</v>
      </c>
      <c r="G23350" s="0" t="s">
        <v>49</v>
      </c>
      <c r="H23350" s="5">
        <v>0.972600</v>
      </c>
    </row>
    <row r="23351" spans="1:9">
      <c r="A23351" s="22" t="str">
        <f>HYPERLINK("https://app.vivvix.com/360/KMI/IntelliDrive/ApplUI/Pages/CreativePages/CustomReportCreativeDetail.aspx?App=23&amp;ReportView=4&amp;Qid=1711279&amp;Row=23343&amp;Col=1","No Title Assigned - #15281961798")</f>
        <v/>
      </c>
      <c r="B23351" s="0" t="s">
        <v>31124</v>
      </c>
      <c r="C23351" s="0" t="s">
        <v>31125</v>
      </c>
      <c r="D23351" s="0" t="s">
        <v>27877</v>
      </c>
      <c r="E23351" s="0" t="inlineStr">
        <is>
          <t xml:space="preserve">Mazda</t>
        </is>
      </c>
      <c r="F23351" s="0" t="s">
        <v>13</v>
      </c>
      <c r="G23351" s="0" t="s">
        <v>49</v>
      </c>
      <c r="H23351" s="5">
        <v>69.621500</v>
      </c>
    </row>
    <row r="23352" spans="1:9">
      <c r="A23352" s="22" t="str">
        <f>HYPERLINK("https://app.vivvix.com/360/KMI/IntelliDrive/ApplUI/Pages/CreativePages/CustomReportCreativeDetail.aspx?App=23&amp;ReportView=4&amp;Qid=1711279&amp;Row=23344&amp;Col=1","No Title Assigned - #15281962660")</f>
        <v/>
      </c>
      <c r="B23352" s="0" t="s">
        <v>31126</v>
      </c>
      <c r="C23352" s="0" t="s">
        <v>31127</v>
      </c>
      <c r="D23352" s="0" t="s">
        <v>22435</v>
      </c>
      <c r="E23352" s="0" t="inlineStr">
        <is>
          <t xml:space="preserve">Mazda</t>
        </is>
      </c>
      <c r="F23352" s="0" t="s">
        <v>13</v>
      </c>
      <c r="G23352" s="0" t="s">
        <v>49</v>
      </c>
      <c r="H23352" s="5">
        <v>45.558300</v>
      </c>
    </row>
    <row r="23353" spans="1:9">
      <c r="A23353" s="22" t="str">
        <f>HYPERLINK("https://app.vivvix.com/360/KMI/IntelliDrive/ApplUI/Pages/CreativePages/CustomReportCreativeDetail.aspx?App=23&amp;ReportView=4&amp;Qid=1711279&amp;Row=23345&amp;Col=1","No Title Assigned - #15281962695")</f>
        <v/>
      </c>
      <c r="B23353" s="0" t="s">
        <v>31128</v>
      </c>
      <c r="C23353" s="0" t="s">
        <v>31129</v>
      </c>
      <c r="D23353" s="0" t="s">
        <v>22120</v>
      </c>
      <c r="E23353" s="0" t="inlineStr">
        <is>
          <t xml:space="preserve">Mazda</t>
        </is>
      </c>
      <c r="F23353" s="0" t="s">
        <v>13</v>
      </c>
      <c r="G23353" s="0" t="s">
        <v>49</v>
      </c>
      <c r="H23353" s="5">
        <v>10.982600</v>
      </c>
    </row>
    <row r="23354" spans="1:9">
      <c r="A23354" s="22" t="str">
        <f>HYPERLINK("https://app.vivvix.com/360/KMI/IntelliDrive/ApplUI/Pages/CreativePages/CustomReportCreativeDetail.aspx?App=23&amp;ReportView=4&amp;Qid=1711279&amp;Row=23346&amp;Col=1","No Title Assigned - #15281962737")</f>
        <v/>
      </c>
      <c r="B23354" s="0" t="s">
        <v>31130</v>
      </c>
      <c r="C23354" s="0" t="s">
        <v>31131</v>
      </c>
      <c r="D23354" s="0" t="s">
        <v>31051</v>
      </c>
      <c r="E23354" s="0" t="inlineStr">
        <is>
          <t xml:space="preserve">Mazda</t>
        </is>
      </c>
      <c r="F23354" s="0" t="s">
        <v>13</v>
      </c>
      <c r="G23354" s="0" t="s">
        <v>49</v>
      </c>
      <c r="H23354" s="5">
        <v>10.982600</v>
      </c>
    </row>
    <row r="23355" spans="1:9">
      <c r="A23355" s="22" t="str">
        <f>HYPERLINK("https://app.vivvix.com/360/KMI/IntelliDrive/ApplUI/Pages/CreativePages/CustomReportCreativeDetail.aspx?App=23&amp;ReportView=4&amp;Qid=1711279&amp;Row=23347&amp;Col=1","No Title Assigned - #15281962789")</f>
        <v/>
      </c>
      <c r="B23355" s="0" t="s">
        <v>31132</v>
      </c>
      <c r="C23355" s="0" t="s">
        <v>31133</v>
      </c>
      <c r="D23355" s="0" t="s">
        <v>18512</v>
      </c>
      <c r="E23355" s="0" t="inlineStr">
        <is>
          <t xml:space="preserve">Mazda</t>
        </is>
      </c>
      <c r="F23355" s="0" t="s">
        <v>13</v>
      </c>
      <c r="G23355" s="0" t="s">
        <v>49</v>
      </c>
      <c r="H23355" s="5">
        <v>51.644700</v>
      </c>
    </row>
    <row r="23356" spans="1:9">
      <c r="A23356" s="22" t="str">
        <f>HYPERLINK("https://app.vivvix.com/360/KMI/IntelliDrive/ApplUI/Pages/CreativePages/CustomReportCreativeDetail.aspx?App=23&amp;ReportView=4&amp;Qid=1711279&amp;Row=23348&amp;Col=1","No Title Assigned - #15281964441")</f>
        <v/>
      </c>
      <c r="B23356" s="0" t="s">
        <v>31134</v>
      </c>
      <c r="C23356" s="0" t="s">
        <v>31135</v>
      </c>
      <c r="D23356" s="0" t="s">
        <v>31135</v>
      </c>
      <c r="E23356" s="0" t="inlineStr">
        <is>
          <t xml:space="preserve">Mazda</t>
        </is>
      </c>
      <c r="F23356" s="0" t="s">
        <v>13</v>
      </c>
      <c r="G23356" s="0" t="s">
        <v>49</v>
      </c>
      <c r="H23356" s="5">
        <v>993.877100</v>
      </c>
    </row>
    <row r="23357" spans="1:9">
      <c r="A23357" s="22" t="str">
        <f>HYPERLINK("https://app.vivvix.com/360/KMI/IntelliDrive/ApplUI/Pages/CreativePages/CustomReportCreativeDetail.aspx?App=23&amp;ReportView=4&amp;Qid=1711279&amp;Row=23349&amp;Col=1","No Title Assigned - #15281964476")</f>
        <v/>
      </c>
      <c r="B23357" s="0" t="s">
        <v>31136</v>
      </c>
      <c r="C23357" s="0" t="s">
        <v>31137</v>
      </c>
      <c r="D23357" s="0" t="s">
        <v>31137</v>
      </c>
      <c r="E23357" s="0" t="inlineStr">
        <is>
          <t xml:space="preserve">Mazda</t>
        </is>
      </c>
      <c r="F23357" s="0" t="s">
        <v>13</v>
      </c>
      <c r="G23357" s="0" t="s">
        <v>49</v>
      </c>
      <c r="H23357" s="5">
        <v>3131.640800</v>
      </c>
    </row>
    <row r="23358" spans="1:9">
      <c r="A23358" s="22" t="str">
        <f>HYPERLINK("https://app.vivvix.com/360/KMI/IntelliDrive/ApplUI/Pages/CreativePages/CustomReportCreativeDetail.aspx?App=23&amp;ReportView=4&amp;Qid=1711279&amp;Row=23350&amp;Col=1","No Title Assigned - #15281965279")</f>
        <v/>
      </c>
      <c r="B23358" s="0" t="s">
        <v>31138</v>
      </c>
      <c r="C23358" s="0" t="s">
        <v>31139</v>
      </c>
      <c r="D23358" s="0" t="s">
        <v>9939</v>
      </c>
      <c r="E23358" s="0" t="inlineStr">
        <is>
          <t xml:space="preserve">Mazda</t>
        </is>
      </c>
      <c r="F23358" s="0" t="s">
        <v>13</v>
      </c>
      <c r="G23358" s="0" t="s">
        <v>49</v>
      </c>
      <c r="H23358" s="5">
        <v>444.049300</v>
      </c>
    </row>
    <row r="23359" spans="1:9">
      <c r="A23359" s="22" t="str">
        <f>HYPERLINK("https://app.vivvix.com/360/KMI/IntelliDrive/ApplUI/Pages/CreativePages/CustomReportCreativeDetail.aspx?App=23&amp;ReportView=4&amp;Qid=1711279&amp;Row=23351&amp;Col=1","No Title Assigned - #15281965829")</f>
        <v/>
      </c>
      <c r="B23359" s="0" t="s">
        <v>31140</v>
      </c>
      <c r="E23359" s="0" t="inlineStr">
        <is>
          <t xml:space="preserve">Mazda</t>
        </is>
      </c>
      <c r="F23359" s="0" t="inlineStr">
        <is>
          <t xml:space="preserve">Mazda</t>
        </is>
      </c>
      <c r="G23359" s="0" t="s">
        <v>210</v>
      </c>
      <c r="H23359" s="5">
        <v>569.093300</v>
      </c>
    </row>
    <row r="23360" spans="1:9">
      <c r="A23360" s="22" t="str">
        <f>HYPERLINK("https://app.vivvix.com/360/KMI/IntelliDrive/ApplUI/Pages/CreativePages/CustomReportCreativeDetail.aspx?App=23&amp;ReportView=4&amp;Qid=1711279&amp;Row=23352&amp;Col=1","No Title Assigned - #15281966997")</f>
        <v/>
      </c>
      <c r="B23360" s="0" t="s">
        <v>31141</v>
      </c>
      <c r="C23360" s="0" t="s">
        <v>31142</v>
      </c>
      <c r="D23360" s="0" t="s">
        <v>21598</v>
      </c>
      <c r="E23360" s="0" t="inlineStr">
        <is>
          <t xml:space="preserve">Mazda</t>
        </is>
      </c>
      <c r="F23360" s="0" t="s">
        <v>13</v>
      </c>
      <c r="G23360" s="0" t="s">
        <v>49</v>
      </c>
      <c r="H23360" s="5">
        <v>190.659600</v>
      </c>
    </row>
    <row r="23361" spans="1:9">
      <c r="A23361" s="22" t="str">
        <f>HYPERLINK("https://app.vivvix.com/360/KMI/IntelliDrive/ApplUI/Pages/CreativePages/CustomReportCreativeDetail.aspx?App=23&amp;ReportView=4&amp;Qid=1711279&amp;Row=23353&amp;Col=1","No Title Assigned - #15281967161")</f>
        <v/>
      </c>
      <c r="B23361" s="0" t="s">
        <v>31143</v>
      </c>
      <c r="C23361" s="0" t="s">
        <v>31144</v>
      </c>
      <c r="D23361" s="0" t="s">
        <v>31144</v>
      </c>
      <c r="E23361" s="0" t="inlineStr">
        <is>
          <t xml:space="preserve">Mazda</t>
        </is>
      </c>
      <c r="F23361" s="0" t="inlineStr">
        <is>
          <t xml:space="preserve">Mazda</t>
        </is>
      </c>
      <c r="G23361" s="0" t="s">
        <v>210</v>
      </c>
      <c r="H23361" s="5">
        <v>157.294700</v>
      </c>
    </row>
    <row r="23362" spans="1:9">
      <c r="A23362" s="22" t="str">
        <f>HYPERLINK("https://app.vivvix.com/360/KMI/IntelliDrive/ApplUI/Pages/CreativePages/CustomReportCreativeDetail.aspx?App=23&amp;ReportView=4&amp;Qid=1711279&amp;Row=23354&amp;Col=1","No Title Assigned - #15281967440")</f>
        <v/>
      </c>
      <c r="B23362" s="0" t="s">
        <v>31145</v>
      </c>
      <c r="C23362" s="0" t="s">
        <v>31146</v>
      </c>
      <c r="D23362" s="0" t="s">
        <v>31146</v>
      </c>
      <c r="E23362" s="0" t="inlineStr">
        <is>
          <t xml:space="preserve">Mazda</t>
        </is>
      </c>
      <c r="F23362" s="0" t="s">
        <v>13</v>
      </c>
      <c r="G23362" s="0" t="s">
        <v>49</v>
      </c>
      <c r="H23362" s="5">
        <v>3.583400</v>
      </c>
    </row>
    <row r="23363" spans="1:9">
      <c r="A23363" s="22" t="str">
        <f>HYPERLINK("https://app.vivvix.com/360/KMI/IntelliDrive/ApplUI/Pages/CreativePages/CustomReportCreativeDetail.aspx?App=23&amp;ReportView=4&amp;Qid=1711279&amp;Row=23355&amp;Col=1","No Title Assigned - #15281969288")</f>
        <v/>
      </c>
      <c r="B23363" s="0" t="s">
        <v>31147</v>
      </c>
      <c r="E23363" s="0" t="inlineStr">
        <is>
          <t xml:space="preserve">Mazda</t>
        </is>
      </c>
      <c r="F23363" s="0" t="s">
        <v>13</v>
      </c>
      <c r="G23363" s="0" t="s">
        <v>49</v>
      </c>
      <c r="H23363" s="5">
        <v>31.020800</v>
      </c>
    </row>
    <row r="23364" spans="1:9">
      <c r="A23364" s="22" t="str">
        <f>HYPERLINK("https://app.vivvix.com/360/KMI/IntelliDrive/ApplUI/Pages/CreativePages/CustomReportCreativeDetail.aspx?App=23&amp;ReportView=4&amp;Qid=1711279&amp;Row=23356&amp;Col=1","No Title Assigned - #15281969793")</f>
        <v/>
      </c>
      <c r="B23364" s="0" t="s">
        <v>31148</v>
      </c>
      <c r="C23364" s="0" t="s">
        <v>31149</v>
      </c>
      <c r="D23364" s="0" t="s">
        <v>31149</v>
      </c>
      <c r="E23364" s="0" t="inlineStr">
        <is>
          <t xml:space="preserve">Mazda</t>
        </is>
      </c>
      <c r="F23364" s="0" t="s">
        <v>13</v>
      </c>
      <c r="G23364" s="0" t="s">
        <v>49</v>
      </c>
      <c r="H23364" s="5">
        <v>200.933400</v>
      </c>
    </row>
    <row r="23365" spans="1:9">
      <c r="A23365" s="22" t="str">
        <f>HYPERLINK("https://app.vivvix.com/360/KMI/IntelliDrive/ApplUI/Pages/CreativePages/CustomReportCreativeDetail.aspx?App=23&amp;ReportView=4&amp;Qid=1711279&amp;Row=23357&amp;Col=1","No Title Assigned - #15281971112")</f>
        <v/>
      </c>
      <c r="B23365" s="0" t="s">
        <v>31150</v>
      </c>
      <c r="C23365" s="0" t="s">
        <v>31151</v>
      </c>
      <c r="D23365" s="0" t="s">
        <v>31151</v>
      </c>
      <c r="E23365" s="0" t="inlineStr">
        <is>
          <t xml:space="preserve">Mazda</t>
        </is>
      </c>
      <c r="F23365" s="0" t="s">
        <v>13</v>
      </c>
      <c r="G23365" s="0" t="s">
        <v>49</v>
      </c>
      <c r="H23365" s="5">
        <v>9641.711900</v>
      </c>
    </row>
    <row r="23366" spans="1:9">
      <c r="A23366" s="22" t="str">
        <f>HYPERLINK("https://app.vivvix.com/360/KMI/IntelliDrive/ApplUI/Pages/CreativePages/CustomReportCreativeDetail.aspx?App=23&amp;ReportView=4&amp;Qid=1711279&amp;Row=23358&amp;Col=1","No Title Assigned - #15281971603")</f>
        <v/>
      </c>
      <c r="B23366" s="0" t="s">
        <v>31152</v>
      </c>
      <c r="C23366" s="0" t="s">
        <v>31153</v>
      </c>
      <c r="D23366" s="0" t="s">
        <v>11420</v>
      </c>
      <c r="E23366" s="0" t="inlineStr">
        <is>
          <t xml:space="preserve">Mazda</t>
        </is>
      </c>
      <c r="F23366" s="0" t="s">
        <v>13</v>
      </c>
      <c r="G23366" s="0" t="s">
        <v>49</v>
      </c>
      <c r="H23366" s="5">
        <v>502.312500</v>
      </c>
    </row>
    <row r="23367" spans="1:9">
      <c r="A23367" s="22" t="str">
        <f>HYPERLINK("https://app.vivvix.com/360/KMI/IntelliDrive/ApplUI/Pages/CreativePages/CustomReportCreativeDetail.aspx?App=23&amp;ReportView=4&amp;Qid=1711279&amp;Row=23359&amp;Col=1","No Title Assigned - #15281971781")</f>
        <v/>
      </c>
      <c r="B23367" s="0" t="s">
        <v>31154</v>
      </c>
      <c r="C23367" s="0" t="s">
        <v>31155</v>
      </c>
      <c r="D23367" s="0" t="s">
        <v>31155</v>
      </c>
      <c r="E23367" s="0" t="inlineStr">
        <is>
          <t xml:space="preserve">Mazda</t>
        </is>
      </c>
      <c r="F23367" s="0" t="s">
        <v>13</v>
      </c>
      <c r="G23367" s="0" t="s">
        <v>49</v>
      </c>
      <c r="H23367" s="5">
        <v>73.952400</v>
      </c>
    </row>
    <row r="23368" spans="1:9">
      <c r="A23368" s="22" t="str">
        <f>HYPERLINK("https://app.vivvix.com/360/KMI/IntelliDrive/ApplUI/Pages/CreativePages/CustomReportCreativeDetail.aspx?App=23&amp;ReportView=4&amp;Qid=1711279&amp;Row=23360&amp;Col=1","No Title Assigned - #15281971781")</f>
        <v/>
      </c>
      <c r="B23368" s="0" t="s">
        <v>31154</v>
      </c>
      <c r="C23368" s="0" t="s">
        <v>31156</v>
      </c>
      <c r="D23368" s="0" t="s">
        <v>31156</v>
      </c>
      <c r="E23368" s="0" t="inlineStr">
        <is>
          <t xml:space="preserve">Mazda</t>
        </is>
      </c>
      <c r="F23368" s="0" t="s">
        <v>13</v>
      </c>
      <c r="G23368" s="0" t="s">
        <v>49</v>
      </c>
      <c r="H23368" s="5">
        <v>138.239200</v>
      </c>
    </row>
    <row r="23369" spans="1:9">
      <c r="A23369" s="22" t="str">
        <f>HYPERLINK("https://app.vivvix.com/360/KMI/IntelliDrive/ApplUI/Pages/CreativePages/CustomReportCreativeDetail.aspx?App=23&amp;ReportView=4&amp;Qid=1711279&amp;Row=23361&amp;Col=1","No Title Assigned - #15281972354")</f>
        <v/>
      </c>
      <c r="B23369" s="0" t="s">
        <v>31157</v>
      </c>
      <c r="C23369" s="0" t="s">
        <v>31158</v>
      </c>
      <c r="D23369" s="0" t="s">
        <v>20972</v>
      </c>
      <c r="E23369" s="0" t="inlineStr">
        <is>
          <t xml:space="preserve">Mazda</t>
        </is>
      </c>
      <c r="F23369" s="0" t="s">
        <v>13</v>
      </c>
      <c r="G23369" s="0" t="s">
        <v>49</v>
      </c>
      <c r="H23369" s="5">
        <v>822.113600</v>
      </c>
    </row>
    <row r="23370" spans="1:9">
      <c r="A23370" s="22" t="str">
        <f>HYPERLINK("https://app.vivvix.com/360/KMI/IntelliDrive/ApplUI/Pages/CreativePages/CustomReportCreativeDetail.aspx?App=23&amp;ReportView=4&amp;Qid=1711279&amp;Row=23362&amp;Col=1","No Title Assigned - #15281972900")</f>
        <v/>
      </c>
      <c r="B23370" s="0" t="s">
        <v>31159</v>
      </c>
      <c r="C23370" s="0" t="s">
        <v>31160</v>
      </c>
      <c r="D23370" s="0" t="s">
        <v>20972</v>
      </c>
      <c r="E23370" s="0" t="inlineStr">
        <is>
          <t xml:space="preserve">Mazda</t>
        </is>
      </c>
      <c r="F23370" s="0" t="s">
        <v>13</v>
      </c>
      <c r="G23370" s="0" t="s">
        <v>49</v>
      </c>
      <c r="H23370" s="5">
        <v>495.812100</v>
      </c>
    </row>
    <row r="23371" spans="1:9">
      <c r="A23371" s="22" t="str">
        <f>HYPERLINK("https://app.vivvix.com/360/KMI/IntelliDrive/ApplUI/Pages/CreativePages/CustomReportCreativeDetail.aspx?App=23&amp;ReportView=4&amp;Qid=1711279&amp;Row=23363&amp;Col=1","No Title Assigned - #15281973771")</f>
        <v/>
      </c>
      <c r="B23371" s="0" t="s">
        <v>31161</v>
      </c>
      <c r="C23371" s="0" t="s">
        <v>31162</v>
      </c>
      <c r="D23371" s="0" t="s">
        <v>31162</v>
      </c>
      <c r="E23371" s="0" t="inlineStr">
        <is>
          <t xml:space="preserve">Mazda</t>
        </is>
      </c>
      <c r="F23371" s="0" t="s">
        <v>13</v>
      </c>
      <c r="G23371" s="0" t="s">
        <v>49</v>
      </c>
      <c r="H23371" s="5">
        <v>23.621600</v>
      </c>
    </row>
    <row r="23372" spans="1:9">
      <c r="A23372" s="22" t="str">
        <f>HYPERLINK("https://app.vivvix.com/360/KMI/IntelliDrive/ApplUI/Pages/CreativePages/CustomReportCreativeDetail.aspx?App=23&amp;ReportView=4&amp;Qid=1711279&amp;Row=23364&amp;Col=1","No Title Assigned - #15281973800")</f>
        <v/>
      </c>
      <c r="B23372" s="0" t="s">
        <v>31163</v>
      </c>
      <c r="C23372" s="0" t="s">
        <v>31164</v>
      </c>
      <c r="D23372" s="0" t="s">
        <v>31164</v>
      </c>
      <c r="E23372" s="0" t="inlineStr">
        <is>
          <t xml:space="preserve">Mazda</t>
        </is>
      </c>
      <c r="F23372" s="0" t="s">
        <v>13</v>
      </c>
      <c r="G23372" s="0" t="s">
        <v>49</v>
      </c>
      <c r="H23372" s="5">
        <v>3143.908700</v>
      </c>
    </row>
    <row r="23373" spans="1:9">
      <c r="A23373" s="22" t="str">
        <f>HYPERLINK("https://app.vivvix.com/360/KMI/IntelliDrive/ApplUI/Pages/CreativePages/CustomReportCreativeDetail.aspx?App=23&amp;ReportView=4&amp;Qid=1711279&amp;Row=23365&amp;Col=1","No Title Assigned - #15281973954")</f>
        <v/>
      </c>
      <c r="B23373" s="0" t="s">
        <v>31165</v>
      </c>
      <c r="C23373" s="0" t="s">
        <v>31166</v>
      </c>
      <c r="D23373" s="0" t="s">
        <v>9167</v>
      </c>
      <c r="E23373" s="0" t="inlineStr">
        <is>
          <t xml:space="preserve">Mazda</t>
        </is>
      </c>
      <c r="F23373" s="0" t="s">
        <v>13</v>
      </c>
      <c r="G23373" s="0" t="s">
        <v>49</v>
      </c>
      <c r="H23373" s="5">
        <v>21.817400</v>
      </c>
    </row>
    <row r="23374" spans="1:9">
      <c r="A23374" s="22" t="str">
        <f>HYPERLINK("https://app.vivvix.com/360/KMI/IntelliDrive/ApplUI/Pages/CreativePages/CustomReportCreativeDetail.aspx?App=23&amp;ReportView=4&amp;Qid=1711279&amp;Row=23366&amp;Col=1","No Title Assigned - #15281974052")</f>
        <v/>
      </c>
      <c r="B23374" s="0" t="s">
        <v>31167</v>
      </c>
      <c r="C23374" s="0" t="s">
        <v>31168</v>
      </c>
      <c r="D23374" s="0" t="s">
        <v>4335</v>
      </c>
      <c r="E23374" s="0" t="inlineStr">
        <is>
          <t xml:space="preserve">Mazda</t>
        </is>
      </c>
      <c r="F23374" s="0" t="s">
        <v>13</v>
      </c>
      <c r="G23374" s="0" t="s">
        <v>49</v>
      </c>
      <c r="H23374" s="5">
        <v>31.020800</v>
      </c>
    </row>
    <row r="23375" spans="1:9">
      <c r="A23375" s="22" t="str">
        <f>HYPERLINK("https://app.vivvix.com/360/KMI/IntelliDrive/ApplUI/Pages/CreativePages/CustomReportCreativeDetail.aspx?App=23&amp;ReportView=4&amp;Qid=1711279&amp;Row=23367&amp;Col=1","No Title Assigned - #15281974133")</f>
        <v/>
      </c>
      <c r="B23375" s="0" t="s">
        <v>31169</v>
      </c>
      <c r="C23375" s="0" t="s">
        <v>31170</v>
      </c>
      <c r="D23375" s="0" t="s">
        <v>11260</v>
      </c>
      <c r="E23375" s="0" t="inlineStr">
        <is>
          <t xml:space="preserve">Mazda</t>
        </is>
      </c>
      <c r="F23375" s="0" t="s">
        <v>13</v>
      </c>
      <c r="G23375" s="0" t="s">
        <v>49</v>
      </c>
      <c r="H23375" s="5">
        <v>236.946800</v>
      </c>
    </row>
    <row r="23376" spans="1:9">
      <c r="A23376" s="22" t="str">
        <f>HYPERLINK("https://app.vivvix.com/360/KMI/IntelliDrive/ApplUI/Pages/CreativePages/CustomReportCreativeDetail.aspx?App=23&amp;ReportView=4&amp;Qid=1711279&amp;Row=23368&amp;Col=1","No Title Assigned - #15281974366")</f>
        <v/>
      </c>
      <c r="B23376" s="0" t="s">
        <v>31171</v>
      </c>
      <c r="E23376" s="0" t="inlineStr">
        <is>
          <t xml:space="preserve">Mazda</t>
        </is>
      </c>
      <c r="F23376" s="0" t="inlineStr">
        <is>
          <t xml:space="preserve">Mazda</t>
        </is>
      </c>
      <c r="G23376" s="0" t="s">
        <v>171</v>
      </c>
      <c r="H23376" s="5">
        <v>1105.083900</v>
      </c>
    </row>
    <row r="23377" spans="1:9">
      <c r="A23377" s="22" t="str">
        <f>HYPERLINK("https://app.vivvix.com/360/KMI/IntelliDrive/ApplUI/Pages/CreativePages/CustomReportCreativeDetail.aspx?App=23&amp;ReportView=4&amp;Qid=1711279&amp;Row=23369&amp;Col=1","No Title Assigned - #15281974433")</f>
        <v/>
      </c>
      <c r="B23377" s="0" t="s">
        <v>31172</v>
      </c>
      <c r="C23377" s="0" t="s">
        <v>31173</v>
      </c>
      <c r="D23377" s="0" t="s">
        <v>9167</v>
      </c>
      <c r="E23377" s="0" t="inlineStr">
        <is>
          <t xml:space="preserve">Mazda</t>
        </is>
      </c>
      <c r="F23377" s="0" t="s">
        <v>13</v>
      </c>
      <c r="G23377" s="0" t="s">
        <v>49</v>
      </c>
      <c r="H23377" s="5">
        <v>276.190800</v>
      </c>
    </row>
    <row r="23378" spans="1:9">
      <c r="A23378" s="22" t="str">
        <f>HYPERLINK("https://app.vivvix.com/360/KMI/IntelliDrive/ApplUI/Pages/CreativePages/CustomReportCreativeDetail.aspx?App=23&amp;ReportView=4&amp;Qid=1711279&amp;Row=23370&amp;Col=1","No Title Assigned - #15281975098")</f>
        <v/>
      </c>
      <c r="B23378" s="0" t="s">
        <v>31174</v>
      </c>
      <c r="C23378" s="0" t="s">
        <v>31175</v>
      </c>
      <c r="D23378" s="0" t="s">
        <v>31175</v>
      </c>
      <c r="E23378" s="0" t="inlineStr">
        <is>
          <t xml:space="preserve">Mazda</t>
        </is>
      </c>
      <c r="F23378" s="0" t="s">
        <v>13</v>
      </c>
      <c r="G23378" s="0" t="s">
        <v>49</v>
      </c>
      <c r="H23378" s="5">
        <v>3.583400</v>
      </c>
    </row>
    <row r="23379" spans="1:9">
      <c r="A23379" s="22" t="str">
        <f>HYPERLINK("https://app.vivvix.com/360/KMI/IntelliDrive/ApplUI/Pages/CreativePages/CustomReportCreativeDetail.aspx?App=23&amp;ReportView=4&amp;Qid=1711279&amp;Row=23371&amp;Col=1","No Title Assigned - #15281975360")</f>
        <v/>
      </c>
      <c r="B23379" s="0" t="s">
        <v>31176</v>
      </c>
      <c r="C23379" s="0" t="s">
        <v>31177</v>
      </c>
      <c r="D23379" s="0" t="s">
        <v>9167</v>
      </c>
      <c r="E23379" s="0" t="inlineStr">
        <is>
          <t xml:space="preserve">Mazda</t>
        </is>
      </c>
      <c r="F23379" s="0" t="s">
        <v>13</v>
      </c>
      <c r="G23379" s="0" t="s">
        <v>49</v>
      </c>
      <c r="H23379" s="5">
        <v>277.541300</v>
      </c>
    </row>
    <row r="23380" spans="1:9">
      <c r="A23380" s="22" t="str">
        <f>HYPERLINK("https://app.vivvix.com/360/KMI/IntelliDrive/ApplUI/Pages/CreativePages/CustomReportCreativeDetail.aspx?App=23&amp;ReportView=4&amp;Qid=1711279&amp;Row=23372&amp;Col=1","No Title Assigned - #15281975374")</f>
        <v/>
      </c>
      <c r="B23380" s="0" t="s">
        <v>31178</v>
      </c>
      <c r="E23380" s="0" t="inlineStr">
        <is>
          <t xml:space="preserve">Mazda</t>
        </is>
      </c>
      <c r="F23380" s="0" t="inlineStr">
        <is>
          <t xml:space="preserve">Mazda</t>
        </is>
      </c>
      <c r="G23380" s="0" t="s">
        <v>171</v>
      </c>
      <c r="H23380" s="5">
        <v>7933.165000</v>
      </c>
    </row>
    <row r="23381" spans="1:9">
      <c r="A23381" s="22" t="str">
        <f>HYPERLINK("https://app.vivvix.com/360/KMI/IntelliDrive/ApplUI/Pages/CreativePages/CustomReportCreativeDetail.aspx?App=23&amp;ReportView=4&amp;Qid=1711279&amp;Row=23373&amp;Col=1","No Title Assigned - #15281975378")</f>
        <v/>
      </c>
      <c r="B23381" s="0" t="s">
        <v>31179</v>
      </c>
      <c r="C23381" s="0" t="s">
        <v>31180</v>
      </c>
      <c r="D23381" s="0" t="s">
        <v>31180</v>
      </c>
      <c r="E23381" s="0" t="inlineStr">
        <is>
          <t xml:space="preserve">Mazda</t>
        </is>
      </c>
      <c r="F23381" s="0" t="s">
        <v>13</v>
      </c>
      <c r="G23381" s="0" t="s">
        <v>49</v>
      </c>
      <c r="H23381" s="5">
        <v>813.819200</v>
      </c>
    </row>
    <row r="23382" spans="1:9">
      <c r="A23382" s="22" t="str">
        <f>HYPERLINK("https://app.vivvix.com/360/KMI/IntelliDrive/ApplUI/Pages/CreativePages/CustomReportCreativeDetail.aspx?App=23&amp;ReportView=4&amp;Qid=1711279&amp;Row=23374&amp;Col=1","No Title Assigned - #15281975639")</f>
        <v/>
      </c>
      <c r="B23382" s="0" t="s">
        <v>31181</v>
      </c>
      <c r="C23382" s="0" t="s">
        <v>31182</v>
      </c>
      <c r="D23382" s="0" t="s">
        <v>31182</v>
      </c>
      <c r="E23382" s="0" t="inlineStr">
        <is>
          <t xml:space="preserve">Mazda</t>
        </is>
      </c>
      <c r="F23382" s="0" t="s">
        <v>13</v>
      </c>
      <c r="G23382" s="0" t="s">
        <v>49</v>
      </c>
      <c r="H23382" s="5">
        <v>171.209600</v>
      </c>
    </row>
    <row r="23383" spans="1:9">
      <c r="A23383" s="22" t="str">
        <f>HYPERLINK("https://app.vivvix.com/360/KMI/IntelliDrive/ApplUI/Pages/CreativePages/CustomReportCreativeDetail.aspx?App=23&amp;ReportView=4&amp;Qid=1711279&amp;Row=23375&amp;Col=1","No Title Assigned - #15281975677")</f>
        <v/>
      </c>
      <c r="B23383" s="0" t="s">
        <v>31183</v>
      </c>
      <c r="C23383" s="0" t="s">
        <v>31184</v>
      </c>
      <c r="D23383" s="0" t="s">
        <v>31184</v>
      </c>
      <c r="E23383" s="0" t="inlineStr">
        <is>
          <t xml:space="preserve">Mazda</t>
        </is>
      </c>
      <c r="F23383" s="0" t="s">
        <v>13</v>
      </c>
      <c r="G23383" s="0" t="s">
        <v>49</v>
      </c>
      <c r="H23383" s="5">
        <v>69.777200</v>
      </c>
    </row>
    <row r="23384" spans="1:9">
      <c r="A23384" s="22" t="str">
        <f>HYPERLINK("https://app.vivvix.com/360/KMI/IntelliDrive/ApplUI/Pages/CreativePages/CustomReportCreativeDetail.aspx?App=23&amp;ReportView=4&amp;Qid=1711279&amp;Row=23376&amp;Col=1","No Title Assigned - #15281975688")</f>
        <v/>
      </c>
      <c r="B23384" s="0" t="s">
        <v>31185</v>
      </c>
      <c r="C23384" s="0" t="s">
        <v>31186</v>
      </c>
      <c r="D23384" s="0" t="s">
        <v>31186</v>
      </c>
      <c r="E23384" s="0" t="inlineStr">
        <is>
          <t xml:space="preserve">Mazda</t>
        </is>
      </c>
      <c r="F23384" s="0" t="inlineStr">
        <is>
          <t xml:space="preserve">Mazda</t>
        </is>
      </c>
      <c r="G23384" s="0" t="s">
        <v>210</v>
      </c>
      <c r="H23384" s="5">
        <v>932.965000</v>
      </c>
    </row>
    <row r="23385" spans="1:9">
      <c r="A23385" s="22" t="str">
        <f>HYPERLINK("https://app.vivvix.com/360/KMI/IntelliDrive/ApplUI/Pages/CreativePages/CustomReportCreativeDetail.aspx?App=23&amp;ReportView=4&amp;Qid=1711279&amp;Row=23377&amp;Col=1","No Title Assigned - #15281976210")</f>
        <v/>
      </c>
      <c r="B23385" s="0" t="s">
        <v>31187</v>
      </c>
      <c r="C23385" s="0" t="s">
        <v>31188</v>
      </c>
      <c r="D23385" s="0" t="s">
        <v>31188</v>
      </c>
      <c r="E23385" s="0" t="inlineStr">
        <is>
          <t xml:space="preserve">Mazda</t>
        </is>
      </c>
      <c r="F23385" s="0" t="s">
        <v>13</v>
      </c>
      <c r="G23385" s="0" t="s">
        <v>49</v>
      </c>
      <c r="H23385" s="5">
        <v>51.644700</v>
      </c>
    </row>
    <row r="23386" spans="1:9">
      <c r="A23386" s="22" t="str">
        <f>HYPERLINK("https://app.vivvix.com/360/KMI/IntelliDrive/ApplUI/Pages/CreativePages/CustomReportCreativeDetail.aspx?App=23&amp;ReportView=4&amp;Qid=1711279&amp;Row=23378&amp;Col=1","No Title Assigned - #15281983062")</f>
        <v/>
      </c>
      <c r="B23386" s="0" t="s">
        <v>31189</v>
      </c>
      <c r="E23386" s="0" t="inlineStr">
        <is>
          <t xml:space="preserve">Mazda</t>
        </is>
      </c>
      <c r="F23386" s="0" t="inlineStr">
        <is>
          <t xml:space="preserve">Mazda</t>
        </is>
      </c>
      <c r="G23386" s="0" t="s">
        <v>171</v>
      </c>
      <c r="H23386" s="5">
        <v>63.386800</v>
      </c>
    </row>
    <row r="23387" spans="1:9">
      <c r="A23387" s="22" t="str">
        <f>HYPERLINK("https://app.vivvix.com/360/KMI/IntelliDrive/ApplUI/Pages/CreativePages/CustomReportCreativeDetail.aspx?App=23&amp;ReportView=4&amp;Qid=1711279&amp;Row=23379&amp;Col=1","No Title Assigned - #15281983630")</f>
        <v/>
      </c>
      <c r="B23387" s="0" t="s">
        <v>31190</v>
      </c>
      <c r="E23387" s="0" t="inlineStr">
        <is>
          <t xml:space="preserve">Mazda</t>
        </is>
      </c>
      <c r="F23387" s="0" t="inlineStr">
        <is>
          <t xml:space="preserve">Mazda</t>
        </is>
      </c>
      <c r="G23387" s="0" t="s">
        <v>171</v>
      </c>
      <c r="H23387" s="5">
        <v>4036.655700</v>
      </c>
    </row>
    <row r="23388" spans="1:9">
      <c r="A23388" s="22" t="str">
        <f>HYPERLINK("https://app.vivvix.com/360/KMI/IntelliDrive/ApplUI/Pages/CreativePages/CustomReportCreativeDetail.aspx?App=23&amp;ReportView=4&amp;Qid=1711279&amp;Row=23380&amp;Col=1","No Title Assigned - #15281985055")</f>
        <v/>
      </c>
      <c r="B23388" s="0" t="s">
        <v>31191</v>
      </c>
      <c r="E23388" s="0" t="inlineStr">
        <is>
          <t xml:space="preserve">Mazda</t>
        </is>
      </c>
      <c r="F23388" s="0" t="inlineStr">
        <is>
          <t xml:space="preserve">Mazda</t>
        </is>
      </c>
      <c r="G23388" s="0" t="s">
        <v>171</v>
      </c>
      <c r="H23388" s="5">
        <v>29.746500</v>
      </c>
    </row>
    <row r="23389" spans="1:9">
      <c r="A23389" s="22" t="str">
        <f>HYPERLINK("https://app.vivvix.com/360/KMI/IntelliDrive/ApplUI/Pages/CreativePages/CustomReportCreativeDetail.aspx?App=23&amp;ReportView=4&amp;Qid=1711279&amp;Row=23381&amp;Col=1","No Title Assigned - #15281985147")</f>
        <v/>
      </c>
      <c r="B23389" s="0" t="s">
        <v>31192</v>
      </c>
      <c r="E23389" s="0" t="inlineStr">
        <is>
          <t xml:space="preserve">Mazda</t>
        </is>
      </c>
      <c r="F23389" s="0" t="inlineStr">
        <is>
          <t xml:space="preserve">Mazda</t>
        </is>
      </c>
      <c r="G23389" s="0" t="s">
        <v>171</v>
      </c>
      <c r="H23389" s="5">
        <v>7.448600</v>
      </c>
    </row>
    <row r="23390" spans="1:9">
      <c r="A23390" s="22" t="str">
        <f>HYPERLINK("https://app.vivvix.com/360/KMI/IntelliDrive/ApplUI/Pages/CreativePages/CustomReportCreativeDetail.aspx?App=23&amp;ReportView=4&amp;Qid=1711279&amp;Row=23382&amp;Col=1","No Title Assigned - #15281999547")</f>
        <v/>
      </c>
      <c r="B23390" s="0" t="s">
        <v>31193</v>
      </c>
      <c r="C23390" s="0" t="s">
        <v>31194</v>
      </c>
      <c r="D23390" s="0" t="s">
        <v>31194</v>
      </c>
      <c r="E23390" s="0" t="inlineStr">
        <is>
          <t xml:space="preserve">Mazda</t>
        </is>
      </c>
      <c r="F23390" s="0" t="s">
        <v>13</v>
      </c>
      <c r="G23390" s="0" t="s">
        <v>49</v>
      </c>
      <c r="H23390" s="5">
        <v>509.602200</v>
      </c>
    </row>
    <row r="23391" spans="1:9">
      <c r="A23391" s="22" t="str">
        <f>HYPERLINK("https://app.vivvix.com/360/KMI/IntelliDrive/ApplUI/Pages/CreativePages/CustomReportCreativeDetail.aspx?App=23&amp;ReportView=4&amp;Qid=1711279&amp;Row=23383&amp;Col=1","No Title Assigned - #15282000525")</f>
        <v/>
      </c>
      <c r="B23391" s="0" t="s">
        <v>31195</v>
      </c>
      <c r="E23391" s="0" t="inlineStr">
        <is>
          <t xml:space="preserve">Mazda</t>
        </is>
      </c>
      <c r="F23391" s="0" t="s">
        <v>13</v>
      </c>
      <c r="G23391" s="0" t="s">
        <v>49</v>
      </c>
      <c r="H23391" s="5">
        <v>41.104700</v>
      </c>
    </row>
    <row r="23392" spans="1:9">
      <c r="A23392" s="22" t="str">
        <f>HYPERLINK("https://app.vivvix.com/360/KMI/IntelliDrive/ApplUI/Pages/CreativePages/CustomReportCreativeDetail.aspx?App=23&amp;ReportView=4&amp;Qid=1711279&amp;Row=23384&amp;Col=1","No Title Assigned - #15282000525")</f>
        <v/>
      </c>
      <c r="B23392" s="0" t="s">
        <v>31195</v>
      </c>
      <c r="C23392" s="0" t="s">
        <v>31196</v>
      </c>
      <c r="D23392" s="0" t="s">
        <v>31196</v>
      </c>
      <c r="E23392" s="0" t="inlineStr">
        <is>
          <t xml:space="preserve">Mazda</t>
        </is>
      </c>
      <c r="F23392" s="0" t="s">
        <v>13</v>
      </c>
      <c r="G23392" s="0" t="s">
        <v>49</v>
      </c>
      <c r="H23392" s="5">
        <v>11.281500</v>
      </c>
    </row>
    <row r="23393" spans="1:9">
      <c r="A23393" s="22" t="str">
        <f>HYPERLINK("https://app.vivvix.com/360/KMI/IntelliDrive/ApplUI/Pages/CreativePages/CustomReportCreativeDetail.aspx?App=23&amp;ReportView=4&amp;Qid=1711279&amp;Row=23385&amp;Col=1","No Title Assigned - #15282000561")</f>
        <v/>
      </c>
      <c r="B23393" s="0" t="s">
        <v>31197</v>
      </c>
      <c r="C23393" s="0" t="s">
        <v>31198</v>
      </c>
      <c r="D23393" s="0" t="s">
        <v>31198</v>
      </c>
      <c r="E23393" s="0" t="inlineStr">
        <is>
          <t xml:space="preserve">Mazda</t>
        </is>
      </c>
      <c r="F23393" s="0" t="s">
        <v>13</v>
      </c>
      <c r="G23393" s="0" t="s">
        <v>49</v>
      </c>
      <c r="H23393" s="5">
        <v>3053.376300</v>
      </c>
    </row>
    <row r="23394" spans="1:9">
      <c r="A23394" s="22" t="str">
        <f>HYPERLINK("https://app.vivvix.com/360/KMI/IntelliDrive/ApplUI/Pages/CreativePages/CustomReportCreativeDetail.aspx?App=23&amp;ReportView=4&amp;Qid=1711279&amp;Row=23386&amp;Col=1","No Title Assigned - #15282007722")</f>
        <v/>
      </c>
      <c r="B23394" s="0" t="s">
        <v>31199</v>
      </c>
      <c r="C23394" s="0" t="s">
        <v>31200</v>
      </c>
      <c r="D23394" s="0" t="s">
        <v>31200</v>
      </c>
      <c r="E23394" s="0" t="inlineStr">
        <is>
          <t xml:space="preserve">Mazda</t>
        </is>
      </c>
      <c r="F23394" s="0" t="s">
        <v>13</v>
      </c>
      <c r="G23394" s="0" t="s">
        <v>49</v>
      </c>
      <c r="H23394" s="5">
        <v>71.852700</v>
      </c>
    </row>
    <row r="23395" spans="1:9">
      <c r="A23395" s="22" t="str">
        <f>HYPERLINK("https://app.vivvix.com/360/KMI/IntelliDrive/ApplUI/Pages/CreativePages/CustomReportCreativeDetail.aspx?App=23&amp;ReportView=4&amp;Qid=1711279&amp;Row=23387&amp;Col=1","No Title Assigned - #15282008114")</f>
        <v/>
      </c>
      <c r="B23395" s="0" t="s">
        <v>31201</v>
      </c>
      <c r="C23395" s="0" t="s">
        <v>31202</v>
      </c>
      <c r="D23395" s="0" t="s">
        <v>31202</v>
      </c>
      <c r="E23395" s="0" t="inlineStr">
        <is>
          <t xml:space="preserve">Mazda</t>
        </is>
      </c>
      <c r="F23395" s="0" t="s">
        <v>13</v>
      </c>
      <c r="G23395" s="0" t="s">
        <v>49</v>
      </c>
      <c r="H23395" s="5">
        <v>1079.494800</v>
      </c>
    </row>
    <row r="23396" spans="1:9">
      <c r="A23396" s="22" t="str">
        <f>HYPERLINK("https://app.vivvix.com/360/KMI/IntelliDrive/ApplUI/Pages/CreativePages/CustomReportCreativeDetail.aspx?App=23&amp;ReportView=4&amp;Qid=1711279&amp;Row=23388&amp;Col=1","No Title Assigned - #15282008119")</f>
        <v/>
      </c>
      <c r="B23396" s="0" t="s">
        <v>31203</v>
      </c>
      <c r="C23396" s="0" t="s">
        <v>31204</v>
      </c>
      <c r="D23396" s="0" t="s">
        <v>31204</v>
      </c>
      <c r="E23396" s="0" t="inlineStr">
        <is>
          <t xml:space="preserve">Mazda</t>
        </is>
      </c>
      <c r="F23396" s="0" t="s">
        <v>13</v>
      </c>
      <c r="G23396" s="0" t="s">
        <v>49</v>
      </c>
      <c r="H23396" s="5">
        <v>28.383000</v>
      </c>
    </row>
    <row r="23397" spans="1:9">
      <c r="A23397" s="22" t="str">
        <f>HYPERLINK("https://app.vivvix.com/360/KMI/IntelliDrive/ApplUI/Pages/CreativePages/CustomReportCreativeDetail.aspx?App=23&amp;ReportView=4&amp;Qid=1711279&amp;Row=23389&amp;Col=1","No Title Assigned - #15282009135")</f>
        <v/>
      </c>
      <c r="B23397" s="0" t="s">
        <v>31205</v>
      </c>
      <c r="C23397" s="0" t="s">
        <v>31206</v>
      </c>
      <c r="D23397" s="0" t="s">
        <v>9574</v>
      </c>
      <c r="E23397" s="0" t="inlineStr">
        <is>
          <t xml:space="preserve">Mazda</t>
        </is>
      </c>
      <c r="F23397" s="0" t="s">
        <v>13</v>
      </c>
      <c r="G23397" s="0" t="s">
        <v>49</v>
      </c>
      <c r="H23397" s="5">
        <v>239.233600</v>
      </c>
    </row>
    <row r="23398" spans="1:9">
      <c r="A23398" s="22" t="str">
        <f>HYPERLINK("https://app.vivvix.com/360/KMI/IntelliDrive/ApplUI/Pages/CreativePages/CustomReportCreativeDetail.aspx?App=23&amp;ReportView=4&amp;Qid=1711279&amp;Row=23390&amp;Col=1","No Title Assigned - #15282009738")</f>
        <v/>
      </c>
      <c r="B23398" s="0" t="s">
        <v>31207</v>
      </c>
      <c r="C23398" s="0" t="s">
        <v>31208</v>
      </c>
      <c r="D23398" s="0" t="s">
        <v>11499</v>
      </c>
      <c r="E23398" s="0" t="inlineStr">
        <is>
          <t xml:space="preserve">Mazda</t>
        </is>
      </c>
      <c r="F23398" s="0" t="s">
        <v>13</v>
      </c>
      <c r="G23398" s="0" t="s">
        <v>49</v>
      </c>
      <c r="H23398" s="5">
        <v>422.538900</v>
      </c>
    </row>
    <row r="23399" spans="1:9">
      <c r="A23399" s="22" t="str">
        <f>HYPERLINK("https://app.vivvix.com/360/KMI/IntelliDrive/ApplUI/Pages/CreativePages/CustomReportCreativeDetail.aspx?App=23&amp;ReportView=4&amp;Qid=1711279&amp;Row=23391&amp;Col=1","No Title Assigned - #15282009812")</f>
        <v/>
      </c>
      <c r="B23399" s="0" t="s">
        <v>31209</v>
      </c>
      <c r="E23399" s="0" t="inlineStr">
        <is>
          <t xml:space="preserve">Mazda</t>
        </is>
      </c>
      <c r="F23399" s="0" t="inlineStr">
        <is>
          <t xml:space="preserve">Mazda</t>
        </is>
      </c>
      <c r="G23399" s="0" t="s">
        <v>171</v>
      </c>
      <c r="H23399" s="5">
        <v>3867.142700</v>
      </c>
    </row>
    <row r="23400" spans="1:9">
      <c r="A23400" s="22" t="str">
        <f>HYPERLINK("https://app.vivvix.com/360/KMI/IntelliDrive/ApplUI/Pages/CreativePages/CustomReportCreativeDetail.aspx?App=23&amp;ReportView=4&amp;Qid=1711279&amp;Row=23392&amp;Col=1","No Title Assigned - #15282012223")</f>
        <v/>
      </c>
      <c r="B23400" s="0" t="s">
        <v>31210</v>
      </c>
      <c r="C23400" s="0" t="s">
        <v>31211</v>
      </c>
      <c r="D23400" s="0" t="s">
        <v>31211</v>
      </c>
      <c r="E23400" s="0" t="inlineStr">
        <is>
          <t xml:space="preserve">Mazda</t>
        </is>
      </c>
      <c r="F23400" s="0" t="s">
        <v>13</v>
      </c>
      <c r="G23400" s="0" t="s">
        <v>49</v>
      </c>
      <c r="H23400" s="5">
        <v>11.920200</v>
      </c>
    </row>
    <row r="23401" spans="1:9">
      <c r="A23401" s="22" t="str">
        <f>HYPERLINK("https://app.vivvix.com/360/KMI/IntelliDrive/ApplUI/Pages/CreativePages/CustomReportCreativeDetail.aspx?App=23&amp;ReportView=4&amp;Qid=1711279&amp;Row=23393&amp;Col=1","No Title Assigned - #15282012435")</f>
        <v/>
      </c>
      <c r="B23401" s="0" t="s">
        <v>31212</v>
      </c>
      <c r="C23401" s="0" t="s">
        <v>31213</v>
      </c>
      <c r="D23401" s="0" t="s">
        <v>31213</v>
      </c>
      <c r="E23401" s="0" t="inlineStr">
        <is>
          <t xml:space="preserve">Mazda</t>
        </is>
      </c>
      <c r="F23401" s="0" t="inlineStr">
        <is>
          <t xml:space="preserve">Mazda</t>
        </is>
      </c>
      <c r="G23401" s="0" t="s">
        <v>210</v>
      </c>
      <c r="H23401" s="5">
        <v>278.215000</v>
      </c>
    </row>
    <row r="23402" spans="1:9">
      <c r="A23402" s="22" t="str">
        <f>HYPERLINK("https://app.vivvix.com/360/KMI/IntelliDrive/ApplUI/Pages/CreativePages/CustomReportCreativeDetail.aspx?App=23&amp;ReportView=4&amp;Qid=1711279&amp;Row=23394&amp;Col=1","No Title Assigned - #15282012435")</f>
        <v/>
      </c>
      <c r="B23402" s="0" t="s">
        <v>31212</v>
      </c>
      <c r="C23402" s="0" t="s">
        <v>31214</v>
      </c>
      <c r="D23402" s="0" t="s">
        <v>31214</v>
      </c>
      <c r="E23402" s="0" t="inlineStr">
        <is>
          <t xml:space="preserve">Mazda</t>
        </is>
      </c>
      <c r="F23402" s="0" t="inlineStr">
        <is>
          <t xml:space="preserve">Mazda</t>
        </is>
      </c>
      <c r="G23402" s="0" t="s">
        <v>210</v>
      </c>
      <c r="H23402" s="5">
        <v>63.172600</v>
      </c>
    </row>
    <row r="23403" spans="1:9">
      <c r="A23403" s="22" t="str">
        <f>HYPERLINK("https://app.vivvix.com/360/KMI/IntelliDrive/ApplUI/Pages/CreativePages/CustomReportCreativeDetail.aspx?App=23&amp;ReportView=4&amp;Qid=1711279&amp;Row=23395&amp;Col=1","No Title Assigned - #15282013797")</f>
        <v/>
      </c>
      <c r="B23403" s="0" t="s">
        <v>31215</v>
      </c>
      <c r="C23403" s="0" t="s">
        <v>31216</v>
      </c>
      <c r="D23403" s="0" t="s">
        <v>31216</v>
      </c>
      <c r="E23403" s="0" t="inlineStr">
        <is>
          <t xml:space="preserve">Mazda</t>
        </is>
      </c>
      <c r="F23403" s="0" t="s">
        <v>13</v>
      </c>
      <c r="G23403" s="0" t="s">
        <v>49</v>
      </c>
      <c r="H23403" s="5">
        <v>17135.136300</v>
      </c>
    </row>
    <row r="23404" spans="1:9">
      <c r="A23404" s="22" t="str">
        <f>HYPERLINK("https://app.vivvix.com/360/KMI/IntelliDrive/ApplUI/Pages/CreativePages/CustomReportCreativeDetail.aspx?App=23&amp;ReportView=4&amp;Qid=1711279&amp;Row=23396&amp;Col=1","No Title Assigned - #15282015029")</f>
        <v/>
      </c>
      <c r="B23404" s="0" t="s">
        <v>31217</v>
      </c>
      <c r="C23404" s="0" t="s">
        <v>31218</v>
      </c>
      <c r="D23404" s="0" t="s">
        <v>31218</v>
      </c>
      <c r="E23404" s="0" t="inlineStr">
        <is>
          <t xml:space="preserve">Mazda</t>
        </is>
      </c>
      <c r="F23404" s="0" t="s">
        <v>28</v>
      </c>
      <c r="G23404" s="0" t="s">
        <v>29</v>
      </c>
      <c r="H23404" s="5">
        <v>200.836900</v>
      </c>
    </row>
    <row r="23405" spans="1:9">
      <c r="A23405" s="22" t="str">
        <f>HYPERLINK("https://app.vivvix.com/360/KMI/IntelliDrive/ApplUI/Pages/CreativePages/CustomReportCreativeDetail.aspx?App=23&amp;ReportView=4&amp;Qid=1711279&amp;Row=23397&amp;Col=1","No Title Assigned - #15282016504")</f>
        <v/>
      </c>
      <c r="B23405" s="0" t="s">
        <v>31219</v>
      </c>
      <c r="E23405" s="0" t="inlineStr">
        <is>
          <t xml:space="preserve">Mazda</t>
        </is>
      </c>
      <c r="F23405" s="0" t="s">
        <v>13</v>
      </c>
      <c r="G23405" s="0" t="s">
        <v>49</v>
      </c>
      <c r="H23405" s="5">
        <v>29.535700</v>
      </c>
    </row>
    <row r="23406" spans="1:9">
      <c r="A23406" s="22" t="str">
        <f>HYPERLINK("https://app.vivvix.com/360/KMI/IntelliDrive/ApplUI/Pages/CreativePages/CustomReportCreativeDetail.aspx?App=23&amp;ReportView=4&amp;Qid=1711279&amp;Row=23398&amp;Col=1","No Title Assigned - #15282017339")</f>
        <v/>
      </c>
      <c r="B23406" s="0" t="s">
        <v>31220</v>
      </c>
      <c r="C23406" s="0" t="s">
        <v>31221</v>
      </c>
      <c r="D23406" s="0" t="s">
        <v>31221</v>
      </c>
      <c r="E23406" s="0" t="inlineStr">
        <is>
          <t xml:space="preserve">Mazda</t>
        </is>
      </c>
      <c r="F23406" s="0" t="s">
        <v>13</v>
      </c>
      <c r="G23406" s="0" t="s">
        <v>49</v>
      </c>
      <c r="H23406" s="5">
        <v>249.796400</v>
      </c>
    </row>
    <row r="23407" spans="1:9">
      <c r="A23407" s="22" t="str">
        <f>HYPERLINK("https://app.vivvix.com/360/KMI/IntelliDrive/ApplUI/Pages/CreativePages/CustomReportCreativeDetail.aspx?App=23&amp;ReportView=4&amp;Qid=1711279&amp;Row=23399&amp;Col=1","No Title Assigned - #15282019441")</f>
        <v/>
      </c>
      <c r="B23407" s="0" t="s">
        <v>31222</v>
      </c>
      <c r="C23407" s="0" t="s">
        <v>31223</v>
      </c>
      <c r="D23407" s="0" t="s">
        <v>18549</v>
      </c>
      <c r="E23407" s="0" t="inlineStr">
        <is>
          <t xml:space="preserve">Mazda</t>
        </is>
      </c>
      <c r="F23407" s="0" t="s">
        <v>13</v>
      </c>
      <c r="G23407" s="0" t="s">
        <v>49</v>
      </c>
      <c r="H23407" s="5">
        <v>9.383400</v>
      </c>
    </row>
    <row r="23408" spans="1:9">
      <c r="A23408" s="22" t="str">
        <f>HYPERLINK("https://app.vivvix.com/360/KMI/IntelliDrive/ApplUI/Pages/CreativePages/CustomReportCreativeDetail.aspx?App=23&amp;ReportView=4&amp;Qid=1711279&amp;Row=23400&amp;Col=1","No Title Assigned - #15282019596")</f>
        <v/>
      </c>
      <c r="B23408" s="0" t="s">
        <v>31224</v>
      </c>
      <c r="C23408" s="0" t="s">
        <v>31225</v>
      </c>
      <c r="D23408" s="0" t="s">
        <v>9167</v>
      </c>
      <c r="E23408" s="0" t="inlineStr">
        <is>
          <t xml:space="preserve">Mazda</t>
        </is>
      </c>
      <c r="F23408" s="0" t="s">
        <v>13</v>
      </c>
      <c r="G23408" s="0" t="s">
        <v>49</v>
      </c>
      <c r="H23408" s="5">
        <v>52.799000</v>
      </c>
    </row>
    <row r="23409" spans="1:9">
      <c r="A23409" s="22" t="str">
        <f>HYPERLINK("https://app.vivvix.com/360/KMI/IntelliDrive/ApplUI/Pages/CreativePages/CustomReportCreativeDetail.aspx?App=23&amp;ReportView=4&amp;Qid=1711279&amp;Row=23401&amp;Col=1","No Title Assigned - #15282019665")</f>
        <v/>
      </c>
      <c r="B23409" s="0" t="s">
        <v>31226</v>
      </c>
      <c r="C23409" s="0" t="s">
        <v>31227</v>
      </c>
      <c r="D23409" s="0" t="s">
        <v>11499</v>
      </c>
      <c r="E23409" s="0" t="inlineStr">
        <is>
          <t xml:space="preserve">Mazda</t>
        </is>
      </c>
      <c r="F23409" s="0" t="s">
        <v>13</v>
      </c>
      <c r="G23409" s="0" t="s">
        <v>49</v>
      </c>
      <c r="H23409" s="5">
        <v>13.570400</v>
      </c>
    </row>
    <row r="23410" spans="1:9">
      <c r="A23410" s="22" t="str">
        <f>HYPERLINK("https://app.vivvix.com/360/KMI/IntelliDrive/ApplUI/Pages/CreativePages/CustomReportCreativeDetail.aspx?App=23&amp;ReportView=4&amp;Qid=1711279&amp;Row=23402&amp;Col=1","No Title Assigned - #15282019891")</f>
        <v/>
      </c>
      <c r="B23410" s="0" t="s">
        <v>31228</v>
      </c>
      <c r="C23410" s="0" t="s">
        <v>31229</v>
      </c>
      <c r="D23410" s="0" t="s">
        <v>31229</v>
      </c>
      <c r="E23410" s="0" t="inlineStr">
        <is>
          <t xml:space="preserve">Mazda</t>
        </is>
      </c>
      <c r="F23410" s="0" t="s">
        <v>13</v>
      </c>
      <c r="G23410" s="0" t="s">
        <v>49</v>
      </c>
      <c r="H23410" s="5">
        <v>71.852700</v>
      </c>
    </row>
    <row r="23411" spans="1:9">
      <c r="A23411" s="22" t="str">
        <f>HYPERLINK("https://app.vivvix.com/360/KMI/IntelliDrive/ApplUI/Pages/CreativePages/CustomReportCreativeDetail.aspx?App=23&amp;ReportView=4&amp;Qid=1711279&amp;Row=23403&amp;Col=1","No Title Assigned - #15282019934")</f>
        <v/>
      </c>
      <c r="B23411" s="0" t="s">
        <v>31230</v>
      </c>
      <c r="C23411" s="0" t="s">
        <v>31231</v>
      </c>
      <c r="D23411" s="0" t="s">
        <v>15819</v>
      </c>
      <c r="E23411" s="0" t="inlineStr">
        <is>
          <t xml:space="preserve">Mazda</t>
        </is>
      </c>
      <c r="F23411" s="0" t="s">
        <v>13</v>
      </c>
      <c r="G23411" s="0" t="s">
        <v>49</v>
      </c>
      <c r="H23411" s="5">
        <v>71.852700</v>
      </c>
    </row>
    <row r="23412" spans="1:9">
      <c r="A23412" s="22" t="str">
        <f>HYPERLINK("https://app.vivvix.com/360/KMI/IntelliDrive/ApplUI/Pages/CreativePages/CustomReportCreativeDetail.aspx?App=23&amp;ReportView=4&amp;Qid=1711279&amp;Row=23404&amp;Col=1","No Title Assigned - #15282020066")</f>
        <v/>
      </c>
      <c r="B23412" s="0" t="s">
        <v>31232</v>
      </c>
      <c r="E23412" s="0" t="inlineStr">
        <is>
          <t xml:space="preserve">Mazda</t>
        </is>
      </c>
      <c r="F23412" s="0" t="inlineStr">
        <is>
          <t xml:space="preserve">Mazda</t>
        </is>
      </c>
      <c r="G23412" s="0" t="s">
        <v>171</v>
      </c>
      <c r="H23412" s="5">
        <v>38.603200</v>
      </c>
    </row>
    <row r="23413" spans="1:9">
      <c r="A23413" s="22" t="str">
        <f>HYPERLINK("https://app.vivvix.com/360/KMI/IntelliDrive/ApplUI/Pages/CreativePages/CustomReportCreativeDetail.aspx?App=23&amp;ReportView=4&amp;Qid=1711279&amp;Row=23405&amp;Col=1","No Title Assigned - #15282020449")</f>
        <v/>
      </c>
      <c r="B23413" s="0" t="s">
        <v>31233</v>
      </c>
      <c r="E23413" s="0" t="inlineStr">
        <is>
          <t xml:space="preserve">Mazda</t>
        </is>
      </c>
      <c r="F23413" s="0" t="inlineStr">
        <is>
          <t xml:space="preserve">Mazda</t>
        </is>
      </c>
      <c r="G23413" s="0" t="s">
        <v>171</v>
      </c>
      <c r="H23413" s="5">
        <v>15.843000</v>
      </c>
    </row>
    <row r="23414" spans="1:9">
      <c r="A23414" s="22" t="str">
        <f>HYPERLINK("https://app.vivvix.com/360/KMI/IntelliDrive/ApplUI/Pages/CreativePages/CustomReportCreativeDetail.aspx?App=23&amp;ReportView=4&amp;Qid=1711279&amp;Row=23406&amp;Col=1","No Title Assigned - #15282020694")</f>
        <v/>
      </c>
      <c r="B23414" s="0" t="s">
        <v>31234</v>
      </c>
      <c r="E23414" s="0" t="inlineStr">
        <is>
          <t xml:space="preserve">Mazda</t>
        </is>
      </c>
      <c r="F23414" s="0" t="inlineStr">
        <is>
          <t xml:space="preserve">Mazda</t>
        </is>
      </c>
      <c r="G23414" s="0" t="s">
        <v>171</v>
      </c>
      <c r="H23414" s="5">
        <v>280.635900</v>
      </c>
    </row>
    <row r="23415" spans="1:9">
      <c r="A23415" s="22" t="str">
        <f>HYPERLINK("https://app.vivvix.com/360/KMI/IntelliDrive/ApplUI/Pages/CreativePages/CustomReportCreativeDetail.aspx?App=23&amp;ReportView=4&amp;Qid=1711279&amp;Row=23407&amp;Col=1","No Title Assigned - #15282020696")</f>
        <v/>
      </c>
      <c r="B23415" s="0" t="s">
        <v>31235</v>
      </c>
      <c r="E23415" s="0" t="inlineStr">
        <is>
          <t xml:space="preserve">Mazda</t>
        </is>
      </c>
      <c r="F23415" s="0" t="inlineStr">
        <is>
          <t xml:space="preserve">Mazda</t>
        </is>
      </c>
      <c r="G23415" s="0" t="s">
        <v>171</v>
      </c>
      <c r="H23415" s="5">
        <v>43.722900</v>
      </c>
    </row>
    <row r="23416" spans="1:9">
      <c r="A23416" s="22" t="str">
        <f>HYPERLINK("https://app.vivvix.com/360/KMI/IntelliDrive/ApplUI/Pages/CreativePages/CustomReportCreativeDetail.aspx?App=23&amp;ReportView=4&amp;Qid=1711279&amp;Row=23408&amp;Col=1","No Title Assigned - #15282021341")</f>
        <v/>
      </c>
      <c r="B23416" s="0" t="s">
        <v>31236</v>
      </c>
      <c r="E23416" s="0" t="inlineStr">
        <is>
          <t xml:space="preserve">Mazda</t>
        </is>
      </c>
      <c r="F23416" s="0" t="inlineStr">
        <is>
          <t xml:space="preserve">Mazda</t>
        </is>
      </c>
      <c r="G23416" s="0" t="s">
        <v>171</v>
      </c>
      <c r="H23416" s="5">
        <v>728.973900</v>
      </c>
    </row>
    <row r="23417" spans="1:9">
      <c r="A23417" s="22" t="str">
        <f>HYPERLINK("https://app.vivvix.com/360/KMI/IntelliDrive/ApplUI/Pages/CreativePages/CustomReportCreativeDetail.aspx?App=23&amp;ReportView=4&amp;Qid=1711279&amp;Row=23409&amp;Col=1","No Title Assigned - #15282021715")</f>
        <v/>
      </c>
      <c r="B23417" s="0" t="s">
        <v>31237</v>
      </c>
      <c r="E23417" s="0" t="inlineStr">
        <is>
          <t xml:space="preserve">Mazda</t>
        </is>
      </c>
      <c r="F23417" s="0" t="inlineStr">
        <is>
          <t xml:space="preserve">Mazda</t>
        </is>
      </c>
      <c r="G23417" s="0" t="s">
        <v>171</v>
      </c>
      <c r="H23417" s="5">
        <v>59165.580600</v>
      </c>
    </row>
    <row r="23418" spans="1:9">
      <c r="A23418" s="22" t="str">
        <f>HYPERLINK("https://app.vivvix.com/360/KMI/IntelliDrive/ApplUI/Pages/CreativePages/CustomReportCreativeDetail.aspx?App=23&amp;ReportView=4&amp;Qid=1711279&amp;Row=23410&amp;Col=1","No Title Assigned - #15282023332")</f>
        <v/>
      </c>
      <c r="B23418" s="0" t="s">
        <v>31238</v>
      </c>
      <c r="E23418" s="0" t="inlineStr">
        <is>
          <t xml:space="preserve">Mazda</t>
        </is>
      </c>
      <c r="F23418" s="0" t="inlineStr">
        <is>
          <t xml:space="preserve">Mazda</t>
        </is>
      </c>
      <c r="G23418" s="0" t="s">
        <v>171</v>
      </c>
      <c r="H23418" s="5">
        <v>573.736500</v>
      </c>
    </row>
    <row r="23419" spans="1:9">
      <c r="A23419" s="22" t="str">
        <f>HYPERLINK("https://app.vivvix.com/360/KMI/IntelliDrive/ApplUI/Pages/CreativePages/CustomReportCreativeDetail.aspx?App=23&amp;ReportView=4&amp;Qid=1711279&amp;Row=23411&amp;Col=1","No Title Assigned - #15282025749")</f>
        <v/>
      </c>
      <c r="B23419" s="0" t="s">
        <v>31239</v>
      </c>
      <c r="E23419" s="0" t="inlineStr">
        <is>
          <t xml:space="preserve">Mazda</t>
        </is>
      </c>
      <c r="F23419" s="0" t="inlineStr">
        <is>
          <t xml:space="preserve">Mazda</t>
        </is>
      </c>
      <c r="G23419" s="0" t="s">
        <v>171</v>
      </c>
      <c r="H23419" s="5">
        <v>25884.241000</v>
      </c>
    </row>
    <row r="23420" spans="1:9">
      <c r="A23420" s="22" t="str">
        <f>HYPERLINK("https://app.vivvix.com/360/KMI/IntelliDrive/ApplUI/Pages/CreativePages/CustomReportCreativeDetail.aspx?App=23&amp;ReportView=4&amp;Qid=1711279&amp;Row=23412&amp;Col=1","No Title Assigned - #15282025926")</f>
        <v/>
      </c>
      <c r="B23420" s="0" t="s">
        <v>31240</v>
      </c>
      <c r="E23420" s="0" t="inlineStr">
        <is>
          <t xml:space="preserve">Mazda</t>
        </is>
      </c>
      <c r="F23420" s="0" t="inlineStr">
        <is>
          <t xml:space="preserve">Mazda</t>
        </is>
      </c>
      <c r="G23420" s="0" t="s">
        <v>171</v>
      </c>
      <c r="H23420" s="5">
        <v>127.800200</v>
      </c>
    </row>
    <row r="23421" spans="1:9">
      <c r="A23421" s="22" t="str">
        <f>HYPERLINK("https://app.vivvix.com/360/KMI/IntelliDrive/ApplUI/Pages/CreativePages/CustomReportCreativeDetail.aspx?App=23&amp;ReportView=4&amp;Qid=1711279&amp;Row=23413&amp;Col=1","No Title Assigned - #15282025986")</f>
        <v/>
      </c>
      <c r="B23421" s="0" t="s">
        <v>31241</v>
      </c>
      <c r="E23421" s="0" t="inlineStr">
        <is>
          <t xml:space="preserve">Mazda</t>
        </is>
      </c>
      <c r="F23421" s="0" t="inlineStr">
        <is>
          <t xml:space="preserve">Mazda</t>
        </is>
      </c>
      <c r="G23421" s="0" t="s">
        <v>171</v>
      </c>
      <c r="H23421" s="5">
        <v>35.643600</v>
      </c>
    </row>
    <row r="23422" spans="1:9">
      <c r="A23422" s="22" t="str">
        <f>HYPERLINK("https://app.vivvix.com/360/KMI/IntelliDrive/ApplUI/Pages/CreativePages/CustomReportCreativeDetail.aspx?App=23&amp;ReportView=4&amp;Qid=1711279&amp;Row=23414&amp;Col=1","No Title Assigned - #15282026727")</f>
        <v/>
      </c>
      <c r="B23422" s="0" t="s">
        <v>31242</v>
      </c>
      <c r="E23422" s="0" t="inlineStr">
        <is>
          <t xml:space="preserve">Mazda</t>
        </is>
      </c>
      <c r="F23422" s="0" t="inlineStr">
        <is>
          <t xml:space="preserve">Mazda</t>
        </is>
      </c>
      <c r="G23422" s="0" t="s">
        <v>171</v>
      </c>
      <c r="H23422" s="5">
        <v>152.976400</v>
      </c>
    </row>
    <row r="23423" spans="1:9">
      <c r="A23423" s="22" t="str">
        <f>HYPERLINK("https://app.vivvix.com/360/KMI/IntelliDrive/ApplUI/Pages/CreativePages/CustomReportCreativeDetail.aspx?App=23&amp;ReportView=4&amp;Qid=1711279&amp;Row=23415&amp;Col=1","No Title Assigned - #15282027691")</f>
        <v/>
      </c>
      <c r="B23423" s="0" t="s">
        <v>31243</v>
      </c>
      <c r="E23423" s="0" t="inlineStr">
        <is>
          <t xml:space="preserve">Mazda</t>
        </is>
      </c>
      <c r="F23423" s="0" t="inlineStr">
        <is>
          <t xml:space="preserve">Mazda</t>
        </is>
      </c>
      <c r="G23423" s="0" t="s">
        <v>171</v>
      </c>
      <c r="H23423" s="5">
        <v>54.709600</v>
      </c>
    </row>
    <row r="23424" spans="1:9">
      <c r="A23424" s="22" t="str">
        <f>HYPERLINK("https://app.vivvix.com/360/KMI/IntelliDrive/ApplUI/Pages/CreativePages/CustomReportCreativeDetail.aspx?App=23&amp;ReportView=4&amp;Qid=1711279&amp;Row=23416&amp;Col=1","No Title Assigned - #15282031914")</f>
        <v/>
      </c>
      <c r="B23424" s="0" t="s">
        <v>31244</v>
      </c>
      <c r="C23424" s="0" t="s">
        <v>31245</v>
      </c>
      <c r="D23424" s="0" t="s">
        <v>31245</v>
      </c>
      <c r="E23424" s="0" t="inlineStr">
        <is>
          <t xml:space="preserve">Mazda</t>
        </is>
      </c>
      <c r="F23424" s="0" t="s">
        <v>17</v>
      </c>
      <c r="G23424" s="0" t="s">
        <v>33</v>
      </c>
      <c r="H23424" s="5">
        <v>287.448200</v>
      </c>
    </row>
    <row r="23425" spans="1:9">
      <c r="A23425" s="22" t="str">
        <f>HYPERLINK("https://app.vivvix.com/360/KMI/IntelliDrive/ApplUI/Pages/CreativePages/CustomReportCreativeDetail.aspx?App=23&amp;ReportView=4&amp;Qid=1711279&amp;Row=23417&amp;Col=1","No Title Assigned - #15282032041")</f>
        <v/>
      </c>
      <c r="B23425" s="0" t="s">
        <v>31246</v>
      </c>
      <c r="C23425" s="0" t="s">
        <v>31247</v>
      </c>
      <c r="D23425" s="0" t="s">
        <v>31247</v>
      </c>
      <c r="E23425" s="0" t="inlineStr">
        <is>
          <t xml:space="preserve">Mazda</t>
        </is>
      </c>
      <c r="F23425" s="0" t="s">
        <v>13</v>
      </c>
      <c r="G23425" s="0" t="s">
        <v>49</v>
      </c>
      <c r="H23425" s="5">
        <v>36.954400</v>
      </c>
    </row>
    <row r="23426" spans="1:9">
      <c r="A23426" s="22" t="str">
        <f>HYPERLINK("https://app.vivvix.com/360/KMI/IntelliDrive/ApplUI/Pages/CreativePages/CustomReportCreativeDetail.aspx?App=23&amp;ReportView=4&amp;Qid=1711279&amp;Row=23418&amp;Col=1","No Title Assigned - #15282038787")</f>
        <v/>
      </c>
      <c r="B23426" s="0" t="s">
        <v>31248</v>
      </c>
      <c r="C23426" s="0" t="s">
        <v>31249</v>
      </c>
      <c r="D23426" s="0" t="s">
        <v>31249</v>
      </c>
      <c r="E23426" s="0" t="inlineStr">
        <is>
          <t xml:space="preserve">Mazda</t>
        </is>
      </c>
      <c r="F23426" s="0" t="s">
        <v>13</v>
      </c>
      <c r="G23426" s="0" t="s">
        <v>49</v>
      </c>
      <c r="H23426" s="5">
        <v>50.252600</v>
      </c>
    </row>
    <row r="23427" spans="1:9">
      <c r="A23427" s="22" t="str">
        <f>HYPERLINK("https://app.vivvix.com/360/KMI/IntelliDrive/ApplUI/Pages/CreativePages/CustomReportCreativeDetail.aspx?App=23&amp;ReportView=4&amp;Qid=1711279&amp;Row=23419&amp;Col=1","No Title Assigned - #15282040421")</f>
        <v/>
      </c>
      <c r="B23427" s="0" t="s">
        <v>31250</v>
      </c>
      <c r="C23427" s="0" t="s">
        <v>31251</v>
      </c>
      <c r="D23427" s="0" t="s">
        <v>31251</v>
      </c>
      <c r="E23427" s="0" t="inlineStr">
        <is>
          <t xml:space="preserve">Mazda</t>
        </is>
      </c>
      <c r="F23427" s="0" t="s">
        <v>13</v>
      </c>
      <c r="G23427" s="0" t="s">
        <v>49</v>
      </c>
      <c r="H23427" s="5">
        <v>5126.460000</v>
      </c>
    </row>
    <row r="23428" spans="1:9">
      <c r="A23428" s="22" t="str">
        <f>HYPERLINK("https://app.vivvix.com/360/KMI/IntelliDrive/ApplUI/Pages/CreativePages/CustomReportCreativeDetail.aspx?App=23&amp;ReportView=4&amp;Qid=1711279&amp;Row=23420&amp;Col=1","No Title Assigned - #15282041201")</f>
        <v/>
      </c>
      <c r="B23428" s="0" t="s">
        <v>31252</v>
      </c>
      <c r="C23428" s="0" t="s">
        <v>31253</v>
      </c>
      <c r="D23428" s="0" t="s">
        <v>31253</v>
      </c>
      <c r="E23428" s="0" t="inlineStr">
        <is>
          <t xml:space="preserve">Mazda</t>
        </is>
      </c>
      <c r="F23428" s="0" t="s">
        <v>13</v>
      </c>
      <c r="G23428" s="0" t="s">
        <v>49</v>
      </c>
      <c r="H23428" s="5">
        <v>3413.487000</v>
      </c>
    </row>
    <row r="23429" spans="1:9">
      <c r="A23429" s="22" t="str">
        <f>HYPERLINK("https://app.vivvix.com/360/KMI/IntelliDrive/ApplUI/Pages/CreativePages/CustomReportCreativeDetail.aspx?App=23&amp;ReportView=4&amp;Qid=1711279&amp;Row=23421&amp;Col=1","No Title Assigned - #15282043002")</f>
        <v/>
      </c>
      <c r="B23429" s="0" t="s">
        <v>31254</v>
      </c>
      <c r="E23429" s="0" t="inlineStr">
        <is>
          <t xml:space="preserve">Mazda</t>
        </is>
      </c>
      <c r="F23429" s="0" t="inlineStr">
        <is>
          <t xml:space="preserve">Mazda</t>
        </is>
      </c>
      <c r="G23429" s="0" t="s">
        <v>171</v>
      </c>
      <c r="H23429" s="5">
        <v>18.241000</v>
      </c>
    </row>
    <row r="23430" spans="1:9">
      <c r="A23430" s="22" t="str">
        <f>HYPERLINK("https://app.vivvix.com/360/KMI/IntelliDrive/ApplUI/Pages/CreativePages/CustomReportCreativeDetail.aspx?App=23&amp;ReportView=4&amp;Qid=1711279&amp;Row=23422&amp;Col=1","No Title Assigned - #15282044858")</f>
        <v/>
      </c>
      <c r="B23430" s="0" t="s">
        <v>31255</v>
      </c>
      <c r="C23430" s="0" t="s">
        <v>31256</v>
      </c>
      <c r="D23430" s="0" t="s">
        <v>31256</v>
      </c>
      <c r="E23430" s="0" t="inlineStr">
        <is>
          <t xml:space="preserve">Mazda</t>
        </is>
      </c>
      <c r="F23430" s="0" t="s">
        <v>13</v>
      </c>
      <c r="G23430" s="0" t="s">
        <v>49</v>
      </c>
      <c r="H23430" s="5">
        <v>145.150400</v>
      </c>
    </row>
    <row r="23431" spans="1:9">
      <c r="A23431" s="22" t="str">
        <f>HYPERLINK("https://app.vivvix.com/360/KMI/IntelliDrive/ApplUI/Pages/CreativePages/CustomReportCreativeDetail.aspx?App=23&amp;ReportView=4&amp;Qid=1711279&amp;Row=23423&amp;Col=1","No Title Assigned - #15282046015")</f>
        <v/>
      </c>
      <c r="B23431" s="0" t="s">
        <v>31257</v>
      </c>
      <c r="C23431" s="0" t="s">
        <v>31258</v>
      </c>
      <c r="D23431" s="0" t="s">
        <v>27631</v>
      </c>
      <c r="E23431" s="0" t="inlineStr">
        <is>
          <t xml:space="preserve">Mazda</t>
        </is>
      </c>
      <c r="F23431" s="0" t="s">
        <v>13</v>
      </c>
      <c r="G23431" s="0" t="s">
        <v>49</v>
      </c>
      <c r="H23431" s="5">
        <v>6677.216100</v>
      </c>
    </row>
    <row r="23432" spans="1:9">
      <c r="A23432" s="22" t="str">
        <f>HYPERLINK("https://app.vivvix.com/360/KMI/IntelliDrive/ApplUI/Pages/CreativePages/CustomReportCreativeDetail.aspx?App=23&amp;ReportView=4&amp;Qid=1711279&amp;Row=23424&amp;Col=1","No Title Assigned - #15282046015")</f>
        <v/>
      </c>
      <c r="B23432" s="0" t="s">
        <v>31257</v>
      </c>
      <c r="E23432" s="0" t="inlineStr">
        <is>
          <t xml:space="preserve">Mazda</t>
        </is>
      </c>
      <c r="F23432" s="0" t="s">
        <v>13</v>
      </c>
      <c r="G23432" s="0" t="s">
        <v>49</v>
      </c>
      <c r="H23432" s="5">
        <v>2059.291000</v>
      </c>
    </row>
    <row r="23433" spans="1:9">
      <c r="A23433" s="22" t="str">
        <f>HYPERLINK("https://app.vivvix.com/360/KMI/IntelliDrive/ApplUI/Pages/CreativePages/CustomReportCreativeDetail.aspx?App=23&amp;ReportView=4&amp;Qid=1711279&amp;Row=23425&amp;Col=1","No Title Assigned - #15282046273")</f>
        <v/>
      </c>
      <c r="B23433" s="0" t="s">
        <v>31259</v>
      </c>
      <c r="C23433" s="0" t="s">
        <v>31260</v>
      </c>
      <c r="D23433" s="0" t="s">
        <v>31260</v>
      </c>
      <c r="E23433" s="0" t="inlineStr">
        <is>
          <t xml:space="preserve">Mazda</t>
        </is>
      </c>
      <c r="F23433" s="0" t="s">
        <v>13</v>
      </c>
      <c r="G23433" s="0" t="s">
        <v>49</v>
      </c>
      <c r="H23433" s="5">
        <v>12644.422500</v>
      </c>
    </row>
    <row r="23434" spans="1:9">
      <c r="A23434" s="22" t="str">
        <f>HYPERLINK("https://app.vivvix.com/360/KMI/IntelliDrive/ApplUI/Pages/CreativePages/CustomReportCreativeDetail.aspx?App=23&amp;ReportView=4&amp;Qid=1711279&amp;Row=23426&amp;Col=1","No Title Assigned - #15282052100")</f>
        <v/>
      </c>
      <c r="B23434" s="0" t="s">
        <v>31261</v>
      </c>
      <c r="E23434" s="0" t="inlineStr">
        <is>
          <t xml:space="preserve">Mazda</t>
        </is>
      </c>
      <c r="F23434" s="0" t="inlineStr">
        <is>
          <t xml:space="preserve">Mazda</t>
        </is>
      </c>
      <c r="G23434" s="0" t="s">
        <v>171</v>
      </c>
      <c r="H23434" s="5">
        <v>40303.539700</v>
      </c>
    </row>
    <row r="23435" spans="1:9">
      <c r="A23435" s="22" t="str">
        <f>HYPERLINK("https://app.vivvix.com/360/KMI/IntelliDrive/ApplUI/Pages/CreativePages/CustomReportCreativeDetail.aspx?App=23&amp;ReportView=4&amp;Qid=1711279&amp;Row=23427&amp;Col=1","No Title Assigned - #15282052117")</f>
        <v/>
      </c>
      <c r="B23435" s="0" t="s">
        <v>31262</v>
      </c>
      <c r="E23435" s="0" t="inlineStr">
        <is>
          <t xml:space="preserve">Mazda</t>
        </is>
      </c>
      <c r="F23435" s="0" t="inlineStr">
        <is>
          <t xml:space="preserve">Mazda</t>
        </is>
      </c>
      <c r="G23435" s="0" t="s">
        <v>171</v>
      </c>
      <c r="H23435" s="5">
        <v>15.880200</v>
      </c>
    </row>
    <row r="23436" spans="1:9">
      <c r="A23436" s="22" t="str">
        <f>HYPERLINK("https://app.vivvix.com/360/KMI/IntelliDrive/ApplUI/Pages/CreativePages/CustomReportCreativeDetail.aspx?App=23&amp;ReportView=4&amp;Qid=1711279&amp;Row=23428&amp;Col=1","No Title Assigned - #15282052627")</f>
        <v/>
      </c>
      <c r="B23436" s="0" t="s">
        <v>31263</v>
      </c>
      <c r="C23436" s="0" t="s">
        <v>31264</v>
      </c>
      <c r="D23436" s="0" t="s">
        <v>31264</v>
      </c>
      <c r="E23436" s="0" t="inlineStr">
        <is>
          <t xml:space="preserve">Mazda</t>
        </is>
      </c>
      <c r="F23436" s="0" t="inlineStr">
        <is>
          <t xml:space="preserve">Mazda</t>
        </is>
      </c>
      <c r="G23436" s="0" t="s">
        <v>171</v>
      </c>
      <c r="H23436" s="5">
        <v>4553.131200</v>
      </c>
    </row>
    <row r="23437" spans="1:9">
      <c r="A23437" s="22" t="str">
        <f>HYPERLINK("https://app.vivvix.com/360/KMI/IntelliDrive/ApplUI/Pages/CreativePages/CustomReportCreativeDetail.aspx?App=23&amp;ReportView=4&amp;Qid=1711279&amp;Row=23429&amp;Col=1","No Title Assigned - #15282052826")</f>
        <v/>
      </c>
      <c r="B23437" s="0" t="s">
        <v>31265</v>
      </c>
      <c r="E23437" s="0" t="inlineStr">
        <is>
          <t xml:space="preserve">Mazda</t>
        </is>
      </c>
      <c r="F23437" s="0" t="inlineStr">
        <is>
          <t xml:space="preserve">Mazda</t>
        </is>
      </c>
      <c r="G23437" s="0" t="s">
        <v>171</v>
      </c>
      <c r="H23437" s="5">
        <v>1154.619600</v>
      </c>
    </row>
    <row r="23438" spans="1:9">
      <c r="A23438" s="22" t="str">
        <f>HYPERLINK("https://app.vivvix.com/360/KMI/IntelliDrive/ApplUI/Pages/CreativePages/CustomReportCreativeDetail.aspx?App=23&amp;ReportView=4&amp;Qid=1711279&amp;Row=23430&amp;Col=1","No Title Assigned - #15282053033")</f>
        <v/>
      </c>
      <c r="B23438" s="0" t="s">
        <v>31266</v>
      </c>
      <c r="E23438" s="0" t="inlineStr">
        <is>
          <t xml:space="preserve">Mazda</t>
        </is>
      </c>
      <c r="F23438" s="0" t="inlineStr">
        <is>
          <t xml:space="preserve">Mazda</t>
        </is>
      </c>
      <c r="G23438" s="0" t="s">
        <v>171</v>
      </c>
      <c r="H23438" s="5">
        <v>1138.282800</v>
      </c>
    </row>
    <row r="23439" spans="1:9">
      <c r="A23439" s="22" t="str">
        <f>HYPERLINK("https://app.vivvix.com/360/KMI/IntelliDrive/ApplUI/Pages/CreativePages/CustomReportCreativeDetail.aspx?App=23&amp;ReportView=4&amp;Qid=1711279&amp;Row=23431&amp;Col=1","No Title Assigned - #15282053417")</f>
        <v/>
      </c>
      <c r="B23439" s="0" t="s">
        <v>31267</v>
      </c>
      <c r="E23439" s="0" t="inlineStr">
        <is>
          <t xml:space="preserve">Mazda</t>
        </is>
      </c>
      <c r="F23439" s="0" t="inlineStr">
        <is>
          <t xml:space="preserve">Mazda</t>
        </is>
      </c>
      <c r="G23439" s="0" t="s">
        <v>171</v>
      </c>
      <c r="H23439" s="5">
        <v>219.562000</v>
      </c>
    </row>
    <row r="23440" spans="1:9">
      <c r="A23440" s="22" t="str">
        <f>HYPERLINK("https://app.vivvix.com/360/KMI/IntelliDrive/ApplUI/Pages/CreativePages/CustomReportCreativeDetail.aspx?App=23&amp;ReportView=4&amp;Qid=1711279&amp;Row=23432&amp;Col=1","No Title Assigned - #15282053687")</f>
        <v/>
      </c>
      <c r="B23440" s="0" t="s">
        <v>31268</v>
      </c>
      <c r="E23440" s="0" t="inlineStr">
        <is>
          <t xml:space="preserve">Mazda</t>
        </is>
      </c>
      <c r="F23440" s="0" t="inlineStr">
        <is>
          <t xml:space="preserve">Mazda</t>
        </is>
      </c>
      <c r="G23440" s="0" t="s">
        <v>171</v>
      </c>
      <c r="H23440" s="5">
        <v>86.965600</v>
      </c>
    </row>
    <row r="23441" spans="1:9">
      <c r="A23441" s="22" t="str">
        <f>HYPERLINK("https://app.vivvix.com/360/KMI/IntelliDrive/ApplUI/Pages/CreativePages/CustomReportCreativeDetail.aspx?App=23&amp;ReportView=4&amp;Qid=1711279&amp;Row=23433&amp;Col=1","No Title Assigned - #15282055981")</f>
        <v/>
      </c>
      <c r="B23441" s="0" t="s">
        <v>31269</v>
      </c>
      <c r="E23441" s="0" t="inlineStr">
        <is>
          <t xml:space="preserve">Mazda</t>
        </is>
      </c>
      <c r="F23441" s="0" t="inlineStr">
        <is>
          <t xml:space="preserve">Mazda</t>
        </is>
      </c>
      <c r="G23441" s="0" t="s">
        <v>171</v>
      </c>
      <c r="H23441" s="5">
        <v>59.440500</v>
      </c>
    </row>
    <row r="23442" spans="1:9">
      <c r="A23442" s="22" t="str">
        <f>HYPERLINK("https://app.vivvix.com/360/KMI/IntelliDrive/ApplUI/Pages/CreativePages/CustomReportCreativeDetail.aspx?App=23&amp;ReportView=4&amp;Qid=1711279&amp;Row=23434&amp;Col=1","No Title Assigned - #15282058900")</f>
        <v/>
      </c>
      <c r="B23442" s="0" t="s">
        <v>31270</v>
      </c>
      <c r="E23442" s="0" t="inlineStr">
        <is>
          <t xml:space="preserve">Mazda</t>
        </is>
      </c>
      <c r="F23442" s="0" t="inlineStr">
        <is>
          <t xml:space="preserve">Mazda</t>
        </is>
      </c>
      <c r="G23442" s="0" t="s">
        <v>171</v>
      </c>
      <c r="H23442" s="5">
        <v>672.627900</v>
      </c>
    </row>
    <row r="23443" spans="1:9">
      <c r="A23443" s="22" t="str">
        <f>HYPERLINK("https://app.vivvix.com/360/KMI/IntelliDrive/ApplUI/Pages/CreativePages/CustomReportCreativeDetail.aspx?App=23&amp;ReportView=4&amp;Qid=1711279&amp;Row=23435&amp;Col=1","No Title Assigned - #15282061887")</f>
        <v/>
      </c>
      <c r="B23443" s="0" t="s">
        <v>31271</v>
      </c>
      <c r="E23443" s="0" t="inlineStr">
        <is>
          <t xml:space="preserve">Mazda</t>
        </is>
      </c>
      <c r="F23443" s="0" t="inlineStr">
        <is>
          <t xml:space="preserve">Mazda</t>
        </is>
      </c>
      <c r="G23443" s="0" t="s">
        <v>171</v>
      </c>
      <c r="H23443" s="5">
        <v>13231.325200</v>
      </c>
    </row>
    <row r="23444" spans="1:9">
      <c r="A23444" s="22" t="str">
        <f>HYPERLINK("https://app.vivvix.com/360/KMI/IntelliDrive/ApplUI/Pages/CreativePages/CustomReportCreativeDetail.aspx?App=23&amp;ReportView=4&amp;Qid=1711279&amp;Row=23436&amp;Col=1","No Title Assigned - #15282061888")</f>
        <v/>
      </c>
      <c r="B23444" s="0" t="s">
        <v>31272</v>
      </c>
      <c r="E23444" s="0" t="inlineStr">
        <is>
          <t xml:space="preserve">Mazda</t>
        </is>
      </c>
      <c r="F23444" s="0" t="inlineStr">
        <is>
          <t xml:space="preserve">Mazda</t>
        </is>
      </c>
      <c r="G23444" s="0" t="s">
        <v>171</v>
      </c>
      <c r="H23444" s="5">
        <v>13231.325200</v>
      </c>
    </row>
    <row r="23445" spans="1:9">
      <c r="A23445" s="22" t="str">
        <f>HYPERLINK("https://app.vivvix.com/360/KMI/IntelliDrive/ApplUI/Pages/CreativePages/CustomReportCreativeDetail.aspx?App=23&amp;ReportView=4&amp;Qid=1711279&amp;Row=23437&amp;Col=1","No Title Assigned - #15282064519")</f>
        <v/>
      </c>
      <c r="B23445" s="0" t="s">
        <v>31273</v>
      </c>
      <c r="C23445" s="0" t="s">
        <v>31274</v>
      </c>
      <c r="D23445" s="0" t="s">
        <v>22120</v>
      </c>
      <c r="E23445" s="0" t="inlineStr">
        <is>
          <t xml:space="preserve">Mazda</t>
        </is>
      </c>
      <c r="F23445" s="0" t="s">
        <v>13</v>
      </c>
      <c r="G23445" s="0" t="s">
        <v>49</v>
      </c>
      <c r="H23445" s="5">
        <v>475.080300</v>
      </c>
    </row>
    <row r="23446" spans="1:9">
      <c r="A23446" s="22" t="str">
        <f>HYPERLINK("https://app.vivvix.com/360/KMI/IntelliDrive/ApplUI/Pages/CreativePages/CustomReportCreativeDetail.aspx?App=23&amp;ReportView=4&amp;Qid=1711279&amp;Row=23438&amp;Col=1","No Title Assigned - #15282065168")</f>
        <v/>
      </c>
      <c r="B23446" s="0" t="s">
        <v>31275</v>
      </c>
      <c r="C23446" s="0" t="s">
        <v>31276</v>
      </c>
      <c r="D23446" s="0" t="s">
        <v>31276</v>
      </c>
      <c r="E23446" s="0" t="inlineStr">
        <is>
          <t xml:space="preserve">Mazda</t>
        </is>
      </c>
      <c r="F23446" s="0" t="s">
        <v>13</v>
      </c>
      <c r="G23446" s="0" t="s">
        <v>49</v>
      </c>
      <c r="H23446" s="5">
        <v>72.575200</v>
      </c>
    </row>
    <row r="23447" spans="1:9">
      <c r="A23447" s="22" t="str">
        <f>HYPERLINK("https://app.vivvix.com/360/KMI/IntelliDrive/ApplUI/Pages/CreativePages/CustomReportCreativeDetail.aspx?App=23&amp;ReportView=4&amp;Qid=1711279&amp;Row=23439&amp;Col=1","No Title Assigned - #15282068779")</f>
        <v/>
      </c>
      <c r="B23447" s="0" t="s">
        <v>31277</v>
      </c>
      <c r="C23447" s="0" t="s">
        <v>31278</v>
      </c>
      <c r="D23447" s="0" t="s">
        <v>31278</v>
      </c>
      <c r="E23447" s="0" t="inlineStr">
        <is>
          <t xml:space="preserve">Mazda</t>
        </is>
      </c>
      <c r="F23447" s="0" t="s">
        <v>13</v>
      </c>
      <c r="G23447" s="0" t="s">
        <v>49</v>
      </c>
      <c r="H23447" s="5">
        <v>3.583400</v>
      </c>
    </row>
    <row r="23448" spans="1:9">
      <c r="A23448" s="22" t="str">
        <f>HYPERLINK("https://app.vivvix.com/360/KMI/IntelliDrive/ApplUI/Pages/CreativePages/CustomReportCreativeDetail.aspx?App=23&amp;ReportView=4&amp;Qid=1711279&amp;Row=23440&amp;Col=1","No Title Assigned - #15282068820")</f>
        <v/>
      </c>
      <c r="B23448" s="0" t="s">
        <v>31279</v>
      </c>
      <c r="C23448" s="0" t="s">
        <v>31280</v>
      </c>
      <c r="D23448" s="0" t="s">
        <v>31280</v>
      </c>
      <c r="E23448" s="0" t="inlineStr">
        <is>
          <t xml:space="preserve">Mazda</t>
        </is>
      </c>
      <c r="F23448" s="0" t="inlineStr">
        <is>
          <t xml:space="preserve">Mazda</t>
        </is>
      </c>
      <c r="G23448" s="0" t="s">
        <v>210</v>
      </c>
      <c r="H23448" s="5">
        <v>203.031600</v>
      </c>
    </row>
    <row r="23449" spans="1:9">
      <c r="A23449" s="22" t="str">
        <f>HYPERLINK("https://app.vivvix.com/360/KMI/IntelliDrive/ApplUI/Pages/CreativePages/CustomReportCreativeDetail.aspx?App=23&amp;ReportView=4&amp;Qid=1711279&amp;Row=23441&amp;Col=1","No Title Assigned - #15282068830")</f>
        <v/>
      </c>
      <c r="B23449" s="0" t="s">
        <v>31281</v>
      </c>
      <c r="C23449" s="0" t="s">
        <v>31282</v>
      </c>
      <c r="D23449" s="0" t="s">
        <v>31282</v>
      </c>
      <c r="E23449" s="0" t="inlineStr">
        <is>
          <t xml:space="preserve">Mazda</t>
        </is>
      </c>
      <c r="F23449" s="0" t="s">
        <v>13</v>
      </c>
      <c r="G23449" s="0" t="s">
        <v>49</v>
      </c>
      <c r="H23449" s="5">
        <v>3.583400</v>
      </c>
    </row>
    <row r="23450" spans="1:9">
      <c r="A23450" s="22" t="str">
        <f>HYPERLINK("https://app.vivvix.com/360/KMI/IntelliDrive/ApplUI/Pages/CreativePages/CustomReportCreativeDetail.aspx?App=23&amp;ReportView=4&amp;Qid=1711279&amp;Row=23442&amp;Col=1","No Title Assigned - #15282068990")</f>
        <v/>
      </c>
      <c r="B23450" s="0" t="s">
        <v>31283</v>
      </c>
      <c r="C23450" s="0" t="s">
        <v>31284</v>
      </c>
      <c r="D23450" s="0" t="s">
        <v>31284</v>
      </c>
      <c r="E23450" s="0" t="inlineStr">
        <is>
          <t xml:space="preserve">Mazda</t>
        </is>
      </c>
      <c r="F23450" s="0" t="inlineStr">
        <is>
          <t xml:space="preserve">Mazda</t>
        </is>
      </c>
      <c r="G23450" s="0" t="s">
        <v>210</v>
      </c>
      <c r="H23450" s="5">
        <v>101.515800</v>
      </c>
    </row>
    <row r="23451" spans="1:9">
      <c r="A23451" s="22" t="str">
        <f>HYPERLINK("https://app.vivvix.com/360/KMI/IntelliDrive/ApplUI/Pages/CreativePages/CustomReportCreativeDetail.aspx?App=23&amp;ReportView=4&amp;Qid=1711279&amp;Row=23443&amp;Col=1","No Title Assigned - #15282069206")</f>
        <v/>
      </c>
      <c r="B23451" s="0" t="s">
        <v>31285</v>
      </c>
      <c r="E23451" s="0" t="inlineStr">
        <is>
          <t xml:space="preserve">Mazda</t>
        </is>
      </c>
      <c r="F23451" s="0" t="inlineStr">
        <is>
          <t xml:space="preserve">Mazda</t>
        </is>
      </c>
      <c r="G23451" s="0" t="s">
        <v>171</v>
      </c>
      <c r="H23451" s="5">
        <v>12.278400</v>
      </c>
    </row>
    <row r="23452" spans="1:9">
      <c r="A23452" s="22" t="str">
        <f>HYPERLINK("https://app.vivvix.com/360/KMI/IntelliDrive/ApplUI/Pages/CreativePages/CustomReportCreativeDetail.aspx?App=23&amp;ReportView=4&amp;Qid=1711279&amp;Row=23444&amp;Col=1","No Title Assigned - #15282069396")</f>
        <v/>
      </c>
      <c r="B23452" s="0" t="s">
        <v>31286</v>
      </c>
      <c r="C23452" s="0" t="s">
        <v>31287</v>
      </c>
      <c r="D23452" s="0" t="s">
        <v>31287</v>
      </c>
      <c r="E23452" s="0" t="inlineStr">
        <is>
          <t xml:space="preserve">Mazda</t>
        </is>
      </c>
      <c r="F23452" s="0" t="s">
        <v>13</v>
      </c>
      <c r="G23452" s="0" t="s">
        <v>49</v>
      </c>
      <c r="H23452" s="5">
        <v>618.500700</v>
      </c>
    </row>
    <row r="23453" spans="1:9">
      <c r="A23453" s="22" t="str">
        <f>HYPERLINK("https://app.vivvix.com/360/KMI/IntelliDrive/ApplUI/Pages/CreativePages/CustomReportCreativeDetail.aspx?App=23&amp;ReportView=4&amp;Qid=1711279&amp;Row=23445&amp;Col=1","No Title Assigned - #15282074374")</f>
        <v/>
      </c>
      <c r="B23453" s="0" t="s">
        <v>31288</v>
      </c>
      <c r="C23453" s="0" t="s">
        <v>31289</v>
      </c>
      <c r="D23453" s="0" t="s">
        <v>31289</v>
      </c>
      <c r="E23453" s="0" t="inlineStr">
        <is>
          <t xml:space="preserve">Mazda</t>
        </is>
      </c>
      <c r="F23453" s="0" t="s">
        <v>13</v>
      </c>
      <c r="G23453" s="0" t="s">
        <v>49</v>
      </c>
      <c r="H23453" s="5">
        <v>217.069400</v>
      </c>
    </row>
    <row r="23454" spans="1:9">
      <c r="A23454" s="22" t="str">
        <f>HYPERLINK("https://app.vivvix.com/360/KMI/IntelliDrive/ApplUI/Pages/CreativePages/CustomReportCreativeDetail.aspx?App=23&amp;ReportView=4&amp;Qid=1711279&amp;Row=23446&amp;Col=1","No Title Assigned - #15282075227")</f>
        <v/>
      </c>
      <c r="B23454" s="0" t="s">
        <v>31290</v>
      </c>
      <c r="C23454" s="0" t="s">
        <v>31291</v>
      </c>
      <c r="D23454" s="0" t="s">
        <v>31291</v>
      </c>
      <c r="E23454" s="0" t="inlineStr">
        <is>
          <t xml:space="preserve">Mazda</t>
        </is>
      </c>
      <c r="F23454" s="0" t="s">
        <v>13</v>
      </c>
      <c r="G23454" s="0" t="s">
        <v>49</v>
      </c>
      <c r="H23454" s="5">
        <v>212.284300</v>
      </c>
    </row>
    <row r="23455" spans="1:9">
      <c r="A23455" s="22" t="str">
        <f>HYPERLINK("https://app.vivvix.com/360/KMI/IntelliDrive/ApplUI/Pages/CreativePages/CustomReportCreativeDetail.aspx?App=23&amp;ReportView=4&amp;Qid=1711279&amp;Row=23447&amp;Col=1","No Title Assigned - #15282075483")</f>
        <v/>
      </c>
      <c r="B23455" s="0" t="s">
        <v>31292</v>
      </c>
      <c r="C23455" s="0" t="s">
        <v>31293</v>
      </c>
      <c r="D23455" s="0" t="s">
        <v>31293</v>
      </c>
      <c r="E23455" s="0" t="inlineStr">
        <is>
          <t xml:space="preserve">Mazda</t>
        </is>
      </c>
      <c r="F23455" s="0" t="inlineStr">
        <is>
          <t xml:space="preserve">Mazda</t>
        </is>
      </c>
      <c r="G23455" s="0" t="s">
        <v>210</v>
      </c>
      <c r="H23455" s="5">
        <v>106.390400</v>
      </c>
    </row>
    <row r="23456" spans="1:9">
      <c r="A23456" s="22" t="str">
        <f>HYPERLINK("https://app.vivvix.com/360/KMI/IntelliDrive/ApplUI/Pages/CreativePages/CustomReportCreativeDetail.aspx?App=23&amp;ReportView=4&amp;Qid=1711279&amp;Row=23448&amp;Col=1","No Title Assigned - #15282076562")</f>
        <v/>
      </c>
      <c r="B23456" s="0" t="s">
        <v>31294</v>
      </c>
      <c r="C23456" s="0" t="s">
        <v>31295</v>
      </c>
      <c r="D23456" s="0" t="s">
        <v>31295</v>
      </c>
      <c r="E23456" s="0" t="inlineStr">
        <is>
          <t xml:space="preserve">Mazda</t>
        </is>
      </c>
      <c r="F23456" s="0" t="s">
        <v>13</v>
      </c>
      <c r="G23456" s="0" t="s">
        <v>49</v>
      </c>
      <c r="H23456" s="5">
        <v>8272.567400</v>
      </c>
    </row>
    <row r="23457" spans="1:9">
      <c r="A23457" s="22" t="str">
        <f>HYPERLINK("https://app.vivvix.com/360/KMI/IntelliDrive/ApplUI/Pages/CreativePages/CustomReportCreativeDetail.aspx?App=23&amp;ReportView=4&amp;Qid=1711279&amp;Row=23449&amp;Col=1","No Title Assigned - #15282079744")</f>
        <v/>
      </c>
      <c r="B23457" s="0" t="s">
        <v>31296</v>
      </c>
      <c r="C23457" s="0" t="s">
        <v>31297</v>
      </c>
      <c r="D23457" s="0" t="s">
        <v>4335</v>
      </c>
      <c r="E23457" s="0" t="inlineStr">
        <is>
          <t xml:space="preserve">Mazda</t>
        </is>
      </c>
      <c r="F23457" s="0" t="s">
        <v>13</v>
      </c>
      <c r="G23457" s="0" t="s">
        <v>49</v>
      </c>
      <c r="H23457" s="5">
        <v>817.160300</v>
      </c>
    </row>
    <row r="23458" spans="1:9">
      <c r="A23458" s="22" t="str">
        <f>HYPERLINK("https://app.vivvix.com/360/KMI/IntelliDrive/ApplUI/Pages/CreativePages/CustomReportCreativeDetail.aspx?App=23&amp;ReportView=4&amp;Qid=1711279&amp;Row=23450&amp;Col=1","No Title Assigned - #15282080542")</f>
        <v/>
      </c>
      <c r="B23458" s="0" t="s">
        <v>31298</v>
      </c>
      <c r="C23458" s="0" t="s">
        <v>31299</v>
      </c>
      <c r="D23458" s="0" t="s">
        <v>10073</v>
      </c>
      <c r="E23458" s="0" t="inlineStr">
        <is>
          <t xml:space="preserve">Mazda</t>
        </is>
      </c>
      <c r="F23458" s="0" t="s">
        <v>13</v>
      </c>
      <c r="G23458" s="0" t="s">
        <v>49</v>
      </c>
      <c r="H23458" s="5">
        <v>12.597800</v>
      </c>
    </row>
    <row r="23459" spans="1:9">
      <c r="A23459" s="22" t="str">
        <f>HYPERLINK("https://app.vivvix.com/360/KMI/IntelliDrive/ApplUI/Pages/CreativePages/CustomReportCreativeDetail.aspx?App=23&amp;ReportView=4&amp;Qid=1711279&amp;Row=23451&amp;Col=1","No Title Assigned - #15282085803")</f>
        <v/>
      </c>
      <c r="B23459" s="0" t="s">
        <v>31300</v>
      </c>
      <c r="C23459" s="0" t="s">
        <v>31301</v>
      </c>
      <c r="D23459" s="0" t="s">
        <v>31301</v>
      </c>
      <c r="E23459" s="0" t="inlineStr">
        <is>
          <t xml:space="preserve">Mazda</t>
        </is>
      </c>
      <c r="F23459" s="0" t="s">
        <v>13</v>
      </c>
      <c r="G23459" s="0" t="s">
        <v>49</v>
      </c>
      <c r="H23459" s="5">
        <v>8590.697400</v>
      </c>
    </row>
    <row r="23460" spans="1:9">
      <c r="A23460" s="22" t="str">
        <f>HYPERLINK("https://app.vivvix.com/360/KMI/IntelliDrive/ApplUI/Pages/CreativePages/CustomReportCreativeDetail.aspx?App=23&amp;ReportView=4&amp;Qid=1711279&amp;Row=23452&amp;Col=1","No Title Assigned - #15282086057")</f>
        <v/>
      </c>
      <c r="B23460" s="0" t="s">
        <v>31302</v>
      </c>
      <c r="C23460" s="0" t="s">
        <v>31303</v>
      </c>
      <c r="D23460" s="0" t="s">
        <v>11469</v>
      </c>
      <c r="E23460" s="0" t="inlineStr">
        <is>
          <t xml:space="preserve">Mazda</t>
        </is>
      </c>
      <c r="F23460" s="0" t="s">
        <v>13</v>
      </c>
      <c r="G23460" s="0" t="s">
        <v>49</v>
      </c>
      <c r="H23460" s="5">
        <v>92.643900</v>
      </c>
    </row>
    <row r="23461" spans="1:9">
      <c r="A23461" s="22" t="str">
        <f>HYPERLINK("https://app.vivvix.com/360/KMI/IntelliDrive/ApplUI/Pages/CreativePages/CustomReportCreativeDetail.aspx?App=23&amp;ReportView=4&amp;Qid=1711279&amp;Row=23453&amp;Col=1","No Title Assigned - #15282086879")</f>
        <v/>
      </c>
      <c r="B23461" s="0" t="s">
        <v>31304</v>
      </c>
      <c r="C23461" s="0" t="s">
        <v>31305</v>
      </c>
      <c r="D23461" s="0" t="s">
        <v>9699</v>
      </c>
      <c r="E23461" s="0" t="inlineStr">
        <is>
          <t xml:space="preserve">Mazda</t>
        </is>
      </c>
      <c r="F23461" s="0" t="s">
        <v>13</v>
      </c>
      <c r="G23461" s="0" t="s">
        <v>49</v>
      </c>
      <c r="H23461" s="5">
        <v>25.126300</v>
      </c>
    </row>
    <row r="23462" spans="1:9">
      <c r="A23462" s="22" t="str">
        <f>HYPERLINK("https://app.vivvix.com/360/KMI/IntelliDrive/ApplUI/Pages/CreativePages/CustomReportCreativeDetail.aspx?App=23&amp;ReportView=4&amp;Qid=1711279&amp;Row=23454&amp;Col=1","No Title Assigned - #15282087281")</f>
        <v/>
      </c>
      <c r="B23462" s="0" t="s">
        <v>31306</v>
      </c>
      <c r="C23462" s="0" t="s">
        <v>31307</v>
      </c>
      <c r="D23462" s="0" t="s">
        <v>11258</v>
      </c>
      <c r="E23462" s="0" t="inlineStr">
        <is>
          <t xml:space="preserve">Mazda</t>
        </is>
      </c>
      <c r="F23462" s="0" t="s">
        <v>13</v>
      </c>
      <c r="G23462" s="0" t="s">
        <v>49</v>
      </c>
      <c r="H23462" s="5">
        <v>115.801600</v>
      </c>
    </row>
    <row r="23463" spans="1:9">
      <c r="A23463" s="22" t="str">
        <f>HYPERLINK("https://app.vivvix.com/360/KMI/IntelliDrive/ApplUI/Pages/CreativePages/CustomReportCreativeDetail.aspx?App=23&amp;ReportView=4&amp;Qid=1711279&amp;Row=23455&amp;Col=1","No Title Assigned - #15282087722")</f>
        <v/>
      </c>
      <c r="B23463" s="0" t="s">
        <v>31308</v>
      </c>
      <c r="C23463" s="0" t="s">
        <v>31309</v>
      </c>
      <c r="D23463" s="0" t="s">
        <v>31309</v>
      </c>
      <c r="E23463" s="0" t="inlineStr">
        <is>
          <t xml:space="preserve">Mazda</t>
        </is>
      </c>
      <c r="F23463" s="0" t="s">
        <v>13</v>
      </c>
      <c r="G23463" s="0" t="s">
        <v>49</v>
      </c>
      <c r="H23463" s="5">
        <v>441.490100</v>
      </c>
    </row>
    <row r="23464" spans="1:9">
      <c r="A23464" s="22" t="str">
        <f>HYPERLINK("https://app.vivvix.com/360/KMI/IntelliDrive/ApplUI/Pages/CreativePages/CustomReportCreativeDetail.aspx?App=23&amp;ReportView=4&amp;Qid=1711279&amp;Row=23456&amp;Col=1","No Title Assigned - #15282089025")</f>
        <v/>
      </c>
      <c r="B23464" s="0" t="s">
        <v>31310</v>
      </c>
      <c r="C23464" s="0" t="s">
        <v>31311</v>
      </c>
      <c r="D23464" s="0" t="s">
        <v>31311</v>
      </c>
      <c r="E23464" s="0" t="inlineStr">
        <is>
          <t xml:space="preserve">Mazda</t>
        </is>
      </c>
      <c r="F23464" s="0" t="s">
        <v>13</v>
      </c>
      <c r="G23464" s="0" t="s">
        <v>49</v>
      </c>
      <c r="H23464" s="5">
        <v>41.104700</v>
      </c>
    </row>
    <row r="23465" spans="1:9">
      <c r="A23465" s="22" t="str">
        <f>HYPERLINK("https://app.vivvix.com/360/KMI/IntelliDrive/ApplUI/Pages/CreativePages/CustomReportCreativeDetail.aspx?App=23&amp;ReportView=4&amp;Qid=1711279&amp;Row=23457&amp;Col=1","No Title Assigned - #15282089471")</f>
        <v/>
      </c>
      <c r="B23465" s="0" t="s">
        <v>31312</v>
      </c>
      <c r="C23465" s="0" t="s">
        <v>31313</v>
      </c>
      <c r="D23465" s="0" t="s">
        <v>31313</v>
      </c>
      <c r="E23465" s="0" t="inlineStr">
        <is>
          <t xml:space="preserve">Mazda</t>
        </is>
      </c>
      <c r="F23465" s="0" t="s">
        <v>13</v>
      </c>
      <c r="G23465" s="0" t="s">
        <v>49</v>
      </c>
      <c r="H23465" s="5">
        <v>3.583400</v>
      </c>
    </row>
    <row r="23466" spans="1:9">
      <c r="A23466" s="22" t="str">
        <f>HYPERLINK("https://app.vivvix.com/360/KMI/IntelliDrive/ApplUI/Pages/CreativePages/CustomReportCreativeDetail.aspx?App=23&amp;ReportView=4&amp;Qid=1711279&amp;Row=23458&amp;Col=1","No Title Assigned - #15282091066")</f>
        <v/>
      </c>
      <c r="B23466" s="0" t="s">
        <v>31314</v>
      </c>
      <c r="C23466" s="0" t="s">
        <v>31315</v>
      </c>
      <c r="D23466" s="0" t="s">
        <v>31196</v>
      </c>
      <c r="E23466" s="0" t="inlineStr">
        <is>
          <t xml:space="preserve">Mazda</t>
        </is>
      </c>
      <c r="F23466" s="0" t="s">
        <v>13</v>
      </c>
      <c r="G23466" s="0" t="s">
        <v>49</v>
      </c>
      <c r="H23466" s="5">
        <v>10.982600</v>
      </c>
    </row>
    <row r="23467" spans="1:9">
      <c r="A23467" s="22" t="str">
        <f>HYPERLINK("https://app.vivvix.com/360/KMI/IntelliDrive/ApplUI/Pages/CreativePages/CustomReportCreativeDetail.aspx?App=23&amp;ReportView=4&amp;Qid=1711279&amp;Row=23459&amp;Col=1","No Title Assigned - #15282092052")</f>
        <v/>
      </c>
      <c r="B23467" s="0" t="s">
        <v>31316</v>
      </c>
      <c r="C23467" s="0" t="s">
        <v>31317</v>
      </c>
      <c r="D23467" s="0" t="s">
        <v>9749</v>
      </c>
      <c r="E23467" s="0" t="inlineStr">
        <is>
          <t xml:space="preserve">Mazda</t>
        </is>
      </c>
      <c r="F23467" s="0" t="s">
        <v>13</v>
      </c>
      <c r="G23467" s="0" t="s">
        <v>49</v>
      </c>
      <c r="H23467" s="5">
        <v>151.896100</v>
      </c>
    </row>
    <row r="23468" spans="1:9">
      <c r="A23468" s="22" t="str">
        <f>HYPERLINK("https://app.vivvix.com/360/KMI/IntelliDrive/ApplUI/Pages/CreativePages/CustomReportCreativeDetail.aspx?App=23&amp;ReportView=4&amp;Qid=1711279&amp;Row=23460&amp;Col=1","No Title Assigned - #15282092861")</f>
        <v/>
      </c>
      <c r="B23468" s="0" t="s">
        <v>31318</v>
      </c>
      <c r="E23468" s="0" t="inlineStr">
        <is>
          <t xml:space="preserve">Mazda</t>
        </is>
      </c>
      <c r="F23468" s="0" t="inlineStr">
        <is>
          <t xml:space="preserve">Mazda</t>
        </is>
      </c>
      <c r="G23468" s="0" t="s">
        <v>171</v>
      </c>
      <c r="H23468" s="5">
        <v>413.018400</v>
      </c>
    </row>
    <row r="23469" spans="1:9">
      <c r="A23469" s="22" t="str">
        <f>HYPERLINK("https://app.vivvix.com/360/KMI/IntelliDrive/ApplUI/Pages/CreativePages/CustomReportCreativeDetail.aspx?App=23&amp;ReportView=4&amp;Qid=1711279&amp;Row=23461&amp;Col=1","No Title Assigned - #15282093028")</f>
        <v/>
      </c>
      <c r="B23469" s="0" t="s">
        <v>31319</v>
      </c>
      <c r="E23469" s="0" t="inlineStr">
        <is>
          <t xml:space="preserve">Mazda</t>
        </is>
      </c>
      <c r="F23469" s="0" t="inlineStr">
        <is>
          <t xml:space="preserve">Mazda</t>
        </is>
      </c>
      <c r="G23469" s="0" t="s">
        <v>171</v>
      </c>
      <c r="H23469" s="5">
        <v>186.761300</v>
      </c>
    </row>
    <row r="23470" spans="1:9">
      <c r="A23470" s="22" t="str">
        <f>HYPERLINK("https://app.vivvix.com/360/KMI/IntelliDrive/ApplUI/Pages/CreativePages/CustomReportCreativeDetail.aspx?App=23&amp;ReportView=4&amp;Qid=1711279&amp;Row=23462&amp;Col=1","No Title Assigned - #15282093647")</f>
        <v/>
      </c>
      <c r="B23470" s="0" t="s">
        <v>31320</v>
      </c>
      <c r="C23470" s="0" t="s">
        <v>31321</v>
      </c>
      <c r="D23470" s="0" t="s">
        <v>31321</v>
      </c>
      <c r="E23470" s="0" t="inlineStr">
        <is>
          <t xml:space="preserve">Mazda</t>
        </is>
      </c>
      <c r="F23470" s="0" t="inlineStr">
        <is>
          <t xml:space="preserve">Mazda</t>
        </is>
      </c>
      <c r="G23470" s="0" t="s">
        <v>171</v>
      </c>
      <c r="H23470" s="5">
        <v>1138.282800</v>
      </c>
    </row>
    <row r="23471" spans="1:9">
      <c r="A23471" s="22" t="str">
        <f>HYPERLINK("https://app.vivvix.com/360/KMI/IntelliDrive/ApplUI/Pages/CreativePages/CustomReportCreativeDetail.aspx?App=23&amp;ReportView=4&amp;Qid=1711279&amp;Row=23463&amp;Col=1","No Title Assigned - #15282094507")</f>
        <v/>
      </c>
      <c r="B23471" s="0" t="s">
        <v>31322</v>
      </c>
      <c r="C23471" s="0" t="s">
        <v>31323</v>
      </c>
      <c r="D23471" s="0" t="s">
        <v>31323</v>
      </c>
      <c r="E23471" s="0" t="inlineStr">
        <is>
          <t xml:space="preserve">Mazda</t>
        </is>
      </c>
      <c r="F23471" s="0" t="inlineStr">
        <is>
          <t xml:space="preserve">Mazda</t>
        </is>
      </c>
      <c r="G23471" s="0" t="s">
        <v>171</v>
      </c>
      <c r="H23471" s="5">
        <v>2269.608900</v>
      </c>
    </row>
    <row r="23472" spans="1:9">
      <c r="A23472" s="22" t="str">
        <f>HYPERLINK("https://app.vivvix.com/360/KMI/IntelliDrive/ApplUI/Pages/CreativePages/CustomReportCreativeDetail.aspx?App=23&amp;ReportView=4&amp;Qid=1711279&amp;Row=23464&amp;Col=1","No Title Assigned - #15282095180")</f>
        <v/>
      </c>
      <c r="B23472" s="0" t="s">
        <v>31324</v>
      </c>
      <c r="E23472" s="0" t="inlineStr">
        <is>
          <t xml:space="preserve">Mazda</t>
        </is>
      </c>
      <c r="F23472" s="0" t="inlineStr">
        <is>
          <t xml:space="preserve">Mazda</t>
        </is>
      </c>
      <c r="G23472" s="0" t="s">
        <v>171</v>
      </c>
      <c r="H23472" s="5">
        <v>29.535700</v>
      </c>
    </row>
    <row r="23473" spans="1:9">
      <c r="A23473" s="22" t="str">
        <f>HYPERLINK("https://app.vivvix.com/360/KMI/IntelliDrive/ApplUI/Pages/CreativePages/CustomReportCreativeDetail.aspx?App=23&amp;ReportView=4&amp;Qid=1711279&amp;Row=23465&amp;Col=1","No Title Assigned - #15282095210")</f>
        <v/>
      </c>
      <c r="B23473" s="0" t="s">
        <v>31325</v>
      </c>
      <c r="E23473" s="0" t="inlineStr">
        <is>
          <t xml:space="preserve">Mazda</t>
        </is>
      </c>
      <c r="F23473" s="0" t="inlineStr">
        <is>
          <t xml:space="preserve">Mazda</t>
        </is>
      </c>
      <c r="G23473" s="0" t="s">
        <v>171</v>
      </c>
      <c r="H23473" s="5">
        <v>7.448600</v>
      </c>
    </row>
    <row r="23474" spans="1:9">
      <c r="A23474" s="22" t="str">
        <f>HYPERLINK("https://app.vivvix.com/360/KMI/IntelliDrive/ApplUI/Pages/CreativePages/CustomReportCreativeDetail.aspx?App=23&amp;ReportView=4&amp;Qid=1711279&amp;Row=23466&amp;Col=1","No Title Assigned - #15282096021")</f>
        <v/>
      </c>
      <c r="B23474" s="0" t="s">
        <v>31326</v>
      </c>
      <c r="E23474" s="0" t="inlineStr">
        <is>
          <t xml:space="preserve">Mazda</t>
        </is>
      </c>
      <c r="F23474" s="0" t="inlineStr">
        <is>
          <t xml:space="preserve">Mazda</t>
        </is>
      </c>
      <c r="G23474" s="0" t="s">
        <v>171</v>
      </c>
      <c r="H23474" s="5">
        <v>1956.965900</v>
      </c>
    </row>
    <row r="23475" spans="1:9">
      <c r="A23475" s="22" t="str">
        <f>HYPERLINK("https://app.vivvix.com/360/KMI/IntelliDrive/ApplUI/Pages/CreativePages/CustomReportCreativeDetail.aspx?App=23&amp;ReportView=4&amp;Qid=1711279&amp;Row=23467&amp;Col=1","No Title Assigned - #15282096049")</f>
        <v/>
      </c>
      <c r="B23475" s="0" t="s">
        <v>31327</v>
      </c>
      <c r="E23475" s="0" t="inlineStr">
        <is>
          <t xml:space="preserve">Mazda</t>
        </is>
      </c>
      <c r="F23475" s="0" t="inlineStr">
        <is>
          <t xml:space="preserve">Mazda</t>
        </is>
      </c>
      <c r="G23475" s="0" t="s">
        <v>171</v>
      </c>
      <c r="H23475" s="5">
        <v>850.178400</v>
      </c>
    </row>
    <row r="23476" spans="1:9">
      <c r="A23476" s="22" t="str">
        <f>HYPERLINK("https://app.vivvix.com/360/KMI/IntelliDrive/ApplUI/Pages/CreativePages/CustomReportCreativeDetail.aspx?App=23&amp;ReportView=4&amp;Qid=1711279&amp;Row=23468&amp;Col=1","No Title Assigned - #15282096721")</f>
        <v/>
      </c>
      <c r="B23476" s="0" t="s">
        <v>31328</v>
      </c>
      <c r="E23476" s="0" t="inlineStr">
        <is>
          <t xml:space="preserve">Mazda</t>
        </is>
      </c>
      <c r="F23476" s="0" t="inlineStr">
        <is>
          <t xml:space="preserve">Mazda</t>
        </is>
      </c>
      <c r="G23476" s="0" t="s">
        <v>171</v>
      </c>
      <c r="H23476" s="5">
        <v>7.448600</v>
      </c>
    </row>
    <row r="23477" spans="1:9">
      <c r="A23477" s="22" t="str">
        <f>HYPERLINK("https://app.vivvix.com/360/KMI/IntelliDrive/ApplUI/Pages/CreativePages/CustomReportCreativeDetail.aspx?App=23&amp;ReportView=4&amp;Qid=1711279&amp;Row=23469&amp;Col=1","No Title Assigned - #15282097280")</f>
        <v/>
      </c>
      <c r="B23477" s="0" t="s">
        <v>31329</v>
      </c>
      <c r="E23477" s="0" t="inlineStr">
        <is>
          <t xml:space="preserve">Mazda</t>
        </is>
      </c>
      <c r="F23477" s="0" t="inlineStr">
        <is>
          <t xml:space="preserve">Mazda</t>
        </is>
      </c>
      <c r="G23477" s="0" t="s">
        <v>171</v>
      </c>
      <c r="H23477" s="5">
        <v>19.813500</v>
      </c>
    </row>
    <row r="23478" spans="1:9">
      <c r="A23478" s="22" t="str">
        <f>HYPERLINK("https://app.vivvix.com/360/KMI/IntelliDrive/ApplUI/Pages/CreativePages/CustomReportCreativeDetail.aspx?App=23&amp;ReportView=4&amp;Qid=1711279&amp;Row=23470&amp;Col=1","No Title Assigned - #15282097293")</f>
        <v/>
      </c>
      <c r="B23478" s="0" t="s">
        <v>31330</v>
      </c>
      <c r="E23478" s="0" t="inlineStr">
        <is>
          <t xml:space="preserve">Mazda</t>
        </is>
      </c>
      <c r="F23478" s="0" t="inlineStr">
        <is>
          <t xml:space="preserve">Mazda</t>
        </is>
      </c>
      <c r="G23478" s="0" t="s">
        <v>171</v>
      </c>
      <c r="H23478" s="5">
        <v>22.345800</v>
      </c>
    </row>
    <row r="23479" spans="1:9">
      <c r="A23479" s="22" t="str">
        <f>HYPERLINK("https://app.vivvix.com/360/KMI/IntelliDrive/ApplUI/Pages/CreativePages/CustomReportCreativeDetail.aspx?App=23&amp;ReportView=4&amp;Qid=1711279&amp;Row=23471&amp;Col=1","No Title Assigned - #15282098688")</f>
        <v/>
      </c>
      <c r="B23479" s="0" t="s">
        <v>31331</v>
      </c>
      <c r="E23479" s="0" t="inlineStr">
        <is>
          <t xml:space="preserve">Mazda</t>
        </is>
      </c>
      <c r="F23479" s="0" t="inlineStr">
        <is>
          <t xml:space="preserve">Mazda</t>
        </is>
      </c>
      <c r="G23479" s="0" t="s">
        <v>171</v>
      </c>
      <c r="H23479" s="5">
        <v>1773.618300</v>
      </c>
    </row>
    <row r="23480" spans="1:9">
      <c r="A23480" s="22" t="str">
        <f>HYPERLINK("https://app.vivvix.com/360/KMI/IntelliDrive/ApplUI/Pages/CreativePages/CustomReportCreativeDetail.aspx?App=23&amp;ReportView=4&amp;Qid=1711279&amp;Row=23472&amp;Col=1","No Title Assigned - #15282099727")</f>
        <v/>
      </c>
      <c r="B23480" s="0" t="s">
        <v>31332</v>
      </c>
      <c r="E23480" s="0" t="inlineStr">
        <is>
          <t xml:space="preserve">Mazda</t>
        </is>
      </c>
      <c r="F23480" s="0" t="inlineStr">
        <is>
          <t xml:space="preserve">Mazda</t>
        </is>
      </c>
      <c r="G23480" s="0" t="s">
        <v>171</v>
      </c>
      <c r="H23480" s="5">
        <v>158.278700</v>
      </c>
    </row>
    <row r="23481" spans="1:9">
      <c r="A23481" s="22" t="str">
        <f>HYPERLINK("https://app.vivvix.com/360/KMI/IntelliDrive/ApplUI/Pages/CreativePages/CustomReportCreativeDetail.aspx?App=23&amp;ReportView=4&amp;Qid=1711279&amp;Row=23473&amp;Col=1","No Title Assigned - #15282100829")</f>
        <v/>
      </c>
      <c r="B23481" s="0" t="s">
        <v>31333</v>
      </c>
      <c r="E23481" s="0" t="inlineStr">
        <is>
          <t xml:space="preserve">Mazda</t>
        </is>
      </c>
      <c r="F23481" s="0" t="inlineStr">
        <is>
          <t xml:space="preserve">Mazda</t>
        </is>
      </c>
      <c r="G23481" s="0" t="s">
        <v>171</v>
      </c>
      <c r="H23481" s="5">
        <v>2.536600</v>
      </c>
    </row>
    <row r="23482" spans="1:9">
      <c r="A23482" s="22" t="str">
        <f>HYPERLINK("https://app.vivvix.com/360/KMI/IntelliDrive/ApplUI/Pages/CreativePages/CustomReportCreativeDetail.aspx?App=23&amp;ReportView=4&amp;Qid=1711279&amp;Row=23474&amp;Col=1","No Title Assigned - #15282109051")</f>
        <v/>
      </c>
      <c r="B23482" s="0" t="s">
        <v>31334</v>
      </c>
      <c r="E23482" s="0" t="inlineStr">
        <is>
          <t xml:space="preserve">Mazda</t>
        </is>
      </c>
      <c r="F23482" s="0" t="inlineStr">
        <is>
          <t xml:space="preserve">Mazda</t>
        </is>
      </c>
      <c r="G23482" s="0" t="s">
        <v>171</v>
      </c>
      <c r="H23482" s="5">
        <v>89.067500</v>
      </c>
    </row>
    <row r="23483" spans="1:9">
      <c r="A23483" s="22" t="str">
        <f>HYPERLINK("https://app.vivvix.com/360/KMI/IntelliDrive/ApplUI/Pages/CreativePages/CustomReportCreativeDetail.aspx?App=23&amp;ReportView=4&amp;Qid=1711279&amp;Row=23475&amp;Col=1","No Title Assigned - #15282134105")</f>
        <v/>
      </c>
      <c r="B23483" s="0" t="s">
        <v>31335</v>
      </c>
      <c r="C23483" s="0" t="s">
        <v>31336</v>
      </c>
      <c r="D23483" s="0" t="s">
        <v>11639</v>
      </c>
      <c r="E23483" s="0" t="inlineStr">
        <is>
          <t xml:space="preserve">Mazda</t>
        </is>
      </c>
      <c r="F23483" s="0" t="s">
        <v>13</v>
      </c>
      <c r="G23483" s="0" t="s">
        <v>49</v>
      </c>
      <c r="H23483" s="5">
        <v>8190.160000</v>
      </c>
    </row>
    <row r="23484" spans="1:9">
      <c r="A23484" s="22" t="str">
        <f>HYPERLINK("https://app.vivvix.com/360/KMI/IntelliDrive/ApplUI/Pages/CreativePages/CustomReportCreativeDetail.aspx?App=23&amp;ReportView=4&amp;Qid=1711279&amp;Row=23476&amp;Col=1","No Title Assigned - #15282137679")</f>
        <v/>
      </c>
      <c r="B23484" s="0" t="s">
        <v>31337</v>
      </c>
      <c r="C23484" s="0" t="s">
        <v>31338</v>
      </c>
      <c r="D23484" s="0" t="s">
        <v>31338</v>
      </c>
      <c r="E23484" s="0" t="inlineStr">
        <is>
          <t xml:space="preserve">Mazda</t>
        </is>
      </c>
      <c r="F23484" s="0" t="s">
        <v>13</v>
      </c>
      <c r="G23484" s="0" t="s">
        <v>49</v>
      </c>
      <c r="H23484" s="5">
        <v>535.997700</v>
      </c>
    </row>
    <row r="23485" spans="1:9">
      <c r="A23485" s="22" t="str">
        <f>HYPERLINK("https://app.vivvix.com/360/KMI/IntelliDrive/ApplUI/Pages/CreativePages/CustomReportCreativeDetail.aspx?App=23&amp;ReportView=4&amp;Qid=1711279&amp;Row=23477&amp;Col=1","No Title Assigned - #15282144096")</f>
        <v/>
      </c>
      <c r="B23485" s="0" t="s">
        <v>31339</v>
      </c>
      <c r="C23485" s="0" t="s">
        <v>31340</v>
      </c>
      <c r="D23485" s="0" t="s">
        <v>31340</v>
      </c>
      <c r="E23485" s="0" t="inlineStr">
        <is>
          <t xml:space="preserve">Mazda</t>
        </is>
      </c>
      <c r="F23485" s="0" t="s">
        <v>13</v>
      </c>
      <c r="G23485" s="0" t="s">
        <v>49</v>
      </c>
      <c r="H23485" s="5">
        <v>17.917000</v>
      </c>
    </row>
    <row r="23486" spans="1:9">
      <c r="A23486" s="22" t="str">
        <f>HYPERLINK("https://app.vivvix.com/360/KMI/IntelliDrive/ApplUI/Pages/CreativePages/CustomReportCreativeDetail.aspx?App=23&amp;ReportView=4&amp;Qid=1711279&amp;Row=23478&amp;Col=1","No Title Assigned - #15282151735")</f>
        <v/>
      </c>
      <c r="B23486" s="0" t="s">
        <v>31341</v>
      </c>
      <c r="C23486" s="0" t="s">
        <v>31342</v>
      </c>
      <c r="D23486" s="0" t="s">
        <v>15819</v>
      </c>
      <c r="E23486" s="0" t="inlineStr">
        <is>
          <t xml:space="preserve">Mazda</t>
        </is>
      </c>
      <c r="F23486" s="0" t="s">
        <v>13</v>
      </c>
      <c r="G23486" s="0" t="s">
        <v>49</v>
      </c>
      <c r="H23486" s="5">
        <v>330.929500</v>
      </c>
    </row>
    <row r="23487" spans="1:9">
      <c r="A23487" s="22" t="str">
        <f>HYPERLINK("https://app.vivvix.com/360/KMI/IntelliDrive/ApplUI/Pages/CreativePages/CustomReportCreativeDetail.aspx?App=23&amp;ReportView=4&amp;Qid=1711279&amp;Row=23479&amp;Col=1","No Title Assigned - #15282153789")</f>
        <v/>
      </c>
      <c r="B23487" s="0" t="s">
        <v>31343</v>
      </c>
      <c r="C23487" s="0" t="s">
        <v>31344</v>
      </c>
      <c r="D23487" s="0" t="s">
        <v>4335</v>
      </c>
      <c r="E23487" s="0" t="inlineStr">
        <is>
          <t xml:space="preserve">Mazda</t>
        </is>
      </c>
      <c r="F23487" s="0" t="s">
        <v>13</v>
      </c>
      <c r="G23487" s="0" t="s">
        <v>49</v>
      </c>
      <c r="H23487" s="5">
        <v>390.761500</v>
      </c>
    </row>
    <row r="23488" spans="1:9">
      <c r="A23488" s="22" t="str">
        <f>HYPERLINK("https://app.vivvix.com/360/KMI/IntelliDrive/ApplUI/Pages/CreativePages/CustomReportCreativeDetail.aspx?App=23&amp;ReportView=4&amp;Qid=1711279&amp;Row=23480&amp;Col=1","No Title Assigned - #15282154921")</f>
        <v/>
      </c>
      <c r="B23488" s="0" t="s">
        <v>31345</v>
      </c>
      <c r="C23488" s="0" t="s">
        <v>31346</v>
      </c>
      <c r="D23488" s="0" t="s">
        <v>6420</v>
      </c>
      <c r="E23488" s="0" t="inlineStr">
        <is>
          <t xml:space="preserve">Mazda</t>
        </is>
      </c>
      <c r="F23488" s="0" t="s">
        <v>13</v>
      </c>
      <c r="G23488" s="0" t="s">
        <v>49</v>
      </c>
      <c r="H23488" s="5">
        <v>387.756400</v>
      </c>
    </row>
    <row r="23489" spans="1:9">
      <c r="A23489" s="22" t="str">
        <f>HYPERLINK("https://app.vivvix.com/360/KMI/IntelliDrive/ApplUI/Pages/CreativePages/CustomReportCreativeDetail.aspx?App=23&amp;ReportView=4&amp;Qid=1711279&amp;Row=23481&amp;Col=1","No Title Assigned - #15282154921")</f>
        <v/>
      </c>
      <c r="B23489" s="0" t="s">
        <v>31345</v>
      </c>
      <c r="E23489" s="0" t="inlineStr">
        <is>
          <t xml:space="preserve">Mazda</t>
        </is>
      </c>
      <c r="F23489" s="0" t="s">
        <v>13</v>
      </c>
      <c r="G23489" s="0" t="s">
        <v>49</v>
      </c>
      <c r="H23489" s="5">
        <v>26.081100</v>
      </c>
    </row>
    <row r="23490" spans="1:9">
      <c r="A23490" s="22" t="str">
        <f>HYPERLINK("https://app.vivvix.com/360/KMI/IntelliDrive/ApplUI/Pages/CreativePages/CustomReportCreativeDetail.aspx?App=23&amp;ReportView=4&amp;Qid=1711279&amp;Row=23482&amp;Col=1","No Title Assigned - #15282155159")</f>
        <v/>
      </c>
      <c r="B23490" s="0" t="s">
        <v>31347</v>
      </c>
      <c r="E23490" s="0" t="inlineStr">
        <is>
          <t xml:space="preserve">Mazda</t>
        </is>
      </c>
      <c r="F23490" s="0" t="s">
        <v>204</v>
      </c>
      <c r="G23490" s="0" t="s">
        <v>205</v>
      </c>
      <c r="H23490" s="5">
        <v>420.833000</v>
      </c>
    </row>
    <row r="23491" spans="1:9">
      <c r="A23491" s="22" t="str">
        <f>HYPERLINK("https://app.vivvix.com/360/KMI/IntelliDrive/ApplUI/Pages/CreativePages/CustomReportCreativeDetail.aspx?App=23&amp;ReportView=4&amp;Qid=1711279&amp;Row=23483&amp;Col=1","No Title Assigned - #15282155434")</f>
        <v/>
      </c>
      <c r="B23491" s="0" t="s">
        <v>31348</v>
      </c>
      <c r="C23491" s="0" t="s">
        <v>31349</v>
      </c>
      <c r="D23491" s="0" t="s">
        <v>14393</v>
      </c>
      <c r="E23491" s="0" t="inlineStr">
        <is>
          <t xml:space="preserve">Mazda</t>
        </is>
      </c>
      <c r="F23491" s="0" t="s">
        <v>13</v>
      </c>
      <c r="G23491" s="0" t="s">
        <v>49</v>
      </c>
      <c r="H23491" s="5">
        <v>1.717300</v>
      </c>
    </row>
    <row r="23492" spans="1:9">
      <c r="A23492" s="22" t="str">
        <f>HYPERLINK("https://app.vivvix.com/360/KMI/IntelliDrive/ApplUI/Pages/CreativePages/CustomReportCreativeDetail.aspx?App=23&amp;ReportView=4&amp;Qid=1711279&amp;Row=23484&amp;Col=1","No Title Assigned - #15282156234")</f>
        <v/>
      </c>
      <c r="B23492" s="0" t="s">
        <v>31350</v>
      </c>
      <c r="C23492" s="0" t="s">
        <v>31351</v>
      </c>
      <c r="D23492" s="0" t="s">
        <v>23374</v>
      </c>
      <c r="E23492" s="0" t="inlineStr">
        <is>
          <t xml:space="preserve">Mazda</t>
        </is>
      </c>
      <c r="F23492" s="0" t="s">
        <v>13</v>
      </c>
      <c r="G23492" s="0" t="s">
        <v>49</v>
      </c>
      <c r="H23492" s="5">
        <v>615.316000</v>
      </c>
    </row>
    <row r="23493" spans="1:9">
      <c r="A23493" s="22" t="str">
        <f>HYPERLINK("https://app.vivvix.com/360/KMI/IntelliDrive/ApplUI/Pages/CreativePages/CustomReportCreativeDetail.aspx?App=23&amp;ReportView=4&amp;Qid=1711279&amp;Row=23485&amp;Col=1","No Title Assigned - #15282156856")</f>
        <v/>
      </c>
      <c r="B23493" s="0" t="s">
        <v>31352</v>
      </c>
      <c r="E23493" s="0" t="inlineStr">
        <is>
          <t xml:space="preserve">Mazda</t>
        </is>
      </c>
      <c r="F23493" s="0" t="inlineStr">
        <is>
          <t xml:space="preserve">Mazda</t>
        </is>
      </c>
      <c r="G23493" s="0" t="s">
        <v>171</v>
      </c>
      <c r="H23493" s="5">
        <v>217.401800</v>
      </c>
    </row>
    <row r="23494" spans="1:9">
      <c r="A23494" s="22" t="str">
        <f>HYPERLINK("https://app.vivvix.com/360/KMI/IntelliDrive/ApplUI/Pages/CreativePages/CustomReportCreativeDetail.aspx?App=23&amp;ReportView=4&amp;Qid=1711279&amp;Row=23486&amp;Col=1","No Title Assigned - #15282157573")</f>
        <v/>
      </c>
      <c r="B23494" s="0" t="s">
        <v>31353</v>
      </c>
      <c r="C23494" s="0" t="s">
        <v>31354</v>
      </c>
      <c r="D23494" s="0" t="s">
        <v>31354</v>
      </c>
      <c r="E23494" s="0" t="inlineStr">
        <is>
          <t xml:space="preserve">Mazda</t>
        </is>
      </c>
      <c r="F23494" s="0" t="inlineStr">
        <is>
          <t xml:space="preserve">Mazda</t>
        </is>
      </c>
      <c r="G23494" s="0" t="s">
        <v>171</v>
      </c>
      <c r="H23494" s="5">
        <v>135.635800</v>
      </c>
    </row>
    <row r="23495" spans="1:9">
      <c r="A23495" s="22" t="str">
        <f>HYPERLINK("https://app.vivvix.com/360/KMI/IntelliDrive/ApplUI/Pages/CreativePages/CustomReportCreativeDetail.aspx?App=23&amp;ReportView=4&amp;Qid=1711279&amp;Row=23487&amp;Col=1","No Title Assigned - #15282157573")</f>
        <v/>
      </c>
      <c r="B23495" s="0" t="s">
        <v>31353</v>
      </c>
      <c r="E23495" s="0" t="inlineStr">
        <is>
          <t xml:space="preserve">Mazda</t>
        </is>
      </c>
      <c r="F23495" s="0" t="inlineStr">
        <is>
          <t xml:space="preserve">Mazda</t>
        </is>
      </c>
      <c r="G23495" s="0" t="s">
        <v>171</v>
      </c>
      <c r="H23495" s="5">
        <v>461.479900</v>
      </c>
    </row>
    <row r="23496" spans="1:9">
      <c r="A23496" s="22" t="str">
        <f>HYPERLINK("https://app.vivvix.com/360/KMI/IntelliDrive/ApplUI/Pages/CreativePages/CustomReportCreativeDetail.aspx?App=23&amp;ReportView=4&amp;Qid=1711279&amp;Row=23488&amp;Col=1","No Title Assigned - #15282157607")</f>
        <v/>
      </c>
      <c r="B23496" s="0" t="s">
        <v>31355</v>
      </c>
      <c r="E23496" s="0" t="inlineStr">
        <is>
          <t xml:space="preserve">Mazda</t>
        </is>
      </c>
      <c r="F23496" s="0" t="inlineStr">
        <is>
          <t xml:space="preserve">Mazda</t>
        </is>
      </c>
      <c r="G23496" s="0" t="s">
        <v>171</v>
      </c>
      <c r="H23496" s="5">
        <v>7.448600</v>
      </c>
    </row>
    <row r="23497" spans="1:9">
      <c r="A23497" s="22" t="str">
        <f>HYPERLINK("https://app.vivvix.com/360/KMI/IntelliDrive/ApplUI/Pages/CreativePages/CustomReportCreativeDetail.aspx?App=23&amp;ReportView=4&amp;Qid=1711279&amp;Row=23489&amp;Col=1","No Title Assigned - #15282157636")</f>
        <v/>
      </c>
      <c r="B23497" s="0" t="s">
        <v>31356</v>
      </c>
      <c r="E23497" s="0" t="inlineStr">
        <is>
          <t xml:space="preserve">Mazda</t>
        </is>
      </c>
      <c r="F23497" s="0" t="inlineStr">
        <is>
          <t xml:space="preserve">Mazda</t>
        </is>
      </c>
      <c r="G23497" s="0" t="s">
        <v>171</v>
      </c>
      <c r="H23497" s="5">
        <v>477.714200</v>
      </c>
    </row>
    <row r="23498" spans="1:9">
      <c r="A23498" s="22" t="str">
        <f>HYPERLINK("https://app.vivvix.com/360/KMI/IntelliDrive/ApplUI/Pages/CreativePages/CustomReportCreativeDetail.aspx?App=23&amp;ReportView=4&amp;Qid=1711279&amp;Row=23490&amp;Col=1","No Title Assigned - #15282157725")</f>
        <v/>
      </c>
      <c r="B23498" s="0" t="s">
        <v>31357</v>
      </c>
      <c r="E23498" s="0" t="inlineStr">
        <is>
          <t xml:space="preserve">Mazda</t>
        </is>
      </c>
      <c r="F23498" s="0" t="inlineStr">
        <is>
          <t xml:space="preserve">Mazda</t>
        </is>
      </c>
      <c r="G23498" s="0" t="s">
        <v>171</v>
      </c>
      <c r="H23498" s="5">
        <v>13.751600</v>
      </c>
    </row>
    <row r="23499" spans="1:9">
      <c r="A23499" s="22" t="str">
        <f>HYPERLINK("https://app.vivvix.com/360/KMI/IntelliDrive/ApplUI/Pages/CreativePages/CustomReportCreativeDetail.aspx?App=23&amp;ReportView=4&amp;Qid=1711279&amp;Row=23491&amp;Col=1","No Title Assigned - #15282157967")</f>
        <v/>
      </c>
      <c r="B23499" s="0" t="s">
        <v>31358</v>
      </c>
      <c r="E23499" s="0" t="inlineStr">
        <is>
          <t xml:space="preserve">Mazda</t>
        </is>
      </c>
      <c r="F23499" s="0" t="inlineStr">
        <is>
          <t xml:space="preserve">Mazda</t>
        </is>
      </c>
      <c r="G23499" s="0" t="s">
        <v>171</v>
      </c>
      <c r="H23499" s="5">
        <v>7.448600</v>
      </c>
    </row>
    <row r="23500" spans="1:9">
      <c r="A23500" s="22" t="str">
        <f>HYPERLINK("https://app.vivvix.com/360/KMI/IntelliDrive/ApplUI/Pages/CreativePages/CustomReportCreativeDetail.aspx?App=23&amp;ReportView=4&amp;Qid=1711279&amp;Row=23492&amp;Col=1","No Title Assigned - #15282158761")</f>
        <v/>
      </c>
      <c r="B23500" s="0" t="s">
        <v>31359</v>
      </c>
      <c r="E23500" s="0" t="inlineStr">
        <is>
          <t xml:space="preserve">Mazda</t>
        </is>
      </c>
      <c r="F23500" s="0" t="inlineStr">
        <is>
          <t xml:space="preserve">Mazda</t>
        </is>
      </c>
      <c r="G23500" s="0" t="s">
        <v>171</v>
      </c>
      <c r="H23500" s="5">
        <v>248.994900</v>
      </c>
    </row>
    <row r="23501" spans="1:9">
      <c r="A23501" s="22" t="str">
        <f>HYPERLINK("https://app.vivvix.com/360/KMI/IntelliDrive/ApplUI/Pages/CreativePages/CustomReportCreativeDetail.aspx?App=23&amp;ReportView=4&amp;Qid=1711279&amp;Row=23493&amp;Col=1","No Title Assigned - #15282158921")</f>
        <v/>
      </c>
      <c r="B23501" s="0" t="s">
        <v>31360</v>
      </c>
      <c r="E23501" s="0" t="inlineStr">
        <is>
          <t xml:space="preserve">Mazda</t>
        </is>
      </c>
      <c r="F23501" s="0" t="inlineStr">
        <is>
          <t xml:space="preserve">Mazda</t>
        </is>
      </c>
      <c r="G23501" s="0" t="s">
        <v>171</v>
      </c>
      <c r="H23501" s="5">
        <v>7.448600</v>
      </c>
    </row>
    <row r="23502" spans="1:9">
      <c r="A23502" s="22" t="str">
        <f>HYPERLINK("https://app.vivvix.com/360/KMI/IntelliDrive/ApplUI/Pages/CreativePages/CustomReportCreativeDetail.aspx?App=23&amp;ReportView=4&amp;Qid=1711279&amp;Row=23494&amp;Col=1","No Title Assigned - #15282158953")</f>
        <v/>
      </c>
      <c r="B23502" s="0" t="s">
        <v>31361</v>
      </c>
      <c r="E23502" s="0" t="inlineStr">
        <is>
          <t xml:space="preserve">Mazda</t>
        </is>
      </c>
      <c r="F23502" s="0" t="inlineStr">
        <is>
          <t xml:space="preserve">Mazda</t>
        </is>
      </c>
      <c r="G23502" s="0" t="s">
        <v>171</v>
      </c>
      <c r="H23502" s="5">
        <v>885.525300</v>
      </c>
    </row>
    <row r="23503" spans="1:9">
      <c r="A23503" s="22" t="str">
        <f>HYPERLINK("https://app.vivvix.com/360/KMI/IntelliDrive/ApplUI/Pages/CreativePages/CustomReportCreativeDetail.aspx?App=23&amp;ReportView=4&amp;Qid=1711279&amp;Row=23495&amp;Col=1","No Title Assigned - #15282160404")</f>
        <v/>
      </c>
      <c r="B23503" s="0" t="s">
        <v>31362</v>
      </c>
      <c r="E23503" s="0" t="inlineStr">
        <is>
          <t xml:space="preserve">Mazda</t>
        </is>
      </c>
      <c r="F23503" s="0" t="inlineStr">
        <is>
          <t xml:space="preserve">Mazda</t>
        </is>
      </c>
      <c r="G23503" s="0" t="s">
        <v>171</v>
      </c>
      <c r="H23503" s="5">
        <v>15.880200</v>
      </c>
    </row>
    <row r="23504" spans="1:9">
      <c r="A23504" s="22" t="str">
        <f>HYPERLINK("https://app.vivvix.com/360/KMI/IntelliDrive/ApplUI/Pages/CreativePages/CustomReportCreativeDetail.aspx?App=23&amp;ReportView=4&amp;Qid=1711279&amp;Row=23496&amp;Col=1","No Title Assigned - #15282160405")</f>
        <v/>
      </c>
      <c r="B23504" s="0" t="s">
        <v>31363</v>
      </c>
      <c r="E23504" s="0" t="inlineStr">
        <is>
          <t xml:space="preserve">Mazda</t>
        </is>
      </c>
      <c r="F23504" s="0" t="inlineStr">
        <is>
          <t xml:space="preserve">Mazda</t>
        </is>
      </c>
      <c r="G23504" s="0" t="s">
        <v>171</v>
      </c>
      <c r="H23504" s="5">
        <v>15.880200</v>
      </c>
    </row>
    <row r="23505" spans="1:9">
      <c r="A23505" s="22" t="str">
        <f>HYPERLINK("https://app.vivvix.com/360/KMI/IntelliDrive/ApplUI/Pages/CreativePages/CustomReportCreativeDetail.aspx?App=23&amp;ReportView=4&amp;Qid=1711279&amp;Row=23497&amp;Col=1","No Title Assigned - #15282165766")</f>
        <v/>
      </c>
      <c r="B23505" s="0" t="s">
        <v>31364</v>
      </c>
      <c r="E23505" s="0" t="inlineStr">
        <is>
          <t xml:space="preserve">Mazda</t>
        </is>
      </c>
      <c r="F23505" s="0" t="inlineStr">
        <is>
          <t xml:space="preserve">Mazda</t>
        </is>
      </c>
      <c r="G23505" s="0" t="s">
        <v>171</v>
      </c>
      <c r="H23505" s="5">
        <v>551.850600</v>
      </c>
    </row>
    <row r="23506" spans="1:9">
      <c r="A23506" s="22" t="str">
        <f>HYPERLINK("https://app.vivvix.com/360/KMI/IntelliDrive/ApplUI/Pages/CreativePages/CustomReportCreativeDetail.aspx?App=23&amp;ReportView=4&amp;Qid=1711279&amp;Row=23498&amp;Col=1","No Title Assigned - #15282166190")</f>
        <v/>
      </c>
      <c r="B23506" s="0" t="s">
        <v>31365</v>
      </c>
      <c r="E23506" s="0" t="inlineStr">
        <is>
          <t xml:space="preserve">Mazda</t>
        </is>
      </c>
      <c r="F23506" s="0" t="inlineStr">
        <is>
          <t xml:space="preserve">Mazda</t>
        </is>
      </c>
      <c r="G23506" s="0" t="s">
        <v>171</v>
      </c>
      <c r="H23506" s="5">
        <v>160.751300</v>
      </c>
    </row>
    <row r="23507" spans="1:9">
      <c r="A23507" s="22" t="str">
        <f>HYPERLINK("https://app.vivvix.com/360/KMI/IntelliDrive/ApplUI/Pages/CreativePages/CustomReportCreativeDetail.aspx?App=23&amp;ReportView=4&amp;Qid=1711279&amp;Row=23499&amp;Col=1","No Title Assigned - #15282166866")</f>
        <v/>
      </c>
      <c r="B23507" s="0" t="s">
        <v>31366</v>
      </c>
      <c r="E23507" s="0" t="inlineStr">
        <is>
          <t xml:space="preserve">Mazda</t>
        </is>
      </c>
      <c r="F23507" s="0" t="inlineStr">
        <is>
          <t xml:space="preserve">Mazda</t>
        </is>
      </c>
      <c r="G23507" s="0" t="s">
        <v>171</v>
      </c>
      <c r="H23507" s="5">
        <v>312.489600</v>
      </c>
    </row>
    <row r="23508" spans="1:9">
      <c r="A23508" s="22" t="str">
        <f>HYPERLINK("https://app.vivvix.com/360/KMI/IntelliDrive/ApplUI/Pages/CreativePages/CustomReportCreativeDetail.aspx?App=23&amp;ReportView=4&amp;Qid=1711279&amp;Row=23500&amp;Col=1","No Title Assigned - #15282167045")</f>
        <v/>
      </c>
      <c r="B23508" s="0" t="s">
        <v>31367</v>
      </c>
      <c r="E23508" s="0" t="inlineStr">
        <is>
          <t xml:space="preserve">Mazda</t>
        </is>
      </c>
      <c r="F23508" s="0" t="inlineStr">
        <is>
          <t xml:space="preserve">Mazda</t>
        </is>
      </c>
      <c r="G23508" s="0" t="s">
        <v>171</v>
      </c>
      <c r="H23508" s="5">
        <v>305.757300</v>
      </c>
    </row>
    <row r="23509" spans="1:9">
      <c r="A23509" s="22" t="str">
        <f>HYPERLINK("https://app.vivvix.com/360/KMI/IntelliDrive/ApplUI/Pages/CreativePages/CustomReportCreativeDetail.aspx?App=23&amp;ReportView=4&amp;Qid=1711279&amp;Row=23501&amp;Col=1","No Title Assigned - #15282169150")</f>
        <v/>
      </c>
      <c r="B23509" s="0" t="s">
        <v>31368</v>
      </c>
      <c r="E23509" s="0" t="inlineStr">
        <is>
          <t xml:space="preserve">Mazda</t>
        </is>
      </c>
      <c r="F23509" s="0" t="inlineStr">
        <is>
          <t xml:space="preserve">Mazda</t>
        </is>
      </c>
      <c r="G23509" s="0" t="s">
        <v>171</v>
      </c>
      <c r="H23509" s="5">
        <v>7.448600</v>
      </c>
    </row>
    <row r="23510" spans="1:9">
      <c r="A23510" s="22" t="str">
        <f>HYPERLINK("https://app.vivvix.com/360/KMI/IntelliDrive/ApplUI/Pages/CreativePages/CustomReportCreativeDetail.aspx?App=23&amp;ReportView=4&amp;Qid=1711279&amp;Row=23502&amp;Col=1","No Title Assigned - #15282169877")</f>
        <v/>
      </c>
      <c r="B23510" s="0" t="s">
        <v>31369</v>
      </c>
      <c r="E23510" s="0" t="inlineStr">
        <is>
          <t xml:space="preserve">Mazda</t>
        </is>
      </c>
      <c r="F23510" s="0" t="inlineStr">
        <is>
          <t xml:space="preserve">Mazda</t>
        </is>
      </c>
      <c r="G23510" s="0" t="s">
        <v>171</v>
      </c>
      <c r="H23510" s="5">
        <v>203.110100</v>
      </c>
    </row>
    <row r="23511" spans="1:9">
      <c r="A23511" s="22" t="str">
        <f>HYPERLINK("https://app.vivvix.com/360/KMI/IntelliDrive/ApplUI/Pages/CreativePages/CustomReportCreativeDetail.aspx?App=23&amp;ReportView=4&amp;Qid=1711279&amp;Row=23503&amp;Col=1","No Title Assigned - #15282169900")</f>
        <v/>
      </c>
      <c r="B23511" s="0" t="s">
        <v>31370</v>
      </c>
      <c r="E23511" s="0" t="inlineStr">
        <is>
          <t xml:space="preserve">Mazda</t>
        </is>
      </c>
      <c r="F23511" s="0" t="inlineStr">
        <is>
          <t xml:space="preserve">Mazda</t>
        </is>
      </c>
      <c r="G23511" s="0" t="s">
        <v>210</v>
      </c>
      <c r="H23511" s="5">
        <v>272.185000</v>
      </c>
    </row>
    <row r="23512" spans="1:9">
      <c r="A23512" s="22" t="str">
        <f>HYPERLINK("https://app.vivvix.com/360/KMI/IntelliDrive/ApplUI/Pages/CreativePages/CustomReportCreativeDetail.aspx?App=23&amp;ReportView=4&amp;Qid=1711279&amp;Row=23504&amp;Col=1","No Title Assigned - #15282169900")</f>
        <v/>
      </c>
      <c r="B23512" s="0" t="s">
        <v>31370</v>
      </c>
      <c r="C23512" s="0" t="s">
        <v>31371</v>
      </c>
      <c r="D23512" s="0" t="s">
        <v>31371</v>
      </c>
      <c r="E23512" s="0" t="inlineStr">
        <is>
          <t xml:space="preserve">Mazda</t>
        </is>
      </c>
      <c r="F23512" s="0" t="inlineStr">
        <is>
          <t xml:space="preserve">Mazda</t>
        </is>
      </c>
      <c r="G23512" s="0" t="s">
        <v>210</v>
      </c>
      <c r="H23512" s="5">
        <v>417.867300</v>
      </c>
    </row>
    <row r="23513" spans="1:9">
      <c r="A23513" s="22" t="str">
        <f>HYPERLINK("https://app.vivvix.com/360/KMI/IntelliDrive/ApplUI/Pages/CreativePages/CustomReportCreativeDetail.aspx?App=23&amp;ReportView=4&amp;Qid=1711279&amp;Row=23505&amp;Col=1","No Title Assigned - #15282169951")</f>
        <v/>
      </c>
      <c r="B23513" s="0" t="s">
        <v>31372</v>
      </c>
      <c r="E23513" s="0" t="inlineStr">
        <is>
          <t xml:space="preserve">Mazda</t>
        </is>
      </c>
      <c r="F23513" s="0" t="inlineStr">
        <is>
          <t xml:space="preserve">Mazda</t>
        </is>
      </c>
      <c r="G23513" s="0" t="s">
        <v>171</v>
      </c>
      <c r="H23513" s="5">
        <v>88.710000</v>
      </c>
    </row>
    <row r="23514" spans="1:9">
      <c r="A23514" s="22" t="str">
        <f>HYPERLINK("https://app.vivvix.com/360/KMI/IntelliDrive/ApplUI/Pages/CreativePages/CustomReportCreativeDetail.aspx?App=23&amp;ReportView=4&amp;Qid=1711279&amp;Row=23506&amp;Col=1","No Title Assigned - #15282169953")</f>
        <v/>
      </c>
      <c r="B23514" s="0" t="s">
        <v>31373</v>
      </c>
      <c r="C23514" s="0" t="s">
        <v>31374</v>
      </c>
      <c r="D23514" s="0" t="s">
        <v>31374</v>
      </c>
      <c r="E23514" s="0" t="inlineStr">
        <is>
          <t xml:space="preserve">Mazda</t>
        </is>
      </c>
      <c r="F23514" s="0" t="inlineStr">
        <is>
          <t xml:space="preserve">Mazda</t>
        </is>
      </c>
      <c r="G23514" s="0" t="s">
        <v>171</v>
      </c>
      <c r="H23514" s="5">
        <v>830.079700</v>
      </c>
    </row>
    <row r="23515" spans="1:9">
      <c r="A23515" s="22" t="str">
        <f>HYPERLINK("https://app.vivvix.com/360/KMI/IntelliDrive/ApplUI/Pages/CreativePages/CustomReportCreativeDetail.aspx?App=23&amp;ReportView=4&amp;Qid=1711279&amp;Row=23507&amp;Col=1","No Title Assigned - #15282170405")</f>
        <v/>
      </c>
      <c r="B23515" s="0" t="s">
        <v>31375</v>
      </c>
      <c r="E23515" s="0" t="inlineStr">
        <is>
          <t xml:space="preserve">Mazda</t>
        </is>
      </c>
      <c r="F23515" s="0" t="inlineStr">
        <is>
          <t xml:space="preserve">Mazda</t>
        </is>
      </c>
      <c r="G23515" s="0" t="s">
        <v>171</v>
      </c>
      <c r="H23515" s="5">
        <v>47.203400</v>
      </c>
    </row>
    <row r="23516" spans="1:9">
      <c r="A23516" s="22" t="str">
        <f>HYPERLINK("https://app.vivvix.com/360/KMI/IntelliDrive/ApplUI/Pages/CreativePages/CustomReportCreativeDetail.aspx?App=23&amp;ReportView=4&amp;Qid=1711279&amp;Row=23508&amp;Col=1","No Title Assigned - #15282171949")</f>
        <v/>
      </c>
      <c r="B23516" s="0" t="s">
        <v>31376</v>
      </c>
      <c r="C23516" s="0" t="s">
        <v>31377</v>
      </c>
      <c r="D23516" s="0" t="s">
        <v>31377</v>
      </c>
      <c r="E23516" s="0" t="inlineStr">
        <is>
          <t xml:space="preserve">Mazda</t>
        </is>
      </c>
      <c r="F23516" s="0" t="s">
        <v>13</v>
      </c>
      <c r="G23516" s="0" t="s">
        <v>49</v>
      </c>
      <c r="H23516" s="5">
        <v>19.813500</v>
      </c>
    </row>
    <row r="23517" spans="1:9">
      <c r="A23517" s="22" t="str">
        <f>HYPERLINK("https://app.vivvix.com/360/KMI/IntelliDrive/ApplUI/Pages/CreativePages/CustomReportCreativeDetail.aspx?App=23&amp;ReportView=4&amp;Qid=1711279&amp;Row=23509&amp;Col=1","No Title Assigned - #15282173358")</f>
        <v/>
      </c>
      <c r="B23517" s="0" t="s">
        <v>31378</v>
      </c>
      <c r="C23517" s="0" t="s">
        <v>31379</v>
      </c>
      <c r="D23517" s="0" t="s">
        <v>31379</v>
      </c>
      <c r="E23517" s="0" t="inlineStr">
        <is>
          <t xml:space="preserve">Mazda</t>
        </is>
      </c>
      <c r="F23517" s="0" t="s">
        <v>13</v>
      </c>
      <c r="G23517" s="0" t="s">
        <v>49</v>
      </c>
      <c r="H23517" s="5">
        <v>3.583400</v>
      </c>
    </row>
    <row r="23518" spans="1:9">
      <c r="A23518" s="22" t="str">
        <f>HYPERLINK("https://app.vivvix.com/360/KMI/IntelliDrive/ApplUI/Pages/CreativePages/CustomReportCreativeDetail.aspx?App=23&amp;ReportView=4&amp;Qid=1711279&amp;Row=23510&amp;Col=1","No Title Assigned - #15282173389")</f>
        <v/>
      </c>
      <c r="B23518" s="0" t="s">
        <v>31380</v>
      </c>
      <c r="C23518" s="0" t="s">
        <v>31381</v>
      </c>
      <c r="D23518" s="0" t="s">
        <v>31381</v>
      </c>
      <c r="E23518" s="0" t="inlineStr">
        <is>
          <t xml:space="preserve">Mazda</t>
        </is>
      </c>
      <c r="F23518" s="0" t="s">
        <v>13</v>
      </c>
      <c r="G23518" s="0" t="s">
        <v>49</v>
      </c>
      <c r="H23518" s="5">
        <v>17.917000</v>
      </c>
    </row>
    <row r="23519" spans="1:9">
      <c r="A23519" s="22" t="str">
        <f>HYPERLINK("https://app.vivvix.com/360/KMI/IntelliDrive/ApplUI/Pages/CreativePages/CustomReportCreativeDetail.aspx?App=23&amp;ReportView=4&amp;Qid=1711279&amp;Row=23511&amp;Col=1","No Title Assigned - #15282173426")</f>
        <v/>
      </c>
      <c r="B23519" s="0" t="s">
        <v>31382</v>
      </c>
      <c r="C23519" s="0" t="s">
        <v>31383</v>
      </c>
      <c r="D23519" s="0" t="s">
        <v>31383</v>
      </c>
      <c r="E23519" s="0" t="inlineStr">
        <is>
          <t xml:space="preserve">Mazda</t>
        </is>
      </c>
      <c r="F23519" s="0" t="s">
        <v>13</v>
      </c>
      <c r="G23519" s="0" t="s">
        <v>49</v>
      </c>
      <c r="H23519" s="5">
        <v>10.750200</v>
      </c>
    </row>
    <row r="23520" spans="1:9">
      <c r="A23520" s="22" t="str">
        <f>HYPERLINK("https://app.vivvix.com/360/KMI/IntelliDrive/ApplUI/Pages/CreativePages/CustomReportCreativeDetail.aspx?App=23&amp;ReportView=4&amp;Qid=1711279&amp;Row=23512&amp;Col=1","No Title Assigned - #15282173440")</f>
        <v/>
      </c>
      <c r="B23520" s="0" t="s">
        <v>31384</v>
      </c>
      <c r="C23520" s="0" t="s">
        <v>31385</v>
      </c>
      <c r="D23520" s="0" t="s">
        <v>31385</v>
      </c>
      <c r="E23520" s="0" t="inlineStr">
        <is>
          <t xml:space="preserve">Mazda</t>
        </is>
      </c>
      <c r="F23520" s="0" t="s">
        <v>13</v>
      </c>
      <c r="G23520" s="0" t="s">
        <v>49</v>
      </c>
      <c r="H23520" s="5">
        <v>3.583400</v>
      </c>
    </row>
    <row r="23521" spans="1:9">
      <c r="A23521" s="22" t="str">
        <f>HYPERLINK("https://app.vivvix.com/360/KMI/IntelliDrive/ApplUI/Pages/CreativePages/CustomReportCreativeDetail.aspx?App=23&amp;ReportView=4&amp;Qid=1711279&amp;Row=23513&amp;Col=1","No Title Assigned - #15282173454")</f>
        <v/>
      </c>
      <c r="B23521" s="0" t="s">
        <v>31386</v>
      </c>
      <c r="C23521" s="0" t="s">
        <v>31387</v>
      </c>
      <c r="D23521" s="0" t="s">
        <v>31387</v>
      </c>
      <c r="E23521" s="0" t="inlineStr">
        <is>
          <t xml:space="preserve">Mazda</t>
        </is>
      </c>
      <c r="F23521" s="0" t="inlineStr">
        <is>
          <t xml:space="preserve">Mazda</t>
        </is>
      </c>
      <c r="G23521" s="0" t="s">
        <v>2413</v>
      </c>
      <c r="H23521" s="5">
        <v>949.549600</v>
      </c>
    </row>
    <row r="23522" spans="1:9">
      <c r="A23522" s="22" t="str">
        <f>HYPERLINK("https://app.vivvix.com/360/KMI/IntelliDrive/ApplUI/Pages/CreativePages/CustomReportCreativeDetail.aspx?App=23&amp;ReportView=4&amp;Qid=1711279&amp;Row=23514&amp;Col=1","No Title Assigned - #15282173482")</f>
        <v/>
      </c>
      <c r="B23522" s="0" t="s">
        <v>31388</v>
      </c>
      <c r="C23522" s="0" t="s">
        <v>31389</v>
      </c>
      <c r="D23522" s="0" t="s">
        <v>31389</v>
      </c>
      <c r="E23522" s="0" t="inlineStr">
        <is>
          <t xml:space="preserve">Mazda</t>
        </is>
      </c>
      <c r="F23522" s="0" t="s">
        <v>13</v>
      </c>
      <c r="G23522" s="0" t="s">
        <v>49</v>
      </c>
      <c r="H23522" s="5">
        <v>3.583400</v>
      </c>
    </row>
    <row r="23523" spans="1:9">
      <c r="A23523" s="22" t="str">
        <f>HYPERLINK("https://app.vivvix.com/360/KMI/IntelliDrive/ApplUI/Pages/CreativePages/CustomReportCreativeDetail.aspx?App=23&amp;ReportView=4&amp;Qid=1711279&amp;Row=23515&amp;Col=1","No Title Assigned - #15282173841")</f>
        <v/>
      </c>
      <c r="B23523" s="0" t="s">
        <v>31390</v>
      </c>
      <c r="C23523" s="0" t="s">
        <v>31391</v>
      </c>
      <c r="D23523" s="0" t="s">
        <v>31391</v>
      </c>
      <c r="E23523" s="0" t="inlineStr">
        <is>
          <t xml:space="preserve">Mazda</t>
        </is>
      </c>
      <c r="F23523" s="0" t="s">
        <v>13</v>
      </c>
      <c r="G23523" s="0" t="s">
        <v>49</v>
      </c>
      <c r="H23523" s="5">
        <v>145.006900</v>
      </c>
    </row>
    <row r="23524" spans="1:9">
      <c r="A23524" s="22" t="str">
        <f>HYPERLINK("https://app.vivvix.com/360/KMI/IntelliDrive/ApplUI/Pages/CreativePages/CustomReportCreativeDetail.aspx?App=23&amp;ReportView=4&amp;Qid=1711279&amp;Row=23516&amp;Col=1","No Title Assigned - #15282174133")</f>
        <v/>
      </c>
      <c r="B23524" s="0" t="s">
        <v>31392</v>
      </c>
      <c r="C23524" s="0" t="s">
        <v>31393</v>
      </c>
      <c r="D23524" s="0" t="s">
        <v>31393</v>
      </c>
      <c r="E23524" s="0" t="inlineStr">
        <is>
          <t xml:space="preserve">Mazda</t>
        </is>
      </c>
      <c r="F23524" s="0" t="s">
        <v>13</v>
      </c>
      <c r="G23524" s="0" t="s">
        <v>49</v>
      </c>
      <c r="H23524" s="5">
        <v>45.284000</v>
      </c>
    </row>
    <row r="23525" spans="1:9">
      <c r="A23525" s="22" t="str">
        <f>HYPERLINK("https://app.vivvix.com/360/KMI/IntelliDrive/ApplUI/Pages/CreativePages/CustomReportCreativeDetail.aspx?App=23&amp;ReportView=4&amp;Qid=1711279&amp;Row=23517&amp;Col=1","No Title Assigned - #15282174638")</f>
        <v/>
      </c>
      <c r="B23525" s="0" t="s">
        <v>31394</v>
      </c>
      <c r="C23525" s="0" t="s">
        <v>31395</v>
      </c>
      <c r="D23525" s="0" t="s">
        <v>31031</v>
      </c>
      <c r="E23525" s="0" t="inlineStr">
        <is>
          <t xml:space="preserve">Mazda</t>
        </is>
      </c>
      <c r="F23525" s="0" t="s">
        <v>13</v>
      </c>
      <c r="G23525" s="0" t="s">
        <v>49</v>
      </c>
      <c r="H23525" s="5">
        <v>31.020800</v>
      </c>
    </row>
    <row r="23526" spans="1:9">
      <c r="A23526" s="22" t="str">
        <f>HYPERLINK("https://app.vivvix.com/360/KMI/IntelliDrive/ApplUI/Pages/CreativePages/CustomReportCreativeDetail.aspx?App=23&amp;ReportView=4&amp;Qid=1711279&amp;Row=23518&amp;Col=1","No Title Assigned - #15282177443")</f>
        <v/>
      </c>
      <c r="B23526" s="0" t="s">
        <v>31396</v>
      </c>
      <c r="C23526" s="0" t="s">
        <v>31397</v>
      </c>
      <c r="D23526" s="0" t="s">
        <v>13101</v>
      </c>
      <c r="E23526" s="0" t="inlineStr">
        <is>
          <t xml:space="preserve">Mazda</t>
        </is>
      </c>
      <c r="F23526" s="0" t="s">
        <v>13</v>
      </c>
      <c r="G23526" s="0" t="s">
        <v>49</v>
      </c>
      <c r="H23526" s="5">
        <v>480.227400</v>
      </c>
    </row>
    <row r="23527" spans="1:9">
      <c r="A23527" s="22" t="str">
        <f>HYPERLINK("https://app.vivvix.com/360/KMI/IntelliDrive/ApplUI/Pages/CreativePages/CustomReportCreativeDetail.aspx?App=23&amp;ReportView=4&amp;Qid=1711279&amp;Row=23519&amp;Col=1","No Title Assigned - #15282177818")</f>
        <v/>
      </c>
      <c r="B23527" s="0" t="s">
        <v>31398</v>
      </c>
      <c r="C23527" s="0" t="s">
        <v>31399</v>
      </c>
      <c r="D23527" s="0" t="s">
        <v>31399</v>
      </c>
      <c r="E23527" s="0" t="inlineStr">
        <is>
          <t xml:space="preserve">Mazda</t>
        </is>
      </c>
      <c r="F23527" s="0" t="s">
        <v>13</v>
      </c>
      <c r="G23527" s="0" t="s">
        <v>49</v>
      </c>
      <c r="H23527" s="5">
        <v>10.750200</v>
      </c>
    </row>
    <row r="23528" spans="1:9">
      <c r="A23528" s="22" t="str">
        <f>HYPERLINK("https://app.vivvix.com/360/KMI/IntelliDrive/ApplUI/Pages/CreativePages/CustomReportCreativeDetail.aspx?App=23&amp;ReportView=4&amp;Qid=1711279&amp;Row=23520&amp;Col=1","No Title Assigned - #15282184665")</f>
        <v/>
      </c>
      <c r="B23528" s="0" t="s">
        <v>31400</v>
      </c>
      <c r="C23528" s="0" t="s">
        <v>31401</v>
      </c>
      <c r="D23528" s="0" t="s">
        <v>31401</v>
      </c>
      <c r="E23528" s="0" t="inlineStr">
        <is>
          <t xml:space="preserve">Mazda</t>
        </is>
      </c>
      <c r="F23528" s="0" t="s">
        <v>13</v>
      </c>
      <c r="G23528" s="0" t="s">
        <v>49</v>
      </c>
      <c r="H23528" s="5">
        <v>141.013500</v>
      </c>
    </row>
    <row r="23529" spans="1:9">
      <c r="A23529" s="22" t="str">
        <f>HYPERLINK("https://app.vivvix.com/360/KMI/IntelliDrive/ApplUI/Pages/CreativePages/CustomReportCreativeDetail.aspx?App=23&amp;ReportView=4&amp;Qid=1711279&amp;Row=23521&amp;Col=1","No Title Assigned - #15282191480")</f>
        <v/>
      </c>
      <c r="B23529" s="0" t="s">
        <v>31402</v>
      </c>
      <c r="C23529" s="0" t="s">
        <v>31403</v>
      </c>
      <c r="D23529" s="0" t="s">
        <v>31403</v>
      </c>
      <c r="E23529" s="0" t="inlineStr">
        <is>
          <t xml:space="preserve">Mazda</t>
        </is>
      </c>
      <c r="F23529" s="0" t="s">
        <v>13</v>
      </c>
      <c r="G23529" s="0" t="s">
        <v>49</v>
      </c>
      <c r="H23529" s="5">
        <v>47.279400</v>
      </c>
    </row>
    <row r="23530" spans="1:9">
      <c r="A23530" s="22" t="str">
        <f>HYPERLINK("https://app.vivvix.com/360/KMI/IntelliDrive/ApplUI/Pages/CreativePages/CustomReportCreativeDetail.aspx?App=23&amp;ReportView=4&amp;Qid=1711279&amp;Row=23522&amp;Col=1","No Title Assigned - #15282193819")</f>
        <v/>
      </c>
      <c r="B23530" s="0" t="s">
        <v>31404</v>
      </c>
      <c r="C23530" s="0" t="s">
        <v>31405</v>
      </c>
      <c r="D23530" s="0" t="s">
        <v>15762</v>
      </c>
      <c r="E23530" s="0" t="inlineStr">
        <is>
          <t xml:space="preserve">Mazda</t>
        </is>
      </c>
      <c r="F23530" s="0" t="s">
        <v>13</v>
      </c>
      <c r="G23530" s="0" t="s">
        <v>49</v>
      </c>
      <c r="H23530" s="5">
        <v>115.117000</v>
      </c>
    </row>
    <row r="23531" spans="1:9">
      <c r="A23531" s="22" t="str">
        <f>HYPERLINK("https://app.vivvix.com/360/KMI/IntelliDrive/ApplUI/Pages/CreativePages/CustomReportCreativeDetail.aspx?App=23&amp;ReportView=4&amp;Qid=1711279&amp;Row=23523&amp;Col=1","No Title Assigned - #15282194948")</f>
        <v/>
      </c>
      <c r="B23531" s="0" t="s">
        <v>31406</v>
      </c>
      <c r="C23531" s="0" t="s">
        <v>31407</v>
      </c>
      <c r="D23531" s="0" t="s">
        <v>31407</v>
      </c>
      <c r="E23531" s="0" t="inlineStr">
        <is>
          <t xml:space="preserve">Mazda</t>
        </is>
      </c>
      <c r="F23531" s="0" t="s">
        <v>13</v>
      </c>
      <c r="G23531" s="0" t="s">
        <v>49</v>
      </c>
      <c r="H23531" s="5">
        <v>31.020800</v>
      </c>
    </row>
    <row r="23532" spans="1:9">
      <c r="A23532" s="22" t="str">
        <f>HYPERLINK("https://app.vivvix.com/360/KMI/IntelliDrive/ApplUI/Pages/CreativePages/CustomReportCreativeDetail.aspx?App=23&amp;ReportView=4&amp;Qid=1711279&amp;Row=23524&amp;Col=1","No Title Assigned - #15282195118")</f>
        <v/>
      </c>
      <c r="B23532" s="0" t="s">
        <v>31408</v>
      </c>
      <c r="C23532" s="0" t="s">
        <v>31409</v>
      </c>
      <c r="D23532" s="0" t="s">
        <v>9167</v>
      </c>
      <c r="E23532" s="0" t="inlineStr">
        <is>
          <t xml:space="preserve">Mazda</t>
        </is>
      </c>
      <c r="F23532" s="0" t="s">
        <v>13</v>
      </c>
      <c r="G23532" s="0" t="s">
        <v>49</v>
      </c>
      <c r="H23532" s="5">
        <v>23.864400</v>
      </c>
    </row>
    <row r="23533" spans="1:9">
      <c r="A23533" s="22" t="str">
        <f>HYPERLINK("https://app.vivvix.com/360/KMI/IntelliDrive/ApplUI/Pages/CreativePages/CustomReportCreativeDetail.aspx?App=23&amp;ReportView=4&amp;Qid=1711279&amp;Row=23525&amp;Col=1","No Title Assigned - #15282195236")</f>
        <v/>
      </c>
      <c r="B23533" s="0" t="s">
        <v>31410</v>
      </c>
      <c r="C23533" s="0" t="s">
        <v>31411</v>
      </c>
      <c r="D23533" s="0" t="s">
        <v>16585</v>
      </c>
      <c r="E23533" s="0" t="inlineStr">
        <is>
          <t xml:space="preserve">Mazda</t>
        </is>
      </c>
      <c r="F23533" s="0" t="inlineStr">
        <is>
          <t xml:space="preserve">Mazda</t>
        </is>
      </c>
      <c r="G23533" s="0" t="s">
        <v>210</v>
      </c>
      <c r="H23533" s="5">
        <v>1857.477600</v>
      </c>
    </row>
    <row r="23534" spans="1:9">
      <c r="A23534" s="22" t="str">
        <f>HYPERLINK("https://app.vivvix.com/360/KMI/IntelliDrive/ApplUI/Pages/CreativePages/CustomReportCreativeDetail.aspx?App=23&amp;ReportView=4&amp;Qid=1711279&amp;Row=23526&amp;Col=1","No Title Assigned - #15282196789")</f>
        <v/>
      </c>
      <c r="B23534" s="0" t="s">
        <v>31412</v>
      </c>
      <c r="E23534" s="0" t="inlineStr">
        <is>
          <t xml:space="preserve">Mazda</t>
        </is>
      </c>
      <c r="F23534" s="0" t="s">
        <v>13</v>
      </c>
      <c r="G23534" s="0" t="s">
        <v>49</v>
      </c>
      <c r="H23534" s="5">
        <v>1217.285100</v>
      </c>
    </row>
    <row r="23535" spans="1:9">
      <c r="A23535" s="22" t="str">
        <f>HYPERLINK("https://app.vivvix.com/360/KMI/IntelliDrive/ApplUI/Pages/CreativePages/CustomReportCreativeDetail.aspx?App=23&amp;ReportView=4&amp;Qid=1711279&amp;Row=23527&amp;Col=1","No Title Assigned - #15282197954")</f>
        <v/>
      </c>
      <c r="B23535" s="0" t="s">
        <v>31413</v>
      </c>
      <c r="C23535" s="0" t="s">
        <v>31414</v>
      </c>
      <c r="D23535" s="0" t="s">
        <v>4335</v>
      </c>
      <c r="E23535" s="0" t="inlineStr">
        <is>
          <t xml:space="preserve">Mazda</t>
        </is>
      </c>
      <c r="F23535" s="0" t="s">
        <v>13</v>
      </c>
      <c r="G23535" s="0" t="s">
        <v>49</v>
      </c>
      <c r="H23535" s="5">
        <v>138.209200</v>
      </c>
    </row>
    <row r="23536" spans="1:9">
      <c r="A23536" s="22" t="str">
        <f>HYPERLINK("https://app.vivvix.com/360/KMI/IntelliDrive/ApplUI/Pages/CreativePages/CustomReportCreativeDetail.aspx?App=23&amp;ReportView=4&amp;Qid=1711279&amp;Row=23528&amp;Col=1","No Title Assigned - #15282198862")</f>
        <v/>
      </c>
      <c r="B23536" s="0" t="s">
        <v>31415</v>
      </c>
      <c r="C23536" s="0" t="s">
        <v>31416</v>
      </c>
      <c r="D23536" s="0" t="s">
        <v>30063</v>
      </c>
      <c r="E23536" s="0" t="inlineStr">
        <is>
          <t xml:space="preserve">Mazda</t>
        </is>
      </c>
      <c r="F23536" s="0" t="s">
        <v>17</v>
      </c>
      <c r="G23536" s="0" t="s">
        <v>33</v>
      </c>
      <c r="H23536" s="5">
        <v>9.809900</v>
      </c>
    </row>
    <row r="23537" spans="1:9">
      <c r="A23537" s="22" t="str">
        <f>HYPERLINK("https://app.vivvix.com/360/KMI/IntelliDrive/ApplUI/Pages/CreativePages/CustomReportCreativeDetail.aspx?App=23&amp;ReportView=4&amp;Qid=1711279&amp;Row=23529&amp;Col=1","No Title Assigned - #15282199363")</f>
        <v/>
      </c>
      <c r="B23537" s="0" t="s">
        <v>31417</v>
      </c>
      <c r="C23537" s="0" t="s">
        <v>31418</v>
      </c>
      <c r="D23537" s="0" t="s">
        <v>10095</v>
      </c>
      <c r="E23537" s="0" t="inlineStr">
        <is>
          <t xml:space="preserve">Mazda</t>
        </is>
      </c>
      <c r="F23537" s="0" t="s">
        <v>13</v>
      </c>
      <c r="G23537" s="0" t="s">
        <v>49</v>
      </c>
      <c r="H23537" s="5">
        <v>163.865900</v>
      </c>
    </row>
    <row r="23538" spans="1:9">
      <c r="A23538" s="22" t="str">
        <f>HYPERLINK("https://app.vivvix.com/360/KMI/IntelliDrive/ApplUI/Pages/CreativePages/CustomReportCreativeDetail.aspx?App=23&amp;ReportView=4&amp;Qid=1711279&amp;Row=23530&amp;Col=1","No Title Assigned - #15282199367")</f>
        <v/>
      </c>
      <c r="B23538" s="0" t="s">
        <v>31419</v>
      </c>
      <c r="C23538" s="0" t="s">
        <v>31420</v>
      </c>
      <c r="D23538" s="0" t="s">
        <v>10964</v>
      </c>
      <c r="E23538" s="0" t="inlineStr">
        <is>
          <t xml:space="preserve">Mazda</t>
        </is>
      </c>
      <c r="F23538" s="0" t="s">
        <v>13</v>
      </c>
      <c r="G23538" s="0" t="s">
        <v>49</v>
      </c>
      <c r="H23538" s="5">
        <v>9.383400</v>
      </c>
    </row>
    <row r="23539" spans="1:9">
      <c r="A23539" s="22" t="str">
        <f>HYPERLINK("https://app.vivvix.com/360/KMI/IntelliDrive/ApplUI/Pages/CreativePages/CustomReportCreativeDetail.aspx?App=23&amp;ReportView=4&amp;Qid=1711279&amp;Row=23531&amp;Col=1","No Title Assigned - #15282200219")</f>
        <v/>
      </c>
      <c r="B23539" s="0" t="s">
        <v>31421</v>
      </c>
      <c r="C23539" s="0" t="s">
        <v>31422</v>
      </c>
      <c r="D23539" s="0" t="s">
        <v>15762</v>
      </c>
      <c r="E23539" s="0" t="inlineStr">
        <is>
          <t xml:space="preserve">Mazda</t>
        </is>
      </c>
      <c r="F23539" s="0" t="s">
        <v>13</v>
      </c>
      <c r="G23539" s="0" t="s">
        <v>49</v>
      </c>
      <c r="H23539" s="5">
        <v>11.920200</v>
      </c>
    </row>
    <row r="23540" spans="1:9">
      <c r="A23540" s="22" t="str">
        <f>HYPERLINK("https://app.vivvix.com/360/KMI/IntelliDrive/ApplUI/Pages/CreativePages/CustomReportCreativeDetail.aspx?App=23&amp;ReportView=4&amp;Qid=1711279&amp;Row=23532&amp;Col=1","No Title Assigned - #15282201194")</f>
        <v/>
      </c>
      <c r="B23540" s="0" t="s">
        <v>31423</v>
      </c>
      <c r="C23540" s="0" t="s">
        <v>31424</v>
      </c>
      <c r="D23540" s="0" t="s">
        <v>23394</v>
      </c>
      <c r="E23540" s="0" t="inlineStr">
        <is>
          <t xml:space="preserve">Mazda</t>
        </is>
      </c>
      <c r="F23540" s="0" t="s">
        <v>13</v>
      </c>
      <c r="G23540" s="0" t="s">
        <v>49</v>
      </c>
      <c r="H23540" s="5">
        <v>35.368100</v>
      </c>
    </row>
    <row r="23541" spans="1:9">
      <c r="A23541" s="22" t="str">
        <f>HYPERLINK("https://app.vivvix.com/360/KMI/IntelliDrive/ApplUI/Pages/CreativePages/CustomReportCreativeDetail.aspx?App=23&amp;ReportView=4&amp;Qid=1711279&amp;Row=23533&amp;Col=1","No Title Assigned - #15282202599")</f>
        <v/>
      </c>
      <c r="B23541" s="0" t="s">
        <v>31425</v>
      </c>
      <c r="E23541" s="0" t="inlineStr">
        <is>
          <t xml:space="preserve">Mazda</t>
        </is>
      </c>
      <c r="F23541" s="0" t="inlineStr">
        <is>
          <t xml:space="preserve">Mazda</t>
        </is>
      </c>
      <c r="G23541" s="0" t="s">
        <v>171</v>
      </c>
      <c r="H23541" s="5">
        <v>154.492400</v>
      </c>
    </row>
    <row r="23542" spans="1:9">
      <c r="A23542" s="22" t="str">
        <f>HYPERLINK("https://app.vivvix.com/360/KMI/IntelliDrive/ApplUI/Pages/CreativePages/CustomReportCreativeDetail.aspx?App=23&amp;ReportView=4&amp;Qid=1711279&amp;Row=23534&amp;Col=1","No Title Assigned - #15282202735")</f>
        <v/>
      </c>
      <c r="B23542" s="0" t="s">
        <v>31426</v>
      </c>
      <c r="E23542" s="0" t="inlineStr">
        <is>
          <t xml:space="preserve">Mazda</t>
        </is>
      </c>
      <c r="F23542" s="0" t="inlineStr">
        <is>
          <t xml:space="preserve">Mazda</t>
        </is>
      </c>
      <c r="G23542" s="0" t="s">
        <v>171</v>
      </c>
      <c r="H23542" s="5">
        <v>201.380800</v>
      </c>
    </row>
    <row r="23543" spans="1:9">
      <c r="A23543" s="22" t="str">
        <f>HYPERLINK("https://app.vivvix.com/360/KMI/IntelliDrive/ApplUI/Pages/CreativePages/CustomReportCreativeDetail.aspx?App=23&amp;ReportView=4&amp;Qid=1711279&amp;Row=23535&amp;Col=1","No Title Assigned - #15282202736")</f>
        <v/>
      </c>
      <c r="B23543" s="0" t="s">
        <v>31427</v>
      </c>
      <c r="E23543" s="0" t="inlineStr">
        <is>
          <t xml:space="preserve">Mazda</t>
        </is>
      </c>
      <c r="F23543" s="0" t="inlineStr">
        <is>
          <t xml:space="preserve">Mazda</t>
        </is>
      </c>
      <c r="G23543" s="0" t="s">
        <v>171</v>
      </c>
      <c r="H23543" s="5">
        <v>201.380800</v>
      </c>
    </row>
    <row r="23544" spans="1:9">
      <c r="A23544" s="22" t="str">
        <f>HYPERLINK("https://app.vivvix.com/360/KMI/IntelliDrive/ApplUI/Pages/CreativePages/CustomReportCreativeDetail.aspx?App=23&amp;ReportView=4&amp;Qid=1711279&amp;Row=23536&amp;Col=1","No Title Assigned - #15282204657")</f>
        <v/>
      </c>
      <c r="B23544" s="0" t="s">
        <v>31428</v>
      </c>
      <c r="E23544" s="0" t="inlineStr">
        <is>
          <t xml:space="preserve">Mazda</t>
        </is>
      </c>
      <c r="F23544" s="0" t="inlineStr">
        <is>
          <t xml:space="preserve">Mazda</t>
        </is>
      </c>
      <c r="G23544" s="0" t="s">
        <v>171</v>
      </c>
      <c r="H23544" s="5">
        <v>19.301600</v>
      </c>
    </row>
    <row r="23545" spans="1:9">
      <c r="A23545" s="22" t="str">
        <f>HYPERLINK("https://app.vivvix.com/360/KMI/IntelliDrive/ApplUI/Pages/CreativePages/CustomReportCreativeDetail.aspx?App=23&amp;ReportView=4&amp;Qid=1711279&amp;Row=23537&amp;Col=1","No Title Assigned - #15282211042")</f>
        <v/>
      </c>
      <c r="B23545" s="0" t="s">
        <v>31429</v>
      </c>
      <c r="E23545" s="0" t="inlineStr">
        <is>
          <t xml:space="preserve">Mazda</t>
        </is>
      </c>
      <c r="F23545" s="0" t="inlineStr">
        <is>
          <t xml:space="preserve">Mazda</t>
        </is>
      </c>
      <c r="G23545" s="0" t="s">
        <v>171</v>
      </c>
      <c r="H23545" s="5">
        <v>531.267700</v>
      </c>
    </row>
    <row r="23546" spans="1:9">
      <c r="A23546" s="22" t="str">
        <f>HYPERLINK("https://app.vivvix.com/360/KMI/IntelliDrive/ApplUI/Pages/CreativePages/CustomReportCreativeDetail.aspx?App=23&amp;ReportView=4&amp;Qid=1711279&amp;Row=23538&amp;Col=1","No Title Assigned - #15282212163")</f>
        <v/>
      </c>
      <c r="B23546" s="0" t="s">
        <v>31430</v>
      </c>
      <c r="E23546" s="0" t="inlineStr">
        <is>
          <t xml:space="preserve">Mazda</t>
        </is>
      </c>
      <c r="F23546" s="0" t="inlineStr">
        <is>
          <t xml:space="preserve">Mazda</t>
        </is>
      </c>
      <c r="G23546" s="0" t="s">
        <v>171</v>
      </c>
      <c r="H23546" s="5">
        <v>2.536600</v>
      </c>
    </row>
    <row r="23547" spans="1:9">
      <c r="A23547" s="22" t="str">
        <f>HYPERLINK("https://app.vivvix.com/360/KMI/IntelliDrive/ApplUI/Pages/CreativePages/CustomReportCreativeDetail.aspx?App=23&amp;ReportView=4&amp;Qid=1711279&amp;Row=23539&amp;Col=1","No Title Assigned - #15282220832")</f>
        <v/>
      </c>
      <c r="B23547" s="0" t="s">
        <v>31431</v>
      </c>
      <c r="C23547" s="0" t="s">
        <v>31432</v>
      </c>
      <c r="D23547" s="0" t="s">
        <v>31432</v>
      </c>
      <c r="E23547" s="0" t="inlineStr">
        <is>
          <t xml:space="preserve">Mazda</t>
        </is>
      </c>
      <c r="F23547" s="0" t="s">
        <v>13</v>
      </c>
      <c r="G23547" s="0" t="s">
        <v>49</v>
      </c>
      <c r="H23547" s="5">
        <v>802.974500</v>
      </c>
    </row>
    <row r="23548" spans="1:9">
      <c r="A23548" s="22" t="str">
        <f>HYPERLINK("https://app.vivvix.com/360/KMI/IntelliDrive/ApplUI/Pages/CreativePages/CustomReportCreativeDetail.aspx?App=23&amp;ReportView=4&amp;Qid=1711279&amp;Row=23540&amp;Col=1","No Title Assigned - #15282223243")</f>
        <v/>
      </c>
      <c r="B23548" s="0" t="s">
        <v>31433</v>
      </c>
      <c r="C23548" s="0" t="s">
        <v>31434</v>
      </c>
      <c r="D23548" s="0" t="s">
        <v>31434</v>
      </c>
      <c r="E23548" s="0" t="inlineStr">
        <is>
          <t xml:space="preserve">Mazda</t>
        </is>
      </c>
      <c r="F23548" s="0" t="s">
        <v>13</v>
      </c>
      <c r="G23548" s="0" t="s">
        <v>49</v>
      </c>
      <c r="H23548" s="5">
        <v>24.328600</v>
      </c>
    </row>
    <row r="23549" spans="1:9">
      <c r="A23549" s="22" t="str">
        <f>HYPERLINK("https://app.vivvix.com/360/KMI/IntelliDrive/ApplUI/Pages/CreativePages/CustomReportCreativeDetail.aspx?App=23&amp;ReportView=4&amp;Qid=1711279&amp;Row=23541&amp;Col=1","No Title Assigned - #15282223931")</f>
        <v/>
      </c>
      <c r="B23549" s="0" t="s">
        <v>31435</v>
      </c>
      <c r="E23549" s="0" t="inlineStr">
        <is>
          <t xml:space="preserve">Mazda</t>
        </is>
      </c>
      <c r="F23549" s="0" t="inlineStr">
        <is>
          <t xml:space="preserve">Mazda</t>
        </is>
      </c>
      <c r="G23549" s="0" t="s">
        <v>210</v>
      </c>
      <c r="H23549" s="5">
        <v>293.440000</v>
      </c>
    </row>
    <row r="23550" spans="1:9">
      <c r="A23550" s="22" t="str">
        <f>HYPERLINK("https://app.vivvix.com/360/KMI/IntelliDrive/ApplUI/Pages/CreativePages/CustomReportCreativeDetail.aspx?App=23&amp;ReportView=4&amp;Qid=1711279&amp;Row=23542&amp;Col=1","No Title Assigned - #15282233432")</f>
        <v/>
      </c>
      <c r="B23550" s="0" t="s">
        <v>31436</v>
      </c>
      <c r="C23550" s="0" t="s">
        <v>31437</v>
      </c>
      <c r="D23550" s="0" t="s">
        <v>31437</v>
      </c>
      <c r="E23550" s="0" t="inlineStr">
        <is>
          <t xml:space="preserve">Mazda</t>
        </is>
      </c>
      <c r="F23550" s="0" t="s">
        <v>13</v>
      </c>
      <c r="G23550" s="0" t="s">
        <v>49</v>
      </c>
      <c r="H23550" s="5">
        <v>72.575200</v>
      </c>
    </row>
    <row r="23551" spans="1:9">
      <c r="A23551" s="22" t="str">
        <f>HYPERLINK("https://app.vivvix.com/360/KMI/IntelliDrive/ApplUI/Pages/CreativePages/CustomReportCreativeDetail.aspx?App=23&amp;ReportView=4&amp;Qid=1711279&amp;Row=23543&amp;Col=1","No Title Assigned - #15282234852")</f>
        <v/>
      </c>
      <c r="B23551" s="0" t="s">
        <v>31438</v>
      </c>
      <c r="C23551" s="0" t="s">
        <v>31439</v>
      </c>
      <c r="D23551" s="0" t="s">
        <v>22120</v>
      </c>
      <c r="E23551" s="0" t="inlineStr">
        <is>
          <t xml:space="preserve">Mazda</t>
        </is>
      </c>
      <c r="F23551" s="0" t="s">
        <v>13</v>
      </c>
      <c r="G23551" s="0" t="s">
        <v>49</v>
      </c>
      <c r="H23551" s="5">
        <v>848.124500</v>
      </c>
    </row>
    <row r="23552" spans="1:9">
      <c r="A23552" s="22" t="str">
        <f>HYPERLINK("https://app.vivvix.com/360/KMI/IntelliDrive/ApplUI/Pages/CreativePages/CustomReportCreativeDetail.aspx?App=23&amp;ReportView=4&amp;Qid=1711279&amp;Row=23544&amp;Col=1","No Title Assigned - #15282236427")</f>
        <v/>
      </c>
      <c r="B23552" s="0" t="s">
        <v>31440</v>
      </c>
      <c r="C23552" s="0" t="s">
        <v>31441</v>
      </c>
      <c r="D23552" s="0" t="s">
        <v>31441</v>
      </c>
      <c r="E23552" s="0" t="inlineStr">
        <is>
          <t xml:space="preserve">Mazda</t>
        </is>
      </c>
      <c r="F23552" s="0" t="s">
        <v>13</v>
      </c>
      <c r="G23552" s="0" t="s">
        <v>49</v>
      </c>
      <c r="H23552" s="5">
        <v>41.104700</v>
      </c>
    </row>
    <row r="23553" spans="1:9">
      <c r="A23553" s="22" t="str">
        <f>HYPERLINK("https://app.vivvix.com/360/KMI/IntelliDrive/ApplUI/Pages/CreativePages/CustomReportCreativeDetail.aspx?App=23&amp;ReportView=4&amp;Qid=1711279&amp;Row=23545&amp;Col=1","No Title Assigned - #15282238510")</f>
        <v/>
      </c>
      <c r="B23553" s="0" t="s">
        <v>31442</v>
      </c>
      <c r="E23553" s="0" t="inlineStr">
        <is>
          <t xml:space="preserve">Mazda</t>
        </is>
      </c>
      <c r="F23553" s="0" t="inlineStr">
        <is>
          <t xml:space="preserve">Mazda</t>
        </is>
      </c>
      <c r="G23553" s="0" t="s">
        <v>171</v>
      </c>
      <c r="H23553" s="5">
        <v>118.652800</v>
      </c>
    </row>
    <row r="23554" spans="1:9">
      <c r="A23554" s="22" t="str">
        <f>HYPERLINK("https://app.vivvix.com/360/KMI/IntelliDrive/ApplUI/Pages/CreativePages/CustomReportCreativeDetail.aspx?App=23&amp;ReportView=4&amp;Qid=1711279&amp;Row=23546&amp;Col=1","No Title Assigned - #15282239250")</f>
        <v/>
      </c>
      <c r="B23554" s="0" t="s">
        <v>31443</v>
      </c>
      <c r="E23554" s="0" t="inlineStr">
        <is>
          <t xml:space="preserve">Mazda</t>
        </is>
      </c>
      <c r="F23554" s="0" t="inlineStr">
        <is>
          <t xml:space="preserve">Mazda</t>
        </is>
      </c>
      <c r="G23554" s="0" t="s">
        <v>171</v>
      </c>
      <c r="H23554" s="5">
        <v>7.448600</v>
      </c>
    </row>
    <row r="23555" spans="1:9">
      <c r="A23555" s="22" t="str">
        <f>HYPERLINK("https://app.vivvix.com/360/KMI/IntelliDrive/ApplUI/Pages/CreativePages/CustomReportCreativeDetail.aspx?App=23&amp;ReportView=4&amp;Qid=1711279&amp;Row=23547&amp;Col=1","No Title Assigned - #15282239464")</f>
        <v/>
      </c>
      <c r="B23555" s="0" t="s">
        <v>31444</v>
      </c>
      <c r="E23555" s="0" t="inlineStr">
        <is>
          <t xml:space="preserve">Mazda</t>
        </is>
      </c>
      <c r="F23555" s="0" t="inlineStr">
        <is>
          <t xml:space="preserve">Mazda</t>
        </is>
      </c>
      <c r="G23555" s="0" t="s">
        <v>171</v>
      </c>
      <c r="H23555" s="5">
        <v>488.554300</v>
      </c>
    </row>
    <row r="23556" spans="1:9">
      <c r="A23556" s="22" t="str">
        <f>HYPERLINK("https://app.vivvix.com/360/KMI/IntelliDrive/ApplUI/Pages/CreativePages/CustomReportCreativeDetail.aspx?App=23&amp;ReportView=4&amp;Qid=1711279&amp;Row=23548&amp;Col=1","No Title Assigned - #15282239579")</f>
        <v/>
      </c>
      <c r="B23556" s="0" t="s">
        <v>31445</v>
      </c>
      <c r="E23556" s="0" t="inlineStr">
        <is>
          <t xml:space="preserve">Mazda</t>
        </is>
      </c>
      <c r="F23556" s="0" t="inlineStr">
        <is>
          <t xml:space="preserve">Mazda</t>
        </is>
      </c>
      <c r="G23556" s="0" t="s">
        <v>171</v>
      </c>
      <c r="H23556" s="5">
        <v>7.448600</v>
      </c>
    </row>
    <row r="23557" spans="1:9">
      <c r="A23557" s="22" t="str">
        <f>HYPERLINK("https://app.vivvix.com/360/KMI/IntelliDrive/ApplUI/Pages/CreativePages/CustomReportCreativeDetail.aspx?App=23&amp;ReportView=4&amp;Qid=1711279&amp;Row=23549&amp;Col=1","No Title Assigned - #15282240177")</f>
        <v/>
      </c>
      <c r="B23557" s="0" t="s">
        <v>31446</v>
      </c>
      <c r="E23557" s="0" t="inlineStr">
        <is>
          <t xml:space="preserve">Mazda</t>
        </is>
      </c>
      <c r="F23557" s="0" t="inlineStr">
        <is>
          <t xml:space="preserve">Mazda</t>
        </is>
      </c>
      <c r="G23557" s="0" t="s">
        <v>171</v>
      </c>
      <c r="H23557" s="5">
        <v>15.880200</v>
      </c>
    </row>
    <row r="23558" spans="1:9">
      <c r="A23558" s="22" t="str">
        <f>HYPERLINK("https://app.vivvix.com/360/KMI/IntelliDrive/ApplUI/Pages/CreativePages/CustomReportCreativeDetail.aspx?App=23&amp;ReportView=4&amp;Qid=1711279&amp;Row=23550&amp;Col=1","No Title Assigned - #15282240249")</f>
        <v/>
      </c>
      <c r="B23558" s="0" t="s">
        <v>31447</v>
      </c>
      <c r="C23558" s="0" t="s">
        <v>31448</v>
      </c>
      <c r="D23558" s="0" t="s">
        <v>31448</v>
      </c>
      <c r="E23558" s="0" t="inlineStr">
        <is>
          <t xml:space="preserve">Mazda</t>
        </is>
      </c>
      <c r="F23558" s="0" t="inlineStr">
        <is>
          <t xml:space="preserve">Mazda</t>
        </is>
      </c>
      <c r="G23558" s="0" t="s">
        <v>171</v>
      </c>
      <c r="H23558" s="5">
        <v>0.823600</v>
      </c>
    </row>
    <row r="23559" spans="1:9">
      <c r="A23559" s="22" t="str">
        <f>HYPERLINK("https://app.vivvix.com/360/KMI/IntelliDrive/ApplUI/Pages/CreativePages/CustomReportCreativeDetail.aspx?App=23&amp;ReportView=4&amp;Qid=1711279&amp;Row=23551&amp;Col=1","No Title Assigned - #15282240249")</f>
        <v/>
      </c>
      <c r="B23559" s="0" t="s">
        <v>31447</v>
      </c>
      <c r="E23559" s="0" t="inlineStr">
        <is>
          <t xml:space="preserve">Mazda</t>
        </is>
      </c>
      <c r="F23559" s="0" t="inlineStr">
        <is>
          <t xml:space="preserve">Mazda</t>
        </is>
      </c>
      <c r="G23559" s="0" t="s">
        <v>171</v>
      </c>
      <c r="H23559" s="5">
        <v>103.435000</v>
      </c>
    </row>
    <row r="23560" spans="1:9">
      <c r="A23560" s="22" t="str">
        <f>HYPERLINK("https://app.vivvix.com/360/KMI/IntelliDrive/ApplUI/Pages/CreativePages/CustomReportCreativeDetail.aspx?App=23&amp;ReportView=4&amp;Qid=1711279&amp;Row=23552&amp;Col=1","No Title Assigned - #15282242213")</f>
        <v/>
      </c>
      <c r="B23560" s="0" t="s">
        <v>31449</v>
      </c>
      <c r="E23560" s="0" t="inlineStr">
        <is>
          <t xml:space="preserve">Mazda</t>
        </is>
      </c>
      <c r="F23560" s="0" t="inlineStr">
        <is>
          <t xml:space="preserve">Mazda</t>
        </is>
      </c>
      <c r="G23560" s="0" t="s">
        <v>171</v>
      </c>
      <c r="H23560" s="5">
        <v>34.472500</v>
      </c>
    </row>
    <row r="23561" spans="1:9">
      <c r="A23561" s="22" t="str">
        <f>HYPERLINK("https://app.vivvix.com/360/KMI/IntelliDrive/ApplUI/Pages/CreativePages/CustomReportCreativeDetail.aspx?App=23&amp;ReportView=4&amp;Qid=1711279&amp;Row=23553&amp;Col=1","No Title Assigned - #15282243625")</f>
        <v/>
      </c>
      <c r="B23561" s="0" t="s">
        <v>31450</v>
      </c>
      <c r="E23561" s="0" t="inlineStr">
        <is>
          <t xml:space="preserve">Mazda</t>
        </is>
      </c>
      <c r="F23561" s="0" t="inlineStr">
        <is>
          <t xml:space="preserve">Mazda</t>
        </is>
      </c>
      <c r="G23561" s="0" t="s">
        <v>171</v>
      </c>
      <c r="H23561" s="5">
        <v>844.265100</v>
      </c>
    </row>
    <row r="23562" spans="1:9">
      <c r="A23562" s="22" t="str">
        <f>HYPERLINK("https://app.vivvix.com/360/KMI/IntelliDrive/ApplUI/Pages/CreativePages/CustomReportCreativeDetail.aspx?App=23&amp;ReportView=4&amp;Qid=1711279&amp;Row=23554&amp;Col=1","No Title Assigned - #15282246106")</f>
        <v/>
      </c>
      <c r="B23562" s="0" t="s">
        <v>31451</v>
      </c>
      <c r="E23562" s="0" t="inlineStr">
        <is>
          <t xml:space="preserve">Mazda</t>
        </is>
      </c>
      <c r="F23562" s="0" t="inlineStr">
        <is>
          <t xml:space="preserve">Mazda</t>
        </is>
      </c>
      <c r="G23562" s="0" t="s">
        <v>171</v>
      </c>
      <c r="H23562" s="5">
        <v>276.632800</v>
      </c>
    </row>
    <row r="23563" spans="1:9">
      <c r="A23563" s="22" t="str">
        <f>HYPERLINK("https://app.vivvix.com/360/KMI/IntelliDrive/ApplUI/Pages/CreativePages/CustomReportCreativeDetail.aspx?App=23&amp;ReportView=4&amp;Qid=1711279&amp;Row=23555&amp;Col=1","No Title Assigned - #15282246494")</f>
        <v/>
      </c>
      <c r="B23563" s="0" t="s">
        <v>31452</v>
      </c>
      <c r="E23563" s="0" t="inlineStr">
        <is>
          <t xml:space="preserve">Mazda</t>
        </is>
      </c>
      <c r="F23563" s="0" t="inlineStr">
        <is>
          <t xml:space="preserve">Mazda</t>
        </is>
      </c>
      <c r="G23563" s="0" t="s">
        <v>171</v>
      </c>
      <c r="H23563" s="5">
        <v>379.209200</v>
      </c>
    </row>
    <row r="23564" spans="1:9">
      <c r="A23564" s="22" t="str">
        <f>HYPERLINK("https://app.vivvix.com/360/KMI/IntelliDrive/ApplUI/Pages/CreativePages/CustomReportCreativeDetail.aspx?App=23&amp;ReportView=4&amp;Qid=1711279&amp;Row=23556&amp;Col=1","No Title Assigned - #15282247601")</f>
        <v/>
      </c>
      <c r="B23564" s="0" t="s">
        <v>31453</v>
      </c>
      <c r="C23564" s="0" t="s">
        <v>31454</v>
      </c>
      <c r="D23564" s="0" t="s">
        <v>31454</v>
      </c>
      <c r="E23564" s="0" t="inlineStr">
        <is>
          <t xml:space="preserve">Mazda</t>
        </is>
      </c>
      <c r="F23564" s="0" t="inlineStr">
        <is>
          <t xml:space="preserve">Mazda</t>
        </is>
      </c>
      <c r="G23564" s="0" t="s">
        <v>171</v>
      </c>
      <c r="H23564" s="5">
        <v>564.624400</v>
      </c>
    </row>
    <row r="23565" spans="1:9">
      <c r="A23565" s="22" t="str">
        <f>HYPERLINK("https://app.vivvix.com/360/KMI/IntelliDrive/ApplUI/Pages/CreativePages/CustomReportCreativeDetail.aspx?App=23&amp;ReportView=4&amp;Qid=1711279&amp;Row=23557&amp;Col=1","No Title Assigned - #15282247913")</f>
        <v/>
      </c>
      <c r="B23565" s="0" t="s">
        <v>31455</v>
      </c>
      <c r="E23565" s="0" t="inlineStr">
        <is>
          <t xml:space="preserve">Mazda</t>
        </is>
      </c>
      <c r="F23565" s="0" t="inlineStr">
        <is>
          <t xml:space="preserve">Mazda</t>
        </is>
      </c>
      <c r="G23565" s="0" t="s">
        <v>171</v>
      </c>
      <c r="H23565" s="5">
        <v>14.897200</v>
      </c>
    </row>
    <row r="23566" spans="1:9">
      <c r="A23566" s="22" t="str">
        <f>HYPERLINK("https://app.vivvix.com/360/KMI/IntelliDrive/ApplUI/Pages/CreativePages/CustomReportCreativeDetail.aspx?App=23&amp;ReportView=4&amp;Qid=1711279&amp;Row=23558&amp;Col=1","No Title Assigned - #15282248045")</f>
        <v/>
      </c>
      <c r="B23566" s="0" t="s">
        <v>31456</v>
      </c>
      <c r="E23566" s="0" t="inlineStr">
        <is>
          <t xml:space="preserve">Mazda</t>
        </is>
      </c>
      <c r="F23566" s="0" t="inlineStr">
        <is>
          <t xml:space="preserve">Mazda</t>
        </is>
      </c>
      <c r="G23566" s="0" t="s">
        <v>171</v>
      </c>
      <c r="H23566" s="5">
        <v>79.435400</v>
      </c>
    </row>
    <row r="23567" spans="1:9">
      <c r="A23567" s="22" t="str">
        <f>HYPERLINK("https://app.vivvix.com/360/KMI/IntelliDrive/ApplUI/Pages/CreativePages/CustomReportCreativeDetail.aspx?App=23&amp;ReportView=4&amp;Qid=1711279&amp;Row=23559&amp;Col=1","No Title Assigned - #15282248091")</f>
        <v/>
      </c>
      <c r="B23567" s="0" t="s">
        <v>31457</v>
      </c>
      <c r="E23567" s="0" t="inlineStr">
        <is>
          <t xml:space="preserve">Mazda</t>
        </is>
      </c>
      <c r="F23567" s="0" t="inlineStr">
        <is>
          <t xml:space="preserve">Mazda</t>
        </is>
      </c>
      <c r="G23567" s="0" t="s">
        <v>171</v>
      </c>
      <c r="H23567" s="5">
        <v>7290.338400</v>
      </c>
    </row>
    <row r="23568" spans="1:9">
      <c r="A23568" s="22" t="str">
        <f>HYPERLINK("https://app.vivvix.com/360/KMI/IntelliDrive/ApplUI/Pages/CreativePages/CustomReportCreativeDetail.aspx?App=23&amp;ReportView=4&amp;Qid=1711279&amp;Row=23560&amp;Col=1","No Title Assigned - #15282248134")</f>
        <v/>
      </c>
      <c r="B23568" s="0" t="s">
        <v>31458</v>
      </c>
      <c r="C23568" s="0" t="s">
        <v>31459</v>
      </c>
      <c r="D23568" s="0" t="s">
        <v>6183</v>
      </c>
      <c r="E23568" s="0" t="inlineStr">
        <is>
          <t xml:space="preserve">Mazda</t>
        </is>
      </c>
      <c r="F23568" s="0" t="s">
        <v>13</v>
      </c>
      <c r="G23568" s="0" t="s">
        <v>49</v>
      </c>
      <c r="H23568" s="5">
        <v>236.310800</v>
      </c>
    </row>
    <row r="23569" spans="1:9">
      <c r="A23569" s="22" t="str">
        <f>HYPERLINK("https://app.vivvix.com/360/KMI/IntelliDrive/ApplUI/Pages/CreativePages/CustomReportCreativeDetail.aspx?App=23&amp;ReportView=4&amp;Qid=1711279&amp;Row=23561&amp;Col=1","No Title Assigned - #15282248259")</f>
        <v/>
      </c>
      <c r="B23569" s="0" t="s">
        <v>31460</v>
      </c>
      <c r="E23569" s="0" t="inlineStr">
        <is>
          <t xml:space="preserve">Mazda</t>
        </is>
      </c>
      <c r="F23569" s="0" t="inlineStr">
        <is>
          <t xml:space="preserve">Mazda</t>
        </is>
      </c>
      <c r="G23569" s="0" t="s">
        <v>171</v>
      </c>
      <c r="H23569" s="5">
        <v>71.348100</v>
      </c>
    </row>
    <row r="23570" spans="1:9">
      <c r="A23570" s="22" t="str">
        <f>HYPERLINK("https://app.vivvix.com/360/KMI/IntelliDrive/ApplUI/Pages/CreativePages/CustomReportCreativeDetail.aspx?App=23&amp;ReportView=4&amp;Qid=1711279&amp;Row=23562&amp;Col=1","No Title Assigned - #15282248422")</f>
        <v/>
      </c>
      <c r="B23570" s="0" t="s">
        <v>31461</v>
      </c>
      <c r="E23570" s="0" t="inlineStr">
        <is>
          <t xml:space="preserve">Mazda</t>
        </is>
      </c>
      <c r="F23570" s="0" t="inlineStr">
        <is>
          <t xml:space="preserve">Mazda</t>
        </is>
      </c>
      <c r="G23570" s="0" t="s">
        <v>171</v>
      </c>
      <c r="H23570" s="5">
        <v>274.423000</v>
      </c>
    </row>
    <row r="23571" spans="1:9">
      <c r="A23571" s="22" t="str">
        <f>HYPERLINK("https://app.vivvix.com/360/KMI/IntelliDrive/ApplUI/Pages/CreativePages/CustomReportCreativeDetail.aspx?App=23&amp;ReportView=4&amp;Qid=1711279&amp;Row=23563&amp;Col=1","No Title Assigned - #15282248563")</f>
        <v/>
      </c>
      <c r="B23571" s="0" t="s">
        <v>31462</v>
      </c>
      <c r="E23571" s="0" t="inlineStr">
        <is>
          <t xml:space="preserve">Mazda</t>
        </is>
      </c>
      <c r="F23571" s="0" t="inlineStr">
        <is>
          <t xml:space="preserve">Mazda</t>
        </is>
      </c>
      <c r="G23571" s="0" t="s">
        <v>171</v>
      </c>
      <c r="H23571" s="5">
        <v>3884.468400</v>
      </c>
    </row>
    <row r="23572" spans="1:9">
      <c r="A23572" s="22" t="str">
        <f>HYPERLINK("https://app.vivvix.com/360/KMI/IntelliDrive/ApplUI/Pages/CreativePages/CustomReportCreativeDetail.aspx?App=23&amp;ReportView=4&amp;Qid=1711279&amp;Row=23564&amp;Col=1","No Title Assigned - #15282248616")</f>
        <v/>
      </c>
      <c r="B23572" s="0" t="s">
        <v>31463</v>
      </c>
      <c r="E23572" s="0" t="inlineStr">
        <is>
          <t xml:space="preserve">Mazda</t>
        </is>
      </c>
      <c r="F23572" s="0" t="inlineStr">
        <is>
          <t xml:space="preserve">Mazda</t>
        </is>
      </c>
      <c r="G23572" s="0" t="s">
        <v>171</v>
      </c>
      <c r="H23572" s="5">
        <v>2615.217800</v>
      </c>
    </row>
    <row r="23573" spans="1:9">
      <c r="A23573" s="22" t="str">
        <f>HYPERLINK("https://app.vivvix.com/360/KMI/IntelliDrive/ApplUI/Pages/CreativePages/CustomReportCreativeDetail.aspx?App=23&amp;ReportView=4&amp;Qid=1711279&amp;Row=23565&amp;Col=1","No Title Assigned - #15282258753")</f>
        <v/>
      </c>
      <c r="B23573" s="0" t="s">
        <v>31464</v>
      </c>
      <c r="C23573" s="0" t="s">
        <v>31465</v>
      </c>
      <c r="D23573" s="0" t="s">
        <v>31465</v>
      </c>
      <c r="E23573" s="0" t="inlineStr">
        <is>
          <t xml:space="preserve">Mazda</t>
        </is>
      </c>
      <c r="F23573" s="0" t="s">
        <v>13</v>
      </c>
      <c r="G23573" s="0" t="s">
        <v>49</v>
      </c>
      <c r="H23573" s="5">
        <v>37997.977500</v>
      </c>
    </row>
    <row r="23574" spans="1:9">
      <c r="A23574" s="22" t="str">
        <f>HYPERLINK("https://app.vivvix.com/360/KMI/IntelliDrive/ApplUI/Pages/CreativePages/CustomReportCreativeDetail.aspx?App=23&amp;ReportView=4&amp;Qid=1711279&amp;Row=23566&amp;Col=1","No Title Assigned - #15282258824")</f>
        <v/>
      </c>
      <c r="B23574" s="0" t="s">
        <v>31466</v>
      </c>
      <c r="C23574" s="0" t="s">
        <v>31467</v>
      </c>
      <c r="D23574" s="0" t="s">
        <v>23364</v>
      </c>
      <c r="E23574" s="0" t="inlineStr">
        <is>
          <t xml:space="preserve">Mazda</t>
        </is>
      </c>
      <c r="F23574" s="0" t="s">
        <v>13</v>
      </c>
      <c r="G23574" s="0" t="s">
        <v>49</v>
      </c>
      <c r="H23574" s="5">
        <v>84.009000</v>
      </c>
    </row>
    <row r="23575" spans="1:9">
      <c r="A23575" s="22" t="str">
        <f>HYPERLINK("https://app.vivvix.com/360/KMI/IntelliDrive/ApplUI/Pages/CreativePages/CustomReportCreativeDetail.aspx?App=23&amp;ReportView=4&amp;Qid=1711279&amp;Row=23567&amp;Col=1","No Title Assigned - #15282260875")</f>
        <v/>
      </c>
      <c r="B23575" s="0" t="s">
        <v>31468</v>
      </c>
      <c r="E23575" s="0" t="inlineStr">
        <is>
          <t xml:space="preserve">Mazda</t>
        </is>
      </c>
      <c r="F23575" s="0" t="inlineStr">
        <is>
          <t xml:space="preserve">Mazda</t>
        </is>
      </c>
      <c r="G23575" s="0" t="s">
        <v>171</v>
      </c>
      <c r="H23575" s="5">
        <v>81.669900</v>
      </c>
    </row>
    <row r="23576" spans="1:9">
      <c r="A23576" s="22" t="str">
        <f>HYPERLINK("https://app.vivvix.com/360/KMI/IntelliDrive/ApplUI/Pages/CreativePages/CustomReportCreativeDetail.aspx?App=23&amp;ReportView=4&amp;Qid=1711279&amp;Row=23568&amp;Col=1","No Title Assigned - #15282263188")</f>
        <v/>
      </c>
      <c r="B23576" s="0" t="s">
        <v>31469</v>
      </c>
      <c r="E23576" s="0" t="inlineStr">
        <is>
          <t xml:space="preserve">Mazda</t>
        </is>
      </c>
      <c r="F23576" s="0" t="inlineStr">
        <is>
          <t xml:space="preserve">Mazda</t>
        </is>
      </c>
      <c r="G23576" s="0" t="s">
        <v>171</v>
      </c>
      <c r="H23576" s="5">
        <v>17474.631400</v>
      </c>
    </row>
    <row r="23577" spans="1:9">
      <c r="A23577" s="22" t="str">
        <f>HYPERLINK("https://app.vivvix.com/360/KMI/IntelliDrive/ApplUI/Pages/CreativePages/CustomReportCreativeDetail.aspx?App=23&amp;ReportView=4&amp;Qid=1711279&amp;Row=23569&amp;Col=1","No Title Assigned - #15282263740")</f>
        <v/>
      </c>
      <c r="B23577" s="0" t="s">
        <v>31470</v>
      </c>
      <c r="E23577" s="0" t="inlineStr">
        <is>
          <t xml:space="preserve">Mazda</t>
        </is>
      </c>
      <c r="F23577" s="0" t="inlineStr">
        <is>
          <t xml:space="preserve">Mazda</t>
        </is>
      </c>
      <c r="G23577" s="0" t="s">
        <v>171</v>
      </c>
      <c r="H23577" s="5">
        <v>302.491400</v>
      </c>
    </row>
    <row r="23578" spans="1:9">
      <c r="A23578" s="22" t="str">
        <f>HYPERLINK("https://app.vivvix.com/360/KMI/IntelliDrive/ApplUI/Pages/CreativePages/CustomReportCreativeDetail.aspx?App=23&amp;ReportView=4&amp;Qid=1711279&amp;Row=23570&amp;Col=1","No Title Assigned - #15282264400")</f>
        <v/>
      </c>
      <c r="B23578" s="0" t="s">
        <v>31471</v>
      </c>
      <c r="E23578" s="0" t="inlineStr">
        <is>
          <t xml:space="preserve">Mazda</t>
        </is>
      </c>
      <c r="F23578" s="0" t="inlineStr">
        <is>
          <t xml:space="preserve">Mazda</t>
        </is>
      </c>
      <c r="G23578" s="0" t="s">
        <v>171</v>
      </c>
      <c r="H23578" s="5">
        <v>885.525300</v>
      </c>
    </row>
    <row r="23579" spans="1:9">
      <c r="A23579" s="22" t="str">
        <f>HYPERLINK("https://app.vivvix.com/360/KMI/IntelliDrive/ApplUI/Pages/CreativePages/CustomReportCreativeDetail.aspx?App=23&amp;ReportView=4&amp;Qid=1711279&amp;Row=23571&amp;Col=1","No Title Assigned - #15282265101")</f>
        <v/>
      </c>
      <c r="B23579" s="0" t="s">
        <v>31472</v>
      </c>
      <c r="E23579" s="0" t="inlineStr">
        <is>
          <t xml:space="preserve">Mazda</t>
        </is>
      </c>
      <c r="F23579" s="0" t="inlineStr">
        <is>
          <t xml:space="preserve">Mazda</t>
        </is>
      </c>
      <c r="G23579" s="0" t="s">
        <v>171</v>
      </c>
      <c r="H23579" s="5">
        <v>5.764400</v>
      </c>
    </row>
    <row r="23580" spans="1:9">
      <c r="A23580" s="22" t="str">
        <f>HYPERLINK("https://app.vivvix.com/360/KMI/IntelliDrive/ApplUI/Pages/CreativePages/CustomReportCreativeDetail.aspx?App=23&amp;ReportView=4&amp;Qid=1711279&amp;Row=23572&amp;Col=1","No Title Assigned - #15282265276")</f>
        <v/>
      </c>
      <c r="B23580" s="0" t="s">
        <v>31473</v>
      </c>
      <c r="E23580" s="0" t="inlineStr">
        <is>
          <t xml:space="preserve">Mazda</t>
        </is>
      </c>
      <c r="F23580" s="0" t="inlineStr">
        <is>
          <t xml:space="preserve">Mazda</t>
        </is>
      </c>
      <c r="G23580" s="0" t="s">
        <v>171</v>
      </c>
      <c r="H23580" s="5">
        <v>22.177500</v>
      </c>
    </row>
    <row r="23581" spans="1:9">
      <c r="A23581" s="22" t="str">
        <f>HYPERLINK("https://app.vivvix.com/360/KMI/IntelliDrive/ApplUI/Pages/CreativePages/CustomReportCreativeDetail.aspx?App=23&amp;ReportView=4&amp;Qid=1711279&amp;Row=23573&amp;Col=1","No Title Assigned - #15282265277")</f>
        <v/>
      </c>
      <c r="B23581" s="0" t="s">
        <v>31474</v>
      </c>
      <c r="E23581" s="0" t="inlineStr">
        <is>
          <t xml:space="preserve">Mazda</t>
        </is>
      </c>
      <c r="F23581" s="0" t="inlineStr">
        <is>
          <t xml:space="preserve">Mazda</t>
        </is>
      </c>
      <c r="G23581" s="0" t="s">
        <v>171</v>
      </c>
      <c r="H23581" s="5">
        <v>22.177500</v>
      </c>
    </row>
    <row r="23582" spans="1:9">
      <c r="A23582" s="22" t="str">
        <f>HYPERLINK("https://app.vivvix.com/360/KMI/IntelliDrive/ApplUI/Pages/CreativePages/CustomReportCreativeDetail.aspx?App=23&amp;ReportView=4&amp;Qid=1711279&amp;Row=23574&amp;Col=1","No Title Assigned - #15282269245")</f>
        <v/>
      </c>
      <c r="B23582" s="0" t="s">
        <v>31475</v>
      </c>
      <c r="C23582" s="0" t="s">
        <v>31476</v>
      </c>
      <c r="D23582" s="0" t="s">
        <v>31476</v>
      </c>
      <c r="E23582" s="0" t="inlineStr">
        <is>
          <t xml:space="preserve">Mazda</t>
        </is>
      </c>
      <c r="F23582" s="0" t="s">
        <v>13</v>
      </c>
      <c r="G23582" s="0" t="s">
        <v>49</v>
      </c>
      <c r="H23582" s="5">
        <v>426.019200</v>
      </c>
    </row>
    <row r="23583" spans="1:9">
      <c r="A23583" s="22" t="str">
        <f>HYPERLINK("https://app.vivvix.com/360/KMI/IntelliDrive/ApplUI/Pages/CreativePages/CustomReportCreativeDetail.aspx?App=23&amp;ReportView=4&amp;Qid=1711279&amp;Row=23575&amp;Col=1","No Title Assigned - #15282273833")</f>
        <v/>
      </c>
      <c r="B23583" s="0" t="s">
        <v>31477</v>
      </c>
      <c r="C23583" s="0" t="s">
        <v>31478</v>
      </c>
      <c r="D23583" s="0" t="s">
        <v>9386</v>
      </c>
      <c r="E23583" s="0" t="inlineStr">
        <is>
          <t xml:space="preserve">Mazda</t>
        </is>
      </c>
      <c r="F23583" s="0" t="s">
        <v>13</v>
      </c>
      <c r="G23583" s="0" t="s">
        <v>49</v>
      </c>
      <c r="H23583" s="5">
        <v>267.380400</v>
      </c>
    </row>
    <row r="23584" spans="1:9">
      <c r="A23584" s="22" t="str">
        <f>HYPERLINK("https://app.vivvix.com/360/KMI/IntelliDrive/ApplUI/Pages/CreativePages/CustomReportCreativeDetail.aspx?App=23&amp;ReportView=4&amp;Qid=1711279&amp;Row=23576&amp;Col=1","No Title Assigned - #15282274248")</f>
        <v/>
      </c>
      <c r="B23584" s="0" t="s">
        <v>31479</v>
      </c>
      <c r="C23584" s="0" t="s">
        <v>31480</v>
      </c>
      <c r="D23584" s="0" t="s">
        <v>31480</v>
      </c>
      <c r="E23584" s="0" t="inlineStr">
        <is>
          <t xml:space="preserve">Mazda</t>
        </is>
      </c>
      <c r="F23584" s="0" t="s">
        <v>13</v>
      </c>
      <c r="G23584" s="0" t="s">
        <v>49</v>
      </c>
      <c r="H23584" s="5">
        <v>250.878000</v>
      </c>
    </row>
    <row r="23585" spans="1:9">
      <c r="A23585" s="22" t="str">
        <f>HYPERLINK("https://app.vivvix.com/360/KMI/IntelliDrive/ApplUI/Pages/CreativePages/CustomReportCreativeDetail.aspx?App=23&amp;ReportView=4&amp;Qid=1711279&amp;Row=23577&amp;Col=1","No Title Assigned - #15282275535")</f>
        <v/>
      </c>
      <c r="B23585" s="0" t="s">
        <v>31481</v>
      </c>
      <c r="E23585" s="0" t="inlineStr">
        <is>
          <t xml:space="preserve">Mazda</t>
        </is>
      </c>
      <c r="F23585" s="0" t="s">
        <v>13</v>
      </c>
      <c r="G23585" s="0" t="s">
        <v>49</v>
      </c>
      <c r="H23585" s="5">
        <v>296.071600</v>
      </c>
    </row>
    <row r="23586" spans="1:9">
      <c r="A23586" s="22" t="str">
        <f>HYPERLINK("https://app.vivvix.com/360/KMI/IntelliDrive/ApplUI/Pages/CreativePages/CustomReportCreativeDetail.aspx?App=23&amp;ReportView=4&amp;Qid=1711279&amp;Row=23578&amp;Col=1","No Title Assigned - #15282277128")</f>
        <v/>
      </c>
      <c r="B23586" s="0" t="s">
        <v>31482</v>
      </c>
      <c r="C23586" s="0" t="s">
        <v>31483</v>
      </c>
      <c r="D23586" s="0" t="s">
        <v>31483</v>
      </c>
      <c r="E23586" s="0" t="inlineStr">
        <is>
          <t xml:space="preserve">Mazda</t>
        </is>
      </c>
      <c r="F23586" s="0" t="s">
        <v>13</v>
      </c>
      <c r="G23586" s="0" t="s">
        <v>49</v>
      </c>
      <c r="H23586" s="5">
        <v>97.970300</v>
      </c>
    </row>
    <row r="23587" spans="1:9">
      <c r="A23587" s="22" t="str">
        <f>HYPERLINK("https://app.vivvix.com/360/KMI/IntelliDrive/ApplUI/Pages/CreativePages/CustomReportCreativeDetail.aspx?App=23&amp;ReportView=4&amp;Qid=1711279&amp;Row=23579&amp;Col=1","No Title Assigned - #15282277854")</f>
        <v/>
      </c>
      <c r="B23587" s="0" t="s">
        <v>31484</v>
      </c>
      <c r="C23587" s="0" t="s">
        <v>31485</v>
      </c>
      <c r="D23587" s="0" t="s">
        <v>31485</v>
      </c>
      <c r="E23587" s="0" t="inlineStr">
        <is>
          <t xml:space="preserve">Mazda</t>
        </is>
      </c>
      <c r="F23587" s="0" t="s">
        <v>13</v>
      </c>
      <c r="G23587" s="0" t="s">
        <v>49</v>
      </c>
      <c r="H23587" s="5">
        <v>456.369200</v>
      </c>
    </row>
    <row r="23588" spans="1:9">
      <c r="A23588" s="22" t="str">
        <f>HYPERLINK("https://app.vivvix.com/360/KMI/IntelliDrive/ApplUI/Pages/CreativePages/CustomReportCreativeDetail.aspx?App=23&amp;ReportView=4&amp;Qid=1711279&amp;Row=23580&amp;Col=1","No Title Assigned - #15282280541")</f>
        <v/>
      </c>
      <c r="B23588" s="0" t="s">
        <v>31486</v>
      </c>
      <c r="C23588" s="0" t="s">
        <v>31487</v>
      </c>
      <c r="D23588" s="0" t="s">
        <v>31487</v>
      </c>
      <c r="E23588" s="0" t="inlineStr">
        <is>
          <t xml:space="preserve">Mazda</t>
        </is>
      </c>
      <c r="F23588" s="0" t="inlineStr">
        <is>
          <t xml:space="preserve">Mazda</t>
        </is>
      </c>
      <c r="G23588" s="0" t="s">
        <v>210</v>
      </c>
      <c r="H23588" s="5">
        <v>411.693400</v>
      </c>
    </row>
    <row r="23589" spans="1:9">
      <c r="A23589" s="22" t="str">
        <f>HYPERLINK("https://app.vivvix.com/360/KMI/IntelliDrive/ApplUI/Pages/CreativePages/CustomReportCreativeDetail.aspx?App=23&amp;ReportView=4&amp;Qid=1711279&amp;Row=23581&amp;Col=1","No Title Assigned - #15282281451")</f>
        <v/>
      </c>
      <c r="B23589" s="0" t="s">
        <v>31488</v>
      </c>
      <c r="C23589" s="0" t="s">
        <v>31489</v>
      </c>
      <c r="D23589" s="0" t="s">
        <v>4774</v>
      </c>
      <c r="E23589" s="0" t="inlineStr">
        <is>
          <t xml:space="preserve">Mazda</t>
        </is>
      </c>
      <c r="F23589" s="0" t="s">
        <v>13</v>
      </c>
      <c r="G23589" s="0" t="s">
        <v>49</v>
      </c>
      <c r="H23589" s="5">
        <v>126.020100</v>
      </c>
    </row>
    <row r="23590" spans="1:9">
      <c r="A23590" s="22" t="str">
        <f>HYPERLINK("https://app.vivvix.com/360/KMI/IntelliDrive/ApplUI/Pages/CreativePages/CustomReportCreativeDetail.aspx?App=23&amp;ReportView=4&amp;Qid=1711279&amp;Row=23582&amp;Col=1","No Title Assigned - #15282282022")</f>
        <v/>
      </c>
      <c r="B23590" s="0" t="s">
        <v>31490</v>
      </c>
      <c r="C23590" s="0" t="s">
        <v>31491</v>
      </c>
      <c r="D23590" s="0" t="s">
        <v>31491</v>
      </c>
      <c r="E23590" s="0" t="inlineStr">
        <is>
          <t xml:space="preserve">Mazda</t>
        </is>
      </c>
      <c r="F23590" s="0" t="s">
        <v>13</v>
      </c>
      <c r="G23590" s="0" t="s">
        <v>49</v>
      </c>
      <c r="H23590" s="5">
        <v>1264.280400</v>
      </c>
    </row>
    <row r="23591" spans="1:9">
      <c r="A23591" s="22" t="str">
        <f>HYPERLINK("https://app.vivvix.com/360/KMI/IntelliDrive/ApplUI/Pages/CreativePages/CustomReportCreativeDetail.aspx?App=23&amp;ReportView=4&amp;Qid=1711279&amp;Row=23583&amp;Col=1","No Title Assigned - #15282284734")</f>
        <v/>
      </c>
      <c r="B23591" s="0" t="s">
        <v>31492</v>
      </c>
      <c r="C23591" s="0" t="s">
        <v>31493</v>
      </c>
      <c r="D23591" s="0" t="s">
        <v>23390</v>
      </c>
      <c r="E23591" s="0" t="inlineStr">
        <is>
          <t xml:space="preserve">Mazda</t>
        </is>
      </c>
      <c r="F23591" s="0" t="s">
        <v>28</v>
      </c>
      <c r="G23591" s="0" t="s">
        <v>29</v>
      </c>
      <c r="H23591" s="5">
        <v>172.886600</v>
      </c>
    </row>
    <row r="23592" spans="1:9">
      <c r="A23592" s="22" t="str">
        <f>HYPERLINK("https://app.vivvix.com/360/KMI/IntelliDrive/ApplUI/Pages/CreativePages/CustomReportCreativeDetail.aspx?App=23&amp;ReportView=4&amp;Qid=1711279&amp;Row=23584&amp;Col=1","No Title Assigned - #15282284945")</f>
        <v/>
      </c>
      <c r="B23592" s="0" t="s">
        <v>31494</v>
      </c>
      <c r="C23592" s="0" t="s">
        <v>31495</v>
      </c>
      <c r="D23592" s="0" t="s">
        <v>10770</v>
      </c>
      <c r="E23592" s="0" t="inlineStr">
        <is>
          <t xml:space="preserve">Mazda</t>
        </is>
      </c>
      <c r="F23592" s="0" t="s">
        <v>13</v>
      </c>
      <c r="G23592" s="0" t="s">
        <v>49</v>
      </c>
      <c r="H23592" s="5">
        <v>139.220800</v>
      </c>
    </row>
    <row r="23593" spans="1:9">
      <c r="A23593" s="22" t="str">
        <f>HYPERLINK("https://app.vivvix.com/360/KMI/IntelliDrive/ApplUI/Pages/CreativePages/CustomReportCreativeDetail.aspx?App=23&amp;ReportView=4&amp;Qid=1711279&amp;Row=23585&amp;Col=1","No Title Assigned - #15282285892")</f>
        <v/>
      </c>
      <c r="B23593" s="0" t="s">
        <v>31496</v>
      </c>
      <c r="C23593" s="0" t="s">
        <v>31497</v>
      </c>
      <c r="D23593" s="0" t="s">
        <v>9749</v>
      </c>
      <c r="E23593" s="0" t="inlineStr">
        <is>
          <t xml:space="preserve">Mazda</t>
        </is>
      </c>
      <c r="F23593" s="0" t="s">
        <v>13</v>
      </c>
      <c r="G23593" s="0" t="s">
        <v>49</v>
      </c>
      <c r="H23593" s="5">
        <v>80.652700</v>
      </c>
    </row>
    <row r="23594" spans="1:9">
      <c r="A23594" s="22" t="str">
        <f>HYPERLINK("https://app.vivvix.com/360/KMI/IntelliDrive/ApplUI/Pages/CreativePages/CustomReportCreativeDetail.aspx?App=23&amp;ReportView=4&amp;Qid=1711279&amp;Row=23586&amp;Col=1","No Title Assigned - #15282288079")</f>
        <v/>
      </c>
      <c r="B23594" s="0" t="s">
        <v>31498</v>
      </c>
      <c r="C23594" s="0" t="s">
        <v>31499</v>
      </c>
      <c r="D23594" s="0" t="s">
        <v>10770</v>
      </c>
      <c r="E23594" s="0" t="inlineStr">
        <is>
          <t xml:space="preserve">Mazda</t>
        </is>
      </c>
      <c r="F23594" s="0" t="s">
        <v>13</v>
      </c>
      <c r="G23594" s="0" t="s">
        <v>49</v>
      </c>
      <c r="H23594" s="5">
        <v>85.604800</v>
      </c>
    </row>
    <row r="23595" spans="1:9">
      <c r="A23595" s="22" t="str">
        <f>HYPERLINK("https://app.vivvix.com/360/KMI/IntelliDrive/ApplUI/Pages/CreativePages/CustomReportCreativeDetail.aspx?App=23&amp;ReportView=4&amp;Qid=1711279&amp;Row=23587&amp;Col=1","No Title Assigned - #15282288252")</f>
        <v/>
      </c>
      <c r="B23595" s="0" t="s">
        <v>31500</v>
      </c>
      <c r="C23595" s="0" t="s">
        <v>31501</v>
      </c>
      <c r="D23595" s="0" t="s">
        <v>31501</v>
      </c>
      <c r="E23595" s="0" t="inlineStr">
        <is>
          <t xml:space="preserve">Mazda</t>
        </is>
      </c>
      <c r="F23595" s="0" t="s">
        <v>13</v>
      </c>
      <c r="G23595" s="0" t="s">
        <v>49</v>
      </c>
      <c r="H23595" s="5">
        <v>502.953500</v>
      </c>
    </row>
    <row r="23596" spans="1:9">
      <c r="A23596" s="22" t="str">
        <f>HYPERLINK("https://app.vivvix.com/360/KMI/IntelliDrive/ApplUI/Pages/CreativePages/CustomReportCreativeDetail.aspx?App=23&amp;ReportView=4&amp;Qid=1711279&amp;Row=23588&amp;Col=1","No Title Assigned - #15282288485")</f>
        <v/>
      </c>
      <c r="B23596" s="0" t="s">
        <v>31502</v>
      </c>
      <c r="C23596" s="0" t="s">
        <v>31503</v>
      </c>
      <c r="D23596" s="0" t="s">
        <v>31503</v>
      </c>
      <c r="E23596" s="0" t="inlineStr">
        <is>
          <t xml:space="preserve">Mazda</t>
        </is>
      </c>
      <c r="F23596" s="0" t="s">
        <v>13</v>
      </c>
      <c r="G23596" s="0" t="s">
        <v>49</v>
      </c>
      <c r="H23596" s="5">
        <v>413.335200</v>
      </c>
    </row>
    <row r="23597" spans="1:9">
      <c r="A23597" s="22" t="str">
        <f>HYPERLINK("https://app.vivvix.com/360/KMI/IntelliDrive/ApplUI/Pages/CreativePages/CustomReportCreativeDetail.aspx?App=23&amp;ReportView=4&amp;Qid=1711279&amp;Row=23589&amp;Col=1","No Title Assigned - #15282288579")</f>
        <v/>
      </c>
      <c r="B23597" s="0" t="s">
        <v>31504</v>
      </c>
      <c r="C23597" s="0" t="s">
        <v>31505</v>
      </c>
      <c r="D23597" s="0" t="s">
        <v>31505</v>
      </c>
      <c r="E23597" s="0" t="inlineStr">
        <is>
          <t xml:space="preserve">Mazda</t>
        </is>
      </c>
      <c r="F23597" s="0" t="s">
        <v>13</v>
      </c>
      <c r="G23597" s="0" t="s">
        <v>49</v>
      </c>
      <c r="H23597" s="5">
        <v>2590.584700</v>
      </c>
    </row>
    <row r="23598" spans="1:9">
      <c r="A23598" s="22" t="str">
        <f>HYPERLINK("https://app.vivvix.com/360/KMI/IntelliDrive/ApplUI/Pages/CreativePages/CustomReportCreativeDetail.aspx?App=23&amp;ReportView=4&amp;Qid=1711279&amp;Row=23590&amp;Col=1","No Title Assigned - #15282289294")</f>
        <v/>
      </c>
      <c r="B23598" s="0" t="s">
        <v>31506</v>
      </c>
      <c r="C23598" s="0" t="s">
        <v>31507</v>
      </c>
      <c r="D23598" s="0" t="s">
        <v>31507</v>
      </c>
      <c r="E23598" s="0" t="inlineStr">
        <is>
          <t xml:space="preserve">Mazda</t>
        </is>
      </c>
      <c r="F23598" s="0" t="inlineStr">
        <is>
          <t xml:space="preserve">Mazda</t>
        </is>
      </c>
      <c r="G23598" s="0" t="s">
        <v>210</v>
      </c>
      <c r="H23598" s="5">
        <v>2126.769600</v>
      </c>
    </row>
    <row r="23599" spans="1:9">
      <c r="A23599" s="22" t="str">
        <f>HYPERLINK("https://app.vivvix.com/360/KMI/IntelliDrive/ApplUI/Pages/CreativePages/CustomReportCreativeDetail.aspx?App=23&amp;ReportView=4&amp;Qid=1711279&amp;Row=23591&amp;Col=1","No Title Assigned - #15282290744")</f>
        <v/>
      </c>
      <c r="B23599" s="0" t="s">
        <v>31508</v>
      </c>
      <c r="C23599" s="0" t="s">
        <v>31509</v>
      </c>
      <c r="D23599" s="0" t="s">
        <v>11499</v>
      </c>
      <c r="E23599" s="0" t="inlineStr">
        <is>
          <t xml:space="preserve">Mazda</t>
        </is>
      </c>
      <c r="F23599" s="0" t="s">
        <v>13</v>
      </c>
      <c r="G23599" s="0" t="s">
        <v>49</v>
      </c>
      <c r="H23599" s="5">
        <v>542.747700</v>
      </c>
    </row>
    <row r="23600" spans="1:9">
      <c r="A23600" s="22" t="str">
        <f>HYPERLINK("https://app.vivvix.com/360/KMI/IntelliDrive/ApplUI/Pages/CreativePages/CustomReportCreativeDetail.aspx?App=23&amp;ReportView=4&amp;Qid=1711279&amp;Row=23592&amp;Col=1","No Title Assigned - #15282301330")</f>
        <v/>
      </c>
      <c r="B23600" s="0" t="s">
        <v>31510</v>
      </c>
      <c r="C23600" s="0" t="s">
        <v>31511</v>
      </c>
      <c r="D23600" s="0" t="s">
        <v>15762</v>
      </c>
      <c r="E23600" s="0" t="inlineStr">
        <is>
          <t xml:space="preserve">Mazda</t>
        </is>
      </c>
      <c r="F23600" s="0" t="s">
        <v>13</v>
      </c>
      <c r="G23600" s="0" t="s">
        <v>49</v>
      </c>
      <c r="H23600" s="5">
        <v>679.687000</v>
      </c>
    </row>
    <row r="23601" spans="1:9">
      <c r="A23601" s="22" t="str">
        <f>HYPERLINK("https://app.vivvix.com/360/KMI/IntelliDrive/ApplUI/Pages/CreativePages/CustomReportCreativeDetail.aspx?App=23&amp;ReportView=4&amp;Qid=1711279&amp;Row=23593&amp;Col=1","No Title Assigned - #15282309857")</f>
        <v/>
      </c>
      <c r="B23601" s="0" t="s">
        <v>31512</v>
      </c>
      <c r="E23601" s="0" t="inlineStr">
        <is>
          <t xml:space="preserve">Mazda</t>
        </is>
      </c>
      <c r="F23601" s="0" t="inlineStr">
        <is>
          <t xml:space="preserve">Mazda</t>
        </is>
      </c>
      <c r="G23601" s="0" t="s">
        <v>171</v>
      </c>
      <c r="H23601" s="5">
        <v>444.176400</v>
      </c>
    </row>
    <row r="23602" spans="1:9">
      <c r="A23602" s="22" t="str">
        <f>HYPERLINK("https://app.vivvix.com/360/KMI/IntelliDrive/ApplUI/Pages/CreativePages/CustomReportCreativeDetail.aspx?App=23&amp;ReportView=4&amp;Qid=1711279&amp;Row=23594&amp;Col=1","No Title Assigned - #15282317891")</f>
        <v/>
      </c>
      <c r="B23602" s="0" t="s">
        <v>31513</v>
      </c>
      <c r="C23602" s="0" t="s">
        <v>31514</v>
      </c>
      <c r="D23602" s="0" t="s">
        <v>31514</v>
      </c>
      <c r="E23602" s="0" t="inlineStr">
        <is>
          <t xml:space="preserve">Mazda</t>
        </is>
      </c>
      <c r="F23602" s="0" t="s">
        <v>28</v>
      </c>
      <c r="G23602" s="0" t="s">
        <v>29</v>
      </c>
      <c r="H23602" s="5">
        <v>427.483000</v>
      </c>
    </row>
    <row r="23603" spans="1:9">
      <c r="A23603" s="22" t="str">
        <f>HYPERLINK("https://app.vivvix.com/360/KMI/IntelliDrive/ApplUI/Pages/CreativePages/CustomReportCreativeDetail.aspx?App=23&amp;ReportView=4&amp;Qid=1711279&amp;Row=23595&amp;Col=1","No Title Assigned - #15282319415")</f>
        <v/>
      </c>
      <c r="B23603" s="0" t="s">
        <v>31515</v>
      </c>
      <c r="C23603" s="0" t="s">
        <v>31516</v>
      </c>
      <c r="D23603" s="0" t="s">
        <v>28370</v>
      </c>
      <c r="E23603" s="0" t="inlineStr">
        <is>
          <t xml:space="preserve">Mazda</t>
        </is>
      </c>
      <c r="F23603" s="0" t="s">
        <v>13</v>
      </c>
      <c r="G23603" s="0" t="s">
        <v>49</v>
      </c>
      <c r="H23603" s="5">
        <v>1051.016500</v>
      </c>
    </row>
    <row r="23604" spans="1:9">
      <c r="A23604" s="22" t="str">
        <f>HYPERLINK("https://app.vivvix.com/360/KMI/IntelliDrive/ApplUI/Pages/CreativePages/CustomReportCreativeDetail.aspx?App=23&amp;ReportView=4&amp;Qid=1711279&amp;Row=23596&amp;Col=1","No Title Assigned - #15282319765")</f>
        <v/>
      </c>
      <c r="B23604" s="0" t="s">
        <v>31517</v>
      </c>
      <c r="C23604" s="0" t="s">
        <v>31518</v>
      </c>
      <c r="D23604" s="0" t="s">
        <v>15762</v>
      </c>
      <c r="E23604" s="0" t="inlineStr">
        <is>
          <t xml:space="preserve">Mazda</t>
        </is>
      </c>
      <c r="F23604" s="0" t="s">
        <v>13</v>
      </c>
      <c r="G23604" s="0" t="s">
        <v>49</v>
      </c>
      <c r="H23604" s="5">
        <v>48.830700</v>
      </c>
    </row>
    <row r="23605" spans="1:9">
      <c r="A23605" s="22" t="str">
        <f>HYPERLINK("https://app.vivvix.com/360/KMI/IntelliDrive/ApplUI/Pages/CreativePages/CustomReportCreativeDetail.aspx?App=23&amp;ReportView=4&amp;Qid=1711279&amp;Row=23597&amp;Col=1","No Title Assigned - #15282319769")</f>
        <v/>
      </c>
      <c r="B23605" s="0" t="s">
        <v>31519</v>
      </c>
      <c r="C23605" s="0" t="s">
        <v>31520</v>
      </c>
      <c r="D23605" s="0" t="s">
        <v>31520</v>
      </c>
      <c r="E23605" s="0" t="inlineStr">
        <is>
          <t xml:space="preserve">Mazda</t>
        </is>
      </c>
      <c r="F23605" s="0" t="inlineStr">
        <is>
          <t xml:space="preserve">Mazda</t>
        </is>
      </c>
      <c r="G23605" s="0" t="s">
        <v>210</v>
      </c>
      <c r="H23605" s="5">
        <v>973.567500</v>
      </c>
    </row>
    <row r="23606" spans="1:9">
      <c r="A23606" s="22" t="str">
        <f>HYPERLINK("https://app.vivvix.com/360/KMI/IntelliDrive/ApplUI/Pages/CreativePages/CustomReportCreativeDetail.aspx?App=23&amp;ReportView=4&amp;Qid=1711279&amp;Row=23598&amp;Col=1","No Title Assigned - #15282321839")</f>
        <v/>
      </c>
      <c r="B23606" s="0" t="s">
        <v>31521</v>
      </c>
      <c r="C23606" s="0" t="s">
        <v>31522</v>
      </c>
      <c r="D23606" s="0" t="s">
        <v>31522</v>
      </c>
      <c r="E23606" s="0" t="inlineStr">
        <is>
          <t xml:space="preserve">Mazda</t>
        </is>
      </c>
      <c r="F23606" s="0" t="s">
        <v>13</v>
      </c>
      <c r="G23606" s="0" t="s">
        <v>49</v>
      </c>
      <c r="H23606" s="5">
        <v>101.919100</v>
      </c>
    </row>
    <row r="23607" spans="1:9">
      <c r="A23607" s="22" t="str">
        <f>HYPERLINK("https://app.vivvix.com/360/KMI/IntelliDrive/ApplUI/Pages/CreativePages/CustomReportCreativeDetail.aspx?App=23&amp;ReportView=4&amp;Qid=1711279&amp;Row=23599&amp;Col=1","No Title Assigned - #15282322432")</f>
        <v/>
      </c>
      <c r="B23607" s="0" t="s">
        <v>31523</v>
      </c>
      <c r="E23607" s="0" t="inlineStr">
        <is>
          <t xml:space="preserve">Mazda</t>
        </is>
      </c>
      <c r="F23607" s="0" t="inlineStr">
        <is>
          <t xml:space="preserve">Mazda</t>
        </is>
      </c>
      <c r="G23607" s="0" t="s">
        <v>171</v>
      </c>
      <c r="H23607" s="5">
        <v>26867.895300</v>
      </c>
    </row>
    <row r="23608" spans="1:9">
      <c r="A23608" s="22" t="str">
        <f>HYPERLINK("https://app.vivvix.com/360/KMI/IntelliDrive/ApplUI/Pages/CreativePages/CustomReportCreativeDetail.aspx?App=23&amp;ReportView=4&amp;Qid=1711279&amp;Row=23600&amp;Col=1","No Title Assigned - #15282323617")</f>
        <v/>
      </c>
      <c r="B23608" s="0" t="s">
        <v>31524</v>
      </c>
      <c r="C23608" s="0" t="s">
        <v>31525</v>
      </c>
      <c r="D23608" s="0" t="s">
        <v>31525</v>
      </c>
      <c r="E23608" s="0" t="inlineStr">
        <is>
          <t xml:space="preserve">Mazda</t>
        </is>
      </c>
      <c r="F23608" s="0" t="s">
        <v>13</v>
      </c>
      <c r="G23608" s="0" t="s">
        <v>49</v>
      </c>
      <c r="H23608" s="5">
        <v>140.251300</v>
      </c>
    </row>
    <row r="23609" spans="1:9">
      <c r="A23609" s="22" t="str">
        <f>HYPERLINK("https://app.vivvix.com/360/KMI/IntelliDrive/ApplUI/Pages/CreativePages/CustomReportCreativeDetail.aspx?App=23&amp;ReportView=4&amp;Qid=1711279&amp;Row=23601&amp;Col=1","No Title Assigned - #15282323676")</f>
        <v/>
      </c>
      <c r="B23609" s="0" t="s">
        <v>31526</v>
      </c>
      <c r="C23609" s="0" t="s">
        <v>31527</v>
      </c>
      <c r="D23609" s="0" t="s">
        <v>27553</v>
      </c>
      <c r="E23609" s="0" t="inlineStr">
        <is>
          <t xml:space="preserve">Mazda</t>
        </is>
      </c>
      <c r="F23609" s="0" t="s">
        <v>13</v>
      </c>
      <c r="G23609" s="0" t="s">
        <v>49</v>
      </c>
      <c r="H23609" s="5">
        <v>17131.807600</v>
      </c>
    </row>
    <row r="23610" spans="1:9">
      <c r="A23610" s="22" t="str">
        <f>HYPERLINK("https://app.vivvix.com/360/KMI/IntelliDrive/ApplUI/Pages/CreativePages/CustomReportCreativeDetail.aspx?App=23&amp;ReportView=4&amp;Qid=1711279&amp;Row=23602&amp;Col=1","No Title Assigned - #15282323677")</f>
        <v/>
      </c>
      <c r="B23610" s="0" t="s">
        <v>31528</v>
      </c>
      <c r="C23610" s="0" t="s">
        <v>31529</v>
      </c>
      <c r="D23610" s="0" t="s">
        <v>31529</v>
      </c>
      <c r="E23610" s="0" t="inlineStr">
        <is>
          <t xml:space="preserve">Mazda</t>
        </is>
      </c>
      <c r="F23610" s="0" t="s">
        <v>13</v>
      </c>
      <c r="G23610" s="0" t="s">
        <v>49</v>
      </c>
      <c r="H23610" s="5">
        <v>22081.171700</v>
      </c>
    </row>
    <row r="23611" spans="1:9">
      <c r="A23611" s="22" t="str">
        <f>HYPERLINK("https://app.vivvix.com/360/KMI/IntelliDrive/ApplUI/Pages/CreativePages/CustomReportCreativeDetail.aspx?App=23&amp;ReportView=4&amp;Qid=1711279&amp;Row=23603&amp;Col=1","No Title Assigned - #15282324151")</f>
        <v/>
      </c>
      <c r="B23611" s="0" t="s">
        <v>31530</v>
      </c>
      <c r="C23611" s="0" t="s">
        <v>31531</v>
      </c>
      <c r="D23611" s="0" t="s">
        <v>10008</v>
      </c>
      <c r="E23611" s="0" t="inlineStr">
        <is>
          <t xml:space="preserve">Mazda</t>
        </is>
      </c>
      <c r="F23611" s="0" t="s">
        <v>13</v>
      </c>
      <c r="G23611" s="0" t="s">
        <v>49</v>
      </c>
      <c r="H23611" s="5">
        <v>57.900800</v>
      </c>
    </row>
    <row r="23612" spans="1:9">
      <c r="A23612" s="22" t="str">
        <f>HYPERLINK("https://app.vivvix.com/360/KMI/IntelliDrive/ApplUI/Pages/CreativePages/CustomReportCreativeDetail.aspx?App=23&amp;ReportView=4&amp;Qid=1711279&amp;Row=23604&amp;Col=1","No Title Assigned - #15282325573")</f>
        <v/>
      </c>
      <c r="B23612" s="0" t="s">
        <v>31532</v>
      </c>
      <c r="C23612" s="0" t="s">
        <v>31533</v>
      </c>
      <c r="D23612" s="0" t="s">
        <v>31533</v>
      </c>
      <c r="E23612" s="0" t="inlineStr">
        <is>
          <t xml:space="preserve">Mazda</t>
        </is>
      </c>
      <c r="F23612" s="0" t="s">
        <v>13</v>
      </c>
      <c r="G23612" s="0" t="s">
        <v>49</v>
      </c>
      <c r="H23612" s="5">
        <v>41.104700</v>
      </c>
    </row>
    <row r="23613" spans="1:9">
      <c r="A23613" s="22" t="str">
        <f>HYPERLINK("https://app.vivvix.com/360/KMI/IntelliDrive/ApplUI/Pages/CreativePages/CustomReportCreativeDetail.aspx?App=23&amp;ReportView=4&amp;Qid=1711279&amp;Row=23605&amp;Col=1","No Title Assigned - #15282326544")</f>
        <v/>
      </c>
      <c r="B23613" s="0" t="s">
        <v>31534</v>
      </c>
      <c r="C23613" s="0" t="s">
        <v>31535</v>
      </c>
      <c r="D23613" s="0" t="s">
        <v>19006</v>
      </c>
      <c r="E23613" s="0" t="inlineStr">
        <is>
          <t xml:space="preserve">Mazda</t>
        </is>
      </c>
      <c r="F23613" s="0" t="s">
        <v>13</v>
      </c>
      <c r="G23613" s="0" t="s">
        <v>49</v>
      </c>
      <c r="H23613" s="5">
        <v>101.919100</v>
      </c>
    </row>
    <row r="23614" spans="1:9">
      <c r="A23614" s="22" t="str">
        <f>HYPERLINK("https://app.vivvix.com/360/KMI/IntelliDrive/ApplUI/Pages/CreativePages/CustomReportCreativeDetail.aspx?App=23&amp;ReportView=4&amp;Qid=1711279&amp;Row=23606&amp;Col=1","No Title Assigned - #15282326849")</f>
        <v/>
      </c>
      <c r="B23614" s="0" t="s">
        <v>31536</v>
      </c>
      <c r="C23614" s="0" t="s">
        <v>31537</v>
      </c>
      <c r="D23614" s="0" t="s">
        <v>31537</v>
      </c>
      <c r="E23614" s="0" t="inlineStr">
        <is>
          <t xml:space="preserve">Mazda</t>
        </is>
      </c>
      <c r="F23614" s="0" t="s">
        <v>13</v>
      </c>
      <c r="G23614" s="0" t="s">
        <v>49</v>
      </c>
      <c r="H23614" s="5">
        <v>3.583400</v>
      </c>
    </row>
    <row r="23615" spans="1:9">
      <c r="A23615" s="22" t="str">
        <f>HYPERLINK("https://app.vivvix.com/360/KMI/IntelliDrive/ApplUI/Pages/CreativePages/CustomReportCreativeDetail.aspx?App=23&amp;ReportView=4&amp;Qid=1711279&amp;Row=23607&amp;Col=1","No Title Assigned - #15282327196")</f>
        <v/>
      </c>
      <c r="B23615" s="0" t="s">
        <v>31538</v>
      </c>
      <c r="C23615" s="0" t="s">
        <v>31539</v>
      </c>
      <c r="D23615" s="0" t="s">
        <v>31539</v>
      </c>
      <c r="E23615" s="0" t="inlineStr">
        <is>
          <t xml:space="preserve">Mazda</t>
        </is>
      </c>
      <c r="F23615" s="0" t="s">
        <v>13</v>
      </c>
      <c r="G23615" s="0" t="s">
        <v>49</v>
      </c>
      <c r="H23615" s="5">
        <v>15.737000</v>
      </c>
    </row>
    <row r="23616" spans="1:9">
      <c r="A23616" s="22" t="str">
        <f>HYPERLINK("https://app.vivvix.com/360/KMI/IntelliDrive/ApplUI/Pages/CreativePages/CustomReportCreativeDetail.aspx?App=23&amp;ReportView=4&amp;Qid=1711279&amp;Row=23608&amp;Col=1","No Title Assigned - #15282327270")</f>
        <v/>
      </c>
      <c r="B23616" s="0" t="s">
        <v>31540</v>
      </c>
      <c r="C23616" s="0" t="s">
        <v>31541</v>
      </c>
      <c r="D23616" s="0" t="s">
        <v>10101</v>
      </c>
      <c r="E23616" s="0" t="inlineStr">
        <is>
          <t xml:space="preserve">Mazda</t>
        </is>
      </c>
      <c r="F23616" s="0" t="s">
        <v>13</v>
      </c>
      <c r="G23616" s="0" t="s">
        <v>49</v>
      </c>
      <c r="H23616" s="5">
        <v>701.352800</v>
      </c>
    </row>
    <row r="23617" spans="1:9">
      <c r="A23617" s="22" t="str">
        <f>HYPERLINK("https://app.vivvix.com/360/KMI/IntelliDrive/ApplUI/Pages/CreativePages/CustomReportCreativeDetail.aspx?App=23&amp;ReportView=4&amp;Qid=1711279&amp;Row=23609&amp;Col=1","No Title Assigned - #15282328096")</f>
        <v/>
      </c>
      <c r="B23617" s="0" t="s">
        <v>31542</v>
      </c>
      <c r="C23617" s="0" t="s">
        <v>31543</v>
      </c>
      <c r="D23617" s="0" t="s">
        <v>31543</v>
      </c>
      <c r="E23617" s="0" t="inlineStr">
        <is>
          <t xml:space="preserve">Mazda</t>
        </is>
      </c>
      <c r="F23617" s="0" t="s">
        <v>13</v>
      </c>
      <c r="G23617" s="0" t="s">
        <v>49</v>
      </c>
      <c r="H23617" s="5">
        <v>47.796000</v>
      </c>
    </row>
    <row r="23618" spans="1:9">
      <c r="A23618" s="22" t="str">
        <f>HYPERLINK("https://app.vivvix.com/360/KMI/IntelliDrive/ApplUI/Pages/CreativePages/CustomReportCreativeDetail.aspx?App=23&amp;ReportView=4&amp;Qid=1711279&amp;Row=23610&amp;Col=1","No Title Assigned - #15282328294")</f>
        <v/>
      </c>
      <c r="B23618" s="0" t="s">
        <v>31544</v>
      </c>
      <c r="C23618" s="0" t="s">
        <v>31545</v>
      </c>
      <c r="D23618" s="0" t="s">
        <v>22540</v>
      </c>
      <c r="E23618" s="0" t="inlineStr">
        <is>
          <t xml:space="preserve">Mazda</t>
        </is>
      </c>
      <c r="F23618" s="0" t="s">
        <v>13</v>
      </c>
      <c r="G23618" s="0" t="s">
        <v>49</v>
      </c>
      <c r="H23618" s="5">
        <v>57.900800</v>
      </c>
    </row>
    <row r="23619" spans="1:9">
      <c r="A23619" s="22" t="str">
        <f>HYPERLINK("https://app.vivvix.com/360/KMI/IntelliDrive/ApplUI/Pages/CreativePages/CustomReportCreativeDetail.aspx?App=23&amp;ReportView=4&amp;Qid=1711279&amp;Row=23611&amp;Col=1","No Title Assigned - #15282328844")</f>
        <v/>
      </c>
      <c r="B23619" s="0" t="s">
        <v>31546</v>
      </c>
      <c r="C23619" s="0" t="s">
        <v>31547</v>
      </c>
      <c r="D23619" s="0" t="s">
        <v>31547</v>
      </c>
      <c r="E23619" s="0" t="inlineStr">
        <is>
          <t xml:space="preserve">Mazda</t>
        </is>
      </c>
      <c r="F23619" s="0" t="s">
        <v>13</v>
      </c>
      <c r="G23619" s="0" t="s">
        <v>49</v>
      </c>
      <c r="H23619" s="5">
        <v>101.919100</v>
      </c>
    </row>
    <row r="23620" spans="1:9">
      <c r="A23620" s="22" t="str">
        <f>HYPERLINK("https://app.vivvix.com/360/KMI/IntelliDrive/ApplUI/Pages/CreativePages/CustomReportCreativeDetail.aspx?App=23&amp;ReportView=4&amp;Qid=1711279&amp;Row=23612&amp;Col=1","No Title Assigned - #15282328847")</f>
        <v/>
      </c>
      <c r="B23620" s="0" t="s">
        <v>31548</v>
      </c>
      <c r="C23620" s="0" t="s">
        <v>31549</v>
      </c>
      <c r="D23620" s="0" t="s">
        <v>4774</v>
      </c>
      <c r="E23620" s="0" t="inlineStr">
        <is>
          <t xml:space="preserve">Mazda</t>
        </is>
      </c>
      <c r="F23620" s="0" t="s">
        <v>13</v>
      </c>
      <c r="G23620" s="0" t="s">
        <v>49</v>
      </c>
      <c r="H23620" s="5">
        <v>101.919100</v>
      </c>
    </row>
    <row r="23621" spans="1:9">
      <c r="A23621" s="22" t="str">
        <f>HYPERLINK("https://app.vivvix.com/360/KMI/IntelliDrive/ApplUI/Pages/CreativePages/CustomReportCreativeDetail.aspx?App=23&amp;ReportView=4&amp;Qid=1711279&amp;Row=23613&amp;Col=1","No Title Assigned - #15282328851")</f>
        <v/>
      </c>
      <c r="B23621" s="0" t="s">
        <v>31550</v>
      </c>
      <c r="C23621" s="0" t="s">
        <v>31551</v>
      </c>
      <c r="D23621" s="0" t="s">
        <v>4774</v>
      </c>
      <c r="E23621" s="0" t="inlineStr">
        <is>
          <t xml:space="preserve">Mazda</t>
        </is>
      </c>
      <c r="F23621" s="0" t="s">
        <v>13</v>
      </c>
      <c r="G23621" s="0" t="s">
        <v>49</v>
      </c>
      <c r="H23621" s="5">
        <v>203.838200</v>
      </c>
    </row>
    <row r="23622" spans="1:9">
      <c r="A23622" s="22" t="str">
        <f>HYPERLINK("https://app.vivvix.com/360/KMI/IntelliDrive/ApplUI/Pages/CreativePages/CustomReportCreativeDetail.aspx?App=23&amp;ReportView=4&amp;Qid=1711279&amp;Row=23614&amp;Col=1","No Title Assigned - #15282329943")</f>
        <v/>
      </c>
      <c r="B23622" s="0" t="s">
        <v>31552</v>
      </c>
      <c r="C23622" s="0" t="s">
        <v>31553</v>
      </c>
      <c r="D23622" s="0" t="s">
        <v>27785</v>
      </c>
      <c r="E23622" s="0" t="inlineStr">
        <is>
          <t xml:space="preserve">Mazda</t>
        </is>
      </c>
      <c r="F23622" s="0" t="s">
        <v>13</v>
      </c>
      <c r="G23622" s="0" t="s">
        <v>49</v>
      </c>
      <c r="H23622" s="5">
        <v>23.898000</v>
      </c>
    </row>
    <row r="23623" spans="1:9">
      <c r="A23623" s="22" t="str">
        <f>HYPERLINK("https://app.vivvix.com/360/KMI/IntelliDrive/ApplUI/Pages/CreativePages/CustomReportCreativeDetail.aspx?App=23&amp;ReportView=4&amp;Qid=1711279&amp;Row=23615&amp;Col=1","No Title Assigned - #15282330533")</f>
        <v/>
      </c>
      <c r="B23623" s="0" t="s">
        <v>31554</v>
      </c>
      <c r="C23623" s="0" t="s">
        <v>31555</v>
      </c>
      <c r="D23623" s="0" t="s">
        <v>31555</v>
      </c>
      <c r="E23623" s="0" t="inlineStr">
        <is>
          <t xml:space="preserve">Mazda</t>
        </is>
      </c>
      <c r="F23623" s="0" t="s">
        <v>13</v>
      </c>
      <c r="G23623" s="0" t="s">
        <v>49</v>
      </c>
      <c r="H23623" s="5">
        <v>241.344100</v>
      </c>
    </row>
    <row r="23624" spans="1:9">
      <c r="A23624" s="22" t="str">
        <f>HYPERLINK("https://app.vivvix.com/360/KMI/IntelliDrive/ApplUI/Pages/CreativePages/CustomReportCreativeDetail.aspx?App=23&amp;ReportView=4&amp;Qid=1711279&amp;Row=23616&amp;Col=1","No Title Assigned - #15282331705")</f>
        <v/>
      </c>
      <c r="B23624" s="0" t="s">
        <v>31556</v>
      </c>
      <c r="C23624" s="0" t="s">
        <v>31557</v>
      </c>
      <c r="D23624" s="0" t="s">
        <v>9699</v>
      </c>
      <c r="E23624" s="0" t="inlineStr">
        <is>
          <t xml:space="preserve">Mazda</t>
        </is>
      </c>
      <c r="F23624" s="0" t="s">
        <v>13</v>
      </c>
      <c r="G23624" s="0" t="s">
        <v>49</v>
      </c>
      <c r="H23624" s="5">
        <v>10.281600</v>
      </c>
    </row>
    <row r="23625" spans="1:9">
      <c r="A23625" s="22" t="str">
        <f>HYPERLINK("https://app.vivvix.com/360/KMI/IntelliDrive/ApplUI/Pages/CreativePages/CustomReportCreativeDetail.aspx?App=23&amp;ReportView=4&amp;Qid=1711279&amp;Row=23617&amp;Col=1","No Title Assigned - #15282334899")</f>
        <v/>
      </c>
      <c r="B23625" s="0" t="s">
        <v>31558</v>
      </c>
      <c r="E23625" s="0" t="inlineStr">
        <is>
          <t xml:space="preserve">Mazda</t>
        </is>
      </c>
      <c r="F23625" s="0" t="inlineStr">
        <is>
          <t xml:space="preserve">Mazda</t>
        </is>
      </c>
      <c r="G23625" s="0" t="s">
        <v>171</v>
      </c>
      <c r="H23625" s="5">
        <v>241.182600</v>
      </c>
    </row>
    <row r="23626" spans="1:9">
      <c r="A23626" s="22" t="str">
        <f>HYPERLINK("https://app.vivvix.com/360/KMI/IntelliDrive/ApplUI/Pages/CreativePages/CustomReportCreativeDetail.aspx?App=23&amp;ReportView=4&amp;Qid=1711279&amp;Row=23618&amp;Col=1","No Title Assigned - #15282335026")</f>
        <v/>
      </c>
      <c r="B23626" s="0" t="s">
        <v>31559</v>
      </c>
      <c r="E23626" s="0" t="inlineStr">
        <is>
          <t xml:space="preserve">Mazda</t>
        </is>
      </c>
      <c r="F23626" s="0" t="inlineStr">
        <is>
          <t xml:space="preserve">Mazda</t>
        </is>
      </c>
      <c r="G23626" s="0" t="s">
        <v>171</v>
      </c>
      <c r="H23626" s="5">
        <v>2992.816900</v>
      </c>
    </row>
    <row r="23627" spans="1:9">
      <c r="A23627" s="22" t="str">
        <f>HYPERLINK("https://app.vivvix.com/360/KMI/IntelliDrive/ApplUI/Pages/CreativePages/CustomReportCreativeDetail.aspx?App=23&amp;ReportView=4&amp;Qid=1711279&amp;Row=23619&amp;Col=1","No Title Assigned - #15282340104")</f>
        <v/>
      </c>
      <c r="B23627" s="0" t="s">
        <v>31560</v>
      </c>
      <c r="E23627" s="0" t="inlineStr">
        <is>
          <t xml:space="preserve">Mazda</t>
        </is>
      </c>
      <c r="F23627" s="0" t="inlineStr">
        <is>
          <t xml:space="preserve">Mazda</t>
        </is>
      </c>
      <c r="G23627" s="0" t="s">
        <v>171</v>
      </c>
      <c r="H23627" s="5">
        <v>448.237400</v>
      </c>
    </row>
    <row r="23628" spans="1:9">
      <c r="A23628" s="22" t="str">
        <f>HYPERLINK("https://app.vivvix.com/360/KMI/IntelliDrive/ApplUI/Pages/CreativePages/CustomReportCreativeDetail.aspx?App=23&amp;ReportView=4&amp;Qid=1711279&amp;Row=23620&amp;Col=1","No Title Assigned - #15282352085")</f>
        <v/>
      </c>
      <c r="B23628" s="0" t="s">
        <v>31561</v>
      </c>
      <c r="C23628" s="0" t="s">
        <v>31562</v>
      </c>
      <c r="D23628" s="0" t="s">
        <v>31562</v>
      </c>
      <c r="E23628" s="0" t="inlineStr">
        <is>
          <t xml:space="preserve">Mazda</t>
        </is>
      </c>
      <c r="F23628" s="0" t="s">
        <v>13</v>
      </c>
      <c r="G23628" s="0" t="s">
        <v>49</v>
      </c>
      <c r="H23628" s="5">
        <v>567.847300</v>
      </c>
    </row>
    <row r="23629" spans="1:9">
      <c r="A23629" s="22" t="str">
        <f>HYPERLINK("https://app.vivvix.com/360/KMI/IntelliDrive/ApplUI/Pages/CreativePages/CustomReportCreativeDetail.aspx?App=23&amp;ReportView=4&amp;Qid=1711279&amp;Row=23621&amp;Col=1","No Title Assigned - #15282380006")</f>
        <v/>
      </c>
      <c r="B23629" s="0" t="s">
        <v>31563</v>
      </c>
      <c r="C23629" s="0" t="s">
        <v>31564</v>
      </c>
      <c r="D23629" s="0" t="s">
        <v>31564</v>
      </c>
      <c r="E23629" s="0" t="inlineStr">
        <is>
          <t xml:space="preserve">Mazda</t>
        </is>
      </c>
      <c r="F23629" s="0" t="s">
        <v>13</v>
      </c>
      <c r="G23629" s="0" t="s">
        <v>49</v>
      </c>
      <c r="H23629" s="5">
        <v>342.356200</v>
      </c>
    </row>
    <row r="23630" spans="1:9">
      <c r="A23630" s="22" t="str">
        <f>HYPERLINK("https://app.vivvix.com/360/KMI/IntelliDrive/ApplUI/Pages/CreativePages/CustomReportCreativeDetail.aspx?App=23&amp;ReportView=4&amp;Qid=1711279&amp;Row=23622&amp;Col=1","No Title Assigned - #15282380544")</f>
        <v/>
      </c>
      <c r="B23630" s="0" t="s">
        <v>31565</v>
      </c>
      <c r="C23630" s="0" t="s">
        <v>31566</v>
      </c>
      <c r="D23630" s="0" t="s">
        <v>31566</v>
      </c>
      <c r="E23630" s="0" t="inlineStr">
        <is>
          <t xml:space="preserve">Mazda</t>
        </is>
      </c>
      <c r="F23630" s="0" t="s">
        <v>13</v>
      </c>
      <c r="G23630" s="0" t="s">
        <v>49</v>
      </c>
      <c r="H23630" s="5">
        <v>542.687900</v>
      </c>
    </row>
    <row r="23631" spans="1:9">
      <c r="A23631" s="22" t="str">
        <f>HYPERLINK("https://app.vivvix.com/360/KMI/IntelliDrive/ApplUI/Pages/CreativePages/CustomReportCreativeDetail.aspx?App=23&amp;ReportView=4&amp;Qid=1711279&amp;Row=23623&amp;Col=1","No Title Assigned - #15282380653")</f>
        <v/>
      </c>
      <c r="B23631" s="0" t="s">
        <v>31567</v>
      </c>
      <c r="C23631" s="0" t="s">
        <v>31568</v>
      </c>
      <c r="D23631" s="0" t="s">
        <v>31568</v>
      </c>
      <c r="E23631" s="0" t="inlineStr">
        <is>
          <t xml:space="preserve">Mazda</t>
        </is>
      </c>
      <c r="F23631" s="0" t="s">
        <v>13</v>
      </c>
      <c r="G23631" s="0" t="s">
        <v>49</v>
      </c>
      <c r="H23631" s="5">
        <v>109.781000</v>
      </c>
    </row>
    <row r="23632" spans="1:9">
      <c r="A23632" s="22" t="str">
        <f>HYPERLINK("https://app.vivvix.com/360/KMI/IntelliDrive/ApplUI/Pages/CreativePages/CustomReportCreativeDetail.aspx?App=23&amp;ReportView=4&amp;Qid=1711279&amp;Row=23624&amp;Col=1","No Title Assigned - #15282380707")</f>
        <v/>
      </c>
      <c r="B23632" s="0" t="s">
        <v>31569</v>
      </c>
      <c r="C23632" s="0" t="s">
        <v>31570</v>
      </c>
      <c r="D23632" s="0" t="s">
        <v>16585</v>
      </c>
      <c r="E23632" s="0" t="inlineStr">
        <is>
          <t xml:space="preserve">Mazda</t>
        </is>
      </c>
      <c r="F23632" s="0" t="inlineStr">
        <is>
          <t xml:space="preserve">Mazda</t>
        </is>
      </c>
      <c r="G23632" s="0" t="s">
        <v>210</v>
      </c>
      <c r="H23632" s="5">
        <v>238.585800</v>
      </c>
    </row>
    <row r="23633" spans="1:9">
      <c r="A23633" s="22" t="str">
        <f>HYPERLINK("https://app.vivvix.com/360/KMI/IntelliDrive/ApplUI/Pages/CreativePages/CustomReportCreativeDetail.aspx?App=23&amp;ReportView=4&amp;Qid=1711279&amp;Row=23625&amp;Col=1","No Title Assigned - #15282381488")</f>
        <v/>
      </c>
      <c r="B23633" s="0" t="s">
        <v>31571</v>
      </c>
      <c r="C23633" s="0" t="s">
        <v>31572</v>
      </c>
      <c r="D23633" s="0" t="s">
        <v>31572</v>
      </c>
      <c r="E23633" s="0" t="inlineStr">
        <is>
          <t xml:space="preserve">Mazda</t>
        </is>
      </c>
      <c r="F23633" s="0" t="s">
        <v>13</v>
      </c>
      <c r="G23633" s="0" t="s">
        <v>49</v>
      </c>
      <c r="H23633" s="5">
        <v>18.766800</v>
      </c>
    </row>
    <row r="23634" spans="1:9">
      <c r="A23634" s="22" t="str">
        <f>HYPERLINK("https://app.vivvix.com/360/KMI/IntelliDrive/ApplUI/Pages/CreativePages/CustomReportCreativeDetail.aspx?App=23&amp;ReportView=4&amp;Qid=1711279&amp;Row=23626&amp;Col=1","No Title Assigned - #15282381836")</f>
        <v/>
      </c>
      <c r="B23634" s="0" t="s">
        <v>31573</v>
      </c>
      <c r="C23634" s="0" t="s">
        <v>31574</v>
      </c>
      <c r="D23634" s="0" t="s">
        <v>31574</v>
      </c>
      <c r="E23634" s="0" t="inlineStr">
        <is>
          <t xml:space="preserve">Mazda</t>
        </is>
      </c>
      <c r="F23634" s="0" t="s">
        <v>13</v>
      </c>
      <c r="G23634" s="0" t="s">
        <v>49</v>
      </c>
      <c r="H23634" s="5">
        <v>264.582100</v>
      </c>
    </row>
    <row r="23635" spans="1:9">
      <c r="A23635" s="22" t="str">
        <f>HYPERLINK("https://app.vivvix.com/360/KMI/IntelliDrive/ApplUI/Pages/CreativePages/CustomReportCreativeDetail.aspx?App=23&amp;ReportView=4&amp;Qid=1711279&amp;Row=23627&amp;Col=1","No Title Assigned - #15282383811")</f>
        <v/>
      </c>
      <c r="B23635" s="0" t="s">
        <v>31575</v>
      </c>
      <c r="C23635" s="0" t="s">
        <v>31576</v>
      </c>
      <c r="D23635" s="0" t="s">
        <v>24311</v>
      </c>
      <c r="E23635" s="0" t="inlineStr">
        <is>
          <t xml:space="preserve">Mazda</t>
        </is>
      </c>
      <c r="F23635" s="0" t="s">
        <v>13</v>
      </c>
      <c r="G23635" s="0" t="s">
        <v>49</v>
      </c>
      <c r="H23635" s="5">
        <v>8565.903800</v>
      </c>
    </row>
    <row r="23636" spans="1:9">
      <c r="A23636" s="22" t="str">
        <f>HYPERLINK("https://app.vivvix.com/360/KMI/IntelliDrive/ApplUI/Pages/CreativePages/CustomReportCreativeDetail.aspx?App=23&amp;ReportView=4&amp;Qid=1711279&amp;Row=23628&amp;Col=1","No Title Assigned - #15282384400")</f>
        <v/>
      </c>
      <c r="B23636" s="0" t="s">
        <v>31577</v>
      </c>
      <c r="C23636" s="0" t="s">
        <v>31578</v>
      </c>
      <c r="D23636" s="0" t="s">
        <v>24311</v>
      </c>
      <c r="E23636" s="0" t="inlineStr">
        <is>
          <t xml:space="preserve">Mazda</t>
        </is>
      </c>
      <c r="F23636" s="0" t="s">
        <v>13</v>
      </c>
      <c r="G23636" s="0" t="s">
        <v>49</v>
      </c>
      <c r="H23636" s="5">
        <v>50471.249600</v>
      </c>
    </row>
    <row r="23637" spans="1:9">
      <c r="A23637" s="22" t="str">
        <f>HYPERLINK("https://app.vivvix.com/360/KMI/IntelliDrive/ApplUI/Pages/CreativePages/CustomReportCreativeDetail.aspx?App=23&amp;ReportView=4&amp;Qid=1711279&amp;Row=23629&amp;Col=1","No Title Assigned - #15282384432")</f>
        <v/>
      </c>
      <c r="B23637" s="0" t="s">
        <v>31579</v>
      </c>
      <c r="C23637" s="0" t="s">
        <v>31580</v>
      </c>
      <c r="D23637" s="0" t="s">
        <v>31580</v>
      </c>
      <c r="E23637" s="0" t="inlineStr">
        <is>
          <t xml:space="preserve">Mazda</t>
        </is>
      </c>
      <c r="F23637" s="0" t="s">
        <v>13</v>
      </c>
      <c r="G23637" s="0" t="s">
        <v>49</v>
      </c>
      <c r="H23637" s="5">
        <v>320.702300</v>
      </c>
    </row>
    <row r="23638" spans="1:9">
      <c r="A23638" s="22" t="str">
        <f>HYPERLINK("https://app.vivvix.com/360/KMI/IntelliDrive/ApplUI/Pages/CreativePages/CustomReportCreativeDetail.aspx?App=23&amp;ReportView=4&amp;Qid=1711279&amp;Row=23630&amp;Col=1","No Title Assigned - #15282384586")</f>
        <v/>
      </c>
      <c r="B23638" s="0" t="s">
        <v>31581</v>
      </c>
      <c r="C23638" s="0" t="s">
        <v>31582</v>
      </c>
      <c r="D23638" s="0" t="s">
        <v>24311</v>
      </c>
      <c r="E23638" s="0" t="inlineStr">
        <is>
          <t xml:space="preserve">Mazda</t>
        </is>
      </c>
      <c r="F23638" s="0" t="s">
        <v>13</v>
      </c>
      <c r="G23638" s="0" t="s">
        <v>49</v>
      </c>
      <c r="H23638" s="5">
        <v>8565.903800</v>
      </c>
    </row>
    <row r="23639" spans="1:9">
      <c r="A23639" s="22" t="str">
        <f>HYPERLINK("https://app.vivvix.com/360/KMI/IntelliDrive/ApplUI/Pages/CreativePages/CustomReportCreativeDetail.aspx?App=23&amp;ReportView=4&amp;Qid=1711279&amp;Row=23631&amp;Col=1","No Title Assigned - #15282385216")</f>
        <v/>
      </c>
      <c r="B23639" s="0" t="s">
        <v>31583</v>
      </c>
      <c r="E23639" s="0" t="inlineStr">
        <is>
          <t xml:space="preserve">Mazda</t>
        </is>
      </c>
      <c r="F23639" s="0" t="inlineStr">
        <is>
          <t xml:space="preserve">Mazda</t>
        </is>
      </c>
      <c r="G23639" s="0" t="s">
        <v>171</v>
      </c>
      <c r="H23639" s="5">
        <v>34.472500</v>
      </c>
    </row>
    <row r="23640" spans="1:9">
      <c r="A23640" s="22" t="str">
        <f>HYPERLINK("https://app.vivvix.com/360/KMI/IntelliDrive/ApplUI/Pages/CreativePages/CustomReportCreativeDetail.aspx?App=23&amp;ReportView=4&amp;Qid=1711279&amp;Row=23632&amp;Col=1","No Title Assigned - #15282385663")</f>
        <v/>
      </c>
      <c r="B23640" s="0" t="s">
        <v>31584</v>
      </c>
      <c r="E23640" s="0" t="inlineStr">
        <is>
          <t xml:space="preserve">Mazda</t>
        </is>
      </c>
      <c r="F23640" s="0" t="inlineStr">
        <is>
          <t xml:space="preserve">Mazda</t>
        </is>
      </c>
      <c r="G23640" s="0" t="s">
        <v>171</v>
      </c>
      <c r="H23640" s="5">
        <v>32.655300</v>
      </c>
    </row>
    <row r="23641" spans="1:9">
      <c r="A23641" s="22" t="str">
        <f>HYPERLINK("https://app.vivvix.com/360/KMI/IntelliDrive/ApplUI/Pages/CreativePages/CustomReportCreativeDetail.aspx?App=23&amp;ReportView=4&amp;Qid=1711279&amp;Row=23633&amp;Col=1","No Title Assigned - #15282385673")</f>
        <v/>
      </c>
      <c r="B23641" s="0" t="s">
        <v>31585</v>
      </c>
      <c r="E23641" s="0" t="inlineStr">
        <is>
          <t xml:space="preserve">Mazda</t>
        </is>
      </c>
      <c r="F23641" s="0" t="inlineStr">
        <is>
          <t xml:space="preserve">Mazda</t>
        </is>
      </c>
      <c r="G23641" s="0" t="s">
        <v>171</v>
      </c>
      <c r="H23641" s="5">
        <v>5.302300</v>
      </c>
    </row>
    <row r="23642" spans="1:9">
      <c r="A23642" s="22" t="str">
        <f>HYPERLINK("https://app.vivvix.com/360/KMI/IntelliDrive/ApplUI/Pages/CreativePages/CustomReportCreativeDetail.aspx?App=23&amp;ReportView=4&amp;Qid=1711279&amp;Row=23634&amp;Col=1","No Title Assigned - #15282385822")</f>
        <v/>
      </c>
      <c r="B23642" s="0" t="s">
        <v>31586</v>
      </c>
      <c r="E23642" s="0" t="inlineStr">
        <is>
          <t xml:space="preserve">Mazda</t>
        </is>
      </c>
      <c r="F23642" s="0" t="inlineStr">
        <is>
          <t xml:space="preserve">Mazda</t>
        </is>
      </c>
      <c r="G23642" s="0" t="s">
        <v>171</v>
      </c>
      <c r="H23642" s="5">
        <v>13.751600</v>
      </c>
    </row>
    <row r="23643" spans="1:9">
      <c r="A23643" s="22" t="str">
        <f>HYPERLINK("https://app.vivvix.com/360/KMI/IntelliDrive/ApplUI/Pages/CreativePages/CustomReportCreativeDetail.aspx?App=23&amp;ReportView=4&amp;Qid=1711279&amp;Row=23635&amp;Col=1","No Title Assigned - #15282385898")</f>
        <v/>
      </c>
      <c r="B23643" s="0" t="s">
        <v>31587</v>
      </c>
      <c r="E23643" s="0" t="inlineStr">
        <is>
          <t xml:space="preserve">Mazda</t>
        </is>
      </c>
      <c r="F23643" s="0" t="inlineStr">
        <is>
          <t xml:space="preserve">Mazda</t>
        </is>
      </c>
      <c r="G23643" s="0" t="s">
        <v>171</v>
      </c>
      <c r="H23643" s="5">
        <v>14.897200</v>
      </c>
    </row>
    <row r="23644" spans="1:9">
      <c r="A23644" s="22" t="str">
        <f>HYPERLINK("https://app.vivvix.com/360/KMI/IntelliDrive/ApplUI/Pages/CreativePages/CustomReportCreativeDetail.aspx?App=23&amp;ReportView=4&amp;Qid=1711279&amp;Row=23636&amp;Col=1","No Title Assigned - #15282387447")</f>
        <v/>
      </c>
      <c r="B23644" s="0" t="s">
        <v>31588</v>
      </c>
      <c r="E23644" s="0" t="inlineStr">
        <is>
          <t xml:space="preserve">Mazda</t>
        </is>
      </c>
      <c r="F23644" s="0" t="inlineStr">
        <is>
          <t xml:space="preserve">Mazda</t>
        </is>
      </c>
      <c r="G23644" s="0" t="s">
        <v>171</v>
      </c>
      <c r="H23644" s="5">
        <v>451.219600</v>
      </c>
    </row>
    <row r="23645" spans="1:9">
      <c r="A23645" s="22" t="str">
        <f>HYPERLINK("https://app.vivvix.com/360/KMI/IntelliDrive/ApplUI/Pages/CreativePages/CustomReportCreativeDetail.aspx?App=23&amp;ReportView=4&amp;Qid=1711279&amp;Row=23637&amp;Col=1","No Title Assigned - #15282388962")</f>
        <v/>
      </c>
      <c r="B23645" s="0" t="s">
        <v>31589</v>
      </c>
      <c r="C23645" s="0" t="s">
        <v>31590</v>
      </c>
      <c r="D23645" s="0" t="s">
        <v>28964</v>
      </c>
      <c r="E23645" s="0" t="inlineStr">
        <is>
          <t xml:space="preserve">Mazda</t>
        </is>
      </c>
      <c r="F23645" s="0" t="s">
        <v>13</v>
      </c>
      <c r="G23645" s="0" t="s">
        <v>49</v>
      </c>
      <c r="H23645" s="5">
        <v>288.652800</v>
      </c>
    </row>
    <row r="23646" spans="1:9">
      <c r="A23646" s="22" t="str">
        <f>HYPERLINK("https://app.vivvix.com/360/KMI/IntelliDrive/ApplUI/Pages/CreativePages/CustomReportCreativeDetail.aspx?App=23&amp;ReportView=4&amp;Qid=1711279&amp;Row=23638&amp;Col=1","No Title Assigned - #15282389264")</f>
        <v/>
      </c>
      <c r="B23646" s="0" t="s">
        <v>31591</v>
      </c>
      <c r="E23646" s="0" t="inlineStr">
        <is>
          <t xml:space="preserve">Mazda</t>
        </is>
      </c>
      <c r="F23646" s="0" t="inlineStr">
        <is>
          <t xml:space="preserve">Mazda</t>
        </is>
      </c>
      <c r="G23646" s="0" t="s">
        <v>171</v>
      </c>
      <c r="H23646" s="5">
        <v>89.067500</v>
      </c>
    </row>
    <row r="23647" spans="1:9">
      <c r="A23647" s="22" t="str">
        <f>HYPERLINK("https://app.vivvix.com/360/KMI/IntelliDrive/ApplUI/Pages/CreativePages/CustomReportCreativeDetail.aspx?App=23&amp;ReportView=4&amp;Qid=1711279&amp;Row=23639&amp;Col=1","No Title Assigned - #15282389762")</f>
        <v/>
      </c>
      <c r="B23647" s="0" t="s">
        <v>31592</v>
      </c>
      <c r="E23647" s="0" t="inlineStr">
        <is>
          <t xml:space="preserve">Mazda</t>
        </is>
      </c>
      <c r="F23647" s="0" t="inlineStr">
        <is>
          <t xml:space="preserve">Mazda</t>
        </is>
      </c>
      <c r="G23647" s="0" t="s">
        <v>171</v>
      </c>
      <c r="H23647" s="5">
        <v>347.386400</v>
      </c>
    </row>
    <row r="23648" spans="1:9">
      <c r="A23648" s="22" t="str">
        <f>HYPERLINK("https://app.vivvix.com/360/KMI/IntelliDrive/ApplUI/Pages/CreativePages/CustomReportCreativeDetail.aspx?App=23&amp;ReportView=4&amp;Qid=1711279&amp;Row=23640&amp;Col=1","No Title Assigned - #15282389807")</f>
        <v/>
      </c>
      <c r="B23648" s="0" t="s">
        <v>31593</v>
      </c>
      <c r="E23648" s="0" t="inlineStr">
        <is>
          <t xml:space="preserve">Mazda</t>
        </is>
      </c>
      <c r="F23648" s="0" t="inlineStr">
        <is>
          <t xml:space="preserve">Mazda</t>
        </is>
      </c>
      <c r="G23648" s="0" t="s">
        <v>171</v>
      </c>
      <c r="H23648" s="5">
        <v>288.416800</v>
      </c>
    </row>
    <row r="23649" spans="1:9">
      <c r="A23649" s="22" t="str">
        <f>HYPERLINK("https://app.vivvix.com/360/KMI/IntelliDrive/ApplUI/Pages/CreativePages/CustomReportCreativeDetail.aspx?App=23&amp;ReportView=4&amp;Qid=1711279&amp;Row=23641&amp;Col=1","No Title Assigned - #15282390279")</f>
        <v/>
      </c>
      <c r="B23649" s="0" t="s">
        <v>31594</v>
      </c>
      <c r="E23649" s="0" t="inlineStr">
        <is>
          <t xml:space="preserve">Mazda</t>
        </is>
      </c>
      <c r="F23649" s="0" t="inlineStr">
        <is>
          <t xml:space="preserve">Mazda</t>
        </is>
      </c>
      <c r="G23649" s="0" t="s">
        <v>171</v>
      </c>
      <c r="H23649" s="5">
        <v>1.652300</v>
      </c>
    </row>
    <row r="23650" spans="1:9">
      <c r="A23650" s="22" t="str">
        <f>HYPERLINK("https://app.vivvix.com/360/KMI/IntelliDrive/ApplUI/Pages/CreativePages/CustomReportCreativeDetail.aspx?App=23&amp;ReportView=4&amp;Qid=1711279&amp;Row=23642&amp;Col=1","No Title Assigned - #15282390323")</f>
        <v/>
      </c>
      <c r="B23650" s="0" t="s">
        <v>31595</v>
      </c>
      <c r="E23650" s="0" t="inlineStr">
        <is>
          <t xml:space="preserve">Mazda</t>
        </is>
      </c>
      <c r="F23650" s="0" t="inlineStr">
        <is>
          <t xml:space="preserve">Mazda</t>
        </is>
      </c>
      <c r="G23650" s="0" t="s">
        <v>171</v>
      </c>
      <c r="H23650" s="5">
        <v>416.476000</v>
      </c>
    </row>
    <row r="23651" spans="1:9">
      <c r="A23651" s="22" t="str">
        <f>HYPERLINK("https://app.vivvix.com/360/KMI/IntelliDrive/ApplUI/Pages/CreativePages/CustomReportCreativeDetail.aspx?App=23&amp;ReportView=4&amp;Qid=1711279&amp;Row=23643&amp;Col=1","No Title Assigned - #15282390581")</f>
        <v/>
      </c>
      <c r="B23651" s="0" t="s">
        <v>31596</v>
      </c>
      <c r="E23651" s="0" t="inlineStr">
        <is>
          <t xml:space="preserve">Mazda</t>
        </is>
      </c>
      <c r="F23651" s="0" t="inlineStr">
        <is>
          <t xml:space="preserve">Mazda</t>
        </is>
      </c>
      <c r="G23651" s="0" t="s">
        <v>171</v>
      </c>
      <c r="H23651" s="5">
        <v>151.564400</v>
      </c>
    </row>
    <row r="23652" spans="1:9">
      <c r="A23652" s="22" t="str">
        <f>HYPERLINK("https://app.vivvix.com/360/KMI/IntelliDrive/ApplUI/Pages/CreativePages/CustomReportCreativeDetail.aspx?App=23&amp;ReportView=4&amp;Qid=1711279&amp;Row=23644&amp;Col=1","No Title Assigned - #15282390772")</f>
        <v/>
      </c>
      <c r="B23652" s="0" t="s">
        <v>31597</v>
      </c>
      <c r="E23652" s="0" t="inlineStr">
        <is>
          <t xml:space="preserve">Mazda</t>
        </is>
      </c>
      <c r="F23652" s="0" t="inlineStr">
        <is>
          <t xml:space="preserve">Mazda</t>
        </is>
      </c>
      <c r="G23652" s="0" t="s">
        <v>171</v>
      </c>
      <c r="H23652" s="5">
        <v>15.843000</v>
      </c>
    </row>
    <row r="23653" spans="1:9">
      <c r="A23653" s="22" t="str">
        <f>HYPERLINK("https://app.vivvix.com/360/KMI/IntelliDrive/ApplUI/Pages/CreativePages/CustomReportCreativeDetail.aspx?App=23&amp;ReportView=4&amp;Qid=1711279&amp;Row=23645&amp;Col=1","No Title Assigned - #15282390797")</f>
        <v/>
      </c>
      <c r="B23653" s="0" t="s">
        <v>31598</v>
      </c>
      <c r="E23653" s="0" t="inlineStr">
        <is>
          <t xml:space="preserve">Mazda</t>
        </is>
      </c>
      <c r="F23653" s="0" t="inlineStr">
        <is>
          <t xml:space="preserve">Mazda</t>
        </is>
      </c>
      <c r="G23653" s="0" t="s">
        <v>171</v>
      </c>
      <c r="H23653" s="5">
        <v>128.185800</v>
      </c>
    </row>
    <row r="23654" spans="1:9">
      <c r="A23654" s="22" t="str">
        <f>HYPERLINK("https://app.vivvix.com/360/KMI/IntelliDrive/ApplUI/Pages/CreativePages/CustomReportCreativeDetail.aspx?App=23&amp;ReportView=4&amp;Qid=1711279&amp;Row=23646&amp;Col=1","No Title Assigned - #15282397135")</f>
        <v/>
      </c>
      <c r="B23654" s="0" t="s">
        <v>31599</v>
      </c>
      <c r="C23654" s="0" t="s">
        <v>31600</v>
      </c>
      <c r="D23654" s="0" t="s">
        <v>31600</v>
      </c>
      <c r="E23654" s="0" t="inlineStr">
        <is>
          <t xml:space="preserve">Mazda</t>
        </is>
      </c>
      <c r="F23654" s="0" t="inlineStr">
        <is>
          <t xml:space="preserve">Mazda</t>
        </is>
      </c>
      <c r="G23654" s="0" t="s">
        <v>210</v>
      </c>
      <c r="H23654" s="5">
        <v>415.958300</v>
      </c>
    </row>
    <row r="23655" spans="1:9">
      <c r="A23655" s="22" t="str">
        <f>HYPERLINK("https://app.vivvix.com/360/KMI/IntelliDrive/ApplUI/Pages/CreativePages/CustomReportCreativeDetail.aspx?App=23&amp;ReportView=4&amp;Qid=1711279&amp;Row=23647&amp;Col=1","No Title Assigned - #15282398197")</f>
        <v/>
      </c>
      <c r="B23655" s="0" t="s">
        <v>31601</v>
      </c>
      <c r="C23655" s="0" t="s">
        <v>31602</v>
      </c>
      <c r="D23655" s="0" t="s">
        <v>9765</v>
      </c>
      <c r="E23655" s="0" t="inlineStr">
        <is>
          <t xml:space="preserve">Mazda</t>
        </is>
      </c>
      <c r="F23655" s="0" t="s">
        <v>13</v>
      </c>
      <c r="G23655" s="0" t="s">
        <v>49</v>
      </c>
      <c r="H23655" s="5">
        <v>10.901100</v>
      </c>
    </row>
    <row r="23656" spans="1:9">
      <c r="A23656" s="22" t="str">
        <f>HYPERLINK("https://app.vivvix.com/360/KMI/IntelliDrive/ApplUI/Pages/CreativePages/CustomReportCreativeDetail.aspx?App=23&amp;ReportView=4&amp;Qid=1711279&amp;Row=23648&amp;Col=1","No Title Assigned - #15282402963")</f>
        <v/>
      </c>
      <c r="B23656" s="0" t="s">
        <v>31603</v>
      </c>
      <c r="C23656" s="0" t="s">
        <v>31604</v>
      </c>
      <c r="D23656" s="0" t="s">
        <v>31604</v>
      </c>
      <c r="E23656" s="0" t="inlineStr">
        <is>
          <t xml:space="preserve">Mazda</t>
        </is>
      </c>
      <c r="F23656" s="0" t="s">
        <v>13</v>
      </c>
      <c r="G23656" s="0" t="s">
        <v>49</v>
      </c>
      <c r="H23656" s="5">
        <v>37462.335900</v>
      </c>
    </row>
    <row r="23657" spans="1:9">
      <c r="A23657" s="22" t="str">
        <f>HYPERLINK("https://app.vivvix.com/360/KMI/IntelliDrive/ApplUI/Pages/CreativePages/CustomReportCreativeDetail.aspx?App=23&amp;ReportView=4&amp;Qid=1711279&amp;Row=23649&amp;Col=1","No Title Assigned - #15282403276")</f>
        <v/>
      </c>
      <c r="B23657" s="0" t="s">
        <v>31605</v>
      </c>
      <c r="C23657" s="0" t="s">
        <v>31606</v>
      </c>
      <c r="D23657" s="0" t="s">
        <v>11499</v>
      </c>
      <c r="E23657" s="0" t="inlineStr">
        <is>
          <t xml:space="preserve">Mazda</t>
        </is>
      </c>
      <c r="F23657" s="0" t="s">
        <v>13</v>
      </c>
      <c r="G23657" s="0" t="s">
        <v>49</v>
      </c>
      <c r="H23657" s="5">
        <v>132.451300</v>
      </c>
    </row>
    <row r="23658" spans="1:9">
      <c r="A23658" s="22" t="str">
        <f>HYPERLINK("https://app.vivvix.com/360/KMI/IntelliDrive/ApplUI/Pages/CreativePages/CustomReportCreativeDetail.aspx?App=23&amp;ReportView=4&amp;Qid=1711279&amp;Row=23650&amp;Col=1","No Title Assigned - #15282404283")</f>
        <v/>
      </c>
      <c r="B23658" s="0" t="s">
        <v>31607</v>
      </c>
      <c r="C23658" s="0" t="s">
        <v>31608</v>
      </c>
      <c r="D23658" s="0" t="s">
        <v>31608</v>
      </c>
      <c r="E23658" s="0" t="inlineStr">
        <is>
          <t xml:space="preserve">Mazda</t>
        </is>
      </c>
      <c r="F23658" s="0" t="s">
        <v>13</v>
      </c>
      <c r="G23658" s="0" t="s">
        <v>49</v>
      </c>
      <c r="H23658" s="5">
        <v>12842.601600</v>
      </c>
    </row>
    <row r="23659" spans="1:9">
      <c r="A23659" s="22" t="str">
        <f>HYPERLINK("https://app.vivvix.com/360/KMI/IntelliDrive/ApplUI/Pages/CreativePages/CustomReportCreativeDetail.aspx?App=23&amp;ReportView=4&amp;Qid=1711279&amp;Row=23651&amp;Col=1","No Title Assigned - #15282406800")</f>
        <v/>
      </c>
      <c r="B23659" s="0" t="s">
        <v>31609</v>
      </c>
      <c r="C23659" s="0" t="s">
        <v>31610</v>
      </c>
      <c r="D23659" s="0" t="s">
        <v>31610</v>
      </c>
      <c r="E23659" s="0" t="inlineStr">
        <is>
          <t xml:space="preserve">Mazda</t>
        </is>
      </c>
      <c r="F23659" s="0" t="s">
        <v>13</v>
      </c>
      <c r="G23659" s="0" t="s">
        <v>49</v>
      </c>
      <c r="H23659" s="5">
        <v>56.616000</v>
      </c>
    </row>
    <row r="23660" spans="1:9">
      <c r="A23660" s="22" t="str">
        <f>HYPERLINK("https://app.vivvix.com/360/KMI/IntelliDrive/ApplUI/Pages/CreativePages/CustomReportCreativeDetail.aspx?App=23&amp;ReportView=4&amp;Qid=1711279&amp;Row=23652&amp;Col=1","No Title Assigned - #15282408657")</f>
        <v/>
      </c>
      <c r="B23660" s="0" t="s">
        <v>31611</v>
      </c>
      <c r="C23660" s="0" t="s">
        <v>31612</v>
      </c>
      <c r="D23660" s="0" t="s">
        <v>31612</v>
      </c>
      <c r="E23660" s="0" t="inlineStr">
        <is>
          <t xml:space="preserve">Mazda</t>
        </is>
      </c>
      <c r="F23660" s="0" t="inlineStr">
        <is>
          <t xml:space="preserve">Mazda</t>
        </is>
      </c>
      <c r="G23660" s="0" t="s">
        <v>662</v>
      </c>
      <c r="H23660" s="5">
        <v>19868.485200</v>
      </c>
    </row>
    <row r="23661" spans="1:9">
      <c r="A23661" s="22" t="str">
        <f>HYPERLINK("https://app.vivvix.com/360/KMI/IntelliDrive/ApplUI/Pages/CreativePages/CustomReportCreativeDetail.aspx?App=23&amp;ReportView=4&amp;Qid=1711279&amp;Row=23653&amp;Col=1","No Title Assigned - #15282409057")</f>
        <v/>
      </c>
      <c r="B23661" s="0" t="s">
        <v>31613</v>
      </c>
      <c r="C23661" s="0" t="s">
        <v>31614</v>
      </c>
      <c r="D23661" s="0" t="s">
        <v>31614</v>
      </c>
      <c r="E23661" s="0" t="inlineStr">
        <is>
          <t xml:space="preserve">Mazda</t>
        </is>
      </c>
      <c r="F23661" s="0" t="s">
        <v>13</v>
      </c>
      <c r="G23661" s="0" t="s">
        <v>49</v>
      </c>
      <c r="H23661" s="5">
        <v>3.583400</v>
      </c>
    </row>
    <row r="23662" spans="1:9">
      <c r="A23662" s="22" t="str">
        <f>HYPERLINK("https://app.vivvix.com/360/KMI/IntelliDrive/ApplUI/Pages/CreativePages/CustomReportCreativeDetail.aspx?App=23&amp;ReportView=4&amp;Qid=1711279&amp;Row=23654&amp;Col=1","No Title Assigned - #15282409401")</f>
        <v/>
      </c>
      <c r="B23662" s="0" t="s">
        <v>31615</v>
      </c>
      <c r="C23662" s="0" t="s">
        <v>31616</v>
      </c>
      <c r="D23662" s="0" t="s">
        <v>31616</v>
      </c>
      <c r="E23662" s="0" t="inlineStr">
        <is>
          <t xml:space="preserve">Mazda</t>
        </is>
      </c>
      <c r="F23662" s="0" t="s">
        <v>13</v>
      </c>
      <c r="G23662" s="0" t="s">
        <v>49</v>
      </c>
      <c r="H23662" s="5">
        <v>1137.829000</v>
      </c>
    </row>
    <row r="23663" spans="1:9">
      <c r="A23663" s="22" t="str">
        <f>HYPERLINK("https://app.vivvix.com/360/KMI/IntelliDrive/ApplUI/Pages/CreativePages/CustomReportCreativeDetail.aspx?App=23&amp;ReportView=4&amp;Qid=1711279&amp;Row=23655&amp;Col=1","No Title Assigned - #15282411401")</f>
        <v/>
      </c>
      <c r="B23663" s="0" t="s">
        <v>31617</v>
      </c>
      <c r="C23663" s="0" t="s">
        <v>31618</v>
      </c>
      <c r="D23663" s="0" t="s">
        <v>31618</v>
      </c>
      <c r="E23663" s="0" t="inlineStr">
        <is>
          <t xml:space="preserve">Mazda</t>
        </is>
      </c>
      <c r="F23663" s="0" t="s">
        <v>13</v>
      </c>
      <c r="G23663" s="0" t="s">
        <v>49</v>
      </c>
      <c r="H23663" s="5">
        <v>1713.971400</v>
      </c>
    </row>
    <row r="23664" spans="1:9">
      <c r="A23664" s="22" t="str">
        <f>HYPERLINK("https://app.vivvix.com/360/KMI/IntelliDrive/ApplUI/Pages/CreativePages/CustomReportCreativeDetail.aspx?App=23&amp;ReportView=4&amp;Qid=1711279&amp;Row=23656&amp;Col=1","No Title Assigned - #15282414516")</f>
        <v/>
      </c>
      <c r="B23664" s="0" t="s">
        <v>31619</v>
      </c>
      <c r="C23664" s="0" t="s">
        <v>31620</v>
      </c>
      <c r="D23664" s="0" t="s">
        <v>31620</v>
      </c>
      <c r="E23664" s="0" t="inlineStr">
        <is>
          <t xml:space="preserve">Mazda</t>
        </is>
      </c>
      <c r="F23664" s="0" t="inlineStr">
        <is>
          <t xml:space="preserve">Mazda</t>
        </is>
      </c>
      <c r="G23664" s="0" t="s">
        <v>210</v>
      </c>
      <c r="H23664" s="5">
        <v>420.435100</v>
      </c>
    </row>
    <row r="23665" spans="1:9">
      <c r="A23665" s="22" t="str">
        <f>HYPERLINK("https://app.vivvix.com/360/KMI/IntelliDrive/ApplUI/Pages/CreativePages/CustomReportCreativeDetail.aspx?App=23&amp;ReportView=4&amp;Qid=1711279&amp;Row=23657&amp;Col=1","No Title Assigned - #15282419235")</f>
        <v/>
      </c>
      <c r="B23665" s="0" t="s">
        <v>31621</v>
      </c>
      <c r="E23665" s="0" t="inlineStr">
        <is>
          <t xml:space="preserve">Mazda</t>
        </is>
      </c>
      <c r="F23665" s="0" t="inlineStr">
        <is>
          <t xml:space="preserve">Mazda</t>
        </is>
      </c>
      <c r="G23665" s="0" t="s">
        <v>171</v>
      </c>
      <c r="H23665" s="5">
        <v>7740.195300</v>
      </c>
    </row>
    <row r="23666" spans="1:9">
      <c r="A23666" s="22" t="str">
        <f>HYPERLINK("https://app.vivvix.com/360/KMI/IntelliDrive/ApplUI/Pages/CreativePages/CustomReportCreativeDetail.aspx?App=23&amp;ReportView=4&amp;Qid=1711279&amp;Row=23658&amp;Col=1","No Title Assigned - #15282419511")</f>
        <v/>
      </c>
      <c r="B23666" s="0" t="s">
        <v>31622</v>
      </c>
      <c r="C23666" s="0" t="s">
        <v>31623</v>
      </c>
      <c r="D23666" s="0" t="s">
        <v>31623</v>
      </c>
      <c r="E23666" s="0" t="inlineStr">
        <is>
          <t xml:space="preserve">Mazda</t>
        </is>
      </c>
      <c r="F23666" s="0" t="s">
        <v>13</v>
      </c>
      <c r="G23666" s="0" t="s">
        <v>49</v>
      </c>
      <c r="H23666" s="5">
        <v>1316.878800</v>
      </c>
    </row>
    <row r="23667" spans="1:9">
      <c r="A23667" s="22" t="str">
        <f>HYPERLINK("https://app.vivvix.com/360/KMI/IntelliDrive/ApplUI/Pages/CreativePages/CustomReportCreativeDetail.aspx?App=23&amp;ReportView=4&amp;Qid=1711279&amp;Row=23659&amp;Col=1","No Title Assigned - #15282419857")</f>
        <v/>
      </c>
      <c r="B23667" s="0" t="s">
        <v>31624</v>
      </c>
      <c r="E23667" s="0" t="inlineStr">
        <is>
          <t xml:space="preserve">Mazda</t>
        </is>
      </c>
      <c r="F23667" s="0" t="s">
        <v>13</v>
      </c>
      <c r="G23667" s="0" t="s">
        <v>49</v>
      </c>
      <c r="H23667" s="5">
        <v>11.540800</v>
      </c>
    </row>
    <row r="23668" spans="1:9">
      <c r="A23668" s="22" t="str">
        <f>HYPERLINK("https://app.vivvix.com/360/KMI/IntelliDrive/ApplUI/Pages/CreativePages/CustomReportCreativeDetail.aspx?App=23&amp;ReportView=4&amp;Qid=1711279&amp;Row=23660&amp;Col=1","No Title Assigned - #15282419857")</f>
        <v/>
      </c>
      <c r="B23668" s="0" t="s">
        <v>31624</v>
      </c>
      <c r="C23668" s="0" t="s">
        <v>31625</v>
      </c>
      <c r="D23668" s="0" t="s">
        <v>31625</v>
      </c>
      <c r="E23668" s="0" t="inlineStr">
        <is>
          <t xml:space="preserve">Mazda</t>
        </is>
      </c>
      <c r="F23668" s="0" t="s">
        <v>13</v>
      </c>
      <c r="G23668" s="0" t="s">
        <v>49</v>
      </c>
      <c r="H23668" s="5">
        <v>420.037400</v>
      </c>
    </row>
    <row r="23669" spans="1:9">
      <c r="A23669" s="22" t="str">
        <f>HYPERLINK("https://app.vivvix.com/360/KMI/IntelliDrive/ApplUI/Pages/CreativePages/CustomReportCreativeDetail.aspx?App=23&amp;ReportView=4&amp;Qid=1711279&amp;Row=23661&amp;Col=1","No Title Assigned - #15282419866")</f>
        <v/>
      </c>
      <c r="B23669" s="0" t="s">
        <v>31626</v>
      </c>
      <c r="C23669" s="0" t="s">
        <v>31627</v>
      </c>
      <c r="D23669" s="0" t="s">
        <v>29002</v>
      </c>
      <c r="E23669" s="0" t="inlineStr">
        <is>
          <t xml:space="preserve">Mazda</t>
        </is>
      </c>
      <c r="F23669" s="0" t="s">
        <v>13</v>
      </c>
      <c r="G23669" s="0" t="s">
        <v>49</v>
      </c>
      <c r="H23669" s="5">
        <v>475.645200</v>
      </c>
    </row>
    <row r="23670" spans="1:9">
      <c r="A23670" s="22" t="str">
        <f>HYPERLINK("https://app.vivvix.com/360/KMI/IntelliDrive/ApplUI/Pages/CreativePages/CustomReportCreativeDetail.aspx?App=23&amp;ReportView=4&amp;Qid=1711279&amp;Row=23662&amp;Col=1","No Title Assigned - #15282419894")</f>
        <v/>
      </c>
      <c r="B23670" s="0" t="s">
        <v>31628</v>
      </c>
      <c r="C23670" s="0" t="s">
        <v>31629</v>
      </c>
      <c r="D23670" s="0" t="s">
        <v>31629</v>
      </c>
      <c r="E23670" s="0" t="inlineStr">
        <is>
          <t xml:space="preserve">Mazda</t>
        </is>
      </c>
      <c r="F23670" s="0" t="s">
        <v>13</v>
      </c>
      <c r="G23670" s="0" t="s">
        <v>49</v>
      </c>
      <c r="H23670" s="5">
        <v>475.645200</v>
      </c>
    </row>
    <row r="23671" spans="1:9">
      <c r="A23671" s="22" t="str">
        <f>HYPERLINK("https://app.vivvix.com/360/KMI/IntelliDrive/ApplUI/Pages/CreativePages/CustomReportCreativeDetail.aspx?App=23&amp;ReportView=4&amp;Qid=1711279&amp;Row=23663&amp;Col=1","No Title Assigned - #15282419920")</f>
        <v/>
      </c>
      <c r="B23671" s="0" t="s">
        <v>31630</v>
      </c>
      <c r="C23671" s="0" t="s">
        <v>31631</v>
      </c>
      <c r="D23671" s="0" t="s">
        <v>31631</v>
      </c>
      <c r="E23671" s="0" t="inlineStr">
        <is>
          <t xml:space="preserve">Mazda</t>
        </is>
      </c>
      <c r="F23671" s="0" t="s">
        <v>13</v>
      </c>
      <c r="G23671" s="0" t="s">
        <v>49</v>
      </c>
      <c r="H23671" s="5">
        <v>475.645200</v>
      </c>
    </row>
    <row r="23672" spans="1:9">
      <c r="A23672" s="22" t="str">
        <f>HYPERLINK("https://app.vivvix.com/360/KMI/IntelliDrive/ApplUI/Pages/CreativePages/CustomReportCreativeDetail.aspx?App=23&amp;ReportView=4&amp;Qid=1711279&amp;Row=23664&amp;Col=1","No Title Assigned - #15282419998")</f>
        <v/>
      </c>
      <c r="B23672" s="0" t="s">
        <v>31632</v>
      </c>
      <c r="C23672" s="0" t="s">
        <v>31633</v>
      </c>
      <c r="D23672" s="0" t="s">
        <v>31633</v>
      </c>
      <c r="E23672" s="0" t="inlineStr">
        <is>
          <t xml:space="preserve">Mazda</t>
        </is>
      </c>
      <c r="F23672" s="0" t="s">
        <v>13</v>
      </c>
      <c r="G23672" s="0" t="s">
        <v>49</v>
      </c>
      <c r="H23672" s="5">
        <v>135.273600</v>
      </c>
    </row>
    <row r="23673" spans="1:9">
      <c r="A23673" s="22" t="str">
        <f>HYPERLINK("https://app.vivvix.com/360/KMI/IntelliDrive/ApplUI/Pages/CreativePages/CustomReportCreativeDetail.aspx?App=23&amp;ReportView=4&amp;Qid=1711279&amp;Row=23665&amp;Col=1","No Title Assigned - #15282420774")</f>
        <v/>
      </c>
      <c r="B23673" s="0" t="s">
        <v>31634</v>
      </c>
      <c r="C23673" s="0" t="s">
        <v>31635</v>
      </c>
      <c r="D23673" s="0" t="s">
        <v>31635</v>
      </c>
      <c r="E23673" s="0" t="inlineStr">
        <is>
          <t xml:space="preserve">Mazda</t>
        </is>
      </c>
      <c r="F23673" s="0" t="s">
        <v>28</v>
      </c>
      <c r="G23673" s="0" t="s">
        <v>29</v>
      </c>
      <c r="H23673" s="5">
        <v>287.448200</v>
      </c>
    </row>
    <row r="23674" spans="1:9">
      <c r="A23674" s="22" t="str">
        <f>HYPERLINK("https://app.vivvix.com/360/KMI/IntelliDrive/ApplUI/Pages/CreativePages/CustomReportCreativeDetail.aspx?App=23&amp;ReportView=4&amp;Qid=1711279&amp;Row=23666&amp;Col=1","No Title Assigned - #15282420877")</f>
        <v/>
      </c>
      <c r="B23674" s="0" t="s">
        <v>31636</v>
      </c>
      <c r="C23674" s="0" t="s">
        <v>31637</v>
      </c>
      <c r="D23674" s="0" t="s">
        <v>31637</v>
      </c>
      <c r="E23674" s="0" t="inlineStr">
        <is>
          <t xml:space="preserve">Mazda</t>
        </is>
      </c>
      <c r="F23674" s="0" t="s">
        <v>13</v>
      </c>
      <c r="G23674" s="0" t="s">
        <v>49</v>
      </c>
      <c r="H23674" s="5">
        <v>1622.192400</v>
      </c>
    </row>
    <row r="23675" spans="1:9">
      <c r="A23675" s="22" t="str">
        <f>HYPERLINK("https://app.vivvix.com/360/KMI/IntelliDrive/ApplUI/Pages/CreativePages/CustomReportCreativeDetail.aspx?App=23&amp;ReportView=4&amp;Qid=1711279&amp;Row=23667&amp;Col=1","No Title Assigned - #15282429128")</f>
        <v/>
      </c>
      <c r="B23675" s="0" t="s">
        <v>31638</v>
      </c>
      <c r="C23675" s="0" t="s">
        <v>31639</v>
      </c>
      <c r="D23675" s="0" t="s">
        <v>27631</v>
      </c>
      <c r="E23675" s="0" t="inlineStr">
        <is>
          <t xml:space="preserve">Mazda</t>
        </is>
      </c>
      <c r="F23675" s="0" t="s">
        <v>13</v>
      </c>
      <c r="G23675" s="0" t="s">
        <v>49</v>
      </c>
      <c r="H23675" s="5">
        <v>84.766000</v>
      </c>
    </row>
    <row r="23676" spans="1:9">
      <c r="A23676" s="22" t="str">
        <f>HYPERLINK("https://app.vivvix.com/360/KMI/IntelliDrive/ApplUI/Pages/CreativePages/CustomReportCreativeDetail.aspx?App=23&amp;ReportView=4&amp;Qid=1711279&amp;Row=23668&amp;Col=1","No Title Assigned - #15282430473")</f>
        <v/>
      </c>
      <c r="B23676" s="0" t="s">
        <v>31640</v>
      </c>
      <c r="E23676" s="0" t="inlineStr">
        <is>
          <t xml:space="preserve">Mazda</t>
        </is>
      </c>
      <c r="F23676" s="0" t="inlineStr">
        <is>
          <t xml:space="preserve">Mazda</t>
        </is>
      </c>
      <c r="G23676" s="0" t="s">
        <v>171</v>
      </c>
      <c r="H23676" s="5">
        <v>421.852100</v>
      </c>
    </row>
    <row r="23677" spans="1:9">
      <c r="A23677" s="22" t="str">
        <f>HYPERLINK("https://app.vivvix.com/360/KMI/IntelliDrive/ApplUI/Pages/CreativePages/CustomReportCreativeDetail.aspx?App=23&amp;ReportView=4&amp;Qid=1711279&amp;Row=23669&amp;Col=1","No Title Assigned - #15282430475")</f>
        <v/>
      </c>
      <c r="B23677" s="0" t="s">
        <v>31641</v>
      </c>
      <c r="E23677" s="0" t="inlineStr">
        <is>
          <t xml:space="preserve">Mazda</t>
        </is>
      </c>
      <c r="F23677" s="0" t="inlineStr">
        <is>
          <t xml:space="preserve">Mazda</t>
        </is>
      </c>
      <c r="G23677" s="0" t="s">
        <v>171</v>
      </c>
      <c r="H23677" s="5">
        <v>2.536600</v>
      </c>
    </row>
    <row r="23678" spans="1:9">
      <c r="A23678" s="22" t="str">
        <f>HYPERLINK("https://app.vivvix.com/360/KMI/IntelliDrive/ApplUI/Pages/CreativePages/CustomReportCreativeDetail.aspx?App=23&amp;ReportView=4&amp;Qid=1711279&amp;Row=23670&amp;Col=1","No Title Assigned - #15282430657")</f>
        <v/>
      </c>
      <c r="B23678" s="0" t="s">
        <v>31642</v>
      </c>
      <c r="E23678" s="0" t="inlineStr">
        <is>
          <t xml:space="preserve">Mazda</t>
        </is>
      </c>
      <c r="F23678" s="0" t="inlineStr">
        <is>
          <t xml:space="preserve">Mazda</t>
        </is>
      </c>
      <c r="G23678" s="0" t="s">
        <v>171</v>
      </c>
      <c r="H23678" s="5">
        <v>4027.498500</v>
      </c>
    </row>
    <row r="23679" spans="1:9">
      <c r="A23679" s="22" t="str">
        <f>HYPERLINK("https://app.vivvix.com/360/KMI/IntelliDrive/ApplUI/Pages/CreativePages/CustomReportCreativeDetail.aspx?App=23&amp;ReportView=4&amp;Qid=1711279&amp;Row=23671&amp;Col=1","No Title Assigned - #15282431054")</f>
        <v/>
      </c>
      <c r="B23679" s="0" t="s">
        <v>31643</v>
      </c>
      <c r="E23679" s="0" t="inlineStr">
        <is>
          <t xml:space="preserve">Mazda</t>
        </is>
      </c>
      <c r="F23679" s="0" t="inlineStr">
        <is>
          <t xml:space="preserve">Mazda</t>
        </is>
      </c>
      <c r="G23679" s="0" t="s">
        <v>171</v>
      </c>
      <c r="H23679" s="5">
        <v>247.306400</v>
      </c>
    </row>
    <row r="23680" spans="1:9">
      <c r="A23680" s="22" t="str">
        <f>HYPERLINK("https://app.vivvix.com/360/KMI/IntelliDrive/ApplUI/Pages/CreativePages/CustomReportCreativeDetail.aspx?App=23&amp;ReportView=4&amp;Qid=1711279&amp;Row=23672&amp;Col=1","No Title Assigned - #15282437549")</f>
        <v/>
      </c>
      <c r="B23680" s="0" t="s">
        <v>31644</v>
      </c>
      <c r="E23680" s="0" t="inlineStr">
        <is>
          <t xml:space="preserve">Mazda</t>
        </is>
      </c>
      <c r="F23680" s="0" t="inlineStr">
        <is>
          <t xml:space="preserve">Mazda</t>
        </is>
      </c>
      <c r="G23680" s="0" t="s">
        <v>171</v>
      </c>
      <c r="H23680" s="5">
        <v>1712.246700</v>
      </c>
    </row>
    <row r="23681" spans="1:9">
      <c r="A23681" s="22" t="str">
        <f>HYPERLINK("https://app.vivvix.com/360/KMI/IntelliDrive/ApplUI/Pages/CreativePages/CustomReportCreativeDetail.aspx?App=23&amp;ReportView=4&amp;Qid=1711279&amp;Row=23673&amp;Col=1","No Title Assigned - #15282437837")</f>
        <v/>
      </c>
      <c r="B23681" s="0" t="s">
        <v>31645</v>
      </c>
      <c r="E23681" s="0" t="inlineStr">
        <is>
          <t xml:space="preserve">Mazda</t>
        </is>
      </c>
      <c r="F23681" s="0" t="inlineStr">
        <is>
          <t xml:space="preserve">Mazda</t>
        </is>
      </c>
      <c r="G23681" s="0" t="s">
        <v>171</v>
      </c>
      <c r="H23681" s="5">
        <v>1375.745200</v>
      </c>
    </row>
    <row r="23682" spans="1:9">
      <c r="A23682" s="22" t="str">
        <f>HYPERLINK("https://app.vivvix.com/360/KMI/IntelliDrive/ApplUI/Pages/CreativePages/CustomReportCreativeDetail.aspx?App=23&amp;ReportView=4&amp;Qid=1711279&amp;Row=23674&amp;Col=1","No Title Assigned - #15282439610")</f>
        <v/>
      </c>
      <c r="B23682" s="0" t="s">
        <v>31646</v>
      </c>
      <c r="E23682" s="0" t="inlineStr">
        <is>
          <t xml:space="preserve">Mazda</t>
        </is>
      </c>
      <c r="F23682" s="0" t="inlineStr">
        <is>
          <t xml:space="preserve">Mazda</t>
        </is>
      </c>
      <c r="G23682" s="0" t="s">
        <v>171</v>
      </c>
      <c r="H23682" s="5">
        <v>324.460300</v>
      </c>
    </row>
    <row r="23683" spans="1:9">
      <c r="A23683" s="22" t="str">
        <f>HYPERLINK("https://app.vivvix.com/360/KMI/IntelliDrive/ApplUI/Pages/CreativePages/CustomReportCreativeDetail.aspx?App=23&amp;ReportView=4&amp;Qid=1711279&amp;Row=23675&amp;Col=1","No Title Assigned - #15282440140")</f>
        <v/>
      </c>
      <c r="B23683" s="0" t="s">
        <v>31647</v>
      </c>
      <c r="E23683" s="0" t="inlineStr">
        <is>
          <t xml:space="preserve">Mazda</t>
        </is>
      </c>
      <c r="F23683" s="0" t="inlineStr">
        <is>
          <t xml:space="preserve">Mazda</t>
        </is>
      </c>
      <c r="G23683" s="0" t="s">
        <v>171</v>
      </c>
      <c r="H23683" s="5">
        <v>428.948900</v>
      </c>
    </row>
    <row r="23684" spans="1:9">
      <c r="A23684" s="22" t="str">
        <f>HYPERLINK("https://app.vivvix.com/360/KMI/IntelliDrive/ApplUI/Pages/CreativePages/CustomReportCreativeDetail.aspx?App=23&amp;ReportView=4&amp;Qid=1711279&amp;Row=23676&amp;Col=1","No Title Assigned - #15282440997")</f>
        <v/>
      </c>
      <c r="B23684" s="0" t="s">
        <v>31648</v>
      </c>
      <c r="E23684" s="0" t="inlineStr">
        <is>
          <t xml:space="preserve">Mazda</t>
        </is>
      </c>
      <c r="F23684" s="0" t="inlineStr">
        <is>
          <t xml:space="preserve">Mazda</t>
        </is>
      </c>
      <c r="G23684" s="0" t="s">
        <v>171</v>
      </c>
      <c r="H23684" s="5">
        <v>26.875500</v>
      </c>
    </row>
    <row r="23685" spans="1:9">
      <c r="A23685" s="22" t="str">
        <f>HYPERLINK("https://app.vivvix.com/360/KMI/IntelliDrive/ApplUI/Pages/CreativePages/CustomReportCreativeDetail.aspx?App=23&amp;ReportView=4&amp;Qid=1711279&amp;Row=23677&amp;Col=1","No Title Assigned - #15282441010")</f>
        <v/>
      </c>
      <c r="B23685" s="0" t="s">
        <v>31649</v>
      </c>
      <c r="E23685" s="0" t="inlineStr">
        <is>
          <t xml:space="preserve">Mazda</t>
        </is>
      </c>
      <c r="F23685" s="0" t="inlineStr">
        <is>
          <t xml:space="preserve">Mazda</t>
        </is>
      </c>
      <c r="G23685" s="0" t="s">
        <v>171</v>
      </c>
      <c r="H23685" s="5">
        <v>41.254800</v>
      </c>
    </row>
    <row r="23686" spans="1:9">
      <c r="A23686" s="22" t="str">
        <f>HYPERLINK("https://app.vivvix.com/360/KMI/IntelliDrive/ApplUI/Pages/CreativePages/CustomReportCreativeDetail.aspx?App=23&amp;ReportView=4&amp;Qid=1711279&amp;Row=23678&amp;Col=1","No Title Assigned - #15282441018")</f>
        <v/>
      </c>
      <c r="B23686" s="0" t="s">
        <v>31650</v>
      </c>
      <c r="E23686" s="0" t="inlineStr">
        <is>
          <t xml:space="preserve">Mazda</t>
        </is>
      </c>
      <c r="F23686" s="0" t="inlineStr">
        <is>
          <t xml:space="preserve">Mazda</t>
        </is>
      </c>
      <c r="G23686" s="0" t="s">
        <v>171</v>
      </c>
      <c r="H23686" s="5">
        <v>0.823600</v>
      </c>
    </row>
    <row r="23687" spans="1:9">
      <c r="A23687" s="22" t="str">
        <f>HYPERLINK("https://app.vivvix.com/360/KMI/IntelliDrive/ApplUI/Pages/CreativePages/CustomReportCreativeDetail.aspx?App=23&amp;ReportView=4&amp;Qid=1711279&amp;Row=23679&amp;Col=1","No Title Assigned - #15282443344")</f>
        <v/>
      </c>
      <c r="B23687" s="0" t="s">
        <v>31651</v>
      </c>
      <c r="E23687" s="0" t="inlineStr">
        <is>
          <t xml:space="preserve">Mazda</t>
        </is>
      </c>
      <c r="F23687" s="0" t="inlineStr">
        <is>
          <t xml:space="preserve">Mazda</t>
        </is>
      </c>
      <c r="G23687" s="0" t="s">
        <v>171</v>
      </c>
      <c r="H23687" s="5">
        <v>3175.538600</v>
      </c>
    </row>
    <row r="23688" spans="1:9">
      <c r="A23688" s="22" t="str">
        <f>HYPERLINK("https://app.vivvix.com/360/KMI/IntelliDrive/ApplUI/Pages/CreativePages/CustomReportCreativeDetail.aspx?App=23&amp;ReportView=4&amp;Qid=1711279&amp;Row=23680&amp;Col=1","No Title Assigned - #15282443933")</f>
        <v/>
      </c>
      <c r="B23688" s="0" t="s">
        <v>31652</v>
      </c>
      <c r="E23688" s="0" t="inlineStr">
        <is>
          <t xml:space="preserve">Mazda</t>
        </is>
      </c>
      <c r="F23688" s="0" t="inlineStr">
        <is>
          <t xml:space="preserve">Mazda</t>
        </is>
      </c>
      <c r="G23688" s="0" t="s">
        <v>171</v>
      </c>
      <c r="H23688" s="5">
        <v>998.255600</v>
      </c>
    </row>
    <row r="23689" spans="1:9">
      <c r="A23689" s="22" t="str">
        <f>HYPERLINK("https://app.vivvix.com/360/KMI/IntelliDrive/ApplUI/Pages/CreativePages/CustomReportCreativeDetail.aspx?App=23&amp;ReportView=4&amp;Qid=1711279&amp;Row=23681&amp;Col=1","No Title Assigned - #15282443934")</f>
        <v/>
      </c>
      <c r="B23689" s="0" t="s">
        <v>31653</v>
      </c>
      <c r="C23689" s="0" t="s">
        <v>31654</v>
      </c>
      <c r="D23689" s="0" t="s">
        <v>31654</v>
      </c>
      <c r="E23689" s="0" t="inlineStr">
        <is>
          <t xml:space="preserve">Mazda</t>
        </is>
      </c>
      <c r="F23689" s="0" t="inlineStr">
        <is>
          <t xml:space="preserve">Mazda</t>
        </is>
      </c>
      <c r="G23689" s="0" t="s">
        <v>171</v>
      </c>
      <c r="H23689" s="5">
        <v>493.436000</v>
      </c>
    </row>
    <row r="23690" spans="1:9">
      <c r="A23690" s="22" t="str">
        <f>HYPERLINK("https://app.vivvix.com/360/KMI/IntelliDrive/ApplUI/Pages/CreativePages/CustomReportCreativeDetail.aspx?App=23&amp;ReportView=4&amp;Qid=1711279&amp;Row=23682&amp;Col=1","No Title Assigned - #15282443975")</f>
        <v/>
      </c>
      <c r="B23690" s="0" t="s">
        <v>31655</v>
      </c>
      <c r="E23690" s="0" t="inlineStr">
        <is>
          <t xml:space="preserve">Mazda</t>
        </is>
      </c>
      <c r="F23690" s="0" t="inlineStr">
        <is>
          <t xml:space="preserve">Mazda</t>
        </is>
      </c>
      <c r="G23690" s="0" t="s">
        <v>171</v>
      </c>
      <c r="H23690" s="5">
        <v>49.918200</v>
      </c>
    </row>
    <row r="23691" spans="1:9">
      <c r="A23691" s="22" t="str">
        <f>HYPERLINK("https://app.vivvix.com/360/KMI/IntelliDrive/ApplUI/Pages/CreativePages/CustomReportCreativeDetail.aspx?App=23&amp;ReportView=4&amp;Qid=1711279&amp;Row=23683&amp;Col=1","No Title Assigned - #15282444630")</f>
        <v/>
      </c>
      <c r="B23691" s="0" t="s">
        <v>31656</v>
      </c>
      <c r="E23691" s="0" t="inlineStr">
        <is>
          <t xml:space="preserve">Mazda</t>
        </is>
      </c>
      <c r="F23691" s="0" t="inlineStr">
        <is>
          <t xml:space="preserve">Mazda</t>
        </is>
      </c>
      <c r="G23691" s="0" t="s">
        <v>171</v>
      </c>
      <c r="H23691" s="5">
        <v>418.368600</v>
      </c>
    </row>
    <row r="23692" spans="1:9">
      <c r="A23692" s="22" t="str">
        <f>HYPERLINK("https://app.vivvix.com/360/KMI/IntelliDrive/ApplUI/Pages/CreativePages/CustomReportCreativeDetail.aspx?App=23&amp;ReportView=4&amp;Qid=1711279&amp;Row=23684&amp;Col=1","No Title Assigned - #15282444671")</f>
        <v/>
      </c>
      <c r="B23692" s="0" t="s">
        <v>31657</v>
      </c>
      <c r="E23692" s="0" t="inlineStr">
        <is>
          <t xml:space="preserve">Mazda</t>
        </is>
      </c>
      <c r="F23692" s="0" t="inlineStr">
        <is>
          <t xml:space="preserve">Mazda</t>
        </is>
      </c>
      <c r="G23692" s="0" t="s">
        <v>171</v>
      </c>
      <c r="H23692" s="5">
        <v>70.681800</v>
      </c>
    </row>
    <row r="23693" spans="1:9">
      <c r="A23693" s="22" t="str">
        <f>HYPERLINK("https://app.vivvix.com/360/KMI/IntelliDrive/ApplUI/Pages/CreativePages/CustomReportCreativeDetail.aspx?App=23&amp;ReportView=4&amp;Qid=1711279&amp;Row=23685&amp;Col=1","No Title Assigned - #15282446683")</f>
        <v/>
      </c>
      <c r="B23693" s="0" t="s">
        <v>31658</v>
      </c>
      <c r="E23693" s="0" t="inlineStr">
        <is>
          <t xml:space="preserve">Mazda</t>
        </is>
      </c>
      <c r="F23693" s="0" t="inlineStr">
        <is>
          <t xml:space="preserve">Mazda</t>
        </is>
      </c>
      <c r="G23693" s="0" t="s">
        <v>171</v>
      </c>
      <c r="H23693" s="5">
        <v>387.514800</v>
      </c>
    </row>
    <row r="23694" spans="1:9">
      <c r="A23694" s="22" t="str">
        <f>HYPERLINK("https://app.vivvix.com/360/KMI/IntelliDrive/ApplUI/Pages/CreativePages/CustomReportCreativeDetail.aspx?App=23&amp;ReportView=4&amp;Qid=1711279&amp;Row=23686&amp;Col=1","No Title Assigned - #15282455661")</f>
        <v/>
      </c>
      <c r="B23694" s="0" t="s">
        <v>31659</v>
      </c>
      <c r="E23694" s="0" t="inlineStr">
        <is>
          <t xml:space="preserve">Mazda</t>
        </is>
      </c>
      <c r="F23694" s="0" t="inlineStr">
        <is>
          <t xml:space="preserve">Mazda</t>
        </is>
      </c>
      <c r="G23694" s="0" t="s">
        <v>171</v>
      </c>
      <c r="H23694" s="5">
        <v>22.177500</v>
      </c>
    </row>
    <row r="23695" spans="1:9">
      <c r="A23695" s="22" t="str">
        <f>HYPERLINK("https://app.vivvix.com/360/KMI/IntelliDrive/ApplUI/Pages/CreativePages/CustomReportCreativeDetail.aspx?App=23&amp;ReportView=4&amp;Qid=1711279&amp;Row=23687&amp;Col=1","No Title Assigned - #15282458374")</f>
        <v/>
      </c>
      <c r="B23695" s="0" t="s">
        <v>31660</v>
      </c>
      <c r="E23695" s="0" t="inlineStr">
        <is>
          <t xml:space="preserve">Mazda</t>
        </is>
      </c>
      <c r="F23695" s="0" t="inlineStr">
        <is>
          <t xml:space="preserve">Mazda</t>
        </is>
      </c>
      <c r="G23695" s="0" t="s">
        <v>171</v>
      </c>
      <c r="H23695" s="5">
        <v>75.715000</v>
      </c>
    </row>
    <row r="23696" spans="1:9">
      <c r="A23696" s="22" t="str">
        <f>HYPERLINK("https://app.vivvix.com/360/KMI/IntelliDrive/ApplUI/Pages/CreativePages/CustomReportCreativeDetail.aspx?App=23&amp;ReportView=4&amp;Qid=1711279&amp;Row=23688&amp;Col=1","No Title Assigned - #15282469991")</f>
        <v/>
      </c>
      <c r="B23696" s="0" t="s">
        <v>31661</v>
      </c>
      <c r="C23696" s="0" t="s">
        <v>31662</v>
      </c>
      <c r="D23696" s="0" t="s">
        <v>31662</v>
      </c>
      <c r="E23696" s="0" t="inlineStr">
        <is>
          <t xml:space="preserve">Mazda</t>
        </is>
      </c>
      <c r="F23696" s="0" t="s">
        <v>13</v>
      </c>
      <c r="G23696" s="0" t="s">
        <v>49</v>
      </c>
      <c r="H23696" s="5">
        <v>28.383000</v>
      </c>
    </row>
    <row r="23697" spans="1:9">
      <c r="A23697" s="22" t="str">
        <f>HYPERLINK("https://app.vivvix.com/360/KMI/IntelliDrive/ApplUI/Pages/CreativePages/CustomReportCreativeDetail.aspx?App=23&amp;ReportView=4&amp;Qid=1711279&amp;Row=23689&amp;Col=1","No Title Assigned - #15282471465")</f>
        <v/>
      </c>
      <c r="B23697" s="0" t="s">
        <v>31663</v>
      </c>
      <c r="C23697" s="0" t="s">
        <v>31664</v>
      </c>
      <c r="D23697" s="0" t="s">
        <v>31664</v>
      </c>
      <c r="E23697" s="0" t="inlineStr">
        <is>
          <t xml:space="preserve">Mazda</t>
        </is>
      </c>
      <c r="F23697" s="0" t="s">
        <v>369</v>
      </c>
      <c r="G23697" s="0" t="s">
        <v>2644</v>
      </c>
      <c r="H23697" s="5">
        <v>1578.125000</v>
      </c>
    </row>
    <row r="23698" spans="1:9">
      <c r="A23698" s="22" t="str">
        <f>HYPERLINK("https://app.vivvix.com/360/KMI/IntelliDrive/ApplUI/Pages/CreativePages/CustomReportCreativeDetail.aspx?App=23&amp;ReportView=4&amp;Qid=1711279&amp;Row=23690&amp;Col=1","No Title Assigned - #15282486855")</f>
        <v/>
      </c>
      <c r="B23698" s="0" t="s">
        <v>31665</v>
      </c>
      <c r="C23698" s="0" t="s">
        <v>31666</v>
      </c>
      <c r="D23698" s="0" t="s">
        <v>31666</v>
      </c>
      <c r="E23698" s="0" t="inlineStr">
        <is>
          <t xml:space="preserve">Mazda</t>
        </is>
      </c>
      <c r="F23698" s="0" t="s">
        <v>13</v>
      </c>
      <c r="G23698" s="0" t="s">
        <v>49</v>
      </c>
      <c r="H23698" s="5">
        <v>20.568500</v>
      </c>
    </row>
    <row r="23699" spans="1:9">
      <c r="A23699" s="22" t="str">
        <f>HYPERLINK("https://app.vivvix.com/360/KMI/IntelliDrive/ApplUI/Pages/CreativePages/CustomReportCreativeDetail.aspx?App=23&amp;ReportView=4&amp;Qid=1711279&amp;Row=23691&amp;Col=1","No Title Assigned - #15282490359")</f>
        <v/>
      </c>
      <c r="B23699" s="0" t="s">
        <v>31667</v>
      </c>
      <c r="C23699" s="0" t="s">
        <v>31668</v>
      </c>
      <c r="D23699" s="0" t="s">
        <v>31668</v>
      </c>
      <c r="E23699" s="0" t="inlineStr">
        <is>
          <t xml:space="preserve">Mazda</t>
        </is>
      </c>
      <c r="F23699" s="0" t="s">
        <v>13</v>
      </c>
      <c r="G23699" s="0" t="s">
        <v>49</v>
      </c>
      <c r="H23699" s="5">
        <v>2981.631300</v>
      </c>
    </row>
    <row r="23700" spans="1:9">
      <c r="A23700" s="22" t="str">
        <f>HYPERLINK("https://app.vivvix.com/360/KMI/IntelliDrive/ApplUI/Pages/CreativePages/CustomReportCreativeDetail.aspx?App=23&amp;ReportView=4&amp;Qid=1711279&amp;Row=23692&amp;Col=1","No Title Assigned - #15282491744")</f>
        <v/>
      </c>
      <c r="B23700" s="0" t="s">
        <v>31669</v>
      </c>
      <c r="C23700" s="0" t="s">
        <v>31670</v>
      </c>
      <c r="D23700" s="0" t="s">
        <v>10311</v>
      </c>
      <c r="E23700" s="0" t="inlineStr">
        <is>
          <t xml:space="preserve">Mazda</t>
        </is>
      </c>
      <c r="F23700" s="0" t="s">
        <v>13</v>
      </c>
      <c r="G23700" s="0" t="s">
        <v>49</v>
      </c>
      <c r="H23700" s="5">
        <v>31.020800</v>
      </c>
    </row>
    <row r="23701" spans="1:9">
      <c r="A23701" s="22" t="str">
        <f>HYPERLINK("https://app.vivvix.com/360/KMI/IntelliDrive/ApplUI/Pages/CreativePages/CustomReportCreativeDetail.aspx?App=23&amp;ReportView=4&amp;Qid=1711279&amp;Row=23693&amp;Col=1","No Title Assigned - #15282492390")</f>
        <v/>
      </c>
      <c r="B23701" s="0" t="s">
        <v>31671</v>
      </c>
      <c r="C23701" s="0" t="s">
        <v>31672</v>
      </c>
      <c r="D23701" s="0" t="s">
        <v>31672</v>
      </c>
      <c r="E23701" s="0" t="inlineStr">
        <is>
          <t xml:space="preserve">Mazda</t>
        </is>
      </c>
      <c r="F23701" s="0" t="s">
        <v>13</v>
      </c>
      <c r="G23701" s="0" t="s">
        <v>49</v>
      </c>
      <c r="H23701" s="5">
        <v>135.273600</v>
      </c>
    </row>
    <row r="23702" spans="1:9">
      <c r="A23702" s="22" t="str">
        <f>HYPERLINK("https://app.vivvix.com/360/KMI/IntelliDrive/ApplUI/Pages/CreativePages/CustomReportCreativeDetail.aspx?App=23&amp;ReportView=4&amp;Qid=1711279&amp;Row=23694&amp;Col=1","No Title Assigned - #15282493745")</f>
        <v/>
      </c>
      <c r="B23702" s="0" t="s">
        <v>31673</v>
      </c>
      <c r="C23702" s="0" t="s">
        <v>31674</v>
      </c>
      <c r="D23702" s="0" t="s">
        <v>4335</v>
      </c>
      <c r="E23702" s="0" t="inlineStr">
        <is>
          <t xml:space="preserve">Mazda</t>
        </is>
      </c>
      <c r="F23702" s="0" t="s">
        <v>13</v>
      </c>
      <c r="G23702" s="0" t="s">
        <v>49</v>
      </c>
      <c r="H23702" s="5">
        <v>361.152000</v>
      </c>
    </row>
    <row r="23703" spans="1:9">
      <c r="A23703" s="22" t="str">
        <f>HYPERLINK("https://app.vivvix.com/360/KMI/IntelliDrive/ApplUI/Pages/CreativePages/CustomReportCreativeDetail.aspx?App=23&amp;ReportView=4&amp;Qid=1711279&amp;Row=23695&amp;Col=1","No Title Assigned - #15282494856")</f>
        <v/>
      </c>
      <c r="B23703" s="0" t="s">
        <v>31675</v>
      </c>
      <c r="C23703" s="0" t="s">
        <v>31676</v>
      </c>
      <c r="D23703" s="0" t="s">
        <v>31676</v>
      </c>
      <c r="E23703" s="0" t="inlineStr">
        <is>
          <t xml:space="preserve">Mazda</t>
        </is>
      </c>
      <c r="F23703" s="0" t="s">
        <v>13</v>
      </c>
      <c r="G23703" s="0" t="s">
        <v>49</v>
      </c>
      <c r="H23703" s="5">
        <v>25.083800</v>
      </c>
    </row>
    <row r="23704" spans="1:9">
      <c r="A23704" s="22" t="str">
        <f>HYPERLINK("https://app.vivvix.com/360/KMI/IntelliDrive/ApplUI/Pages/CreativePages/CustomReportCreativeDetail.aspx?App=23&amp;ReportView=4&amp;Qid=1711279&amp;Row=23696&amp;Col=1","No Title Assigned - #15282494987")</f>
        <v/>
      </c>
      <c r="B23704" s="0" t="s">
        <v>31677</v>
      </c>
      <c r="C23704" s="0" t="s">
        <v>31678</v>
      </c>
      <c r="D23704" s="0" t="s">
        <v>31678</v>
      </c>
      <c r="E23704" s="0" t="inlineStr">
        <is>
          <t xml:space="preserve">Mazda</t>
        </is>
      </c>
      <c r="F23704" s="0" t="s">
        <v>13</v>
      </c>
      <c r="G23704" s="0" t="s">
        <v>49</v>
      </c>
      <c r="H23704" s="5">
        <v>3.890400</v>
      </c>
    </row>
    <row r="23705" spans="1:9">
      <c r="A23705" s="22" t="str">
        <f>HYPERLINK("https://app.vivvix.com/360/KMI/IntelliDrive/ApplUI/Pages/CreativePages/CustomReportCreativeDetail.aspx?App=23&amp;ReportView=4&amp;Qid=1711279&amp;Row=23697&amp;Col=1","No Title Assigned - #15282494987")</f>
        <v/>
      </c>
      <c r="B23705" s="0" t="s">
        <v>31677</v>
      </c>
      <c r="E23705" s="0" t="inlineStr">
        <is>
          <t xml:space="preserve">Mazda</t>
        </is>
      </c>
      <c r="F23705" s="0" t="s">
        <v>13</v>
      </c>
      <c r="G23705" s="0" t="s">
        <v>49</v>
      </c>
      <c r="H23705" s="5">
        <v>1638.426900</v>
      </c>
    </row>
    <row r="23706" spans="1:9">
      <c r="A23706" s="22" t="str">
        <f>HYPERLINK("https://app.vivvix.com/360/KMI/IntelliDrive/ApplUI/Pages/CreativePages/CustomReportCreativeDetail.aspx?App=23&amp;ReportView=4&amp;Qid=1711279&amp;Row=23698&amp;Col=1","No Title Assigned - #15282495059")</f>
        <v/>
      </c>
      <c r="B23706" s="0" t="s">
        <v>31679</v>
      </c>
      <c r="C23706" s="0" t="s">
        <v>31680</v>
      </c>
      <c r="D23706" s="0" t="s">
        <v>31680</v>
      </c>
      <c r="E23706" s="0" t="inlineStr">
        <is>
          <t xml:space="preserve">Mazda</t>
        </is>
      </c>
      <c r="F23706" s="0" t="s">
        <v>13</v>
      </c>
      <c r="G23706" s="0" t="s">
        <v>49</v>
      </c>
      <c r="H23706" s="5">
        <v>5315.426300</v>
      </c>
    </row>
    <row r="23707" spans="1:9">
      <c r="A23707" s="22" t="str">
        <f>HYPERLINK("https://app.vivvix.com/360/KMI/IntelliDrive/ApplUI/Pages/CreativePages/CustomReportCreativeDetail.aspx?App=23&amp;ReportView=4&amp;Qid=1711279&amp;Row=23699&amp;Col=1","No Title Assigned - #15282496496")</f>
        <v/>
      </c>
      <c r="B23707" s="0" t="s">
        <v>31681</v>
      </c>
      <c r="C23707" s="0" t="s">
        <v>31682</v>
      </c>
      <c r="D23707" s="0" t="s">
        <v>24311</v>
      </c>
      <c r="E23707" s="0" t="inlineStr">
        <is>
          <t xml:space="preserve">Mazda</t>
        </is>
      </c>
      <c r="F23707" s="0" t="s">
        <v>13</v>
      </c>
      <c r="G23707" s="0" t="s">
        <v>49</v>
      </c>
      <c r="H23707" s="5">
        <v>16780.423800</v>
      </c>
    </row>
    <row r="23708" spans="1:9">
      <c r="A23708" s="22" t="str">
        <f>HYPERLINK("https://app.vivvix.com/360/KMI/IntelliDrive/ApplUI/Pages/CreativePages/CustomReportCreativeDetail.aspx?App=23&amp;ReportView=4&amp;Qid=1711279&amp;Row=23700&amp;Col=1","No Title Assigned - #15282497373")</f>
        <v/>
      </c>
      <c r="B23708" s="0" t="s">
        <v>31683</v>
      </c>
      <c r="C23708" s="0" t="s">
        <v>31684</v>
      </c>
      <c r="D23708" s="0" t="s">
        <v>31684</v>
      </c>
      <c r="E23708" s="0" t="inlineStr">
        <is>
          <t xml:space="preserve">Mazda</t>
        </is>
      </c>
      <c r="F23708" s="0" t="s">
        <v>13</v>
      </c>
      <c r="G23708" s="0" t="s">
        <v>49</v>
      </c>
      <c r="H23708" s="5">
        <v>3.583400</v>
      </c>
    </row>
    <row r="23709" spans="1:9">
      <c r="A23709" s="22" t="str">
        <f>HYPERLINK("https://app.vivvix.com/360/KMI/IntelliDrive/ApplUI/Pages/CreativePages/CustomReportCreativeDetail.aspx?App=23&amp;ReportView=4&amp;Qid=1711279&amp;Row=23701&amp;Col=1","No Title Assigned - #15282497478")</f>
        <v/>
      </c>
      <c r="B23709" s="0" t="s">
        <v>31685</v>
      </c>
      <c r="C23709" s="0" t="s">
        <v>31686</v>
      </c>
      <c r="D23709" s="0" t="s">
        <v>31686</v>
      </c>
      <c r="E23709" s="0" t="inlineStr">
        <is>
          <t xml:space="preserve">Mazda</t>
        </is>
      </c>
      <c r="F23709" s="0" t="s">
        <v>13</v>
      </c>
      <c r="G23709" s="0" t="s">
        <v>49</v>
      </c>
      <c r="H23709" s="5">
        <v>675.992900</v>
      </c>
    </row>
    <row r="23710" spans="1:9">
      <c r="A23710" s="22" t="str">
        <f>HYPERLINK("https://app.vivvix.com/360/KMI/IntelliDrive/ApplUI/Pages/CreativePages/CustomReportCreativeDetail.aspx?App=23&amp;ReportView=4&amp;Qid=1711279&amp;Row=23702&amp;Col=1","No Title Assigned - #15282499736")</f>
        <v/>
      </c>
      <c r="B23710" s="0" t="s">
        <v>31687</v>
      </c>
      <c r="C23710" s="0" t="s">
        <v>31688</v>
      </c>
      <c r="D23710" s="0" t="s">
        <v>31688</v>
      </c>
      <c r="E23710" s="0" t="inlineStr">
        <is>
          <t xml:space="preserve">Mazda</t>
        </is>
      </c>
      <c r="F23710" s="0" t="s">
        <v>13</v>
      </c>
      <c r="G23710" s="0" t="s">
        <v>49</v>
      </c>
      <c r="H23710" s="5">
        <v>0.972600</v>
      </c>
    </row>
    <row r="23711" spans="1:9">
      <c r="A23711" s="22" t="str">
        <f>HYPERLINK("https://app.vivvix.com/360/KMI/IntelliDrive/ApplUI/Pages/CreativePages/CustomReportCreativeDetail.aspx?App=23&amp;ReportView=4&amp;Qid=1711279&amp;Row=23703&amp;Col=1","No Title Assigned - #15282499866")</f>
        <v/>
      </c>
      <c r="B23711" s="0" t="s">
        <v>31689</v>
      </c>
      <c r="C23711" s="0" t="s">
        <v>31690</v>
      </c>
      <c r="D23711" s="0" t="s">
        <v>31690</v>
      </c>
      <c r="E23711" s="0" t="inlineStr">
        <is>
          <t xml:space="preserve">Mazda</t>
        </is>
      </c>
      <c r="F23711" s="0" t="s">
        <v>13</v>
      </c>
      <c r="G23711" s="0" t="s">
        <v>49</v>
      </c>
      <c r="H23711" s="5">
        <v>47.887400</v>
      </c>
    </row>
    <row r="23712" spans="1:9">
      <c r="A23712" s="22" t="str">
        <f>HYPERLINK("https://app.vivvix.com/360/KMI/IntelliDrive/ApplUI/Pages/CreativePages/CustomReportCreativeDetail.aspx?App=23&amp;ReportView=4&amp;Qid=1711279&amp;Row=23704&amp;Col=1","No Title Assigned - #15282500013")</f>
        <v/>
      </c>
      <c r="B23712" s="0" t="s">
        <v>31691</v>
      </c>
      <c r="E23712" s="0" t="inlineStr">
        <is>
          <t xml:space="preserve">Mazda</t>
        </is>
      </c>
      <c r="F23712" s="0" t="inlineStr">
        <is>
          <t xml:space="preserve">Mazda</t>
        </is>
      </c>
      <c r="G23712" s="0" t="s">
        <v>171</v>
      </c>
      <c r="H23712" s="5">
        <v>281.925000</v>
      </c>
    </row>
    <row r="23713" spans="1:9">
      <c r="A23713" s="22" t="str">
        <f>HYPERLINK("https://app.vivvix.com/360/KMI/IntelliDrive/ApplUI/Pages/CreativePages/CustomReportCreativeDetail.aspx?App=23&amp;ReportView=4&amp;Qid=1711279&amp;Row=23705&amp;Col=1","No Title Assigned - #15282500015")</f>
        <v/>
      </c>
      <c r="B23713" s="0" t="s">
        <v>31692</v>
      </c>
      <c r="C23713" s="0" t="s">
        <v>31693</v>
      </c>
      <c r="D23713" s="0" t="s">
        <v>31693</v>
      </c>
      <c r="E23713" s="0" t="inlineStr">
        <is>
          <t xml:space="preserve">Mazda</t>
        </is>
      </c>
      <c r="F23713" s="0" t="inlineStr">
        <is>
          <t xml:space="preserve">Mazda</t>
        </is>
      </c>
      <c r="G23713" s="0" t="s">
        <v>210</v>
      </c>
      <c r="H23713" s="5">
        <v>422.887500</v>
      </c>
    </row>
    <row r="23714" spans="1:9">
      <c r="A23714" s="22" t="str">
        <f>HYPERLINK("https://app.vivvix.com/360/KMI/IntelliDrive/ApplUI/Pages/CreativePages/CustomReportCreativeDetail.aspx?App=23&amp;ReportView=4&amp;Qid=1711279&amp;Row=23706&amp;Col=1","No Title Assigned - #15282500056")</f>
        <v/>
      </c>
      <c r="B23714" s="0" t="s">
        <v>31694</v>
      </c>
      <c r="C23714" s="0" t="s">
        <v>31695</v>
      </c>
      <c r="D23714" s="0" t="s">
        <v>31695</v>
      </c>
      <c r="E23714" s="0" t="inlineStr">
        <is>
          <t xml:space="preserve">Mazda</t>
        </is>
      </c>
      <c r="F23714" s="0" t="s">
        <v>13</v>
      </c>
      <c r="G23714" s="0" t="s">
        <v>49</v>
      </c>
      <c r="H23714" s="5">
        <v>34.472500</v>
      </c>
    </row>
    <row r="23715" spans="1:9">
      <c r="A23715" s="22" t="str">
        <f>HYPERLINK("https://app.vivvix.com/360/KMI/IntelliDrive/ApplUI/Pages/CreativePages/CustomReportCreativeDetail.aspx?App=23&amp;ReportView=4&amp;Qid=1711279&amp;Row=23707&amp;Col=1","No Title Assigned - #15282500146")</f>
        <v/>
      </c>
      <c r="B23715" s="0" t="s">
        <v>31696</v>
      </c>
      <c r="C23715" s="0" t="s">
        <v>31697</v>
      </c>
      <c r="D23715" s="0" t="s">
        <v>31697</v>
      </c>
      <c r="E23715" s="0" t="inlineStr">
        <is>
          <t xml:space="preserve">Mazda</t>
        </is>
      </c>
      <c r="F23715" s="0" t="s">
        <v>13</v>
      </c>
      <c r="G23715" s="0" t="s">
        <v>49</v>
      </c>
      <c r="H23715" s="5">
        <v>3.583400</v>
      </c>
    </row>
    <row r="23716" spans="1:9">
      <c r="A23716" s="22" t="str">
        <f>HYPERLINK("https://app.vivvix.com/360/KMI/IntelliDrive/ApplUI/Pages/CreativePages/CustomReportCreativeDetail.aspx?App=23&amp;ReportView=4&amp;Qid=1711279&amp;Row=23708&amp;Col=1","No Title Assigned - #15282500542")</f>
        <v/>
      </c>
      <c r="B23716" s="0" t="s">
        <v>31698</v>
      </c>
      <c r="E23716" s="0" t="inlineStr">
        <is>
          <t xml:space="preserve">Mazda</t>
        </is>
      </c>
      <c r="F23716" s="0" t="inlineStr">
        <is>
          <t xml:space="preserve">Mazda</t>
        </is>
      </c>
      <c r="G23716" s="0" t="s">
        <v>171</v>
      </c>
      <c r="H23716" s="5">
        <v>36060.913200</v>
      </c>
    </row>
    <row r="23717" spans="1:9">
      <c r="A23717" s="22" t="str">
        <f>HYPERLINK("https://app.vivvix.com/360/KMI/IntelliDrive/ApplUI/Pages/CreativePages/CustomReportCreativeDetail.aspx?App=23&amp;ReportView=4&amp;Qid=1711279&amp;Row=23709&amp;Col=1","No Title Assigned - #15282501436")</f>
        <v/>
      </c>
      <c r="B23717" s="0" t="s">
        <v>31699</v>
      </c>
      <c r="E23717" s="0" t="inlineStr">
        <is>
          <t xml:space="preserve">Mazda</t>
        </is>
      </c>
      <c r="F23717" s="0" t="inlineStr">
        <is>
          <t xml:space="preserve">Mazda</t>
        </is>
      </c>
      <c r="G23717" s="0" t="s">
        <v>171</v>
      </c>
      <c r="H23717" s="5">
        <v>421.996600</v>
      </c>
    </row>
    <row r="23718" spans="1:9">
      <c r="A23718" s="22" t="str">
        <f>HYPERLINK("https://app.vivvix.com/360/KMI/IntelliDrive/ApplUI/Pages/CreativePages/CustomReportCreativeDetail.aspx?App=23&amp;ReportView=4&amp;Qid=1711279&amp;Row=23710&amp;Col=1","No Title Assigned - #15282501436")</f>
        <v/>
      </c>
      <c r="B23718" s="0" t="s">
        <v>31699</v>
      </c>
      <c r="E23718" s="0" t="inlineStr">
        <is>
          <t xml:space="preserve">Mazda</t>
        </is>
      </c>
      <c r="F23718" s="0" t="inlineStr">
        <is>
          <t xml:space="preserve">Mazda</t>
        </is>
      </c>
      <c r="G23718" s="0" t="s">
        <v>171</v>
      </c>
      <c r="H23718" s="5">
        <v>317.885600</v>
      </c>
    </row>
    <row r="23719" spans="1:9">
      <c r="A23719" s="22" t="str">
        <f>HYPERLINK("https://app.vivvix.com/360/KMI/IntelliDrive/ApplUI/Pages/CreativePages/CustomReportCreativeDetail.aspx?App=23&amp;ReportView=4&amp;Qid=1711279&amp;Row=23711&amp;Col=1","No Title Assigned - #15282502038")</f>
        <v/>
      </c>
      <c r="B23719" s="0" t="s">
        <v>31700</v>
      </c>
      <c r="E23719" s="0" t="inlineStr">
        <is>
          <t xml:space="preserve">Mazda</t>
        </is>
      </c>
      <c r="F23719" s="0" t="inlineStr">
        <is>
          <t xml:space="preserve">Mazda</t>
        </is>
      </c>
      <c r="G23719" s="0" t="s">
        <v>171</v>
      </c>
      <c r="H23719" s="5">
        <v>70.681800</v>
      </c>
    </row>
    <row r="23720" spans="1:9">
      <c r="A23720" s="22" t="str">
        <f>HYPERLINK("https://app.vivvix.com/360/KMI/IntelliDrive/ApplUI/Pages/CreativePages/CustomReportCreativeDetail.aspx?App=23&amp;ReportView=4&amp;Qid=1711279&amp;Row=23712&amp;Col=1","No Title Assigned - #15282503060")</f>
        <v/>
      </c>
      <c r="B23720" s="0" t="s">
        <v>31701</v>
      </c>
      <c r="E23720" s="0" t="inlineStr">
        <is>
          <t xml:space="preserve">Mazda</t>
        </is>
      </c>
      <c r="F23720" s="0" t="inlineStr">
        <is>
          <t xml:space="preserve">Mazda</t>
        </is>
      </c>
      <c r="G23720" s="0" t="s">
        <v>171</v>
      </c>
      <c r="H23720" s="5">
        <v>70.681800</v>
      </c>
    </row>
    <row r="23721" spans="1:9">
      <c r="A23721" s="22" t="str">
        <f>HYPERLINK("https://app.vivvix.com/360/KMI/IntelliDrive/ApplUI/Pages/CreativePages/CustomReportCreativeDetail.aspx?App=23&amp;ReportView=4&amp;Qid=1711279&amp;Row=23713&amp;Col=1","No Title Assigned - #15282503746")</f>
        <v/>
      </c>
      <c r="B23721" s="0" t="s">
        <v>31702</v>
      </c>
      <c r="E23721" s="0" t="inlineStr">
        <is>
          <t xml:space="preserve">Mazda</t>
        </is>
      </c>
      <c r="F23721" s="0" t="inlineStr">
        <is>
          <t xml:space="preserve">Mazda</t>
        </is>
      </c>
      <c r="G23721" s="0" t="s">
        <v>171</v>
      </c>
      <c r="H23721" s="5">
        <v>28.951300</v>
      </c>
    </row>
    <row r="23722" spans="1:9">
      <c r="A23722" s="22" t="str">
        <f>HYPERLINK("https://app.vivvix.com/360/KMI/IntelliDrive/ApplUI/Pages/CreativePages/CustomReportCreativeDetail.aspx?App=23&amp;ReportView=4&amp;Qid=1711279&amp;Row=23714&amp;Col=1","No Title Assigned - #15282504416")</f>
        <v/>
      </c>
      <c r="B23722" s="0" t="s">
        <v>31703</v>
      </c>
      <c r="E23722" s="0" t="inlineStr">
        <is>
          <t xml:space="preserve">Mazda</t>
        </is>
      </c>
      <c r="F23722" s="0" t="s">
        <v>204</v>
      </c>
      <c r="G23722" s="0" t="s">
        <v>205</v>
      </c>
      <c r="H23722" s="5">
        <v>957.686300</v>
      </c>
    </row>
    <row r="23723" spans="1:9">
      <c r="A23723" s="22" t="str">
        <f>HYPERLINK("https://app.vivvix.com/360/KMI/IntelliDrive/ApplUI/Pages/CreativePages/CustomReportCreativeDetail.aspx?App=23&amp;ReportView=4&amp;Qid=1711279&amp;Row=23715&amp;Col=1","No Title Assigned - #15282509080")</f>
        <v/>
      </c>
      <c r="B23723" s="0" t="s">
        <v>31704</v>
      </c>
      <c r="E23723" s="0" t="inlineStr">
        <is>
          <t xml:space="preserve">Mazda</t>
        </is>
      </c>
      <c r="F23723" s="0" t="inlineStr">
        <is>
          <t xml:space="preserve">Mazda</t>
        </is>
      </c>
      <c r="G23723" s="0" t="s">
        <v>171</v>
      </c>
      <c r="H23723" s="5">
        <v>219.145100</v>
      </c>
    </row>
    <row r="23724" spans="1:9">
      <c r="A23724" s="22" t="str">
        <f>HYPERLINK("https://app.vivvix.com/360/KMI/IntelliDrive/ApplUI/Pages/CreativePages/CustomReportCreativeDetail.aspx?App=23&amp;ReportView=4&amp;Qid=1711279&amp;Row=23716&amp;Col=1","No Title Assigned - #15282512245")</f>
        <v/>
      </c>
      <c r="B23724" s="0" t="s">
        <v>31705</v>
      </c>
      <c r="E23724" s="0" t="inlineStr">
        <is>
          <t xml:space="preserve">Mazda</t>
        </is>
      </c>
      <c r="F23724" s="0" t="s">
        <v>204</v>
      </c>
      <c r="G23724" s="0" t="s">
        <v>205</v>
      </c>
      <c r="H23724" s="5">
        <v>569.093300</v>
      </c>
    </row>
    <row r="23725" spans="1:9">
      <c r="A23725" s="22" t="str">
        <f>HYPERLINK("https://app.vivvix.com/360/KMI/IntelliDrive/ApplUI/Pages/CreativePages/CustomReportCreativeDetail.aspx?App=23&amp;ReportView=4&amp;Qid=1711279&amp;Row=23717&amp;Col=1","No Title Assigned - #15282514166")</f>
        <v/>
      </c>
      <c r="B23725" s="0" t="s">
        <v>31706</v>
      </c>
      <c r="E23725" s="0" t="inlineStr">
        <is>
          <t xml:space="preserve">Mazda</t>
        </is>
      </c>
      <c r="F23725" s="0" t="inlineStr">
        <is>
          <t xml:space="preserve">Mazda</t>
        </is>
      </c>
      <c r="G23725" s="0" t="s">
        <v>171</v>
      </c>
      <c r="H23725" s="5">
        <v>713.142300</v>
      </c>
    </row>
    <row r="23726" spans="1:9">
      <c r="A23726" s="22" t="str">
        <f>HYPERLINK("https://app.vivvix.com/360/KMI/IntelliDrive/ApplUI/Pages/CreativePages/CustomReportCreativeDetail.aspx?App=23&amp;ReportView=4&amp;Qid=1711279&amp;Row=23718&amp;Col=1","No Title Assigned - #15282514942")</f>
        <v/>
      </c>
      <c r="B23726" s="0" t="s">
        <v>31707</v>
      </c>
      <c r="E23726" s="0" t="inlineStr">
        <is>
          <t xml:space="preserve">Mazda</t>
        </is>
      </c>
      <c r="F23726" s="0" t="inlineStr">
        <is>
          <t xml:space="preserve">Mazda</t>
        </is>
      </c>
      <c r="G23726" s="0" t="s">
        <v>171</v>
      </c>
      <c r="H23726" s="5">
        <v>120.872800</v>
      </c>
    </row>
    <row r="23727" spans="1:9">
      <c r="A23727" s="22" t="str">
        <f>HYPERLINK("https://app.vivvix.com/360/KMI/IntelliDrive/ApplUI/Pages/CreativePages/CustomReportCreativeDetail.aspx?App=23&amp;ReportView=4&amp;Qid=1711279&amp;Row=23719&amp;Col=1","No Title Assigned - #15282520451")</f>
        <v/>
      </c>
      <c r="B23727" s="0" t="s">
        <v>31708</v>
      </c>
      <c r="C23727" s="0" t="s">
        <v>31709</v>
      </c>
      <c r="D23727" s="0" t="s">
        <v>31709</v>
      </c>
      <c r="E23727" s="0" t="inlineStr">
        <is>
          <t xml:space="preserve">Mazda</t>
        </is>
      </c>
      <c r="F23727" s="0" t="s">
        <v>13</v>
      </c>
      <c r="G23727" s="0" t="s">
        <v>49</v>
      </c>
      <c r="H23727" s="5">
        <v>151.896100</v>
      </c>
    </row>
    <row r="23728" spans="1:9">
      <c r="A23728" s="22" t="str">
        <f>HYPERLINK("https://app.vivvix.com/360/KMI/IntelliDrive/ApplUI/Pages/CreativePages/CustomReportCreativeDetail.aspx?App=23&amp;ReportView=4&amp;Qid=1711279&amp;Row=23720&amp;Col=1","No Title Assigned - #15282529587")</f>
        <v/>
      </c>
      <c r="B23728" s="0" t="s">
        <v>31710</v>
      </c>
      <c r="C23728" s="0" t="s">
        <v>31711</v>
      </c>
      <c r="D23728" s="0" t="s">
        <v>31711</v>
      </c>
      <c r="E23728" s="0" t="inlineStr">
        <is>
          <t xml:space="preserve">Mazda</t>
        </is>
      </c>
      <c r="F23728" s="0" t="s">
        <v>13</v>
      </c>
      <c r="G23728" s="0" t="s">
        <v>49</v>
      </c>
      <c r="H23728" s="5">
        <v>1535.450600</v>
      </c>
    </row>
    <row r="23729" spans="1:9">
      <c r="A23729" s="22" t="str">
        <f>HYPERLINK("https://app.vivvix.com/360/KMI/IntelliDrive/ApplUI/Pages/CreativePages/CustomReportCreativeDetail.aspx?App=23&amp;ReportView=4&amp;Qid=1711279&amp;Row=23721&amp;Col=1","No Title Assigned - #15282534278")</f>
        <v/>
      </c>
      <c r="B23729" s="0" t="s">
        <v>31712</v>
      </c>
      <c r="C23729" s="0" t="s">
        <v>31713</v>
      </c>
      <c r="D23729" s="0" t="s">
        <v>10770</v>
      </c>
      <c r="E23729" s="0" t="inlineStr">
        <is>
          <t xml:space="preserve">Mazda</t>
        </is>
      </c>
      <c r="F23729" s="0" t="s">
        <v>13</v>
      </c>
      <c r="G23729" s="0" t="s">
        <v>49</v>
      </c>
      <c r="H23729" s="5">
        <v>52.799000</v>
      </c>
    </row>
    <row r="23730" spans="1:9">
      <c r="A23730" s="22" t="str">
        <f>HYPERLINK("https://app.vivvix.com/360/KMI/IntelliDrive/ApplUI/Pages/CreativePages/CustomReportCreativeDetail.aspx?App=23&amp;ReportView=4&amp;Qid=1711279&amp;Row=23722&amp;Col=1","No Title Assigned - #15282534492")</f>
        <v/>
      </c>
      <c r="B23730" s="0" t="s">
        <v>31714</v>
      </c>
      <c r="C23730" s="0" t="s">
        <v>31715</v>
      </c>
      <c r="D23730" s="0" t="s">
        <v>9749</v>
      </c>
      <c r="E23730" s="0" t="inlineStr">
        <is>
          <t xml:space="preserve">Mazda</t>
        </is>
      </c>
      <c r="F23730" s="0" t="s">
        <v>13</v>
      </c>
      <c r="G23730" s="0" t="s">
        <v>49</v>
      </c>
      <c r="H23730" s="5">
        <v>195.337500</v>
      </c>
    </row>
    <row r="23731" spans="1:9">
      <c r="A23731" s="22" t="str">
        <f>HYPERLINK("https://app.vivvix.com/360/KMI/IntelliDrive/ApplUI/Pages/CreativePages/CustomReportCreativeDetail.aspx?App=23&amp;ReportView=4&amp;Qid=1711279&amp;Row=23723&amp;Col=1","No Title Assigned - #15282536528")</f>
        <v/>
      </c>
      <c r="B23731" s="0" t="s">
        <v>31716</v>
      </c>
      <c r="C23731" s="0" t="s">
        <v>31717</v>
      </c>
      <c r="D23731" s="0" t="s">
        <v>31717</v>
      </c>
      <c r="E23731" s="0" t="inlineStr">
        <is>
          <t xml:space="preserve">Mazda</t>
        </is>
      </c>
      <c r="F23731" s="0" t="s">
        <v>13</v>
      </c>
      <c r="G23731" s="0" t="s">
        <v>49</v>
      </c>
      <c r="H23731" s="5">
        <v>597.958700</v>
      </c>
    </row>
    <row r="23732" spans="1:9">
      <c r="A23732" s="22" t="str">
        <f>HYPERLINK("https://app.vivvix.com/360/KMI/IntelliDrive/ApplUI/Pages/CreativePages/CustomReportCreativeDetail.aspx?App=23&amp;ReportView=4&amp;Qid=1711279&amp;Row=23724&amp;Col=1","No Title Assigned - #15282540231")</f>
        <v/>
      </c>
      <c r="B23732" s="0" t="s">
        <v>31718</v>
      </c>
      <c r="C23732" s="0" t="s">
        <v>31719</v>
      </c>
      <c r="D23732" s="0" t="s">
        <v>31719</v>
      </c>
      <c r="E23732" s="0" t="inlineStr">
        <is>
          <t xml:space="preserve">Mazda</t>
        </is>
      </c>
      <c r="F23732" s="0" t="s">
        <v>13</v>
      </c>
      <c r="G23732" s="0" t="s">
        <v>49</v>
      </c>
      <c r="H23732" s="5">
        <v>1.945200</v>
      </c>
    </row>
    <row r="23733" spans="1:9">
      <c r="A23733" s="22" t="str">
        <f>HYPERLINK("https://app.vivvix.com/360/KMI/IntelliDrive/ApplUI/Pages/CreativePages/CustomReportCreativeDetail.aspx?App=23&amp;ReportView=4&amp;Qid=1711279&amp;Row=23725&amp;Col=1","No Title Assigned - #15282540424")</f>
        <v/>
      </c>
      <c r="B23733" s="0" t="s">
        <v>31720</v>
      </c>
      <c r="C23733" s="0" t="s">
        <v>31721</v>
      </c>
      <c r="D23733" s="0" t="s">
        <v>4335</v>
      </c>
      <c r="E23733" s="0" t="inlineStr">
        <is>
          <t xml:space="preserve">Mazda</t>
        </is>
      </c>
      <c r="F23733" s="0" t="s">
        <v>13</v>
      </c>
      <c r="G23733" s="0" t="s">
        <v>49</v>
      </c>
      <c r="H23733" s="5">
        <v>5558.024400</v>
      </c>
    </row>
    <row r="23734" spans="1:9">
      <c r="A23734" s="22" t="str">
        <f>HYPERLINK("https://app.vivvix.com/360/KMI/IntelliDrive/ApplUI/Pages/CreativePages/CustomReportCreativeDetail.aspx?App=23&amp;ReportView=4&amp;Qid=1711279&amp;Row=23726&amp;Col=1","No Title Assigned - #15282540444")</f>
        <v/>
      </c>
      <c r="B23734" s="0" t="s">
        <v>31722</v>
      </c>
      <c r="C23734" s="0" t="s">
        <v>31723</v>
      </c>
      <c r="D23734" s="0" t="s">
        <v>18549</v>
      </c>
      <c r="E23734" s="0" t="inlineStr">
        <is>
          <t xml:space="preserve">Mazda</t>
        </is>
      </c>
      <c r="F23734" s="0" t="s">
        <v>13</v>
      </c>
      <c r="G23734" s="0" t="s">
        <v>49</v>
      </c>
      <c r="H23734" s="5">
        <v>287.448200</v>
      </c>
    </row>
    <row r="23735" spans="1:9">
      <c r="A23735" s="22" t="str">
        <f>HYPERLINK("https://app.vivvix.com/360/KMI/IntelliDrive/ApplUI/Pages/CreativePages/CustomReportCreativeDetail.aspx?App=23&amp;ReportView=4&amp;Qid=1711279&amp;Row=23727&amp;Col=1","No Title Assigned - #15282541605")</f>
        <v/>
      </c>
      <c r="B23735" s="0" t="s">
        <v>31724</v>
      </c>
      <c r="C23735" s="0" t="s">
        <v>31725</v>
      </c>
      <c r="D23735" s="0" t="s">
        <v>31725</v>
      </c>
      <c r="E23735" s="0" t="inlineStr">
        <is>
          <t xml:space="preserve">Mazda</t>
        </is>
      </c>
      <c r="F23735" s="0" t="s">
        <v>13</v>
      </c>
      <c r="G23735" s="0" t="s">
        <v>49</v>
      </c>
      <c r="H23735" s="5">
        <v>50.283500</v>
      </c>
    </row>
    <row r="23736" spans="1:9">
      <c r="A23736" s="22" t="str">
        <f>HYPERLINK("https://app.vivvix.com/360/KMI/IntelliDrive/ApplUI/Pages/CreativePages/CustomReportCreativeDetail.aspx?App=23&amp;ReportView=4&amp;Qid=1711279&amp;Row=23728&amp;Col=1","No Title Assigned - #15282543727")</f>
        <v/>
      </c>
      <c r="B23736" s="0" t="s">
        <v>31726</v>
      </c>
      <c r="C23736" s="0" t="s">
        <v>31727</v>
      </c>
      <c r="D23736" s="0" t="s">
        <v>31727</v>
      </c>
      <c r="E23736" s="0" t="inlineStr">
        <is>
          <t xml:space="preserve">Mazda</t>
        </is>
      </c>
      <c r="F23736" s="0" t="s">
        <v>21</v>
      </c>
      <c r="G23736" s="0" t="s">
        <v>22</v>
      </c>
      <c r="H23736" s="5">
        <v>423.596500</v>
      </c>
    </row>
    <row r="23737" spans="1:9">
      <c r="A23737" s="22" t="str">
        <f>HYPERLINK("https://app.vivvix.com/360/KMI/IntelliDrive/ApplUI/Pages/CreativePages/CustomReportCreativeDetail.aspx?App=23&amp;ReportView=4&amp;Qid=1711279&amp;Row=23729&amp;Col=1","No Title Assigned - #15282545398")</f>
        <v/>
      </c>
      <c r="B23737" s="0" t="s">
        <v>31728</v>
      </c>
      <c r="C23737" s="0" t="s">
        <v>31729</v>
      </c>
      <c r="D23737" s="0" t="s">
        <v>31729</v>
      </c>
      <c r="E23737" s="0" t="inlineStr">
        <is>
          <t xml:space="preserve">Mazda</t>
        </is>
      </c>
      <c r="F23737" s="0" t="s">
        <v>13</v>
      </c>
      <c r="G23737" s="0" t="s">
        <v>49</v>
      </c>
      <c r="H23737" s="5">
        <v>16780.423800</v>
      </c>
    </row>
    <row r="23738" spans="1:9">
      <c r="A23738" s="22" t="str">
        <f>HYPERLINK("https://app.vivvix.com/360/KMI/IntelliDrive/ApplUI/Pages/CreativePages/CustomReportCreativeDetail.aspx?App=23&amp;ReportView=4&amp;Qid=1711279&amp;Row=23730&amp;Col=1","No Title Assigned - #15282547044")</f>
        <v/>
      </c>
      <c r="B23738" s="0" t="s">
        <v>31730</v>
      </c>
      <c r="C23738" s="0" t="s">
        <v>31731</v>
      </c>
      <c r="D23738" s="0" t="s">
        <v>22120</v>
      </c>
      <c r="E23738" s="0" t="inlineStr">
        <is>
          <t xml:space="preserve">Mazda</t>
        </is>
      </c>
      <c r="F23738" s="0" t="s">
        <v>13</v>
      </c>
      <c r="G23738" s="0" t="s">
        <v>49</v>
      </c>
      <c r="H23738" s="5">
        <v>3228.747400</v>
      </c>
    </row>
    <row r="23739" spans="1:9">
      <c r="A23739" s="22" t="str">
        <f>HYPERLINK("https://app.vivvix.com/360/KMI/IntelliDrive/ApplUI/Pages/CreativePages/CustomReportCreativeDetail.aspx?App=23&amp;ReportView=4&amp;Qid=1711279&amp;Row=23731&amp;Col=1","No Title Assigned - #15282547888")</f>
        <v/>
      </c>
      <c r="B23739" s="0" t="s">
        <v>31732</v>
      </c>
      <c r="E23739" s="0" t="inlineStr">
        <is>
          <t xml:space="preserve">Mazda</t>
        </is>
      </c>
      <c r="F23739" s="0" t="inlineStr">
        <is>
          <t xml:space="preserve">Mazda</t>
        </is>
      </c>
      <c r="G23739" s="0" t="s">
        <v>171</v>
      </c>
      <c r="H23739" s="5">
        <v>15.843000</v>
      </c>
    </row>
    <row r="23740" spans="1:9">
      <c r="A23740" s="22" t="str">
        <f>HYPERLINK("https://app.vivvix.com/360/KMI/IntelliDrive/ApplUI/Pages/CreativePages/CustomReportCreativeDetail.aspx?App=23&amp;ReportView=4&amp;Qid=1711279&amp;Row=23732&amp;Col=1","No Title Assigned - #15282548844")</f>
        <v/>
      </c>
      <c r="B23740" s="0" t="s">
        <v>31733</v>
      </c>
      <c r="E23740" s="0" t="inlineStr">
        <is>
          <t xml:space="preserve">Mazda</t>
        </is>
      </c>
      <c r="F23740" s="0" t="inlineStr">
        <is>
          <t xml:space="preserve">Mazda</t>
        </is>
      </c>
      <c r="G23740" s="0" t="s">
        <v>171</v>
      </c>
      <c r="H23740" s="5">
        <v>71.348100</v>
      </c>
    </row>
    <row r="23741" spans="1:9">
      <c r="A23741" s="22" t="str">
        <f>HYPERLINK("https://app.vivvix.com/360/KMI/IntelliDrive/ApplUI/Pages/CreativePages/CustomReportCreativeDetail.aspx?App=23&amp;ReportView=4&amp;Qid=1711279&amp;Row=23733&amp;Col=1","No Title Assigned - #15282550756")</f>
        <v/>
      </c>
      <c r="B23741" s="0" t="s">
        <v>31734</v>
      </c>
      <c r="E23741" s="0" t="inlineStr">
        <is>
          <t xml:space="preserve">Mazda</t>
        </is>
      </c>
      <c r="F23741" s="0" t="inlineStr">
        <is>
          <t xml:space="preserve">Mazda</t>
        </is>
      </c>
      <c r="G23741" s="0" t="s">
        <v>171</v>
      </c>
      <c r="H23741" s="5">
        <v>2.470800</v>
      </c>
    </row>
    <row r="23742" spans="1:9">
      <c r="A23742" s="22" t="str">
        <f>HYPERLINK("https://app.vivvix.com/360/KMI/IntelliDrive/ApplUI/Pages/CreativePages/CustomReportCreativeDetail.aspx?App=23&amp;ReportView=4&amp;Qid=1711279&amp;Row=23734&amp;Col=1","No Title Assigned - #15282551080")</f>
        <v/>
      </c>
      <c r="B23742" s="0" t="s">
        <v>31735</v>
      </c>
      <c r="E23742" s="0" t="inlineStr">
        <is>
          <t xml:space="preserve">Mazda</t>
        </is>
      </c>
      <c r="F23742" s="0" t="inlineStr">
        <is>
          <t xml:space="preserve">Mazda</t>
        </is>
      </c>
      <c r="G23742" s="0" t="s">
        <v>171</v>
      </c>
      <c r="H23742" s="5">
        <v>6.443400</v>
      </c>
    </row>
    <row r="23743" spans="1:9">
      <c r="A23743" s="22" t="str">
        <f>HYPERLINK("https://app.vivvix.com/360/KMI/IntelliDrive/ApplUI/Pages/CreativePages/CustomReportCreativeDetail.aspx?App=23&amp;ReportView=4&amp;Qid=1711279&amp;Row=23735&amp;Col=1","No Title Assigned - #15282556395")</f>
        <v/>
      </c>
      <c r="B23743" s="0" t="s">
        <v>31736</v>
      </c>
      <c r="E23743" s="0" t="inlineStr">
        <is>
          <t xml:space="preserve">Mazda</t>
        </is>
      </c>
      <c r="F23743" s="0" t="inlineStr">
        <is>
          <t xml:space="preserve">Mazda</t>
        </is>
      </c>
      <c r="G23743" s="0" t="s">
        <v>171</v>
      </c>
      <c r="H23743" s="5">
        <v>13.751600</v>
      </c>
    </row>
    <row r="23744" spans="1:9">
      <c r="A23744" s="22" t="str">
        <f>HYPERLINK("https://app.vivvix.com/360/KMI/IntelliDrive/ApplUI/Pages/CreativePages/CustomReportCreativeDetail.aspx?App=23&amp;ReportView=4&amp;Qid=1711279&amp;Row=23736&amp;Col=1","No Title Assigned - #15282556550")</f>
        <v/>
      </c>
      <c r="B23744" s="0" t="s">
        <v>31737</v>
      </c>
      <c r="E23744" s="0" t="inlineStr">
        <is>
          <t xml:space="preserve">Mazda</t>
        </is>
      </c>
      <c r="F23744" s="0" t="inlineStr">
        <is>
          <t xml:space="preserve">Mazda</t>
        </is>
      </c>
      <c r="G23744" s="0" t="s">
        <v>171</v>
      </c>
      <c r="H23744" s="5">
        <v>139650.140600</v>
      </c>
    </row>
    <row r="23745" spans="1:9">
      <c r="A23745" s="22" t="str">
        <f>HYPERLINK("https://app.vivvix.com/360/KMI/IntelliDrive/ApplUI/Pages/CreativePages/CustomReportCreativeDetail.aspx?App=23&amp;ReportView=4&amp;Qid=1711279&amp;Row=23737&amp;Col=1","No Title Assigned - #15282560020")</f>
        <v/>
      </c>
      <c r="B23745" s="0" t="s">
        <v>31738</v>
      </c>
      <c r="E23745" s="0" t="inlineStr">
        <is>
          <t xml:space="preserve">Mazda</t>
        </is>
      </c>
      <c r="F23745" s="0" t="inlineStr">
        <is>
          <t xml:space="preserve">Mazda</t>
        </is>
      </c>
      <c r="G23745" s="0" t="s">
        <v>171</v>
      </c>
      <c r="H23745" s="5">
        <v>516.770900</v>
      </c>
    </row>
    <row r="23746" spans="1:9">
      <c r="A23746" s="22" t="str">
        <f>HYPERLINK("https://app.vivvix.com/360/KMI/IntelliDrive/ApplUI/Pages/CreativePages/CustomReportCreativeDetail.aspx?App=23&amp;ReportView=4&amp;Qid=1711279&amp;Row=23738&amp;Col=1","No Title Assigned - #15282561750")</f>
        <v/>
      </c>
      <c r="B23746" s="0" t="s">
        <v>31739</v>
      </c>
      <c r="E23746" s="0" t="inlineStr">
        <is>
          <t xml:space="preserve">Mazda</t>
        </is>
      </c>
      <c r="F23746" s="0" t="inlineStr">
        <is>
          <t xml:space="preserve">Mazda</t>
        </is>
      </c>
      <c r="G23746" s="0" t="s">
        <v>171</v>
      </c>
      <c r="H23746" s="5">
        <v>10.111600</v>
      </c>
    </row>
    <row r="23747" spans="1:9">
      <c r="A23747" s="22" t="str">
        <f>HYPERLINK("https://app.vivvix.com/360/KMI/IntelliDrive/ApplUI/Pages/CreativePages/CustomReportCreativeDetail.aspx?App=23&amp;ReportView=4&amp;Qid=1711279&amp;Row=23739&amp;Col=1","No Title Assigned - #15282562834")</f>
        <v/>
      </c>
      <c r="B23747" s="0" t="s">
        <v>31740</v>
      </c>
      <c r="E23747" s="0" t="inlineStr">
        <is>
          <t xml:space="preserve">Mazda</t>
        </is>
      </c>
      <c r="F23747" s="0" t="inlineStr">
        <is>
          <t xml:space="preserve">Mazda</t>
        </is>
      </c>
      <c r="G23747" s="0" t="s">
        <v>171</v>
      </c>
      <c r="H23747" s="5">
        <v>85.880800</v>
      </c>
    </row>
    <row r="23748" spans="1:9">
      <c r="A23748" s="22" t="str">
        <f>HYPERLINK("https://app.vivvix.com/360/KMI/IntelliDrive/ApplUI/Pages/CreativePages/CustomReportCreativeDetail.aspx?App=23&amp;ReportView=4&amp;Qid=1711279&amp;Row=23740&amp;Col=1","No Title Assigned - #15282564539")</f>
        <v/>
      </c>
      <c r="B23748" s="0" t="s">
        <v>31741</v>
      </c>
      <c r="E23748" s="0" t="inlineStr">
        <is>
          <t xml:space="preserve">Mazda</t>
        </is>
      </c>
      <c r="F23748" s="0" t="inlineStr">
        <is>
          <t xml:space="preserve">Mazda</t>
        </is>
      </c>
      <c r="G23748" s="0" t="s">
        <v>171</v>
      </c>
      <c r="H23748" s="5">
        <v>196.135300</v>
      </c>
    </row>
    <row r="23749" spans="1:9">
      <c r="A23749" s="22" t="str">
        <f>HYPERLINK("https://app.vivvix.com/360/KMI/IntelliDrive/ApplUI/Pages/CreativePages/CustomReportCreativeDetail.aspx?App=23&amp;ReportView=4&amp;Qid=1711279&amp;Row=23741&amp;Col=1","No Title Assigned - #15282565355")</f>
        <v/>
      </c>
      <c r="B23749" s="0" t="s">
        <v>31742</v>
      </c>
      <c r="E23749" s="0" t="inlineStr">
        <is>
          <t xml:space="preserve">Mazda</t>
        </is>
      </c>
      <c r="F23749" s="0" t="inlineStr">
        <is>
          <t xml:space="preserve">Mazda</t>
        </is>
      </c>
      <c r="G23749" s="0" t="s">
        <v>171</v>
      </c>
      <c r="H23749" s="5">
        <v>502.544900</v>
      </c>
    </row>
    <row r="23750" spans="1:9">
      <c r="A23750" s="22" t="str">
        <f>HYPERLINK("https://app.vivvix.com/360/KMI/IntelliDrive/ApplUI/Pages/CreativePages/CustomReportCreativeDetail.aspx?App=23&amp;ReportView=4&amp;Qid=1711279&amp;Row=23742&amp;Col=1","No Title Assigned - #15282566495")</f>
        <v/>
      </c>
      <c r="B23750" s="0" t="s">
        <v>31743</v>
      </c>
      <c r="C23750" s="0" t="s">
        <v>31744</v>
      </c>
      <c r="D23750" s="0" t="s">
        <v>31744</v>
      </c>
      <c r="E23750" s="0" t="inlineStr">
        <is>
          <t xml:space="preserve">Mazda</t>
        </is>
      </c>
      <c r="F23750" s="0" t="s">
        <v>13</v>
      </c>
      <c r="G23750" s="0" t="s">
        <v>49</v>
      </c>
      <c r="H23750" s="5">
        <v>7757.747800</v>
      </c>
    </row>
    <row r="23751" spans="1:9">
      <c r="A23751" s="22" t="str">
        <f>HYPERLINK("https://app.vivvix.com/360/KMI/IntelliDrive/ApplUI/Pages/CreativePages/CustomReportCreativeDetail.aspx?App=23&amp;ReportView=4&amp;Qid=1711279&amp;Row=23743&amp;Col=1","No Title Assigned - #15282567130")</f>
        <v/>
      </c>
      <c r="B23751" s="0" t="s">
        <v>31745</v>
      </c>
      <c r="C23751" s="0" t="s">
        <v>31746</v>
      </c>
      <c r="D23751" s="0" t="s">
        <v>31746</v>
      </c>
      <c r="E23751" s="0" t="inlineStr">
        <is>
          <t xml:space="preserve">Mazda</t>
        </is>
      </c>
      <c r="F23751" s="0" t="s">
        <v>13</v>
      </c>
      <c r="G23751" s="0" t="s">
        <v>49</v>
      </c>
      <c r="H23751" s="5">
        <v>46.881300</v>
      </c>
    </row>
    <row r="23752" spans="1:9">
      <c r="A23752" s="22" t="str">
        <f>HYPERLINK("https://app.vivvix.com/360/KMI/IntelliDrive/ApplUI/Pages/CreativePages/CustomReportCreativeDetail.aspx?App=23&amp;ReportView=4&amp;Qid=1711279&amp;Row=23744&amp;Col=1","No Title Assigned - #15282576196")</f>
        <v/>
      </c>
      <c r="B23752" s="0" t="s">
        <v>31747</v>
      </c>
      <c r="C23752" s="0" t="s">
        <v>31748</v>
      </c>
      <c r="D23752" s="0" t="s">
        <v>30596</v>
      </c>
      <c r="E23752" s="0" t="inlineStr">
        <is>
          <t xml:space="preserve">Mazda</t>
        </is>
      </c>
      <c r="F23752" s="0" t="s">
        <v>13</v>
      </c>
      <c r="G23752" s="0" t="s">
        <v>49</v>
      </c>
      <c r="H23752" s="5">
        <v>295.111200</v>
      </c>
    </row>
    <row r="23753" spans="1:9">
      <c r="A23753" s="22" t="str">
        <f>HYPERLINK("https://app.vivvix.com/360/KMI/IntelliDrive/ApplUI/Pages/CreativePages/CustomReportCreativeDetail.aspx?App=23&amp;ReportView=4&amp;Qid=1711279&amp;Row=23745&amp;Col=1","No Title Assigned - #15282580526")</f>
        <v/>
      </c>
      <c r="B23753" s="0" t="s">
        <v>31749</v>
      </c>
      <c r="C23753" s="0" t="s">
        <v>31750</v>
      </c>
      <c r="D23753" s="0" t="s">
        <v>31750</v>
      </c>
      <c r="E23753" s="0" t="inlineStr">
        <is>
          <t xml:space="preserve">Mazda</t>
        </is>
      </c>
      <c r="F23753" s="0" t="inlineStr">
        <is>
          <t xml:space="preserve">Mazda</t>
        </is>
      </c>
      <c r="G23753" s="0" t="s">
        <v>210</v>
      </c>
      <c r="H23753" s="5">
        <v>352.763400</v>
      </c>
    </row>
    <row r="23754" spans="1:9">
      <c r="A23754" s="22" t="str">
        <f>HYPERLINK("https://app.vivvix.com/360/KMI/IntelliDrive/ApplUI/Pages/CreativePages/CustomReportCreativeDetail.aspx?App=23&amp;ReportView=4&amp;Qid=1711279&amp;Row=23746&amp;Col=1","No Title Assigned - #15282586513")</f>
        <v/>
      </c>
      <c r="B23754" s="0" t="s">
        <v>31751</v>
      </c>
      <c r="C23754" s="0" t="s">
        <v>31752</v>
      </c>
      <c r="D23754" s="0" t="s">
        <v>31752</v>
      </c>
      <c r="E23754" s="0" t="inlineStr">
        <is>
          <t xml:space="preserve">Mazda</t>
        </is>
      </c>
      <c r="F23754" s="0" t="s">
        <v>13</v>
      </c>
      <c r="G23754" s="0" t="s">
        <v>49</v>
      </c>
      <c r="H23754" s="5">
        <v>152.031500</v>
      </c>
    </row>
    <row r="23755" spans="1:9">
      <c r="A23755" s="22" t="str">
        <f>HYPERLINK("https://app.vivvix.com/360/KMI/IntelliDrive/ApplUI/Pages/CreativePages/CustomReportCreativeDetail.aspx?App=23&amp;ReportView=4&amp;Qid=1711279&amp;Row=23747&amp;Col=1","No Title Assigned - #15282589187")</f>
        <v/>
      </c>
      <c r="B23755" s="0" t="s">
        <v>31753</v>
      </c>
      <c r="C23755" s="0" t="s">
        <v>31754</v>
      </c>
      <c r="D23755" s="0" t="s">
        <v>31754</v>
      </c>
      <c r="E23755" s="0" t="inlineStr">
        <is>
          <t xml:space="preserve">Mazda</t>
        </is>
      </c>
      <c r="F23755" s="0" t="s">
        <v>13</v>
      </c>
      <c r="G23755" s="0" t="s">
        <v>49</v>
      </c>
      <c r="H23755" s="5">
        <v>15772.265500</v>
      </c>
    </row>
    <row r="23756" spans="1:9">
      <c r="A23756" s="22" t="str">
        <f>HYPERLINK("https://app.vivvix.com/360/KMI/IntelliDrive/ApplUI/Pages/CreativePages/CustomReportCreativeDetail.aspx?App=23&amp;ReportView=4&amp;Qid=1711279&amp;Row=23748&amp;Col=1","No Title Assigned - #15282589640")</f>
        <v/>
      </c>
      <c r="B23756" s="0" t="s">
        <v>31755</v>
      </c>
      <c r="C23756" s="0" t="s">
        <v>31756</v>
      </c>
      <c r="D23756" s="0" t="s">
        <v>31756</v>
      </c>
      <c r="E23756" s="0" t="inlineStr">
        <is>
          <t xml:space="preserve">Mazda</t>
        </is>
      </c>
      <c r="F23756" s="0" t="s">
        <v>13</v>
      </c>
      <c r="G23756" s="0" t="s">
        <v>49</v>
      </c>
      <c r="H23756" s="5">
        <v>1316.878800</v>
      </c>
    </row>
    <row r="23757" spans="1:9">
      <c r="A23757" s="22" t="str">
        <f>HYPERLINK("https://app.vivvix.com/360/KMI/IntelliDrive/ApplUI/Pages/CreativePages/CustomReportCreativeDetail.aspx?App=23&amp;ReportView=4&amp;Qid=1711279&amp;Row=23749&amp;Col=1","No Title Assigned - #15282593848")</f>
        <v/>
      </c>
      <c r="B23757" s="0" t="s">
        <v>31757</v>
      </c>
      <c r="C23757" s="0" t="s">
        <v>31758</v>
      </c>
      <c r="D23757" s="0" t="s">
        <v>31758</v>
      </c>
      <c r="E23757" s="0" t="inlineStr">
        <is>
          <t xml:space="preserve">Mazda</t>
        </is>
      </c>
      <c r="F23757" s="0" t="s">
        <v>13</v>
      </c>
      <c r="G23757" s="0" t="s">
        <v>49</v>
      </c>
      <c r="H23757" s="5">
        <v>7823.879900</v>
      </c>
    </row>
    <row r="23758" spans="1:9">
      <c r="A23758" s="22" t="str">
        <f>HYPERLINK("https://app.vivvix.com/360/KMI/IntelliDrive/ApplUI/Pages/CreativePages/CustomReportCreativeDetail.aspx?App=23&amp;ReportView=4&amp;Qid=1711279&amp;Row=23750&amp;Col=1","No Title Assigned - #15282594079")</f>
        <v/>
      </c>
      <c r="B23758" s="0" t="s">
        <v>31759</v>
      </c>
      <c r="E23758" s="0" t="inlineStr">
        <is>
          <t xml:space="preserve">Mazda</t>
        </is>
      </c>
      <c r="F23758" s="0" t="s">
        <v>13</v>
      </c>
      <c r="G23758" s="0" t="s">
        <v>49</v>
      </c>
      <c r="H23758" s="5">
        <v>35.958600</v>
      </c>
    </row>
    <row r="23759" spans="1:9">
      <c r="A23759" s="22" t="str">
        <f>HYPERLINK("https://app.vivvix.com/360/KMI/IntelliDrive/ApplUI/Pages/CreativePages/CustomReportCreativeDetail.aspx?App=23&amp;ReportView=4&amp;Qid=1711279&amp;Row=23751&amp;Col=1","No Title Assigned - #15282594079")</f>
        <v/>
      </c>
      <c r="B23759" s="0" t="s">
        <v>31759</v>
      </c>
      <c r="C23759" s="0" t="s">
        <v>31760</v>
      </c>
      <c r="D23759" s="0" t="s">
        <v>31760</v>
      </c>
      <c r="E23759" s="0" t="inlineStr">
        <is>
          <t xml:space="preserve">Mazda</t>
        </is>
      </c>
      <c r="F23759" s="0" t="s">
        <v>13</v>
      </c>
      <c r="G23759" s="0" t="s">
        <v>49</v>
      </c>
      <c r="H23759" s="5">
        <v>560.258700</v>
      </c>
    </row>
    <row r="23760" spans="1:9">
      <c r="A23760" s="22" t="str">
        <f>HYPERLINK("https://app.vivvix.com/360/KMI/IntelliDrive/ApplUI/Pages/CreativePages/CustomReportCreativeDetail.aspx?App=23&amp;ReportView=4&amp;Qid=1711279&amp;Row=23752&amp;Col=1","No Title Assigned - #15282595977")</f>
        <v/>
      </c>
      <c r="B23760" s="0" t="s">
        <v>31761</v>
      </c>
      <c r="C23760" s="0" t="s">
        <v>31762</v>
      </c>
      <c r="D23760" s="0" t="s">
        <v>31762</v>
      </c>
      <c r="E23760" s="0" t="inlineStr">
        <is>
          <t xml:space="preserve">Mazda</t>
        </is>
      </c>
      <c r="F23760" s="0" t="s">
        <v>13</v>
      </c>
      <c r="G23760" s="0" t="s">
        <v>49</v>
      </c>
      <c r="H23760" s="5">
        <v>10.750200</v>
      </c>
    </row>
    <row r="23761" spans="1:9">
      <c r="A23761" s="22" t="str">
        <f>HYPERLINK("https://app.vivvix.com/360/KMI/IntelliDrive/ApplUI/Pages/CreativePages/CustomReportCreativeDetail.aspx?App=23&amp;ReportView=4&amp;Qid=1711279&amp;Row=23753&amp;Col=1","No Title Assigned - #15282596099")</f>
        <v/>
      </c>
      <c r="B23761" s="0" t="s">
        <v>31763</v>
      </c>
      <c r="C23761" s="0" t="s">
        <v>31764</v>
      </c>
      <c r="D23761" s="0" t="s">
        <v>19006</v>
      </c>
      <c r="E23761" s="0" t="inlineStr">
        <is>
          <t xml:space="preserve">Mazda</t>
        </is>
      </c>
      <c r="F23761" s="0" t="s">
        <v>13</v>
      </c>
      <c r="G23761" s="0" t="s">
        <v>49</v>
      </c>
      <c r="H23761" s="5">
        <v>526.334800</v>
      </c>
    </row>
    <row r="23762" spans="1:9">
      <c r="A23762" s="22" t="str">
        <f>HYPERLINK("https://app.vivvix.com/360/KMI/IntelliDrive/ApplUI/Pages/CreativePages/CustomReportCreativeDetail.aspx?App=23&amp;ReportView=4&amp;Qid=1711279&amp;Row=23754&amp;Col=1","No Title Assigned - #15282596424")</f>
        <v/>
      </c>
      <c r="B23762" s="0" t="s">
        <v>31765</v>
      </c>
      <c r="C23762" s="0" t="s">
        <v>31766</v>
      </c>
      <c r="D23762" s="0" t="s">
        <v>10770</v>
      </c>
      <c r="E23762" s="0" t="inlineStr">
        <is>
          <t xml:space="preserve">Mazda</t>
        </is>
      </c>
      <c r="F23762" s="0" t="s">
        <v>13</v>
      </c>
      <c r="G23762" s="0" t="s">
        <v>49</v>
      </c>
      <c r="H23762" s="5">
        <v>362.618400</v>
      </c>
    </row>
    <row r="23763" spans="1:9">
      <c r="A23763" s="22" t="str">
        <f>HYPERLINK("https://app.vivvix.com/360/KMI/IntelliDrive/ApplUI/Pages/CreativePages/CustomReportCreativeDetail.aspx?App=23&amp;ReportView=4&amp;Qid=1711279&amp;Row=23755&amp;Col=1","No Title Assigned - #15282597203")</f>
        <v/>
      </c>
      <c r="B23763" s="0" t="s">
        <v>31767</v>
      </c>
      <c r="C23763" s="0" t="s">
        <v>31768</v>
      </c>
      <c r="D23763" s="0" t="s">
        <v>29826</v>
      </c>
      <c r="E23763" s="0" t="inlineStr">
        <is>
          <t xml:space="preserve">Mazda</t>
        </is>
      </c>
      <c r="F23763" s="0" t="s">
        <v>13</v>
      </c>
      <c r="G23763" s="0" t="s">
        <v>49</v>
      </c>
      <c r="H23763" s="5">
        <v>7.946800</v>
      </c>
    </row>
    <row r="23764" spans="1:9">
      <c r="A23764" s="22" t="str">
        <f>HYPERLINK("https://app.vivvix.com/360/KMI/IntelliDrive/ApplUI/Pages/CreativePages/CustomReportCreativeDetail.aspx?App=23&amp;ReportView=4&amp;Qid=1711279&amp;Row=23756&amp;Col=1","No Title Assigned - #15282597343")</f>
        <v/>
      </c>
      <c r="B23764" s="0" t="s">
        <v>31769</v>
      </c>
      <c r="E23764" s="0" t="inlineStr">
        <is>
          <t xml:space="preserve">Mazda</t>
        </is>
      </c>
      <c r="F23764" s="0" t="inlineStr">
        <is>
          <t xml:space="preserve">Mazda</t>
        </is>
      </c>
      <c r="G23764" s="0" t="s">
        <v>171</v>
      </c>
      <c r="H23764" s="5">
        <v>1114.955000</v>
      </c>
    </row>
    <row r="23765" spans="1:9">
      <c r="A23765" s="22" t="str">
        <f>HYPERLINK("https://app.vivvix.com/360/KMI/IntelliDrive/ApplUI/Pages/CreativePages/CustomReportCreativeDetail.aspx?App=23&amp;ReportView=4&amp;Qid=1711279&amp;Row=23757&amp;Col=1","No Title Assigned - #15282597384")</f>
        <v/>
      </c>
      <c r="B23765" s="0" t="s">
        <v>31770</v>
      </c>
      <c r="C23765" s="0" t="s">
        <v>31771</v>
      </c>
      <c r="D23765" s="0" t="s">
        <v>31771</v>
      </c>
      <c r="E23765" s="0" t="inlineStr">
        <is>
          <t xml:space="preserve">Mazda</t>
        </is>
      </c>
      <c r="F23765" s="0" t="s">
        <v>13</v>
      </c>
      <c r="G23765" s="0" t="s">
        <v>49</v>
      </c>
      <c r="H23765" s="5">
        <v>3246.908300</v>
      </c>
    </row>
    <row r="23766" spans="1:9">
      <c r="A23766" s="22" t="str">
        <f>HYPERLINK("https://app.vivvix.com/360/KMI/IntelliDrive/ApplUI/Pages/CreativePages/CustomReportCreativeDetail.aspx?App=23&amp;ReportView=4&amp;Qid=1711279&amp;Row=23758&amp;Col=1","No Title Assigned - #15282597389")</f>
        <v/>
      </c>
      <c r="B23766" s="0" t="s">
        <v>31772</v>
      </c>
      <c r="C23766" s="0" t="s">
        <v>31773</v>
      </c>
      <c r="D23766" s="0" t="s">
        <v>31773</v>
      </c>
      <c r="E23766" s="0" t="inlineStr">
        <is>
          <t xml:space="preserve">Mazda</t>
        </is>
      </c>
      <c r="F23766" s="0" t="s">
        <v>13</v>
      </c>
      <c r="G23766" s="0" t="s">
        <v>49</v>
      </c>
      <c r="H23766" s="5">
        <v>55.592600</v>
      </c>
    </row>
    <row r="23767" spans="1:9">
      <c r="A23767" s="22" t="str">
        <f>HYPERLINK("https://app.vivvix.com/360/KMI/IntelliDrive/ApplUI/Pages/CreativePages/CustomReportCreativeDetail.aspx?App=23&amp;ReportView=4&amp;Qid=1711279&amp;Row=23759&amp;Col=1","No Title Assigned - #15282597835")</f>
        <v/>
      </c>
      <c r="B23767" s="0" t="s">
        <v>31774</v>
      </c>
      <c r="C23767" s="0" t="s">
        <v>31775</v>
      </c>
      <c r="D23767" s="0" t="s">
        <v>31775</v>
      </c>
      <c r="E23767" s="0" t="inlineStr">
        <is>
          <t xml:space="preserve">Mazda</t>
        </is>
      </c>
      <c r="F23767" s="0" t="s">
        <v>13</v>
      </c>
      <c r="G23767" s="0" t="s">
        <v>49</v>
      </c>
      <c r="H23767" s="5">
        <v>6355.302700</v>
      </c>
    </row>
    <row r="23768" spans="1:9">
      <c r="A23768" s="22" t="str">
        <f>HYPERLINK("https://app.vivvix.com/360/KMI/IntelliDrive/ApplUI/Pages/CreativePages/CustomReportCreativeDetail.aspx?App=23&amp;ReportView=4&amp;Qid=1711279&amp;Row=23760&amp;Col=1","No Title Assigned - #15282598944")</f>
        <v/>
      </c>
      <c r="B23768" s="0" t="s">
        <v>31776</v>
      </c>
      <c r="C23768" s="0" t="s">
        <v>31777</v>
      </c>
      <c r="D23768" s="0" t="s">
        <v>10988</v>
      </c>
      <c r="E23768" s="0" t="inlineStr">
        <is>
          <t xml:space="preserve">Mazda</t>
        </is>
      </c>
      <c r="F23768" s="0" t="s">
        <v>13</v>
      </c>
      <c r="G23768" s="0" t="s">
        <v>49</v>
      </c>
      <c r="H23768" s="5">
        <v>120.872800</v>
      </c>
    </row>
    <row r="23769" spans="1:9">
      <c r="A23769" s="22" t="str">
        <f>HYPERLINK("https://app.vivvix.com/360/KMI/IntelliDrive/ApplUI/Pages/CreativePages/CustomReportCreativeDetail.aspx?App=23&amp;ReportView=4&amp;Qid=1711279&amp;Row=23761&amp;Col=1","No Title Assigned - #15282599153")</f>
        <v/>
      </c>
      <c r="B23769" s="0" t="s">
        <v>31778</v>
      </c>
      <c r="C23769" s="0" t="s">
        <v>31779</v>
      </c>
      <c r="D23769" s="0" t="s">
        <v>18512</v>
      </c>
      <c r="E23769" s="0" t="inlineStr">
        <is>
          <t xml:space="preserve">Mazda</t>
        </is>
      </c>
      <c r="F23769" s="0" t="s">
        <v>13</v>
      </c>
      <c r="G23769" s="0" t="s">
        <v>49</v>
      </c>
      <c r="H23769" s="5">
        <v>377.184300</v>
      </c>
    </row>
    <row r="23770" spans="1:9">
      <c r="A23770" s="22" t="str">
        <f>HYPERLINK("https://app.vivvix.com/360/KMI/IntelliDrive/ApplUI/Pages/CreativePages/CustomReportCreativeDetail.aspx?App=23&amp;ReportView=4&amp;Qid=1711279&amp;Row=23762&amp;Col=1","No Title Assigned - #15282599186")</f>
        <v/>
      </c>
      <c r="B23770" s="0" t="s">
        <v>31780</v>
      </c>
      <c r="C23770" s="0" t="s">
        <v>31781</v>
      </c>
      <c r="D23770" s="0" t="s">
        <v>31781</v>
      </c>
      <c r="E23770" s="0" t="inlineStr">
        <is>
          <t xml:space="preserve">Mazda</t>
        </is>
      </c>
      <c r="F23770" s="0" t="s">
        <v>13</v>
      </c>
      <c r="G23770" s="0" t="s">
        <v>49</v>
      </c>
      <c r="H23770" s="5">
        <v>2087.674000</v>
      </c>
    </row>
    <row r="23771" spans="1:9">
      <c r="A23771" s="22" t="str">
        <f>HYPERLINK("https://app.vivvix.com/360/KMI/IntelliDrive/ApplUI/Pages/CreativePages/CustomReportCreativeDetail.aspx?App=23&amp;ReportView=4&amp;Qid=1711279&amp;Row=23763&amp;Col=1","No Title Assigned - #15282600386")</f>
        <v/>
      </c>
      <c r="B23771" s="0" t="s">
        <v>31782</v>
      </c>
      <c r="E23771" s="0" t="inlineStr">
        <is>
          <t xml:space="preserve">Mazda</t>
        </is>
      </c>
      <c r="F23771" s="0" t="inlineStr">
        <is>
          <t xml:space="preserve">Mazda</t>
        </is>
      </c>
      <c r="G23771" s="0" t="s">
        <v>171</v>
      </c>
      <c r="H23771" s="5">
        <v>140.962500</v>
      </c>
    </row>
    <row r="23772" spans="1:9">
      <c r="A23772" s="22" t="str">
        <f>HYPERLINK("https://app.vivvix.com/360/KMI/IntelliDrive/ApplUI/Pages/CreativePages/CustomReportCreativeDetail.aspx?App=23&amp;ReportView=4&amp;Qid=1711279&amp;Row=23764&amp;Col=1","No Title Assigned - #15282601011")</f>
        <v/>
      </c>
      <c r="B23772" s="0" t="s">
        <v>31783</v>
      </c>
      <c r="C23772" s="0" t="s">
        <v>31784</v>
      </c>
      <c r="D23772" s="0" t="s">
        <v>31784</v>
      </c>
      <c r="E23772" s="0" t="inlineStr">
        <is>
          <t xml:space="preserve">Mazda</t>
        </is>
      </c>
      <c r="F23772" s="0" t="s">
        <v>13</v>
      </c>
      <c r="G23772" s="0" t="s">
        <v>49</v>
      </c>
      <c r="H23772" s="5">
        <v>2059.291000</v>
      </c>
    </row>
    <row r="23773" spans="1:9">
      <c r="A23773" s="22" t="str">
        <f>HYPERLINK("https://app.vivvix.com/360/KMI/IntelliDrive/ApplUI/Pages/CreativePages/CustomReportCreativeDetail.aspx?App=23&amp;ReportView=4&amp;Qid=1711279&amp;Row=23765&amp;Col=1","No Title Assigned - #15282601195")</f>
        <v/>
      </c>
      <c r="B23773" s="0" t="s">
        <v>31785</v>
      </c>
      <c r="C23773" s="0" t="s">
        <v>31786</v>
      </c>
      <c r="D23773" s="0" t="s">
        <v>24311</v>
      </c>
      <c r="E23773" s="0" t="inlineStr">
        <is>
          <t xml:space="preserve">Mazda</t>
        </is>
      </c>
      <c r="F23773" s="0" t="s">
        <v>13</v>
      </c>
      <c r="G23773" s="0" t="s">
        <v>49</v>
      </c>
      <c r="H23773" s="5">
        <v>3154.453100</v>
      </c>
    </row>
    <row r="23774" spans="1:9">
      <c r="A23774" s="22" t="str">
        <f>HYPERLINK("https://app.vivvix.com/360/KMI/IntelliDrive/ApplUI/Pages/CreativePages/CustomReportCreativeDetail.aspx?App=23&amp;ReportView=4&amp;Qid=1711279&amp;Row=23766&amp;Col=1","No Title Assigned - #15282601594")</f>
        <v/>
      </c>
      <c r="B23774" s="0" t="s">
        <v>31787</v>
      </c>
      <c r="C23774" s="0" t="s">
        <v>31788</v>
      </c>
      <c r="D23774" s="0" t="s">
        <v>31788</v>
      </c>
      <c r="E23774" s="0" t="inlineStr">
        <is>
          <t xml:space="preserve">Mazda</t>
        </is>
      </c>
      <c r="F23774" s="0" t="s">
        <v>13</v>
      </c>
      <c r="G23774" s="0" t="s">
        <v>49</v>
      </c>
      <c r="H23774" s="5">
        <v>3.583400</v>
      </c>
    </row>
    <row r="23775" spans="1:9">
      <c r="A23775" s="22" t="str">
        <f>HYPERLINK("https://app.vivvix.com/360/KMI/IntelliDrive/ApplUI/Pages/CreativePages/CustomReportCreativeDetail.aspx?App=23&amp;ReportView=4&amp;Qid=1711279&amp;Row=23767&amp;Col=1","No Title Assigned - #15282601681")</f>
        <v/>
      </c>
      <c r="B23775" s="0" t="s">
        <v>31789</v>
      </c>
      <c r="C23775" s="0" t="s">
        <v>31790</v>
      </c>
      <c r="D23775" s="0" t="s">
        <v>31790</v>
      </c>
      <c r="E23775" s="0" t="inlineStr">
        <is>
          <t xml:space="preserve">Mazda</t>
        </is>
      </c>
      <c r="F23775" s="0" t="s">
        <v>13</v>
      </c>
      <c r="G23775" s="0" t="s">
        <v>49</v>
      </c>
      <c r="H23775" s="5">
        <v>28020.520500</v>
      </c>
    </row>
    <row r="23776" spans="1:9">
      <c r="A23776" s="22" t="str">
        <f>HYPERLINK("https://app.vivvix.com/360/KMI/IntelliDrive/ApplUI/Pages/CreativePages/CustomReportCreativeDetail.aspx?App=23&amp;ReportView=4&amp;Qid=1711279&amp;Row=23768&amp;Col=1","No Title Assigned - #15282601696")</f>
        <v/>
      </c>
      <c r="B23776" s="0" t="s">
        <v>31791</v>
      </c>
      <c r="C23776" s="0" t="s">
        <v>31792</v>
      </c>
      <c r="D23776" s="0" t="s">
        <v>31792</v>
      </c>
      <c r="E23776" s="0" t="inlineStr">
        <is>
          <t xml:space="preserve">Mazda</t>
        </is>
      </c>
      <c r="F23776" s="0" t="s">
        <v>13</v>
      </c>
      <c r="G23776" s="0" t="s">
        <v>49</v>
      </c>
      <c r="H23776" s="5">
        <v>1655.778200</v>
      </c>
    </row>
    <row r="23777" spans="1:9">
      <c r="A23777" s="22" t="str">
        <f>HYPERLINK("https://app.vivvix.com/360/KMI/IntelliDrive/ApplUI/Pages/CreativePages/CustomReportCreativeDetail.aspx?App=23&amp;ReportView=4&amp;Qid=1711279&amp;Row=23769&amp;Col=1","No Title Assigned - #15282601883")</f>
        <v/>
      </c>
      <c r="B23777" s="0" t="s">
        <v>31793</v>
      </c>
      <c r="C23777" s="0" t="s">
        <v>31794</v>
      </c>
      <c r="D23777" s="0" t="s">
        <v>29962</v>
      </c>
      <c r="E23777" s="0" t="inlineStr">
        <is>
          <t xml:space="preserve">Mazda</t>
        </is>
      </c>
      <c r="F23777" s="0" t="s">
        <v>13</v>
      </c>
      <c r="G23777" s="0" t="s">
        <v>49</v>
      </c>
      <c r="H23777" s="5">
        <v>3.322400</v>
      </c>
    </row>
    <row r="23778" spans="1:9">
      <c r="A23778" s="22" t="str">
        <f>HYPERLINK("https://app.vivvix.com/360/KMI/IntelliDrive/ApplUI/Pages/CreativePages/CustomReportCreativeDetail.aspx?App=23&amp;ReportView=4&amp;Qid=1711279&amp;Row=23770&amp;Col=1","No Title Assigned - #15282602584")</f>
        <v/>
      </c>
      <c r="B23778" s="0" t="s">
        <v>31795</v>
      </c>
      <c r="C23778" s="0" t="s">
        <v>31796</v>
      </c>
      <c r="D23778" s="0" t="s">
        <v>31796</v>
      </c>
      <c r="E23778" s="0" t="inlineStr">
        <is>
          <t xml:space="preserve">Mazda</t>
        </is>
      </c>
      <c r="F23778" s="0" t="s">
        <v>26804</v>
      </c>
      <c r="G23778" s="0" t="s">
        <v>26805</v>
      </c>
      <c r="H23778" s="5">
        <v>140467.640600</v>
      </c>
    </row>
    <row r="23779" spans="1:9">
      <c r="A23779" s="22" t="str">
        <f>HYPERLINK("https://app.vivvix.com/360/KMI/IntelliDrive/ApplUI/Pages/CreativePages/CustomReportCreativeDetail.aspx?App=23&amp;ReportView=4&amp;Qid=1711279&amp;Row=23771&amp;Col=1","No Title Assigned - #15282602974")</f>
        <v/>
      </c>
      <c r="B23779" s="0" t="s">
        <v>31797</v>
      </c>
      <c r="C23779" s="0" t="s">
        <v>31798</v>
      </c>
      <c r="D23779" s="0" t="s">
        <v>31798</v>
      </c>
      <c r="E23779" s="0" t="inlineStr">
        <is>
          <t xml:space="preserve">Mazda</t>
        </is>
      </c>
      <c r="F23779" s="0" t="s">
        <v>13</v>
      </c>
      <c r="G23779" s="0" t="s">
        <v>49</v>
      </c>
      <c r="H23779" s="5">
        <v>28.383000</v>
      </c>
    </row>
    <row r="23780" spans="1:9">
      <c r="A23780" s="22" t="str">
        <f>HYPERLINK("https://app.vivvix.com/360/KMI/IntelliDrive/ApplUI/Pages/CreativePages/CustomReportCreativeDetail.aspx?App=23&amp;ReportView=4&amp;Qid=1711279&amp;Row=23772&amp;Col=1","No Title Assigned - #15282603195")</f>
        <v/>
      </c>
      <c r="B23780" s="0" t="s">
        <v>31799</v>
      </c>
      <c r="E23780" s="0" t="inlineStr">
        <is>
          <t xml:space="preserve">Mazda</t>
        </is>
      </c>
      <c r="F23780" s="0" t="inlineStr">
        <is>
          <t xml:space="preserve">Mazda</t>
        </is>
      </c>
      <c r="G23780" s="0" t="s">
        <v>171</v>
      </c>
      <c r="H23780" s="5">
        <v>912.444300</v>
      </c>
    </row>
    <row r="23781" spans="1:9">
      <c r="A23781" s="22" t="str">
        <f>HYPERLINK("https://app.vivvix.com/360/KMI/IntelliDrive/ApplUI/Pages/CreativePages/CustomReportCreativeDetail.aspx?App=23&amp;ReportView=4&amp;Qid=1711279&amp;Row=23773&amp;Col=1","No Title Assigned - #15282603431")</f>
        <v/>
      </c>
      <c r="B23781" s="0" t="s">
        <v>31800</v>
      </c>
      <c r="C23781" s="0" t="s">
        <v>31801</v>
      </c>
      <c r="D23781" s="0" t="s">
        <v>31801</v>
      </c>
      <c r="E23781" s="0" t="inlineStr">
        <is>
          <t xml:space="preserve">Mazda</t>
        </is>
      </c>
      <c r="F23781" s="0" t="s">
        <v>13</v>
      </c>
      <c r="G23781" s="0" t="s">
        <v>49</v>
      </c>
      <c r="H23781" s="5">
        <v>657.059800</v>
      </c>
    </row>
    <row r="23782" spans="1:9">
      <c r="A23782" s="22" t="str">
        <f>HYPERLINK("https://app.vivvix.com/360/KMI/IntelliDrive/ApplUI/Pages/CreativePages/CustomReportCreativeDetail.aspx?App=23&amp;ReportView=4&amp;Qid=1711279&amp;Row=23774&amp;Col=1","No Title Assigned - #15282603896")</f>
        <v/>
      </c>
      <c r="B23782" s="0" t="s">
        <v>31802</v>
      </c>
      <c r="C23782" s="0" t="s">
        <v>31803</v>
      </c>
      <c r="D23782" s="0" t="s">
        <v>31803</v>
      </c>
      <c r="E23782" s="0" t="inlineStr">
        <is>
          <t xml:space="preserve">Mazda</t>
        </is>
      </c>
      <c r="F23782" s="0" t="s">
        <v>13</v>
      </c>
      <c r="G23782" s="0" t="s">
        <v>49</v>
      </c>
      <c r="H23782" s="5">
        <v>1137.829000</v>
      </c>
    </row>
    <row r="23783" spans="1:9">
      <c r="A23783" s="22" t="str">
        <f>HYPERLINK("https://app.vivvix.com/360/KMI/IntelliDrive/ApplUI/Pages/CreativePages/CustomReportCreativeDetail.aspx?App=23&amp;ReportView=4&amp;Qid=1711279&amp;Row=23775&amp;Col=1","No Title Assigned - #15282604506")</f>
        <v/>
      </c>
      <c r="B23783" s="0" t="s">
        <v>31804</v>
      </c>
      <c r="C23783" s="0" t="s">
        <v>31805</v>
      </c>
      <c r="D23783" s="0" t="s">
        <v>31805</v>
      </c>
      <c r="E23783" s="0" t="inlineStr">
        <is>
          <t xml:space="preserve">Mazda</t>
        </is>
      </c>
      <c r="F23783" s="0" t="s">
        <v>13</v>
      </c>
      <c r="G23783" s="0" t="s">
        <v>49</v>
      </c>
      <c r="H23783" s="5">
        <v>5980.352500</v>
      </c>
    </row>
    <row r="23784" spans="1:9">
      <c r="A23784" s="22" t="str">
        <f>HYPERLINK("https://app.vivvix.com/360/KMI/IntelliDrive/ApplUI/Pages/CreativePages/CustomReportCreativeDetail.aspx?App=23&amp;ReportView=4&amp;Qid=1711279&amp;Row=23776&amp;Col=1","No Title Assigned - #15282605154")</f>
        <v/>
      </c>
      <c r="B23784" s="0" t="s">
        <v>31806</v>
      </c>
      <c r="C23784" s="0" t="s">
        <v>31807</v>
      </c>
      <c r="D23784" s="0" t="s">
        <v>31807</v>
      </c>
      <c r="E23784" s="0" t="inlineStr">
        <is>
          <t xml:space="preserve">Mazda</t>
        </is>
      </c>
      <c r="F23784" s="0" t="inlineStr">
        <is>
          <t xml:space="preserve">Mazda</t>
        </is>
      </c>
      <c r="G23784" s="0" t="s">
        <v>210</v>
      </c>
      <c r="H23784" s="5">
        <v>1861.549600</v>
      </c>
    </row>
    <row r="23785" spans="1:9">
      <c r="A23785" s="22" t="str">
        <f>HYPERLINK("https://app.vivvix.com/360/KMI/IntelliDrive/ApplUI/Pages/CreativePages/CustomReportCreativeDetail.aspx?App=23&amp;ReportView=4&amp;Qid=1711279&amp;Row=23777&amp;Col=1","No Title Assigned - #15282605324")</f>
        <v/>
      </c>
      <c r="B23785" s="0" t="s">
        <v>31808</v>
      </c>
      <c r="C23785" s="0" t="s">
        <v>31809</v>
      </c>
      <c r="D23785" s="0" t="s">
        <v>31809</v>
      </c>
      <c r="E23785" s="0" t="inlineStr">
        <is>
          <t xml:space="preserve">Mazda</t>
        </is>
      </c>
      <c r="F23785" s="0" t="s">
        <v>13</v>
      </c>
      <c r="G23785" s="0" t="s">
        <v>49</v>
      </c>
      <c r="H23785" s="5">
        <v>226.970600</v>
      </c>
    </row>
    <row r="23786" spans="1:9">
      <c r="A23786" s="22" t="str">
        <f>HYPERLINK("https://app.vivvix.com/360/KMI/IntelliDrive/ApplUI/Pages/CreativePages/CustomReportCreativeDetail.aspx?App=23&amp;ReportView=4&amp;Qid=1711279&amp;Row=23778&amp;Col=1","No Title Assigned - #15282605454")</f>
        <v/>
      </c>
      <c r="B23786" s="0" t="s">
        <v>31810</v>
      </c>
      <c r="C23786" s="0" t="s">
        <v>31811</v>
      </c>
      <c r="D23786" s="0" t="s">
        <v>31811</v>
      </c>
      <c r="E23786" s="0" t="inlineStr">
        <is>
          <t xml:space="preserve">Mazda</t>
        </is>
      </c>
      <c r="F23786" s="0" t="s">
        <v>13</v>
      </c>
      <c r="G23786" s="0" t="s">
        <v>49</v>
      </c>
      <c r="H23786" s="5">
        <v>7.166800</v>
      </c>
    </row>
    <row r="23787" spans="1:9">
      <c r="A23787" s="22" t="str">
        <f>HYPERLINK("https://app.vivvix.com/360/KMI/IntelliDrive/ApplUI/Pages/CreativePages/CustomReportCreativeDetail.aspx?App=23&amp;ReportView=4&amp;Qid=1711279&amp;Row=23779&amp;Col=1","No Title Assigned - #15282606209")</f>
        <v/>
      </c>
      <c r="B23787" s="0" t="s">
        <v>31812</v>
      </c>
      <c r="E23787" s="0" t="inlineStr">
        <is>
          <t xml:space="preserve">Mazda</t>
        </is>
      </c>
      <c r="F23787" s="0" t="inlineStr">
        <is>
          <t xml:space="preserve">Mazda</t>
        </is>
      </c>
      <c r="G23787" s="0" t="s">
        <v>171</v>
      </c>
      <c r="H23787" s="5">
        <v>4252.674300</v>
      </c>
    </row>
    <row r="23788" spans="1:9">
      <c r="A23788" s="22" t="str">
        <f>HYPERLINK("https://app.vivvix.com/360/KMI/IntelliDrive/ApplUI/Pages/CreativePages/CustomReportCreativeDetail.aspx?App=23&amp;ReportView=4&amp;Qid=1711279&amp;Row=23780&amp;Col=1","No Title Assigned - #15282606895")</f>
        <v/>
      </c>
      <c r="B23788" s="0" t="s">
        <v>31813</v>
      </c>
      <c r="C23788" s="0" t="s">
        <v>31814</v>
      </c>
      <c r="D23788" s="0" t="s">
        <v>31814</v>
      </c>
      <c r="E23788" s="0" t="inlineStr">
        <is>
          <t xml:space="preserve">Mazda</t>
        </is>
      </c>
      <c r="F23788" s="0" t="s">
        <v>13</v>
      </c>
      <c r="G23788" s="0" t="s">
        <v>49</v>
      </c>
      <c r="H23788" s="5">
        <v>5762.078100</v>
      </c>
    </row>
    <row r="23789" spans="1:9">
      <c r="A23789" s="22" t="str">
        <f>HYPERLINK("https://app.vivvix.com/360/KMI/IntelliDrive/ApplUI/Pages/CreativePages/CustomReportCreativeDetail.aspx?App=23&amp;ReportView=4&amp;Qid=1711279&amp;Row=23781&amp;Col=1","No Title Assigned - #15282607137")</f>
        <v/>
      </c>
      <c r="B23789" s="0" t="s">
        <v>31815</v>
      </c>
      <c r="E23789" s="0" t="inlineStr">
        <is>
          <t xml:space="preserve">Mazda</t>
        </is>
      </c>
      <c r="F23789" s="0" t="inlineStr">
        <is>
          <t xml:space="preserve">Mazda</t>
        </is>
      </c>
      <c r="G23789" s="0" t="s">
        <v>171</v>
      </c>
      <c r="H23789" s="5">
        <v>35268.746100</v>
      </c>
    </row>
    <row r="23790" spans="1:9">
      <c r="A23790" s="22" t="str">
        <f>HYPERLINK("https://app.vivvix.com/360/KMI/IntelliDrive/ApplUI/Pages/CreativePages/CustomReportCreativeDetail.aspx?App=23&amp;ReportView=4&amp;Qid=1711279&amp;Row=23782&amp;Col=1","No Title Assigned - #15282607280")</f>
        <v/>
      </c>
      <c r="B23790" s="0" t="s">
        <v>31816</v>
      </c>
      <c r="C23790" s="0" t="s">
        <v>31817</v>
      </c>
      <c r="D23790" s="0" t="s">
        <v>31817</v>
      </c>
      <c r="E23790" s="0" t="inlineStr">
        <is>
          <t xml:space="preserve">Mazda</t>
        </is>
      </c>
      <c r="F23790" s="0" t="s">
        <v>13</v>
      </c>
      <c r="G23790" s="0" t="s">
        <v>49</v>
      </c>
      <c r="H23790" s="5">
        <v>3154.453100</v>
      </c>
    </row>
    <row r="23791" spans="1:9">
      <c r="A23791" s="22" t="str">
        <f>HYPERLINK("https://app.vivvix.com/360/KMI/IntelliDrive/ApplUI/Pages/CreativePages/CustomReportCreativeDetail.aspx?App=23&amp;ReportView=4&amp;Qid=1711279&amp;Row=23783&amp;Col=1","No Title Assigned - #15282608103")</f>
        <v/>
      </c>
      <c r="B23791" s="0" t="s">
        <v>31818</v>
      </c>
      <c r="E23791" s="0" t="inlineStr">
        <is>
          <t xml:space="preserve">Mazda</t>
        </is>
      </c>
      <c r="F23791" s="0" t="inlineStr">
        <is>
          <t xml:space="preserve">Mazda</t>
        </is>
      </c>
      <c r="G23791" s="0" t="s">
        <v>171</v>
      </c>
      <c r="H23791" s="5">
        <v>141.710500</v>
      </c>
    </row>
    <row r="23792" spans="1:9">
      <c r="A23792" s="22" t="str">
        <f>HYPERLINK("https://app.vivvix.com/360/KMI/IntelliDrive/ApplUI/Pages/CreativePages/CustomReportCreativeDetail.aspx?App=23&amp;ReportView=4&amp;Qid=1711279&amp;Row=23784&amp;Col=1","No Title Assigned - #15282608413")</f>
        <v/>
      </c>
      <c r="B23792" s="0" t="s">
        <v>31819</v>
      </c>
      <c r="E23792" s="0" t="inlineStr">
        <is>
          <t xml:space="preserve">Mazda</t>
        </is>
      </c>
      <c r="F23792" s="0" t="inlineStr">
        <is>
          <t xml:space="preserve">Mazda</t>
        </is>
      </c>
      <c r="G23792" s="0" t="s">
        <v>171</v>
      </c>
      <c r="H23792" s="5">
        <v>145.503500</v>
      </c>
    </row>
    <row r="23793" spans="1:9">
      <c r="A23793" s="22" t="str">
        <f>HYPERLINK("https://app.vivvix.com/360/KMI/IntelliDrive/ApplUI/Pages/CreativePages/CustomReportCreativeDetail.aspx?App=23&amp;ReportView=4&amp;Qid=1711279&amp;Row=23785&amp;Col=1","No Title Assigned - #15282609789")</f>
        <v/>
      </c>
      <c r="B23793" s="0" t="s">
        <v>31820</v>
      </c>
      <c r="E23793" s="0" t="inlineStr">
        <is>
          <t xml:space="preserve">Mazda</t>
        </is>
      </c>
      <c r="F23793" s="0" t="inlineStr">
        <is>
          <t xml:space="preserve">Mazda</t>
        </is>
      </c>
      <c r="G23793" s="0" t="s">
        <v>171</v>
      </c>
      <c r="H23793" s="5">
        <v>1375.745200</v>
      </c>
    </row>
    <row r="23794" spans="1:9">
      <c r="A23794" s="22" t="str">
        <f>HYPERLINK("https://app.vivvix.com/360/KMI/IntelliDrive/ApplUI/Pages/CreativePages/CustomReportCreativeDetail.aspx?App=23&amp;ReportView=4&amp;Qid=1711279&amp;Row=23786&amp;Col=1","No Title Assigned - #15282609963")</f>
        <v/>
      </c>
      <c r="B23794" s="0" t="s">
        <v>31821</v>
      </c>
      <c r="E23794" s="0" t="inlineStr">
        <is>
          <t xml:space="preserve">Mazda</t>
        </is>
      </c>
      <c r="F23794" s="0" t="inlineStr">
        <is>
          <t xml:space="preserve">Mazda</t>
        </is>
      </c>
      <c r="G23794" s="0" t="s">
        <v>171</v>
      </c>
      <c r="H23794" s="5">
        <v>865.657400</v>
      </c>
    </row>
    <row r="23795" spans="1:9">
      <c r="A23795" s="22" t="str">
        <f>HYPERLINK("https://app.vivvix.com/360/KMI/IntelliDrive/ApplUI/Pages/CreativePages/CustomReportCreativeDetail.aspx?App=23&amp;ReportView=4&amp;Qid=1711279&amp;Row=23787&amp;Col=1","No Title Assigned - #15282610259")</f>
        <v/>
      </c>
      <c r="B23795" s="0" t="s">
        <v>31822</v>
      </c>
      <c r="E23795" s="0" t="inlineStr">
        <is>
          <t xml:space="preserve">Mazda</t>
        </is>
      </c>
      <c r="F23795" s="0" t="inlineStr">
        <is>
          <t xml:space="preserve">Mazda</t>
        </is>
      </c>
      <c r="G23795" s="0" t="s">
        <v>171</v>
      </c>
      <c r="H23795" s="5">
        <v>497.299600</v>
      </c>
    </row>
    <row r="23796" spans="1:9">
      <c r="A23796" s="22" t="str">
        <f>HYPERLINK("https://app.vivvix.com/360/KMI/IntelliDrive/ApplUI/Pages/CreativePages/CustomReportCreativeDetail.aspx?App=23&amp;ReportView=4&amp;Qid=1711279&amp;Row=23788&amp;Col=1","No Title Assigned - #15282611752")</f>
        <v/>
      </c>
      <c r="B23796" s="0" t="s">
        <v>31823</v>
      </c>
      <c r="C23796" s="0" t="s">
        <v>31824</v>
      </c>
      <c r="D23796" s="0" t="s">
        <v>31824</v>
      </c>
      <c r="E23796" s="0" t="inlineStr">
        <is>
          <t xml:space="preserve">Mazda</t>
        </is>
      </c>
      <c r="F23796" s="0" t="s">
        <v>13</v>
      </c>
      <c r="G23796" s="0" t="s">
        <v>49</v>
      </c>
      <c r="H23796" s="5">
        <v>413.216900</v>
      </c>
    </row>
    <row r="23797" spans="1:9">
      <c r="A23797" s="22" t="str">
        <f>HYPERLINK("https://app.vivvix.com/360/KMI/IntelliDrive/ApplUI/Pages/CreativePages/CustomReportCreativeDetail.aspx?App=23&amp;ReportView=4&amp;Qid=1711279&amp;Row=23789&amp;Col=1","No Title Assigned - #15282612396")</f>
        <v/>
      </c>
      <c r="B23797" s="0" t="s">
        <v>31825</v>
      </c>
      <c r="E23797" s="0" t="inlineStr">
        <is>
          <t xml:space="preserve">Mazda</t>
        </is>
      </c>
      <c r="F23797" s="0" t="inlineStr">
        <is>
          <t xml:space="preserve">Mazda</t>
        </is>
      </c>
      <c r="G23797" s="0" t="s">
        <v>171</v>
      </c>
      <c r="H23797" s="5">
        <v>415.880700</v>
      </c>
    </row>
    <row r="23798" spans="1:9">
      <c r="A23798" s="22" t="str">
        <f>HYPERLINK("https://app.vivvix.com/360/KMI/IntelliDrive/ApplUI/Pages/CreativePages/CustomReportCreativeDetail.aspx?App=23&amp;ReportView=4&amp;Qid=1711279&amp;Row=23790&amp;Col=1","No Title Assigned - #15282612702")</f>
        <v/>
      </c>
      <c r="B23798" s="0" t="s">
        <v>31826</v>
      </c>
      <c r="E23798" s="0" t="inlineStr">
        <is>
          <t xml:space="preserve">Mazda</t>
        </is>
      </c>
      <c r="F23798" s="0" t="inlineStr">
        <is>
          <t xml:space="preserve">Mazda</t>
        </is>
      </c>
      <c r="G23798" s="0" t="s">
        <v>171</v>
      </c>
      <c r="H23798" s="5">
        <v>0.823600</v>
      </c>
    </row>
    <row r="23799" spans="1:9">
      <c r="A23799" s="22" t="str">
        <f>HYPERLINK("https://app.vivvix.com/360/KMI/IntelliDrive/ApplUI/Pages/CreativePages/CustomReportCreativeDetail.aspx?App=23&amp;ReportView=4&amp;Qid=1711279&amp;Row=23791&amp;Col=1","No Title Assigned - #15282612759")</f>
        <v/>
      </c>
      <c r="B23799" s="0" t="s">
        <v>31827</v>
      </c>
      <c r="E23799" s="0" t="inlineStr">
        <is>
          <t xml:space="preserve">Mazda</t>
        </is>
      </c>
      <c r="F23799" s="0" t="inlineStr">
        <is>
          <t xml:space="preserve">Mazda</t>
        </is>
      </c>
      <c r="G23799" s="0" t="s">
        <v>171</v>
      </c>
      <c r="H23799" s="5">
        <v>5956.892000</v>
      </c>
    </row>
    <row r="23800" spans="1:9">
      <c r="A23800" s="22" t="str">
        <f>HYPERLINK("https://app.vivvix.com/360/KMI/IntelliDrive/ApplUI/Pages/CreativePages/CustomReportCreativeDetail.aspx?App=23&amp;ReportView=4&amp;Qid=1711279&amp;Row=23792&amp;Col=1","No Title Assigned - #15282612911")</f>
        <v/>
      </c>
      <c r="B23800" s="0" t="s">
        <v>31828</v>
      </c>
      <c r="E23800" s="0" t="inlineStr">
        <is>
          <t xml:space="preserve">Mazda</t>
        </is>
      </c>
      <c r="F23800" s="0" t="inlineStr">
        <is>
          <t xml:space="preserve">Mazda</t>
        </is>
      </c>
      <c r="G23800" s="0" t="s">
        <v>171</v>
      </c>
      <c r="H23800" s="5">
        <v>337.935000</v>
      </c>
    </row>
    <row r="23801" spans="1:9">
      <c r="A23801" s="22" t="str">
        <f>HYPERLINK("https://app.vivvix.com/360/KMI/IntelliDrive/ApplUI/Pages/CreativePages/CustomReportCreativeDetail.aspx?App=23&amp;ReportView=4&amp;Qid=1711279&amp;Row=23793&amp;Col=1","No Title Assigned - #15282612926")</f>
        <v/>
      </c>
      <c r="B23801" s="0" t="s">
        <v>31829</v>
      </c>
      <c r="E23801" s="0" t="inlineStr">
        <is>
          <t xml:space="preserve">Mazda</t>
        </is>
      </c>
      <c r="F23801" s="0" t="inlineStr">
        <is>
          <t xml:space="preserve">Mazda</t>
        </is>
      </c>
      <c r="G23801" s="0" t="s">
        <v>171</v>
      </c>
      <c r="H23801" s="5">
        <v>35.643600</v>
      </c>
    </row>
    <row r="23802" spans="1:9">
      <c r="A23802" s="22" t="str">
        <f>HYPERLINK("https://app.vivvix.com/360/KMI/IntelliDrive/ApplUI/Pages/CreativePages/CustomReportCreativeDetail.aspx?App=23&amp;ReportView=4&amp;Qid=1711279&amp;Row=23794&amp;Col=1","No Title Assigned - #15282612927")</f>
        <v/>
      </c>
      <c r="B23802" s="0" t="s">
        <v>31830</v>
      </c>
      <c r="E23802" s="0" t="inlineStr">
        <is>
          <t xml:space="preserve">Mazda</t>
        </is>
      </c>
      <c r="F23802" s="0" t="inlineStr">
        <is>
          <t xml:space="preserve">Mazda</t>
        </is>
      </c>
      <c r="G23802" s="0" t="s">
        <v>171</v>
      </c>
      <c r="H23802" s="5">
        <v>106.930800</v>
      </c>
    </row>
    <row r="23803" spans="1:9">
      <c r="A23803" s="22" t="str">
        <f>HYPERLINK("https://app.vivvix.com/360/KMI/IntelliDrive/ApplUI/Pages/CreativePages/CustomReportCreativeDetail.aspx?App=23&amp;ReportView=4&amp;Qid=1711279&amp;Row=23795&amp;Col=1","No Title Assigned - #15282613019")</f>
        <v/>
      </c>
      <c r="B23803" s="0" t="s">
        <v>31831</v>
      </c>
      <c r="E23803" s="0" t="inlineStr">
        <is>
          <t xml:space="preserve">Mazda</t>
        </is>
      </c>
      <c r="F23803" s="0" t="inlineStr">
        <is>
          <t xml:space="preserve">Mazda</t>
        </is>
      </c>
      <c r="G23803" s="0" t="s">
        <v>171</v>
      </c>
      <c r="H23803" s="5">
        <v>59.326400</v>
      </c>
    </row>
    <row r="23804" spans="1:9">
      <c r="A23804" s="22" t="str">
        <f>HYPERLINK("https://app.vivvix.com/360/KMI/IntelliDrive/ApplUI/Pages/CreativePages/CustomReportCreativeDetail.aspx?App=23&amp;ReportView=4&amp;Qid=1711279&amp;Row=23796&amp;Col=1","No Title Assigned - #15282613039")</f>
        <v/>
      </c>
      <c r="B23804" s="0" t="s">
        <v>31832</v>
      </c>
      <c r="E23804" s="0" t="inlineStr">
        <is>
          <t xml:space="preserve">Mazda</t>
        </is>
      </c>
      <c r="F23804" s="0" t="inlineStr">
        <is>
          <t xml:space="preserve">Mazda</t>
        </is>
      </c>
      <c r="G23804" s="0" t="s">
        <v>171</v>
      </c>
      <c r="H23804" s="5">
        <v>59.326400</v>
      </c>
    </row>
    <row r="23805" spans="1:9">
      <c r="A23805" s="22" t="str">
        <f>HYPERLINK("https://app.vivvix.com/360/KMI/IntelliDrive/ApplUI/Pages/CreativePages/CustomReportCreativeDetail.aspx?App=23&amp;ReportView=4&amp;Qid=1711279&amp;Row=23797&amp;Col=1","No Title Assigned - #15282613126")</f>
        <v/>
      </c>
      <c r="B23805" s="0" t="s">
        <v>31833</v>
      </c>
      <c r="E23805" s="0" t="inlineStr">
        <is>
          <t xml:space="preserve">Mazda</t>
        </is>
      </c>
      <c r="F23805" s="0" t="inlineStr">
        <is>
          <t xml:space="preserve">Mazda</t>
        </is>
      </c>
      <c r="G23805" s="0" t="s">
        <v>171</v>
      </c>
      <c r="H23805" s="5">
        <v>506.902500</v>
      </c>
    </row>
    <row r="23806" spans="1:9">
      <c r="A23806" s="22" t="str">
        <f>HYPERLINK("https://app.vivvix.com/360/KMI/IntelliDrive/ApplUI/Pages/CreativePages/CustomReportCreativeDetail.aspx?App=23&amp;ReportView=4&amp;Qid=1711279&amp;Row=23798&amp;Col=1","No Title Assigned - #15282613276")</f>
        <v/>
      </c>
      <c r="B23806" s="0" t="s">
        <v>31834</v>
      </c>
      <c r="E23806" s="0" t="inlineStr">
        <is>
          <t xml:space="preserve">Mazda</t>
        </is>
      </c>
      <c r="F23806" s="0" t="inlineStr">
        <is>
          <t xml:space="preserve">Mazda</t>
        </is>
      </c>
      <c r="G23806" s="0" t="s">
        <v>171</v>
      </c>
      <c r="H23806" s="5">
        <v>30489.132800</v>
      </c>
    </row>
    <row r="23807" spans="1:9">
      <c r="A23807" s="22" t="str">
        <f>HYPERLINK("https://app.vivvix.com/360/KMI/IntelliDrive/ApplUI/Pages/CreativePages/CustomReportCreativeDetail.aspx?App=23&amp;ReportView=4&amp;Qid=1711279&amp;Row=23799&amp;Col=1","No Title Assigned - #15282614013")</f>
        <v/>
      </c>
      <c r="B23807" s="0" t="s">
        <v>31835</v>
      </c>
      <c r="E23807" s="0" t="inlineStr">
        <is>
          <t xml:space="preserve">Mazda</t>
        </is>
      </c>
      <c r="F23807" s="0" t="inlineStr">
        <is>
          <t xml:space="preserve">Mazda</t>
        </is>
      </c>
      <c r="G23807" s="0" t="s">
        <v>171</v>
      </c>
      <c r="H23807" s="5">
        <v>6464.197800</v>
      </c>
    </row>
    <row r="23808" spans="1:9">
      <c r="A23808" s="22" t="str">
        <f>HYPERLINK("https://app.vivvix.com/360/KMI/IntelliDrive/ApplUI/Pages/CreativePages/CustomReportCreativeDetail.aspx?App=23&amp;ReportView=4&amp;Qid=1711279&amp;Row=23800&amp;Col=1","No Title Assigned - #15282614017")</f>
        <v/>
      </c>
      <c r="B23808" s="0" t="s">
        <v>31836</v>
      </c>
      <c r="E23808" s="0" t="inlineStr">
        <is>
          <t xml:space="preserve">Mazda</t>
        </is>
      </c>
      <c r="F23808" s="0" t="inlineStr">
        <is>
          <t xml:space="preserve">Mazda</t>
        </is>
      </c>
      <c r="G23808" s="0" t="s">
        <v>171</v>
      </c>
      <c r="H23808" s="5">
        <v>157.018300</v>
      </c>
    </row>
    <row r="23809" spans="1:9">
      <c r="A23809" s="22" t="str">
        <f>HYPERLINK("https://app.vivvix.com/360/KMI/IntelliDrive/ApplUI/Pages/CreativePages/CustomReportCreativeDetail.aspx?App=23&amp;ReportView=4&amp;Qid=1711279&amp;Row=23801&amp;Col=1","No Title Assigned - #15282614017")</f>
        <v/>
      </c>
      <c r="B23809" s="0" t="s">
        <v>31836</v>
      </c>
      <c r="E23809" s="0" t="inlineStr">
        <is>
          <t xml:space="preserve">Mazda</t>
        </is>
      </c>
      <c r="F23809" s="0" t="inlineStr">
        <is>
          <t xml:space="preserve">Mazda</t>
        </is>
      </c>
      <c r="G23809" s="0" t="s">
        <v>171</v>
      </c>
      <c r="H23809" s="5">
        <v>6464.197800</v>
      </c>
    </row>
    <row r="23810" spans="1:9">
      <c r="A23810" s="22" t="str">
        <f>HYPERLINK("https://app.vivvix.com/360/KMI/IntelliDrive/ApplUI/Pages/CreativePages/CustomReportCreativeDetail.aspx?App=23&amp;ReportView=4&amp;Qid=1711279&amp;Row=23802&amp;Col=1","No Title Assigned - #15282614045")</f>
        <v/>
      </c>
      <c r="B23810" s="0" t="s">
        <v>31837</v>
      </c>
      <c r="E23810" s="0" t="inlineStr">
        <is>
          <t xml:space="preserve">Mazda</t>
        </is>
      </c>
      <c r="F23810" s="0" t="inlineStr">
        <is>
          <t xml:space="preserve">Mazda</t>
        </is>
      </c>
      <c r="G23810" s="0" t="s">
        <v>171</v>
      </c>
      <c r="H23810" s="5">
        <v>241.182600</v>
      </c>
    </row>
    <row r="23811" spans="1:9">
      <c r="A23811" s="22" t="str">
        <f>HYPERLINK("https://app.vivvix.com/360/KMI/IntelliDrive/ApplUI/Pages/CreativePages/CustomReportCreativeDetail.aspx?App=23&amp;ReportView=4&amp;Qid=1711279&amp;Row=23803&amp;Col=1","No Title Assigned - #15282614353")</f>
        <v/>
      </c>
      <c r="B23811" s="0" t="s">
        <v>31838</v>
      </c>
      <c r="E23811" s="0" t="inlineStr">
        <is>
          <t xml:space="preserve">Mazda</t>
        </is>
      </c>
      <c r="F23811" s="0" t="inlineStr">
        <is>
          <t xml:space="preserve">Mazda</t>
        </is>
      </c>
      <c r="G23811" s="0" t="s">
        <v>171</v>
      </c>
      <c r="H23811" s="5">
        <v>253.392900</v>
      </c>
    </row>
    <row r="23812" spans="1:9">
      <c r="A23812" s="22" t="str">
        <f>HYPERLINK("https://app.vivvix.com/360/KMI/IntelliDrive/ApplUI/Pages/CreativePages/CustomReportCreativeDetail.aspx?App=23&amp;ReportView=4&amp;Qid=1711279&amp;Row=23804&amp;Col=1","No Title Assigned - #15282614950")</f>
        <v/>
      </c>
      <c r="B23812" s="0" t="s">
        <v>31839</v>
      </c>
      <c r="E23812" s="0" t="inlineStr">
        <is>
          <t xml:space="preserve">Mazda</t>
        </is>
      </c>
      <c r="F23812" s="0" t="inlineStr">
        <is>
          <t xml:space="preserve">Mazda</t>
        </is>
      </c>
      <c r="G23812" s="0" t="s">
        <v>171</v>
      </c>
      <c r="H23812" s="5">
        <v>5781.835700</v>
      </c>
    </row>
    <row r="23813" spans="1:9">
      <c r="A23813" s="22" t="str">
        <f>HYPERLINK("https://app.vivvix.com/360/KMI/IntelliDrive/ApplUI/Pages/CreativePages/CustomReportCreativeDetail.aspx?App=23&amp;ReportView=4&amp;Qid=1711279&amp;Row=23805&amp;Col=1","No Title Assigned - #15282614950")</f>
        <v/>
      </c>
      <c r="B23813" s="0" t="s">
        <v>31839</v>
      </c>
      <c r="E23813" s="0" t="inlineStr">
        <is>
          <t xml:space="preserve">Mazda</t>
        </is>
      </c>
      <c r="F23813" s="0" t="inlineStr">
        <is>
          <t xml:space="preserve">Mazda</t>
        </is>
      </c>
      <c r="G23813" s="0" t="s">
        <v>171</v>
      </c>
      <c r="H23813" s="5">
        <v>90900.775600</v>
      </c>
    </row>
    <row r="23814" spans="1:9">
      <c r="A23814" s="22" t="str">
        <f>HYPERLINK("https://app.vivvix.com/360/KMI/IntelliDrive/ApplUI/Pages/CreativePages/CustomReportCreativeDetail.aspx?App=23&amp;ReportView=4&amp;Qid=1711279&amp;Row=23806&amp;Col=1","No Title Assigned - #15282618348")</f>
        <v/>
      </c>
      <c r="B23814" s="0" t="s">
        <v>31840</v>
      </c>
      <c r="E23814" s="0" t="inlineStr">
        <is>
          <t xml:space="preserve">Mazda</t>
        </is>
      </c>
      <c r="F23814" s="0" t="inlineStr">
        <is>
          <t xml:space="preserve">Mazda</t>
        </is>
      </c>
      <c r="G23814" s="0" t="s">
        <v>171</v>
      </c>
      <c r="H23814" s="5">
        <v>684.712400</v>
      </c>
    </row>
    <row r="23815" spans="1:9">
      <c r="A23815" s="22" t="str">
        <f>HYPERLINK("https://app.vivvix.com/360/KMI/IntelliDrive/ApplUI/Pages/CreativePages/CustomReportCreativeDetail.aspx?App=23&amp;ReportView=4&amp;Qid=1711279&amp;Row=23807&amp;Col=1","No Title Assigned - #15282619566")</f>
        <v/>
      </c>
      <c r="B23815" s="0" t="s">
        <v>31841</v>
      </c>
      <c r="E23815" s="0" t="inlineStr">
        <is>
          <t xml:space="preserve">Mazda</t>
        </is>
      </c>
      <c r="F23815" s="0" t="inlineStr">
        <is>
          <t xml:space="preserve">Mazda</t>
        </is>
      </c>
      <c r="G23815" s="0" t="s">
        <v>171</v>
      </c>
      <c r="H23815" s="5">
        <v>1053.701900</v>
      </c>
    </row>
    <row r="23816" spans="1:9">
      <c r="A23816" s="22" t="str">
        <f>HYPERLINK("https://app.vivvix.com/360/KMI/IntelliDrive/ApplUI/Pages/CreativePages/CustomReportCreativeDetail.aspx?App=23&amp;ReportView=4&amp;Qid=1711279&amp;Row=23808&amp;Col=1","No Title Assigned - #15282621018")</f>
        <v/>
      </c>
      <c r="B23816" s="0" t="s">
        <v>31842</v>
      </c>
      <c r="E23816" s="0" t="inlineStr">
        <is>
          <t xml:space="preserve">Mazda</t>
        </is>
      </c>
      <c r="F23816" s="0" t="inlineStr">
        <is>
          <t xml:space="preserve">Mazda</t>
        </is>
      </c>
      <c r="G23816" s="0" t="s">
        <v>171</v>
      </c>
      <c r="H23816" s="5">
        <v>936.240700</v>
      </c>
    </row>
    <row r="23817" spans="1:9">
      <c r="A23817" s="22" t="str">
        <f>HYPERLINK("https://app.vivvix.com/360/KMI/IntelliDrive/ApplUI/Pages/CreativePages/CustomReportCreativeDetail.aspx?App=23&amp;ReportView=4&amp;Qid=1711279&amp;Row=23809&amp;Col=1","No Title Assigned - #15282621319")</f>
        <v/>
      </c>
      <c r="B23817" s="0" t="s">
        <v>31843</v>
      </c>
      <c r="E23817" s="0" t="inlineStr">
        <is>
          <t xml:space="preserve">Mazda</t>
        </is>
      </c>
      <c r="F23817" s="0" t="inlineStr">
        <is>
          <t xml:space="preserve">Mazda</t>
        </is>
      </c>
      <c r="G23817" s="0" t="s">
        <v>171</v>
      </c>
      <c r="H23817" s="5">
        <v>2826.895400</v>
      </c>
    </row>
    <row r="23818" spans="1:9">
      <c r="A23818" s="22" t="str">
        <f>HYPERLINK("https://app.vivvix.com/360/KMI/IntelliDrive/ApplUI/Pages/CreativePages/CustomReportCreativeDetail.aspx?App=23&amp;ReportView=4&amp;Qid=1711279&amp;Row=23810&amp;Col=1","No Title Assigned - #15282621818")</f>
        <v/>
      </c>
      <c r="B23818" s="0" t="s">
        <v>31844</v>
      </c>
      <c r="E23818" s="0" t="inlineStr">
        <is>
          <t xml:space="preserve">Mazda</t>
        </is>
      </c>
      <c r="F23818" s="0" t="inlineStr">
        <is>
          <t xml:space="preserve">Mazda</t>
        </is>
      </c>
      <c r="G23818" s="0" t="s">
        <v>171</v>
      </c>
      <c r="H23818" s="5">
        <v>1139.633200</v>
      </c>
    </row>
    <row r="23819" spans="1:9">
      <c r="A23819" s="22" t="str">
        <f>HYPERLINK("https://app.vivvix.com/360/KMI/IntelliDrive/ApplUI/Pages/CreativePages/CustomReportCreativeDetail.aspx?App=23&amp;ReportView=4&amp;Qid=1711279&amp;Row=23811&amp;Col=1","No Title Assigned - #15282622253")</f>
        <v/>
      </c>
      <c r="B23819" s="0" t="s">
        <v>31845</v>
      </c>
      <c r="E23819" s="0" t="inlineStr">
        <is>
          <t xml:space="preserve">Mazda</t>
        </is>
      </c>
      <c r="F23819" s="0" t="inlineStr">
        <is>
          <t xml:space="preserve">Mazda</t>
        </is>
      </c>
      <c r="G23819" s="0" t="s">
        <v>171</v>
      </c>
      <c r="H23819" s="5">
        <v>918.595400</v>
      </c>
    </row>
    <row r="23820" spans="1:9">
      <c r="A23820" s="22" t="str">
        <f>HYPERLINK("https://app.vivvix.com/360/KMI/IntelliDrive/ApplUI/Pages/CreativePages/CustomReportCreativeDetail.aspx?App=23&amp;ReportView=4&amp;Qid=1711279&amp;Row=23812&amp;Col=1","No Title Assigned - #15282622565")</f>
        <v/>
      </c>
      <c r="B23820" s="0" t="s">
        <v>31846</v>
      </c>
      <c r="E23820" s="0" t="inlineStr">
        <is>
          <t xml:space="preserve">Mazda</t>
        </is>
      </c>
      <c r="F23820" s="0" t="inlineStr">
        <is>
          <t xml:space="preserve">Mazda</t>
        </is>
      </c>
      <c r="G23820" s="0" t="s">
        <v>171</v>
      </c>
      <c r="H23820" s="5">
        <v>6629.665000</v>
      </c>
    </row>
    <row r="23821" spans="1:9">
      <c r="A23821" s="22" t="str">
        <f>HYPERLINK("https://app.vivvix.com/360/KMI/IntelliDrive/ApplUI/Pages/CreativePages/CustomReportCreativeDetail.aspx?App=23&amp;ReportView=4&amp;Qid=1711279&amp;Row=23813&amp;Col=1","No Title Assigned - #15282624919")</f>
        <v/>
      </c>
      <c r="B23821" s="0" t="s">
        <v>31847</v>
      </c>
      <c r="E23821" s="0" t="inlineStr">
        <is>
          <t xml:space="preserve">Mazda</t>
        </is>
      </c>
      <c r="F23821" s="0" t="inlineStr">
        <is>
          <t xml:space="preserve">Mazda</t>
        </is>
      </c>
      <c r="G23821" s="0" t="s">
        <v>171</v>
      </c>
      <c r="H23821" s="5">
        <v>905.304200</v>
      </c>
    </row>
    <row r="23822" spans="1:9">
      <c r="A23822" s="22" t="str">
        <f>HYPERLINK("https://app.vivvix.com/360/KMI/IntelliDrive/ApplUI/Pages/CreativePages/CustomReportCreativeDetail.aspx?App=23&amp;ReportView=4&amp;Qid=1711279&amp;Row=23814&amp;Col=1","No Title Assigned - #15282629109")</f>
        <v/>
      </c>
      <c r="B23822" s="0" t="s">
        <v>31848</v>
      </c>
      <c r="E23822" s="0" t="inlineStr">
        <is>
          <t xml:space="preserve">Mazda</t>
        </is>
      </c>
      <c r="F23822" s="0" t="inlineStr">
        <is>
          <t xml:space="preserve">Mazda</t>
        </is>
      </c>
      <c r="G23822" s="0" t="s">
        <v>171</v>
      </c>
      <c r="H23822" s="5">
        <v>74.118200</v>
      </c>
    </row>
    <row r="23823" spans="1:9">
      <c r="A23823" s="22" t="str">
        <f>HYPERLINK("https://app.vivvix.com/360/KMI/IntelliDrive/ApplUI/Pages/CreativePages/CustomReportCreativeDetail.aspx?App=23&amp;ReportView=4&amp;Qid=1711279&amp;Row=23815&amp;Col=1","No Title Assigned - #15282631117")</f>
        <v/>
      </c>
      <c r="B23823" s="0" t="s">
        <v>31849</v>
      </c>
      <c r="C23823" s="0" t="s">
        <v>31850</v>
      </c>
      <c r="D23823" s="0" t="s">
        <v>31850</v>
      </c>
      <c r="E23823" s="0" t="inlineStr">
        <is>
          <t xml:space="preserve">Mazda</t>
        </is>
      </c>
      <c r="F23823" s="0" t="s">
        <v>13</v>
      </c>
      <c r="G23823" s="0" t="s">
        <v>49</v>
      </c>
      <c r="H23823" s="5">
        <v>197.501000</v>
      </c>
    </row>
    <row r="23824" spans="1:9">
      <c r="A23824" s="22" t="str">
        <f>HYPERLINK("https://app.vivvix.com/360/KMI/IntelliDrive/ApplUI/Pages/CreativePages/CustomReportCreativeDetail.aspx?App=23&amp;ReportView=4&amp;Qid=1711279&amp;Row=23816&amp;Col=1","No Title Assigned - #15282632071")</f>
        <v/>
      </c>
      <c r="B23824" s="0" t="s">
        <v>31851</v>
      </c>
      <c r="E23824" s="0" t="inlineStr">
        <is>
          <t xml:space="preserve">Mazda</t>
        </is>
      </c>
      <c r="F23824" s="0" t="inlineStr">
        <is>
          <t xml:space="preserve">Mazda</t>
        </is>
      </c>
      <c r="G23824" s="0" t="s">
        <v>171</v>
      </c>
      <c r="H23824" s="5">
        <v>115572.169600</v>
      </c>
    </row>
    <row r="23825" spans="1:9">
      <c r="A23825" s="22" t="str">
        <f>HYPERLINK("https://app.vivvix.com/360/KMI/IntelliDrive/ApplUI/Pages/CreativePages/CustomReportCreativeDetail.aspx?App=23&amp;ReportView=4&amp;Qid=1711279&amp;Row=23817&amp;Col=1","No Title Assigned - #15282634891")</f>
        <v/>
      </c>
      <c r="B23825" s="0" t="s">
        <v>31852</v>
      </c>
      <c r="E23825" s="0" t="inlineStr">
        <is>
          <t xml:space="preserve">Mazda</t>
        </is>
      </c>
      <c r="F23825" s="0" t="inlineStr">
        <is>
          <t xml:space="preserve">Mazda</t>
        </is>
      </c>
      <c r="G23825" s="0" t="s">
        <v>171</v>
      </c>
      <c r="H23825" s="5">
        <v>117.579300</v>
      </c>
    </row>
    <row r="23826" spans="1:9">
      <c r="A23826" s="22" t="str">
        <f>HYPERLINK("https://app.vivvix.com/360/KMI/IntelliDrive/ApplUI/Pages/CreativePages/CustomReportCreativeDetail.aspx?App=23&amp;ReportView=4&amp;Qid=1711279&amp;Row=23818&amp;Col=1","No Title Assigned - #15282639842")</f>
        <v/>
      </c>
      <c r="B23826" s="0" t="s">
        <v>31853</v>
      </c>
      <c r="C23826" s="0" t="s">
        <v>31854</v>
      </c>
      <c r="D23826" s="0" t="s">
        <v>31854</v>
      </c>
      <c r="E23826" s="0" t="inlineStr">
        <is>
          <t xml:space="preserve">Mazda</t>
        </is>
      </c>
      <c r="F23826" s="0" t="s">
        <v>13</v>
      </c>
      <c r="G23826" s="0" t="s">
        <v>49</v>
      </c>
      <c r="H23826" s="5">
        <v>452.804100</v>
      </c>
    </row>
    <row r="23827" spans="1:9">
      <c r="A23827" s="22" t="str">
        <f>HYPERLINK("https://app.vivvix.com/360/KMI/IntelliDrive/ApplUI/Pages/CreativePages/CustomReportCreativeDetail.aspx?App=23&amp;ReportView=4&amp;Qid=1711279&amp;Row=23819&amp;Col=1","No Title Assigned - #15282640000")</f>
        <v/>
      </c>
      <c r="B23827" s="0" t="s">
        <v>31855</v>
      </c>
      <c r="C23827" s="0" t="s">
        <v>31856</v>
      </c>
      <c r="D23827" s="0" t="s">
        <v>9167</v>
      </c>
      <c r="E23827" s="0" t="inlineStr">
        <is>
          <t xml:space="preserve">Mazda</t>
        </is>
      </c>
      <c r="F23827" s="0" t="s">
        <v>13</v>
      </c>
      <c r="G23827" s="0" t="s">
        <v>49</v>
      </c>
      <c r="H23827" s="5">
        <v>101.919100</v>
      </c>
    </row>
    <row r="23828" spans="1:9">
      <c r="A23828" s="22" t="str">
        <f>HYPERLINK("https://app.vivvix.com/360/KMI/IntelliDrive/ApplUI/Pages/CreativePages/CustomReportCreativeDetail.aspx?App=23&amp;ReportView=4&amp;Qid=1711279&amp;Row=23820&amp;Col=1","No Title Assigned - #15282642408")</f>
        <v/>
      </c>
      <c r="B23828" s="0" t="s">
        <v>31857</v>
      </c>
      <c r="C23828" s="0" t="s">
        <v>31858</v>
      </c>
      <c r="D23828" s="0" t="s">
        <v>31858</v>
      </c>
      <c r="E23828" s="0" t="inlineStr">
        <is>
          <t xml:space="preserve">Mazda</t>
        </is>
      </c>
      <c r="F23828" s="0" t="s">
        <v>13</v>
      </c>
      <c r="G23828" s="0" t="s">
        <v>49</v>
      </c>
      <c r="H23828" s="5">
        <v>14.333600</v>
      </c>
    </row>
    <row r="23829" spans="1:9">
      <c r="A23829" s="22" t="str">
        <f>HYPERLINK("https://app.vivvix.com/360/KMI/IntelliDrive/ApplUI/Pages/CreativePages/CustomReportCreativeDetail.aspx?App=23&amp;ReportView=4&amp;Qid=1711279&amp;Row=23821&amp;Col=1","No Title Assigned - #15282642930")</f>
        <v/>
      </c>
      <c r="B23829" s="0" t="s">
        <v>31859</v>
      </c>
      <c r="C23829" s="0" t="s">
        <v>31860</v>
      </c>
      <c r="D23829" s="0" t="s">
        <v>31860</v>
      </c>
      <c r="E23829" s="0" t="inlineStr">
        <is>
          <t xml:space="preserve">Mazda</t>
        </is>
      </c>
      <c r="F23829" s="0" t="s">
        <v>13</v>
      </c>
      <c r="G23829" s="0" t="s">
        <v>49</v>
      </c>
      <c r="H23829" s="5">
        <v>476.052900</v>
      </c>
    </row>
    <row r="23830" spans="1:9">
      <c r="A23830" s="22" t="str">
        <f>HYPERLINK("https://app.vivvix.com/360/KMI/IntelliDrive/ApplUI/Pages/CreativePages/CustomReportCreativeDetail.aspx?App=23&amp;ReportView=4&amp;Qid=1711279&amp;Row=23822&amp;Col=1","No Title Assigned - #15282649383")</f>
        <v/>
      </c>
      <c r="B23830" s="0" t="s">
        <v>31861</v>
      </c>
      <c r="C23830" s="0" t="s">
        <v>31862</v>
      </c>
      <c r="D23830" s="0" t="s">
        <v>31862</v>
      </c>
      <c r="E23830" s="0" t="inlineStr">
        <is>
          <t xml:space="preserve">Mazda</t>
        </is>
      </c>
      <c r="F23830" s="0" t="s">
        <v>13</v>
      </c>
      <c r="G23830" s="0" t="s">
        <v>49</v>
      </c>
      <c r="H23830" s="5">
        <v>815.682500</v>
      </c>
    </row>
    <row r="23831" spans="1:9">
      <c r="A23831" s="22" t="str">
        <f>HYPERLINK("https://app.vivvix.com/360/KMI/IntelliDrive/ApplUI/Pages/CreativePages/CustomReportCreativeDetail.aspx?App=23&amp;ReportView=4&amp;Qid=1711279&amp;Row=23823&amp;Col=1","No Title Assigned - #15282659447")</f>
        <v/>
      </c>
      <c r="B23831" s="0" t="s">
        <v>31863</v>
      </c>
      <c r="C23831" s="0" t="s">
        <v>31864</v>
      </c>
      <c r="D23831" s="0" t="s">
        <v>11639</v>
      </c>
      <c r="E23831" s="0" t="inlineStr">
        <is>
          <t xml:space="preserve">Mazda</t>
        </is>
      </c>
      <c r="F23831" s="0" t="s">
        <v>13</v>
      </c>
      <c r="G23831" s="0" t="s">
        <v>49</v>
      </c>
      <c r="H23831" s="5">
        <v>117.145400</v>
      </c>
    </row>
    <row r="23832" spans="1:9">
      <c r="A23832" s="22" t="str">
        <f>HYPERLINK("https://app.vivvix.com/360/KMI/IntelliDrive/ApplUI/Pages/CreativePages/CustomReportCreativeDetail.aspx?App=23&amp;ReportView=4&amp;Qid=1711279&amp;Row=23824&amp;Col=1","No Title Assigned - #15282659562")</f>
        <v/>
      </c>
      <c r="B23832" s="0" t="s">
        <v>31865</v>
      </c>
      <c r="E23832" s="0" t="inlineStr">
        <is>
          <t xml:space="preserve">Mazda</t>
        </is>
      </c>
      <c r="F23832" s="0" t="inlineStr">
        <is>
          <t xml:space="preserve">Mazda</t>
        </is>
      </c>
      <c r="G23832" s="0" t="s">
        <v>171</v>
      </c>
      <c r="H23832" s="5">
        <v>75.007300</v>
      </c>
    </row>
    <row r="23833" spans="1:9">
      <c r="A23833" s="22" t="str">
        <f>HYPERLINK("https://app.vivvix.com/360/KMI/IntelliDrive/ApplUI/Pages/CreativePages/CustomReportCreativeDetail.aspx?App=23&amp;ReportView=4&amp;Qid=1711279&amp;Row=23825&amp;Col=1","No Title Assigned - #15282660111")</f>
        <v/>
      </c>
      <c r="B23833" s="0" t="s">
        <v>31866</v>
      </c>
      <c r="C23833" s="0" t="s">
        <v>31867</v>
      </c>
      <c r="D23833" s="0" t="s">
        <v>31867</v>
      </c>
      <c r="E23833" s="0" t="inlineStr">
        <is>
          <t xml:space="preserve">Mazda</t>
        </is>
      </c>
      <c r="F23833" s="0" t="s">
        <v>13</v>
      </c>
      <c r="G23833" s="0" t="s">
        <v>49</v>
      </c>
      <c r="H23833" s="5">
        <v>3.890400</v>
      </c>
    </row>
    <row r="23834" spans="1:9">
      <c r="A23834" s="22" t="str">
        <f>HYPERLINK("https://app.vivvix.com/360/KMI/IntelliDrive/ApplUI/Pages/CreativePages/CustomReportCreativeDetail.aspx?App=23&amp;ReportView=4&amp;Qid=1711279&amp;Row=23826&amp;Col=1","No Title Assigned - #15282661778")</f>
        <v/>
      </c>
      <c r="B23834" s="0" t="s">
        <v>31868</v>
      </c>
      <c r="C23834" s="0" t="s">
        <v>31869</v>
      </c>
      <c r="D23834" s="0" t="s">
        <v>31869</v>
      </c>
      <c r="E23834" s="0" t="inlineStr">
        <is>
          <t xml:space="preserve">Mazda</t>
        </is>
      </c>
      <c r="F23834" s="0" t="inlineStr">
        <is>
          <t xml:space="preserve">Mazda</t>
        </is>
      </c>
      <c r="G23834" s="0" t="s">
        <v>171</v>
      </c>
      <c r="H23834" s="5">
        <v>87.438300</v>
      </c>
    </row>
    <row r="23835" spans="1:9">
      <c r="A23835" s="22" t="str">
        <f>HYPERLINK("https://app.vivvix.com/360/KMI/IntelliDrive/ApplUI/Pages/CreativePages/CustomReportCreativeDetail.aspx?App=23&amp;ReportView=4&amp;Qid=1711279&amp;Row=23827&amp;Col=1","No Title Assigned - #15282661778")</f>
        <v/>
      </c>
      <c r="B23835" s="0" t="s">
        <v>31868</v>
      </c>
      <c r="E23835" s="0" t="inlineStr">
        <is>
          <t xml:space="preserve">Mazda</t>
        </is>
      </c>
      <c r="F23835" s="0" t="inlineStr">
        <is>
          <t xml:space="preserve">Mazda</t>
        </is>
      </c>
      <c r="G23835" s="0" t="s">
        <v>171</v>
      </c>
      <c r="H23835" s="5">
        <v>75.715000</v>
      </c>
    </row>
    <row r="23836" spans="1:9">
      <c r="A23836" s="22" t="str">
        <f>HYPERLINK("https://app.vivvix.com/360/KMI/IntelliDrive/ApplUI/Pages/CreativePages/CustomReportCreativeDetail.aspx?App=23&amp;ReportView=4&amp;Qid=1711279&amp;Row=23828&amp;Col=1","No Title Assigned - #15282670152")</f>
        <v/>
      </c>
      <c r="B23836" s="0" t="s">
        <v>31870</v>
      </c>
      <c r="C23836" s="0" t="s">
        <v>31871</v>
      </c>
      <c r="D23836" s="0" t="s">
        <v>31871</v>
      </c>
      <c r="E23836" s="0" t="inlineStr">
        <is>
          <t xml:space="preserve">Mazda</t>
        </is>
      </c>
      <c r="F23836" s="0" t="s">
        <v>13</v>
      </c>
      <c r="G23836" s="0" t="s">
        <v>49</v>
      </c>
      <c r="H23836" s="5">
        <v>405.548100</v>
      </c>
    </row>
    <row r="23837" spans="1:9">
      <c r="A23837" s="22" t="str">
        <f>HYPERLINK("https://app.vivvix.com/360/KMI/IntelliDrive/ApplUI/Pages/CreativePages/CustomReportCreativeDetail.aspx?App=23&amp;ReportView=4&amp;Qid=1711279&amp;Row=23829&amp;Col=1","No Title Assigned - #15282670733")</f>
        <v/>
      </c>
      <c r="B23837" s="0" t="s">
        <v>31872</v>
      </c>
      <c r="C23837" s="0" t="s">
        <v>31873</v>
      </c>
      <c r="D23837" s="0" t="s">
        <v>6183</v>
      </c>
      <c r="E23837" s="0" t="inlineStr">
        <is>
          <t xml:space="preserve">Mazda</t>
        </is>
      </c>
      <c r="F23837" s="0" t="s">
        <v>13</v>
      </c>
      <c r="G23837" s="0" t="s">
        <v>49</v>
      </c>
      <c r="H23837" s="5">
        <v>135.273600</v>
      </c>
    </row>
    <row r="23838" spans="1:9">
      <c r="A23838" s="22" t="str">
        <f>HYPERLINK("https://app.vivvix.com/360/KMI/IntelliDrive/ApplUI/Pages/CreativePages/CustomReportCreativeDetail.aspx?App=23&amp;ReportView=4&amp;Qid=1711279&amp;Row=23830&amp;Col=1","No Title Assigned - #15282671980")</f>
        <v/>
      </c>
      <c r="B23838" s="0" t="s">
        <v>31874</v>
      </c>
      <c r="C23838" s="0" t="s">
        <v>31875</v>
      </c>
      <c r="D23838" s="0" t="s">
        <v>11469</v>
      </c>
      <c r="E23838" s="0" t="inlineStr">
        <is>
          <t xml:space="preserve">Mazda</t>
        </is>
      </c>
      <c r="F23838" s="0" t="s">
        <v>13</v>
      </c>
      <c r="G23838" s="0" t="s">
        <v>49</v>
      </c>
      <c r="H23838" s="5">
        <v>3645.169200</v>
      </c>
    </row>
    <row r="23839" spans="1:9">
      <c r="A23839" s="22" t="str">
        <f>HYPERLINK("https://app.vivvix.com/360/KMI/IntelliDrive/ApplUI/Pages/CreativePages/CustomReportCreativeDetail.aspx?App=23&amp;ReportView=4&amp;Qid=1711279&amp;Row=23831&amp;Col=1","No Title Assigned - #15282671981")</f>
        <v/>
      </c>
      <c r="B23839" s="0" t="s">
        <v>31876</v>
      </c>
      <c r="C23839" s="0" t="s">
        <v>31877</v>
      </c>
      <c r="D23839" s="0" t="s">
        <v>15762</v>
      </c>
      <c r="E23839" s="0" t="inlineStr">
        <is>
          <t xml:space="preserve">Mazda</t>
        </is>
      </c>
      <c r="F23839" s="0" t="s">
        <v>13</v>
      </c>
      <c r="G23839" s="0" t="s">
        <v>49</v>
      </c>
      <c r="H23839" s="5">
        <v>3645.169200</v>
      </c>
    </row>
    <row r="23840" spans="1:9">
      <c r="A23840" s="22" t="str">
        <f>HYPERLINK("https://app.vivvix.com/360/KMI/IntelliDrive/ApplUI/Pages/CreativePages/CustomReportCreativeDetail.aspx?App=23&amp;ReportView=4&amp;Qid=1711279&amp;Row=23832&amp;Col=1","No Title Assigned - #15282672141")</f>
        <v/>
      </c>
      <c r="B23840" s="0" t="s">
        <v>31878</v>
      </c>
      <c r="C23840" s="0" t="s">
        <v>31879</v>
      </c>
      <c r="D23840" s="0" t="s">
        <v>22540</v>
      </c>
      <c r="E23840" s="0" t="inlineStr">
        <is>
          <t xml:space="preserve">Mazda</t>
        </is>
      </c>
      <c r="F23840" s="0" t="s">
        <v>13</v>
      </c>
      <c r="G23840" s="0" t="s">
        <v>49</v>
      </c>
      <c r="H23840" s="5">
        <v>0.972600</v>
      </c>
    </row>
    <row r="23841" spans="1:9">
      <c r="A23841" s="22" t="str">
        <f>HYPERLINK("https://app.vivvix.com/360/KMI/IntelliDrive/ApplUI/Pages/CreativePages/CustomReportCreativeDetail.aspx?App=23&amp;ReportView=4&amp;Qid=1711279&amp;Row=23833&amp;Col=1","No Title Assigned - #15282673036")</f>
        <v/>
      </c>
      <c r="B23841" s="0" t="s">
        <v>31880</v>
      </c>
      <c r="C23841" s="0" t="s">
        <v>31881</v>
      </c>
      <c r="D23841" s="0" t="s">
        <v>31881</v>
      </c>
      <c r="E23841" s="0" t="inlineStr">
        <is>
          <t xml:space="preserve">Mazda</t>
        </is>
      </c>
      <c r="F23841" s="0" t="inlineStr">
        <is>
          <t xml:space="preserve">Mazda</t>
        </is>
      </c>
      <c r="G23841" s="0" t="s">
        <v>210</v>
      </c>
      <c r="H23841" s="5">
        <v>818.580100</v>
      </c>
    </row>
    <row r="23842" spans="1:9">
      <c r="A23842" s="22" t="str">
        <f>HYPERLINK("https://app.vivvix.com/360/KMI/IntelliDrive/ApplUI/Pages/CreativePages/CustomReportCreativeDetail.aspx?App=23&amp;ReportView=4&amp;Qid=1711279&amp;Row=23834&amp;Col=1","No Title Assigned - #15282676199")</f>
        <v/>
      </c>
      <c r="B23842" s="0" t="s">
        <v>31882</v>
      </c>
      <c r="C23842" s="0" t="s">
        <v>31883</v>
      </c>
      <c r="D23842" s="0" t="s">
        <v>31883</v>
      </c>
      <c r="E23842" s="0" t="inlineStr">
        <is>
          <t xml:space="preserve">Mazda</t>
        </is>
      </c>
      <c r="F23842" s="0" t="s">
        <v>13</v>
      </c>
      <c r="G23842" s="0" t="s">
        <v>49</v>
      </c>
      <c r="H23842" s="5">
        <v>3.583400</v>
      </c>
    </row>
    <row r="23843" spans="1:9">
      <c r="A23843" s="22" t="str">
        <f>HYPERLINK("https://app.vivvix.com/360/KMI/IntelliDrive/ApplUI/Pages/CreativePages/CustomReportCreativeDetail.aspx?App=23&amp;ReportView=4&amp;Qid=1711279&amp;Row=23835&amp;Col=1","No Title Assigned - #15282676237")</f>
        <v/>
      </c>
      <c r="B23843" s="0" t="s">
        <v>31884</v>
      </c>
      <c r="C23843" s="0" t="s">
        <v>31885</v>
      </c>
      <c r="D23843" s="0" t="s">
        <v>31885</v>
      </c>
      <c r="E23843" s="0" t="inlineStr">
        <is>
          <t xml:space="preserve">Mazda</t>
        </is>
      </c>
      <c r="F23843" s="0" t="s">
        <v>13</v>
      </c>
      <c r="G23843" s="0" t="s">
        <v>49</v>
      </c>
      <c r="H23843" s="5">
        <v>308.567300</v>
      </c>
    </row>
    <row r="23844" spans="1:9">
      <c r="A23844" s="22" t="str">
        <f>HYPERLINK("https://app.vivvix.com/360/KMI/IntelliDrive/ApplUI/Pages/CreativePages/CustomReportCreativeDetail.aspx?App=23&amp;ReportView=4&amp;Qid=1711279&amp;Row=23836&amp;Col=1","No Title Assigned - #15282676605")</f>
        <v/>
      </c>
      <c r="B23844" s="0" t="s">
        <v>31886</v>
      </c>
      <c r="C23844" s="0" t="s">
        <v>31887</v>
      </c>
      <c r="D23844" s="0" t="s">
        <v>4335</v>
      </c>
      <c r="E23844" s="0" t="inlineStr">
        <is>
          <t xml:space="preserve">Mazda</t>
        </is>
      </c>
      <c r="F23844" s="0" t="s">
        <v>13</v>
      </c>
      <c r="G23844" s="0" t="s">
        <v>49</v>
      </c>
      <c r="H23844" s="5">
        <v>142.574400</v>
      </c>
    </row>
    <row r="23845" spans="1:9">
      <c r="A23845" s="22" t="str">
        <f>HYPERLINK("https://app.vivvix.com/360/KMI/IntelliDrive/ApplUI/Pages/CreativePages/CustomReportCreativeDetail.aspx?App=23&amp;ReportView=4&amp;Qid=1711279&amp;Row=23837&amp;Col=1","No Title Assigned - #15282676700")</f>
        <v/>
      </c>
      <c r="B23845" s="0" t="s">
        <v>31888</v>
      </c>
      <c r="C23845" s="0" t="s">
        <v>31889</v>
      </c>
      <c r="D23845" s="0" t="s">
        <v>10059</v>
      </c>
      <c r="E23845" s="0" t="inlineStr">
        <is>
          <t xml:space="preserve">Mazda</t>
        </is>
      </c>
      <c r="F23845" s="0" t="s">
        <v>13</v>
      </c>
      <c r="G23845" s="0" t="s">
        <v>49</v>
      </c>
      <c r="H23845" s="5">
        <v>70.505600</v>
      </c>
    </row>
    <row r="23846" spans="1:9">
      <c r="A23846" s="22" t="str">
        <f>HYPERLINK("https://app.vivvix.com/360/KMI/IntelliDrive/ApplUI/Pages/CreativePages/CustomReportCreativeDetail.aspx?App=23&amp;ReportView=4&amp;Qid=1711279&amp;Row=23838&amp;Col=1","No Title Assigned - #15282676701")</f>
        <v/>
      </c>
      <c r="B23846" s="0" t="s">
        <v>31890</v>
      </c>
      <c r="C23846" s="0" t="s">
        <v>31891</v>
      </c>
      <c r="D23846" s="0" t="s">
        <v>10059</v>
      </c>
      <c r="E23846" s="0" t="inlineStr">
        <is>
          <t xml:space="preserve">Mazda</t>
        </is>
      </c>
      <c r="F23846" s="0" t="s">
        <v>13</v>
      </c>
      <c r="G23846" s="0" t="s">
        <v>49</v>
      </c>
      <c r="H23846" s="5">
        <v>3443.480100</v>
      </c>
    </row>
    <row r="23847" spans="1:9">
      <c r="A23847" s="22" t="str">
        <f>HYPERLINK("https://app.vivvix.com/360/KMI/IntelliDrive/ApplUI/Pages/CreativePages/CustomReportCreativeDetail.aspx?App=23&amp;ReportView=4&amp;Qid=1711279&amp;Row=23839&amp;Col=1","No Title Assigned - #15282679495")</f>
        <v/>
      </c>
      <c r="B23847" s="0" t="s">
        <v>31892</v>
      </c>
      <c r="C23847" s="0" t="s">
        <v>31893</v>
      </c>
      <c r="D23847" s="0" t="s">
        <v>31893</v>
      </c>
      <c r="E23847" s="0" t="inlineStr">
        <is>
          <t xml:space="preserve">Mazda</t>
        </is>
      </c>
      <c r="F23847" s="0" t="s">
        <v>13</v>
      </c>
      <c r="G23847" s="0" t="s">
        <v>49</v>
      </c>
      <c r="H23847" s="5">
        <v>1316.878800</v>
      </c>
    </row>
    <row r="23848" spans="1:9">
      <c r="A23848" s="22" t="str">
        <f>HYPERLINK("https://app.vivvix.com/360/KMI/IntelliDrive/ApplUI/Pages/CreativePages/CustomReportCreativeDetail.aspx?App=23&amp;ReportView=4&amp;Qid=1711279&amp;Row=23840&amp;Col=1","No Title Assigned - #15282680791")</f>
        <v/>
      </c>
      <c r="B23848" s="0" t="s">
        <v>31894</v>
      </c>
      <c r="C23848" s="0" t="s">
        <v>31895</v>
      </c>
      <c r="D23848" s="0" t="s">
        <v>4335</v>
      </c>
      <c r="E23848" s="0" t="inlineStr">
        <is>
          <t xml:space="preserve">Mazda</t>
        </is>
      </c>
      <c r="F23848" s="0" t="s">
        <v>13</v>
      </c>
      <c r="G23848" s="0" t="s">
        <v>49</v>
      </c>
      <c r="H23848" s="5">
        <v>1137.829000</v>
      </c>
    </row>
    <row r="23849" spans="1:9">
      <c r="A23849" s="22" t="str">
        <f>HYPERLINK("https://app.vivvix.com/360/KMI/IntelliDrive/ApplUI/Pages/CreativePages/CustomReportCreativeDetail.aspx?App=23&amp;ReportView=4&amp;Qid=1711279&amp;Row=23841&amp;Col=1","No Title Assigned - #15282682007")</f>
        <v/>
      </c>
      <c r="B23849" s="0" t="s">
        <v>31896</v>
      </c>
      <c r="E23849" s="0" t="inlineStr">
        <is>
          <t xml:space="preserve">Mazda</t>
        </is>
      </c>
      <c r="F23849" s="0" t="inlineStr">
        <is>
          <t xml:space="preserve">Mazda</t>
        </is>
      </c>
      <c r="G23849" s="0" t="s">
        <v>171</v>
      </c>
      <c r="H23849" s="5">
        <v>6464.197800</v>
      </c>
    </row>
    <row r="23850" spans="1:9">
      <c r="A23850" s="22" t="str">
        <f>HYPERLINK("https://app.vivvix.com/360/KMI/IntelliDrive/ApplUI/Pages/CreativePages/CustomReportCreativeDetail.aspx?App=23&amp;ReportView=4&amp;Qid=1711279&amp;Row=23842&amp;Col=1","No Title Assigned - #15282682339")</f>
        <v/>
      </c>
      <c r="B23850" s="0" t="s">
        <v>31897</v>
      </c>
      <c r="E23850" s="0" t="inlineStr">
        <is>
          <t xml:space="preserve">Mazda</t>
        </is>
      </c>
      <c r="F23850" s="0" t="s">
        <v>17</v>
      </c>
      <c r="G23850" s="0" t="s">
        <v>33</v>
      </c>
      <c r="H23850" s="5">
        <v>749.781600</v>
      </c>
    </row>
    <row r="23851" spans="1:9">
      <c r="A23851" s="22" t="str">
        <f>HYPERLINK("https://app.vivvix.com/360/KMI/IntelliDrive/ApplUI/Pages/CreativePages/CustomReportCreativeDetail.aspx?App=23&amp;ReportView=4&amp;Qid=1711279&amp;Row=23843&amp;Col=1","No Title Assigned - #15282682339")</f>
        <v/>
      </c>
      <c r="B23851" s="0" t="s">
        <v>31897</v>
      </c>
      <c r="C23851" s="0" t="s">
        <v>31898</v>
      </c>
      <c r="D23851" s="0" t="s">
        <v>31898</v>
      </c>
      <c r="E23851" s="0" t="inlineStr">
        <is>
          <t xml:space="preserve">Mazda</t>
        </is>
      </c>
      <c r="F23851" s="0" t="s">
        <v>17</v>
      </c>
      <c r="G23851" s="0" t="s">
        <v>33</v>
      </c>
      <c r="H23851" s="5">
        <v>810.330300</v>
      </c>
    </row>
    <row r="23852" spans="1:9">
      <c r="A23852" s="22" t="str">
        <f>HYPERLINK("https://app.vivvix.com/360/KMI/IntelliDrive/ApplUI/Pages/CreativePages/CustomReportCreativeDetail.aspx?App=23&amp;ReportView=4&amp;Qid=1711279&amp;Row=23844&amp;Col=1","No Title Assigned - #15282683145")</f>
        <v/>
      </c>
      <c r="B23852" s="0" t="s">
        <v>31899</v>
      </c>
      <c r="E23852" s="0" t="inlineStr">
        <is>
          <t xml:space="preserve">Mazda</t>
        </is>
      </c>
      <c r="F23852" s="0" t="inlineStr">
        <is>
          <t xml:space="preserve">Mazda</t>
        </is>
      </c>
      <c r="G23852" s="0" t="s">
        <v>171</v>
      </c>
      <c r="H23852" s="5">
        <v>47.088300</v>
      </c>
    </row>
    <row r="23853" spans="1:9">
      <c r="A23853" s="22" t="str">
        <f>HYPERLINK("https://app.vivvix.com/360/KMI/IntelliDrive/ApplUI/Pages/CreativePages/CustomReportCreativeDetail.aspx?App=23&amp;ReportView=4&amp;Qid=1711279&amp;Row=23845&amp;Col=1","No Title Assigned - #15282684064")</f>
        <v/>
      </c>
      <c r="B23853" s="0" t="s">
        <v>31900</v>
      </c>
      <c r="E23853" s="0" t="inlineStr">
        <is>
          <t xml:space="preserve">Mazda</t>
        </is>
      </c>
      <c r="F23853" s="0" t="inlineStr">
        <is>
          <t xml:space="preserve">Mazda</t>
        </is>
      </c>
      <c r="G23853" s="0" t="s">
        <v>171</v>
      </c>
      <c r="H23853" s="5">
        <v>7.448600</v>
      </c>
    </row>
    <row r="23854" spans="1:9">
      <c r="A23854" s="22" t="str">
        <f>HYPERLINK("https://app.vivvix.com/360/KMI/IntelliDrive/ApplUI/Pages/CreativePages/CustomReportCreativeDetail.aspx?App=23&amp;ReportView=4&amp;Qid=1711279&amp;Row=23846&amp;Col=1","No Title Assigned - #15282684324")</f>
        <v/>
      </c>
      <c r="B23854" s="0" t="s">
        <v>31901</v>
      </c>
      <c r="E23854" s="0" t="inlineStr">
        <is>
          <t xml:space="preserve">Mazda</t>
        </is>
      </c>
      <c r="F23854" s="0" t="inlineStr">
        <is>
          <t xml:space="preserve">Mazda</t>
        </is>
      </c>
      <c r="G23854" s="0" t="s">
        <v>171</v>
      </c>
      <c r="H23854" s="5">
        <v>489.280900</v>
      </c>
    </row>
    <row r="23855" spans="1:9">
      <c r="A23855" s="22" t="str">
        <f>HYPERLINK("https://app.vivvix.com/360/KMI/IntelliDrive/ApplUI/Pages/CreativePages/CustomReportCreativeDetail.aspx?App=23&amp;ReportView=4&amp;Qid=1711279&amp;Row=23847&amp;Col=1","No Title Assigned - #15282685596")</f>
        <v/>
      </c>
      <c r="B23855" s="0" t="s">
        <v>31902</v>
      </c>
      <c r="E23855" s="0" t="inlineStr">
        <is>
          <t xml:space="preserve">Mazda</t>
        </is>
      </c>
      <c r="F23855" s="0" t="s">
        <v>13</v>
      </c>
      <c r="G23855" s="0" t="s">
        <v>49</v>
      </c>
      <c r="H23855" s="5">
        <v>1961.514800</v>
      </c>
    </row>
    <row r="23856" spans="1:9">
      <c r="A23856" s="22" t="str">
        <f>HYPERLINK("https://app.vivvix.com/360/KMI/IntelliDrive/ApplUI/Pages/CreativePages/CustomReportCreativeDetail.aspx?App=23&amp;ReportView=4&amp;Qid=1711279&amp;Row=23848&amp;Col=1","No Title Assigned - #15282685596")</f>
        <v/>
      </c>
      <c r="B23856" s="0" t="s">
        <v>31902</v>
      </c>
      <c r="C23856" s="0" t="s">
        <v>31903</v>
      </c>
      <c r="D23856" s="0" t="s">
        <v>31903</v>
      </c>
      <c r="E23856" s="0" t="inlineStr">
        <is>
          <t xml:space="preserve">Mazda</t>
        </is>
      </c>
      <c r="F23856" s="0" t="s">
        <v>13</v>
      </c>
      <c r="G23856" s="0" t="s">
        <v>49</v>
      </c>
      <c r="H23856" s="5">
        <v>28.383000</v>
      </c>
    </row>
    <row r="23857" spans="1:9">
      <c r="A23857" s="22" t="str">
        <f>HYPERLINK("https://app.vivvix.com/360/KMI/IntelliDrive/ApplUI/Pages/CreativePages/CustomReportCreativeDetail.aspx?App=23&amp;ReportView=4&amp;Qid=1711279&amp;Row=23849&amp;Col=1","No Title Assigned - #15282686082")</f>
        <v/>
      </c>
      <c r="B23857" s="0" t="s">
        <v>31904</v>
      </c>
      <c r="E23857" s="0" t="inlineStr">
        <is>
          <t xml:space="preserve">Mazda</t>
        </is>
      </c>
      <c r="F23857" s="0" t="inlineStr">
        <is>
          <t xml:space="preserve">Mazda</t>
        </is>
      </c>
      <c r="G23857" s="0" t="s">
        <v>171</v>
      </c>
      <c r="H23857" s="5">
        <v>57.902600</v>
      </c>
    </row>
    <row r="23858" spans="1:9">
      <c r="A23858" s="22" t="str">
        <f>HYPERLINK("https://app.vivvix.com/360/KMI/IntelliDrive/ApplUI/Pages/CreativePages/CustomReportCreativeDetail.aspx?App=23&amp;ReportView=4&amp;Qid=1711279&amp;Row=23850&amp;Col=1","No Title Assigned - #15282686166")</f>
        <v/>
      </c>
      <c r="B23858" s="0" t="s">
        <v>31905</v>
      </c>
      <c r="E23858" s="0" t="inlineStr">
        <is>
          <t xml:space="preserve">Mazda</t>
        </is>
      </c>
      <c r="F23858" s="0" t="inlineStr">
        <is>
          <t xml:space="preserve">Mazda</t>
        </is>
      </c>
      <c r="G23858" s="0" t="s">
        <v>171</v>
      </c>
      <c r="H23858" s="5">
        <v>1956.965900</v>
      </c>
    </row>
    <row r="23859" spans="1:9">
      <c r="A23859" s="22" t="str">
        <f>HYPERLINK("https://app.vivvix.com/360/KMI/IntelliDrive/ApplUI/Pages/CreativePages/CustomReportCreativeDetail.aspx?App=23&amp;ReportView=4&amp;Qid=1711279&amp;Row=23851&amp;Col=1","No Title Assigned - #15282686396")</f>
        <v/>
      </c>
      <c r="B23859" s="0" t="s">
        <v>31906</v>
      </c>
      <c r="E23859" s="0" t="inlineStr">
        <is>
          <t xml:space="preserve">Mazda</t>
        </is>
      </c>
      <c r="F23859" s="0" t="inlineStr">
        <is>
          <t xml:space="preserve">Mazda</t>
        </is>
      </c>
      <c r="G23859" s="0" t="s">
        <v>171</v>
      </c>
      <c r="H23859" s="5">
        <v>693.524500</v>
      </c>
    </row>
    <row r="23860" spans="1:9">
      <c r="A23860" s="22" t="str">
        <f>HYPERLINK("https://app.vivvix.com/360/KMI/IntelliDrive/ApplUI/Pages/CreativePages/CustomReportCreativeDetail.aspx?App=23&amp;ReportView=4&amp;Qid=1711279&amp;Row=23852&amp;Col=1","No Title Assigned - #15282686735")</f>
        <v/>
      </c>
      <c r="B23860" s="0" t="s">
        <v>31907</v>
      </c>
      <c r="C23860" s="0" t="s">
        <v>31908</v>
      </c>
      <c r="D23860" s="0" t="s">
        <v>31908</v>
      </c>
      <c r="E23860" s="0" t="inlineStr">
        <is>
          <t xml:space="preserve">Mazda</t>
        </is>
      </c>
      <c r="F23860" s="0" t="inlineStr">
        <is>
          <t xml:space="preserve">Mazda</t>
        </is>
      </c>
      <c r="G23860" s="0" t="s">
        <v>171</v>
      </c>
      <c r="H23860" s="5">
        <v>7923.044300</v>
      </c>
    </row>
    <row r="23861" spans="1:9">
      <c r="A23861" s="22" t="str">
        <f>HYPERLINK("https://app.vivvix.com/360/KMI/IntelliDrive/ApplUI/Pages/CreativePages/CustomReportCreativeDetail.aspx?App=23&amp;ReportView=4&amp;Qid=1711279&amp;Row=23853&amp;Col=1","No Title Assigned - #15282686735")</f>
        <v/>
      </c>
      <c r="B23861" s="0" t="s">
        <v>31907</v>
      </c>
      <c r="E23861" s="0" t="inlineStr">
        <is>
          <t xml:space="preserve">Mazda</t>
        </is>
      </c>
      <c r="F23861" s="0" t="inlineStr">
        <is>
          <t xml:space="preserve">Mazda</t>
        </is>
      </c>
      <c r="G23861" s="0" t="s">
        <v>171</v>
      </c>
      <c r="H23861" s="5">
        <v>409.715600</v>
      </c>
    </row>
    <row r="23862" spans="1:9">
      <c r="A23862" s="22" t="str">
        <f>HYPERLINK("https://app.vivvix.com/360/KMI/IntelliDrive/ApplUI/Pages/CreativePages/CustomReportCreativeDetail.aspx?App=23&amp;ReportView=4&amp;Qid=1711279&amp;Row=23854&amp;Col=1","No Title Assigned - #15282691077")</f>
        <v/>
      </c>
      <c r="B23862" s="0" t="s">
        <v>31909</v>
      </c>
      <c r="E23862" s="0" t="inlineStr">
        <is>
          <t xml:space="preserve">Mazda</t>
        </is>
      </c>
      <c r="F23862" s="0" t="inlineStr">
        <is>
          <t xml:space="preserve">Mazda</t>
        </is>
      </c>
      <c r="G23862" s="0" t="s">
        <v>171</v>
      </c>
      <c r="H23862" s="5">
        <v>308.984800</v>
      </c>
    </row>
    <row r="23863" spans="1:9">
      <c r="A23863" s="22" t="str">
        <f>HYPERLINK("https://app.vivvix.com/360/KMI/IntelliDrive/ApplUI/Pages/CreativePages/CustomReportCreativeDetail.aspx?App=23&amp;ReportView=4&amp;Qid=1711279&amp;Row=23855&amp;Col=1","No Title Assigned - #15282691700")</f>
        <v/>
      </c>
      <c r="B23863" s="0" t="s">
        <v>31910</v>
      </c>
      <c r="E23863" s="0" t="inlineStr">
        <is>
          <t xml:space="preserve">Mazda</t>
        </is>
      </c>
      <c r="F23863" s="0" t="inlineStr">
        <is>
          <t xml:space="preserve">Mazda</t>
        </is>
      </c>
      <c r="G23863" s="0" t="s">
        <v>171</v>
      </c>
      <c r="H23863" s="5">
        <v>7.448600</v>
      </c>
    </row>
    <row r="23864" spans="1:9">
      <c r="A23864" s="22" t="str">
        <f>HYPERLINK("https://app.vivvix.com/360/KMI/IntelliDrive/ApplUI/Pages/CreativePages/CustomReportCreativeDetail.aspx?App=23&amp;ReportView=4&amp;Qid=1711279&amp;Row=23856&amp;Col=1","No Title Assigned - #15282691738")</f>
        <v/>
      </c>
      <c r="B23864" s="0" t="s">
        <v>31911</v>
      </c>
      <c r="E23864" s="0" t="inlineStr">
        <is>
          <t xml:space="preserve">Mazda</t>
        </is>
      </c>
      <c r="F23864" s="0" t="inlineStr">
        <is>
          <t xml:space="preserve">Mazda</t>
        </is>
      </c>
      <c r="G23864" s="0" t="s">
        <v>171</v>
      </c>
      <c r="H23864" s="5">
        <v>825.162100</v>
      </c>
    </row>
    <row r="23865" spans="1:9">
      <c r="A23865" s="22" t="str">
        <f>HYPERLINK("https://app.vivvix.com/360/KMI/IntelliDrive/ApplUI/Pages/CreativePages/CustomReportCreativeDetail.aspx?App=23&amp;ReportView=4&amp;Qid=1711279&amp;Row=23857&amp;Col=1","No Title Assigned - #15282691738")</f>
        <v/>
      </c>
      <c r="B23865" s="0" t="s">
        <v>31911</v>
      </c>
      <c r="E23865" s="0" t="inlineStr">
        <is>
          <t xml:space="preserve">Mazda</t>
        </is>
      </c>
      <c r="F23865" s="0" t="inlineStr">
        <is>
          <t xml:space="preserve">Mazda</t>
        </is>
      </c>
      <c r="G23865" s="0" t="s">
        <v>171</v>
      </c>
      <c r="H23865" s="5">
        <v>151.564400</v>
      </c>
    </row>
    <row r="23866" spans="1:9">
      <c r="A23866" s="22" t="str">
        <f>HYPERLINK("https://app.vivvix.com/360/KMI/IntelliDrive/ApplUI/Pages/CreativePages/CustomReportCreativeDetail.aspx?App=23&amp;ReportView=4&amp;Qid=1711279&amp;Row=23858&amp;Col=1","No Title Assigned - #15282691739")</f>
        <v/>
      </c>
      <c r="B23866" s="0" t="s">
        <v>31912</v>
      </c>
      <c r="E23866" s="0" t="inlineStr">
        <is>
          <t xml:space="preserve">Mazda</t>
        </is>
      </c>
      <c r="F23866" s="0" t="inlineStr">
        <is>
          <t xml:space="preserve">Mazda</t>
        </is>
      </c>
      <c r="G23866" s="0" t="s">
        <v>171</v>
      </c>
      <c r="H23866" s="5">
        <v>151.564400</v>
      </c>
    </row>
    <row r="23867" spans="1:9">
      <c r="A23867" s="22" t="str">
        <f>HYPERLINK("https://app.vivvix.com/360/KMI/IntelliDrive/ApplUI/Pages/CreativePages/CustomReportCreativeDetail.aspx?App=23&amp;ReportView=4&amp;Qid=1711279&amp;Row=23859&amp;Col=1","No Title Assigned - #15282691739")</f>
        <v/>
      </c>
      <c r="B23867" s="0" t="s">
        <v>31912</v>
      </c>
      <c r="E23867" s="0" t="inlineStr">
        <is>
          <t xml:space="preserve">Mazda</t>
        </is>
      </c>
      <c r="F23867" s="0" t="inlineStr">
        <is>
          <t xml:space="preserve">Mazda</t>
        </is>
      </c>
      <c r="G23867" s="0" t="s">
        <v>171</v>
      </c>
      <c r="H23867" s="5">
        <v>223.183700</v>
      </c>
    </row>
    <row r="23868" spans="1:9">
      <c r="A23868" s="22" t="str">
        <f>HYPERLINK("https://app.vivvix.com/360/KMI/IntelliDrive/ApplUI/Pages/CreativePages/CustomReportCreativeDetail.aspx?App=23&amp;ReportView=4&amp;Qid=1711279&amp;Row=23860&amp;Col=1","No Title Assigned - #15282691786")</f>
        <v/>
      </c>
      <c r="B23868" s="0" t="s">
        <v>31913</v>
      </c>
      <c r="E23868" s="0" t="inlineStr">
        <is>
          <t xml:space="preserve">Mazda</t>
        </is>
      </c>
      <c r="F23868" s="0" t="inlineStr">
        <is>
          <t xml:space="preserve">Mazda</t>
        </is>
      </c>
      <c r="G23868" s="0" t="s">
        <v>171</v>
      </c>
      <c r="H23868" s="5">
        <v>7.448600</v>
      </c>
    </row>
    <row r="23869" spans="1:9">
      <c r="A23869" s="22" t="str">
        <f>HYPERLINK("https://app.vivvix.com/360/KMI/IntelliDrive/ApplUI/Pages/CreativePages/CustomReportCreativeDetail.aspx?App=23&amp;ReportView=4&amp;Qid=1711279&amp;Row=23861&amp;Col=1","No Title Assigned - #15282692152")</f>
        <v/>
      </c>
      <c r="B23869" s="0" t="s">
        <v>31914</v>
      </c>
      <c r="E23869" s="0" t="inlineStr">
        <is>
          <t xml:space="preserve">Mazda</t>
        </is>
      </c>
      <c r="F23869" s="0" t="inlineStr">
        <is>
          <t xml:space="preserve">Mazda</t>
        </is>
      </c>
      <c r="G23869" s="0" t="s">
        <v>171</v>
      </c>
      <c r="H23869" s="5">
        <v>30489.132800</v>
      </c>
    </row>
    <row r="23870" spans="1:9">
      <c r="A23870" s="22" t="str">
        <f>HYPERLINK("https://app.vivvix.com/360/KMI/IntelliDrive/ApplUI/Pages/CreativePages/CustomReportCreativeDetail.aspx?App=23&amp;ReportView=4&amp;Qid=1711279&amp;Row=23862&amp;Col=1","No Title Assigned - #15282692329")</f>
        <v/>
      </c>
      <c r="B23870" s="0" t="s">
        <v>31915</v>
      </c>
      <c r="E23870" s="0" t="inlineStr">
        <is>
          <t xml:space="preserve">Mazda</t>
        </is>
      </c>
      <c r="F23870" s="0" t="inlineStr">
        <is>
          <t xml:space="preserve">Mazda</t>
        </is>
      </c>
      <c r="G23870" s="0" t="s">
        <v>171</v>
      </c>
      <c r="H23870" s="5">
        <v>143.851500</v>
      </c>
    </row>
    <row r="23871" spans="1:9">
      <c r="A23871" s="22" t="str">
        <f>HYPERLINK("https://app.vivvix.com/360/KMI/IntelliDrive/ApplUI/Pages/CreativePages/CustomReportCreativeDetail.aspx?App=23&amp;ReportView=4&amp;Qid=1711279&amp;Row=23863&amp;Col=1","No Title Assigned - #15282692339")</f>
        <v/>
      </c>
      <c r="B23871" s="0" t="s">
        <v>31916</v>
      </c>
      <c r="E23871" s="0" t="inlineStr">
        <is>
          <t xml:space="preserve">Mazda</t>
        </is>
      </c>
      <c r="F23871" s="0" t="inlineStr">
        <is>
          <t xml:space="preserve">Mazda</t>
        </is>
      </c>
      <c r="G23871" s="0" t="s">
        <v>171</v>
      </c>
      <c r="H23871" s="5">
        <v>9.120500</v>
      </c>
    </row>
    <row r="23872" spans="1:9">
      <c r="A23872" s="22" t="str">
        <f>HYPERLINK("https://app.vivvix.com/360/KMI/IntelliDrive/ApplUI/Pages/CreativePages/CustomReportCreativeDetail.aspx?App=23&amp;ReportView=4&amp;Qid=1711279&amp;Row=23864&amp;Col=1","No Title Assigned - #15282695182")</f>
        <v/>
      </c>
      <c r="B23872" s="0" t="s">
        <v>31917</v>
      </c>
      <c r="E23872" s="0" t="inlineStr">
        <is>
          <t xml:space="preserve">Mazda</t>
        </is>
      </c>
      <c r="F23872" s="0" t="inlineStr">
        <is>
          <t xml:space="preserve">Mazda</t>
        </is>
      </c>
      <c r="G23872" s="0" t="s">
        <v>171</v>
      </c>
      <c r="H23872" s="5">
        <v>998.255600</v>
      </c>
    </row>
    <row r="23873" spans="1:9">
      <c r="A23873" s="22" t="str">
        <f>HYPERLINK("https://app.vivvix.com/360/KMI/IntelliDrive/ApplUI/Pages/CreativePages/CustomReportCreativeDetail.aspx?App=23&amp;ReportView=4&amp;Qid=1711279&amp;Row=23865&amp;Col=1","No Title Assigned - #15282695183")</f>
        <v/>
      </c>
      <c r="B23873" s="0" t="s">
        <v>31918</v>
      </c>
      <c r="E23873" s="0" t="inlineStr">
        <is>
          <t xml:space="preserve">Mazda</t>
        </is>
      </c>
      <c r="F23873" s="0" t="inlineStr">
        <is>
          <t xml:space="preserve">Mazda</t>
        </is>
      </c>
      <c r="G23873" s="0" t="s">
        <v>171</v>
      </c>
      <c r="H23873" s="5">
        <v>493.436000</v>
      </c>
    </row>
    <row r="23874" spans="1:9">
      <c r="A23874" s="22" t="str">
        <f>HYPERLINK("https://app.vivvix.com/360/KMI/IntelliDrive/ApplUI/Pages/CreativePages/CustomReportCreativeDetail.aspx?App=23&amp;ReportView=4&amp;Qid=1711279&amp;Row=23866&amp;Col=1","No Title Assigned - #15282697149")</f>
        <v/>
      </c>
      <c r="B23874" s="0" t="s">
        <v>31919</v>
      </c>
      <c r="E23874" s="0" t="inlineStr">
        <is>
          <t xml:space="preserve">Mazda</t>
        </is>
      </c>
      <c r="F23874" s="0" t="inlineStr">
        <is>
          <t xml:space="preserve">Mazda</t>
        </is>
      </c>
      <c r="G23874" s="0" t="s">
        <v>171</v>
      </c>
      <c r="H23874" s="5">
        <v>7.448600</v>
      </c>
    </row>
    <row r="23875" spans="1:9">
      <c r="A23875" s="22" t="str">
        <f>HYPERLINK("https://app.vivvix.com/360/KMI/IntelliDrive/ApplUI/Pages/CreativePages/CustomReportCreativeDetail.aspx?App=23&amp;ReportView=4&amp;Qid=1711279&amp;Row=23867&amp;Col=1","No Title Assigned - #15282698293")</f>
        <v/>
      </c>
      <c r="B23875" s="0" t="s">
        <v>31920</v>
      </c>
      <c r="E23875" s="0" t="inlineStr">
        <is>
          <t xml:space="preserve">Mazda</t>
        </is>
      </c>
      <c r="F23875" s="0" t="inlineStr">
        <is>
          <t xml:space="preserve">Mazda</t>
        </is>
      </c>
      <c r="G23875" s="0" t="s">
        <v>171</v>
      </c>
      <c r="H23875" s="5">
        <v>7.448600</v>
      </c>
    </row>
    <row r="23876" spans="1:9">
      <c r="A23876" s="22" t="str">
        <f>HYPERLINK("https://app.vivvix.com/360/KMI/IntelliDrive/ApplUI/Pages/CreativePages/CustomReportCreativeDetail.aspx?App=23&amp;ReportView=4&amp;Qid=1711279&amp;Row=23868&amp;Col=1","No Title Assigned - #15282698451")</f>
        <v/>
      </c>
      <c r="B23876" s="0" t="s">
        <v>31921</v>
      </c>
      <c r="E23876" s="0" t="inlineStr">
        <is>
          <t xml:space="preserve">Mazda</t>
        </is>
      </c>
      <c r="F23876" s="0" t="inlineStr">
        <is>
          <t xml:space="preserve">Mazda</t>
        </is>
      </c>
      <c r="G23876" s="0" t="s">
        <v>171</v>
      </c>
      <c r="H23876" s="5">
        <v>127.578400</v>
      </c>
    </row>
    <row r="23877" spans="1:9">
      <c r="A23877" s="22" t="str">
        <f>HYPERLINK("https://app.vivvix.com/360/KMI/IntelliDrive/ApplUI/Pages/CreativePages/CustomReportCreativeDetail.aspx?App=23&amp;ReportView=4&amp;Qid=1711279&amp;Row=23869&amp;Col=1","No Title Assigned - #15282698674")</f>
        <v/>
      </c>
      <c r="B23877" s="0" t="s">
        <v>31922</v>
      </c>
      <c r="E23877" s="0" t="inlineStr">
        <is>
          <t xml:space="preserve">Mazda</t>
        </is>
      </c>
      <c r="F23877" s="0" t="inlineStr">
        <is>
          <t xml:space="preserve">Mazda</t>
        </is>
      </c>
      <c r="G23877" s="0" t="s">
        <v>171</v>
      </c>
      <c r="H23877" s="5">
        <v>6.443400</v>
      </c>
    </row>
    <row r="23878" spans="1:9">
      <c r="A23878" s="22" t="str">
        <f>HYPERLINK("https://app.vivvix.com/360/KMI/IntelliDrive/ApplUI/Pages/CreativePages/CustomReportCreativeDetail.aspx?App=23&amp;ReportView=4&amp;Qid=1711279&amp;Row=23870&amp;Col=1","No Title Assigned - #15282700224")</f>
        <v/>
      </c>
      <c r="B23878" s="0" t="s">
        <v>31923</v>
      </c>
      <c r="E23878" s="0" t="inlineStr">
        <is>
          <t xml:space="preserve">Mazda</t>
        </is>
      </c>
      <c r="F23878" s="0" t="inlineStr">
        <is>
          <t xml:space="preserve">Mazda</t>
        </is>
      </c>
      <c r="G23878" s="0" t="s">
        <v>171</v>
      </c>
      <c r="H23878" s="5">
        <v>881.833100</v>
      </c>
    </row>
    <row r="23879" spans="1:9">
      <c r="A23879" s="22" t="str">
        <f>HYPERLINK("https://app.vivvix.com/360/KMI/IntelliDrive/ApplUI/Pages/CreativePages/CustomReportCreativeDetail.aspx?App=23&amp;ReportView=4&amp;Qid=1711279&amp;Row=23871&amp;Col=1","No Title Assigned - #15282700444")</f>
        <v/>
      </c>
      <c r="B23879" s="0" t="s">
        <v>31924</v>
      </c>
      <c r="C23879" s="0" t="s">
        <v>31925</v>
      </c>
      <c r="D23879" s="0" t="s">
        <v>11639</v>
      </c>
      <c r="E23879" s="0" t="inlineStr">
        <is>
          <t xml:space="preserve">Mazda</t>
        </is>
      </c>
      <c r="F23879" s="0" t="s">
        <v>13</v>
      </c>
      <c r="G23879" s="0" t="s">
        <v>49</v>
      </c>
      <c r="H23879" s="5">
        <v>24.576000</v>
      </c>
    </row>
    <row r="23880" spans="1:9">
      <c r="A23880" s="22" t="str">
        <f>HYPERLINK("https://app.vivvix.com/360/KMI/IntelliDrive/ApplUI/Pages/CreativePages/CustomReportCreativeDetail.aspx?App=23&amp;ReportView=4&amp;Qid=1711279&amp;Row=23872&amp;Col=1","No Title Assigned - #15282700712")</f>
        <v/>
      </c>
      <c r="B23880" s="0" t="s">
        <v>31926</v>
      </c>
      <c r="E23880" s="0" t="inlineStr">
        <is>
          <t xml:space="preserve">Mazda</t>
        </is>
      </c>
      <c r="F23880" s="0" t="inlineStr">
        <is>
          <t xml:space="preserve">Mazda</t>
        </is>
      </c>
      <c r="G23880" s="0" t="s">
        <v>171</v>
      </c>
      <c r="H23880" s="5">
        <v>414.702200</v>
      </c>
    </row>
    <row r="23881" spans="1:9">
      <c r="A23881" s="22" t="str">
        <f>HYPERLINK("https://app.vivvix.com/360/KMI/IntelliDrive/ApplUI/Pages/CreativePages/CustomReportCreativeDetail.aspx?App=23&amp;ReportView=4&amp;Qid=1711279&amp;Row=23873&amp;Col=1","No Title Assigned - #15282703344")</f>
        <v/>
      </c>
      <c r="B23881" s="0" t="s">
        <v>31927</v>
      </c>
      <c r="E23881" s="0" t="inlineStr">
        <is>
          <t xml:space="preserve">Mazda</t>
        </is>
      </c>
      <c r="F23881" s="0" t="inlineStr">
        <is>
          <t xml:space="preserve">Mazda</t>
        </is>
      </c>
      <c r="G23881" s="0" t="s">
        <v>171</v>
      </c>
      <c r="H23881" s="5">
        <v>49.839500</v>
      </c>
    </row>
    <row r="23882" spans="1:9">
      <c r="A23882" s="22" t="str">
        <f>HYPERLINK("https://app.vivvix.com/360/KMI/IntelliDrive/ApplUI/Pages/CreativePages/CustomReportCreativeDetail.aspx?App=23&amp;ReportView=4&amp;Qid=1711279&amp;Row=23874&amp;Col=1","No Title Assigned - #15282704487")</f>
        <v/>
      </c>
      <c r="B23882" s="0" t="s">
        <v>31928</v>
      </c>
      <c r="E23882" s="0" t="inlineStr">
        <is>
          <t xml:space="preserve">Mazda</t>
        </is>
      </c>
      <c r="F23882" s="0" t="inlineStr">
        <is>
          <t xml:space="preserve">Mazda</t>
        </is>
      </c>
      <c r="G23882" s="0" t="s">
        <v>171</v>
      </c>
      <c r="H23882" s="5">
        <v>463.529900</v>
      </c>
    </row>
    <row r="23883" spans="1:9">
      <c r="A23883" s="22" t="str">
        <f>HYPERLINK("https://app.vivvix.com/360/KMI/IntelliDrive/ApplUI/Pages/CreativePages/CustomReportCreativeDetail.aspx?App=23&amp;ReportView=4&amp;Qid=1711279&amp;Row=23875&amp;Col=1","No Title Assigned - #15282704490")</f>
        <v/>
      </c>
      <c r="B23883" s="0" t="s">
        <v>31929</v>
      </c>
      <c r="E23883" s="0" t="inlineStr">
        <is>
          <t xml:space="preserve">Mazda</t>
        </is>
      </c>
      <c r="F23883" s="0" t="inlineStr">
        <is>
          <t xml:space="preserve">Mazda</t>
        </is>
      </c>
      <c r="G23883" s="0" t="s">
        <v>171</v>
      </c>
      <c r="H23883" s="5">
        <v>463.529900</v>
      </c>
    </row>
    <row r="23884" spans="1:9">
      <c r="A23884" s="22" t="str">
        <f>HYPERLINK("https://app.vivvix.com/360/KMI/IntelliDrive/ApplUI/Pages/CreativePages/CustomReportCreativeDetail.aspx?App=23&amp;ReportView=4&amp;Qid=1711279&amp;Row=23876&amp;Col=1","No Title Assigned - #15282705667")</f>
        <v/>
      </c>
      <c r="B23884" s="0" t="s">
        <v>31930</v>
      </c>
      <c r="E23884" s="0" t="inlineStr">
        <is>
          <t xml:space="preserve">Mazda</t>
        </is>
      </c>
      <c r="F23884" s="0" t="s">
        <v>17</v>
      </c>
      <c r="G23884" s="0" t="s">
        <v>26491</v>
      </c>
      <c r="H23884" s="5">
        <v>815.411800</v>
      </c>
    </row>
    <row r="23885" spans="1:9">
      <c r="A23885" s="22" t="str">
        <f>HYPERLINK("https://app.vivvix.com/360/KMI/IntelliDrive/ApplUI/Pages/CreativePages/CustomReportCreativeDetail.aspx?App=23&amp;ReportView=4&amp;Qid=1711279&amp;Row=23877&amp;Col=1","No Title Assigned - #15282715415")</f>
        <v/>
      </c>
      <c r="B23885" s="0" t="s">
        <v>31931</v>
      </c>
      <c r="E23885" s="0" t="inlineStr">
        <is>
          <t xml:space="preserve">Mazda</t>
        </is>
      </c>
      <c r="F23885" s="0" t="inlineStr">
        <is>
          <t xml:space="preserve">Mazda</t>
        </is>
      </c>
      <c r="G23885" s="0" t="s">
        <v>171</v>
      </c>
      <c r="H23885" s="5">
        <v>94.406800</v>
      </c>
    </row>
    <row r="23886" spans="1:9">
      <c r="A23886" s="22" t="str">
        <f>HYPERLINK("https://app.vivvix.com/360/KMI/IntelliDrive/ApplUI/Pages/CreativePages/CustomReportCreativeDetail.aspx?App=23&amp;ReportView=4&amp;Qid=1711279&amp;Row=23878&amp;Col=1","No Title Assigned - #15282715444")</f>
        <v/>
      </c>
      <c r="B23886" s="0" t="s">
        <v>31932</v>
      </c>
      <c r="E23886" s="0" t="inlineStr">
        <is>
          <t xml:space="preserve">Mazda</t>
        </is>
      </c>
      <c r="F23886" s="0" t="inlineStr">
        <is>
          <t xml:space="preserve">Mazda</t>
        </is>
      </c>
      <c r="G23886" s="0" t="s">
        <v>171</v>
      </c>
      <c r="H23886" s="5">
        <v>47.203400</v>
      </c>
    </row>
    <row r="23887" spans="1:9">
      <c r="A23887" s="22" t="str">
        <f>HYPERLINK("https://app.vivvix.com/360/KMI/IntelliDrive/ApplUI/Pages/CreativePages/CustomReportCreativeDetail.aspx?App=23&amp;ReportView=4&amp;Qid=1711279&amp;Row=23879&amp;Col=1","No Title Assigned - #15282724398")</f>
        <v/>
      </c>
      <c r="B23887" s="0" t="s">
        <v>31933</v>
      </c>
      <c r="C23887" s="0" t="s">
        <v>31934</v>
      </c>
      <c r="D23887" s="0" t="s">
        <v>31934</v>
      </c>
      <c r="E23887" s="0" t="inlineStr">
        <is>
          <t xml:space="preserve">Mazda</t>
        </is>
      </c>
      <c r="F23887" s="0" t="inlineStr">
        <is>
          <t xml:space="preserve">Mazda</t>
        </is>
      </c>
      <c r="G23887" s="0" t="s">
        <v>210</v>
      </c>
      <c r="H23887" s="5">
        <v>672.627900</v>
      </c>
    </row>
    <row r="23888" spans="1:9">
      <c r="A23888" s="22" t="str">
        <f>HYPERLINK("https://app.vivvix.com/360/KMI/IntelliDrive/ApplUI/Pages/CreativePages/CustomReportCreativeDetail.aspx?App=23&amp;ReportView=4&amp;Qid=1711279&amp;Row=23880&amp;Col=1","No Title Assigned - #15282726450")</f>
        <v/>
      </c>
      <c r="B23888" s="0" t="s">
        <v>31935</v>
      </c>
      <c r="C23888" s="0" t="s">
        <v>31936</v>
      </c>
      <c r="D23888" s="0" t="s">
        <v>31936</v>
      </c>
      <c r="E23888" s="0" t="inlineStr">
        <is>
          <t xml:space="preserve">Mazda</t>
        </is>
      </c>
      <c r="F23888" s="0" t="s">
        <v>13</v>
      </c>
      <c r="G23888" s="0" t="s">
        <v>49</v>
      </c>
      <c r="H23888" s="5">
        <v>269.318500</v>
      </c>
    </row>
    <row r="23889" spans="1:9">
      <c r="A23889" s="22" t="str">
        <f>HYPERLINK("https://app.vivvix.com/360/KMI/IntelliDrive/ApplUI/Pages/CreativePages/CustomReportCreativeDetail.aspx?App=23&amp;ReportView=4&amp;Qid=1711279&amp;Row=23881&amp;Col=1","No Title Assigned - #15282726781")</f>
        <v/>
      </c>
      <c r="B23889" s="0" t="s">
        <v>31937</v>
      </c>
      <c r="C23889" s="0" t="s">
        <v>31938</v>
      </c>
      <c r="D23889" s="0" t="s">
        <v>31938</v>
      </c>
      <c r="E23889" s="0" t="inlineStr">
        <is>
          <t xml:space="preserve">Mazda</t>
        </is>
      </c>
      <c r="F23889" s="0" t="s">
        <v>115</v>
      </c>
      <c r="G23889" s="0" t="s">
        <v>365</v>
      </c>
      <c r="H23889" s="5">
        <v>679.318500</v>
      </c>
    </row>
    <row r="23890" spans="1:9">
      <c r="A23890" s="22" t="str">
        <f>HYPERLINK("https://app.vivvix.com/360/KMI/IntelliDrive/ApplUI/Pages/CreativePages/CustomReportCreativeDetail.aspx?App=23&amp;ReportView=4&amp;Qid=1711279&amp;Row=23882&amp;Col=1","No Title Assigned - #15282727775")</f>
        <v/>
      </c>
      <c r="B23890" s="0" t="s">
        <v>31939</v>
      </c>
      <c r="C23890" s="0" t="s">
        <v>31940</v>
      </c>
      <c r="D23890" s="0" t="s">
        <v>31940</v>
      </c>
      <c r="E23890" s="0" t="inlineStr">
        <is>
          <t xml:space="preserve">Mazda</t>
        </is>
      </c>
      <c r="F23890" s="0" t="s">
        <v>13</v>
      </c>
      <c r="G23890" s="0" t="s">
        <v>49</v>
      </c>
      <c r="H23890" s="5">
        <v>39450.905400</v>
      </c>
    </row>
    <row r="23891" spans="1:9">
      <c r="A23891" s="22" t="str">
        <f>HYPERLINK("https://app.vivvix.com/360/KMI/IntelliDrive/ApplUI/Pages/CreativePages/CustomReportCreativeDetail.aspx?App=23&amp;ReportView=4&amp;Qid=1711279&amp;Row=23883&amp;Col=1","No Title Assigned - #15282730715")</f>
        <v/>
      </c>
      <c r="B23891" s="0" t="s">
        <v>31941</v>
      </c>
      <c r="C23891" s="0" t="s">
        <v>31942</v>
      </c>
      <c r="D23891" s="0" t="s">
        <v>8560</v>
      </c>
      <c r="E23891" s="0" t="inlineStr">
        <is>
          <t xml:space="preserve">Mazda</t>
        </is>
      </c>
      <c r="F23891" s="0" t="s">
        <v>13</v>
      </c>
      <c r="G23891" s="0" t="s">
        <v>49</v>
      </c>
      <c r="H23891" s="5">
        <v>100.860200</v>
      </c>
    </row>
    <row r="23892" spans="1:9">
      <c r="A23892" s="22" t="str">
        <f>HYPERLINK("https://app.vivvix.com/360/KMI/IntelliDrive/ApplUI/Pages/CreativePages/CustomReportCreativeDetail.aspx?App=23&amp;ReportView=4&amp;Qid=1711279&amp;Row=23884&amp;Col=1","No Title Assigned - #15282732014")</f>
        <v/>
      </c>
      <c r="B23892" s="0" t="s">
        <v>31943</v>
      </c>
      <c r="E23892" s="0" t="inlineStr">
        <is>
          <t xml:space="preserve">Mazda</t>
        </is>
      </c>
      <c r="F23892" s="0" t="s">
        <v>204</v>
      </c>
      <c r="G23892" s="0" t="s">
        <v>205</v>
      </c>
      <c r="H23892" s="5">
        <v>524.035800</v>
      </c>
    </row>
    <row r="23893" spans="1:9">
      <c r="A23893" s="22" t="str">
        <f>HYPERLINK("https://app.vivvix.com/360/KMI/IntelliDrive/ApplUI/Pages/CreativePages/CustomReportCreativeDetail.aspx?App=23&amp;ReportView=4&amp;Qid=1711279&amp;Row=23885&amp;Col=1","No Title Assigned - #15282744745")</f>
        <v/>
      </c>
      <c r="B23893" s="0" t="s">
        <v>31944</v>
      </c>
      <c r="C23893" s="0" t="s">
        <v>31945</v>
      </c>
      <c r="D23893" s="0" t="s">
        <v>31945</v>
      </c>
      <c r="E23893" s="0" t="inlineStr">
        <is>
          <t xml:space="preserve">Mazda</t>
        </is>
      </c>
      <c r="F23893" s="0" t="s">
        <v>13</v>
      </c>
      <c r="G23893" s="0" t="s">
        <v>49</v>
      </c>
      <c r="H23893" s="5">
        <v>11.677500</v>
      </c>
    </row>
    <row r="23894" spans="1:9">
      <c r="A23894" s="22" t="str">
        <f>HYPERLINK("https://app.vivvix.com/360/KMI/IntelliDrive/ApplUI/Pages/CreativePages/CustomReportCreativeDetail.aspx?App=23&amp;ReportView=4&amp;Qid=1711279&amp;Row=23886&amp;Col=1","No Title Assigned - #15282744933")</f>
        <v/>
      </c>
      <c r="B23894" s="0" t="s">
        <v>31946</v>
      </c>
      <c r="C23894" s="0" t="s">
        <v>31947</v>
      </c>
      <c r="D23894" s="0" t="s">
        <v>10770</v>
      </c>
      <c r="E23894" s="0" t="inlineStr">
        <is>
          <t xml:space="preserve">Mazda</t>
        </is>
      </c>
      <c r="F23894" s="0" t="s">
        <v>13</v>
      </c>
      <c r="G23894" s="0" t="s">
        <v>49</v>
      </c>
      <c r="H23894" s="5">
        <v>38.893000</v>
      </c>
    </row>
    <row r="23895" spans="1:9">
      <c r="A23895" s="22" t="str">
        <f>HYPERLINK("https://app.vivvix.com/360/KMI/IntelliDrive/ApplUI/Pages/CreativePages/CustomReportCreativeDetail.aspx?App=23&amp;ReportView=4&amp;Qid=1711279&amp;Row=23887&amp;Col=1","No Title Assigned - #15282745146")</f>
        <v/>
      </c>
      <c r="B23895" s="0" t="s">
        <v>31948</v>
      </c>
      <c r="C23895" s="0" t="s">
        <v>31949</v>
      </c>
      <c r="D23895" s="0" t="s">
        <v>31949</v>
      </c>
      <c r="E23895" s="0" t="inlineStr">
        <is>
          <t xml:space="preserve">Mazda</t>
        </is>
      </c>
      <c r="F23895" s="0" t="s">
        <v>13</v>
      </c>
      <c r="G23895" s="0" t="s">
        <v>49</v>
      </c>
      <c r="H23895" s="5">
        <v>10.750200</v>
      </c>
    </row>
    <row r="23896" spans="1:9">
      <c r="A23896" s="22" t="str">
        <f>HYPERLINK("https://app.vivvix.com/360/KMI/IntelliDrive/ApplUI/Pages/CreativePages/CustomReportCreativeDetail.aspx?App=23&amp;ReportView=4&amp;Qid=1711279&amp;Row=23888&amp;Col=1","No Title Assigned - #15282745449")</f>
        <v/>
      </c>
      <c r="B23896" s="0" t="s">
        <v>31950</v>
      </c>
      <c r="C23896" s="0" t="s">
        <v>31951</v>
      </c>
      <c r="D23896" s="0" t="s">
        <v>31951</v>
      </c>
      <c r="E23896" s="0" t="inlineStr">
        <is>
          <t xml:space="preserve">Mazda</t>
        </is>
      </c>
      <c r="F23896" s="0" t="s">
        <v>13</v>
      </c>
      <c r="G23896" s="0" t="s">
        <v>49</v>
      </c>
      <c r="H23896" s="5">
        <v>116.912400</v>
      </c>
    </row>
    <row r="23897" spans="1:9">
      <c r="A23897" s="22" t="str">
        <f>HYPERLINK("https://app.vivvix.com/360/KMI/IntelliDrive/ApplUI/Pages/CreativePages/CustomReportCreativeDetail.aspx?App=23&amp;ReportView=4&amp;Qid=1711279&amp;Row=23889&amp;Col=1","No Title Assigned - #15282747723")</f>
        <v/>
      </c>
      <c r="B23897" s="0" t="s">
        <v>31952</v>
      </c>
      <c r="E23897" s="0" t="inlineStr">
        <is>
          <t xml:space="preserve">Mazda</t>
        </is>
      </c>
      <c r="F23897" s="0" t="inlineStr">
        <is>
          <t xml:space="preserve">Mazda</t>
        </is>
      </c>
      <c r="G23897" s="0" t="s">
        <v>171</v>
      </c>
      <c r="H23897" s="5">
        <v>2.536600</v>
      </c>
    </row>
    <row r="23898" spans="1:9">
      <c r="A23898" s="22" t="str">
        <f>HYPERLINK("https://app.vivvix.com/360/KMI/IntelliDrive/ApplUI/Pages/CreativePages/CustomReportCreativeDetail.aspx?App=23&amp;ReportView=4&amp;Qid=1711279&amp;Row=23890&amp;Col=1","No Title Assigned - #15282747904")</f>
        <v/>
      </c>
      <c r="B23898" s="0" t="s">
        <v>31953</v>
      </c>
      <c r="C23898" s="0" t="s">
        <v>31954</v>
      </c>
      <c r="D23898" s="0" t="s">
        <v>31954</v>
      </c>
      <c r="E23898" s="0" t="inlineStr">
        <is>
          <t xml:space="preserve">Mazda</t>
        </is>
      </c>
      <c r="F23898" s="0" t="s">
        <v>13</v>
      </c>
      <c r="G23898" s="0" t="s">
        <v>49</v>
      </c>
      <c r="H23898" s="5">
        <v>11.920200</v>
      </c>
    </row>
    <row r="23899" spans="1:9">
      <c r="A23899" s="22" t="str">
        <f>HYPERLINK("https://app.vivvix.com/360/KMI/IntelliDrive/ApplUI/Pages/CreativePages/CustomReportCreativeDetail.aspx?App=23&amp;ReportView=4&amp;Qid=1711279&amp;Row=23891&amp;Col=1","No Title Assigned - #15282747955")</f>
        <v/>
      </c>
      <c r="B23899" s="0" t="s">
        <v>31955</v>
      </c>
      <c r="C23899" s="0" t="s">
        <v>31956</v>
      </c>
      <c r="D23899" s="0" t="s">
        <v>8779</v>
      </c>
      <c r="E23899" s="0" t="inlineStr">
        <is>
          <t xml:space="preserve">Mazda</t>
        </is>
      </c>
      <c r="F23899" s="0" t="s">
        <v>13</v>
      </c>
      <c r="G23899" s="0" t="s">
        <v>49</v>
      </c>
      <c r="H23899" s="5">
        <v>181.061600</v>
      </c>
    </row>
    <row r="23900" spans="1:9">
      <c r="A23900" s="22" t="str">
        <f>HYPERLINK("https://app.vivvix.com/360/KMI/IntelliDrive/ApplUI/Pages/CreativePages/CustomReportCreativeDetail.aspx?App=23&amp;ReportView=4&amp;Qid=1711279&amp;Row=23892&amp;Col=1","No Title Assigned - #15282747972")</f>
        <v/>
      </c>
      <c r="B23900" s="0" t="s">
        <v>31957</v>
      </c>
      <c r="C23900" s="0" t="s">
        <v>31958</v>
      </c>
      <c r="D23900" s="0" t="s">
        <v>31958</v>
      </c>
      <c r="E23900" s="0" t="inlineStr">
        <is>
          <t xml:space="preserve">Mazda</t>
        </is>
      </c>
      <c r="F23900" s="0" t="s">
        <v>13</v>
      </c>
      <c r="G23900" s="0" t="s">
        <v>49</v>
      </c>
      <c r="H23900" s="5">
        <v>28.383000</v>
      </c>
    </row>
    <row r="23901" spans="1:9">
      <c r="A23901" s="22" t="str">
        <f>HYPERLINK("https://app.vivvix.com/360/KMI/IntelliDrive/ApplUI/Pages/CreativePages/CustomReportCreativeDetail.aspx?App=23&amp;ReportView=4&amp;Qid=1711279&amp;Row=23893&amp;Col=1","No Title Assigned - #15282748105")</f>
        <v/>
      </c>
      <c r="B23901" s="0" t="s">
        <v>31959</v>
      </c>
      <c r="C23901" s="0" t="s">
        <v>31960</v>
      </c>
      <c r="D23901" s="0" t="s">
        <v>31960</v>
      </c>
      <c r="E23901" s="0" t="inlineStr">
        <is>
          <t xml:space="preserve">Mazda</t>
        </is>
      </c>
      <c r="F23901" s="0" t="s">
        <v>13</v>
      </c>
      <c r="G23901" s="0" t="s">
        <v>49</v>
      </c>
      <c r="H23901" s="5">
        <v>3.973400</v>
      </c>
    </row>
    <row r="23902" spans="1:9">
      <c r="A23902" s="22" t="str">
        <f>HYPERLINK("https://app.vivvix.com/360/KMI/IntelliDrive/ApplUI/Pages/CreativePages/CustomReportCreativeDetail.aspx?App=23&amp;ReportView=4&amp;Qid=1711279&amp;Row=23894&amp;Col=1","No Title Assigned - #15282748674")</f>
        <v/>
      </c>
      <c r="B23902" s="0" t="s">
        <v>31961</v>
      </c>
      <c r="C23902" s="0" t="s">
        <v>31962</v>
      </c>
      <c r="D23902" s="0" t="s">
        <v>31962</v>
      </c>
      <c r="E23902" s="0" t="inlineStr">
        <is>
          <t xml:space="preserve">Mazda</t>
        </is>
      </c>
      <c r="F23902" s="0" t="s">
        <v>13</v>
      </c>
      <c r="G23902" s="0" t="s">
        <v>49</v>
      </c>
      <c r="H23902" s="5">
        <v>3.583400</v>
      </c>
    </row>
    <row r="23903" spans="1:9">
      <c r="A23903" s="22" t="str">
        <f>HYPERLINK("https://app.vivvix.com/360/KMI/IntelliDrive/ApplUI/Pages/CreativePages/CustomReportCreativeDetail.aspx?App=23&amp;ReportView=4&amp;Qid=1711279&amp;Row=23895&amp;Col=1","No Title Assigned - #15282748705")</f>
        <v/>
      </c>
      <c r="B23903" s="0" t="s">
        <v>31963</v>
      </c>
      <c r="C23903" s="0" t="s">
        <v>31964</v>
      </c>
      <c r="D23903" s="0" t="s">
        <v>31964</v>
      </c>
      <c r="E23903" s="0" t="inlineStr">
        <is>
          <t xml:space="preserve">Mazda</t>
        </is>
      </c>
      <c r="F23903" s="0" t="s">
        <v>13</v>
      </c>
      <c r="G23903" s="0" t="s">
        <v>49</v>
      </c>
      <c r="H23903" s="5">
        <v>3.583400</v>
      </c>
    </row>
    <row r="23904" spans="1:9">
      <c r="A23904" s="22" t="str">
        <f>HYPERLINK("https://app.vivvix.com/360/KMI/IntelliDrive/ApplUI/Pages/CreativePages/CustomReportCreativeDetail.aspx?App=23&amp;ReportView=4&amp;Qid=1711279&amp;Row=23896&amp;Col=1","No Title Assigned - #15282751555")</f>
        <v/>
      </c>
      <c r="B23904" s="0" t="s">
        <v>31965</v>
      </c>
      <c r="C23904" s="0" t="s">
        <v>31966</v>
      </c>
      <c r="D23904" s="0" t="s">
        <v>31966</v>
      </c>
      <c r="E23904" s="0" t="inlineStr">
        <is>
          <t xml:space="preserve">Mazda</t>
        </is>
      </c>
      <c r="F23904" s="0" t="s">
        <v>13</v>
      </c>
      <c r="G23904" s="0" t="s">
        <v>49</v>
      </c>
      <c r="H23904" s="5">
        <v>1914.460100</v>
      </c>
    </row>
    <row r="23905" spans="1:9">
      <c r="A23905" s="22" t="str">
        <f>HYPERLINK("https://app.vivvix.com/360/KMI/IntelliDrive/ApplUI/Pages/CreativePages/CustomReportCreativeDetail.aspx?App=23&amp;ReportView=4&amp;Qid=1711279&amp;Row=23897&amp;Col=1","No Title Assigned - #15282751899")</f>
        <v/>
      </c>
      <c r="B23905" s="0" t="s">
        <v>31967</v>
      </c>
      <c r="E23905" s="0" t="inlineStr">
        <is>
          <t xml:space="preserve">Mazda</t>
        </is>
      </c>
      <c r="F23905" s="0" t="inlineStr">
        <is>
          <t xml:space="preserve">Mazda</t>
        </is>
      </c>
      <c r="G23905" s="0" t="s">
        <v>171</v>
      </c>
      <c r="H23905" s="5">
        <v>120.872800</v>
      </c>
    </row>
    <row r="23906" spans="1:9">
      <c r="A23906" s="22" t="str">
        <f>HYPERLINK("https://app.vivvix.com/360/KMI/IntelliDrive/ApplUI/Pages/CreativePages/CustomReportCreativeDetail.aspx?App=23&amp;ReportView=4&amp;Qid=1711279&amp;Row=23898&amp;Col=1","No Title Assigned - #15282753341")</f>
        <v/>
      </c>
      <c r="B23906" s="0" t="s">
        <v>31968</v>
      </c>
      <c r="E23906" s="0" t="inlineStr">
        <is>
          <t xml:space="preserve">Mazda</t>
        </is>
      </c>
      <c r="F23906" s="0" t="inlineStr">
        <is>
          <t xml:space="preserve">Mazda</t>
        </is>
      </c>
      <c r="G23906" s="0" t="s">
        <v>171</v>
      </c>
      <c r="H23906" s="5">
        <v>356.170100</v>
      </c>
    </row>
    <row r="23907" spans="1:9">
      <c r="A23907" s="22" t="str">
        <f>HYPERLINK("https://app.vivvix.com/360/KMI/IntelliDrive/ApplUI/Pages/CreativePages/CustomReportCreativeDetail.aspx?App=23&amp;ReportView=4&amp;Qid=1711279&amp;Row=23899&amp;Col=1","No Title Assigned - #15282753346")</f>
        <v/>
      </c>
      <c r="B23907" s="0" t="s">
        <v>31969</v>
      </c>
      <c r="E23907" s="0" t="inlineStr">
        <is>
          <t xml:space="preserve">Mazda</t>
        </is>
      </c>
      <c r="F23907" s="0" t="inlineStr">
        <is>
          <t xml:space="preserve">Mazda</t>
        </is>
      </c>
      <c r="G23907" s="0" t="s">
        <v>171</v>
      </c>
      <c r="H23907" s="5">
        <v>427.151100</v>
      </c>
    </row>
    <row r="23908" spans="1:9">
      <c r="A23908" s="22" t="str">
        <f>HYPERLINK("https://app.vivvix.com/360/KMI/IntelliDrive/ApplUI/Pages/CreativePages/CustomReportCreativeDetail.aspx?App=23&amp;ReportView=4&amp;Qid=1711279&amp;Row=23900&amp;Col=1","No Title Assigned - #15282753361")</f>
        <v/>
      </c>
      <c r="B23908" s="0" t="s">
        <v>31970</v>
      </c>
      <c r="E23908" s="0" t="inlineStr">
        <is>
          <t xml:space="preserve">Mazda</t>
        </is>
      </c>
      <c r="F23908" s="0" t="inlineStr">
        <is>
          <t xml:space="preserve">Mazda</t>
        </is>
      </c>
      <c r="G23908" s="0" t="s">
        <v>171</v>
      </c>
      <c r="H23908" s="5">
        <v>28.951300</v>
      </c>
    </row>
    <row r="23909" spans="1:9">
      <c r="A23909" s="22" t="str">
        <f>HYPERLINK("https://app.vivvix.com/360/KMI/IntelliDrive/ApplUI/Pages/CreativePages/CustomReportCreativeDetail.aspx?App=23&amp;ReportView=4&amp;Qid=1711279&amp;Row=23901&amp;Col=1","No Title Assigned - #15282753708")</f>
        <v/>
      </c>
      <c r="B23909" s="0" t="s">
        <v>31971</v>
      </c>
      <c r="E23909" s="0" t="inlineStr">
        <is>
          <t xml:space="preserve">Mazda</t>
        </is>
      </c>
      <c r="F23909" s="0" t="inlineStr">
        <is>
          <t xml:space="preserve">Mazda</t>
        </is>
      </c>
      <c r="G23909" s="0" t="s">
        <v>171</v>
      </c>
      <c r="H23909" s="5">
        <v>15.324300</v>
      </c>
    </row>
    <row r="23910" spans="1:9">
      <c r="A23910" s="22" t="str">
        <f>HYPERLINK("https://app.vivvix.com/360/KMI/IntelliDrive/ApplUI/Pages/CreativePages/CustomReportCreativeDetail.aspx?App=23&amp;ReportView=4&amp;Qid=1711279&amp;Row=23902&amp;Col=1","No Title Assigned - #15282755255")</f>
        <v/>
      </c>
      <c r="B23910" s="0" t="s">
        <v>31972</v>
      </c>
      <c r="E23910" s="0" t="inlineStr">
        <is>
          <t xml:space="preserve">Mazda</t>
        </is>
      </c>
      <c r="F23910" s="0" t="inlineStr">
        <is>
          <t xml:space="preserve">Mazda</t>
        </is>
      </c>
      <c r="G23910" s="0" t="s">
        <v>171</v>
      </c>
      <c r="H23910" s="5">
        <v>75.007300</v>
      </c>
    </row>
    <row r="23911" spans="1:9">
      <c r="A23911" s="22" t="str">
        <f>HYPERLINK("https://app.vivvix.com/360/KMI/IntelliDrive/ApplUI/Pages/CreativePages/CustomReportCreativeDetail.aspx?App=23&amp;ReportView=4&amp;Qid=1711279&amp;Row=23903&amp;Col=1","No Title Assigned - #15282755516")</f>
        <v/>
      </c>
      <c r="B23911" s="0" t="s">
        <v>31973</v>
      </c>
      <c r="E23911" s="0" t="inlineStr">
        <is>
          <t xml:space="preserve">Mazda</t>
        </is>
      </c>
      <c r="F23911" s="0" t="inlineStr">
        <is>
          <t xml:space="preserve">Mazda</t>
        </is>
      </c>
      <c r="G23911" s="0" t="s">
        <v>171</v>
      </c>
      <c r="H23911" s="5">
        <v>150.591700</v>
      </c>
    </row>
    <row r="23912" spans="1:9">
      <c r="A23912" s="22" t="str">
        <f>HYPERLINK("https://app.vivvix.com/360/KMI/IntelliDrive/ApplUI/Pages/CreativePages/CustomReportCreativeDetail.aspx?App=23&amp;ReportView=4&amp;Qid=1711279&amp;Row=23904&amp;Col=1","No Title Assigned - #15282755752")</f>
        <v/>
      </c>
      <c r="B23912" s="0" t="s">
        <v>31974</v>
      </c>
      <c r="E23912" s="0" t="inlineStr">
        <is>
          <t xml:space="preserve">Mazda</t>
        </is>
      </c>
      <c r="F23912" s="0" t="inlineStr">
        <is>
          <t xml:space="preserve">Mazda</t>
        </is>
      </c>
      <c r="G23912" s="0" t="s">
        <v>171</v>
      </c>
      <c r="H23912" s="5">
        <v>2050.626600</v>
      </c>
    </row>
    <row r="23913" spans="1:9">
      <c r="A23913" s="22" t="str">
        <f>HYPERLINK("https://app.vivvix.com/360/KMI/IntelliDrive/ApplUI/Pages/CreativePages/CustomReportCreativeDetail.aspx?App=23&amp;ReportView=4&amp;Qid=1711279&amp;Row=23905&amp;Col=1","No Title Assigned - #15282755963")</f>
        <v/>
      </c>
      <c r="B23913" s="0" t="s">
        <v>31975</v>
      </c>
      <c r="E23913" s="0" t="inlineStr">
        <is>
          <t xml:space="preserve">Mazda</t>
        </is>
      </c>
      <c r="F23913" s="0" t="inlineStr">
        <is>
          <t xml:space="preserve">Mazda</t>
        </is>
      </c>
      <c r="G23913" s="0" t="s">
        <v>171</v>
      </c>
      <c r="H23913" s="5">
        <v>11100.074200</v>
      </c>
    </row>
    <row r="23914" spans="1:9">
      <c r="A23914" s="22" t="str">
        <f>HYPERLINK("https://app.vivvix.com/360/KMI/IntelliDrive/ApplUI/Pages/CreativePages/CustomReportCreativeDetail.aspx?App=23&amp;ReportView=4&amp;Qid=1711279&amp;Row=23906&amp;Col=1","No Title Assigned - #15282758946")</f>
        <v/>
      </c>
      <c r="B23914" s="0" t="s">
        <v>31976</v>
      </c>
      <c r="E23914" s="0" t="inlineStr">
        <is>
          <t xml:space="preserve">Mazda</t>
        </is>
      </c>
      <c r="F23914" s="0" t="inlineStr">
        <is>
          <t xml:space="preserve">Mazda</t>
        </is>
      </c>
      <c r="G23914" s="0" t="s">
        <v>171</v>
      </c>
      <c r="H23914" s="5">
        <v>151.564400</v>
      </c>
    </row>
    <row r="23915" spans="1:9">
      <c r="A23915" s="22" t="str">
        <f>HYPERLINK("https://app.vivvix.com/360/KMI/IntelliDrive/ApplUI/Pages/CreativePages/CustomReportCreativeDetail.aspx?App=23&amp;ReportView=4&amp;Qid=1711279&amp;Row=23907&amp;Col=1","No Title Assigned - #15282760962")</f>
        <v/>
      </c>
      <c r="B23915" s="0" t="s">
        <v>31977</v>
      </c>
      <c r="E23915" s="0" t="inlineStr">
        <is>
          <t xml:space="preserve">Mazda</t>
        </is>
      </c>
      <c r="F23915" s="0" t="inlineStr">
        <is>
          <t xml:space="preserve">Mazda</t>
        </is>
      </c>
      <c r="G23915" s="0" t="s">
        <v>171</v>
      </c>
      <c r="H23915" s="5">
        <v>123.384800</v>
      </c>
    </row>
    <row r="23916" spans="1:9">
      <c r="A23916" s="22" t="str">
        <f>HYPERLINK("https://app.vivvix.com/360/KMI/IntelliDrive/ApplUI/Pages/CreativePages/CustomReportCreativeDetail.aspx?App=23&amp;ReportView=4&amp;Qid=1711279&amp;Row=23908&amp;Col=1","No Title Assigned - #15282761054")</f>
        <v/>
      </c>
      <c r="B23916" s="0" t="s">
        <v>31978</v>
      </c>
      <c r="E23916" s="0" t="inlineStr">
        <is>
          <t xml:space="preserve">Mazda</t>
        </is>
      </c>
      <c r="F23916" s="0" t="inlineStr">
        <is>
          <t xml:space="preserve">Mazda</t>
        </is>
      </c>
      <c r="G23916" s="0" t="s">
        <v>171</v>
      </c>
      <c r="H23916" s="5">
        <v>274.014900</v>
      </c>
    </row>
    <row r="23917" spans="1:9">
      <c r="A23917" s="22" t="str">
        <f>HYPERLINK("https://app.vivvix.com/360/KMI/IntelliDrive/ApplUI/Pages/CreativePages/CustomReportCreativeDetail.aspx?App=23&amp;ReportView=4&amp;Qid=1711279&amp;Row=23909&amp;Col=1","No Title Assigned - #15282761118")</f>
        <v/>
      </c>
      <c r="B23917" s="0" t="s">
        <v>31979</v>
      </c>
      <c r="E23917" s="0" t="inlineStr">
        <is>
          <t xml:space="preserve">Mazda</t>
        </is>
      </c>
      <c r="F23917" s="0" t="inlineStr">
        <is>
          <t xml:space="preserve">Mazda</t>
        </is>
      </c>
      <c r="G23917" s="0" t="s">
        <v>171</v>
      </c>
      <c r="H23917" s="5">
        <v>307.299800</v>
      </c>
    </row>
    <row r="23918" spans="1:9">
      <c r="A23918" s="22" t="str">
        <f>HYPERLINK("https://app.vivvix.com/360/KMI/IntelliDrive/ApplUI/Pages/CreativePages/CustomReportCreativeDetail.aspx?App=23&amp;ReportView=4&amp;Qid=1711279&amp;Row=23910&amp;Col=1","No Title Assigned - #15282761313")</f>
        <v/>
      </c>
      <c r="B23918" s="0" t="s">
        <v>31980</v>
      </c>
      <c r="E23918" s="0" t="inlineStr">
        <is>
          <t xml:space="preserve">Mazda</t>
        </is>
      </c>
      <c r="F23918" s="0" t="inlineStr">
        <is>
          <t xml:space="preserve">Mazda</t>
        </is>
      </c>
      <c r="G23918" s="0" t="s">
        <v>171</v>
      </c>
      <c r="H23918" s="5">
        <v>1633.523500</v>
      </c>
    </row>
    <row r="23919" spans="1:9">
      <c r="A23919" s="22" t="str">
        <f>HYPERLINK("https://app.vivvix.com/360/KMI/IntelliDrive/ApplUI/Pages/CreativePages/CustomReportCreativeDetail.aspx?App=23&amp;ReportView=4&amp;Qid=1711279&amp;Row=23911&amp;Col=1","No Title Assigned - #15282761479")</f>
        <v/>
      </c>
      <c r="B23919" s="0" t="s">
        <v>31981</v>
      </c>
      <c r="E23919" s="0" t="inlineStr">
        <is>
          <t xml:space="preserve">Mazda</t>
        </is>
      </c>
      <c r="F23919" s="0" t="inlineStr">
        <is>
          <t xml:space="preserve">Mazda</t>
        </is>
      </c>
      <c r="G23919" s="0" t="s">
        <v>171</v>
      </c>
      <c r="H23919" s="5">
        <v>190.658600</v>
      </c>
    </row>
    <row r="23920" spans="1:9">
      <c r="A23920" s="22" t="str">
        <f>HYPERLINK("https://app.vivvix.com/360/KMI/IntelliDrive/ApplUI/Pages/CreativePages/CustomReportCreativeDetail.aspx?App=23&amp;ReportView=4&amp;Qid=1711279&amp;Row=23912&amp;Col=1","No Title Assigned - #15282761485")</f>
        <v/>
      </c>
      <c r="B23920" s="0" t="s">
        <v>31982</v>
      </c>
      <c r="E23920" s="0" t="inlineStr">
        <is>
          <t xml:space="preserve">Mazda</t>
        </is>
      </c>
      <c r="F23920" s="0" t="inlineStr">
        <is>
          <t xml:space="preserve">Mazda</t>
        </is>
      </c>
      <c r="G23920" s="0" t="s">
        <v>171</v>
      </c>
      <c r="H23920" s="5">
        <v>28.951300</v>
      </c>
    </row>
    <row r="23921" spans="1:9">
      <c r="A23921" s="22" t="str">
        <f>HYPERLINK("https://app.vivvix.com/360/KMI/IntelliDrive/ApplUI/Pages/CreativePages/CustomReportCreativeDetail.aspx?App=23&amp;ReportView=4&amp;Qid=1711279&amp;Row=23913&amp;Col=1","No Title Assigned - #15282761504")</f>
        <v/>
      </c>
      <c r="B23921" s="0" t="s">
        <v>31983</v>
      </c>
      <c r="E23921" s="0" t="inlineStr">
        <is>
          <t xml:space="preserve">Mazda</t>
        </is>
      </c>
      <c r="F23921" s="0" t="inlineStr">
        <is>
          <t xml:space="preserve">Mazda</t>
        </is>
      </c>
      <c r="G23921" s="0" t="s">
        <v>171</v>
      </c>
      <c r="H23921" s="5">
        <v>100.511600</v>
      </c>
    </row>
    <row r="23922" spans="1:9">
      <c r="A23922" s="22" t="str">
        <f>HYPERLINK("https://app.vivvix.com/360/KMI/IntelliDrive/ApplUI/Pages/CreativePages/CustomReportCreativeDetail.aspx?App=23&amp;ReportView=4&amp;Qid=1711279&amp;Row=23914&amp;Col=1","No Title Assigned - #15282761536")</f>
        <v/>
      </c>
      <c r="B23922" s="0" t="s">
        <v>31984</v>
      </c>
      <c r="E23922" s="0" t="inlineStr">
        <is>
          <t xml:space="preserve">Mazda</t>
        </is>
      </c>
      <c r="F23922" s="0" t="inlineStr">
        <is>
          <t xml:space="preserve">Mazda</t>
        </is>
      </c>
      <c r="G23922" s="0" t="s">
        <v>171</v>
      </c>
      <c r="H23922" s="5">
        <v>129.777700</v>
      </c>
    </row>
    <row r="23923" spans="1:9">
      <c r="A23923" s="22" t="str">
        <f>HYPERLINK("https://app.vivvix.com/360/KMI/IntelliDrive/ApplUI/Pages/CreativePages/CustomReportCreativeDetail.aspx?App=23&amp;ReportView=4&amp;Qid=1711279&amp;Row=23915&amp;Col=1","No Title Assigned - #15282761620")</f>
        <v/>
      </c>
      <c r="B23923" s="0" t="s">
        <v>31985</v>
      </c>
      <c r="E23923" s="0" t="inlineStr">
        <is>
          <t xml:space="preserve">Mazda</t>
        </is>
      </c>
      <c r="F23923" s="0" t="inlineStr">
        <is>
          <t xml:space="preserve">Mazda</t>
        </is>
      </c>
      <c r="G23923" s="0" t="s">
        <v>171</v>
      </c>
      <c r="H23923" s="5">
        <v>75.715000</v>
      </c>
    </row>
    <row r="23924" spans="1:9">
      <c r="A23924" s="22" t="str">
        <f>HYPERLINK("https://app.vivvix.com/360/KMI/IntelliDrive/ApplUI/Pages/CreativePages/CustomReportCreativeDetail.aspx?App=23&amp;ReportView=4&amp;Qid=1711279&amp;Row=23916&amp;Col=1","No Title Assigned - #15282761659")</f>
        <v/>
      </c>
      <c r="B23924" s="0" t="s">
        <v>31986</v>
      </c>
      <c r="E23924" s="0" t="inlineStr">
        <is>
          <t xml:space="preserve">Mazda</t>
        </is>
      </c>
      <c r="F23924" s="0" t="inlineStr">
        <is>
          <t xml:space="preserve">Mazda</t>
        </is>
      </c>
      <c r="G23924" s="0" t="s">
        <v>171</v>
      </c>
      <c r="H23924" s="5">
        <v>235.100800</v>
      </c>
    </row>
    <row r="23925" spans="1:9">
      <c r="A23925" s="22" t="str">
        <f>HYPERLINK("https://app.vivvix.com/360/KMI/IntelliDrive/ApplUI/Pages/CreativePages/CustomReportCreativeDetail.aspx?App=23&amp;ReportView=4&amp;Qid=1711279&amp;Row=23917&amp;Col=1","No Title Assigned - #15282761823")</f>
        <v/>
      </c>
      <c r="B23925" s="0" t="s">
        <v>31987</v>
      </c>
      <c r="E23925" s="0" t="inlineStr">
        <is>
          <t xml:space="preserve">Mazda</t>
        </is>
      </c>
      <c r="F23925" s="0" t="inlineStr">
        <is>
          <t xml:space="preserve">Mazda</t>
        </is>
      </c>
      <c r="G23925" s="0" t="s">
        <v>171</v>
      </c>
      <c r="H23925" s="5">
        <v>235.100800</v>
      </c>
    </row>
    <row r="23926" spans="1:9">
      <c r="A23926" s="22" t="str">
        <f>HYPERLINK("https://app.vivvix.com/360/KMI/IntelliDrive/ApplUI/Pages/CreativePages/CustomReportCreativeDetail.aspx?App=23&amp;ReportView=4&amp;Qid=1711279&amp;Row=23918&amp;Col=1","No Title Assigned - #15282764298")</f>
        <v/>
      </c>
      <c r="B23926" s="0" t="s">
        <v>31988</v>
      </c>
      <c r="E23926" s="0" t="inlineStr">
        <is>
          <t xml:space="preserve">Mazda</t>
        </is>
      </c>
      <c r="F23926" s="0" t="inlineStr">
        <is>
          <t xml:space="preserve">Mazda</t>
        </is>
      </c>
      <c r="G23926" s="0" t="s">
        <v>171</v>
      </c>
      <c r="H23926" s="5">
        <v>2445.425300</v>
      </c>
    </row>
    <row r="23927" spans="1:9">
      <c r="A23927" s="22" t="str">
        <f>HYPERLINK("https://app.vivvix.com/360/KMI/IntelliDrive/ApplUI/Pages/CreativePages/CustomReportCreativeDetail.aspx?App=23&amp;ReportView=4&amp;Qid=1711279&amp;Row=23919&amp;Col=1","No Title Assigned - #15282764317")</f>
        <v/>
      </c>
      <c r="B23927" s="0" t="s">
        <v>31989</v>
      </c>
      <c r="E23927" s="0" t="inlineStr">
        <is>
          <t xml:space="preserve">Mazda</t>
        </is>
      </c>
      <c r="F23927" s="0" t="inlineStr">
        <is>
          <t xml:space="preserve">Mazda</t>
        </is>
      </c>
      <c r="G23927" s="0" t="s">
        <v>171</v>
      </c>
      <c r="H23927" s="5">
        <v>2445.425300</v>
      </c>
    </row>
    <row r="23928" spans="1:9">
      <c r="A23928" s="22" t="str">
        <f>HYPERLINK("https://app.vivvix.com/360/KMI/IntelliDrive/ApplUI/Pages/CreativePages/CustomReportCreativeDetail.aspx?App=23&amp;ReportView=4&amp;Qid=1711279&amp;Row=23920&amp;Col=1","No Title Assigned - #15282766370")</f>
        <v/>
      </c>
      <c r="B23928" s="0" t="s">
        <v>31990</v>
      </c>
      <c r="E23928" s="0" t="inlineStr">
        <is>
          <t xml:space="preserve">Mazda</t>
        </is>
      </c>
      <c r="F23928" s="0" t="inlineStr">
        <is>
          <t xml:space="preserve">Mazda</t>
        </is>
      </c>
      <c r="G23928" s="0" t="s">
        <v>171</v>
      </c>
      <c r="H23928" s="5">
        <v>1123.454200</v>
      </c>
    </row>
    <row r="23929" spans="1:9">
      <c r="A23929" s="22" t="str">
        <f>HYPERLINK("https://app.vivvix.com/360/KMI/IntelliDrive/ApplUI/Pages/CreativePages/CustomReportCreativeDetail.aspx?App=23&amp;ReportView=4&amp;Qid=1711279&amp;Row=23921&amp;Col=1","No Title Assigned - #15282766552")</f>
        <v/>
      </c>
      <c r="B23929" s="0" t="s">
        <v>31991</v>
      </c>
      <c r="E23929" s="0" t="inlineStr">
        <is>
          <t xml:space="preserve">Mazda</t>
        </is>
      </c>
      <c r="F23929" s="0" t="s">
        <v>17</v>
      </c>
      <c r="G23929" s="0" t="s">
        <v>26491</v>
      </c>
      <c r="H23929" s="5">
        <v>410.463400</v>
      </c>
    </row>
    <row r="23930" spans="1:9">
      <c r="A23930" s="22" t="str">
        <f>HYPERLINK("https://app.vivvix.com/360/KMI/IntelliDrive/ApplUI/Pages/CreativePages/CustomReportCreativeDetail.aspx?App=23&amp;ReportView=4&amp;Qid=1711279&amp;Row=23922&amp;Col=1","No Title Assigned - #15282767296")</f>
        <v/>
      </c>
      <c r="B23930" s="0" t="s">
        <v>31992</v>
      </c>
      <c r="E23930" s="0" t="inlineStr">
        <is>
          <t xml:space="preserve">Mazda</t>
        </is>
      </c>
      <c r="F23930" s="0" t="s">
        <v>13</v>
      </c>
      <c r="G23930" s="0" t="s">
        <v>49</v>
      </c>
      <c r="H23930" s="5">
        <v>811.309800</v>
      </c>
    </row>
    <row r="23931" spans="1:9">
      <c r="A23931" s="22" t="str">
        <f>HYPERLINK("https://app.vivvix.com/360/KMI/IntelliDrive/ApplUI/Pages/CreativePages/CustomReportCreativeDetail.aspx?App=23&amp;ReportView=4&amp;Qid=1711279&amp;Row=23923&amp;Col=1","No Title Assigned - #15282767296")</f>
        <v/>
      </c>
      <c r="B23931" s="0" t="s">
        <v>31992</v>
      </c>
      <c r="C23931" s="0" t="s">
        <v>31993</v>
      </c>
      <c r="D23931" s="0" t="s">
        <v>9167</v>
      </c>
      <c r="E23931" s="0" t="inlineStr">
        <is>
          <t xml:space="preserve">Mazda</t>
        </is>
      </c>
      <c r="F23931" s="0" t="s">
        <v>13</v>
      </c>
      <c r="G23931" s="0" t="s">
        <v>49</v>
      </c>
      <c r="H23931" s="5">
        <v>59.184100</v>
      </c>
    </row>
    <row r="23932" spans="1:9">
      <c r="A23932" s="22" t="str">
        <f>HYPERLINK("https://app.vivvix.com/360/KMI/IntelliDrive/ApplUI/Pages/CreativePages/CustomReportCreativeDetail.aspx?App=23&amp;ReportView=4&amp;Qid=1711279&amp;Row=23924&amp;Col=1","No Title Assigned - #15282767564")</f>
        <v/>
      </c>
      <c r="B23932" s="0" t="s">
        <v>31994</v>
      </c>
      <c r="E23932" s="0" t="inlineStr">
        <is>
          <t xml:space="preserve">Mazda</t>
        </is>
      </c>
      <c r="F23932" s="0" t="inlineStr">
        <is>
          <t xml:space="preserve">Mazda</t>
        </is>
      </c>
      <c r="G23932" s="0" t="s">
        <v>171</v>
      </c>
      <c r="H23932" s="5">
        <v>269.494800</v>
      </c>
    </row>
    <row r="23933" spans="1:9">
      <c r="A23933" s="22" t="str">
        <f>HYPERLINK("https://app.vivvix.com/360/KMI/IntelliDrive/ApplUI/Pages/CreativePages/CustomReportCreativeDetail.aspx?App=23&amp;ReportView=4&amp;Qid=1711279&amp;Row=23925&amp;Col=1","No Title Assigned - #15282767564")</f>
        <v/>
      </c>
      <c r="B23933" s="0" t="s">
        <v>31994</v>
      </c>
      <c r="E23933" s="0" t="inlineStr">
        <is>
          <t xml:space="preserve">Mazda</t>
        </is>
      </c>
      <c r="F23933" s="0" t="inlineStr">
        <is>
          <t xml:space="preserve">Mazda</t>
        </is>
      </c>
      <c r="G23933" s="0" t="s">
        <v>171</v>
      </c>
      <c r="H23933" s="5">
        <v>856.915300</v>
      </c>
    </row>
    <row r="23934" spans="1:9">
      <c r="A23934" s="22" t="str">
        <f>HYPERLINK("https://app.vivvix.com/360/KMI/IntelliDrive/ApplUI/Pages/CreativePages/CustomReportCreativeDetail.aspx?App=23&amp;ReportView=4&amp;Qid=1711279&amp;Row=23926&amp;Col=1","No Title Assigned - #15282769002")</f>
        <v/>
      </c>
      <c r="B23934" s="0" t="s">
        <v>31995</v>
      </c>
      <c r="E23934" s="0" t="inlineStr">
        <is>
          <t xml:space="preserve">Mazda</t>
        </is>
      </c>
      <c r="F23934" s="0" t="inlineStr">
        <is>
          <t xml:space="preserve">Mazda</t>
        </is>
      </c>
      <c r="G23934" s="0" t="s">
        <v>171</v>
      </c>
      <c r="H23934" s="5">
        <v>75.007300</v>
      </c>
    </row>
    <row r="23935" spans="1:9">
      <c r="A23935" s="22" t="str">
        <f>HYPERLINK("https://app.vivvix.com/360/KMI/IntelliDrive/ApplUI/Pages/CreativePages/CustomReportCreativeDetail.aspx?App=23&amp;ReportView=4&amp;Qid=1711279&amp;Row=23927&amp;Col=1","No Title Assigned - #15282773112")</f>
        <v/>
      </c>
      <c r="B23935" s="0" t="s">
        <v>31996</v>
      </c>
      <c r="E23935" s="0" t="inlineStr">
        <is>
          <t xml:space="preserve">Mazda</t>
        </is>
      </c>
      <c r="F23935" s="0" t="inlineStr">
        <is>
          <t xml:space="preserve">Mazda</t>
        </is>
      </c>
      <c r="G23935" s="0" t="s">
        <v>171</v>
      </c>
      <c r="H23935" s="5">
        <v>95.596500</v>
      </c>
    </row>
    <row r="23936" spans="1:9">
      <c r="A23936" s="22" t="str">
        <f>HYPERLINK("https://app.vivvix.com/360/KMI/IntelliDrive/ApplUI/Pages/CreativePages/CustomReportCreativeDetail.aspx?App=23&amp;ReportView=4&amp;Qid=1711279&amp;Row=23928&amp;Col=1","No Title Assigned - #15282773116")</f>
        <v/>
      </c>
      <c r="B23936" s="0" t="s">
        <v>31997</v>
      </c>
      <c r="E23936" s="0" t="inlineStr">
        <is>
          <t xml:space="preserve">Mazda</t>
        </is>
      </c>
      <c r="F23936" s="0" t="inlineStr">
        <is>
          <t xml:space="preserve">Mazda</t>
        </is>
      </c>
      <c r="G23936" s="0" t="s">
        <v>171</v>
      </c>
      <c r="H23936" s="5">
        <v>7.448600</v>
      </c>
    </row>
    <row r="23937" spans="1:9">
      <c r="A23937" s="22" t="str">
        <f>HYPERLINK("https://app.vivvix.com/360/KMI/IntelliDrive/ApplUI/Pages/CreativePages/CustomReportCreativeDetail.aspx?App=23&amp;ReportView=4&amp;Qid=1711279&amp;Row=23929&amp;Col=1","No Title Assigned - #15282779308")</f>
        <v/>
      </c>
      <c r="B23937" s="0" t="s">
        <v>31998</v>
      </c>
      <c r="E23937" s="0" t="inlineStr">
        <is>
          <t xml:space="preserve">Mazda</t>
        </is>
      </c>
      <c r="F23937" s="0" t="inlineStr">
        <is>
          <t xml:space="preserve">Mazda</t>
        </is>
      </c>
      <c r="G23937" s="0" t="s">
        <v>171</v>
      </c>
      <c r="H23937" s="5">
        <v>5.073200</v>
      </c>
    </row>
    <row r="23938" spans="1:9">
      <c r="A23938" s="22" t="str">
        <f>HYPERLINK("https://app.vivvix.com/360/KMI/IntelliDrive/ApplUI/Pages/CreativePages/CustomReportCreativeDetail.aspx?App=23&amp;ReportView=4&amp;Qid=1711279&amp;Row=23930&amp;Col=1","No Title Assigned - #15282784242")</f>
        <v/>
      </c>
      <c r="B23938" s="0" t="s">
        <v>31999</v>
      </c>
      <c r="C23938" s="0" t="s">
        <v>32000</v>
      </c>
      <c r="D23938" s="0" t="s">
        <v>32000</v>
      </c>
      <c r="E23938" s="0" t="inlineStr">
        <is>
          <t xml:space="preserve">Mazda</t>
        </is>
      </c>
      <c r="F23938" s="0" t="s">
        <v>13</v>
      </c>
      <c r="G23938" s="0" t="s">
        <v>49</v>
      </c>
      <c r="H23938" s="5">
        <v>849.276900</v>
      </c>
    </row>
    <row r="23939" spans="1:9">
      <c r="A23939" s="22" t="str">
        <f>HYPERLINK("https://app.vivvix.com/360/KMI/IntelliDrive/ApplUI/Pages/CreativePages/CustomReportCreativeDetail.aspx?App=23&amp;ReportView=4&amp;Qid=1711279&amp;Row=23931&amp;Col=1","No Title Assigned - #15282790246")</f>
        <v/>
      </c>
      <c r="B23939" s="0" t="s">
        <v>32001</v>
      </c>
      <c r="C23939" s="0" t="s">
        <v>32002</v>
      </c>
      <c r="D23939" s="0" t="s">
        <v>32002</v>
      </c>
      <c r="E23939" s="0" t="inlineStr">
        <is>
          <t xml:space="preserve">Mazda</t>
        </is>
      </c>
      <c r="F23939" s="0" t="s">
        <v>13</v>
      </c>
      <c r="G23939" s="0" t="s">
        <v>49</v>
      </c>
      <c r="H23939" s="5">
        <v>414.132600</v>
      </c>
    </row>
    <row r="23940" spans="1:9">
      <c r="A23940" s="22" t="str">
        <f>HYPERLINK("https://app.vivvix.com/360/KMI/IntelliDrive/ApplUI/Pages/CreativePages/CustomReportCreativeDetail.aspx?App=23&amp;ReportView=4&amp;Qid=1711279&amp;Row=23932&amp;Col=1","No Title Assigned - #15282792640")</f>
        <v/>
      </c>
      <c r="B23940" s="0" t="s">
        <v>32003</v>
      </c>
      <c r="C23940" s="0" t="s">
        <v>32004</v>
      </c>
      <c r="D23940" s="0" t="s">
        <v>11469</v>
      </c>
      <c r="E23940" s="0" t="inlineStr">
        <is>
          <t xml:space="preserve">Mazda</t>
        </is>
      </c>
      <c r="F23940" s="0" t="s">
        <v>13</v>
      </c>
      <c r="G23940" s="0" t="s">
        <v>49</v>
      </c>
      <c r="H23940" s="5">
        <v>405.548100</v>
      </c>
    </row>
    <row r="23941" spans="1:9">
      <c r="A23941" s="22" t="str">
        <f>HYPERLINK("https://app.vivvix.com/360/KMI/IntelliDrive/ApplUI/Pages/CreativePages/CustomReportCreativeDetail.aspx?App=23&amp;ReportView=4&amp;Qid=1711279&amp;Row=23933&amp;Col=1","No Title Assigned - #15282795251")</f>
        <v/>
      </c>
      <c r="B23941" s="0" t="s">
        <v>32005</v>
      </c>
      <c r="C23941" s="0" t="s">
        <v>32006</v>
      </c>
      <c r="D23941" s="0" t="s">
        <v>32006</v>
      </c>
      <c r="E23941" s="0" t="inlineStr">
        <is>
          <t xml:space="preserve">Mazda</t>
        </is>
      </c>
      <c r="F23941" s="0" t="inlineStr">
        <is>
          <t xml:space="preserve">Mazda</t>
        </is>
      </c>
      <c r="G23941" s="0" t="s">
        <v>171</v>
      </c>
      <c r="H23941" s="5">
        <v>19634.622200</v>
      </c>
    </row>
    <row r="23942" spans="1:9">
      <c r="A23942" s="22" t="str">
        <f>HYPERLINK("https://app.vivvix.com/360/KMI/IntelliDrive/ApplUI/Pages/CreativePages/CustomReportCreativeDetail.aspx?App=23&amp;ReportView=4&amp;Qid=1711279&amp;Row=23934&amp;Col=1","No Title Assigned - #15282799438")</f>
        <v/>
      </c>
      <c r="B23942" s="0" t="s">
        <v>32007</v>
      </c>
      <c r="C23942" s="0" t="s">
        <v>32008</v>
      </c>
      <c r="D23942" s="0" t="s">
        <v>32008</v>
      </c>
      <c r="E23942" s="0" t="inlineStr">
        <is>
          <t xml:space="preserve">Mazda</t>
        </is>
      </c>
      <c r="F23942" s="0" t="s">
        <v>13</v>
      </c>
      <c r="G23942" s="0" t="s">
        <v>49</v>
      </c>
      <c r="H23942" s="5">
        <v>8565.903800</v>
      </c>
    </row>
    <row r="23943" spans="1:9">
      <c r="A23943" s="22" t="str">
        <f>HYPERLINK("https://app.vivvix.com/360/KMI/IntelliDrive/ApplUI/Pages/CreativePages/CustomReportCreativeDetail.aspx?App=23&amp;ReportView=4&amp;Qid=1711279&amp;Row=23935&amp;Col=1","No Title Assigned - #15282800614")</f>
        <v/>
      </c>
      <c r="B23943" s="0" t="s">
        <v>32009</v>
      </c>
      <c r="C23943" s="0" t="s">
        <v>32010</v>
      </c>
      <c r="D23943" s="0" t="s">
        <v>10311</v>
      </c>
      <c r="E23943" s="0" t="inlineStr">
        <is>
          <t xml:space="preserve">Mazda</t>
        </is>
      </c>
      <c r="F23943" s="0" t="s">
        <v>13</v>
      </c>
      <c r="G23943" s="0" t="s">
        <v>49</v>
      </c>
      <c r="H23943" s="5">
        <v>76.271100</v>
      </c>
    </row>
    <row r="23944" spans="1:9">
      <c r="A23944" s="22" t="str">
        <f>HYPERLINK("https://app.vivvix.com/360/KMI/IntelliDrive/ApplUI/Pages/CreativePages/CustomReportCreativeDetail.aspx?App=23&amp;ReportView=4&amp;Qid=1711279&amp;Row=23936&amp;Col=1","No Title Assigned - #15282801040")</f>
        <v/>
      </c>
      <c r="B23944" s="0" t="s">
        <v>32011</v>
      </c>
      <c r="E23944" s="0" t="inlineStr">
        <is>
          <t xml:space="preserve">Mazda</t>
        </is>
      </c>
      <c r="F23944" s="0" t="inlineStr">
        <is>
          <t xml:space="preserve">Mazda</t>
        </is>
      </c>
      <c r="G23944" s="0" t="s">
        <v>171</v>
      </c>
      <c r="H23944" s="5">
        <v>264.335200</v>
      </c>
    </row>
    <row r="23945" spans="1:9">
      <c r="A23945" s="22" t="str">
        <f>HYPERLINK("https://app.vivvix.com/360/KMI/IntelliDrive/ApplUI/Pages/CreativePages/CustomReportCreativeDetail.aspx?App=23&amp;ReportView=4&amp;Qid=1711279&amp;Row=23937&amp;Col=1","No Title Assigned - #15282801835")</f>
        <v/>
      </c>
      <c r="B23945" s="0" t="s">
        <v>32012</v>
      </c>
      <c r="C23945" s="0" t="s">
        <v>32013</v>
      </c>
      <c r="D23945" s="0" t="s">
        <v>27877</v>
      </c>
      <c r="E23945" s="0" t="inlineStr">
        <is>
          <t xml:space="preserve">Mazda</t>
        </is>
      </c>
      <c r="F23945" s="0" t="s">
        <v>13</v>
      </c>
      <c r="G23945" s="0" t="s">
        <v>49</v>
      </c>
      <c r="H23945" s="5">
        <v>88.607100</v>
      </c>
    </row>
    <row r="23946" spans="1:9">
      <c r="A23946" s="22" t="str">
        <f>HYPERLINK("https://app.vivvix.com/360/KMI/IntelliDrive/ApplUI/Pages/CreativePages/CustomReportCreativeDetail.aspx?App=23&amp;ReportView=4&amp;Qid=1711279&amp;Row=23938&amp;Col=1","No Title Assigned - #15282802662")</f>
        <v/>
      </c>
      <c r="B23946" s="0" t="s">
        <v>32014</v>
      </c>
      <c r="C23946" s="0" t="s">
        <v>32015</v>
      </c>
      <c r="D23946" s="0" t="s">
        <v>32015</v>
      </c>
      <c r="E23946" s="0" t="inlineStr">
        <is>
          <t xml:space="preserve">Mazda</t>
        </is>
      </c>
      <c r="F23946" s="0" t="s">
        <v>13</v>
      </c>
      <c r="G23946" s="0" t="s">
        <v>49</v>
      </c>
      <c r="H23946" s="5">
        <v>1137.829000</v>
      </c>
    </row>
    <row r="23947" spans="1:9">
      <c r="A23947" s="22" t="str">
        <f>HYPERLINK("https://app.vivvix.com/360/KMI/IntelliDrive/ApplUI/Pages/CreativePages/CustomReportCreativeDetail.aspx?App=23&amp;ReportView=4&amp;Qid=1711279&amp;Row=23939&amp;Col=1","No Title Assigned - #15282803513")</f>
        <v/>
      </c>
      <c r="B23947" s="0" t="s">
        <v>32016</v>
      </c>
      <c r="C23947" s="0" t="s">
        <v>32017</v>
      </c>
      <c r="D23947" s="0" t="s">
        <v>32017</v>
      </c>
      <c r="E23947" s="0" t="inlineStr">
        <is>
          <t xml:space="preserve">Mazda</t>
        </is>
      </c>
      <c r="F23947" s="0" t="s">
        <v>13</v>
      </c>
      <c r="G23947" s="0" t="s">
        <v>49</v>
      </c>
      <c r="H23947" s="5">
        <v>466.459100</v>
      </c>
    </row>
    <row r="23948" spans="1:9">
      <c r="A23948" s="22" t="str">
        <f>HYPERLINK("https://app.vivvix.com/360/KMI/IntelliDrive/ApplUI/Pages/CreativePages/CustomReportCreativeDetail.aspx?App=23&amp;ReportView=4&amp;Qid=1711279&amp;Row=23940&amp;Col=1","No Title Assigned - #15282803769")</f>
        <v/>
      </c>
      <c r="B23948" s="0" t="s">
        <v>32018</v>
      </c>
      <c r="C23948" s="0" t="s">
        <v>32019</v>
      </c>
      <c r="D23948" s="0" t="s">
        <v>32019</v>
      </c>
      <c r="E23948" s="0" t="inlineStr">
        <is>
          <t xml:space="preserve">Mazda</t>
        </is>
      </c>
      <c r="F23948" s="0" t="s">
        <v>13</v>
      </c>
      <c r="G23948" s="0" t="s">
        <v>49</v>
      </c>
      <c r="H23948" s="5">
        <v>460.790200</v>
      </c>
    </row>
    <row r="23949" spans="1:9">
      <c r="A23949" s="22" t="str">
        <f>HYPERLINK("https://app.vivvix.com/360/KMI/IntelliDrive/ApplUI/Pages/CreativePages/CustomReportCreativeDetail.aspx?App=23&amp;ReportView=4&amp;Qid=1711279&amp;Row=23941&amp;Col=1","No Title Assigned - #15282803875")</f>
        <v/>
      </c>
      <c r="B23949" s="0" t="s">
        <v>32020</v>
      </c>
      <c r="C23949" s="0" t="s">
        <v>32021</v>
      </c>
      <c r="D23949" s="0" t="s">
        <v>32021</v>
      </c>
      <c r="E23949" s="0" t="inlineStr">
        <is>
          <t xml:space="preserve">Mazda</t>
        </is>
      </c>
      <c r="F23949" s="0" t="s">
        <v>13</v>
      </c>
      <c r="G23949" s="0" t="s">
        <v>49</v>
      </c>
      <c r="H23949" s="5">
        <v>118.067200</v>
      </c>
    </row>
    <row r="23950" spans="1:9">
      <c r="A23950" s="22" t="str">
        <f>HYPERLINK("https://app.vivvix.com/360/KMI/IntelliDrive/ApplUI/Pages/CreativePages/CustomReportCreativeDetail.aspx?App=23&amp;ReportView=4&amp;Qid=1711279&amp;Row=23942&amp;Col=1","No Title Assigned - #15282804089")</f>
        <v/>
      </c>
      <c r="B23950" s="0" t="s">
        <v>32022</v>
      </c>
      <c r="E23950" s="0" t="inlineStr">
        <is>
          <t xml:space="preserve">Mazda</t>
        </is>
      </c>
      <c r="F23950" s="0" t="inlineStr">
        <is>
          <t xml:space="preserve">Mazda</t>
        </is>
      </c>
      <c r="G23950" s="0" t="s">
        <v>171</v>
      </c>
      <c r="H23950" s="5">
        <v>6.443400</v>
      </c>
    </row>
    <row r="23951" spans="1:9">
      <c r="A23951" s="22" t="str">
        <f>HYPERLINK("https://app.vivvix.com/360/KMI/IntelliDrive/ApplUI/Pages/CreativePages/CustomReportCreativeDetail.aspx?App=23&amp;ReportView=4&amp;Qid=1711279&amp;Row=23943&amp;Col=1","No Title Assigned - #15282805125")</f>
        <v/>
      </c>
      <c r="B23951" s="0" t="s">
        <v>32023</v>
      </c>
      <c r="E23951" s="0" t="inlineStr">
        <is>
          <t xml:space="preserve">Mazda</t>
        </is>
      </c>
      <c r="F23951" s="0" t="inlineStr">
        <is>
          <t xml:space="preserve">Mazda</t>
        </is>
      </c>
      <c r="G23951" s="0" t="s">
        <v>171</v>
      </c>
      <c r="H23951" s="5">
        <v>1.652300</v>
      </c>
    </row>
    <row r="23952" spans="1:9">
      <c r="A23952" s="22" t="str">
        <f>HYPERLINK("https://app.vivvix.com/360/KMI/IntelliDrive/ApplUI/Pages/CreativePages/CustomReportCreativeDetail.aspx?App=23&amp;ReportView=4&amp;Qid=1711279&amp;Row=23944&amp;Col=1","No Title Assigned - #15282805687")</f>
        <v/>
      </c>
      <c r="B23952" s="0" t="s">
        <v>32024</v>
      </c>
      <c r="C23952" s="0" t="s">
        <v>32025</v>
      </c>
      <c r="D23952" s="0" t="s">
        <v>4335</v>
      </c>
      <c r="E23952" s="0" t="inlineStr">
        <is>
          <t xml:space="preserve">Mazda</t>
        </is>
      </c>
      <c r="F23952" s="0" t="s">
        <v>13</v>
      </c>
      <c r="G23952" s="0" t="s">
        <v>49</v>
      </c>
      <c r="H23952" s="5">
        <v>2757.144400</v>
      </c>
    </row>
    <row r="23953" spans="1:9">
      <c r="A23953" s="22" t="str">
        <f>HYPERLINK("https://app.vivvix.com/360/KMI/IntelliDrive/ApplUI/Pages/CreativePages/CustomReportCreativeDetail.aspx?App=23&amp;ReportView=4&amp;Qid=1711279&amp;Row=23945&amp;Col=1","No Title Assigned - #15282806138")</f>
        <v/>
      </c>
      <c r="B23953" s="0" t="s">
        <v>32026</v>
      </c>
      <c r="E23953" s="0" t="inlineStr">
        <is>
          <t xml:space="preserve">Mazda</t>
        </is>
      </c>
      <c r="F23953" s="0" t="inlineStr">
        <is>
          <t xml:space="preserve">Mazda</t>
        </is>
      </c>
      <c r="G23953" s="0" t="s">
        <v>171</v>
      </c>
      <c r="H23953" s="5">
        <v>1138.282800</v>
      </c>
    </row>
    <row r="23954" spans="1:9">
      <c r="A23954" s="22" t="str">
        <f>HYPERLINK("https://app.vivvix.com/360/KMI/IntelliDrive/ApplUI/Pages/CreativePages/CustomReportCreativeDetail.aspx?App=23&amp;ReportView=4&amp;Qid=1711279&amp;Row=23946&amp;Col=1","No Title Assigned - #15282806838")</f>
        <v/>
      </c>
      <c r="B23954" s="0" t="s">
        <v>32027</v>
      </c>
      <c r="E23954" s="0" t="inlineStr">
        <is>
          <t xml:space="preserve">Mazda</t>
        </is>
      </c>
      <c r="F23954" s="0" t="inlineStr">
        <is>
          <t xml:space="preserve">Mazda</t>
        </is>
      </c>
      <c r="G23954" s="0" t="s">
        <v>171</v>
      </c>
      <c r="H23954" s="5">
        <v>811.185300</v>
      </c>
    </row>
    <row r="23955" spans="1:9">
      <c r="A23955" s="22" t="str">
        <f>HYPERLINK("https://app.vivvix.com/360/KMI/IntelliDrive/ApplUI/Pages/CreativePages/CustomReportCreativeDetail.aspx?App=23&amp;ReportView=4&amp;Qid=1711279&amp;Row=23947&amp;Col=1","No Title Assigned - #15282807434")</f>
        <v/>
      </c>
      <c r="B23955" s="0" t="s">
        <v>32028</v>
      </c>
      <c r="E23955" s="0" t="inlineStr">
        <is>
          <t xml:space="preserve">Mazda</t>
        </is>
      </c>
      <c r="F23955" s="0" t="inlineStr">
        <is>
          <t xml:space="preserve">Mazda</t>
        </is>
      </c>
      <c r="G23955" s="0" t="s">
        <v>171</v>
      </c>
      <c r="H23955" s="5">
        <v>22.070600</v>
      </c>
    </row>
    <row r="23956" spans="1:9">
      <c r="A23956" s="22" t="str">
        <f>HYPERLINK("https://app.vivvix.com/360/KMI/IntelliDrive/ApplUI/Pages/CreativePages/CustomReportCreativeDetail.aspx?App=23&amp;ReportView=4&amp;Qid=1711279&amp;Row=23948&amp;Col=1","No Title Assigned - #15282807766")</f>
        <v/>
      </c>
      <c r="B23956" s="0" t="s">
        <v>32029</v>
      </c>
      <c r="E23956" s="0" t="inlineStr">
        <is>
          <t xml:space="preserve">Mazda</t>
        </is>
      </c>
      <c r="F23956" s="0" t="inlineStr">
        <is>
          <t xml:space="preserve">Mazda</t>
        </is>
      </c>
      <c r="G23956" s="0" t="s">
        <v>171</v>
      </c>
      <c r="H23956" s="5">
        <v>7.448600</v>
      </c>
    </row>
    <row r="23957" spans="1:9">
      <c r="A23957" s="22" t="str">
        <f>HYPERLINK("https://app.vivvix.com/360/KMI/IntelliDrive/ApplUI/Pages/CreativePages/CustomReportCreativeDetail.aspx?App=23&amp;ReportView=4&amp;Qid=1711279&amp;Row=23949&amp;Col=1","No Title Assigned - #15282808158")</f>
        <v/>
      </c>
      <c r="B23957" s="0" t="s">
        <v>32030</v>
      </c>
      <c r="E23957" s="0" t="inlineStr">
        <is>
          <t xml:space="preserve">Mazda</t>
        </is>
      </c>
      <c r="F23957" s="0" t="inlineStr">
        <is>
          <t xml:space="preserve">Mazda</t>
        </is>
      </c>
      <c r="G23957" s="0" t="s">
        <v>171</v>
      </c>
      <c r="H23957" s="5">
        <v>44.455800</v>
      </c>
    </row>
    <row r="23958" spans="1:9">
      <c r="A23958" s="22" t="str">
        <f>HYPERLINK("https://app.vivvix.com/360/KMI/IntelliDrive/ApplUI/Pages/CreativePages/CustomReportCreativeDetail.aspx?App=23&amp;ReportView=4&amp;Qid=1711279&amp;Row=23950&amp;Col=1","No Title Assigned - #15282808679")</f>
        <v/>
      </c>
      <c r="B23958" s="0" t="s">
        <v>32031</v>
      </c>
      <c r="E23958" s="0" t="inlineStr">
        <is>
          <t xml:space="preserve">Mazda</t>
        </is>
      </c>
      <c r="F23958" s="0" t="inlineStr">
        <is>
          <t xml:space="preserve">Mazda</t>
        </is>
      </c>
      <c r="G23958" s="0" t="s">
        <v>171</v>
      </c>
      <c r="H23958" s="5">
        <v>127.578400</v>
      </c>
    </row>
    <row r="23959" spans="1:9">
      <c r="A23959" s="22" t="str">
        <f>HYPERLINK("https://app.vivvix.com/360/KMI/IntelliDrive/ApplUI/Pages/CreativePages/CustomReportCreativeDetail.aspx?App=23&amp;ReportView=4&amp;Qid=1711279&amp;Row=23951&amp;Col=1","No Title Assigned - #15282808882")</f>
        <v/>
      </c>
      <c r="B23959" s="0" t="s">
        <v>32032</v>
      </c>
      <c r="E23959" s="0" t="inlineStr">
        <is>
          <t xml:space="preserve">Mazda</t>
        </is>
      </c>
      <c r="F23959" s="0" t="inlineStr">
        <is>
          <t xml:space="preserve">Mazda</t>
        </is>
      </c>
      <c r="G23959" s="0" t="s">
        <v>171</v>
      </c>
      <c r="H23959" s="5">
        <v>151.564400</v>
      </c>
    </row>
    <row r="23960" spans="1:9">
      <c r="A23960" s="22" t="str">
        <f>HYPERLINK("https://app.vivvix.com/360/KMI/IntelliDrive/ApplUI/Pages/CreativePages/CustomReportCreativeDetail.aspx?App=23&amp;ReportView=4&amp;Qid=1711279&amp;Row=23952&amp;Col=1","No Title Assigned - #15282810058")</f>
        <v/>
      </c>
      <c r="B23960" s="0" t="s">
        <v>32033</v>
      </c>
      <c r="C23960" s="0" t="s">
        <v>32034</v>
      </c>
      <c r="D23960" s="0" t="s">
        <v>32034</v>
      </c>
      <c r="E23960" s="0" t="inlineStr">
        <is>
          <t xml:space="preserve">Mazda</t>
        </is>
      </c>
      <c r="F23960" s="0" t="s">
        <v>13</v>
      </c>
      <c r="G23960" s="0" t="s">
        <v>49</v>
      </c>
      <c r="H23960" s="5">
        <v>108.443800</v>
      </c>
    </row>
    <row r="23961" spans="1:9">
      <c r="A23961" s="22" t="str">
        <f>HYPERLINK("https://app.vivvix.com/360/KMI/IntelliDrive/ApplUI/Pages/CreativePages/CustomReportCreativeDetail.aspx?App=23&amp;ReportView=4&amp;Qid=1711279&amp;Row=23953&amp;Col=1","No Title Assigned - #15282810910")</f>
        <v/>
      </c>
      <c r="B23961" s="0" t="s">
        <v>32035</v>
      </c>
      <c r="E23961" s="0" t="inlineStr">
        <is>
          <t xml:space="preserve">Mazda</t>
        </is>
      </c>
      <c r="F23961" s="0" t="inlineStr">
        <is>
          <t xml:space="preserve">Mazda</t>
        </is>
      </c>
      <c r="G23961" s="0" t="s">
        <v>171</v>
      </c>
      <c r="H23961" s="5">
        <v>19.301600</v>
      </c>
    </row>
    <row r="23962" spans="1:9">
      <c r="A23962" s="22" t="str">
        <f>HYPERLINK("https://app.vivvix.com/360/KMI/IntelliDrive/ApplUI/Pages/CreativePages/CustomReportCreativeDetail.aspx?App=23&amp;ReportView=4&amp;Qid=1711279&amp;Row=23954&amp;Col=1","No Title Assigned - #15282811267")</f>
        <v/>
      </c>
      <c r="B23962" s="0" t="s">
        <v>32036</v>
      </c>
      <c r="E23962" s="0" t="inlineStr">
        <is>
          <t xml:space="preserve">Mazda</t>
        </is>
      </c>
      <c r="F23962" s="0" t="inlineStr">
        <is>
          <t xml:space="preserve">Mazda</t>
        </is>
      </c>
      <c r="G23962" s="0" t="s">
        <v>171</v>
      </c>
      <c r="H23962" s="5">
        <v>103.377900</v>
      </c>
    </row>
    <row r="23963" spans="1:9">
      <c r="A23963" s="22" t="str">
        <f>HYPERLINK("https://app.vivvix.com/360/KMI/IntelliDrive/ApplUI/Pages/CreativePages/CustomReportCreativeDetail.aspx?App=23&amp;ReportView=4&amp;Qid=1711279&amp;Row=23955&amp;Col=1","No Title Assigned - #15282811293")</f>
        <v/>
      </c>
      <c r="B23963" s="0" t="s">
        <v>32037</v>
      </c>
      <c r="E23963" s="0" t="inlineStr">
        <is>
          <t xml:space="preserve">Mazda</t>
        </is>
      </c>
      <c r="F23963" s="0" t="inlineStr">
        <is>
          <t xml:space="preserve">Mazda</t>
        </is>
      </c>
      <c r="G23963" s="0" t="s">
        <v>171</v>
      </c>
      <c r="H23963" s="5">
        <v>103.435000</v>
      </c>
    </row>
    <row r="23964" spans="1:9">
      <c r="A23964" s="22" t="str">
        <f>HYPERLINK("https://app.vivvix.com/360/KMI/IntelliDrive/ApplUI/Pages/CreativePages/CustomReportCreativeDetail.aspx?App=23&amp;ReportView=4&amp;Qid=1711279&amp;Row=23956&amp;Col=1","No Title Assigned - #15282851175")</f>
        <v/>
      </c>
      <c r="B23964" s="0" t="s">
        <v>32038</v>
      </c>
      <c r="C23964" s="0" t="s">
        <v>32039</v>
      </c>
      <c r="D23964" s="0" t="s">
        <v>32039</v>
      </c>
      <c r="E23964" s="0" t="inlineStr">
        <is>
          <t xml:space="preserve">Mazda</t>
        </is>
      </c>
      <c r="F23964" s="0" t="s">
        <v>13</v>
      </c>
      <c r="G23964" s="0" t="s">
        <v>49</v>
      </c>
      <c r="H23964" s="5">
        <v>8272.567400</v>
      </c>
    </row>
    <row r="23965" spans="1:9">
      <c r="A23965" s="22" t="str">
        <f>HYPERLINK("https://app.vivvix.com/360/KMI/IntelliDrive/ApplUI/Pages/CreativePages/CustomReportCreativeDetail.aspx?App=23&amp;ReportView=4&amp;Qid=1711279&amp;Row=23957&amp;Col=1","No Title Assigned - #15282869947")</f>
        <v/>
      </c>
      <c r="B23965" s="0" t="s">
        <v>32040</v>
      </c>
      <c r="E23965" s="0" t="inlineStr">
        <is>
          <t xml:space="preserve">Mazda</t>
        </is>
      </c>
      <c r="F23965" s="0" t="inlineStr">
        <is>
          <t xml:space="preserve">Mazda</t>
        </is>
      </c>
      <c r="G23965" s="0" t="s">
        <v>171</v>
      </c>
      <c r="H23965" s="5">
        <v>441.490100</v>
      </c>
    </row>
    <row r="23966" spans="1:9">
      <c r="A23966" s="22" t="str">
        <f>HYPERLINK("https://app.vivvix.com/360/KMI/IntelliDrive/ApplUI/Pages/CreativePages/CustomReportCreativeDetail.aspx?App=23&amp;ReportView=4&amp;Qid=1711279&amp;Row=23958&amp;Col=1","No Title Assigned - #15282870215")</f>
        <v/>
      </c>
      <c r="B23966" s="0" t="s">
        <v>32041</v>
      </c>
      <c r="E23966" s="0" t="inlineStr">
        <is>
          <t xml:space="preserve">Mazda</t>
        </is>
      </c>
      <c r="F23966" s="0" t="s">
        <v>21</v>
      </c>
      <c r="G23966" s="0" t="s">
        <v>22</v>
      </c>
      <c r="H23966" s="5">
        <v>549.978800</v>
      </c>
    </row>
    <row r="23967" spans="1:9">
      <c r="A23967" s="22" t="str">
        <f>HYPERLINK("https://app.vivvix.com/360/KMI/IntelliDrive/ApplUI/Pages/CreativePages/CustomReportCreativeDetail.aspx?App=23&amp;ReportView=4&amp;Qid=1711279&amp;Row=23959&amp;Col=1","No Title Assigned - #15282872640")</f>
        <v/>
      </c>
      <c r="B23967" s="0" t="s">
        <v>32042</v>
      </c>
      <c r="C23967" s="0" t="s">
        <v>32043</v>
      </c>
      <c r="D23967" s="0" t="s">
        <v>32043</v>
      </c>
      <c r="E23967" s="0" t="inlineStr">
        <is>
          <t xml:space="preserve">Mazda</t>
        </is>
      </c>
      <c r="F23967" s="0" t="s">
        <v>13</v>
      </c>
      <c r="G23967" s="0" t="s">
        <v>49</v>
      </c>
      <c r="H23967" s="5">
        <v>28.383000</v>
      </c>
    </row>
    <row r="23968" spans="1:9">
      <c r="A23968" s="22" t="str">
        <f>HYPERLINK("https://app.vivvix.com/360/KMI/IntelliDrive/ApplUI/Pages/CreativePages/CustomReportCreativeDetail.aspx?App=23&amp;ReportView=4&amp;Qid=1711279&amp;Row=23960&amp;Col=1","No Title Assigned - #15282877715")</f>
        <v/>
      </c>
      <c r="B23968" s="0" t="s">
        <v>32044</v>
      </c>
      <c r="C23968" s="0" t="s">
        <v>32045</v>
      </c>
      <c r="D23968" s="0" t="s">
        <v>32045</v>
      </c>
      <c r="E23968" s="0" t="inlineStr">
        <is>
          <t xml:space="preserve">Mazda</t>
        </is>
      </c>
      <c r="F23968" s="0" t="inlineStr">
        <is>
          <t xml:space="preserve">Mazda</t>
        </is>
      </c>
      <c r="G23968" s="0" t="s">
        <v>171</v>
      </c>
      <c r="H23968" s="5">
        <v>4356.127500</v>
      </c>
    </row>
    <row r="23969" spans="1:9">
      <c r="A23969" s="22" t="str">
        <f>HYPERLINK("https://app.vivvix.com/360/KMI/IntelliDrive/ApplUI/Pages/CreativePages/CustomReportCreativeDetail.aspx?App=23&amp;ReportView=4&amp;Qid=1711279&amp;Row=23961&amp;Col=1","No Title Assigned - #15282878296")</f>
        <v/>
      </c>
      <c r="B23969" s="0" t="s">
        <v>32046</v>
      </c>
      <c r="E23969" s="0" t="inlineStr">
        <is>
          <t xml:space="preserve">Mazda</t>
        </is>
      </c>
      <c r="F23969" s="0" t="inlineStr">
        <is>
          <t xml:space="preserve">Mazda</t>
        </is>
      </c>
      <c r="G23969" s="0" t="s">
        <v>171</v>
      </c>
      <c r="H23969" s="5">
        <v>87.507500</v>
      </c>
    </row>
    <row r="23970" spans="1:9">
      <c r="A23970" s="22" t="str">
        <f>HYPERLINK("https://app.vivvix.com/360/KMI/IntelliDrive/ApplUI/Pages/CreativePages/CustomReportCreativeDetail.aspx?App=23&amp;ReportView=4&amp;Qid=1711279&amp;Row=23962&amp;Col=1","No Title Assigned - #15282880787")</f>
        <v/>
      </c>
      <c r="B23970" s="0" t="s">
        <v>32047</v>
      </c>
      <c r="E23970" s="0" t="inlineStr">
        <is>
          <t xml:space="preserve">Mazda</t>
        </is>
      </c>
      <c r="F23970" s="0" t="inlineStr">
        <is>
          <t xml:space="preserve">Mazda</t>
        </is>
      </c>
      <c r="G23970" s="0" t="s">
        <v>171</v>
      </c>
      <c r="H23970" s="5">
        <v>190.658600</v>
      </c>
    </row>
    <row r="23971" spans="1:9">
      <c r="A23971" s="22" t="str">
        <f>HYPERLINK("https://app.vivvix.com/360/KMI/IntelliDrive/ApplUI/Pages/CreativePages/CustomReportCreativeDetail.aspx?App=23&amp;ReportView=4&amp;Qid=1711279&amp;Row=23963&amp;Col=1","No Title Assigned - #15282887530")</f>
        <v/>
      </c>
      <c r="B23971" s="0" t="s">
        <v>32048</v>
      </c>
      <c r="C23971" s="0" t="s">
        <v>32049</v>
      </c>
      <c r="D23971" s="0" t="s">
        <v>20040</v>
      </c>
      <c r="E23971" s="0" t="inlineStr">
        <is>
          <t xml:space="preserve">Mazda</t>
        </is>
      </c>
      <c r="F23971" s="0" t="s">
        <v>13</v>
      </c>
      <c r="G23971" s="0" t="s">
        <v>49</v>
      </c>
      <c r="H23971" s="5">
        <v>145.440800</v>
      </c>
    </row>
    <row r="23972" spans="1:9">
      <c r="A23972" s="22" t="str">
        <f>HYPERLINK("https://app.vivvix.com/360/KMI/IntelliDrive/ApplUI/Pages/CreativePages/CustomReportCreativeDetail.aspx?App=23&amp;ReportView=4&amp;Qid=1711279&amp;Row=23964&amp;Col=1","No Title Assigned - #15282891220")</f>
        <v/>
      </c>
      <c r="B23972" s="0" t="s">
        <v>32050</v>
      </c>
      <c r="C23972" s="0" t="s">
        <v>32051</v>
      </c>
      <c r="D23972" s="0" t="s">
        <v>32051</v>
      </c>
      <c r="E23972" s="0" t="inlineStr">
        <is>
          <t xml:space="preserve">Mazda</t>
        </is>
      </c>
      <c r="F23972" s="0" t="inlineStr">
        <is>
          <t xml:space="preserve">Mazda</t>
        </is>
      </c>
      <c r="G23972" s="0" t="s">
        <v>4306</v>
      </c>
      <c r="H23972" s="5">
        <v>957.686300</v>
      </c>
    </row>
    <row r="23973" spans="1:9">
      <c r="A23973" s="22" t="str">
        <f>HYPERLINK("https://app.vivvix.com/360/KMI/IntelliDrive/ApplUI/Pages/CreativePages/CustomReportCreativeDetail.aspx?App=23&amp;ReportView=4&amp;Qid=1711279&amp;Row=23965&amp;Col=1","No Title Assigned - #15282891273")</f>
        <v/>
      </c>
      <c r="B23973" s="0" t="s">
        <v>32052</v>
      </c>
      <c r="C23973" s="0" t="s">
        <v>32053</v>
      </c>
      <c r="D23973" s="0" t="s">
        <v>32053</v>
      </c>
      <c r="E23973" s="0" t="inlineStr">
        <is>
          <t xml:space="preserve">Mazda</t>
        </is>
      </c>
      <c r="F23973" s="0" t="s">
        <v>369</v>
      </c>
      <c r="G23973" s="0" t="s">
        <v>370</v>
      </c>
      <c r="H23973" s="5">
        <v>957.686300</v>
      </c>
    </row>
    <row r="23974" spans="1:9">
      <c r="A23974" s="22" t="str">
        <f>HYPERLINK("https://app.vivvix.com/360/KMI/IntelliDrive/ApplUI/Pages/CreativePages/CustomReportCreativeDetail.aspx?App=23&amp;ReportView=4&amp;Qid=1711279&amp;Row=23966&amp;Col=1","No Title Assigned - #15282891731")</f>
        <v/>
      </c>
      <c r="B23974" s="0" t="s">
        <v>32054</v>
      </c>
      <c r="C23974" s="0" t="s">
        <v>32055</v>
      </c>
      <c r="D23974" s="0" t="s">
        <v>20972</v>
      </c>
      <c r="E23974" s="0" t="inlineStr">
        <is>
          <t xml:space="preserve">Mazda</t>
        </is>
      </c>
      <c r="F23974" s="0" t="s">
        <v>13</v>
      </c>
      <c r="G23974" s="0" t="s">
        <v>49</v>
      </c>
      <c r="H23974" s="5">
        <v>192.667600</v>
      </c>
    </row>
    <row r="23975" spans="1:9">
      <c r="A23975" s="22" t="str">
        <f>HYPERLINK("https://app.vivvix.com/360/KMI/IntelliDrive/ApplUI/Pages/CreativePages/CustomReportCreativeDetail.aspx?App=23&amp;ReportView=4&amp;Qid=1711279&amp;Row=23967&amp;Col=1","No Title Assigned - #15282893473")</f>
        <v/>
      </c>
      <c r="B23975" s="0" t="s">
        <v>32056</v>
      </c>
      <c r="C23975" s="0" t="s">
        <v>32057</v>
      </c>
      <c r="D23975" s="0" t="s">
        <v>32057</v>
      </c>
      <c r="E23975" s="0" t="inlineStr">
        <is>
          <t xml:space="preserve">Mazda</t>
        </is>
      </c>
      <c r="F23975" s="0" t="s">
        <v>13</v>
      </c>
      <c r="G23975" s="0" t="s">
        <v>49</v>
      </c>
      <c r="H23975" s="5">
        <v>5840.753400</v>
      </c>
    </row>
    <row r="23976" spans="1:9">
      <c r="A23976" s="22" t="str">
        <f>HYPERLINK("https://app.vivvix.com/360/KMI/IntelliDrive/ApplUI/Pages/CreativePages/CustomReportCreativeDetail.aspx?App=23&amp;ReportView=4&amp;Qid=1711279&amp;Row=23968&amp;Col=1","No Title Assigned - #15282895033")</f>
        <v/>
      </c>
      <c r="B23976" s="0" t="s">
        <v>32058</v>
      </c>
      <c r="C23976" s="0" t="s">
        <v>32059</v>
      </c>
      <c r="D23976" s="0" t="s">
        <v>32059</v>
      </c>
      <c r="E23976" s="0" t="inlineStr">
        <is>
          <t xml:space="preserve">Mazda</t>
        </is>
      </c>
      <c r="F23976" s="0" t="s">
        <v>13</v>
      </c>
      <c r="G23976" s="0" t="s">
        <v>49</v>
      </c>
      <c r="H23976" s="5">
        <v>28.383000</v>
      </c>
    </row>
    <row r="23977" spans="1:9">
      <c r="A23977" s="22" t="str">
        <f>HYPERLINK("https://app.vivvix.com/360/KMI/IntelliDrive/ApplUI/Pages/CreativePages/CustomReportCreativeDetail.aspx?App=23&amp;ReportView=4&amp;Qid=1711279&amp;Row=23969&amp;Col=1","No Title Assigned - #15282895115")</f>
        <v/>
      </c>
      <c r="B23977" s="0" t="s">
        <v>32060</v>
      </c>
      <c r="C23977" s="0" t="s">
        <v>32061</v>
      </c>
      <c r="D23977" s="0" t="s">
        <v>32061</v>
      </c>
      <c r="E23977" s="0" t="inlineStr">
        <is>
          <t xml:space="preserve">Mazda</t>
        </is>
      </c>
      <c r="F23977" s="0" t="s">
        <v>13</v>
      </c>
      <c r="G23977" s="0" t="s">
        <v>49</v>
      </c>
      <c r="H23977" s="5">
        <v>4820.211400</v>
      </c>
    </row>
    <row r="23978" spans="1:9">
      <c r="A23978" s="22" t="str">
        <f>HYPERLINK("https://app.vivvix.com/360/KMI/IntelliDrive/ApplUI/Pages/CreativePages/CustomReportCreativeDetail.aspx?App=23&amp;ReportView=4&amp;Qid=1711279&amp;Row=23970&amp;Col=1","No Title Assigned - #15282895873")</f>
        <v/>
      </c>
      <c r="B23978" s="0" t="s">
        <v>32062</v>
      </c>
      <c r="C23978" s="0" t="s">
        <v>32063</v>
      </c>
      <c r="D23978" s="0" t="s">
        <v>32063</v>
      </c>
      <c r="E23978" s="0" t="inlineStr">
        <is>
          <t xml:space="preserve">Mazda</t>
        </is>
      </c>
      <c r="F23978" s="0" t="s">
        <v>13</v>
      </c>
      <c r="G23978" s="0" t="s">
        <v>49</v>
      </c>
      <c r="H23978" s="5">
        <v>303.792200</v>
      </c>
    </row>
    <row r="23979" spans="1:9">
      <c r="A23979" s="22" t="str">
        <f>HYPERLINK("https://app.vivvix.com/360/KMI/IntelliDrive/ApplUI/Pages/CreativePages/CustomReportCreativeDetail.aspx?App=23&amp;ReportView=4&amp;Qid=1711279&amp;Row=23971&amp;Col=1","No Title Assigned - #15282901876")</f>
        <v/>
      </c>
      <c r="B23979" s="0" t="s">
        <v>32064</v>
      </c>
      <c r="E23979" s="0" t="inlineStr">
        <is>
          <t xml:space="preserve">Mazda</t>
        </is>
      </c>
      <c r="F23979" s="0" t="inlineStr">
        <is>
          <t xml:space="preserve">Mazda</t>
        </is>
      </c>
      <c r="G23979" s="0" t="s">
        <v>171</v>
      </c>
      <c r="H23979" s="5">
        <v>462.622500</v>
      </c>
    </row>
    <row r="23980" spans="1:9">
      <c r="A23980" s="22" t="str">
        <f>HYPERLINK("https://app.vivvix.com/360/KMI/IntelliDrive/ApplUI/Pages/CreativePages/CustomReportCreativeDetail.aspx?App=23&amp;ReportView=4&amp;Qid=1711279&amp;Row=23972&amp;Col=1","No Title Assigned - #15282901988")</f>
        <v/>
      </c>
      <c r="B23980" s="0" t="s">
        <v>32065</v>
      </c>
      <c r="E23980" s="0" t="inlineStr">
        <is>
          <t xml:space="preserve">Mazda</t>
        </is>
      </c>
      <c r="F23980" s="0" t="inlineStr">
        <is>
          <t xml:space="preserve">Mazda</t>
        </is>
      </c>
      <c r="G23980" s="0" t="s">
        <v>171</v>
      </c>
      <c r="H23980" s="5">
        <v>1375.745200</v>
      </c>
    </row>
    <row r="23981" spans="1:9">
      <c r="A23981" s="22" t="str">
        <f>HYPERLINK("https://app.vivvix.com/360/KMI/IntelliDrive/ApplUI/Pages/CreativePages/CustomReportCreativeDetail.aspx?App=23&amp;ReportView=4&amp;Qid=1711279&amp;Row=23973&amp;Col=1","No Title Assigned - #15282902271")</f>
        <v/>
      </c>
      <c r="B23981" s="0" t="s">
        <v>32066</v>
      </c>
      <c r="E23981" s="0" t="inlineStr">
        <is>
          <t xml:space="preserve">Mazda</t>
        </is>
      </c>
      <c r="F23981" s="0" t="inlineStr">
        <is>
          <t xml:space="preserve">Mazda</t>
        </is>
      </c>
      <c r="G23981" s="0" t="s">
        <v>171</v>
      </c>
      <c r="H23981" s="5">
        <v>113.138900</v>
      </c>
    </row>
    <row r="23982" spans="1:9">
      <c r="A23982" s="22" t="str">
        <f>HYPERLINK("https://app.vivvix.com/360/KMI/IntelliDrive/ApplUI/Pages/CreativePages/CustomReportCreativeDetail.aspx?App=23&amp;ReportView=4&amp;Qid=1711279&amp;Row=23974&amp;Col=1","No Title Assigned - #15282931794")</f>
        <v/>
      </c>
      <c r="B23982" s="0" t="s">
        <v>32067</v>
      </c>
      <c r="E23982" s="0" t="inlineStr">
        <is>
          <t xml:space="preserve">Mazda</t>
        </is>
      </c>
      <c r="F23982" s="0" t="s">
        <v>17</v>
      </c>
      <c r="G23982" s="0" t="s">
        <v>26491</v>
      </c>
      <c r="H23982" s="5">
        <v>517.509300</v>
      </c>
    </row>
    <row r="23983" spans="1:9">
      <c r="A23983" s="22" t="str">
        <f>HYPERLINK("https://app.vivvix.com/360/KMI/IntelliDrive/ApplUI/Pages/CreativePages/CustomReportCreativeDetail.aspx?App=23&amp;ReportView=4&amp;Qid=1711279&amp;Row=23975&amp;Col=1","No Title Assigned - #15282940833")</f>
        <v/>
      </c>
      <c r="B23983" s="0" t="s">
        <v>32068</v>
      </c>
      <c r="C23983" s="0" t="s">
        <v>32069</v>
      </c>
      <c r="D23983" s="0" t="s">
        <v>32069</v>
      </c>
      <c r="E23983" s="0" t="inlineStr">
        <is>
          <t xml:space="preserve">Mazda</t>
        </is>
      </c>
      <c r="F23983" s="0" t="s">
        <v>13</v>
      </c>
      <c r="G23983" s="0" t="s">
        <v>49</v>
      </c>
      <c r="H23983" s="5">
        <v>19388.805200</v>
      </c>
    </row>
    <row r="23984" spans="1:9">
      <c r="A23984" s="22" t="str">
        <f>HYPERLINK("https://app.vivvix.com/360/KMI/IntelliDrive/ApplUI/Pages/CreativePages/CustomReportCreativeDetail.aspx?App=23&amp;ReportView=4&amp;Qid=1711279&amp;Row=23976&amp;Col=1","No Title Assigned - #15282946372")</f>
        <v/>
      </c>
      <c r="B23984" s="0" t="s">
        <v>32070</v>
      </c>
      <c r="C23984" s="0" t="s">
        <v>32071</v>
      </c>
      <c r="D23984" s="0" t="s">
        <v>32071</v>
      </c>
      <c r="E23984" s="0" t="inlineStr">
        <is>
          <t xml:space="preserve">Mazda</t>
        </is>
      </c>
      <c r="F23984" s="0" t="s">
        <v>13</v>
      </c>
      <c r="G23984" s="0" t="s">
        <v>49</v>
      </c>
      <c r="H23984" s="5">
        <v>21976.789700</v>
      </c>
    </row>
    <row r="23985" spans="1:9">
      <c r="A23985" s="22" t="str">
        <f>HYPERLINK("https://app.vivvix.com/360/KMI/IntelliDrive/ApplUI/Pages/CreativePages/CustomReportCreativeDetail.aspx?App=23&amp;ReportView=4&amp;Qid=1711279&amp;Row=23977&amp;Col=1","No Title Assigned - #15282946442")</f>
        <v/>
      </c>
      <c r="B23985" s="0" t="s">
        <v>32072</v>
      </c>
      <c r="C23985" s="0" t="s">
        <v>32073</v>
      </c>
      <c r="D23985" s="0" t="s">
        <v>32073</v>
      </c>
      <c r="E23985" s="0" t="inlineStr">
        <is>
          <t xml:space="preserve">Mazda</t>
        </is>
      </c>
      <c r="F23985" s="0" t="s">
        <v>13</v>
      </c>
      <c r="G23985" s="0" t="s">
        <v>49</v>
      </c>
      <c r="H23985" s="5">
        <v>11.540800</v>
      </c>
    </row>
    <row r="23986" spans="1:9">
      <c r="A23986" s="22" t="str">
        <f>HYPERLINK("https://app.vivvix.com/360/KMI/IntelliDrive/ApplUI/Pages/CreativePages/CustomReportCreativeDetail.aspx?App=23&amp;ReportView=4&amp;Qid=1711279&amp;Row=23978&amp;Col=1","No Title Assigned - #15282947462")</f>
        <v/>
      </c>
      <c r="B23986" s="0" t="s">
        <v>32074</v>
      </c>
      <c r="C23986" s="0" t="s">
        <v>32075</v>
      </c>
      <c r="D23986" s="0" t="s">
        <v>32075</v>
      </c>
      <c r="E23986" s="0" t="inlineStr">
        <is>
          <t xml:space="preserve">Mazda</t>
        </is>
      </c>
      <c r="F23986" s="0" t="s">
        <v>13</v>
      </c>
      <c r="G23986" s="0" t="s">
        <v>49</v>
      </c>
      <c r="H23986" s="5">
        <v>955.930800</v>
      </c>
    </row>
    <row r="23987" spans="1:9">
      <c r="A23987" s="22" t="str">
        <f>HYPERLINK("https://app.vivvix.com/360/KMI/IntelliDrive/ApplUI/Pages/CreativePages/CustomReportCreativeDetail.aspx?App=23&amp;ReportView=4&amp;Qid=1711279&amp;Row=23979&amp;Col=1","No Title Assigned - #15282957815")</f>
        <v/>
      </c>
      <c r="B23987" s="0" t="s">
        <v>32076</v>
      </c>
      <c r="C23987" s="0" t="s">
        <v>32077</v>
      </c>
      <c r="D23987" s="0" t="s">
        <v>32077</v>
      </c>
      <c r="E23987" s="0" t="inlineStr">
        <is>
          <t xml:space="preserve">Mazda</t>
        </is>
      </c>
      <c r="F23987" s="0" t="s">
        <v>13</v>
      </c>
      <c r="G23987" s="0" t="s">
        <v>49</v>
      </c>
      <c r="H23987" s="5">
        <v>118.067200</v>
      </c>
    </row>
    <row r="23988" spans="1:9">
      <c r="A23988" s="22" t="str">
        <f>HYPERLINK("https://app.vivvix.com/360/KMI/IntelliDrive/ApplUI/Pages/CreativePages/CustomReportCreativeDetail.aspx?App=23&amp;ReportView=4&amp;Qid=1711279&amp;Row=23980&amp;Col=1","No Title Assigned - #15282960638")</f>
        <v/>
      </c>
      <c r="B23988" s="0" t="s">
        <v>32078</v>
      </c>
      <c r="E23988" s="0" t="inlineStr">
        <is>
          <t xml:space="preserve">Mazda</t>
        </is>
      </c>
      <c r="F23988" s="0" t="inlineStr">
        <is>
          <t xml:space="preserve">Mazda</t>
        </is>
      </c>
      <c r="G23988" s="0" t="s">
        <v>171</v>
      </c>
      <c r="H23988" s="5">
        <v>1138.282800</v>
      </c>
    </row>
    <row r="23989" spans="1:9">
      <c r="A23989" s="22" t="str">
        <f>HYPERLINK("https://app.vivvix.com/360/KMI/IntelliDrive/ApplUI/Pages/CreativePages/CustomReportCreativeDetail.aspx?App=23&amp;ReportView=4&amp;Qid=1711279&amp;Row=23981&amp;Col=1","No Title Assigned - #15282960654")</f>
        <v/>
      </c>
      <c r="B23989" s="0" t="s">
        <v>32079</v>
      </c>
      <c r="E23989" s="0" t="inlineStr">
        <is>
          <t xml:space="preserve">Mazda</t>
        </is>
      </c>
      <c r="F23989" s="0" t="inlineStr">
        <is>
          <t xml:space="preserve">Mazda</t>
        </is>
      </c>
      <c r="G23989" s="0" t="s">
        <v>171</v>
      </c>
      <c r="H23989" s="5">
        <v>5691.414000</v>
      </c>
    </row>
    <row r="23990" spans="1:9">
      <c r="A23990" s="22" t="str">
        <f>HYPERLINK("https://app.vivvix.com/360/KMI/IntelliDrive/ApplUI/Pages/CreativePages/CustomReportCreativeDetail.aspx?App=23&amp;ReportView=4&amp;Qid=1711279&amp;Row=23982&amp;Col=1","No Title Assigned - #15282969590")</f>
        <v/>
      </c>
      <c r="B23990" s="0" t="s">
        <v>32080</v>
      </c>
      <c r="E23990" s="0" t="inlineStr">
        <is>
          <t xml:space="preserve">Mazda</t>
        </is>
      </c>
      <c r="F23990" s="0" t="s">
        <v>21</v>
      </c>
      <c r="G23990" s="0" t="s">
        <v>22</v>
      </c>
      <c r="H23990" s="5">
        <v>810.452000</v>
      </c>
    </row>
    <row r="23991" spans="1:9">
      <c r="A23991" s="22" t="str">
        <f>HYPERLINK("https://app.vivvix.com/360/KMI/IntelliDrive/ApplUI/Pages/CreativePages/CustomReportCreativeDetail.aspx?App=23&amp;ReportView=4&amp;Qid=1711279&amp;Row=23983&amp;Col=1","No Title Assigned - #15282987202")</f>
        <v/>
      </c>
      <c r="B23991" s="0" t="s">
        <v>32081</v>
      </c>
      <c r="E23991" s="0" t="inlineStr">
        <is>
          <t xml:space="preserve">Mazda</t>
        </is>
      </c>
      <c r="F23991" s="0" t="inlineStr">
        <is>
          <t xml:space="preserve">Mazda</t>
        </is>
      </c>
      <c r="G23991" s="0" t="s">
        <v>171</v>
      </c>
      <c r="H23991" s="5">
        <v>7.448600</v>
      </c>
    </row>
    <row r="23992" spans="1:9">
      <c r="A23992" s="22" t="str">
        <f>HYPERLINK("https://app.vivvix.com/360/KMI/IntelliDrive/ApplUI/Pages/CreativePages/CustomReportCreativeDetail.aspx?App=23&amp;ReportView=4&amp;Qid=1711279&amp;Row=23984&amp;Col=1","No Title Assigned - #15282990314")</f>
        <v/>
      </c>
      <c r="B23992" s="0" t="s">
        <v>32082</v>
      </c>
      <c r="E23992" s="0" t="inlineStr">
        <is>
          <t xml:space="preserve">Mazda</t>
        </is>
      </c>
      <c r="F23992" s="0" t="inlineStr">
        <is>
          <t xml:space="preserve">Mazda</t>
        </is>
      </c>
      <c r="G23992" s="0" t="s">
        <v>171</v>
      </c>
      <c r="H23992" s="5">
        <v>10.111600</v>
      </c>
    </row>
    <row r="23993" spans="1:9">
      <c r="A23993" s="22" t="str">
        <f>HYPERLINK("https://app.vivvix.com/360/KMI/IntelliDrive/ApplUI/Pages/CreativePages/CustomReportCreativeDetail.aspx?App=23&amp;ReportView=4&amp;Qid=1711279&amp;Row=23985&amp;Col=1","No Title Assigned - #15283008389")</f>
        <v/>
      </c>
      <c r="B23993" s="0" t="s">
        <v>32083</v>
      </c>
      <c r="C23993" s="0" t="s">
        <v>32084</v>
      </c>
      <c r="D23993" s="0" t="s">
        <v>32084</v>
      </c>
      <c r="E23993" s="0" t="inlineStr">
        <is>
          <t xml:space="preserve">Mazda</t>
        </is>
      </c>
      <c r="F23993" s="0" t="s">
        <v>13</v>
      </c>
      <c r="G23993" s="0" t="s">
        <v>49</v>
      </c>
      <c r="H23993" s="5">
        <v>1316.878800</v>
      </c>
    </row>
    <row r="23994" spans="1:9">
      <c r="A23994" s="22" t="str">
        <f>HYPERLINK("https://app.vivvix.com/360/KMI/IntelliDrive/ApplUI/Pages/CreativePages/CustomReportCreativeDetail.aspx?App=23&amp;ReportView=4&amp;Qid=1711279&amp;Row=23986&amp;Col=1","No Title Assigned - #15283015860")</f>
        <v/>
      </c>
      <c r="B23994" s="0" t="s">
        <v>32085</v>
      </c>
      <c r="C23994" s="0" t="s">
        <v>32086</v>
      </c>
      <c r="D23994" s="0" t="s">
        <v>10067</v>
      </c>
      <c r="E23994" s="0" t="inlineStr">
        <is>
          <t xml:space="preserve">Mazda</t>
        </is>
      </c>
      <c r="F23994" s="0" t="s">
        <v>13</v>
      </c>
      <c r="G23994" s="0" t="s">
        <v>49</v>
      </c>
      <c r="H23994" s="5">
        <v>11790.964000</v>
      </c>
    </row>
    <row r="23995" spans="1:9">
      <c r="A23995" s="22" t="str">
        <f>HYPERLINK("https://app.vivvix.com/360/KMI/IntelliDrive/ApplUI/Pages/CreativePages/CustomReportCreativeDetail.aspx?App=23&amp;ReportView=4&amp;Qid=1711279&amp;Row=23987&amp;Col=1","No Title Assigned - #15283018826")</f>
        <v/>
      </c>
      <c r="B23995" s="0" t="s">
        <v>32087</v>
      </c>
      <c r="C23995" s="0" t="s">
        <v>32088</v>
      </c>
      <c r="D23995" s="0" t="s">
        <v>32088</v>
      </c>
      <c r="E23995" s="0" t="inlineStr">
        <is>
          <t xml:space="preserve">Mazda</t>
        </is>
      </c>
      <c r="F23995" s="0" t="s">
        <v>13</v>
      </c>
      <c r="G23995" s="0" t="s">
        <v>49</v>
      </c>
      <c r="H23995" s="5">
        <v>1802.559900</v>
      </c>
    </row>
    <row r="23996" spans="1:9">
      <c r="A23996" s="22" t="str">
        <f>HYPERLINK("https://app.vivvix.com/360/KMI/IntelliDrive/ApplUI/Pages/CreativePages/CustomReportCreativeDetail.aspx?App=23&amp;ReportView=4&amp;Qid=1711279&amp;Row=23988&amp;Col=1","No Title Assigned - #15283019957")</f>
        <v/>
      </c>
      <c r="B23996" s="0" t="s">
        <v>32089</v>
      </c>
      <c r="C23996" s="0" t="s">
        <v>32090</v>
      </c>
      <c r="D23996" s="0" t="s">
        <v>32090</v>
      </c>
      <c r="E23996" s="0" t="inlineStr">
        <is>
          <t xml:space="preserve">Mazda</t>
        </is>
      </c>
      <c r="F23996" s="0" t="s">
        <v>13</v>
      </c>
      <c r="G23996" s="0" t="s">
        <v>49</v>
      </c>
      <c r="H23996" s="5">
        <v>412.464300</v>
      </c>
    </row>
    <row r="23997" spans="1:9">
      <c r="A23997" s="22" t="str">
        <f>HYPERLINK("https://app.vivvix.com/360/KMI/IntelliDrive/ApplUI/Pages/CreativePages/CustomReportCreativeDetail.aspx?App=23&amp;ReportView=4&amp;Qid=1711279&amp;Row=23989&amp;Col=1","No Title Assigned - #15283020387")</f>
        <v/>
      </c>
      <c r="B23997" s="0" t="s">
        <v>32091</v>
      </c>
      <c r="E23997" s="0" t="inlineStr">
        <is>
          <t xml:space="preserve">Mazda</t>
        </is>
      </c>
      <c r="F23997" s="0" t="s">
        <v>13</v>
      </c>
      <c r="G23997" s="0" t="s">
        <v>49</v>
      </c>
      <c r="H23997" s="5">
        <v>4975.511700</v>
      </c>
    </row>
    <row r="23998" spans="1:9">
      <c r="A23998" s="22" t="str">
        <f>HYPERLINK("https://app.vivvix.com/360/KMI/IntelliDrive/ApplUI/Pages/CreativePages/CustomReportCreativeDetail.aspx?App=23&amp;ReportView=4&amp;Qid=1711279&amp;Row=23990&amp;Col=1","No Title Assigned - #15283020387")</f>
        <v/>
      </c>
      <c r="B23998" s="0" t="s">
        <v>32091</v>
      </c>
      <c r="C23998" s="0" t="s">
        <v>32092</v>
      </c>
      <c r="D23998" s="0" t="s">
        <v>4335</v>
      </c>
      <c r="E23998" s="0" t="inlineStr">
        <is>
          <t xml:space="preserve">Mazda</t>
        </is>
      </c>
      <c r="F23998" s="0" t="s">
        <v>13</v>
      </c>
      <c r="G23998" s="0" t="s">
        <v>49</v>
      </c>
      <c r="H23998" s="5">
        <v>952.837200</v>
      </c>
    </row>
    <row r="23999" spans="1:9">
      <c r="A23999" s="22" t="str">
        <f>HYPERLINK("https://app.vivvix.com/360/KMI/IntelliDrive/ApplUI/Pages/CreativePages/CustomReportCreativeDetail.aspx?App=23&amp;ReportView=4&amp;Qid=1711279&amp;Row=23991&amp;Col=1","No Title Assigned - #15283021558")</f>
        <v/>
      </c>
      <c r="B23999" s="0" t="s">
        <v>32093</v>
      </c>
      <c r="C23999" s="0" t="s">
        <v>32094</v>
      </c>
      <c r="D23999" s="0" t="s">
        <v>4335</v>
      </c>
      <c r="E23999" s="0" t="inlineStr">
        <is>
          <t xml:space="preserve">Mazda</t>
        </is>
      </c>
      <c r="F23999" s="0" t="s">
        <v>13</v>
      </c>
      <c r="G23999" s="0" t="s">
        <v>49</v>
      </c>
      <c r="H23999" s="5">
        <v>47.851100</v>
      </c>
    </row>
    <row r="24000" spans="1:9">
      <c r="A24000" s="22" t="str">
        <f>HYPERLINK("https://app.vivvix.com/360/KMI/IntelliDrive/ApplUI/Pages/CreativePages/CustomReportCreativeDetail.aspx?App=23&amp;ReportView=4&amp;Qid=1711279&amp;Row=23992&amp;Col=1","No Title Assigned - #15283021641")</f>
        <v/>
      </c>
      <c r="B24000" s="0" t="s">
        <v>32095</v>
      </c>
      <c r="C24000" s="0" t="s">
        <v>32096</v>
      </c>
      <c r="D24000" s="0" t="s">
        <v>32096</v>
      </c>
      <c r="E24000" s="0" t="inlineStr">
        <is>
          <t xml:space="preserve">Mazda</t>
        </is>
      </c>
      <c r="F24000" s="0" t="inlineStr">
        <is>
          <t xml:space="preserve">Mazda</t>
        </is>
      </c>
      <c r="G24000" s="0" t="s">
        <v>30528</v>
      </c>
      <c r="H24000" s="5">
        <v>455.499200</v>
      </c>
    </row>
    <row r="24001" spans="1:9">
      <c r="A24001" s="22" t="str">
        <f>HYPERLINK("https://app.vivvix.com/360/KMI/IntelliDrive/ApplUI/Pages/CreativePages/CustomReportCreativeDetail.aspx?App=23&amp;ReportView=4&amp;Qid=1711279&amp;Row=23993&amp;Col=1","No Title Assigned - #15283021893")</f>
        <v/>
      </c>
      <c r="B24001" s="0" t="s">
        <v>32097</v>
      </c>
      <c r="C24001" s="0" t="s">
        <v>32098</v>
      </c>
      <c r="D24001" s="0" t="s">
        <v>4774</v>
      </c>
      <c r="E24001" s="0" t="inlineStr">
        <is>
          <t xml:space="preserve">Mazda</t>
        </is>
      </c>
      <c r="F24001" s="0" t="s">
        <v>13</v>
      </c>
      <c r="G24001" s="0" t="s">
        <v>49</v>
      </c>
      <c r="H24001" s="5">
        <v>1316.878800</v>
      </c>
    </row>
    <row r="24002" spans="1:9">
      <c r="A24002" s="22" t="str">
        <f>HYPERLINK("https://app.vivvix.com/360/KMI/IntelliDrive/ApplUI/Pages/CreativePages/CustomReportCreativeDetail.aspx?App=23&amp;ReportView=4&amp;Qid=1711279&amp;Row=23994&amp;Col=1","No Title Assigned - #15283021894")</f>
        <v/>
      </c>
      <c r="B24002" s="0" t="s">
        <v>32099</v>
      </c>
      <c r="C24002" s="0" t="s">
        <v>32100</v>
      </c>
      <c r="D24002" s="0" t="s">
        <v>4335</v>
      </c>
      <c r="E24002" s="0" t="inlineStr">
        <is>
          <t xml:space="preserve">Mazda</t>
        </is>
      </c>
      <c r="F24002" s="0" t="s">
        <v>13</v>
      </c>
      <c r="G24002" s="0" t="s">
        <v>49</v>
      </c>
      <c r="H24002" s="5">
        <v>1316.878800</v>
      </c>
    </row>
    <row r="24003" spans="1:9">
      <c r="A24003" s="22" t="str">
        <f>HYPERLINK("https://app.vivvix.com/360/KMI/IntelliDrive/ApplUI/Pages/CreativePages/CustomReportCreativeDetail.aspx?App=23&amp;ReportView=4&amp;Qid=1711279&amp;Row=23995&amp;Col=1","No Title Assigned - #15283027492")</f>
        <v/>
      </c>
      <c r="B24003" s="0" t="s">
        <v>32101</v>
      </c>
      <c r="E24003" s="0" t="inlineStr">
        <is>
          <t xml:space="preserve">Mazda</t>
        </is>
      </c>
      <c r="F24003" s="0" t="inlineStr">
        <is>
          <t xml:space="preserve">Mazda</t>
        </is>
      </c>
      <c r="G24003" s="0" t="s">
        <v>171</v>
      </c>
      <c r="H24003" s="5">
        <v>101.919100</v>
      </c>
    </row>
    <row r="24004" spans="1:9">
      <c r="A24004" s="22" t="str">
        <f>HYPERLINK("https://app.vivvix.com/360/KMI/IntelliDrive/ApplUI/Pages/CreativePages/CustomReportCreativeDetail.aspx?App=23&amp;ReportView=4&amp;Qid=1711279&amp;Row=23996&amp;Col=1","No Title Assigned - #15283029029")</f>
        <v/>
      </c>
      <c r="B24004" s="0" t="s">
        <v>32102</v>
      </c>
      <c r="E24004" s="0" t="inlineStr">
        <is>
          <t xml:space="preserve">Mazda</t>
        </is>
      </c>
      <c r="F24004" s="0" t="inlineStr">
        <is>
          <t xml:space="preserve">Mazda</t>
        </is>
      </c>
      <c r="G24004" s="0" t="s">
        <v>171</v>
      </c>
      <c r="H24004" s="5">
        <v>70.681800</v>
      </c>
    </row>
    <row r="24005" spans="1:9">
      <c r="A24005" s="22" t="str">
        <f>HYPERLINK("https://app.vivvix.com/360/KMI/IntelliDrive/ApplUI/Pages/CreativePages/CustomReportCreativeDetail.aspx?App=23&amp;ReportView=4&amp;Qid=1711279&amp;Row=23997&amp;Col=1","No Title Assigned - #15283029327")</f>
        <v/>
      </c>
      <c r="B24005" s="0" t="s">
        <v>32103</v>
      </c>
      <c r="E24005" s="0" t="inlineStr">
        <is>
          <t xml:space="preserve">Mazda</t>
        </is>
      </c>
      <c r="F24005" s="0" t="inlineStr">
        <is>
          <t xml:space="preserve">Mazda</t>
        </is>
      </c>
      <c r="G24005" s="0" t="s">
        <v>171</v>
      </c>
      <c r="H24005" s="5">
        <v>125.491700</v>
      </c>
    </row>
    <row r="24006" spans="1:9">
      <c r="A24006" s="22" t="str">
        <f>HYPERLINK("https://app.vivvix.com/360/KMI/IntelliDrive/ApplUI/Pages/CreativePages/CustomReportCreativeDetail.aspx?App=23&amp;ReportView=4&amp;Qid=1711279&amp;Row=23998&amp;Col=1","No Title Assigned - #15283031732")</f>
        <v/>
      </c>
      <c r="B24006" s="0" t="s">
        <v>32104</v>
      </c>
      <c r="E24006" s="0" t="inlineStr">
        <is>
          <t xml:space="preserve">Mazda</t>
        </is>
      </c>
      <c r="F24006" s="0" t="inlineStr">
        <is>
          <t xml:space="preserve">Mazda</t>
        </is>
      </c>
      <c r="G24006" s="0" t="s">
        <v>171</v>
      </c>
      <c r="H24006" s="5">
        <v>1375.745200</v>
      </c>
    </row>
    <row r="24007" spans="1:9">
      <c r="A24007" s="22" t="str">
        <f>HYPERLINK("https://app.vivvix.com/360/KMI/IntelliDrive/ApplUI/Pages/CreativePages/CustomReportCreativeDetail.aspx?App=23&amp;ReportView=4&amp;Qid=1711279&amp;Row=23999&amp;Col=1","No Title Assigned - #15283032304")</f>
        <v/>
      </c>
      <c r="B24007" s="0" t="s">
        <v>32105</v>
      </c>
      <c r="E24007" s="0" t="inlineStr">
        <is>
          <t xml:space="preserve">Mazda</t>
        </is>
      </c>
      <c r="F24007" s="0" t="inlineStr">
        <is>
          <t xml:space="preserve">Mazda</t>
        </is>
      </c>
      <c r="G24007" s="0" t="s">
        <v>171</v>
      </c>
      <c r="H24007" s="5">
        <v>100.918200</v>
      </c>
    </row>
    <row r="24008" spans="1:9">
      <c r="A24008" s="22" t="str">
        <f>HYPERLINK("https://app.vivvix.com/360/KMI/IntelliDrive/ApplUI/Pages/CreativePages/CustomReportCreativeDetail.aspx?App=23&amp;ReportView=4&amp;Qid=1711279&amp;Row=24000&amp;Col=1","No Title Assigned - #15283033123")</f>
        <v/>
      </c>
      <c r="B24008" s="0" t="s">
        <v>32106</v>
      </c>
      <c r="E24008" s="0" t="inlineStr">
        <is>
          <t xml:space="preserve">Mazda</t>
        </is>
      </c>
      <c r="F24008" s="0" t="inlineStr">
        <is>
          <t xml:space="preserve">Mazda</t>
        </is>
      </c>
      <c r="G24008" s="0" t="s">
        <v>171</v>
      </c>
      <c r="H24008" s="5">
        <v>75.007300</v>
      </c>
    </row>
    <row r="24009" spans="1:9">
      <c r="A24009" s="22" t="str">
        <f>HYPERLINK("https://app.vivvix.com/360/KMI/IntelliDrive/ApplUI/Pages/CreativePages/CustomReportCreativeDetail.aspx?App=23&amp;ReportView=4&amp;Qid=1711279&amp;Row=24001&amp;Col=1","No Title Assigned - #15283033164")</f>
        <v/>
      </c>
      <c r="B24009" s="0" t="s">
        <v>32107</v>
      </c>
      <c r="E24009" s="0" t="inlineStr">
        <is>
          <t xml:space="preserve">Mazda</t>
        </is>
      </c>
      <c r="F24009" s="0" t="inlineStr">
        <is>
          <t xml:space="preserve">Mazda</t>
        </is>
      </c>
      <c r="G24009" s="0" t="s">
        <v>171</v>
      </c>
      <c r="H24009" s="5">
        <v>29.535700</v>
      </c>
    </row>
    <row r="24010" spans="1:9">
      <c r="A24010" s="22" t="str">
        <f>HYPERLINK("https://app.vivvix.com/360/KMI/IntelliDrive/ApplUI/Pages/CreativePages/CustomReportCreativeDetail.aspx?App=23&amp;ReportView=4&amp;Qid=1711279&amp;Row=24002&amp;Col=1","No Title Assigned - #15283033321")</f>
        <v/>
      </c>
      <c r="B24010" s="0" t="s">
        <v>32108</v>
      </c>
      <c r="E24010" s="0" t="inlineStr">
        <is>
          <t xml:space="preserve">Mazda</t>
        </is>
      </c>
      <c r="F24010" s="0" t="inlineStr">
        <is>
          <t xml:space="preserve">Mazda</t>
        </is>
      </c>
      <c r="G24010" s="0" t="s">
        <v>171</v>
      </c>
      <c r="H24010" s="5">
        <v>113.138900</v>
      </c>
    </row>
    <row r="24011" spans="1:9">
      <c r="A24011" s="22" t="str">
        <f>HYPERLINK("https://app.vivvix.com/360/KMI/IntelliDrive/ApplUI/Pages/CreativePages/CustomReportCreativeDetail.aspx?App=23&amp;ReportView=4&amp;Qid=1711279&amp;Row=24003&amp;Col=1","No Title Assigned - #15283035942")</f>
        <v/>
      </c>
      <c r="B24011" s="0" t="s">
        <v>32109</v>
      </c>
      <c r="E24011" s="0" t="inlineStr">
        <is>
          <t xml:space="preserve">Mazda</t>
        </is>
      </c>
      <c r="F24011" s="0" t="inlineStr">
        <is>
          <t xml:space="preserve">Mazda</t>
        </is>
      </c>
      <c r="G24011" s="0" t="s">
        <v>171</v>
      </c>
      <c r="H24011" s="5">
        <v>91.853500</v>
      </c>
    </row>
    <row r="24012" spans="1:9">
      <c r="A24012" s="22" t="str">
        <f>HYPERLINK("https://app.vivvix.com/360/KMI/IntelliDrive/ApplUI/Pages/CreativePages/CustomReportCreativeDetail.aspx?App=23&amp;ReportView=4&amp;Qid=1711279&amp;Row=24004&amp;Col=1","No Title Assigned - #15283036625")</f>
        <v/>
      </c>
      <c r="B24012" s="0" t="s">
        <v>32110</v>
      </c>
      <c r="E24012" s="0" t="inlineStr">
        <is>
          <t xml:space="preserve">Mazda</t>
        </is>
      </c>
      <c r="F24012" s="0" t="inlineStr">
        <is>
          <t xml:space="preserve">Mazda</t>
        </is>
      </c>
      <c r="G24012" s="0" t="s">
        <v>171</v>
      </c>
      <c r="H24012" s="5">
        <v>311.412800</v>
      </c>
    </row>
    <row r="24013" spans="1:9">
      <c r="A24013" s="22" t="str">
        <f>HYPERLINK("https://app.vivvix.com/360/KMI/IntelliDrive/ApplUI/Pages/CreativePages/CustomReportCreativeDetail.aspx?App=23&amp;ReportView=4&amp;Qid=1711279&amp;Row=24005&amp;Col=1","No Title Assigned - #15283037597")</f>
        <v/>
      </c>
      <c r="B24013" s="0" t="s">
        <v>32111</v>
      </c>
      <c r="E24013" s="0" t="inlineStr">
        <is>
          <t xml:space="preserve">Mazda</t>
        </is>
      </c>
      <c r="F24013" s="0" t="inlineStr">
        <is>
          <t xml:space="preserve">Mazda</t>
        </is>
      </c>
      <c r="G24013" s="0" t="s">
        <v>171</v>
      </c>
      <c r="H24013" s="5">
        <v>49.392600</v>
      </c>
    </row>
    <row r="24014" spans="1:9">
      <c r="A24014" s="22" t="str">
        <f>HYPERLINK("https://app.vivvix.com/360/KMI/IntelliDrive/ApplUI/Pages/CreativePages/CustomReportCreativeDetail.aspx?App=23&amp;ReportView=4&amp;Qid=1711279&amp;Row=24006&amp;Col=1","No Title Assigned - #15283038277")</f>
        <v/>
      </c>
      <c r="B24014" s="0" t="s">
        <v>32112</v>
      </c>
      <c r="E24014" s="0" t="inlineStr">
        <is>
          <t xml:space="preserve">Mazda</t>
        </is>
      </c>
      <c r="F24014" s="0" t="inlineStr">
        <is>
          <t xml:space="preserve">Mazda</t>
        </is>
      </c>
      <c r="G24014" s="0" t="s">
        <v>171</v>
      </c>
      <c r="H24014" s="5">
        <v>46.752500</v>
      </c>
    </row>
    <row r="24015" spans="1:9">
      <c r="A24015" s="22" t="str">
        <f>HYPERLINK("https://app.vivvix.com/360/KMI/IntelliDrive/ApplUI/Pages/CreativePages/CustomReportCreativeDetail.aspx?App=23&amp;ReportView=4&amp;Qid=1711279&amp;Row=24007&amp;Col=1","No Title Assigned - #15283038702")</f>
        <v/>
      </c>
      <c r="B24015" s="0" t="s">
        <v>32113</v>
      </c>
      <c r="E24015" s="0" t="inlineStr">
        <is>
          <t xml:space="preserve">Mazda</t>
        </is>
      </c>
      <c r="F24015" s="0" t="inlineStr">
        <is>
          <t xml:space="preserve">Mazda</t>
        </is>
      </c>
      <c r="G24015" s="0" t="s">
        <v>171</v>
      </c>
      <c r="H24015" s="5">
        <v>509.968500</v>
      </c>
    </row>
    <row r="24016" spans="1:9">
      <c r="A24016" s="22" t="str">
        <f>HYPERLINK("https://app.vivvix.com/360/KMI/IntelliDrive/ApplUI/Pages/CreativePages/CustomReportCreativeDetail.aspx?App=23&amp;ReportView=4&amp;Qid=1711279&amp;Row=24008&amp;Col=1","No Title Assigned - #15283038945")</f>
        <v/>
      </c>
      <c r="B24016" s="0" t="s">
        <v>32114</v>
      </c>
      <c r="E24016" s="0" t="inlineStr">
        <is>
          <t xml:space="preserve">Mazda</t>
        </is>
      </c>
      <c r="F24016" s="0" t="inlineStr">
        <is>
          <t xml:space="preserve">Mazda</t>
        </is>
      </c>
      <c r="G24016" s="0" t="s">
        <v>171</v>
      </c>
      <c r="H24016" s="5">
        <v>1817.117300</v>
      </c>
    </row>
    <row r="24017" spans="1:9">
      <c r="A24017" s="22" t="str">
        <f>HYPERLINK("https://app.vivvix.com/360/KMI/IntelliDrive/ApplUI/Pages/CreativePages/CustomReportCreativeDetail.aspx?App=23&amp;ReportView=4&amp;Qid=1711279&amp;Row=24009&amp;Col=1","No Title Assigned - #15283041240")</f>
        <v/>
      </c>
      <c r="B24017" s="0" t="s">
        <v>32115</v>
      </c>
      <c r="E24017" s="0" t="inlineStr">
        <is>
          <t xml:space="preserve">Mazda</t>
        </is>
      </c>
      <c r="F24017" s="0" t="inlineStr">
        <is>
          <t xml:space="preserve">Mazda</t>
        </is>
      </c>
      <c r="G24017" s="0" t="s">
        <v>171</v>
      </c>
      <c r="H24017" s="5">
        <v>43.211900</v>
      </c>
    </row>
    <row r="24018" spans="1:9">
      <c r="A24018" s="22" t="str">
        <f>HYPERLINK("https://app.vivvix.com/360/KMI/IntelliDrive/ApplUI/Pages/CreativePages/CustomReportCreativeDetail.aspx?App=23&amp;ReportView=4&amp;Qid=1711279&amp;Row=24010&amp;Col=1","No Title Assigned - #15283043993")</f>
        <v/>
      </c>
      <c r="B24018" s="0" t="s">
        <v>32116</v>
      </c>
      <c r="E24018" s="0" t="inlineStr">
        <is>
          <t xml:space="preserve">Mazda</t>
        </is>
      </c>
      <c r="F24018" s="0" t="inlineStr">
        <is>
          <t xml:space="preserve">Mazda</t>
        </is>
      </c>
      <c r="G24018" s="0" t="s">
        <v>171</v>
      </c>
      <c r="H24018" s="5">
        <v>102.493400</v>
      </c>
    </row>
    <row r="24019" spans="1:9">
      <c r="A24019" s="22" t="str">
        <f>HYPERLINK("https://app.vivvix.com/360/KMI/IntelliDrive/ApplUI/Pages/CreativePages/CustomReportCreativeDetail.aspx?App=23&amp;ReportView=4&amp;Qid=1711279&amp;Row=24011&amp;Col=1","No Title Assigned - #15283044255")</f>
        <v/>
      </c>
      <c r="B24019" s="0" t="s">
        <v>32117</v>
      </c>
      <c r="C24019" s="0" t="s">
        <v>32118</v>
      </c>
      <c r="D24019" s="0" t="s">
        <v>32118</v>
      </c>
      <c r="E24019" s="0" t="inlineStr">
        <is>
          <t xml:space="preserve">Mazda</t>
        </is>
      </c>
      <c r="F24019" s="0" t="inlineStr">
        <is>
          <t xml:space="preserve">Mazda</t>
        </is>
      </c>
      <c r="G24019" s="0" t="s">
        <v>171</v>
      </c>
      <c r="H24019" s="5">
        <v>407.160300</v>
      </c>
    </row>
    <row r="24020" spans="1:9">
      <c r="A24020" s="22" t="str">
        <f>HYPERLINK("https://app.vivvix.com/360/KMI/IntelliDrive/ApplUI/Pages/CreativePages/CustomReportCreativeDetail.aspx?App=23&amp;ReportView=4&amp;Qid=1711279&amp;Row=24012&amp;Col=1","No Title Assigned - #15283053895")</f>
        <v/>
      </c>
      <c r="B24020" s="0" t="s">
        <v>32119</v>
      </c>
      <c r="E24020" s="0" t="inlineStr">
        <is>
          <t xml:space="preserve">Mazda</t>
        </is>
      </c>
      <c r="F24020" s="0" t="s">
        <v>17</v>
      </c>
      <c r="G24020" s="0" t="s">
        <v>26491</v>
      </c>
      <c r="H24020" s="5">
        <v>931.463200</v>
      </c>
    </row>
    <row r="24021" spans="1:9">
      <c r="A24021" s="22" t="str">
        <f>HYPERLINK("https://app.vivvix.com/360/KMI/IntelliDrive/ApplUI/Pages/CreativePages/CustomReportCreativeDetail.aspx?App=23&amp;ReportView=4&amp;Qid=1711279&amp;Row=24013&amp;Col=1","No Title Assigned - #15283057548")</f>
        <v/>
      </c>
      <c r="B24021" s="0" t="s">
        <v>32120</v>
      </c>
      <c r="E24021" s="0" t="inlineStr">
        <is>
          <t xml:space="preserve">Mazda</t>
        </is>
      </c>
      <c r="F24021" s="0" t="s">
        <v>17</v>
      </c>
      <c r="G24021" s="0" t="s">
        <v>26491</v>
      </c>
      <c r="H24021" s="5">
        <v>450.822900</v>
      </c>
    </row>
    <row r="24022" spans="1:9">
      <c r="A24022" s="22" t="str">
        <f>HYPERLINK("https://app.vivvix.com/360/KMI/IntelliDrive/ApplUI/Pages/CreativePages/CustomReportCreativeDetail.aspx?App=23&amp;ReportView=4&amp;Qid=1711279&amp;Row=24014&amp;Col=1","No Title Assigned - #15283070213")</f>
        <v/>
      </c>
      <c r="B24022" s="0" t="s">
        <v>32121</v>
      </c>
      <c r="E24022" s="0" t="inlineStr">
        <is>
          <t xml:space="preserve">Mazda</t>
        </is>
      </c>
      <c r="F24022" s="0" t="inlineStr">
        <is>
          <t xml:space="preserve">Mazda</t>
        </is>
      </c>
      <c r="G24022" s="0" t="s">
        <v>171</v>
      </c>
      <c r="H24022" s="5">
        <v>212.828600</v>
      </c>
    </row>
    <row r="24023" spans="1:9">
      <c r="A24023" s="22" t="str">
        <f>HYPERLINK("https://app.vivvix.com/360/KMI/IntelliDrive/ApplUI/Pages/CreativePages/CustomReportCreativeDetail.aspx?App=23&amp;ReportView=4&amp;Qid=1711279&amp;Row=24015&amp;Col=1","No Title Assigned - #15283073192")</f>
        <v/>
      </c>
      <c r="B24023" s="0" t="s">
        <v>32122</v>
      </c>
      <c r="C24023" s="0" t="s">
        <v>32123</v>
      </c>
      <c r="D24023" s="0" t="s">
        <v>30063</v>
      </c>
      <c r="E24023" s="0" t="inlineStr">
        <is>
          <t xml:space="preserve">Mazda</t>
        </is>
      </c>
      <c r="F24023" s="0" t="s">
        <v>17</v>
      </c>
      <c r="G24023" s="0" t="s">
        <v>33</v>
      </c>
      <c r="H24023" s="5">
        <v>9.809900</v>
      </c>
    </row>
    <row r="24024" spans="1:9">
      <c r="A24024" s="22" t="str">
        <f>HYPERLINK("https://app.vivvix.com/360/KMI/IntelliDrive/ApplUI/Pages/CreativePages/CustomReportCreativeDetail.aspx?App=23&amp;ReportView=4&amp;Qid=1711279&amp;Row=24016&amp;Col=1","No Title Assigned - #15283084400")</f>
        <v/>
      </c>
      <c r="B24024" s="0" t="s">
        <v>32124</v>
      </c>
      <c r="C24024" s="0" t="s">
        <v>32125</v>
      </c>
      <c r="D24024" s="0" t="s">
        <v>22197</v>
      </c>
      <c r="E24024" s="0" t="inlineStr">
        <is>
          <t xml:space="preserve">Mazda</t>
        </is>
      </c>
      <c r="F24024" s="0" t="s">
        <v>13</v>
      </c>
      <c r="G24024" s="0" t="s">
        <v>49</v>
      </c>
      <c r="H24024" s="5">
        <v>411.159500</v>
      </c>
    </row>
    <row r="24025" spans="1:9">
      <c r="A24025" s="22" t="str">
        <f>HYPERLINK("https://app.vivvix.com/360/KMI/IntelliDrive/ApplUI/Pages/CreativePages/CustomReportCreativeDetail.aspx?App=23&amp;ReportView=4&amp;Qid=1711279&amp;Row=24017&amp;Col=1","No Title Assigned - #15283084694")</f>
        <v/>
      </c>
      <c r="B24025" s="0" t="s">
        <v>32126</v>
      </c>
      <c r="C24025" s="0" t="s">
        <v>32127</v>
      </c>
      <c r="D24025" s="0" t="s">
        <v>32127</v>
      </c>
      <c r="E24025" s="0" t="inlineStr">
        <is>
          <t xml:space="preserve">Mazda</t>
        </is>
      </c>
      <c r="F24025" s="0" t="s">
        <v>13</v>
      </c>
      <c r="G24025" s="0" t="s">
        <v>49</v>
      </c>
      <c r="H24025" s="5">
        <v>71.694000</v>
      </c>
    </row>
    <row r="24026" spans="1:9">
      <c r="A24026" s="22" t="str">
        <f>HYPERLINK("https://app.vivvix.com/360/KMI/IntelliDrive/ApplUI/Pages/CreativePages/CustomReportCreativeDetail.aspx?App=23&amp;ReportView=4&amp;Qid=1711279&amp;Row=24018&amp;Col=1","No Title Assigned - #15283092507")</f>
        <v/>
      </c>
      <c r="B24026" s="0" t="s">
        <v>32128</v>
      </c>
      <c r="C24026" s="0" t="s">
        <v>32129</v>
      </c>
      <c r="D24026" s="0" t="s">
        <v>32129</v>
      </c>
      <c r="E24026" s="0" t="inlineStr">
        <is>
          <t xml:space="preserve">Mazda</t>
        </is>
      </c>
      <c r="F24026" s="0" t="s">
        <v>28</v>
      </c>
      <c r="G24026" s="0" t="s">
        <v>29</v>
      </c>
      <c r="H24026" s="5">
        <v>5876.434000</v>
      </c>
    </row>
    <row r="24027" spans="1:9">
      <c r="A24027" s="22" t="str">
        <f>HYPERLINK("https://app.vivvix.com/360/KMI/IntelliDrive/ApplUI/Pages/CreativePages/CustomReportCreativeDetail.aspx?App=23&amp;ReportView=4&amp;Qid=1711279&amp;Row=24019&amp;Col=1","No Title Assigned - #15283094414")</f>
        <v/>
      </c>
      <c r="B24027" s="0" t="s">
        <v>32130</v>
      </c>
      <c r="E24027" s="0" t="inlineStr">
        <is>
          <t xml:space="preserve">Mazda</t>
        </is>
      </c>
      <c r="F24027" s="0" t="s">
        <v>13</v>
      </c>
      <c r="G24027" s="0" t="s">
        <v>49</v>
      </c>
      <c r="H24027" s="5">
        <v>1112.475800</v>
      </c>
    </row>
    <row r="24028" spans="1:9">
      <c r="A24028" s="22" t="str">
        <f>HYPERLINK("https://app.vivvix.com/360/KMI/IntelliDrive/ApplUI/Pages/CreativePages/CustomReportCreativeDetail.aspx?App=23&amp;ReportView=4&amp;Qid=1711279&amp;Row=24020&amp;Col=1","No Title Assigned - #15283095981")</f>
        <v/>
      </c>
      <c r="B24028" s="0" t="s">
        <v>32131</v>
      </c>
      <c r="C24028" s="0" t="s">
        <v>32132</v>
      </c>
      <c r="D24028" s="0" t="s">
        <v>32132</v>
      </c>
      <c r="E24028" s="0" t="inlineStr">
        <is>
          <t xml:space="preserve">Mazda</t>
        </is>
      </c>
      <c r="F24028" s="0" t="s">
        <v>13</v>
      </c>
      <c r="G24028" s="0" t="s">
        <v>49</v>
      </c>
      <c r="H24028" s="5">
        <v>36.623300</v>
      </c>
    </row>
    <row r="24029" spans="1:9">
      <c r="A24029" s="22" t="str">
        <f>HYPERLINK("https://app.vivvix.com/360/KMI/IntelliDrive/ApplUI/Pages/CreativePages/CustomReportCreativeDetail.aspx?App=23&amp;ReportView=4&amp;Qid=1711279&amp;Row=24021&amp;Col=1","No Title Assigned - #15283097807")</f>
        <v/>
      </c>
      <c r="B24029" s="0" t="s">
        <v>32133</v>
      </c>
      <c r="C24029" s="0" t="s">
        <v>32134</v>
      </c>
      <c r="D24029" s="0" t="s">
        <v>32134</v>
      </c>
      <c r="E24029" s="0" t="inlineStr">
        <is>
          <t xml:space="preserve">Mazda</t>
        </is>
      </c>
      <c r="F24029" s="0" t="s">
        <v>13</v>
      </c>
      <c r="G24029" s="0" t="s">
        <v>49</v>
      </c>
      <c r="H24029" s="5">
        <v>6.043600</v>
      </c>
    </row>
    <row r="24030" spans="1:9">
      <c r="A24030" s="22" t="str">
        <f>HYPERLINK("https://app.vivvix.com/360/KMI/IntelliDrive/ApplUI/Pages/CreativePages/CustomReportCreativeDetail.aspx?App=23&amp;ReportView=4&amp;Qid=1711279&amp;Row=24022&amp;Col=1","No Title Assigned - #15283099092")</f>
        <v/>
      </c>
      <c r="B24030" s="0" t="s">
        <v>32135</v>
      </c>
      <c r="C24030" s="0" t="s">
        <v>32136</v>
      </c>
      <c r="D24030" s="0" t="s">
        <v>29826</v>
      </c>
      <c r="E24030" s="0" t="inlineStr">
        <is>
          <t xml:space="preserve">Mazda</t>
        </is>
      </c>
      <c r="F24030" s="0" t="s">
        <v>13</v>
      </c>
      <c r="G24030" s="0" t="s">
        <v>49</v>
      </c>
      <c r="H24030" s="5">
        <v>193.858200</v>
      </c>
    </row>
    <row r="24031" spans="1:9">
      <c r="A24031" s="22" t="str">
        <f>HYPERLINK("https://app.vivvix.com/360/KMI/IntelliDrive/ApplUI/Pages/CreativePages/CustomReportCreativeDetail.aspx?App=23&amp;ReportView=4&amp;Qid=1711279&amp;Row=24023&amp;Col=1","No Title Assigned - #15283099094")</f>
        <v/>
      </c>
      <c r="B24031" s="0" t="s">
        <v>32137</v>
      </c>
      <c r="C24031" s="0" t="s">
        <v>32138</v>
      </c>
      <c r="D24031" s="0" t="s">
        <v>32138</v>
      </c>
      <c r="E24031" s="0" t="inlineStr">
        <is>
          <t xml:space="preserve">Mazda</t>
        </is>
      </c>
      <c r="F24031" s="0" t="s">
        <v>13</v>
      </c>
      <c r="G24031" s="0" t="s">
        <v>49</v>
      </c>
      <c r="H24031" s="5">
        <v>96.929100</v>
      </c>
    </row>
    <row r="24032" spans="1:9">
      <c r="A24032" s="22" t="str">
        <f>HYPERLINK("https://app.vivvix.com/360/KMI/IntelliDrive/ApplUI/Pages/CreativePages/CustomReportCreativeDetail.aspx?App=23&amp;ReportView=4&amp;Qid=1711279&amp;Row=24024&amp;Col=1","No Title Assigned - #15283100376")</f>
        <v/>
      </c>
      <c r="B24032" s="0" t="s">
        <v>32139</v>
      </c>
      <c r="E24032" s="0" t="inlineStr">
        <is>
          <t xml:space="preserve">Mazda</t>
        </is>
      </c>
      <c r="F24032" s="0" t="inlineStr">
        <is>
          <t xml:space="preserve">Mazda</t>
        </is>
      </c>
      <c r="G24032" s="0" t="s">
        <v>171</v>
      </c>
      <c r="H24032" s="5">
        <v>72867.161400</v>
      </c>
    </row>
    <row r="24033" spans="1:9">
      <c r="A24033" s="22" t="str">
        <f>HYPERLINK("https://app.vivvix.com/360/KMI/IntelliDrive/ApplUI/Pages/CreativePages/CustomReportCreativeDetail.aspx?App=23&amp;ReportView=4&amp;Qid=1711279&amp;Row=24025&amp;Col=1","No Title Assigned - #15283101804")</f>
        <v/>
      </c>
      <c r="B24033" s="0" t="s">
        <v>32140</v>
      </c>
      <c r="C24033" s="0" t="s">
        <v>32141</v>
      </c>
      <c r="D24033" s="0" t="s">
        <v>10008</v>
      </c>
      <c r="E24033" s="0" t="inlineStr">
        <is>
          <t xml:space="preserve">Mazda</t>
        </is>
      </c>
      <c r="F24033" s="0" t="s">
        <v>13</v>
      </c>
      <c r="G24033" s="0" t="s">
        <v>49</v>
      </c>
      <c r="H24033" s="5">
        <v>3501.459400</v>
      </c>
    </row>
    <row r="24034" spans="1:9">
      <c r="A24034" s="22" t="str">
        <f>HYPERLINK("https://app.vivvix.com/360/KMI/IntelliDrive/ApplUI/Pages/CreativePages/CustomReportCreativeDetail.aspx?App=23&amp;ReportView=4&amp;Qid=1711279&amp;Row=24026&amp;Col=1","No Title Assigned - #15283101924")</f>
        <v/>
      </c>
      <c r="B24034" s="0" t="s">
        <v>32142</v>
      </c>
      <c r="E24034" s="0" t="inlineStr">
        <is>
          <t xml:space="preserve">Mazda</t>
        </is>
      </c>
      <c r="F24034" s="0" t="inlineStr">
        <is>
          <t xml:space="preserve">Mazda</t>
        </is>
      </c>
      <c r="G24034" s="0" t="s">
        <v>171</v>
      </c>
      <c r="H24034" s="5">
        <v>90.178400</v>
      </c>
    </row>
    <row r="24035" spans="1:9">
      <c r="A24035" s="22" t="str">
        <f>HYPERLINK("https://app.vivvix.com/360/KMI/IntelliDrive/ApplUI/Pages/CreativePages/CustomReportCreativeDetail.aspx?App=23&amp;ReportView=4&amp;Qid=1711279&amp;Row=24027&amp;Col=1","No Title Assigned - #15283101991")</f>
        <v/>
      </c>
      <c r="B24035" s="0" t="s">
        <v>32143</v>
      </c>
      <c r="C24035" s="0" t="s">
        <v>32144</v>
      </c>
      <c r="D24035" s="0" t="s">
        <v>32144</v>
      </c>
      <c r="E24035" s="0" t="inlineStr">
        <is>
          <t xml:space="preserve">Mazda</t>
        </is>
      </c>
      <c r="F24035" s="0" t="inlineStr">
        <is>
          <t xml:space="preserve">Mazda</t>
        </is>
      </c>
      <c r="G24035" s="0" t="s">
        <v>171</v>
      </c>
      <c r="H24035" s="5">
        <v>414.368600</v>
      </c>
    </row>
    <row r="24036" spans="1:9">
      <c r="A24036" s="22" t="str">
        <f>HYPERLINK("https://app.vivvix.com/360/KMI/IntelliDrive/ApplUI/Pages/CreativePages/CustomReportCreativeDetail.aspx?App=23&amp;ReportView=4&amp;Qid=1711279&amp;Row=24028&amp;Col=1","No Title Assigned - #15283103667")</f>
        <v/>
      </c>
      <c r="B24036" s="0" t="s">
        <v>32145</v>
      </c>
      <c r="E24036" s="0" t="inlineStr">
        <is>
          <t xml:space="preserve">Mazda</t>
        </is>
      </c>
      <c r="F24036" s="0" t="s">
        <v>17</v>
      </c>
      <c r="G24036" s="0" t="s">
        <v>26491</v>
      </c>
      <c r="H24036" s="5">
        <v>661.640500</v>
      </c>
    </row>
    <row r="24037" spans="1:9">
      <c r="A24037" s="22" t="str">
        <f>HYPERLINK("https://app.vivvix.com/360/KMI/IntelliDrive/ApplUI/Pages/CreativePages/CustomReportCreativeDetail.aspx?App=23&amp;ReportView=4&amp;Qid=1711279&amp;Row=24029&amp;Col=1","No Title Assigned - #15283105231")</f>
        <v/>
      </c>
      <c r="B24037" s="0" t="s">
        <v>32146</v>
      </c>
      <c r="E24037" s="0" t="inlineStr">
        <is>
          <t xml:space="preserve">Mazda</t>
        </is>
      </c>
      <c r="F24037" s="0" t="inlineStr">
        <is>
          <t xml:space="preserve">Mazda</t>
        </is>
      </c>
      <c r="G24037" s="0" t="s">
        <v>171</v>
      </c>
      <c r="H24037" s="5">
        <v>6.443400</v>
      </c>
    </row>
    <row r="24038" spans="1:9">
      <c r="A24038" s="22" t="str">
        <f>HYPERLINK("https://app.vivvix.com/360/KMI/IntelliDrive/ApplUI/Pages/CreativePages/CustomReportCreativeDetail.aspx?App=23&amp;ReportView=4&amp;Qid=1711279&amp;Row=24030&amp;Col=1","No Title Assigned - #15283105967")</f>
        <v/>
      </c>
      <c r="B24038" s="0" t="s">
        <v>32147</v>
      </c>
      <c r="E24038" s="0" t="inlineStr">
        <is>
          <t xml:space="preserve">Mazda</t>
        </is>
      </c>
      <c r="F24038" s="0" t="inlineStr">
        <is>
          <t xml:space="preserve">Mazda</t>
        </is>
      </c>
      <c r="G24038" s="0" t="s">
        <v>171</v>
      </c>
      <c r="H24038" s="5">
        <v>1.652300</v>
      </c>
    </row>
    <row r="24039" spans="1:9">
      <c r="A24039" s="22" t="str">
        <f>HYPERLINK("https://app.vivvix.com/360/KMI/IntelliDrive/ApplUI/Pages/CreativePages/CustomReportCreativeDetail.aspx?App=23&amp;ReportView=4&amp;Qid=1711279&amp;Row=24031&amp;Col=1","No Title Assigned - #15283107661")</f>
        <v/>
      </c>
      <c r="B24039" s="0" t="s">
        <v>32148</v>
      </c>
      <c r="E24039" s="0" t="inlineStr">
        <is>
          <t xml:space="preserve">Mazda</t>
        </is>
      </c>
      <c r="F24039" s="0" t="inlineStr">
        <is>
          <t xml:space="preserve">Mazda</t>
        </is>
      </c>
      <c r="G24039" s="0" t="s">
        <v>171</v>
      </c>
      <c r="H24039" s="5">
        <v>167.690000</v>
      </c>
    </row>
    <row r="24040" spans="1:9">
      <c r="A24040" s="22" t="str">
        <f>HYPERLINK("https://app.vivvix.com/360/KMI/IntelliDrive/ApplUI/Pages/CreativePages/CustomReportCreativeDetail.aspx?App=23&amp;ReportView=4&amp;Qid=1711279&amp;Row=24032&amp;Col=1","No Title Assigned - #15283108072")</f>
        <v/>
      </c>
      <c r="B24040" s="0" t="s">
        <v>32149</v>
      </c>
      <c r="E24040" s="0" t="inlineStr">
        <is>
          <t xml:space="preserve">Mazda</t>
        </is>
      </c>
      <c r="F24040" s="0" t="inlineStr">
        <is>
          <t xml:space="preserve">Mazda</t>
        </is>
      </c>
      <c r="G24040" s="0" t="s">
        <v>171</v>
      </c>
      <c r="H24040" s="5">
        <v>387.789600</v>
      </c>
    </row>
    <row r="24041" spans="1:9">
      <c r="A24041" s="22" t="str">
        <f>HYPERLINK("https://app.vivvix.com/360/KMI/IntelliDrive/ApplUI/Pages/CreativePages/CustomReportCreativeDetail.aspx?App=23&amp;ReportView=4&amp;Qid=1711279&amp;Row=24033&amp;Col=1","No Title Assigned - #15283108512")</f>
        <v/>
      </c>
      <c r="B24041" s="0" t="s">
        <v>32150</v>
      </c>
      <c r="E24041" s="0" t="inlineStr">
        <is>
          <t xml:space="preserve">Mazda</t>
        </is>
      </c>
      <c r="F24041" s="0" t="inlineStr">
        <is>
          <t xml:space="preserve">Mazda</t>
        </is>
      </c>
      <c r="G24041" s="0" t="s">
        <v>171</v>
      </c>
      <c r="H24041" s="5">
        <v>426.704800</v>
      </c>
    </row>
    <row r="24042" spans="1:9">
      <c r="A24042" s="22" t="str">
        <f>HYPERLINK("https://app.vivvix.com/360/KMI/IntelliDrive/ApplUI/Pages/CreativePages/CustomReportCreativeDetail.aspx?App=23&amp;ReportView=4&amp;Qid=1711279&amp;Row=24034&amp;Col=1","No Title Assigned - #15283108567")</f>
        <v/>
      </c>
      <c r="B24042" s="0" t="s">
        <v>32151</v>
      </c>
      <c r="E24042" s="0" t="inlineStr">
        <is>
          <t xml:space="preserve">Mazda</t>
        </is>
      </c>
      <c r="F24042" s="0" t="inlineStr">
        <is>
          <t xml:space="preserve">Mazda</t>
        </is>
      </c>
      <c r="G24042" s="0" t="s">
        <v>171</v>
      </c>
      <c r="H24042" s="5">
        <v>12482.706000</v>
      </c>
    </row>
    <row r="24043" spans="1:9">
      <c r="A24043" s="22" t="str">
        <f>HYPERLINK("https://app.vivvix.com/360/KMI/IntelliDrive/ApplUI/Pages/CreativePages/CustomReportCreativeDetail.aspx?App=23&amp;ReportView=4&amp;Qid=1711279&amp;Row=24035&amp;Col=1","No Title Assigned - #15283108684")</f>
        <v/>
      </c>
      <c r="B24043" s="0" t="s">
        <v>32152</v>
      </c>
      <c r="E24043" s="0" t="inlineStr">
        <is>
          <t xml:space="preserve">Mazda</t>
        </is>
      </c>
      <c r="F24043" s="0" t="inlineStr">
        <is>
          <t xml:space="preserve">Mazda</t>
        </is>
      </c>
      <c r="G24043" s="0" t="s">
        <v>171</v>
      </c>
      <c r="H24043" s="5">
        <v>142.640400</v>
      </c>
    </row>
    <row r="24044" spans="1:9">
      <c r="A24044" s="22" t="str">
        <f>HYPERLINK("https://app.vivvix.com/360/KMI/IntelliDrive/ApplUI/Pages/CreativePages/CustomReportCreativeDetail.aspx?App=23&amp;ReportView=4&amp;Qid=1711279&amp;Row=24036&amp;Col=1","No Title Assigned - #15283109033")</f>
        <v/>
      </c>
      <c r="B24044" s="0" t="s">
        <v>32153</v>
      </c>
      <c r="E24044" s="0" t="inlineStr">
        <is>
          <t xml:space="preserve">Mazda</t>
        </is>
      </c>
      <c r="F24044" s="0" t="inlineStr">
        <is>
          <t xml:space="preserve">Mazda</t>
        </is>
      </c>
      <c r="G24044" s="0" t="s">
        <v>171</v>
      </c>
      <c r="H24044" s="5">
        <v>137.771400</v>
      </c>
    </row>
    <row r="24045" spans="1:9">
      <c r="A24045" s="22" t="str">
        <f>HYPERLINK("https://app.vivvix.com/360/KMI/IntelliDrive/ApplUI/Pages/CreativePages/CustomReportCreativeDetail.aspx?App=23&amp;ReportView=4&amp;Qid=1711279&amp;Row=24037&amp;Col=1","No Title Assigned - #15283109253")</f>
        <v/>
      </c>
      <c r="B24045" s="0" t="s">
        <v>32154</v>
      </c>
      <c r="E24045" s="0" t="inlineStr">
        <is>
          <t xml:space="preserve">Mazda</t>
        </is>
      </c>
      <c r="F24045" s="0" t="inlineStr">
        <is>
          <t xml:space="preserve">Mazda</t>
        </is>
      </c>
      <c r="G24045" s="0" t="s">
        <v>171</v>
      </c>
      <c r="H24045" s="5">
        <v>91.847600</v>
      </c>
    </row>
    <row r="24046" spans="1:9">
      <c r="A24046" s="22" t="str">
        <f>HYPERLINK("https://app.vivvix.com/360/KMI/IntelliDrive/ApplUI/Pages/CreativePages/CustomReportCreativeDetail.aspx?App=23&amp;ReportView=4&amp;Qid=1711279&amp;Row=24038&amp;Col=1","No Title Assigned - #15283109324")</f>
        <v/>
      </c>
      <c r="B24046" s="0" t="s">
        <v>32155</v>
      </c>
      <c r="E24046" s="0" t="inlineStr">
        <is>
          <t xml:space="preserve">Mazda</t>
        </is>
      </c>
      <c r="F24046" s="0" t="inlineStr">
        <is>
          <t xml:space="preserve">Mazda</t>
        </is>
      </c>
      <c r="G24046" s="0" t="s">
        <v>171</v>
      </c>
      <c r="H24046" s="5">
        <v>51.468400</v>
      </c>
    </row>
    <row r="24047" spans="1:9">
      <c r="A24047" s="22" t="str">
        <f>HYPERLINK("https://app.vivvix.com/360/KMI/IntelliDrive/ApplUI/Pages/CreativePages/CustomReportCreativeDetail.aspx?App=23&amp;ReportView=4&amp;Qid=1711279&amp;Row=24039&amp;Col=1","No Title Assigned - #15283112612")</f>
        <v/>
      </c>
      <c r="B24047" s="0" t="s">
        <v>32156</v>
      </c>
      <c r="E24047" s="0" t="inlineStr">
        <is>
          <t xml:space="preserve">Mazda</t>
        </is>
      </c>
      <c r="F24047" s="0" t="inlineStr">
        <is>
          <t xml:space="preserve">Mazda</t>
        </is>
      </c>
      <c r="G24047" s="0" t="s">
        <v>171</v>
      </c>
      <c r="H24047" s="5">
        <v>51.531200</v>
      </c>
    </row>
    <row r="24048" spans="1:9">
      <c r="A24048" s="22" t="str">
        <f>HYPERLINK("https://app.vivvix.com/360/KMI/IntelliDrive/ApplUI/Pages/CreativePages/CustomReportCreativeDetail.aspx?App=23&amp;ReportView=4&amp;Qid=1711279&amp;Row=24040&amp;Col=1","No Title Assigned - #15283113312")</f>
        <v/>
      </c>
      <c r="B24048" s="0" t="s">
        <v>32157</v>
      </c>
      <c r="E24048" s="0" t="inlineStr">
        <is>
          <t xml:space="preserve">Mazda</t>
        </is>
      </c>
      <c r="F24048" s="0" t="inlineStr">
        <is>
          <t xml:space="preserve">Mazda</t>
        </is>
      </c>
      <c r="G24048" s="0" t="s">
        <v>171</v>
      </c>
      <c r="H24048" s="5">
        <v>378.338900</v>
      </c>
    </row>
    <row r="24049" spans="1:9">
      <c r="A24049" s="22" t="str">
        <f>HYPERLINK("https://app.vivvix.com/360/KMI/IntelliDrive/ApplUI/Pages/CreativePages/CustomReportCreativeDetail.aspx?App=23&amp;ReportView=4&amp;Qid=1711279&amp;Row=24041&amp;Col=1","No Title Assigned - #15283113312")</f>
        <v/>
      </c>
      <c r="B24049" s="0" t="s">
        <v>32157</v>
      </c>
      <c r="E24049" s="0" t="inlineStr">
        <is>
          <t xml:space="preserve">Mazda</t>
        </is>
      </c>
      <c r="F24049" s="0" t="inlineStr">
        <is>
          <t xml:space="preserve">Mazda</t>
        </is>
      </c>
      <c r="G24049" s="0" t="s">
        <v>171</v>
      </c>
      <c r="H24049" s="5">
        <v>992.779400</v>
      </c>
    </row>
    <row r="24050" spans="1:9">
      <c r="A24050" s="22" t="str">
        <f>HYPERLINK("https://app.vivvix.com/360/KMI/IntelliDrive/ApplUI/Pages/CreativePages/CustomReportCreativeDetail.aspx?App=23&amp;ReportView=4&amp;Qid=1711279&amp;Row=24042&amp;Col=1","No Title Assigned - #15283114545")</f>
        <v/>
      </c>
      <c r="B24050" s="0" t="s">
        <v>32158</v>
      </c>
      <c r="E24050" s="0" t="inlineStr">
        <is>
          <t xml:space="preserve">Mazda</t>
        </is>
      </c>
      <c r="F24050" s="0" t="inlineStr">
        <is>
          <t xml:space="preserve">Mazda</t>
        </is>
      </c>
      <c r="G24050" s="0" t="s">
        <v>171</v>
      </c>
      <c r="H24050" s="5">
        <v>625.003500</v>
      </c>
    </row>
    <row r="24051" spans="1:9">
      <c r="A24051" s="22" t="str">
        <f>HYPERLINK("https://app.vivvix.com/360/KMI/IntelliDrive/ApplUI/Pages/CreativePages/CustomReportCreativeDetail.aspx?App=23&amp;ReportView=4&amp;Qid=1711279&amp;Row=24043&amp;Col=1","No Title Assigned - #15283115115")</f>
        <v/>
      </c>
      <c r="B24051" s="0" t="s">
        <v>32159</v>
      </c>
      <c r="E24051" s="0" t="inlineStr">
        <is>
          <t xml:space="preserve">Mazda</t>
        </is>
      </c>
      <c r="F24051" s="0" t="inlineStr">
        <is>
          <t xml:space="preserve">Mazda</t>
        </is>
      </c>
      <c r="G24051" s="0" t="s">
        <v>171</v>
      </c>
      <c r="H24051" s="5">
        <v>437.853100</v>
      </c>
    </row>
    <row r="24052" spans="1:9">
      <c r="A24052" s="22" t="str">
        <f>HYPERLINK("https://app.vivvix.com/360/KMI/IntelliDrive/ApplUI/Pages/CreativePages/CustomReportCreativeDetail.aspx?App=23&amp;ReportView=4&amp;Qid=1711279&amp;Row=24044&amp;Col=1","No Title Assigned - #15283128565")</f>
        <v/>
      </c>
      <c r="B24052" s="0" t="s">
        <v>32160</v>
      </c>
      <c r="E24052" s="0" t="inlineStr">
        <is>
          <t xml:space="preserve">Mazda</t>
        </is>
      </c>
      <c r="F24052" s="0" t="inlineStr">
        <is>
          <t xml:space="preserve">Mazda</t>
        </is>
      </c>
      <c r="G24052" s="0" t="s">
        <v>171</v>
      </c>
      <c r="H24052" s="5">
        <v>89.848100</v>
      </c>
    </row>
    <row r="24053" spans="1:9">
      <c r="A24053" s="22" t="str">
        <f>HYPERLINK("https://app.vivvix.com/360/KMI/IntelliDrive/ApplUI/Pages/CreativePages/CustomReportCreativeDetail.aspx?App=23&amp;ReportView=4&amp;Qid=1711279&amp;Row=24045&amp;Col=1","No Title Assigned - #15283134758")</f>
        <v/>
      </c>
      <c r="B24053" s="0" t="s">
        <v>32161</v>
      </c>
      <c r="E24053" s="0" t="inlineStr">
        <is>
          <t xml:space="preserve">Mazda</t>
        </is>
      </c>
      <c r="F24053" s="0" t="inlineStr">
        <is>
          <t xml:space="preserve">Mazda</t>
        </is>
      </c>
      <c r="G24053" s="0" t="s">
        <v>171</v>
      </c>
      <c r="H24053" s="5">
        <v>88.809000</v>
      </c>
    </row>
    <row r="24054" spans="1:9">
      <c r="A24054" s="22" t="str">
        <f>HYPERLINK("https://app.vivvix.com/360/KMI/IntelliDrive/ApplUI/Pages/CreativePages/CustomReportCreativeDetail.aspx?App=23&amp;ReportView=4&amp;Qid=1711279&amp;Row=24046&amp;Col=1","No Title Assigned - #15283135145")</f>
        <v/>
      </c>
      <c r="B24054" s="0" t="s">
        <v>32162</v>
      </c>
      <c r="C24054" s="0" t="s">
        <v>32163</v>
      </c>
      <c r="D24054" s="0" t="s">
        <v>32163</v>
      </c>
      <c r="E24054" s="0" t="inlineStr">
        <is>
          <t xml:space="preserve">Mazda</t>
        </is>
      </c>
      <c r="F24054" s="0" t="inlineStr">
        <is>
          <t xml:space="preserve">Mazda</t>
        </is>
      </c>
      <c r="G24054" s="0" t="s">
        <v>171</v>
      </c>
      <c r="H24054" s="5">
        <v>142.094400</v>
      </c>
    </row>
    <row r="24055" spans="1:9">
      <c r="A24055" s="22" t="str">
        <f>HYPERLINK("https://app.vivvix.com/360/KMI/IntelliDrive/ApplUI/Pages/CreativePages/CustomReportCreativeDetail.aspx?App=23&amp;ReportView=4&amp;Qid=1711279&amp;Row=24047&amp;Col=1","No Title Assigned - #15283136702")</f>
        <v/>
      </c>
      <c r="B24055" s="0" t="s">
        <v>32164</v>
      </c>
      <c r="E24055" s="0" t="inlineStr">
        <is>
          <t xml:space="preserve">Mazda</t>
        </is>
      </c>
      <c r="F24055" s="0" t="inlineStr">
        <is>
          <t xml:space="preserve">Mazda</t>
        </is>
      </c>
      <c r="G24055" s="0" t="s">
        <v>171</v>
      </c>
      <c r="H24055" s="5">
        <v>6.018400</v>
      </c>
    </row>
    <row r="24056" spans="1:9">
      <c r="A24056" s="22" t="str">
        <f>HYPERLINK("https://app.vivvix.com/360/KMI/IntelliDrive/ApplUI/Pages/CreativePages/CustomReportCreativeDetail.aspx?App=23&amp;ReportView=4&amp;Qid=1711279&amp;Row=24048&amp;Col=1","No Title Assigned - #15283139228")</f>
        <v/>
      </c>
      <c r="B24056" s="0" t="s">
        <v>32165</v>
      </c>
      <c r="C24056" s="0" t="s">
        <v>32166</v>
      </c>
      <c r="D24056" s="0" t="s">
        <v>32166</v>
      </c>
      <c r="E24056" s="0" t="inlineStr">
        <is>
          <t xml:space="preserve">Mazda</t>
        </is>
      </c>
      <c r="F24056" s="0" t="inlineStr">
        <is>
          <t xml:space="preserve">Mazda</t>
        </is>
      </c>
      <c r="G24056" s="0" t="s">
        <v>2413</v>
      </c>
      <c r="H24056" s="5">
        <v>984.035600</v>
      </c>
    </row>
    <row r="24057" spans="1:9">
      <c r="A24057" s="22" t="str">
        <f>HYPERLINK("https://app.vivvix.com/360/KMI/IntelliDrive/ApplUI/Pages/CreativePages/CustomReportCreativeDetail.aspx?App=23&amp;ReportView=4&amp;Qid=1711279&amp;Row=24049&amp;Col=1","No Title Assigned - #15283143360")</f>
        <v/>
      </c>
      <c r="B24057" s="0" t="s">
        <v>32167</v>
      </c>
      <c r="C24057" s="0" t="s">
        <v>32168</v>
      </c>
      <c r="D24057" s="0" t="s">
        <v>32168</v>
      </c>
      <c r="E24057" s="0" t="inlineStr">
        <is>
          <t xml:space="preserve">Mazda</t>
        </is>
      </c>
      <c r="F24057" s="0" t="s">
        <v>13</v>
      </c>
      <c r="G24057" s="0" t="s">
        <v>49</v>
      </c>
      <c r="H24057" s="5">
        <v>34.173400</v>
      </c>
    </row>
    <row r="24058" spans="1:9">
      <c r="A24058" s="22" t="str">
        <f>HYPERLINK("https://app.vivvix.com/360/KMI/IntelliDrive/ApplUI/Pages/CreativePages/CustomReportCreativeDetail.aspx?App=23&amp;ReportView=4&amp;Qid=1711279&amp;Row=24050&amp;Col=1","No Title Assigned - #15283144555")</f>
        <v/>
      </c>
      <c r="B24058" s="0" t="s">
        <v>32169</v>
      </c>
      <c r="C24058" s="0" t="s">
        <v>32170</v>
      </c>
      <c r="D24058" s="0" t="s">
        <v>32170</v>
      </c>
      <c r="E24058" s="0" t="inlineStr">
        <is>
          <t xml:space="preserve">Mazda</t>
        </is>
      </c>
      <c r="F24058" s="0" t="s">
        <v>13</v>
      </c>
      <c r="G24058" s="0" t="s">
        <v>49</v>
      </c>
      <c r="H24058" s="5">
        <v>517.677200</v>
      </c>
    </row>
    <row r="24059" spans="1:9">
      <c r="A24059" s="22" t="str">
        <f>HYPERLINK("https://app.vivvix.com/360/KMI/IntelliDrive/ApplUI/Pages/CreativePages/CustomReportCreativeDetail.aspx?App=23&amp;ReportView=4&amp;Qid=1711279&amp;Row=24051&amp;Col=1","No Title Assigned - #15283146199")</f>
        <v/>
      </c>
      <c r="B24059" s="0" t="s">
        <v>32171</v>
      </c>
      <c r="C24059" s="0" t="s">
        <v>32172</v>
      </c>
      <c r="D24059" s="0" t="s">
        <v>32172</v>
      </c>
      <c r="E24059" s="0" t="inlineStr">
        <is>
          <t xml:space="preserve">Mazda</t>
        </is>
      </c>
      <c r="F24059" s="0" t="s">
        <v>13</v>
      </c>
      <c r="G24059" s="0" t="s">
        <v>49</v>
      </c>
      <c r="H24059" s="5">
        <v>16.144900</v>
      </c>
    </row>
    <row r="24060" spans="1:9">
      <c r="A24060" s="22" t="str">
        <f>HYPERLINK("https://app.vivvix.com/360/KMI/IntelliDrive/ApplUI/Pages/CreativePages/CustomReportCreativeDetail.aspx?App=23&amp;ReportView=4&amp;Qid=1711279&amp;Row=24052&amp;Col=1","No Title Assigned - #15283146633")</f>
        <v/>
      </c>
      <c r="B24060" s="0" t="s">
        <v>32173</v>
      </c>
      <c r="C24060" s="0" t="s">
        <v>32174</v>
      </c>
      <c r="D24060" s="0" t="s">
        <v>32174</v>
      </c>
      <c r="E24060" s="0" t="inlineStr">
        <is>
          <t xml:space="preserve">Mazda</t>
        </is>
      </c>
      <c r="F24060" s="0" t="s">
        <v>52</v>
      </c>
      <c r="G24060" s="0" t="s">
        <v>325</v>
      </c>
      <c r="H24060" s="5">
        <v>395.995200</v>
      </c>
    </row>
    <row r="24061" spans="1:9">
      <c r="A24061" s="22" t="str">
        <f>HYPERLINK("https://app.vivvix.com/360/KMI/IntelliDrive/ApplUI/Pages/CreativePages/CustomReportCreativeDetail.aspx?App=23&amp;ReportView=4&amp;Qid=1711279&amp;Row=24053&amp;Col=1","No Title Assigned - #15283149576")</f>
        <v/>
      </c>
      <c r="B24061" s="0" t="s">
        <v>32175</v>
      </c>
      <c r="C24061" s="0" t="s">
        <v>32176</v>
      </c>
      <c r="D24061" s="0" t="s">
        <v>31196</v>
      </c>
      <c r="E24061" s="0" t="inlineStr">
        <is>
          <t xml:space="preserve">Mazda</t>
        </is>
      </c>
      <c r="F24061" s="0" t="s">
        <v>13</v>
      </c>
      <c r="G24061" s="0" t="s">
        <v>49</v>
      </c>
      <c r="H24061" s="5">
        <v>620.088000</v>
      </c>
    </row>
    <row r="24062" spans="1:9">
      <c r="A24062" s="22" t="str">
        <f>HYPERLINK("https://app.vivvix.com/360/KMI/IntelliDrive/ApplUI/Pages/CreativePages/CustomReportCreativeDetail.aspx?App=23&amp;ReportView=4&amp;Qid=1711279&amp;Row=24054&amp;Col=1","No Title Assigned - #15283151272")</f>
        <v/>
      </c>
      <c r="B24062" s="0" t="s">
        <v>32177</v>
      </c>
      <c r="C24062" s="0" t="s">
        <v>32178</v>
      </c>
      <c r="D24062" s="0" t="s">
        <v>32178</v>
      </c>
      <c r="E24062" s="0" t="inlineStr">
        <is>
          <t xml:space="preserve">Mazda</t>
        </is>
      </c>
      <c r="F24062" s="0" t="s">
        <v>115</v>
      </c>
      <c r="G24062" s="0" t="s">
        <v>365</v>
      </c>
      <c r="H24062" s="5">
        <v>395.995200</v>
      </c>
    </row>
    <row r="24063" spans="1:9">
      <c r="A24063" s="22" t="str">
        <f>HYPERLINK("https://app.vivvix.com/360/KMI/IntelliDrive/ApplUI/Pages/CreativePages/CustomReportCreativeDetail.aspx?App=23&amp;ReportView=4&amp;Qid=1711279&amp;Row=24055&amp;Col=1","No Title Assigned - #15283157264")</f>
        <v/>
      </c>
      <c r="B24063" s="0" t="s">
        <v>32179</v>
      </c>
      <c r="C24063" s="0" t="s">
        <v>32180</v>
      </c>
      <c r="D24063" s="0" t="s">
        <v>32180</v>
      </c>
      <c r="E24063" s="0" t="inlineStr">
        <is>
          <t xml:space="preserve">Mazda</t>
        </is>
      </c>
      <c r="F24063" s="0" t="s">
        <v>13</v>
      </c>
      <c r="G24063" s="0" t="s">
        <v>49</v>
      </c>
      <c r="H24063" s="5">
        <v>996.905900</v>
      </c>
    </row>
    <row r="24064" spans="1:9">
      <c r="A24064" s="22" t="str">
        <f>HYPERLINK("https://app.vivvix.com/360/KMI/IntelliDrive/ApplUI/Pages/CreativePages/CustomReportCreativeDetail.aspx?App=23&amp;ReportView=4&amp;Qid=1711279&amp;Row=24056&amp;Col=1","No Title Assigned - #15283161191")</f>
        <v/>
      </c>
      <c r="B24064" s="0" t="s">
        <v>32181</v>
      </c>
      <c r="C24064" s="0" t="s">
        <v>32182</v>
      </c>
      <c r="D24064" s="0" t="s">
        <v>32182</v>
      </c>
      <c r="E24064" s="0" t="inlineStr">
        <is>
          <t xml:space="preserve">Mazda</t>
        </is>
      </c>
      <c r="F24064" s="0" t="s">
        <v>13</v>
      </c>
      <c r="G24064" s="0" t="s">
        <v>49</v>
      </c>
      <c r="H24064" s="5">
        <v>140.326300</v>
      </c>
    </row>
    <row r="24065" spans="1:9">
      <c r="A24065" s="22" t="str">
        <f>HYPERLINK("https://app.vivvix.com/360/KMI/IntelliDrive/ApplUI/Pages/CreativePages/CustomReportCreativeDetail.aspx?App=23&amp;ReportView=4&amp;Qid=1711279&amp;Row=24057&amp;Col=1","No Title Assigned - #15283161544")</f>
        <v/>
      </c>
      <c r="B24065" s="0" t="s">
        <v>32183</v>
      </c>
      <c r="E24065" s="0" t="inlineStr">
        <is>
          <t xml:space="preserve">Mazda</t>
        </is>
      </c>
      <c r="F24065" s="0" t="s">
        <v>56</v>
      </c>
      <c r="G24065" s="0" t="s">
        <v>57</v>
      </c>
      <c r="H24065" s="5">
        <v>1097.561200</v>
      </c>
    </row>
    <row r="24066" spans="1:9">
      <c r="A24066" s="22" t="str">
        <f>HYPERLINK("https://app.vivvix.com/360/KMI/IntelliDrive/ApplUI/Pages/CreativePages/CustomReportCreativeDetail.aspx?App=23&amp;ReportView=4&amp;Qid=1711279&amp;Row=24058&amp;Col=1","No Title Assigned - #15283161785")</f>
        <v/>
      </c>
      <c r="B24066" s="0" t="s">
        <v>32184</v>
      </c>
      <c r="C24066" s="0" t="s">
        <v>32185</v>
      </c>
      <c r="D24066" s="0" t="s">
        <v>17743</v>
      </c>
      <c r="E24066" s="0" t="inlineStr">
        <is>
          <t xml:space="preserve">Mazda</t>
        </is>
      </c>
      <c r="F24066" s="0" t="s">
        <v>13</v>
      </c>
      <c r="G24066" s="0" t="s">
        <v>49</v>
      </c>
      <c r="H24066" s="5">
        <v>534.302100</v>
      </c>
    </row>
    <row r="24067" spans="1:9">
      <c r="A24067" s="22" t="str">
        <f>HYPERLINK("https://app.vivvix.com/360/KMI/IntelliDrive/ApplUI/Pages/CreativePages/CustomReportCreativeDetail.aspx?App=23&amp;ReportView=4&amp;Qid=1711279&amp;Row=24059&amp;Col=1","No Title Assigned - #15283165487")</f>
        <v/>
      </c>
      <c r="B24067" s="0" t="s">
        <v>32186</v>
      </c>
      <c r="C24067" s="0" t="s">
        <v>32187</v>
      </c>
      <c r="D24067" s="0" t="s">
        <v>9829</v>
      </c>
      <c r="E24067" s="0" t="inlineStr">
        <is>
          <t xml:space="preserve">Mazda</t>
        </is>
      </c>
      <c r="F24067" s="0" t="s">
        <v>13</v>
      </c>
      <c r="G24067" s="0" t="s">
        <v>49</v>
      </c>
      <c r="H24067" s="5">
        <v>400.306600</v>
      </c>
    </row>
    <row r="24068" spans="1:9">
      <c r="A24068" s="22" t="str">
        <f>HYPERLINK("https://app.vivvix.com/360/KMI/IntelliDrive/ApplUI/Pages/CreativePages/CustomReportCreativeDetail.aspx?App=23&amp;ReportView=4&amp;Qid=1711279&amp;Row=24060&amp;Col=1","No Title Assigned - #15283166847")</f>
        <v/>
      </c>
      <c r="B24068" s="0" t="s">
        <v>32188</v>
      </c>
      <c r="C24068" s="0" t="s">
        <v>32189</v>
      </c>
      <c r="D24068" s="0" t="s">
        <v>21552</v>
      </c>
      <c r="E24068" s="0" t="inlineStr">
        <is>
          <t xml:space="preserve">Mazda</t>
        </is>
      </c>
      <c r="F24068" s="0" t="s">
        <v>13</v>
      </c>
      <c r="G24068" s="0" t="s">
        <v>49</v>
      </c>
      <c r="H24068" s="5">
        <v>2578.676500</v>
      </c>
    </row>
    <row r="24069" spans="1:9">
      <c r="A24069" s="22" t="str">
        <f>HYPERLINK("https://app.vivvix.com/360/KMI/IntelliDrive/ApplUI/Pages/CreativePages/CustomReportCreativeDetail.aspx?App=23&amp;ReportView=4&amp;Qid=1711279&amp;Row=24061&amp;Col=1","No Title Assigned - #15283167550")</f>
        <v/>
      </c>
      <c r="B24069" s="0" t="s">
        <v>32190</v>
      </c>
      <c r="E24069" s="0" t="inlineStr">
        <is>
          <t xml:space="preserve">Mazda</t>
        </is>
      </c>
      <c r="F24069" s="0" t="s">
        <v>13</v>
      </c>
      <c r="G24069" s="0" t="s">
        <v>49</v>
      </c>
      <c r="H24069" s="5">
        <v>538.674300</v>
      </c>
    </row>
    <row r="24070" spans="1:9">
      <c r="A24070" s="22" t="str">
        <f>HYPERLINK("https://app.vivvix.com/360/KMI/IntelliDrive/ApplUI/Pages/CreativePages/CustomReportCreativeDetail.aspx?App=23&amp;ReportView=4&amp;Qid=1711279&amp;Row=24062&amp;Col=1","No Title Assigned - #15283169032")</f>
        <v/>
      </c>
      <c r="B24070" s="0" t="s">
        <v>32191</v>
      </c>
      <c r="C24070" s="0" t="s">
        <v>32192</v>
      </c>
      <c r="D24070" s="0" t="s">
        <v>11708</v>
      </c>
      <c r="E24070" s="0" t="inlineStr">
        <is>
          <t xml:space="preserve">Mazda</t>
        </is>
      </c>
      <c r="F24070" s="0" t="s">
        <v>13</v>
      </c>
      <c r="G24070" s="0" t="s">
        <v>49</v>
      </c>
      <c r="H24070" s="5">
        <v>842.928800</v>
      </c>
    </row>
    <row r="24071" spans="1:9">
      <c r="A24071" s="22" t="str">
        <f>HYPERLINK("https://app.vivvix.com/360/KMI/IntelliDrive/ApplUI/Pages/CreativePages/CustomReportCreativeDetail.aspx?App=23&amp;ReportView=4&amp;Qid=1711279&amp;Row=24063&amp;Col=1","No Title Assigned - #15283169038")</f>
        <v/>
      </c>
      <c r="B24071" s="0" t="s">
        <v>32193</v>
      </c>
      <c r="C24071" s="0" t="s">
        <v>32194</v>
      </c>
      <c r="D24071" s="0" t="s">
        <v>32194</v>
      </c>
      <c r="E24071" s="0" t="inlineStr">
        <is>
          <t xml:space="preserve">Mazda</t>
        </is>
      </c>
      <c r="F24071" s="0" t="s">
        <v>13</v>
      </c>
      <c r="G24071" s="0" t="s">
        <v>49</v>
      </c>
      <c r="H24071" s="5">
        <v>34.173400</v>
      </c>
    </row>
    <row r="24072" spans="1:9">
      <c r="A24072" s="22" t="str">
        <f>HYPERLINK("https://app.vivvix.com/360/KMI/IntelliDrive/ApplUI/Pages/CreativePages/CustomReportCreativeDetail.aspx?App=23&amp;ReportView=4&amp;Qid=1711279&amp;Row=24064&amp;Col=1","No Title Assigned - #15283172007")</f>
        <v/>
      </c>
      <c r="B24072" s="0" t="s">
        <v>32195</v>
      </c>
      <c r="C24072" s="0" t="s">
        <v>32196</v>
      </c>
      <c r="D24072" s="0" t="s">
        <v>32196</v>
      </c>
      <c r="E24072" s="0" t="inlineStr">
        <is>
          <t xml:space="preserve">Mazda</t>
        </is>
      </c>
      <c r="F24072" s="0" t="s">
        <v>13</v>
      </c>
      <c r="G24072" s="0" t="s">
        <v>49</v>
      </c>
      <c r="H24072" s="5">
        <v>827.618400</v>
      </c>
    </row>
    <row r="24073" spans="1:9">
      <c r="A24073" s="22" t="str">
        <f>HYPERLINK("https://app.vivvix.com/360/KMI/IntelliDrive/ApplUI/Pages/CreativePages/CustomReportCreativeDetail.aspx?App=23&amp;ReportView=4&amp;Qid=1711279&amp;Row=24065&amp;Col=1","No Title Assigned - #15283172998")</f>
        <v/>
      </c>
      <c r="B24073" s="0" t="s">
        <v>32197</v>
      </c>
      <c r="E24073" s="0" t="inlineStr">
        <is>
          <t xml:space="preserve">Mazda</t>
        </is>
      </c>
      <c r="F24073" s="0" t="inlineStr">
        <is>
          <t xml:space="preserve">Mazda</t>
        </is>
      </c>
      <c r="G24073" s="0" t="s">
        <v>171</v>
      </c>
      <c r="H24073" s="5">
        <v>109.453400</v>
      </c>
    </row>
    <row r="24074" spans="1:9">
      <c r="A24074" s="22" t="str">
        <f>HYPERLINK("https://app.vivvix.com/360/KMI/IntelliDrive/ApplUI/Pages/CreativePages/CustomReportCreativeDetail.aspx?App=23&amp;ReportView=4&amp;Qid=1711279&amp;Row=24066&amp;Col=1","No Title Assigned - #15283173856")</f>
        <v/>
      </c>
      <c r="B24074" s="0" t="s">
        <v>32198</v>
      </c>
      <c r="C24074" s="0" t="s">
        <v>32199</v>
      </c>
      <c r="D24074" s="0" t="s">
        <v>32199</v>
      </c>
      <c r="E24074" s="0" t="inlineStr">
        <is>
          <t xml:space="preserve">Mazda</t>
        </is>
      </c>
      <c r="F24074" s="0" t="s">
        <v>13</v>
      </c>
      <c r="G24074" s="0" t="s">
        <v>49</v>
      </c>
      <c r="H24074" s="5">
        <v>41.350300</v>
      </c>
    </row>
    <row r="24075" spans="1:9">
      <c r="A24075" s="22" t="str">
        <f>HYPERLINK("https://app.vivvix.com/360/KMI/IntelliDrive/ApplUI/Pages/CreativePages/CustomReportCreativeDetail.aspx?App=23&amp;ReportView=4&amp;Qid=1711279&amp;Row=24067&amp;Col=1","No Title Assigned - #15283175579")</f>
        <v/>
      </c>
      <c r="B24075" s="0" t="s">
        <v>32200</v>
      </c>
      <c r="E24075" s="0" t="inlineStr">
        <is>
          <t xml:space="preserve">Mazda</t>
        </is>
      </c>
      <c r="F24075" s="0" t="inlineStr">
        <is>
          <t xml:space="preserve">Mazda</t>
        </is>
      </c>
      <c r="G24075" s="0" t="s">
        <v>171</v>
      </c>
      <c r="H24075" s="5">
        <v>425.234400</v>
      </c>
    </row>
    <row r="24076" spans="1:9">
      <c r="A24076" s="22" t="str">
        <f>HYPERLINK("https://app.vivvix.com/360/KMI/IntelliDrive/ApplUI/Pages/CreativePages/CustomReportCreativeDetail.aspx?App=23&amp;ReportView=4&amp;Qid=1711279&amp;Row=24068&amp;Col=1","No Title Assigned - #15283175607")</f>
        <v/>
      </c>
      <c r="B24076" s="0" t="s">
        <v>32201</v>
      </c>
      <c r="E24076" s="0" t="inlineStr">
        <is>
          <t xml:space="preserve">Mazda</t>
        </is>
      </c>
      <c r="F24076" s="0" t="inlineStr">
        <is>
          <t xml:space="preserve">Mazda</t>
        </is>
      </c>
      <c r="G24076" s="0" t="s">
        <v>171</v>
      </c>
      <c r="H24076" s="5">
        <v>2618.567100</v>
      </c>
    </row>
    <row r="24077" spans="1:9">
      <c r="A24077" s="22" t="str">
        <f>HYPERLINK("https://app.vivvix.com/360/KMI/IntelliDrive/ApplUI/Pages/CreativePages/CustomReportCreativeDetail.aspx?App=23&amp;ReportView=4&amp;Qid=1711279&amp;Row=24069&amp;Col=1","No Title Assigned - #15283175702")</f>
        <v/>
      </c>
      <c r="B24077" s="0" t="s">
        <v>32202</v>
      </c>
      <c r="E24077" s="0" t="inlineStr">
        <is>
          <t xml:space="preserve">Mazda</t>
        </is>
      </c>
      <c r="F24077" s="0" t="inlineStr">
        <is>
          <t xml:space="preserve">Mazda</t>
        </is>
      </c>
      <c r="G24077" s="0" t="s">
        <v>171</v>
      </c>
      <c r="H24077" s="5">
        <v>142.098000</v>
      </c>
    </row>
    <row r="24078" spans="1:9">
      <c r="A24078" s="22" t="str">
        <f>HYPERLINK("https://app.vivvix.com/360/KMI/IntelliDrive/ApplUI/Pages/CreativePages/CustomReportCreativeDetail.aspx?App=23&amp;ReportView=4&amp;Qid=1711279&amp;Row=24070&amp;Col=1","No Title Assigned - #15283175915")</f>
        <v/>
      </c>
      <c r="B24078" s="0" t="s">
        <v>32203</v>
      </c>
      <c r="E24078" s="0" t="inlineStr">
        <is>
          <t xml:space="preserve">Mazda</t>
        </is>
      </c>
      <c r="F24078" s="0" t="inlineStr">
        <is>
          <t xml:space="preserve">Mazda</t>
        </is>
      </c>
      <c r="G24078" s="0" t="s">
        <v>171</v>
      </c>
      <c r="H24078" s="5">
        <v>496.905900</v>
      </c>
    </row>
    <row r="24079" spans="1:9">
      <c r="A24079" s="22" t="str">
        <f>HYPERLINK("https://app.vivvix.com/360/KMI/IntelliDrive/ApplUI/Pages/CreativePages/CustomReportCreativeDetail.aspx?App=23&amp;ReportView=4&amp;Qid=1711279&amp;Row=24071&amp;Col=1","No Title Assigned - #15283176280")</f>
        <v/>
      </c>
      <c r="B24079" s="0" t="s">
        <v>32204</v>
      </c>
      <c r="E24079" s="0" t="inlineStr">
        <is>
          <t xml:space="preserve">Mazda</t>
        </is>
      </c>
      <c r="F24079" s="0" t="inlineStr">
        <is>
          <t xml:space="preserve">Mazda</t>
        </is>
      </c>
      <c r="G24079" s="0" t="s">
        <v>171</v>
      </c>
      <c r="H24079" s="5">
        <v>481.151300</v>
      </c>
    </row>
    <row r="24080" spans="1:9">
      <c r="A24080" s="22" t="str">
        <f>HYPERLINK("https://app.vivvix.com/360/KMI/IntelliDrive/ApplUI/Pages/CreativePages/CustomReportCreativeDetail.aspx?App=23&amp;ReportView=4&amp;Qid=1711279&amp;Row=24072&amp;Col=1","No Title Assigned - #15283176899")</f>
        <v/>
      </c>
      <c r="B24080" s="0" t="s">
        <v>32205</v>
      </c>
      <c r="E24080" s="0" t="inlineStr">
        <is>
          <t xml:space="preserve">Mazda</t>
        </is>
      </c>
      <c r="F24080" s="0" t="inlineStr">
        <is>
          <t xml:space="preserve">Mazda</t>
        </is>
      </c>
      <c r="G24080" s="0" t="s">
        <v>171</v>
      </c>
      <c r="H24080" s="5">
        <v>51.468400</v>
      </c>
    </row>
    <row r="24081" spans="1:9">
      <c r="A24081" s="22" t="str">
        <f>HYPERLINK("https://app.vivvix.com/360/KMI/IntelliDrive/ApplUI/Pages/CreativePages/CustomReportCreativeDetail.aspx?App=23&amp;ReportView=4&amp;Qid=1711279&amp;Row=24073&amp;Col=1","No Title Assigned - #15283177957")</f>
        <v/>
      </c>
      <c r="B24081" s="0" t="s">
        <v>32206</v>
      </c>
      <c r="E24081" s="0" t="inlineStr">
        <is>
          <t xml:space="preserve">Mazda</t>
        </is>
      </c>
      <c r="F24081" s="0" t="inlineStr">
        <is>
          <t xml:space="preserve">Mazda</t>
        </is>
      </c>
      <c r="G24081" s="0" t="s">
        <v>171</v>
      </c>
      <c r="H24081" s="5">
        <v>140.326300</v>
      </c>
    </row>
    <row r="24082" spans="1:9">
      <c r="A24082" s="22" t="str">
        <f>HYPERLINK("https://app.vivvix.com/360/KMI/IntelliDrive/ApplUI/Pages/CreativePages/CustomReportCreativeDetail.aspx?App=23&amp;ReportView=4&amp;Qid=1711279&amp;Row=24074&amp;Col=1","No Title Assigned - #15283178174")</f>
        <v/>
      </c>
      <c r="B24082" s="0" t="s">
        <v>32207</v>
      </c>
      <c r="E24082" s="0" t="inlineStr">
        <is>
          <t xml:space="preserve">Mazda</t>
        </is>
      </c>
      <c r="F24082" s="0" t="inlineStr">
        <is>
          <t xml:space="preserve">Mazda</t>
        </is>
      </c>
      <c r="G24082" s="0" t="s">
        <v>171</v>
      </c>
      <c r="H24082" s="5">
        <v>222.821000</v>
      </c>
    </row>
    <row r="24083" spans="1:9">
      <c r="A24083" s="22" t="str">
        <f>HYPERLINK("https://app.vivvix.com/360/KMI/IntelliDrive/ApplUI/Pages/CreativePages/CustomReportCreativeDetail.aspx?App=23&amp;ReportView=4&amp;Qid=1711279&amp;Row=24075&amp;Col=1","No Title Assigned - #15283179113")</f>
        <v/>
      </c>
      <c r="B24083" s="0" t="s">
        <v>32208</v>
      </c>
      <c r="E24083" s="0" t="inlineStr">
        <is>
          <t xml:space="preserve">Mazda</t>
        </is>
      </c>
      <c r="F24083" s="0" t="inlineStr">
        <is>
          <t xml:space="preserve">Mazda</t>
        </is>
      </c>
      <c r="G24083" s="0" t="s">
        <v>171</v>
      </c>
      <c r="H24083" s="5">
        <v>1872.228000</v>
      </c>
    </row>
    <row r="24084" spans="1:9">
      <c r="A24084" s="22" t="str">
        <f>HYPERLINK("https://app.vivvix.com/360/KMI/IntelliDrive/ApplUI/Pages/CreativePages/CustomReportCreativeDetail.aspx?App=23&amp;ReportView=4&amp;Qid=1711279&amp;Row=24076&amp;Col=1","No Title Assigned - #15283183505")</f>
        <v/>
      </c>
      <c r="B24084" s="0" t="s">
        <v>32209</v>
      </c>
      <c r="E24084" s="0" t="inlineStr">
        <is>
          <t xml:space="preserve">Mazda</t>
        </is>
      </c>
      <c r="F24084" s="0" t="inlineStr">
        <is>
          <t xml:space="preserve">Mazda</t>
        </is>
      </c>
      <c r="G24084" s="0" t="s">
        <v>171</v>
      </c>
      <c r="H24084" s="5">
        <v>2990.717700</v>
      </c>
    </row>
    <row r="24085" spans="1:9">
      <c r="A24085" s="22" t="str">
        <f>HYPERLINK("https://app.vivvix.com/360/KMI/IntelliDrive/ApplUI/Pages/CreativePages/CustomReportCreativeDetail.aspx?App=23&amp;ReportView=4&amp;Qid=1711279&amp;Row=24077&amp;Col=1","No Title Assigned - #15283185351")</f>
        <v/>
      </c>
      <c r="B24085" s="0" t="s">
        <v>32210</v>
      </c>
      <c r="E24085" s="0" t="inlineStr">
        <is>
          <t xml:space="preserve">Mazda</t>
        </is>
      </c>
      <c r="F24085" s="0" t="inlineStr">
        <is>
          <t xml:space="preserve">Mazda</t>
        </is>
      </c>
      <c r="G24085" s="0" t="s">
        <v>171</v>
      </c>
      <c r="H24085" s="5">
        <v>3.009200</v>
      </c>
    </row>
    <row r="24086" spans="1:9">
      <c r="A24086" s="22" t="str">
        <f>HYPERLINK("https://app.vivvix.com/360/KMI/IntelliDrive/ApplUI/Pages/CreativePages/CustomReportCreativeDetail.aspx?App=23&amp;ReportView=4&amp;Qid=1711279&amp;Row=24078&amp;Col=1","No Title Assigned - #15283187792")</f>
        <v/>
      </c>
      <c r="B24086" s="0" t="s">
        <v>32211</v>
      </c>
      <c r="E24086" s="0" t="inlineStr">
        <is>
          <t xml:space="preserve">Mazda</t>
        </is>
      </c>
      <c r="F24086" s="0" t="inlineStr">
        <is>
          <t xml:space="preserve">Mazda</t>
        </is>
      </c>
      <c r="G24086" s="0" t="s">
        <v>171</v>
      </c>
      <c r="H24086" s="5">
        <v>3982.120100</v>
      </c>
    </row>
    <row r="24087" spans="1:9">
      <c r="A24087" s="22" t="str">
        <f>HYPERLINK("https://app.vivvix.com/360/KMI/IntelliDrive/ApplUI/Pages/CreativePages/CustomReportCreativeDetail.aspx?App=23&amp;ReportView=4&amp;Qid=1711279&amp;Row=24079&amp;Col=1","No Title Assigned - #15283195350")</f>
        <v/>
      </c>
      <c r="B24087" s="0" t="s">
        <v>32212</v>
      </c>
      <c r="E24087" s="0" t="inlineStr">
        <is>
          <t xml:space="preserve">Mazda</t>
        </is>
      </c>
      <c r="F24087" s="0" t="inlineStr">
        <is>
          <t xml:space="preserve">Mazda</t>
        </is>
      </c>
      <c r="G24087" s="0" t="s">
        <v>171</v>
      </c>
      <c r="H24087" s="5">
        <v>1956.093800</v>
      </c>
    </row>
    <row r="24088" spans="1:9">
      <c r="A24088" s="22" t="str">
        <f>HYPERLINK("https://app.vivvix.com/360/KMI/IntelliDrive/ApplUI/Pages/CreativePages/CustomReportCreativeDetail.aspx?App=23&amp;ReportView=4&amp;Qid=1711279&amp;Row=24080&amp;Col=1","No Title Assigned - #15283197210")</f>
        <v/>
      </c>
      <c r="B24088" s="0" t="s">
        <v>32213</v>
      </c>
      <c r="E24088" s="0" t="inlineStr">
        <is>
          <t xml:space="preserve">Mazda</t>
        </is>
      </c>
      <c r="F24088" s="0" t="inlineStr">
        <is>
          <t xml:space="preserve">Mazda</t>
        </is>
      </c>
      <c r="G24088" s="0" t="s">
        <v>171</v>
      </c>
      <c r="H24088" s="5">
        <v>996.905900</v>
      </c>
    </row>
    <row r="24089" spans="1:9">
      <c r="A24089" s="22" t="str">
        <f>HYPERLINK("https://app.vivvix.com/360/KMI/IntelliDrive/ApplUI/Pages/CreativePages/CustomReportCreativeDetail.aspx?App=23&amp;ReportView=4&amp;Qid=1711279&amp;Row=24081&amp;Col=1","No Title Assigned - #15283198267")</f>
        <v/>
      </c>
      <c r="B24089" s="0" t="s">
        <v>32214</v>
      </c>
      <c r="C24089" s="0" t="s">
        <v>32215</v>
      </c>
      <c r="D24089" s="0" t="s">
        <v>17743</v>
      </c>
      <c r="E24089" s="0" t="inlineStr">
        <is>
          <t xml:space="preserve">Mazda</t>
        </is>
      </c>
      <c r="F24089" s="0" t="s">
        <v>13</v>
      </c>
      <c r="G24089" s="0" t="s">
        <v>49</v>
      </c>
      <c r="H24089" s="5">
        <v>66.878700</v>
      </c>
    </row>
    <row r="24090" spans="1:9">
      <c r="A24090" s="22" t="str">
        <f>HYPERLINK("https://app.vivvix.com/360/KMI/IntelliDrive/ApplUI/Pages/CreativePages/CustomReportCreativeDetail.aspx?App=23&amp;ReportView=4&amp;Qid=1711279&amp;Row=24082&amp;Col=1","No Title Assigned - #15283208796")</f>
        <v/>
      </c>
      <c r="B24090" s="0" t="s">
        <v>32216</v>
      </c>
      <c r="C24090" s="0" t="s">
        <v>32217</v>
      </c>
      <c r="D24090" s="0" t="s">
        <v>32217</v>
      </c>
      <c r="E24090" s="0" t="inlineStr">
        <is>
          <t xml:space="preserve">Mazda</t>
        </is>
      </c>
      <c r="F24090" s="0" t="inlineStr">
        <is>
          <t xml:space="preserve">Mazda</t>
        </is>
      </c>
      <c r="G24090" s="0" t="s">
        <v>2413</v>
      </c>
      <c r="H24090" s="5">
        <v>482.300500</v>
      </c>
    </row>
    <row r="24091" spans="1:9">
      <c r="A24091" s="22" t="str">
        <f>HYPERLINK("https://app.vivvix.com/360/KMI/IntelliDrive/ApplUI/Pages/CreativePages/CustomReportCreativeDetail.aspx?App=23&amp;ReportView=4&amp;Qid=1711279&amp;Row=24083&amp;Col=1","No Title Assigned - #15283210793")</f>
        <v/>
      </c>
      <c r="B24091" s="0" t="s">
        <v>32218</v>
      </c>
      <c r="C24091" s="0" t="s">
        <v>32219</v>
      </c>
      <c r="D24091" s="0" t="s">
        <v>22176</v>
      </c>
      <c r="E24091" s="0" t="inlineStr">
        <is>
          <t xml:space="preserve">Mazda</t>
        </is>
      </c>
      <c r="F24091" s="0" t="s">
        <v>13</v>
      </c>
      <c r="G24091" s="0" t="s">
        <v>49</v>
      </c>
      <c r="H24091" s="5">
        <v>1007.418000</v>
      </c>
    </row>
    <row r="24092" spans="1:9">
      <c r="A24092" s="22" t="str">
        <f>HYPERLINK("https://app.vivvix.com/360/KMI/IntelliDrive/ApplUI/Pages/CreativePages/CustomReportCreativeDetail.aspx?App=23&amp;ReportView=4&amp;Qid=1711279&amp;Row=24084&amp;Col=1","No Title Assigned - #15283216279")</f>
        <v/>
      </c>
      <c r="B24092" s="0" t="s">
        <v>32220</v>
      </c>
      <c r="C24092" s="0" t="s">
        <v>32221</v>
      </c>
      <c r="D24092" s="0" t="s">
        <v>32221</v>
      </c>
      <c r="E24092" s="0" t="inlineStr">
        <is>
          <t xml:space="preserve">Mazda</t>
        </is>
      </c>
      <c r="F24092" s="0" t="s">
        <v>13</v>
      </c>
      <c r="G24092" s="0" t="s">
        <v>49</v>
      </c>
      <c r="H24092" s="5">
        <v>1078.100300</v>
      </c>
    </row>
    <row r="24093" spans="1:9">
      <c r="A24093" s="22" t="str">
        <f>HYPERLINK("https://app.vivvix.com/360/KMI/IntelliDrive/ApplUI/Pages/CreativePages/CustomReportCreativeDetail.aspx?App=23&amp;ReportView=4&amp;Qid=1711279&amp;Row=24085&amp;Col=1","No Title Assigned - #15283216610")</f>
        <v/>
      </c>
      <c r="B24093" s="0" t="s">
        <v>32222</v>
      </c>
      <c r="C24093" s="0" t="s">
        <v>32223</v>
      </c>
      <c r="D24093" s="0" t="s">
        <v>32223</v>
      </c>
      <c r="E24093" s="0" t="inlineStr">
        <is>
          <t xml:space="preserve">Mazda</t>
        </is>
      </c>
      <c r="F24093" s="0" t="s">
        <v>13</v>
      </c>
      <c r="G24093" s="0" t="s">
        <v>49</v>
      </c>
      <c r="H24093" s="5">
        <v>439.016800</v>
      </c>
    </row>
    <row r="24094" spans="1:9">
      <c r="A24094" s="22" t="str">
        <f>HYPERLINK("https://app.vivvix.com/360/KMI/IntelliDrive/ApplUI/Pages/CreativePages/CustomReportCreativeDetail.aspx?App=23&amp;ReportView=4&amp;Qid=1711279&amp;Row=24086&amp;Col=1","No Title Assigned - #15283220540")</f>
        <v/>
      </c>
      <c r="B24094" s="0" t="s">
        <v>32224</v>
      </c>
      <c r="C24094" s="0" t="s">
        <v>32225</v>
      </c>
      <c r="D24094" s="0" t="s">
        <v>11258</v>
      </c>
      <c r="E24094" s="0" t="inlineStr">
        <is>
          <t xml:space="preserve">Mazda</t>
        </is>
      </c>
      <c r="F24094" s="0" t="s">
        <v>13</v>
      </c>
      <c r="G24094" s="0" t="s">
        <v>49</v>
      </c>
      <c r="H24094" s="5">
        <v>118.648200</v>
      </c>
    </row>
    <row r="24095" spans="1:9">
      <c r="A24095" s="22" t="str">
        <f>HYPERLINK("https://app.vivvix.com/360/KMI/IntelliDrive/ApplUI/Pages/CreativePages/CustomReportCreativeDetail.aspx?App=23&amp;ReportView=4&amp;Qid=1711279&amp;Row=24087&amp;Col=1","No Title Assigned - #15283223369")</f>
        <v/>
      </c>
      <c r="B24095" s="0" t="s">
        <v>32226</v>
      </c>
      <c r="C24095" s="0" t="s">
        <v>32227</v>
      </c>
      <c r="D24095" s="0" t="s">
        <v>9167</v>
      </c>
      <c r="E24095" s="0" t="inlineStr">
        <is>
          <t xml:space="preserve">Mazda</t>
        </is>
      </c>
      <c r="F24095" s="0" t="s">
        <v>13</v>
      </c>
      <c r="G24095" s="0" t="s">
        <v>49</v>
      </c>
      <c r="H24095" s="5">
        <v>59.029400</v>
      </c>
    </row>
    <row r="24096" spans="1:9">
      <c r="A24096" s="22" t="str">
        <f>HYPERLINK("https://app.vivvix.com/360/KMI/IntelliDrive/ApplUI/Pages/CreativePages/CustomReportCreativeDetail.aspx?App=23&amp;ReportView=4&amp;Qid=1711279&amp;Row=24088&amp;Col=1","No Title Assigned - #15283224586")</f>
        <v/>
      </c>
      <c r="B24096" s="0" t="s">
        <v>32228</v>
      </c>
      <c r="C24096" s="0" t="s">
        <v>32229</v>
      </c>
      <c r="D24096" s="0" t="s">
        <v>32229</v>
      </c>
      <c r="E24096" s="0" t="inlineStr">
        <is>
          <t xml:space="preserve">Mazda</t>
        </is>
      </c>
      <c r="F24096" s="0" t="s">
        <v>369</v>
      </c>
      <c r="G24096" s="0" t="s">
        <v>370</v>
      </c>
      <c r="H24096" s="5">
        <v>86.681300</v>
      </c>
    </row>
    <row r="24097" spans="1:9">
      <c r="A24097" s="22" t="str">
        <f>HYPERLINK("https://app.vivvix.com/360/KMI/IntelliDrive/ApplUI/Pages/CreativePages/CustomReportCreativeDetail.aspx?App=23&amp;ReportView=4&amp;Qid=1711279&amp;Row=24089&amp;Col=1","No Title Assigned - #15283226233")</f>
        <v/>
      </c>
      <c r="B24097" s="0" t="s">
        <v>32230</v>
      </c>
      <c r="C24097" s="0" t="s">
        <v>32231</v>
      </c>
      <c r="D24097" s="0" t="s">
        <v>32231</v>
      </c>
      <c r="E24097" s="0" t="inlineStr">
        <is>
          <t xml:space="preserve">Mazda</t>
        </is>
      </c>
      <c r="F24097" s="0" t="s">
        <v>13</v>
      </c>
      <c r="G24097" s="0" t="s">
        <v>49</v>
      </c>
      <c r="H24097" s="5">
        <v>6123.253500</v>
      </c>
    </row>
    <row r="24098" spans="1:9">
      <c r="A24098" s="22" t="str">
        <f>HYPERLINK("https://app.vivvix.com/360/KMI/IntelliDrive/ApplUI/Pages/CreativePages/CustomReportCreativeDetail.aspx?App=23&amp;ReportView=4&amp;Qid=1711279&amp;Row=24090&amp;Col=1","No Title Assigned - #15283226638")</f>
        <v/>
      </c>
      <c r="B24098" s="0" t="s">
        <v>32232</v>
      </c>
      <c r="C24098" s="0" t="s">
        <v>32233</v>
      </c>
      <c r="D24098" s="0" t="s">
        <v>6183</v>
      </c>
      <c r="E24098" s="0" t="inlineStr">
        <is>
          <t xml:space="preserve">Mazda</t>
        </is>
      </c>
      <c r="F24098" s="0" t="s">
        <v>13</v>
      </c>
      <c r="G24098" s="0" t="s">
        <v>49</v>
      </c>
      <c r="H24098" s="5">
        <v>537.507900</v>
      </c>
    </row>
    <row r="24099" spans="1:9">
      <c r="A24099" s="22" t="str">
        <f>HYPERLINK("https://app.vivvix.com/360/KMI/IntelliDrive/ApplUI/Pages/CreativePages/CustomReportCreativeDetail.aspx?App=23&amp;ReportView=4&amp;Qid=1711279&amp;Row=24091&amp;Col=1","No Title Assigned - #15283227176")</f>
        <v/>
      </c>
      <c r="B24099" s="0" t="s">
        <v>32234</v>
      </c>
      <c r="C24099" s="0" t="s">
        <v>32235</v>
      </c>
      <c r="D24099" s="0" t="s">
        <v>17743</v>
      </c>
      <c r="E24099" s="0" t="inlineStr">
        <is>
          <t xml:space="preserve">Mazda</t>
        </is>
      </c>
      <c r="F24099" s="0" t="s">
        <v>13</v>
      </c>
      <c r="G24099" s="0" t="s">
        <v>49</v>
      </c>
      <c r="H24099" s="5">
        <v>143.834400</v>
      </c>
    </row>
    <row r="24100" spans="1:9">
      <c r="A24100" s="22" t="str">
        <f>HYPERLINK("https://app.vivvix.com/360/KMI/IntelliDrive/ApplUI/Pages/CreativePages/CustomReportCreativeDetail.aspx?App=23&amp;ReportView=4&amp;Qid=1711279&amp;Row=24092&amp;Col=1","No Title Assigned - #15283229488")</f>
        <v/>
      </c>
      <c r="B24100" s="0" t="s">
        <v>32236</v>
      </c>
      <c r="C24100" s="0" t="s">
        <v>32237</v>
      </c>
      <c r="D24100" s="0" t="s">
        <v>32237</v>
      </c>
      <c r="E24100" s="0" t="inlineStr">
        <is>
          <t xml:space="preserve">Mazda</t>
        </is>
      </c>
      <c r="F24100" s="0" t="s">
        <v>13</v>
      </c>
      <c r="G24100" s="0" t="s">
        <v>49</v>
      </c>
      <c r="H24100" s="5">
        <v>438.325200</v>
      </c>
    </row>
    <row r="24101" spans="1:9">
      <c r="A24101" s="22" t="str">
        <f>HYPERLINK("https://app.vivvix.com/360/KMI/IntelliDrive/ApplUI/Pages/CreativePages/CustomReportCreativeDetail.aspx?App=23&amp;ReportView=4&amp;Qid=1711279&amp;Row=24093&amp;Col=1","No Title Assigned - #15283230722")</f>
        <v/>
      </c>
      <c r="B24101" s="0" t="s">
        <v>32238</v>
      </c>
      <c r="C24101" s="0" t="s">
        <v>32239</v>
      </c>
      <c r="D24101" s="0" t="s">
        <v>32239</v>
      </c>
      <c r="E24101" s="0" t="inlineStr">
        <is>
          <t xml:space="preserve">Mazda</t>
        </is>
      </c>
      <c r="F24101" s="0" t="s">
        <v>13</v>
      </c>
      <c r="G24101" s="0" t="s">
        <v>49</v>
      </c>
      <c r="H24101" s="5">
        <v>16234.352100</v>
      </c>
    </row>
    <row r="24102" spans="1:9">
      <c r="A24102" s="22" t="str">
        <f>HYPERLINK("https://app.vivvix.com/360/KMI/IntelliDrive/ApplUI/Pages/CreativePages/CustomReportCreativeDetail.aspx?App=23&amp;ReportView=4&amp;Qid=1711279&amp;Row=24094&amp;Col=1","No Title Assigned - #15283231270")</f>
        <v/>
      </c>
      <c r="B24102" s="0" t="s">
        <v>32240</v>
      </c>
      <c r="C24102" s="0" t="s">
        <v>32241</v>
      </c>
      <c r="D24102" s="0" t="s">
        <v>10955</v>
      </c>
      <c r="E24102" s="0" t="inlineStr">
        <is>
          <t xml:space="preserve">Mazda</t>
        </is>
      </c>
      <c r="F24102" s="0" t="s">
        <v>13</v>
      </c>
      <c r="G24102" s="0" t="s">
        <v>49</v>
      </c>
      <c r="H24102" s="5">
        <v>58.301800</v>
      </c>
    </row>
    <row r="24103" spans="1:9">
      <c r="A24103" s="22" t="str">
        <f>HYPERLINK("https://app.vivvix.com/360/KMI/IntelliDrive/ApplUI/Pages/CreativePages/CustomReportCreativeDetail.aspx?App=23&amp;ReportView=4&amp;Qid=1711279&amp;Row=24095&amp;Col=1","No Title Assigned - #15283231752")</f>
        <v/>
      </c>
      <c r="B24103" s="0" t="s">
        <v>32242</v>
      </c>
      <c r="C24103" s="0" t="s">
        <v>32243</v>
      </c>
      <c r="D24103" s="0" t="s">
        <v>27507</v>
      </c>
      <c r="E24103" s="0" t="inlineStr">
        <is>
          <t xml:space="preserve">Mazda</t>
        </is>
      </c>
      <c r="F24103" s="0" t="s">
        <v>13</v>
      </c>
      <c r="G24103" s="0" t="s">
        <v>49</v>
      </c>
      <c r="H24103" s="5">
        <v>5169.256300</v>
      </c>
    </row>
    <row r="24104" spans="1:9">
      <c r="A24104" s="22" t="str">
        <f>HYPERLINK("https://app.vivvix.com/360/KMI/IntelliDrive/ApplUI/Pages/CreativePages/CustomReportCreativeDetail.aspx?App=23&amp;ReportView=4&amp;Qid=1711279&amp;Row=24096&amp;Col=1","No Title Assigned - #15283231797")</f>
        <v/>
      </c>
      <c r="B24104" s="0" t="s">
        <v>32244</v>
      </c>
      <c r="C24104" s="0" t="s">
        <v>32245</v>
      </c>
      <c r="D24104" s="0" t="s">
        <v>32172</v>
      </c>
      <c r="E24104" s="0" t="inlineStr">
        <is>
          <t xml:space="preserve">Mazda</t>
        </is>
      </c>
      <c r="F24104" s="0" t="s">
        <v>13</v>
      </c>
      <c r="G24104" s="0" t="s">
        <v>49</v>
      </c>
      <c r="H24104" s="5">
        <v>83.464700</v>
      </c>
    </row>
    <row r="24105" spans="1:9">
      <c r="A24105" s="22" t="str">
        <f>HYPERLINK("https://app.vivvix.com/360/KMI/IntelliDrive/ApplUI/Pages/CreativePages/CustomReportCreativeDetail.aspx?App=23&amp;ReportView=4&amp;Qid=1711279&amp;Row=24097&amp;Col=1","No Title Assigned - #15283232170")</f>
        <v/>
      </c>
      <c r="B24105" s="0" t="s">
        <v>32246</v>
      </c>
      <c r="C24105" s="0" t="s">
        <v>32247</v>
      </c>
      <c r="D24105" s="0" t="s">
        <v>11420</v>
      </c>
      <c r="E24105" s="0" t="inlineStr">
        <is>
          <t xml:space="preserve">Mazda</t>
        </is>
      </c>
      <c r="F24105" s="0" t="s">
        <v>13</v>
      </c>
      <c r="G24105" s="0" t="s">
        <v>49</v>
      </c>
      <c r="H24105" s="5">
        <v>35.958600</v>
      </c>
    </row>
    <row r="24106" spans="1:9">
      <c r="A24106" s="22" t="str">
        <f>HYPERLINK("https://app.vivvix.com/360/KMI/IntelliDrive/ApplUI/Pages/CreativePages/CustomReportCreativeDetail.aspx?App=23&amp;ReportView=4&amp;Qid=1711279&amp;Row=24098&amp;Col=1","No Title Assigned - #15283232188")</f>
        <v/>
      </c>
      <c r="B24106" s="0" t="s">
        <v>32248</v>
      </c>
      <c r="C24106" s="0" t="s">
        <v>32249</v>
      </c>
      <c r="D24106" s="0" t="s">
        <v>15730</v>
      </c>
      <c r="E24106" s="0" t="inlineStr">
        <is>
          <t xml:space="preserve">Mazda</t>
        </is>
      </c>
      <c r="F24106" s="0" t="inlineStr">
        <is>
          <t xml:space="preserve">Mazda</t>
        </is>
      </c>
      <c r="G24106" s="0" t="s">
        <v>210</v>
      </c>
      <c r="H24106" s="5">
        <v>21763.187500</v>
      </c>
    </row>
    <row r="24107" spans="1:9">
      <c r="A24107" s="22" t="str">
        <f>HYPERLINK("https://app.vivvix.com/360/KMI/IntelliDrive/ApplUI/Pages/CreativePages/CustomReportCreativeDetail.aspx?App=23&amp;ReportView=4&amp;Qid=1711279&amp;Row=24099&amp;Col=1","No Title Assigned - #15283232465")</f>
        <v/>
      </c>
      <c r="B24107" s="0" t="s">
        <v>32250</v>
      </c>
      <c r="C24107" s="0" t="s">
        <v>32251</v>
      </c>
      <c r="D24107" s="0" t="s">
        <v>31031</v>
      </c>
      <c r="E24107" s="0" t="inlineStr">
        <is>
          <t xml:space="preserve">Mazda</t>
        </is>
      </c>
      <c r="F24107" s="0" t="s">
        <v>13</v>
      </c>
      <c r="G24107" s="0" t="s">
        <v>49</v>
      </c>
      <c r="H24107" s="5">
        <v>425.398200</v>
      </c>
    </row>
    <row r="24108" spans="1:9">
      <c r="A24108" s="22" t="str">
        <f>HYPERLINK("https://app.vivvix.com/360/KMI/IntelliDrive/ApplUI/Pages/CreativePages/CustomReportCreativeDetail.aspx?App=23&amp;ReportView=4&amp;Qid=1711279&amp;Row=24100&amp;Col=1","No Title Assigned - #15283235401")</f>
        <v/>
      </c>
      <c r="B24108" s="0" t="s">
        <v>32252</v>
      </c>
      <c r="E24108" s="0" t="inlineStr">
        <is>
          <t xml:space="preserve">Mazda</t>
        </is>
      </c>
      <c r="F24108" s="0" t="inlineStr">
        <is>
          <t xml:space="preserve">Mazda</t>
        </is>
      </c>
      <c r="G24108" s="0" t="s">
        <v>171</v>
      </c>
      <c r="H24108" s="5">
        <v>198.995100</v>
      </c>
    </row>
    <row r="24109" spans="1:9">
      <c r="A24109" s="22" t="str">
        <f>HYPERLINK("https://app.vivvix.com/360/KMI/IntelliDrive/ApplUI/Pages/CreativePages/CustomReportCreativeDetail.aspx?App=23&amp;ReportView=4&amp;Qid=1711279&amp;Row=24101&amp;Col=1","No Title Assigned - #15283238002")</f>
        <v/>
      </c>
      <c r="B24109" s="0" t="s">
        <v>32253</v>
      </c>
      <c r="E24109" s="0" t="inlineStr">
        <is>
          <t xml:space="preserve">Mazda</t>
        </is>
      </c>
      <c r="F24109" s="0" t="inlineStr">
        <is>
          <t xml:space="preserve">Mazda</t>
        </is>
      </c>
      <c r="G24109" s="0" t="s">
        <v>171</v>
      </c>
      <c r="H24109" s="5">
        <v>91.298500</v>
      </c>
    </row>
    <row r="24110" spans="1:9">
      <c r="A24110" s="22" t="str">
        <f>HYPERLINK("https://app.vivvix.com/360/KMI/IntelliDrive/ApplUI/Pages/CreativePages/CustomReportCreativeDetail.aspx?App=23&amp;ReportView=4&amp;Qid=1711279&amp;Row=24102&amp;Col=1","No Title Assigned - #15283238003")</f>
        <v/>
      </c>
      <c r="B24110" s="0" t="s">
        <v>32254</v>
      </c>
      <c r="E24110" s="0" t="inlineStr">
        <is>
          <t xml:space="preserve">Mazda</t>
        </is>
      </c>
      <c r="F24110" s="0" t="inlineStr">
        <is>
          <t xml:space="preserve">Mazda</t>
        </is>
      </c>
      <c r="G24110" s="0" t="s">
        <v>171</v>
      </c>
      <c r="H24110" s="5">
        <v>91.298500</v>
      </c>
    </row>
    <row r="24111" spans="1:9">
      <c r="A24111" s="22" t="str">
        <f>HYPERLINK("https://app.vivvix.com/360/KMI/IntelliDrive/ApplUI/Pages/CreativePages/CustomReportCreativeDetail.aspx?App=23&amp;ReportView=4&amp;Qid=1711279&amp;Row=24103&amp;Col=1","No Title Assigned - #15283238384")</f>
        <v/>
      </c>
      <c r="B24111" s="0" t="s">
        <v>32255</v>
      </c>
      <c r="E24111" s="0" t="inlineStr">
        <is>
          <t xml:space="preserve">Mazda</t>
        </is>
      </c>
      <c r="F24111" s="0" t="inlineStr">
        <is>
          <t xml:space="preserve">Mazda</t>
        </is>
      </c>
      <c r="G24111" s="0" t="s">
        <v>171</v>
      </c>
      <c r="H24111" s="5">
        <v>122.144000</v>
      </c>
    </row>
    <row r="24112" spans="1:9">
      <c r="A24112" s="22" t="str">
        <f>HYPERLINK("https://app.vivvix.com/360/KMI/IntelliDrive/ApplUI/Pages/CreativePages/CustomReportCreativeDetail.aspx?App=23&amp;ReportView=4&amp;Qid=1711279&amp;Row=24104&amp;Col=1","No Title Assigned - #15283238974")</f>
        <v/>
      </c>
      <c r="B24112" s="0" t="s">
        <v>32256</v>
      </c>
      <c r="E24112" s="0" t="inlineStr">
        <is>
          <t xml:space="preserve">Mazda</t>
        </is>
      </c>
      <c r="F24112" s="0" t="inlineStr">
        <is>
          <t xml:space="preserve">Mazda</t>
        </is>
      </c>
      <c r="G24112" s="0" t="s">
        <v>171</v>
      </c>
      <c r="H24112" s="5">
        <v>68.513600</v>
      </c>
    </row>
    <row r="24113" spans="1:9">
      <c r="A24113" s="22" t="str">
        <f>HYPERLINK("https://app.vivvix.com/360/KMI/IntelliDrive/ApplUI/Pages/CreativePages/CustomReportCreativeDetail.aspx?App=23&amp;ReportView=4&amp;Qid=1711279&amp;Row=24105&amp;Col=1","No Title Assigned - #15283252538")</f>
        <v/>
      </c>
      <c r="B24113" s="0" t="s">
        <v>32257</v>
      </c>
      <c r="E24113" s="0" t="inlineStr">
        <is>
          <t xml:space="preserve">Mazda</t>
        </is>
      </c>
      <c r="F24113" s="0" t="inlineStr">
        <is>
          <t xml:space="preserve">Mazda</t>
        </is>
      </c>
      <c r="G24113" s="0" t="s">
        <v>171</v>
      </c>
      <c r="H24113" s="5">
        <v>120.141000</v>
      </c>
    </row>
    <row r="24114" spans="1:9">
      <c r="A24114" s="22" t="str">
        <f>HYPERLINK("https://app.vivvix.com/360/KMI/IntelliDrive/ApplUI/Pages/CreativePages/CustomReportCreativeDetail.aspx?App=23&amp;ReportView=4&amp;Qid=1711279&amp;Row=24106&amp;Col=1","No Title Assigned - #15283266785")</f>
        <v/>
      </c>
      <c r="B24114" s="0" t="s">
        <v>32258</v>
      </c>
      <c r="C24114" s="0" t="s">
        <v>32259</v>
      </c>
      <c r="D24114" s="0" t="s">
        <v>32259</v>
      </c>
      <c r="E24114" s="0" t="inlineStr">
        <is>
          <t xml:space="preserve">Mazda</t>
        </is>
      </c>
      <c r="F24114" s="0" t="s">
        <v>13</v>
      </c>
      <c r="G24114" s="0" t="s">
        <v>49</v>
      </c>
      <c r="H24114" s="5">
        <v>136.518300</v>
      </c>
    </row>
    <row r="24115" spans="1:9">
      <c r="A24115" s="22" t="str">
        <f>HYPERLINK("https://app.vivvix.com/360/KMI/IntelliDrive/ApplUI/Pages/CreativePages/CustomReportCreativeDetail.aspx?App=23&amp;ReportView=4&amp;Qid=1711279&amp;Row=24107&amp;Col=1","No Title Assigned - #15283270181")</f>
        <v/>
      </c>
      <c r="B24115" s="0" t="s">
        <v>32260</v>
      </c>
      <c r="C24115" s="0" t="s">
        <v>32261</v>
      </c>
      <c r="D24115" s="0" t="s">
        <v>32261</v>
      </c>
      <c r="E24115" s="0" t="inlineStr">
        <is>
          <t xml:space="preserve">Mazda</t>
        </is>
      </c>
      <c r="F24115" s="0" t="s">
        <v>13</v>
      </c>
      <c r="G24115" s="0" t="s">
        <v>49</v>
      </c>
      <c r="H24115" s="5">
        <v>233.690700</v>
      </c>
    </row>
    <row r="24116" spans="1:9">
      <c r="A24116" s="22" t="str">
        <f>HYPERLINK("https://app.vivvix.com/360/KMI/IntelliDrive/ApplUI/Pages/CreativePages/CustomReportCreativeDetail.aspx?App=23&amp;ReportView=4&amp;Qid=1711279&amp;Row=24108&amp;Col=1","No Title Assigned - #15283270214")</f>
        <v/>
      </c>
      <c r="B24116" s="0" t="s">
        <v>32262</v>
      </c>
      <c r="C24116" s="0" t="s">
        <v>32263</v>
      </c>
      <c r="D24116" s="0" t="s">
        <v>9167</v>
      </c>
      <c r="E24116" s="0" t="inlineStr">
        <is>
          <t xml:space="preserve">Mazda</t>
        </is>
      </c>
      <c r="F24116" s="0" t="s">
        <v>13</v>
      </c>
      <c r="G24116" s="0" t="s">
        <v>49</v>
      </c>
      <c r="H24116" s="5">
        <v>1519.896700</v>
      </c>
    </row>
    <row r="24117" spans="1:9">
      <c r="A24117" s="22" t="str">
        <f>HYPERLINK("https://app.vivvix.com/360/KMI/IntelliDrive/ApplUI/Pages/CreativePages/CustomReportCreativeDetail.aspx?App=23&amp;ReportView=4&amp;Qid=1711279&amp;Row=24109&amp;Col=1","No Title Assigned - #15283270800")</f>
        <v/>
      </c>
      <c r="B24117" s="0" t="s">
        <v>32264</v>
      </c>
      <c r="C24117" s="0" t="s">
        <v>32265</v>
      </c>
      <c r="D24117" s="0" t="s">
        <v>32265</v>
      </c>
      <c r="E24117" s="0" t="inlineStr">
        <is>
          <t xml:space="preserve">Mazda</t>
        </is>
      </c>
      <c r="F24117" s="0" t="s">
        <v>13</v>
      </c>
      <c r="G24117" s="0" t="s">
        <v>49</v>
      </c>
      <c r="H24117" s="5">
        <v>140.475600</v>
      </c>
    </row>
    <row r="24118" spans="1:9">
      <c r="A24118" s="22" t="str">
        <f>HYPERLINK("https://app.vivvix.com/360/KMI/IntelliDrive/ApplUI/Pages/CreativePages/CustomReportCreativeDetail.aspx?App=23&amp;ReportView=4&amp;Qid=1711279&amp;Row=24110&amp;Col=1","No Title Assigned - #15283271206")</f>
        <v/>
      </c>
      <c r="B24118" s="0" t="s">
        <v>32266</v>
      </c>
      <c r="C24118" s="0" t="s">
        <v>32267</v>
      </c>
      <c r="D24118" s="0" t="s">
        <v>32267</v>
      </c>
      <c r="E24118" s="0" t="inlineStr">
        <is>
          <t xml:space="preserve">Mazda</t>
        </is>
      </c>
      <c r="F24118" s="0" t="s">
        <v>13</v>
      </c>
      <c r="G24118" s="0" t="s">
        <v>49</v>
      </c>
      <c r="H24118" s="5">
        <v>46.215900</v>
      </c>
    </row>
    <row r="24119" spans="1:9">
      <c r="A24119" s="22" t="str">
        <f>HYPERLINK("https://app.vivvix.com/360/KMI/IntelliDrive/ApplUI/Pages/CreativePages/CustomReportCreativeDetail.aspx?App=23&amp;ReportView=4&amp;Qid=1711279&amp;Row=24111&amp;Col=1","No Title Assigned - #15283272914")</f>
        <v/>
      </c>
      <c r="B24119" s="0" t="s">
        <v>32268</v>
      </c>
      <c r="C24119" s="0" t="s">
        <v>32269</v>
      </c>
      <c r="D24119" s="0" t="s">
        <v>32269</v>
      </c>
      <c r="E24119" s="0" t="inlineStr">
        <is>
          <t xml:space="preserve">Mazda</t>
        </is>
      </c>
      <c r="F24119" s="0" t="s">
        <v>13</v>
      </c>
      <c r="G24119" s="0" t="s">
        <v>49</v>
      </c>
      <c r="H24119" s="5">
        <v>46.215900</v>
      </c>
    </row>
    <row r="24120" spans="1:9">
      <c r="A24120" s="22" t="str">
        <f>HYPERLINK("https://app.vivvix.com/360/KMI/IntelliDrive/ApplUI/Pages/CreativePages/CustomReportCreativeDetail.aspx?App=23&amp;ReportView=4&amp;Qid=1711279&amp;Row=24112&amp;Col=1","No Title Assigned - #15283276723")</f>
        <v/>
      </c>
      <c r="B24120" s="0" t="s">
        <v>32270</v>
      </c>
      <c r="C24120" s="0" t="s">
        <v>32271</v>
      </c>
      <c r="D24120" s="0" t="s">
        <v>10770</v>
      </c>
      <c r="E24120" s="0" t="inlineStr">
        <is>
          <t xml:space="preserve">Mazda</t>
        </is>
      </c>
      <c r="F24120" s="0" t="s">
        <v>13</v>
      </c>
      <c r="G24120" s="0" t="s">
        <v>49</v>
      </c>
      <c r="H24120" s="5">
        <v>277.473900</v>
      </c>
    </row>
    <row r="24121" spans="1:9">
      <c r="A24121" s="22" t="str">
        <f>HYPERLINK("https://app.vivvix.com/360/KMI/IntelliDrive/ApplUI/Pages/CreativePages/CustomReportCreativeDetail.aspx?App=23&amp;ReportView=4&amp;Qid=1711279&amp;Row=24113&amp;Col=1","No Title Assigned - #15283276891")</f>
        <v/>
      </c>
      <c r="B24121" s="0" t="s">
        <v>32272</v>
      </c>
      <c r="C24121" s="0" t="s">
        <v>32273</v>
      </c>
      <c r="D24121" s="0" t="s">
        <v>32273</v>
      </c>
      <c r="E24121" s="0" t="inlineStr">
        <is>
          <t xml:space="preserve">Mazda</t>
        </is>
      </c>
      <c r="F24121" s="0" t="s">
        <v>13</v>
      </c>
      <c r="G24121" s="0" t="s">
        <v>49</v>
      </c>
      <c r="H24121" s="5">
        <v>537.507900</v>
      </c>
    </row>
    <row r="24122" spans="1:9">
      <c r="A24122" s="22" t="str">
        <f>HYPERLINK("https://app.vivvix.com/360/KMI/IntelliDrive/ApplUI/Pages/CreativePages/CustomReportCreativeDetail.aspx?App=23&amp;ReportView=4&amp;Qid=1711279&amp;Row=24114&amp;Col=1","No Title Assigned - #15283278002")</f>
        <v/>
      </c>
      <c r="B24122" s="0" t="s">
        <v>32274</v>
      </c>
      <c r="C24122" s="0" t="s">
        <v>32275</v>
      </c>
      <c r="D24122" s="0" t="s">
        <v>10704</v>
      </c>
      <c r="E24122" s="0" t="inlineStr">
        <is>
          <t xml:space="preserve">Mazda</t>
        </is>
      </c>
      <c r="F24122" s="0" t="s">
        <v>13</v>
      </c>
      <c r="G24122" s="0" t="s">
        <v>49</v>
      </c>
      <c r="H24122" s="5">
        <v>218.691700</v>
      </c>
    </row>
    <row r="24123" spans="1:9">
      <c r="A24123" s="22" t="str">
        <f>HYPERLINK("https://app.vivvix.com/360/KMI/IntelliDrive/ApplUI/Pages/CreativePages/CustomReportCreativeDetail.aspx?App=23&amp;ReportView=4&amp;Qid=1711279&amp;Row=24115&amp;Col=1","No Title Assigned - #15283279651")</f>
        <v/>
      </c>
      <c r="B24123" s="0" t="s">
        <v>32276</v>
      </c>
      <c r="C24123" s="0" t="s">
        <v>32277</v>
      </c>
      <c r="D24123" s="0" t="s">
        <v>32277</v>
      </c>
      <c r="E24123" s="0" t="inlineStr">
        <is>
          <t xml:space="preserve">Mazda</t>
        </is>
      </c>
      <c r="F24123" s="0" t="s">
        <v>13</v>
      </c>
      <c r="G24123" s="0" t="s">
        <v>49</v>
      </c>
      <c r="H24123" s="5">
        <v>123139.843800</v>
      </c>
    </row>
    <row r="24124" spans="1:9">
      <c r="A24124" s="22" t="str">
        <f>HYPERLINK("https://app.vivvix.com/360/KMI/IntelliDrive/ApplUI/Pages/CreativePages/CustomReportCreativeDetail.aspx?App=23&amp;ReportView=4&amp;Qid=1711279&amp;Row=24116&amp;Col=1","No Title Assigned - #15283285166")</f>
        <v/>
      </c>
      <c r="B24124" s="0" t="s">
        <v>32278</v>
      </c>
      <c r="E24124" s="0" t="inlineStr">
        <is>
          <t xml:space="preserve">Mazda</t>
        </is>
      </c>
      <c r="F24124" s="0" t="inlineStr">
        <is>
          <t xml:space="preserve">Mazda</t>
        </is>
      </c>
      <c r="G24124" s="0" t="s">
        <v>171</v>
      </c>
      <c r="H24124" s="5">
        <v>22.696100</v>
      </c>
    </row>
    <row r="24125" spans="1:9">
      <c r="A24125" s="22" t="str">
        <f>HYPERLINK("https://app.vivvix.com/360/KMI/IntelliDrive/ApplUI/Pages/CreativePages/CustomReportCreativeDetail.aspx?App=23&amp;ReportView=4&amp;Qid=1711279&amp;Row=24117&amp;Col=1","No Title Assigned - #15283285502")</f>
        <v/>
      </c>
      <c r="B24125" s="0" t="s">
        <v>32279</v>
      </c>
      <c r="C24125" s="0" t="s">
        <v>32280</v>
      </c>
      <c r="D24125" s="0" t="s">
        <v>32280</v>
      </c>
      <c r="E24125" s="0" t="inlineStr">
        <is>
          <t xml:space="preserve">Mazda</t>
        </is>
      </c>
      <c r="F24125" s="0" t="inlineStr">
        <is>
          <t xml:space="preserve">Mazda</t>
        </is>
      </c>
      <c r="G24125" s="0" t="s">
        <v>171</v>
      </c>
      <c r="H24125" s="5">
        <v>7533.787000</v>
      </c>
    </row>
    <row r="24126" spans="1:9">
      <c r="A24126" s="22" t="str">
        <f>HYPERLINK("https://app.vivvix.com/360/KMI/IntelliDrive/ApplUI/Pages/CreativePages/CustomReportCreativeDetail.aspx?App=23&amp;ReportView=4&amp;Qid=1711279&amp;Row=24118&amp;Col=1","No Title Assigned - #15283285611")</f>
        <v/>
      </c>
      <c r="B24126" s="0" t="s">
        <v>32281</v>
      </c>
      <c r="E24126" s="0" t="inlineStr">
        <is>
          <t xml:space="preserve">Mazda</t>
        </is>
      </c>
      <c r="F24126" s="0" t="inlineStr">
        <is>
          <t xml:space="preserve">Mazda</t>
        </is>
      </c>
      <c r="G24126" s="0" t="s">
        <v>171</v>
      </c>
      <c r="H24126" s="5">
        <v>39.293700</v>
      </c>
    </row>
    <row r="24127" spans="1:9">
      <c r="A24127" s="22" t="str">
        <f>HYPERLINK("https://app.vivvix.com/360/KMI/IntelliDrive/ApplUI/Pages/CreativePages/CustomReportCreativeDetail.aspx?App=23&amp;ReportView=4&amp;Qid=1711279&amp;Row=24119&amp;Col=1","No Title Assigned - #15283286133")</f>
        <v/>
      </c>
      <c r="B24127" s="0" t="s">
        <v>32282</v>
      </c>
      <c r="E24127" s="0" t="inlineStr">
        <is>
          <t xml:space="preserve">Mazda</t>
        </is>
      </c>
      <c r="F24127" s="0" t="inlineStr">
        <is>
          <t xml:space="preserve">Mazda</t>
        </is>
      </c>
      <c r="G24127" s="0" t="s">
        <v>171</v>
      </c>
      <c r="H24127" s="5">
        <v>737.159300</v>
      </c>
    </row>
    <row r="24128" spans="1:9">
      <c r="A24128" s="22" t="str">
        <f>HYPERLINK("https://app.vivvix.com/360/KMI/IntelliDrive/ApplUI/Pages/CreativePages/CustomReportCreativeDetail.aspx?App=23&amp;ReportView=4&amp;Qid=1711279&amp;Row=24120&amp;Col=1","No Title Assigned - #15283287002")</f>
        <v/>
      </c>
      <c r="B24128" s="0" t="s">
        <v>32283</v>
      </c>
      <c r="E24128" s="0" t="inlineStr">
        <is>
          <t xml:space="preserve">Mazda</t>
        </is>
      </c>
      <c r="F24128" s="0" t="inlineStr">
        <is>
          <t xml:space="preserve">Mazda</t>
        </is>
      </c>
      <c r="G24128" s="0" t="s">
        <v>171</v>
      </c>
      <c r="H24128" s="5">
        <v>2618.567100</v>
      </c>
    </row>
    <row r="24129" spans="1:9">
      <c r="A24129" s="22" t="str">
        <f>HYPERLINK("https://app.vivvix.com/360/KMI/IntelliDrive/ApplUI/Pages/CreativePages/CustomReportCreativeDetail.aspx?App=23&amp;ReportView=4&amp;Qid=1711279&amp;Row=24121&amp;Col=1","No Title Assigned - #15283287650")</f>
        <v/>
      </c>
      <c r="B24129" s="0" t="s">
        <v>32284</v>
      </c>
      <c r="E24129" s="0" t="inlineStr">
        <is>
          <t xml:space="preserve">Mazda</t>
        </is>
      </c>
      <c r="F24129" s="0" t="inlineStr">
        <is>
          <t xml:space="preserve">Mazda</t>
        </is>
      </c>
      <c r="G24129" s="0" t="s">
        <v>171</v>
      </c>
      <c r="H24129" s="5">
        <v>39.293700</v>
      </c>
    </row>
    <row r="24130" spans="1:9">
      <c r="A24130" s="22" t="str">
        <f>HYPERLINK("https://app.vivvix.com/360/KMI/IntelliDrive/ApplUI/Pages/CreativePages/CustomReportCreativeDetail.aspx?App=23&amp;ReportView=4&amp;Qid=1711279&amp;Row=24122&amp;Col=1","No Title Assigned - #15283287854")</f>
        <v/>
      </c>
      <c r="B24130" s="0" t="s">
        <v>32285</v>
      </c>
      <c r="C24130" s="0" t="s">
        <v>32286</v>
      </c>
      <c r="D24130" s="0" t="s">
        <v>32286</v>
      </c>
      <c r="E24130" s="0" t="inlineStr">
        <is>
          <t xml:space="preserve">Mazda</t>
        </is>
      </c>
      <c r="F24130" s="0" t="inlineStr">
        <is>
          <t xml:space="preserve">Mazda</t>
        </is>
      </c>
      <c r="G24130" s="0" t="s">
        <v>171</v>
      </c>
      <c r="H24130" s="5">
        <v>3628.206300</v>
      </c>
    </row>
    <row r="24131" spans="1:9">
      <c r="A24131" s="22" t="str">
        <f>HYPERLINK("https://app.vivvix.com/360/KMI/IntelliDrive/ApplUI/Pages/CreativePages/CustomReportCreativeDetail.aspx?App=23&amp;ReportView=4&amp;Qid=1711279&amp;Row=24123&amp;Col=1","No Title Assigned - #15283289505")</f>
        <v/>
      </c>
      <c r="B24131" s="0" t="s">
        <v>32287</v>
      </c>
      <c r="E24131" s="0" t="inlineStr">
        <is>
          <t xml:space="preserve">Mazda</t>
        </is>
      </c>
      <c r="F24131" s="0" t="inlineStr">
        <is>
          <t xml:space="preserve">Mazda</t>
        </is>
      </c>
      <c r="G24131" s="0" t="s">
        <v>171</v>
      </c>
      <c r="H24131" s="5">
        <v>996.905900</v>
      </c>
    </row>
    <row r="24132" spans="1:9">
      <c r="A24132" s="22" t="str">
        <f>HYPERLINK("https://app.vivvix.com/360/KMI/IntelliDrive/ApplUI/Pages/CreativePages/CustomReportCreativeDetail.aspx?App=23&amp;ReportView=4&amp;Qid=1711279&amp;Row=24124&amp;Col=1","No Title Assigned - #15283289560")</f>
        <v/>
      </c>
      <c r="B24132" s="0" t="s">
        <v>32288</v>
      </c>
      <c r="E24132" s="0" t="inlineStr">
        <is>
          <t xml:space="preserve">Mazda</t>
        </is>
      </c>
      <c r="F24132" s="0" t="inlineStr">
        <is>
          <t xml:space="preserve">Mazda</t>
        </is>
      </c>
      <c r="G24132" s="0" t="s">
        <v>171</v>
      </c>
      <c r="H24132" s="5">
        <v>235.183700</v>
      </c>
    </row>
    <row r="24133" spans="1:9">
      <c r="A24133" s="22" t="str">
        <f>HYPERLINK("https://app.vivvix.com/360/KMI/IntelliDrive/ApplUI/Pages/CreativePages/CustomReportCreativeDetail.aspx?App=23&amp;ReportView=4&amp;Qid=1711279&amp;Row=24125&amp;Col=1","No Title Assigned - #15283289698")</f>
        <v/>
      </c>
      <c r="B24133" s="0" t="s">
        <v>32289</v>
      </c>
      <c r="E24133" s="0" t="inlineStr">
        <is>
          <t xml:space="preserve">Mazda</t>
        </is>
      </c>
      <c r="F24133" s="0" t="inlineStr">
        <is>
          <t xml:space="preserve">Mazda</t>
        </is>
      </c>
      <c r="G24133" s="0" t="s">
        <v>171</v>
      </c>
      <c r="H24133" s="5">
        <v>537.669000</v>
      </c>
    </row>
    <row r="24134" spans="1:9">
      <c r="A24134" s="22" t="str">
        <f>HYPERLINK("https://app.vivvix.com/360/KMI/IntelliDrive/ApplUI/Pages/CreativePages/CustomReportCreativeDetail.aspx?App=23&amp;ReportView=4&amp;Qid=1711279&amp;Row=24126&amp;Col=1","No Title Assigned - #15283291263")</f>
        <v/>
      </c>
      <c r="B24134" s="0" t="s">
        <v>32290</v>
      </c>
      <c r="E24134" s="0" t="inlineStr">
        <is>
          <t xml:space="preserve">Mazda</t>
        </is>
      </c>
      <c r="F24134" s="0" t="inlineStr">
        <is>
          <t xml:space="preserve">Mazda</t>
        </is>
      </c>
      <c r="G24134" s="0" t="s">
        <v>171</v>
      </c>
      <c r="H24134" s="5">
        <v>991.850600</v>
      </c>
    </row>
    <row r="24135" spans="1:9">
      <c r="A24135" s="22" t="str">
        <f>HYPERLINK("https://app.vivvix.com/360/KMI/IntelliDrive/ApplUI/Pages/CreativePages/CustomReportCreativeDetail.aspx?App=23&amp;ReportView=4&amp;Qid=1711279&amp;Row=24127&amp;Col=1","No Title Assigned - #15283292702")</f>
        <v/>
      </c>
      <c r="B24135" s="0" t="s">
        <v>32291</v>
      </c>
      <c r="E24135" s="0" t="inlineStr">
        <is>
          <t xml:space="preserve">Mazda</t>
        </is>
      </c>
      <c r="F24135" s="0" t="inlineStr">
        <is>
          <t xml:space="preserve">Mazda</t>
        </is>
      </c>
      <c r="G24135" s="0" t="s">
        <v>171</v>
      </c>
      <c r="H24135" s="5">
        <v>3982.120100</v>
      </c>
    </row>
    <row r="24136" spans="1:9">
      <c r="A24136" s="22" t="str">
        <f>HYPERLINK("https://app.vivvix.com/360/KMI/IntelliDrive/ApplUI/Pages/CreativePages/CustomReportCreativeDetail.aspx?App=23&amp;ReportView=4&amp;Qid=1711279&amp;Row=24128&amp;Col=1","No Title Assigned - #15283292706")</f>
        <v/>
      </c>
      <c r="B24136" s="0" t="s">
        <v>32292</v>
      </c>
      <c r="E24136" s="0" t="inlineStr">
        <is>
          <t xml:space="preserve">Mazda</t>
        </is>
      </c>
      <c r="F24136" s="0" t="inlineStr">
        <is>
          <t xml:space="preserve">Mazda</t>
        </is>
      </c>
      <c r="G24136" s="0" t="s">
        <v>171</v>
      </c>
      <c r="H24136" s="5">
        <v>6495.160900</v>
      </c>
    </row>
    <row r="24137" spans="1:9">
      <c r="A24137" s="22" t="str">
        <f>HYPERLINK("https://app.vivvix.com/360/KMI/IntelliDrive/ApplUI/Pages/CreativePages/CustomReportCreativeDetail.aspx?App=23&amp;ReportView=4&amp;Qid=1711279&amp;Row=24129&amp;Col=1","No Title Assigned - #15283307976")</f>
        <v/>
      </c>
      <c r="B24137" s="0" t="s">
        <v>32293</v>
      </c>
      <c r="C24137" s="0" t="s">
        <v>32294</v>
      </c>
      <c r="D24137" s="0" t="s">
        <v>32294</v>
      </c>
      <c r="E24137" s="0" t="inlineStr">
        <is>
          <t xml:space="preserve">Mazda</t>
        </is>
      </c>
      <c r="F24137" s="0" t="s">
        <v>13</v>
      </c>
      <c r="G24137" s="0" t="s">
        <v>49</v>
      </c>
      <c r="H24137" s="5">
        <v>177.701100</v>
      </c>
    </row>
    <row r="24138" spans="1:9">
      <c r="A24138" s="22" t="str">
        <f>HYPERLINK("https://app.vivvix.com/360/KMI/IntelliDrive/ApplUI/Pages/CreativePages/CustomReportCreativeDetail.aspx?App=23&amp;ReportView=4&amp;Qid=1711279&amp;Row=24130&amp;Col=1","No Title Assigned - #15283311348")</f>
        <v/>
      </c>
      <c r="B24138" s="0" t="s">
        <v>32295</v>
      </c>
      <c r="C24138" s="0" t="s">
        <v>32296</v>
      </c>
      <c r="D24138" s="0" t="s">
        <v>10008</v>
      </c>
      <c r="E24138" s="0" t="inlineStr">
        <is>
          <t xml:space="preserve">Mazda</t>
        </is>
      </c>
      <c r="F24138" s="0" t="s">
        <v>13</v>
      </c>
      <c r="G24138" s="0" t="s">
        <v>49</v>
      </c>
      <c r="H24138" s="5">
        <v>35.958600</v>
      </c>
    </row>
    <row r="24139" spans="1:9">
      <c r="A24139" s="22" t="str">
        <f>HYPERLINK("https://app.vivvix.com/360/KMI/IntelliDrive/ApplUI/Pages/CreativePages/CustomReportCreativeDetail.aspx?App=23&amp;ReportView=4&amp;Qid=1711279&amp;Row=24131&amp;Col=1","No Title Assigned - #15283312719")</f>
        <v/>
      </c>
      <c r="B24139" s="0" t="s">
        <v>32297</v>
      </c>
      <c r="C24139" s="0" t="s">
        <v>32298</v>
      </c>
      <c r="D24139" s="0" t="s">
        <v>32298</v>
      </c>
      <c r="E24139" s="0" t="inlineStr">
        <is>
          <t xml:space="preserve">Mazda</t>
        </is>
      </c>
      <c r="F24139" s="0" t="s">
        <v>13</v>
      </c>
      <c r="G24139" s="0" t="s">
        <v>49</v>
      </c>
      <c r="H24139" s="5">
        <v>41.350300</v>
      </c>
    </row>
    <row r="24140" spans="1:9">
      <c r="A24140" s="22" t="str">
        <f>HYPERLINK("https://app.vivvix.com/360/KMI/IntelliDrive/ApplUI/Pages/CreativePages/CustomReportCreativeDetail.aspx?App=23&amp;ReportView=4&amp;Qid=1711279&amp;Row=24132&amp;Col=1","No Title Assigned - #15283315377")</f>
        <v/>
      </c>
      <c r="B24140" s="0" t="s">
        <v>32299</v>
      </c>
      <c r="C24140" s="0" t="s">
        <v>32300</v>
      </c>
      <c r="D24140" s="0" t="s">
        <v>9699</v>
      </c>
      <c r="E24140" s="0" t="inlineStr">
        <is>
          <t xml:space="preserve">Mazda</t>
        </is>
      </c>
      <c r="F24140" s="0" t="s">
        <v>13</v>
      </c>
      <c r="G24140" s="0" t="s">
        <v>49</v>
      </c>
      <c r="H24140" s="5">
        <v>115.230200</v>
      </c>
    </row>
    <row r="24141" spans="1:9">
      <c r="A24141" s="22" t="str">
        <f>HYPERLINK("https://app.vivvix.com/360/KMI/IntelliDrive/ApplUI/Pages/CreativePages/CustomReportCreativeDetail.aspx?App=23&amp;ReportView=4&amp;Qid=1711279&amp;Row=24133&amp;Col=1","No Title Assigned - #15283317425")</f>
        <v/>
      </c>
      <c r="B24141" s="0" t="s">
        <v>32301</v>
      </c>
      <c r="C24141" s="0" t="s">
        <v>32302</v>
      </c>
      <c r="D24141" s="0" t="s">
        <v>32302</v>
      </c>
      <c r="E24141" s="0" t="inlineStr">
        <is>
          <t xml:space="preserve">Mazda</t>
        </is>
      </c>
      <c r="F24141" s="0" t="s">
        <v>13</v>
      </c>
      <c r="G24141" s="0" t="s">
        <v>49</v>
      </c>
      <c r="H24141" s="5">
        <v>84.624000</v>
      </c>
    </row>
    <row r="24142" spans="1:9">
      <c r="A24142" s="22" t="str">
        <f>HYPERLINK("https://app.vivvix.com/360/KMI/IntelliDrive/ApplUI/Pages/CreativePages/CustomReportCreativeDetail.aspx?App=23&amp;ReportView=4&amp;Qid=1711279&amp;Row=24134&amp;Col=1","No Title Assigned - #15283318678")</f>
        <v/>
      </c>
      <c r="B24142" s="0" t="s">
        <v>32303</v>
      </c>
      <c r="C24142" s="0" t="s">
        <v>32304</v>
      </c>
      <c r="D24142" s="0" t="s">
        <v>32304</v>
      </c>
      <c r="E24142" s="0" t="inlineStr">
        <is>
          <t xml:space="preserve">Mazda</t>
        </is>
      </c>
      <c r="F24142" s="0" t="s">
        <v>13</v>
      </c>
      <c r="G24142" s="0" t="s">
        <v>49</v>
      </c>
      <c r="H24142" s="5">
        <v>3987.623600</v>
      </c>
    </row>
    <row r="24143" spans="1:9">
      <c r="A24143" s="22" t="str">
        <f>HYPERLINK("https://app.vivvix.com/360/KMI/IntelliDrive/ApplUI/Pages/CreativePages/CustomReportCreativeDetail.aspx?App=23&amp;ReportView=4&amp;Qid=1711279&amp;Row=24135&amp;Col=1","No Title Assigned - #15283321446")</f>
        <v/>
      </c>
      <c r="B24143" s="0" t="s">
        <v>32305</v>
      </c>
      <c r="C24143" s="0" t="s">
        <v>32306</v>
      </c>
      <c r="D24143" s="0" t="s">
        <v>6416</v>
      </c>
      <c r="E24143" s="0" t="inlineStr">
        <is>
          <t xml:space="preserve">Mazda</t>
        </is>
      </c>
      <c r="F24143" s="0" t="s">
        <v>13</v>
      </c>
      <c r="G24143" s="0" t="s">
        <v>49</v>
      </c>
      <c r="H24143" s="5">
        <v>537.507900</v>
      </c>
    </row>
    <row r="24144" spans="1:9">
      <c r="A24144" s="22" t="str">
        <f>HYPERLINK("https://app.vivvix.com/360/KMI/IntelliDrive/ApplUI/Pages/CreativePages/CustomReportCreativeDetail.aspx?App=23&amp;ReportView=4&amp;Qid=1711279&amp;Row=24136&amp;Col=1","No Title Assigned - #15283321579")</f>
        <v/>
      </c>
      <c r="B24144" s="0" t="s">
        <v>32307</v>
      </c>
      <c r="C24144" s="0" t="s">
        <v>32308</v>
      </c>
      <c r="D24144" s="0" t="s">
        <v>23374</v>
      </c>
      <c r="E24144" s="0" t="inlineStr">
        <is>
          <t xml:space="preserve">Mazda</t>
        </is>
      </c>
      <c r="F24144" s="0" t="s">
        <v>13</v>
      </c>
      <c r="G24144" s="0" t="s">
        <v>49</v>
      </c>
      <c r="H24144" s="5">
        <v>996.905900</v>
      </c>
    </row>
    <row r="24145" spans="1:9">
      <c r="A24145" s="22" t="str">
        <f>HYPERLINK("https://app.vivvix.com/360/KMI/IntelliDrive/ApplUI/Pages/CreativePages/CustomReportCreativeDetail.aspx?App=23&amp;ReportView=4&amp;Qid=1711279&amp;Row=24137&amp;Col=1","No Title Assigned - #15283323198")</f>
        <v/>
      </c>
      <c r="B24145" s="0" t="s">
        <v>32309</v>
      </c>
      <c r="C24145" s="0" t="s">
        <v>32310</v>
      </c>
      <c r="D24145" s="0" t="s">
        <v>18549</v>
      </c>
      <c r="E24145" s="0" t="inlineStr">
        <is>
          <t xml:space="preserve">Mazda</t>
        </is>
      </c>
      <c r="F24145" s="0" t="s">
        <v>13</v>
      </c>
      <c r="G24145" s="0" t="s">
        <v>49</v>
      </c>
      <c r="H24145" s="5">
        <v>5920.887000</v>
      </c>
    </row>
    <row r="24146" spans="1:9">
      <c r="A24146" s="22" t="str">
        <f>HYPERLINK("https://app.vivvix.com/360/KMI/IntelliDrive/ApplUI/Pages/CreativePages/CustomReportCreativeDetail.aspx?App=23&amp;ReportView=4&amp;Qid=1711279&amp;Row=24138&amp;Col=1","No Title Assigned - #15283324417")</f>
        <v/>
      </c>
      <c r="B24146" s="0" t="s">
        <v>32311</v>
      </c>
      <c r="C24146" s="0" t="s">
        <v>32312</v>
      </c>
      <c r="D24146" s="0" t="s">
        <v>32312</v>
      </c>
      <c r="E24146" s="0" t="inlineStr">
        <is>
          <t xml:space="preserve">Mazda</t>
        </is>
      </c>
      <c r="F24146" s="0" t="s">
        <v>13</v>
      </c>
      <c r="G24146" s="0" t="s">
        <v>49</v>
      </c>
      <c r="H24146" s="5">
        <v>139566.318900</v>
      </c>
    </row>
    <row r="24147" spans="1:9">
      <c r="A24147" s="22" t="str">
        <f>HYPERLINK("https://app.vivvix.com/360/KMI/IntelliDrive/ApplUI/Pages/CreativePages/CustomReportCreativeDetail.aspx?App=23&amp;ReportView=4&amp;Qid=1711279&amp;Row=24139&amp;Col=1","No Title Assigned - #15283328146")</f>
        <v/>
      </c>
      <c r="B24147" s="0" t="s">
        <v>32313</v>
      </c>
      <c r="C24147" s="0" t="s">
        <v>32314</v>
      </c>
      <c r="D24147" s="0" t="s">
        <v>32314</v>
      </c>
      <c r="E24147" s="0" t="inlineStr">
        <is>
          <t xml:space="preserve">Mazda</t>
        </is>
      </c>
      <c r="F24147" s="0" t="s">
        <v>125</v>
      </c>
      <c r="G24147" s="0" t="s">
        <v>346</v>
      </c>
      <c r="H24147" s="5">
        <v>10099.875500</v>
      </c>
    </row>
    <row r="24148" spans="1:9">
      <c r="A24148" s="22" t="str">
        <f>HYPERLINK("https://app.vivvix.com/360/KMI/IntelliDrive/ApplUI/Pages/CreativePages/CustomReportCreativeDetail.aspx?App=23&amp;ReportView=4&amp;Qid=1711279&amp;Row=24140&amp;Col=1","No Title Assigned - #15283329799")</f>
        <v/>
      </c>
      <c r="B24148" s="0" t="s">
        <v>32315</v>
      </c>
      <c r="E24148" s="0" t="inlineStr">
        <is>
          <t xml:space="preserve">Mazda</t>
        </is>
      </c>
      <c r="F24148" s="0" t="inlineStr">
        <is>
          <t xml:space="preserve">Mazda</t>
        </is>
      </c>
      <c r="G24148" s="0" t="s">
        <v>171</v>
      </c>
      <c r="H24148" s="5">
        <v>619.128000</v>
      </c>
    </row>
    <row r="24149" spans="1:9">
      <c r="A24149" s="22" t="str">
        <f>HYPERLINK("https://app.vivvix.com/360/KMI/IntelliDrive/ApplUI/Pages/CreativePages/CustomReportCreativeDetail.aspx?App=23&amp;ReportView=4&amp;Qid=1711279&amp;Row=24141&amp;Col=1","No Title Assigned - #15283329986")</f>
        <v/>
      </c>
      <c r="B24149" s="0" t="s">
        <v>32316</v>
      </c>
      <c r="C24149" s="0" t="s">
        <v>32317</v>
      </c>
      <c r="D24149" s="0" t="s">
        <v>32317</v>
      </c>
      <c r="E24149" s="0" t="inlineStr">
        <is>
          <t xml:space="preserve">Mazda</t>
        </is>
      </c>
      <c r="F24149" s="0" t="inlineStr">
        <is>
          <t xml:space="preserve">Mazda</t>
        </is>
      </c>
      <c r="G24149" s="0" t="s">
        <v>171</v>
      </c>
      <c r="H24149" s="5">
        <v>409.646200</v>
      </c>
    </row>
    <row r="24150" spans="1:9">
      <c r="A24150" s="22" t="str">
        <f>HYPERLINK("https://app.vivvix.com/360/KMI/IntelliDrive/ApplUI/Pages/CreativePages/CustomReportCreativeDetail.aspx?App=23&amp;ReportView=4&amp;Qid=1711279&amp;Row=24142&amp;Col=1","No Title Assigned - #15283329987")</f>
        <v/>
      </c>
      <c r="B24150" s="0" t="s">
        <v>32318</v>
      </c>
      <c r="E24150" s="0" t="inlineStr">
        <is>
          <t xml:space="preserve">Mazda</t>
        </is>
      </c>
      <c r="F24150" s="0" t="inlineStr">
        <is>
          <t xml:space="preserve">Mazda</t>
        </is>
      </c>
      <c r="G24150" s="0" t="s">
        <v>171</v>
      </c>
      <c r="H24150" s="5">
        <v>3014.534100</v>
      </c>
    </row>
    <row r="24151" spans="1:9">
      <c r="A24151" s="22" t="str">
        <f>HYPERLINK("https://app.vivvix.com/360/KMI/IntelliDrive/ApplUI/Pages/CreativePages/CustomReportCreativeDetail.aspx?App=23&amp;ReportView=4&amp;Qid=1711279&amp;Row=24143&amp;Col=1","No Title Assigned - #15283330303")</f>
        <v/>
      </c>
      <c r="B24151" s="0" t="s">
        <v>32319</v>
      </c>
      <c r="E24151" s="0" t="inlineStr">
        <is>
          <t xml:space="preserve">Mazda</t>
        </is>
      </c>
      <c r="F24151" s="0" t="inlineStr">
        <is>
          <t xml:space="preserve">Mazda</t>
        </is>
      </c>
      <c r="G24151" s="0" t="s">
        <v>171</v>
      </c>
      <c r="H24151" s="5">
        <v>439.351100</v>
      </c>
    </row>
    <row r="24152" spans="1:9">
      <c r="A24152" s="22" t="str">
        <f>HYPERLINK("https://app.vivvix.com/360/KMI/IntelliDrive/ApplUI/Pages/CreativePages/CustomReportCreativeDetail.aspx?App=23&amp;ReportView=4&amp;Qid=1711279&amp;Row=24144&amp;Col=1","No Title Assigned - #15283330757")</f>
        <v/>
      </c>
      <c r="B24152" s="0" t="s">
        <v>32320</v>
      </c>
      <c r="E24152" s="0" t="inlineStr">
        <is>
          <t xml:space="preserve">Mazda</t>
        </is>
      </c>
      <c r="F24152" s="0" t="inlineStr">
        <is>
          <t xml:space="preserve">Mazda</t>
        </is>
      </c>
      <c r="G24152" s="0" t="s">
        <v>171</v>
      </c>
      <c r="H24152" s="5">
        <v>280.652600</v>
      </c>
    </row>
    <row r="24153" spans="1:9">
      <c r="A24153" s="22" t="str">
        <f>HYPERLINK("https://app.vivvix.com/360/KMI/IntelliDrive/ApplUI/Pages/CreativePages/CustomReportCreativeDetail.aspx?App=23&amp;ReportView=4&amp;Qid=1711279&amp;Row=24145&amp;Col=1","No Title Assigned - #15283331076")</f>
        <v/>
      </c>
      <c r="B24153" s="0" t="s">
        <v>32321</v>
      </c>
      <c r="E24153" s="0" t="inlineStr">
        <is>
          <t xml:space="preserve">Mazda</t>
        </is>
      </c>
      <c r="F24153" s="0" t="inlineStr">
        <is>
          <t xml:space="preserve">Mazda</t>
        </is>
      </c>
      <c r="G24153" s="0" t="s">
        <v>171</v>
      </c>
      <c r="H24153" s="5">
        <v>12140.764100</v>
      </c>
    </row>
    <row r="24154" spans="1:9">
      <c r="A24154" s="22" t="str">
        <f>HYPERLINK("https://app.vivvix.com/360/KMI/IntelliDrive/ApplUI/Pages/CreativePages/CustomReportCreativeDetail.aspx?App=23&amp;ReportView=4&amp;Qid=1711279&amp;Row=24146&amp;Col=1","No Title Assigned - #15283331364")</f>
        <v/>
      </c>
      <c r="B24154" s="0" t="s">
        <v>32322</v>
      </c>
      <c r="E24154" s="0" t="inlineStr">
        <is>
          <t xml:space="preserve">Mazda</t>
        </is>
      </c>
      <c r="F24154" s="0" t="inlineStr">
        <is>
          <t xml:space="preserve">Mazda</t>
        </is>
      </c>
      <c r="G24154" s="0" t="s">
        <v>171</v>
      </c>
      <c r="H24154" s="5">
        <v>619.128000</v>
      </c>
    </row>
    <row r="24155" spans="1:9">
      <c r="A24155" s="22" t="str">
        <f>HYPERLINK("https://app.vivvix.com/360/KMI/IntelliDrive/ApplUI/Pages/CreativePages/CustomReportCreativeDetail.aspx?App=23&amp;ReportView=4&amp;Qid=1711279&amp;Row=24147&amp;Col=1","No Title Assigned - #15283332996")</f>
        <v/>
      </c>
      <c r="B24155" s="0" t="s">
        <v>32323</v>
      </c>
      <c r="C24155" s="0" t="s">
        <v>32324</v>
      </c>
      <c r="D24155" s="0" t="s">
        <v>32324</v>
      </c>
      <c r="E24155" s="0" t="inlineStr">
        <is>
          <t xml:space="preserve">Mazda</t>
        </is>
      </c>
      <c r="F24155" s="0" t="s">
        <v>13</v>
      </c>
      <c r="G24155" s="0" t="s">
        <v>49</v>
      </c>
      <c r="H24155" s="5">
        <v>41.350300</v>
      </c>
    </row>
    <row r="24156" spans="1:9">
      <c r="A24156" s="22" t="str">
        <f>HYPERLINK("https://app.vivvix.com/360/KMI/IntelliDrive/ApplUI/Pages/CreativePages/CustomReportCreativeDetail.aspx?App=23&amp;ReportView=4&amp;Qid=1711279&amp;Row=24148&amp;Col=1","No Title Assigned - #15283335873")</f>
        <v/>
      </c>
      <c r="B24156" s="0" t="s">
        <v>32325</v>
      </c>
      <c r="E24156" s="0" t="inlineStr">
        <is>
          <t xml:space="preserve">Mazda</t>
        </is>
      </c>
      <c r="F24156" s="0" t="inlineStr">
        <is>
          <t xml:space="preserve">Mazda</t>
        </is>
      </c>
      <c r="G24156" s="0" t="s">
        <v>171</v>
      </c>
      <c r="H24156" s="5">
        <v>277.860800</v>
      </c>
    </row>
    <row r="24157" spans="1:9">
      <c r="A24157" s="22" t="str">
        <f>HYPERLINK("https://app.vivvix.com/360/KMI/IntelliDrive/ApplUI/Pages/CreativePages/CustomReportCreativeDetail.aspx?App=23&amp;ReportView=4&amp;Qid=1711279&amp;Row=24149&amp;Col=1","No Title Assigned - #15283335888")</f>
        <v/>
      </c>
      <c r="B24157" s="0" t="s">
        <v>32326</v>
      </c>
      <c r="E24157" s="0" t="inlineStr">
        <is>
          <t xml:space="preserve">Mazda</t>
        </is>
      </c>
      <c r="F24157" s="0" t="inlineStr">
        <is>
          <t xml:space="preserve">Mazda</t>
        </is>
      </c>
      <c r="G24157" s="0" t="s">
        <v>171</v>
      </c>
      <c r="H24157" s="5">
        <v>68.513600</v>
      </c>
    </row>
    <row r="24158" spans="1:9">
      <c r="A24158" s="22" t="str">
        <f>HYPERLINK("https://app.vivvix.com/360/KMI/IntelliDrive/ApplUI/Pages/CreativePages/CustomReportCreativeDetail.aspx?App=23&amp;ReportView=4&amp;Qid=1711279&amp;Row=24150&amp;Col=1","No Title Assigned - #15283335986")</f>
        <v/>
      </c>
      <c r="B24158" s="0" t="s">
        <v>32327</v>
      </c>
      <c r="E24158" s="0" t="inlineStr">
        <is>
          <t xml:space="preserve">Mazda</t>
        </is>
      </c>
      <c r="F24158" s="0" t="inlineStr">
        <is>
          <t xml:space="preserve">Mazda</t>
        </is>
      </c>
      <c r="G24158" s="0" t="s">
        <v>171</v>
      </c>
      <c r="H24158" s="5">
        <v>3060.242800</v>
      </c>
    </row>
    <row r="24159" spans="1:9">
      <c r="A24159" s="22" t="str">
        <f>HYPERLINK("https://app.vivvix.com/360/KMI/IntelliDrive/ApplUI/Pages/CreativePages/CustomReportCreativeDetail.aspx?App=23&amp;ReportView=4&amp;Qid=1711279&amp;Row=24151&amp;Col=1","No Title Assigned - #15283336140")</f>
        <v/>
      </c>
      <c r="B24159" s="0" t="s">
        <v>32328</v>
      </c>
      <c r="E24159" s="0" t="inlineStr">
        <is>
          <t xml:space="preserve">Mazda</t>
        </is>
      </c>
      <c r="F24159" s="0" t="inlineStr">
        <is>
          <t xml:space="preserve">Mazda</t>
        </is>
      </c>
      <c r="G24159" s="0" t="s">
        <v>171</v>
      </c>
      <c r="H24159" s="5">
        <v>3508.286500</v>
      </c>
    </row>
    <row r="24160" spans="1:9">
      <c r="A24160" s="22" t="str">
        <f>HYPERLINK("https://app.vivvix.com/360/KMI/IntelliDrive/ApplUI/Pages/CreativePages/CustomReportCreativeDetail.aspx?App=23&amp;ReportView=4&amp;Qid=1711279&amp;Row=24152&amp;Col=1","No Title Assigned - #15283336149")</f>
        <v/>
      </c>
      <c r="B24160" s="0" t="s">
        <v>32329</v>
      </c>
      <c r="E24160" s="0" t="inlineStr">
        <is>
          <t xml:space="preserve">Mazda</t>
        </is>
      </c>
      <c r="F24160" s="0" t="inlineStr">
        <is>
          <t xml:space="preserve">Mazda</t>
        </is>
      </c>
      <c r="G24160" s="0" t="s">
        <v>171</v>
      </c>
      <c r="H24160" s="5">
        <v>314.036600</v>
      </c>
    </row>
    <row r="24161" spans="1:9">
      <c r="A24161" s="22" t="str">
        <f>HYPERLINK("https://app.vivvix.com/360/KMI/IntelliDrive/ApplUI/Pages/CreativePages/CustomReportCreativeDetail.aspx?App=23&amp;ReportView=4&amp;Qid=1711279&amp;Row=24153&amp;Col=1","No Title Assigned - #15283336205")</f>
        <v/>
      </c>
      <c r="B24161" s="0" t="s">
        <v>32330</v>
      </c>
      <c r="E24161" s="0" t="inlineStr">
        <is>
          <t xml:space="preserve">Mazda</t>
        </is>
      </c>
      <c r="F24161" s="0" t="inlineStr">
        <is>
          <t xml:space="preserve">Mazda</t>
        </is>
      </c>
      <c r="G24161" s="0" t="s">
        <v>171</v>
      </c>
      <c r="H24161" s="5">
        <v>816.641100</v>
      </c>
    </row>
    <row r="24162" spans="1:9">
      <c r="A24162" s="22" t="str">
        <f>HYPERLINK("https://app.vivvix.com/360/KMI/IntelliDrive/ApplUI/Pages/CreativePages/CustomReportCreativeDetail.aspx?App=23&amp;ReportView=4&amp;Qid=1711279&amp;Row=24154&amp;Col=1","No Title Assigned - #15283336205")</f>
        <v/>
      </c>
      <c r="B24162" s="0" t="s">
        <v>32330</v>
      </c>
      <c r="E24162" s="0" t="inlineStr">
        <is>
          <t xml:space="preserve">Mazda</t>
        </is>
      </c>
      <c r="F24162" s="0" t="inlineStr">
        <is>
          <t xml:space="preserve">Mazda</t>
        </is>
      </c>
      <c r="G24162" s="0" t="s">
        <v>171</v>
      </c>
      <c r="H24162" s="5">
        <v>835.193900</v>
      </c>
    </row>
    <row r="24163" spans="1:9">
      <c r="A24163" s="22" t="str">
        <f>HYPERLINK("https://app.vivvix.com/360/KMI/IntelliDrive/ApplUI/Pages/CreativePages/CustomReportCreativeDetail.aspx?App=23&amp;ReportView=4&amp;Qid=1711279&amp;Row=24155&amp;Col=1","No Title Assigned - #15283336280")</f>
        <v/>
      </c>
      <c r="B24163" s="0" t="s">
        <v>32331</v>
      </c>
      <c r="E24163" s="0" t="inlineStr">
        <is>
          <t xml:space="preserve">Mazda</t>
        </is>
      </c>
      <c r="F24163" s="0" t="inlineStr">
        <is>
          <t xml:space="preserve">Mazda</t>
        </is>
      </c>
      <c r="G24163" s="0" t="s">
        <v>171</v>
      </c>
      <c r="H24163" s="5">
        <v>491.161000</v>
      </c>
    </row>
    <row r="24164" spans="1:9">
      <c r="A24164" s="22" t="str">
        <f>HYPERLINK("https://app.vivvix.com/360/KMI/IntelliDrive/ApplUI/Pages/CreativePages/CustomReportCreativeDetail.aspx?App=23&amp;ReportView=4&amp;Qid=1711279&amp;Row=24156&amp;Col=1","No Title Assigned - #15283336281")</f>
        <v/>
      </c>
      <c r="B24164" s="0" t="s">
        <v>32332</v>
      </c>
      <c r="C24164" s="0" t="s">
        <v>32333</v>
      </c>
      <c r="D24164" s="0" t="s">
        <v>32333</v>
      </c>
      <c r="E24164" s="0" t="inlineStr">
        <is>
          <t xml:space="preserve">Mazda</t>
        </is>
      </c>
      <c r="F24164" s="0" t="s">
        <v>125</v>
      </c>
      <c r="G24164" s="0" t="s">
        <v>346</v>
      </c>
      <c r="H24164" s="5">
        <v>3384.362500</v>
      </c>
    </row>
    <row r="24165" spans="1:9">
      <c r="A24165" s="22" t="str">
        <f>HYPERLINK("https://app.vivvix.com/360/KMI/IntelliDrive/ApplUI/Pages/CreativePages/CustomReportCreativeDetail.aspx?App=23&amp;ReportView=4&amp;Qid=1711279&amp;Row=24157&amp;Col=1","No Title Assigned - #15283336430")</f>
        <v/>
      </c>
      <c r="B24165" s="0" t="s">
        <v>32334</v>
      </c>
      <c r="E24165" s="0" t="inlineStr">
        <is>
          <t xml:space="preserve">Mazda</t>
        </is>
      </c>
      <c r="F24165" s="0" t="inlineStr">
        <is>
          <t xml:space="preserve">Mazda</t>
        </is>
      </c>
      <c r="G24165" s="0" t="s">
        <v>171</v>
      </c>
      <c r="H24165" s="5">
        <v>7230.849900</v>
      </c>
    </row>
    <row r="24166" spans="1:9">
      <c r="A24166" s="22" t="str">
        <f>HYPERLINK("https://app.vivvix.com/360/KMI/IntelliDrive/ApplUI/Pages/CreativePages/CustomReportCreativeDetail.aspx?App=23&amp;ReportView=4&amp;Qid=1711279&amp;Row=24158&amp;Col=1","No Title Assigned - #15283336497")</f>
        <v/>
      </c>
      <c r="B24166" s="0" t="s">
        <v>32335</v>
      </c>
      <c r="E24166" s="0" t="inlineStr">
        <is>
          <t xml:space="preserve">Mazda</t>
        </is>
      </c>
      <c r="F24166" s="0" t="inlineStr">
        <is>
          <t xml:space="preserve">Mazda</t>
        </is>
      </c>
      <c r="G24166" s="0" t="s">
        <v>171</v>
      </c>
      <c r="H24166" s="5">
        <v>859.820500</v>
      </c>
    </row>
    <row r="24167" spans="1:9">
      <c r="A24167" s="22" t="str">
        <f>HYPERLINK("https://app.vivvix.com/360/KMI/IntelliDrive/ApplUI/Pages/CreativePages/CustomReportCreativeDetail.aspx?App=23&amp;ReportView=4&amp;Qid=1711279&amp;Row=24159&amp;Col=1","No Title Assigned - #15283336716")</f>
        <v/>
      </c>
      <c r="B24167" s="0" t="s">
        <v>32336</v>
      </c>
      <c r="E24167" s="0" t="inlineStr">
        <is>
          <t xml:space="preserve">Mazda</t>
        </is>
      </c>
      <c r="F24167" s="0" t="inlineStr">
        <is>
          <t xml:space="preserve">Mazda</t>
        </is>
      </c>
      <c r="G24167" s="0" t="s">
        <v>171</v>
      </c>
      <c r="H24167" s="5">
        <v>5959.578400</v>
      </c>
    </row>
    <row r="24168" spans="1:9">
      <c r="A24168" s="22" t="str">
        <f>HYPERLINK("https://app.vivvix.com/360/KMI/IntelliDrive/ApplUI/Pages/CreativePages/CustomReportCreativeDetail.aspx?App=23&amp;ReportView=4&amp;Qid=1711279&amp;Row=24160&amp;Col=1","No Title Assigned - #15283337001")</f>
        <v/>
      </c>
      <c r="B24168" s="0" t="s">
        <v>32337</v>
      </c>
      <c r="E24168" s="0" t="inlineStr">
        <is>
          <t xml:space="preserve">Mazda</t>
        </is>
      </c>
      <c r="F24168" s="0" t="inlineStr">
        <is>
          <t xml:space="preserve">Mazda</t>
        </is>
      </c>
      <c r="G24168" s="0" t="s">
        <v>171</v>
      </c>
      <c r="H24168" s="5">
        <v>57.711800</v>
      </c>
    </row>
    <row r="24169" spans="1:9">
      <c r="A24169" s="22" t="str">
        <f>HYPERLINK("https://app.vivvix.com/360/KMI/IntelliDrive/ApplUI/Pages/CreativePages/CustomReportCreativeDetail.aspx?App=23&amp;ReportView=4&amp;Qid=1711279&amp;Row=24161&amp;Col=1","No Title Assigned - #15283337029")</f>
        <v/>
      </c>
      <c r="B24169" s="0" t="s">
        <v>32338</v>
      </c>
      <c r="E24169" s="0" t="inlineStr">
        <is>
          <t xml:space="preserve">Mazda</t>
        </is>
      </c>
      <c r="F24169" s="0" t="inlineStr">
        <is>
          <t xml:space="preserve">Mazda</t>
        </is>
      </c>
      <c r="G24169" s="0" t="s">
        <v>171</v>
      </c>
      <c r="H24169" s="5">
        <v>4392.448300</v>
      </c>
    </row>
    <row r="24170" spans="1:9">
      <c r="A24170" s="22" t="str">
        <f>HYPERLINK("https://app.vivvix.com/360/KMI/IntelliDrive/ApplUI/Pages/CreativePages/CustomReportCreativeDetail.aspx?App=23&amp;ReportView=4&amp;Qid=1711279&amp;Row=24162&amp;Col=1","No Title Assigned - #15283337072")</f>
        <v/>
      </c>
      <c r="B24170" s="0" t="s">
        <v>32339</v>
      </c>
      <c r="E24170" s="0" t="inlineStr">
        <is>
          <t xml:space="preserve">Mazda</t>
        </is>
      </c>
      <c r="F24170" s="0" t="inlineStr">
        <is>
          <t xml:space="preserve">Mazda</t>
        </is>
      </c>
      <c r="G24170" s="0" t="s">
        <v>171</v>
      </c>
      <c r="H24170" s="5">
        <v>1364.633600</v>
      </c>
    </row>
    <row r="24171" spans="1:9">
      <c r="A24171" s="22" t="str">
        <f>HYPERLINK("https://app.vivvix.com/360/KMI/IntelliDrive/ApplUI/Pages/CreativePages/CustomReportCreativeDetail.aspx?App=23&amp;ReportView=4&amp;Qid=1711279&amp;Row=24163&amp;Col=1","No Title Assigned - #15283337614")</f>
        <v/>
      </c>
      <c r="B24171" s="0" t="s">
        <v>32340</v>
      </c>
      <c r="E24171" s="0" t="inlineStr">
        <is>
          <t xml:space="preserve">Mazda</t>
        </is>
      </c>
      <c r="F24171" s="0" t="inlineStr">
        <is>
          <t xml:space="preserve">Mazda</t>
        </is>
      </c>
      <c r="G24171" s="0" t="s">
        <v>171</v>
      </c>
      <c r="H24171" s="5">
        <v>974.872800</v>
      </c>
    </row>
    <row r="24172" spans="1:9">
      <c r="A24172" s="22" t="str">
        <f>HYPERLINK("https://app.vivvix.com/360/KMI/IntelliDrive/ApplUI/Pages/CreativePages/CustomReportCreativeDetail.aspx?App=23&amp;ReportView=4&amp;Qid=1711279&amp;Row=24164&amp;Col=1","No Title Assigned - #15283337833")</f>
        <v/>
      </c>
      <c r="B24172" s="0" t="s">
        <v>32341</v>
      </c>
      <c r="E24172" s="0" t="inlineStr">
        <is>
          <t xml:space="preserve">Mazda</t>
        </is>
      </c>
      <c r="F24172" s="0" t="inlineStr">
        <is>
          <t xml:space="preserve">Mazda</t>
        </is>
      </c>
      <c r="G24172" s="0" t="s">
        <v>171</v>
      </c>
      <c r="H24172" s="5">
        <v>321.744500</v>
      </c>
    </row>
    <row r="24173" spans="1:9">
      <c r="A24173" s="22" t="str">
        <f>HYPERLINK("https://app.vivvix.com/360/KMI/IntelliDrive/ApplUI/Pages/CreativePages/CustomReportCreativeDetail.aspx?App=23&amp;ReportView=4&amp;Qid=1711279&amp;Row=24165&amp;Col=1","No Title Assigned - #15283337888")</f>
        <v/>
      </c>
      <c r="B24173" s="0" t="s">
        <v>32342</v>
      </c>
      <c r="C24173" s="0" t="s">
        <v>32343</v>
      </c>
      <c r="D24173" s="0" t="s">
        <v>15762</v>
      </c>
      <c r="E24173" s="0" t="inlineStr">
        <is>
          <t xml:space="preserve">Mazda</t>
        </is>
      </c>
      <c r="F24173" s="0" t="s">
        <v>13</v>
      </c>
      <c r="G24173" s="0" t="s">
        <v>49</v>
      </c>
      <c r="H24173" s="5">
        <v>206.710200</v>
      </c>
    </row>
    <row r="24174" spans="1:9">
      <c r="A24174" s="22" t="str">
        <f>HYPERLINK("https://app.vivvix.com/360/KMI/IntelliDrive/ApplUI/Pages/CreativePages/CustomReportCreativeDetail.aspx?App=23&amp;ReportView=4&amp;Qid=1711279&amp;Row=24166&amp;Col=1","No Title Assigned - #15283338184")</f>
        <v/>
      </c>
      <c r="B24174" s="0" t="s">
        <v>32344</v>
      </c>
      <c r="E24174" s="0" t="inlineStr">
        <is>
          <t xml:space="preserve">Mazda</t>
        </is>
      </c>
      <c r="F24174" s="0" t="inlineStr">
        <is>
          <t xml:space="preserve">Mazda</t>
        </is>
      </c>
      <c r="G24174" s="0" t="s">
        <v>171</v>
      </c>
      <c r="H24174" s="5">
        <v>406.435100</v>
      </c>
    </row>
    <row r="24175" spans="1:9">
      <c r="A24175" s="22" t="str">
        <f>HYPERLINK("https://app.vivvix.com/360/KMI/IntelliDrive/ApplUI/Pages/CreativePages/CustomReportCreativeDetail.aspx?App=23&amp;ReportView=4&amp;Qid=1711279&amp;Row=24167&amp;Col=1","No Title Assigned - #15283338285")</f>
        <v/>
      </c>
      <c r="B24175" s="0" t="s">
        <v>32345</v>
      </c>
      <c r="E24175" s="0" t="inlineStr">
        <is>
          <t xml:space="preserve">Mazda</t>
        </is>
      </c>
      <c r="F24175" s="0" t="inlineStr">
        <is>
          <t xml:space="preserve">Mazda</t>
        </is>
      </c>
      <c r="G24175" s="0" t="s">
        <v>171</v>
      </c>
      <c r="H24175" s="5">
        <v>140.508500</v>
      </c>
    </row>
    <row r="24176" spans="1:9">
      <c r="A24176" s="22" t="str">
        <f>HYPERLINK("https://app.vivvix.com/360/KMI/IntelliDrive/ApplUI/Pages/CreativePages/CustomReportCreativeDetail.aspx?App=23&amp;ReportView=4&amp;Qid=1711279&amp;Row=24168&amp;Col=1","No Title Assigned - #15283338416")</f>
        <v/>
      </c>
      <c r="B24176" s="0" t="s">
        <v>32346</v>
      </c>
      <c r="E24176" s="0" t="inlineStr">
        <is>
          <t xml:space="preserve">Mazda</t>
        </is>
      </c>
      <c r="F24176" s="0" t="inlineStr">
        <is>
          <t xml:space="preserve">Mazda</t>
        </is>
      </c>
      <c r="G24176" s="0" t="s">
        <v>171</v>
      </c>
      <c r="H24176" s="5">
        <v>467.248100</v>
      </c>
    </row>
    <row r="24177" spans="1:9">
      <c r="A24177" s="22" t="str">
        <f>HYPERLINK("https://app.vivvix.com/360/KMI/IntelliDrive/ApplUI/Pages/CreativePages/CustomReportCreativeDetail.aspx?App=23&amp;ReportView=4&amp;Qid=1711279&amp;Row=24169&amp;Col=1","No Title Assigned - #15283338514")</f>
        <v/>
      </c>
      <c r="B24177" s="0" t="s">
        <v>32347</v>
      </c>
      <c r="E24177" s="0" t="inlineStr">
        <is>
          <t xml:space="preserve">Mazda</t>
        </is>
      </c>
      <c r="F24177" s="0" t="inlineStr">
        <is>
          <t xml:space="preserve">Mazda</t>
        </is>
      </c>
      <c r="G24177" s="0" t="s">
        <v>171</v>
      </c>
      <c r="H24177" s="5">
        <v>810.505300</v>
      </c>
    </row>
    <row r="24178" spans="1:9">
      <c r="A24178" s="22" t="str">
        <f>HYPERLINK("https://app.vivvix.com/360/KMI/IntelliDrive/ApplUI/Pages/CreativePages/CustomReportCreativeDetail.aspx?App=23&amp;ReportView=4&amp;Qid=1711279&amp;Row=24170&amp;Col=1","No Title Assigned - #15283338823")</f>
        <v/>
      </c>
      <c r="B24178" s="0" t="s">
        <v>32348</v>
      </c>
      <c r="C24178" s="0" t="s">
        <v>32349</v>
      </c>
      <c r="D24178" s="0" t="s">
        <v>32349</v>
      </c>
      <c r="E24178" s="0" t="inlineStr">
        <is>
          <t xml:space="preserve">Mazda</t>
        </is>
      </c>
      <c r="F24178" s="0" t="s">
        <v>125</v>
      </c>
      <c r="G24178" s="0" t="s">
        <v>346</v>
      </c>
      <c r="H24178" s="5">
        <v>811.619800</v>
      </c>
    </row>
    <row r="24179" spans="1:9">
      <c r="A24179" s="22" t="str">
        <f>HYPERLINK("https://app.vivvix.com/360/KMI/IntelliDrive/ApplUI/Pages/CreativePages/CustomReportCreativeDetail.aspx?App=23&amp;ReportView=4&amp;Qid=1711279&amp;Row=24171&amp;Col=1","No Title Assigned - #15283341740")</f>
        <v/>
      </c>
      <c r="B24179" s="0" t="s">
        <v>32350</v>
      </c>
      <c r="E24179" s="0" t="inlineStr">
        <is>
          <t xml:space="preserve">Mazda</t>
        </is>
      </c>
      <c r="F24179" s="0" t="inlineStr">
        <is>
          <t xml:space="preserve">Mazda</t>
        </is>
      </c>
      <c r="G24179" s="0" t="s">
        <v>171</v>
      </c>
      <c r="H24179" s="5">
        <v>996.905900</v>
      </c>
    </row>
    <row r="24180" spans="1:9">
      <c r="A24180" s="22" t="str">
        <f>HYPERLINK("https://app.vivvix.com/360/KMI/IntelliDrive/ApplUI/Pages/CreativePages/CustomReportCreativeDetail.aspx?App=23&amp;ReportView=4&amp;Qid=1711279&amp;Row=24172&amp;Col=1","No Title Assigned - #15283342298")</f>
        <v/>
      </c>
      <c r="B24180" s="0" t="s">
        <v>32351</v>
      </c>
      <c r="E24180" s="0" t="inlineStr">
        <is>
          <t xml:space="preserve">Mazda</t>
        </is>
      </c>
      <c r="F24180" s="0" t="inlineStr">
        <is>
          <t xml:space="preserve">Mazda</t>
        </is>
      </c>
      <c r="G24180" s="0" t="s">
        <v>171</v>
      </c>
      <c r="H24180" s="5">
        <v>1177.810000</v>
      </c>
    </row>
    <row r="24181" spans="1:9">
      <c r="A24181" s="22" t="str">
        <f>HYPERLINK("https://app.vivvix.com/360/KMI/IntelliDrive/ApplUI/Pages/CreativePages/CustomReportCreativeDetail.aspx?App=23&amp;ReportView=4&amp;Qid=1711279&amp;Row=24173&amp;Col=1","No Title Assigned - #15283342667")</f>
        <v/>
      </c>
      <c r="B24181" s="0" t="s">
        <v>32352</v>
      </c>
      <c r="E24181" s="0" t="inlineStr">
        <is>
          <t xml:space="preserve">Mazda</t>
        </is>
      </c>
      <c r="F24181" s="0" t="inlineStr">
        <is>
          <t xml:space="preserve">Mazda</t>
        </is>
      </c>
      <c r="G24181" s="0" t="s">
        <v>171</v>
      </c>
      <c r="H24181" s="5">
        <v>9602.896200</v>
      </c>
    </row>
    <row r="24182" spans="1:9">
      <c r="A24182" s="22" t="str">
        <f>HYPERLINK("https://app.vivvix.com/360/KMI/IntelliDrive/ApplUI/Pages/CreativePages/CustomReportCreativeDetail.aspx?App=23&amp;ReportView=4&amp;Qid=1711279&amp;Row=24174&amp;Col=1","No Title Assigned - #15283342707")</f>
        <v/>
      </c>
      <c r="B24182" s="0" t="s">
        <v>32353</v>
      </c>
      <c r="E24182" s="0" t="inlineStr">
        <is>
          <t xml:space="preserve">Mazda</t>
        </is>
      </c>
      <c r="F24182" s="0" t="inlineStr">
        <is>
          <t xml:space="preserve">Mazda</t>
        </is>
      </c>
      <c r="G24182" s="0" t="s">
        <v>171</v>
      </c>
      <c r="H24182" s="5">
        <v>115296.001100</v>
      </c>
    </row>
    <row r="24183" spans="1:9">
      <c r="A24183" s="22" t="str">
        <f>HYPERLINK("https://app.vivvix.com/360/KMI/IntelliDrive/ApplUI/Pages/CreativePages/CustomReportCreativeDetail.aspx?App=23&amp;ReportView=4&amp;Qid=1711279&amp;Row=24175&amp;Col=1","No Title Assigned - #15283342707")</f>
        <v/>
      </c>
      <c r="B24183" s="0" t="s">
        <v>32353</v>
      </c>
      <c r="E24183" s="0" t="inlineStr">
        <is>
          <t xml:space="preserve">Mazda</t>
        </is>
      </c>
      <c r="F24183" s="0" t="inlineStr">
        <is>
          <t xml:space="preserve">Mazda</t>
        </is>
      </c>
      <c r="G24183" s="0" t="s">
        <v>171</v>
      </c>
      <c r="H24183" s="5">
        <v>836.245000</v>
      </c>
    </row>
    <row r="24184" spans="1:9">
      <c r="A24184" s="22" t="str">
        <f>HYPERLINK("https://app.vivvix.com/360/KMI/IntelliDrive/ApplUI/Pages/CreativePages/CustomReportCreativeDetail.aspx?App=23&amp;ReportView=4&amp;Qid=1711279&amp;Row=24176&amp;Col=1","No Title Assigned - #15283342779")</f>
        <v/>
      </c>
      <c r="B24184" s="0" t="s">
        <v>32354</v>
      </c>
      <c r="E24184" s="0" t="inlineStr">
        <is>
          <t xml:space="preserve">Mazda</t>
        </is>
      </c>
      <c r="F24184" s="0" t="inlineStr">
        <is>
          <t xml:space="preserve">Mazda</t>
        </is>
      </c>
      <c r="G24184" s="0" t="s">
        <v>171</v>
      </c>
      <c r="H24184" s="5">
        <v>2618.567100</v>
      </c>
    </row>
    <row r="24185" spans="1:9">
      <c r="A24185" s="22" t="str">
        <f>HYPERLINK("https://app.vivvix.com/360/KMI/IntelliDrive/ApplUI/Pages/CreativePages/CustomReportCreativeDetail.aspx?App=23&amp;ReportView=4&amp;Qid=1711279&amp;Row=24177&amp;Col=1","No Title Assigned - #15283351262")</f>
        <v/>
      </c>
      <c r="B24185" s="0" t="s">
        <v>32355</v>
      </c>
      <c r="E24185" s="0" t="inlineStr">
        <is>
          <t xml:space="preserve">Mazda</t>
        </is>
      </c>
      <c r="F24185" s="0" t="inlineStr">
        <is>
          <t xml:space="preserve">Mazda</t>
        </is>
      </c>
      <c r="G24185" s="0" t="s">
        <v>171</v>
      </c>
      <c r="H24185" s="5">
        <v>271.419800</v>
      </c>
    </row>
    <row r="24186" spans="1:9">
      <c r="A24186" s="22" t="str">
        <f>HYPERLINK("https://app.vivvix.com/360/KMI/IntelliDrive/ApplUI/Pages/CreativePages/CustomReportCreativeDetail.aspx?App=23&amp;ReportView=4&amp;Qid=1711279&amp;Row=24178&amp;Col=1","No Title Assigned - #15283351263")</f>
        <v/>
      </c>
      <c r="B24186" s="0" t="s">
        <v>32356</v>
      </c>
      <c r="E24186" s="0" t="inlineStr">
        <is>
          <t xml:space="preserve">Mazda</t>
        </is>
      </c>
      <c r="F24186" s="0" t="inlineStr">
        <is>
          <t xml:space="preserve">Mazda</t>
        </is>
      </c>
      <c r="G24186" s="0" t="s">
        <v>171</v>
      </c>
      <c r="H24186" s="5">
        <v>542.839600</v>
      </c>
    </row>
    <row r="24187" spans="1:9">
      <c r="A24187" s="22" t="str">
        <f>HYPERLINK("https://app.vivvix.com/360/KMI/IntelliDrive/ApplUI/Pages/CreativePages/CustomReportCreativeDetail.aspx?App=23&amp;ReportView=4&amp;Qid=1711279&amp;Row=24179&amp;Col=1","No Title Assigned - #15283351285")</f>
        <v/>
      </c>
      <c r="B24187" s="0" t="s">
        <v>32357</v>
      </c>
      <c r="E24187" s="0" t="inlineStr">
        <is>
          <t xml:space="preserve">Mazda</t>
        </is>
      </c>
      <c r="F24187" s="0" t="inlineStr">
        <is>
          <t xml:space="preserve">Mazda</t>
        </is>
      </c>
      <c r="G24187" s="0" t="s">
        <v>171</v>
      </c>
      <c r="H24187" s="5">
        <v>140.326300</v>
      </c>
    </row>
    <row r="24188" spans="1:9">
      <c r="A24188" s="22" t="str">
        <f>HYPERLINK("https://app.vivvix.com/360/KMI/IntelliDrive/ApplUI/Pages/CreativePages/CustomReportCreativeDetail.aspx?App=23&amp;ReportView=4&amp;Qid=1711279&amp;Row=24180&amp;Col=1","No Title Assigned - #15283351286")</f>
        <v/>
      </c>
      <c r="B24188" s="0" t="s">
        <v>32358</v>
      </c>
      <c r="E24188" s="0" t="inlineStr">
        <is>
          <t xml:space="preserve">Mazda</t>
        </is>
      </c>
      <c r="F24188" s="0" t="inlineStr">
        <is>
          <t xml:space="preserve">Mazda</t>
        </is>
      </c>
      <c r="G24188" s="0" t="s">
        <v>171</v>
      </c>
      <c r="H24188" s="5">
        <v>420.978900</v>
      </c>
    </row>
    <row r="24189" spans="1:9">
      <c r="A24189" s="22" t="str">
        <f>HYPERLINK("https://app.vivvix.com/360/KMI/IntelliDrive/ApplUI/Pages/CreativePages/CustomReportCreativeDetail.aspx?App=23&amp;ReportView=4&amp;Qid=1711279&amp;Row=24181&amp;Col=1","No Title Assigned - #15283351288")</f>
        <v/>
      </c>
      <c r="B24189" s="0" t="s">
        <v>32359</v>
      </c>
      <c r="E24189" s="0" t="inlineStr">
        <is>
          <t xml:space="preserve">Mazda</t>
        </is>
      </c>
      <c r="F24189" s="0" t="inlineStr">
        <is>
          <t xml:space="preserve">Mazda</t>
        </is>
      </c>
      <c r="G24189" s="0" t="s">
        <v>171</v>
      </c>
      <c r="H24189" s="5">
        <v>140.326300</v>
      </c>
    </row>
    <row r="24190" spans="1:9">
      <c r="A24190" s="22" t="str">
        <f>HYPERLINK("https://app.vivvix.com/360/KMI/IntelliDrive/ApplUI/Pages/CreativePages/CustomReportCreativeDetail.aspx?App=23&amp;ReportView=4&amp;Qid=1711279&amp;Row=24182&amp;Col=1","No Title Assigned - #15283351936")</f>
        <v/>
      </c>
      <c r="B24190" s="0" t="s">
        <v>32360</v>
      </c>
      <c r="E24190" s="0" t="inlineStr">
        <is>
          <t xml:space="preserve">Mazda</t>
        </is>
      </c>
      <c r="F24190" s="0" t="inlineStr">
        <is>
          <t xml:space="preserve">Mazda</t>
        </is>
      </c>
      <c r="G24190" s="0" t="s">
        <v>171</v>
      </c>
      <c r="H24190" s="5">
        <v>4023.342200</v>
      </c>
    </row>
    <row r="24191" spans="1:9">
      <c r="A24191" s="22" t="str">
        <f>HYPERLINK("https://app.vivvix.com/360/KMI/IntelliDrive/ApplUI/Pages/CreativePages/CustomReportCreativeDetail.aspx?App=23&amp;ReportView=4&amp;Qid=1711279&amp;Row=24183&amp;Col=1","No Title Assigned - #15283352109")</f>
        <v/>
      </c>
      <c r="B24191" s="0" t="s">
        <v>32361</v>
      </c>
      <c r="C24191" s="0" t="s">
        <v>32362</v>
      </c>
      <c r="D24191" s="0" t="s">
        <v>32362</v>
      </c>
      <c r="E24191" s="0" t="inlineStr">
        <is>
          <t xml:space="preserve">Mazda</t>
        </is>
      </c>
      <c r="F24191" s="0" t="s">
        <v>13</v>
      </c>
      <c r="G24191" s="0" t="s">
        <v>49</v>
      </c>
      <c r="H24191" s="5">
        <v>52.934600</v>
      </c>
    </row>
    <row r="24192" spans="1:9">
      <c r="A24192" s="22" t="str">
        <f>HYPERLINK("https://app.vivvix.com/360/KMI/IntelliDrive/ApplUI/Pages/CreativePages/CustomReportCreativeDetail.aspx?App=23&amp;ReportView=4&amp;Qid=1711279&amp;Row=24184&amp;Col=1","No Title Assigned - #15283352129")</f>
        <v/>
      </c>
      <c r="B24192" s="0" t="s">
        <v>32363</v>
      </c>
      <c r="E24192" s="0" t="inlineStr">
        <is>
          <t xml:space="preserve">Mazda</t>
        </is>
      </c>
      <c r="F24192" s="0" t="inlineStr">
        <is>
          <t xml:space="preserve">Mazda</t>
        </is>
      </c>
      <c r="G24192" s="0" t="s">
        <v>171</v>
      </c>
      <c r="H24192" s="5">
        <v>89.848100</v>
      </c>
    </row>
    <row r="24193" spans="1:9">
      <c r="A24193" s="22" t="str">
        <f>HYPERLINK("https://app.vivvix.com/360/KMI/IntelliDrive/ApplUI/Pages/CreativePages/CustomReportCreativeDetail.aspx?App=23&amp;ReportView=4&amp;Qid=1711279&amp;Row=24185&amp;Col=1","No Title Assigned - #15283352179")</f>
        <v/>
      </c>
      <c r="B24193" s="0" t="s">
        <v>32364</v>
      </c>
      <c r="E24193" s="0" t="inlineStr">
        <is>
          <t xml:space="preserve">Mazda</t>
        </is>
      </c>
      <c r="F24193" s="0" t="inlineStr">
        <is>
          <t xml:space="preserve">Mazda</t>
        </is>
      </c>
      <c r="G24193" s="0" t="s">
        <v>171</v>
      </c>
      <c r="H24193" s="5">
        <v>156.832000</v>
      </c>
    </row>
    <row r="24194" spans="1:9">
      <c r="A24194" s="22" t="str">
        <f>HYPERLINK("https://app.vivvix.com/360/KMI/IntelliDrive/ApplUI/Pages/CreativePages/CustomReportCreativeDetail.aspx?App=23&amp;ReportView=4&amp;Qid=1711279&amp;Row=24186&amp;Col=1","No Title Assigned - #15283353988")</f>
        <v/>
      </c>
      <c r="B24194" s="0" t="s">
        <v>32365</v>
      </c>
      <c r="E24194" s="0" t="inlineStr">
        <is>
          <t xml:space="preserve">Mazda</t>
        </is>
      </c>
      <c r="F24194" s="0" t="inlineStr">
        <is>
          <t xml:space="preserve">Mazda</t>
        </is>
      </c>
      <c r="G24194" s="0" t="s">
        <v>171</v>
      </c>
      <c r="H24194" s="5">
        <v>777.015600</v>
      </c>
    </row>
    <row r="24195" spans="1:9">
      <c r="A24195" s="22" t="str">
        <f>HYPERLINK("https://app.vivvix.com/360/KMI/IntelliDrive/ApplUI/Pages/CreativePages/CustomReportCreativeDetail.aspx?App=23&amp;ReportView=4&amp;Qid=1711279&amp;Row=24187&amp;Col=1","No Title Assigned - #15283354853")</f>
        <v/>
      </c>
      <c r="B24195" s="0" t="s">
        <v>32366</v>
      </c>
      <c r="E24195" s="0" t="inlineStr">
        <is>
          <t xml:space="preserve">Mazda</t>
        </is>
      </c>
      <c r="F24195" s="0" t="inlineStr">
        <is>
          <t xml:space="preserve">Mazda</t>
        </is>
      </c>
      <c r="G24195" s="0" t="s">
        <v>171</v>
      </c>
      <c r="H24195" s="5">
        <v>1834.716300</v>
      </c>
    </row>
    <row r="24196" spans="1:9">
      <c r="A24196" s="22" t="str">
        <f>HYPERLINK("https://app.vivvix.com/360/KMI/IntelliDrive/ApplUI/Pages/CreativePages/CustomReportCreativeDetail.aspx?App=23&amp;ReportView=4&amp;Qid=1711279&amp;Row=24188&amp;Col=1","No Title Assigned - #15283354947")</f>
        <v/>
      </c>
      <c r="B24196" s="0" t="s">
        <v>32367</v>
      </c>
      <c r="E24196" s="0" t="inlineStr">
        <is>
          <t xml:space="preserve">Mazda</t>
        </is>
      </c>
      <c r="F24196" s="0" t="inlineStr">
        <is>
          <t xml:space="preserve">Mazda</t>
        </is>
      </c>
      <c r="G24196" s="0" t="s">
        <v>171</v>
      </c>
      <c r="H24196" s="5">
        <v>157.018300</v>
      </c>
    </row>
    <row r="24197" spans="1:9">
      <c r="A24197" s="22" t="str">
        <f>HYPERLINK("https://app.vivvix.com/360/KMI/IntelliDrive/ApplUI/Pages/CreativePages/CustomReportCreativeDetail.aspx?App=23&amp;ReportView=4&amp;Qid=1711279&amp;Row=24189&amp;Col=1","No Title Assigned - #15283356763")</f>
        <v/>
      </c>
      <c r="B24197" s="0" t="s">
        <v>32368</v>
      </c>
      <c r="C24197" s="0" t="s">
        <v>32369</v>
      </c>
      <c r="D24197" s="0" t="s">
        <v>32369</v>
      </c>
      <c r="E24197" s="0" t="inlineStr">
        <is>
          <t xml:space="preserve">Mazda</t>
        </is>
      </c>
      <c r="F24197" s="0" t="inlineStr">
        <is>
          <t xml:space="preserve">Mazda</t>
        </is>
      </c>
      <c r="G24197" s="0" t="s">
        <v>210</v>
      </c>
      <c r="H24197" s="5">
        <v>4333.768600</v>
      </c>
    </row>
    <row r="24198" spans="1:9">
      <c r="A24198" s="22" t="str">
        <f>HYPERLINK("https://app.vivvix.com/360/KMI/IntelliDrive/ApplUI/Pages/CreativePages/CustomReportCreativeDetail.aspx?App=23&amp;ReportView=4&amp;Qid=1711279&amp;Row=24190&amp;Col=1","No Title Assigned - #15283358965")</f>
        <v/>
      </c>
      <c r="B24198" s="0" t="s">
        <v>32370</v>
      </c>
      <c r="E24198" s="0" t="inlineStr">
        <is>
          <t xml:space="preserve">Mazda</t>
        </is>
      </c>
      <c r="F24198" s="0" t="s">
        <v>13</v>
      </c>
      <c r="G24198" s="0" t="s">
        <v>49</v>
      </c>
      <c r="H24198" s="5">
        <v>22145.084700</v>
      </c>
    </row>
    <row r="24199" spans="1:9">
      <c r="A24199" s="22" t="str">
        <f>HYPERLINK("https://app.vivvix.com/360/KMI/IntelliDrive/ApplUI/Pages/CreativePages/CustomReportCreativeDetail.aspx?App=23&amp;ReportView=4&amp;Qid=1711279&amp;Row=24191&amp;Col=1","No Title Assigned - #15283358965")</f>
        <v/>
      </c>
      <c r="B24199" s="0" t="s">
        <v>32370</v>
      </c>
      <c r="C24199" s="0" t="s">
        <v>32371</v>
      </c>
      <c r="D24199" s="0" t="s">
        <v>32371</v>
      </c>
      <c r="E24199" s="0" t="inlineStr">
        <is>
          <t xml:space="preserve">Mazda</t>
        </is>
      </c>
      <c r="F24199" s="0" t="s">
        <v>13</v>
      </c>
      <c r="G24199" s="0" t="s">
        <v>49</v>
      </c>
      <c r="H24199" s="5">
        <v>24294.805100</v>
      </c>
    </row>
    <row r="24200" spans="1:9">
      <c r="A24200" s="22" t="str">
        <f>HYPERLINK("https://app.vivvix.com/360/KMI/IntelliDrive/ApplUI/Pages/CreativePages/CustomReportCreativeDetail.aspx?App=23&amp;ReportView=4&amp;Qid=1711279&amp;Row=24192&amp;Col=1","No Title Assigned - #15283362540")</f>
        <v/>
      </c>
      <c r="B24200" s="0" t="s">
        <v>32372</v>
      </c>
      <c r="E24200" s="0" t="inlineStr">
        <is>
          <t xml:space="preserve">Mazda</t>
        </is>
      </c>
      <c r="F24200" s="0" t="inlineStr">
        <is>
          <t xml:space="preserve">Mazda</t>
        </is>
      </c>
      <c r="G24200" s="0" t="s">
        <v>171</v>
      </c>
      <c r="H24200" s="5">
        <v>410.934200</v>
      </c>
    </row>
    <row r="24201" spans="1:9">
      <c r="A24201" s="22" t="str">
        <f>HYPERLINK("https://app.vivvix.com/360/KMI/IntelliDrive/ApplUI/Pages/CreativePages/CustomReportCreativeDetail.aspx?App=23&amp;ReportView=4&amp;Qid=1711279&amp;Row=24193&amp;Col=1","No Title Assigned - #15283368727")</f>
        <v/>
      </c>
      <c r="B24201" s="0" t="s">
        <v>32373</v>
      </c>
      <c r="C24201" s="0" t="s">
        <v>32374</v>
      </c>
      <c r="D24201" s="0" t="s">
        <v>32374</v>
      </c>
      <c r="E24201" s="0" t="inlineStr">
        <is>
          <t xml:space="preserve">Mazda</t>
        </is>
      </c>
      <c r="F24201" s="0" t="s">
        <v>13</v>
      </c>
      <c r="G24201" s="0" t="s">
        <v>49</v>
      </c>
      <c r="H24201" s="5">
        <v>46245.571300</v>
      </c>
    </row>
    <row r="24202" spans="1:9">
      <c r="A24202" s="22" t="str">
        <f>HYPERLINK("https://app.vivvix.com/360/KMI/IntelliDrive/ApplUI/Pages/CreativePages/CustomReportCreativeDetail.aspx?App=23&amp;ReportView=4&amp;Qid=1711279&amp;Row=24194&amp;Col=1","No Title Assigned - #15283369507")</f>
        <v/>
      </c>
      <c r="B24202" s="0" t="s">
        <v>32375</v>
      </c>
      <c r="C24202" s="0" t="s">
        <v>32376</v>
      </c>
      <c r="D24202" s="0" t="s">
        <v>32376</v>
      </c>
      <c r="E24202" s="0" t="inlineStr">
        <is>
          <t xml:space="preserve">Mazda</t>
        </is>
      </c>
      <c r="F24202" s="0" t="s">
        <v>13</v>
      </c>
      <c r="G24202" s="0" t="s">
        <v>49</v>
      </c>
      <c r="H24202" s="5">
        <v>672.232400</v>
      </c>
    </row>
    <row r="24203" spans="1:9">
      <c r="A24203" s="22" t="str">
        <f>HYPERLINK("https://app.vivvix.com/360/KMI/IntelliDrive/ApplUI/Pages/CreativePages/CustomReportCreativeDetail.aspx?App=23&amp;ReportView=4&amp;Qid=1711279&amp;Row=24195&amp;Col=1","No Title Assigned - #15283369692")</f>
        <v/>
      </c>
      <c r="B24203" s="0" t="s">
        <v>32377</v>
      </c>
      <c r="C24203" s="0" t="s">
        <v>32378</v>
      </c>
      <c r="D24203" s="0" t="s">
        <v>32378</v>
      </c>
      <c r="E24203" s="0" t="inlineStr">
        <is>
          <t xml:space="preserve">Mazda</t>
        </is>
      </c>
      <c r="F24203" s="0" t="s">
        <v>13</v>
      </c>
      <c r="G24203" s="0" t="s">
        <v>49</v>
      </c>
      <c r="H24203" s="5">
        <v>2431.053700</v>
      </c>
    </row>
    <row r="24204" spans="1:9">
      <c r="A24204" s="22" t="str">
        <f>HYPERLINK("https://app.vivvix.com/360/KMI/IntelliDrive/ApplUI/Pages/CreativePages/CustomReportCreativeDetail.aspx?App=23&amp;ReportView=4&amp;Qid=1711279&amp;Row=24196&amp;Col=1","No Title Assigned - #15283371630")</f>
        <v/>
      </c>
      <c r="B24204" s="0" t="s">
        <v>32379</v>
      </c>
      <c r="E24204" s="0" t="inlineStr">
        <is>
          <t xml:space="preserve">Mazda</t>
        </is>
      </c>
      <c r="F24204" s="0" t="s">
        <v>13</v>
      </c>
      <c r="G24204" s="0" t="s">
        <v>49</v>
      </c>
      <c r="H24204" s="5">
        <v>1298.838200</v>
      </c>
    </row>
    <row r="24205" spans="1:9">
      <c r="A24205" s="22" t="str">
        <f>HYPERLINK("https://app.vivvix.com/360/KMI/IntelliDrive/ApplUI/Pages/CreativePages/CustomReportCreativeDetail.aspx?App=23&amp;ReportView=4&amp;Qid=1711279&amp;Row=24197&amp;Col=1","No Title Assigned - #15283371630")</f>
        <v/>
      </c>
      <c r="B24205" s="0" t="s">
        <v>32379</v>
      </c>
      <c r="C24205" s="0" t="s">
        <v>32380</v>
      </c>
      <c r="D24205" s="0" t="s">
        <v>32380</v>
      </c>
      <c r="E24205" s="0" t="inlineStr">
        <is>
          <t xml:space="preserve">Mazda</t>
        </is>
      </c>
      <c r="F24205" s="0" t="s">
        <v>13</v>
      </c>
      <c r="G24205" s="0" t="s">
        <v>49</v>
      </c>
      <c r="H24205" s="5">
        <v>424.332000</v>
      </c>
    </row>
    <row r="24206" spans="1:9">
      <c r="A24206" s="22" t="str">
        <f>HYPERLINK("https://app.vivvix.com/360/KMI/IntelliDrive/ApplUI/Pages/CreativePages/CustomReportCreativeDetail.aspx?App=23&amp;ReportView=4&amp;Qid=1711279&amp;Row=24198&amp;Col=1","No Title Assigned - #15283375533")</f>
        <v/>
      </c>
      <c r="B24206" s="0" t="s">
        <v>32381</v>
      </c>
      <c r="C24206" s="0" t="s">
        <v>32382</v>
      </c>
      <c r="D24206" s="0" t="s">
        <v>32382</v>
      </c>
      <c r="E24206" s="0" t="inlineStr">
        <is>
          <t xml:space="preserve">Mazda</t>
        </is>
      </c>
      <c r="F24206" s="0" t="s">
        <v>125</v>
      </c>
      <c r="G24206" s="0" t="s">
        <v>346</v>
      </c>
      <c r="H24206" s="5">
        <v>419.726600</v>
      </c>
    </row>
    <row r="24207" spans="1:9">
      <c r="A24207" s="22" t="str">
        <f>HYPERLINK("https://app.vivvix.com/360/KMI/IntelliDrive/ApplUI/Pages/CreativePages/CustomReportCreativeDetail.aspx?App=23&amp;ReportView=4&amp;Qid=1711279&amp;Row=24199&amp;Col=1","No Title Assigned - #15283376122")</f>
        <v/>
      </c>
      <c r="B24207" s="0" t="s">
        <v>32383</v>
      </c>
      <c r="C24207" s="0" t="s">
        <v>32384</v>
      </c>
      <c r="D24207" s="0" t="s">
        <v>32384</v>
      </c>
      <c r="E24207" s="0" t="inlineStr">
        <is>
          <t xml:space="preserve">Mazda</t>
        </is>
      </c>
      <c r="F24207" s="0" t="s">
        <v>13</v>
      </c>
      <c r="G24207" s="0" t="s">
        <v>49</v>
      </c>
      <c r="H24207" s="5">
        <v>234.778500</v>
      </c>
    </row>
    <row r="24208" spans="1:9">
      <c r="A24208" s="22" t="str">
        <f>HYPERLINK("https://app.vivvix.com/360/KMI/IntelliDrive/ApplUI/Pages/CreativePages/CustomReportCreativeDetail.aspx?App=23&amp;ReportView=4&amp;Qid=1711279&amp;Row=24200&amp;Col=1","No Title Assigned - #15283376556")</f>
        <v/>
      </c>
      <c r="B24208" s="0" t="s">
        <v>32385</v>
      </c>
      <c r="C24208" s="0" t="s">
        <v>32386</v>
      </c>
      <c r="D24208" s="0" t="s">
        <v>28926</v>
      </c>
      <c r="E24208" s="0" t="inlineStr">
        <is>
          <t xml:space="preserve">Mazda</t>
        </is>
      </c>
      <c r="F24208" s="0" t="s">
        <v>13</v>
      </c>
      <c r="G24208" s="0" t="s">
        <v>49</v>
      </c>
      <c r="H24208" s="5">
        <v>501.203800</v>
      </c>
    </row>
    <row r="24209" spans="1:9">
      <c r="A24209" s="22" t="str">
        <f>HYPERLINK("https://app.vivvix.com/360/KMI/IntelliDrive/ApplUI/Pages/CreativePages/CustomReportCreativeDetail.aspx?App=23&amp;ReportView=4&amp;Qid=1711279&amp;Row=24201&amp;Col=1","No Title Assigned - #15283377141")</f>
        <v/>
      </c>
      <c r="B24209" s="0" t="s">
        <v>32387</v>
      </c>
      <c r="C24209" s="0" t="s">
        <v>32388</v>
      </c>
      <c r="D24209" s="0" t="s">
        <v>32388</v>
      </c>
      <c r="E24209" s="0" t="inlineStr">
        <is>
          <t xml:space="preserve">Mazda</t>
        </is>
      </c>
      <c r="F24209" s="0" t="s">
        <v>13</v>
      </c>
      <c r="G24209" s="0" t="s">
        <v>49</v>
      </c>
      <c r="H24209" s="5">
        <v>202.904600</v>
      </c>
    </row>
    <row r="24210" spans="1:9">
      <c r="A24210" s="22" t="str">
        <f>HYPERLINK("https://app.vivvix.com/360/KMI/IntelliDrive/ApplUI/Pages/CreativePages/CustomReportCreativeDetail.aspx?App=23&amp;ReportView=4&amp;Qid=1711279&amp;Row=24202&amp;Col=1","No Title Assigned - #15283377291")</f>
        <v/>
      </c>
      <c r="B24210" s="0" t="s">
        <v>32389</v>
      </c>
      <c r="C24210" s="0" t="s">
        <v>32390</v>
      </c>
      <c r="D24210" s="0" t="s">
        <v>32390</v>
      </c>
      <c r="E24210" s="0" t="inlineStr">
        <is>
          <t xml:space="preserve">Mazda</t>
        </is>
      </c>
      <c r="F24210" s="0" t="s">
        <v>13</v>
      </c>
      <c r="G24210" s="0" t="s">
        <v>49</v>
      </c>
      <c r="H24210" s="5">
        <v>4673.114200</v>
      </c>
    </row>
    <row r="24211" spans="1:9">
      <c r="A24211" s="22" t="str">
        <f>HYPERLINK("https://app.vivvix.com/360/KMI/IntelliDrive/ApplUI/Pages/CreativePages/CustomReportCreativeDetail.aspx?App=23&amp;ReportView=4&amp;Qid=1711279&amp;Row=24203&amp;Col=1","No Title Assigned - #15283377644")</f>
        <v/>
      </c>
      <c r="B24211" s="0" t="s">
        <v>32391</v>
      </c>
      <c r="C24211" s="0" t="s">
        <v>32392</v>
      </c>
      <c r="D24211" s="0" t="s">
        <v>32392</v>
      </c>
      <c r="E24211" s="0" t="inlineStr">
        <is>
          <t xml:space="preserve">Mazda</t>
        </is>
      </c>
      <c r="F24211" s="0" t="s">
        <v>13</v>
      </c>
      <c r="G24211" s="0" t="s">
        <v>49</v>
      </c>
      <c r="H24211" s="5">
        <v>136.518300</v>
      </c>
    </row>
    <row r="24212" spans="1:9">
      <c r="A24212" s="22" t="str">
        <f>HYPERLINK("https://app.vivvix.com/360/KMI/IntelliDrive/ApplUI/Pages/CreativePages/CustomReportCreativeDetail.aspx?App=23&amp;ReportView=4&amp;Qid=1711279&amp;Row=24204&amp;Col=1","No Title Assigned - #15283377691")</f>
        <v/>
      </c>
      <c r="B24212" s="0" t="s">
        <v>32393</v>
      </c>
      <c r="C24212" s="0" t="s">
        <v>32394</v>
      </c>
      <c r="D24212" s="0" t="s">
        <v>32394</v>
      </c>
      <c r="E24212" s="0" t="inlineStr">
        <is>
          <t xml:space="preserve">Mazda</t>
        </is>
      </c>
      <c r="F24212" s="0" t="s">
        <v>125</v>
      </c>
      <c r="G24212" s="0" t="s">
        <v>346</v>
      </c>
      <c r="H24212" s="5">
        <v>419.726600</v>
      </c>
    </row>
    <row r="24213" spans="1:9">
      <c r="A24213" s="22" t="str">
        <f>HYPERLINK("https://app.vivvix.com/360/KMI/IntelliDrive/ApplUI/Pages/CreativePages/CustomReportCreativeDetail.aspx?App=23&amp;ReportView=4&amp;Qid=1711279&amp;Row=24205&amp;Col=1","No Title Assigned - #15283377723")</f>
        <v/>
      </c>
      <c r="B24213" s="0" t="s">
        <v>32395</v>
      </c>
      <c r="C24213" s="0" t="s">
        <v>32396</v>
      </c>
      <c r="D24213" s="0" t="s">
        <v>22435</v>
      </c>
      <c r="E24213" s="0" t="inlineStr">
        <is>
          <t xml:space="preserve">Mazda</t>
        </is>
      </c>
      <c r="F24213" s="0" t="s">
        <v>13</v>
      </c>
      <c r="G24213" s="0" t="s">
        <v>49</v>
      </c>
      <c r="H24213" s="5">
        <v>205.255000</v>
      </c>
    </row>
    <row r="24214" spans="1:9">
      <c r="A24214" s="22" t="str">
        <f>HYPERLINK("https://app.vivvix.com/360/KMI/IntelliDrive/ApplUI/Pages/CreativePages/CustomReportCreativeDetail.aspx?App=23&amp;ReportView=4&amp;Qid=1711279&amp;Row=24206&amp;Col=1","No Title Assigned - #15283377724")</f>
        <v/>
      </c>
      <c r="B24214" s="0" t="s">
        <v>32397</v>
      </c>
      <c r="C24214" s="0" t="s">
        <v>32398</v>
      </c>
      <c r="D24214" s="0" t="s">
        <v>32398</v>
      </c>
      <c r="E24214" s="0" t="inlineStr">
        <is>
          <t xml:space="preserve">Mazda</t>
        </is>
      </c>
      <c r="F24214" s="0" t="s">
        <v>13</v>
      </c>
      <c r="G24214" s="0" t="s">
        <v>49</v>
      </c>
      <c r="H24214" s="5">
        <v>205.255000</v>
      </c>
    </row>
    <row r="24215" spans="1:9">
      <c r="A24215" s="22" t="str">
        <f>HYPERLINK("https://app.vivvix.com/360/KMI/IntelliDrive/ApplUI/Pages/CreativePages/CustomReportCreativeDetail.aspx?App=23&amp;ReportView=4&amp;Qid=1711279&amp;Row=24207&amp;Col=1","No Title Assigned - #15283378249")</f>
        <v/>
      </c>
      <c r="B24215" s="0" t="s">
        <v>32399</v>
      </c>
      <c r="C24215" s="0" t="s">
        <v>32400</v>
      </c>
      <c r="D24215" s="0" t="s">
        <v>32400</v>
      </c>
      <c r="E24215" s="0" t="inlineStr">
        <is>
          <t xml:space="preserve">Mazda</t>
        </is>
      </c>
      <c r="F24215" s="0" t="s">
        <v>125</v>
      </c>
      <c r="G24215" s="0" t="s">
        <v>346</v>
      </c>
      <c r="H24215" s="5">
        <v>832.758100</v>
      </c>
    </row>
    <row r="24216" spans="1:9">
      <c r="A24216" s="22" t="str">
        <f>HYPERLINK("https://app.vivvix.com/360/KMI/IntelliDrive/ApplUI/Pages/CreativePages/CustomReportCreativeDetail.aspx?App=23&amp;ReportView=4&amp;Qid=1711279&amp;Row=24208&amp;Col=1","No Title Assigned - #15283378659")</f>
        <v/>
      </c>
      <c r="B24216" s="0" t="s">
        <v>32401</v>
      </c>
      <c r="C24216" s="0" t="s">
        <v>32402</v>
      </c>
      <c r="D24216" s="0" t="s">
        <v>31051</v>
      </c>
      <c r="E24216" s="0" t="inlineStr">
        <is>
          <t xml:space="preserve">Mazda</t>
        </is>
      </c>
      <c r="F24216" s="0" t="s">
        <v>13</v>
      </c>
      <c r="G24216" s="0" t="s">
        <v>49</v>
      </c>
      <c r="H24216" s="5">
        <v>5411.450700</v>
      </c>
    </row>
    <row r="24217" spans="1:9">
      <c r="A24217" s="22" t="str">
        <f>HYPERLINK("https://app.vivvix.com/360/KMI/IntelliDrive/ApplUI/Pages/CreativePages/CustomReportCreativeDetail.aspx?App=23&amp;ReportView=4&amp;Qid=1711279&amp;Row=24209&amp;Col=1","No Title Assigned - #15283378808")</f>
        <v/>
      </c>
      <c r="B24217" s="0" t="s">
        <v>32403</v>
      </c>
      <c r="C24217" s="0" t="s">
        <v>32404</v>
      </c>
      <c r="D24217" s="0" t="s">
        <v>32404</v>
      </c>
      <c r="E24217" s="0" t="inlineStr">
        <is>
          <t xml:space="preserve">Mazda</t>
        </is>
      </c>
      <c r="F24217" s="0" t="s">
        <v>125</v>
      </c>
      <c r="G24217" s="0" t="s">
        <v>346</v>
      </c>
      <c r="H24217" s="5">
        <v>413.475400</v>
      </c>
    </row>
    <row r="24218" spans="1:9">
      <c r="A24218" s="22" t="str">
        <f>HYPERLINK("https://app.vivvix.com/360/KMI/IntelliDrive/ApplUI/Pages/CreativePages/CustomReportCreativeDetail.aspx?App=23&amp;ReportView=4&amp;Qid=1711279&amp;Row=24210&amp;Col=1","No Title Assigned - #15283379476")</f>
        <v/>
      </c>
      <c r="B24218" s="0" t="s">
        <v>32405</v>
      </c>
      <c r="C24218" s="0" t="s">
        <v>32406</v>
      </c>
      <c r="D24218" s="0" t="s">
        <v>32407</v>
      </c>
      <c r="E24218" s="0" t="inlineStr">
        <is>
          <t xml:space="preserve">Mazda</t>
        </is>
      </c>
      <c r="F24218" s="0" t="s">
        <v>13</v>
      </c>
      <c r="G24218" s="0" t="s">
        <v>49</v>
      </c>
      <c r="H24218" s="5">
        <v>1020.887600</v>
      </c>
    </row>
    <row r="24219" spans="1:9">
      <c r="A24219" s="22" t="str">
        <f>HYPERLINK("https://app.vivvix.com/360/KMI/IntelliDrive/ApplUI/Pages/CreativePages/CustomReportCreativeDetail.aspx?App=23&amp;ReportView=4&amp;Qid=1711279&amp;Row=24211&amp;Col=1","No Title Assigned - #15283379612")</f>
        <v/>
      </c>
      <c r="B24219" s="0" t="s">
        <v>32408</v>
      </c>
      <c r="C24219" s="0" t="s">
        <v>32409</v>
      </c>
      <c r="D24219" s="0" t="s">
        <v>32409</v>
      </c>
      <c r="E24219" s="0" t="inlineStr">
        <is>
          <t xml:space="preserve">Mazda</t>
        </is>
      </c>
      <c r="F24219" s="0" t="s">
        <v>13</v>
      </c>
      <c r="G24219" s="0" t="s">
        <v>49</v>
      </c>
      <c r="H24219" s="5">
        <v>2447.682100</v>
      </c>
    </row>
    <row r="24220" spans="1:9">
      <c r="A24220" s="22" t="str">
        <f>HYPERLINK("https://app.vivvix.com/360/KMI/IntelliDrive/ApplUI/Pages/CreativePages/CustomReportCreativeDetail.aspx?App=23&amp;ReportView=4&amp;Qid=1711279&amp;Row=24212&amp;Col=1","No Title Assigned - #15283379975")</f>
        <v/>
      </c>
      <c r="B24220" s="0" t="s">
        <v>32410</v>
      </c>
      <c r="C24220" s="0" t="s">
        <v>32411</v>
      </c>
      <c r="D24220" s="0" t="s">
        <v>32411</v>
      </c>
      <c r="E24220" s="0" t="inlineStr">
        <is>
          <t xml:space="preserve">Mazda</t>
        </is>
      </c>
      <c r="F24220" s="0" t="s">
        <v>13</v>
      </c>
      <c r="G24220" s="0" t="s">
        <v>49</v>
      </c>
      <c r="H24220" s="5">
        <v>652.573500</v>
      </c>
    </row>
    <row r="24221" spans="1:9">
      <c r="A24221" s="22" t="str">
        <f>HYPERLINK("https://app.vivvix.com/360/KMI/IntelliDrive/ApplUI/Pages/CreativePages/CustomReportCreativeDetail.aspx?App=23&amp;ReportView=4&amp;Qid=1711279&amp;Row=24213&amp;Col=1","No Title Assigned - #15283380019")</f>
        <v/>
      </c>
      <c r="B24221" s="0" t="s">
        <v>32412</v>
      </c>
      <c r="C24221" s="0" t="s">
        <v>32413</v>
      </c>
      <c r="D24221" s="0" t="s">
        <v>32413</v>
      </c>
      <c r="E24221" s="0" t="inlineStr">
        <is>
          <t xml:space="preserve">Mazda</t>
        </is>
      </c>
      <c r="F24221" s="0" t="s">
        <v>13</v>
      </c>
      <c r="G24221" s="0" t="s">
        <v>49</v>
      </c>
      <c r="H24221" s="5">
        <v>4276.086000</v>
      </c>
    </row>
    <row r="24222" spans="1:9">
      <c r="A24222" s="22" t="str">
        <f>HYPERLINK("https://app.vivvix.com/360/KMI/IntelliDrive/ApplUI/Pages/CreativePages/CustomReportCreativeDetail.aspx?App=23&amp;ReportView=4&amp;Qid=1711279&amp;Row=24214&amp;Col=1","No Title Assigned - #15283380852")</f>
        <v/>
      </c>
      <c r="B24222" s="0" t="s">
        <v>32414</v>
      </c>
      <c r="C24222" s="0" t="s">
        <v>32415</v>
      </c>
      <c r="D24222" s="0" t="s">
        <v>27877</v>
      </c>
      <c r="E24222" s="0" t="inlineStr">
        <is>
          <t xml:space="preserve">Mazda</t>
        </is>
      </c>
      <c r="F24222" s="0" t="s">
        <v>13</v>
      </c>
      <c r="G24222" s="0" t="s">
        <v>49</v>
      </c>
      <c r="H24222" s="5">
        <v>3207.602300</v>
      </c>
    </row>
    <row r="24223" spans="1:9">
      <c r="A24223" s="22" t="str">
        <f>HYPERLINK("https://app.vivvix.com/360/KMI/IntelliDrive/ApplUI/Pages/CreativePages/CustomReportCreativeDetail.aspx?App=23&amp;ReportView=4&amp;Qid=1711279&amp;Row=24215&amp;Col=1","No Title Assigned - #15283380853")</f>
        <v/>
      </c>
      <c r="B24223" s="0" t="s">
        <v>32416</v>
      </c>
      <c r="C24223" s="0" t="s">
        <v>32417</v>
      </c>
      <c r="D24223" s="0" t="s">
        <v>32417</v>
      </c>
      <c r="E24223" s="0" t="inlineStr">
        <is>
          <t xml:space="preserve">Mazda</t>
        </is>
      </c>
      <c r="F24223" s="0" t="s">
        <v>125</v>
      </c>
      <c r="G24223" s="0" t="s">
        <v>346</v>
      </c>
      <c r="H24223" s="5">
        <v>815.686500</v>
      </c>
    </row>
    <row r="24224" spans="1:9">
      <c r="A24224" s="22" t="str">
        <f>HYPERLINK("https://app.vivvix.com/360/KMI/IntelliDrive/ApplUI/Pages/CreativePages/CustomReportCreativeDetail.aspx?App=23&amp;ReportView=4&amp;Qid=1711279&amp;Row=24216&amp;Col=1","No Title Assigned - #15283381015")</f>
        <v/>
      </c>
      <c r="B24224" s="0" t="s">
        <v>32418</v>
      </c>
      <c r="C24224" s="0" t="s">
        <v>32419</v>
      </c>
      <c r="D24224" s="0" t="s">
        <v>32419</v>
      </c>
      <c r="E24224" s="0" t="inlineStr">
        <is>
          <t xml:space="preserve">Mazda</t>
        </is>
      </c>
      <c r="F24224" s="0" t="s">
        <v>13</v>
      </c>
      <c r="G24224" s="0" t="s">
        <v>49</v>
      </c>
      <c r="H24224" s="5">
        <v>152.717200</v>
      </c>
    </row>
    <row r="24225" spans="1:9">
      <c r="A24225" s="22" t="str">
        <f>HYPERLINK("https://app.vivvix.com/360/KMI/IntelliDrive/ApplUI/Pages/CreativePages/CustomReportCreativeDetail.aspx?App=23&amp;ReportView=4&amp;Qid=1711279&amp;Row=24217&amp;Col=1","No Title Assigned - #15283381220")</f>
        <v/>
      </c>
      <c r="B24225" s="0" t="s">
        <v>32420</v>
      </c>
      <c r="C24225" s="0" t="s">
        <v>32421</v>
      </c>
      <c r="D24225" s="0" t="s">
        <v>32421</v>
      </c>
      <c r="E24225" s="0" t="inlineStr">
        <is>
          <t xml:space="preserve">Mazda</t>
        </is>
      </c>
      <c r="F24225" s="0" t="s">
        <v>13</v>
      </c>
      <c r="G24225" s="0" t="s">
        <v>49</v>
      </c>
      <c r="H24225" s="5">
        <v>103.434200</v>
      </c>
    </row>
    <row r="24226" spans="1:9">
      <c r="A24226" s="22" t="str">
        <f>HYPERLINK("https://app.vivvix.com/360/KMI/IntelliDrive/ApplUI/Pages/CreativePages/CustomReportCreativeDetail.aspx?App=23&amp;ReportView=4&amp;Qid=1711279&amp;Row=24218&amp;Col=1","No Title Assigned - #15283381326")</f>
        <v/>
      </c>
      <c r="B24226" s="0" t="s">
        <v>32422</v>
      </c>
      <c r="C24226" s="0" t="s">
        <v>32423</v>
      </c>
      <c r="D24226" s="0" t="s">
        <v>32423</v>
      </c>
      <c r="E24226" s="0" t="inlineStr">
        <is>
          <t xml:space="preserve">Mazda</t>
        </is>
      </c>
      <c r="F24226" s="0" t="s">
        <v>13</v>
      </c>
      <c r="G24226" s="0" t="s">
        <v>49</v>
      </c>
      <c r="H24226" s="5">
        <v>42.987100</v>
      </c>
    </row>
    <row r="24227" spans="1:9">
      <c r="A24227" s="22" t="str">
        <f>HYPERLINK("https://app.vivvix.com/360/KMI/IntelliDrive/ApplUI/Pages/CreativePages/CustomReportCreativeDetail.aspx?App=23&amp;ReportView=4&amp;Qid=1711279&amp;Row=24219&amp;Col=1","No Title Assigned - #15283381596")</f>
        <v/>
      </c>
      <c r="B24227" s="0" t="s">
        <v>32424</v>
      </c>
      <c r="C24227" s="0" t="s">
        <v>32425</v>
      </c>
      <c r="D24227" s="0" t="s">
        <v>32425</v>
      </c>
      <c r="E24227" s="0" t="inlineStr">
        <is>
          <t xml:space="preserve">Mazda</t>
        </is>
      </c>
      <c r="F24227" s="0" t="s">
        <v>13</v>
      </c>
      <c r="G24227" s="0" t="s">
        <v>49</v>
      </c>
      <c r="H24227" s="5">
        <v>45994.635800</v>
      </c>
    </row>
    <row r="24228" spans="1:9">
      <c r="A24228" s="22" t="str">
        <f>HYPERLINK("https://app.vivvix.com/360/KMI/IntelliDrive/ApplUI/Pages/CreativePages/CustomReportCreativeDetail.aspx?App=23&amp;ReportView=4&amp;Qid=1711279&amp;Row=24220&amp;Col=1","No Title Assigned - #15283381877")</f>
        <v/>
      </c>
      <c r="B24228" s="0" t="s">
        <v>32426</v>
      </c>
      <c r="C24228" s="0" t="s">
        <v>32427</v>
      </c>
      <c r="D24228" s="0" t="s">
        <v>32427</v>
      </c>
      <c r="E24228" s="0" t="inlineStr">
        <is>
          <t xml:space="preserve">Mazda</t>
        </is>
      </c>
      <c r="F24228" s="0" t="s">
        <v>13</v>
      </c>
      <c r="G24228" s="0" t="s">
        <v>49</v>
      </c>
      <c r="H24228" s="5">
        <v>170.415100</v>
      </c>
    </row>
    <row r="24229" spans="1:9">
      <c r="A24229" s="22" t="str">
        <f>HYPERLINK("https://app.vivvix.com/360/KMI/IntelliDrive/ApplUI/Pages/CreativePages/CustomReportCreativeDetail.aspx?App=23&amp;ReportView=4&amp;Qid=1711279&amp;Row=24221&amp;Col=1","No Title Assigned - #15283382467")</f>
        <v/>
      </c>
      <c r="B24229" s="0" t="s">
        <v>32428</v>
      </c>
      <c r="C24229" s="0" t="s">
        <v>32429</v>
      </c>
      <c r="D24229" s="0" t="s">
        <v>32429</v>
      </c>
      <c r="E24229" s="0" t="inlineStr">
        <is>
          <t xml:space="preserve">Mazda</t>
        </is>
      </c>
      <c r="F24229" s="0" t="s">
        <v>13</v>
      </c>
      <c r="G24229" s="0" t="s">
        <v>49</v>
      </c>
      <c r="H24229" s="5">
        <v>32789.713600</v>
      </c>
    </row>
    <row r="24230" spans="1:9">
      <c r="A24230" s="22" t="str">
        <f>HYPERLINK("https://app.vivvix.com/360/KMI/IntelliDrive/ApplUI/Pages/CreativePages/CustomReportCreativeDetail.aspx?App=23&amp;ReportView=4&amp;Qid=1711279&amp;Row=24222&amp;Col=1","No Title Assigned - #15283382467")</f>
        <v/>
      </c>
      <c r="B24230" s="0" t="s">
        <v>32428</v>
      </c>
      <c r="E24230" s="0" t="inlineStr">
        <is>
          <t xml:space="preserve">Mazda</t>
        </is>
      </c>
      <c r="F24230" s="0" t="s">
        <v>13</v>
      </c>
      <c r="G24230" s="0" t="s">
        <v>49</v>
      </c>
      <c r="H24230" s="5">
        <v>927.995900</v>
      </c>
    </row>
    <row r="24231" spans="1:9">
      <c r="A24231" s="22" t="str">
        <f>HYPERLINK("https://app.vivvix.com/360/KMI/IntelliDrive/ApplUI/Pages/CreativePages/CustomReportCreativeDetail.aspx?App=23&amp;ReportView=4&amp;Qid=1711279&amp;Row=24223&amp;Col=1","No Title Assigned - #15283383145")</f>
        <v/>
      </c>
      <c r="B24231" s="0" t="s">
        <v>32430</v>
      </c>
      <c r="C24231" s="0" t="s">
        <v>32431</v>
      </c>
      <c r="D24231" s="0" t="s">
        <v>32431</v>
      </c>
      <c r="E24231" s="0" t="inlineStr">
        <is>
          <t xml:space="preserve">Mazda</t>
        </is>
      </c>
      <c r="F24231" s="0" t="s">
        <v>13</v>
      </c>
      <c r="G24231" s="0" t="s">
        <v>49</v>
      </c>
      <c r="H24231" s="5">
        <v>170.415100</v>
      </c>
    </row>
    <row r="24232" spans="1:9">
      <c r="A24232" s="22" t="str">
        <f>HYPERLINK("https://app.vivvix.com/360/KMI/IntelliDrive/ApplUI/Pages/CreativePages/CustomReportCreativeDetail.aspx?App=23&amp;ReportView=4&amp;Qid=1711279&amp;Row=24224&amp;Col=1","No Title Assigned - #15283383185")</f>
        <v/>
      </c>
      <c r="B24232" s="0" t="s">
        <v>32432</v>
      </c>
      <c r="C24232" s="0" t="s">
        <v>32433</v>
      </c>
      <c r="D24232" s="0" t="s">
        <v>32433</v>
      </c>
      <c r="E24232" s="0" t="inlineStr">
        <is>
          <t xml:space="preserve">Mazda</t>
        </is>
      </c>
      <c r="F24232" s="0" t="s">
        <v>13</v>
      </c>
      <c r="G24232" s="0" t="s">
        <v>49</v>
      </c>
      <c r="H24232" s="5">
        <v>702.099800</v>
      </c>
    </row>
    <row r="24233" spans="1:9">
      <c r="A24233" s="22" t="str">
        <f>HYPERLINK("https://app.vivvix.com/360/KMI/IntelliDrive/ApplUI/Pages/CreativePages/CustomReportCreativeDetail.aspx?App=23&amp;ReportView=4&amp;Qid=1711279&amp;Row=24225&amp;Col=1","No Title Assigned - #15283384024")</f>
        <v/>
      </c>
      <c r="B24233" s="0" t="s">
        <v>32434</v>
      </c>
      <c r="C24233" s="0" t="s">
        <v>32407</v>
      </c>
      <c r="D24233" s="0" t="s">
        <v>32407</v>
      </c>
      <c r="E24233" s="0" t="inlineStr">
        <is>
          <t xml:space="preserve">Mazda</t>
        </is>
      </c>
      <c r="F24233" s="0" t="s">
        <v>13</v>
      </c>
      <c r="G24233" s="0" t="s">
        <v>49</v>
      </c>
      <c r="H24233" s="5">
        <v>56699.299300</v>
      </c>
    </row>
    <row r="24234" spans="1:9">
      <c r="A24234" s="22" t="str">
        <f>HYPERLINK("https://app.vivvix.com/360/KMI/IntelliDrive/ApplUI/Pages/CreativePages/CustomReportCreativeDetail.aspx?App=23&amp;ReportView=4&amp;Qid=1711279&amp;Row=24226&amp;Col=1","No Title Assigned - #15283384024")</f>
        <v/>
      </c>
      <c r="B24234" s="0" t="s">
        <v>32434</v>
      </c>
      <c r="E24234" s="0" t="inlineStr">
        <is>
          <t xml:space="preserve">Mazda</t>
        </is>
      </c>
      <c r="F24234" s="0" t="s">
        <v>13</v>
      </c>
      <c r="G24234" s="0" t="s">
        <v>49</v>
      </c>
      <c r="H24234" s="5">
        <v>7120.393600</v>
      </c>
    </row>
    <row r="24235" spans="1:9">
      <c r="A24235" s="22" t="str">
        <f>HYPERLINK("https://app.vivvix.com/360/KMI/IntelliDrive/ApplUI/Pages/CreativePages/CustomReportCreativeDetail.aspx?App=23&amp;ReportView=4&amp;Qid=1711279&amp;Row=24227&amp;Col=1","No Title Assigned - #15283384131")</f>
        <v/>
      </c>
      <c r="B24235" s="0" t="s">
        <v>32435</v>
      </c>
      <c r="C24235" s="0" t="s">
        <v>32436</v>
      </c>
      <c r="D24235" s="0" t="s">
        <v>32436</v>
      </c>
      <c r="E24235" s="0" t="inlineStr">
        <is>
          <t xml:space="preserve">Mazda</t>
        </is>
      </c>
      <c r="F24235" s="0" t="s">
        <v>13</v>
      </c>
      <c r="G24235" s="0" t="s">
        <v>49</v>
      </c>
      <c r="H24235" s="5">
        <v>75420.906700</v>
      </c>
    </row>
    <row r="24236" spans="1:9">
      <c r="A24236" s="22" t="str">
        <f>HYPERLINK("https://app.vivvix.com/360/KMI/IntelliDrive/ApplUI/Pages/CreativePages/CustomReportCreativeDetail.aspx?App=23&amp;ReportView=4&amp;Qid=1711279&amp;Row=24228&amp;Col=1","No Title Assigned - #15283384131")</f>
        <v/>
      </c>
      <c r="B24236" s="0" t="s">
        <v>32435</v>
      </c>
      <c r="E24236" s="0" t="inlineStr">
        <is>
          <t xml:space="preserve">Mazda</t>
        </is>
      </c>
      <c r="F24236" s="0" t="s">
        <v>13</v>
      </c>
      <c r="G24236" s="0" t="s">
        <v>49</v>
      </c>
      <c r="H24236" s="5">
        <v>449.979200</v>
      </c>
    </row>
    <row r="24237" spans="1:9">
      <c r="A24237" s="22" t="str">
        <f>HYPERLINK("https://app.vivvix.com/360/KMI/IntelliDrive/ApplUI/Pages/CreativePages/CustomReportCreativeDetail.aspx?App=23&amp;ReportView=4&amp;Qid=1711279&amp;Row=24229&amp;Col=1","No Title Assigned - #15283384261")</f>
        <v/>
      </c>
      <c r="B24237" s="0" t="s">
        <v>32437</v>
      </c>
      <c r="C24237" s="0" t="s">
        <v>32438</v>
      </c>
      <c r="D24237" s="0" t="s">
        <v>32438</v>
      </c>
      <c r="E24237" s="0" t="inlineStr">
        <is>
          <t xml:space="preserve">Mazda</t>
        </is>
      </c>
      <c r="F24237" s="0" t="s">
        <v>13</v>
      </c>
      <c r="G24237" s="0" t="s">
        <v>49</v>
      </c>
      <c r="H24237" s="5">
        <v>640.965200</v>
      </c>
    </row>
    <row r="24238" spans="1:9">
      <c r="A24238" s="22" t="str">
        <f>HYPERLINK("https://app.vivvix.com/360/KMI/IntelliDrive/ApplUI/Pages/CreativePages/CustomReportCreativeDetail.aspx?App=23&amp;ReportView=4&amp;Qid=1711279&amp;Row=24230&amp;Col=1","No Title Assigned - #15283384332")</f>
        <v/>
      </c>
      <c r="B24238" s="0" t="s">
        <v>32439</v>
      </c>
      <c r="C24238" s="0" t="s">
        <v>32440</v>
      </c>
      <c r="D24238" s="0" t="s">
        <v>32440</v>
      </c>
      <c r="E24238" s="0" t="inlineStr">
        <is>
          <t xml:space="preserve">Mazda</t>
        </is>
      </c>
      <c r="F24238" s="0" t="s">
        <v>13</v>
      </c>
      <c r="G24238" s="0" t="s">
        <v>49</v>
      </c>
      <c r="H24238" s="5">
        <v>8.652300</v>
      </c>
    </row>
    <row r="24239" spans="1:9">
      <c r="A24239" s="22" t="str">
        <f>HYPERLINK("https://app.vivvix.com/360/KMI/IntelliDrive/ApplUI/Pages/CreativePages/CustomReportCreativeDetail.aspx?App=23&amp;ReportView=4&amp;Qid=1711279&amp;Row=24231&amp;Col=1","No Title Assigned - #15283384357")</f>
        <v/>
      </c>
      <c r="B24239" s="0" t="s">
        <v>32441</v>
      </c>
      <c r="C24239" s="0" t="s">
        <v>32442</v>
      </c>
      <c r="D24239" s="0" t="s">
        <v>32442</v>
      </c>
      <c r="E24239" s="0" t="inlineStr">
        <is>
          <t xml:space="preserve">Mazda</t>
        </is>
      </c>
      <c r="F24239" s="0" t="s">
        <v>13</v>
      </c>
      <c r="G24239" s="0" t="s">
        <v>49</v>
      </c>
      <c r="H24239" s="5">
        <v>47332.392700</v>
      </c>
    </row>
    <row r="24240" spans="1:9">
      <c r="A24240" s="22" t="str">
        <f>HYPERLINK("https://app.vivvix.com/360/KMI/IntelliDrive/ApplUI/Pages/CreativePages/CustomReportCreativeDetail.aspx?App=23&amp;ReportView=4&amp;Qid=1711279&amp;Row=24232&amp;Col=1","No Title Assigned - #15283384357")</f>
        <v/>
      </c>
      <c r="B24240" s="0" t="s">
        <v>32441</v>
      </c>
      <c r="E24240" s="0" t="inlineStr">
        <is>
          <t xml:space="preserve">Mazda</t>
        </is>
      </c>
      <c r="F24240" s="0" t="s">
        <v>13</v>
      </c>
      <c r="G24240" s="0" t="s">
        <v>49</v>
      </c>
      <c r="H24240" s="5">
        <v>942.662100</v>
      </c>
    </row>
    <row r="24241" spans="1:9">
      <c r="A24241" s="22" t="str">
        <f>HYPERLINK("https://app.vivvix.com/360/KMI/IntelliDrive/ApplUI/Pages/CreativePages/CustomReportCreativeDetail.aspx?App=23&amp;ReportView=4&amp;Qid=1711279&amp;Row=24233&amp;Col=1","No Title Assigned - #15283384431")</f>
        <v/>
      </c>
      <c r="B24241" s="0" t="s">
        <v>32443</v>
      </c>
      <c r="C24241" s="0" t="s">
        <v>32444</v>
      </c>
      <c r="D24241" s="0" t="s">
        <v>18549</v>
      </c>
      <c r="E24241" s="0" t="inlineStr">
        <is>
          <t xml:space="preserve">Mazda</t>
        </is>
      </c>
      <c r="F24241" s="0" t="s">
        <v>13</v>
      </c>
      <c r="G24241" s="0" t="s">
        <v>49</v>
      </c>
      <c r="H24241" s="5">
        <v>137.336100</v>
      </c>
    </row>
    <row r="24242" spans="1:9">
      <c r="A24242" s="22" t="str">
        <f>HYPERLINK("https://app.vivvix.com/360/KMI/IntelliDrive/ApplUI/Pages/CreativePages/CustomReportCreativeDetail.aspx?App=23&amp;ReportView=4&amp;Qid=1711279&amp;Row=24234&amp;Col=1","No Title Assigned - #15283384456")</f>
        <v/>
      </c>
      <c r="B24242" s="0" t="s">
        <v>32445</v>
      </c>
      <c r="C24242" s="0" t="s">
        <v>32446</v>
      </c>
      <c r="D24242" s="0" t="s">
        <v>32446</v>
      </c>
      <c r="E24242" s="0" t="inlineStr">
        <is>
          <t xml:space="preserve">Mazda</t>
        </is>
      </c>
      <c r="F24242" s="0" t="s">
        <v>13</v>
      </c>
      <c r="G24242" s="0" t="s">
        <v>49</v>
      </c>
      <c r="H24242" s="5">
        <v>544.874900</v>
      </c>
    </row>
    <row r="24243" spans="1:9">
      <c r="A24243" s="22" t="str">
        <f>HYPERLINK("https://app.vivvix.com/360/KMI/IntelliDrive/ApplUI/Pages/CreativePages/CustomReportCreativeDetail.aspx?App=23&amp;ReportView=4&amp;Qid=1711279&amp;Row=24235&amp;Col=1","No Title Assigned - #15283384492")</f>
        <v/>
      </c>
      <c r="B24243" s="0" t="s">
        <v>32447</v>
      </c>
      <c r="C24243" s="0" t="s">
        <v>32448</v>
      </c>
      <c r="D24243" s="0" t="s">
        <v>32448</v>
      </c>
      <c r="E24243" s="0" t="inlineStr">
        <is>
          <t xml:space="preserve">Mazda</t>
        </is>
      </c>
      <c r="F24243" s="0" t="s">
        <v>13</v>
      </c>
      <c r="G24243" s="0" t="s">
        <v>49</v>
      </c>
      <c r="H24243" s="5">
        <v>5411.450700</v>
      </c>
    </row>
    <row r="24244" spans="1:9">
      <c r="A24244" s="22" t="str">
        <f>HYPERLINK("https://app.vivvix.com/360/KMI/IntelliDrive/ApplUI/Pages/CreativePages/CustomReportCreativeDetail.aspx?App=23&amp;ReportView=4&amp;Qid=1711279&amp;Row=24236&amp;Col=1","No Title Assigned - #15283384644")</f>
        <v/>
      </c>
      <c r="B24244" s="0" t="s">
        <v>32449</v>
      </c>
      <c r="C24244" s="0" t="s">
        <v>32450</v>
      </c>
      <c r="D24244" s="0" t="s">
        <v>32450</v>
      </c>
      <c r="E24244" s="0" t="inlineStr">
        <is>
          <t xml:space="preserve">Mazda</t>
        </is>
      </c>
      <c r="F24244" s="0" t="s">
        <v>13</v>
      </c>
      <c r="G24244" s="0" t="s">
        <v>49</v>
      </c>
      <c r="H24244" s="5">
        <v>12176.955600</v>
      </c>
    </row>
    <row r="24245" spans="1:9">
      <c r="A24245" s="22" t="str">
        <f>HYPERLINK("https://app.vivvix.com/360/KMI/IntelliDrive/ApplUI/Pages/CreativePages/CustomReportCreativeDetail.aspx?App=23&amp;ReportView=4&amp;Qid=1711279&amp;Row=24237&amp;Col=1","No Title Assigned - #15283384737")</f>
        <v/>
      </c>
      <c r="B24245" s="0" t="s">
        <v>32451</v>
      </c>
      <c r="C24245" s="0" t="s">
        <v>32452</v>
      </c>
      <c r="D24245" s="0" t="s">
        <v>32452</v>
      </c>
      <c r="E24245" s="0" t="inlineStr">
        <is>
          <t xml:space="preserve">Mazda</t>
        </is>
      </c>
      <c r="F24245" s="0" t="s">
        <v>13</v>
      </c>
      <c r="G24245" s="0" t="s">
        <v>49</v>
      </c>
      <c r="H24245" s="5">
        <v>272.449600</v>
      </c>
    </row>
    <row r="24246" spans="1:9">
      <c r="A24246" s="22" t="str">
        <f>HYPERLINK("https://app.vivvix.com/360/KMI/IntelliDrive/ApplUI/Pages/CreativePages/CustomReportCreativeDetail.aspx?App=23&amp;ReportView=4&amp;Qid=1711279&amp;Row=24238&amp;Col=1","No Title Assigned - #15283384876")</f>
        <v/>
      </c>
      <c r="B24246" s="0" t="s">
        <v>32453</v>
      </c>
      <c r="C24246" s="0" t="s">
        <v>32454</v>
      </c>
      <c r="D24246" s="0" t="s">
        <v>32454</v>
      </c>
      <c r="E24246" s="0" t="inlineStr">
        <is>
          <t xml:space="preserve">Mazda</t>
        </is>
      </c>
      <c r="F24246" s="0" t="s">
        <v>13</v>
      </c>
      <c r="G24246" s="0" t="s">
        <v>49</v>
      </c>
      <c r="H24246" s="5">
        <v>3774.752500</v>
      </c>
    </row>
    <row r="24247" spans="1:9">
      <c r="A24247" s="22" t="str">
        <f>HYPERLINK("https://app.vivvix.com/360/KMI/IntelliDrive/ApplUI/Pages/CreativePages/CustomReportCreativeDetail.aspx?App=23&amp;ReportView=4&amp;Qid=1711279&amp;Row=24239&amp;Col=1","No Title Assigned - #15283384985")</f>
        <v/>
      </c>
      <c r="B24247" s="0" t="s">
        <v>32455</v>
      </c>
      <c r="C24247" s="0" t="s">
        <v>32456</v>
      </c>
      <c r="D24247" s="0" t="s">
        <v>4335</v>
      </c>
      <c r="E24247" s="0" t="inlineStr">
        <is>
          <t xml:space="preserve">Mazda</t>
        </is>
      </c>
      <c r="F24247" s="0" t="s">
        <v>13</v>
      </c>
      <c r="G24247" s="0" t="s">
        <v>49</v>
      </c>
      <c r="H24247" s="5">
        <v>1777.749400</v>
      </c>
    </row>
    <row r="24248" spans="1:9">
      <c r="A24248" s="22" t="str">
        <f>HYPERLINK("https://app.vivvix.com/360/KMI/IntelliDrive/ApplUI/Pages/CreativePages/CustomReportCreativeDetail.aspx?App=23&amp;ReportView=4&amp;Qid=1711279&amp;Row=24240&amp;Col=1","No Title Assigned - #15283385197")</f>
        <v/>
      </c>
      <c r="B24248" s="0" t="s">
        <v>32457</v>
      </c>
      <c r="C24248" s="0" t="s">
        <v>32458</v>
      </c>
      <c r="D24248" s="0" t="s">
        <v>32458</v>
      </c>
      <c r="E24248" s="0" t="inlineStr">
        <is>
          <t xml:space="preserve">Mazda</t>
        </is>
      </c>
      <c r="F24248" s="0" t="s">
        <v>13</v>
      </c>
      <c r="G24248" s="0" t="s">
        <v>49</v>
      </c>
      <c r="H24248" s="5">
        <v>406.109000</v>
      </c>
    </row>
    <row r="24249" spans="1:9">
      <c r="A24249" s="22" t="str">
        <f>HYPERLINK("https://app.vivvix.com/360/KMI/IntelliDrive/ApplUI/Pages/CreativePages/CustomReportCreativeDetail.aspx?App=23&amp;ReportView=4&amp;Qid=1711279&amp;Row=24241&amp;Col=1","No Title Assigned - #15283385199")</f>
        <v/>
      </c>
      <c r="B24249" s="0" t="s">
        <v>32459</v>
      </c>
      <c r="C24249" s="0" t="s">
        <v>32460</v>
      </c>
      <c r="D24249" s="0" t="s">
        <v>32460</v>
      </c>
      <c r="E24249" s="0" t="inlineStr">
        <is>
          <t xml:space="preserve">Mazda</t>
        </is>
      </c>
      <c r="F24249" s="0" t="s">
        <v>13</v>
      </c>
      <c r="G24249" s="0" t="s">
        <v>49</v>
      </c>
      <c r="H24249" s="5">
        <v>198.686400</v>
      </c>
    </row>
    <row r="24250" spans="1:9">
      <c r="A24250" s="22" t="str">
        <f>HYPERLINK("https://app.vivvix.com/360/KMI/IntelliDrive/ApplUI/Pages/CreativePages/CustomReportCreativeDetail.aspx?App=23&amp;ReportView=4&amp;Qid=1711279&amp;Row=24242&amp;Col=1","No Title Assigned - #15283385353")</f>
        <v/>
      </c>
      <c r="B24250" s="0" t="s">
        <v>32461</v>
      </c>
      <c r="C24250" s="0" t="s">
        <v>32462</v>
      </c>
      <c r="D24250" s="0" t="s">
        <v>32462</v>
      </c>
      <c r="E24250" s="0" t="inlineStr">
        <is>
          <t xml:space="preserve">Mazda</t>
        </is>
      </c>
      <c r="F24250" s="0" t="s">
        <v>13</v>
      </c>
      <c r="G24250" s="0" t="s">
        <v>49</v>
      </c>
      <c r="H24250" s="5">
        <v>1379.157100</v>
      </c>
    </row>
    <row r="24251" spans="1:9">
      <c r="A24251" s="22" t="str">
        <f>HYPERLINK("https://app.vivvix.com/360/KMI/IntelliDrive/ApplUI/Pages/CreativePages/CustomReportCreativeDetail.aspx?App=23&amp;ReportView=4&amp;Qid=1711279&amp;Row=24243&amp;Col=1","No Title Assigned - #15283385353")</f>
        <v/>
      </c>
      <c r="B24251" s="0" t="s">
        <v>32461</v>
      </c>
      <c r="E24251" s="0" t="inlineStr">
        <is>
          <t xml:space="preserve">Mazda</t>
        </is>
      </c>
      <c r="F24251" s="0" t="s">
        <v>13</v>
      </c>
      <c r="G24251" s="0" t="s">
        <v>49</v>
      </c>
      <c r="H24251" s="5">
        <v>7120.393600</v>
      </c>
    </row>
    <row r="24252" spans="1:9">
      <c r="A24252" s="22" t="str">
        <f>HYPERLINK("https://app.vivvix.com/360/KMI/IntelliDrive/ApplUI/Pages/CreativePages/CustomReportCreativeDetail.aspx?App=23&amp;ReportView=4&amp;Qid=1711279&amp;Row=24244&amp;Col=1","No Title Assigned - #15283385801")</f>
        <v/>
      </c>
      <c r="B24252" s="0" t="s">
        <v>32463</v>
      </c>
      <c r="C24252" s="0" t="s">
        <v>32464</v>
      </c>
      <c r="D24252" s="0" t="s">
        <v>32464</v>
      </c>
      <c r="E24252" s="0" t="inlineStr">
        <is>
          <t xml:space="preserve">Mazda</t>
        </is>
      </c>
      <c r="F24252" s="0" t="s">
        <v>13</v>
      </c>
      <c r="G24252" s="0" t="s">
        <v>49</v>
      </c>
      <c r="H24252" s="5">
        <v>46.215900</v>
      </c>
    </row>
    <row r="24253" spans="1:9">
      <c r="A24253" s="22" t="str">
        <f>HYPERLINK("https://app.vivvix.com/360/KMI/IntelliDrive/ApplUI/Pages/CreativePages/CustomReportCreativeDetail.aspx?App=23&amp;ReportView=4&amp;Qid=1711279&amp;Row=24245&amp;Col=1","No Title Assigned - #15283386062")</f>
        <v/>
      </c>
      <c r="B24253" s="0" t="s">
        <v>32465</v>
      </c>
      <c r="C24253" s="0" t="s">
        <v>32466</v>
      </c>
      <c r="D24253" s="0" t="s">
        <v>32466</v>
      </c>
      <c r="E24253" s="0" t="inlineStr">
        <is>
          <t xml:space="preserve">Mazda</t>
        </is>
      </c>
      <c r="F24253" s="0" t="s">
        <v>13</v>
      </c>
      <c r="G24253" s="0" t="s">
        <v>49</v>
      </c>
      <c r="H24253" s="5">
        <v>837.150800</v>
      </c>
    </row>
    <row r="24254" spans="1:9">
      <c r="A24254" s="22" t="str">
        <f>HYPERLINK("https://app.vivvix.com/360/KMI/IntelliDrive/ApplUI/Pages/CreativePages/CustomReportCreativeDetail.aspx?App=23&amp;ReportView=4&amp;Qid=1711279&amp;Row=24246&amp;Col=1","No Title Assigned - #15283386334")</f>
        <v/>
      </c>
      <c r="B24254" s="0" t="s">
        <v>32467</v>
      </c>
      <c r="C24254" s="0" t="s">
        <v>32468</v>
      </c>
      <c r="D24254" s="0" t="s">
        <v>32468</v>
      </c>
      <c r="E24254" s="0" t="inlineStr">
        <is>
          <t xml:space="preserve">Mazda</t>
        </is>
      </c>
      <c r="F24254" s="0" t="s">
        <v>13</v>
      </c>
      <c r="G24254" s="0" t="s">
        <v>49</v>
      </c>
      <c r="H24254" s="5">
        <v>5438.399800</v>
      </c>
    </row>
    <row r="24255" spans="1:9">
      <c r="A24255" s="22" t="str">
        <f>HYPERLINK("https://app.vivvix.com/360/KMI/IntelliDrive/ApplUI/Pages/CreativePages/CustomReportCreativeDetail.aspx?App=23&amp;ReportView=4&amp;Qid=1711279&amp;Row=24247&amp;Col=1","No Title Assigned - #15283386385")</f>
        <v/>
      </c>
      <c r="B24255" s="0" t="s">
        <v>32469</v>
      </c>
      <c r="C24255" s="0" t="s">
        <v>32470</v>
      </c>
      <c r="D24255" s="0" t="s">
        <v>32470</v>
      </c>
      <c r="E24255" s="0" t="inlineStr">
        <is>
          <t xml:space="preserve">Mazda</t>
        </is>
      </c>
      <c r="F24255" s="0" t="s">
        <v>13</v>
      </c>
      <c r="G24255" s="0" t="s">
        <v>49</v>
      </c>
      <c r="H24255" s="5">
        <v>15.862800</v>
      </c>
    </row>
    <row r="24256" spans="1:9">
      <c r="A24256" s="22" t="str">
        <f>HYPERLINK("https://app.vivvix.com/360/KMI/IntelliDrive/ApplUI/Pages/CreativePages/CustomReportCreativeDetail.aspx?App=23&amp;ReportView=4&amp;Qid=1711279&amp;Row=24248&amp;Col=1","No Title Assigned - #15283386818")</f>
        <v/>
      </c>
      <c r="B24256" s="0" t="s">
        <v>32471</v>
      </c>
      <c r="C24256" s="0" t="s">
        <v>32472</v>
      </c>
      <c r="D24256" s="0" t="s">
        <v>32472</v>
      </c>
      <c r="E24256" s="0" t="inlineStr">
        <is>
          <t xml:space="preserve">Mazda</t>
        </is>
      </c>
      <c r="F24256" s="0" t="s">
        <v>13</v>
      </c>
      <c r="G24256" s="0" t="s">
        <v>49</v>
      </c>
      <c r="H24256" s="5">
        <v>172.658500</v>
      </c>
    </row>
    <row r="24257" spans="1:9">
      <c r="A24257" s="22" t="str">
        <f>HYPERLINK("https://app.vivvix.com/360/KMI/IntelliDrive/ApplUI/Pages/CreativePages/CustomReportCreativeDetail.aspx?App=23&amp;ReportView=4&amp;Qid=1711279&amp;Row=24249&amp;Col=1","No Title Assigned - #15283386833")</f>
        <v/>
      </c>
      <c r="B24257" s="0" t="s">
        <v>32473</v>
      </c>
      <c r="C24257" s="0" t="s">
        <v>32474</v>
      </c>
      <c r="D24257" s="0" t="s">
        <v>32474</v>
      </c>
      <c r="E24257" s="0" t="inlineStr">
        <is>
          <t xml:space="preserve">Mazda</t>
        </is>
      </c>
      <c r="F24257" s="0" t="s">
        <v>13</v>
      </c>
      <c r="G24257" s="0" t="s">
        <v>49</v>
      </c>
      <c r="H24257" s="5">
        <v>1215.401300</v>
      </c>
    </row>
    <row r="24258" spans="1:9">
      <c r="A24258" s="22" t="str">
        <f>HYPERLINK("https://app.vivvix.com/360/KMI/IntelliDrive/ApplUI/Pages/CreativePages/CustomReportCreativeDetail.aspx?App=23&amp;ReportView=4&amp;Qid=1711279&amp;Row=24250&amp;Col=1","No Title Assigned - #15283387343")</f>
        <v/>
      </c>
      <c r="B24258" s="0" t="s">
        <v>32475</v>
      </c>
      <c r="C24258" s="0" t="s">
        <v>32476</v>
      </c>
      <c r="D24258" s="0" t="s">
        <v>18549</v>
      </c>
      <c r="E24258" s="0" t="inlineStr">
        <is>
          <t xml:space="preserve">Mazda</t>
        </is>
      </c>
      <c r="F24258" s="0" t="s">
        <v>13</v>
      </c>
      <c r="G24258" s="0" t="s">
        <v>49</v>
      </c>
      <c r="H24258" s="5">
        <v>170.415100</v>
      </c>
    </row>
    <row r="24259" spans="1:9">
      <c r="A24259" s="22" t="str">
        <f>HYPERLINK("https://app.vivvix.com/360/KMI/IntelliDrive/ApplUI/Pages/CreativePages/CustomReportCreativeDetail.aspx?App=23&amp;ReportView=4&amp;Qid=1711279&amp;Row=24251&amp;Col=1","No Title Assigned - #15283387456")</f>
        <v/>
      </c>
      <c r="B24259" s="0" t="s">
        <v>32477</v>
      </c>
      <c r="C24259" s="0" t="s">
        <v>32478</v>
      </c>
      <c r="D24259" s="0" t="s">
        <v>18549</v>
      </c>
      <c r="E24259" s="0" t="inlineStr">
        <is>
          <t xml:space="preserve">Mazda</t>
        </is>
      </c>
      <c r="F24259" s="0" t="s">
        <v>13</v>
      </c>
      <c r="G24259" s="0" t="s">
        <v>49</v>
      </c>
      <c r="H24259" s="5">
        <v>268.196000</v>
      </c>
    </row>
    <row r="24260" spans="1:9">
      <c r="A24260" s="22" t="str">
        <f>HYPERLINK("https://app.vivvix.com/360/KMI/IntelliDrive/ApplUI/Pages/CreativePages/CustomReportCreativeDetail.aspx?App=23&amp;ReportView=4&amp;Qid=1711279&amp;Row=24252&amp;Col=1","No Title Assigned - #15283387814")</f>
        <v/>
      </c>
      <c r="B24260" s="0" t="s">
        <v>32479</v>
      </c>
      <c r="C24260" s="0" t="s">
        <v>32480</v>
      </c>
      <c r="D24260" s="0" t="s">
        <v>32480</v>
      </c>
      <c r="E24260" s="0" t="inlineStr">
        <is>
          <t xml:space="preserve">Mazda</t>
        </is>
      </c>
      <c r="F24260" s="0" t="s">
        <v>13</v>
      </c>
      <c r="G24260" s="0" t="s">
        <v>49</v>
      </c>
      <c r="H24260" s="5">
        <v>5981.435400</v>
      </c>
    </row>
    <row r="24261" spans="1:9">
      <c r="A24261" s="22" t="str">
        <f>HYPERLINK("https://app.vivvix.com/360/KMI/IntelliDrive/ApplUI/Pages/CreativePages/CustomReportCreativeDetail.aspx?App=23&amp;ReportView=4&amp;Qid=1711279&amp;Row=24253&amp;Col=1","No Title Assigned - #15283387853")</f>
        <v/>
      </c>
      <c r="B24261" s="0" t="s">
        <v>32481</v>
      </c>
      <c r="C24261" s="0" t="s">
        <v>32482</v>
      </c>
      <c r="D24261" s="0" t="s">
        <v>32407</v>
      </c>
      <c r="E24261" s="0" t="inlineStr">
        <is>
          <t xml:space="preserve">Mazda</t>
        </is>
      </c>
      <c r="F24261" s="0" t="s">
        <v>13</v>
      </c>
      <c r="G24261" s="0" t="s">
        <v>49</v>
      </c>
      <c r="H24261" s="5">
        <v>2645.059100</v>
      </c>
    </row>
    <row r="24262" spans="1:9">
      <c r="A24262" s="22" t="str">
        <f>HYPERLINK("https://app.vivvix.com/360/KMI/IntelliDrive/ApplUI/Pages/CreativePages/CustomReportCreativeDetail.aspx?App=23&amp;ReportView=4&amp;Qid=1711279&amp;Row=24254&amp;Col=1","No Title Assigned - #15283388050")</f>
        <v/>
      </c>
      <c r="B24262" s="0" t="s">
        <v>32483</v>
      </c>
      <c r="C24262" s="0" t="s">
        <v>32484</v>
      </c>
      <c r="D24262" s="0" t="s">
        <v>32484</v>
      </c>
      <c r="E24262" s="0" t="inlineStr">
        <is>
          <t xml:space="preserve">Mazda</t>
        </is>
      </c>
      <c r="F24262" s="0" t="s">
        <v>13</v>
      </c>
      <c r="G24262" s="0" t="s">
        <v>49</v>
      </c>
      <c r="H24262" s="5">
        <v>91284.128100</v>
      </c>
    </row>
    <row r="24263" spans="1:9">
      <c r="A24263" s="22" t="str">
        <f>HYPERLINK("https://app.vivvix.com/360/KMI/IntelliDrive/ApplUI/Pages/CreativePages/CustomReportCreativeDetail.aspx?App=23&amp;ReportView=4&amp;Qid=1711279&amp;Row=24255&amp;Col=1","No Title Assigned - #15283388522")</f>
        <v/>
      </c>
      <c r="B24263" s="0" t="s">
        <v>32485</v>
      </c>
      <c r="C24263" s="0" t="s">
        <v>32486</v>
      </c>
      <c r="D24263" s="0" t="s">
        <v>32486</v>
      </c>
      <c r="E24263" s="0" t="inlineStr">
        <is>
          <t xml:space="preserve">Mazda</t>
        </is>
      </c>
      <c r="F24263" s="0" t="s">
        <v>13</v>
      </c>
      <c r="G24263" s="0" t="s">
        <v>49</v>
      </c>
      <c r="H24263" s="5">
        <v>116292.223300</v>
      </c>
    </row>
    <row r="24264" spans="1:9">
      <c r="A24264" s="22" t="str">
        <f>HYPERLINK("https://app.vivvix.com/360/KMI/IntelliDrive/ApplUI/Pages/CreativePages/CustomReportCreativeDetail.aspx?App=23&amp;ReportView=4&amp;Qid=1711279&amp;Row=24256&amp;Col=1","No Title Assigned - #15283389366")</f>
        <v/>
      </c>
      <c r="B24264" s="0" t="s">
        <v>32487</v>
      </c>
      <c r="C24264" s="0" t="s">
        <v>32488</v>
      </c>
      <c r="D24264" s="0" t="s">
        <v>18549</v>
      </c>
      <c r="E24264" s="0" t="inlineStr">
        <is>
          <t xml:space="preserve">Mazda</t>
        </is>
      </c>
      <c r="F24264" s="0" t="s">
        <v>13</v>
      </c>
      <c r="G24264" s="0" t="s">
        <v>49</v>
      </c>
      <c r="H24264" s="5">
        <v>585.481500</v>
      </c>
    </row>
    <row r="24265" spans="1:9">
      <c r="A24265" s="22" t="str">
        <f>HYPERLINK("https://app.vivvix.com/360/KMI/IntelliDrive/ApplUI/Pages/CreativePages/CustomReportCreativeDetail.aspx?App=23&amp;ReportView=4&amp;Qid=1711279&amp;Row=24257&amp;Col=1","No Title Assigned - #15283389455")</f>
        <v/>
      </c>
      <c r="B24265" s="0" t="s">
        <v>32489</v>
      </c>
      <c r="C24265" s="0" t="s">
        <v>32490</v>
      </c>
      <c r="D24265" s="0" t="s">
        <v>32490</v>
      </c>
      <c r="E24265" s="0" t="inlineStr">
        <is>
          <t xml:space="preserve">Mazda</t>
        </is>
      </c>
      <c r="F24265" s="0" t="s">
        <v>13</v>
      </c>
      <c r="G24265" s="0" t="s">
        <v>49</v>
      </c>
      <c r="H24265" s="5">
        <v>269.708000</v>
      </c>
    </row>
    <row r="24266" spans="1:9">
      <c r="A24266" s="22" t="str">
        <f>HYPERLINK("https://app.vivvix.com/360/KMI/IntelliDrive/ApplUI/Pages/CreativePages/CustomReportCreativeDetail.aspx?App=23&amp;ReportView=4&amp;Qid=1711279&amp;Row=24258&amp;Col=1","No Title Assigned - #15283389845")</f>
        <v/>
      </c>
      <c r="B24266" s="0" t="s">
        <v>32491</v>
      </c>
      <c r="C24266" s="0" t="s">
        <v>32492</v>
      </c>
      <c r="D24266" s="0" t="s">
        <v>32492</v>
      </c>
      <c r="E24266" s="0" t="inlineStr">
        <is>
          <t xml:space="preserve">Mazda</t>
        </is>
      </c>
      <c r="F24266" s="0" t="s">
        <v>13</v>
      </c>
      <c r="G24266" s="0" t="s">
        <v>49</v>
      </c>
      <c r="H24266" s="5">
        <v>140.475600</v>
      </c>
    </row>
    <row r="24267" spans="1:9">
      <c r="A24267" s="22" t="str">
        <f>HYPERLINK("https://app.vivvix.com/360/KMI/IntelliDrive/ApplUI/Pages/CreativePages/CustomReportCreativeDetail.aspx?App=23&amp;ReportView=4&amp;Qid=1711279&amp;Row=24259&amp;Col=1","No Title Assigned - #15283390554")</f>
        <v/>
      </c>
      <c r="B24267" s="0" t="s">
        <v>32493</v>
      </c>
      <c r="C24267" s="0" t="s">
        <v>32494</v>
      </c>
      <c r="D24267" s="0" t="s">
        <v>4335</v>
      </c>
      <c r="E24267" s="0" t="inlineStr">
        <is>
          <t xml:space="preserve">Mazda</t>
        </is>
      </c>
      <c r="F24267" s="0" t="s">
        <v>13</v>
      </c>
      <c r="G24267" s="0" t="s">
        <v>49</v>
      </c>
      <c r="H24267" s="5">
        <v>5411.450700</v>
      </c>
    </row>
    <row r="24268" spans="1:9">
      <c r="A24268" s="22" t="str">
        <f>HYPERLINK("https://app.vivvix.com/360/KMI/IntelliDrive/ApplUI/Pages/CreativePages/CustomReportCreativeDetail.aspx?App=23&amp;ReportView=4&amp;Qid=1711279&amp;Row=24260&amp;Col=1","No Title Assigned - #15283390627")</f>
        <v/>
      </c>
      <c r="B24268" s="0" t="s">
        <v>32495</v>
      </c>
      <c r="C24268" s="0" t="s">
        <v>32496</v>
      </c>
      <c r="D24268" s="0" t="s">
        <v>32462</v>
      </c>
      <c r="E24268" s="0" t="inlineStr">
        <is>
          <t xml:space="preserve">Mazda</t>
        </is>
      </c>
      <c r="F24268" s="0" t="s">
        <v>13</v>
      </c>
      <c r="G24268" s="0" t="s">
        <v>49</v>
      </c>
      <c r="H24268" s="5">
        <v>84.132100</v>
      </c>
    </row>
    <row r="24269" spans="1:9">
      <c r="A24269" s="22" t="str">
        <f>HYPERLINK("https://app.vivvix.com/360/KMI/IntelliDrive/ApplUI/Pages/CreativePages/CustomReportCreativeDetail.aspx?App=23&amp;ReportView=4&amp;Qid=1711279&amp;Row=24261&amp;Col=1","No Title Assigned - #15283390751")</f>
        <v/>
      </c>
      <c r="B24269" s="0" t="s">
        <v>32497</v>
      </c>
      <c r="C24269" s="0" t="s">
        <v>32498</v>
      </c>
      <c r="D24269" s="0" t="s">
        <v>32498</v>
      </c>
      <c r="E24269" s="0" t="inlineStr">
        <is>
          <t xml:space="preserve">Mazda</t>
        </is>
      </c>
      <c r="F24269" s="0" t="s">
        <v>13</v>
      </c>
      <c r="G24269" s="0" t="s">
        <v>49</v>
      </c>
      <c r="H24269" s="5">
        <v>5411.450700</v>
      </c>
    </row>
    <row r="24270" spans="1:9">
      <c r="A24270" s="22" t="str">
        <f>HYPERLINK("https://app.vivvix.com/360/KMI/IntelliDrive/ApplUI/Pages/CreativePages/CustomReportCreativeDetail.aspx?App=23&amp;ReportView=4&amp;Qid=1711279&amp;Row=24262&amp;Col=1","No Title Assigned - #15283390853")</f>
        <v/>
      </c>
      <c r="B24270" s="0" t="s">
        <v>32499</v>
      </c>
      <c r="C24270" s="0" t="s">
        <v>32500</v>
      </c>
      <c r="D24270" s="0" t="s">
        <v>32407</v>
      </c>
      <c r="E24270" s="0" t="inlineStr">
        <is>
          <t xml:space="preserve">Mazda</t>
        </is>
      </c>
      <c r="F24270" s="0" t="s">
        <v>13</v>
      </c>
      <c r="G24270" s="0" t="s">
        <v>49</v>
      </c>
      <c r="H24270" s="5">
        <v>2564.214300</v>
      </c>
    </row>
    <row r="24271" spans="1:9">
      <c r="A24271" s="22" t="str">
        <f>HYPERLINK("https://app.vivvix.com/360/KMI/IntelliDrive/ApplUI/Pages/CreativePages/CustomReportCreativeDetail.aspx?App=23&amp;ReportView=4&amp;Qid=1711279&amp;Row=24263&amp;Col=1","No Title Assigned - #15283390911")</f>
        <v/>
      </c>
      <c r="B24271" s="0" t="s">
        <v>32501</v>
      </c>
      <c r="C24271" s="0" t="s">
        <v>32502</v>
      </c>
      <c r="D24271" s="0" t="s">
        <v>18549</v>
      </c>
      <c r="E24271" s="0" t="inlineStr">
        <is>
          <t xml:space="preserve">Mazda</t>
        </is>
      </c>
      <c r="F24271" s="0" t="s">
        <v>13</v>
      </c>
      <c r="G24271" s="0" t="s">
        <v>49</v>
      </c>
      <c r="H24271" s="5">
        <v>48703.056300</v>
      </c>
    </row>
    <row r="24272" spans="1:9">
      <c r="A24272" s="22" t="str">
        <f>HYPERLINK("https://app.vivvix.com/360/KMI/IntelliDrive/ApplUI/Pages/CreativePages/CustomReportCreativeDetail.aspx?App=23&amp;ReportView=4&amp;Qid=1711279&amp;Row=24264&amp;Col=1","No Title Assigned - #15283391264")</f>
        <v/>
      </c>
      <c r="B24272" s="0" t="s">
        <v>32503</v>
      </c>
      <c r="C24272" s="0" t="s">
        <v>32504</v>
      </c>
      <c r="D24272" s="0" t="s">
        <v>21657</v>
      </c>
      <c r="E24272" s="0" t="inlineStr">
        <is>
          <t xml:space="preserve">Mazda</t>
        </is>
      </c>
      <c r="F24272" s="0" t="s">
        <v>13</v>
      </c>
      <c r="G24272" s="0" t="s">
        <v>49</v>
      </c>
      <c r="H24272" s="5">
        <v>417.848100</v>
      </c>
    </row>
    <row r="24273" spans="1:9">
      <c r="A24273" s="22" t="str">
        <f>HYPERLINK("https://app.vivvix.com/360/KMI/IntelliDrive/ApplUI/Pages/CreativePages/CustomReportCreativeDetail.aspx?App=23&amp;ReportView=4&amp;Qid=1711279&amp;Row=24265&amp;Col=1","No Title Assigned - #15283391522")</f>
        <v/>
      </c>
      <c r="B24273" s="0" t="s">
        <v>32505</v>
      </c>
      <c r="C24273" s="0" t="s">
        <v>32506</v>
      </c>
      <c r="D24273" s="0" t="s">
        <v>32506</v>
      </c>
      <c r="E24273" s="0" t="inlineStr">
        <is>
          <t xml:space="preserve">Mazda</t>
        </is>
      </c>
      <c r="F24273" s="0" t="s">
        <v>13</v>
      </c>
      <c r="G24273" s="0" t="s">
        <v>49</v>
      </c>
      <c r="H24273" s="5">
        <v>3597.855700</v>
      </c>
    </row>
    <row r="24274" spans="1:9">
      <c r="A24274" s="22" t="str">
        <f>HYPERLINK("https://app.vivvix.com/360/KMI/IntelliDrive/ApplUI/Pages/CreativePages/CustomReportCreativeDetail.aspx?App=23&amp;ReportView=4&amp;Qid=1711279&amp;Row=24266&amp;Col=1","No Title Assigned - #15283391998")</f>
        <v/>
      </c>
      <c r="B24274" s="0" t="s">
        <v>32507</v>
      </c>
      <c r="C24274" s="0" t="s">
        <v>32508</v>
      </c>
      <c r="D24274" s="0" t="s">
        <v>32508</v>
      </c>
      <c r="E24274" s="0" t="inlineStr">
        <is>
          <t xml:space="preserve">Mazda</t>
        </is>
      </c>
      <c r="F24274" s="0" t="s">
        <v>13</v>
      </c>
      <c r="G24274" s="0" t="s">
        <v>49</v>
      </c>
      <c r="H24274" s="5">
        <v>39279.933600</v>
      </c>
    </row>
    <row r="24275" spans="1:9">
      <c r="A24275" s="22" t="str">
        <f>HYPERLINK("https://app.vivvix.com/360/KMI/IntelliDrive/ApplUI/Pages/CreativePages/CustomReportCreativeDetail.aspx?App=23&amp;ReportView=4&amp;Qid=1711279&amp;Row=24267&amp;Col=1","No Title Assigned - #15283392666")</f>
        <v/>
      </c>
      <c r="B24275" s="0" t="s">
        <v>32509</v>
      </c>
      <c r="C24275" s="0" t="s">
        <v>32510</v>
      </c>
      <c r="D24275" s="0" t="s">
        <v>32510</v>
      </c>
      <c r="E24275" s="0" t="inlineStr">
        <is>
          <t xml:space="preserve">Mazda</t>
        </is>
      </c>
      <c r="F24275" s="0" t="s">
        <v>13</v>
      </c>
      <c r="G24275" s="0" t="s">
        <v>49</v>
      </c>
      <c r="H24275" s="5">
        <v>390.112000</v>
      </c>
    </row>
    <row r="24276" spans="1:9">
      <c r="A24276" s="22" t="str">
        <f>HYPERLINK("https://app.vivvix.com/360/KMI/IntelliDrive/ApplUI/Pages/CreativePages/CustomReportCreativeDetail.aspx?App=23&amp;ReportView=4&amp;Qid=1711279&amp;Row=24268&amp;Col=1","No Title Assigned - #15283392692")</f>
        <v/>
      </c>
      <c r="B24276" s="0" t="s">
        <v>32511</v>
      </c>
      <c r="C24276" s="0" t="s">
        <v>32512</v>
      </c>
      <c r="D24276" s="0" t="s">
        <v>32512</v>
      </c>
      <c r="E24276" s="0" t="inlineStr">
        <is>
          <t xml:space="preserve">Mazda</t>
        </is>
      </c>
      <c r="F24276" s="0" t="s">
        <v>13</v>
      </c>
      <c r="G24276" s="0" t="s">
        <v>49</v>
      </c>
      <c r="H24276" s="5">
        <v>161.959100</v>
      </c>
    </row>
    <row r="24277" spans="1:9">
      <c r="A24277" s="22" t="str">
        <f>HYPERLINK("https://app.vivvix.com/360/KMI/IntelliDrive/ApplUI/Pages/CreativePages/CustomReportCreativeDetail.aspx?App=23&amp;ReportView=4&amp;Qid=1711279&amp;Row=24269&amp;Col=1","No Title Assigned - #15283392770")</f>
        <v/>
      </c>
      <c r="B24277" s="0" t="s">
        <v>32513</v>
      </c>
      <c r="C24277" s="0" t="s">
        <v>32514</v>
      </c>
      <c r="D24277" s="0" t="s">
        <v>32514</v>
      </c>
      <c r="E24277" s="0" t="inlineStr">
        <is>
          <t xml:space="preserve">Mazda</t>
        </is>
      </c>
      <c r="F24277" s="0" t="s">
        <v>13</v>
      </c>
      <c r="G24277" s="0" t="s">
        <v>49</v>
      </c>
      <c r="H24277" s="5">
        <v>498.924700</v>
      </c>
    </row>
    <row r="24278" spans="1:9">
      <c r="A24278" s="22" t="str">
        <f>HYPERLINK("https://app.vivvix.com/360/KMI/IntelliDrive/ApplUI/Pages/CreativePages/CustomReportCreativeDetail.aspx?App=23&amp;ReportView=4&amp;Qid=1711279&amp;Row=24270&amp;Col=1","No Title Assigned - #15283393061")</f>
        <v/>
      </c>
      <c r="B24278" s="0" t="s">
        <v>32515</v>
      </c>
      <c r="C24278" s="0" t="s">
        <v>32516</v>
      </c>
      <c r="D24278" s="0" t="s">
        <v>10311</v>
      </c>
      <c r="E24278" s="0" t="inlineStr">
        <is>
          <t xml:space="preserve">Mazda</t>
        </is>
      </c>
      <c r="F24278" s="0" t="s">
        <v>13</v>
      </c>
      <c r="G24278" s="0" t="s">
        <v>49</v>
      </c>
      <c r="H24278" s="5">
        <v>5411.450700</v>
      </c>
    </row>
    <row r="24279" spans="1:9">
      <c r="A24279" s="22" t="str">
        <f>HYPERLINK("https://app.vivvix.com/360/KMI/IntelliDrive/ApplUI/Pages/CreativePages/CustomReportCreativeDetail.aspx?App=23&amp;ReportView=4&amp;Qid=1711279&amp;Row=24271&amp;Col=1","No Title Assigned - #15283393108")</f>
        <v/>
      </c>
      <c r="B24279" s="0" t="s">
        <v>32517</v>
      </c>
      <c r="C24279" s="0" t="s">
        <v>32518</v>
      </c>
      <c r="D24279" s="0" t="s">
        <v>13101</v>
      </c>
      <c r="E24279" s="0" t="inlineStr">
        <is>
          <t xml:space="preserve">Mazda</t>
        </is>
      </c>
      <c r="F24279" s="0" t="s">
        <v>13</v>
      </c>
      <c r="G24279" s="0" t="s">
        <v>49</v>
      </c>
      <c r="H24279" s="5">
        <v>5411.450700</v>
      </c>
    </row>
    <row r="24280" spans="1:9">
      <c r="A24280" s="22" t="str">
        <f>HYPERLINK("https://app.vivvix.com/360/KMI/IntelliDrive/ApplUI/Pages/CreativePages/CustomReportCreativeDetail.aspx?App=23&amp;ReportView=4&amp;Qid=1711279&amp;Row=24272&amp;Col=1","No Title Assigned - #15283393264")</f>
        <v/>
      </c>
      <c r="B24280" s="0" t="s">
        <v>32519</v>
      </c>
      <c r="C24280" s="0" t="s">
        <v>32520</v>
      </c>
      <c r="D24280" s="0" t="s">
        <v>32520</v>
      </c>
      <c r="E24280" s="0" t="inlineStr">
        <is>
          <t xml:space="preserve">Mazda</t>
        </is>
      </c>
      <c r="F24280" s="0" t="s">
        <v>13</v>
      </c>
      <c r="G24280" s="0" t="s">
        <v>49</v>
      </c>
      <c r="H24280" s="5">
        <v>2241.933600</v>
      </c>
    </row>
    <row r="24281" spans="1:9">
      <c r="A24281" s="22" t="str">
        <f>HYPERLINK("https://app.vivvix.com/360/KMI/IntelliDrive/ApplUI/Pages/CreativePages/CustomReportCreativeDetail.aspx?App=23&amp;ReportView=4&amp;Qid=1711279&amp;Row=24273&amp;Col=1","No Title Assigned - #15283393357")</f>
        <v/>
      </c>
      <c r="B24281" s="0" t="s">
        <v>32521</v>
      </c>
      <c r="C24281" s="0" t="s">
        <v>32522</v>
      </c>
      <c r="D24281" s="0" t="s">
        <v>13101</v>
      </c>
      <c r="E24281" s="0" t="inlineStr">
        <is>
          <t xml:space="preserve">Mazda</t>
        </is>
      </c>
      <c r="F24281" s="0" t="s">
        <v>13</v>
      </c>
      <c r="G24281" s="0" t="s">
        <v>49</v>
      </c>
      <c r="H24281" s="5">
        <v>209.481800</v>
      </c>
    </row>
    <row r="24282" spans="1:9">
      <c r="A24282" s="22" t="str">
        <f>HYPERLINK("https://app.vivvix.com/360/KMI/IntelliDrive/ApplUI/Pages/CreativePages/CustomReportCreativeDetail.aspx?App=23&amp;ReportView=4&amp;Qid=1711279&amp;Row=24274&amp;Col=1","No Title Assigned - #15283394006")</f>
        <v/>
      </c>
      <c r="B24282" s="0" t="s">
        <v>32523</v>
      </c>
      <c r="C24282" s="0" t="s">
        <v>32524</v>
      </c>
      <c r="D24282" s="0" t="s">
        <v>32524</v>
      </c>
      <c r="E24282" s="0" t="inlineStr">
        <is>
          <t xml:space="preserve">Mazda</t>
        </is>
      </c>
      <c r="F24282" s="0" t="s">
        <v>13</v>
      </c>
      <c r="G24282" s="0" t="s">
        <v>49</v>
      </c>
      <c r="H24282" s="5">
        <v>996.905900</v>
      </c>
    </row>
    <row r="24283" spans="1:9">
      <c r="A24283" s="22" t="str">
        <f>HYPERLINK("https://app.vivvix.com/360/KMI/IntelliDrive/ApplUI/Pages/CreativePages/CustomReportCreativeDetail.aspx?App=23&amp;ReportView=4&amp;Qid=1711279&amp;Row=24275&amp;Col=1","No Title Assigned - #15283394120")</f>
        <v/>
      </c>
      <c r="B24283" s="0" t="s">
        <v>32525</v>
      </c>
      <c r="C24283" s="0" t="s">
        <v>32526</v>
      </c>
      <c r="D24283" s="0" t="s">
        <v>18549</v>
      </c>
      <c r="E24283" s="0" t="inlineStr">
        <is>
          <t xml:space="preserve">Mazda</t>
        </is>
      </c>
      <c r="F24283" s="0" t="s">
        <v>13</v>
      </c>
      <c r="G24283" s="0" t="s">
        <v>49</v>
      </c>
      <c r="H24283" s="5">
        <v>409.646200</v>
      </c>
    </row>
    <row r="24284" spans="1:9">
      <c r="A24284" s="22" t="str">
        <f>HYPERLINK("https://app.vivvix.com/360/KMI/IntelliDrive/ApplUI/Pages/CreativePages/CustomReportCreativeDetail.aspx?App=23&amp;ReportView=4&amp;Qid=1711279&amp;Row=24276&amp;Col=1","No Title Assigned - #15283394244")</f>
        <v/>
      </c>
      <c r="B24284" s="0" t="s">
        <v>32527</v>
      </c>
      <c r="C24284" s="0" t="s">
        <v>32528</v>
      </c>
      <c r="D24284" s="0" t="s">
        <v>16585</v>
      </c>
      <c r="E24284" s="0" t="inlineStr">
        <is>
          <t xml:space="preserve">Mazda</t>
        </is>
      </c>
      <c r="F24284" s="0" t="inlineStr">
        <is>
          <t xml:space="preserve">Mazda</t>
        </is>
      </c>
      <c r="G24284" s="0" t="s">
        <v>210</v>
      </c>
      <c r="H24284" s="5">
        <v>414.227300</v>
      </c>
    </row>
    <row r="24285" spans="1:9">
      <c r="A24285" s="22" t="str">
        <f>HYPERLINK("https://app.vivvix.com/360/KMI/IntelliDrive/ApplUI/Pages/CreativePages/CustomReportCreativeDetail.aspx?App=23&amp;ReportView=4&amp;Qid=1711279&amp;Row=24277&amp;Col=1","No Title Assigned - #15283395431")</f>
        <v/>
      </c>
      <c r="B24285" s="0" t="s">
        <v>32529</v>
      </c>
      <c r="C24285" s="0" t="s">
        <v>32530</v>
      </c>
      <c r="D24285" s="0" t="s">
        <v>32530</v>
      </c>
      <c r="E24285" s="0" t="inlineStr">
        <is>
          <t xml:space="preserve">Mazda</t>
        </is>
      </c>
      <c r="F24285" s="0" t="s">
        <v>13</v>
      </c>
      <c r="G24285" s="0" t="s">
        <v>49</v>
      </c>
      <c r="H24285" s="5">
        <v>6984.329100</v>
      </c>
    </row>
    <row r="24286" spans="1:9">
      <c r="A24286" s="22" t="str">
        <f>HYPERLINK("https://app.vivvix.com/360/KMI/IntelliDrive/ApplUI/Pages/CreativePages/CustomReportCreativeDetail.aspx?App=23&amp;ReportView=4&amp;Qid=1711279&amp;Row=24278&amp;Col=1","No Title Assigned - #15283395489")</f>
        <v/>
      </c>
      <c r="B24286" s="0" t="s">
        <v>32531</v>
      </c>
      <c r="C24286" s="0" t="s">
        <v>32532</v>
      </c>
      <c r="D24286" s="0" t="s">
        <v>21657</v>
      </c>
      <c r="E24286" s="0" t="inlineStr">
        <is>
          <t xml:space="preserve">Mazda</t>
        </is>
      </c>
      <c r="F24286" s="0" t="s">
        <v>13</v>
      </c>
      <c r="G24286" s="0" t="s">
        <v>49</v>
      </c>
      <c r="H24286" s="5">
        <v>644.124700</v>
      </c>
    </row>
    <row r="24287" spans="1:9">
      <c r="A24287" s="22" t="str">
        <f>HYPERLINK("https://app.vivvix.com/360/KMI/IntelliDrive/ApplUI/Pages/CreativePages/CustomReportCreativeDetail.aspx?App=23&amp;ReportView=4&amp;Qid=1711279&amp;Row=24279&amp;Col=1","No Title Assigned - #15283395716")</f>
        <v/>
      </c>
      <c r="B24287" s="0" t="s">
        <v>32533</v>
      </c>
      <c r="C24287" s="0" t="s">
        <v>32534</v>
      </c>
      <c r="D24287" s="0" t="s">
        <v>32534</v>
      </c>
      <c r="E24287" s="0" t="inlineStr">
        <is>
          <t xml:space="preserve">Mazda</t>
        </is>
      </c>
      <c r="F24287" s="0" t="s">
        <v>13</v>
      </c>
      <c r="G24287" s="0" t="s">
        <v>49</v>
      </c>
      <c r="H24287" s="5">
        <v>7031.572900</v>
      </c>
    </row>
    <row r="24288" spans="1:9">
      <c r="A24288" s="22" t="str">
        <f>HYPERLINK("https://app.vivvix.com/360/KMI/IntelliDrive/ApplUI/Pages/CreativePages/CustomReportCreativeDetail.aspx?App=23&amp;ReportView=4&amp;Qid=1711279&amp;Row=24280&amp;Col=1","No Title Assigned - #15283396341")</f>
        <v/>
      </c>
      <c r="B24288" s="0" t="s">
        <v>32535</v>
      </c>
      <c r="C24288" s="0" t="s">
        <v>32536</v>
      </c>
      <c r="D24288" s="0" t="s">
        <v>32536</v>
      </c>
      <c r="E24288" s="0" t="inlineStr">
        <is>
          <t xml:space="preserve">Mazda</t>
        </is>
      </c>
      <c r="F24288" s="0" t="s">
        <v>13</v>
      </c>
      <c r="G24288" s="0" t="s">
        <v>49</v>
      </c>
      <c r="H24288" s="5">
        <v>438.325200</v>
      </c>
    </row>
    <row r="24289" spans="1:9">
      <c r="A24289" s="22" t="str">
        <f>HYPERLINK("https://app.vivvix.com/360/KMI/IntelliDrive/ApplUI/Pages/CreativePages/CustomReportCreativeDetail.aspx?App=23&amp;ReportView=4&amp;Qid=1711279&amp;Row=24281&amp;Col=1","No Title Assigned - #15283396601")</f>
        <v/>
      </c>
      <c r="B24289" s="0" t="s">
        <v>32537</v>
      </c>
      <c r="C24289" s="0" t="s">
        <v>32538</v>
      </c>
      <c r="D24289" s="0" t="s">
        <v>32538</v>
      </c>
      <c r="E24289" s="0" t="inlineStr">
        <is>
          <t xml:space="preserve">Mazda</t>
        </is>
      </c>
      <c r="F24289" s="0" t="s">
        <v>13</v>
      </c>
      <c r="G24289" s="0" t="s">
        <v>49</v>
      </c>
      <c r="H24289" s="5">
        <v>34091.886100</v>
      </c>
    </row>
    <row r="24290" spans="1:9">
      <c r="A24290" s="22" t="str">
        <f>HYPERLINK("https://app.vivvix.com/360/KMI/IntelliDrive/ApplUI/Pages/CreativePages/CustomReportCreativeDetail.aspx?App=23&amp;ReportView=4&amp;Qid=1711279&amp;Row=24282&amp;Col=1","No Title Assigned - #15283396617")</f>
        <v/>
      </c>
      <c r="B24290" s="0" t="s">
        <v>32539</v>
      </c>
      <c r="E24290" s="0" t="inlineStr">
        <is>
          <t xml:space="preserve">Mazda</t>
        </is>
      </c>
      <c r="F24290" s="0" t="inlineStr">
        <is>
          <t xml:space="preserve">Mazda</t>
        </is>
      </c>
      <c r="G24290" s="0" t="s">
        <v>171</v>
      </c>
      <c r="H24290" s="5">
        <v>11585.572300</v>
      </c>
    </row>
    <row r="24291" spans="1:9">
      <c r="A24291" s="22" t="str">
        <f>HYPERLINK("https://app.vivvix.com/360/KMI/IntelliDrive/ApplUI/Pages/CreativePages/CustomReportCreativeDetail.aspx?App=23&amp;ReportView=4&amp;Qid=1711279&amp;Row=24283&amp;Col=1","No Title Assigned - #15283396665")</f>
        <v/>
      </c>
      <c r="B24291" s="0" t="s">
        <v>32540</v>
      </c>
      <c r="C24291" s="0" t="s">
        <v>32541</v>
      </c>
      <c r="D24291" s="0" t="s">
        <v>32541</v>
      </c>
      <c r="E24291" s="0" t="inlineStr">
        <is>
          <t xml:space="preserve">Mazda</t>
        </is>
      </c>
      <c r="F24291" s="0" t="s">
        <v>13</v>
      </c>
      <c r="G24291" s="0" t="s">
        <v>49</v>
      </c>
      <c r="H24291" s="5">
        <v>102.649700</v>
      </c>
    </row>
    <row r="24292" spans="1:9">
      <c r="A24292" s="22" t="str">
        <f>HYPERLINK("https://app.vivvix.com/360/KMI/IntelliDrive/ApplUI/Pages/CreativePages/CustomReportCreativeDetail.aspx?App=23&amp;ReportView=4&amp;Qid=1711279&amp;Row=24284&amp;Col=1","No Title Assigned - #15283397271")</f>
        <v/>
      </c>
      <c r="B24292" s="0" t="s">
        <v>32542</v>
      </c>
      <c r="E24292" s="0" t="inlineStr">
        <is>
          <t xml:space="preserve">Mazda</t>
        </is>
      </c>
      <c r="F24292" s="0" t="inlineStr">
        <is>
          <t xml:space="preserve">Mazda</t>
        </is>
      </c>
      <c r="G24292" s="0" t="s">
        <v>171</v>
      </c>
      <c r="H24292" s="5">
        <v>41.556600</v>
      </c>
    </row>
    <row r="24293" spans="1:9">
      <c r="A24293" s="22" t="str">
        <f>HYPERLINK("https://app.vivvix.com/360/KMI/IntelliDrive/ApplUI/Pages/CreativePages/CustomReportCreativeDetail.aspx?App=23&amp;ReportView=4&amp;Qid=1711279&amp;Row=24285&amp;Col=1","No Title Assigned - #15283397999")</f>
        <v/>
      </c>
      <c r="B24293" s="0" t="s">
        <v>32543</v>
      </c>
      <c r="E24293" s="0" t="inlineStr">
        <is>
          <t xml:space="preserve">Mazda</t>
        </is>
      </c>
      <c r="F24293" s="0" t="inlineStr">
        <is>
          <t xml:space="preserve">Mazda</t>
        </is>
      </c>
      <c r="G24293" s="0" t="s">
        <v>171</v>
      </c>
      <c r="H24293" s="5">
        <v>4984.529500</v>
      </c>
    </row>
    <row r="24294" spans="1:9">
      <c r="A24294" s="22" t="str">
        <f>HYPERLINK("https://app.vivvix.com/360/KMI/IntelliDrive/ApplUI/Pages/CreativePages/CustomReportCreativeDetail.aspx?App=23&amp;ReportView=4&amp;Qid=1711279&amp;Row=24286&amp;Col=1","No Title Assigned - #15283398246")</f>
        <v/>
      </c>
      <c r="B24294" s="0" t="s">
        <v>32544</v>
      </c>
      <c r="E24294" s="0" t="inlineStr">
        <is>
          <t xml:space="preserve">Mazda</t>
        </is>
      </c>
      <c r="F24294" s="0" t="inlineStr">
        <is>
          <t xml:space="preserve">Mazda</t>
        </is>
      </c>
      <c r="G24294" s="0" t="s">
        <v>171</v>
      </c>
      <c r="H24294" s="5">
        <v>226.075200</v>
      </c>
    </row>
    <row r="24295" spans="1:9">
      <c r="A24295" s="22" t="str">
        <f>HYPERLINK("https://app.vivvix.com/360/KMI/IntelliDrive/ApplUI/Pages/CreativePages/CustomReportCreativeDetail.aspx?App=23&amp;ReportView=4&amp;Qid=1711279&amp;Row=24287&amp;Col=1","No Title Assigned - #15283398442")</f>
        <v/>
      </c>
      <c r="B24295" s="0" t="s">
        <v>32545</v>
      </c>
      <c r="E24295" s="0" t="inlineStr">
        <is>
          <t xml:space="preserve">Mazda</t>
        </is>
      </c>
      <c r="F24295" s="0" t="inlineStr">
        <is>
          <t xml:space="preserve">Mazda</t>
        </is>
      </c>
      <c r="G24295" s="0" t="s">
        <v>171</v>
      </c>
      <c r="H24295" s="5">
        <v>996.905900</v>
      </c>
    </row>
    <row r="24296" spans="1:9">
      <c r="A24296" s="22" t="str">
        <f>HYPERLINK("https://app.vivvix.com/360/KMI/IntelliDrive/ApplUI/Pages/CreativePages/CustomReportCreativeDetail.aspx?App=23&amp;ReportView=4&amp;Qid=1711279&amp;Row=24288&amp;Col=1","No Title Assigned - #15283398656")</f>
        <v/>
      </c>
      <c r="B24296" s="0" t="s">
        <v>32546</v>
      </c>
      <c r="E24296" s="0" t="inlineStr">
        <is>
          <t xml:space="preserve">Mazda</t>
        </is>
      </c>
      <c r="F24296" s="0" t="inlineStr">
        <is>
          <t xml:space="preserve">Mazda</t>
        </is>
      </c>
      <c r="G24296" s="0" t="s">
        <v>171</v>
      </c>
      <c r="H24296" s="5">
        <v>469.693900</v>
      </c>
    </row>
    <row r="24297" spans="1:9">
      <c r="A24297" s="22" t="str">
        <f>HYPERLINK("https://app.vivvix.com/360/KMI/IntelliDrive/ApplUI/Pages/CreativePages/CustomReportCreativeDetail.aspx?App=23&amp;ReportView=4&amp;Qid=1711279&amp;Row=24289&amp;Col=1","No Title Assigned - #15283399035")</f>
        <v/>
      </c>
      <c r="B24297" s="0" t="s">
        <v>32547</v>
      </c>
      <c r="E24297" s="0" t="inlineStr">
        <is>
          <t xml:space="preserve">Mazda</t>
        </is>
      </c>
      <c r="F24297" s="0" t="inlineStr">
        <is>
          <t xml:space="preserve">Mazda</t>
        </is>
      </c>
      <c r="G24297" s="0" t="s">
        <v>171</v>
      </c>
      <c r="H24297" s="5">
        <v>406.399700</v>
      </c>
    </row>
    <row r="24298" spans="1:9">
      <c r="A24298" s="22" t="str">
        <f>HYPERLINK("https://app.vivvix.com/360/KMI/IntelliDrive/ApplUI/Pages/CreativePages/CustomReportCreativeDetail.aspx?App=23&amp;ReportView=4&amp;Qid=1711279&amp;Row=24290&amp;Col=1","No Title Assigned - #15283399167")</f>
        <v/>
      </c>
      <c r="B24298" s="0" t="s">
        <v>32548</v>
      </c>
      <c r="E24298" s="0" t="inlineStr">
        <is>
          <t xml:space="preserve">Mazda</t>
        </is>
      </c>
      <c r="F24298" s="0" t="inlineStr">
        <is>
          <t xml:space="preserve">Mazda</t>
        </is>
      </c>
      <c r="G24298" s="0" t="s">
        <v>171</v>
      </c>
      <c r="H24298" s="5">
        <v>2990.717700</v>
      </c>
    </row>
    <row r="24299" spans="1:9">
      <c r="A24299" s="22" t="str">
        <f>HYPERLINK("https://app.vivvix.com/360/KMI/IntelliDrive/ApplUI/Pages/CreativePages/CustomReportCreativeDetail.aspx?App=23&amp;ReportView=4&amp;Qid=1711279&amp;Row=24291&amp;Col=1","No Title Assigned - #15283399192")</f>
        <v/>
      </c>
      <c r="B24299" s="0" t="s">
        <v>32549</v>
      </c>
      <c r="E24299" s="0" t="inlineStr">
        <is>
          <t xml:space="preserve">Mazda</t>
        </is>
      </c>
      <c r="F24299" s="0" t="inlineStr">
        <is>
          <t xml:space="preserve">Mazda</t>
        </is>
      </c>
      <c r="G24299" s="0" t="s">
        <v>171</v>
      </c>
      <c r="H24299" s="5">
        <v>996.905900</v>
      </c>
    </row>
    <row r="24300" spans="1:9">
      <c r="A24300" s="22" t="str">
        <f>HYPERLINK("https://app.vivvix.com/360/KMI/IntelliDrive/ApplUI/Pages/CreativePages/CustomReportCreativeDetail.aspx?App=23&amp;ReportView=4&amp;Qid=1711279&amp;Row=24292&amp;Col=1","No Title Assigned - #15283399450")</f>
        <v/>
      </c>
      <c r="B24300" s="0" t="s">
        <v>32550</v>
      </c>
      <c r="E24300" s="0" t="inlineStr">
        <is>
          <t xml:space="preserve">Mazda</t>
        </is>
      </c>
      <c r="F24300" s="0" t="inlineStr">
        <is>
          <t xml:space="preserve">Mazda</t>
        </is>
      </c>
      <c r="G24300" s="0" t="s">
        <v>171</v>
      </c>
      <c r="H24300" s="5">
        <v>1570.873700</v>
      </c>
    </row>
    <row r="24301" spans="1:9">
      <c r="A24301" s="22" t="str">
        <f>HYPERLINK("https://app.vivvix.com/360/KMI/IntelliDrive/ApplUI/Pages/CreativePages/CustomReportCreativeDetail.aspx?App=23&amp;ReportView=4&amp;Qid=1711279&amp;Row=24293&amp;Col=1","No Title Assigned - #15283399489")</f>
        <v/>
      </c>
      <c r="B24301" s="0" t="s">
        <v>32551</v>
      </c>
      <c r="E24301" s="0" t="inlineStr">
        <is>
          <t xml:space="preserve">Mazda</t>
        </is>
      </c>
      <c r="F24301" s="0" t="inlineStr">
        <is>
          <t xml:space="preserve">Mazda</t>
        </is>
      </c>
      <c r="G24301" s="0" t="s">
        <v>171</v>
      </c>
      <c r="H24301" s="5">
        <v>537.669000</v>
      </c>
    </row>
    <row r="24302" spans="1:9">
      <c r="A24302" s="22" t="str">
        <f>HYPERLINK("https://app.vivvix.com/360/KMI/IntelliDrive/ApplUI/Pages/CreativePages/CustomReportCreativeDetail.aspx?App=23&amp;ReportView=4&amp;Qid=1711279&amp;Row=24294&amp;Col=1","No Title Assigned - #15283401532")</f>
        <v/>
      </c>
      <c r="B24302" s="0" t="s">
        <v>32552</v>
      </c>
      <c r="E24302" s="0" t="inlineStr">
        <is>
          <t xml:space="preserve">Mazda</t>
        </is>
      </c>
      <c r="F24302" s="0" t="inlineStr">
        <is>
          <t xml:space="preserve">Mazda</t>
        </is>
      </c>
      <c r="G24302" s="0" t="s">
        <v>171</v>
      </c>
      <c r="H24302" s="5">
        <v>3987.623600</v>
      </c>
    </row>
    <row r="24303" spans="1:9">
      <c r="A24303" s="22" t="str">
        <f>HYPERLINK("https://app.vivvix.com/360/KMI/IntelliDrive/ApplUI/Pages/CreativePages/CustomReportCreativeDetail.aspx?App=23&amp;ReportView=4&amp;Qid=1711279&amp;Row=24295&amp;Col=1","No Title Assigned - #15283401554")</f>
        <v/>
      </c>
      <c r="B24303" s="0" t="s">
        <v>32553</v>
      </c>
      <c r="E24303" s="0" t="inlineStr">
        <is>
          <t xml:space="preserve">Mazda</t>
        </is>
      </c>
      <c r="F24303" s="0" t="inlineStr">
        <is>
          <t xml:space="preserve">Mazda</t>
        </is>
      </c>
      <c r="G24303" s="0" t="s">
        <v>171</v>
      </c>
      <c r="H24303" s="5">
        <v>800.837500</v>
      </c>
    </row>
    <row r="24304" spans="1:9">
      <c r="A24304" s="22" t="str">
        <f>HYPERLINK("https://app.vivvix.com/360/KMI/IntelliDrive/ApplUI/Pages/CreativePages/CustomReportCreativeDetail.aspx?App=23&amp;ReportView=4&amp;Qid=1711279&amp;Row=24296&amp;Col=1","No Title Assigned - #15283401761")</f>
        <v/>
      </c>
      <c r="B24304" s="0" t="s">
        <v>32554</v>
      </c>
      <c r="E24304" s="0" t="inlineStr">
        <is>
          <t xml:space="preserve">Mazda</t>
        </is>
      </c>
      <c r="F24304" s="0" t="inlineStr">
        <is>
          <t xml:space="preserve">Mazda</t>
        </is>
      </c>
      <c r="G24304" s="0" t="s">
        <v>171</v>
      </c>
      <c r="H24304" s="5">
        <v>209.526500</v>
      </c>
    </row>
    <row r="24305" spans="1:9">
      <c r="A24305" s="22" t="str">
        <f>HYPERLINK("https://app.vivvix.com/360/KMI/IntelliDrive/ApplUI/Pages/CreativePages/CustomReportCreativeDetail.aspx?App=23&amp;ReportView=4&amp;Qid=1711279&amp;Row=24297&amp;Col=1","No Title Assigned - #15283402531")</f>
        <v/>
      </c>
      <c r="B24305" s="0" t="s">
        <v>32555</v>
      </c>
      <c r="E24305" s="0" t="inlineStr">
        <is>
          <t xml:space="preserve">Mazda</t>
        </is>
      </c>
      <c r="F24305" s="0" t="inlineStr">
        <is>
          <t xml:space="preserve">Mazda</t>
        </is>
      </c>
      <c r="G24305" s="0" t="s">
        <v>171</v>
      </c>
      <c r="H24305" s="5">
        <v>2753.127700</v>
      </c>
    </row>
    <row r="24306" spans="1:9">
      <c r="A24306" s="22" t="str">
        <f>HYPERLINK("https://app.vivvix.com/360/KMI/IntelliDrive/ApplUI/Pages/CreativePages/CustomReportCreativeDetail.aspx?App=23&amp;ReportView=4&amp;Qid=1711279&amp;Row=24298&amp;Col=1","No Title Assigned - #15283402974")</f>
        <v/>
      </c>
      <c r="B24306" s="0" t="s">
        <v>32556</v>
      </c>
      <c r="E24306" s="0" t="inlineStr">
        <is>
          <t xml:space="preserve">Mazda</t>
        </is>
      </c>
      <c r="F24306" s="0" t="inlineStr">
        <is>
          <t xml:space="preserve">Mazda</t>
        </is>
      </c>
      <c r="G24306" s="0" t="s">
        <v>171</v>
      </c>
      <c r="H24306" s="5">
        <v>1531.202600</v>
      </c>
    </row>
    <row r="24307" spans="1:9">
      <c r="A24307" s="22" t="str">
        <f>HYPERLINK("https://app.vivvix.com/360/KMI/IntelliDrive/ApplUI/Pages/CreativePages/CustomReportCreativeDetail.aspx?App=23&amp;ReportView=4&amp;Qid=1711279&amp;Row=24299&amp;Col=1","No Title Assigned - #15283403021")</f>
        <v/>
      </c>
      <c r="B24307" s="0" t="s">
        <v>32557</v>
      </c>
      <c r="E24307" s="0" t="inlineStr">
        <is>
          <t xml:space="preserve">Mazda</t>
        </is>
      </c>
      <c r="F24307" s="0" t="inlineStr">
        <is>
          <t xml:space="preserve">Mazda</t>
        </is>
      </c>
      <c r="G24307" s="0" t="s">
        <v>171</v>
      </c>
      <c r="H24307" s="5">
        <v>969.480700</v>
      </c>
    </row>
    <row r="24308" spans="1:9">
      <c r="A24308" s="22" t="str">
        <f>HYPERLINK("https://app.vivvix.com/360/KMI/IntelliDrive/ApplUI/Pages/CreativePages/CustomReportCreativeDetail.aspx?App=23&amp;ReportView=4&amp;Qid=1711279&amp;Row=24300&amp;Col=1","No Title Assigned - #15283403186")</f>
        <v/>
      </c>
      <c r="B24308" s="0" t="s">
        <v>32558</v>
      </c>
      <c r="E24308" s="0" t="inlineStr">
        <is>
          <t xml:space="preserve">Mazda</t>
        </is>
      </c>
      <c r="F24308" s="0" t="inlineStr">
        <is>
          <t xml:space="preserve">Mazda</t>
        </is>
      </c>
      <c r="G24308" s="0" t="s">
        <v>171</v>
      </c>
      <c r="H24308" s="5">
        <v>25742.509900</v>
      </c>
    </row>
    <row r="24309" spans="1:9">
      <c r="A24309" s="22" t="str">
        <f>HYPERLINK("https://app.vivvix.com/360/KMI/IntelliDrive/ApplUI/Pages/CreativePages/CustomReportCreativeDetail.aspx?App=23&amp;ReportView=4&amp;Qid=1711279&amp;Row=24301&amp;Col=1","No Title Assigned - #15283403440")</f>
        <v/>
      </c>
      <c r="B24309" s="0" t="s">
        <v>32559</v>
      </c>
      <c r="E24309" s="0" t="inlineStr">
        <is>
          <t xml:space="preserve">Mazda</t>
        </is>
      </c>
      <c r="F24309" s="0" t="inlineStr">
        <is>
          <t xml:space="preserve">Mazda</t>
        </is>
      </c>
      <c r="G24309" s="0" t="s">
        <v>171</v>
      </c>
      <c r="H24309" s="5">
        <v>1167.321000</v>
      </c>
    </row>
    <row r="24310" spans="1:9">
      <c r="A24310" s="22" t="str">
        <f>HYPERLINK("https://app.vivvix.com/360/KMI/IntelliDrive/ApplUI/Pages/CreativePages/CustomReportCreativeDetail.aspx?App=23&amp;ReportView=4&amp;Qid=1711279&amp;Row=24302&amp;Col=1","No Title Assigned - #15283404449")</f>
        <v/>
      </c>
      <c r="B24310" s="0" t="s">
        <v>32560</v>
      </c>
      <c r="C24310" s="0" t="s">
        <v>32561</v>
      </c>
      <c r="D24310" s="0" t="s">
        <v>8914</v>
      </c>
      <c r="E24310" s="0" t="inlineStr">
        <is>
          <t xml:space="preserve">Mazda</t>
        </is>
      </c>
      <c r="F24310" s="0" t="s">
        <v>13</v>
      </c>
      <c r="G24310" s="0" t="s">
        <v>49</v>
      </c>
      <c r="H24310" s="5">
        <v>3052.166400</v>
      </c>
    </row>
    <row r="24311" spans="1:9">
      <c r="A24311" s="22" t="str">
        <f>HYPERLINK("https://app.vivvix.com/360/KMI/IntelliDrive/ApplUI/Pages/CreativePages/CustomReportCreativeDetail.aspx?App=23&amp;ReportView=4&amp;Qid=1711279&amp;Row=24303&amp;Col=1","No Title Assigned - #15283405310")</f>
        <v/>
      </c>
      <c r="B24311" s="0" t="s">
        <v>32562</v>
      </c>
      <c r="E24311" s="0" t="inlineStr">
        <is>
          <t xml:space="preserve">Mazda</t>
        </is>
      </c>
      <c r="F24311" s="0" t="inlineStr">
        <is>
          <t xml:space="preserve">Mazda</t>
        </is>
      </c>
      <c r="G24311" s="0" t="s">
        <v>171</v>
      </c>
      <c r="H24311" s="5">
        <v>996.905900</v>
      </c>
    </row>
    <row r="24312" spans="1:9">
      <c r="A24312" s="22" t="str">
        <f>HYPERLINK("https://app.vivvix.com/360/KMI/IntelliDrive/ApplUI/Pages/CreativePages/CustomReportCreativeDetail.aspx?App=23&amp;ReportView=4&amp;Qid=1711279&amp;Row=24304&amp;Col=1","No Title Assigned - #15283405632")</f>
        <v/>
      </c>
      <c r="B24312" s="0" t="s">
        <v>32563</v>
      </c>
      <c r="E24312" s="0" t="inlineStr">
        <is>
          <t xml:space="preserve">Mazda</t>
        </is>
      </c>
      <c r="F24312" s="0" t="inlineStr">
        <is>
          <t xml:space="preserve">Mazda</t>
        </is>
      </c>
      <c r="G24312" s="0" t="s">
        <v>171</v>
      </c>
      <c r="H24312" s="5">
        <v>544.874900</v>
      </c>
    </row>
    <row r="24313" spans="1:9">
      <c r="A24313" s="22" t="str">
        <f>HYPERLINK("https://app.vivvix.com/360/KMI/IntelliDrive/ApplUI/Pages/CreativePages/CustomReportCreativeDetail.aspx?App=23&amp;ReportView=4&amp;Qid=1711279&amp;Row=24305&amp;Col=1","No Title Assigned - #15283405951")</f>
        <v/>
      </c>
      <c r="B24313" s="0" t="s">
        <v>32564</v>
      </c>
      <c r="E24313" s="0" t="inlineStr">
        <is>
          <t xml:space="preserve">Mazda</t>
        </is>
      </c>
      <c r="F24313" s="0" t="inlineStr">
        <is>
          <t xml:space="preserve">Mazda</t>
        </is>
      </c>
      <c r="G24313" s="0" t="s">
        <v>171</v>
      </c>
      <c r="H24313" s="5">
        <v>1171.208700</v>
      </c>
    </row>
    <row r="24314" spans="1:9">
      <c r="A24314" s="22" t="str">
        <f>HYPERLINK("https://app.vivvix.com/360/KMI/IntelliDrive/ApplUI/Pages/CreativePages/CustomReportCreativeDetail.aspx?App=23&amp;ReportView=4&amp;Qid=1711279&amp;Row=24306&amp;Col=1","No Title Assigned - #15283406184")</f>
        <v/>
      </c>
      <c r="B24314" s="0" t="s">
        <v>32565</v>
      </c>
      <c r="E24314" s="0" t="inlineStr">
        <is>
          <t xml:space="preserve">Mazda</t>
        </is>
      </c>
      <c r="F24314" s="0" t="inlineStr">
        <is>
          <t xml:space="preserve">Mazda</t>
        </is>
      </c>
      <c r="G24314" s="0" t="s">
        <v>171</v>
      </c>
      <c r="H24314" s="5">
        <v>1171.208700</v>
      </c>
    </row>
    <row r="24315" spans="1:9">
      <c r="A24315" s="22" t="str">
        <f>HYPERLINK("https://app.vivvix.com/360/KMI/IntelliDrive/ApplUI/Pages/CreativePages/CustomReportCreativeDetail.aspx?App=23&amp;ReportView=4&amp;Qid=1711279&amp;Row=24307&amp;Col=1","No Title Assigned - #15283407139")</f>
        <v/>
      </c>
      <c r="B24315" s="0" t="s">
        <v>32566</v>
      </c>
      <c r="E24315" s="0" t="inlineStr">
        <is>
          <t xml:space="preserve">Mazda</t>
        </is>
      </c>
      <c r="F24315" s="0" t="inlineStr">
        <is>
          <t xml:space="preserve">Mazda</t>
        </is>
      </c>
      <c r="G24315" s="0" t="s">
        <v>171</v>
      </c>
      <c r="H24315" s="5">
        <v>2113.116600</v>
      </c>
    </row>
    <row r="24316" spans="1:9">
      <c r="A24316" s="22" t="str">
        <f>HYPERLINK("https://app.vivvix.com/360/KMI/IntelliDrive/ApplUI/Pages/CreativePages/CustomReportCreativeDetail.aspx?App=23&amp;ReportView=4&amp;Qid=1711279&amp;Row=24308&amp;Col=1","No Title Assigned - #15283407431")</f>
        <v/>
      </c>
      <c r="B24316" s="0" t="s">
        <v>32567</v>
      </c>
      <c r="E24316" s="0" t="inlineStr">
        <is>
          <t xml:space="preserve">Mazda</t>
        </is>
      </c>
      <c r="F24316" s="0" t="inlineStr">
        <is>
          <t xml:space="preserve">Mazda</t>
        </is>
      </c>
      <c r="G24316" s="0" t="s">
        <v>171</v>
      </c>
      <c r="H24316" s="5">
        <v>1993.811800</v>
      </c>
    </row>
    <row r="24317" spans="1:9">
      <c r="A24317" s="22" t="str">
        <f>HYPERLINK("https://app.vivvix.com/360/KMI/IntelliDrive/ApplUI/Pages/CreativePages/CustomReportCreativeDetail.aspx?App=23&amp;ReportView=4&amp;Qid=1711279&amp;Row=24309&amp;Col=1","No Title Assigned - #15283407542")</f>
        <v/>
      </c>
      <c r="B24317" s="0" t="s">
        <v>32568</v>
      </c>
      <c r="E24317" s="0" t="inlineStr">
        <is>
          <t xml:space="preserve">Mazda</t>
        </is>
      </c>
      <c r="F24317" s="0" t="inlineStr">
        <is>
          <t xml:space="preserve">Mazda</t>
        </is>
      </c>
      <c r="G24317" s="0" t="s">
        <v>171</v>
      </c>
      <c r="H24317" s="5">
        <v>1611.396200</v>
      </c>
    </row>
    <row r="24318" spans="1:9">
      <c r="A24318" s="22" t="str">
        <f>HYPERLINK("https://app.vivvix.com/360/KMI/IntelliDrive/ApplUI/Pages/CreativePages/CustomReportCreativeDetail.aspx?App=23&amp;ReportView=4&amp;Qid=1711279&amp;Row=24310&amp;Col=1","No Title Assigned - #15283407997")</f>
        <v/>
      </c>
      <c r="B24318" s="0" t="s">
        <v>32569</v>
      </c>
      <c r="E24318" s="0" t="inlineStr">
        <is>
          <t xml:space="preserve">Mazda</t>
        </is>
      </c>
      <c r="F24318" s="0" t="inlineStr">
        <is>
          <t xml:space="preserve">Mazda</t>
        </is>
      </c>
      <c r="G24318" s="0" t="s">
        <v>171</v>
      </c>
      <c r="H24318" s="5">
        <v>996.905900</v>
      </c>
    </row>
    <row r="24319" spans="1:9">
      <c r="A24319" s="22" t="str">
        <f>HYPERLINK("https://app.vivvix.com/360/KMI/IntelliDrive/ApplUI/Pages/CreativePages/CustomReportCreativeDetail.aspx?App=23&amp;ReportView=4&amp;Qid=1711279&amp;Row=24311&amp;Col=1","No Title Assigned - #15283408044")</f>
        <v/>
      </c>
      <c r="B24319" s="0" t="s">
        <v>32570</v>
      </c>
      <c r="E24319" s="0" t="inlineStr">
        <is>
          <t xml:space="preserve">Mazda</t>
        </is>
      </c>
      <c r="F24319" s="0" t="inlineStr">
        <is>
          <t xml:space="preserve">Mazda</t>
        </is>
      </c>
      <c r="G24319" s="0" t="s">
        <v>171</v>
      </c>
      <c r="H24319" s="5">
        <v>162.966400</v>
      </c>
    </row>
    <row r="24320" spans="1:9">
      <c r="A24320" s="22" t="str">
        <f>HYPERLINK("https://app.vivvix.com/360/KMI/IntelliDrive/ApplUI/Pages/CreativePages/CustomReportCreativeDetail.aspx?App=23&amp;ReportView=4&amp;Qid=1711279&amp;Row=24312&amp;Col=1","No Title Assigned - #15283408660")</f>
        <v/>
      </c>
      <c r="B24320" s="0" t="s">
        <v>32571</v>
      </c>
      <c r="E24320" s="0" t="inlineStr">
        <is>
          <t xml:space="preserve">Mazda</t>
        </is>
      </c>
      <c r="F24320" s="0" t="inlineStr">
        <is>
          <t xml:space="preserve">Mazda</t>
        </is>
      </c>
      <c r="G24320" s="0" t="s">
        <v>171</v>
      </c>
      <c r="H24320" s="5">
        <v>276.966300</v>
      </c>
    </row>
    <row r="24321" spans="1:9">
      <c r="A24321" s="22" t="str">
        <f>HYPERLINK("https://app.vivvix.com/360/KMI/IntelliDrive/ApplUI/Pages/CreativePages/CustomReportCreativeDetail.aspx?App=23&amp;ReportView=4&amp;Qid=1711279&amp;Row=24313&amp;Col=1","No Title Assigned - #15283409389")</f>
        <v/>
      </c>
      <c r="B24321" s="0" t="s">
        <v>32572</v>
      </c>
      <c r="E24321" s="0" t="inlineStr">
        <is>
          <t xml:space="preserve">Mazda</t>
        </is>
      </c>
      <c r="F24321" s="0" t="inlineStr">
        <is>
          <t xml:space="preserve">Mazda</t>
        </is>
      </c>
      <c r="G24321" s="0" t="s">
        <v>171</v>
      </c>
      <c r="H24321" s="5">
        <v>1993.811800</v>
      </c>
    </row>
    <row r="24322" spans="1:9">
      <c r="A24322" s="22" t="str">
        <f>HYPERLINK("https://app.vivvix.com/360/KMI/IntelliDrive/ApplUI/Pages/CreativePages/CustomReportCreativeDetail.aspx?App=23&amp;ReportView=4&amp;Qid=1711279&amp;Row=24314&amp;Col=1","No Title Assigned - #15283409518")</f>
        <v/>
      </c>
      <c r="B24322" s="0" t="s">
        <v>32573</v>
      </c>
      <c r="E24322" s="0" t="inlineStr">
        <is>
          <t xml:space="preserve">Mazda</t>
        </is>
      </c>
      <c r="F24322" s="0" t="inlineStr">
        <is>
          <t xml:space="preserve">Mazda</t>
        </is>
      </c>
      <c r="G24322" s="0" t="s">
        <v>171</v>
      </c>
      <c r="H24322" s="5">
        <v>466.736800</v>
      </c>
    </row>
    <row r="24323" spans="1:9">
      <c r="A24323" s="22" t="str">
        <f>HYPERLINK("https://app.vivvix.com/360/KMI/IntelliDrive/ApplUI/Pages/CreativePages/CustomReportCreativeDetail.aspx?App=23&amp;ReportView=4&amp;Qid=1711279&amp;Row=24315&amp;Col=1","No Title Assigned - #15283410063")</f>
        <v/>
      </c>
      <c r="B24323" s="0" t="s">
        <v>32574</v>
      </c>
      <c r="E24323" s="0" t="inlineStr">
        <is>
          <t xml:space="preserve">Mazda</t>
        </is>
      </c>
      <c r="F24323" s="0" t="inlineStr">
        <is>
          <t xml:space="preserve">Mazda</t>
        </is>
      </c>
      <c r="G24323" s="0" t="s">
        <v>171</v>
      </c>
      <c r="H24323" s="5">
        <v>5603.193300</v>
      </c>
    </row>
    <row r="24324" spans="1:9">
      <c r="A24324" s="22" t="str">
        <f>HYPERLINK("https://app.vivvix.com/360/KMI/IntelliDrive/ApplUI/Pages/CreativePages/CustomReportCreativeDetail.aspx?App=23&amp;ReportView=4&amp;Qid=1711279&amp;Row=24316&amp;Col=1","No Title Assigned - #15283411039")</f>
        <v/>
      </c>
      <c r="B24324" s="0" t="s">
        <v>32575</v>
      </c>
      <c r="E24324" s="0" t="inlineStr">
        <is>
          <t xml:space="preserve">Mazda</t>
        </is>
      </c>
      <c r="F24324" s="0" t="inlineStr">
        <is>
          <t xml:space="preserve">Mazda</t>
        </is>
      </c>
      <c r="G24324" s="0" t="s">
        <v>171</v>
      </c>
      <c r="H24324" s="5">
        <v>2342.417400</v>
      </c>
    </row>
    <row r="24325" spans="1:9">
      <c r="A24325" s="22" t="str">
        <f>HYPERLINK("https://app.vivvix.com/360/KMI/IntelliDrive/ApplUI/Pages/CreativePages/CustomReportCreativeDetail.aspx?App=23&amp;ReportView=4&amp;Qid=1711279&amp;Row=24317&amp;Col=1","No Title Assigned - #15283411575")</f>
        <v/>
      </c>
      <c r="B24325" s="0" t="s">
        <v>32576</v>
      </c>
      <c r="E24325" s="0" t="inlineStr">
        <is>
          <t xml:space="preserve">Mazda</t>
        </is>
      </c>
      <c r="F24325" s="0" t="inlineStr">
        <is>
          <t xml:space="preserve">Mazda</t>
        </is>
      </c>
      <c r="G24325" s="0" t="s">
        <v>171</v>
      </c>
      <c r="H24325" s="5">
        <v>996.905900</v>
      </c>
    </row>
    <row r="24326" spans="1:9">
      <c r="A24326" s="22" t="str">
        <f>HYPERLINK("https://app.vivvix.com/360/KMI/IntelliDrive/ApplUI/Pages/CreativePages/CustomReportCreativeDetail.aspx?App=23&amp;ReportView=4&amp;Qid=1711279&amp;Row=24318&amp;Col=1","No Title Assigned - #15283411830")</f>
        <v/>
      </c>
      <c r="B24326" s="0" t="s">
        <v>32577</v>
      </c>
      <c r="E24326" s="0" t="inlineStr">
        <is>
          <t xml:space="preserve">Mazda</t>
        </is>
      </c>
      <c r="F24326" s="0" t="inlineStr">
        <is>
          <t xml:space="preserve">Mazda</t>
        </is>
      </c>
      <c r="G24326" s="0" t="s">
        <v>171</v>
      </c>
      <c r="H24326" s="5">
        <v>220.398200</v>
      </c>
    </row>
    <row r="24327" spans="1:9">
      <c r="A24327" s="22" t="str">
        <f>HYPERLINK("https://app.vivvix.com/360/KMI/IntelliDrive/ApplUI/Pages/CreativePages/CustomReportCreativeDetail.aspx?App=23&amp;ReportView=4&amp;Qid=1711279&amp;Row=24319&amp;Col=1","No Title Assigned - #15283412946")</f>
        <v/>
      </c>
      <c r="B24327" s="0" t="s">
        <v>32578</v>
      </c>
      <c r="C24327" s="0" t="s">
        <v>32579</v>
      </c>
      <c r="D24327" s="0" t="s">
        <v>32579</v>
      </c>
      <c r="E24327" s="0" t="inlineStr">
        <is>
          <t xml:space="preserve">Mazda</t>
        </is>
      </c>
      <c r="F24327" s="0" t="s">
        <v>13</v>
      </c>
      <c r="G24327" s="0" t="s">
        <v>49</v>
      </c>
      <c r="H24327" s="5">
        <v>819.219900</v>
      </c>
    </row>
    <row r="24328" spans="1:9">
      <c r="A24328" s="22" t="str">
        <f>HYPERLINK("https://app.vivvix.com/360/KMI/IntelliDrive/ApplUI/Pages/CreativePages/CustomReportCreativeDetail.aspx?App=23&amp;ReportView=4&amp;Qid=1711279&amp;Row=24320&amp;Col=1","No Title Assigned - #15283413801")</f>
        <v/>
      </c>
      <c r="B24328" s="0" t="s">
        <v>32580</v>
      </c>
      <c r="E24328" s="0" t="inlineStr">
        <is>
          <t xml:space="preserve">Mazda</t>
        </is>
      </c>
      <c r="F24328" s="0" t="inlineStr">
        <is>
          <t xml:space="preserve">Mazda</t>
        </is>
      </c>
      <c r="G24328" s="0" t="s">
        <v>171</v>
      </c>
      <c r="H24328" s="5">
        <v>1171.208700</v>
      </c>
    </row>
    <row r="24329" spans="1:9">
      <c r="A24329" s="22" t="str">
        <f>HYPERLINK("https://app.vivvix.com/360/KMI/IntelliDrive/ApplUI/Pages/CreativePages/CustomReportCreativeDetail.aspx?App=23&amp;ReportView=4&amp;Qid=1711279&amp;Row=24321&amp;Col=1","No Title Assigned - #15283413823")</f>
        <v/>
      </c>
      <c r="B24329" s="0" t="s">
        <v>32581</v>
      </c>
      <c r="E24329" s="0" t="inlineStr">
        <is>
          <t xml:space="preserve">Mazda</t>
        </is>
      </c>
      <c r="F24329" s="0" t="inlineStr">
        <is>
          <t xml:space="preserve">Mazda</t>
        </is>
      </c>
      <c r="G24329" s="0" t="s">
        <v>171</v>
      </c>
      <c r="H24329" s="5">
        <v>430.443200</v>
      </c>
    </row>
    <row r="24330" spans="1:9">
      <c r="A24330" s="22" t="str">
        <f>HYPERLINK("https://app.vivvix.com/360/KMI/IntelliDrive/ApplUI/Pages/CreativePages/CustomReportCreativeDetail.aspx?App=23&amp;ReportView=4&amp;Qid=1711279&amp;Row=24322&amp;Col=1","No Title Assigned - #15283414167")</f>
        <v/>
      </c>
      <c r="B24330" s="0" t="s">
        <v>32582</v>
      </c>
      <c r="E24330" s="0" t="inlineStr">
        <is>
          <t xml:space="preserve">Mazda</t>
        </is>
      </c>
      <c r="F24330" s="0" t="inlineStr">
        <is>
          <t xml:space="preserve">Mazda</t>
        </is>
      </c>
      <c r="G24330" s="0" t="s">
        <v>171</v>
      </c>
      <c r="H24330" s="5">
        <v>1993.811800</v>
      </c>
    </row>
    <row r="24331" spans="1:9">
      <c r="A24331" s="22" t="str">
        <f>HYPERLINK("https://app.vivvix.com/360/KMI/IntelliDrive/ApplUI/Pages/CreativePages/CustomReportCreativeDetail.aspx?App=23&amp;ReportView=4&amp;Qid=1711279&amp;Row=24323&amp;Col=1","No Title Assigned - #15283414965")</f>
        <v/>
      </c>
      <c r="B24331" s="0" t="s">
        <v>32583</v>
      </c>
      <c r="E24331" s="0" t="inlineStr">
        <is>
          <t xml:space="preserve">Mazda</t>
        </is>
      </c>
      <c r="F24331" s="0" t="inlineStr">
        <is>
          <t xml:space="preserve">Mazda</t>
        </is>
      </c>
      <c r="G24331" s="0" t="s">
        <v>171</v>
      </c>
      <c r="H24331" s="5">
        <v>2604.887900</v>
      </c>
    </row>
    <row r="24332" spans="1:9">
      <c r="A24332" s="22" t="str">
        <f>HYPERLINK("https://app.vivvix.com/360/KMI/IntelliDrive/ApplUI/Pages/CreativePages/CustomReportCreativeDetail.aspx?App=23&amp;ReportView=4&amp;Qid=1711279&amp;Row=24324&amp;Col=1","No Title Assigned - #15283415585")</f>
        <v/>
      </c>
      <c r="B24332" s="0" t="s">
        <v>32584</v>
      </c>
      <c r="E24332" s="0" t="inlineStr">
        <is>
          <t xml:space="preserve">Mazda</t>
        </is>
      </c>
      <c r="F24332" s="0" t="inlineStr">
        <is>
          <t xml:space="preserve">Mazda</t>
        </is>
      </c>
      <c r="G24332" s="0" t="s">
        <v>171</v>
      </c>
      <c r="H24332" s="5">
        <v>181.594700</v>
      </c>
    </row>
    <row r="24333" spans="1:9">
      <c r="A24333" s="22" t="str">
        <f>HYPERLINK("https://app.vivvix.com/360/KMI/IntelliDrive/ApplUI/Pages/CreativePages/CustomReportCreativeDetail.aspx?App=23&amp;ReportView=4&amp;Qid=1711279&amp;Row=24325&amp;Col=1","No Title Assigned - #15283417332")</f>
        <v/>
      </c>
      <c r="B24333" s="0" t="s">
        <v>32585</v>
      </c>
      <c r="C24333" s="0" t="s">
        <v>32586</v>
      </c>
      <c r="D24333" s="0" t="s">
        <v>32586</v>
      </c>
      <c r="E24333" s="0" t="inlineStr">
        <is>
          <t xml:space="preserve">Mazda</t>
        </is>
      </c>
      <c r="F24333" s="0" t="inlineStr">
        <is>
          <t xml:space="preserve">Mazda</t>
        </is>
      </c>
      <c r="G24333" s="0" t="s">
        <v>171</v>
      </c>
      <c r="H24333" s="5">
        <v>1075.338000</v>
      </c>
    </row>
    <row r="24334" spans="1:9">
      <c r="A24334" s="22" t="str">
        <f>HYPERLINK("https://app.vivvix.com/360/KMI/IntelliDrive/ApplUI/Pages/CreativePages/CustomReportCreativeDetail.aspx?App=23&amp;ReportView=4&amp;Qid=1711279&amp;Row=24326&amp;Col=1","No Title Assigned - #15283417352")</f>
        <v/>
      </c>
      <c r="B24334" s="0" t="s">
        <v>32587</v>
      </c>
      <c r="E24334" s="0" t="inlineStr">
        <is>
          <t xml:space="preserve">Mazda</t>
        </is>
      </c>
      <c r="F24334" s="0" t="inlineStr">
        <is>
          <t xml:space="preserve">Mazda</t>
        </is>
      </c>
      <c r="G24334" s="0" t="s">
        <v>171</v>
      </c>
      <c r="H24334" s="5">
        <v>537.669000</v>
      </c>
    </row>
    <row r="24335" spans="1:9">
      <c r="A24335" s="22" t="str">
        <f>HYPERLINK("https://app.vivvix.com/360/KMI/IntelliDrive/ApplUI/Pages/CreativePages/CustomReportCreativeDetail.aspx?App=23&amp;ReportView=4&amp;Qid=1711279&amp;Row=24327&amp;Col=1","No Title Assigned - #15283418730")</f>
        <v/>
      </c>
      <c r="B24335" s="0" t="s">
        <v>32588</v>
      </c>
      <c r="E24335" s="0" t="inlineStr">
        <is>
          <t xml:space="preserve">Mazda</t>
        </is>
      </c>
      <c r="F24335" s="0" t="inlineStr">
        <is>
          <t xml:space="preserve">Mazda</t>
        </is>
      </c>
      <c r="G24335" s="0" t="s">
        <v>171</v>
      </c>
      <c r="H24335" s="5">
        <v>996.905900</v>
      </c>
    </row>
    <row r="24336" spans="1:9">
      <c r="A24336" s="22" t="str">
        <f>HYPERLINK("https://app.vivvix.com/360/KMI/IntelliDrive/ApplUI/Pages/CreativePages/CustomReportCreativeDetail.aspx?App=23&amp;ReportView=4&amp;Qid=1711279&amp;Row=24328&amp;Col=1","No Title Assigned - #15283419252")</f>
        <v/>
      </c>
      <c r="B24336" s="0" t="s">
        <v>32589</v>
      </c>
      <c r="E24336" s="0" t="inlineStr">
        <is>
          <t xml:space="preserve">Mazda</t>
        </is>
      </c>
      <c r="F24336" s="0" t="inlineStr">
        <is>
          <t xml:space="preserve">Mazda</t>
        </is>
      </c>
      <c r="G24336" s="0" t="s">
        <v>171</v>
      </c>
      <c r="H24336" s="5">
        <v>996.905900</v>
      </c>
    </row>
    <row r="24337" spans="1:9">
      <c r="A24337" s="22" t="str">
        <f>HYPERLINK("https://app.vivvix.com/360/KMI/IntelliDrive/ApplUI/Pages/CreativePages/CustomReportCreativeDetail.aspx?App=23&amp;ReportView=4&amp;Qid=1711279&amp;Row=24329&amp;Col=1","No Title Assigned - #15283431234")</f>
        <v/>
      </c>
      <c r="B24337" s="0" t="s">
        <v>32590</v>
      </c>
      <c r="E24337" s="0" t="inlineStr">
        <is>
          <t xml:space="preserve">Mazda</t>
        </is>
      </c>
      <c r="F24337" s="0" t="inlineStr">
        <is>
          <t xml:space="preserve">Mazda</t>
        </is>
      </c>
      <c r="G24337" s="0" t="s">
        <v>171</v>
      </c>
      <c r="H24337" s="5">
        <v>1993.811800</v>
      </c>
    </row>
    <row r="24338" spans="1:9">
      <c r="A24338" s="22" t="str">
        <f>HYPERLINK("https://app.vivvix.com/360/KMI/IntelliDrive/ApplUI/Pages/CreativePages/CustomReportCreativeDetail.aspx?App=23&amp;ReportView=4&amp;Qid=1711279&amp;Row=24330&amp;Col=1","No Title Assigned - #15283431501")</f>
        <v/>
      </c>
      <c r="B24338" s="0" t="s">
        <v>32591</v>
      </c>
      <c r="E24338" s="0" t="inlineStr">
        <is>
          <t xml:space="preserve">Mazda</t>
        </is>
      </c>
      <c r="F24338" s="0" t="inlineStr">
        <is>
          <t xml:space="preserve">Mazda</t>
        </is>
      </c>
      <c r="G24338" s="0" t="s">
        <v>171</v>
      </c>
      <c r="H24338" s="5">
        <v>996.905900</v>
      </c>
    </row>
    <row r="24339" spans="1:9">
      <c r="A24339" s="22" t="str">
        <f>HYPERLINK("https://app.vivvix.com/360/KMI/IntelliDrive/ApplUI/Pages/CreativePages/CustomReportCreativeDetail.aspx?App=23&amp;ReportView=4&amp;Qid=1711279&amp;Row=24331&amp;Col=1","No Title Assigned - #15283433846")</f>
        <v/>
      </c>
      <c r="B24339" s="0" t="s">
        <v>32592</v>
      </c>
      <c r="C24339" s="0" t="s">
        <v>32593</v>
      </c>
      <c r="D24339" s="0" t="s">
        <v>32593</v>
      </c>
      <c r="E24339" s="0" t="inlineStr">
        <is>
          <t xml:space="preserve">Mazda</t>
        </is>
      </c>
      <c r="F24339" s="0" t="s">
        <v>13</v>
      </c>
      <c r="G24339" s="0" t="s">
        <v>49</v>
      </c>
      <c r="H24339" s="5">
        <v>9969.059000</v>
      </c>
    </row>
    <row r="24340" spans="1:9">
      <c r="A24340" s="22" t="str">
        <f>HYPERLINK("https://app.vivvix.com/360/KMI/IntelliDrive/ApplUI/Pages/CreativePages/CustomReportCreativeDetail.aspx?App=23&amp;ReportView=4&amp;Qid=1711279&amp;Row=24332&amp;Col=1","No Title Assigned - #15283434426")</f>
        <v/>
      </c>
      <c r="B24340" s="0" t="s">
        <v>32594</v>
      </c>
      <c r="E24340" s="0" t="inlineStr">
        <is>
          <t xml:space="preserve">Mazda</t>
        </is>
      </c>
      <c r="F24340" s="0" t="inlineStr">
        <is>
          <t xml:space="preserve">Mazda</t>
        </is>
      </c>
      <c r="G24340" s="0" t="s">
        <v>171</v>
      </c>
      <c r="H24340" s="5">
        <v>4918.268100</v>
      </c>
    </row>
    <row r="24341" spans="1:9">
      <c r="A24341" s="22" t="str">
        <f>HYPERLINK("https://app.vivvix.com/360/KMI/IntelliDrive/ApplUI/Pages/CreativePages/CustomReportCreativeDetail.aspx?App=23&amp;ReportView=4&amp;Qid=1711279&amp;Row=24333&amp;Col=1","No Title Assigned - #15283446124")</f>
        <v/>
      </c>
      <c r="B24341" s="0" t="s">
        <v>32595</v>
      </c>
      <c r="C24341" s="0" t="s">
        <v>32596</v>
      </c>
      <c r="D24341" s="0" t="s">
        <v>32596</v>
      </c>
      <c r="E24341" s="0" t="inlineStr">
        <is>
          <t xml:space="preserve">Mazda</t>
        </is>
      </c>
      <c r="F24341" s="0" t="s">
        <v>13</v>
      </c>
      <c r="G24341" s="0" t="s">
        <v>49</v>
      </c>
      <c r="H24341" s="5">
        <v>22483.009200</v>
      </c>
    </row>
    <row r="24342" spans="1:9">
      <c r="A24342" s="22" t="str">
        <f>HYPERLINK("https://app.vivvix.com/360/KMI/IntelliDrive/ApplUI/Pages/CreativePages/CustomReportCreativeDetail.aspx?App=23&amp;ReportView=4&amp;Qid=1711279&amp;Row=24334&amp;Col=1","No Title Assigned - #15283446474")</f>
        <v/>
      </c>
      <c r="B24342" s="0" t="s">
        <v>32597</v>
      </c>
      <c r="C24342" s="0" t="s">
        <v>32598</v>
      </c>
      <c r="D24342" s="0" t="s">
        <v>32598</v>
      </c>
      <c r="E24342" s="0" t="inlineStr">
        <is>
          <t xml:space="preserve">Mazda</t>
        </is>
      </c>
      <c r="F24342" s="0" t="inlineStr">
        <is>
          <t xml:space="preserve">Mazda</t>
        </is>
      </c>
      <c r="G24342" s="0" t="s">
        <v>210</v>
      </c>
      <c r="H24342" s="5">
        <v>1516.184300</v>
      </c>
    </row>
    <row r="24343" spans="1:9">
      <c r="A24343" s="22" t="str">
        <f>HYPERLINK("https://app.vivvix.com/360/KMI/IntelliDrive/ApplUI/Pages/CreativePages/CustomReportCreativeDetail.aspx?App=23&amp;ReportView=4&amp;Qid=1711279&amp;Row=24335&amp;Col=1","No Title Assigned - #15283446474")</f>
        <v/>
      </c>
      <c r="B24343" s="0" t="s">
        <v>32597</v>
      </c>
      <c r="E24343" s="0" t="inlineStr">
        <is>
          <t xml:space="preserve">Mazda</t>
        </is>
      </c>
      <c r="F24343" s="0" t="inlineStr">
        <is>
          <t xml:space="preserve">Mazda</t>
        </is>
      </c>
      <c r="G24343" s="0" t="s">
        <v>210</v>
      </c>
      <c r="H24343" s="5">
        <v>1250.106000</v>
      </c>
    </row>
    <row r="24344" spans="1:9">
      <c r="A24344" s="22" t="str">
        <f>HYPERLINK("https://app.vivvix.com/360/KMI/IntelliDrive/ApplUI/Pages/CreativePages/CustomReportCreativeDetail.aspx?App=23&amp;ReportView=4&amp;Qid=1711279&amp;Row=24336&amp;Col=1","No Title Assigned - #15283448682")</f>
        <v/>
      </c>
      <c r="B24344" s="0" t="s">
        <v>32599</v>
      </c>
      <c r="C24344" s="0" t="s">
        <v>32600</v>
      </c>
      <c r="D24344" s="0" t="s">
        <v>18549</v>
      </c>
      <c r="E24344" s="0" t="inlineStr">
        <is>
          <t xml:space="preserve">Mazda</t>
        </is>
      </c>
      <c r="F24344" s="0" t="s">
        <v>13</v>
      </c>
      <c r="G24344" s="0" t="s">
        <v>49</v>
      </c>
      <c r="H24344" s="5">
        <v>5746.160600</v>
      </c>
    </row>
    <row r="24345" spans="1:9">
      <c r="A24345" s="22" t="str">
        <f>HYPERLINK("https://app.vivvix.com/360/KMI/IntelliDrive/ApplUI/Pages/CreativePages/CustomReportCreativeDetail.aspx?App=23&amp;ReportView=4&amp;Qid=1711279&amp;Row=24337&amp;Col=1","No Title Assigned - #15283448908")</f>
        <v/>
      </c>
      <c r="B24345" s="0" t="s">
        <v>32601</v>
      </c>
      <c r="C24345" s="0" t="s">
        <v>32602</v>
      </c>
      <c r="D24345" s="0" t="s">
        <v>32602</v>
      </c>
      <c r="E24345" s="0" t="inlineStr">
        <is>
          <t xml:space="preserve">Mazda</t>
        </is>
      </c>
      <c r="F24345" s="0" t="s">
        <v>13</v>
      </c>
      <c r="G24345" s="0" t="s">
        <v>49</v>
      </c>
      <c r="H24345" s="5">
        <v>3444.588000</v>
      </c>
    </row>
    <row r="24346" spans="1:9">
      <c r="A24346" s="22" t="str">
        <f>HYPERLINK("https://app.vivvix.com/360/KMI/IntelliDrive/ApplUI/Pages/CreativePages/CustomReportCreativeDetail.aspx?App=23&amp;ReportView=4&amp;Qid=1711279&amp;Row=24338&amp;Col=1","No Title Assigned - #15283450618")</f>
        <v/>
      </c>
      <c r="B24346" s="0" t="s">
        <v>32603</v>
      </c>
      <c r="C24346" s="0" t="s">
        <v>32604</v>
      </c>
      <c r="D24346" s="0" t="s">
        <v>32604</v>
      </c>
      <c r="E24346" s="0" t="inlineStr">
        <is>
          <t xml:space="preserve">Mazda</t>
        </is>
      </c>
      <c r="F24346" s="0" t="s">
        <v>13</v>
      </c>
      <c r="G24346" s="0" t="s">
        <v>49</v>
      </c>
      <c r="H24346" s="5">
        <v>513.600000</v>
      </c>
    </row>
    <row r="24347" spans="1:9">
      <c r="A24347" s="22" t="str">
        <f>HYPERLINK("https://app.vivvix.com/360/KMI/IntelliDrive/ApplUI/Pages/CreativePages/CustomReportCreativeDetail.aspx?App=23&amp;ReportView=4&amp;Qid=1711279&amp;Row=24339&amp;Col=1","No Title Assigned - #15283450839")</f>
        <v/>
      </c>
      <c r="B24347" s="0" t="s">
        <v>32605</v>
      </c>
      <c r="C24347" s="0" t="s">
        <v>32606</v>
      </c>
      <c r="D24347" s="0" t="s">
        <v>32606</v>
      </c>
      <c r="E24347" s="0" t="inlineStr">
        <is>
          <t xml:space="preserve">Mazda</t>
        </is>
      </c>
      <c r="F24347" s="0" t="s">
        <v>13</v>
      </c>
      <c r="G24347" s="0" t="s">
        <v>49</v>
      </c>
      <c r="H24347" s="5">
        <v>216.236400</v>
      </c>
    </row>
    <row r="24348" spans="1:9">
      <c r="A24348" s="22" t="str">
        <f>HYPERLINK("https://app.vivvix.com/360/KMI/IntelliDrive/ApplUI/Pages/CreativePages/CustomReportCreativeDetail.aspx?App=23&amp;ReportView=4&amp;Qid=1711279&amp;Row=24340&amp;Col=1","No Title Assigned - #15283451113")</f>
        <v/>
      </c>
      <c r="B24348" s="0" t="s">
        <v>32607</v>
      </c>
      <c r="C24348" s="0" t="s">
        <v>32608</v>
      </c>
      <c r="D24348" s="0" t="s">
        <v>32407</v>
      </c>
      <c r="E24348" s="0" t="inlineStr">
        <is>
          <t xml:space="preserve">Mazda</t>
        </is>
      </c>
      <c r="F24348" s="0" t="s">
        <v>13</v>
      </c>
      <c r="G24348" s="0" t="s">
        <v>49</v>
      </c>
      <c r="H24348" s="5">
        <v>5206.008300</v>
      </c>
    </row>
    <row r="24349" spans="1:9">
      <c r="A24349" s="22" t="str">
        <f>HYPERLINK("https://app.vivvix.com/360/KMI/IntelliDrive/ApplUI/Pages/CreativePages/CustomReportCreativeDetail.aspx?App=23&amp;ReportView=4&amp;Qid=1711279&amp;Row=24341&amp;Col=1","No Title Assigned - #15283451199")</f>
        <v/>
      </c>
      <c r="B24349" s="0" t="s">
        <v>32609</v>
      </c>
      <c r="C24349" s="0" t="s">
        <v>32610</v>
      </c>
      <c r="D24349" s="0" t="s">
        <v>4335</v>
      </c>
      <c r="E24349" s="0" t="inlineStr">
        <is>
          <t xml:space="preserve">Mazda</t>
        </is>
      </c>
      <c r="F24349" s="0" t="s">
        <v>13</v>
      </c>
      <c r="G24349" s="0" t="s">
        <v>49</v>
      </c>
      <c r="H24349" s="5">
        <v>1509.344800</v>
      </c>
    </row>
    <row r="24350" spans="1:9">
      <c r="A24350" s="22" t="str">
        <f>HYPERLINK("https://app.vivvix.com/360/KMI/IntelliDrive/ApplUI/Pages/CreativePages/CustomReportCreativeDetail.aspx?App=23&amp;ReportView=4&amp;Qid=1711279&amp;Row=24342&amp;Col=1","No Title Assigned - #15283451229")</f>
        <v/>
      </c>
      <c r="B24350" s="0" t="s">
        <v>32611</v>
      </c>
      <c r="C24350" s="0" t="s">
        <v>32612</v>
      </c>
      <c r="D24350" s="0" t="s">
        <v>32612</v>
      </c>
      <c r="E24350" s="0" t="inlineStr">
        <is>
          <t xml:space="preserve">Mazda</t>
        </is>
      </c>
      <c r="F24350" s="0" t="s">
        <v>13</v>
      </c>
      <c r="G24350" s="0" t="s">
        <v>49</v>
      </c>
      <c r="H24350" s="5">
        <v>28739.984300</v>
      </c>
    </row>
    <row r="24351" spans="1:9">
      <c r="A24351" s="22" t="str">
        <f>HYPERLINK("https://app.vivvix.com/360/KMI/IntelliDrive/ApplUI/Pages/CreativePages/CustomReportCreativeDetail.aspx?App=23&amp;ReportView=4&amp;Qid=1711279&amp;Row=24343&amp;Col=1","No Title Assigned - #15283451495")</f>
        <v/>
      </c>
      <c r="B24351" s="0" t="s">
        <v>32613</v>
      </c>
      <c r="C24351" s="0" t="s">
        <v>32614</v>
      </c>
      <c r="D24351" s="0" t="s">
        <v>32614</v>
      </c>
      <c r="E24351" s="0" t="inlineStr">
        <is>
          <t xml:space="preserve">Mazda</t>
        </is>
      </c>
      <c r="F24351" s="0" t="s">
        <v>13</v>
      </c>
      <c r="G24351" s="0" t="s">
        <v>49</v>
      </c>
      <c r="H24351" s="5">
        <v>15971.486300</v>
      </c>
    </row>
    <row r="24352" spans="1:9">
      <c r="A24352" s="22" t="str">
        <f>HYPERLINK("https://app.vivvix.com/360/KMI/IntelliDrive/ApplUI/Pages/CreativePages/CustomReportCreativeDetail.aspx?App=23&amp;ReportView=4&amp;Qid=1711279&amp;Row=24344&amp;Col=1","No Title Assigned - #15283452807")</f>
        <v/>
      </c>
      <c r="B24352" s="0" t="s">
        <v>32615</v>
      </c>
      <c r="C24352" s="0" t="s">
        <v>32616</v>
      </c>
      <c r="D24352" s="0" t="s">
        <v>32616</v>
      </c>
      <c r="E24352" s="0" t="inlineStr">
        <is>
          <t xml:space="preserve">Mazda</t>
        </is>
      </c>
      <c r="F24352" s="0" t="s">
        <v>13</v>
      </c>
      <c r="G24352" s="0" t="s">
        <v>49</v>
      </c>
      <c r="H24352" s="5">
        <v>122049.539900</v>
      </c>
    </row>
    <row r="24353" spans="1:9">
      <c r="A24353" s="22" t="str">
        <f>HYPERLINK("https://app.vivvix.com/360/KMI/IntelliDrive/ApplUI/Pages/CreativePages/CustomReportCreativeDetail.aspx?App=23&amp;ReportView=4&amp;Qid=1711279&amp;Row=24345&amp;Col=1","No Title Assigned - #15283454332")</f>
        <v/>
      </c>
      <c r="B24353" s="0" t="s">
        <v>32617</v>
      </c>
      <c r="C24353" s="0" t="s">
        <v>32618</v>
      </c>
      <c r="D24353" s="0" t="s">
        <v>32618</v>
      </c>
      <c r="E24353" s="0" t="inlineStr">
        <is>
          <t xml:space="preserve">Mazda</t>
        </is>
      </c>
      <c r="F24353" s="0" t="s">
        <v>13</v>
      </c>
      <c r="G24353" s="0" t="s">
        <v>49</v>
      </c>
      <c r="H24353" s="5">
        <v>2578.676500</v>
      </c>
    </row>
    <row r="24354" spans="1:9">
      <c r="A24354" s="22" t="str">
        <f>HYPERLINK("https://app.vivvix.com/360/KMI/IntelliDrive/ApplUI/Pages/CreativePages/CustomReportCreativeDetail.aspx?App=23&amp;ReportView=4&amp;Qid=1711279&amp;Row=24346&amp;Col=1","No Title Assigned - #15283456026")</f>
        <v/>
      </c>
      <c r="B24354" s="0" t="s">
        <v>32619</v>
      </c>
      <c r="C24354" s="0" t="s">
        <v>32620</v>
      </c>
      <c r="D24354" s="0" t="s">
        <v>32620</v>
      </c>
      <c r="E24354" s="0" t="inlineStr">
        <is>
          <t xml:space="preserve">Mazda</t>
        </is>
      </c>
      <c r="F24354" s="0" t="s">
        <v>13</v>
      </c>
      <c r="G24354" s="0" t="s">
        <v>49</v>
      </c>
      <c r="H24354" s="5">
        <v>5981.435400</v>
      </c>
    </row>
    <row r="24355" spans="1:9">
      <c r="A24355" s="22" t="str">
        <f>HYPERLINK("https://app.vivvix.com/360/KMI/IntelliDrive/ApplUI/Pages/CreativePages/CustomReportCreativeDetail.aspx?App=23&amp;ReportView=4&amp;Qid=1711279&amp;Row=24347&amp;Col=1","No Title Assigned - #15283457758")</f>
        <v/>
      </c>
      <c r="B24355" s="0" t="s">
        <v>32621</v>
      </c>
      <c r="C24355" s="0" t="s">
        <v>32622</v>
      </c>
      <c r="D24355" s="0" t="s">
        <v>32622</v>
      </c>
      <c r="E24355" s="0" t="inlineStr">
        <is>
          <t xml:space="preserve">Mazda</t>
        </is>
      </c>
      <c r="F24355" s="0" t="s">
        <v>13</v>
      </c>
      <c r="G24355" s="0" t="s">
        <v>49</v>
      </c>
      <c r="H24355" s="5">
        <v>788.576500</v>
      </c>
    </row>
    <row r="24356" spans="1:9">
      <c r="A24356" s="22" t="str">
        <f>HYPERLINK("https://app.vivvix.com/360/KMI/IntelliDrive/ApplUI/Pages/CreativePages/CustomReportCreativeDetail.aspx?App=23&amp;ReportView=4&amp;Qid=1711279&amp;Row=24348&amp;Col=1","No Title Assigned - #15283458503")</f>
        <v/>
      </c>
      <c r="B24356" s="0" t="s">
        <v>32623</v>
      </c>
      <c r="C24356" s="0" t="s">
        <v>32624</v>
      </c>
      <c r="D24356" s="0" t="s">
        <v>32624</v>
      </c>
      <c r="E24356" s="0" t="inlineStr">
        <is>
          <t xml:space="preserve">Mazda</t>
        </is>
      </c>
      <c r="F24356" s="0" t="s">
        <v>13</v>
      </c>
      <c r="G24356" s="0" t="s">
        <v>49</v>
      </c>
      <c r="H24356" s="5">
        <v>3188.937700</v>
      </c>
    </row>
    <row r="24357" spans="1:9">
      <c r="A24357" s="22" t="str">
        <f>HYPERLINK("https://app.vivvix.com/360/KMI/IntelliDrive/ApplUI/Pages/CreativePages/CustomReportCreativeDetail.aspx?App=23&amp;ReportView=4&amp;Qid=1711279&amp;Row=24349&amp;Col=1","No Title Assigned - #15283458956")</f>
        <v/>
      </c>
      <c r="B24357" s="0" t="s">
        <v>32625</v>
      </c>
      <c r="C24357" s="0" t="s">
        <v>32626</v>
      </c>
      <c r="D24357" s="0" t="s">
        <v>32624</v>
      </c>
      <c r="E24357" s="0" t="inlineStr">
        <is>
          <t xml:space="preserve">Mazda</t>
        </is>
      </c>
      <c r="F24357" s="0" t="s">
        <v>13</v>
      </c>
      <c r="G24357" s="0" t="s">
        <v>49</v>
      </c>
      <c r="H24357" s="5">
        <v>821.589900</v>
      </c>
    </row>
    <row r="24358" spans="1:9">
      <c r="A24358" s="22" t="str">
        <f>HYPERLINK("https://app.vivvix.com/360/KMI/IntelliDrive/ApplUI/Pages/CreativePages/CustomReportCreativeDetail.aspx?App=23&amp;ReportView=4&amp;Qid=1711279&amp;Row=24350&amp;Col=1","No Title Assigned - #15283459239")</f>
        <v/>
      </c>
      <c r="B24358" s="0" t="s">
        <v>32627</v>
      </c>
      <c r="C24358" s="0" t="s">
        <v>32628</v>
      </c>
      <c r="D24358" s="0" t="s">
        <v>32628</v>
      </c>
      <c r="E24358" s="0" t="inlineStr">
        <is>
          <t xml:space="preserve">Mazda</t>
        </is>
      </c>
      <c r="F24358" s="0" t="s">
        <v>13</v>
      </c>
      <c r="G24358" s="0" t="s">
        <v>49</v>
      </c>
      <c r="H24358" s="5">
        <v>130.694100</v>
      </c>
    </row>
    <row r="24359" spans="1:9">
      <c r="A24359" s="22" t="str">
        <f>HYPERLINK("https://app.vivvix.com/360/KMI/IntelliDrive/ApplUI/Pages/CreativePages/CustomReportCreativeDetail.aspx?App=23&amp;ReportView=4&amp;Qid=1711279&amp;Row=24351&amp;Col=1","No Title Assigned - #15283459754")</f>
        <v/>
      </c>
      <c r="B24359" s="0" t="s">
        <v>32629</v>
      </c>
      <c r="E24359" s="0" t="inlineStr">
        <is>
          <t xml:space="preserve">Mazda</t>
        </is>
      </c>
      <c r="F24359" s="0" t="inlineStr">
        <is>
          <t xml:space="preserve">Mazda</t>
        </is>
      </c>
      <c r="G24359" s="0" t="s">
        <v>171</v>
      </c>
      <c r="H24359" s="5">
        <v>1510.530600</v>
      </c>
    </row>
    <row r="24360" spans="1:9">
      <c r="A24360" s="22" t="str">
        <f>HYPERLINK("https://app.vivvix.com/360/KMI/IntelliDrive/ApplUI/Pages/CreativePages/CustomReportCreativeDetail.aspx?App=23&amp;ReportView=4&amp;Qid=1711279&amp;Row=24352&amp;Col=1","No Title Assigned - #15283460225")</f>
        <v/>
      </c>
      <c r="B24360" s="0" t="s">
        <v>32630</v>
      </c>
      <c r="C24360" s="0" t="s">
        <v>32631</v>
      </c>
      <c r="D24360" s="0" t="s">
        <v>32631</v>
      </c>
      <c r="E24360" s="0" t="inlineStr">
        <is>
          <t xml:space="preserve">Mazda</t>
        </is>
      </c>
      <c r="F24360" s="0" t="s">
        <v>13</v>
      </c>
      <c r="G24360" s="0" t="s">
        <v>49</v>
      </c>
      <c r="H24360" s="5">
        <v>996.905900</v>
      </c>
    </row>
    <row r="24361" spans="1:9">
      <c r="A24361" s="22" t="str">
        <f>HYPERLINK("https://app.vivvix.com/360/KMI/IntelliDrive/ApplUI/Pages/CreativePages/CustomReportCreativeDetail.aspx?App=23&amp;ReportView=4&amp;Qid=1711279&amp;Row=24353&amp;Col=1","No Title Assigned - #15283460236")</f>
        <v/>
      </c>
      <c r="B24361" s="0" t="s">
        <v>32632</v>
      </c>
      <c r="C24361" s="0" t="s">
        <v>32633</v>
      </c>
      <c r="D24361" s="0" t="s">
        <v>32633</v>
      </c>
      <c r="E24361" s="0" t="inlineStr">
        <is>
          <t xml:space="preserve">Mazda</t>
        </is>
      </c>
      <c r="F24361" s="0" t="s">
        <v>13</v>
      </c>
      <c r="G24361" s="0" t="s">
        <v>49</v>
      </c>
      <c r="H24361" s="5">
        <v>996.905900</v>
      </c>
    </row>
    <row r="24362" spans="1:9">
      <c r="A24362" s="22" t="str">
        <f>HYPERLINK("https://app.vivvix.com/360/KMI/IntelliDrive/ApplUI/Pages/CreativePages/CustomReportCreativeDetail.aspx?App=23&amp;ReportView=4&amp;Qid=1711279&amp;Row=24354&amp;Col=1","No Title Assigned - #15283460468")</f>
        <v/>
      </c>
      <c r="B24362" s="0" t="s">
        <v>32634</v>
      </c>
      <c r="C24362" s="0" t="s">
        <v>32635</v>
      </c>
      <c r="D24362" s="0" t="s">
        <v>32635</v>
      </c>
      <c r="E24362" s="0" t="inlineStr">
        <is>
          <t xml:space="preserve">Mazda</t>
        </is>
      </c>
      <c r="F24362" s="0" t="s">
        <v>13</v>
      </c>
      <c r="G24362" s="0" t="s">
        <v>49</v>
      </c>
      <c r="H24362" s="5">
        <v>2348.946200</v>
      </c>
    </row>
    <row r="24363" spans="1:9">
      <c r="A24363" s="22" t="str">
        <f>HYPERLINK("https://app.vivvix.com/360/KMI/IntelliDrive/ApplUI/Pages/CreativePages/CustomReportCreativeDetail.aspx?App=23&amp;ReportView=4&amp;Qid=1711279&amp;Row=24355&amp;Col=1","No Title Assigned - #15283460923")</f>
        <v/>
      </c>
      <c r="B24363" s="0" t="s">
        <v>32636</v>
      </c>
      <c r="C24363" s="0" t="s">
        <v>32637</v>
      </c>
      <c r="D24363" s="0" t="s">
        <v>32637</v>
      </c>
      <c r="E24363" s="0" t="inlineStr">
        <is>
          <t xml:space="preserve">Mazda</t>
        </is>
      </c>
      <c r="F24363" s="0" t="s">
        <v>13</v>
      </c>
      <c r="G24363" s="0" t="s">
        <v>49</v>
      </c>
      <c r="H24363" s="5">
        <v>5.768200</v>
      </c>
    </row>
    <row r="24364" spans="1:9">
      <c r="A24364" s="22" t="str">
        <f>HYPERLINK("https://app.vivvix.com/360/KMI/IntelliDrive/ApplUI/Pages/CreativePages/CustomReportCreativeDetail.aspx?App=23&amp;ReportView=4&amp;Qid=1711279&amp;Row=24356&amp;Col=1","No Title Assigned - #15283461190")</f>
        <v/>
      </c>
      <c r="B24364" s="0" t="s">
        <v>32638</v>
      </c>
      <c r="C24364" s="0" t="s">
        <v>32639</v>
      </c>
      <c r="D24364" s="0" t="s">
        <v>32407</v>
      </c>
      <c r="E24364" s="0" t="inlineStr">
        <is>
          <t xml:space="preserve">Mazda</t>
        </is>
      </c>
      <c r="F24364" s="0" t="s">
        <v>13</v>
      </c>
      <c r="G24364" s="0" t="s">
        <v>49</v>
      </c>
      <c r="H24364" s="5">
        <v>433.709300</v>
      </c>
    </row>
    <row r="24365" spans="1:9">
      <c r="A24365" s="22" t="str">
        <f>HYPERLINK("https://app.vivvix.com/360/KMI/IntelliDrive/ApplUI/Pages/CreativePages/CustomReportCreativeDetail.aspx?App=23&amp;ReportView=4&amp;Qid=1711279&amp;Row=24357&amp;Col=1","No Title Assigned - #15283462409")</f>
        <v/>
      </c>
      <c r="B24365" s="0" t="s">
        <v>32640</v>
      </c>
      <c r="C24365" s="0" t="s">
        <v>32641</v>
      </c>
      <c r="D24365" s="0" t="s">
        <v>32641</v>
      </c>
      <c r="E24365" s="0" t="inlineStr">
        <is>
          <t xml:space="preserve">Mazda</t>
        </is>
      </c>
      <c r="F24365" s="0" t="s">
        <v>21</v>
      </c>
      <c r="G24365" s="0" t="s">
        <v>22</v>
      </c>
      <c r="H24365" s="5">
        <v>152.134600</v>
      </c>
    </row>
    <row r="24366" spans="1:9">
      <c r="A24366" s="22" t="str">
        <f>HYPERLINK("https://app.vivvix.com/360/KMI/IntelliDrive/ApplUI/Pages/CreativePages/CustomReportCreativeDetail.aspx?App=23&amp;ReportView=4&amp;Qid=1711279&amp;Row=24358&amp;Col=1","No Title Assigned - #15283462565")</f>
        <v/>
      </c>
      <c r="B24366" s="0" t="s">
        <v>32642</v>
      </c>
      <c r="C24366" s="0" t="s">
        <v>32643</v>
      </c>
      <c r="D24366" s="0" t="s">
        <v>32643</v>
      </c>
      <c r="E24366" s="0" t="inlineStr">
        <is>
          <t xml:space="preserve">Mazda</t>
        </is>
      </c>
      <c r="F24366" s="0" t="s">
        <v>13</v>
      </c>
      <c r="G24366" s="0" t="s">
        <v>49</v>
      </c>
      <c r="H24366" s="5">
        <v>2.884100</v>
      </c>
    </row>
    <row r="24367" spans="1:9">
      <c r="A24367" s="22" t="str">
        <f>HYPERLINK("https://app.vivvix.com/360/KMI/IntelliDrive/ApplUI/Pages/CreativePages/CustomReportCreativeDetail.aspx?App=23&amp;ReportView=4&amp;Qid=1711279&amp;Row=24359&amp;Col=1","No Title Assigned - #15283463596")</f>
        <v/>
      </c>
      <c r="B24367" s="0" t="s">
        <v>32644</v>
      </c>
      <c r="C24367" s="0" t="s">
        <v>32645</v>
      </c>
      <c r="D24367" s="0" t="s">
        <v>32645</v>
      </c>
      <c r="E24367" s="0" t="inlineStr">
        <is>
          <t xml:space="preserve">Mazda</t>
        </is>
      </c>
      <c r="F24367" s="0" t="s">
        <v>13</v>
      </c>
      <c r="G24367" s="0" t="s">
        <v>49</v>
      </c>
      <c r="H24367" s="5">
        <v>5206.008300</v>
      </c>
    </row>
    <row r="24368" spans="1:9">
      <c r="A24368" s="22" t="str">
        <f>HYPERLINK("https://app.vivvix.com/360/KMI/IntelliDrive/ApplUI/Pages/CreativePages/CustomReportCreativeDetail.aspx?App=23&amp;ReportView=4&amp;Qid=1711279&amp;Row=24360&amp;Col=1","No Title Assigned - #15283463897")</f>
        <v/>
      </c>
      <c r="B24368" s="0" t="s">
        <v>32646</v>
      </c>
      <c r="E24368" s="0" t="inlineStr">
        <is>
          <t xml:space="preserve">Mazda</t>
        </is>
      </c>
      <c r="F24368" s="0" t="s">
        <v>13</v>
      </c>
      <c r="G24368" s="0" t="s">
        <v>49</v>
      </c>
      <c r="H24368" s="5">
        <v>139.160700</v>
      </c>
    </row>
    <row r="24369" spans="1:9">
      <c r="A24369" s="22" t="str">
        <f>HYPERLINK("https://app.vivvix.com/360/KMI/IntelliDrive/ApplUI/Pages/CreativePages/CustomReportCreativeDetail.aspx?App=23&amp;ReportView=4&amp;Qid=1711279&amp;Row=24361&amp;Col=1","No Title Assigned - #15283463958")</f>
        <v/>
      </c>
      <c r="B24369" s="0" t="s">
        <v>32647</v>
      </c>
      <c r="C24369" s="0" t="s">
        <v>32648</v>
      </c>
      <c r="D24369" s="0" t="s">
        <v>32648</v>
      </c>
      <c r="E24369" s="0" t="inlineStr">
        <is>
          <t xml:space="preserve">Mazda</t>
        </is>
      </c>
      <c r="F24369" s="0" t="s">
        <v>13</v>
      </c>
      <c r="G24369" s="0" t="s">
        <v>49</v>
      </c>
      <c r="H24369" s="5">
        <v>438.325200</v>
      </c>
    </row>
    <row r="24370" spans="1:9">
      <c r="A24370" s="22" t="str">
        <f>HYPERLINK("https://app.vivvix.com/360/KMI/IntelliDrive/ApplUI/Pages/CreativePages/CustomReportCreativeDetail.aspx?App=23&amp;ReportView=4&amp;Qid=1711279&amp;Row=24362&amp;Col=1","No Title Assigned - #15283464218")</f>
        <v/>
      </c>
      <c r="B24370" s="0" t="s">
        <v>32649</v>
      </c>
      <c r="C24370" s="0" t="s">
        <v>32650</v>
      </c>
      <c r="D24370" s="0" t="s">
        <v>32650</v>
      </c>
      <c r="E24370" s="0" t="inlineStr">
        <is>
          <t xml:space="preserve">Mazda</t>
        </is>
      </c>
      <c r="F24370" s="0" t="s">
        <v>13</v>
      </c>
      <c r="G24370" s="0" t="s">
        <v>49</v>
      </c>
      <c r="H24370" s="5">
        <v>2348.946200</v>
      </c>
    </row>
    <row r="24371" spans="1:9">
      <c r="A24371" s="22" t="str">
        <f>HYPERLINK("https://app.vivvix.com/360/KMI/IntelliDrive/ApplUI/Pages/CreativePages/CustomReportCreativeDetail.aspx?App=23&amp;ReportView=4&amp;Qid=1711279&amp;Row=24363&amp;Col=1","No Title Assigned - #15283465473")</f>
        <v/>
      </c>
      <c r="B24371" s="0" t="s">
        <v>32651</v>
      </c>
      <c r="C24371" s="0" t="s">
        <v>32652</v>
      </c>
      <c r="D24371" s="0" t="s">
        <v>32652</v>
      </c>
      <c r="E24371" s="0" t="inlineStr">
        <is>
          <t xml:space="preserve">Mazda</t>
        </is>
      </c>
      <c r="F24371" s="0" t="s">
        <v>13</v>
      </c>
      <c r="G24371" s="0" t="s">
        <v>49</v>
      </c>
      <c r="H24371" s="5">
        <v>1174.473100</v>
      </c>
    </row>
    <row r="24372" spans="1:9">
      <c r="A24372" s="22" t="str">
        <f>HYPERLINK("https://app.vivvix.com/360/KMI/IntelliDrive/ApplUI/Pages/CreativePages/CustomReportCreativeDetail.aspx?App=23&amp;ReportView=4&amp;Qid=1711279&amp;Row=24364&amp;Col=1","No Title Assigned - #15283465693")</f>
        <v/>
      </c>
      <c r="B24372" s="0" t="s">
        <v>32653</v>
      </c>
      <c r="C24372" s="0" t="s">
        <v>32654</v>
      </c>
      <c r="D24372" s="0" t="s">
        <v>32654</v>
      </c>
      <c r="E24372" s="0" t="inlineStr">
        <is>
          <t xml:space="preserve">Mazda</t>
        </is>
      </c>
      <c r="F24372" s="0" t="s">
        <v>13</v>
      </c>
      <c r="G24372" s="0" t="s">
        <v>49</v>
      </c>
      <c r="H24372" s="5">
        <v>4729.537500</v>
      </c>
    </row>
    <row r="24373" spans="1:9">
      <c r="A24373" s="22" t="str">
        <f>HYPERLINK("https://app.vivvix.com/360/KMI/IntelliDrive/ApplUI/Pages/CreativePages/CustomReportCreativeDetail.aspx?App=23&amp;ReportView=4&amp;Qid=1711279&amp;Row=24365&amp;Col=1","No Title Assigned - #15283466350")</f>
        <v/>
      </c>
      <c r="B24373" s="0" t="s">
        <v>32655</v>
      </c>
      <c r="E24373" s="0" t="inlineStr">
        <is>
          <t xml:space="preserve">Mazda</t>
        </is>
      </c>
      <c r="F24373" s="0" t="inlineStr">
        <is>
          <t xml:space="preserve">Mazda</t>
        </is>
      </c>
      <c r="G24373" s="0" t="s">
        <v>171</v>
      </c>
      <c r="H24373" s="5">
        <v>7421.500300</v>
      </c>
    </row>
    <row r="24374" spans="1:9">
      <c r="A24374" s="22" t="str">
        <f>HYPERLINK("https://app.vivvix.com/360/KMI/IntelliDrive/ApplUI/Pages/CreativePages/CustomReportCreativeDetail.aspx?App=23&amp;ReportView=4&amp;Qid=1711279&amp;Row=24366&amp;Col=1","No Title Assigned - #15283466357")</f>
        <v/>
      </c>
      <c r="B24374" s="0" t="s">
        <v>32656</v>
      </c>
      <c r="C24374" s="0" t="s">
        <v>32657</v>
      </c>
      <c r="D24374" s="0" t="s">
        <v>32657</v>
      </c>
      <c r="E24374" s="0" t="inlineStr">
        <is>
          <t xml:space="preserve">Mazda</t>
        </is>
      </c>
      <c r="F24374" s="0" t="inlineStr">
        <is>
          <t xml:space="preserve">Mazda</t>
        </is>
      </c>
      <c r="G24374" s="0" t="s">
        <v>171</v>
      </c>
      <c r="H24374" s="5">
        <v>481.700600</v>
      </c>
    </row>
    <row r="24375" spans="1:9">
      <c r="A24375" s="22" t="str">
        <f>HYPERLINK("https://app.vivvix.com/360/KMI/IntelliDrive/ApplUI/Pages/CreativePages/CustomReportCreativeDetail.aspx?App=23&amp;ReportView=4&amp;Qid=1711279&amp;Row=24367&amp;Col=1","No Title Assigned - #15283466431")</f>
        <v/>
      </c>
      <c r="B24375" s="0" t="s">
        <v>32658</v>
      </c>
      <c r="C24375" s="0" t="s">
        <v>32659</v>
      </c>
      <c r="D24375" s="0" t="s">
        <v>32659</v>
      </c>
      <c r="E24375" s="0" t="inlineStr">
        <is>
          <t xml:space="preserve">Mazda</t>
        </is>
      </c>
      <c r="F24375" s="0" t="s">
        <v>13</v>
      </c>
      <c r="G24375" s="0" t="s">
        <v>49</v>
      </c>
      <c r="H24375" s="5">
        <v>57.494200</v>
      </c>
    </row>
    <row r="24376" spans="1:9">
      <c r="A24376" s="22" t="str">
        <f>HYPERLINK("https://app.vivvix.com/360/KMI/IntelliDrive/ApplUI/Pages/CreativePages/CustomReportCreativeDetail.aspx?App=23&amp;ReportView=4&amp;Qid=1711279&amp;Row=24368&amp;Col=1","No Title Assigned - #15283466547")</f>
        <v/>
      </c>
      <c r="B24376" s="0" t="s">
        <v>32660</v>
      </c>
      <c r="E24376" s="0" t="inlineStr">
        <is>
          <t xml:space="preserve">Mazda</t>
        </is>
      </c>
      <c r="F24376" s="0" t="inlineStr">
        <is>
          <t xml:space="preserve">Mazda</t>
        </is>
      </c>
      <c r="G24376" s="0" t="s">
        <v>171</v>
      </c>
      <c r="H24376" s="5">
        <v>504.819600</v>
      </c>
    </row>
    <row r="24377" spans="1:9">
      <c r="A24377" s="22" t="str">
        <f>HYPERLINK("https://app.vivvix.com/360/KMI/IntelliDrive/ApplUI/Pages/CreativePages/CustomReportCreativeDetail.aspx?App=23&amp;ReportView=4&amp;Qid=1711279&amp;Row=24369&amp;Col=1","No Title Assigned - #15283466657")</f>
        <v/>
      </c>
      <c r="B24377" s="0" t="s">
        <v>32661</v>
      </c>
      <c r="C24377" s="0" t="s">
        <v>32662</v>
      </c>
      <c r="D24377" s="0" t="s">
        <v>32662</v>
      </c>
      <c r="E24377" s="0" t="inlineStr">
        <is>
          <t xml:space="preserve">Mazda</t>
        </is>
      </c>
      <c r="F24377" s="0" t="s">
        <v>17</v>
      </c>
      <c r="G24377" s="0" t="s">
        <v>33</v>
      </c>
      <c r="H24377" s="5">
        <v>69.838800</v>
      </c>
    </row>
    <row r="24378" spans="1:9">
      <c r="A24378" s="22" t="str">
        <f>HYPERLINK("https://app.vivvix.com/360/KMI/IntelliDrive/ApplUI/Pages/CreativePages/CustomReportCreativeDetail.aspx?App=23&amp;ReportView=4&amp;Qid=1711279&amp;Row=24370&amp;Col=1","No Title Assigned - #15283467743")</f>
        <v/>
      </c>
      <c r="B24378" s="0" t="s">
        <v>32663</v>
      </c>
      <c r="E24378" s="0" t="inlineStr">
        <is>
          <t xml:space="preserve">Mazda</t>
        </is>
      </c>
      <c r="F24378" s="0" t="inlineStr">
        <is>
          <t xml:space="preserve">Mazda</t>
        </is>
      </c>
      <c r="G24378" s="0" t="s">
        <v>171</v>
      </c>
      <c r="H24378" s="5">
        <v>4684.834800</v>
      </c>
    </row>
    <row r="24379" spans="1:9">
      <c r="A24379" s="22" t="str">
        <f>HYPERLINK("https://app.vivvix.com/360/KMI/IntelliDrive/ApplUI/Pages/CreativePages/CustomReportCreativeDetail.aspx?App=23&amp;ReportView=4&amp;Qid=1711279&amp;Row=24371&amp;Col=1","No Title Assigned - #15283467860")</f>
        <v/>
      </c>
      <c r="B24379" s="0" t="s">
        <v>32664</v>
      </c>
      <c r="E24379" s="0" t="inlineStr">
        <is>
          <t xml:space="preserve">Mazda</t>
        </is>
      </c>
      <c r="F24379" s="0" t="inlineStr">
        <is>
          <t xml:space="preserve">Mazda</t>
        </is>
      </c>
      <c r="G24379" s="0" t="s">
        <v>171</v>
      </c>
      <c r="H24379" s="5">
        <v>15629.327400</v>
      </c>
    </row>
    <row r="24380" spans="1:9">
      <c r="A24380" s="22" t="str">
        <f>HYPERLINK("https://app.vivvix.com/360/KMI/IntelliDrive/ApplUI/Pages/CreativePages/CustomReportCreativeDetail.aspx?App=23&amp;ReportView=4&amp;Qid=1711279&amp;Row=24372&amp;Col=1","No Title Assigned - #15283467930")</f>
        <v/>
      </c>
      <c r="B24380" s="0" t="s">
        <v>32665</v>
      </c>
      <c r="E24380" s="0" t="inlineStr">
        <is>
          <t xml:space="preserve">Mazda</t>
        </is>
      </c>
      <c r="F24380" s="0" t="inlineStr">
        <is>
          <t xml:space="preserve">Mazda</t>
        </is>
      </c>
      <c r="G24380" s="0" t="s">
        <v>171</v>
      </c>
      <c r="H24380" s="5">
        <v>28210.199200</v>
      </c>
    </row>
    <row r="24381" spans="1:9">
      <c r="A24381" s="22" t="str">
        <f>HYPERLINK("https://app.vivvix.com/360/KMI/IntelliDrive/ApplUI/Pages/CreativePages/CustomReportCreativeDetail.aspx?App=23&amp;ReportView=4&amp;Qid=1711279&amp;Row=24373&amp;Col=1","No Title Assigned - #15283468405")</f>
        <v/>
      </c>
      <c r="B24381" s="0" t="s">
        <v>32666</v>
      </c>
      <c r="E24381" s="0" t="inlineStr">
        <is>
          <t xml:space="preserve">Mazda</t>
        </is>
      </c>
      <c r="F24381" s="0" t="inlineStr">
        <is>
          <t xml:space="preserve">Mazda</t>
        </is>
      </c>
      <c r="G24381" s="0" t="s">
        <v>171</v>
      </c>
      <c r="H24381" s="5">
        <v>996.905900</v>
      </c>
    </row>
    <row r="24382" spans="1:9">
      <c r="A24382" s="22" t="str">
        <f>HYPERLINK("https://app.vivvix.com/360/KMI/IntelliDrive/ApplUI/Pages/CreativePages/CustomReportCreativeDetail.aspx?App=23&amp;ReportView=4&amp;Qid=1711279&amp;Row=24374&amp;Col=1","No Title Assigned - #15283469189")</f>
        <v/>
      </c>
      <c r="B24382" s="0" t="s">
        <v>32667</v>
      </c>
      <c r="E24382" s="0" t="inlineStr">
        <is>
          <t xml:space="preserve">Mazda</t>
        </is>
      </c>
      <c r="F24382" s="0" t="inlineStr">
        <is>
          <t xml:space="preserve">Mazda</t>
        </is>
      </c>
      <c r="G24382" s="0" t="s">
        <v>171</v>
      </c>
      <c r="H24382" s="5">
        <v>7027.252200</v>
      </c>
    </row>
    <row r="24383" spans="1:9">
      <c r="A24383" s="22" t="str">
        <f>HYPERLINK("https://app.vivvix.com/360/KMI/IntelliDrive/ApplUI/Pages/CreativePages/CustomReportCreativeDetail.aspx?App=23&amp;ReportView=4&amp;Qid=1711279&amp;Row=24375&amp;Col=1","No Title Assigned - #15283469383")</f>
        <v/>
      </c>
      <c r="B24383" s="0" t="s">
        <v>32668</v>
      </c>
      <c r="E24383" s="0" t="inlineStr">
        <is>
          <t xml:space="preserve">Mazda</t>
        </is>
      </c>
      <c r="F24383" s="0" t="inlineStr">
        <is>
          <t xml:space="preserve">Mazda</t>
        </is>
      </c>
      <c r="G24383" s="0" t="s">
        <v>171</v>
      </c>
      <c r="H24383" s="5">
        <v>1171.208700</v>
      </c>
    </row>
    <row r="24384" spans="1:9">
      <c r="A24384" s="22" t="str">
        <f>HYPERLINK("https://app.vivvix.com/360/KMI/IntelliDrive/ApplUI/Pages/CreativePages/CustomReportCreativeDetail.aspx?App=23&amp;ReportView=4&amp;Qid=1711279&amp;Row=24376&amp;Col=1","No Title Assigned - #15283469612")</f>
        <v/>
      </c>
      <c r="B24384" s="0" t="s">
        <v>32669</v>
      </c>
      <c r="E24384" s="0" t="inlineStr">
        <is>
          <t xml:space="preserve">Mazda</t>
        </is>
      </c>
      <c r="F24384" s="0" t="inlineStr">
        <is>
          <t xml:space="preserve">Mazda</t>
        </is>
      </c>
      <c r="G24384" s="0" t="s">
        <v>171</v>
      </c>
      <c r="H24384" s="5">
        <v>996.905900</v>
      </c>
    </row>
    <row r="24385" spans="1:9">
      <c r="A24385" s="22" t="str">
        <f>HYPERLINK("https://app.vivvix.com/360/KMI/IntelliDrive/ApplUI/Pages/CreativePages/CustomReportCreativeDetail.aspx?App=23&amp;ReportView=4&amp;Qid=1711279&amp;Row=24377&amp;Col=1","No Title Assigned - #15283470083")</f>
        <v/>
      </c>
      <c r="B24385" s="0" t="s">
        <v>32670</v>
      </c>
      <c r="C24385" s="0" t="s">
        <v>32671</v>
      </c>
      <c r="D24385" s="0" t="s">
        <v>24212</v>
      </c>
      <c r="E24385" s="0" t="inlineStr">
        <is>
          <t xml:space="preserve">Mazda</t>
        </is>
      </c>
      <c r="F24385" s="0" t="s">
        <v>13</v>
      </c>
      <c r="G24385" s="0" t="s">
        <v>49</v>
      </c>
      <c r="H24385" s="5">
        <v>4525.131500</v>
      </c>
    </row>
    <row r="24386" spans="1:9">
      <c r="A24386" s="22" t="str">
        <f>HYPERLINK("https://app.vivvix.com/360/KMI/IntelliDrive/ApplUI/Pages/CreativePages/CustomReportCreativeDetail.aspx?App=23&amp;ReportView=4&amp;Qid=1711279&amp;Row=24378&amp;Col=1","No Title Assigned - #15283471055")</f>
        <v/>
      </c>
      <c r="B24386" s="0" t="s">
        <v>32672</v>
      </c>
      <c r="C24386" s="0" t="s">
        <v>32673</v>
      </c>
      <c r="D24386" s="0" t="s">
        <v>32673</v>
      </c>
      <c r="E24386" s="0" t="inlineStr">
        <is>
          <t xml:space="preserve">Mazda</t>
        </is>
      </c>
      <c r="F24386" s="0" t="s">
        <v>13</v>
      </c>
      <c r="G24386" s="0" t="s">
        <v>49</v>
      </c>
      <c r="H24386" s="5">
        <v>996.905900</v>
      </c>
    </row>
    <row r="24387" spans="1:9">
      <c r="A24387" s="22" t="str">
        <f>HYPERLINK("https://app.vivvix.com/360/KMI/IntelliDrive/ApplUI/Pages/CreativePages/CustomReportCreativeDetail.aspx?App=23&amp;ReportView=4&amp;Qid=1711279&amp;Row=24379&amp;Col=1","No Title Assigned - #15283472296")</f>
        <v/>
      </c>
      <c r="B24387" s="0" t="s">
        <v>32674</v>
      </c>
      <c r="C24387" s="0" t="s">
        <v>32675</v>
      </c>
      <c r="D24387" s="0" t="s">
        <v>32675</v>
      </c>
      <c r="E24387" s="0" t="inlineStr">
        <is>
          <t xml:space="preserve">Mazda</t>
        </is>
      </c>
      <c r="F24387" s="0" t="s">
        <v>13</v>
      </c>
      <c r="G24387" s="0" t="s">
        <v>49</v>
      </c>
      <c r="H24387" s="5">
        <v>996.905900</v>
      </c>
    </row>
    <row r="24388" spans="1:9">
      <c r="A24388" s="22" t="str">
        <f>HYPERLINK("https://app.vivvix.com/360/KMI/IntelliDrive/ApplUI/Pages/CreativePages/CustomReportCreativeDetail.aspx?App=23&amp;ReportView=4&amp;Qid=1711279&amp;Row=24380&amp;Col=1","No Title Assigned - #15283473657")</f>
        <v/>
      </c>
      <c r="B24388" s="0" t="s">
        <v>32676</v>
      </c>
      <c r="C24388" s="0" t="s">
        <v>32677</v>
      </c>
      <c r="D24388" s="0" t="s">
        <v>32677</v>
      </c>
      <c r="E24388" s="0" t="inlineStr">
        <is>
          <t xml:space="preserve">Mazda</t>
        </is>
      </c>
      <c r="F24388" s="0" t="s">
        <v>13</v>
      </c>
      <c r="G24388" s="0" t="s">
        <v>49</v>
      </c>
      <c r="H24388" s="5">
        <v>1316.907800</v>
      </c>
    </row>
    <row r="24389" spans="1:9">
      <c r="A24389" s="22" t="str">
        <f>HYPERLINK("https://app.vivvix.com/360/KMI/IntelliDrive/ApplUI/Pages/CreativePages/CustomReportCreativeDetail.aspx?App=23&amp;ReportView=4&amp;Qid=1711279&amp;Row=24381&amp;Col=1","No Title Assigned - #15283474952")</f>
        <v/>
      </c>
      <c r="B24389" s="0" t="s">
        <v>32678</v>
      </c>
      <c r="C24389" s="0" t="s">
        <v>32679</v>
      </c>
      <c r="D24389" s="0" t="s">
        <v>32679</v>
      </c>
      <c r="E24389" s="0" t="inlineStr">
        <is>
          <t xml:space="preserve">Mazda</t>
        </is>
      </c>
      <c r="F24389" s="0" t="s">
        <v>13</v>
      </c>
      <c r="G24389" s="0" t="s">
        <v>49</v>
      </c>
      <c r="H24389" s="5">
        <v>928.965800</v>
      </c>
    </row>
    <row r="24390" spans="1:9">
      <c r="A24390" s="22" t="str">
        <f>HYPERLINK("https://app.vivvix.com/360/KMI/IntelliDrive/ApplUI/Pages/CreativePages/CustomReportCreativeDetail.aspx?App=23&amp;ReportView=4&amp;Qid=1711279&amp;Row=24382&amp;Col=1","No Title Assigned - #15283475171")</f>
        <v/>
      </c>
      <c r="B24390" s="0" t="s">
        <v>32680</v>
      </c>
      <c r="C24390" s="0" t="s">
        <v>32681</v>
      </c>
      <c r="D24390" s="0" t="s">
        <v>32681</v>
      </c>
      <c r="E24390" s="0" t="inlineStr">
        <is>
          <t xml:space="preserve">Mazda</t>
        </is>
      </c>
      <c r="F24390" s="0" t="s">
        <v>13</v>
      </c>
      <c r="G24390" s="0" t="s">
        <v>49</v>
      </c>
      <c r="H24390" s="5">
        <v>34.173400</v>
      </c>
    </row>
    <row r="24391" spans="1:9">
      <c r="A24391" s="22" t="str">
        <f>HYPERLINK("https://app.vivvix.com/360/KMI/IntelliDrive/ApplUI/Pages/CreativePages/CustomReportCreativeDetail.aspx?App=23&amp;ReportView=4&amp;Qid=1711279&amp;Row=24383&amp;Col=1","No Title Assigned - #15283475811")</f>
        <v/>
      </c>
      <c r="B24391" s="0" t="s">
        <v>32682</v>
      </c>
      <c r="C24391" s="0" t="s">
        <v>32683</v>
      </c>
      <c r="D24391" s="0" t="s">
        <v>32683</v>
      </c>
      <c r="E24391" s="0" t="inlineStr">
        <is>
          <t xml:space="preserve">Mazda</t>
        </is>
      </c>
      <c r="F24391" s="0" t="s">
        <v>13</v>
      </c>
      <c r="G24391" s="0" t="s">
        <v>49</v>
      </c>
      <c r="H24391" s="5">
        <v>8339.952200</v>
      </c>
    </row>
    <row r="24392" spans="1:9">
      <c r="A24392" s="22" t="str">
        <f>HYPERLINK("https://app.vivvix.com/360/KMI/IntelliDrive/ApplUI/Pages/CreativePages/CustomReportCreativeDetail.aspx?App=23&amp;ReportView=4&amp;Qid=1711279&amp;Row=24384&amp;Col=1","No Title Assigned - #15283476678")</f>
        <v/>
      </c>
      <c r="B24392" s="0" t="s">
        <v>32684</v>
      </c>
      <c r="C24392" s="0" t="s">
        <v>32685</v>
      </c>
      <c r="D24392" s="0" t="s">
        <v>32685</v>
      </c>
      <c r="E24392" s="0" t="inlineStr">
        <is>
          <t xml:space="preserve">Mazda</t>
        </is>
      </c>
      <c r="F24392" s="0" t="s">
        <v>13</v>
      </c>
      <c r="G24392" s="0" t="s">
        <v>49</v>
      </c>
      <c r="H24392" s="5">
        <v>3987.623600</v>
      </c>
    </row>
    <row r="24393" spans="1:9">
      <c r="A24393" s="22" t="str">
        <f>HYPERLINK("https://app.vivvix.com/360/KMI/IntelliDrive/ApplUI/Pages/CreativePages/CustomReportCreativeDetail.aspx?App=23&amp;ReportView=4&amp;Qid=1711279&amp;Row=24385&amp;Col=1","No Title Assigned - #15283477730")</f>
        <v/>
      </c>
      <c r="B24393" s="0" t="s">
        <v>32686</v>
      </c>
      <c r="C24393" s="0" t="s">
        <v>32687</v>
      </c>
      <c r="D24393" s="0" t="s">
        <v>32687</v>
      </c>
      <c r="E24393" s="0" t="inlineStr">
        <is>
          <t xml:space="preserve">Mazda</t>
        </is>
      </c>
      <c r="F24393" s="0" t="s">
        <v>13</v>
      </c>
      <c r="G24393" s="0" t="s">
        <v>49</v>
      </c>
      <c r="H24393" s="5">
        <v>79984.773900</v>
      </c>
    </row>
    <row r="24394" spans="1:9">
      <c r="A24394" s="22" t="str">
        <f>HYPERLINK("https://app.vivvix.com/360/KMI/IntelliDrive/ApplUI/Pages/CreativePages/CustomReportCreativeDetail.aspx?App=23&amp;ReportView=4&amp;Qid=1711279&amp;Row=24386&amp;Col=1","No Title Assigned - #15283479053")</f>
        <v/>
      </c>
      <c r="B24394" s="0" t="s">
        <v>32688</v>
      </c>
      <c r="C24394" s="0" t="s">
        <v>32689</v>
      </c>
      <c r="D24394" s="0" t="s">
        <v>32689</v>
      </c>
      <c r="E24394" s="0" t="inlineStr">
        <is>
          <t xml:space="preserve">Mazda</t>
        </is>
      </c>
      <c r="F24394" s="0" t="s">
        <v>13</v>
      </c>
      <c r="G24394" s="0" t="s">
        <v>49</v>
      </c>
      <c r="H24394" s="5">
        <v>10952.019000</v>
      </c>
    </row>
    <row r="24395" spans="1:9">
      <c r="A24395" s="22" t="str">
        <f>HYPERLINK("https://app.vivvix.com/360/KMI/IntelliDrive/ApplUI/Pages/CreativePages/CustomReportCreativeDetail.aspx?App=23&amp;ReportView=4&amp;Qid=1711279&amp;Row=24387&amp;Col=1","No Title Assigned - #15283479198")</f>
        <v/>
      </c>
      <c r="B24395" s="0" t="s">
        <v>32690</v>
      </c>
      <c r="C24395" s="0" t="s">
        <v>32691</v>
      </c>
      <c r="D24395" s="0" t="s">
        <v>15762</v>
      </c>
      <c r="E24395" s="0" t="inlineStr">
        <is>
          <t xml:space="preserve">Mazda</t>
        </is>
      </c>
      <c r="F24395" s="0" t="s">
        <v>13</v>
      </c>
      <c r="G24395" s="0" t="s">
        <v>49</v>
      </c>
      <c r="H24395" s="5">
        <v>996.905900</v>
      </c>
    </row>
    <row r="24396" spans="1:9">
      <c r="A24396" s="22" t="str">
        <f>HYPERLINK("https://app.vivvix.com/360/KMI/IntelliDrive/ApplUI/Pages/CreativePages/CustomReportCreativeDetail.aspx?App=23&amp;ReportView=4&amp;Qid=1711279&amp;Row=24388&amp;Col=1","No Title Assigned - #15283479543")</f>
        <v/>
      </c>
      <c r="B24396" s="0" t="s">
        <v>32692</v>
      </c>
      <c r="E24396" s="0" t="inlineStr">
        <is>
          <t xml:space="preserve">Mazda</t>
        </is>
      </c>
      <c r="F24396" s="0" t="s">
        <v>13</v>
      </c>
      <c r="G24396" s="0" t="s">
        <v>49</v>
      </c>
      <c r="H24396" s="5">
        <v>2751.591300</v>
      </c>
    </row>
    <row r="24397" spans="1:9">
      <c r="A24397" s="22" t="str">
        <f>HYPERLINK("https://app.vivvix.com/360/KMI/IntelliDrive/ApplUI/Pages/CreativePages/CustomReportCreativeDetail.aspx?App=23&amp;ReportView=4&amp;Qid=1711279&amp;Row=24389&amp;Col=1","No Title Assigned - #15283479543")</f>
        <v/>
      </c>
      <c r="B24397" s="0" t="s">
        <v>32692</v>
      </c>
      <c r="C24397" s="0" t="s">
        <v>32693</v>
      </c>
      <c r="D24397" s="0" t="s">
        <v>32693</v>
      </c>
      <c r="E24397" s="0" t="inlineStr">
        <is>
          <t xml:space="preserve">Mazda</t>
        </is>
      </c>
      <c r="F24397" s="0" t="s">
        <v>13</v>
      </c>
      <c r="G24397" s="0" t="s">
        <v>49</v>
      </c>
      <c r="H24397" s="5">
        <v>1661.832700</v>
      </c>
    </row>
    <row r="24398" spans="1:9">
      <c r="A24398" s="22" t="str">
        <f>HYPERLINK("https://app.vivvix.com/360/KMI/IntelliDrive/ApplUI/Pages/CreativePages/CustomReportCreativeDetail.aspx?App=23&amp;ReportView=4&amp;Qid=1711279&amp;Row=24390&amp;Col=1","No Title Assigned - #15283484512")</f>
        <v/>
      </c>
      <c r="B24398" s="0" t="s">
        <v>32694</v>
      </c>
      <c r="C24398" s="0" t="s">
        <v>32695</v>
      </c>
      <c r="D24398" s="0" t="s">
        <v>15762</v>
      </c>
      <c r="E24398" s="0" t="inlineStr">
        <is>
          <t xml:space="preserve">Mazda</t>
        </is>
      </c>
      <c r="F24398" s="0" t="s">
        <v>13</v>
      </c>
      <c r="G24398" s="0" t="s">
        <v>49</v>
      </c>
      <c r="H24398" s="5">
        <v>416.247700</v>
      </c>
    </row>
    <row r="24399" spans="1:9">
      <c r="A24399" s="22" t="str">
        <f>HYPERLINK("https://app.vivvix.com/360/KMI/IntelliDrive/ApplUI/Pages/CreativePages/CustomReportCreativeDetail.aspx?App=23&amp;ReportView=4&amp;Qid=1711279&amp;Row=24391&amp;Col=1","No Title Assigned - #15283485184")</f>
        <v/>
      </c>
      <c r="B24399" s="0" t="s">
        <v>32696</v>
      </c>
      <c r="C24399" s="0" t="s">
        <v>32697</v>
      </c>
      <c r="D24399" s="0" t="s">
        <v>10964</v>
      </c>
      <c r="E24399" s="0" t="inlineStr">
        <is>
          <t xml:space="preserve">Mazda</t>
        </is>
      </c>
      <c r="F24399" s="0" t="s">
        <v>13</v>
      </c>
      <c r="G24399" s="0" t="s">
        <v>49</v>
      </c>
      <c r="H24399" s="5">
        <v>5702.068800</v>
      </c>
    </row>
    <row r="24400" spans="1:9">
      <c r="A24400" s="22" t="str">
        <f>HYPERLINK("https://app.vivvix.com/360/KMI/IntelliDrive/ApplUI/Pages/CreativePages/CustomReportCreativeDetail.aspx?App=23&amp;ReportView=4&amp;Qid=1711279&amp;Row=24392&amp;Col=1","No Title Assigned - #15283487297")</f>
        <v/>
      </c>
      <c r="B24400" s="0" t="s">
        <v>32698</v>
      </c>
      <c r="C24400" s="0" t="s">
        <v>32699</v>
      </c>
      <c r="D24400" s="0" t="s">
        <v>32699</v>
      </c>
      <c r="E24400" s="0" t="inlineStr">
        <is>
          <t xml:space="preserve">Mazda</t>
        </is>
      </c>
      <c r="F24400" s="0" t="s">
        <v>13</v>
      </c>
      <c r="G24400" s="0" t="s">
        <v>49</v>
      </c>
      <c r="H24400" s="5">
        <v>8.736200</v>
      </c>
    </row>
    <row r="24401" spans="1:9">
      <c r="A24401" s="22" t="str">
        <f>HYPERLINK("https://app.vivvix.com/360/KMI/IntelliDrive/ApplUI/Pages/CreativePages/CustomReportCreativeDetail.aspx?App=23&amp;ReportView=4&amp;Qid=1711279&amp;Row=24393&amp;Col=1","No Title Assigned - #15283488962")</f>
        <v/>
      </c>
      <c r="B24401" s="0" t="s">
        <v>32700</v>
      </c>
      <c r="C24401" s="0" t="s">
        <v>32701</v>
      </c>
      <c r="D24401" s="0" t="s">
        <v>32538</v>
      </c>
      <c r="E24401" s="0" t="inlineStr">
        <is>
          <t xml:space="preserve">Mazda</t>
        </is>
      </c>
      <c r="F24401" s="0" t="s">
        <v>13</v>
      </c>
      <c r="G24401" s="0" t="s">
        <v>49</v>
      </c>
      <c r="H24401" s="5">
        <v>3523.419300</v>
      </c>
    </row>
    <row r="24402" spans="1:9">
      <c r="A24402" s="22" t="str">
        <f>HYPERLINK("https://app.vivvix.com/360/KMI/IntelliDrive/ApplUI/Pages/CreativePages/CustomReportCreativeDetail.aspx?App=23&amp;ReportView=4&amp;Qid=1711279&amp;Row=24394&amp;Col=1","No Title Assigned - #15283494165")</f>
        <v/>
      </c>
      <c r="B24402" s="0" t="s">
        <v>32702</v>
      </c>
      <c r="C24402" s="0" t="s">
        <v>32703</v>
      </c>
      <c r="D24402" s="0" t="s">
        <v>6416</v>
      </c>
      <c r="E24402" s="0" t="inlineStr">
        <is>
          <t xml:space="preserve">Mazda</t>
        </is>
      </c>
      <c r="F24402" s="0" t="s">
        <v>13</v>
      </c>
      <c r="G24402" s="0" t="s">
        <v>49</v>
      </c>
      <c r="H24402" s="5">
        <v>392.648700</v>
      </c>
    </row>
    <row r="24403" spans="1:9">
      <c r="A24403" s="22" t="str">
        <f>HYPERLINK("https://app.vivvix.com/360/KMI/IntelliDrive/ApplUI/Pages/CreativePages/CustomReportCreativeDetail.aspx?App=23&amp;ReportView=4&amp;Qid=1711279&amp;Row=24395&amp;Col=1","No Title Assigned - #15283494829")</f>
        <v/>
      </c>
      <c r="B24403" s="0" t="s">
        <v>32704</v>
      </c>
      <c r="C24403" s="0" t="s">
        <v>32705</v>
      </c>
      <c r="D24403" s="0" t="s">
        <v>15762</v>
      </c>
      <c r="E24403" s="0" t="inlineStr">
        <is>
          <t xml:space="preserve">Mazda</t>
        </is>
      </c>
      <c r="F24403" s="0" t="s">
        <v>13</v>
      </c>
      <c r="G24403" s="0" t="s">
        <v>49</v>
      </c>
      <c r="H24403" s="5">
        <v>996.905900</v>
      </c>
    </row>
    <row r="24404" spans="1:9">
      <c r="A24404" s="22" t="str">
        <f>HYPERLINK("https://app.vivvix.com/360/KMI/IntelliDrive/ApplUI/Pages/CreativePages/CustomReportCreativeDetail.aspx?App=23&amp;ReportView=4&amp;Qid=1711279&amp;Row=24396&amp;Col=1","No Title Assigned - #15283500734")</f>
        <v/>
      </c>
      <c r="B24404" s="0" t="s">
        <v>32706</v>
      </c>
      <c r="C24404" s="0" t="s">
        <v>32707</v>
      </c>
      <c r="D24404" s="0" t="s">
        <v>32132</v>
      </c>
      <c r="E24404" s="0" t="inlineStr">
        <is>
          <t xml:space="preserve">Mazda</t>
        </is>
      </c>
      <c r="F24404" s="0" t="s">
        <v>13</v>
      </c>
      <c r="G24404" s="0" t="s">
        <v>49</v>
      </c>
      <c r="H24404" s="5">
        <v>1228.014900</v>
      </c>
    </row>
    <row r="24405" spans="1:9">
      <c r="A24405" s="22" t="str">
        <f>HYPERLINK("https://app.vivvix.com/360/KMI/IntelliDrive/ApplUI/Pages/CreativePages/CustomReportCreativeDetail.aspx?App=23&amp;ReportView=4&amp;Qid=1711279&amp;Row=24397&amp;Col=1","No Title Assigned - #15283504330")</f>
        <v/>
      </c>
      <c r="B24405" s="0" t="s">
        <v>32708</v>
      </c>
      <c r="E24405" s="0" t="inlineStr">
        <is>
          <t xml:space="preserve">Mazda</t>
        </is>
      </c>
      <c r="F24405" s="0" t="inlineStr">
        <is>
          <t xml:space="preserve">Mazda</t>
        </is>
      </c>
      <c r="G24405" s="0" t="s">
        <v>171</v>
      </c>
      <c r="H24405" s="5">
        <v>3963.927300</v>
      </c>
    </row>
    <row r="24406" spans="1:9">
      <c r="A24406" s="22" t="str">
        <f>HYPERLINK("https://app.vivvix.com/360/KMI/IntelliDrive/ApplUI/Pages/CreativePages/CustomReportCreativeDetail.aspx?App=23&amp;ReportView=4&amp;Qid=1711279&amp;Row=24398&amp;Col=1","No Title Assigned - #15283505117")</f>
        <v/>
      </c>
      <c r="B24406" s="0" t="s">
        <v>32709</v>
      </c>
      <c r="E24406" s="0" t="inlineStr">
        <is>
          <t xml:space="preserve">Mazda</t>
        </is>
      </c>
      <c r="F24406" s="0" t="inlineStr">
        <is>
          <t xml:space="preserve">Mazda</t>
        </is>
      </c>
      <c r="G24406" s="0" t="s">
        <v>171</v>
      </c>
      <c r="H24406" s="5">
        <v>22.696100</v>
      </c>
    </row>
    <row r="24407" spans="1:9">
      <c r="A24407" s="22" t="str">
        <f>HYPERLINK("https://app.vivvix.com/360/KMI/IntelliDrive/ApplUI/Pages/CreativePages/CustomReportCreativeDetail.aspx?App=23&amp;ReportView=4&amp;Qid=1711279&amp;Row=24399&amp;Col=1","No Title Assigned - #15283506767")</f>
        <v/>
      </c>
      <c r="B24407" s="0" t="s">
        <v>32710</v>
      </c>
      <c r="E24407" s="0" t="inlineStr">
        <is>
          <t xml:space="preserve">Mazda</t>
        </is>
      </c>
      <c r="F24407" s="0" t="inlineStr">
        <is>
          <t xml:space="preserve">Mazda</t>
        </is>
      </c>
      <c r="G24407" s="0" t="s">
        <v>171</v>
      </c>
      <c r="H24407" s="5">
        <v>3.009200</v>
      </c>
    </row>
    <row r="24408" spans="1:9">
      <c r="A24408" s="22" t="str">
        <f>HYPERLINK("https://app.vivvix.com/360/KMI/IntelliDrive/ApplUI/Pages/CreativePages/CustomReportCreativeDetail.aspx?App=23&amp;ReportView=4&amp;Qid=1711279&amp;Row=24400&amp;Col=1","No Title Assigned - #15283507617")</f>
        <v/>
      </c>
      <c r="B24408" s="0" t="s">
        <v>32711</v>
      </c>
      <c r="E24408" s="0" t="inlineStr">
        <is>
          <t xml:space="preserve">Mazda</t>
        </is>
      </c>
      <c r="F24408" s="0" t="inlineStr">
        <is>
          <t xml:space="preserve">Mazda</t>
        </is>
      </c>
      <c r="G24408" s="0" t="s">
        <v>171</v>
      </c>
      <c r="H24408" s="5">
        <v>213.216700</v>
      </c>
    </row>
    <row r="24409" spans="1:9">
      <c r="A24409" s="22" t="str">
        <f>HYPERLINK("https://app.vivvix.com/360/KMI/IntelliDrive/ApplUI/Pages/CreativePages/CustomReportCreativeDetail.aspx?App=23&amp;ReportView=4&amp;Qid=1711279&amp;Row=24401&amp;Col=1","No Title Assigned - #15283509881")</f>
        <v/>
      </c>
      <c r="B24409" s="0" t="s">
        <v>32712</v>
      </c>
      <c r="E24409" s="0" t="inlineStr">
        <is>
          <t xml:space="preserve">Mazda</t>
        </is>
      </c>
      <c r="F24409" s="0" t="inlineStr">
        <is>
          <t xml:space="preserve">Mazda</t>
        </is>
      </c>
      <c r="G24409" s="0" t="s">
        <v>171</v>
      </c>
      <c r="H24409" s="5">
        <v>5686.743200</v>
      </c>
    </row>
    <row r="24410" spans="1:9">
      <c r="A24410" s="22" t="str">
        <f>HYPERLINK("https://app.vivvix.com/360/KMI/IntelliDrive/ApplUI/Pages/CreativePages/CustomReportCreativeDetail.aspx?App=23&amp;ReportView=4&amp;Qid=1711279&amp;Row=24402&amp;Col=1","No Title Assigned - #15283509939")</f>
        <v/>
      </c>
      <c r="B24410" s="0" t="s">
        <v>32713</v>
      </c>
      <c r="E24410" s="0" t="inlineStr">
        <is>
          <t xml:space="preserve">Mazda</t>
        </is>
      </c>
      <c r="F24410" s="0" t="inlineStr">
        <is>
          <t xml:space="preserve">Mazda</t>
        </is>
      </c>
      <c r="G24410" s="0" t="s">
        <v>171</v>
      </c>
      <c r="H24410" s="5">
        <v>3555.091800</v>
      </c>
    </row>
    <row r="24411" spans="1:9">
      <c r="A24411" s="22" t="str">
        <f>HYPERLINK("https://app.vivvix.com/360/KMI/IntelliDrive/ApplUI/Pages/CreativePages/CustomReportCreativeDetail.aspx?App=23&amp;ReportView=4&amp;Qid=1711279&amp;Row=24403&amp;Col=1","No Title Assigned - #15283509992")</f>
        <v/>
      </c>
      <c r="B24411" s="0" t="s">
        <v>32714</v>
      </c>
      <c r="E24411" s="0" t="inlineStr">
        <is>
          <t xml:space="preserve">Mazda</t>
        </is>
      </c>
      <c r="F24411" s="0" t="inlineStr">
        <is>
          <t xml:space="preserve">Mazda</t>
        </is>
      </c>
      <c r="G24411" s="0" t="s">
        <v>171</v>
      </c>
      <c r="H24411" s="5">
        <v>504.819600</v>
      </c>
    </row>
    <row r="24412" spans="1:9">
      <c r="A24412" s="22" t="str">
        <f>HYPERLINK("https://app.vivvix.com/360/KMI/IntelliDrive/ApplUI/Pages/CreativePages/CustomReportCreativeDetail.aspx?App=23&amp;ReportView=4&amp;Qid=1711279&amp;Row=24404&amp;Col=1","No Title Assigned - #15283510140")</f>
        <v/>
      </c>
      <c r="B24412" s="0" t="s">
        <v>32715</v>
      </c>
      <c r="E24412" s="0" t="inlineStr">
        <is>
          <t xml:space="preserve">Mazda</t>
        </is>
      </c>
      <c r="F24412" s="0" t="inlineStr">
        <is>
          <t xml:space="preserve">Mazda</t>
        </is>
      </c>
      <c r="G24412" s="0" t="s">
        <v>171</v>
      </c>
      <c r="H24412" s="5">
        <v>1406.867100</v>
      </c>
    </row>
    <row r="24413" spans="1:9">
      <c r="A24413" s="22" t="str">
        <f>HYPERLINK("https://app.vivvix.com/360/KMI/IntelliDrive/ApplUI/Pages/CreativePages/CustomReportCreativeDetail.aspx?App=23&amp;ReportView=4&amp;Qid=1711279&amp;Row=24405&amp;Col=1","No Title Assigned - #15283512378")</f>
        <v/>
      </c>
      <c r="B24413" s="0" t="s">
        <v>32716</v>
      </c>
      <c r="E24413" s="0" t="inlineStr">
        <is>
          <t xml:space="preserve">Mazda</t>
        </is>
      </c>
      <c r="F24413" s="0" t="inlineStr">
        <is>
          <t xml:space="preserve">Mazda</t>
        </is>
      </c>
      <c r="G24413" s="0" t="s">
        <v>171</v>
      </c>
      <c r="H24413" s="5">
        <v>1993.811800</v>
      </c>
    </row>
    <row r="24414" spans="1:9">
      <c r="A24414" s="22" t="str">
        <f>HYPERLINK("https://app.vivvix.com/360/KMI/IntelliDrive/ApplUI/Pages/CreativePages/CustomReportCreativeDetail.aspx?App=23&amp;ReportView=4&amp;Qid=1711279&amp;Row=24406&amp;Col=1","No Title Assigned - #15283512563")</f>
        <v/>
      </c>
      <c r="B24414" s="0" t="s">
        <v>32717</v>
      </c>
      <c r="E24414" s="0" t="inlineStr">
        <is>
          <t xml:space="preserve">Mazda</t>
        </is>
      </c>
      <c r="F24414" s="0" t="inlineStr">
        <is>
          <t xml:space="preserve">Mazda</t>
        </is>
      </c>
      <c r="G24414" s="0" t="s">
        <v>171</v>
      </c>
      <c r="H24414" s="5">
        <v>996.905900</v>
      </c>
    </row>
    <row r="24415" spans="1:9">
      <c r="A24415" s="22" t="str">
        <f>HYPERLINK("https://app.vivvix.com/360/KMI/IntelliDrive/ApplUI/Pages/CreativePages/CustomReportCreativeDetail.aspx?App=23&amp;ReportView=4&amp;Qid=1711279&amp;Row=24407&amp;Col=1","No Title Assigned - #15283513767")</f>
        <v/>
      </c>
      <c r="B24415" s="0" t="s">
        <v>32718</v>
      </c>
      <c r="E24415" s="0" t="inlineStr">
        <is>
          <t xml:space="preserve">Mazda</t>
        </is>
      </c>
      <c r="F24415" s="0" t="inlineStr">
        <is>
          <t xml:space="preserve">Mazda</t>
        </is>
      </c>
      <c r="G24415" s="0" t="s">
        <v>171</v>
      </c>
      <c r="H24415" s="5">
        <v>6193.257300</v>
      </c>
    </row>
    <row r="24416" spans="1:9">
      <c r="A24416" s="22" t="str">
        <f>HYPERLINK("https://app.vivvix.com/360/KMI/IntelliDrive/ApplUI/Pages/CreativePages/CustomReportCreativeDetail.aspx?App=23&amp;ReportView=4&amp;Qid=1711279&amp;Row=24408&amp;Col=1","No Title Assigned - #15283515108")</f>
        <v/>
      </c>
      <c r="B24416" s="0" t="s">
        <v>32719</v>
      </c>
      <c r="E24416" s="0" t="inlineStr">
        <is>
          <t xml:space="preserve">Mazda</t>
        </is>
      </c>
      <c r="F24416" s="0" t="inlineStr">
        <is>
          <t xml:space="preserve">Mazda</t>
        </is>
      </c>
      <c r="G24416" s="0" t="s">
        <v>171</v>
      </c>
      <c r="H24416" s="5">
        <v>321.744500</v>
      </c>
    </row>
    <row r="24417" spans="1:9">
      <c r="A24417" s="22" t="str">
        <f>HYPERLINK("https://app.vivvix.com/360/KMI/IntelliDrive/ApplUI/Pages/CreativePages/CustomReportCreativeDetail.aspx?App=23&amp;ReportView=4&amp;Qid=1711279&amp;Row=24409&amp;Col=1","No Title Assigned - #15283515754")</f>
        <v/>
      </c>
      <c r="B24417" s="0" t="s">
        <v>32720</v>
      </c>
      <c r="E24417" s="0" t="inlineStr">
        <is>
          <t xml:space="preserve">Mazda</t>
        </is>
      </c>
      <c r="F24417" s="0" t="inlineStr">
        <is>
          <t xml:space="preserve">Mazda</t>
        </is>
      </c>
      <c r="G24417" s="0" t="s">
        <v>171</v>
      </c>
      <c r="H24417" s="5">
        <v>260.604800</v>
      </c>
    </row>
    <row r="24418" spans="1:9">
      <c r="A24418" s="22" t="str">
        <f>HYPERLINK("https://app.vivvix.com/360/KMI/IntelliDrive/ApplUI/Pages/CreativePages/CustomReportCreativeDetail.aspx?App=23&amp;ReportView=4&amp;Qid=1711279&amp;Row=24410&amp;Col=1","No Title Assigned - #15283516214")</f>
        <v/>
      </c>
      <c r="B24418" s="0" t="s">
        <v>32721</v>
      </c>
      <c r="E24418" s="0" t="inlineStr">
        <is>
          <t xml:space="preserve">Mazda</t>
        </is>
      </c>
      <c r="F24418" s="0" t="inlineStr">
        <is>
          <t xml:space="preserve">Mazda</t>
        </is>
      </c>
      <c r="G24418" s="0" t="s">
        <v>171</v>
      </c>
      <c r="H24418" s="5">
        <v>3056.803500</v>
      </c>
    </row>
    <row r="24419" spans="1:9">
      <c r="A24419" s="22" t="str">
        <f>HYPERLINK("https://app.vivvix.com/360/KMI/IntelliDrive/ApplUI/Pages/CreativePages/CustomReportCreativeDetail.aspx?App=23&amp;ReportView=4&amp;Qid=1711279&amp;Row=24411&amp;Col=1","No Title Assigned - #15283516698")</f>
        <v/>
      </c>
      <c r="B24419" s="0" t="s">
        <v>32722</v>
      </c>
      <c r="E24419" s="0" t="inlineStr">
        <is>
          <t xml:space="preserve">Mazda</t>
        </is>
      </c>
      <c r="F24419" s="0" t="inlineStr">
        <is>
          <t xml:space="preserve">Mazda</t>
        </is>
      </c>
      <c r="G24419" s="0" t="s">
        <v>171</v>
      </c>
      <c r="H24419" s="5">
        <v>3151.550100</v>
      </c>
    </row>
    <row r="24420" spans="1:9">
      <c r="A24420" s="22" t="str">
        <f>HYPERLINK("https://app.vivvix.com/360/KMI/IntelliDrive/ApplUI/Pages/CreativePages/CustomReportCreativeDetail.aspx?App=23&amp;ReportView=4&amp;Qid=1711279&amp;Row=24412&amp;Col=1","No Title Assigned - #15283517660")</f>
        <v/>
      </c>
      <c r="B24420" s="0" t="s">
        <v>32723</v>
      </c>
      <c r="E24420" s="0" t="inlineStr">
        <is>
          <t xml:space="preserve">Mazda</t>
        </is>
      </c>
      <c r="F24420" s="0" t="inlineStr">
        <is>
          <t xml:space="preserve">Mazda</t>
        </is>
      </c>
      <c r="G24420" s="0" t="s">
        <v>171</v>
      </c>
      <c r="H24420" s="5">
        <v>1075.338000</v>
      </c>
    </row>
    <row r="24421" spans="1:9">
      <c r="A24421" s="22" t="str">
        <f>HYPERLINK("https://app.vivvix.com/360/KMI/IntelliDrive/ApplUI/Pages/CreativePages/CustomReportCreativeDetail.aspx?App=23&amp;ReportView=4&amp;Qid=1711279&amp;Row=24413&amp;Col=1","No Title Assigned - #15283518440")</f>
        <v/>
      </c>
      <c r="B24421" s="0" t="s">
        <v>32724</v>
      </c>
      <c r="E24421" s="0" t="inlineStr">
        <is>
          <t xml:space="preserve">Mazda</t>
        </is>
      </c>
      <c r="F24421" s="0" t="inlineStr">
        <is>
          <t xml:space="preserve">Mazda</t>
        </is>
      </c>
      <c r="G24421" s="0" t="s">
        <v>171</v>
      </c>
      <c r="H24421" s="5">
        <v>169.543100</v>
      </c>
    </row>
    <row r="24422" spans="1:9">
      <c r="A24422" s="22" t="str">
        <f>HYPERLINK("https://app.vivvix.com/360/KMI/IntelliDrive/ApplUI/Pages/CreativePages/CustomReportCreativeDetail.aspx?App=23&amp;ReportView=4&amp;Qid=1711279&amp;Row=24414&amp;Col=1","No Title Assigned - #15283519802")</f>
        <v/>
      </c>
      <c r="B24422" s="0" t="s">
        <v>32725</v>
      </c>
      <c r="E24422" s="0" t="inlineStr">
        <is>
          <t xml:space="preserve">Mazda</t>
        </is>
      </c>
      <c r="F24422" s="0" t="inlineStr">
        <is>
          <t xml:space="preserve">Mazda</t>
        </is>
      </c>
      <c r="G24422" s="0" t="s">
        <v>171</v>
      </c>
      <c r="H24422" s="5">
        <v>9178.406300</v>
      </c>
    </row>
    <row r="24423" spans="1:9">
      <c r="A24423" s="22" t="str">
        <f>HYPERLINK("https://app.vivvix.com/360/KMI/IntelliDrive/ApplUI/Pages/CreativePages/CustomReportCreativeDetail.aspx?App=23&amp;ReportView=4&amp;Qid=1711279&amp;Row=24415&amp;Col=1","No Title Assigned - #15283521243")</f>
        <v/>
      </c>
      <c r="B24423" s="0" t="s">
        <v>32726</v>
      </c>
      <c r="E24423" s="0" t="inlineStr">
        <is>
          <t xml:space="preserve">Mazda</t>
        </is>
      </c>
      <c r="F24423" s="0" t="inlineStr">
        <is>
          <t xml:space="preserve">Mazda</t>
        </is>
      </c>
      <c r="G24423" s="0" t="s">
        <v>171</v>
      </c>
      <c r="H24423" s="5">
        <v>1171.208700</v>
      </c>
    </row>
    <row r="24424" spans="1:9">
      <c r="A24424" s="22" t="str">
        <f>HYPERLINK("https://app.vivvix.com/360/KMI/IntelliDrive/ApplUI/Pages/CreativePages/CustomReportCreativeDetail.aspx?App=23&amp;ReportView=4&amp;Qid=1711279&amp;Row=24416&amp;Col=1","No Title Assigned - #15283525648")</f>
        <v/>
      </c>
      <c r="B24424" s="0" t="s">
        <v>32727</v>
      </c>
      <c r="E24424" s="0" t="inlineStr">
        <is>
          <t xml:space="preserve">Mazda</t>
        </is>
      </c>
      <c r="F24424" s="0" t="inlineStr">
        <is>
          <t xml:space="preserve">Mazda</t>
        </is>
      </c>
      <c r="G24424" s="0" t="s">
        <v>171</v>
      </c>
      <c r="H24424" s="5">
        <v>8773.368900</v>
      </c>
    </row>
    <row r="24425" spans="1:9">
      <c r="A24425" s="22" t="str">
        <f>HYPERLINK("https://app.vivvix.com/360/KMI/IntelliDrive/ApplUI/Pages/CreativePages/CustomReportCreativeDetail.aspx?App=23&amp;ReportView=4&amp;Qid=1711279&amp;Row=24417&amp;Col=1","No Title Assigned - #15283525742")</f>
        <v/>
      </c>
      <c r="B24425" s="0" t="s">
        <v>32728</v>
      </c>
      <c r="E24425" s="0" t="inlineStr">
        <is>
          <t xml:space="preserve">Mazda</t>
        </is>
      </c>
      <c r="F24425" s="0" t="inlineStr">
        <is>
          <t xml:space="preserve">Mazda</t>
        </is>
      </c>
      <c r="G24425" s="0" t="s">
        <v>171</v>
      </c>
      <c r="H24425" s="5">
        <v>996.905900</v>
      </c>
    </row>
    <row r="24426" spans="1:9">
      <c r="A24426" s="22" t="str">
        <f>HYPERLINK("https://app.vivvix.com/360/KMI/IntelliDrive/ApplUI/Pages/CreativePages/CustomReportCreativeDetail.aspx?App=23&amp;ReportView=4&amp;Qid=1711279&amp;Row=24418&amp;Col=1","No Title Assigned - #15283526498")</f>
        <v/>
      </c>
      <c r="B24426" s="0" t="s">
        <v>32729</v>
      </c>
      <c r="E24426" s="0" t="inlineStr">
        <is>
          <t xml:space="preserve">Mazda</t>
        </is>
      </c>
      <c r="F24426" s="0" t="inlineStr">
        <is>
          <t xml:space="preserve">Mazda</t>
        </is>
      </c>
      <c r="G24426" s="0" t="s">
        <v>171</v>
      </c>
      <c r="H24426" s="5">
        <v>5209.775800</v>
      </c>
    </row>
    <row r="24427" spans="1:9">
      <c r="A24427" s="22" t="str">
        <f>HYPERLINK("https://app.vivvix.com/360/KMI/IntelliDrive/ApplUI/Pages/CreativePages/CustomReportCreativeDetail.aspx?App=23&amp;ReportView=4&amp;Qid=1711279&amp;Row=24419&amp;Col=1","No Title Assigned - #15283527600")</f>
        <v/>
      </c>
      <c r="B24427" s="0" t="s">
        <v>32730</v>
      </c>
      <c r="E24427" s="0" t="inlineStr">
        <is>
          <t xml:space="preserve">Mazda</t>
        </is>
      </c>
      <c r="F24427" s="0" t="inlineStr">
        <is>
          <t xml:space="preserve">Mazda</t>
        </is>
      </c>
      <c r="G24427" s="0" t="s">
        <v>171</v>
      </c>
      <c r="H24427" s="5">
        <v>41.556600</v>
      </c>
    </row>
    <row r="24428" spans="1:9">
      <c r="A24428" s="22" t="str">
        <f>HYPERLINK("https://app.vivvix.com/360/KMI/IntelliDrive/ApplUI/Pages/CreativePages/CustomReportCreativeDetail.aspx?App=23&amp;ReportView=4&amp;Qid=1711279&amp;Row=24420&amp;Col=1","No Title Assigned - #15283529815")</f>
        <v/>
      </c>
      <c r="B24428" s="0" t="s">
        <v>32731</v>
      </c>
      <c r="E24428" s="0" t="inlineStr">
        <is>
          <t xml:space="preserve">Mazda</t>
        </is>
      </c>
      <c r="F24428" s="0" t="inlineStr">
        <is>
          <t xml:space="preserve">Mazda</t>
        </is>
      </c>
      <c r="G24428" s="0" t="s">
        <v>171</v>
      </c>
      <c r="H24428" s="5">
        <v>1171.208700</v>
      </c>
    </row>
    <row r="24429" spans="1:9">
      <c r="A24429" s="22" t="str">
        <f>HYPERLINK("https://app.vivvix.com/360/KMI/IntelliDrive/ApplUI/Pages/CreativePages/CustomReportCreativeDetail.aspx?App=23&amp;ReportView=4&amp;Qid=1711279&amp;Row=24421&amp;Col=1","No Title Assigned - #15283530195")</f>
        <v/>
      </c>
      <c r="B24429" s="0" t="s">
        <v>32732</v>
      </c>
      <c r="E24429" s="0" t="inlineStr">
        <is>
          <t xml:space="preserve">Mazda</t>
        </is>
      </c>
      <c r="F24429" s="0" t="inlineStr">
        <is>
          <t xml:space="preserve">Mazda</t>
        </is>
      </c>
      <c r="G24429" s="0" t="s">
        <v>171</v>
      </c>
      <c r="H24429" s="5">
        <v>466.384400</v>
      </c>
    </row>
    <row r="24430" spans="1:9">
      <c r="A24430" s="22" t="str">
        <f>HYPERLINK("https://app.vivvix.com/360/KMI/IntelliDrive/ApplUI/Pages/CreativePages/CustomReportCreativeDetail.aspx?App=23&amp;ReportView=4&amp;Qid=1711279&amp;Row=24422&amp;Col=1","No Title Assigned - #15283530609")</f>
        <v/>
      </c>
      <c r="B24430" s="0" t="s">
        <v>32733</v>
      </c>
      <c r="E24430" s="0" t="inlineStr">
        <is>
          <t xml:space="preserve">Mazda</t>
        </is>
      </c>
      <c r="F24430" s="0" t="inlineStr">
        <is>
          <t xml:space="preserve">Mazda</t>
        </is>
      </c>
      <c r="G24430" s="0" t="s">
        <v>171</v>
      </c>
      <c r="H24430" s="5">
        <v>1171.208700</v>
      </c>
    </row>
    <row r="24431" spans="1:9">
      <c r="A24431" s="22" t="str">
        <f>HYPERLINK("https://app.vivvix.com/360/KMI/IntelliDrive/ApplUI/Pages/CreativePages/CustomReportCreativeDetail.aspx?App=23&amp;ReportView=4&amp;Qid=1711279&amp;Row=24423&amp;Col=1","No Title Assigned - #15283531055")</f>
        <v/>
      </c>
      <c r="B24431" s="0" t="s">
        <v>32734</v>
      </c>
      <c r="E24431" s="0" t="inlineStr">
        <is>
          <t xml:space="preserve">Mazda</t>
        </is>
      </c>
      <c r="F24431" s="0" t="inlineStr">
        <is>
          <t xml:space="preserve">Mazda</t>
        </is>
      </c>
      <c r="G24431" s="0" t="s">
        <v>171</v>
      </c>
      <c r="H24431" s="5">
        <v>2990.717700</v>
      </c>
    </row>
    <row r="24432" spans="1:9">
      <c r="A24432" s="22" t="str">
        <f>HYPERLINK("https://app.vivvix.com/360/KMI/IntelliDrive/ApplUI/Pages/CreativePages/CustomReportCreativeDetail.aspx?App=23&amp;ReportView=4&amp;Qid=1711279&amp;Row=24424&amp;Col=1","No Title Assigned - #15283531756")</f>
        <v/>
      </c>
      <c r="B24432" s="0" t="s">
        <v>32735</v>
      </c>
      <c r="E24432" s="0" t="inlineStr">
        <is>
          <t xml:space="preserve">Mazda</t>
        </is>
      </c>
      <c r="F24432" s="0" t="inlineStr">
        <is>
          <t xml:space="preserve">Mazda</t>
        </is>
      </c>
      <c r="G24432" s="0" t="s">
        <v>171</v>
      </c>
      <c r="H24432" s="5">
        <v>2618.567100</v>
      </c>
    </row>
    <row r="24433" spans="1:9">
      <c r="A24433" s="22" t="str">
        <f>HYPERLINK("https://app.vivvix.com/360/KMI/IntelliDrive/ApplUI/Pages/CreativePages/CustomReportCreativeDetail.aspx?App=23&amp;ReportView=4&amp;Qid=1711279&amp;Row=24425&amp;Col=1","No Title Assigned - #15283531989")</f>
        <v/>
      </c>
      <c r="B24433" s="0" t="s">
        <v>32736</v>
      </c>
      <c r="E24433" s="0" t="inlineStr">
        <is>
          <t xml:space="preserve">Mazda</t>
        </is>
      </c>
      <c r="F24433" s="0" t="inlineStr">
        <is>
          <t xml:space="preserve">Mazda</t>
        </is>
      </c>
      <c r="G24433" s="0" t="s">
        <v>171</v>
      </c>
      <c r="H24433" s="5">
        <v>413.592400</v>
      </c>
    </row>
    <row r="24434" spans="1:9">
      <c r="A24434" s="22" t="str">
        <f>HYPERLINK("https://app.vivvix.com/360/KMI/IntelliDrive/ApplUI/Pages/CreativePages/CustomReportCreativeDetail.aspx?App=23&amp;ReportView=4&amp;Qid=1711279&amp;Row=24426&amp;Col=1","No Title Assigned - #15283533219")</f>
        <v/>
      </c>
      <c r="B24434" s="0" t="s">
        <v>32737</v>
      </c>
      <c r="E24434" s="0" t="inlineStr">
        <is>
          <t xml:space="preserve">Mazda</t>
        </is>
      </c>
      <c r="F24434" s="0" t="inlineStr">
        <is>
          <t xml:space="preserve">Mazda</t>
        </is>
      </c>
      <c r="G24434" s="0" t="s">
        <v>171</v>
      </c>
      <c r="H24434" s="5">
        <v>411.766900</v>
      </c>
    </row>
    <row r="24435" spans="1:9">
      <c r="A24435" s="22" t="str">
        <f>HYPERLINK("https://app.vivvix.com/360/KMI/IntelliDrive/ApplUI/Pages/CreativePages/CustomReportCreativeDetail.aspx?App=23&amp;ReportView=4&amp;Qid=1711279&amp;Row=24427&amp;Col=1","No Title Assigned - #15283534658")</f>
        <v/>
      </c>
      <c r="B24435" s="0" t="s">
        <v>32738</v>
      </c>
      <c r="E24435" s="0" t="inlineStr">
        <is>
          <t xml:space="preserve">Mazda</t>
        </is>
      </c>
      <c r="F24435" s="0" t="inlineStr">
        <is>
          <t xml:space="preserve">Mazda</t>
        </is>
      </c>
      <c r="G24435" s="0" t="s">
        <v>171</v>
      </c>
      <c r="H24435" s="5">
        <v>22.696100</v>
      </c>
    </row>
    <row r="24436" spans="1:9">
      <c r="A24436" s="22" t="str">
        <f>HYPERLINK("https://app.vivvix.com/360/KMI/IntelliDrive/ApplUI/Pages/CreativePages/CustomReportCreativeDetail.aspx?App=23&amp;ReportView=4&amp;Qid=1711279&amp;Row=24428&amp;Col=1","No Title Assigned - #15283534707")</f>
        <v/>
      </c>
      <c r="B24436" s="0" t="s">
        <v>32739</v>
      </c>
      <c r="E24436" s="0" t="inlineStr">
        <is>
          <t xml:space="preserve">Mazda</t>
        </is>
      </c>
      <c r="F24436" s="0" t="inlineStr">
        <is>
          <t xml:space="preserve">Mazda</t>
        </is>
      </c>
      <c r="G24436" s="0" t="s">
        <v>171</v>
      </c>
      <c r="H24436" s="5">
        <v>341.489600</v>
      </c>
    </row>
    <row r="24437" spans="1:9">
      <c r="A24437" s="22" t="str">
        <f>HYPERLINK("https://app.vivvix.com/360/KMI/IntelliDrive/ApplUI/Pages/CreativePages/CustomReportCreativeDetail.aspx?App=23&amp;ReportView=4&amp;Qid=1711279&amp;Row=24429&amp;Col=1","No Title Assigned - #15283534923")</f>
        <v/>
      </c>
      <c r="B24437" s="0" t="s">
        <v>32740</v>
      </c>
      <c r="E24437" s="0" t="inlineStr">
        <is>
          <t xml:space="preserve">Mazda</t>
        </is>
      </c>
      <c r="F24437" s="0" t="inlineStr">
        <is>
          <t xml:space="preserve">Mazda</t>
        </is>
      </c>
      <c r="G24437" s="0" t="s">
        <v>171</v>
      </c>
      <c r="H24437" s="5">
        <v>5209.775800</v>
      </c>
    </row>
    <row r="24438" spans="1:9">
      <c r="A24438" s="22" t="str">
        <f>HYPERLINK("https://app.vivvix.com/360/KMI/IntelliDrive/ApplUI/Pages/CreativePages/CustomReportCreativeDetail.aspx?App=23&amp;ReportView=4&amp;Qid=1711279&amp;Row=24430&amp;Col=1","No Title Assigned - #15283544343")</f>
        <v/>
      </c>
      <c r="B24438" s="0" t="s">
        <v>32741</v>
      </c>
      <c r="E24438" s="0" t="inlineStr">
        <is>
          <t xml:space="preserve">Mazda</t>
        </is>
      </c>
      <c r="F24438" s="0" t="inlineStr">
        <is>
          <t xml:space="preserve">Mazda</t>
        </is>
      </c>
      <c r="G24438" s="0" t="s">
        <v>171</v>
      </c>
      <c r="H24438" s="5">
        <v>791.990400</v>
      </c>
    </row>
    <row r="24439" spans="1:9">
      <c r="A24439" s="22" t="str">
        <f>HYPERLINK("https://app.vivvix.com/360/KMI/IntelliDrive/ApplUI/Pages/CreativePages/CustomReportCreativeDetail.aspx?App=23&amp;ReportView=4&amp;Qid=1711279&amp;Row=24431&amp;Col=1","No Title Assigned - #15283552204")</f>
        <v/>
      </c>
      <c r="B24439" s="0" t="s">
        <v>32742</v>
      </c>
      <c r="C24439" s="0" t="s">
        <v>32743</v>
      </c>
      <c r="D24439" s="0" t="s">
        <v>8558</v>
      </c>
      <c r="E24439" s="0" t="inlineStr">
        <is>
          <t xml:space="preserve">Mazda</t>
        </is>
      </c>
      <c r="F24439" s="0" t="s">
        <v>13</v>
      </c>
      <c r="G24439" s="0" t="s">
        <v>49</v>
      </c>
      <c r="H24439" s="5">
        <v>1174.473100</v>
      </c>
    </row>
    <row r="24440" spans="1:9">
      <c r="A24440" s="22" t="str">
        <f>HYPERLINK("https://app.vivvix.com/360/KMI/IntelliDrive/ApplUI/Pages/CreativePages/CustomReportCreativeDetail.aspx?App=23&amp;ReportView=4&amp;Qid=1711279&amp;Row=24432&amp;Col=1","No Title Assigned - #15283553440")</f>
        <v/>
      </c>
      <c r="B24440" s="0" t="s">
        <v>32744</v>
      </c>
      <c r="C24440" s="0" t="s">
        <v>32745</v>
      </c>
      <c r="D24440" s="0" t="s">
        <v>18549</v>
      </c>
      <c r="E24440" s="0" t="inlineStr">
        <is>
          <t xml:space="preserve">Mazda</t>
        </is>
      </c>
      <c r="F24440" s="0" t="s">
        <v>13</v>
      </c>
      <c r="G24440" s="0" t="s">
        <v>49</v>
      </c>
      <c r="H24440" s="5">
        <v>57.494200</v>
      </c>
    </row>
    <row r="24441" spans="1:9">
      <c r="A24441" s="22" t="str">
        <f>HYPERLINK("https://app.vivvix.com/360/KMI/IntelliDrive/ApplUI/Pages/CreativePages/CustomReportCreativeDetail.aspx?App=23&amp;ReportView=4&amp;Qid=1711279&amp;Row=24433&amp;Col=1","No Title Assigned - #15283553515")</f>
        <v/>
      </c>
      <c r="B24441" s="0" t="s">
        <v>32746</v>
      </c>
      <c r="E24441" s="0" t="inlineStr">
        <is>
          <t xml:space="preserve">Mazda</t>
        </is>
      </c>
      <c r="F24441" s="0" t="s">
        <v>13</v>
      </c>
      <c r="G24441" s="0" t="s">
        <v>49</v>
      </c>
      <c r="H24441" s="5">
        <v>441.585000</v>
      </c>
    </row>
    <row r="24442" spans="1:9">
      <c r="A24442" s="22" t="str">
        <f>HYPERLINK("https://app.vivvix.com/360/KMI/IntelliDrive/ApplUI/Pages/CreativePages/CustomReportCreativeDetail.aspx?App=23&amp;ReportView=4&amp;Qid=1711279&amp;Row=24434&amp;Col=1","No Title Assigned - #15283553515")</f>
        <v/>
      </c>
      <c r="B24442" s="0" t="s">
        <v>32746</v>
      </c>
      <c r="C24442" s="0" t="s">
        <v>32747</v>
      </c>
      <c r="D24442" s="0" t="s">
        <v>32747</v>
      </c>
      <c r="E24442" s="0" t="inlineStr">
        <is>
          <t xml:space="preserve">Mazda</t>
        </is>
      </c>
      <c r="F24442" s="0" t="s">
        <v>13</v>
      </c>
      <c r="G24442" s="0" t="s">
        <v>49</v>
      </c>
      <c r="H24442" s="5">
        <v>1618.583800</v>
      </c>
    </row>
    <row r="24443" spans="1:9">
      <c r="A24443" s="22" t="str">
        <f>HYPERLINK("https://app.vivvix.com/360/KMI/IntelliDrive/ApplUI/Pages/CreativePages/CustomReportCreativeDetail.aspx?App=23&amp;ReportView=4&amp;Qid=1711279&amp;Row=24435&amp;Col=1","No Title Assigned - #15283557835")</f>
        <v/>
      </c>
      <c r="B24443" s="0" t="s">
        <v>32748</v>
      </c>
      <c r="C24443" s="0" t="s">
        <v>32749</v>
      </c>
      <c r="D24443" s="0" t="s">
        <v>32749</v>
      </c>
      <c r="E24443" s="0" t="inlineStr">
        <is>
          <t xml:space="preserve">Mazda</t>
        </is>
      </c>
      <c r="F24443" s="0" t="s">
        <v>17</v>
      </c>
      <c r="G24443" s="0" t="s">
        <v>33</v>
      </c>
      <c r="H24443" s="5">
        <v>7435.764400</v>
      </c>
    </row>
    <row r="24444" spans="1:9">
      <c r="A24444" s="22" t="str">
        <f>HYPERLINK("https://app.vivvix.com/360/KMI/IntelliDrive/ApplUI/Pages/CreativePages/CustomReportCreativeDetail.aspx?App=23&amp;ReportView=4&amp;Qid=1711279&amp;Row=24436&amp;Col=1","No Title Assigned - #15283558181")</f>
        <v/>
      </c>
      <c r="B24444" s="0" t="s">
        <v>32750</v>
      </c>
      <c r="C24444" s="0" t="s">
        <v>32751</v>
      </c>
      <c r="D24444" s="0" t="s">
        <v>15762</v>
      </c>
      <c r="E24444" s="0" t="inlineStr">
        <is>
          <t xml:space="preserve">Mazda</t>
        </is>
      </c>
      <c r="F24444" s="0" t="s">
        <v>13</v>
      </c>
      <c r="G24444" s="0" t="s">
        <v>49</v>
      </c>
      <c r="H24444" s="5">
        <v>163.830000</v>
      </c>
    </row>
    <row r="24445" spans="1:9">
      <c r="A24445" s="22" t="str">
        <f>HYPERLINK("https://app.vivvix.com/360/KMI/IntelliDrive/ApplUI/Pages/CreativePages/CustomReportCreativeDetail.aspx?App=23&amp;ReportView=4&amp;Qid=1711279&amp;Row=24437&amp;Col=1","No Title Assigned - #15283563390")</f>
        <v/>
      </c>
      <c r="B24445" s="0" t="s">
        <v>32752</v>
      </c>
      <c r="C24445" s="0" t="s">
        <v>32753</v>
      </c>
      <c r="D24445" s="0" t="s">
        <v>32442</v>
      </c>
      <c r="E24445" s="0" t="inlineStr">
        <is>
          <t xml:space="preserve">Mazda</t>
        </is>
      </c>
      <c r="F24445" s="0" t="s">
        <v>13</v>
      </c>
      <c r="G24445" s="0" t="s">
        <v>49</v>
      </c>
      <c r="H24445" s="5">
        <v>16234.352100</v>
      </c>
    </row>
    <row r="24446" spans="1:9">
      <c r="A24446" s="22" t="str">
        <f>HYPERLINK("https://app.vivvix.com/360/KMI/IntelliDrive/ApplUI/Pages/CreativePages/CustomReportCreativeDetail.aspx?App=23&amp;ReportView=4&amp;Qid=1711279&amp;Row=24438&amp;Col=1","No Title Assigned - #15283564467")</f>
        <v/>
      </c>
      <c r="B24446" s="0" t="s">
        <v>32754</v>
      </c>
      <c r="C24446" s="0" t="s">
        <v>32755</v>
      </c>
      <c r="D24446" s="0" t="s">
        <v>32755</v>
      </c>
      <c r="E24446" s="0" t="inlineStr">
        <is>
          <t xml:space="preserve">Mazda</t>
        </is>
      </c>
      <c r="F24446" s="0" t="inlineStr">
        <is>
          <t xml:space="preserve">Mazda</t>
        </is>
      </c>
      <c r="G24446" s="0" t="s">
        <v>210</v>
      </c>
      <c r="H24446" s="5">
        <v>209.788500</v>
      </c>
    </row>
    <row r="24447" spans="1:9">
      <c r="A24447" s="22" t="str">
        <f>HYPERLINK("https://app.vivvix.com/360/KMI/IntelliDrive/ApplUI/Pages/CreativePages/CustomReportCreativeDetail.aspx?App=23&amp;ReportView=4&amp;Qid=1711279&amp;Row=24439&amp;Col=1","No Title Assigned - #15283566587")</f>
        <v/>
      </c>
      <c r="B24447" s="0" t="s">
        <v>32756</v>
      </c>
      <c r="C24447" s="0" t="s">
        <v>32757</v>
      </c>
      <c r="D24447" s="0" t="s">
        <v>32757</v>
      </c>
      <c r="E24447" s="0" t="inlineStr">
        <is>
          <t xml:space="preserve">Mazda</t>
        </is>
      </c>
      <c r="F24447" s="0" t="s">
        <v>13</v>
      </c>
      <c r="G24447" s="0" t="s">
        <v>49</v>
      </c>
      <c r="H24447" s="5">
        <v>1993.811800</v>
      </c>
    </row>
    <row r="24448" spans="1:9">
      <c r="A24448" s="22" t="str">
        <f>HYPERLINK("https://app.vivvix.com/360/KMI/IntelliDrive/ApplUI/Pages/CreativePages/CustomReportCreativeDetail.aspx?App=23&amp;ReportView=4&amp;Qid=1711279&amp;Row=24440&amp;Col=1","No Title Assigned - #15283568424")</f>
        <v/>
      </c>
      <c r="B24448" s="0" t="s">
        <v>32758</v>
      </c>
      <c r="C24448" s="0" t="s">
        <v>32759</v>
      </c>
      <c r="D24448" s="0" t="s">
        <v>32759</v>
      </c>
      <c r="E24448" s="0" t="inlineStr">
        <is>
          <t xml:space="preserve">Mazda</t>
        </is>
      </c>
      <c r="F24448" s="0" t="s">
        <v>13</v>
      </c>
      <c r="G24448" s="0" t="s">
        <v>49</v>
      </c>
      <c r="H24448" s="5">
        <v>117.871600</v>
      </c>
    </row>
    <row r="24449" spans="1:9">
      <c r="A24449" s="22" t="str">
        <f>HYPERLINK("https://app.vivvix.com/360/KMI/IntelliDrive/ApplUI/Pages/CreativePages/CustomReportCreativeDetail.aspx?App=23&amp;ReportView=4&amp;Qid=1711279&amp;Row=24441&amp;Col=1","No Title Assigned - #15283568685")</f>
        <v/>
      </c>
      <c r="B24449" s="0" t="s">
        <v>32760</v>
      </c>
      <c r="C24449" s="0" t="s">
        <v>32761</v>
      </c>
      <c r="D24449" s="0" t="s">
        <v>32761</v>
      </c>
      <c r="E24449" s="0" t="inlineStr">
        <is>
          <t xml:space="preserve">Mazda</t>
        </is>
      </c>
      <c r="F24449" s="0" t="s">
        <v>13</v>
      </c>
      <c r="G24449" s="0" t="s">
        <v>49</v>
      </c>
      <c r="H24449" s="5">
        <v>58.935800</v>
      </c>
    </row>
    <row r="24450" spans="1:9">
      <c r="A24450" s="22" t="str">
        <f>HYPERLINK("https://app.vivvix.com/360/KMI/IntelliDrive/ApplUI/Pages/CreativePages/CustomReportCreativeDetail.aspx?App=23&amp;ReportView=4&amp;Qid=1711279&amp;Row=24442&amp;Col=1","No Title Assigned - #15283571332")</f>
        <v/>
      </c>
      <c r="B24450" s="0" t="s">
        <v>32762</v>
      </c>
      <c r="C24450" s="0" t="s">
        <v>32763</v>
      </c>
      <c r="D24450" s="0" t="s">
        <v>32763</v>
      </c>
      <c r="E24450" s="0" t="inlineStr">
        <is>
          <t xml:space="preserve">Mazda</t>
        </is>
      </c>
      <c r="F24450" s="0" t="s">
        <v>13</v>
      </c>
      <c r="G24450" s="0" t="s">
        <v>49</v>
      </c>
      <c r="H24450" s="5">
        <v>5411.450700</v>
      </c>
    </row>
    <row r="24451" spans="1:9">
      <c r="A24451" s="22" t="str">
        <f>HYPERLINK("https://app.vivvix.com/360/KMI/IntelliDrive/ApplUI/Pages/CreativePages/CustomReportCreativeDetail.aspx?App=23&amp;ReportView=4&amp;Qid=1711279&amp;Row=24443&amp;Col=1","No Title Assigned - #15283574024")</f>
        <v/>
      </c>
      <c r="B24451" s="0" t="s">
        <v>32764</v>
      </c>
      <c r="C24451" s="0" t="s">
        <v>32765</v>
      </c>
      <c r="D24451" s="0" t="s">
        <v>32765</v>
      </c>
      <c r="E24451" s="0" t="inlineStr">
        <is>
          <t xml:space="preserve">Mazda</t>
        </is>
      </c>
      <c r="F24451" s="0" t="s">
        <v>13</v>
      </c>
      <c r="G24451" s="0" t="s">
        <v>49</v>
      </c>
      <c r="H24451" s="5">
        <v>2125.252600</v>
      </c>
    </row>
    <row r="24452" spans="1:9">
      <c r="A24452" s="22" t="str">
        <f>HYPERLINK("https://app.vivvix.com/360/KMI/IntelliDrive/ApplUI/Pages/CreativePages/CustomReportCreativeDetail.aspx?App=23&amp;ReportView=4&amp;Qid=1711279&amp;Row=24444&amp;Col=1","No Title Assigned - #15283574024")</f>
        <v/>
      </c>
      <c r="B24452" s="0" t="s">
        <v>32764</v>
      </c>
      <c r="C24452" s="0" t="s">
        <v>32766</v>
      </c>
      <c r="D24452" s="0" t="s">
        <v>32766</v>
      </c>
      <c r="E24452" s="0" t="inlineStr">
        <is>
          <t xml:space="preserve">Mazda</t>
        </is>
      </c>
      <c r="F24452" s="0" t="s">
        <v>13</v>
      </c>
      <c r="G24452" s="0" t="s">
        <v>49</v>
      </c>
      <c r="H24452" s="5">
        <v>849.820200</v>
      </c>
    </row>
    <row r="24453" spans="1:9">
      <c r="A24453" s="22" t="str">
        <f>HYPERLINK("https://app.vivvix.com/360/KMI/IntelliDrive/ApplUI/Pages/CreativePages/CustomReportCreativeDetail.aspx?App=23&amp;ReportView=4&amp;Qid=1711279&amp;Row=24445&amp;Col=1","No Title Assigned - #15283575052")</f>
        <v/>
      </c>
      <c r="B24453" s="0" t="s">
        <v>32767</v>
      </c>
      <c r="E24453" s="0" t="inlineStr">
        <is>
          <t xml:space="preserve">Mazda</t>
        </is>
      </c>
      <c r="F24453" s="0" t="inlineStr">
        <is>
          <t xml:space="preserve">Mazda</t>
        </is>
      </c>
      <c r="G24453" s="0" t="s">
        <v>171</v>
      </c>
      <c r="H24453" s="5">
        <v>17671.460900</v>
      </c>
    </row>
    <row r="24454" spans="1:9">
      <c r="A24454" s="22" t="str">
        <f>HYPERLINK("https://app.vivvix.com/360/KMI/IntelliDrive/ApplUI/Pages/CreativePages/CustomReportCreativeDetail.aspx?App=23&amp;ReportView=4&amp;Qid=1711279&amp;Row=24446&amp;Col=1","No Title Assigned - #15283575132")</f>
        <v/>
      </c>
      <c r="B24454" s="0" t="s">
        <v>32768</v>
      </c>
      <c r="E24454" s="0" t="inlineStr">
        <is>
          <t xml:space="preserve">Mazda</t>
        </is>
      </c>
      <c r="F24454" s="0" t="inlineStr">
        <is>
          <t xml:space="preserve">Mazda</t>
        </is>
      </c>
      <c r="G24454" s="0" t="s">
        <v>171</v>
      </c>
      <c r="H24454" s="5">
        <v>34.324700</v>
      </c>
    </row>
    <row r="24455" spans="1:9">
      <c r="A24455" s="22" t="str">
        <f>HYPERLINK("https://app.vivvix.com/360/KMI/IntelliDrive/ApplUI/Pages/CreativePages/CustomReportCreativeDetail.aspx?App=23&amp;ReportView=4&amp;Qid=1711279&amp;Row=24447&amp;Col=1","No Title Assigned - #15283575649")</f>
        <v/>
      </c>
      <c r="B24455" s="0" t="s">
        <v>32769</v>
      </c>
      <c r="E24455" s="0" t="inlineStr">
        <is>
          <t xml:space="preserve">Mazda</t>
        </is>
      </c>
      <c r="F24455" s="0" t="inlineStr">
        <is>
          <t xml:space="preserve">Mazda</t>
        </is>
      </c>
      <c r="G24455" s="0" t="s">
        <v>171</v>
      </c>
      <c r="H24455" s="5">
        <v>104.058400</v>
      </c>
    </row>
    <row r="24456" spans="1:9">
      <c r="A24456" s="22" t="str">
        <f>HYPERLINK("https://app.vivvix.com/360/KMI/IntelliDrive/ApplUI/Pages/CreativePages/CustomReportCreativeDetail.aspx?App=23&amp;ReportView=4&amp;Qid=1711279&amp;Row=24448&amp;Col=1","No Title Assigned - #15283575650")</f>
        <v/>
      </c>
      <c r="B24456" s="0" t="s">
        <v>32770</v>
      </c>
      <c r="E24456" s="0" t="inlineStr">
        <is>
          <t xml:space="preserve">Mazda</t>
        </is>
      </c>
      <c r="F24456" s="0" t="inlineStr">
        <is>
          <t xml:space="preserve">Mazda</t>
        </is>
      </c>
      <c r="G24456" s="0" t="s">
        <v>171</v>
      </c>
      <c r="H24456" s="5">
        <v>104.058400</v>
      </c>
    </row>
    <row r="24457" spans="1:9">
      <c r="A24457" s="22" t="str">
        <f>HYPERLINK("https://app.vivvix.com/360/KMI/IntelliDrive/ApplUI/Pages/CreativePages/CustomReportCreativeDetail.aspx?App=23&amp;ReportView=4&amp;Qid=1711279&amp;Row=24449&amp;Col=1","No Title Assigned - #15283576374")</f>
        <v/>
      </c>
      <c r="B24457" s="0" t="s">
        <v>32771</v>
      </c>
      <c r="E24457" s="0" t="inlineStr">
        <is>
          <t xml:space="preserve">Mazda</t>
        </is>
      </c>
      <c r="F24457" s="0" t="inlineStr">
        <is>
          <t xml:space="preserve">Mazda</t>
        </is>
      </c>
      <c r="G24457" s="0" t="s">
        <v>171</v>
      </c>
      <c r="H24457" s="5">
        <v>996.905900</v>
      </c>
    </row>
    <row r="24458" spans="1:9">
      <c r="A24458" s="22" t="str">
        <f>HYPERLINK("https://app.vivvix.com/360/KMI/IntelliDrive/ApplUI/Pages/CreativePages/CustomReportCreativeDetail.aspx?App=23&amp;ReportView=4&amp;Qid=1711279&amp;Row=24450&amp;Col=1","No Title Assigned - #15283579989")</f>
        <v/>
      </c>
      <c r="B24458" s="0" t="s">
        <v>32772</v>
      </c>
      <c r="E24458" s="0" t="inlineStr">
        <is>
          <t xml:space="preserve">Mazda</t>
        </is>
      </c>
      <c r="F24458" s="0" t="inlineStr">
        <is>
          <t xml:space="preserve">Mazda</t>
        </is>
      </c>
      <c r="G24458" s="0" t="s">
        <v>171</v>
      </c>
      <c r="H24458" s="5">
        <v>5209.775800</v>
      </c>
    </row>
    <row r="24459" spans="1:9">
      <c r="A24459" s="22" t="str">
        <f>HYPERLINK("https://app.vivvix.com/360/KMI/IntelliDrive/ApplUI/Pages/CreativePages/CustomReportCreativeDetail.aspx?App=23&amp;ReportView=4&amp;Qid=1711279&amp;Row=24451&amp;Col=1","No Title Assigned - #15283580897")</f>
        <v/>
      </c>
      <c r="B24459" s="0" t="s">
        <v>32773</v>
      </c>
      <c r="E24459" s="0" t="inlineStr">
        <is>
          <t xml:space="preserve">Mazda</t>
        </is>
      </c>
      <c r="F24459" s="0" t="inlineStr">
        <is>
          <t xml:space="preserve">Mazda</t>
        </is>
      </c>
      <c r="G24459" s="0" t="s">
        <v>171</v>
      </c>
      <c r="H24459" s="5">
        <v>1993.811800</v>
      </c>
    </row>
    <row r="24460" spans="1:9">
      <c r="A24460" s="22" t="str">
        <f>HYPERLINK("https://app.vivvix.com/360/KMI/IntelliDrive/ApplUI/Pages/CreativePages/CustomReportCreativeDetail.aspx?App=23&amp;ReportView=4&amp;Qid=1711279&amp;Row=24452&amp;Col=1","No Title Assigned - #15283581183")</f>
        <v/>
      </c>
      <c r="B24460" s="0" t="s">
        <v>32774</v>
      </c>
      <c r="E24460" s="0" t="inlineStr">
        <is>
          <t xml:space="preserve">Mazda</t>
        </is>
      </c>
      <c r="F24460" s="0" t="inlineStr">
        <is>
          <t xml:space="preserve">Mazda</t>
        </is>
      </c>
      <c r="G24460" s="0" t="s">
        <v>171</v>
      </c>
      <c r="H24460" s="5">
        <v>492.154600</v>
      </c>
    </row>
    <row r="24461" spans="1:9">
      <c r="A24461" s="22" t="str">
        <f>HYPERLINK("https://app.vivvix.com/360/KMI/IntelliDrive/ApplUI/Pages/CreativePages/CustomReportCreativeDetail.aspx?App=23&amp;ReportView=4&amp;Qid=1711279&amp;Row=24453&amp;Col=1","No Title Assigned - #15283582441")</f>
        <v/>
      </c>
      <c r="B24461" s="0" t="s">
        <v>32775</v>
      </c>
      <c r="E24461" s="0" t="inlineStr">
        <is>
          <t xml:space="preserve">Mazda</t>
        </is>
      </c>
      <c r="F24461" s="0" t="inlineStr">
        <is>
          <t xml:space="preserve">Mazda</t>
        </is>
      </c>
      <c r="G24461" s="0" t="s">
        <v>171</v>
      </c>
      <c r="H24461" s="5">
        <v>21539.278500</v>
      </c>
    </row>
    <row r="24462" spans="1:9">
      <c r="A24462" s="22" t="str">
        <f>HYPERLINK("https://app.vivvix.com/360/KMI/IntelliDrive/ApplUI/Pages/CreativePages/CustomReportCreativeDetail.aspx?App=23&amp;ReportView=4&amp;Qid=1711279&amp;Row=24454&amp;Col=1","No Title Assigned - #15283583050")</f>
        <v/>
      </c>
      <c r="B24462" s="0" t="s">
        <v>32776</v>
      </c>
      <c r="E24462" s="0" t="inlineStr">
        <is>
          <t xml:space="preserve">Mazda</t>
        </is>
      </c>
      <c r="F24462" s="0" t="inlineStr">
        <is>
          <t xml:space="preserve">Mazda</t>
        </is>
      </c>
      <c r="G24462" s="0" t="s">
        <v>171</v>
      </c>
      <c r="H24462" s="5">
        <v>2322.273900</v>
      </c>
    </row>
    <row r="24463" spans="1:9">
      <c r="A24463" s="22" t="str">
        <f>HYPERLINK("https://app.vivvix.com/360/KMI/IntelliDrive/ApplUI/Pages/CreativePages/CustomReportCreativeDetail.aspx?App=23&amp;ReportView=4&amp;Qid=1711279&amp;Row=24455&amp;Col=1","No Title Assigned - #15283583354")</f>
        <v/>
      </c>
      <c r="B24463" s="0" t="s">
        <v>32777</v>
      </c>
      <c r="E24463" s="0" t="inlineStr">
        <is>
          <t xml:space="preserve">Mazda</t>
        </is>
      </c>
      <c r="F24463" s="0" t="inlineStr">
        <is>
          <t xml:space="preserve">Mazda</t>
        </is>
      </c>
      <c r="G24463" s="0" t="s">
        <v>171</v>
      </c>
      <c r="H24463" s="5">
        <v>58.930000</v>
      </c>
    </row>
    <row r="24464" spans="1:9">
      <c r="A24464" s="22" t="str">
        <f>HYPERLINK("https://app.vivvix.com/360/KMI/IntelliDrive/ApplUI/Pages/CreativePages/CustomReportCreativeDetail.aspx?App=23&amp;ReportView=4&amp;Qid=1711279&amp;Row=24456&amp;Col=1","No Title Assigned - #15283583758")</f>
        <v/>
      </c>
      <c r="B24464" s="0" t="s">
        <v>32778</v>
      </c>
      <c r="C24464" s="0" t="s">
        <v>32779</v>
      </c>
      <c r="D24464" s="0" t="s">
        <v>32779</v>
      </c>
      <c r="E24464" s="0" t="inlineStr">
        <is>
          <t xml:space="preserve">Mazda</t>
        </is>
      </c>
      <c r="F24464" s="0" t="s">
        <v>13</v>
      </c>
      <c r="G24464" s="0" t="s">
        <v>49</v>
      </c>
      <c r="H24464" s="5">
        <v>265.169200</v>
      </c>
    </row>
    <row r="24465" spans="1:9">
      <c r="A24465" s="22" t="str">
        <f>HYPERLINK("https://app.vivvix.com/360/KMI/IntelliDrive/ApplUI/Pages/CreativePages/CustomReportCreativeDetail.aspx?App=23&amp;ReportView=4&amp;Qid=1711279&amp;Row=24457&amp;Col=1","No Title Assigned - #15283584136")</f>
        <v/>
      </c>
      <c r="B24465" s="0" t="s">
        <v>32780</v>
      </c>
      <c r="E24465" s="0" t="inlineStr">
        <is>
          <t xml:space="preserve">Mazda</t>
        </is>
      </c>
      <c r="F24465" s="0" t="inlineStr">
        <is>
          <t xml:space="preserve">Mazda</t>
        </is>
      </c>
      <c r="G24465" s="0" t="s">
        <v>171</v>
      </c>
      <c r="H24465" s="5">
        <v>243.191900</v>
      </c>
    </row>
    <row r="24466" spans="1:9">
      <c r="A24466" s="22" t="str">
        <f>HYPERLINK("https://app.vivvix.com/360/KMI/IntelliDrive/ApplUI/Pages/CreativePages/CustomReportCreativeDetail.aspx?App=23&amp;ReportView=4&amp;Qid=1711279&amp;Row=24458&amp;Col=1","No Title Assigned - #15283584299")</f>
        <v/>
      </c>
      <c r="B24466" s="0" t="s">
        <v>32781</v>
      </c>
      <c r="E24466" s="0" t="inlineStr">
        <is>
          <t xml:space="preserve">Mazda</t>
        </is>
      </c>
      <c r="F24466" s="0" t="inlineStr">
        <is>
          <t xml:space="preserve">Mazda</t>
        </is>
      </c>
      <c r="G24466" s="0" t="s">
        <v>171</v>
      </c>
      <c r="H24466" s="5">
        <v>1058.466500</v>
      </c>
    </row>
    <row r="24467" spans="1:9">
      <c r="A24467" s="22" t="str">
        <f>HYPERLINK("https://app.vivvix.com/360/KMI/IntelliDrive/ApplUI/Pages/CreativePages/CustomReportCreativeDetail.aspx?App=23&amp;ReportView=4&amp;Qid=1711279&amp;Row=24459&amp;Col=1","No Title Assigned - #15283584418")</f>
        <v/>
      </c>
      <c r="B24467" s="0" t="s">
        <v>32782</v>
      </c>
      <c r="C24467" s="0" t="s">
        <v>32783</v>
      </c>
      <c r="D24467" s="0" t="s">
        <v>32783</v>
      </c>
      <c r="E24467" s="0" t="inlineStr">
        <is>
          <t xml:space="preserve">Mazda</t>
        </is>
      </c>
      <c r="F24467" s="0" t="inlineStr">
        <is>
          <t xml:space="preserve">Mazda</t>
        </is>
      </c>
      <c r="G24467" s="0" t="s">
        <v>210</v>
      </c>
      <c r="H24467" s="5">
        <v>815.507700</v>
      </c>
    </row>
    <row r="24468" spans="1:9">
      <c r="A24468" s="22" t="str">
        <f>HYPERLINK("https://app.vivvix.com/360/KMI/IntelliDrive/ApplUI/Pages/CreativePages/CustomReportCreativeDetail.aspx?App=23&amp;ReportView=4&amp;Qid=1711279&amp;Row=24460&amp;Col=1","No Title Assigned - #15283584476")</f>
        <v/>
      </c>
      <c r="B24468" s="0" t="s">
        <v>32784</v>
      </c>
      <c r="E24468" s="0" t="inlineStr">
        <is>
          <t xml:space="preserve">Mazda</t>
        </is>
      </c>
      <c r="F24468" s="0" t="inlineStr">
        <is>
          <t xml:space="preserve">Mazda</t>
        </is>
      </c>
      <c r="G24468" s="0" t="s">
        <v>171</v>
      </c>
      <c r="H24468" s="5">
        <v>1036.882200</v>
      </c>
    </row>
    <row r="24469" spans="1:9">
      <c r="A24469" s="22" t="str">
        <f>HYPERLINK("https://app.vivvix.com/360/KMI/IntelliDrive/ApplUI/Pages/CreativePages/CustomReportCreativeDetail.aspx?App=23&amp;ReportView=4&amp;Qid=1711279&amp;Row=24461&amp;Col=1","No Title Assigned - #15283584567")</f>
        <v/>
      </c>
      <c r="B24469" s="0" t="s">
        <v>32785</v>
      </c>
      <c r="E24469" s="0" t="inlineStr">
        <is>
          <t xml:space="preserve">Mazda</t>
        </is>
      </c>
      <c r="F24469" s="0" t="inlineStr">
        <is>
          <t xml:space="preserve">Mazda</t>
        </is>
      </c>
      <c r="G24469" s="0" t="s">
        <v>171</v>
      </c>
      <c r="H24469" s="5">
        <v>2342.417400</v>
      </c>
    </row>
    <row r="24470" spans="1:9">
      <c r="A24470" s="22" t="str">
        <f>HYPERLINK("https://app.vivvix.com/360/KMI/IntelliDrive/ApplUI/Pages/CreativePages/CustomReportCreativeDetail.aspx?App=23&amp;ReportView=4&amp;Qid=1711279&amp;Row=24462&amp;Col=1","No Title Assigned - #15283584997")</f>
        <v/>
      </c>
      <c r="B24470" s="0" t="s">
        <v>32786</v>
      </c>
      <c r="C24470" s="0" t="s">
        <v>32787</v>
      </c>
      <c r="D24470" s="0" t="s">
        <v>32787</v>
      </c>
      <c r="E24470" s="0" t="inlineStr">
        <is>
          <t xml:space="preserve">Mazda</t>
        </is>
      </c>
      <c r="F24470" s="0" t="s">
        <v>13</v>
      </c>
      <c r="G24470" s="0" t="s">
        <v>49</v>
      </c>
      <c r="H24470" s="5">
        <v>40.190400</v>
      </c>
    </row>
    <row r="24471" spans="1:9">
      <c r="A24471" s="22" t="str">
        <f>HYPERLINK("https://app.vivvix.com/360/KMI/IntelliDrive/ApplUI/Pages/CreativePages/CustomReportCreativeDetail.aspx?App=23&amp;ReportView=4&amp;Qid=1711279&amp;Row=24463&amp;Col=1","No Title Assigned - #15283585015")</f>
        <v/>
      </c>
      <c r="B24471" s="0" t="s">
        <v>32788</v>
      </c>
      <c r="E24471" s="0" t="inlineStr">
        <is>
          <t xml:space="preserve">Mazda</t>
        </is>
      </c>
      <c r="F24471" s="0" t="inlineStr">
        <is>
          <t xml:space="preserve">Mazda</t>
        </is>
      </c>
      <c r="G24471" s="0" t="s">
        <v>171</v>
      </c>
      <c r="H24471" s="5">
        <v>1038.462500</v>
      </c>
    </row>
    <row r="24472" spans="1:9">
      <c r="A24472" s="22" t="str">
        <f>HYPERLINK("https://app.vivvix.com/360/KMI/IntelliDrive/ApplUI/Pages/CreativePages/CustomReportCreativeDetail.aspx?App=23&amp;ReportView=4&amp;Qid=1711279&amp;Row=24464&amp;Col=1","No Title Assigned - #15283586417")</f>
        <v/>
      </c>
      <c r="B24472" s="0" t="s">
        <v>32789</v>
      </c>
      <c r="E24472" s="0" t="inlineStr">
        <is>
          <t xml:space="preserve">Mazda</t>
        </is>
      </c>
      <c r="F24472" s="0" t="inlineStr">
        <is>
          <t xml:space="preserve">Mazda</t>
        </is>
      </c>
      <c r="G24472" s="0" t="s">
        <v>171</v>
      </c>
      <c r="H24472" s="5">
        <v>1009.314200</v>
      </c>
    </row>
    <row r="24473" spans="1:9">
      <c r="A24473" s="22" t="str">
        <f>HYPERLINK("https://app.vivvix.com/360/KMI/IntelliDrive/ApplUI/Pages/CreativePages/CustomReportCreativeDetail.aspx?App=23&amp;ReportView=4&amp;Qid=1711279&amp;Row=24465&amp;Col=1","No Title Assigned - #15283588385")</f>
        <v/>
      </c>
      <c r="B24473" s="0" t="s">
        <v>32790</v>
      </c>
      <c r="E24473" s="0" t="inlineStr">
        <is>
          <t xml:space="preserve">Mazda</t>
        </is>
      </c>
      <c r="F24473" s="0" t="inlineStr">
        <is>
          <t xml:space="preserve">Mazda</t>
        </is>
      </c>
      <c r="G24473" s="0" t="s">
        <v>171</v>
      </c>
      <c r="H24473" s="5">
        <v>791.990400</v>
      </c>
    </row>
    <row r="24474" spans="1:9">
      <c r="A24474" s="22" t="str">
        <f>HYPERLINK("https://app.vivvix.com/360/KMI/IntelliDrive/ApplUI/Pages/CreativePages/CustomReportCreativeDetail.aspx?App=23&amp;ReportView=4&amp;Qid=1711279&amp;Row=24466&amp;Col=1","No Title Assigned - #15283588500")</f>
        <v/>
      </c>
      <c r="B24474" s="0" t="s">
        <v>32791</v>
      </c>
      <c r="C24474" s="0" t="s">
        <v>32792</v>
      </c>
      <c r="D24474" s="0" t="s">
        <v>22435</v>
      </c>
      <c r="E24474" s="0" t="inlineStr">
        <is>
          <t xml:space="preserve">Mazda</t>
        </is>
      </c>
      <c r="F24474" s="0" t="s">
        <v>13</v>
      </c>
      <c r="G24474" s="0" t="s">
        <v>49</v>
      </c>
      <c r="H24474" s="5">
        <v>39286.569300</v>
      </c>
    </row>
    <row r="24475" spans="1:9">
      <c r="A24475" s="22" t="str">
        <f>HYPERLINK("https://app.vivvix.com/360/KMI/IntelliDrive/ApplUI/Pages/CreativePages/CustomReportCreativeDetail.aspx?App=23&amp;ReportView=4&amp;Qid=1711279&amp;Row=24467&amp;Col=1","No Title Assigned - #15283588500")</f>
        <v/>
      </c>
      <c r="B24475" s="0" t="s">
        <v>32791</v>
      </c>
      <c r="E24475" s="0" t="inlineStr">
        <is>
          <t xml:space="preserve">Mazda</t>
        </is>
      </c>
      <c r="F24475" s="0" t="s">
        <v>13</v>
      </c>
      <c r="G24475" s="0" t="s">
        <v>49</v>
      </c>
      <c r="H24475" s="5">
        <v>16863.312300</v>
      </c>
    </row>
    <row r="24476" spans="1:9">
      <c r="A24476" s="22" t="str">
        <f>HYPERLINK("https://app.vivvix.com/360/KMI/IntelliDrive/ApplUI/Pages/CreativePages/CustomReportCreativeDetail.aspx?App=23&amp;ReportView=4&amp;Qid=1711279&amp;Row=24468&amp;Col=1","No Title Assigned - #15283589938")</f>
        <v/>
      </c>
      <c r="B24476" s="0" t="s">
        <v>32793</v>
      </c>
      <c r="E24476" s="0" t="inlineStr">
        <is>
          <t xml:space="preserve">Mazda</t>
        </is>
      </c>
      <c r="F24476" s="0" t="inlineStr">
        <is>
          <t xml:space="preserve">Mazda</t>
        </is>
      </c>
      <c r="G24476" s="0" t="s">
        <v>171</v>
      </c>
      <c r="H24476" s="5">
        <v>786.296700</v>
      </c>
    </row>
    <row r="24477" spans="1:9">
      <c r="A24477" s="22" t="str">
        <f>HYPERLINK("https://app.vivvix.com/360/KMI/IntelliDrive/ApplUI/Pages/CreativePages/CustomReportCreativeDetail.aspx?App=23&amp;ReportView=4&amp;Qid=1711279&amp;Row=24469&amp;Col=1","No Title Assigned - #15283589938")</f>
        <v/>
      </c>
      <c r="B24477" s="0" t="s">
        <v>32793</v>
      </c>
      <c r="E24477" s="0" t="inlineStr">
        <is>
          <t xml:space="preserve">Mazda</t>
        </is>
      </c>
      <c r="F24477" s="0" t="inlineStr">
        <is>
          <t xml:space="preserve">Mazda</t>
        </is>
      </c>
      <c r="G24477" s="0" t="s">
        <v>171</v>
      </c>
      <c r="H24477" s="5">
        <v>31996.013700</v>
      </c>
    </row>
    <row r="24478" spans="1:9">
      <c r="A24478" s="22" t="str">
        <f>HYPERLINK("https://app.vivvix.com/360/KMI/IntelliDrive/ApplUI/Pages/CreativePages/CustomReportCreativeDetail.aspx?App=23&amp;ReportView=4&amp;Qid=1711279&amp;Row=24470&amp;Col=1","No Title Assigned - #15283606452")</f>
        <v/>
      </c>
      <c r="B24478" s="0" t="s">
        <v>32794</v>
      </c>
      <c r="C24478" s="0" t="s">
        <v>32795</v>
      </c>
      <c r="D24478" s="0" t="s">
        <v>9829</v>
      </c>
      <c r="E24478" s="0" t="inlineStr">
        <is>
          <t xml:space="preserve">Mazda</t>
        </is>
      </c>
      <c r="F24478" s="0" t="s">
        <v>13</v>
      </c>
      <c r="G24478" s="0" t="s">
        <v>49</v>
      </c>
      <c r="H24478" s="5">
        <v>935.987100</v>
      </c>
    </row>
    <row r="24479" spans="1:9">
      <c r="A24479" s="22" t="str">
        <f>HYPERLINK("https://app.vivvix.com/360/KMI/IntelliDrive/ApplUI/Pages/CreativePages/CustomReportCreativeDetail.aspx?App=23&amp;ReportView=4&amp;Qid=1711279&amp;Row=24471&amp;Col=1","No Title Assigned - #15283608822")</f>
        <v/>
      </c>
      <c r="B24479" s="0" t="s">
        <v>32796</v>
      </c>
      <c r="C24479" s="0" t="s">
        <v>32797</v>
      </c>
      <c r="D24479" s="0" t="s">
        <v>32797</v>
      </c>
      <c r="E24479" s="0" t="inlineStr">
        <is>
          <t xml:space="preserve">Mazda</t>
        </is>
      </c>
      <c r="F24479" s="0" t="s">
        <v>13</v>
      </c>
      <c r="G24479" s="0" t="s">
        <v>49</v>
      </c>
      <c r="H24479" s="5">
        <v>5206.008300</v>
      </c>
    </row>
    <row r="24480" spans="1:9">
      <c r="A24480" s="22" t="str">
        <f>HYPERLINK("https://app.vivvix.com/360/KMI/IntelliDrive/ApplUI/Pages/CreativePages/CustomReportCreativeDetail.aspx?App=23&amp;ReportView=4&amp;Qid=1711279&amp;Row=24472&amp;Col=1","No Title Assigned - #15283609232")</f>
        <v/>
      </c>
      <c r="B24480" s="0" t="s">
        <v>32798</v>
      </c>
      <c r="C24480" s="0" t="s">
        <v>32799</v>
      </c>
      <c r="D24480" s="0" t="s">
        <v>32799</v>
      </c>
      <c r="E24480" s="0" t="inlineStr">
        <is>
          <t xml:space="preserve">Mazda</t>
        </is>
      </c>
      <c r="F24480" s="0" t="s">
        <v>13</v>
      </c>
      <c r="G24480" s="0" t="s">
        <v>49</v>
      </c>
      <c r="H24480" s="5">
        <v>10418.905800</v>
      </c>
    </row>
    <row r="24481" spans="1:9">
      <c r="A24481" s="22" t="str">
        <f>HYPERLINK("https://app.vivvix.com/360/KMI/IntelliDrive/ApplUI/Pages/CreativePages/CustomReportCreativeDetail.aspx?App=23&amp;ReportView=4&amp;Qid=1711279&amp;Row=24473&amp;Col=1","No Title Assigned - #15283611001")</f>
        <v/>
      </c>
      <c r="B24481" s="0" t="s">
        <v>32800</v>
      </c>
      <c r="C24481" s="0" t="s">
        <v>32801</v>
      </c>
      <c r="D24481" s="0" t="s">
        <v>32801</v>
      </c>
      <c r="E24481" s="0" t="inlineStr">
        <is>
          <t xml:space="preserve">Mazda</t>
        </is>
      </c>
      <c r="F24481" s="0" t="s">
        <v>13</v>
      </c>
      <c r="G24481" s="0" t="s">
        <v>49</v>
      </c>
      <c r="H24481" s="5">
        <v>677.325700</v>
      </c>
    </row>
    <row r="24482" spans="1:9">
      <c r="A24482" s="22" t="str">
        <f>HYPERLINK("https://app.vivvix.com/360/KMI/IntelliDrive/ApplUI/Pages/CreativePages/CustomReportCreativeDetail.aspx?App=23&amp;ReportView=4&amp;Qid=1711279&amp;Row=24474&amp;Col=1","No Title Assigned - #15283611837")</f>
        <v/>
      </c>
      <c r="B24482" s="0" t="s">
        <v>32802</v>
      </c>
      <c r="C24482" s="0" t="s">
        <v>32803</v>
      </c>
      <c r="D24482" s="0" t="s">
        <v>32803</v>
      </c>
      <c r="E24482" s="0" t="inlineStr">
        <is>
          <t xml:space="preserve">Mazda</t>
        </is>
      </c>
      <c r="F24482" s="0" t="s">
        <v>13</v>
      </c>
      <c r="G24482" s="0" t="s">
        <v>49</v>
      </c>
      <c r="H24482" s="5">
        <v>506.055000</v>
      </c>
    </row>
    <row r="24483" spans="1:9">
      <c r="A24483" s="22" t="str">
        <f>HYPERLINK("https://app.vivvix.com/360/KMI/IntelliDrive/ApplUI/Pages/CreativePages/CustomReportCreativeDetail.aspx?App=23&amp;ReportView=4&amp;Qid=1711279&amp;Row=24475&amp;Col=1","No Title Assigned - #15283612343")</f>
        <v/>
      </c>
      <c r="B24483" s="0" t="s">
        <v>32804</v>
      </c>
      <c r="C24483" s="0" t="s">
        <v>32805</v>
      </c>
      <c r="D24483" s="0" t="s">
        <v>32129</v>
      </c>
      <c r="E24483" s="0" t="inlineStr">
        <is>
          <t xml:space="preserve">Mazda</t>
        </is>
      </c>
      <c r="F24483" s="0" t="s">
        <v>28</v>
      </c>
      <c r="G24483" s="0" t="s">
        <v>29</v>
      </c>
      <c r="H24483" s="5">
        <v>418.084900</v>
      </c>
    </row>
    <row r="24484" spans="1:9">
      <c r="A24484" s="22" t="str">
        <f>HYPERLINK("https://app.vivvix.com/360/KMI/IntelliDrive/ApplUI/Pages/CreativePages/CustomReportCreativeDetail.aspx?App=23&amp;ReportView=4&amp;Qid=1711279&amp;Row=24476&amp;Col=1","No Title Assigned - #15283612671")</f>
        <v/>
      </c>
      <c r="B24484" s="0" t="s">
        <v>32806</v>
      </c>
      <c r="C24484" s="0" t="s">
        <v>32807</v>
      </c>
      <c r="D24484" s="0" t="s">
        <v>32807</v>
      </c>
      <c r="E24484" s="0" t="inlineStr">
        <is>
          <t xml:space="preserve">Mazda</t>
        </is>
      </c>
      <c r="F24484" s="0" t="s">
        <v>13</v>
      </c>
      <c r="G24484" s="0" t="s">
        <v>49</v>
      </c>
      <c r="H24484" s="5">
        <v>4984.529500</v>
      </c>
    </row>
    <row r="24485" spans="1:9">
      <c r="A24485" s="22" t="str">
        <f>HYPERLINK("https://app.vivvix.com/360/KMI/IntelliDrive/ApplUI/Pages/CreativePages/CustomReportCreativeDetail.aspx?App=23&amp;ReportView=4&amp;Qid=1711279&amp;Row=24477&amp;Col=1","No Title Assigned - #15283613367")</f>
        <v/>
      </c>
      <c r="B24485" s="0" t="s">
        <v>32808</v>
      </c>
      <c r="C24485" s="0" t="s">
        <v>32809</v>
      </c>
      <c r="D24485" s="0" t="s">
        <v>22540</v>
      </c>
      <c r="E24485" s="0" t="inlineStr">
        <is>
          <t xml:space="preserve">Mazda</t>
        </is>
      </c>
      <c r="F24485" s="0" t="s">
        <v>13</v>
      </c>
      <c r="G24485" s="0" t="s">
        <v>49</v>
      </c>
      <c r="H24485" s="5">
        <v>84.132100</v>
      </c>
    </row>
    <row r="24486" spans="1:9">
      <c r="A24486" s="22" t="str">
        <f>HYPERLINK("https://app.vivvix.com/360/KMI/IntelliDrive/ApplUI/Pages/CreativePages/CustomReportCreativeDetail.aspx?App=23&amp;ReportView=4&amp;Qid=1711279&amp;Row=24478&amp;Col=1","No Title Assigned - #15283613420")</f>
        <v/>
      </c>
      <c r="B24486" s="0" t="s">
        <v>32810</v>
      </c>
      <c r="C24486" s="0" t="s">
        <v>32811</v>
      </c>
      <c r="D24486" s="0" t="s">
        <v>32811</v>
      </c>
      <c r="E24486" s="0" t="inlineStr">
        <is>
          <t xml:space="preserve">Mazda</t>
        </is>
      </c>
      <c r="F24486" s="0" t="s">
        <v>13</v>
      </c>
      <c r="G24486" s="0" t="s">
        <v>49</v>
      </c>
      <c r="H24486" s="5">
        <v>392.648700</v>
      </c>
    </row>
    <row r="24487" spans="1:9">
      <c r="A24487" s="22" t="str">
        <f>HYPERLINK("https://app.vivvix.com/360/KMI/IntelliDrive/ApplUI/Pages/CreativePages/CustomReportCreativeDetail.aspx?App=23&amp;ReportView=4&amp;Qid=1711279&amp;Row=24479&amp;Col=1","No Title Assigned - #15283613939")</f>
        <v/>
      </c>
      <c r="B24487" s="0" t="s">
        <v>32812</v>
      </c>
      <c r="C24487" s="0" t="s">
        <v>32813</v>
      </c>
      <c r="D24487" s="0" t="s">
        <v>29845</v>
      </c>
      <c r="E24487" s="0" t="inlineStr">
        <is>
          <t xml:space="preserve">Mazda</t>
        </is>
      </c>
      <c r="F24487" s="0" t="s">
        <v>13</v>
      </c>
      <c r="G24487" s="0" t="s">
        <v>49</v>
      </c>
      <c r="H24487" s="5">
        <v>452.160500</v>
      </c>
    </row>
    <row r="24488" spans="1:9">
      <c r="A24488" s="22" t="str">
        <f>HYPERLINK("https://app.vivvix.com/360/KMI/IntelliDrive/ApplUI/Pages/CreativePages/CustomReportCreativeDetail.aspx?App=23&amp;ReportView=4&amp;Qid=1711279&amp;Row=24480&amp;Col=1","No Title Assigned - #15283615085")</f>
        <v/>
      </c>
      <c r="B24488" s="0" t="s">
        <v>32814</v>
      </c>
      <c r="C24488" s="0" t="s">
        <v>32815</v>
      </c>
      <c r="D24488" s="0" t="s">
        <v>32815</v>
      </c>
      <c r="E24488" s="0" t="inlineStr">
        <is>
          <t xml:space="preserve">Mazda</t>
        </is>
      </c>
      <c r="F24488" s="0" t="s">
        <v>13</v>
      </c>
      <c r="G24488" s="0" t="s">
        <v>49</v>
      </c>
      <c r="H24488" s="5">
        <v>84.624000</v>
      </c>
    </row>
    <row r="24489" spans="1:9">
      <c r="A24489" s="22" t="str">
        <f>HYPERLINK("https://app.vivvix.com/360/KMI/IntelliDrive/ApplUI/Pages/CreativePages/CustomReportCreativeDetail.aspx?App=23&amp;ReportView=4&amp;Qid=1711279&amp;Row=24481&amp;Col=1","No Title Assigned - #15283615188")</f>
        <v/>
      </c>
      <c r="B24489" s="0" t="s">
        <v>32816</v>
      </c>
      <c r="C24489" s="0" t="s">
        <v>32817</v>
      </c>
      <c r="D24489" s="0" t="s">
        <v>32817</v>
      </c>
      <c r="E24489" s="0" t="inlineStr">
        <is>
          <t xml:space="preserve">Mazda</t>
        </is>
      </c>
      <c r="F24489" s="0" t="s">
        <v>13</v>
      </c>
      <c r="G24489" s="0" t="s">
        <v>49</v>
      </c>
      <c r="H24489" s="5">
        <v>3597.855700</v>
      </c>
    </row>
    <row r="24490" spans="1:9">
      <c r="A24490" s="22" t="str">
        <f>HYPERLINK("https://app.vivvix.com/360/KMI/IntelliDrive/ApplUI/Pages/CreativePages/CustomReportCreativeDetail.aspx?App=23&amp;ReportView=4&amp;Qid=1711279&amp;Row=24482&amp;Col=1","No Title Assigned - #15283617765")</f>
        <v/>
      </c>
      <c r="B24490" s="0" t="s">
        <v>32818</v>
      </c>
      <c r="C24490" s="0" t="s">
        <v>32819</v>
      </c>
      <c r="D24490" s="0" t="s">
        <v>32819</v>
      </c>
      <c r="E24490" s="0" t="inlineStr">
        <is>
          <t xml:space="preserve">Mazda</t>
        </is>
      </c>
      <c r="F24490" s="0" t="s">
        <v>13</v>
      </c>
      <c r="G24490" s="0" t="s">
        <v>49</v>
      </c>
      <c r="H24490" s="5">
        <v>64.002800</v>
      </c>
    </row>
    <row r="24491" spans="1:9">
      <c r="A24491" s="22" t="str">
        <f>HYPERLINK("https://app.vivvix.com/360/KMI/IntelliDrive/ApplUI/Pages/CreativePages/CustomReportCreativeDetail.aspx?App=23&amp;ReportView=4&amp;Qid=1711279&amp;Row=24483&amp;Col=1","No Title Assigned - #15283619006")</f>
        <v/>
      </c>
      <c r="B24491" s="0" t="s">
        <v>32820</v>
      </c>
      <c r="C24491" s="0" t="s">
        <v>32821</v>
      </c>
      <c r="D24491" s="0" t="s">
        <v>32821</v>
      </c>
      <c r="E24491" s="0" t="inlineStr">
        <is>
          <t xml:space="preserve">Mazda</t>
        </is>
      </c>
      <c r="F24491" s="0" t="inlineStr">
        <is>
          <t xml:space="preserve">Mazda</t>
        </is>
      </c>
      <c r="G24491" s="0" t="s">
        <v>171</v>
      </c>
      <c r="H24491" s="5">
        <v>4561.445500</v>
      </c>
    </row>
    <row r="24492" spans="1:9">
      <c r="A24492" s="22" t="str">
        <f>HYPERLINK("https://app.vivvix.com/360/KMI/IntelliDrive/ApplUI/Pages/CreativePages/CustomReportCreativeDetail.aspx?App=23&amp;ReportView=4&amp;Qid=1711279&amp;Row=24484&amp;Col=1","No Title Assigned - #15283621244")</f>
        <v/>
      </c>
      <c r="B24492" s="0" t="s">
        <v>32822</v>
      </c>
      <c r="C24492" s="0" t="s">
        <v>32823</v>
      </c>
      <c r="D24492" s="0" t="s">
        <v>32823</v>
      </c>
      <c r="E24492" s="0" t="inlineStr">
        <is>
          <t xml:space="preserve">Mazda</t>
        </is>
      </c>
      <c r="F24492" s="0" t="s">
        <v>52</v>
      </c>
      <c r="G24492" s="0" t="s">
        <v>325</v>
      </c>
      <c r="H24492" s="5">
        <v>836.169800</v>
      </c>
    </row>
    <row r="24493" spans="1:9">
      <c r="A24493" s="22" t="str">
        <f>HYPERLINK("https://app.vivvix.com/360/KMI/IntelliDrive/ApplUI/Pages/CreativePages/CustomReportCreativeDetail.aspx?App=23&amp;ReportView=4&amp;Qid=1711279&amp;Row=24485&amp;Col=1","No Title Assigned - #15283621715")</f>
        <v/>
      </c>
      <c r="B24493" s="0" t="s">
        <v>32824</v>
      </c>
      <c r="C24493" s="0" t="s">
        <v>32825</v>
      </c>
      <c r="D24493" s="0" t="s">
        <v>23199</v>
      </c>
      <c r="E24493" s="0" t="inlineStr">
        <is>
          <t xml:space="preserve">Mazda</t>
        </is>
      </c>
      <c r="F24493" s="0" t="s">
        <v>13</v>
      </c>
      <c r="G24493" s="0" t="s">
        <v>49</v>
      </c>
      <c r="H24493" s="5">
        <v>955.243700</v>
      </c>
    </row>
    <row r="24494" spans="1:9">
      <c r="A24494" s="22" t="str">
        <f>HYPERLINK("https://app.vivvix.com/360/KMI/IntelliDrive/ApplUI/Pages/CreativePages/CustomReportCreativeDetail.aspx?App=23&amp;ReportView=4&amp;Qid=1711279&amp;Row=24486&amp;Col=1","No Title Assigned - #15283621819")</f>
        <v/>
      </c>
      <c r="B24494" s="0" t="s">
        <v>32826</v>
      </c>
      <c r="C24494" s="0" t="s">
        <v>32827</v>
      </c>
      <c r="D24494" s="0" t="s">
        <v>24248</v>
      </c>
      <c r="E24494" s="0" t="inlineStr">
        <is>
          <t xml:space="preserve">Mazda</t>
        </is>
      </c>
      <c r="F24494" s="0" t="s">
        <v>13</v>
      </c>
      <c r="G24494" s="0" t="s">
        <v>49</v>
      </c>
      <c r="H24494" s="5">
        <v>418.905200</v>
      </c>
    </row>
    <row r="24495" spans="1:9">
      <c r="A24495" s="22" t="str">
        <f>HYPERLINK("https://app.vivvix.com/360/KMI/IntelliDrive/ApplUI/Pages/CreativePages/CustomReportCreativeDetail.aspx?App=23&amp;ReportView=4&amp;Qid=1711279&amp;Row=24487&amp;Col=1","No Title Assigned - #15283622069")</f>
        <v/>
      </c>
      <c r="B24495" s="0" t="s">
        <v>32828</v>
      </c>
      <c r="C24495" s="0" t="s">
        <v>32829</v>
      </c>
      <c r="D24495" s="0" t="s">
        <v>22435</v>
      </c>
      <c r="E24495" s="0" t="inlineStr">
        <is>
          <t xml:space="preserve">Mazda</t>
        </is>
      </c>
      <c r="F24495" s="0" t="s">
        <v>13</v>
      </c>
      <c r="G24495" s="0" t="s">
        <v>49</v>
      </c>
      <c r="H24495" s="5">
        <v>37.248800</v>
      </c>
    </row>
    <row r="24496" spans="1:9">
      <c r="A24496" s="22" t="str">
        <f>HYPERLINK("https://app.vivvix.com/360/KMI/IntelliDrive/ApplUI/Pages/CreativePages/CustomReportCreativeDetail.aspx?App=23&amp;ReportView=4&amp;Qid=1711279&amp;Row=24488&amp;Col=1","No Title Assigned - #15283622148")</f>
        <v/>
      </c>
      <c r="B24496" s="0" t="s">
        <v>32830</v>
      </c>
      <c r="C24496" s="0" t="s">
        <v>32831</v>
      </c>
      <c r="D24496" s="0" t="s">
        <v>32831</v>
      </c>
      <c r="E24496" s="0" t="inlineStr">
        <is>
          <t xml:space="preserve">Mazda</t>
        </is>
      </c>
      <c r="F24496" s="0" t="s">
        <v>13</v>
      </c>
      <c r="G24496" s="0" t="s">
        <v>49</v>
      </c>
      <c r="H24496" s="5">
        <v>9723.724100</v>
      </c>
    </row>
    <row r="24497" spans="1:9">
      <c r="A24497" s="22" t="str">
        <f>HYPERLINK("https://app.vivvix.com/360/KMI/IntelliDrive/ApplUI/Pages/CreativePages/CustomReportCreativeDetail.aspx?App=23&amp;ReportView=4&amp;Qid=1711279&amp;Row=24489&amp;Col=1","No Title Assigned - #15283622179")</f>
        <v/>
      </c>
      <c r="B24497" s="0" t="s">
        <v>32832</v>
      </c>
      <c r="C24497" s="0" t="s">
        <v>32833</v>
      </c>
      <c r="D24497" s="0" t="s">
        <v>32833</v>
      </c>
      <c r="E24497" s="0" t="inlineStr">
        <is>
          <t xml:space="preserve">Mazda</t>
        </is>
      </c>
      <c r="F24497" s="0" t="s">
        <v>13</v>
      </c>
      <c r="G24497" s="0" t="s">
        <v>49</v>
      </c>
      <c r="H24497" s="5">
        <v>5169.256300</v>
      </c>
    </row>
    <row r="24498" spans="1:9">
      <c r="A24498" s="22" t="str">
        <f>HYPERLINK("https://app.vivvix.com/360/KMI/IntelliDrive/ApplUI/Pages/CreativePages/CustomReportCreativeDetail.aspx?App=23&amp;ReportView=4&amp;Qid=1711279&amp;Row=24490&amp;Col=1","No Title Assigned - #15283622360")</f>
        <v/>
      </c>
      <c r="B24498" s="0" t="s">
        <v>32834</v>
      </c>
      <c r="C24498" s="0" t="s">
        <v>32835</v>
      </c>
      <c r="D24498" s="0" t="s">
        <v>9167</v>
      </c>
      <c r="E24498" s="0" t="inlineStr">
        <is>
          <t xml:space="preserve">Mazda</t>
        </is>
      </c>
      <c r="F24498" s="0" t="s">
        <v>13</v>
      </c>
      <c r="G24498" s="0" t="s">
        <v>49</v>
      </c>
      <c r="H24498" s="5">
        <v>5746.160600</v>
      </c>
    </row>
    <row r="24499" spans="1:9">
      <c r="A24499" s="22" t="str">
        <f>HYPERLINK("https://app.vivvix.com/360/KMI/IntelliDrive/ApplUI/Pages/CreativePages/CustomReportCreativeDetail.aspx?App=23&amp;ReportView=4&amp;Qid=1711279&amp;Row=24491&amp;Col=1","No Title Assigned - #15283623719")</f>
        <v/>
      </c>
      <c r="B24499" s="0" t="s">
        <v>32836</v>
      </c>
      <c r="C24499" s="0" t="s">
        <v>32837</v>
      </c>
      <c r="D24499" s="0" t="s">
        <v>9167</v>
      </c>
      <c r="E24499" s="0" t="inlineStr">
        <is>
          <t xml:space="preserve">Mazda</t>
        </is>
      </c>
      <c r="F24499" s="0" t="s">
        <v>13</v>
      </c>
      <c r="G24499" s="0" t="s">
        <v>49</v>
      </c>
      <c r="H24499" s="5">
        <v>230.717000</v>
      </c>
    </row>
    <row r="24500" spans="1:9">
      <c r="A24500" s="22" t="str">
        <f>HYPERLINK("https://app.vivvix.com/360/KMI/IntelliDrive/ApplUI/Pages/CreativePages/CustomReportCreativeDetail.aspx?App=23&amp;ReportView=4&amp;Qid=1711279&amp;Row=24492&amp;Col=1","No Title Assigned - #15283624197")</f>
        <v/>
      </c>
      <c r="B24500" s="0" t="s">
        <v>32838</v>
      </c>
      <c r="C24500" s="0" t="s">
        <v>32839</v>
      </c>
      <c r="D24500" s="0" t="s">
        <v>32839</v>
      </c>
      <c r="E24500" s="0" t="inlineStr">
        <is>
          <t xml:space="preserve">Mazda</t>
        </is>
      </c>
      <c r="F24500" s="0" t="s">
        <v>13</v>
      </c>
      <c r="G24500" s="0" t="s">
        <v>49</v>
      </c>
      <c r="H24500" s="5">
        <v>84.624000</v>
      </c>
    </row>
    <row r="24501" spans="1:9">
      <c r="A24501" s="22" t="str">
        <f>HYPERLINK("https://app.vivvix.com/360/KMI/IntelliDrive/ApplUI/Pages/CreativePages/CustomReportCreativeDetail.aspx?App=23&amp;ReportView=4&amp;Qid=1711279&amp;Row=24493&amp;Col=1","No Title Assigned - #15283624334")</f>
        <v/>
      </c>
      <c r="B24501" s="0" t="s">
        <v>32840</v>
      </c>
      <c r="C24501" s="0" t="s">
        <v>32841</v>
      </c>
      <c r="D24501" s="0" t="s">
        <v>15762</v>
      </c>
      <c r="E24501" s="0" t="inlineStr">
        <is>
          <t xml:space="preserve">Mazda</t>
        </is>
      </c>
      <c r="F24501" s="0" t="s">
        <v>13</v>
      </c>
      <c r="G24501" s="0" t="s">
        <v>49</v>
      </c>
      <c r="H24501" s="5">
        <v>2.884100</v>
      </c>
    </row>
    <row r="24502" spans="1:9">
      <c r="A24502" s="22" t="str">
        <f>HYPERLINK("https://app.vivvix.com/360/KMI/IntelliDrive/ApplUI/Pages/CreativePages/CustomReportCreativeDetail.aspx?App=23&amp;ReportView=4&amp;Qid=1711279&amp;Row=24494&amp;Col=1","No Title Assigned - #15283624358")</f>
        <v/>
      </c>
      <c r="B24502" s="0" t="s">
        <v>32842</v>
      </c>
      <c r="C24502" s="0" t="s">
        <v>32843</v>
      </c>
      <c r="D24502" s="0" t="s">
        <v>9167</v>
      </c>
      <c r="E24502" s="0" t="inlineStr">
        <is>
          <t xml:space="preserve">Mazda</t>
        </is>
      </c>
      <c r="F24502" s="0" t="s">
        <v>13</v>
      </c>
      <c r="G24502" s="0" t="s">
        <v>49</v>
      </c>
      <c r="H24502" s="5">
        <v>42.987100</v>
      </c>
    </row>
    <row r="24503" spans="1:9">
      <c r="A24503" s="22" t="str">
        <f>HYPERLINK("https://app.vivvix.com/360/KMI/IntelliDrive/ApplUI/Pages/CreativePages/CustomReportCreativeDetail.aspx?App=23&amp;ReportView=4&amp;Qid=1711279&amp;Row=24495&amp;Col=1","No Title Assigned - #15283625277")</f>
        <v/>
      </c>
      <c r="B24503" s="0" t="s">
        <v>32844</v>
      </c>
      <c r="C24503" s="0" t="s">
        <v>32845</v>
      </c>
      <c r="D24503" s="0" t="s">
        <v>22435</v>
      </c>
      <c r="E24503" s="0" t="inlineStr">
        <is>
          <t xml:space="preserve">Mazda</t>
        </is>
      </c>
      <c r="F24503" s="0" t="s">
        <v>13</v>
      </c>
      <c r="G24503" s="0" t="s">
        <v>49</v>
      </c>
      <c r="H24503" s="5">
        <v>10915.416900</v>
      </c>
    </row>
    <row r="24504" spans="1:9">
      <c r="A24504" s="22" t="str">
        <f>HYPERLINK("https://app.vivvix.com/360/KMI/IntelliDrive/ApplUI/Pages/CreativePages/CustomReportCreativeDetail.aspx?App=23&amp;ReportView=4&amp;Qid=1711279&amp;Row=24496&amp;Col=1","No Title Assigned - #15283625279")</f>
        <v/>
      </c>
      <c r="B24504" s="0" t="s">
        <v>32846</v>
      </c>
      <c r="C24504" s="0" t="s">
        <v>32847</v>
      </c>
      <c r="D24504" s="0" t="s">
        <v>15762</v>
      </c>
      <c r="E24504" s="0" t="inlineStr">
        <is>
          <t xml:space="preserve">Mazda</t>
        </is>
      </c>
      <c r="F24504" s="0" t="s">
        <v>13</v>
      </c>
      <c r="G24504" s="0" t="s">
        <v>49</v>
      </c>
      <c r="H24504" s="5">
        <v>13184.002100</v>
      </c>
    </row>
    <row r="24505" spans="1:9">
      <c r="A24505" s="22" t="str">
        <f>HYPERLINK("https://app.vivvix.com/360/KMI/IntelliDrive/ApplUI/Pages/CreativePages/CustomReportCreativeDetail.aspx?App=23&amp;ReportView=4&amp;Qid=1711279&amp;Row=24497&amp;Col=1","No Title Assigned - #15283625295")</f>
        <v/>
      </c>
      <c r="B24505" s="0" t="s">
        <v>32848</v>
      </c>
      <c r="C24505" s="0" t="s">
        <v>32849</v>
      </c>
      <c r="D24505" s="0" t="s">
        <v>9749</v>
      </c>
      <c r="E24505" s="0" t="inlineStr">
        <is>
          <t xml:space="preserve">Mazda</t>
        </is>
      </c>
      <c r="F24505" s="0" t="s">
        <v>13</v>
      </c>
      <c r="G24505" s="0" t="s">
        <v>49</v>
      </c>
      <c r="H24505" s="5">
        <v>5169.256300</v>
      </c>
    </row>
    <row r="24506" spans="1:9">
      <c r="A24506" s="22" t="str">
        <f>HYPERLINK("https://app.vivvix.com/360/KMI/IntelliDrive/ApplUI/Pages/CreativePages/CustomReportCreativeDetail.aspx?App=23&amp;ReportView=4&amp;Qid=1711279&amp;Row=24498&amp;Col=1","No Title Assigned - #15283625531")</f>
        <v/>
      </c>
      <c r="B24506" s="0" t="s">
        <v>32850</v>
      </c>
      <c r="C24506" s="0" t="s">
        <v>32851</v>
      </c>
      <c r="D24506" s="0" t="s">
        <v>8560</v>
      </c>
      <c r="E24506" s="0" t="inlineStr">
        <is>
          <t xml:space="preserve">Mazda</t>
        </is>
      </c>
      <c r="F24506" s="0" t="s">
        <v>13</v>
      </c>
      <c r="G24506" s="0" t="s">
        <v>49</v>
      </c>
      <c r="H24506" s="5">
        <v>102409.466200</v>
      </c>
    </row>
    <row r="24507" spans="1:9">
      <c r="A24507" s="22" t="str">
        <f>HYPERLINK("https://app.vivvix.com/360/KMI/IntelliDrive/ApplUI/Pages/CreativePages/CustomReportCreativeDetail.aspx?App=23&amp;ReportView=4&amp;Qid=1711279&amp;Row=24499&amp;Col=1","No Title Assigned - #15283625531")</f>
        <v/>
      </c>
      <c r="B24507" s="0" t="s">
        <v>32850</v>
      </c>
      <c r="E24507" s="0" t="inlineStr">
        <is>
          <t xml:space="preserve">Mazda</t>
        </is>
      </c>
      <c r="F24507" s="0" t="s">
        <v>13</v>
      </c>
      <c r="G24507" s="0" t="s">
        <v>49</v>
      </c>
      <c r="H24507" s="5">
        <v>59867.835900</v>
      </c>
    </row>
    <row r="24508" spans="1:9">
      <c r="A24508" s="22" t="str">
        <f>HYPERLINK("https://app.vivvix.com/360/KMI/IntelliDrive/ApplUI/Pages/CreativePages/CustomReportCreativeDetail.aspx?App=23&amp;ReportView=4&amp;Qid=1711279&amp;Row=24500&amp;Col=1","No Title Assigned - #15283625543")</f>
        <v/>
      </c>
      <c r="B24508" s="0" t="s">
        <v>32852</v>
      </c>
      <c r="C24508" s="0" t="s">
        <v>32853</v>
      </c>
      <c r="D24508" s="0" t="s">
        <v>8936</v>
      </c>
      <c r="E24508" s="0" t="inlineStr">
        <is>
          <t xml:space="preserve">Mazda</t>
        </is>
      </c>
      <c r="F24508" s="0" t="s">
        <v>13</v>
      </c>
      <c r="G24508" s="0" t="s">
        <v>49</v>
      </c>
      <c r="H24508" s="5">
        <v>5746.160600</v>
      </c>
    </row>
    <row r="24509" spans="1:9">
      <c r="A24509" s="22" t="str">
        <f>HYPERLINK("https://app.vivvix.com/360/KMI/IntelliDrive/ApplUI/Pages/CreativePages/CustomReportCreativeDetail.aspx?App=23&amp;ReportView=4&amp;Qid=1711279&amp;Row=24501&amp;Col=1","No Title Assigned - #15283626020")</f>
        <v/>
      </c>
      <c r="B24509" s="0" t="s">
        <v>32854</v>
      </c>
      <c r="C24509" s="0" t="s">
        <v>32855</v>
      </c>
      <c r="D24509" s="0" t="s">
        <v>15762</v>
      </c>
      <c r="E24509" s="0" t="inlineStr">
        <is>
          <t xml:space="preserve">Mazda</t>
        </is>
      </c>
      <c r="F24509" s="0" t="s">
        <v>13</v>
      </c>
      <c r="G24509" s="0" t="s">
        <v>49</v>
      </c>
      <c r="H24509" s="5">
        <v>177.701100</v>
      </c>
    </row>
    <row r="24510" spans="1:9">
      <c r="A24510" s="22" t="str">
        <f>HYPERLINK("https://app.vivvix.com/360/KMI/IntelliDrive/ApplUI/Pages/CreativePages/CustomReportCreativeDetail.aspx?App=23&amp;ReportView=4&amp;Qid=1711279&amp;Row=24502&amp;Col=1","No Title Assigned - #15283627874")</f>
        <v/>
      </c>
      <c r="B24510" s="0" t="s">
        <v>32856</v>
      </c>
      <c r="C24510" s="0" t="s">
        <v>32857</v>
      </c>
      <c r="D24510" s="0" t="s">
        <v>32857</v>
      </c>
      <c r="E24510" s="0" t="inlineStr">
        <is>
          <t xml:space="preserve">Mazda</t>
        </is>
      </c>
      <c r="F24510" s="0" t="s">
        <v>13</v>
      </c>
      <c r="G24510" s="0" t="s">
        <v>49</v>
      </c>
      <c r="H24510" s="5">
        <v>1128.800400</v>
      </c>
    </row>
    <row r="24511" spans="1:9">
      <c r="A24511" s="22" t="str">
        <f>HYPERLINK("https://app.vivvix.com/360/KMI/IntelliDrive/ApplUI/Pages/CreativePages/CustomReportCreativeDetail.aspx?App=23&amp;ReportView=4&amp;Qid=1711279&amp;Row=24503&amp;Col=1","No Title Assigned - #15283627890")</f>
        <v/>
      </c>
      <c r="B24511" s="0" t="s">
        <v>32858</v>
      </c>
      <c r="C24511" s="0" t="s">
        <v>32859</v>
      </c>
      <c r="D24511" s="0" t="s">
        <v>10770</v>
      </c>
      <c r="E24511" s="0" t="inlineStr">
        <is>
          <t xml:space="preserve">Mazda</t>
        </is>
      </c>
      <c r="F24511" s="0" t="s">
        <v>13</v>
      </c>
      <c r="G24511" s="0" t="s">
        <v>49</v>
      </c>
      <c r="H24511" s="5">
        <v>452.004600</v>
      </c>
    </row>
    <row r="24512" spans="1:9">
      <c r="A24512" s="22" t="str">
        <f>HYPERLINK("https://app.vivvix.com/360/KMI/IntelliDrive/ApplUI/Pages/CreativePages/CustomReportCreativeDetail.aspx?App=23&amp;ReportView=4&amp;Qid=1711279&amp;Row=24504&amp;Col=1","No Title Assigned - #15283627991")</f>
        <v/>
      </c>
      <c r="B24512" s="0" t="s">
        <v>32860</v>
      </c>
      <c r="C24512" s="0" t="s">
        <v>32861</v>
      </c>
      <c r="D24512" s="0" t="s">
        <v>32861</v>
      </c>
      <c r="E24512" s="0" t="inlineStr">
        <is>
          <t xml:space="preserve">Mazda</t>
        </is>
      </c>
      <c r="F24512" s="0" t="s">
        <v>13</v>
      </c>
      <c r="G24512" s="0" t="s">
        <v>49</v>
      </c>
      <c r="H24512" s="5">
        <v>1663.876300</v>
      </c>
    </row>
    <row r="24513" spans="1:9">
      <c r="A24513" s="22" t="str">
        <f>HYPERLINK("https://app.vivvix.com/360/KMI/IntelliDrive/ApplUI/Pages/CreativePages/CustomReportCreativeDetail.aspx?App=23&amp;ReportView=4&amp;Qid=1711279&amp;Row=24505&amp;Col=1","No Title Assigned - #15283628239")</f>
        <v/>
      </c>
      <c r="B24513" s="0" t="s">
        <v>32862</v>
      </c>
      <c r="C24513" s="0" t="s">
        <v>32863</v>
      </c>
      <c r="D24513" s="0" t="s">
        <v>32863</v>
      </c>
      <c r="E24513" s="0" t="inlineStr">
        <is>
          <t xml:space="preserve">Mazda</t>
        </is>
      </c>
      <c r="F24513" s="0" t="s">
        <v>13</v>
      </c>
      <c r="G24513" s="0" t="s">
        <v>49</v>
      </c>
      <c r="H24513" s="5">
        <v>996.905900</v>
      </c>
    </row>
    <row r="24514" spans="1:9">
      <c r="A24514" s="22" t="str">
        <f>HYPERLINK("https://app.vivvix.com/360/KMI/IntelliDrive/ApplUI/Pages/CreativePages/CustomReportCreativeDetail.aspx?App=23&amp;ReportView=4&amp;Qid=1711279&amp;Row=24506&amp;Col=1","No Title Assigned - #15283629593")</f>
        <v/>
      </c>
      <c r="B24514" s="0" t="s">
        <v>32864</v>
      </c>
      <c r="C24514" s="0" t="s">
        <v>32865</v>
      </c>
      <c r="D24514" s="0" t="s">
        <v>32865</v>
      </c>
      <c r="E24514" s="0" t="inlineStr">
        <is>
          <t xml:space="preserve">Mazda</t>
        </is>
      </c>
      <c r="F24514" s="0" t="s">
        <v>13</v>
      </c>
      <c r="G24514" s="0" t="s">
        <v>49</v>
      </c>
      <c r="H24514" s="5">
        <v>128.961300</v>
      </c>
    </row>
    <row r="24515" spans="1:9">
      <c r="A24515" s="22" t="str">
        <f>HYPERLINK("https://app.vivvix.com/360/KMI/IntelliDrive/ApplUI/Pages/CreativePages/CustomReportCreativeDetail.aspx?App=23&amp;ReportView=4&amp;Qid=1711279&amp;Row=24507&amp;Col=1","No Title Assigned - #15283629834")</f>
        <v/>
      </c>
      <c r="B24515" s="0" t="s">
        <v>32866</v>
      </c>
      <c r="C24515" s="0" t="s">
        <v>32867</v>
      </c>
      <c r="D24515" s="0" t="s">
        <v>32867</v>
      </c>
      <c r="E24515" s="0" t="inlineStr">
        <is>
          <t xml:space="preserve">Mazda</t>
        </is>
      </c>
      <c r="F24515" s="0" t="s">
        <v>13</v>
      </c>
      <c r="G24515" s="0" t="s">
        <v>49</v>
      </c>
      <c r="H24515" s="5">
        <v>140.508500</v>
      </c>
    </row>
    <row r="24516" spans="1:9">
      <c r="A24516" s="22" t="str">
        <f>HYPERLINK("https://app.vivvix.com/360/KMI/IntelliDrive/ApplUI/Pages/CreativePages/CustomReportCreativeDetail.aspx?App=23&amp;ReportView=4&amp;Qid=1711279&amp;Row=24508&amp;Col=1","No Title Assigned - #15283629957")</f>
        <v/>
      </c>
      <c r="B24516" s="0" t="s">
        <v>32868</v>
      </c>
      <c r="C24516" s="0" t="s">
        <v>32869</v>
      </c>
      <c r="D24516" s="0" t="s">
        <v>32869</v>
      </c>
      <c r="E24516" s="0" t="inlineStr">
        <is>
          <t xml:space="preserve">Mazda</t>
        </is>
      </c>
      <c r="F24516" s="0" t="s">
        <v>13</v>
      </c>
      <c r="G24516" s="0" t="s">
        <v>49</v>
      </c>
      <c r="H24516" s="5">
        <v>5102.693800</v>
      </c>
    </row>
    <row r="24517" spans="1:9">
      <c r="A24517" s="22" t="str">
        <f>HYPERLINK("https://app.vivvix.com/360/KMI/IntelliDrive/ApplUI/Pages/CreativePages/CustomReportCreativeDetail.aspx?App=23&amp;ReportView=4&amp;Qid=1711279&amp;Row=24509&amp;Col=1","No Title Assigned - #15283630009")</f>
        <v/>
      </c>
      <c r="B24517" s="0" t="s">
        <v>32870</v>
      </c>
      <c r="E24517" s="0" t="inlineStr">
        <is>
          <t xml:space="preserve">Mazda</t>
        </is>
      </c>
      <c r="F24517" s="0" t="s">
        <v>13</v>
      </c>
      <c r="G24517" s="0" t="s">
        <v>49</v>
      </c>
      <c r="H24517" s="5">
        <v>6647.831000</v>
      </c>
    </row>
    <row r="24518" spans="1:9">
      <c r="A24518" s="22" t="str">
        <f>HYPERLINK("https://app.vivvix.com/360/KMI/IntelliDrive/ApplUI/Pages/CreativePages/CustomReportCreativeDetail.aspx?App=23&amp;ReportView=4&amp;Qid=1711279&amp;Row=24510&amp;Col=1","No Title Assigned - #15283630009")</f>
        <v/>
      </c>
      <c r="B24518" s="0" t="s">
        <v>32870</v>
      </c>
      <c r="C24518" s="0" t="s">
        <v>32871</v>
      </c>
      <c r="D24518" s="0" t="s">
        <v>32871</v>
      </c>
      <c r="E24518" s="0" t="inlineStr">
        <is>
          <t xml:space="preserve">Mazda</t>
        </is>
      </c>
      <c r="F24518" s="0" t="s">
        <v>13</v>
      </c>
      <c r="G24518" s="0" t="s">
        <v>49</v>
      </c>
      <c r="H24518" s="5">
        <v>1519.434600</v>
      </c>
    </row>
    <row r="24519" spans="1:9">
      <c r="A24519" s="22" t="str">
        <f>HYPERLINK("https://app.vivvix.com/360/KMI/IntelliDrive/ApplUI/Pages/CreativePages/CustomReportCreativeDetail.aspx?App=23&amp;ReportView=4&amp;Qid=1711279&amp;Row=24511&amp;Col=1","No Title Assigned - #15283630392")</f>
        <v/>
      </c>
      <c r="B24519" s="0" t="s">
        <v>32872</v>
      </c>
      <c r="C24519" s="0" t="s">
        <v>32873</v>
      </c>
      <c r="D24519" s="0" t="s">
        <v>10745</v>
      </c>
      <c r="E24519" s="0" t="inlineStr">
        <is>
          <t xml:space="preserve">Mazda</t>
        </is>
      </c>
      <c r="F24519" s="0" t="s">
        <v>13</v>
      </c>
      <c r="G24519" s="0" t="s">
        <v>49</v>
      </c>
      <c r="H24519" s="5">
        <v>727.573300</v>
      </c>
    </row>
    <row r="24520" spans="1:9">
      <c r="A24520" s="22" t="str">
        <f>HYPERLINK("https://app.vivvix.com/360/KMI/IntelliDrive/ApplUI/Pages/CreativePages/CustomReportCreativeDetail.aspx?App=23&amp;ReportView=4&amp;Qid=1711279&amp;Row=24512&amp;Col=1","No Title Assigned - #15283631206")</f>
        <v/>
      </c>
      <c r="B24520" s="0" t="s">
        <v>32874</v>
      </c>
      <c r="C24520" s="0" t="s">
        <v>32875</v>
      </c>
      <c r="D24520" s="0" t="s">
        <v>32875</v>
      </c>
      <c r="E24520" s="0" t="inlineStr">
        <is>
          <t xml:space="preserve">Mazda</t>
        </is>
      </c>
      <c r="F24520" s="0" t="s">
        <v>13</v>
      </c>
      <c r="G24520" s="0" t="s">
        <v>49</v>
      </c>
      <c r="H24520" s="5">
        <v>1315.735200</v>
      </c>
    </row>
    <row r="24521" spans="1:9">
      <c r="A24521" s="22" t="str">
        <f>HYPERLINK("https://app.vivvix.com/360/KMI/IntelliDrive/ApplUI/Pages/CreativePages/CustomReportCreativeDetail.aspx?App=23&amp;ReportView=4&amp;Qid=1711279&amp;Row=24513&amp;Col=1","No Title Assigned - #15283631688")</f>
        <v/>
      </c>
      <c r="B24521" s="0" t="s">
        <v>32876</v>
      </c>
      <c r="C24521" s="0" t="s">
        <v>32877</v>
      </c>
      <c r="D24521" s="0" t="s">
        <v>18549</v>
      </c>
      <c r="E24521" s="0" t="inlineStr">
        <is>
          <t xml:space="preserve">Mazda</t>
        </is>
      </c>
      <c r="F24521" s="0" t="s">
        <v>13</v>
      </c>
      <c r="G24521" s="0" t="s">
        <v>49</v>
      </c>
      <c r="H24521" s="5">
        <v>340.830200</v>
      </c>
    </row>
    <row r="24522" spans="1:9">
      <c r="A24522" s="22" t="str">
        <f>HYPERLINK("https://app.vivvix.com/360/KMI/IntelliDrive/ApplUI/Pages/CreativePages/CustomReportCreativeDetail.aspx?App=23&amp;ReportView=4&amp;Qid=1711279&amp;Row=24514&amp;Col=1","No Title Assigned - #15283631989")</f>
        <v/>
      </c>
      <c r="B24522" s="0" t="s">
        <v>32878</v>
      </c>
      <c r="C24522" s="0" t="s">
        <v>32879</v>
      </c>
      <c r="D24522" s="0" t="s">
        <v>32879</v>
      </c>
      <c r="E24522" s="0" t="inlineStr">
        <is>
          <t xml:space="preserve">Mazda</t>
        </is>
      </c>
      <c r="F24522" s="0" t="s">
        <v>13</v>
      </c>
      <c r="G24522" s="0" t="s">
        <v>49</v>
      </c>
      <c r="H24522" s="5">
        <v>6346.140400</v>
      </c>
    </row>
    <row r="24523" spans="1:9">
      <c r="A24523" s="22" t="str">
        <f>HYPERLINK("https://app.vivvix.com/360/KMI/IntelliDrive/ApplUI/Pages/CreativePages/CustomReportCreativeDetail.aspx?App=23&amp;ReportView=4&amp;Qid=1711279&amp;Row=24515&amp;Col=1","No Title Assigned - #15283632408")</f>
        <v/>
      </c>
      <c r="B24523" s="0" t="s">
        <v>32880</v>
      </c>
      <c r="C24523" s="0" t="s">
        <v>32881</v>
      </c>
      <c r="D24523" s="0" t="s">
        <v>10006</v>
      </c>
      <c r="E24523" s="0" t="inlineStr">
        <is>
          <t xml:space="preserve">Mazda</t>
        </is>
      </c>
      <c r="F24523" s="0" t="s">
        <v>13</v>
      </c>
      <c r="G24523" s="0" t="s">
        <v>49</v>
      </c>
      <c r="H24523" s="5">
        <v>5411.450700</v>
      </c>
    </row>
    <row r="24524" spans="1:9">
      <c r="A24524" s="22" t="str">
        <f>HYPERLINK("https://app.vivvix.com/360/KMI/IntelliDrive/ApplUI/Pages/CreativePages/CustomReportCreativeDetail.aspx?App=23&amp;ReportView=4&amp;Qid=1711279&amp;Row=24516&amp;Col=1","No Title Assigned - #15283632674")</f>
        <v/>
      </c>
      <c r="B24524" s="0" t="s">
        <v>32882</v>
      </c>
      <c r="E24524" s="0" t="inlineStr">
        <is>
          <t xml:space="preserve">Mazda</t>
        </is>
      </c>
      <c r="F24524" s="0" t="inlineStr">
        <is>
          <t xml:space="preserve">Mazda</t>
        </is>
      </c>
      <c r="G24524" s="0" t="s">
        <v>171</v>
      </c>
      <c r="H24524" s="5">
        <v>996.905900</v>
      </c>
    </row>
    <row r="24525" spans="1:9">
      <c r="A24525" s="22" t="str">
        <f>HYPERLINK("https://app.vivvix.com/360/KMI/IntelliDrive/ApplUI/Pages/CreativePages/CustomReportCreativeDetail.aspx?App=23&amp;ReportView=4&amp;Qid=1711279&amp;Row=24517&amp;Col=1","No Title Assigned - #15283632697")</f>
        <v/>
      </c>
      <c r="B24525" s="0" t="s">
        <v>32883</v>
      </c>
      <c r="E24525" s="0" t="inlineStr">
        <is>
          <t xml:space="preserve">Mazda</t>
        </is>
      </c>
      <c r="F24525" s="0" t="inlineStr">
        <is>
          <t xml:space="preserve">Mazda</t>
        </is>
      </c>
      <c r="G24525" s="0" t="s">
        <v>171</v>
      </c>
      <c r="H24525" s="5">
        <v>4984.712600</v>
      </c>
    </row>
    <row r="24526" spans="1:9">
      <c r="A24526" s="22" t="str">
        <f>HYPERLINK("https://app.vivvix.com/360/KMI/IntelliDrive/ApplUI/Pages/CreativePages/CustomReportCreativeDetail.aspx?App=23&amp;ReportView=4&amp;Qid=1711279&amp;Row=24518&amp;Col=1","No Title Assigned - #15283634359")</f>
        <v/>
      </c>
      <c r="B24526" s="0" t="s">
        <v>32884</v>
      </c>
      <c r="E24526" s="0" t="inlineStr">
        <is>
          <t xml:space="preserve">Mazda</t>
        </is>
      </c>
      <c r="F24526" s="0" t="inlineStr">
        <is>
          <t xml:space="preserve">Mazda</t>
        </is>
      </c>
      <c r="G24526" s="0" t="s">
        <v>171</v>
      </c>
      <c r="H24526" s="5">
        <v>2649.678300</v>
      </c>
    </row>
    <row r="24527" spans="1:9">
      <c r="A24527" s="22" t="str">
        <f>HYPERLINK("https://app.vivvix.com/360/KMI/IntelliDrive/ApplUI/Pages/CreativePages/CustomReportCreativeDetail.aspx?App=23&amp;ReportView=4&amp;Qid=1711279&amp;Row=24519&amp;Col=1","No Title Assigned - #15283645314")</f>
        <v/>
      </c>
      <c r="B24527" s="0" t="s">
        <v>32885</v>
      </c>
      <c r="E24527" s="0" t="inlineStr">
        <is>
          <t xml:space="preserve">Mazda</t>
        </is>
      </c>
      <c r="F24527" s="0" t="inlineStr">
        <is>
          <t xml:space="preserve">Mazda</t>
        </is>
      </c>
      <c r="G24527" s="0" t="s">
        <v>171</v>
      </c>
      <c r="H24527" s="5">
        <v>141.207100</v>
      </c>
    </row>
    <row r="24528" spans="1:9">
      <c r="A24528" s="22" t="str">
        <f>HYPERLINK("https://app.vivvix.com/360/KMI/IntelliDrive/ApplUI/Pages/CreativePages/CustomReportCreativeDetail.aspx?App=23&amp;ReportView=4&amp;Qid=1711279&amp;Row=24520&amp;Col=1","No Title Assigned - #15283654939")</f>
        <v/>
      </c>
      <c r="B24528" s="0" t="s">
        <v>32886</v>
      </c>
      <c r="C24528" s="0" t="s">
        <v>32887</v>
      </c>
      <c r="D24528" s="0" t="s">
        <v>32887</v>
      </c>
      <c r="E24528" s="0" t="inlineStr">
        <is>
          <t xml:space="preserve">Mazda</t>
        </is>
      </c>
      <c r="F24528" s="0" t="s">
        <v>13</v>
      </c>
      <c r="G24528" s="0" t="s">
        <v>49</v>
      </c>
      <c r="H24528" s="5">
        <v>460.884700</v>
      </c>
    </row>
    <row r="24529" spans="1:9">
      <c r="A24529" s="22" t="str">
        <f>HYPERLINK("https://app.vivvix.com/360/KMI/IntelliDrive/ApplUI/Pages/CreativePages/CustomReportCreativeDetail.aspx?App=23&amp;ReportView=4&amp;Qid=1711279&amp;Row=24521&amp;Col=1","No Title Assigned - #15283658420")</f>
        <v/>
      </c>
      <c r="B24529" s="0" t="s">
        <v>32888</v>
      </c>
      <c r="C24529" s="0" t="s">
        <v>32889</v>
      </c>
      <c r="D24529" s="0" t="s">
        <v>32889</v>
      </c>
      <c r="E24529" s="0" t="inlineStr">
        <is>
          <t xml:space="preserve">Mazda</t>
        </is>
      </c>
      <c r="F24529" s="0" t="s">
        <v>13</v>
      </c>
      <c r="G24529" s="0" t="s">
        <v>49</v>
      </c>
      <c r="H24529" s="5">
        <v>10915.416900</v>
      </c>
    </row>
    <row r="24530" spans="1:9">
      <c r="A24530" s="22" t="str">
        <f>HYPERLINK("https://app.vivvix.com/360/KMI/IntelliDrive/ApplUI/Pages/CreativePages/CustomReportCreativeDetail.aspx?App=23&amp;ReportView=4&amp;Qid=1711279&amp;Row=24522&amp;Col=1","No Title Assigned - #15283661355")</f>
        <v/>
      </c>
      <c r="B24530" s="0" t="s">
        <v>32890</v>
      </c>
      <c r="C24530" s="0" t="s">
        <v>32891</v>
      </c>
      <c r="D24530" s="0" t="s">
        <v>32891</v>
      </c>
      <c r="E24530" s="0" t="inlineStr">
        <is>
          <t xml:space="preserve">Mazda</t>
        </is>
      </c>
      <c r="F24530" s="0" t="inlineStr">
        <is>
          <t xml:space="preserve">Mazda</t>
        </is>
      </c>
      <c r="G24530" s="0" t="s">
        <v>210</v>
      </c>
      <c r="H24530" s="5">
        <v>393.795500</v>
      </c>
    </row>
    <row r="24531" spans="1:9">
      <c r="A24531" s="22" t="str">
        <f>HYPERLINK("https://app.vivvix.com/360/KMI/IntelliDrive/ApplUI/Pages/CreativePages/CustomReportCreativeDetail.aspx?App=23&amp;ReportView=4&amp;Qid=1711279&amp;Row=24523&amp;Col=1","No Title Assigned - #15283662497")</f>
        <v/>
      </c>
      <c r="B24531" s="0" t="s">
        <v>32892</v>
      </c>
      <c r="C24531" s="0" t="s">
        <v>32893</v>
      </c>
      <c r="D24531" s="0" t="s">
        <v>32893</v>
      </c>
      <c r="E24531" s="0" t="inlineStr">
        <is>
          <t xml:space="preserve">Mazda</t>
        </is>
      </c>
      <c r="F24531" s="0" t="s">
        <v>13</v>
      </c>
      <c r="G24531" s="0" t="s">
        <v>49</v>
      </c>
      <c r="H24531" s="5">
        <v>485.153600</v>
      </c>
    </row>
    <row r="24532" spans="1:9">
      <c r="A24532" s="22" t="str">
        <f>HYPERLINK("https://app.vivvix.com/360/KMI/IntelliDrive/ApplUI/Pages/CreativePages/CustomReportCreativeDetail.aspx?App=23&amp;ReportView=4&amp;Qid=1711279&amp;Row=24524&amp;Col=1","No Title Assigned - #15283664385")</f>
        <v/>
      </c>
      <c r="B24532" s="0" t="s">
        <v>32894</v>
      </c>
      <c r="C24532" s="0" t="s">
        <v>32895</v>
      </c>
      <c r="D24532" s="0" t="s">
        <v>32895</v>
      </c>
      <c r="E24532" s="0" t="inlineStr">
        <is>
          <t xml:space="preserve">Mazda</t>
        </is>
      </c>
      <c r="F24532" s="0" t="s">
        <v>13</v>
      </c>
      <c r="G24532" s="0" t="s">
        <v>49</v>
      </c>
      <c r="H24532" s="5">
        <v>810.505300</v>
      </c>
    </row>
    <row r="24533" spans="1:9">
      <c r="A24533" s="22" t="str">
        <f>HYPERLINK("https://app.vivvix.com/360/KMI/IntelliDrive/ApplUI/Pages/CreativePages/CustomReportCreativeDetail.aspx?App=23&amp;ReportView=4&amp;Qid=1711279&amp;Row=24525&amp;Col=1","No Title Assigned - #15283664810")</f>
        <v/>
      </c>
      <c r="B24533" s="0" t="s">
        <v>32896</v>
      </c>
      <c r="C24533" s="0" t="s">
        <v>32897</v>
      </c>
      <c r="D24533" s="0" t="s">
        <v>15762</v>
      </c>
      <c r="E24533" s="0" t="inlineStr">
        <is>
          <t xml:space="preserve">Mazda</t>
        </is>
      </c>
      <c r="F24533" s="0" t="s">
        <v>13</v>
      </c>
      <c r="G24533" s="0" t="s">
        <v>49</v>
      </c>
      <c r="H24533" s="5">
        <v>1174.473100</v>
      </c>
    </row>
    <row r="24534" spans="1:9">
      <c r="A24534" s="22" t="str">
        <f>HYPERLINK("https://app.vivvix.com/360/KMI/IntelliDrive/ApplUI/Pages/CreativePages/CustomReportCreativeDetail.aspx?App=23&amp;ReportView=4&amp;Qid=1711279&amp;Row=24526&amp;Col=1","No Title Assigned - #15283665131")</f>
        <v/>
      </c>
      <c r="B24534" s="0" t="s">
        <v>32898</v>
      </c>
      <c r="C24534" s="0" t="s">
        <v>32899</v>
      </c>
      <c r="D24534" s="0" t="s">
        <v>23463</v>
      </c>
      <c r="E24534" s="0" t="inlineStr">
        <is>
          <t xml:space="preserve">Mazda</t>
        </is>
      </c>
      <c r="F24534" s="0" t="s">
        <v>13</v>
      </c>
      <c r="G24534" s="0" t="s">
        <v>49</v>
      </c>
      <c r="H24534" s="5">
        <v>17.905500</v>
      </c>
    </row>
    <row r="24535" spans="1:9">
      <c r="A24535" s="22" t="str">
        <f>HYPERLINK("https://app.vivvix.com/360/KMI/IntelliDrive/ApplUI/Pages/CreativePages/CustomReportCreativeDetail.aspx?App=23&amp;ReportView=4&amp;Qid=1711279&amp;Row=24527&amp;Col=1","No Title Assigned - #15283665929")</f>
        <v/>
      </c>
      <c r="B24535" s="0" t="s">
        <v>32900</v>
      </c>
      <c r="C24535" s="0" t="s">
        <v>32901</v>
      </c>
      <c r="D24535" s="0" t="s">
        <v>17743</v>
      </c>
      <c r="E24535" s="0" t="inlineStr">
        <is>
          <t xml:space="preserve">Mazda</t>
        </is>
      </c>
      <c r="F24535" s="0" t="s">
        <v>13</v>
      </c>
      <c r="G24535" s="0" t="s">
        <v>49</v>
      </c>
      <c r="H24535" s="5">
        <v>153.678000</v>
      </c>
    </row>
    <row r="24536" spans="1:9">
      <c r="A24536" s="22" t="str">
        <f>HYPERLINK("https://app.vivvix.com/360/KMI/IntelliDrive/ApplUI/Pages/CreativePages/CustomReportCreativeDetail.aspx?App=23&amp;ReportView=4&amp;Qid=1711279&amp;Row=24528&amp;Col=1","No Title Assigned - #15283667078")</f>
        <v/>
      </c>
      <c r="B24536" s="0" t="s">
        <v>32902</v>
      </c>
      <c r="C24536" s="0" t="s">
        <v>32903</v>
      </c>
      <c r="D24536" s="0" t="s">
        <v>32903</v>
      </c>
      <c r="E24536" s="0" t="inlineStr">
        <is>
          <t xml:space="preserve">Mazda</t>
        </is>
      </c>
      <c r="F24536" s="0" t="s">
        <v>13</v>
      </c>
      <c r="G24536" s="0" t="s">
        <v>49</v>
      </c>
      <c r="H24536" s="5">
        <v>104.018200</v>
      </c>
    </row>
    <row r="24537" spans="1:9">
      <c r="A24537" s="22" t="str">
        <f>HYPERLINK("https://app.vivvix.com/360/KMI/IntelliDrive/ApplUI/Pages/CreativePages/CustomReportCreativeDetail.aspx?App=23&amp;ReportView=4&amp;Qid=1711279&amp;Row=24529&amp;Col=1","No Title Assigned - #15283668219")</f>
        <v/>
      </c>
      <c r="B24537" s="0" t="s">
        <v>32904</v>
      </c>
      <c r="C24537" s="0" t="s">
        <v>32905</v>
      </c>
      <c r="D24537" s="0" t="s">
        <v>32905</v>
      </c>
      <c r="E24537" s="0" t="inlineStr">
        <is>
          <t xml:space="preserve">Mazda</t>
        </is>
      </c>
      <c r="F24537" s="0" t="s">
        <v>13</v>
      </c>
      <c r="G24537" s="0" t="s">
        <v>49</v>
      </c>
      <c r="H24537" s="5">
        <v>688.482200</v>
      </c>
    </row>
    <row r="24538" spans="1:9">
      <c r="A24538" s="22" t="str">
        <f>HYPERLINK("https://app.vivvix.com/360/KMI/IntelliDrive/ApplUI/Pages/CreativePages/CustomReportCreativeDetail.aspx?App=23&amp;ReportView=4&amp;Qid=1711279&amp;Row=24530&amp;Col=1","No Title Assigned - #15283668290")</f>
        <v/>
      </c>
      <c r="B24538" s="0" t="s">
        <v>32906</v>
      </c>
      <c r="C24538" s="0" t="s">
        <v>32907</v>
      </c>
      <c r="D24538" s="0" t="s">
        <v>18549</v>
      </c>
      <c r="E24538" s="0" t="inlineStr">
        <is>
          <t xml:space="preserve">Mazda</t>
        </is>
      </c>
      <c r="F24538" s="0" t="s">
        <v>13</v>
      </c>
      <c r="G24538" s="0" t="s">
        <v>49</v>
      </c>
      <c r="H24538" s="5">
        <v>385.487900</v>
      </c>
    </row>
    <row r="24539" spans="1:9">
      <c r="A24539" s="22" t="str">
        <f>HYPERLINK("https://app.vivvix.com/360/KMI/IntelliDrive/ApplUI/Pages/CreativePages/CustomReportCreativeDetail.aspx?App=23&amp;ReportView=4&amp;Qid=1711279&amp;Row=24531&amp;Col=1","No Title Assigned - #15283668919")</f>
        <v/>
      </c>
      <c r="B24539" s="0" t="s">
        <v>32908</v>
      </c>
      <c r="C24539" s="0" t="s">
        <v>32909</v>
      </c>
      <c r="D24539" s="0" t="s">
        <v>25874</v>
      </c>
      <c r="E24539" s="0" t="inlineStr">
        <is>
          <t xml:space="preserve">Mazda</t>
        </is>
      </c>
      <c r="F24539" s="0" t="s">
        <v>13</v>
      </c>
      <c r="G24539" s="0" t="s">
        <v>49</v>
      </c>
      <c r="H24539" s="5">
        <v>82.700600</v>
      </c>
    </row>
    <row r="24540" spans="1:9">
      <c r="A24540" s="22" t="str">
        <f>HYPERLINK("https://app.vivvix.com/360/KMI/IntelliDrive/ApplUI/Pages/CreativePages/CustomReportCreativeDetail.aspx?App=23&amp;ReportView=4&amp;Qid=1711279&amp;Row=24532&amp;Col=1","No Title Assigned - #15283669637")</f>
        <v/>
      </c>
      <c r="B24540" s="0" t="s">
        <v>32910</v>
      </c>
      <c r="C24540" s="0" t="s">
        <v>32911</v>
      </c>
      <c r="D24540" s="0" t="s">
        <v>18410</v>
      </c>
      <c r="E24540" s="0" t="inlineStr">
        <is>
          <t xml:space="preserve">Mazda</t>
        </is>
      </c>
      <c r="F24540" s="0" t="s">
        <v>13</v>
      </c>
      <c r="G24540" s="0" t="s">
        <v>49</v>
      </c>
      <c r="H24540" s="5">
        <v>104.058400</v>
      </c>
    </row>
    <row r="24541" spans="1:9">
      <c r="A24541" s="22" t="str">
        <f>HYPERLINK("https://app.vivvix.com/360/KMI/IntelliDrive/ApplUI/Pages/CreativePages/CustomReportCreativeDetail.aspx?App=23&amp;ReportView=4&amp;Qid=1711279&amp;Row=24533&amp;Col=1","No Title Assigned - #15283671402")</f>
        <v/>
      </c>
      <c r="B24541" s="0" t="s">
        <v>32912</v>
      </c>
      <c r="C24541" s="0" t="s">
        <v>32913</v>
      </c>
      <c r="D24541" s="0" t="s">
        <v>32913</v>
      </c>
      <c r="E24541" s="0" t="inlineStr">
        <is>
          <t xml:space="preserve">Mazda</t>
        </is>
      </c>
      <c r="F24541" s="0" t="inlineStr">
        <is>
          <t xml:space="preserve">Mazda</t>
        </is>
      </c>
      <c r="G24541" s="0" t="s">
        <v>210</v>
      </c>
      <c r="H24541" s="5">
        <v>209.788500</v>
      </c>
    </row>
    <row r="24542" spans="1:9">
      <c r="A24542" s="22" t="str">
        <f>HYPERLINK("https://app.vivvix.com/360/KMI/IntelliDrive/ApplUI/Pages/CreativePages/CustomReportCreativeDetail.aspx?App=23&amp;ReportView=4&amp;Qid=1711279&amp;Row=24534&amp;Col=1","No Title Assigned - #15283671523")</f>
        <v/>
      </c>
      <c r="B24542" s="0" t="s">
        <v>32914</v>
      </c>
      <c r="C24542" s="0" t="s">
        <v>32915</v>
      </c>
      <c r="D24542" s="0" t="s">
        <v>32915</v>
      </c>
      <c r="E24542" s="0" t="inlineStr">
        <is>
          <t xml:space="preserve">Mazda</t>
        </is>
      </c>
      <c r="F24542" s="0" t="s">
        <v>13</v>
      </c>
      <c r="G24542" s="0" t="s">
        <v>49</v>
      </c>
      <c r="H24542" s="5">
        <v>5206.008300</v>
      </c>
    </row>
    <row r="24543" spans="1:9">
      <c r="A24543" s="22" t="str">
        <f>HYPERLINK("https://app.vivvix.com/360/KMI/IntelliDrive/ApplUI/Pages/CreativePages/CustomReportCreativeDetail.aspx?App=23&amp;ReportView=4&amp;Qid=1711279&amp;Row=24535&amp;Col=1","No Title Assigned - #15283671629")</f>
        <v/>
      </c>
      <c r="B24543" s="0" t="s">
        <v>32916</v>
      </c>
      <c r="C24543" s="0" t="s">
        <v>32917</v>
      </c>
      <c r="D24543" s="0" t="s">
        <v>32917</v>
      </c>
      <c r="E24543" s="0" t="inlineStr">
        <is>
          <t xml:space="preserve">Mazda</t>
        </is>
      </c>
      <c r="F24543" s="0" t="s">
        <v>13</v>
      </c>
      <c r="G24543" s="0" t="s">
        <v>49</v>
      </c>
      <c r="H24543" s="5">
        <v>438.325200</v>
      </c>
    </row>
    <row r="24544" spans="1:9">
      <c r="A24544" s="22" t="str">
        <f>HYPERLINK("https://app.vivvix.com/360/KMI/IntelliDrive/ApplUI/Pages/CreativePages/CustomReportCreativeDetail.aspx?App=23&amp;ReportView=4&amp;Qid=1711279&amp;Row=24536&amp;Col=1","No Title Assigned - #15283674644")</f>
        <v/>
      </c>
      <c r="B24544" s="0" t="s">
        <v>32918</v>
      </c>
      <c r="E24544" s="0" t="inlineStr">
        <is>
          <t xml:space="preserve">Mazda</t>
        </is>
      </c>
      <c r="F24544" s="0" t="inlineStr">
        <is>
          <t xml:space="preserve">Mazda</t>
        </is>
      </c>
      <c r="G24544" s="0" t="s">
        <v>171</v>
      </c>
      <c r="H24544" s="5">
        <v>142.640400</v>
      </c>
    </row>
    <row r="24545" spans="1:9">
      <c r="A24545" s="22" t="str">
        <f>HYPERLINK("https://app.vivvix.com/360/KMI/IntelliDrive/ApplUI/Pages/CreativePages/CustomReportCreativeDetail.aspx?App=23&amp;ReportView=4&amp;Qid=1711279&amp;Row=24537&amp;Col=1","No Title Assigned - #15283674827")</f>
        <v/>
      </c>
      <c r="B24545" s="0" t="s">
        <v>32919</v>
      </c>
      <c r="E24545" s="0" t="inlineStr">
        <is>
          <t xml:space="preserve">Mazda</t>
        </is>
      </c>
      <c r="F24545" s="0" t="inlineStr">
        <is>
          <t xml:space="preserve">Mazda</t>
        </is>
      </c>
      <c r="G24545" s="0" t="s">
        <v>171</v>
      </c>
      <c r="H24545" s="5">
        <v>85378.898200</v>
      </c>
    </row>
    <row r="24546" spans="1:9">
      <c r="A24546" s="22" t="str">
        <f>HYPERLINK("https://app.vivvix.com/360/KMI/IntelliDrive/ApplUI/Pages/CreativePages/CustomReportCreativeDetail.aspx?App=23&amp;ReportView=4&amp;Qid=1711279&amp;Row=24538&amp;Col=1","No Title Assigned - #15283674827")</f>
        <v/>
      </c>
      <c r="B24546" s="0" t="s">
        <v>32919</v>
      </c>
      <c r="E24546" s="0" t="inlineStr">
        <is>
          <t xml:space="preserve">Mazda</t>
        </is>
      </c>
      <c r="F24546" s="0" t="inlineStr">
        <is>
          <t xml:space="preserve">Mazda</t>
        </is>
      </c>
      <c r="G24546" s="0" t="s">
        <v>171</v>
      </c>
      <c r="H24546" s="5">
        <v>91.216600</v>
      </c>
    </row>
    <row r="24547" spans="1:9">
      <c r="A24547" s="22" t="str">
        <f>HYPERLINK("https://app.vivvix.com/360/KMI/IntelliDrive/ApplUI/Pages/CreativePages/CustomReportCreativeDetail.aspx?App=23&amp;ReportView=4&amp;Qid=1711279&amp;Row=24539&amp;Col=1","No Title Assigned - #15283676208")</f>
        <v/>
      </c>
      <c r="B24547" s="0" t="s">
        <v>32920</v>
      </c>
      <c r="E24547" s="0" t="inlineStr">
        <is>
          <t xml:space="preserve">Mazda</t>
        </is>
      </c>
      <c r="F24547" s="0" t="inlineStr">
        <is>
          <t xml:space="preserve">Mazda</t>
        </is>
      </c>
      <c r="G24547" s="0" t="s">
        <v>171</v>
      </c>
      <c r="H24547" s="5">
        <v>184.552700</v>
      </c>
    </row>
    <row r="24548" spans="1:9">
      <c r="A24548" s="22" t="str">
        <f>HYPERLINK("https://app.vivvix.com/360/KMI/IntelliDrive/ApplUI/Pages/CreativePages/CustomReportCreativeDetail.aspx?App=23&amp;ReportView=4&amp;Qid=1711279&amp;Row=24540&amp;Col=1","No Title Assigned - #15283679453")</f>
        <v/>
      </c>
      <c r="B24548" s="0" t="s">
        <v>32921</v>
      </c>
      <c r="E24548" s="0" t="inlineStr">
        <is>
          <t xml:space="preserve">Mazda</t>
        </is>
      </c>
      <c r="F24548" s="0" t="inlineStr">
        <is>
          <t xml:space="preserve">Mazda</t>
        </is>
      </c>
      <c r="G24548" s="0" t="s">
        <v>171</v>
      </c>
      <c r="H24548" s="5">
        <v>2990.717700</v>
      </c>
    </row>
    <row r="24549" spans="1:9">
      <c r="A24549" s="22" t="str">
        <f>HYPERLINK("https://app.vivvix.com/360/KMI/IntelliDrive/ApplUI/Pages/CreativePages/CustomReportCreativeDetail.aspx?App=23&amp;ReportView=4&amp;Qid=1711279&amp;Row=24541&amp;Col=1","No Title Assigned - #15283679915")</f>
        <v/>
      </c>
      <c r="B24549" s="0" t="s">
        <v>32922</v>
      </c>
      <c r="E24549" s="0" t="inlineStr">
        <is>
          <t xml:space="preserve">Mazda</t>
        </is>
      </c>
      <c r="F24549" s="0" t="inlineStr">
        <is>
          <t xml:space="preserve">Mazda</t>
        </is>
      </c>
      <c r="G24549" s="0" t="s">
        <v>171</v>
      </c>
      <c r="H24549" s="5">
        <v>1057.334800</v>
      </c>
    </row>
    <row r="24550" spans="1:9">
      <c r="A24550" s="22" t="str">
        <f>HYPERLINK("https://app.vivvix.com/360/KMI/IntelliDrive/ApplUI/Pages/CreativePages/CustomReportCreativeDetail.aspx?App=23&amp;ReportView=4&amp;Qid=1711279&amp;Row=24542&amp;Col=1","No Title Assigned - #15283681195")</f>
        <v/>
      </c>
      <c r="B24550" s="0" t="s">
        <v>32923</v>
      </c>
      <c r="E24550" s="0" t="inlineStr">
        <is>
          <t xml:space="preserve">Mazda</t>
        </is>
      </c>
      <c r="F24550" s="0" t="inlineStr">
        <is>
          <t xml:space="preserve">Mazda</t>
        </is>
      </c>
      <c r="G24550" s="0" t="s">
        <v>171</v>
      </c>
      <c r="H24550" s="5">
        <v>1222.958300</v>
      </c>
    </row>
    <row r="24551" spans="1:9">
      <c r="A24551" s="22" t="str">
        <f>HYPERLINK("https://app.vivvix.com/360/KMI/IntelliDrive/ApplUI/Pages/CreativePages/CustomReportCreativeDetail.aspx?App=23&amp;ReportView=4&amp;Qid=1711279&amp;Row=24543&amp;Col=1","No Title Assigned - #15283682458")</f>
        <v/>
      </c>
      <c r="B24551" s="0" t="s">
        <v>32924</v>
      </c>
      <c r="E24551" s="0" t="inlineStr">
        <is>
          <t xml:space="preserve">Mazda</t>
        </is>
      </c>
      <c r="F24551" s="0" t="inlineStr">
        <is>
          <t xml:space="preserve">Mazda</t>
        </is>
      </c>
      <c r="G24551" s="0" t="s">
        <v>171</v>
      </c>
      <c r="H24551" s="5">
        <v>8.880900</v>
      </c>
    </row>
    <row r="24552" spans="1:9">
      <c r="A24552" s="22" t="str">
        <f>HYPERLINK("https://app.vivvix.com/360/KMI/IntelliDrive/ApplUI/Pages/CreativePages/CustomReportCreativeDetail.aspx?App=23&amp;ReportView=4&amp;Qid=1711279&amp;Row=24544&amp;Col=1","No Title Assigned - #15283708124")</f>
        <v/>
      </c>
      <c r="B24552" s="0" t="s">
        <v>32925</v>
      </c>
      <c r="C24552" s="0" t="s">
        <v>32926</v>
      </c>
      <c r="D24552" s="0" t="s">
        <v>32905</v>
      </c>
      <c r="E24552" s="0" t="inlineStr">
        <is>
          <t xml:space="preserve">Mazda</t>
        </is>
      </c>
      <c r="F24552" s="0" t="s">
        <v>13</v>
      </c>
      <c r="G24552" s="0" t="s">
        <v>49</v>
      </c>
      <c r="H24552" s="5">
        <v>226.872600</v>
      </c>
    </row>
    <row r="24553" spans="1:9">
      <c r="A24553" s="22" t="str">
        <f>HYPERLINK("https://app.vivvix.com/360/KMI/IntelliDrive/ApplUI/Pages/CreativePages/CustomReportCreativeDetail.aspx?App=23&amp;ReportView=4&amp;Qid=1711279&amp;Row=24545&amp;Col=1","No Title Assigned - #15283708849")</f>
        <v/>
      </c>
      <c r="B24553" s="0" t="s">
        <v>32927</v>
      </c>
      <c r="C24553" s="0" t="s">
        <v>32928</v>
      </c>
      <c r="D24553" s="0" t="s">
        <v>32928</v>
      </c>
      <c r="E24553" s="0" t="inlineStr">
        <is>
          <t xml:space="preserve">Mazda</t>
        </is>
      </c>
      <c r="F24553" s="0" t="s">
        <v>13</v>
      </c>
      <c r="G24553" s="0" t="s">
        <v>49</v>
      </c>
      <c r="H24553" s="5">
        <v>876.650400</v>
      </c>
    </row>
    <row r="24554" spans="1:9">
      <c r="A24554" s="22" t="str">
        <f>HYPERLINK("https://app.vivvix.com/360/KMI/IntelliDrive/ApplUI/Pages/CreativePages/CustomReportCreativeDetail.aspx?App=23&amp;ReportView=4&amp;Qid=1711279&amp;Row=24546&amp;Col=1","No Title Assigned - #15283712666")</f>
        <v/>
      </c>
      <c r="B24554" s="0" t="s">
        <v>32929</v>
      </c>
      <c r="C24554" s="0" t="s">
        <v>32930</v>
      </c>
      <c r="D24554" s="0" t="s">
        <v>24521</v>
      </c>
      <c r="E24554" s="0" t="inlineStr">
        <is>
          <t xml:space="preserve">Mazda</t>
        </is>
      </c>
      <c r="F24554" s="0" t="s">
        <v>13</v>
      </c>
      <c r="G24554" s="0" t="s">
        <v>49</v>
      </c>
      <c r="H24554" s="5">
        <v>412.684500</v>
      </c>
    </row>
    <row r="24555" spans="1:9">
      <c r="A24555" s="22" t="str">
        <f>HYPERLINK("https://app.vivvix.com/360/KMI/IntelliDrive/ApplUI/Pages/CreativePages/CustomReportCreativeDetail.aspx?App=23&amp;ReportView=4&amp;Qid=1711279&amp;Row=24547&amp;Col=1","No Title Assigned - #15283715523")</f>
        <v/>
      </c>
      <c r="B24555" s="0" t="s">
        <v>32931</v>
      </c>
      <c r="C24555" s="0" t="s">
        <v>32932</v>
      </c>
      <c r="D24555" s="0" t="s">
        <v>32932</v>
      </c>
      <c r="E24555" s="0" t="inlineStr">
        <is>
          <t xml:space="preserve">Mazda</t>
        </is>
      </c>
      <c r="F24555" s="0" t="s">
        <v>13</v>
      </c>
      <c r="G24555" s="0" t="s">
        <v>49</v>
      </c>
      <c r="H24555" s="5">
        <v>15858.818800</v>
      </c>
    </row>
    <row r="24556" spans="1:9">
      <c r="A24556" s="22" t="str">
        <f>HYPERLINK("https://app.vivvix.com/360/KMI/IntelliDrive/ApplUI/Pages/CreativePages/CustomReportCreativeDetail.aspx?App=23&amp;ReportView=4&amp;Qid=1711279&amp;Row=24548&amp;Col=1","No Title Assigned - #15283715665")</f>
        <v/>
      </c>
      <c r="B24556" s="0" t="s">
        <v>32933</v>
      </c>
      <c r="C24556" s="0" t="s">
        <v>32934</v>
      </c>
      <c r="D24556" s="0" t="s">
        <v>32934</v>
      </c>
      <c r="E24556" s="0" t="inlineStr">
        <is>
          <t xml:space="preserve">Mazda</t>
        </is>
      </c>
      <c r="F24556" s="0" t="s">
        <v>28</v>
      </c>
      <c r="G24556" s="0" t="s">
        <v>29</v>
      </c>
      <c r="H24556" s="5">
        <v>144.621100</v>
      </c>
    </row>
    <row r="24557" spans="1:9">
      <c r="A24557" s="22" t="str">
        <f>HYPERLINK("https://app.vivvix.com/360/KMI/IntelliDrive/ApplUI/Pages/CreativePages/CustomReportCreativeDetail.aspx?App=23&amp;ReportView=4&amp;Qid=1711279&amp;Row=24549&amp;Col=1","No Title Assigned - #15283722108")</f>
        <v/>
      </c>
      <c r="B24557" s="0" t="s">
        <v>32935</v>
      </c>
      <c r="C24557" s="0" t="s">
        <v>32936</v>
      </c>
      <c r="D24557" s="0" t="s">
        <v>32936</v>
      </c>
      <c r="E24557" s="0" t="inlineStr">
        <is>
          <t xml:space="preserve">Mazda</t>
        </is>
      </c>
      <c r="F24557" s="0" t="s">
        <v>13</v>
      </c>
      <c r="G24557" s="0" t="s">
        <v>49</v>
      </c>
      <c r="H24557" s="5">
        <v>2319.041200</v>
      </c>
    </row>
    <row r="24558" spans="1:9">
      <c r="A24558" s="22" t="str">
        <f>HYPERLINK("https://app.vivvix.com/360/KMI/IntelliDrive/ApplUI/Pages/CreativePages/CustomReportCreativeDetail.aspx?App=23&amp;ReportView=4&amp;Qid=1711279&amp;Row=24550&amp;Col=1","No Title Assigned - #15283722430")</f>
        <v/>
      </c>
      <c r="B24558" s="0" t="s">
        <v>32937</v>
      </c>
      <c r="C24558" s="0" t="s">
        <v>32938</v>
      </c>
      <c r="D24558" s="0" t="s">
        <v>32938</v>
      </c>
      <c r="E24558" s="0" t="inlineStr">
        <is>
          <t xml:space="preserve">Mazda</t>
        </is>
      </c>
      <c r="F24558" s="0" t="s">
        <v>3108</v>
      </c>
      <c r="G24558" s="0" t="s">
        <v>12635</v>
      </c>
      <c r="H24558" s="5">
        <v>585.017300</v>
      </c>
    </row>
    <row r="24559" spans="1:9">
      <c r="A24559" s="22" t="str">
        <f>HYPERLINK("https://app.vivvix.com/360/KMI/IntelliDrive/ApplUI/Pages/CreativePages/CustomReportCreativeDetail.aspx?App=23&amp;ReportView=4&amp;Qid=1711279&amp;Row=24551&amp;Col=1","No Title Assigned - #15283722667")</f>
        <v/>
      </c>
      <c r="B24559" s="0" t="s">
        <v>32939</v>
      </c>
      <c r="C24559" s="0" t="s">
        <v>32940</v>
      </c>
      <c r="D24559" s="0" t="s">
        <v>32940</v>
      </c>
      <c r="E24559" s="0" t="inlineStr">
        <is>
          <t xml:space="preserve">Mazda</t>
        </is>
      </c>
      <c r="F24559" s="0" t="s">
        <v>13</v>
      </c>
      <c r="G24559" s="0" t="s">
        <v>49</v>
      </c>
      <c r="H24559" s="5">
        <v>5169.256300</v>
      </c>
    </row>
    <row r="24560" spans="1:9">
      <c r="A24560" s="22" t="str">
        <f>HYPERLINK("https://app.vivvix.com/360/KMI/IntelliDrive/ApplUI/Pages/CreativePages/CustomReportCreativeDetail.aspx?App=23&amp;ReportView=4&amp;Qid=1711279&amp;Row=24552&amp;Col=1","No Title Assigned - #15283723350")</f>
        <v/>
      </c>
      <c r="B24560" s="0" t="s">
        <v>32941</v>
      </c>
      <c r="C24560" s="0" t="s">
        <v>32942</v>
      </c>
      <c r="D24560" s="0" t="s">
        <v>32942</v>
      </c>
      <c r="E24560" s="0" t="inlineStr">
        <is>
          <t xml:space="preserve">Mazda</t>
        </is>
      </c>
      <c r="F24560" s="0" t="s">
        <v>13</v>
      </c>
      <c r="G24560" s="0" t="s">
        <v>49</v>
      </c>
      <c r="H24560" s="5">
        <v>4147.173900</v>
      </c>
    </row>
    <row r="24561" spans="1:9">
      <c r="A24561" s="22" t="str">
        <f>HYPERLINK("https://app.vivvix.com/360/KMI/IntelliDrive/ApplUI/Pages/CreativePages/CustomReportCreativeDetail.aspx?App=23&amp;ReportView=4&amp;Qid=1711279&amp;Row=24553&amp;Col=1","No Title Assigned - #15283723545")</f>
        <v/>
      </c>
      <c r="B24561" s="0" t="s">
        <v>32943</v>
      </c>
      <c r="C24561" s="0" t="s">
        <v>32944</v>
      </c>
      <c r="D24561" s="0" t="s">
        <v>32944</v>
      </c>
      <c r="E24561" s="0" t="inlineStr">
        <is>
          <t xml:space="preserve">Mazda</t>
        </is>
      </c>
      <c r="F24561" s="0" t="s">
        <v>13</v>
      </c>
      <c r="G24561" s="0" t="s">
        <v>49</v>
      </c>
      <c r="H24561" s="5">
        <v>579.760300</v>
      </c>
    </row>
    <row r="24562" spans="1:9">
      <c r="A24562" s="22" t="str">
        <f>HYPERLINK("https://app.vivvix.com/360/KMI/IntelliDrive/ApplUI/Pages/CreativePages/CustomReportCreativeDetail.aspx?App=23&amp;ReportView=4&amp;Qid=1711279&amp;Row=24554&amp;Col=1","No Title Assigned - #15283723676")</f>
        <v/>
      </c>
      <c r="B24562" s="0" t="s">
        <v>32945</v>
      </c>
      <c r="C24562" s="0" t="s">
        <v>32946</v>
      </c>
      <c r="D24562" s="0" t="s">
        <v>32946</v>
      </c>
      <c r="E24562" s="0" t="inlineStr">
        <is>
          <t xml:space="preserve">Mazda</t>
        </is>
      </c>
      <c r="F24562" s="0" t="s">
        <v>13</v>
      </c>
      <c r="G24562" s="0" t="s">
        <v>49</v>
      </c>
      <c r="H24562" s="5">
        <v>387.673400</v>
      </c>
    </row>
    <row r="24563" spans="1:9">
      <c r="A24563" s="22" t="str">
        <f>HYPERLINK("https://app.vivvix.com/360/KMI/IntelliDrive/ApplUI/Pages/CreativePages/CustomReportCreativeDetail.aspx?App=23&amp;ReportView=4&amp;Qid=1711279&amp;Row=24555&amp;Col=1","No Title Assigned - #15283724083")</f>
        <v/>
      </c>
      <c r="B24563" s="0" t="s">
        <v>32947</v>
      </c>
      <c r="C24563" s="0" t="s">
        <v>32948</v>
      </c>
      <c r="D24563" s="0" t="s">
        <v>32949</v>
      </c>
      <c r="E24563" s="0" t="inlineStr">
        <is>
          <t xml:space="preserve">Mazda</t>
        </is>
      </c>
      <c r="F24563" s="0" t="s">
        <v>13</v>
      </c>
      <c r="G24563" s="0" t="s">
        <v>49</v>
      </c>
      <c r="H24563" s="5">
        <v>16585.051400</v>
      </c>
    </row>
    <row r="24564" spans="1:9">
      <c r="A24564" s="22" t="str">
        <f>HYPERLINK("https://app.vivvix.com/360/KMI/IntelliDrive/ApplUI/Pages/CreativePages/CustomReportCreativeDetail.aspx?App=23&amp;ReportView=4&amp;Qid=1711279&amp;Row=24556&amp;Col=1","No Title Assigned - #15283724084")</f>
        <v/>
      </c>
      <c r="B24564" s="0" t="s">
        <v>32950</v>
      </c>
      <c r="C24564" s="0" t="s">
        <v>32951</v>
      </c>
      <c r="D24564" s="0" t="s">
        <v>32407</v>
      </c>
      <c r="E24564" s="0" t="inlineStr">
        <is>
          <t xml:space="preserve">Mazda</t>
        </is>
      </c>
      <c r="F24564" s="0" t="s">
        <v>13</v>
      </c>
      <c r="G24564" s="0" t="s">
        <v>49</v>
      </c>
      <c r="H24564" s="5">
        <v>1993.811800</v>
      </c>
    </row>
    <row r="24565" spans="1:9">
      <c r="A24565" s="22" t="str">
        <f>HYPERLINK("https://app.vivvix.com/360/KMI/IntelliDrive/ApplUI/Pages/CreativePages/CustomReportCreativeDetail.aspx?App=23&amp;ReportView=4&amp;Qid=1711279&amp;Row=24557&amp;Col=1","No Title Assigned - #15283724466")</f>
        <v/>
      </c>
      <c r="B24565" s="0" t="s">
        <v>32952</v>
      </c>
      <c r="C24565" s="0" t="s">
        <v>32953</v>
      </c>
      <c r="D24565" s="0" t="s">
        <v>32407</v>
      </c>
      <c r="E24565" s="0" t="inlineStr">
        <is>
          <t xml:space="preserve">Mazda</t>
        </is>
      </c>
      <c r="F24565" s="0" t="s">
        <v>13</v>
      </c>
      <c r="G24565" s="0" t="s">
        <v>49</v>
      </c>
      <c r="H24565" s="5">
        <v>270.261100</v>
      </c>
    </row>
    <row r="24566" spans="1:9">
      <c r="A24566" s="22" t="str">
        <f>HYPERLINK("https://app.vivvix.com/360/KMI/IntelliDrive/ApplUI/Pages/CreativePages/CustomReportCreativeDetail.aspx?App=23&amp;ReportView=4&amp;Qid=1711279&amp;Row=24558&amp;Col=1","No Title Assigned - #15283728114")</f>
        <v/>
      </c>
      <c r="B24566" s="0" t="s">
        <v>32954</v>
      </c>
      <c r="E24566" s="0" t="inlineStr">
        <is>
          <t xml:space="preserve">Mazda</t>
        </is>
      </c>
      <c r="F24566" s="0" t="inlineStr">
        <is>
          <t xml:space="preserve">Mazda</t>
        </is>
      </c>
      <c r="G24566" s="0" t="s">
        <v>171</v>
      </c>
      <c r="H24566" s="5">
        <v>440.063100</v>
      </c>
    </row>
    <row r="24567" spans="1:9">
      <c r="A24567" s="22" t="str">
        <f>HYPERLINK("https://app.vivvix.com/360/KMI/IntelliDrive/ApplUI/Pages/CreativePages/CustomReportCreativeDetail.aspx?App=23&amp;ReportView=4&amp;Qid=1711279&amp;Row=24559&amp;Col=1","No Title Assigned - #15283728733")</f>
        <v/>
      </c>
      <c r="B24567" s="0" t="s">
        <v>32955</v>
      </c>
      <c r="C24567" s="0" t="s">
        <v>32956</v>
      </c>
      <c r="D24567" s="0" t="s">
        <v>32956</v>
      </c>
      <c r="E24567" s="0" t="inlineStr">
        <is>
          <t xml:space="preserve">Mazda</t>
        </is>
      </c>
      <c r="F24567" s="0" t="inlineStr">
        <is>
          <t xml:space="preserve">Mazda</t>
        </is>
      </c>
      <c r="G24567" s="0" t="s">
        <v>171</v>
      </c>
      <c r="H24567" s="5">
        <v>3987.623600</v>
      </c>
    </row>
    <row r="24568" spans="1:9">
      <c r="A24568" s="22" t="str">
        <f>HYPERLINK("https://app.vivvix.com/360/KMI/IntelliDrive/ApplUI/Pages/CreativePages/CustomReportCreativeDetail.aspx?App=23&amp;ReportView=4&amp;Qid=1711279&amp;Row=24560&amp;Col=1","No Title Assigned - #15283728900")</f>
        <v/>
      </c>
      <c r="B24568" s="0" t="s">
        <v>32957</v>
      </c>
      <c r="E24568" s="0" t="inlineStr">
        <is>
          <t xml:space="preserve">Mazda</t>
        </is>
      </c>
      <c r="F24568" s="0" t="inlineStr">
        <is>
          <t xml:space="preserve">Mazda</t>
        </is>
      </c>
      <c r="G24568" s="0" t="s">
        <v>171</v>
      </c>
      <c r="H24568" s="5">
        <v>861.449300</v>
      </c>
    </row>
    <row r="24569" spans="1:9">
      <c r="A24569" s="22" t="str">
        <f>HYPERLINK("https://app.vivvix.com/360/KMI/IntelliDrive/ApplUI/Pages/CreativePages/CustomReportCreativeDetail.aspx?App=23&amp;ReportView=4&amp;Qid=1711279&amp;Row=24561&amp;Col=1","No Title Assigned - #15283729228")</f>
        <v/>
      </c>
      <c r="B24569" s="0" t="s">
        <v>32958</v>
      </c>
      <c r="E24569" s="0" t="inlineStr">
        <is>
          <t xml:space="preserve">Mazda</t>
        </is>
      </c>
      <c r="F24569" s="0" t="inlineStr">
        <is>
          <t xml:space="preserve">Mazda</t>
        </is>
      </c>
      <c r="G24569" s="0" t="s">
        <v>171</v>
      </c>
      <c r="H24569" s="5">
        <v>1171.208700</v>
      </c>
    </row>
    <row r="24570" spans="1:9">
      <c r="A24570" s="22" t="str">
        <f>HYPERLINK("https://app.vivvix.com/360/KMI/IntelliDrive/ApplUI/Pages/CreativePages/CustomReportCreativeDetail.aspx?App=23&amp;ReportView=4&amp;Qid=1711279&amp;Row=24562&amp;Col=1","No Title Assigned - #15283729257")</f>
        <v/>
      </c>
      <c r="B24570" s="0" t="s">
        <v>32959</v>
      </c>
      <c r="E24570" s="0" t="inlineStr">
        <is>
          <t xml:space="preserve">Mazda</t>
        </is>
      </c>
      <c r="F24570" s="0" t="inlineStr">
        <is>
          <t xml:space="preserve">Mazda</t>
        </is>
      </c>
      <c r="G24570" s="0" t="s">
        <v>171</v>
      </c>
      <c r="H24570" s="5">
        <v>1171.208700</v>
      </c>
    </row>
    <row r="24571" spans="1:9">
      <c r="A24571" s="22" t="str">
        <f>HYPERLINK("https://app.vivvix.com/360/KMI/IntelliDrive/ApplUI/Pages/CreativePages/CustomReportCreativeDetail.aspx?App=23&amp;ReportView=4&amp;Qid=1711279&amp;Row=24563&amp;Col=1","No Title Assigned - #15283729357")</f>
        <v/>
      </c>
      <c r="B24571" s="0" t="s">
        <v>32960</v>
      </c>
      <c r="E24571" s="0" t="inlineStr">
        <is>
          <t xml:space="preserve">Mazda</t>
        </is>
      </c>
      <c r="F24571" s="0" t="inlineStr">
        <is>
          <t xml:space="preserve">Mazda</t>
        </is>
      </c>
      <c r="G24571" s="0" t="s">
        <v>171</v>
      </c>
      <c r="H24571" s="5">
        <v>471.654700</v>
      </c>
    </row>
    <row r="24572" spans="1:9">
      <c r="A24572" s="22" t="str">
        <f>HYPERLINK("https://app.vivvix.com/360/KMI/IntelliDrive/ApplUI/Pages/CreativePages/CustomReportCreativeDetail.aspx?App=23&amp;ReportView=4&amp;Qid=1711279&amp;Row=24564&amp;Col=1","No Title Assigned - #15283730789")</f>
        <v/>
      </c>
      <c r="B24572" s="0" t="s">
        <v>32961</v>
      </c>
      <c r="E24572" s="0" t="inlineStr">
        <is>
          <t xml:space="preserve">Mazda</t>
        </is>
      </c>
      <c r="F24572" s="0" t="inlineStr">
        <is>
          <t xml:space="preserve">Mazda</t>
        </is>
      </c>
      <c r="G24572" s="0" t="s">
        <v>171</v>
      </c>
      <c r="H24572" s="5">
        <v>450.935600</v>
      </c>
    </row>
    <row r="24573" spans="1:9">
      <c r="A24573" s="22" t="str">
        <f>HYPERLINK("https://app.vivvix.com/360/KMI/IntelliDrive/ApplUI/Pages/CreativePages/CustomReportCreativeDetail.aspx?App=23&amp;ReportView=4&amp;Qid=1711279&amp;Row=24565&amp;Col=1","No Title Assigned - #15283732054")</f>
        <v/>
      </c>
      <c r="B24573" s="0" t="s">
        <v>32962</v>
      </c>
      <c r="E24573" s="0" t="inlineStr">
        <is>
          <t xml:space="preserve">Mazda</t>
        </is>
      </c>
      <c r="F24573" s="0" t="inlineStr">
        <is>
          <t xml:space="preserve">Mazda</t>
        </is>
      </c>
      <c r="G24573" s="0" t="s">
        <v>171</v>
      </c>
      <c r="H24573" s="5">
        <v>491.892000</v>
      </c>
    </row>
    <row r="24574" spans="1:9">
      <c r="A24574" s="22" t="str">
        <f>HYPERLINK("https://app.vivvix.com/360/KMI/IntelliDrive/ApplUI/Pages/CreativePages/CustomReportCreativeDetail.aspx?App=23&amp;ReportView=4&amp;Qid=1711279&amp;Row=24566&amp;Col=1","No Title Assigned - #15283732212")</f>
        <v/>
      </c>
      <c r="B24574" s="0" t="s">
        <v>32963</v>
      </c>
      <c r="C24574" s="0" t="s">
        <v>32964</v>
      </c>
      <c r="D24574" s="0" t="s">
        <v>32964</v>
      </c>
      <c r="E24574" s="0" t="inlineStr">
        <is>
          <t xml:space="preserve">Mazda</t>
        </is>
      </c>
      <c r="F24574" s="0" t="s">
        <v>13</v>
      </c>
      <c r="G24574" s="0" t="s">
        <v>49</v>
      </c>
      <c r="H24574" s="5">
        <v>124.006800</v>
      </c>
    </row>
    <row r="24575" spans="1:9">
      <c r="A24575" s="22" t="str">
        <f>HYPERLINK("https://app.vivvix.com/360/KMI/IntelliDrive/ApplUI/Pages/CreativePages/CustomReportCreativeDetail.aspx?App=23&amp;ReportView=4&amp;Qid=1711279&amp;Row=24567&amp;Col=1","No Title Assigned - #15283732412")</f>
        <v/>
      </c>
      <c r="B24575" s="0" t="s">
        <v>32965</v>
      </c>
      <c r="E24575" s="0" t="inlineStr">
        <is>
          <t xml:space="preserve">Mazda</t>
        </is>
      </c>
      <c r="F24575" s="0" t="inlineStr">
        <is>
          <t xml:space="preserve">Mazda</t>
        </is>
      </c>
      <c r="G24575" s="0" t="s">
        <v>171</v>
      </c>
      <c r="H24575" s="5">
        <v>3062.964300</v>
      </c>
    </row>
    <row r="24576" spans="1:9">
      <c r="A24576" s="22" t="str">
        <f>HYPERLINK("https://app.vivvix.com/360/KMI/IntelliDrive/ApplUI/Pages/CreativePages/CustomReportCreativeDetail.aspx?App=23&amp;ReportView=4&amp;Qid=1711279&amp;Row=24568&amp;Col=1","No Title Assigned - #15283732412")</f>
        <v/>
      </c>
      <c r="B24576" s="0" t="s">
        <v>32965</v>
      </c>
      <c r="E24576" s="0" t="inlineStr">
        <is>
          <t xml:space="preserve">Mazda</t>
        </is>
      </c>
      <c r="F24576" s="0" t="inlineStr">
        <is>
          <t xml:space="preserve">Mazda</t>
        </is>
      </c>
      <c r="G24576" s="0" t="s">
        <v>171</v>
      </c>
      <c r="H24576" s="5">
        <v>1620.869100</v>
      </c>
    </row>
    <row r="24577" spans="1:9">
      <c r="A24577" s="22" t="str">
        <f>HYPERLINK("https://app.vivvix.com/360/KMI/IntelliDrive/ApplUI/Pages/CreativePages/CustomReportCreativeDetail.aspx?App=23&amp;ReportView=4&amp;Qid=1711279&amp;Row=24569&amp;Col=1","No Title Assigned - #15283732812")</f>
        <v/>
      </c>
      <c r="B24577" s="0" t="s">
        <v>32966</v>
      </c>
      <c r="E24577" s="0" t="inlineStr">
        <is>
          <t xml:space="preserve">Mazda</t>
        </is>
      </c>
      <c r="F24577" s="0" t="inlineStr">
        <is>
          <t xml:space="preserve">Mazda</t>
        </is>
      </c>
      <c r="G24577" s="0" t="s">
        <v>171</v>
      </c>
      <c r="H24577" s="5">
        <v>553.932600</v>
      </c>
    </row>
    <row r="24578" spans="1:9">
      <c r="A24578" s="22" t="str">
        <f>HYPERLINK("https://app.vivvix.com/360/KMI/IntelliDrive/ApplUI/Pages/CreativePages/CustomReportCreativeDetail.aspx?App=23&amp;ReportView=4&amp;Qid=1711279&amp;Row=24570&amp;Col=1","No Title Assigned - #15283733005")</f>
        <v/>
      </c>
      <c r="B24578" s="0" t="s">
        <v>32967</v>
      </c>
      <c r="E24578" s="0" t="inlineStr">
        <is>
          <t xml:space="preserve">Mazda</t>
        </is>
      </c>
      <c r="F24578" s="0" t="inlineStr">
        <is>
          <t xml:space="preserve">Mazda</t>
        </is>
      </c>
      <c r="G24578" s="0" t="s">
        <v>171</v>
      </c>
      <c r="H24578" s="5">
        <v>17498.415000</v>
      </c>
    </row>
    <row r="24579" spans="1:9">
      <c r="A24579" s="22" t="str">
        <f>HYPERLINK("https://app.vivvix.com/360/KMI/IntelliDrive/ApplUI/Pages/CreativePages/CustomReportCreativeDetail.aspx?App=23&amp;ReportView=4&amp;Qid=1711279&amp;Row=24571&amp;Col=1","No Title Assigned - #15283733005")</f>
        <v/>
      </c>
      <c r="B24579" s="0" t="s">
        <v>32967</v>
      </c>
      <c r="E24579" s="0" t="inlineStr">
        <is>
          <t xml:space="preserve">Mazda</t>
        </is>
      </c>
      <c r="F24579" s="0" t="inlineStr">
        <is>
          <t xml:space="preserve">Mazda</t>
        </is>
      </c>
      <c r="G24579" s="0" t="s">
        <v>171</v>
      </c>
      <c r="H24579" s="5">
        <v>125854.153200</v>
      </c>
    </row>
    <row r="24580" spans="1:9">
      <c r="A24580" s="22" t="str">
        <f>HYPERLINK("https://app.vivvix.com/360/KMI/IntelliDrive/ApplUI/Pages/CreativePages/CustomReportCreativeDetail.aspx?App=23&amp;ReportView=4&amp;Qid=1711279&amp;Row=24572&amp;Col=1","No Title Assigned - #15283734914")</f>
        <v/>
      </c>
      <c r="B24580" s="0" t="s">
        <v>32968</v>
      </c>
      <c r="E24580" s="0" t="inlineStr">
        <is>
          <t xml:space="preserve">Mazda</t>
        </is>
      </c>
      <c r="F24580" s="0" t="inlineStr">
        <is>
          <t xml:space="preserve">Mazda</t>
        </is>
      </c>
      <c r="G24580" s="0" t="s">
        <v>171</v>
      </c>
      <c r="H24580" s="5">
        <v>177.080600</v>
      </c>
    </row>
    <row r="24581" spans="1:9">
      <c r="A24581" s="22" t="str">
        <f>HYPERLINK("https://app.vivvix.com/360/KMI/IntelliDrive/ApplUI/Pages/CreativePages/CustomReportCreativeDetail.aspx?App=23&amp;ReportView=4&amp;Qid=1711279&amp;Row=24573&amp;Col=1","No Title Assigned - #15283736060")</f>
        <v/>
      </c>
      <c r="B24581" s="0" t="s">
        <v>32969</v>
      </c>
      <c r="E24581" s="0" t="inlineStr">
        <is>
          <t xml:space="preserve">Mazda</t>
        </is>
      </c>
      <c r="F24581" s="0" t="inlineStr">
        <is>
          <t xml:space="preserve">Mazda</t>
        </is>
      </c>
      <c r="G24581" s="0" t="s">
        <v>171</v>
      </c>
      <c r="H24581" s="5">
        <v>104.058400</v>
      </c>
    </row>
    <row r="24582" spans="1:9">
      <c r="A24582" s="22" t="str">
        <f>HYPERLINK("https://app.vivvix.com/360/KMI/IntelliDrive/ApplUI/Pages/CreativePages/CustomReportCreativeDetail.aspx?App=23&amp;ReportView=4&amp;Qid=1711279&amp;Row=24574&amp;Col=1","No Title Assigned - #15283738557")</f>
        <v/>
      </c>
      <c r="B24582" s="0" t="s">
        <v>32970</v>
      </c>
      <c r="E24582" s="0" t="inlineStr">
        <is>
          <t xml:space="preserve">Mazda</t>
        </is>
      </c>
      <c r="F24582" s="0" t="inlineStr">
        <is>
          <t xml:space="preserve">Mazda</t>
        </is>
      </c>
      <c r="G24582" s="0" t="s">
        <v>171</v>
      </c>
      <c r="H24582" s="5">
        <v>3279.963000</v>
      </c>
    </row>
    <row r="24583" spans="1:9">
      <c r="A24583" s="22" t="str">
        <f>HYPERLINK("https://app.vivvix.com/360/KMI/IntelliDrive/ApplUI/Pages/CreativePages/CustomReportCreativeDetail.aspx?App=23&amp;ReportView=4&amp;Qid=1711279&amp;Row=24575&amp;Col=1","No Title Assigned - #15283738557")</f>
        <v/>
      </c>
      <c r="B24583" s="0" t="s">
        <v>32970</v>
      </c>
      <c r="E24583" s="0" t="inlineStr">
        <is>
          <t xml:space="preserve">Mazda</t>
        </is>
      </c>
      <c r="F24583" s="0" t="inlineStr">
        <is>
          <t xml:space="preserve">Mazda</t>
        </is>
      </c>
      <c r="G24583" s="0" t="s">
        <v>171</v>
      </c>
      <c r="H24583" s="5">
        <v>1702.264100</v>
      </c>
    </row>
    <row r="24584" spans="1:9">
      <c r="A24584" s="22" t="str">
        <f>HYPERLINK("https://app.vivvix.com/360/KMI/IntelliDrive/ApplUI/Pages/CreativePages/CustomReportCreativeDetail.aspx?App=23&amp;ReportView=4&amp;Qid=1711279&amp;Row=24576&amp;Col=1","No Title Assigned - #15283738661")</f>
        <v/>
      </c>
      <c r="B24584" s="0" t="s">
        <v>32971</v>
      </c>
      <c r="E24584" s="0" t="inlineStr">
        <is>
          <t xml:space="preserve">Mazda</t>
        </is>
      </c>
      <c r="F24584" s="0" t="inlineStr">
        <is>
          <t xml:space="preserve">Mazda</t>
        </is>
      </c>
      <c r="G24584" s="0" t="s">
        <v>171</v>
      </c>
      <c r="H24584" s="5">
        <v>24.236000</v>
      </c>
    </row>
    <row r="24585" spans="1:9">
      <c r="A24585" s="22" t="str">
        <f>HYPERLINK("https://app.vivvix.com/360/KMI/IntelliDrive/ApplUI/Pages/CreativePages/CustomReportCreativeDetail.aspx?App=23&amp;ReportView=4&amp;Qid=1711279&amp;Row=24577&amp;Col=1","No Title Assigned - #15283738685")</f>
        <v/>
      </c>
      <c r="B24585" s="0" t="s">
        <v>32972</v>
      </c>
      <c r="E24585" s="0" t="inlineStr">
        <is>
          <t xml:space="preserve">Mazda</t>
        </is>
      </c>
      <c r="F24585" s="0" t="inlineStr">
        <is>
          <t xml:space="preserve">Mazda</t>
        </is>
      </c>
      <c r="G24585" s="0" t="s">
        <v>171</v>
      </c>
      <c r="H24585" s="5">
        <v>382.700200</v>
      </c>
    </row>
    <row r="24586" spans="1:9">
      <c r="A24586" s="22" t="str">
        <f>HYPERLINK("https://app.vivvix.com/360/KMI/IntelliDrive/ApplUI/Pages/CreativePages/CustomReportCreativeDetail.aspx?App=23&amp;ReportView=4&amp;Qid=1711279&amp;Row=24578&amp;Col=1","No Title Assigned - #15283738686")</f>
        <v/>
      </c>
      <c r="B24586" s="0" t="s">
        <v>32973</v>
      </c>
      <c r="E24586" s="0" t="inlineStr">
        <is>
          <t xml:space="preserve">Mazda</t>
        </is>
      </c>
      <c r="F24586" s="0" t="inlineStr">
        <is>
          <t xml:space="preserve">Mazda</t>
        </is>
      </c>
      <c r="G24586" s="0" t="s">
        <v>171</v>
      </c>
      <c r="H24586" s="5">
        <v>191.350100</v>
      </c>
    </row>
    <row r="24587" spans="1:9">
      <c r="A24587" s="22" t="str">
        <f>HYPERLINK("https://app.vivvix.com/360/KMI/IntelliDrive/ApplUI/Pages/CreativePages/CustomReportCreativeDetail.aspx?App=23&amp;ReportView=4&amp;Qid=1711279&amp;Row=24579&amp;Col=1","No Title Assigned - #15283738901")</f>
        <v/>
      </c>
      <c r="B24587" s="0" t="s">
        <v>32974</v>
      </c>
      <c r="E24587" s="0" t="inlineStr">
        <is>
          <t xml:space="preserve">Mazda</t>
        </is>
      </c>
      <c r="F24587" s="0" t="inlineStr">
        <is>
          <t xml:space="preserve">Mazda</t>
        </is>
      </c>
      <c r="G24587" s="0" t="s">
        <v>171</v>
      </c>
      <c r="H24587" s="5">
        <v>98104.312500</v>
      </c>
    </row>
    <row r="24588" spans="1:9">
      <c r="A24588" s="22" t="str">
        <f>HYPERLINK("https://app.vivvix.com/360/KMI/IntelliDrive/ApplUI/Pages/CreativePages/CustomReportCreativeDetail.aspx?App=23&amp;ReportView=4&amp;Qid=1711279&amp;Row=24580&amp;Col=1","No Title Assigned - #15283750363")</f>
        <v/>
      </c>
      <c r="B24588" s="0" t="s">
        <v>32975</v>
      </c>
      <c r="E24588" s="0" t="inlineStr">
        <is>
          <t xml:space="preserve">Mazda</t>
        </is>
      </c>
      <c r="F24588" s="0" t="inlineStr">
        <is>
          <t xml:space="preserve">Mazda</t>
        </is>
      </c>
      <c r="G24588" s="0" t="s">
        <v>171</v>
      </c>
      <c r="H24588" s="5">
        <v>133.594400</v>
      </c>
    </row>
    <row r="24589" spans="1:9">
      <c r="A24589" s="22" t="str">
        <f>HYPERLINK("https://app.vivvix.com/360/KMI/IntelliDrive/ApplUI/Pages/CreativePages/CustomReportCreativeDetail.aspx?App=23&amp;ReportView=4&amp;Qid=1711279&amp;Row=24581&amp;Col=1","No Title Assigned - #15283751103")</f>
        <v/>
      </c>
      <c r="B24589" s="0" t="s">
        <v>32976</v>
      </c>
      <c r="E24589" s="0" t="inlineStr">
        <is>
          <t xml:space="preserve">Mazda</t>
        </is>
      </c>
      <c r="F24589" s="0" t="inlineStr">
        <is>
          <t xml:space="preserve">Mazda</t>
        </is>
      </c>
      <c r="G24589" s="0" t="s">
        <v>171</v>
      </c>
      <c r="H24589" s="5">
        <v>3555.091800</v>
      </c>
    </row>
    <row r="24590" spans="1:9">
      <c r="A24590" s="22" t="str">
        <f>HYPERLINK("https://app.vivvix.com/360/KMI/IntelliDrive/ApplUI/Pages/CreativePages/CustomReportCreativeDetail.aspx?App=23&amp;ReportView=4&amp;Qid=1711279&amp;Row=24582&amp;Col=1","No Title Assigned - #15283752586")</f>
        <v/>
      </c>
      <c r="B24590" s="0" t="s">
        <v>32977</v>
      </c>
      <c r="E24590" s="0" t="inlineStr">
        <is>
          <t xml:space="preserve">Mazda</t>
        </is>
      </c>
      <c r="F24590" s="0" t="inlineStr">
        <is>
          <t xml:space="preserve">Mazda</t>
        </is>
      </c>
      <c r="G24590" s="0" t="s">
        <v>171</v>
      </c>
      <c r="H24590" s="5">
        <v>11585.572300</v>
      </c>
    </row>
    <row r="24591" spans="1:9">
      <c r="A24591" s="22" t="str">
        <f>HYPERLINK("https://app.vivvix.com/360/KMI/IntelliDrive/ApplUI/Pages/CreativePages/CustomReportCreativeDetail.aspx?App=23&amp;ReportView=4&amp;Qid=1711279&amp;Row=24583&amp;Col=1","No Title Assigned - #15283759329")</f>
        <v/>
      </c>
      <c r="B24591" s="0" t="s">
        <v>32978</v>
      </c>
      <c r="C24591" s="0" t="s">
        <v>32979</v>
      </c>
      <c r="D24591" s="0" t="s">
        <v>4340</v>
      </c>
      <c r="E24591" s="0" t="inlineStr">
        <is>
          <t xml:space="preserve">Mazda</t>
        </is>
      </c>
      <c r="F24591" s="0" t="s">
        <v>56</v>
      </c>
      <c r="G24591" s="0" t="s">
        <v>57</v>
      </c>
      <c r="H24591" s="5">
        <v>137.688400</v>
      </c>
    </row>
    <row r="24592" spans="1:9">
      <c r="A24592" s="22" t="str">
        <f>HYPERLINK("https://app.vivvix.com/360/KMI/IntelliDrive/ApplUI/Pages/CreativePages/CustomReportCreativeDetail.aspx?App=23&amp;ReportView=4&amp;Qid=1711279&amp;Row=24584&amp;Col=1","No Title Assigned - #15283761120")</f>
        <v/>
      </c>
      <c r="B24592" s="0" t="s">
        <v>32980</v>
      </c>
      <c r="C24592" s="0" t="s">
        <v>32981</v>
      </c>
      <c r="D24592" s="0" t="s">
        <v>32981</v>
      </c>
      <c r="E24592" s="0" t="inlineStr">
        <is>
          <t xml:space="preserve">Mazda</t>
        </is>
      </c>
      <c r="F24592" s="0" t="s">
        <v>13</v>
      </c>
      <c r="G24592" s="0" t="s">
        <v>49</v>
      </c>
      <c r="H24592" s="5">
        <v>413.066400</v>
      </c>
    </row>
    <row r="24593" spans="1:9">
      <c r="A24593" s="22" t="str">
        <f>HYPERLINK("https://app.vivvix.com/360/KMI/IntelliDrive/ApplUI/Pages/CreativePages/CustomReportCreativeDetail.aspx?App=23&amp;ReportView=4&amp;Qid=1711279&amp;Row=24585&amp;Col=1","No Title Assigned - #15283765971")</f>
        <v/>
      </c>
      <c r="B24593" s="0" t="s">
        <v>32982</v>
      </c>
      <c r="C24593" s="0" t="s">
        <v>32983</v>
      </c>
      <c r="D24593" s="0" t="s">
        <v>32983</v>
      </c>
      <c r="E24593" s="0" t="inlineStr">
        <is>
          <t xml:space="preserve">Mazda</t>
        </is>
      </c>
      <c r="F24593" s="0" t="s">
        <v>13</v>
      </c>
      <c r="G24593" s="0" t="s">
        <v>49</v>
      </c>
      <c r="H24593" s="5">
        <v>9029.371400</v>
      </c>
    </row>
    <row r="24594" spans="1:9">
      <c r="A24594" s="22" t="str">
        <f>HYPERLINK("https://app.vivvix.com/360/KMI/IntelliDrive/ApplUI/Pages/CreativePages/CustomReportCreativeDetail.aspx?App=23&amp;ReportView=4&amp;Qid=1711279&amp;Row=24586&amp;Col=1","No Title Assigned - #15283781355")</f>
        <v/>
      </c>
      <c r="B24594" s="0" t="s">
        <v>32984</v>
      </c>
      <c r="C24594" s="0" t="s">
        <v>32985</v>
      </c>
      <c r="D24594" s="0" t="s">
        <v>32985</v>
      </c>
      <c r="E24594" s="0" t="inlineStr">
        <is>
          <t xml:space="preserve">Mazda</t>
        </is>
      </c>
      <c r="F24594" s="0" t="s">
        <v>13</v>
      </c>
      <c r="G24594" s="0" t="s">
        <v>49</v>
      </c>
      <c r="H24594" s="5">
        <v>3597.855700</v>
      </c>
    </row>
    <row r="24595" spans="1:9">
      <c r="A24595" s="22" t="str">
        <f>HYPERLINK("https://app.vivvix.com/360/KMI/IntelliDrive/ApplUI/Pages/CreativePages/CustomReportCreativeDetail.aspx?App=23&amp;ReportView=4&amp;Qid=1711279&amp;Row=24587&amp;Col=1","No Title Assigned - #15283783736")</f>
        <v/>
      </c>
      <c r="B24595" s="0" t="s">
        <v>32986</v>
      </c>
      <c r="C24595" s="0" t="s">
        <v>32987</v>
      </c>
      <c r="D24595" s="0" t="s">
        <v>32987</v>
      </c>
      <c r="E24595" s="0" t="inlineStr">
        <is>
          <t xml:space="preserve">Mazda</t>
        </is>
      </c>
      <c r="F24595" s="0" t="s">
        <v>13</v>
      </c>
      <c r="G24595" s="0" t="s">
        <v>49</v>
      </c>
      <c r="H24595" s="5">
        <v>920.498400</v>
      </c>
    </row>
    <row r="24596" spans="1:9">
      <c r="A24596" s="22" t="str">
        <f>HYPERLINK("https://app.vivvix.com/360/KMI/IntelliDrive/ApplUI/Pages/CreativePages/CustomReportCreativeDetail.aspx?App=23&amp;ReportView=4&amp;Qid=1711279&amp;Row=24588&amp;Col=1","No Title Assigned - #15283784038")</f>
        <v/>
      </c>
      <c r="B24596" s="0" t="s">
        <v>32988</v>
      </c>
      <c r="C24596" s="0" t="s">
        <v>32989</v>
      </c>
      <c r="D24596" s="0" t="s">
        <v>32817</v>
      </c>
      <c r="E24596" s="0" t="inlineStr">
        <is>
          <t xml:space="preserve">Mazda</t>
        </is>
      </c>
      <c r="F24596" s="0" t="s">
        <v>13</v>
      </c>
      <c r="G24596" s="0" t="s">
        <v>49</v>
      </c>
      <c r="H24596" s="5">
        <v>295.064100</v>
      </c>
    </row>
    <row r="24597" spans="1:9">
      <c r="A24597" s="22" t="str">
        <f>HYPERLINK("https://app.vivvix.com/360/KMI/IntelliDrive/ApplUI/Pages/CreativePages/CustomReportCreativeDetail.aspx?App=23&amp;ReportView=4&amp;Qid=1711279&amp;Row=24589&amp;Col=1","No Title Assigned - #15283785993")</f>
        <v/>
      </c>
      <c r="B24597" s="0" t="s">
        <v>32990</v>
      </c>
      <c r="E24597" s="0" t="inlineStr">
        <is>
          <t xml:space="preserve">Mazda</t>
        </is>
      </c>
      <c r="F24597" s="0" t="inlineStr">
        <is>
          <t xml:space="preserve">Mazda</t>
        </is>
      </c>
      <c r="G24597" s="0" t="s">
        <v>171</v>
      </c>
      <c r="H24597" s="5">
        <v>4304.819500</v>
      </c>
    </row>
    <row r="24598" spans="1:9">
      <c r="A24598" s="22" t="str">
        <f>HYPERLINK("https://app.vivvix.com/360/KMI/IntelliDrive/ApplUI/Pages/CreativePages/CustomReportCreativeDetail.aspx?App=23&amp;ReportView=4&amp;Qid=1711279&amp;Row=24590&amp;Col=1","No Title Assigned - #15283786433")</f>
        <v/>
      </c>
      <c r="B24598" s="0" t="s">
        <v>32991</v>
      </c>
      <c r="C24598" s="0" t="s">
        <v>32992</v>
      </c>
      <c r="D24598" s="0" t="s">
        <v>21552</v>
      </c>
      <c r="E24598" s="0" t="inlineStr">
        <is>
          <t xml:space="preserve">Mazda</t>
        </is>
      </c>
      <c r="F24598" s="0" t="s">
        <v>13</v>
      </c>
      <c r="G24598" s="0" t="s">
        <v>49</v>
      </c>
      <c r="H24598" s="5">
        <v>20702.463400</v>
      </c>
    </row>
    <row r="24599" spans="1:9">
      <c r="A24599" s="22" t="str">
        <f>HYPERLINK("https://app.vivvix.com/360/KMI/IntelliDrive/ApplUI/Pages/CreativePages/CustomReportCreativeDetail.aspx?App=23&amp;ReportView=4&amp;Qid=1711279&amp;Row=24591&amp;Col=1","No Title Assigned - #15283786433")</f>
        <v/>
      </c>
      <c r="B24599" s="0" t="s">
        <v>32991</v>
      </c>
      <c r="E24599" s="0" t="inlineStr">
        <is>
          <t xml:space="preserve">Mazda</t>
        </is>
      </c>
      <c r="F24599" s="0" t="s">
        <v>13</v>
      </c>
      <c r="G24599" s="0" t="s">
        <v>49</v>
      </c>
      <c r="H24599" s="5">
        <v>31566.398400</v>
      </c>
    </row>
    <row r="24600" spans="1:9">
      <c r="A24600" s="22" t="str">
        <f>HYPERLINK("https://app.vivvix.com/360/KMI/IntelliDrive/ApplUI/Pages/CreativePages/CustomReportCreativeDetail.aspx?App=23&amp;ReportView=4&amp;Qid=1711279&amp;Row=24592&amp;Col=1","No Title Assigned - #15283787067")</f>
        <v/>
      </c>
      <c r="B24600" s="0" t="s">
        <v>32993</v>
      </c>
      <c r="C24600" s="0" t="s">
        <v>32994</v>
      </c>
      <c r="D24600" s="0" t="s">
        <v>32994</v>
      </c>
      <c r="E24600" s="0" t="inlineStr">
        <is>
          <t xml:space="preserve">Mazda</t>
        </is>
      </c>
      <c r="F24600" s="0" t="s">
        <v>13</v>
      </c>
      <c r="G24600" s="0" t="s">
        <v>49</v>
      </c>
      <c r="H24600" s="5">
        <v>211.380400</v>
      </c>
    </row>
    <row r="24601" spans="1:9">
      <c r="A24601" s="22" t="str">
        <f>HYPERLINK("https://app.vivvix.com/360/KMI/IntelliDrive/ApplUI/Pages/CreativePages/CustomReportCreativeDetail.aspx?App=23&amp;ReportView=4&amp;Qid=1711279&amp;Row=24593&amp;Col=1","No Title Assigned - #15283789118")</f>
        <v/>
      </c>
      <c r="B24601" s="0" t="s">
        <v>32995</v>
      </c>
      <c r="C24601" s="0" t="s">
        <v>32996</v>
      </c>
      <c r="D24601" s="0" t="s">
        <v>32996</v>
      </c>
      <c r="E24601" s="0" t="inlineStr">
        <is>
          <t xml:space="preserve">Mazda</t>
        </is>
      </c>
      <c r="F24601" s="0" t="s">
        <v>13</v>
      </c>
      <c r="G24601" s="0" t="s">
        <v>49</v>
      </c>
      <c r="H24601" s="5">
        <v>10338.512600</v>
      </c>
    </row>
    <row r="24602" spans="1:9">
      <c r="A24602" s="22" t="str">
        <f>HYPERLINK("https://app.vivvix.com/360/KMI/IntelliDrive/ApplUI/Pages/CreativePages/CustomReportCreativeDetail.aspx?App=23&amp;ReportView=4&amp;Qid=1711279&amp;Row=24594&amp;Col=1","No Title Assigned - #15283789358")</f>
        <v/>
      </c>
      <c r="B24602" s="0" t="s">
        <v>32997</v>
      </c>
      <c r="C24602" s="0" t="s">
        <v>32998</v>
      </c>
      <c r="D24602" s="0" t="s">
        <v>32998</v>
      </c>
      <c r="E24602" s="0" t="inlineStr">
        <is>
          <t xml:space="preserve">Mazda</t>
        </is>
      </c>
      <c r="F24602" s="0" t="s">
        <v>13</v>
      </c>
      <c r="G24602" s="0" t="s">
        <v>49</v>
      </c>
      <c r="H24602" s="5">
        <v>10338.512600</v>
      </c>
    </row>
    <row r="24603" spans="1:9">
      <c r="A24603" s="22" t="str">
        <f>HYPERLINK("https://app.vivvix.com/360/KMI/IntelliDrive/ApplUI/Pages/CreativePages/CustomReportCreativeDetail.aspx?App=23&amp;ReportView=4&amp;Qid=1711279&amp;Row=24595&amp;Col=1","No Title Assigned - #15283789523")</f>
        <v/>
      </c>
      <c r="B24603" s="0" t="s">
        <v>32999</v>
      </c>
      <c r="C24603" s="0" t="s">
        <v>33000</v>
      </c>
      <c r="D24603" s="0" t="s">
        <v>21552</v>
      </c>
      <c r="E24603" s="0" t="inlineStr">
        <is>
          <t xml:space="preserve">Mazda</t>
        </is>
      </c>
      <c r="F24603" s="0" t="s">
        <v>13</v>
      </c>
      <c r="G24603" s="0" t="s">
        <v>49</v>
      </c>
      <c r="H24603" s="5">
        <v>5169.256300</v>
      </c>
    </row>
    <row r="24604" spans="1:9">
      <c r="A24604" s="22" t="str">
        <f>HYPERLINK("https://app.vivvix.com/360/KMI/IntelliDrive/ApplUI/Pages/CreativePages/CustomReportCreativeDetail.aspx?App=23&amp;ReportView=4&amp;Qid=1711279&amp;Row=24596&amp;Col=1","No Title Assigned - #15283791377")</f>
        <v/>
      </c>
      <c r="B24604" s="0" t="s">
        <v>33001</v>
      </c>
      <c r="E24604" s="0" t="inlineStr">
        <is>
          <t xml:space="preserve">Mazda</t>
        </is>
      </c>
      <c r="F24604" s="0" t="inlineStr">
        <is>
          <t xml:space="preserve">Mazda</t>
        </is>
      </c>
      <c r="G24604" s="0" t="s">
        <v>171</v>
      </c>
      <c r="H24604" s="5">
        <v>2147.551800</v>
      </c>
    </row>
    <row r="24605" spans="1:9">
      <c r="A24605" s="22" t="str">
        <f>HYPERLINK("https://app.vivvix.com/360/KMI/IntelliDrive/ApplUI/Pages/CreativePages/CustomReportCreativeDetail.aspx?App=23&amp;ReportView=4&amp;Qid=1711279&amp;Row=24597&amp;Col=1","No Title Assigned - #15283791934")</f>
        <v/>
      </c>
      <c r="B24605" s="0" t="s">
        <v>33002</v>
      </c>
      <c r="C24605" s="0" t="s">
        <v>33003</v>
      </c>
      <c r="D24605" s="0" t="s">
        <v>33003</v>
      </c>
      <c r="E24605" s="0" t="inlineStr">
        <is>
          <t xml:space="preserve">Mazda</t>
        </is>
      </c>
      <c r="F24605" s="0" t="s">
        <v>13</v>
      </c>
      <c r="G24605" s="0" t="s">
        <v>49</v>
      </c>
      <c r="H24605" s="5">
        <v>38.070200</v>
      </c>
    </row>
    <row r="24606" spans="1:9">
      <c r="A24606" s="22" t="str">
        <f>HYPERLINK("https://app.vivvix.com/360/KMI/IntelliDrive/ApplUI/Pages/CreativePages/CustomReportCreativeDetail.aspx?App=23&amp;ReportView=4&amp;Qid=1711279&amp;Row=24598&amp;Col=1","No Title Assigned - #15283792392")</f>
        <v/>
      </c>
      <c r="B24606" s="0" t="s">
        <v>33004</v>
      </c>
      <c r="C24606" s="0" t="s">
        <v>32949</v>
      </c>
      <c r="D24606" s="0" t="s">
        <v>32949</v>
      </c>
      <c r="E24606" s="0" t="inlineStr">
        <is>
          <t xml:space="preserve">Mazda</t>
        </is>
      </c>
      <c r="F24606" s="0" t="s">
        <v>13</v>
      </c>
      <c r="G24606" s="0" t="s">
        <v>49</v>
      </c>
      <c r="H24606" s="5">
        <v>7581.133800</v>
      </c>
    </row>
    <row r="24607" spans="1:9">
      <c r="A24607" s="22" t="str">
        <f>HYPERLINK("https://app.vivvix.com/360/KMI/IntelliDrive/ApplUI/Pages/CreativePages/CustomReportCreativeDetail.aspx?App=23&amp;ReportView=4&amp;Qid=1711279&amp;Row=24599&amp;Col=1","No Title Assigned - #15283795601")</f>
        <v/>
      </c>
      <c r="B24607" s="0" t="s">
        <v>33005</v>
      </c>
      <c r="E24607" s="0" t="inlineStr">
        <is>
          <t xml:space="preserve">Mazda</t>
        </is>
      </c>
      <c r="F24607" s="0" t="inlineStr">
        <is>
          <t xml:space="preserve">Mazda</t>
        </is>
      </c>
      <c r="G24607" s="0" t="s">
        <v>171</v>
      </c>
      <c r="H24607" s="5">
        <v>1583.980800</v>
      </c>
    </row>
    <row r="24608" spans="1:9">
      <c r="A24608" s="22" t="str">
        <f>HYPERLINK("https://app.vivvix.com/360/KMI/IntelliDrive/ApplUI/Pages/CreativePages/CustomReportCreativeDetail.aspx?App=23&amp;ReportView=4&amp;Qid=1711279&amp;Row=24600&amp;Col=1","No Title Assigned - #15283798025")</f>
        <v/>
      </c>
      <c r="B24608" s="0" t="s">
        <v>33006</v>
      </c>
      <c r="E24608" s="0" t="inlineStr">
        <is>
          <t xml:space="preserve">Mazda</t>
        </is>
      </c>
      <c r="F24608" s="0" t="inlineStr">
        <is>
          <t xml:space="preserve">Mazda</t>
        </is>
      </c>
      <c r="G24608" s="0" t="s">
        <v>171</v>
      </c>
      <c r="H24608" s="5">
        <v>996.905900</v>
      </c>
    </row>
    <row r="24609" spans="1:9">
      <c r="A24609" s="22" t="str">
        <f>HYPERLINK("https://app.vivvix.com/360/KMI/IntelliDrive/ApplUI/Pages/CreativePages/CustomReportCreativeDetail.aspx?App=23&amp;ReportView=4&amp;Qid=1711279&amp;Row=24601&amp;Col=1","No Title Assigned - #15283798579")</f>
        <v/>
      </c>
      <c r="B24609" s="0" t="s">
        <v>33007</v>
      </c>
      <c r="E24609" s="0" t="inlineStr">
        <is>
          <t xml:space="preserve">Mazda</t>
        </is>
      </c>
      <c r="F24609" s="0" t="inlineStr">
        <is>
          <t xml:space="preserve">Mazda</t>
        </is>
      </c>
      <c r="G24609" s="0" t="s">
        <v>171</v>
      </c>
      <c r="H24609" s="5">
        <v>656.388500</v>
      </c>
    </row>
    <row r="24610" spans="1:9">
      <c r="A24610" s="22" t="str">
        <f>HYPERLINK("https://app.vivvix.com/360/KMI/IntelliDrive/ApplUI/Pages/CreativePages/CustomReportCreativeDetail.aspx?App=23&amp;ReportView=4&amp;Qid=1711279&amp;Row=24602&amp;Col=1","No Title Assigned - #15283798795")</f>
        <v/>
      </c>
      <c r="B24610" s="0" t="s">
        <v>33008</v>
      </c>
      <c r="E24610" s="0" t="inlineStr">
        <is>
          <t xml:space="preserve">Mazda</t>
        </is>
      </c>
      <c r="F24610" s="0" t="inlineStr">
        <is>
          <t xml:space="preserve">Mazda</t>
        </is>
      </c>
      <c r="G24610" s="0" t="s">
        <v>171</v>
      </c>
      <c r="H24610" s="5">
        <v>784.308400</v>
      </c>
    </row>
    <row r="24611" spans="1:9">
      <c r="A24611" s="22" t="str">
        <f>HYPERLINK("https://app.vivvix.com/360/KMI/IntelliDrive/ApplUI/Pages/CreativePages/CustomReportCreativeDetail.aspx?App=23&amp;ReportView=4&amp;Qid=1711279&amp;Row=24603&amp;Col=1","No Title Assigned - #15283799134")</f>
        <v/>
      </c>
      <c r="B24611" s="0" t="s">
        <v>33009</v>
      </c>
      <c r="E24611" s="0" t="inlineStr">
        <is>
          <t xml:space="preserve">Mazda</t>
        </is>
      </c>
      <c r="F24611" s="0" t="inlineStr">
        <is>
          <t xml:space="preserve">Mazda</t>
        </is>
      </c>
      <c r="G24611" s="0" t="s">
        <v>171</v>
      </c>
      <c r="H24611" s="5">
        <v>298.939900</v>
      </c>
    </row>
    <row r="24612" spans="1:9">
      <c r="A24612" s="22" t="str">
        <f>HYPERLINK("https://app.vivvix.com/360/KMI/IntelliDrive/ApplUI/Pages/CreativePages/CustomReportCreativeDetail.aspx?App=23&amp;ReportView=4&amp;Qid=1711279&amp;Row=24604&amp;Col=1","No Title Assigned - #15283799152")</f>
        <v/>
      </c>
      <c r="B24612" s="0" t="s">
        <v>33010</v>
      </c>
      <c r="E24612" s="0" t="inlineStr">
        <is>
          <t xml:space="preserve">Mazda</t>
        </is>
      </c>
      <c r="F24612" s="0" t="inlineStr">
        <is>
          <t xml:space="preserve">Mazda</t>
        </is>
      </c>
      <c r="G24612" s="0" t="s">
        <v>171</v>
      </c>
      <c r="H24612" s="5">
        <v>1144.639700</v>
      </c>
    </row>
    <row r="24613" spans="1:9">
      <c r="A24613" s="22" t="str">
        <f>HYPERLINK("https://app.vivvix.com/360/KMI/IntelliDrive/ApplUI/Pages/CreativePages/CustomReportCreativeDetail.aspx?App=23&amp;ReportView=4&amp;Qid=1711279&amp;Row=24605&amp;Col=1","No Title Assigned - #15283799336")</f>
        <v/>
      </c>
      <c r="B24613" s="0" t="s">
        <v>33011</v>
      </c>
      <c r="E24613" s="0" t="inlineStr">
        <is>
          <t xml:space="preserve">Mazda</t>
        </is>
      </c>
      <c r="F24613" s="0" t="inlineStr">
        <is>
          <t xml:space="preserve">Mazda</t>
        </is>
      </c>
      <c r="G24613" s="0" t="s">
        <v>171</v>
      </c>
      <c r="H24613" s="5">
        <v>89.848100</v>
      </c>
    </row>
    <row r="24614" spans="1:9">
      <c r="A24614" s="22" t="str">
        <f>HYPERLINK("https://app.vivvix.com/360/KMI/IntelliDrive/ApplUI/Pages/CreativePages/CustomReportCreativeDetail.aspx?App=23&amp;ReportView=4&amp;Qid=1711279&amp;Row=24606&amp;Col=1","No Title Assigned - #15283801083")</f>
        <v/>
      </c>
      <c r="B24614" s="0" t="s">
        <v>33012</v>
      </c>
      <c r="E24614" s="0" t="inlineStr">
        <is>
          <t xml:space="preserve">Mazda</t>
        </is>
      </c>
      <c r="F24614" s="0" t="inlineStr">
        <is>
          <t xml:space="preserve">Mazda</t>
        </is>
      </c>
      <c r="G24614" s="0" t="s">
        <v>171</v>
      </c>
      <c r="H24614" s="5">
        <v>10215.700100</v>
      </c>
    </row>
    <row r="24615" spans="1:9">
      <c r="A24615" s="22" t="str">
        <f>HYPERLINK("https://app.vivvix.com/360/KMI/IntelliDrive/ApplUI/Pages/CreativePages/CustomReportCreativeDetail.aspx?App=23&amp;ReportView=4&amp;Qid=1711279&amp;Row=24607&amp;Col=1","No Title Assigned - #15283801680")</f>
        <v/>
      </c>
      <c r="B24615" s="0" t="s">
        <v>33013</v>
      </c>
      <c r="E24615" s="0" t="inlineStr">
        <is>
          <t xml:space="preserve">Mazda</t>
        </is>
      </c>
      <c r="F24615" s="0" t="inlineStr">
        <is>
          <t xml:space="preserve">Mazda</t>
        </is>
      </c>
      <c r="G24615" s="0" t="s">
        <v>171</v>
      </c>
      <c r="H24615" s="5">
        <v>356.068100</v>
      </c>
    </row>
    <row r="24616" spans="1:9">
      <c r="A24616" s="22" t="str">
        <f>HYPERLINK("https://app.vivvix.com/360/KMI/IntelliDrive/ApplUI/Pages/CreativePages/CustomReportCreativeDetail.aspx?App=23&amp;ReportView=4&amp;Qid=1711279&amp;Row=24608&amp;Col=1","No Title Assigned - #15283804062")</f>
        <v/>
      </c>
      <c r="B24616" s="0" t="s">
        <v>33014</v>
      </c>
      <c r="E24616" s="0" t="inlineStr">
        <is>
          <t xml:space="preserve">Mazda</t>
        </is>
      </c>
      <c r="F24616" s="0" t="inlineStr">
        <is>
          <t xml:space="preserve">Mazda</t>
        </is>
      </c>
      <c r="G24616" s="0" t="s">
        <v>171</v>
      </c>
      <c r="H24616" s="5">
        <v>133.594400</v>
      </c>
    </row>
    <row r="24617" spans="1:9">
      <c r="A24617" s="22" t="str">
        <f>HYPERLINK("https://app.vivvix.com/360/KMI/IntelliDrive/ApplUI/Pages/CreativePages/CustomReportCreativeDetail.aspx?App=23&amp;ReportView=4&amp;Qid=1711279&amp;Row=24609&amp;Col=1","No Title Assigned - #15283804112")</f>
        <v/>
      </c>
      <c r="B24617" s="0" t="s">
        <v>33015</v>
      </c>
      <c r="E24617" s="0" t="inlineStr">
        <is>
          <t xml:space="preserve">Mazda</t>
        </is>
      </c>
      <c r="F24617" s="0" t="inlineStr">
        <is>
          <t xml:space="preserve">Mazda</t>
        </is>
      </c>
      <c r="G24617" s="0" t="s">
        <v>171</v>
      </c>
      <c r="H24617" s="5">
        <v>6193.257300</v>
      </c>
    </row>
    <row r="24618" spans="1:9">
      <c r="A24618" s="22" t="str">
        <f>HYPERLINK("https://app.vivvix.com/360/KMI/IntelliDrive/ApplUI/Pages/CreativePages/CustomReportCreativeDetail.aspx?App=23&amp;ReportView=4&amp;Qid=1711279&amp;Row=24610&amp;Col=1","No Title Assigned - #15283810719")</f>
        <v/>
      </c>
      <c r="B24618" s="0" t="s">
        <v>33016</v>
      </c>
      <c r="E24618" s="0" t="inlineStr">
        <is>
          <t xml:space="preserve">Mazda</t>
        </is>
      </c>
      <c r="F24618" s="0" t="inlineStr">
        <is>
          <t xml:space="preserve">Mazda</t>
        </is>
      </c>
      <c r="G24618" s="0" t="s">
        <v>171</v>
      </c>
      <c r="H24618" s="5">
        <v>11964.860300</v>
      </c>
    </row>
    <row r="24619" spans="1:9">
      <c r="A24619" s="22" t="str">
        <f>HYPERLINK("https://app.vivvix.com/360/KMI/IntelliDrive/ApplUI/Pages/CreativePages/CustomReportCreativeDetail.aspx?App=23&amp;ReportView=4&amp;Qid=1711279&amp;Row=24611&amp;Col=1","No Title Assigned - #15283810760")</f>
        <v/>
      </c>
      <c r="B24619" s="0" t="s">
        <v>33017</v>
      </c>
      <c r="E24619" s="0" t="inlineStr">
        <is>
          <t xml:space="preserve">Mazda</t>
        </is>
      </c>
      <c r="F24619" s="0" t="inlineStr">
        <is>
          <t xml:space="preserve">Mazda</t>
        </is>
      </c>
      <c r="G24619" s="0" t="s">
        <v>171</v>
      </c>
      <c r="H24619" s="5">
        <v>5201.509100</v>
      </c>
    </row>
    <row r="24620" spans="1:9">
      <c r="A24620" s="22" t="str">
        <f>HYPERLINK("https://app.vivvix.com/360/KMI/IntelliDrive/ApplUI/Pages/CreativePages/CustomReportCreativeDetail.aspx?App=23&amp;ReportView=4&amp;Qid=1711279&amp;Row=24612&amp;Col=1","No Title Assigned - #15283810788")</f>
        <v/>
      </c>
      <c r="B24620" s="0" t="s">
        <v>33018</v>
      </c>
      <c r="E24620" s="0" t="inlineStr">
        <is>
          <t xml:space="preserve">Mazda</t>
        </is>
      </c>
      <c r="F24620" s="0" t="inlineStr">
        <is>
          <t xml:space="preserve">Mazda</t>
        </is>
      </c>
      <c r="G24620" s="0" t="s">
        <v>171</v>
      </c>
      <c r="H24620" s="5">
        <v>38360.457400</v>
      </c>
    </row>
    <row r="24621" spans="1:9">
      <c r="A24621" s="22" t="str">
        <f>HYPERLINK("https://app.vivvix.com/360/KMI/IntelliDrive/ApplUI/Pages/CreativePages/CustomReportCreativeDetail.aspx?App=23&amp;ReportView=4&amp;Qid=1711279&amp;Row=24613&amp;Col=1","No Title Assigned - #15283818021")</f>
        <v/>
      </c>
      <c r="B24621" s="0" t="s">
        <v>33019</v>
      </c>
      <c r="E24621" s="0" t="inlineStr">
        <is>
          <t xml:space="preserve">Mazda</t>
        </is>
      </c>
      <c r="F24621" s="0" t="inlineStr">
        <is>
          <t xml:space="preserve">Mazda</t>
        </is>
      </c>
      <c r="G24621" s="0" t="s">
        <v>171</v>
      </c>
      <c r="H24621" s="5">
        <v>239.066700</v>
      </c>
    </row>
    <row r="24622" spans="1:9">
      <c r="A24622" s="22" t="str">
        <f>HYPERLINK("https://app.vivvix.com/360/KMI/IntelliDrive/ApplUI/Pages/CreativePages/CustomReportCreativeDetail.aspx?App=23&amp;ReportView=4&amp;Qid=1711279&amp;Row=24614&amp;Col=1","No Title Assigned - #15283827663")</f>
        <v/>
      </c>
      <c r="B24622" s="0" t="s">
        <v>33020</v>
      </c>
      <c r="C24622" s="0" t="s">
        <v>33021</v>
      </c>
      <c r="D24622" s="0" t="s">
        <v>33021</v>
      </c>
      <c r="E24622" s="0" t="inlineStr">
        <is>
          <t xml:space="preserve">Mazda</t>
        </is>
      </c>
      <c r="F24622" s="0" t="s">
        <v>3108</v>
      </c>
      <c r="G24622" s="0" t="s">
        <v>12635</v>
      </c>
      <c r="H24622" s="5">
        <v>1012.881200</v>
      </c>
    </row>
    <row r="24623" spans="1:9">
      <c r="A24623" s="22" t="str">
        <f>HYPERLINK("https://app.vivvix.com/360/KMI/IntelliDrive/ApplUI/Pages/CreativePages/CustomReportCreativeDetail.aspx?App=23&amp;ReportView=4&amp;Qid=1711279&amp;Row=24615&amp;Col=1","No Title Assigned - #15283829360")</f>
        <v/>
      </c>
      <c r="B24623" s="0" t="s">
        <v>33022</v>
      </c>
      <c r="C24623" s="0" t="s">
        <v>33023</v>
      </c>
      <c r="D24623" s="0" t="s">
        <v>33023</v>
      </c>
      <c r="E24623" s="0" t="inlineStr">
        <is>
          <t xml:space="preserve">Mazda</t>
        </is>
      </c>
      <c r="F24623" s="0" t="s">
        <v>13</v>
      </c>
      <c r="G24623" s="0" t="s">
        <v>49</v>
      </c>
      <c r="H24623" s="5">
        <v>176.224200</v>
      </c>
    </row>
    <row r="24624" spans="1:9">
      <c r="A24624" s="22" t="str">
        <f>HYPERLINK("https://app.vivvix.com/360/KMI/IntelliDrive/ApplUI/Pages/CreativePages/CustomReportCreativeDetail.aspx?App=23&amp;ReportView=4&amp;Qid=1711279&amp;Row=24616&amp;Col=1","No Title Assigned - #15283830111")</f>
        <v/>
      </c>
      <c r="B24624" s="0" t="s">
        <v>33024</v>
      </c>
      <c r="E24624" s="0" t="inlineStr">
        <is>
          <t xml:space="preserve">Mazda</t>
        </is>
      </c>
      <c r="F24624" s="0" t="inlineStr">
        <is>
          <t xml:space="preserve">Mazda</t>
        </is>
      </c>
      <c r="G24624" s="0" t="s">
        <v>171</v>
      </c>
      <c r="H24624" s="5">
        <v>169.543100</v>
      </c>
    </row>
    <row r="24625" spans="1:9">
      <c r="A24625" s="22" t="str">
        <f>HYPERLINK("https://app.vivvix.com/360/KMI/IntelliDrive/ApplUI/Pages/CreativePages/CustomReportCreativeDetail.aspx?App=23&amp;ReportView=4&amp;Qid=1711279&amp;Row=24617&amp;Col=1","No Title Assigned - #15283830805")</f>
        <v/>
      </c>
      <c r="B24625" s="0" t="s">
        <v>33025</v>
      </c>
      <c r="C24625" s="0" t="s">
        <v>33026</v>
      </c>
      <c r="D24625" s="0" t="s">
        <v>33026</v>
      </c>
      <c r="E24625" s="0" t="inlineStr">
        <is>
          <t xml:space="preserve">Mazda</t>
        </is>
      </c>
      <c r="F24625" s="0" t="s">
        <v>13</v>
      </c>
      <c r="G24625" s="0" t="s">
        <v>49</v>
      </c>
      <c r="H24625" s="5">
        <v>141.733400</v>
      </c>
    </row>
    <row r="24626" spans="1:9">
      <c r="A24626" s="22" t="str">
        <f>HYPERLINK("https://app.vivvix.com/360/KMI/IntelliDrive/ApplUI/Pages/CreativePages/CustomReportCreativeDetail.aspx?App=23&amp;ReportView=4&amp;Qid=1711279&amp;Row=24618&amp;Col=1","No Title Assigned - #15283830926")</f>
        <v/>
      </c>
      <c r="B24626" s="0" t="s">
        <v>33027</v>
      </c>
      <c r="C24626" s="0" t="s">
        <v>33028</v>
      </c>
      <c r="D24626" s="0" t="s">
        <v>33028</v>
      </c>
      <c r="E24626" s="0" t="inlineStr">
        <is>
          <t xml:space="preserve">Mazda</t>
        </is>
      </c>
      <c r="F24626" s="0" t="s">
        <v>13</v>
      </c>
      <c r="G24626" s="0" t="s">
        <v>49</v>
      </c>
      <c r="H24626" s="5">
        <v>8051.936500</v>
      </c>
    </row>
    <row r="24627" spans="1:9">
      <c r="A24627" s="22" t="str">
        <f>HYPERLINK("https://app.vivvix.com/360/KMI/IntelliDrive/ApplUI/Pages/CreativePages/CustomReportCreativeDetail.aspx?App=23&amp;ReportView=4&amp;Qid=1711279&amp;Row=24619&amp;Col=1","No Title Assigned - #15283830927")</f>
        <v/>
      </c>
      <c r="B24627" s="0" t="s">
        <v>33029</v>
      </c>
      <c r="C24627" s="0" t="s">
        <v>33030</v>
      </c>
      <c r="D24627" s="0" t="s">
        <v>33030</v>
      </c>
      <c r="E24627" s="0" t="inlineStr">
        <is>
          <t xml:space="preserve">Mazda</t>
        </is>
      </c>
      <c r="F24627" s="0" t="s">
        <v>13</v>
      </c>
      <c r="G24627" s="0" t="s">
        <v>49</v>
      </c>
      <c r="H24627" s="5">
        <v>11475.545400</v>
      </c>
    </row>
    <row r="24628" spans="1:9">
      <c r="A24628" s="22" t="str">
        <f>HYPERLINK("https://app.vivvix.com/360/KMI/IntelliDrive/ApplUI/Pages/CreativePages/CustomReportCreativeDetail.aspx?App=23&amp;ReportView=4&amp;Qid=1711279&amp;Row=24620&amp;Col=1","No Title Assigned - #15283830941")</f>
        <v/>
      </c>
      <c r="B24628" s="0" t="s">
        <v>33031</v>
      </c>
      <c r="C24628" s="0" t="s">
        <v>33032</v>
      </c>
      <c r="D24628" s="0" t="s">
        <v>33032</v>
      </c>
      <c r="E24628" s="0" t="inlineStr">
        <is>
          <t xml:space="preserve">Mazda</t>
        </is>
      </c>
      <c r="F24628" s="0" t="s">
        <v>13</v>
      </c>
      <c r="G24628" s="0" t="s">
        <v>49</v>
      </c>
      <c r="H24628" s="5">
        <v>19320.198900</v>
      </c>
    </row>
    <row r="24629" spans="1:9">
      <c r="A24629" s="22" t="str">
        <f>HYPERLINK("https://app.vivvix.com/360/KMI/IntelliDrive/ApplUI/Pages/CreativePages/CustomReportCreativeDetail.aspx?App=23&amp;ReportView=4&amp;Qid=1711279&amp;Row=24621&amp;Col=1","No Title Assigned - #15283830946")</f>
        <v/>
      </c>
      <c r="B24629" s="0" t="s">
        <v>33033</v>
      </c>
      <c r="C24629" s="0" t="s">
        <v>33034</v>
      </c>
      <c r="D24629" s="0" t="s">
        <v>33034</v>
      </c>
      <c r="E24629" s="0" t="inlineStr">
        <is>
          <t xml:space="preserve">Mazda</t>
        </is>
      </c>
      <c r="F24629" s="0" t="s">
        <v>13</v>
      </c>
      <c r="G24629" s="0" t="s">
        <v>49</v>
      </c>
      <c r="H24629" s="5">
        <v>19893.089400</v>
      </c>
    </row>
    <row r="24630" spans="1:9">
      <c r="A24630" s="22" t="str">
        <f>HYPERLINK("https://app.vivvix.com/360/KMI/IntelliDrive/ApplUI/Pages/CreativePages/CustomReportCreativeDetail.aspx?App=23&amp;ReportView=4&amp;Qid=1711279&amp;Row=24622&amp;Col=1","No Title Assigned - #15283830957")</f>
        <v/>
      </c>
      <c r="B24630" s="0" t="s">
        <v>33035</v>
      </c>
      <c r="C24630" s="0" t="s">
        <v>33036</v>
      </c>
      <c r="D24630" s="0" t="s">
        <v>33036</v>
      </c>
      <c r="E24630" s="0" t="inlineStr">
        <is>
          <t xml:space="preserve">Mazda</t>
        </is>
      </c>
      <c r="F24630" s="0" t="s">
        <v>13</v>
      </c>
      <c r="G24630" s="0" t="s">
        <v>49</v>
      </c>
      <c r="H24630" s="5">
        <v>60959.609100</v>
      </c>
    </row>
    <row r="24631" spans="1:9">
      <c r="A24631" s="22" t="str">
        <f>HYPERLINK("https://app.vivvix.com/360/KMI/IntelliDrive/ApplUI/Pages/CreativePages/CustomReportCreativeDetail.aspx?App=23&amp;ReportView=4&amp;Qid=1711279&amp;Row=24623&amp;Col=1","No Title Assigned - #15283832892")</f>
        <v/>
      </c>
      <c r="B24631" s="0" t="s">
        <v>33037</v>
      </c>
      <c r="C24631" s="0" t="s">
        <v>33038</v>
      </c>
      <c r="D24631" s="0" t="s">
        <v>33038</v>
      </c>
      <c r="E24631" s="0" t="inlineStr">
        <is>
          <t xml:space="preserve">Mazda</t>
        </is>
      </c>
      <c r="F24631" s="0" t="s">
        <v>13</v>
      </c>
      <c r="G24631" s="0" t="s">
        <v>49</v>
      </c>
      <c r="H24631" s="5">
        <v>7498.080800</v>
      </c>
    </row>
    <row r="24632" spans="1:9">
      <c r="A24632" s="22" t="str">
        <f>HYPERLINK("https://app.vivvix.com/360/KMI/IntelliDrive/ApplUI/Pages/CreativePages/CustomReportCreativeDetail.aspx?App=23&amp;ReportView=4&amp;Qid=1711279&amp;Row=24624&amp;Col=1","No Title Assigned - #15283836672")</f>
        <v/>
      </c>
      <c r="B24632" s="0" t="s">
        <v>33039</v>
      </c>
      <c r="C24632" s="0" t="s">
        <v>33040</v>
      </c>
      <c r="D24632" s="0" t="s">
        <v>33040</v>
      </c>
      <c r="E24632" s="0" t="inlineStr">
        <is>
          <t xml:space="preserve">Mazda</t>
        </is>
      </c>
      <c r="F24632" s="0" t="inlineStr">
        <is>
          <t xml:space="preserve">Mazda</t>
        </is>
      </c>
      <c r="G24632" s="0" t="s">
        <v>4306</v>
      </c>
      <c r="H24632" s="5">
        <v>493.489200</v>
      </c>
    </row>
    <row r="24633" spans="1:9">
      <c r="A24633" s="22" t="str">
        <f>HYPERLINK("https://app.vivvix.com/360/KMI/IntelliDrive/ApplUI/Pages/CreativePages/CustomReportCreativeDetail.aspx?App=23&amp;ReportView=4&amp;Qid=1711279&amp;Row=24625&amp;Col=1","No Title Assigned - #15283836749")</f>
        <v/>
      </c>
      <c r="B24633" s="0" t="s">
        <v>33041</v>
      </c>
      <c r="C24633" s="0" t="s">
        <v>33042</v>
      </c>
      <c r="D24633" s="0" t="s">
        <v>33042</v>
      </c>
      <c r="E24633" s="0" t="inlineStr">
        <is>
          <t xml:space="preserve">Mazda</t>
        </is>
      </c>
      <c r="F24633" s="0" t="s">
        <v>13</v>
      </c>
      <c r="G24633" s="0" t="s">
        <v>49</v>
      </c>
      <c r="H24633" s="5">
        <v>7685.269000</v>
      </c>
    </row>
    <row r="24634" spans="1:9">
      <c r="A24634" s="22" t="str">
        <f>HYPERLINK("https://app.vivvix.com/360/KMI/IntelliDrive/ApplUI/Pages/CreativePages/CustomReportCreativeDetail.aspx?App=23&amp;ReportView=4&amp;Qid=1711279&amp;Row=24626&amp;Col=1","No Title Assigned - #15283836955")</f>
        <v/>
      </c>
      <c r="B24634" s="0" t="s">
        <v>33043</v>
      </c>
      <c r="C24634" s="0" t="s">
        <v>33044</v>
      </c>
      <c r="D24634" s="0" t="s">
        <v>32759</v>
      </c>
      <c r="E24634" s="0" t="inlineStr">
        <is>
          <t xml:space="preserve">Mazda</t>
        </is>
      </c>
      <c r="F24634" s="0" t="s">
        <v>13</v>
      </c>
      <c r="G24634" s="0" t="s">
        <v>49</v>
      </c>
      <c r="H24634" s="5">
        <v>32468.704200</v>
      </c>
    </row>
    <row r="24635" spans="1:9">
      <c r="A24635" s="22" t="str">
        <f>HYPERLINK("https://app.vivvix.com/360/KMI/IntelliDrive/ApplUI/Pages/CreativePages/CustomReportCreativeDetail.aspx?App=23&amp;ReportView=4&amp;Qid=1711279&amp;Row=24627&amp;Col=1","No Title Assigned - #15283837884")</f>
        <v/>
      </c>
      <c r="B24635" s="0" t="s">
        <v>33045</v>
      </c>
      <c r="C24635" s="0" t="s">
        <v>33046</v>
      </c>
      <c r="D24635" s="0" t="s">
        <v>33046</v>
      </c>
      <c r="E24635" s="0" t="inlineStr">
        <is>
          <t xml:space="preserve">Mazda</t>
        </is>
      </c>
      <c r="F24635" s="0" t="s">
        <v>13</v>
      </c>
      <c r="G24635" s="0" t="s">
        <v>49</v>
      </c>
      <c r="H24635" s="5">
        <v>5411.450700</v>
      </c>
    </row>
    <row r="24636" spans="1:9">
      <c r="A24636" s="22" t="str">
        <f>HYPERLINK("https://app.vivvix.com/360/KMI/IntelliDrive/ApplUI/Pages/CreativePages/CustomReportCreativeDetail.aspx?App=23&amp;ReportView=4&amp;Qid=1711279&amp;Row=24628&amp;Col=1","No Title Assigned - #15283838590")</f>
        <v/>
      </c>
      <c r="B24636" s="0" t="s">
        <v>33047</v>
      </c>
      <c r="C24636" s="0" t="s">
        <v>33048</v>
      </c>
      <c r="D24636" s="0" t="s">
        <v>33048</v>
      </c>
      <c r="E24636" s="0" t="inlineStr">
        <is>
          <t xml:space="preserve">Mazda</t>
        </is>
      </c>
      <c r="F24636" s="0" t="s">
        <v>13</v>
      </c>
      <c r="G24636" s="0" t="s">
        <v>49</v>
      </c>
      <c r="H24636" s="5">
        <v>768.619900</v>
      </c>
    </row>
    <row r="24637" spans="1:9">
      <c r="A24637" s="22" t="str">
        <f>HYPERLINK("https://app.vivvix.com/360/KMI/IntelliDrive/ApplUI/Pages/CreativePages/CustomReportCreativeDetail.aspx?App=23&amp;ReportView=4&amp;Qid=1711279&amp;Row=24629&amp;Col=1","No Title Assigned - #15283838852")</f>
        <v/>
      </c>
      <c r="B24637" s="0" t="s">
        <v>33049</v>
      </c>
      <c r="C24637" s="0" t="s">
        <v>33050</v>
      </c>
      <c r="D24637" s="0" t="s">
        <v>33050</v>
      </c>
      <c r="E24637" s="0" t="inlineStr">
        <is>
          <t xml:space="preserve">Mazda</t>
        </is>
      </c>
      <c r="F24637" s="0" t="s">
        <v>28</v>
      </c>
      <c r="G24637" s="0" t="s">
        <v>29</v>
      </c>
      <c r="H24637" s="5">
        <v>144.621100</v>
      </c>
    </row>
    <row r="24638" spans="1:9">
      <c r="A24638" s="22" t="str">
        <f>HYPERLINK("https://app.vivvix.com/360/KMI/IntelliDrive/ApplUI/Pages/CreativePages/CustomReportCreativeDetail.aspx?App=23&amp;ReportView=4&amp;Qid=1711279&amp;Row=24630&amp;Col=1","No Title Assigned - #15283840170")</f>
        <v/>
      </c>
      <c r="B24638" s="0" t="s">
        <v>33051</v>
      </c>
      <c r="C24638" s="0" t="s">
        <v>33052</v>
      </c>
      <c r="D24638" s="0" t="s">
        <v>33052</v>
      </c>
      <c r="E24638" s="0" t="inlineStr">
        <is>
          <t xml:space="preserve">Mazda</t>
        </is>
      </c>
      <c r="F24638" s="0" t="s">
        <v>13</v>
      </c>
      <c r="G24638" s="0" t="s">
        <v>49</v>
      </c>
      <c r="H24638" s="5">
        <v>17682.427500</v>
      </c>
    </row>
    <row r="24639" spans="1:9">
      <c r="A24639" s="22" t="str">
        <f>HYPERLINK("https://app.vivvix.com/360/KMI/IntelliDrive/ApplUI/Pages/CreativePages/CustomReportCreativeDetail.aspx?App=23&amp;ReportView=4&amp;Qid=1711279&amp;Row=24631&amp;Col=1","No Title Assigned - #15283840170")</f>
        <v/>
      </c>
      <c r="B24639" s="0" t="s">
        <v>33051</v>
      </c>
      <c r="E24639" s="0" t="inlineStr">
        <is>
          <t xml:space="preserve">Mazda</t>
        </is>
      </c>
      <c r="F24639" s="0" t="s">
        <v>13</v>
      </c>
      <c r="G24639" s="0" t="s">
        <v>49</v>
      </c>
      <c r="H24639" s="5">
        <v>72314.734800</v>
      </c>
    </row>
    <row r="24640" spans="1:9">
      <c r="A24640" s="22" t="str">
        <f>HYPERLINK("https://app.vivvix.com/360/KMI/IntelliDrive/ApplUI/Pages/CreativePages/CustomReportCreativeDetail.aspx?App=23&amp;ReportView=4&amp;Qid=1711279&amp;Row=24632&amp;Col=1","No Title Assigned - #15283840187")</f>
        <v/>
      </c>
      <c r="B24640" s="0" t="s">
        <v>33053</v>
      </c>
      <c r="C24640" s="0" t="s">
        <v>33054</v>
      </c>
      <c r="D24640" s="0" t="s">
        <v>33054</v>
      </c>
      <c r="E24640" s="0" t="inlineStr">
        <is>
          <t xml:space="preserve">Mazda</t>
        </is>
      </c>
      <c r="F24640" s="0" t="s">
        <v>13</v>
      </c>
      <c r="G24640" s="0" t="s">
        <v>49</v>
      </c>
      <c r="H24640" s="5">
        <v>1368.369600</v>
      </c>
    </row>
    <row r="24641" spans="1:9">
      <c r="A24641" s="22" t="str">
        <f>HYPERLINK("https://app.vivvix.com/360/KMI/IntelliDrive/ApplUI/Pages/CreativePages/CustomReportCreativeDetail.aspx?App=23&amp;ReportView=4&amp;Qid=1711279&amp;Row=24633&amp;Col=1","No Title Assigned - #15283841757")</f>
        <v/>
      </c>
      <c r="B24641" s="0" t="s">
        <v>33055</v>
      </c>
      <c r="C24641" s="0" t="s">
        <v>33056</v>
      </c>
      <c r="D24641" s="0" t="s">
        <v>33056</v>
      </c>
      <c r="E24641" s="0" t="inlineStr">
        <is>
          <t xml:space="preserve">Mazda</t>
        </is>
      </c>
      <c r="F24641" s="0" t="s">
        <v>13</v>
      </c>
      <c r="G24641" s="0" t="s">
        <v>49</v>
      </c>
      <c r="H24641" s="5">
        <v>10102.335900</v>
      </c>
    </row>
    <row r="24642" spans="1:9">
      <c r="A24642" s="22" t="str">
        <f>HYPERLINK("https://app.vivvix.com/360/KMI/IntelliDrive/ApplUI/Pages/CreativePages/CustomReportCreativeDetail.aspx?App=23&amp;ReportView=4&amp;Qid=1711279&amp;Row=24634&amp;Col=1","No Title Assigned - #15283843311")</f>
        <v/>
      </c>
      <c r="B24642" s="0" t="s">
        <v>33057</v>
      </c>
      <c r="C24642" s="0" t="s">
        <v>33058</v>
      </c>
      <c r="D24642" s="0" t="s">
        <v>33058</v>
      </c>
      <c r="E24642" s="0" t="inlineStr">
        <is>
          <t xml:space="preserve">Mazda</t>
        </is>
      </c>
      <c r="F24642" s="0" t="s">
        <v>13</v>
      </c>
      <c r="G24642" s="0" t="s">
        <v>49</v>
      </c>
      <c r="H24642" s="5">
        <v>154.948700</v>
      </c>
    </row>
    <row r="24643" spans="1:9">
      <c r="A24643" s="22" t="str">
        <f>HYPERLINK("https://app.vivvix.com/360/KMI/IntelliDrive/ApplUI/Pages/CreativePages/CustomReportCreativeDetail.aspx?App=23&amp;ReportView=4&amp;Qid=1711279&amp;Row=24635&amp;Col=1","No Title Assigned - #15283843782")</f>
        <v/>
      </c>
      <c r="B24643" s="0" t="s">
        <v>33059</v>
      </c>
      <c r="C24643" s="0" t="s">
        <v>33060</v>
      </c>
      <c r="D24643" s="0" t="s">
        <v>33060</v>
      </c>
      <c r="E24643" s="0" t="inlineStr">
        <is>
          <t xml:space="preserve">Mazda</t>
        </is>
      </c>
      <c r="F24643" s="0" t="s">
        <v>13</v>
      </c>
      <c r="G24643" s="0" t="s">
        <v>49</v>
      </c>
      <c r="H24643" s="5">
        <v>2578.676500</v>
      </c>
    </row>
    <row r="24644" spans="1:9">
      <c r="A24644" s="22" t="str">
        <f>HYPERLINK("https://app.vivvix.com/360/KMI/IntelliDrive/ApplUI/Pages/CreativePages/CustomReportCreativeDetail.aspx?App=23&amp;ReportView=4&amp;Qid=1711279&amp;Row=24636&amp;Col=1","No Title Assigned - #15283845932")</f>
        <v/>
      </c>
      <c r="B24644" s="0" t="s">
        <v>33061</v>
      </c>
      <c r="E24644" s="0" t="inlineStr">
        <is>
          <t xml:space="preserve">Mazda</t>
        </is>
      </c>
      <c r="F24644" s="0" t="inlineStr">
        <is>
          <t xml:space="preserve">Mazda</t>
        </is>
      </c>
      <c r="G24644" s="0" t="s">
        <v>171</v>
      </c>
      <c r="H24644" s="5">
        <v>969.480700</v>
      </c>
    </row>
    <row r="24645" spans="1:9">
      <c r="A24645" s="22" t="str">
        <f>HYPERLINK("https://app.vivvix.com/360/KMI/IntelliDrive/ApplUI/Pages/CreativePages/CustomReportCreativeDetail.aspx?App=23&amp;ReportView=4&amp;Qid=1711279&amp;Row=24637&amp;Col=1","No Title Assigned - #15283845969")</f>
        <v/>
      </c>
      <c r="B24645" s="0" t="s">
        <v>33062</v>
      </c>
      <c r="E24645" s="0" t="inlineStr">
        <is>
          <t xml:space="preserve">Mazda</t>
        </is>
      </c>
      <c r="F24645" s="0" t="inlineStr">
        <is>
          <t xml:space="preserve">Mazda</t>
        </is>
      </c>
      <c r="G24645" s="0" t="s">
        <v>171</v>
      </c>
      <c r="H24645" s="5">
        <v>1350.024400</v>
      </c>
    </row>
    <row r="24646" spans="1:9">
      <c r="A24646" s="22" t="str">
        <f>HYPERLINK("https://app.vivvix.com/360/KMI/IntelliDrive/ApplUI/Pages/CreativePages/CustomReportCreativeDetail.aspx?App=23&amp;ReportView=4&amp;Qid=1711279&amp;Row=24638&amp;Col=1","No Title Assigned - #15283846413")</f>
        <v/>
      </c>
      <c r="B24646" s="0" t="s">
        <v>33063</v>
      </c>
      <c r="E24646" s="0" t="inlineStr">
        <is>
          <t xml:space="preserve">Mazda</t>
        </is>
      </c>
      <c r="F24646" s="0" t="inlineStr">
        <is>
          <t xml:space="preserve">Mazda</t>
        </is>
      </c>
      <c r="G24646" s="0" t="s">
        <v>171</v>
      </c>
      <c r="H24646" s="5">
        <v>4984.529500</v>
      </c>
    </row>
    <row r="24647" spans="1:9">
      <c r="A24647" s="22" t="str">
        <f>HYPERLINK("https://app.vivvix.com/360/KMI/IntelliDrive/ApplUI/Pages/CreativePages/CustomReportCreativeDetail.aspx?App=23&amp;ReportView=4&amp;Qid=1711279&amp;Row=24639&amp;Col=1","No Title Assigned - #15283846426")</f>
        <v/>
      </c>
      <c r="B24647" s="0" t="s">
        <v>33064</v>
      </c>
      <c r="E24647" s="0" t="inlineStr">
        <is>
          <t xml:space="preserve">Mazda</t>
        </is>
      </c>
      <c r="F24647" s="0" t="inlineStr">
        <is>
          <t xml:space="preserve">Mazda</t>
        </is>
      </c>
      <c r="G24647" s="0" t="s">
        <v>171</v>
      </c>
      <c r="H24647" s="5">
        <v>996.905900</v>
      </c>
    </row>
    <row r="24648" spans="1:9">
      <c r="A24648" s="22" t="str">
        <f>HYPERLINK("https://app.vivvix.com/360/KMI/IntelliDrive/ApplUI/Pages/CreativePages/CustomReportCreativeDetail.aspx?App=23&amp;ReportView=4&amp;Qid=1711279&amp;Row=24640&amp;Col=1","No Title Assigned - #15283846721")</f>
        <v/>
      </c>
      <c r="B24648" s="0" t="s">
        <v>33065</v>
      </c>
      <c r="E24648" s="0" t="inlineStr">
        <is>
          <t xml:space="preserve">Mazda</t>
        </is>
      </c>
      <c r="F24648" s="0" t="inlineStr">
        <is>
          <t xml:space="preserve">Mazda</t>
        </is>
      </c>
      <c r="G24648" s="0" t="s">
        <v>171</v>
      </c>
      <c r="H24648" s="5">
        <v>996.905900</v>
      </c>
    </row>
    <row r="24649" spans="1:9">
      <c r="A24649" s="22" t="str">
        <f>HYPERLINK("https://app.vivvix.com/360/KMI/IntelliDrive/ApplUI/Pages/CreativePages/CustomReportCreativeDetail.aspx?App=23&amp;ReportView=4&amp;Qid=1711279&amp;Row=24641&amp;Col=1","No Title Assigned - #15283847363")</f>
        <v/>
      </c>
      <c r="B24649" s="0" t="s">
        <v>33066</v>
      </c>
      <c r="E24649" s="0" t="inlineStr">
        <is>
          <t xml:space="preserve">Mazda</t>
        </is>
      </c>
      <c r="F24649" s="0" t="inlineStr">
        <is>
          <t xml:space="preserve">Mazda</t>
        </is>
      </c>
      <c r="G24649" s="0" t="s">
        <v>171</v>
      </c>
      <c r="H24649" s="5">
        <v>40.782300</v>
      </c>
    </row>
    <row r="24650" spans="1:9">
      <c r="A24650" s="22" t="str">
        <f>HYPERLINK("https://app.vivvix.com/360/KMI/IntelliDrive/ApplUI/Pages/CreativePages/CustomReportCreativeDetail.aspx?App=23&amp;ReportView=4&amp;Qid=1711279&amp;Row=24642&amp;Col=1","No Title Assigned - #15283847421")</f>
        <v/>
      </c>
      <c r="B24650" s="0" t="s">
        <v>33067</v>
      </c>
      <c r="E24650" s="0" t="inlineStr">
        <is>
          <t xml:space="preserve">Mazda</t>
        </is>
      </c>
      <c r="F24650" s="0" t="inlineStr">
        <is>
          <t xml:space="preserve">Mazda</t>
        </is>
      </c>
      <c r="G24650" s="0" t="s">
        <v>171</v>
      </c>
      <c r="H24650" s="5">
        <v>140.508500</v>
      </c>
    </row>
    <row r="24651" spans="1:9">
      <c r="A24651" s="22" t="str">
        <f>HYPERLINK("https://app.vivvix.com/360/KMI/IntelliDrive/ApplUI/Pages/CreativePages/CustomReportCreativeDetail.aspx?App=23&amp;ReportView=4&amp;Qid=1711279&amp;Row=24643&amp;Col=1","No Title Assigned - #15283847472")</f>
        <v/>
      </c>
      <c r="B24651" s="0" t="s">
        <v>33068</v>
      </c>
      <c r="E24651" s="0" t="inlineStr">
        <is>
          <t xml:space="preserve">Mazda</t>
        </is>
      </c>
      <c r="F24651" s="0" t="inlineStr">
        <is>
          <t xml:space="preserve">Mazda</t>
        </is>
      </c>
      <c r="G24651" s="0" t="s">
        <v>171</v>
      </c>
      <c r="H24651" s="5">
        <v>36.354000</v>
      </c>
    </row>
    <row r="24652" spans="1:9">
      <c r="A24652" s="22" t="str">
        <f>HYPERLINK("https://app.vivvix.com/360/KMI/IntelliDrive/ApplUI/Pages/CreativePages/CustomReportCreativeDetail.aspx?App=23&amp;ReportView=4&amp;Qid=1711279&amp;Row=24644&amp;Col=1","No Title Assigned - #15283853177")</f>
        <v/>
      </c>
      <c r="B24652" s="0" t="s">
        <v>33069</v>
      </c>
      <c r="C24652" s="0" t="s">
        <v>33070</v>
      </c>
      <c r="D24652" s="0" t="s">
        <v>33048</v>
      </c>
      <c r="E24652" s="0" t="inlineStr">
        <is>
          <t xml:space="preserve">Mazda</t>
        </is>
      </c>
      <c r="F24652" s="0" t="s">
        <v>13</v>
      </c>
      <c r="G24652" s="0" t="s">
        <v>49</v>
      </c>
      <c r="H24652" s="5">
        <v>3102.831600</v>
      </c>
    </row>
    <row r="24653" spans="1:9">
      <c r="A24653" s="22" t="str">
        <f>HYPERLINK("https://app.vivvix.com/360/KMI/IntelliDrive/ApplUI/Pages/CreativePages/CustomReportCreativeDetail.aspx?App=23&amp;ReportView=4&amp;Qid=1711279&amp;Row=24645&amp;Col=1","No Title Assigned - #15283855062")</f>
        <v/>
      </c>
      <c r="B24653" s="0" t="s">
        <v>33071</v>
      </c>
      <c r="E24653" s="0" t="inlineStr">
        <is>
          <t xml:space="preserve">Mazda</t>
        </is>
      </c>
      <c r="F24653" s="0" t="inlineStr">
        <is>
          <t xml:space="preserve">Mazda</t>
        </is>
      </c>
      <c r="G24653" s="0" t="s">
        <v>171</v>
      </c>
      <c r="H24653" s="5">
        <v>537.669000</v>
      </c>
    </row>
    <row r="24654" spans="1:9">
      <c r="A24654" s="22" t="str">
        <f>HYPERLINK("https://app.vivvix.com/360/KMI/IntelliDrive/ApplUI/Pages/CreativePages/CustomReportCreativeDetail.aspx?App=23&amp;ReportView=4&amp;Qid=1711279&amp;Row=24646&amp;Col=1","No Title Assigned - #15283855879")</f>
        <v/>
      </c>
      <c r="B24654" s="0" t="s">
        <v>33072</v>
      </c>
      <c r="E24654" s="0" t="inlineStr">
        <is>
          <t xml:space="preserve">Mazda</t>
        </is>
      </c>
      <c r="F24654" s="0" t="inlineStr">
        <is>
          <t xml:space="preserve">Mazda</t>
        </is>
      </c>
      <c r="G24654" s="0" t="s">
        <v>171</v>
      </c>
      <c r="H24654" s="5">
        <v>950.702900</v>
      </c>
    </row>
    <row r="24655" spans="1:9">
      <c r="A24655" s="22" t="str">
        <f>HYPERLINK("https://app.vivvix.com/360/KMI/IntelliDrive/ApplUI/Pages/CreativePages/CustomReportCreativeDetail.aspx?App=23&amp;ReportView=4&amp;Qid=1711279&amp;Row=24647&amp;Col=1","No Title Assigned - #15283858572")</f>
        <v/>
      </c>
      <c r="B24655" s="0" t="s">
        <v>33073</v>
      </c>
      <c r="E24655" s="0" t="inlineStr">
        <is>
          <t xml:space="preserve">Mazda</t>
        </is>
      </c>
      <c r="F24655" s="0" t="inlineStr">
        <is>
          <t xml:space="preserve">Mazda</t>
        </is>
      </c>
      <c r="G24655" s="0" t="s">
        <v>171</v>
      </c>
      <c r="H24655" s="5">
        <v>340.830200</v>
      </c>
    </row>
    <row r="24656" spans="1:9">
      <c r="A24656" s="22" t="str">
        <f>HYPERLINK("https://app.vivvix.com/360/KMI/IntelliDrive/ApplUI/Pages/CreativePages/CustomReportCreativeDetail.aspx?App=23&amp;ReportView=4&amp;Qid=1711279&amp;Row=24648&amp;Col=1","No Title Assigned - #15283860995")</f>
        <v/>
      </c>
      <c r="B24656" s="0" t="s">
        <v>33074</v>
      </c>
      <c r="E24656" s="0" t="inlineStr">
        <is>
          <t xml:space="preserve">Mazda</t>
        </is>
      </c>
      <c r="F24656" s="0" t="inlineStr">
        <is>
          <t xml:space="preserve">Mazda</t>
        </is>
      </c>
      <c r="G24656" s="0" t="s">
        <v>171</v>
      </c>
      <c r="H24656" s="5">
        <v>1738.910400</v>
      </c>
    </row>
    <row r="24657" spans="1:9">
      <c r="A24657" s="22" t="str">
        <f>HYPERLINK("https://app.vivvix.com/360/KMI/IntelliDrive/ApplUI/Pages/CreativePages/CustomReportCreativeDetail.aspx?App=23&amp;ReportView=4&amp;Qid=1711279&amp;Row=24649&amp;Col=1","No Title Assigned - #15283864945")</f>
        <v/>
      </c>
      <c r="B24657" s="0" t="s">
        <v>33075</v>
      </c>
      <c r="E24657" s="0" t="inlineStr">
        <is>
          <t xml:space="preserve">Mazda</t>
        </is>
      </c>
      <c r="F24657" s="0" t="inlineStr">
        <is>
          <t xml:space="preserve">Mazda</t>
        </is>
      </c>
      <c r="G24657" s="0" t="s">
        <v>171</v>
      </c>
      <c r="H24657" s="5">
        <v>3261.082900</v>
      </c>
    </row>
    <row r="24658" spans="1:9">
      <c r="A24658" s="22" t="str">
        <f>HYPERLINK("https://app.vivvix.com/360/KMI/IntelliDrive/ApplUI/Pages/CreativePages/CustomReportCreativeDetail.aspx?App=23&amp;ReportView=4&amp;Qid=1711279&amp;Row=24650&amp;Col=1","No Title Assigned - #15283882061")</f>
        <v/>
      </c>
      <c r="B24658" s="0" t="s">
        <v>33076</v>
      </c>
      <c r="C24658" s="0" t="s">
        <v>33077</v>
      </c>
      <c r="D24658" s="0" t="s">
        <v>33048</v>
      </c>
      <c r="E24658" s="0" t="inlineStr">
        <is>
          <t xml:space="preserve">Mazda</t>
        </is>
      </c>
      <c r="F24658" s="0" t="s">
        <v>13</v>
      </c>
      <c r="G24658" s="0" t="s">
        <v>49</v>
      </c>
      <c r="H24658" s="5">
        <v>5182.567200</v>
      </c>
    </row>
    <row r="24659" spans="1:9">
      <c r="A24659" s="22" t="str">
        <f>HYPERLINK("https://app.vivvix.com/360/KMI/IntelliDrive/ApplUI/Pages/CreativePages/CustomReportCreativeDetail.aspx?App=23&amp;ReportView=4&amp;Qid=1711279&amp;Row=24651&amp;Col=1","No Title Assigned - #15283882595")</f>
        <v/>
      </c>
      <c r="B24659" s="0" t="s">
        <v>33078</v>
      </c>
      <c r="C24659" s="0" t="s">
        <v>33079</v>
      </c>
      <c r="D24659" s="0" t="s">
        <v>33079</v>
      </c>
      <c r="E24659" s="0" t="inlineStr">
        <is>
          <t xml:space="preserve">Mazda</t>
        </is>
      </c>
      <c r="F24659" s="0" t="inlineStr">
        <is>
          <t xml:space="preserve">Mazda</t>
        </is>
      </c>
      <c r="G24659" s="0" t="s">
        <v>210</v>
      </c>
      <c r="H24659" s="5">
        <v>12144.509800</v>
      </c>
    </row>
    <row r="24660" spans="1:9">
      <c r="A24660" s="22" t="str">
        <f>HYPERLINK("https://app.vivvix.com/360/KMI/IntelliDrive/ApplUI/Pages/CreativePages/CustomReportCreativeDetail.aspx?App=23&amp;ReportView=4&amp;Qid=1711279&amp;Row=24652&amp;Col=1","No Title Assigned - #15283884742")</f>
        <v/>
      </c>
      <c r="B24660" s="0" t="s">
        <v>33080</v>
      </c>
      <c r="C24660" s="0" t="s">
        <v>33081</v>
      </c>
      <c r="D24660" s="0" t="s">
        <v>33081</v>
      </c>
      <c r="E24660" s="0" t="inlineStr">
        <is>
          <t xml:space="preserve">Mazda</t>
        </is>
      </c>
      <c r="F24660" s="0" t="s">
        <v>13</v>
      </c>
      <c r="G24660" s="0" t="s">
        <v>49</v>
      </c>
      <c r="H24660" s="5">
        <v>13405.596100</v>
      </c>
    </row>
    <row r="24661" spans="1:9">
      <c r="A24661" s="22" t="str">
        <f>HYPERLINK("https://app.vivvix.com/360/KMI/IntelliDrive/ApplUI/Pages/CreativePages/CustomReportCreativeDetail.aspx?App=23&amp;ReportView=4&amp;Qid=1711279&amp;Row=24653&amp;Col=1","No Title Assigned - #15283895678")</f>
        <v/>
      </c>
      <c r="B24661" s="0" t="s">
        <v>33082</v>
      </c>
      <c r="C24661" s="0" t="s">
        <v>33083</v>
      </c>
      <c r="D24661" s="0" t="s">
        <v>33083</v>
      </c>
      <c r="E24661" s="0" t="inlineStr">
        <is>
          <t xml:space="preserve">Mazda</t>
        </is>
      </c>
      <c r="F24661" s="0" t="s">
        <v>13</v>
      </c>
      <c r="G24661" s="0" t="s">
        <v>49</v>
      </c>
      <c r="H24661" s="5">
        <v>84.528500</v>
      </c>
    </row>
    <row r="24662" spans="1:9">
      <c r="A24662" s="22" t="str">
        <f>HYPERLINK("https://app.vivvix.com/360/KMI/IntelliDrive/ApplUI/Pages/CreativePages/CustomReportCreativeDetail.aspx?App=23&amp;ReportView=4&amp;Qid=1711279&amp;Row=24654&amp;Col=1","No Title Assigned - #15283898497")</f>
        <v/>
      </c>
      <c r="B24662" s="0" t="s">
        <v>33084</v>
      </c>
      <c r="C24662" s="0" t="s">
        <v>33085</v>
      </c>
      <c r="D24662" s="0" t="s">
        <v>32779</v>
      </c>
      <c r="E24662" s="0" t="inlineStr">
        <is>
          <t xml:space="preserve">Mazda</t>
        </is>
      </c>
      <c r="F24662" s="0" t="s">
        <v>13</v>
      </c>
      <c r="G24662" s="0" t="s">
        <v>49</v>
      </c>
      <c r="H24662" s="5">
        <v>5411.450700</v>
      </c>
    </row>
    <row r="24663" spans="1:9">
      <c r="A24663" s="22" t="str">
        <f>HYPERLINK("https://app.vivvix.com/360/KMI/IntelliDrive/ApplUI/Pages/CreativePages/CustomReportCreativeDetail.aspx?App=23&amp;ReportView=4&amp;Qid=1711279&amp;Row=24655&amp;Col=1","No Title Assigned - #15283899183")</f>
        <v/>
      </c>
      <c r="B24663" s="0" t="s">
        <v>33086</v>
      </c>
      <c r="E24663" s="0" t="inlineStr">
        <is>
          <t xml:space="preserve">Mazda</t>
        </is>
      </c>
      <c r="F24663" s="0" t="inlineStr">
        <is>
          <t xml:space="preserve">Mazda</t>
        </is>
      </c>
      <c r="G24663" s="0" t="s">
        <v>171</v>
      </c>
      <c r="H24663" s="5">
        <v>2618.567100</v>
      </c>
    </row>
    <row r="24664" spans="1:9">
      <c r="A24664" s="22" t="str">
        <f>HYPERLINK("https://app.vivvix.com/360/KMI/IntelliDrive/ApplUI/Pages/CreativePages/CustomReportCreativeDetail.aspx?App=23&amp;ReportView=4&amp;Qid=1711279&amp;Row=24656&amp;Col=1","No Title Assigned - #15283899424")</f>
        <v/>
      </c>
      <c r="B24664" s="0" t="s">
        <v>33087</v>
      </c>
      <c r="C24664" s="0" t="s">
        <v>33088</v>
      </c>
      <c r="D24664" s="0" t="s">
        <v>33088</v>
      </c>
      <c r="E24664" s="0" t="inlineStr">
        <is>
          <t xml:space="preserve">Mazda</t>
        </is>
      </c>
      <c r="F24664" s="0" t="inlineStr">
        <is>
          <t xml:space="preserve">Mazda</t>
        </is>
      </c>
      <c r="G24664" s="0" t="s">
        <v>171</v>
      </c>
      <c r="H24664" s="5">
        <v>996.905900</v>
      </c>
    </row>
    <row r="24665" spans="1:9">
      <c r="A24665" s="22" t="str">
        <f>HYPERLINK("https://app.vivvix.com/360/KMI/IntelliDrive/ApplUI/Pages/CreativePages/CustomReportCreativeDetail.aspx?App=23&amp;ReportView=4&amp;Qid=1711279&amp;Row=24657&amp;Col=1","No Title Assigned - #15283899671")</f>
        <v/>
      </c>
      <c r="B24665" s="0" t="s">
        <v>33089</v>
      </c>
      <c r="E24665" s="0" t="inlineStr">
        <is>
          <t xml:space="preserve">Mazda</t>
        </is>
      </c>
      <c r="F24665" s="0" t="inlineStr">
        <is>
          <t xml:space="preserve">Mazda</t>
        </is>
      </c>
      <c r="G24665" s="0" t="s">
        <v>171</v>
      </c>
      <c r="H24665" s="5">
        <v>223.914800</v>
      </c>
    </row>
    <row r="24666" spans="1:9">
      <c r="A24666" s="22" t="str">
        <f>HYPERLINK("https://app.vivvix.com/360/KMI/IntelliDrive/ApplUI/Pages/CreativePages/CustomReportCreativeDetail.aspx?App=23&amp;ReportView=4&amp;Qid=1711279&amp;Row=24658&amp;Col=1","No Title Assigned - #15283900216")</f>
        <v/>
      </c>
      <c r="B24666" s="0" t="s">
        <v>33090</v>
      </c>
      <c r="E24666" s="0" t="inlineStr">
        <is>
          <t xml:space="preserve">Mazda</t>
        </is>
      </c>
      <c r="F24666" s="0" t="inlineStr">
        <is>
          <t xml:space="preserve">Mazda</t>
        </is>
      </c>
      <c r="G24666" s="0" t="s">
        <v>171</v>
      </c>
      <c r="H24666" s="5">
        <v>286.454800</v>
      </c>
    </row>
    <row r="24667" spans="1:9">
      <c r="A24667" s="22" t="str">
        <f>HYPERLINK("https://app.vivvix.com/360/KMI/IntelliDrive/ApplUI/Pages/CreativePages/CustomReportCreativeDetail.aspx?App=23&amp;ReportView=4&amp;Qid=1711279&amp;Row=24659&amp;Col=1","No Title Assigned - #15283900216")</f>
        <v/>
      </c>
      <c r="B24667" s="0" t="s">
        <v>33090</v>
      </c>
      <c r="E24667" s="0" t="inlineStr">
        <is>
          <t xml:space="preserve">Mazda</t>
        </is>
      </c>
      <c r="F24667" s="0" t="inlineStr">
        <is>
          <t xml:space="preserve">Mazda</t>
        </is>
      </c>
      <c r="G24667" s="0" t="s">
        <v>171</v>
      </c>
      <c r="H24667" s="5">
        <v>473.393800</v>
      </c>
    </row>
    <row r="24668" spans="1:9">
      <c r="A24668" s="22" t="str">
        <f>HYPERLINK("https://app.vivvix.com/360/KMI/IntelliDrive/ApplUI/Pages/CreativePages/CustomReportCreativeDetail.aspx?App=23&amp;ReportView=4&amp;Qid=1711279&amp;Row=24660&amp;Col=1","No Title Assigned - #15283900217")</f>
        <v/>
      </c>
      <c r="B24668" s="0" t="s">
        <v>33091</v>
      </c>
      <c r="E24668" s="0" t="inlineStr">
        <is>
          <t xml:space="preserve">Mazda</t>
        </is>
      </c>
      <c r="F24668" s="0" t="inlineStr">
        <is>
          <t xml:space="preserve">Mazda</t>
        </is>
      </c>
      <c r="G24668" s="0" t="s">
        <v>171</v>
      </c>
      <c r="H24668" s="5">
        <v>176.616200</v>
      </c>
    </row>
    <row r="24669" spans="1:9">
      <c r="A24669" s="22" t="str">
        <f>HYPERLINK("https://app.vivvix.com/360/KMI/IntelliDrive/ApplUI/Pages/CreativePages/CustomReportCreativeDetail.aspx?App=23&amp;ReportView=4&amp;Qid=1711279&amp;Row=24661&amp;Col=1","No Title Assigned - #15283900655")</f>
        <v/>
      </c>
      <c r="B24669" s="0" t="s">
        <v>33092</v>
      </c>
      <c r="E24669" s="0" t="inlineStr">
        <is>
          <t xml:space="preserve">Mazda</t>
        </is>
      </c>
      <c r="F24669" s="0" t="inlineStr">
        <is>
          <t xml:space="preserve">Mazda</t>
        </is>
      </c>
      <c r="G24669" s="0" t="s">
        <v>171</v>
      </c>
      <c r="H24669" s="5">
        <v>60.070500</v>
      </c>
    </row>
    <row r="24670" spans="1:9">
      <c r="A24670" s="22" t="str">
        <f>HYPERLINK("https://app.vivvix.com/360/KMI/IntelliDrive/ApplUI/Pages/CreativePages/CustomReportCreativeDetail.aspx?App=23&amp;ReportView=4&amp;Qid=1711279&amp;Row=24662&amp;Col=1","No Title Assigned - #15283901192")</f>
        <v/>
      </c>
      <c r="B24670" s="0" t="s">
        <v>33093</v>
      </c>
      <c r="E24670" s="0" t="inlineStr">
        <is>
          <t xml:space="preserve">Mazda</t>
        </is>
      </c>
      <c r="F24670" s="0" t="inlineStr">
        <is>
          <t xml:space="preserve">Mazda</t>
        </is>
      </c>
      <c r="G24670" s="0" t="s">
        <v>171</v>
      </c>
      <c r="H24670" s="5">
        <v>209.481800</v>
      </c>
    </row>
    <row r="24671" spans="1:9">
      <c r="A24671" s="22" t="str">
        <f>HYPERLINK("https://app.vivvix.com/360/KMI/IntelliDrive/ApplUI/Pages/CreativePages/CustomReportCreativeDetail.aspx?App=23&amp;ReportView=4&amp;Qid=1711279&amp;Row=24663&amp;Col=1","No Title Assigned - #15283901229")</f>
        <v/>
      </c>
      <c r="B24671" s="0" t="s">
        <v>33094</v>
      </c>
      <c r="E24671" s="0" t="inlineStr">
        <is>
          <t xml:space="preserve">Mazda</t>
        </is>
      </c>
      <c r="F24671" s="0" t="inlineStr">
        <is>
          <t xml:space="preserve">Mazda</t>
        </is>
      </c>
      <c r="G24671" s="0" t="s">
        <v>171</v>
      </c>
      <c r="H24671" s="5">
        <v>5209.775800</v>
      </c>
    </row>
    <row r="24672" spans="1:9">
      <c r="A24672" s="22" t="str">
        <f>HYPERLINK("https://app.vivvix.com/360/KMI/IntelliDrive/ApplUI/Pages/CreativePages/CustomReportCreativeDetail.aspx?App=23&amp;ReportView=4&amp;Qid=1711279&amp;Row=24664&amp;Col=1","No Title Assigned - #15283902886")</f>
        <v/>
      </c>
      <c r="B24672" s="0" t="s">
        <v>33095</v>
      </c>
      <c r="E24672" s="0" t="inlineStr">
        <is>
          <t xml:space="preserve">Mazda</t>
        </is>
      </c>
      <c r="F24672" s="0" t="inlineStr">
        <is>
          <t xml:space="preserve">Mazda</t>
        </is>
      </c>
      <c r="G24672" s="0" t="s">
        <v>171</v>
      </c>
      <c r="H24672" s="5">
        <v>8355.305300</v>
      </c>
    </row>
    <row r="24673" spans="1:9">
      <c r="A24673" s="22" t="str">
        <f>HYPERLINK("https://app.vivvix.com/360/KMI/IntelliDrive/ApplUI/Pages/CreativePages/CustomReportCreativeDetail.aspx?App=23&amp;ReportView=4&amp;Qid=1711279&amp;Row=24665&amp;Col=1","No Title Assigned - #15283904150")</f>
        <v/>
      </c>
      <c r="B24673" s="0" t="s">
        <v>33096</v>
      </c>
      <c r="C24673" s="0" t="s">
        <v>33097</v>
      </c>
      <c r="D24673" s="0" t="s">
        <v>33097</v>
      </c>
      <c r="E24673" s="0" t="inlineStr">
        <is>
          <t xml:space="preserve">Mazda</t>
        </is>
      </c>
      <c r="F24673" s="0" t="inlineStr">
        <is>
          <t xml:space="preserve">Mazda</t>
        </is>
      </c>
      <c r="G24673" s="0" t="s">
        <v>171</v>
      </c>
      <c r="H24673" s="5">
        <v>29526.328100</v>
      </c>
    </row>
    <row r="24674" spans="1:9">
      <c r="A24674" s="22" t="str">
        <f>HYPERLINK("https://app.vivvix.com/360/KMI/IntelliDrive/ApplUI/Pages/CreativePages/CustomReportCreativeDetail.aspx?App=23&amp;ReportView=4&amp;Qid=1711279&amp;Row=24666&amp;Col=1","No Title Assigned - #15283904478")</f>
        <v/>
      </c>
      <c r="B24674" s="0" t="s">
        <v>33098</v>
      </c>
      <c r="E24674" s="0" t="inlineStr">
        <is>
          <t xml:space="preserve">Mazda</t>
        </is>
      </c>
      <c r="F24674" s="0" t="inlineStr">
        <is>
          <t xml:space="preserve">Mazda</t>
        </is>
      </c>
      <c r="G24674" s="0" t="s">
        <v>171</v>
      </c>
      <c r="H24674" s="5">
        <v>4918.268100</v>
      </c>
    </row>
    <row r="24675" spans="1:9">
      <c r="A24675" s="22" t="str">
        <f>HYPERLINK("https://app.vivvix.com/360/KMI/IntelliDrive/ApplUI/Pages/CreativePages/CustomReportCreativeDetail.aspx?App=23&amp;ReportView=4&amp;Qid=1711279&amp;Row=24667&amp;Col=1","No Title Assigned - #15283904481")</f>
        <v/>
      </c>
      <c r="B24675" s="0" t="s">
        <v>33099</v>
      </c>
      <c r="E24675" s="0" t="inlineStr">
        <is>
          <t xml:space="preserve">Mazda</t>
        </is>
      </c>
      <c r="F24675" s="0" t="inlineStr">
        <is>
          <t xml:space="preserve">Mazda</t>
        </is>
      </c>
      <c r="G24675" s="0" t="s">
        <v>171</v>
      </c>
      <c r="H24675" s="5">
        <v>2990.717700</v>
      </c>
    </row>
    <row r="24676" spans="1:9">
      <c r="A24676" s="22" t="str">
        <f>HYPERLINK("https://app.vivvix.com/360/KMI/IntelliDrive/ApplUI/Pages/CreativePages/CustomReportCreativeDetail.aspx?App=23&amp;ReportView=4&amp;Qid=1711279&amp;Row=24668&amp;Col=1","No Title Assigned - #15283904883")</f>
        <v/>
      </c>
      <c r="B24676" s="0" t="s">
        <v>33100</v>
      </c>
      <c r="E24676" s="0" t="inlineStr">
        <is>
          <t xml:space="preserve">Mazda</t>
        </is>
      </c>
      <c r="F24676" s="0" t="inlineStr">
        <is>
          <t xml:space="preserve">Mazda</t>
        </is>
      </c>
      <c r="G24676" s="0" t="s">
        <v>171</v>
      </c>
      <c r="H24676" s="5">
        <v>4270.084000</v>
      </c>
    </row>
    <row r="24677" spans="1:9">
      <c r="A24677" s="22" t="str">
        <f>HYPERLINK("https://app.vivvix.com/360/KMI/IntelliDrive/ApplUI/Pages/CreativePages/CustomReportCreativeDetail.aspx?App=23&amp;ReportView=4&amp;Qid=1711279&amp;Row=24669&amp;Col=1","No Title Assigned - #15283905183")</f>
        <v/>
      </c>
      <c r="B24677" s="0" t="s">
        <v>33101</v>
      </c>
      <c r="E24677" s="0" t="inlineStr">
        <is>
          <t xml:space="preserve">Mazda</t>
        </is>
      </c>
      <c r="F24677" s="0" t="inlineStr">
        <is>
          <t xml:space="preserve">Mazda</t>
        </is>
      </c>
      <c r="G24677" s="0" t="s">
        <v>171</v>
      </c>
      <c r="H24677" s="5">
        <v>262.853500</v>
      </c>
    </row>
    <row r="24678" spans="1:9">
      <c r="A24678" s="22" t="str">
        <f>HYPERLINK("https://app.vivvix.com/360/KMI/IntelliDrive/ApplUI/Pages/CreativePages/CustomReportCreativeDetail.aspx?App=23&amp;ReportView=4&amp;Qid=1711279&amp;Row=24670&amp;Col=1","No Title Assigned - #15283905388")</f>
        <v/>
      </c>
      <c r="B24678" s="0" t="s">
        <v>33102</v>
      </c>
      <c r="C24678" s="0" t="s">
        <v>33103</v>
      </c>
      <c r="D24678" s="0" t="s">
        <v>33103</v>
      </c>
      <c r="E24678" s="0" t="inlineStr">
        <is>
          <t xml:space="preserve">Mazda</t>
        </is>
      </c>
      <c r="F24678" s="0" t="s">
        <v>13</v>
      </c>
      <c r="G24678" s="0" t="s">
        <v>49</v>
      </c>
      <c r="H24678" s="5">
        <v>57.494200</v>
      </c>
    </row>
    <row r="24679" spans="1:9">
      <c r="A24679" s="22" t="str">
        <f>HYPERLINK("https://app.vivvix.com/360/KMI/IntelliDrive/ApplUI/Pages/CreativePages/CustomReportCreativeDetail.aspx?App=23&amp;ReportView=4&amp;Qid=1711279&amp;Row=24671&amp;Col=1","No Title Assigned - #15283906395")</f>
        <v/>
      </c>
      <c r="B24679" s="0" t="s">
        <v>33104</v>
      </c>
      <c r="E24679" s="0" t="inlineStr">
        <is>
          <t xml:space="preserve">Mazda</t>
        </is>
      </c>
      <c r="F24679" s="0" t="inlineStr">
        <is>
          <t xml:space="preserve">Mazda</t>
        </is>
      </c>
      <c r="G24679" s="0" t="s">
        <v>171</v>
      </c>
      <c r="H24679" s="5">
        <v>424.060400</v>
      </c>
    </row>
    <row r="24680" spans="1:9">
      <c r="A24680" s="22" t="str">
        <f>HYPERLINK("https://app.vivvix.com/360/KMI/IntelliDrive/ApplUI/Pages/CreativePages/CustomReportCreativeDetail.aspx?App=23&amp;ReportView=4&amp;Qid=1711279&amp;Row=24672&amp;Col=1","No Title Assigned - #15283909203")</f>
        <v/>
      </c>
      <c r="B24680" s="0" t="s">
        <v>33105</v>
      </c>
      <c r="C24680" s="0" t="s">
        <v>33106</v>
      </c>
      <c r="D24680" s="0" t="s">
        <v>33106</v>
      </c>
      <c r="E24680" s="0" t="inlineStr">
        <is>
          <t xml:space="preserve">Mazda</t>
        </is>
      </c>
      <c r="F24680" s="0" t="inlineStr">
        <is>
          <t xml:space="preserve">Mazda</t>
        </is>
      </c>
      <c r="G24680" s="0" t="s">
        <v>171</v>
      </c>
      <c r="H24680" s="5">
        <v>996.905900</v>
      </c>
    </row>
    <row r="24681" spans="1:9">
      <c r="A24681" s="22" t="str">
        <f>HYPERLINK("https://app.vivvix.com/360/KMI/IntelliDrive/ApplUI/Pages/CreativePages/CustomReportCreativeDetail.aspx?App=23&amp;ReportView=4&amp;Qid=1711279&amp;Row=24673&amp;Col=1","No Title Assigned - #15283911322")</f>
        <v/>
      </c>
      <c r="B24681" s="0" t="s">
        <v>33107</v>
      </c>
      <c r="E24681" s="0" t="inlineStr">
        <is>
          <t xml:space="preserve">Mazda</t>
        </is>
      </c>
      <c r="F24681" s="0" t="inlineStr">
        <is>
          <t xml:space="preserve">Mazda</t>
        </is>
      </c>
      <c r="G24681" s="0" t="s">
        <v>171</v>
      </c>
      <c r="H24681" s="5">
        <v>356.068100</v>
      </c>
    </row>
    <row r="24682" spans="1:9">
      <c r="A24682" s="22" t="str">
        <f>HYPERLINK("https://app.vivvix.com/360/KMI/IntelliDrive/ApplUI/Pages/CreativePages/CustomReportCreativeDetail.aspx?App=23&amp;ReportView=4&amp;Qid=1711279&amp;Row=24674&amp;Col=1","No Title Assigned - #15283912261")</f>
        <v/>
      </c>
      <c r="B24682" s="0" t="s">
        <v>33108</v>
      </c>
      <c r="E24682" s="0" t="inlineStr">
        <is>
          <t xml:space="preserve">Mazda</t>
        </is>
      </c>
      <c r="F24682" s="0" t="inlineStr">
        <is>
          <t xml:space="preserve">Mazda</t>
        </is>
      </c>
      <c r="G24682" s="0" t="s">
        <v>171</v>
      </c>
      <c r="H24682" s="5">
        <v>491.100500</v>
      </c>
    </row>
    <row r="24683" spans="1:9">
      <c r="A24683" s="22" t="str">
        <f>HYPERLINK("https://app.vivvix.com/360/KMI/IntelliDrive/ApplUI/Pages/CreativePages/CustomReportCreativeDetail.aspx?App=23&amp;ReportView=4&amp;Qid=1711279&amp;Row=24675&amp;Col=1","No Title Assigned - #15283912303")</f>
        <v/>
      </c>
      <c r="B24683" s="0" t="s">
        <v>33109</v>
      </c>
      <c r="E24683" s="0" t="inlineStr">
        <is>
          <t xml:space="preserve">Mazda</t>
        </is>
      </c>
      <c r="F24683" s="0" t="inlineStr">
        <is>
          <t xml:space="preserve">Mazda</t>
        </is>
      </c>
      <c r="G24683" s="0" t="s">
        <v>171</v>
      </c>
      <c r="H24683" s="5">
        <v>102.936800</v>
      </c>
    </row>
    <row r="24684" spans="1:9">
      <c r="A24684" s="22" t="str">
        <f>HYPERLINK("https://app.vivvix.com/360/KMI/IntelliDrive/ApplUI/Pages/CreativePages/CustomReportCreativeDetail.aspx?App=23&amp;ReportView=4&amp;Qid=1711279&amp;Row=24676&amp;Col=1","No Title Assigned - #15283912828")</f>
        <v/>
      </c>
      <c r="B24684" s="0" t="s">
        <v>33110</v>
      </c>
      <c r="E24684" s="0" t="inlineStr">
        <is>
          <t xml:space="preserve">Mazda</t>
        </is>
      </c>
      <c r="F24684" s="0" t="inlineStr">
        <is>
          <t xml:space="preserve">Mazda</t>
        </is>
      </c>
      <c r="G24684" s="0" t="s">
        <v>171</v>
      </c>
      <c r="H24684" s="5">
        <v>239.066700</v>
      </c>
    </row>
    <row r="24685" spans="1:9">
      <c r="A24685" s="22" t="str">
        <f>HYPERLINK("https://app.vivvix.com/360/KMI/IntelliDrive/ApplUI/Pages/CreativePages/CustomReportCreativeDetail.aspx?App=23&amp;ReportView=4&amp;Qid=1711279&amp;Row=24677&amp;Col=1","No Title Assigned - #15283914210")</f>
        <v/>
      </c>
      <c r="B24685" s="0" t="s">
        <v>33111</v>
      </c>
      <c r="E24685" s="0" t="inlineStr">
        <is>
          <t xml:space="preserve">Mazda</t>
        </is>
      </c>
      <c r="F24685" s="0" t="inlineStr">
        <is>
          <t xml:space="preserve">Mazda</t>
        </is>
      </c>
      <c r="G24685" s="0" t="s">
        <v>171</v>
      </c>
      <c r="H24685" s="5">
        <v>33.020600</v>
      </c>
    </row>
    <row r="24686" spans="1:9">
      <c r="A24686" s="22" t="str">
        <f>HYPERLINK("https://app.vivvix.com/360/KMI/IntelliDrive/ApplUI/Pages/CreativePages/CustomReportCreativeDetail.aspx?App=23&amp;ReportView=4&amp;Qid=1711279&amp;Row=24678&amp;Col=1","No Title Assigned - #15283914433")</f>
        <v/>
      </c>
      <c r="B24686" s="0" t="s">
        <v>33112</v>
      </c>
      <c r="E24686" s="0" t="inlineStr">
        <is>
          <t xml:space="preserve">Mazda</t>
        </is>
      </c>
      <c r="F24686" s="0" t="inlineStr">
        <is>
          <t xml:space="preserve">Mazda</t>
        </is>
      </c>
      <c r="G24686" s="0" t="s">
        <v>171</v>
      </c>
      <c r="H24686" s="5">
        <v>4728.873100</v>
      </c>
    </row>
    <row r="24687" spans="1:9">
      <c r="A24687" s="22" t="str">
        <f>HYPERLINK("https://app.vivvix.com/360/KMI/IntelliDrive/ApplUI/Pages/CreativePages/CustomReportCreativeDetail.aspx?App=23&amp;ReportView=4&amp;Qid=1711279&amp;Row=24679&amp;Col=1","No Title Assigned - #15283918567")</f>
        <v/>
      </c>
      <c r="B24687" s="0" t="s">
        <v>33113</v>
      </c>
      <c r="E24687" s="0" t="inlineStr">
        <is>
          <t xml:space="preserve">Mazda</t>
        </is>
      </c>
      <c r="F24687" s="0" t="inlineStr">
        <is>
          <t xml:space="preserve">Mazda</t>
        </is>
      </c>
      <c r="G24687" s="0" t="s">
        <v>171</v>
      </c>
      <c r="H24687" s="5">
        <v>401.508800</v>
      </c>
    </row>
    <row r="24688" spans="1:9">
      <c r="A24688" s="22" t="str">
        <f>HYPERLINK("https://app.vivvix.com/360/KMI/IntelliDrive/ApplUI/Pages/CreativePages/CustomReportCreativeDetail.aspx?App=23&amp;ReportView=4&amp;Qid=1711279&amp;Row=24680&amp;Col=1","No Title Assigned - #15283931553")</f>
        <v/>
      </c>
      <c r="B24688" s="0" t="s">
        <v>33114</v>
      </c>
      <c r="C24688" s="0" t="s">
        <v>33115</v>
      </c>
      <c r="D24688" s="0" t="s">
        <v>33115</v>
      </c>
      <c r="E24688" s="0" t="inlineStr">
        <is>
          <t xml:space="preserve">Mazda</t>
        </is>
      </c>
      <c r="F24688" s="0" t="s">
        <v>28</v>
      </c>
      <c r="G24688" s="0" t="s">
        <v>29</v>
      </c>
      <c r="H24688" s="5">
        <v>758.267400</v>
      </c>
    </row>
    <row r="24689" spans="1:9">
      <c r="A24689" s="22" t="str">
        <f>HYPERLINK("https://app.vivvix.com/360/KMI/IntelliDrive/ApplUI/Pages/CreativePages/CustomReportCreativeDetail.aspx?App=23&amp;ReportView=4&amp;Qid=1711279&amp;Row=24681&amp;Col=1","No Title Assigned - #15283931555")</f>
        <v/>
      </c>
      <c r="B24689" s="0" t="s">
        <v>33116</v>
      </c>
      <c r="C24689" s="0" t="s">
        <v>33117</v>
      </c>
      <c r="D24689" s="0" t="s">
        <v>33117</v>
      </c>
      <c r="E24689" s="0" t="inlineStr">
        <is>
          <t xml:space="preserve">Mazda</t>
        </is>
      </c>
      <c r="F24689" s="0" t="s">
        <v>13</v>
      </c>
      <c r="G24689" s="0" t="s">
        <v>49</v>
      </c>
      <c r="H24689" s="5">
        <v>2771.966400</v>
      </c>
    </row>
    <row r="24690" spans="1:9">
      <c r="A24690" s="22" t="str">
        <f>HYPERLINK("https://app.vivvix.com/360/KMI/IntelliDrive/ApplUI/Pages/CreativePages/CustomReportCreativeDetail.aspx?App=23&amp;ReportView=4&amp;Qid=1711279&amp;Row=24682&amp;Col=1","No Title Assigned - #15283936552")</f>
        <v/>
      </c>
      <c r="B24690" s="0" t="s">
        <v>33118</v>
      </c>
      <c r="C24690" s="0" t="s">
        <v>33119</v>
      </c>
      <c r="D24690" s="0" t="s">
        <v>33119</v>
      </c>
      <c r="E24690" s="0" t="inlineStr">
        <is>
          <t xml:space="preserve">Mazda</t>
        </is>
      </c>
      <c r="F24690" s="0" t="s">
        <v>13</v>
      </c>
      <c r="G24690" s="0" t="s">
        <v>49</v>
      </c>
      <c r="H24690" s="5">
        <v>409.646200</v>
      </c>
    </row>
    <row r="24691" spans="1:9">
      <c r="A24691" s="22" t="str">
        <f>HYPERLINK("https://app.vivvix.com/360/KMI/IntelliDrive/ApplUI/Pages/CreativePages/CustomReportCreativeDetail.aspx?App=23&amp;ReportView=4&amp;Qid=1711279&amp;Row=24683&amp;Col=1","No Title Assigned - #15283938784")</f>
        <v/>
      </c>
      <c r="B24691" s="0" t="s">
        <v>33120</v>
      </c>
      <c r="C24691" s="0" t="s">
        <v>33121</v>
      </c>
      <c r="D24691" s="0" t="s">
        <v>33048</v>
      </c>
      <c r="E24691" s="0" t="inlineStr">
        <is>
          <t xml:space="preserve">Mazda</t>
        </is>
      </c>
      <c r="F24691" s="0" t="s">
        <v>13</v>
      </c>
      <c r="G24691" s="0" t="s">
        <v>49</v>
      </c>
      <c r="H24691" s="5">
        <v>650.430900</v>
      </c>
    </row>
    <row r="24692" spans="1:9">
      <c r="A24692" s="22" t="str">
        <f>HYPERLINK("https://app.vivvix.com/360/KMI/IntelliDrive/ApplUI/Pages/CreativePages/CustomReportCreativeDetail.aspx?App=23&amp;ReportView=4&amp;Qid=1711279&amp;Row=24684&amp;Col=1","No Title Assigned - #15283946408")</f>
        <v/>
      </c>
      <c r="B24692" s="0" t="s">
        <v>33122</v>
      </c>
      <c r="E24692" s="0" t="inlineStr">
        <is>
          <t xml:space="preserve">Mazda</t>
        </is>
      </c>
      <c r="F24692" s="0" t="inlineStr">
        <is>
          <t xml:space="preserve">Mazda</t>
        </is>
      </c>
      <c r="G24692" s="0" t="s">
        <v>171</v>
      </c>
      <c r="H24692" s="5">
        <v>279.325300</v>
      </c>
    </row>
    <row r="24693" spans="1:9">
      <c r="A24693" s="22" t="str">
        <f>HYPERLINK("https://app.vivvix.com/360/KMI/IntelliDrive/ApplUI/Pages/CreativePages/CustomReportCreativeDetail.aspx?App=23&amp;ReportView=4&amp;Qid=1711279&amp;Row=24685&amp;Col=1","No Title Assigned - #15283968387")</f>
        <v/>
      </c>
      <c r="B24693" s="0" t="s">
        <v>33123</v>
      </c>
      <c r="C24693" s="0" t="s">
        <v>33124</v>
      </c>
      <c r="D24693" s="0" t="s">
        <v>32863</v>
      </c>
      <c r="E24693" s="0" t="inlineStr">
        <is>
          <t xml:space="preserve">Mazda</t>
        </is>
      </c>
      <c r="F24693" s="0" t="s">
        <v>13</v>
      </c>
      <c r="G24693" s="0" t="s">
        <v>49</v>
      </c>
      <c r="H24693" s="5">
        <v>420.222700</v>
      </c>
    </row>
    <row r="24694" spans="1:9">
      <c r="A24694" s="22" t="str">
        <f>HYPERLINK("https://app.vivvix.com/360/KMI/IntelliDrive/ApplUI/Pages/CreativePages/CustomReportCreativeDetail.aspx?App=23&amp;ReportView=4&amp;Qid=1711279&amp;Row=24686&amp;Col=1","No Title Assigned - #15283969357")</f>
        <v/>
      </c>
      <c r="B24694" s="0" t="s">
        <v>33125</v>
      </c>
      <c r="C24694" s="0" t="s">
        <v>33126</v>
      </c>
      <c r="D24694" s="0" t="s">
        <v>33126</v>
      </c>
      <c r="E24694" s="0" t="inlineStr">
        <is>
          <t xml:space="preserve">Mazda</t>
        </is>
      </c>
      <c r="F24694" s="0" t="s">
        <v>13</v>
      </c>
      <c r="G24694" s="0" t="s">
        <v>49</v>
      </c>
      <c r="H24694" s="5">
        <v>20.095200</v>
      </c>
    </row>
    <row r="24695" spans="1:9">
      <c r="A24695" s="22" t="str">
        <f>HYPERLINK("https://app.vivvix.com/360/KMI/IntelliDrive/ApplUI/Pages/CreativePages/CustomReportCreativeDetail.aspx?App=23&amp;ReportView=4&amp;Qid=1711279&amp;Row=24687&amp;Col=1","No Title Assigned - #15283970440")</f>
        <v/>
      </c>
      <c r="B24695" s="0" t="s">
        <v>33127</v>
      </c>
      <c r="E24695" s="0" t="inlineStr">
        <is>
          <t xml:space="preserve">Mazda</t>
        </is>
      </c>
      <c r="F24695" s="0" t="s">
        <v>13</v>
      </c>
      <c r="G24695" s="0" t="s">
        <v>49</v>
      </c>
      <c r="H24695" s="5">
        <v>302.216600</v>
      </c>
    </row>
    <row r="24696" spans="1:9">
      <c r="A24696" s="22" t="str">
        <f>HYPERLINK("https://app.vivvix.com/360/KMI/IntelliDrive/ApplUI/Pages/CreativePages/CustomReportCreativeDetail.aspx?App=23&amp;ReportView=4&amp;Qid=1711279&amp;Row=24688&amp;Col=1","No Title Assigned - #15283972689")</f>
        <v/>
      </c>
      <c r="B24696" s="0" t="s">
        <v>33128</v>
      </c>
      <c r="C24696" s="0" t="s">
        <v>33129</v>
      </c>
      <c r="D24696" s="0" t="s">
        <v>33129</v>
      </c>
      <c r="E24696" s="0" t="inlineStr">
        <is>
          <t xml:space="preserve">Mazda</t>
        </is>
      </c>
      <c r="F24696" s="0" t="s">
        <v>13</v>
      </c>
      <c r="G24696" s="0" t="s">
        <v>49</v>
      </c>
      <c r="H24696" s="5">
        <v>16.144900</v>
      </c>
    </row>
    <row r="24697" spans="1:9">
      <c r="A24697" s="22" t="str">
        <f>HYPERLINK("https://app.vivvix.com/360/KMI/IntelliDrive/ApplUI/Pages/CreativePages/CustomReportCreativeDetail.aspx?App=23&amp;ReportView=4&amp;Qid=1711279&amp;Row=24689&amp;Col=1","No Title Assigned - #15283981372")</f>
        <v/>
      </c>
      <c r="B24697" s="0" t="s">
        <v>33130</v>
      </c>
      <c r="C24697" s="0" t="s">
        <v>33131</v>
      </c>
      <c r="D24697" s="0" t="s">
        <v>33048</v>
      </c>
      <c r="E24697" s="0" t="inlineStr">
        <is>
          <t xml:space="preserve">Mazda</t>
        </is>
      </c>
      <c r="F24697" s="0" t="s">
        <v>13</v>
      </c>
      <c r="G24697" s="0" t="s">
        <v>49</v>
      </c>
      <c r="H24697" s="5">
        <v>618.102200</v>
      </c>
    </row>
    <row r="24698" spans="1:9">
      <c r="A24698" s="22" t="str">
        <f>HYPERLINK("https://app.vivvix.com/360/KMI/IntelliDrive/ApplUI/Pages/CreativePages/CustomReportCreativeDetail.aspx?App=23&amp;ReportView=4&amp;Qid=1711279&amp;Row=24690&amp;Col=1","No Title Assigned - #15284003356")</f>
        <v/>
      </c>
      <c r="B24698" s="0" t="s">
        <v>33132</v>
      </c>
      <c r="C24698" s="0" t="s">
        <v>33133</v>
      </c>
      <c r="D24698" s="0" t="s">
        <v>33133</v>
      </c>
      <c r="E24698" s="0" t="inlineStr">
        <is>
          <t xml:space="preserve">Mazda</t>
        </is>
      </c>
      <c r="F24698" s="0" t="s">
        <v>13</v>
      </c>
      <c r="G24698" s="0" t="s">
        <v>49</v>
      </c>
      <c r="H24698" s="5">
        <v>521.108700</v>
      </c>
    </row>
    <row r="24699" spans="1:9">
      <c r="A24699" s="22" t="str">
        <f>HYPERLINK("https://app.vivvix.com/360/KMI/IntelliDrive/ApplUI/Pages/CreativePages/CustomReportCreativeDetail.aspx?App=23&amp;ReportView=4&amp;Qid=1711279&amp;Row=24691&amp;Col=1","No Title Assigned - #15284004507")</f>
        <v/>
      </c>
      <c r="B24699" s="0" t="s">
        <v>33134</v>
      </c>
      <c r="C24699" s="0" t="s">
        <v>33135</v>
      </c>
      <c r="D24699" s="0" t="s">
        <v>33135</v>
      </c>
      <c r="E24699" s="0" t="inlineStr">
        <is>
          <t xml:space="preserve">Mazda</t>
        </is>
      </c>
      <c r="F24699" s="0" t="s">
        <v>21</v>
      </c>
      <c r="G24699" s="0" t="s">
        <v>22</v>
      </c>
      <c r="H24699" s="5">
        <v>1775.895000</v>
      </c>
    </row>
    <row r="24700" spans="1:9">
      <c r="A24700" s="22" t="str">
        <f>HYPERLINK("https://app.vivvix.com/360/KMI/IntelliDrive/ApplUI/Pages/CreativePages/CustomReportCreativeDetail.aspx?App=23&amp;ReportView=4&amp;Qid=1711279&amp;Row=24692&amp;Col=1","No Title Assigned - #15284004799")</f>
        <v/>
      </c>
      <c r="B24700" s="0" t="s">
        <v>33136</v>
      </c>
      <c r="C24700" s="0" t="s">
        <v>33137</v>
      </c>
      <c r="D24700" s="0" t="s">
        <v>33036</v>
      </c>
      <c r="E24700" s="0" t="inlineStr">
        <is>
          <t xml:space="preserve">Mazda</t>
        </is>
      </c>
      <c r="F24700" s="0" t="s">
        <v>13</v>
      </c>
      <c r="G24700" s="0" t="s">
        <v>49</v>
      </c>
      <c r="H24700" s="5">
        <v>43.734500</v>
      </c>
    </row>
    <row r="24701" spans="1:9">
      <c r="A24701" s="22" t="str">
        <f>HYPERLINK("https://app.vivvix.com/360/KMI/IntelliDrive/ApplUI/Pages/CreativePages/CustomReportCreativeDetail.aspx?App=23&amp;ReportView=4&amp;Qid=1711279&amp;Row=24693&amp;Col=1","No Title Assigned - #15284007189")</f>
        <v/>
      </c>
      <c r="B24701" s="0" t="s">
        <v>33138</v>
      </c>
      <c r="C24701" s="0" t="s">
        <v>33139</v>
      </c>
      <c r="D24701" s="0" t="s">
        <v>33139</v>
      </c>
      <c r="E24701" s="0" t="inlineStr">
        <is>
          <t xml:space="preserve">Mazda</t>
        </is>
      </c>
      <c r="F24701" s="0" t="s">
        <v>13</v>
      </c>
      <c r="G24701" s="0" t="s">
        <v>49</v>
      </c>
      <c r="H24701" s="5">
        <v>273.641800</v>
      </c>
    </row>
    <row r="24702" spans="1:9">
      <c r="A24702" s="22" t="str">
        <f>HYPERLINK("https://app.vivvix.com/360/KMI/IntelliDrive/ApplUI/Pages/CreativePages/CustomReportCreativeDetail.aspx?App=23&amp;ReportView=4&amp;Qid=1711279&amp;Row=24694&amp;Col=1","No Title Assigned - #15284007870")</f>
        <v/>
      </c>
      <c r="B24702" s="0" t="s">
        <v>33140</v>
      </c>
      <c r="C24702" s="0" t="s">
        <v>33141</v>
      </c>
      <c r="D24702" s="0" t="s">
        <v>33141</v>
      </c>
      <c r="E24702" s="0" t="inlineStr">
        <is>
          <t xml:space="preserve">Mazda</t>
        </is>
      </c>
      <c r="F24702" s="0" t="s">
        <v>13</v>
      </c>
      <c r="G24702" s="0" t="s">
        <v>49</v>
      </c>
      <c r="H24702" s="5">
        <v>16.144900</v>
      </c>
    </row>
    <row r="24703" spans="1:9">
      <c r="A24703" s="22" t="str">
        <f>HYPERLINK("https://app.vivvix.com/360/KMI/IntelliDrive/ApplUI/Pages/CreativePages/CustomReportCreativeDetail.aspx?App=23&amp;ReportView=4&amp;Qid=1711279&amp;Row=24695&amp;Col=1","No Title Assigned - #15284008057")</f>
        <v/>
      </c>
      <c r="B24703" s="0" t="s">
        <v>33142</v>
      </c>
      <c r="C24703" s="0" t="s">
        <v>33143</v>
      </c>
      <c r="D24703" s="0" t="s">
        <v>33054</v>
      </c>
      <c r="E24703" s="0" t="inlineStr">
        <is>
          <t xml:space="preserve">Mazda</t>
        </is>
      </c>
      <c r="F24703" s="0" t="s">
        <v>13</v>
      </c>
      <c r="G24703" s="0" t="s">
        <v>49</v>
      </c>
      <c r="H24703" s="5">
        <v>1879.251200</v>
      </c>
    </row>
    <row r="24704" spans="1:9">
      <c r="A24704" s="22" t="str">
        <f>HYPERLINK("https://app.vivvix.com/360/KMI/IntelliDrive/ApplUI/Pages/CreativePages/CustomReportCreativeDetail.aspx?App=23&amp;ReportView=4&amp;Qid=1711279&amp;Row=24696&amp;Col=1","No Title Assigned - #15284009798")</f>
        <v/>
      </c>
      <c r="B24704" s="0" t="s">
        <v>33144</v>
      </c>
      <c r="C24704" s="0" t="s">
        <v>33145</v>
      </c>
      <c r="D24704" s="0" t="s">
        <v>33003</v>
      </c>
      <c r="E24704" s="0" t="inlineStr">
        <is>
          <t xml:space="preserve">Mazda</t>
        </is>
      </c>
      <c r="F24704" s="0" t="s">
        <v>13</v>
      </c>
      <c r="G24704" s="0" t="s">
        <v>49</v>
      </c>
      <c r="H24704" s="5">
        <v>21325.853000</v>
      </c>
    </row>
    <row r="24705" spans="1:9">
      <c r="A24705" s="22" t="str">
        <f>HYPERLINK("https://app.vivvix.com/360/KMI/IntelliDrive/ApplUI/Pages/CreativePages/CustomReportCreativeDetail.aspx?App=23&amp;ReportView=4&amp;Qid=1711279&amp;Row=24697&amp;Col=1","No Title Assigned - #15284011068")</f>
        <v/>
      </c>
      <c r="B24705" s="0" t="s">
        <v>33146</v>
      </c>
      <c r="E24705" s="0" t="inlineStr">
        <is>
          <t xml:space="preserve">Mazda</t>
        </is>
      </c>
      <c r="F24705" s="0" t="inlineStr">
        <is>
          <t xml:space="preserve">Mazda</t>
        </is>
      </c>
      <c r="G24705" s="0" t="s">
        <v>171</v>
      </c>
      <c r="H24705" s="5">
        <v>22195.559800</v>
      </c>
    </row>
    <row r="24706" spans="1:9">
      <c r="A24706" s="22" t="str">
        <f>HYPERLINK("https://app.vivvix.com/360/KMI/IntelliDrive/ApplUI/Pages/CreativePages/CustomReportCreativeDetail.aspx?App=23&amp;ReportView=4&amp;Qid=1711279&amp;Row=24698&amp;Col=1","No Title Assigned - #15284011509")</f>
        <v/>
      </c>
      <c r="B24706" s="0" t="s">
        <v>33147</v>
      </c>
      <c r="E24706" s="0" t="inlineStr">
        <is>
          <t xml:space="preserve">Mazda</t>
        </is>
      </c>
      <c r="F24706" s="0" t="inlineStr">
        <is>
          <t xml:space="preserve">Mazda</t>
        </is>
      </c>
      <c r="G24706" s="0" t="s">
        <v>171</v>
      </c>
      <c r="H24706" s="5">
        <v>3535.504100</v>
      </c>
    </row>
    <row r="24707" spans="1:9">
      <c r="A24707" s="22" t="str">
        <f>HYPERLINK("https://app.vivvix.com/360/KMI/IntelliDrive/ApplUI/Pages/CreativePages/CustomReportCreativeDetail.aspx?App=23&amp;ReportView=4&amp;Qid=1711279&amp;Row=24699&amp;Col=1","No Title Assigned - #15284012039")</f>
        <v/>
      </c>
      <c r="B24707" s="0" t="s">
        <v>33148</v>
      </c>
      <c r="E24707" s="0" t="inlineStr">
        <is>
          <t xml:space="preserve">Mazda</t>
        </is>
      </c>
      <c r="F24707" s="0" t="inlineStr">
        <is>
          <t xml:space="preserve">Mazda</t>
        </is>
      </c>
      <c r="G24707" s="0" t="s">
        <v>171</v>
      </c>
      <c r="H24707" s="5">
        <v>1171.208700</v>
      </c>
    </row>
    <row r="24708" spans="1:9">
      <c r="A24708" s="22" t="str">
        <f>HYPERLINK("https://app.vivvix.com/360/KMI/IntelliDrive/ApplUI/Pages/CreativePages/CustomReportCreativeDetail.aspx?App=23&amp;ReportView=4&amp;Qid=1711279&amp;Row=24700&amp;Col=1","No Title Assigned - #15284015377")</f>
        <v/>
      </c>
      <c r="B24708" s="0" t="s">
        <v>33149</v>
      </c>
      <c r="E24708" s="0" t="inlineStr">
        <is>
          <t xml:space="preserve">Mazda</t>
        </is>
      </c>
      <c r="F24708" s="0" t="inlineStr">
        <is>
          <t xml:space="preserve">Mazda</t>
        </is>
      </c>
      <c r="G24708" s="0" t="s">
        <v>171</v>
      </c>
      <c r="H24708" s="5">
        <v>198.995100</v>
      </c>
    </row>
    <row r="24709" spans="1:9">
      <c r="A24709" s="22" t="str">
        <f>HYPERLINK("https://app.vivvix.com/360/KMI/IntelliDrive/ApplUI/Pages/CreativePages/CustomReportCreativeDetail.aspx?App=23&amp;ReportView=4&amp;Qid=1711279&amp;Row=24701&amp;Col=1","No Title Assigned - #15284015649")</f>
        <v/>
      </c>
      <c r="B24709" s="0" t="s">
        <v>33150</v>
      </c>
      <c r="E24709" s="0" t="inlineStr">
        <is>
          <t xml:space="preserve">Mazda</t>
        </is>
      </c>
      <c r="F24709" s="0" t="inlineStr">
        <is>
          <t xml:space="preserve">Mazda</t>
        </is>
      </c>
      <c r="G24709" s="0" t="s">
        <v>171</v>
      </c>
      <c r="H24709" s="5">
        <v>2604.887900</v>
      </c>
    </row>
    <row r="24710" spans="1:9">
      <c r="A24710" s="22" t="str">
        <f>HYPERLINK("https://app.vivvix.com/360/KMI/IntelliDrive/ApplUI/Pages/CreativePages/CustomReportCreativeDetail.aspx?App=23&amp;ReportView=4&amp;Qid=1711279&amp;Row=24702&amp;Col=1","No Title Assigned - #15284017902")</f>
        <v/>
      </c>
      <c r="B24710" s="0" t="s">
        <v>33151</v>
      </c>
      <c r="E24710" s="0" t="inlineStr">
        <is>
          <t xml:space="preserve">Mazda</t>
        </is>
      </c>
      <c r="F24710" s="0" t="inlineStr">
        <is>
          <t xml:space="preserve">Mazda</t>
        </is>
      </c>
      <c r="G24710" s="0" t="s">
        <v>171</v>
      </c>
      <c r="H24710" s="5">
        <v>762.970200</v>
      </c>
    </row>
    <row r="24711" spans="1:9">
      <c r="A24711" s="22" t="str">
        <f>HYPERLINK("https://app.vivvix.com/360/KMI/IntelliDrive/ApplUI/Pages/CreativePages/CustomReportCreativeDetail.aspx?App=23&amp;ReportView=4&amp;Qid=1711279&amp;Row=24703&amp;Col=1","No Title Assigned - #15284019502")</f>
        <v/>
      </c>
      <c r="B24711" s="0" t="s">
        <v>33152</v>
      </c>
      <c r="E24711" s="0" t="inlineStr">
        <is>
          <t xml:space="preserve">Mazda</t>
        </is>
      </c>
      <c r="F24711" s="0" t="inlineStr">
        <is>
          <t xml:space="preserve">Mazda</t>
        </is>
      </c>
      <c r="G24711" s="0" t="s">
        <v>171</v>
      </c>
      <c r="H24711" s="5">
        <v>515.291000</v>
      </c>
    </row>
    <row r="24712" spans="1:9">
      <c r="A24712" s="22" t="str">
        <f>HYPERLINK("https://app.vivvix.com/360/KMI/IntelliDrive/ApplUI/Pages/CreativePages/CustomReportCreativeDetail.aspx?App=23&amp;ReportView=4&amp;Qid=1711279&amp;Row=24704&amp;Col=1","No Title Assigned - #15284020515")</f>
        <v/>
      </c>
      <c r="B24712" s="0" t="s">
        <v>33153</v>
      </c>
      <c r="E24712" s="0" t="inlineStr">
        <is>
          <t xml:space="preserve">Mazda</t>
        </is>
      </c>
      <c r="F24712" s="0" t="inlineStr">
        <is>
          <t xml:space="preserve">Mazda</t>
        </is>
      </c>
      <c r="G24712" s="0" t="s">
        <v>171</v>
      </c>
      <c r="H24712" s="5">
        <v>5237.134200</v>
      </c>
    </row>
    <row r="24713" spans="1:9">
      <c r="A24713" s="22" t="str">
        <f>HYPERLINK("https://app.vivvix.com/360/KMI/IntelliDrive/ApplUI/Pages/CreativePages/CustomReportCreativeDetail.aspx?App=23&amp;ReportView=4&amp;Qid=1711279&amp;Row=24705&amp;Col=1","No Title Assigned - #15284022222")</f>
        <v/>
      </c>
      <c r="B24713" s="0" t="s">
        <v>33154</v>
      </c>
      <c r="E24713" s="0" t="inlineStr">
        <is>
          <t xml:space="preserve">Mazda</t>
        </is>
      </c>
      <c r="F24713" s="0" t="inlineStr">
        <is>
          <t xml:space="preserve">Mazda</t>
        </is>
      </c>
      <c r="G24713" s="0" t="s">
        <v>171</v>
      </c>
      <c r="H24713" s="5">
        <v>491.098300</v>
      </c>
    </row>
    <row r="24714" spans="1:9">
      <c r="A24714" s="22" t="str">
        <f>HYPERLINK("https://app.vivvix.com/360/KMI/IntelliDrive/ApplUI/Pages/CreativePages/CustomReportCreativeDetail.aspx?App=23&amp;ReportView=4&amp;Qid=1711279&amp;Row=24706&amp;Col=1","No Title Assigned - #15284033989")</f>
        <v/>
      </c>
      <c r="B24714" s="0" t="s">
        <v>33155</v>
      </c>
      <c r="C24714" s="0" t="s">
        <v>33156</v>
      </c>
      <c r="D24714" s="0" t="s">
        <v>32817</v>
      </c>
      <c r="E24714" s="0" t="inlineStr">
        <is>
          <t xml:space="preserve">Mazda</t>
        </is>
      </c>
      <c r="F24714" s="0" t="s">
        <v>13</v>
      </c>
      <c r="G24714" s="0" t="s">
        <v>49</v>
      </c>
      <c r="H24714" s="5">
        <v>996.905900</v>
      </c>
    </row>
    <row r="24715" spans="1:9">
      <c r="A24715" s="22" t="str">
        <f>HYPERLINK("https://app.vivvix.com/360/KMI/IntelliDrive/ApplUI/Pages/CreativePages/CustomReportCreativeDetail.aspx?App=23&amp;ReportView=4&amp;Qid=1711279&amp;Row=24707&amp;Col=1","No Title Assigned - #15284037808")</f>
        <v/>
      </c>
      <c r="B24715" s="0" t="s">
        <v>33157</v>
      </c>
      <c r="C24715" s="0" t="s">
        <v>33158</v>
      </c>
      <c r="D24715" s="0" t="s">
        <v>33158</v>
      </c>
      <c r="E24715" s="0" t="inlineStr">
        <is>
          <t xml:space="preserve">Mazda</t>
        </is>
      </c>
      <c r="F24715" s="0" t="s">
        <v>666</v>
      </c>
      <c r="G24715" s="0" t="s">
        <v>667</v>
      </c>
      <c r="H24715" s="5">
        <v>758.267400</v>
      </c>
    </row>
    <row r="24716" spans="1:9">
      <c r="A24716" s="22" t="str">
        <f>HYPERLINK("https://app.vivvix.com/360/KMI/IntelliDrive/ApplUI/Pages/CreativePages/CustomReportCreativeDetail.aspx?App=23&amp;ReportView=4&amp;Qid=1711279&amp;Row=24708&amp;Col=1","No Title Assigned - #15284037897")</f>
        <v/>
      </c>
      <c r="B24716" s="0" t="s">
        <v>33159</v>
      </c>
      <c r="C24716" s="0" t="s">
        <v>33160</v>
      </c>
      <c r="D24716" s="0" t="s">
        <v>33160</v>
      </c>
      <c r="E24716" s="0" t="inlineStr">
        <is>
          <t xml:space="preserve">Mazda</t>
        </is>
      </c>
      <c r="F24716" s="0" t="s">
        <v>21</v>
      </c>
      <c r="G24716" s="0" t="s">
        <v>22</v>
      </c>
      <c r="H24716" s="5">
        <v>758.267400</v>
      </c>
    </row>
    <row r="24717" spans="1:9">
      <c r="A24717" s="22" t="str">
        <f>HYPERLINK("https://app.vivvix.com/360/KMI/IntelliDrive/ApplUI/Pages/CreativePages/CustomReportCreativeDetail.aspx?App=23&amp;ReportView=4&amp;Qid=1711279&amp;Row=24709&amp;Col=1","No Title Assigned - #15284040350")</f>
        <v/>
      </c>
      <c r="B24717" s="0" t="s">
        <v>33161</v>
      </c>
      <c r="C24717" s="0" t="s">
        <v>33162</v>
      </c>
      <c r="D24717" s="0" t="s">
        <v>33162</v>
      </c>
      <c r="E24717" s="0" t="inlineStr">
        <is>
          <t xml:space="preserve">Mazda</t>
        </is>
      </c>
      <c r="F24717" s="0" t="s">
        <v>13</v>
      </c>
      <c r="G24717" s="0" t="s">
        <v>49</v>
      </c>
      <c r="H24717" s="5">
        <v>27093.565500</v>
      </c>
    </row>
    <row r="24718" spans="1:9">
      <c r="A24718" s="22" t="str">
        <f>HYPERLINK("https://app.vivvix.com/360/KMI/IntelliDrive/ApplUI/Pages/CreativePages/CustomReportCreativeDetail.aspx?App=23&amp;ReportView=4&amp;Qid=1711279&amp;Row=24710&amp;Col=1","No Title Assigned - #15284041746")</f>
        <v/>
      </c>
      <c r="B24718" s="0" t="s">
        <v>33163</v>
      </c>
      <c r="C24718" s="0" t="s">
        <v>33164</v>
      </c>
      <c r="D24718" s="0" t="s">
        <v>33164</v>
      </c>
      <c r="E24718" s="0" t="inlineStr">
        <is>
          <t xml:space="preserve">Mazda</t>
        </is>
      </c>
      <c r="F24718" s="0" t="s">
        <v>13</v>
      </c>
      <c r="G24718" s="0" t="s">
        <v>49</v>
      </c>
      <c r="H24718" s="5">
        <v>151.647800</v>
      </c>
    </row>
    <row r="24719" spans="1:9">
      <c r="A24719" s="22" t="str">
        <f>HYPERLINK("https://app.vivvix.com/360/KMI/IntelliDrive/ApplUI/Pages/CreativePages/CustomReportCreativeDetail.aspx?App=23&amp;ReportView=4&amp;Qid=1711279&amp;Row=24711&amp;Col=1","No Title Assigned - #15284046959")</f>
        <v/>
      </c>
      <c r="B24719" s="0" t="s">
        <v>33165</v>
      </c>
      <c r="C24719" s="0" t="s">
        <v>33166</v>
      </c>
      <c r="D24719" s="0" t="s">
        <v>33166</v>
      </c>
      <c r="E24719" s="0" t="inlineStr">
        <is>
          <t xml:space="preserve">Mazda</t>
        </is>
      </c>
      <c r="F24719" s="0" t="s">
        <v>13</v>
      </c>
      <c r="G24719" s="0" t="s">
        <v>49</v>
      </c>
      <c r="H24719" s="5">
        <v>6729.997300</v>
      </c>
    </row>
    <row r="24720" spans="1:9">
      <c r="A24720" s="22" t="str">
        <f>HYPERLINK("https://app.vivvix.com/360/KMI/IntelliDrive/ApplUI/Pages/CreativePages/CustomReportCreativeDetail.aspx?App=23&amp;ReportView=4&amp;Qid=1711279&amp;Row=24712&amp;Col=1","No Title Assigned - #15284050037")</f>
        <v/>
      </c>
      <c r="B24720" s="0" t="s">
        <v>33167</v>
      </c>
      <c r="C24720" s="0" t="s">
        <v>33168</v>
      </c>
      <c r="D24720" s="0" t="s">
        <v>33168</v>
      </c>
      <c r="E24720" s="0" t="inlineStr">
        <is>
          <t xml:space="preserve">Mazda</t>
        </is>
      </c>
      <c r="F24720" s="0" t="s">
        <v>13</v>
      </c>
      <c r="G24720" s="0" t="s">
        <v>49</v>
      </c>
      <c r="H24720" s="5">
        <v>104.058400</v>
      </c>
    </row>
    <row r="24721" spans="1:9">
      <c r="A24721" s="22" t="str">
        <f>HYPERLINK("https://app.vivvix.com/360/KMI/IntelliDrive/ApplUI/Pages/CreativePages/CustomReportCreativeDetail.aspx?App=23&amp;ReportView=4&amp;Qid=1711279&amp;Row=24713&amp;Col=1","No Title Assigned - #15284051233")</f>
        <v/>
      </c>
      <c r="B24721" s="0" t="s">
        <v>33169</v>
      </c>
      <c r="E24721" s="0" t="inlineStr">
        <is>
          <t xml:space="preserve">Mazda</t>
        </is>
      </c>
      <c r="F24721" s="0" t="inlineStr">
        <is>
          <t xml:space="preserve">Mazda</t>
        </is>
      </c>
      <c r="G24721" s="0" t="s">
        <v>171</v>
      </c>
      <c r="H24721" s="5">
        <v>3813.363500</v>
      </c>
    </row>
    <row r="24722" spans="1:9">
      <c r="A24722" s="22" t="str">
        <f>HYPERLINK("https://app.vivvix.com/360/KMI/IntelliDrive/ApplUI/Pages/CreativePages/CustomReportCreativeDetail.aspx?App=23&amp;ReportView=4&amp;Qid=1711279&amp;Row=24714&amp;Col=1","No Title Assigned - #15284051258")</f>
        <v/>
      </c>
      <c r="B24722" s="0" t="s">
        <v>33170</v>
      </c>
      <c r="E24722" s="0" t="inlineStr">
        <is>
          <t xml:space="preserve">Mazda</t>
        </is>
      </c>
      <c r="F24722" s="0" t="inlineStr">
        <is>
          <t xml:space="preserve">Mazda</t>
        </is>
      </c>
      <c r="G24722" s="0" t="s">
        <v>171</v>
      </c>
      <c r="H24722" s="5">
        <v>3813.363500</v>
      </c>
    </row>
    <row r="24723" spans="1:9">
      <c r="A24723" s="22" t="str">
        <f>HYPERLINK("https://app.vivvix.com/360/KMI/IntelliDrive/ApplUI/Pages/CreativePages/CustomReportCreativeDetail.aspx?App=23&amp;ReportView=4&amp;Qid=1711279&amp;Row=24715&amp;Col=1","No Title Assigned - #15284051259")</f>
        <v/>
      </c>
      <c r="B24723" s="0" t="s">
        <v>33171</v>
      </c>
      <c r="E24723" s="0" t="inlineStr">
        <is>
          <t xml:space="preserve">Mazda</t>
        </is>
      </c>
      <c r="F24723" s="0" t="inlineStr">
        <is>
          <t xml:space="preserve">Mazda</t>
        </is>
      </c>
      <c r="G24723" s="0" t="s">
        <v>171</v>
      </c>
      <c r="H24723" s="5">
        <v>3813.363500</v>
      </c>
    </row>
    <row r="24724" spans="1:9">
      <c r="A24724" s="22" t="str">
        <f>HYPERLINK("https://app.vivvix.com/360/KMI/IntelliDrive/ApplUI/Pages/CreativePages/CustomReportCreativeDetail.aspx?App=23&amp;ReportView=4&amp;Qid=1711279&amp;Row=24716&amp;Col=1","No Title Assigned - #15284051926")</f>
        <v/>
      </c>
      <c r="B24724" s="0" t="s">
        <v>33172</v>
      </c>
      <c r="E24724" s="0" t="inlineStr">
        <is>
          <t xml:space="preserve">Mazda</t>
        </is>
      </c>
      <c r="F24724" s="0" t="inlineStr">
        <is>
          <t xml:space="preserve">Mazda</t>
        </is>
      </c>
      <c r="G24724" s="0" t="s">
        <v>171</v>
      </c>
      <c r="H24724" s="5">
        <v>162.863300</v>
      </c>
    </row>
    <row r="24725" spans="1:9">
      <c r="A24725" s="22" t="str">
        <f>HYPERLINK("https://app.vivvix.com/360/KMI/IntelliDrive/ApplUI/Pages/CreativePages/CustomReportCreativeDetail.aspx?App=23&amp;ReportView=4&amp;Qid=1711279&amp;Row=24717&amp;Col=1","No Title Assigned - #15284052196")</f>
        <v/>
      </c>
      <c r="B24725" s="0" t="s">
        <v>33173</v>
      </c>
      <c r="E24725" s="0" t="inlineStr">
        <is>
          <t xml:space="preserve">Mazda</t>
        </is>
      </c>
      <c r="F24725" s="0" t="inlineStr">
        <is>
          <t xml:space="preserve">Mazda</t>
        </is>
      </c>
      <c r="G24725" s="0" t="s">
        <v>171</v>
      </c>
      <c r="H24725" s="5">
        <v>2604.887900</v>
      </c>
    </row>
    <row r="24726" spans="1:9">
      <c r="A24726" s="22" t="str">
        <f>HYPERLINK("https://app.vivvix.com/360/KMI/IntelliDrive/ApplUI/Pages/CreativePages/CustomReportCreativeDetail.aspx?App=23&amp;ReportView=4&amp;Qid=1711279&amp;Row=24718&amp;Col=1","No Title Assigned - #15284052257")</f>
        <v/>
      </c>
      <c r="B24726" s="0" t="s">
        <v>33174</v>
      </c>
      <c r="E24726" s="0" t="inlineStr">
        <is>
          <t xml:space="preserve">Mazda</t>
        </is>
      </c>
      <c r="F24726" s="0" t="inlineStr">
        <is>
          <t xml:space="preserve">Mazda</t>
        </is>
      </c>
      <c r="G24726" s="0" t="s">
        <v>171</v>
      </c>
      <c r="H24726" s="5">
        <v>399.570300</v>
      </c>
    </row>
    <row r="24727" spans="1:9">
      <c r="A24727" s="22" t="str">
        <f>HYPERLINK("https://app.vivvix.com/360/KMI/IntelliDrive/ApplUI/Pages/CreativePages/CustomReportCreativeDetail.aspx?App=23&amp;ReportView=4&amp;Qid=1711279&amp;Row=24719&amp;Col=1","No Title Assigned - #15284053269")</f>
        <v/>
      </c>
      <c r="B24727" s="0" t="s">
        <v>33175</v>
      </c>
      <c r="C24727" s="0" t="s">
        <v>33176</v>
      </c>
      <c r="D24727" s="0" t="s">
        <v>33176</v>
      </c>
      <c r="E24727" s="0" t="inlineStr">
        <is>
          <t xml:space="preserve">Mazda</t>
        </is>
      </c>
      <c r="F24727" s="0" t="s">
        <v>13</v>
      </c>
      <c r="G24727" s="0" t="s">
        <v>49</v>
      </c>
      <c r="H24727" s="5">
        <v>996.905900</v>
      </c>
    </row>
    <row r="24728" spans="1:9">
      <c r="A24728" s="22" t="str">
        <f>HYPERLINK("https://app.vivvix.com/360/KMI/IntelliDrive/ApplUI/Pages/CreativePages/CustomReportCreativeDetail.aspx?App=23&amp;ReportView=4&amp;Qid=1711279&amp;Row=24720&amp;Col=1","No Title Assigned - #15284054283")</f>
        <v/>
      </c>
      <c r="B24728" s="0" t="s">
        <v>33177</v>
      </c>
      <c r="E24728" s="0" t="inlineStr">
        <is>
          <t xml:space="preserve">Mazda</t>
        </is>
      </c>
      <c r="F24728" s="0" t="inlineStr">
        <is>
          <t xml:space="preserve">Mazda</t>
        </is>
      </c>
      <c r="G24728" s="0" t="s">
        <v>171</v>
      </c>
      <c r="H24728" s="5">
        <v>5686.743200</v>
      </c>
    </row>
    <row r="24729" spans="1:9">
      <c r="A24729" s="22" t="str">
        <f>HYPERLINK("https://app.vivvix.com/360/KMI/IntelliDrive/ApplUI/Pages/CreativePages/CustomReportCreativeDetail.aspx?App=23&amp;ReportView=4&amp;Qid=1711279&amp;Row=24721&amp;Col=1","No Title Assigned - #15284055207")</f>
        <v/>
      </c>
      <c r="B24729" s="0" t="s">
        <v>33178</v>
      </c>
      <c r="E24729" s="0" t="inlineStr">
        <is>
          <t xml:space="preserve">Mazda</t>
        </is>
      </c>
      <c r="F24729" s="0" t="inlineStr">
        <is>
          <t xml:space="preserve">Mazda</t>
        </is>
      </c>
      <c r="G24729" s="0" t="s">
        <v>171</v>
      </c>
      <c r="H24729" s="5">
        <v>2604.887900</v>
      </c>
    </row>
    <row r="24730" spans="1:9">
      <c r="A24730" s="22" t="str">
        <f>HYPERLINK("https://app.vivvix.com/360/KMI/IntelliDrive/ApplUI/Pages/CreativePages/CustomReportCreativeDetail.aspx?App=23&amp;ReportView=4&amp;Qid=1711279&amp;Row=24722&amp;Col=1","No Title Assigned - #15284056275")</f>
        <v/>
      </c>
      <c r="B24730" s="0" t="s">
        <v>33179</v>
      </c>
      <c r="C24730" s="0" t="s">
        <v>33180</v>
      </c>
      <c r="D24730" s="0" t="s">
        <v>26974</v>
      </c>
      <c r="E24730" s="0" t="inlineStr">
        <is>
          <t xml:space="preserve">Mazda</t>
        </is>
      </c>
      <c r="F24730" s="0" t="s">
        <v>369</v>
      </c>
      <c r="G24730" s="0" t="s">
        <v>370</v>
      </c>
      <c r="H24730" s="5">
        <v>4307.383500</v>
      </c>
    </row>
    <row r="24731" spans="1:9">
      <c r="A24731" s="22" t="str">
        <f>HYPERLINK("https://app.vivvix.com/360/KMI/IntelliDrive/ApplUI/Pages/CreativePages/CustomReportCreativeDetail.aspx?App=23&amp;ReportView=4&amp;Qid=1711279&amp;Row=24723&amp;Col=1","No Title Assigned - #15284083491")</f>
        <v/>
      </c>
      <c r="B24731" s="0" t="s">
        <v>33181</v>
      </c>
      <c r="C24731" s="0" t="s">
        <v>33182</v>
      </c>
      <c r="D24731" s="0" t="s">
        <v>33182</v>
      </c>
      <c r="E24731" s="0" t="inlineStr">
        <is>
          <t xml:space="preserve">Mazda</t>
        </is>
      </c>
      <c r="F24731" s="0" t="s">
        <v>13</v>
      </c>
      <c r="G24731" s="0" t="s">
        <v>49</v>
      </c>
      <c r="H24731" s="5">
        <v>216.536700</v>
      </c>
    </row>
    <row r="24732" spans="1:9">
      <c r="A24732" s="22" t="str">
        <f>HYPERLINK("https://app.vivvix.com/360/KMI/IntelliDrive/ApplUI/Pages/CreativePages/CustomReportCreativeDetail.aspx?App=23&amp;ReportView=4&amp;Qid=1711279&amp;Row=24724&amp;Col=1","No Title Assigned - #15284091338")</f>
        <v/>
      </c>
      <c r="B24732" s="0" t="s">
        <v>33183</v>
      </c>
      <c r="C24732" s="0" t="s">
        <v>33184</v>
      </c>
      <c r="D24732" s="0" t="s">
        <v>33184</v>
      </c>
      <c r="E24732" s="0" t="inlineStr">
        <is>
          <t xml:space="preserve">Mazda</t>
        </is>
      </c>
      <c r="F24732" s="0" t="s">
        <v>13</v>
      </c>
      <c r="G24732" s="0" t="s">
        <v>49</v>
      </c>
      <c r="H24732" s="5">
        <v>34.810400</v>
      </c>
    </row>
    <row r="24733" spans="1:9">
      <c r="A24733" s="22" t="str">
        <f>HYPERLINK("https://app.vivvix.com/360/KMI/IntelliDrive/ApplUI/Pages/CreativePages/CustomReportCreativeDetail.aspx?App=23&amp;ReportView=4&amp;Qid=1711279&amp;Row=24725&amp;Col=1","No Title Assigned - #15284097552")</f>
        <v/>
      </c>
      <c r="B24733" s="0" t="s">
        <v>33185</v>
      </c>
      <c r="C24733" s="0" t="s">
        <v>33186</v>
      </c>
      <c r="D24733" s="0" t="s">
        <v>10775</v>
      </c>
      <c r="E24733" s="0" t="inlineStr">
        <is>
          <t xml:space="preserve">Mazda</t>
        </is>
      </c>
      <c r="F24733" s="0" t="s">
        <v>369</v>
      </c>
      <c r="G24733" s="0" t="s">
        <v>2644</v>
      </c>
      <c r="H24733" s="5">
        <v>42.021800</v>
      </c>
    </row>
    <row r="24734" spans="1:9">
      <c r="A24734" s="22" t="str">
        <f>HYPERLINK("https://app.vivvix.com/360/KMI/IntelliDrive/ApplUI/Pages/CreativePages/CustomReportCreativeDetail.aspx?App=23&amp;ReportView=4&amp;Qid=1711279&amp;Row=24726&amp;Col=1","No Title Assigned - #15284104148")</f>
        <v/>
      </c>
      <c r="B24734" s="0" t="s">
        <v>33187</v>
      </c>
      <c r="C24734" s="0" t="s">
        <v>33188</v>
      </c>
      <c r="D24734" s="0" t="s">
        <v>33188</v>
      </c>
      <c r="E24734" s="0" t="inlineStr">
        <is>
          <t xml:space="preserve">Mazda</t>
        </is>
      </c>
      <c r="F24734" s="0" t="s">
        <v>13</v>
      </c>
      <c r="G24734" s="0" t="s">
        <v>49</v>
      </c>
      <c r="H24734" s="5">
        <v>509.116800</v>
      </c>
    </row>
    <row r="24735" spans="1:9">
      <c r="A24735" s="22" t="str">
        <f>HYPERLINK("https://app.vivvix.com/360/KMI/IntelliDrive/ApplUI/Pages/CreativePages/CustomReportCreativeDetail.aspx?App=23&amp;ReportView=4&amp;Qid=1711279&amp;Row=24727&amp;Col=1","No Title Assigned - #15284105940")</f>
        <v/>
      </c>
      <c r="B24735" s="0" t="s">
        <v>33189</v>
      </c>
      <c r="E24735" s="0" t="inlineStr">
        <is>
          <t xml:space="preserve">Mazda</t>
        </is>
      </c>
      <c r="F24735" s="0" t="inlineStr">
        <is>
          <t xml:space="preserve">Mazda</t>
        </is>
      </c>
      <c r="G24735" s="0" t="s">
        <v>171</v>
      </c>
      <c r="H24735" s="5">
        <v>5595.646400</v>
      </c>
    </row>
    <row r="24736" spans="1:9">
      <c r="A24736" s="22" t="str">
        <f>HYPERLINK("https://app.vivvix.com/360/KMI/IntelliDrive/ApplUI/Pages/CreativePages/CustomReportCreativeDetail.aspx?App=23&amp;ReportView=4&amp;Qid=1711279&amp;Row=24728&amp;Col=1","No Title Assigned - #15284111242")</f>
        <v/>
      </c>
      <c r="B24736" s="0" t="s">
        <v>33190</v>
      </c>
      <c r="E24736" s="0" t="inlineStr">
        <is>
          <t xml:space="preserve">Mazda</t>
        </is>
      </c>
      <c r="F24736" s="0" t="inlineStr">
        <is>
          <t xml:space="preserve">Mazda</t>
        </is>
      </c>
      <c r="G24736" s="0" t="s">
        <v>171</v>
      </c>
      <c r="H24736" s="5">
        <v>3813.363500</v>
      </c>
    </row>
    <row r="24737" spans="1:9">
      <c r="A24737" s="22" t="str">
        <f>HYPERLINK("https://app.vivvix.com/360/KMI/IntelliDrive/ApplUI/Pages/CreativePages/CustomReportCreativeDetail.aspx?App=23&amp;ReportView=4&amp;Qid=1711279&amp;Row=24729&amp;Col=1","No Title Assigned - #15284120924")</f>
        <v/>
      </c>
      <c r="B24737" s="0" t="s">
        <v>33191</v>
      </c>
      <c r="E24737" s="0" t="inlineStr">
        <is>
          <t xml:space="preserve">Mazda</t>
        </is>
      </c>
      <c r="F24737" s="0" t="inlineStr">
        <is>
          <t xml:space="preserve">Mazda</t>
        </is>
      </c>
      <c r="G24737" s="0" t="s">
        <v>171</v>
      </c>
      <c r="H24737" s="5">
        <v>1752.515300</v>
      </c>
    </row>
    <row r="24738" spans="1:9">
      <c r="A24738" s="22" t="str">
        <f>HYPERLINK("https://app.vivvix.com/360/KMI/IntelliDrive/ApplUI/Pages/CreativePages/CustomReportCreativeDetail.aspx?App=23&amp;ReportView=4&amp;Qid=1711279&amp;Row=24730&amp;Col=1","No Title Assigned - #15284123424")</f>
        <v/>
      </c>
      <c r="B24738" s="0" t="s">
        <v>33192</v>
      </c>
      <c r="E24738" s="0" t="inlineStr">
        <is>
          <t xml:space="preserve">Mazda</t>
        </is>
      </c>
      <c r="F24738" s="0" t="inlineStr">
        <is>
          <t xml:space="preserve">Mazda</t>
        </is>
      </c>
      <c r="G24738" s="0" t="s">
        <v>171</v>
      </c>
      <c r="H24738" s="5">
        <v>856.435300</v>
      </c>
    </row>
    <row r="24739" spans="1:9">
      <c r="A24739" s="22" t="str">
        <f>HYPERLINK("https://app.vivvix.com/360/KMI/IntelliDrive/ApplUI/Pages/CreativePages/CustomReportCreativeDetail.aspx?App=23&amp;ReportView=4&amp;Qid=1711279&amp;Row=24731&amp;Col=1","No Title Assigned - #15284146095")</f>
        <v/>
      </c>
      <c r="B24739" s="0" t="s">
        <v>33193</v>
      </c>
      <c r="C24739" s="0" t="s">
        <v>33194</v>
      </c>
      <c r="D24739" s="0" t="s">
        <v>33194</v>
      </c>
      <c r="E24739" s="0" t="inlineStr">
        <is>
          <t xml:space="preserve">Mazda</t>
        </is>
      </c>
      <c r="F24739" s="0" t="s">
        <v>13</v>
      </c>
      <c r="G24739" s="0" t="s">
        <v>49</v>
      </c>
      <c r="H24739" s="5">
        <v>68.346800</v>
      </c>
    </row>
    <row r="24740" spans="1:9">
      <c r="A24740" s="22" t="str">
        <f>HYPERLINK("https://app.vivvix.com/360/KMI/IntelliDrive/ApplUI/Pages/CreativePages/CustomReportCreativeDetail.aspx?App=23&amp;ReportView=4&amp;Qid=1711279&amp;Row=24732&amp;Col=1","No Title Assigned - #15284150159")</f>
        <v/>
      </c>
      <c r="B24740" s="0" t="s">
        <v>33195</v>
      </c>
      <c r="C24740" s="0" t="s">
        <v>33196</v>
      </c>
      <c r="D24740" s="0" t="s">
        <v>33196</v>
      </c>
      <c r="E24740" s="0" t="inlineStr">
        <is>
          <t xml:space="preserve">Mazda</t>
        </is>
      </c>
      <c r="F24740" s="0" t="inlineStr">
        <is>
          <t xml:space="preserve">Mazda</t>
        </is>
      </c>
      <c r="G24740" s="0" t="s">
        <v>210</v>
      </c>
      <c r="H24740" s="5">
        <v>8029.283400</v>
      </c>
    </row>
    <row r="24741" spans="1:9">
      <c r="A24741" s="22" t="str">
        <f>HYPERLINK("https://app.vivvix.com/360/KMI/IntelliDrive/ApplUI/Pages/CreativePages/CustomReportCreativeDetail.aspx?App=23&amp;ReportView=4&amp;Qid=1711279&amp;Row=24733&amp;Col=1","No Title Assigned - #15284151004")</f>
        <v/>
      </c>
      <c r="B24741" s="0" t="s">
        <v>33197</v>
      </c>
      <c r="C24741" s="0" t="s">
        <v>33198</v>
      </c>
      <c r="D24741" s="0" t="s">
        <v>33198</v>
      </c>
      <c r="E24741" s="0" t="inlineStr">
        <is>
          <t xml:space="preserve">Mazda</t>
        </is>
      </c>
      <c r="F24741" s="0" t="inlineStr">
        <is>
          <t xml:space="preserve">Mazda</t>
        </is>
      </c>
      <c r="G24741" s="0" t="s">
        <v>2413</v>
      </c>
      <c r="H24741" s="5">
        <v>605.772100</v>
      </c>
    </row>
    <row r="24742" spans="1:9">
      <c r="A24742" s="22" t="str">
        <f>HYPERLINK("https://app.vivvix.com/360/KMI/IntelliDrive/ApplUI/Pages/CreativePages/CustomReportCreativeDetail.aspx?App=23&amp;ReportView=4&amp;Qid=1711279&amp;Row=24734&amp;Col=1","No Title Assigned - #15284152898")</f>
        <v/>
      </c>
      <c r="B24742" s="0" t="s">
        <v>33199</v>
      </c>
      <c r="C24742" s="0" t="s">
        <v>33200</v>
      </c>
      <c r="D24742" s="0" t="s">
        <v>33200</v>
      </c>
      <c r="E24742" s="0" t="inlineStr">
        <is>
          <t xml:space="preserve">Mazda</t>
        </is>
      </c>
      <c r="F24742" s="0" t="s">
        <v>13</v>
      </c>
      <c r="G24742" s="0" t="s">
        <v>49</v>
      </c>
      <c r="H24742" s="5">
        <v>15858.887100</v>
      </c>
    </row>
    <row r="24743" spans="1:9">
      <c r="A24743" s="22" t="str">
        <f>HYPERLINK("https://app.vivvix.com/360/KMI/IntelliDrive/ApplUI/Pages/CreativePages/CustomReportCreativeDetail.aspx?App=23&amp;ReportView=4&amp;Qid=1711279&amp;Row=24735&amp;Col=1","No Title Assigned - #15284158141")</f>
        <v/>
      </c>
      <c r="B24743" s="0" t="s">
        <v>33201</v>
      </c>
      <c r="C24743" s="0" t="s">
        <v>33202</v>
      </c>
      <c r="D24743" s="0" t="s">
        <v>33056</v>
      </c>
      <c r="E24743" s="0" t="inlineStr">
        <is>
          <t xml:space="preserve">Mazda</t>
        </is>
      </c>
      <c r="F24743" s="0" t="s">
        <v>13</v>
      </c>
      <c r="G24743" s="0" t="s">
        <v>49</v>
      </c>
      <c r="H24743" s="5">
        <v>2567.937300</v>
      </c>
    </row>
    <row r="24744" spans="1:9">
      <c r="A24744" s="22" t="str">
        <f>HYPERLINK("https://app.vivvix.com/360/KMI/IntelliDrive/ApplUI/Pages/CreativePages/CustomReportCreativeDetail.aspx?App=23&amp;ReportView=4&amp;Qid=1711279&amp;Row=24736&amp;Col=1","No Title Assigned - #15284159969")</f>
        <v/>
      </c>
      <c r="B24744" s="0" t="s">
        <v>33203</v>
      </c>
      <c r="C24744" s="0" t="s">
        <v>33204</v>
      </c>
      <c r="D24744" s="0" t="s">
        <v>32442</v>
      </c>
      <c r="E24744" s="0" t="inlineStr">
        <is>
          <t xml:space="preserve">Mazda</t>
        </is>
      </c>
      <c r="F24744" s="0" t="s">
        <v>13</v>
      </c>
      <c r="G24744" s="0" t="s">
        <v>49</v>
      </c>
      <c r="H24744" s="5">
        <v>46.973800</v>
      </c>
    </row>
    <row r="24745" spans="1:9">
      <c r="A24745" s="22" t="str">
        <f>HYPERLINK("https://app.vivvix.com/360/KMI/IntelliDrive/ApplUI/Pages/CreativePages/CustomReportCreativeDetail.aspx?App=23&amp;ReportView=4&amp;Qid=1711279&amp;Row=24737&amp;Col=1","No Title Assigned - #15284161588")</f>
        <v/>
      </c>
      <c r="B24745" s="0" t="s">
        <v>33205</v>
      </c>
      <c r="C24745" s="0" t="s">
        <v>33206</v>
      </c>
      <c r="D24745" s="0" t="s">
        <v>33206</v>
      </c>
      <c r="E24745" s="0" t="inlineStr">
        <is>
          <t xml:space="preserve">Mazda</t>
        </is>
      </c>
      <c r="F24745" s="0" t="s">
        <v>13</v>
      </c>
      <c r="G24745" s="0" t="s">
        <v>49</v>
      </c>
      <c r="H24745" s="5">
        <v>72.305800</v>
      </c>
    </row>
    <row r="24746" spans="1:9">
      <c r="A24746" s="22" t="str">
        <f>HYPERLINK("https://app.vivvix.com/360/KMI/IntelliDrive/ApplUI/Pages/CreativePages/CustomReportCreativeDetail.aspx?App=23&amp;ReportView=4&amp;Qid=1711279&amp;Row=24738&amp;Col=1","No Title Assigned - #15284165091")</f>
        <v/>
      </c>
      <c r="B24746" s="0" t="s">
        <v>33207</v>
      </c>
      <c r="E24746" s="0" t="inlineStr">
        <is>
          <t xml:space="preserve">Mazda</t>
        </is>
      </c>
      <c r="F24746" s="0" t="inlineStr">
        <is>
          <t xml:space="preserve">Mazda</t>
        </is>
      </c>
      <c r="G24746" s="0" t="s">
        <v>171</v>
      </c>
      <c r="H24746" s="5">
        <v>2604.887900</v>
      </c>
    </row>
    <row r="24747" spans="1:9">
      <c r="A24747" s="22" t="str">
        <f>HYPERLINK("https://app.vivvix.com/360/KMI/IntelliDrive/ApplUI/Pages/CreativePages/CustomReportCreativeDetail.aspx?App=23&amp;ReportView=4&amp;Qid=1711279&amp;Row=24739&amp;Col=1","No Title Assigned - #15284165550")</f>
        <v/>
      </c>
      <c r="B24747" s="0" t="s">
        <v>33208</v>
      </c>
      <c r="E24747" s="0" t="inlineStr">
        <is>
          <t xml:space="preserve">Mazda</t>
        </is>
      </c>
      <c r="F24747" s="0" t="inlineStr">
        <is>
          <t xml:space="preserve">Mazda</t>
        </is>
      </c>
      <c r="G24747" s="0" t="s">
        <v>171</v>
      </c>
      <c r="H24747" s="5">
        <v>996.905900</v>
      </c>
    </row>
    <row r="24748" spans="1:9">
      <c r="A24748" s="22" t="str">
        <f>HYPERLINK("https://app.vivvix.com/360/KMI/IntelliDrive/ApplUI/Pages/CreativePages/CustomReportCreativeDetail.aspx?App=23&amp;ReportView=4&amp;Qid=1711279&amp;Row=24740&amp;Col=1","No Title Assigned - #15284166382")</f>
        <v/>
      </c>
      <c r="B24748" s="0" t="s">
        <v>33209</v>
      </c>
      <c r="E24748" s="0" t="inlineStr">
        <is>
          <t xml:space="preserve">Mazda</t>
        </is>
      </c>
      <c r="F24748" s="0" t="inlineStr">
        <is>
          <t xml:space="preserve">Mazda</t>
        </is>
      </c>
      <c r="G24748" s="0" t="s">
        <v>171</v>
      </c>
      <c r="H24748" s="5">
        <v>1171.208700</v>
      </c>
    </row>
    <row r="24749" spans="1:9">
      <c r="A24749" s="22" t="str">
        <f>HYPERLINK("https://app.vivvix.com/360/KMI/IntelliDrive/ApplUI/Pages/CreativePages/CustomReportCreativeDetail.aspx?App=23&amp;ReportView=4&amp;Qid=1711279&amp;Row=24741&amp;Col=1","No Title Assigned - #15284169375")</f>
        <v/>
      </c>
      <c r="B24749" s="0" t="s">
        <v>33210</v>
      </c>
      <c r="E24749" s="0" t="inlineStr">
        <is>
          <t xml:space="preserve">Mazda</t>
        </is>
      </c>
      <c r="F24749" s="0" t="inlineStr">
        <is>
          <t xml:space="preserve">Mazda</t>
        </is>
      </c>
      <c r="G24749" s="0" t="s">
        <v>171</v>
      </c>
      <c r="H24749" s="5">
        <v>515.384400</v>
      </c>
    </row>
    <row r="24750" spans="1:9">
      <c r="A24750" s="22" t="str">
        <f>HYPERLINK("https://app.vivvix.com/360/KMI/IntelliDrive/ApplUI/Pages/CreativePages/CustomReportCreativeDetail.aspx?App=23&amp;ReportView=4&amp;Qid=1711279&amp;Row=24742&amp;Col=1","No Title Assigned - #15284169962")</f>
        <v/>
      </c>
      <c r="B24750" s="0" t="s">
        <v>33211</v>
      </c>
      <c r="E24750" s="0" t="inlineStr">
        <is>
          <t xml:space="preserve">Mazda</t>
        </is>
      </c>
      <c r="F24750" s="0" t="inlineStr">
        <is>
          <t xml:space="preserve">Mazda</t>
        </is>
      </c>
      <c r="G24750" s="0" t="s">
        <v>171</v>
      </c>
      <c r="H24750" s="5">
        <v>167.690000</v>
      </c>
    </row>
    <row r="24751" spans="1:9">
      <c r="A24751" s="22" t="str">
        <f>HYPERLINK("https://app.vivvix.com/360/KMI/IntelliDrive/ApplUI/Pages/CreativePages/CustomReportCreativeDetail.aspx?App=23&amp;ReportView=4&amp;Qid=1711279&amp;Row=24743&amp;Col=1","No Title Assigned - #15284170601")</f>
        <v/>
      </c>
      <c r="B24751" s="0" t="s">
        <v>33212</v>
      </c>
      <c r="E24751" s="0" t="inlineStr">
        <is>
          <t xml:space="preserve">Mazda</t>
        </is>
      </c>
      <c r="F24751" s="0" t="inlineStr">
        <is>
          <t xml:space="preserve">Mazda</t>
        </is>
      </c>
      <c r="G24751" s="0" t="s">
        <v>171</v>
      </c>
      <c r="H24751" s="5">
        <v>2111.666000</v>
      </c>
    </row>
    <row r="24752" spans="1:9">
      <c r="A24752" s="22" t="str">
        <f>HYPERLINK("https://app.vivvix.com/360/KMI/IntelliDrive/ApplUI/Pages/CreativePages/CustomReportCreativeDetail.aspx?App=23&amp;ReportView=4&amp;Qid=1711279&amp;Row=24744&amp;Col=1","No Title Assigned - #15284175598")</f>
        <v/>
      </c>
      <c r="B24752" s="0" t="s">
        <v>33213</v>
      </c>
      <c r="C24752" s="0" t="s">
        <v>33214</v>
      </c>
      <c r="D24752" s="0" t="s">
        <v>33214</v>
      </c>
      <c r="E24752" s="0" t="inlineStr">
        <is>
          <t xml:space="preserve">Mazda</t>
        </is>
      </c>
      <c r="F24752" s="0" t="s">
        <v>52</v>
      </c>
      <c r="G24752" s="0" t="s">
        <v>325</v>
      </c>
      <c r="H24752" s="5">
        <v>416.175600</v>
      </c>
    </row>
    <row r="24753" spans="1:9">
      <c r="A24753" s="22" t="str">
        <f>HYPERLINK("https://app.vivvix.com/360/KMI/IntelliDrive/ApplUI/Pages/CreativePages/CustomReportCreativeDetail.aspx?App=23&amp;ReportView=4&amp;Qid=1711279&amp;Row=24745&amp;Col=1","No Title Assigned - #15284192684")</f>
        <v/>
      </c>
      <c r="B24753" s="0" t="s">
        <v>33215</v>
      </c>
      <c r="E24753" s="0" t="inlineStr">
        <is>
          <t xml:space="preserve">Mazda</t>
        </is>
      </c>
      <c r="F24753" s="0" t="s">
        <v>13</v>
      </c>
      <c r="G24753" s="0" t="s">
        <v>49</v>
      </c>
      <c r="H24753" s="5">
        <v>3732.731400</v>
      </c>
    </row>
    <row r="24754" spans="1:9">
      <c r="A24754" s="22" t="str">
        <f>HYPERLINK("https://app.vivvix.com/360/KMI/IntelliDrive/ApplUI/Pages/CreativePages/CustomReportCreativeDetail.aspx?App=23&amp;ReportView=4&amp;Qid=1711279&amp;Row=24746&amp;Col=1","No Title Assigned - #15284201738")</f>
        <v/>
      </c>
      <c r="B24754" s="0" t="s">
        <v>33216</v>
      </c>
      <c r="C24754" s="0" t="s">
        <v>33217</v>
      </c>
      <c r="D24754" s="0" t="s">
        <v>33217</v>
      </c>
      <c r="E24754" s="0" t="inlineStr">
        <is>
          <t xml:space="preserve">Mazda</t>
        </is>
      </c>
      <c r="F24754" s="0" t="s">
        <v>13</v>
      </c>
      <c r="G24754" s="0" t="s">
        <v>49</v>
      </c>
      <c r="H24754" s="5">
        <v>2714.279300</v>
      </c>
    </row>
    <row r="24755" spans="1:9">
      <c r="A24755" s="22" t="str">
        <f>HYPERLINK("https://app.vivvix.com/360/KMI/IntelliDrive/ApplUI/Pages/CreativePages/CustomReportCreativeDetail.aspx?App=23&amp;ReportView=4&amp;Qid=1711279&amp;Row=24747&amp;Col=1","No Title Assigned - #15284204799")</f>
        <v/>
      </c>
      <c r="B24755" s="0" t="s">
        <v>33218</v>
      </c>
      <c r="C24755" s="0" t="s">
        <v>33219</v>
      </c>
      <c r="D24755" s="0" t="s">
        <v>33219</v>
      </c>
      <c r="E24755" s="0" t="inlineStr">
        <is>
          <t xml:space="preserve">Mazda</t>
        </is>
      </c>
      <c r="F24755" s="0" t="inlineStr">
        <is>
          <t xml:space="preserve">Mazda</t>
        </is>
      </c>
      <c r="G24755" s="0" t="s">
        <v>210</v>
      </c>
      <c r="H24755" s="5">
        <v>732.224500</v>
      </c>
    </row>
    <row r="24756" spans="1:9">
      <c r="A24756" s="22" t="str">
        <f>HYPERLINK("https://app.vivvix.com/360/KMI/IntelliDrive/ApplUI/Pages/CreativePages/CustomReportCreativeDetail.aspx?App=23&amp;ReportView=4&amp;Qid=1711279&amp;Row=24748&amp;Col=1","No Title Assigned - #15284208760")</f>
        <v/>
      </c>
      <c r="B24756" s="0" t="s">
        <v>33220</v>
      </c>
      <c r="C24756" s="0" t="s">
        <v>33221</v>
      </c>
      <c r="D24756" s="0" t="s">
        <v>33221</v>
      </c>
      <c r="E24756" s="0" t="inlineStr">
        <is>
          <t xml:space="preserve">Mazda</t>
        </is>
      </c>
      <c r="F24756" s="0" t="s">
        <v>13</v>
      </c>
      <c r="G24756" s="0" t="s">
        <v>49</v>
      </c>
      <c r="H24756" s="5">
        <v>2098.734600</v>
      </c>
    </row>
    <row r="24757" spans="1:9">
      <c r="A24757" s="22" t="str">
        <f>HYPERLINK("https://app.vivvix.com/360/KMI/IntelliDrive/ApplUI/Pages/CreativePages/CustomReportCreativeDetail.aspx?App=23&amp;ReportView=4&amp;Qid=1711279&amp;Row=24749&amp;Col=1","No Title Assigned - #15284210166")</f>
        <v/>
      </c>
      <c r="B24757" s="0" t="s">
        <v>33222</v>
      </c>
      <c r="C24757" s="0" t="s">
        <v>33223</v>
      </c>
      <c r="D24757" s="0" t="s">
        <v>33223</v>
      </c>
      <c r="E24757" s="0" t="inlineStr">
        <is>
          <t xml:space="preserve">Mazda</t>
        </is>
      </c>
      <c r="F24757" s="0" t="s">
        <v>13</v>
      </c>
      <c r="G24757" s="0" t="s">
        <v>49</v>
      </c>
      <c r="H24757" s="5">
        <v>5.127100</v>
      </c>
    </row>
    <row r="24758" spans="1:9">
      <c r="A24758" s="22" t="str">
        <f>HYPERLINK("https://app.vivvix.com/360/KMI/IntelliDrive/ApplUI/Pages/CreativePages/CustomReportCreativeDetail.aspx?App=23&amp;ReportView=4&amp;Qid=1711279&amp;Row=24750&amp;Col=1","No Title Assigned - #15284211793")</f>
        <v/>
      </c>
      <c r="B24758" s="0" t="s">
        <v>33224</v>
      </c>
      <c r="C24758" s="0" t="s">
        <v>33225</v>
      </c>
      <c r="D24758" s="0" t="s">
        <v>33225</v>
      </c>
      <c r="E24758" s="0" t="inlineStr">
        <is>
          <t xml:space="preserve">Mazda</t>
        </is>
      </c>
      <c r="F24758" s="0" t="s">
        <v>13</v>
      </c>
      <c r="G24758" s="0" t="s">
        <v>49</v>
      </c>
      <c r="H24758" s="5">
        <v>103.774400</v>
      </c>
    </row>
    <row r="24759" spans="1:9">
      <c r="A24759" s="22" t="str">
        <f>HYPERLINK("https://app.vivvix.com/360/KMI/IntelliDrive/ApplUI/Pages/CreativePages/CustomReportCreativeDetail.aspx?App=23&amp;ReportView=4&amp;Qid=1711279&amp;Row=24751&amp;Col=1","No Title Assigned - #15284211973")</f>
        <v/>
      </c>
      <c r="B24759" s="0" t="s">
        <v>33226</v>
      </c>
      <c r="C24759" s="0" t="s">
        <v>33227</v>
      </c>
      <c r="D24759" s="0" t="s">
        <v>33227</v>
      </c>
      <c r="E24759" s="0" t="inlineStr">
        <is>
          <t xml:space="preserve">Mazda</t>
        </is>
      </c>
      <c r="F24759" s="0" t="s">
        <v>13</v>
      </c>
      <c r="G24759" s="0" t="s">
        <v>49</v>
      </c>
      <c r="H24759" s="5">
        <v>4588.347000</v>
      </c>
    </row>
    <row r="24760" spans="1:9">
      <c r="A24760" s="22" t="str">
        <f>HYPERLINK("https://app.vivvix.com/360/KMI/IntelliDrive/ApplUI/Pages/CreativePages/CustomReportCreativeDetail.aspx?App=23&amp;ReportView=4&amp;Qid=1711279&amp;Row=24752&amp;Col=1","No Title Assigned - #15284211973")</f>
        <v/>
      </c>
      <c r="B24760" s="0" t="s">
        <v>33226</v>
      </c>
      <c r="E24760" s="0" t="inlineStr">
        <is>
          <t xml:space="preserve">Mazda</t>
        </is>
      </c>
      <c r="F24760" s="0" t="s">
        <v>13</v>
      </c>
      <c r="G24760" s="0" t="s">
        <v>49</v>
      </c>
      <c r="H24760" s="5">
        <v>5903.462400</v>
      </c>
    </row>
    <row r="24761" spans="1:9">
      <c r="A24761" s="22" t="str">
        <f>HYPERLINK("https://app.vivvix.com/360/KMI/IntelliDrive/ApplUI/Pages/CreativePages/CustomReportCreativeDetail.aspx?App=23&amp;ReportView=4&amp;Qid=1711279&amp;Row=24753&amp;Col=1","No Title Assigned - #15284212150")</f>
        <v/>
      </c>
      <c r="B24761" s="0" t="s">
        <v>33228</v>
      </c>
      <c r="C24761" s="0" t="s">
        <v>33229</v>
      </c>
      <c r="D24761" s="0" t="s">
        <v>33229</v>
      </c>
      <c r="E24761" s="0" t="inlineStr">
        <is>
          <t xml:space="preserve">Mazda</t>
        </is>
      </c>
      <c r="F24761" s="0" t="s">
        <v>13</v>
      </c>
      <c r="G24761" s="0" t="s">
        <v>49</v>
      </c>
      <c r="H24761" s="5">
        <v>1174.473100</v>
      </c>
    </row>
    <row r="24762" spans="1:9">
      <c r="A24762" s="22" t="str">
        <f>HYPERLINK("https://app.vivvix.com/360/KMI/IntelliDrive/ApplUI/Pages/CreativePages/CustomReportCreativeDetail.aspx?App=23&amp;ReportView=4&amp;Qid=1711279&amp;Row=24754&amp;Col=1","No Title Assigned - #15284214331")</f>
        <v/>
      </c>
      <c r="B24762" s="0" t="s">
        <v>33230</v>
      </c>
      <c r="E24762" s="0" t="inlineStr">
        <is>
          <t xml:space="preserve">Mazda</t>
        </is>
      </c>
      <c r="F24762" s="0" t="inlineStr">
        <is>
          <t xml:space="preserve">Mazda</t>
        </is>
      </c>
      <c r="G24762" s="0" t="s">
        <v>171</v>
      </c>
      <c r="H24762" s="5">
        <v>141.207100</v>
      </c>
    </row>
    <row r="24763" spans="1:9">
      <c r="A24763" s="22" t="str">
        <f>HYPERLINK("https://app.vivvix.com/360/KMI/IntelliDrive/ApplUI/Pages/CreativePages/CustomReportCreativeDetail.aspx?App=23&amp;ReportView=4&amp;Qid=1711279&amp;Row=24755&amp;Col=1","No Title Assigned - #15284216899")</f>
        <v/>
      </c>
      <c r="B24763" s="0" t="s">
        <v>33231</v>
      </c>
      <c r="C24763" s="0" t="s">
        <v>33232</v>
      </c>
      <c r="D24763" s="0" t="s">
        <v>33232</v>
      </c>
      <c r="E24763" s="0" t="inlineStr">
        <is>
          <t xml:space="preserve">Mazda</t>
        </is>
      </c>
      <c r="F24763" s="0" t="s">
        <v>369</v>
      </c>
      <c r="G24763" s="0" t="s">
        <v>370</v>
      </c>
      <c r="H24763" s="5">
        <v>13.446000</v>
      </c>
    </row>
    <row r="24764" spans="1:9">
      <c r="A24764" s="22" t="str">
        <f>HYPERLINK("https://app.vivvix.com/360/KMI/IntelliDrive/ApplUI/Pages/CreativePages/CustomReportCreativeDetail.aspx?App=23&amp;ReportView=4&amp;Qid=1711279&amp;Row=24756&amp;Col=1","No Title Assigned - #15284218482")</f>
        <v/>
      </c>
      <c r="B24764" s="0" t="s">
        <v>33233</v>
      </c>
      <c r="C24764" s="0" t="s">
        <v>33234</v>
      </c>
      <c r="D24764" s="0" t="s">
        <v>33234</v>
      </c>
      <c r="E24764" s="0" t="inlineStr">
        <is>
          <t xml:space="preserve">Mazda</t>
        </is>
      </c>
      <c r="F24764" s="0" t="s">
        <v>28</v>
      </c>
      <c r="G24764" s="0" t="s">
        <v>29</v>
      </c>
      <c r="H24764" s="5">
        <v>82.273300</v>
      </c>
    </row>
    <row r="24765" spans="1:9">
      <c r="A24765" s="22" t="str">
        <f>HYPERLINK("https://app.vivvix.com/360/KMI/IntelliDrive/ApplUI/Pages/CreativePages/CustomReportCreativeDetail.aspx?App=23&amp;ReportView=4&amp;Qid=1711279&amp;Row=24757&amp;Col=1","No Title Assigned - #15284218537")</f>
        <v/>
      </c>
      <c r="B24765" s="0" t="s">
        <v>33235</v>
      </c>
      <c r="C24765" s="0" t="s">
        <v>33236</v>
      </c>
      <c r="D24765" s="0" t="s">
        <v>33236</v>
      </c>
      <c r="E24765" s="0" t="inlineStr">
        <is>
          <t xml:space="preserve">Mazda</t>
        </is>
      </c>
      <c r="F24765" s="0" t="s">
        <v>17</v>
      </c>
      <c r="G24765" s="0" t="s">
        <v>33</v>
      </c>
      <c r="H24765" s="5">
        <v>167.690000</v>
      </c>
    </row>
    <row r="24766" spans="1:9">
      <c r="A24766" s="22" t="str">
        <f>HYPERLINK("https://app.vivvix.com/360/KMI/IntelliDrive/ApplUI/Pages/CreativePages/CustomReportCreativeDetail.aspx?App=23&amp;ReportView=4&amp;Qid=1711279&amp;Row=24758&amp;Col=1","No Title Assigned - #15284218722")</f>
        <v/>
      </c>
      <c r="B24766" s="0" t="s">
        <v>33237</v>
      </c>
      <c r="C24766" s="0" t="s">
        <v>33238</v>
      </c>
      <c r="D24766" s="0" t="s">
        <v>33238</v>
      </c>
      <c r="E24766" s="0" t="inlineStr">
        <is>
          <t xml:space="preserve">Mazda</t>
        </is>
      </c>
      <c r="F24766" s="0" t="inlineStr">
        <is>
          <t xml:space="preserve">Mazda</t>
        </is>
      </c>
      <c r="G24766" s="0" t="s">
        <v>2413</v>
      </c>
      <c r="H24766" s="5">
        <v>1277.031500</v>
      </c>
    </row>
    <row r="24767" spans="1:9">
      <c r="A24767" s="22" t="str">
        <f>HYPERLINK("https://app.vivvix.com/360/KMI/IntelliDrive/ApplUI/Pages/CreativePages/CustomReportCreativeDetail.aspx?App=23&amp;ReportView=4&amp;Qid=1711279&amp;Row=24759&amp;Col=1","No Title Assigned - #15284220102")</f>
        <v/>
      </c>
      <c r="B24767" s="0" t="s">
        <v>33239</v>
      </c>
      <c r="C24767" s="0" t="s">
        <v>33240</v>
      </c>
      <c r="D24767" s="0" t="s">
        <v>33240</v>
      </c>
      <c r="E24767" s="0" t="inlineStr">
        <is>
          <t xml:space="preserve">Mazda</t>
        </is>
      </c>
      <c r="F24767" s="0" t="s">
        <v>13</v>
      </c>
      <c r="G24767" s="0" t="s">
        <v>49</v>
      </c>
      <c r="H24767" s="5">
        <v>43.809300</v>
      </c>
    </row>
    <row r="24768" spans="1:9">
      <c r="A24768" s="22" t="str">
        <f>HYPERLINK("https://app.vivvix.com/360/KMI/IntelliDrive/ApplUI/Pages/CreativePages/CustomReportCreativeDetail.aspx?App=23&amp;ReportView=4&amp;Qid=1711279&amp;Row=24760&amp;Col=1","No Title Assigned - #15284220785")</f>
        <v/>
      </c>
      <c r="B24768" s="0" t="s">
        <v>33241</v>
      </c>
      <c r="C24768" s="0" t="s">
        <v>33242</v>
      </c>
      <c r="D24768" s="0" t="s">
        <v>33242</v>
      </c>
      <c r="E24768" s="0" t="inlineStr">
        <is>
          <t xml:space="preserve">Mazda</t>
        </is>
      </c>
      <c r="F24768" s="0" t="s">
        <v>369</v>
      </c>
      <c r="G24768" s="0" t="s">
        <v>370</v>
      </c>
      <c r="H24768" s="5">
        <v>113.573300</v>
      </c>
    </row>
    <row r="24769" spans="1:9">
      <c r="A24769" s="22" t="str">
        <f>HYPERLINK("https://app.vivvix.com/360/KMI/IntelliDrive/ApplUI/Pages/CreativePages/CustomReportCreativeDetail.aspx?App=23&amp;ReportView=4&amp;Qid=1711279&amp;Row=24761&amp;Col=1","No Title Assigned - #15284221163")</f>
        <v/>
      </c>
      <c r="B24769" s="0" t="s">
        <v>33243</v>
      </c>
      <c r="C24769" s="0" t="s">
        <v>33244</v>
      </c>
      <c r="D24769" s="0" t="s">
        <v>33244</v>
      </c>
      <c r="E24769" s="0" t="inlineStr">
        <is>
          <t xml:space="preserve">Mazda</t>
        </is>
      </c>
      <c r="F24769" s="0" t="s">
        <v>21</v>
      </c>
      <c r="G24769" s="0" t="s">
        <v>22</v>
      </c>
      <c r="H24769" s="5">
        <v>411.021800</v>
      </c>
    </row>
    <row r="24770" spans="1:9">
      <c r="A24770" s="22" t="str">
        <f>HYPERLINK("https://app.vivvix.com/360/KMI/IntelliDrive/ApplUI/Pages/CreativePages/CustomReportCreativeDetail.aspx?App=23&amp;ReportView=4&amp;Qid=1711279&amp;Row=24762&amp;Col=1","No Title Assigned - #15284231510")</f>
        <v/>
      </c>
      <c r="B24770" s="0" t="s">
        <v>33245</v>
      </c>
      <c r="C24770" s="0" t="s">
        <v>33246</v>
      </c>
      <c r="D24770" s="0" t="s">
        <v>33246</v>
      </c>
      <c r="E24770" s="0" t="inlineStr">
        <is>
          <t xml:space="preserve">Mazda</t>
        </is>
      </c>
      <c r="F24770" s="0" t="s">
        <v>115</v>
      </c>
      <c r="G24770" s="0" t="s">
        <v>365</v>
      </c>
      <c r="H24770" s="5">
        <v>878.162300</v>
      </c>
    </row>
    <row r="24771" spans="1:9">
      <c r="A24771" s="22" t="str">
        <f>HYPERLINK("https://app.vivvix.com/360/KMI/IntelliDrive/ApplUI/Pages/CreativePages/CustomReportCreativeDetail.aspx?App=23&amp;ReportView=4&amp;Qid=1711279&amp;Row=24763&amp;Col=1","No Title Assigned - #15284231603")</f>
        <v/>
      </c>
      <c r="B24771" s="0" t="s">
        <v>33247</v>
      </c>
      <c r="C24771" s="0" t="s">
        <v>33248</v>
      </c>
      <c r="D24771" s="0" t="s">
        <v>33248</v>
      </c>
      <c r="E24771" s="0" t="inlineStr">
        <is>
          <t xml:space="preserve">Mazda</t>
        </is>
      </c>
      <c r="F24771" s="0" t="s">
        <v>13</v>
      </c>
      <c r="G24771" s="0" t="s">
        <v>49</v>
      </c>
      <c r="H24771" s="5">
        <v>37.248800</v>
      </c>
    </row>
    <row r="24772" spans="1:9">
      <c r="A24772" s="22" t="str">
        <f>HYPERLINK("https://app.vivvix.com/360/KMI/IntelliDrive/ApplUI/Pages/CreativePages/CustomReportCreativeDetail.aspx?App=23&amp;ReportView=4&amp;Qid=1711279&amp;Row=24764&amp;Col=1","No Title Assigned - #15284231984")</f>
        <v/>
      </c>
      <c r="B24772" s="0" t="s">
        <v>33249</v>
      </c>
      <c r="C24772" s="0" t="s">
        <v>33250</v>
      </c>
      <c r="D24772" s="0" t="s">
        <v>33250</v>
      </c>
      <c r="E24772" s="0" t="inlineStr">
        <is>
          <t xml:space="preserve">Mazda</t>
        </is>
      </c>
      <c r="F24772" s="0" t="s">
        <v>13</v>
      </c>
      <c r="G24772" s="0" t="s">
        <v>49</v>
      </c>
      <c r="H24772" s="5">
        <v>836.122000</v>
      </c>
    </row>
    <row r="24773" spans="1:9">
      <c r="A24773" s="22" t="str">
        <f>HYPERLINK("https://app.vivvix.com/360/KMI/IntelliDrive/ApplUI/Pages/CreativePages/CustomReportCreativeDetail.aspx?App=23&amp;ReportView=4&amp;Qid=1711279&amp;Row=24765&amp;Col=1","No Title Assigned - #15284239633")</f>
        <v/>
      </c>
      <c r="B24773" s="0" t="s">
        <v>33251</v>
      </c>
      <c r="C24773" s="0" t="s">
        <v>33252</v>
      </c>
      <c r="D24773" s="0" t="s">
        <v>11420</v>
      </c>
      <c r="E24773" s="0" t="inlineStr">
        <is>
          <t xml:space="preserve">Mazda</t>
        </is>
      </c>
      <c r="F24773" s="0" t="s">
        <v>13</v>
      </c>
      <c r="G24773" s="0" t="s">
        <v>49</v>
      </c>
      <c r="H24773" s="5">
        <v>416.339100</v>
      </c>
    </row>
    <row r="24774" spans="1:9">
      <c r="A24774" s="22" t="str">
        <f>HYPERLINK("https://app.vivvix.com/360/KMI/IntelliDrive/ApplUI/Pages/CreativePages/CustomReportCreativeDetail.aspx?App=23&amp;ReportView=4&amp;Qid=1711279&amp;Row=24766&amp;Col=1","No Title Assigned - #15284251908")</f>
        <v/>
      </c>
      <c r="B24774" s="0" t="s">
        <v>33253</v>
      </c>
      <c r="C24774" s="0" t="s">
        <v>33254</v>
      </c>
      <c r="D24774" s="0" t="s">
        <v>32940</v>
      </c>
      <c r="E24774" s="0" t="inlineStr">
        <is>
          <t xml:space="preserve">Mazda</t>
        </is>
      </c>
      <c r="F24774" s="0" t="s">
        <v>13</v>
      </c>
      <c r="G24774" s="0" t="s">
        <v>49</v>
      </c>
      <c r="H24774" s="5">
        <v>10822.901400</v>
      </c>
    </row>
    <row r="24775" spans="1:9">
      <c r="A24775" s="22" t="str">
        <f>HYPERLINK("https://app.vivvix.com/360/KMI/IntelliDrive/ApplUI/Pages/CreativePages/CustomReportCreativeDetail.aspx?App=23&amp;ReportView=4&amp;Qid=1711279&amp;Row=24767&amp;Col=1","No Title Assigned - #15284253558")</f>
        <v/>
      </c>
      <c r="B24775" s="0" t="s">
        <v>33255</v>
      </c>
      <c r="C24775" s="0" t="s">
        <v>33256</v>
      </c>
      <c r="D24775" s="0" t="s">
        <v>33256</v>
      </c>
      <c r="E24775" s="0" t="inlineStr">
        <is>
          <t xml:space="preserve">Mazda</t>
        </is>
      </c>
      <c r="F24775" s="0" t="s">
        <v>13</v>
      </c>
      <c r="G24775" s="0" t="s">
        <v>49</v>
      </c>
      <c r="H24775" s="5">
        <v>422.746200</v>
      </c>
    </row>
    <row r="24776" spans="1:9">
      <c r="A24776" s="22" t="str">
        <f>HYPERLINK("https://app.vivvix.com/360/KMI/IntelliDrive/ApplUI/Pages/CreativePages/CustomReportCreativeDetail.aspx?App=23&amp;ReportView=4&amp;Qid=1711279&amp;Row=24768&amp;Col=1","No Title Assigned - #15284254254")</f>
        <v/>
      </c>
      <c r="B24776" s="0" t="s">
        <v>33257</v>
      </c>
      <c r="C24776" s="0" t="s">
        <v>33258</v>
      </c>
      <c r="D24776" s="0" t="s">
        <v>33258</v>
      </c>
      <c r="E24776" s="0" t="inlineStr">
        <is>
          <t xml:space="preserve">Mazda</t>
        </is>
      </c>
      <c r="F24776" s="0" t="s">
        <v>125</v>
      </c>
      <c r="G24776" s="0" t="s">
        <v>346</v>
      </c>
      <c r="H24776" s="5">
        <v>4843.434700</v>
      </c>
    </row>
    <row r="24777" spans="1:9">
      <c r="A24777" s="22" t="str">
        <f>HYPERLINK("https://app.vivvix.com/360/KMI/IntelliDrive/ApplUI/Pages/CreativePages/CustomReportCreativeDetail.aspx?App=23&amp;ReportView=4&amp;Qid=1711279&amp;Row=24769&amp;Col=1","No Title Assigned - #15284254429")</f>
        <v/>
      </c>
      <c r="B24777" s="0" t="s">
        <v>33259</v>
      </c>
      <c r="C24777" s="0" t="s">
        <v>33260</v>
      </c>
      <c r="D24777" s="0" t="s">
        <v>33260</v>
      </c>
      <c r="E24777" s="0" t="inlineStr">
        <is>
          <t xml:space="preserve">Mazda</t>
        </is>
      </c>
      <c r="F24777" s="0" t="s">
        <v>28</v>
      </c>
      <c r="G24777" s="0" t="s">
        <v>29</v>
      </c>
      <c r="H24777" s="5">
        <v>967.676000</v>
      </c>
    </row>
    <row r="24778" spans="1:9">
      <c r="A24778" s="22" t="str">
        <f>HYPERLINK("https://app.vivvix.com/360/KMI/IntelliDrive/ApplUI/Pages/CreativePages/CustomReportCreativeDetail.aspx?App=23&amp;ReportView=4&amp;Qid=1711279&amp;Row=24770&amp;Col=1","No Title Assigned - #15284255417")</f>
        <v/>
      </c>
      <c r="B24778" s="0" t="s">
        <v>33261</v>
      </c>
      <c r="C24778" s="0" t="s">
        <v>33262</v>
      </c>
      <c r="D24778" s="0" t="s">
        <v>33262</v>
      </c>
      <c r="E24778" s="0" t="inlineStr">
        <is>
          <t xml:space="preserve">Mazda</t>
        </is>
      </c>
      <c r="F24778" s="0" t="s">
        <v>13</v>
      </c>
      <c r="G24778" s="0" t="s">
        <v>49</v>
      </c>
      <c r="H24778" s="5">
        <v>1315.611800</v>
      </c>
    </row>
    <row r="24779" spans="1:9">
      <c r="A24779" s="22" t="str">
        <f>HYPERLINK("https://app.vivvix.com/360/KMI/IntelliDrive/ApplUI/Pages/CreativePages/CustomReportCreativeDetail.aspx?App=23&amp;ReportView=4&amp;Qid=1711279&amp;Row=24771&amp;Col=1","No Title Assigned - #15284255417")</f>
        <v/>
      </c>
      <c r="B24779" s="0" t="s">
        <v>33261</v>
      </c>
      <c r="E24779" s="0" t="inlineStr">
        <is>
          <t xml:space="preserve">Mazda</t>
        </is>
      </c>
      <c r="F24779" s="0" t="s">
        <v>13</v>
      </c>
      <c r="G24779" s="0" t="s">
        <v>49</v>
      </c>
      <c r="H24779" s="5">
        <v>31566.398400</v>
      </c>
    </row>
    <row r="24780" spans="1:9">
      <c r="A24780" s="22" t="str">
        <f>HYPERLINK("https://app.vivvix.com/360/KMI/IntelliDrive/ApplUI/Pages/CreativePages/CustomReportCreativeDetail.aspx?App=23&amp;ReportView=4&amp;Qid=1711279&amp;Row=24772&amp;Col=1","No Title Assigned - #15284259364")</f>
        <v/>
      </c>
      <c r="B24780" s="0" t="s">
        <v>33263</v>
      </c>
      <c r="C24780" s="0" t="s">
        <v>33264</v>
      </c>
      <c r="D24780" s="0" t="s">
        <v>33264</v>
      </c>
      <c r="E24780" s="0" t="inlineStr">
        <is>
          <t xml:space="preserve">Mazda</t>
        </is>
      </c>
      <c r="F24780" s="0" t="s">
        <v>13</v>
      </c>
      <c r="G24780" s="0" t="s">
        <v>49</v>
      </c>
      <c r="H24780" s="5">
        <v>23161.879500</v>
      </c>
    </row>
    <row r="24781" spans="1:9">
      <c r="A24781" s="22" t="str">
        <f>HYPERLINK("https://app.vivvix.com/360/KMI/IntelliDrive/ApplUI/Pages/CreativePages/CustomReportCreativeDetail.aspx?App=23&amp;ReportView=4&amp;Qid=1711279&amp;Row=24773&amp;Col=1","No Title Assigned - #15284260925")</f>
        <v/>
      </c>
      <c r="B24781" s="0" t="s">
        <v>33265</v>
      </c>
      <c r="C24781" s="0" t="s">
        <v>33266</v>
      </c>
      <c r="D24781" s="0" t="s">
        <v>33266</v>
      </c>
      <c r="E24781" s="0" t="inlineStr">
        <is>
          <t xml:space="preserve">Mazda</t>
        </is>
      </c>
      <c r="F24781" s="0" t="s">
        <v>13</v>
      </c>
      <c r="G24781" s="0" t="s">
        <v>49</v>
      </c>
      <c r="H24781" s="5">
        <v>5411.450700</v>
      </c>
    </row>
    <row r="24782" spans="1:9">
      <c r="A24782" s="22" t="str">
        <f>HYPERLINK("https://app.vivvix.com/360/KMI/IntelliDrive/ApplUI/Pages/CreativePages/CustomReportCreativeDetail.aspx?App=23&amp;ReportView=4&amp;Qid=1711279&amp;Row=24774&amp;Col=1","No Title Assigned - #15284261073")</f>
        <v/>
      </c>
      <c r="B24782" s="0" t="s">
        <v>33267</v>
      </c>
      <c r="C24782" s="0" t="s">
        <v>33268</v>
      </c>
      <c r="D24782" s="0" t="s">
        <v>33268</v>
      </c>
      <c r="E24782" s="0" t="inlineStr">
        <is>
          <t xml:space="preserve">Mazda</t>
        </is>
      </c>
      <c r="F24782" s="0" t="s">
        <v>13</v>
      </c>
      <c r="G24782" s="0" t="s">
        <v>49</v>
      </c>
      <c r="H24782" s="5">
        <v>167.811700</v>
      </c>
    </row>
    <row r="24783" spans="1:9">
      <c r="A24783" s="22" t="str">
        <f>HYPERLINK("https://app.vivvix.com/360/KMI/IntelliDrive/ApplUI/Pages/CreativePages/CustomReportCreativeDetail.aspx?App=23&amp;ReportView=4&amp;Qid=1711279&amp;Row=24775&amp;Col=1","No Title Assigned - #15284261116")</f>
        <v/>
      </c>
      <c r="B24783" s="0" t="s">
        <v>33269</v>
      </c>
      <c r="C24783" s="0" t="s">
        <v>33270</v>
      </c>
      <c r="D24783" s="0" t="s">
        <v>33270</v>
      </c>
      <c r="E24783" s="0" t="inlineStr">
        <is>
          <t xml:space="preserve">Mazda</t>
        </is>
      </c>
      <c r="F24783" s="0" t="s">
        <v>13</v>
      </c>
      <c r="G24783" s="0" t="s">
        <v>49</v>
      </c>
      <c r="H24783" s="5">
        <v>1174.473100</v>
      </c>
    </row>
    <row r="24784" spans="1:9">
      <c r="A24784" s="22" t="str">
        <f>HYPERLINK("https://app.vivvix.com/360/KMI/IntelliDrive/ApplUI/Pages/CreativePages/CustomReportCreativeDetail.aspx?App=23&amp;ReportView=4&amp;Qid=1711279&amp;Row=24776&amp;Col=1","No Title Assigned - #15284266713")</f>
        <v/>
      </c>
      <c r="B24784" s="0" t="s">
        <v>33271</v>
      </c>
      <c r="E24784" s="0" t="inlineStr">
        <is>
          <t xml:space="preserve">Mazda</t>
        </is>
      </c>
      <c r="F24784" s="0" t="inlineStr">
        <is>
          <t xml:space="preserve">Mazda</t>
        </is>
      </c>
      <c r="G24784" s="0" t="s">
        <v>171</v>
      </c>
      <c r="H24784" s="5">
        <v>267.188800</v>
      </c>
    </row>
    <row r="24785" spans="1:9">
      <c r="A24785" s="22" t="str">
        <f>HYPERLINK("https://app.vivvix.com/360/KMI/IntelliDrive/ApplUI/Pages/CreativePages/CustomReportCreativeDetail.aspx?App=23&amp;ReportView=4&amp;Qid=1711279&amp;Row=24777&amp;Col=1","No Title Assigned - #15284267359")</f>
        <v/>
      </c>
      <c r="B24785" s="0" t="s">
        <v>33272</v>
      </c>
      <c r="E24785" s="0" t="inlineStr">
        <is>
          <t xml:space="preserve">Mazda</t>
        </is>
      </c>
      <c r="F24785" s="0" t="inlineStr">
        <is>
          <t xml:space="preserve">Mazda</t>
        </is>
      </c>
      <c r="G24785" s="0" t="s">
        <v>171</v>
      </c>
      <c r="H24785" s="5">
        <v>1171.208700</v>
      </c>
    </row>
    <row r="24786" spans="1:9">
      <c r="A24786" s="22" t="str">
        <f>HYPERLINK("https://app.vivvix.com/360/KMI/IntelliDrive/ApplUI/Pages/CreativePages/CustomReportCreativeDetail.aspx?App=23&amp;ReportView=4&amp;Qid=1711279&amp;Row=24778&amp;Col=1","No Title Assigned - #15284271319")</f>
        <v/>
      </c>
      <c r="B24786" s="0" t="s">
        <v>33273</v>
      </c>
      <c r="E24786" s="0" t="inlineStr">
        <is>
          <t xml:space="preserve">Mazda</t>
        </is>
      </c>
      <c r="F24786" s="0" t="inlineStr">
        <is>
          <t xml:space="preserve">Mazda</t>
        </is>
      </c>
      <c r="G24786" s="0" t="s">
        <v>171</v>
      </c>
      <c r="H24786" s="5">
        <v>3715.547600</v>
      </c>
    </row>
    <row r="24787" spans="1:9">
      <c r="A24787" s="22" t="str">
        <f>HYPERLINK("https://app.vivvix.com/360/KMI/IntelliDrive/ApplUI/Pages/CreativePages/CustomReportCreativeDetail.aspx?App=23&amp;ReportView=4&amp;Qid=1711279&amp;Row=24779&amp;Col=1","No Title Assigned - #15284271427")</f>
        <v/>
      </c>
      <c r="B24787" s="0" t="s">
        <v>33274</v>
      </c>
      <c r="E24787" s="0" t="inlineStr">
        <is>
          <t xml:space="preserve">Mazda</t>
        </is>
      </c>
      <c r="F24787" s="0" t="inlineStr">
        <is>
          <t xml:space="preserve">Mazda</t>
        </is>
      </c>
      <c r="G24787" s="0" t="s">
        <v>171</v>
      </c>
      <c r="H24787" s="5">
        <v>863.923000</v>
      </c>
    </row>
    <row r="24788" spans="1:9">
      <c r="A24788" s="22" t="str">
        <f>HYPERLINK("https://app.vivvix.com/360/KMI/IntelliDrive/ApplUI/Pages/CreativePages/CustomReportCreativeDetail.aspx?App=23&amp;ReportView=4&amp;Qid=1711279&amp;Row=24780&amp;Col=1","No Title Assigned - #15284271595")</f>
        <v/>
      </c>
      <c r="B24788" s="0" t="s">
        <v>33275</v>
      </c>
      <c r="E24788" s="0" t="inlineStr">
        <is>
          <t xml:space="preserve">Mazda</t>
        </is>
      </c>
      <c r="F24788" s="0" t="inlineStr">
        <is>
          <t xml:space="preserve">Mazda</t>
        </is>
      </c>
      <c r="G24788" s="0" t="s">
        <v>171</v>
      </c>
      <c r="H24788" s="5">
        <v>34.324700</v>
      </c>
    </row>
    <row r="24789" spans="1:9">
      <c r="A24789" s="22" t="str">
        <f>HYPERLINK("https://app.vivvix.com/360/KMI/IntelliDrive/ApplUI/Pages/CreativePages/CustomReportCreativeDetail.aspx?App=23&amp;ReportView=4&amp;Qid=1711279&amp;Row=24781&amp;Col=1","No Title Assigned - #15284271769")</f>
        <v/>
      </c>
      <c r="B24789" s="0" t="s">
        <v>33276</v>
      </c>
      <c r="E24789" s="0" t="inlineStr">
        <is>
          <t xml:space="preserve">Mazda</t>
        </is>
      </c>
      <c r="F24789" s="0" t="inlineStr">
        <is>
          <t xml:space="preserve">Mazda</t>
        </is>
      </c>
      <c r="G24789" s="0" t="s">
        <v>171</v>
      </c>
      <c r="H24789" s="5">
        <v>418.605000</v>
      </c>
    </row>
    <row r="24790" spans="1:9">
      <c r="A24790" s="22" t="str">
        <f>HYPERLINK("https://app.vivvix.com/360/KMI/IntelliDrive/ApplUI/Pages/CreativePages/CustomReportCreativeDetail.aspx?App=23&amp;ReportView=4&amp;Qid=1711279&amp;Row=24782&amp;Col=1","No Title Assigned - #15284272514")</f>
        <v/>
      </c>
      <c r="B24790" s="0" t="s">
        <v>33277</v>
      </c>
      <c r="E24790" s="0" t="inlineStr">
        <is>
          <t xml:space="preserve">Mazda</t>
        </is>
      </c>
      <c r="F24790" s="0" t="inlineStr">
        <is>
          <t xml:space="preserve">Mazda</t>
        </is>
      </c>
      <c r="G24790" s="0" t="s">
        <v>171</v>
      </c>
      <c r="H24790" s="5">
        <v>45.923800</v>
      </c>
    </row>
    <row r="24791" spans="1:9">
      <c r="A24791" s="22" t="str">
        <f>HYPERLINK("https://app.vivvix.com/360/KMI/IntelliDrive/ApplUI/Pages/CreativePages/CustomReportCreativeDetail.aspx?App=23&amp;ReportView=4&amp;Qid=1711279&amp;Row=24783&amp;Col=1","No Title Assigned - #15284272730")</f>
        <v/>
      </c>
      <c r="B24791" s="0" t="s">
        <v>33278</v>
      </c>
      <c r="E24791" s="0" t="inlineStr">
        <is>
          <t xml:space="preserve">Mazda</t>
        </is>
      </c>
      <c r="F24791" s="0" t="inlineStr">
        <is>
          <t xml:space="preserve">Mazda</t>
        </is>
      </c>
      <c r="G24791" s="0" t="s">
        <v>171</v>
      </c>
      <c r="H24791" s="5">
        <v>2618.567100</v>
      </c>
    </row>
    <row r="24792" spans="1:9">
      <c r="A24792" s="22" t="str">
        <f>HYPERLINK("https://app.vivvix.com/360/KMI/IntelliDrive/ApplUI/Pages/CreativePages/CustomReportCreativeDetail.aspx?App=23&amp;ReportView=4&amp;Qid=1711279&amp;Row=24784&amp;Col=1","No Title Assigned - #15284274094")</f>
        <v/>
      </c>
      <c r="B24792" s="0" t="s">
        <v>33279</v>
      </c>
      <c r="E24792" s="0" t="inlineStr">
        <is>
          <t xml:space="preserve">Mazda</t>
        </is>
      </c>
      <c r="F24792" s="0" t="inlineStr">
        <is>
          <t xml:space="preserve">Mazda</t>
        </is>
      </c>
      <c r="G24792" s="0" t="s">
        <v>171</v>
      </c>
      <c r="H24792" s="5">
        <v>53.627000</v>
      </c>
    </row>
    <row r="24793" spans="1:9">
      <c r="A24793" s="22" t="str">
        <f>HYPERLINK("https://app.vivvix.com/360/KMI/IntelliDrive/ApplUI/Pages/CreativePages/CustomReportCreativeDetail.aspx?App=23&amp;ReportView=4&amp;Qid=1711279&amp;Row=24785&amp;Col=1","No Title Assigned - #15284274700")</f>
        <v/>
      </c>
      <c r="B24793" s="0" t="s">
        <v>33280</v>
      </c>
      <c r="E24793" s="0" t="inlineStr">
        <is>
          <t xml:space="preserve">Mazda</t>
        </is>
      </c>
      <c r="F24793" s="0" t="inlineStr">
        <is>
          <t xml:space="preserve">Mazda</t>
        </is>
      </c>
      <c r="G24793" s="0" t="s">
        <v>171</v>
      </c>
      <c r="H24793" s="5">
        <v>50.296400</v>
      </c>
    </row>
    <row r="24794" spans="1:9">
      <c r="A24794" s="22" t="str">
        <f>HYPERLINK("https://app.vivvix.com/360/KMI/IntelliDrive/ApplUI/Pages/CreativePages/CustomReportCreativeDetail.aspx?App=23&amp;ReportView=4&amp;Qid=1711279&amp;Row=24786&amp;Col=1","No Title Assigned - #15284274702")</f>
        <v/>
      </c>
      <c r="B24794" s="0" t="s">
        <v>33281</v>
      </c>
      <c r="E24794" s="0" t="inlineStr">
        <is>
          <t xml:space="preserve">Mazda</t>
        </is>
      </c>
      <c r="F24794" s="0" t="inlineStr">
        <is>
          <t xml:space="preserve">Mazda</t>
        </is>
      </c>
      <c r="G24794" s="0" t="s">
        <v>171</v>
      </c>
      <c r="H24794" s="5">
        <v>1294.590200</v>
      </c>
    </row>
    <row r="24795" spans="1:9">
      <c r="A24795" s="22" t="str">
        <f>HYPERLINK("https://app.vivvix.com/360/KMI/IntelliDrive/ApplUI/Pages/CreativePages/CustomReportCreativeDetail.aspx?App=23&amp;ReportView=4&amp;Qid=1711279&amp;Row=24787&amp;Col=1","No Title Assigned - #15284274703")</f>
        <v/>
      </c>
      <c r="B24795" s="0" t="s">
        <v>33282</v>
      </c>
      <c r="E24795" s="0" t="inlineStr">
        <is>
          <t xml:space="preserve">Mazda</t>
        </is>
      </c>
      <c r="F24795" s="0" t="inlineStr">
        <is>
          <t xml:space="preserve">Mazda</t>
        </is>
      </c>
      <c r="G24795" s="0" t="s">
        <v>171</v>
      </c>
      <c r="H24795" s="5">
        <v>50.296400</v>
      </c>
    </row>
    <row r="24796" spans="1:9">
      <c r="A24796" s="22" t="str">
        <f>HYPERLINK("https://app.vivvix.com/360/KMI/IntelliDrive/ApplUI/Pages/CreativePages/CustomReportCreativeDetail.aspx?App=23&amp;ReportView=4&amp;Qid=1711279&amp;Row=24788&amp;Col=1","No Title Assigned - #15284275248")</f>
        <v/>
      </c>
      <c r="B24796" s="0" t="s">
        <v>33283</v>
      </c>
      <c r="E24796" s="0" t="inlineStr">
        <is>
          <t xml:space="preserve">Mazda</t>
        </is>
      </c>
      <c r="F24796" s="0" t="inlineStr">
        <is>
          <t xml:space="preserve">Mazda</t>
        </is>
      </c>
      <c r="G24796" s="0" t="s">
        <v>171</v>
      </c>
      <c r="H24796" s="5">
        <v>70.534500</v>
      </c>
    </row>
    <row r="24797" spans="1:9">
      <c r="A24797" s="22" t="str">
        <f>HYPERLINK("https://app.vivvix.com/360/KMI/IntelliDrive/ApplUI/Pages/CreativePages/CustomReportCreativeDetail.aspx?App=23&amp;ReportView=4&amp;Qid=1711279&amp;Row=24789&amp;Col=1","No Title Assigned - #15284278669")</f>
        <v/>
      </c>
      <c r="B24797" s="0" t="s">
        <v>33284</v>
      </c>
      <c r="E24797" s="0" t="inlineStr">
        <is>
          <t xml:space="preserve">Mazda</t>
        </is>
      </c>
      <c r="F24797" s="0" t="inlineStr">
        <is>
          <t xml:space="preserve">Mazda</t>
        </is>
      </c>
      <c r="G24797" s="0" t="s">
        <v>171</v>
      </c>
      <c r="H24797" s="5">
        <v>249.081900</v>
      </c>
    </row>
    <row r="24798" spans="1:9">
      <c r="A24798" s="22" t="str">
        <f>HYPERLINK("https://app.vivvix.com/360/KMI/IntelliDrive/ApplUI/Pages/CreativePages/CustomReportCreativeDetail.aspx?App=23&amp;ReportView=4&amp;Qid=1711279&amp;Row=24790&amp;Col=1","No Title Assigned - #15284280398")</f>
        <v/>
      </c>
      <c r="B24798" s="0" t="s">
        <v>33285</v>
      </c>
      <c r="E24798" s="0" t="inlineStr">
        <is>
          <t xml:space="preserve">Mazda</t>
        </is>
      </c>
      <c r="F24798" s="0" t="inlineStr">
        <is>
          <t xml:space="preserve">Mazda</t>
        </is>
      </c>
      <c r="G24798" s="0" t="s">
        <v>171</v>
      </c>
      <c r="H24798" s="5">
        <v>122.144000</v>
      </c>
    </row>
    <row r="24799" spans="1:9">
      <c r="A24799" s="22" t="str">
        <f>HYPERLINK("https://app.vivvix.com/360/KMI/IntelliDrive/ApplUI/Pages/CreativePages/CustomReportCreativeDetail.aspx?App=23&amp;ReportView=4&amp;Qid=1711279&amp;Row=24791&amp;Col=1","No Title Assigned - #15284285442")</f>
        <v/>
      </c>
      <c r="B24799" s="0" t="s">
        <v>33286</v>
      </c>
      <c r="E24799" s="0" t="inlineStr">
        <is>
          <t xml:space="preserve">Mazda</t>
        </is>
      </c>
      <c r="F24799" s="0" t="inlineStr">
        <is>
          <t xml:space="preserve">Mazda</t>
        </is>
      </c>
      <c r="G24799" s="0" t="s">
        <v>171</v>
      </c>
      <c r="H24799" s="5">
        <v>996.905900</v>
      </c>
    </row>
    <row r="24800" spans="1:9">
      <c r="A24800" s="22" t="str">
        <f>HYPERLINK("https://app.vivvix.com/360/KMI/IntelliDrive/ApplUI/Pages/CreativePages/CustomReportCreativeDetail.aspx?App=23&amp;ReportView=4&amp;Qid=1711279&amp;Row=24792&amp;Col=1","No Title Assigned - #15284307185")</f>
        <v/>
      </c>
      <c r="B24800" s="0" t="s">
        <v>33287</v>
      </c>
      <c r="C24800" s="0" t="s">
        <v>33288</v>
      </c>
      <c r="D24800" s="0" t="s">
        <v>33288</v>
      </c>
      <c r="E24800" s="0" t="inlineStr">
        <is>
          <t xml:space="preserve">Mazda</t>
        </is>
      </c>
      <c r="F24800" s="0" t="s">
        <v>13</v>
      </c>
      <c r="G24800" s="0" t="s">
        <v>49</v>
      </c>
      <c r="H24800" s="5">
        <v>1174.473100</v>
      </c>
    </row>
    <row r="24801" spans="1:9">
      <c r="A24801" s="22" t="str">
        <f>HYPERLINK("https://app.vivvix.com/360/KMI/IntelliDrive/ApplUI/Pages/CreativePages/CustomReportCreativeDetail.aspx?App=23&amp;ReportView=4&amp;Qid=1711279&amp;Row=24793&amp;Col=1","No Title Assigned - #15284317809")</f>
        <v/>
      </c>
      <c r="B24801" s="0" t="s">
        <v>33289</v>
      </c>
      <c r="C24801" s="0" t="s">
        <v>33290</v>
      </c>
      <c r="D24801" s="0" t="s">
        <v>33290</v>
      </c>
      <c r="E24801" s="0" t="inlineStr">
        <is>
          <t xml:space="preserve">Mazda</t>
        </is>
      </c>
      <c r="F24801" s="0" t="s">
        <v>13</v>
      </c>
      <c r="G24801" s="0" t="s">
        <v>49</v>
      </c>
      <c r="H24801" s="5">
        <v>3327.752600</v>
      </c>
    </row>
    <row r="24802" spans="1:9">
      <c r="A24802" s="22" t="str">
        <f>HYPERLINK("https://app.vivvix.com/360/KMI/IntelliDrive/ApplUI/Pages/CreativePages/CustomReportCreativeDetail.aspx?App=23&amp;ReportView=4&amp;Qid=1711279&amp;Row=24794&amp;Col=1","No Title Assigned - #15284320562")</f>
        <v/>
      </c>
      <c r="B24802" s="0" t="s">
        <v>33291</v>
      </c>
      <c r="E24802" s="0" t="inlineStr">
        <is>
          <t xml:space="preserve">Mazda</t>
        </is>
      </c>
      <c r="F24802" s="0" t="inlineStr">
        <is>
          <t xml:space="preserve">Mazda</t>
        </is>
      </c>
      <c r="G24802" s="0" t="s">
        <v>171</v>
      </c>
      <c r="H24802" s="5">
        <v>422.746200</v>
      </c>
    </row>
    <row r="24803" spans="1:9">
      <c r="A24803" s="22" t="str">
        <f>HYPERLINK("https://app.vivvix.com/360/KMI/IntelliDrive/ApplUI/Pages/CreativePages/CustomReportCreativeDetail.aspx?App=23&amp;ReportView=4&amp;Qid=1711279&amp;Row=24795&amp;Col=1","No Title Assigned - #15284321354")</f>
        <v/>
      </c>
      <c r="B24803" s="0" t="s">
        <v>33292</v>
      </c>
      <c r="C24803" s="0" t="s">
        <v>33293</v>
      </c>
      <c r="D24803" s="0" t="s">
        <v>33293</v>
      </c>
      <c r="E24803" s="0" t="inlineStr">
        <is>
          <t xml:space="preserve">Mazda</t>
        </is>
      </c>
      <c r="F24803" s="0" t="s">
        <v>13</v>
      </c>
      <c r="G24803" s="0" t="s">
        <v>49</v>
      </c>
      <c r="H24803" s="5">
        <v>771.102800</v>
      </c>
    </row>
    <row r="24804" spans="1:9">
      <c r="A24804" s="22" t="str">
        <f>HYPERLINK("https://app.vivvix.com/360/KMI/IntelliDrive/ApplUI/Pages/CreativePages/CustomReportCreativeDetail.aspx?App=23&amp;ReportView=4&amp;Qid=1711279&amp;Row=24796&amp;Col=1","No Title Assigned - #15284323673")</f>
        <v/>
      </c>
      <c r="B24804" s="0" t="s">
        <v>33294</v>
      </c>
      <c r="C24804" s="0" t="s">
        <v>33295</v>
      </c>
      <c r="D24804" s="0" t="s">
        <v>33295</v>
      </c>
      <c r="E24804" s="0" t="inlineStr">
        <is>
          <t xml:space="preserve">Mazda</t>
        </is>
      </c>
      <c r="F24804" s="0" t="s">
        <v>13</v>
      </c>
      <c r="G24804" s="0" t="s">
        <v>49</v>
      </c>
      <c r="H24804" s="5">
        <v>405.983000</v>
      </c>
    </row>
    <row r="24805" spans="1:9">
      <c r="A24805" s="22" t="str">
        <f>HYPERLINK("https://app.vivvix.com/360/KMI/IntelliDrive/ApplUI/Pages/CreativePages/CustomReportCreativeDetail.aspx?App=23&amp;ReportView=4&amp;Qid=1711279&amp;Row=24797&amp;Col=1","No Title Assigned - #15284324078")</f>
        <v/>
      </c>
      <c r="B24805" s="0" t="s">
        <v>33296</v>
      </c>
      <c r="C24805" s="0" t="s">
        <v>33297</v>
      </c>
      <c r="D24805" s="0" t="s">
        <v>33297</v>
      </c>
      <c r="E24805" s="0" t="inlineStr">
        <is>
          <t xml:space="preserve">Mazda</t>
        </is>
      </c>
      <c r="F24805" s="0" t="s">
        <v>13</v>
      </c>
      <c r="G24805" s="0" t="s">
        <v>49</v>
      </c>
      <c r="H24805" s="5">
        <v>925.787400</v>
      </c>
    </row>
    <row r="24806" spans="1:9">
      <c r="A24806" s="22" t="str">
        <f>HYPERLINK("https://app.vivvix.com/360/KMI/IntelliDrive/ApplUI/Pages/CreativePages/CustomReportCreativeDetail.aspx?App=23&amp;ReportView=4&amp;Qid=1711279&amp;Row=24798&amp;Col=1","No Title Assigned - #15284326699")</f>
        <v/>
      </c>
      <c r="B24806" s="0" t="s">
        <v>33298</v>
      </c>
      <c r="C24806" s="0" t="s">
        <v>33299</v>
      </c>
      <c r="D24806" s="0" t="s">
        <v>33299</v>
      </c>
      <c r="E24806" s="0" t="inlineStr">
        <is>
          <t xml:space="preserve">Mazda</t>
        </is>
      </c>
      <c r="F24806" s="0" t="s">
        <v>13</v>
      </c>
      <c r="G24806" s="0" t="s">
        <v>49</v>
      </c>
      <c r="H24806" s="5">
        <v>37.721400</v>
      </c>
    </row>
    <row r="24807" spans="1:9">
      <c r="A24807" s="22" t="str">
        <f>HYPERLINK("https://app.vivvix.com/360/KMI/IntelliDrive/ApplUI/Pages/CreativePages/CustomReportCreativeDetail.aspx?App=23&amp;ReportView=4&amp;Qid=1711279&amp;Row=24799&amp;Col=1","No Title Assigned - #15284343365")</f>
        <v/>
      </c>
      <c r="B24807" s="0" t="s">
        <v>33300</v>
      </c>
      <c r="E24807" s="0" t="inlineStr">
        <is>
          <t xml:space="preserve">Mazda</t>
        </is>
      </c>
      <c r="F24807" s="0" t="inlineStr">
        <is>
          <t xml:space="preserve">Mazda</t>
        </is>
      </c>
      <c r="G24807" s="0" t="s">
        <v>171</v>
      </c>
      <c r="H24807" s="5">
        <v>14316.641600</v>
      </c>
    </row>
    <row r="24808" spans="1:9">
      <c r="A24808" s="22" t="str">
        <f>HYPERLINK("https://app.vivvix.com/360/KMI/IntelliDrive/ApplUI/Pages/CreativePages/CustomReportCreativeDetail.aspx?App=23&amp;ReportView=4&amp;Qid=1711279&amp;Row=24800&amp;Col=1","No Title Assigned - #15284343365")</f>
        <v/>
      </c>
      <c r="B24808" s="0" t="s">
        <v>33300</v>
      </c>
      <c r="E24808" s="0" t="inlineStr">
        <is>
          <t xml:space="preserve">Mazda</t>
        </is>
      </c>
      <c r="F24808" s="0" t="inlineStr">
        <is>
          <t xml:space="preserve">Mazda</t>
        </is>
      </c>
      <c r="G24808" s="0" t="s">
        <v>171</v>
      </c>
      <c r="H24808" s="5">
        <v>5900.897000</v>
      </c>
    </row>
    <row r="24809" spans="1:9">
      <c r="A24809" s="22" t="str">
        <f>HYPERLINK("https://app.vivvix.com/360/KMI/IntelliDrive/ApplUI/Pages/CreativePages/CustomReportCreativeDetail.aspx?App=23&amp;ReportView=4&amp;Qid=1711279&amp;Row=24801&amp;Col=1","No Title Assigned - #15284345230")</f>
        <v/>
      </c>
      <c r="B24809" s="0" t="s">
        <v>33301</v>
      </c>
      <c r="E24809" s="0" t="inlineStr">
        <is>
          <t xml:space="preserve">Mazda</t>
        </is>
      </c>
      <c r="F24809" s="0" t="inlineStr">
        <is>
          <t xml:space="preserve">Mazda</t>
        </is>
      </c>
      <c r="G24809" s="0" t="s">
        <v>171</v>
      </c>
      <c r="H24809" s="5">
        <v>854.176700</v>
      </c>
    </row>
    <row r="24810" spans="1:9">
      <c r="A24810" s="22" t="str">
        <f>HYPERLINK("https://app.vivvix.com/360/KMI/IntelliDrive/ApplUI/Pages/CreativePages/CustomReportCreativeDetail.aspx?App=23&amp;ReportView=4&amp;Qid=1711279&amp;Row=24802&amp;Col=1","No Title Assigned - #15284357820")</f>
        <v/>
      </c>
      <c r="B24810" s="0" t="s">
        <v>33302</v>
      </c>
      <c r="C24810" s="0" t="s">
        <v>33303</v>
      </c>
      <c r="D24810" s="0" t="s">
        <v>33303</v>
      </c>
      <c r="E24810" s="0" t="inlineStr">
        <is>
          <t xml:space="preserve">Mazda</t>
        </is>
      </c>
      <c r="F24810" s="0" t="s">
        <v>13</v>
      </c>
      <c r="G24810" s="0" t="s">
        <v>49</v>
      </c>
      <c r="H24810" s="5">
        <v>103.147000</v>
      </c>
    </row>
    <row r="24811" spans="1:9">
      <c r="A24811" s="22" t="str">
        <f>HYPERLINK("https://app.vivvix.com/360/KMI/IntelliDrive/ApplUI/Pages/CreativePages/CustomReportCreativeDetail.aspx?App=23&amp;ReportView=4&amp;Qid=1711279&amp;Row=24803&amp;Col=1","No Title Assigned - #15284358777")</f>
        <v/>
      </c>
      <c r="B24811" s="0" t="s">
        <v>33304</v>
      </c>
      <c r="C24811" s="0" t="s">
        <v>33305</v>
      </c>
      <c r="D24811" s="0" t="s">
        <v>33305</v>
      </c>
      <c r="E24811" s="0" t="inlineStr">
        <is>
          <t xml:space="preserve">Mazda</t>
        </is>
      </c>
      <c r="F24811" s="0" t="s">
        <v>13</v>
      </c>
      <c r="G24811" s="0" t="s">
        <v>49</v>
      </c>
      <c r="H24811" s="5">
        <v>82.700600</v>
      </c>
    </row>
    <row r="24812" spans="1:9">
      <c r="A24812" s="22" t="str">
        <f>HYPERLINK("https://app.vivvix.com/360/KMI/IntelliDrive/ApplUI/Pages/CreativePages/CustomReportCreativeDetail.aspx?App=23&amp;ReportView=4&amp;Qid=1711279&amp;Row=24804&amp;Col=1","No Title Assigned - #15284362095")</f>
        <v/>
      </c>
      <c r="B24812" s="0" t="s">
        <v>33306</v>
      </c>
      <c r="C24812" s="0" t="s">
        <v>33307</v>
      </c>
      <c r="D24812" s="0" t="s">
        <v>33307</v>
      </c>
      <c r="E24812" s="0" t="inlineStr">
        <is>
          <t xml:space="preserve">Mazda</t>
        </is>
      </c>
      <c r="F24812" s="0" t="s">
        <v>13</v>
      </c>
      <c r="G24812" s="0" t="s">
        <v>49</v>
      </c>
      <c r="H24812" s="5">
        <v>856.301000</v>
      </c>
    </row>
    <row r="24813" spans="1:9">
      <c r="A24813" s="22" t="str">
        <f>HYPERLINK("https://app.vivvix.com/360/KMI/IntelliDrive/ApplUI/Pages/CreativePages/CustomReportCreativeDetail.aspx?App=23&amp;ReportView=4&amp;Qid=1711279&amp;Row=24805&amp;Col=1","No Title Assigned - #15284362095")</f>
        <v/>
      </c>
      <c r="B24813" s="0" t="s">
        <v>33306</v>
      </c>
      <c r="E24813" s="0" t="inlineStr">
        <is>
          <t xml:space="preserve">Mazda</t>
        </is>
      </c>
      <c r="F24813" s="0" t="s">
        <v>13</v>
      </c>
      <c r="G24813" s="0" t="s">
        <v>49</v>
      </c>
      <c r="H24813" s="5">
        <v>14240.787200</v>
      </c>
    </row>
    <row r="24814" spans="1:9">
      <c r="A24814" s="22" t="str">
        <f>HYPERLINK("https://app.vivvix.com/360/KMI/IntelliDrive/ApplUI/Pages/CreativePages/CustomReportCreativeDetail.aspx?App=23&amp;ReportView=4&amp;Qid=1711279&amp;Row=24806&amp;Col=1","No Title Assigned - #15284362402")</f>
        <v/>
      </c>
      <c r="B24814" s="0" t="s">
        <v>33308</v>
      </c>
      <c r="C24814" s="0" t="s">
        <v>33309</v>
      </c>
      <c r="D24814" s="0" t="s">
        <v>33309</v>
      </c>
      <c r="E24814" s="0" t="inlineStr">
        <is>
          <t xml:space="preserve">Mazda</t>
        </is>
      </c>
      <c r="F24814" s="0" t="s">
        <v>13</v>
      </c>
      <c r="G24814" s="0" t="s">
        <v>49</v>
      </c>
      <c r="H24814" s="5">
        <v>235.189100</v>
      </c>
    </row>
    <row r="24815" spans="1:9">
      <c r="A24815" s="22" t="str">
        <f>HYPERLINK("https://app.vivvix.com/360/KMI/IntelliDrive/ApplUI/Pages/CreativePages/CustomReportCreativeDetail.aspx?App=23&amp;ReportView=4&amp;Qid=1711279&amp;Row=24807&amp;Col=1","No Title Assigned - #15284365052")</f>
        <v/>
      </c>
      <c r="B24815" s="0" t="s">
        <v>33310</v>
      </c>
      <c r="C24815" s="0" t="s">
        <v>33311</v>
      </c>
      <c r="D24815" s="0" t="s">
        <v>33311</v>
      </c>
      <c r="E24815" s="0" t="inlineStr">
        <is>
          <t xml:space="preserve">Mazda</t>
        </is>
      </c>
      <c r="F24815" s="0" t="s">
        <v>13</v>
      </c>
      <c r="G24815" s="0" t="s">
        <v>49</v>
      </c>
      <c r="H24815" s="5">
        <v>996.905900</v>
      </c>
    </row>
    <row r="24816" spans="1:9">
      <c r="A24816" s="22" t="str">
        <f>HYPERLINK("https://app.vivvix.com/360/KMI/IntelliDrive/ApplUI/Pages/CreativePages/CustomReportCreativeDetail.aspx?App=23&amp;ReportView=4&amp;Qid=1711279&amp;Row=24808&amp;Col=1","No Title Assigned - #15284367416")</f>
        <v/>
      </c>
      <c r="B24816" s="0" t="s">
        <v>33312</v>
      </c>
      <c r="C24816" s="0" t="s">
        <v>33313</v>
      </c>
      <c r="D24816" s="0" t="s">
        <v>33313</v>
      </c>
      <c r="E24816" s="0" t="inlineStr">
        <is>
          <t xml:space="preserve">Mazda</t>
        </is>
      </c>
      <c r="F24816" s="0" t="s">
        <v>13</v>
      </c>
      <c r="G24816" s="0" t="s">
        <v>49</v>
      </c>
      <c r="H24816" s="5">
        <v>5.127100</v>
      </c>
    </row>
    <row r="24817" spans="1:9">
      <c r="A24817" s="22" t="str">
        <f>HYPERLINK("https://app.vivvix.com/360/KMI/IntelliDrive/ApplUI/Pages/CreativePages/CustomReportCreativeDetail.aspx?App=23&amp;ReportView=4&amp;Qid=1711279&amp;Row=24809&amp;Col=1","No Title Assigned - #15284367436")</f>
        <v/>
      </c>
      <c r="B24817" s="0" t="s">
        <v>33314</v>
      </c>
      <c r="C24817" s="0" t="s">
        <v>33315</v>
      </c>
      <c r="D24817" s="0" t="s">
        <v>33315</v>
      </c>
      <c r="E24817" s="0" t="inlineStr">
        <is>
          <t xml:space="preserve">Mazda</t>
        </is>
      </c>
      <c r="F24817" s="0" t="s">
        <v>13</v>
      </c>
      <c r="G24817" s="0" t="s">
        <v>49</v>
      </c>
      <c r="H24817" s="5">
        <v>5411.450700</v>
      </c>
    </row>
    <row r="24818" spans="1:9">
      <c r="A24818" s="22" t="str">
        <f>HYPERLINK("https://app.vivvix.com/360/KMI/IntelliDrive/ApplUI/Pages/CreativePages/CustomReportCreativeDetail.aspx?App=23&amp;ReportView=4&amp;Qid=1711279&amp;Row=24810&amp;Col=1","No Title Assigned - #15284369546")</f>
        <v/>
      </c>
      <c r="B24818" s="0" t="s">
        <v>33316</v>
      </c>
      <c r="C24818" s="0" t="s">
        <v>33317</v>
      </c>
      <c r="D24818" s="0" t="s">
        <v>33317</v>
      </c>
      <c r="E24818" s="0" t="inlineStr">
        <is>
          <t xml:space="preserve">Mazda</t>
        </is>
      </c>
      <c r="F24818" s="0" t="s">
        <v>13</v>
      </c>
      <c r="G24818" s="0" t="s">
        <v>49</v>
      </c>
      <c r="H24818" s="5">
        <v>435.366200</v>
      </c>
    </row>
    <row r="24819" spans="1:9">
      <c r="A24819" s="22" t="str">
        <f>HYPERLINK("https://app.vivvix.com/360/KMI/IntelliDrive/ApplUI/Pages/CreativePages/CustomReportCreativeDetail.aspx?App=23&amp;ReportView=4&amp;Qid=1711279&amp;Row=24811&amp;Col=1","No Title Assigned - #15284369553")</f>
        <v/>
      </c>
      <c r="B24819" s="0" t="s">
        <v>33318</v>
      </c>
      <c r="C24819" s="0" t="s">
        <v>33319</v>
      </c>
      <c r="D24819" s="0" t="s">
        <v>33319</v>
      </c>
      <c r="E24819" s="0" t="inlineStr">
        <is>
          <t xml:space="preserve">Mazda</t>
        </is>
      </c>
      <c r="F24819" s="0" t="s">
        <v>13</v>
      </c>
      <c r="G24819" s="0" t="s">
        <v>49</v>
      </c>
      <c r="H24819" s="5">
        <v>8.736200</v>
      </c>
    </row>
    <row r="24820" spans="1:9">
      <c r="A24820" s="22" t="str">
        <f>HYPERLINK("https://app.vivvix.com/360/KMI/IntelliDrive/ApplUI/Pages/CreativePages/CustomReportCreativeDetail.aspx?App=23&amp;ReportView=4&amp;Qid=1711279&amp;Row=24812&amp;Col=1","No Title Assigned - #15284369910")</f>
        <v/>
      </c>
      <c r="B24820" s="0" t="s">
        <v>33320</v>
      </c>
      <c r="C24820" s="0" t="s">
        <v>33321</v>
      </c>
      <c r="D24820" s="0" t="s">
        <v>33321</v>
      </c>
      <c r="E24820" s="0" t="inlineStr">
        <is>
          <t xml:space="preserve">Mazda</t>
        </is>
      </c>
      <c r="F24820" s="0" t="s">
        <v>13</v>
      </c>
      <c r="G24820" s="0" t="s">
        <v>49</v>
      </c>
      <c r="H24820" s="5">
        <v>1993.811800</v>
      </c>
    </row>
    <row r="24821" spans="1:9">
      <c r="A24821" s="22" t="str">
        <f>HYPERLINK("https://app.vivvix.com/360/KMI/IntelliDrive/ApplUI/Pages/CreativePages/CustomReportCreativeDetail.aspx?App=23&amp;ReportView=4&amp;Qid=1711279&amp;Row=24813&amp;Col=1","No Title Assigned - #15284370066")</f>
        <v/>
      </c>
      <c r="B24821" s="0" t="s">
        <v>33322</v>
      </c>
      <c r="C24821" s="0" t="s">
        <v>33323</v>
      </c>
      <c r="D24821" s="0" t="s">
        <v>33323</v>
      </c>
      <c r="E24821" s="0" t="inlineStr">
        <is>
          <t xml:space="preserve">Mazda</t>
        </is>
      </c>
      <c r="F24821" s="0" t="s">
        <v>13</v>
      </c>
      <c r="G24821" s="0" t="s">
        <v>49</v>
      </c>
      <c r="H24821" s="5">
        <v>1724.467200</v>
      </c>
    </row>
    <row r="24822" spans="1:9">
      <c r="A24822" s="22" t="str">
        <f>HYPERLINK("https://app.vivvix.com/360/KMI/IntelliDrive/ApplUI/Pages/CreativePages/CustomReportCreativeDetail.aspx?App=23&amp;ReportView=4&amp;Qid=1711279&amp;Row=24814&amp;Col=1","No Title Assigned - #15284370076")</f>
        <v/>
      </c>
      <c r="B24822" s="0" t="s">
        <v>33324</v>
      </c>
      <c r="C24822" s="0" t="s">
        <v>33325</v>
      </c>
      <c r="D24822" s="0" t="s">
        <v>33325</v>
      </c>
      <c r="E24822" s="0" t="inlineStr">
        <is>
          <t xml:space="preserve">Mazda</t>
        </is>
      </c>
      <c r="F24822" s="0" t="s">
        <v>13</v>
      </c>
      <c r="G24822" s="0" t="s">
        <v>49</v>
      </c>
      <c r="H24822" s="5">
        <v>361.529000</v>
      </c>
    </row>
    <row r="24823" spans="1:9">
      <c r="A24823" s="22" t="str">
        <f>HYPERLINK("https://app.vivvix.com/360/KMI/IntelliDrive/ApplUI/Pages/CreativePages/CustomReportCreativeDetail.aspx?App=23&amp;ReportView=4&amp;Qid=1711279&amp;Row=24815&amp;Col=1","No Title Assigned - #15284370121")</f>
        <v/>
      </c>
      <c r="B24823" s="0" t="s">
        <v>33326</v>
      </c>
      <c r="C24823" s="0" t="s">
        <v>33327</v>
      </c>
      <c r="D24823" s="0" t="s">
        <v>33327</v>
      </c>
      <c r="E24823" s="0" t="inlineStr">
        <is>
          <t xml:space="preserve">Mazda</t>
        </is>
      </c>
      <c r="F24823" s="0" t="s">
        <v>13</v>
      </c>
      <c r="G24823" s="0" t="s">
        <v>49</v>
      </c>
      <c r="H24823" s="5">
        <v>75.442800</v>
      </c>
    </row>
    <row r="24824" spans="1:9">
      <c r="A24824" s="22" t="str">
        <f>HYPERLINK("https://app.vivvix.com/360/KMI/IntelliDrive/ApplUI/Pages/CreativePages/CustomReportCreativeDetail.aspx?App=23&amp;ReportView=4&amp;Qid=1711279&amp;Row=24816&amp;Col=1","No Title Assigned - #15284370122")</f>
        <v/>
      </c>
      <c r="B24824" s="0" t="s">
        <v>33328</v>
      </c>
      <c r="C24824" s="0" t="s">
        <v>33329</v>
      </c>
      <c r="D24824" s="0" t="s">
        <v>32987</v>
      </c>
      <c r="E24824" s="0" t="inlineStr">
        <is>
          <t xml:space="preserve">Mazda</t>
        </is>
      </c>
      <c r="F24824" s="0" t="s">
        <v>13</v>
      </c>
      <c r="G24824" s="0" t="s">
        <v>49</v>
      </c>
      <c r="H24824" s="5">
        <v>99.220400</v>
      </c>
    </row>
    <row r="24825" spans="1:9">
      <c r="A24825" s="22" t="str">
        <f>HYPERLINK("https://app.vivvix.com/360/KMI/IntelliDrive/ApplUI/Pages/CreativePages/CustomReportCreativeDetail.aspx?App=23&amp;ReportView=4&amp;Qid=1711279&amp;Row=24817&amp;Col=1","No Title Assigned - #15284370123")</f>
        <v/>
      </c>
      <c r="B24825" s="0" t="s">
        <v>33330</v>
      </c>
      <c r="C24825" s="0" t="s">
        <v>33331</v>
      </c>
      <c r="D24825" s="0" t="s">
        <v>33331</v>
      </c>
      <c r="E24825" s="0" t="inlineStr">
        <is>
          <t xml:space="preserve">Mazda</t>
        </is>
      </c>
      <c r="F24825" s="0" t="s">
        <v>13</v>
      </c>
      <c r="G24825" s="0" t="s">
        <v>49</v>
      </c>
      <c r="H24825" s="5">
        <v>98.863800</v>
      </c>
    </row>
    <row r="24826" spans="1:9">
      <c r="A24826" s="22" t="str">
        <f>HYPERLINK("https://app.vivvix.com/360/KMI/IntelliDrive/ApplUI/Pages/CreativePages/CustomReportCreativeDetail.aspx?App=23&amp;ReportView=4&amp;Qid=1711279&amp;Row=24818&amp;Col=1","No Title Assigned - #15284370472")</f>
        <v/>
      </c>
      <c r="B24826" s="0" t="s">
        <v>33332</v>
      </c>
      <c r="C24826" s="0" t="s">
        <v>33333</v>
      </c>
      <c r="D24826" s="0" t="s">
        <v>33333</v>
      </c>
      <c r="E24826" s="0" t="inlineStr">
        <is>
          <t xml:space="preserve">Mazda</t>
        </is>
      </c>
      <c r="F24826" s="0" t="s">
        <v>666</v>
      </c>
      <c r="G24826" s="0" t="s">
        <v>667</v>
      </c>
      <c r="H24826" s="5">
        <v>335.623400</v>
      </c>
    </row>
    <row r="24827" spans="1:9">
      <c r="A24827" s="22" t="str">
        <f>HYPERLINK("https://app.vivvix.com/360/KMI/IntelliDrive/ApplUI/Pages/CreativePages/CustomReportCreativeDetail.aspx?App=23&amp;ReportView=4&amp;Qid=1711279&amp;Row=24819&amp;Col=1","No Title Assigned - #15284370499")</f>
        <v/>
      </c>
      <c r="B24827" s="0" t="s">
        <v>33334</v>
      </c>
      <c r="C24827" s="0" t="s">
        <v>33335</v>
      </c>
      <c r="D24827" s="0" t="s">
        <v>33335</v>
      </c>
      <c r="E24827" s="0" t="inlineStr">
        <is>
          <t xml:space="preserve">Mazda</t>
        </is>
      </c>
      <c r="F24827" s="0" t="s">
        <v>666</v>
      </c>
      <c r="G24827" s="0" t="s">
        <v>667</v>
      </c>
      <c r="H24827" s="5">
        <v>839.058500</v>
      </c>
    </row>
    <row r="24828" spans="1:9">
      <c r="A24828" s="22" t="str">
        <f>HYPERLINK("https://app.vivvix.com/360/KMI/IntelliDrive/ApplUI/Pages/CreativePages/CustomReportCreativeDetail.aspx?App=23&amp;ReportView=4&amp;Qid=1711279&amp;Row=24820&amp;Col=1","No Title Assigned - #15284370648")</f>
        <v/>
      </c>
      <c r="B24828" s="0" t="s">
        <v>33336</v>
      </c>
      <c r="C24828" s="0" t="s">
        <v>33337</v>
      </c>
      <c r="D24828" s="0" t="s">
        <v>33337</v>
      </c>
      <c r="E24828" s="0" t="inlineStr">
        <is>
          <t xml:space="preserve">Mazda</t>
        </is>
      </c>
      <c r="F24828" s="0" t="s">
        <v>666</v>
      </c>
      <c r="G24828" s="0" t="s">
        <v>667</v>
      </c>
      <c r="H24828" s="5">
        <v>839.058500</v>
      </c>
    </row>
    <row r="24829" spans="1:9">
      <c r="A24829" s="22" t="str">
        <f>HYPERLINK("https://app.vivvix.com/360/KMI/IntelliDrive/ApplUI/Pages/CreativePages/CustomReportCreativeDetail.aspx?App=23&amp;ReportView=4&amp;Qid=1711279&amp;Row=24821&amp;Col=1","No Title Assigned - #15284370682")</f>
        <v/>
      </c>
      <c r="B24829" s="0" t="s">
        <v>33338</v>
      </c>
      <c r="C24829" s="0" t="s">
        <v>33339</v>
      </c>
      <c r="D24829" s="0" t="s">
        <v>33339</v>
      </c>
      <c r="E24829" s="0" t="inlineStr">
        <is>
          <t xml:space="preserve">Mazda</t>
        </is>
      </c>
      <c r="F24829" s="0" t="s">
        <v>666</v>
      </c>
      <c r="G24829" s="0" t="s">
        <v>667</v>
      </c>
      <c r="H24829" s="5">
        <v>1006.870200</v>
      </c>
    </row>
    <row r="24830" spans="1:9">
      <c r="A24830" s="22" t="str">
        <f>HYPERLINK("https://app.vivvix.com/360/KMI/IntelliDrive/ApplUI/Pages/CreativePages/CustomReportCreativeDetail.aspx?App=23&amp;ReportView=4&amp;Qid=1711279&amp;Row=24822&amp;Col=1","No Title Assigned - #15284371663")</f>
        <v/>
      </c>
      <c r="B24830" s="0" t="s">
        <v>33340</v>
      </c>
      <c r="C24830" s="0" t="s">
        <v>33341</v>
      </c>
      <c r="D24830" s="0" t="s">
        <v>33341</v>
      </c>
      <c r="E24830" s="0" t="inlineStr">
        <is>
          <t xml:space="preserve">Mazda</t>
        </is>
      </c>
      <c r="F24830" s="0" t="s">
        <v>13</v>
      </c>
      <c r="G24830" s="0" t="s">
        <v>49</v>
      </c>
      <c r="H24830" s="5">
        <v>7268.166000</v>
      </c>
    </row>
    <row r="24831" spans="1:9">
      <c r="A24831" s="22" t="str">
        <f>HYPERLINK("https://app.vivvix.com/360/KMI/IntelliDrive/ApplUI/Pages/CreativePages/CustomReportCreativeDetail.aspx?App=23&amp;ReportView=4&amp;Qid=1711279&amp;Row=24823&amp;Col=1","No Title Assigned - #15284371663")</f>
        <v/>
      </c>
      <c r="B24831" s="0" t="s">
        <v>33340</v>
      </c>
      <c r="E24831" s="0" t="inlineStr">
        <is>
          <t xml:space="preserve">Mazda</t>
        </is>
      </c>
      <c r="F24831" s="0" t="s">
        <v>13</v>
      </c>
      <c r="G24831" s="0" t="s">
        <v>49</v>
      </c>
      <c r="H24831" s="5">
        <v>49753.585000</v>
      </c>
    </row>
    <row r="24832" spans="1:9">
      <c r="A24832" s="22" t="str">
        <f>HYPERLINK("https://app.vivvix.com/360/KMI/IntelliDrive/ApplUI/Pages/CreativePages/CustomReportCreativeDetail.aspx?App=23&amp;ReportView=4&amp;Qid=1711279&amp;Row=24824&amp;Col=1","No Title Assigned - #15284371805")</f>
        <v/>
      </c>
      <c r="B24832" s="0" t="s">
        <v>33342</v>
      </c>
      <c r="C24832" s="0" t="s">
        <v>33343</v>
      </c>
      <c r="D24832" s="0" t="s">
        <v>33343</v>
      </c>
      <c r="E24832" s="0" t="inlineStr">
        <is>
          <t xml:space="preserve">Mazda</t>
        </is>
      </c>
      <c r="F24832" s="0" t="s">
        <v>13</v>
      </c>
      <c r="G24832" s="0" t="s">
        <v>49</v>
      </c>
      <c r="H24832" s="5">
        <v>854.176700</v>
      </c>
    </row>
    <row r="24833" spans="1:9">
      <c r="A24833" s="22" t="str">
        <f>HYPERLINK("https://app.vivvix.com/360/KMI/IntelliDrive/ApplUI/Pages/CreativePages/CustomReportCreativeDetail.aspx?App=23&amp;ReportView=4&amp;Qid=1711279&amp;Row=24825&amp;Col=1","No Title Assigned - #15284372385")</f>
        <v/>
      </c>
      <c r="B24833" s="0" t="s">
        <v>33344</v>
      </c>
      <c r="C24833" s="0" t="s">
        <v>33345</v>
      </c>
      <c r="D24833" s="0" t="s">
        <v>33345</v>
      </c>
      <c r="E24833" s="0" t="inlineStr">
        <is>
          <t xml:space="preserve">Mazda</t>
        </is>
      </c>
      <c r="F24833" s="0" t="s">
        <v>13</v>
      </c>
      <c r="G24833" s="0" t="s">
        <v>49</v>
      </c>
      <c r="H24833" s="5">
        <v>235.189100</v>
      </c>
    </row>
    <row r="24834" spans="1:9">
      <c r="A24834" s="22" t="str">
        <f>HYPERLINK("https://app.vivvix.com/360/KMI/IntelliDrive/ApplUI/Pages/CreativePages/CustomReportCreativeDetail.aspx?App=23&amp;ReportView=4&amp;Qid=1711279&amp;Row=24826&amp;Col=1","No Title Assigned - #15284372441")</f>
        <v/>
      </c>
      <c r="B24834" s="0" t="s">
        <v>33346</v>
      </c>
      <c r="C24834" s="0" t="s">
        <v>33347</v>
      </c>
      <c r="D24834" s="0" t="s">
        <v>33347</v>
      </c>
      <c r="E24834" s="0" t="inlineStr">
        <is>
          <t xml:space="preserve">Mazda</t>
        </is>
      </c>
      <c r="F24834" s="0" t="s">
        <v>13</v>
      </c>
      <c r="G24834" s="0" t="s">
        <v>49</v>
      </c>
      <c r="H24834" s="5">
        <v>405.168900</v>
      </c>
    </row>
    <row r="24835" spans="1:9">
      <c r="A24835" s="22" t="str">
        <f>HYPERLINK("https://app.vivvix.com/360/KMI/IntelliDrive/ApplUI/Pages/CreativePages/CustomReportCreativeDetail.aspx?App=23&amp;ReportView=4&amp;Qid=1711279&amp;Row=24827&amp;Col=1","No Title Assigned - #15284372464")</f>
        <v/>
      </c>
      <c r="B24835" s="0" t="s">
        <v>33348</v>
      </c>
      <c r="C24835" s="0" t="s">
        <v>33349</v>
      </c>
      <c r="D24835" s="0" t="s">
        <v>33349</v>
      </c>
      <c r="E24835" s="0" t="inlineStr">
        <is>
          <t xml:space="preserve">Mazda</t>
        </is>
      </c>
      <c r="F24835" s="0" t="s">
        <v>13</v>
      </c>
      <c r="G24835" s="0" t="s">
        <v>49</v>
      </c>
      <c r="H24835" s="5">
        <v>603.050700</v>
      </c>
    </row>
    <row r="24836" spans="1:9">
      <c r="A24836" s="22" t="str">
        <f>HYPERLINK("https://app.vivvix.com/360/KMI/IntelliDrive/ApplUI/Pages/CreativePages/CustomReportCreativeDetail.aspx?App=23&amp;ReportView=4&amp;Qid=1711279&amp;Row=24828&amp;Col=1","No Title Assigned - #15284372505")</f>
        <v/>
      </c>
      <c r="B24836" s="0" t="s">
        <v>33350</v>
      </c>
      <c r="C24836" s="0" t="s">
        <v>33351</v>
      </c>
      <c r="D24836" s="0" t="s">
        <v>33351</v>
      </c>
      <c r="E24836" s="0" t="inlineStr">
        <is>
          <t xml:space="preserve">Mazda</t>
        </is>
      </c>
      <c r="F24836" s="0" t="s">
        <v>13</v>
      </c>
      <c r="G24836" s="0" t="s">
        <v>49</v>
      </c>
      <c r="H24836" s="5">
        <v>1708.694900</v>
      </c>
    </row>
    <row r="24837" spans="1:9">
      <c r="A24837" s="22" t="str">
        <f>HYPERLINK("https://app.vivvix.com/360/KMI/IntelliDrive/ApplUI/Pages/CreativePages/CustomReportCreativeDetail.aspx?App=23&amp;ReportView=4&amp;Qid=1711279&amp;Row=24829&amp;Col=1","No Title Assigned - #15284372505")</f>
        <v/>
      </c>
      <c r="B24837" s="0" t="s">
        <v>33350</v>
      </c>
      <c r="E24837" s="0" t="inlineStr">
        <is>
          <t xml:space="preserve">Mazda</t>
        </is>
      </c>
      <c r="F24837" s="0" t="s">
        <v>13</v>
      </c>
      <c r="G24837" s="0" t="s">
        <v>49</v>
      </c>
      <c r="H24837" s="5">
        <v>9691.378000</v>
      </c>
    </row>
    <row r="24838" spans="1:9">
      <c r="A24838" s="22" t="str">
        <f>HYPERLINK("https://app.vivvix.com/360/KMI/IntelliDrive/ApplUI/Pages/CreativePages/CustomReportCreativeDetail.aspx?App=23&amp;ReportView=4&amp;Qid=1711279&amp;Row=24830&amp;Col=1","No Title Assigned - #15284372765")</f>
        <v/>
      </c>
      <c r="B24838" s="0" t="s">
        <v>33352</v>
      </c>
      <c r="C24838" s="0" t="s">
        <v>33353</v>
      </c>
      <c r="D24838" s="0" t="s">
        <v>33353</v>
      </c>
      <c r="E24838" s="0" t="inlineStr">
        <is>
          <t xml:space="preserve">Mazda</t>
        </is>
      </c>
      <c r="F24838" s="0" t="s">
        <v>13</v>
      </c>
      <c r="G24838" s="0" t="s">
        <v>49</v>
      </c>
      <c r="H24838" s="5">
        <v>996.905900</v>
      </c>
    </row>
    <row r="24839" spans="1:9">
      <c r="A24839" s="22" t="str">
        <f>HYPERLINK("https://app.vivvix.com/360/KMI/IntelliDrive/ApplUI/Pages/CreativePages/CustomReportCreativeDetail.aspx?App=23&amp;ReportView=4&amp;Qid=1711279&amp;Row=24831&amp;Col=1","No Title Assigned - #15284373461")</f>
        <v/>
      </c>
      <c r="B24839" s="0" t="s">
        <v>33354</v>
      </c>
      <c r="C24839" s="0" t="s">
        <v>33355</v>
      </c>
      <c r="D24839" s="0" t="s">
        <v>33355</v>
      </c>
      <c r="E24839" s="0" t="inlineStr">
        <is>
          <t xml:space="preserve">Mazda</t>
        </is>
      </c>
      <c r="F24839" s="0" t="s">
        <v>13</v>
      </c>
      <c r="G24839" s="0" t="s">
        <v>49</v>
      </c>
      <c r="H24839" s="5">
        <v>82.811800</v>
      </c>
    </row>
    <row r="24840" spans="1:9">
      <c r="A24840" s="22" t="str">
        <f>HYPERLINK("https://app.vivvix.com/360/KMI/IntelliDrive/ApplUI/Pages/CreativePages/CustomReportCreativeDetail.aspx?App=23&amp;ReportView=4&amp;Qid=1711279&amp;Row=24832&amp;Col=1","No Title Assigned - #15284373647")</f>
        <v/>
      </c>
      <c r="B24840" s="0" t="s">
        <v>33356</v>
      </c>
      <c r="C24840" s="0" t="s">
        <v>33357</v>
      </c>
      <c r="D24840" s="0" t="s">
        <v>33357</v>
      </c>
      <c r="E24840" s="0" t="inlineStr">
        <is>
          <t xml:space="preserve">Mazda</t>
        </is>
      </c>
      <c r="F24840" s="0" t="s">
        <v>13</v>
      </c>
      <c r="G24840" s="0" t="s">
        <v>49</v>
      </c>
      <c r="H24840" s="5">
        <v>6309.806000</v>
      </c>
    </row>
    <row r="24841" spans="1:9">
      <c r="A24841" s="22" t="str">
        <f>HYPERLINK("https://app.vivvix.com/360/KMI/IntelliDrive/ApplUI/Pages/CreativePages/CustomReportCreativeDetail.aspx?App=23&amp;ReportView=4&amp;Qid=1711279&amp;Row=24833&amp;Col=1","No Title Assigned - #15284374019")</f>
        <v/>
      </c>
      <c r="B24841" s="0" t="s">
        <v>33358</v>
      </c>
      <c r="C24841" s="0" t="s">
        <v>33359</v>
      </c>
      <c r="D24841" s="0" t="s">
        <v>33359</v>
      </c>
      <c r="E24841" s="0" t="inlineStr">
        <is>
          <t xml:space="preserve">Mazda</t>
        </is>
      </c>
      <c r="F24841" s="0" t="s">
        <v>13</v>
      </c>
      <c r="G24841" s="0" t="s">
        <v>49</v>
      </c>
      <c r="H24841" s="5">
        <v>104.058400</v>
      </c>
    </row>
    <row r="24842" spans="1:9">
      <c r="A24842" s="22" t="str">
        <f>HYPERLINK("https://app.vivvix.com/360/KMI/IntelliDrive/ApplUI/Pages/CreativePages/CustomReportCreativeDetail.aspx?App=23&amp;ReportView=4&amp;Qid=1711279&amp;Row=24834&amp;Col=1","No Title Assigned - #15284374488")</f>
        <v/>
      </c>
      <c r="B24842" s="0" t="s">
        <v>33360</v>
      </c>
      <c r="C24842" s="0" t="s">
        <v>33361</v>
      </c>
      <c r="D24842" s="0" t="s">
        <v>33361</v>
      </c>
      <c r="E24842" s="0" t="inlineStr">
        <is>
          <t xml:space="preserve">Mazda</t>
        </is>
      </c>
      <c r="F24842" s="0" t="s">
        <v>13</v>
      </c>
      <c r="G24842" s="0" t="s">
        <v>49</v>
      </c>
      <c r="H24842" s="5">
        <v>537.507900</v>
      </c>
    </row>
    <row r="24843" spans="1:9">
      <c r="A24843" s="22" t="str">
        <f>HYPERLINK("https://app.vivvix.com/360/KMI/IntelliDrive/ApplUI/Pages/CreativePages/CustomReportCreativeDetail.aspx?App=23&amp;ReportView=4&amp;Qid=1711279&amp;Row=24835&amp;Col=1","No Title Assigned - #15284383187")</f>
        <v/>
      </c>
      <c r="B24843" s="0" t="s">
        <v>33362</v>
      </c>
      <c r="E24843" s="0" t="inlineStr">
        <is>
          <t xml:space="preserve">Mazda</t>
        </is>
      </c>
      <c r="F24843" s="0" t="inlineStr">
        <is>
          <t xml:space="preserve">Mazda</t>
        </is>
      </c>
      <c r="G24843" s="0" t="s">
        <v>171</v>
      </c>
      <c r="H24843" s="5">
        <v>39.293700</v>
      </c>
    </row>
    <row r="24844" spans="1:9">
      <c r="A24844" s="22" t="str">
        <f>HYPERLINK("https://app.vivvix.com/360/KMI/IntelliDrive/ApplUI/Pages/CreativePages/CustomReportCreativeDetail.aspx?App=23&amp;ReportView=4&amp;Qid=1711279&amp;Row=24836&amp;Col=1","No Title Assigned - #15284386913")</f>
        <v/>
      </c>
      <c r="B24844" s="0" t="s">
        <v>33363</v>
      </c>
      <c r="E24844" s="0" t="inlineStr">
        <is>
          <t xml:space="preserve">Mazda</t>
        </is>
      </c>
      <c r="F24844" s="0" t="inlineStr">
        <is>
          <t xml:space="preserve">Mazda</t>
        </is>
      </c>
      <c r="G24844" s="0" t="s">
        <v>171</v>
      </c>
      <c r="H24844" s="5">
        <v>813.018200</v>
      </c>
    </row>
    <row r="24845" spans="1:9">
      <c r="A24845" s="22" t="str">
        <f>HYPERLINK("https://app.vivvix.com/360/KMI/IntelliDrive/ApplUI/Pages/CreativePages/CustomReportCreativeDetail.aspx?App=23&amp;ReportView=4&amp;Qid=1711279&amp;Row=24837&amp;Col=1","No Title Assigned - #15284394792")</f>
        <v/>
      </c>
      <c r="B24845" s="0" t="s">
        <v>33364</v>
      </c>
      <c r="C24845" s="0" t="s">
        <v>33365</v>
      </c>
      <c r="D24845" s="0" t="s">
        <v>33365</v>
      </c>
      <c r="E24845" s="0" t="inlineStr">
        <is>
          <t xml:space="preserve">Mazda</t>
        </is>
      </c>
      <c r="F24845" s="0" t="s">
        <v>13</v>
      </c>
      <c r="G24845" s="0" t="s">
        <v>49</v>
      </c>
      <c r="H24845" s="5">
        <v>208.967100</v>
      </c>
    </row>
    <row r="24846" spans="1:9">
      <c r="A24846" s="22" t="str">
        <f>HYPERLINK("https://app.vivvix.com/360/KMI/IntelliDrive/ApplUI/Pages/CreativePages/CustomReportCreativeDetail.aspx?App=23&amp;ReportView=4&amp;Qid=1711279&amp;Row=24838&amp;Col=1","No Title Assigned - #15284396868")</f>
        <v/>
      </c>
      <c r="B24846" s="0" t="s">
        <v>33366</v>
      </c>
      <c r="C24846" s="0" t="s">
        <v>33367</v>
      </c>
      <c r="D24846" s="0" t="s">
        <v>33367</v>
      </c>
      <c r="E24846" s="0" t="inlineStr">
        <is>
          <t xml:space="preserve">Mazda</t>
        </is>
      </c>
      <c r="F24846" s="0" t="s">
        <v>13</v>
      </c>
      <c r="G24846" s="0" t="s">
        <v>49</v>
      </c>
      <c r="H24846" s="5">
        <v>275.411700</v>
      </c>
    </row>
    <row r="24847" spans="1:9">
      <c r="A24847" s="22" t="str">
        <f>HYPERLINK("https://app.vivvix.com/360/KMI/IntelliDrive/ApplUI/Pages/CreativePages/CustomReportCreativeDetail.aspx?App=23&amp;ReportView=4&amp;Qid=1711279&amp;Row=24839&amp;Col=1","No Title Assigned - #15284396936")</f>
        <v/>
      </c>
      <c r="B24847" s="0" t="s">
        <v>33368</v>
      </c>
      <c r="C24847" s="0" t="s">
        <v>33369</v>
      </c>
      <c r="D24847" s="0" t="s">
        <v>33369</v>
      </c>
      <c r="E24847" s="0" t="inlineStr">
        <is>
          <t xml:space="preserve">Mazda</t>
        </is>
      </c>
      <c r="F24847" s="0" t="s">
        <v>13</v>
      </c>
      <c r="G24847" s="0" t="s">
        <v>49</v>
      </c>
      <c r="H24847" s="5">
        <v>219.453200</v>
      </c>
    </row>
    <row r="24848" spans="1:9">
      <c r="A24848" s="22" t="str">
        <f>HYPERLINK("https://app.vivvix.com/360/KMI/IntelliDrive/ApplUI/Pages/CreativePages/CustomReportCreativeDetail.aspx?App=23&amp;ReportView=4&amp;Qid=1711279&amp;Row=24840&amp;Col=1","No Title Assigned - #15284398448")</f>
        <v/>
      </c>
      <c r="B24848" s="0" t="s">
        <v>33370</v>
      </c>
      <c r="C24848" s="0" t="s">
        <v>33371</v>
      </c>
      <c r="D24848" s="0" t="s">
        <v>33371</v>
      </c>
      <c r="E24848" s="0" t="inlineStr">
        <is>
          <t xml:space="preserve">Mazda</t>
        </is>
      </c>
      <c r="F24848" s="0" t="s">
        <v>13</v>
      </c>
      <c r="G24848" s="0" t="s">
        <v>49</v>
      </c>
      <c r="H24848" s="5">
        <v>43.734500</v>
      </c>
    </row>
    <row r="24849" spans="1:9">
      <c r="A24849" s="22" t="str">
        <f>HYPERLINK("https://app.vivvix.com/360/KMI/IntelliDrive/ApplUI/Pages/CreativePages/CustomReportCreativeDetail.aspx?App=23&amp;ReportView=4&amp;Qid=1711279&amp;Row=24841&amp;Col=1","No Title Assigned - #15284402079")</f>
        <v/>
      </c>
      <c r="B24849" s="0" t="s">
        <v>33372</v>
      </c>
      <c r="C24849" s="0" t="s">
        <v>33373</v>
      </c>
      <c r="D24849" s="0" t="s">
        <v>33373</v>
      </c>
      <c r="E24849" s="0" t="inlineStr">
        <is>
          <t xml:space="preserve">Mazda</t>
        </is>
      </c>
      <c r="F24849" s="0" t="s">
        <v>13</v>
      </c>
      <c r="G24849" s="0" t="s">
        <v>49</v>
      </c>
      <c r="H24849" s="5">
        <v>551.565800</v>
      </c>
    </row>
    <row r="24850" spans="1:9">
      <c r="A24850" s="22" t="str">
        <f>HYPERLINK("https://app.vivvix.com/360/KMI/IntelliDrive/ApplUI/Pages/CreativePages/CustomReportCreativeDetail.aspx?App=23&amp;ReportView=4&amp;Qid=1711279&amp;Row=24842&amp;Col=1","No Title Assigned - #15284405326")</f>
        <v/>
      </c>
      <c r="B24850" s="0" t="s">
        <v>33374</v>
      </c>
      <c r="C24850" s="0" t="s">
        <v>33375</v>
      </c>
      <c r="D24850" s="0" t="s">
        <v>33375</v>
      </c>
      <c r="E24850" s="0" t="inlineStr">
        <is>
          <t xml:space="preserve">Mazda</t>
        </is>
      </c>
      <c r="F24850" s="0" t="s">
        <v>13</v>
      </c>
      <c r="G24850" s="0" t="s">
        <v>49</v>
      </c>
      <c r="H24850" s="5">
        <v>37.721400</v>
      </c>
    </row>
    <row r="24851" spans="1:9">
      <c r="A24851" s="22" t="str">
        <f>HYPERLINK("https://app.vivvix.com/360/KMI/IntelliDrive/ApplUI/Pages/CreativePages/CustomReportCreativeDetail.aspx?App=23&amp;ReportView=4&amp;Qid=1711279&amp;Row=24843&amp;Col=1","No Title Assigned - #15284410475")</f>
        <v/>
      </c>
      <c r="B24851" s="0" t="s">
        <v>33376</v>
      </c>
      <c r="E24851" s="0" t="inlineStr">
        <is>
          <t xml:space="preserve">Mazda</t>
        </is>
      </c>
      <c r="F24851" s="0" t="inlineStr">
        <is>
          <t xml:space="preserve">Mazda</t>
        </is>
      </c>
      <c r="G24851" s="0" t="s">
        <v>171</v>
      </c>
      <c r="H24851" s="5">
        <v>217.726100</v>
      </c>
    </row>
    <row r="24852" spans="1:9">
      <c r="A24852" s="22" t="str">
        <f>HYPERLINK("https://app.vivvix.com/360/KMI/IntelliDrive/ApplUI/Pages/CreativePages/CustomReportCreativeDetail.aspx?App=23&amp;ReportView=4&amp;Qid=1711279&amp;Row=24844&amp;Col=1","No Title Assigned - #15284410478")</f>
        <v/>
      </c>
      <c r="B24852" s="0" t="s">
        <v>33377</v>
      </c>
      <c r="E24852" s="0" t="inlineStr">
        <is>
          <t xml:space="preserve">Mazda</t>
        </is>
      </c>
      <c r="F24852" s="0" t="inlineStr">
        <is>
          <t xml:space="preserve">Mazda</t>
        </is>
      </c>
      <c r="G24852" s="0" t="s">
        <v>171</v>
      </c>
      <c r="H24852" s="5">
        <v>217.726100</v>
      </c>
    </row>
    <row r="24853" spans="1:9">
      <c r="A24853" s="22" t="str">
        <f>HYPERLINK("https://app.vivvix.com/360/KMI/IntelliDrive/ApplUI/Pages/CreativePages/CustomReportCreativeDetail.aspx?App=23&amp;ReportView=4&amp;Qid=1711279&amp;Row=24845&amp;Col=1","No Title Assigned - #15284411652")</f>
        <v/>
      </c>
      <c r="B24853" s="0" t="s">
        <v>33378</v>
      </c>
      <c r="C24853" s="0" t="s">
        <v>33379</v>
      </c>
      <c r="D24853" s="0" t="s">
        <v>33379</v>
      </c>
      <c r="E24853" s="0" t="inlineStr">
        <is>
          <t xml:space="preserve">Mazda</t>
        </is>
      </c>
      <c r="F24853" s="0" t="s">
        <v>13</v>
      </c>
      <c r="G24853" s="0" t="s">
        <v>49</v>
      </c>
      <c r="H24853" s="5">
        <v>419.100400</v>
      </c>
    </row>
    <row r="24854" spans="1:9">
      <c r="A24854" s="22" t="str">
        <f>HYPERLINK("https://app.vivvix.com/360/KMI/IntelliDrive/ApplUI/Pages/CreativePages/CustomReportCreativeDetail.aspx?App=23&amp;ReportView=4&amp;Qid=1711279&amp;Row=24846&amp;Col=1","No Title Assigned - #15284412476")</f>
        <v/>
      </c>
      <c r="B24854" s="0" t="s">
        <v>33380</v>
      </c>
      <c r="C24854" s="0" t="s">
        <v>33381</v>
      </c>
      <c r="D24854" s="0" t="s">
        <v>33381</v>
      </c>
      <c r="E24854" s="0" t="inlineStr">
        <is>
          <t xml:space="preserve">Mazda</t>
        </is>
      </c>
      <c r="F24854" s="0" t="s">
        <v>115</v>
      </c>
      <c r="G24854" s="0" t="s">
        <v>365</v>
      </c>
      <c r="H24854" s="5">
        <v>1118.021600</v>
      </c>
    </row>
    <row r="24855" spans="1:9">
      <c r="A24855" s="22" t="str">
        <f>HYPERLINK("https://app.vivvix.com/360/KMI/IntelliDrive/ApplUI/Pages/CreativePages/CustomReportCreativeDetail.aspx?App=23&amp;ReportView=4&amp;Qid=1711279&amp;Row=24847&amp;Col=1","No Title Assigned - #15284416189")</f>
        <v/>
      </c>
      <c r="B24855" s="0" t="s">
        <v>33382</v>
      </c>
      <c r="C24855" s="0" t="s">
        <v>33383</v>
      </c>
      <c r="D24855" s="0" t="s">
        <v>33383</v>
      </c>
      <c r="E24855" s="0" t="inlineStr">
        <is>
          <t xml:space="preserve">Mazda</t>
        </is>
      </c>
      <c r="F24855" s="0" t="s">
        <v>28</v>
      </c>
      <c r="G24855" s="0" t="s">
        <v>29</v>
      </c>
      <c r="H24855" s="5">
        <v>785.778900</v>
      </c>
    </row>
    <row r="24856" spans="1:9">
      <c r="A24856" s="22" t="str">
        <f>HYPERLINK("https://app.vivvix.com/360/KMI/IntelliDrive/ApplUI/Pages/CreativePages/CustomReportCreativeDetail.aspx?App=23&amp;ReportView=4&amp;Qid=1711279&amp;Row=24848&amp;Col=1","No Title Assigned - #15284416614")</f>
        <v/>
      </c>
      <c r="B24856" s="0" t="s">
        <v>33384</v>
      </c>
      <c r="C24856" s="0" t="s">
        <v>33385</v>
      </c>
      <c r="D24856" s="0" t="s">
        <v>33385</v>
      </c>
      <c r="E24856" s="0" t="inlineStr">
        <is>
          <t xml:space="preserve">Mazda</t>
        </is>
      </c>
      <c r="F24856" s="0" t="s">
        <v>13</v>
      </c>
      <c r="G24856" s="0" t="s">
        <v>49</v>
      </c>
      <c r="H24856" s="5">
        <v>176.224200</v>
      </c>
    </row>
    <row r="24857" spans="1:9">
      <c r="A24857" s="22" t="str">
        <f>HYPERLINK("https://app.vivvix.com/360/KMI/IntelliDrive/ApplUI/Pages/CreativePages/CustomReportCreativeDetail.aspx?App=23&amp;ReportView=4&amp;Qid=1711279&amp;Row=24849&amp;Col=1","No Title Assigned - #15284424732")</f>
        <v/>
      </c>
      <c r="B24857" s="0" t="s">
        <v>33386</v>
      </c>
      <c r="C24857" s="0" t="s">
        <v>33387</v>
      </c>
      <c r="D24857" s="0" t="s">
        <v>33387</v>
      </c>
      <c r="E24857" s="0" t="inlineStr">
        <is>
          <t xml:space="preserve">Mazda</t>
        </is>
      </c>
      <c r="F24857" s="0" t="s">
        <v>52</v>
      </c>
      <c r="G24857" s="0" t="s">
        <v>325</v>
      </c>
      <c r="H24857" s="5">
        <v>53.627000</v>
      </c>
    </row>
    <row r="24858" spans="1:9">
      <c r="A24858" s="22" t="str">
        <f>HYPERLINK("https://app.vivvix.com/360/KMI/IntelliDrive/ApplUI/Pages/CreativePages/CustomReportCreativeDetail.aspx?App=23&amp;ReportView=4&amp;Qid=1711279&amp;Row=24850&amp;Col=1","No Title Assigned - #15284455091")</f>
        <v/>
      </c>
      <c r="B24858" s="0" t="s">
        <v>33388</v>
      </c>
      <c r="C24858" s="0" t="s">
        <v>33389</v>
      </c>
      <c r="D24858" s="0" t="s">
        <v>33389</v>
      </c>
      <c r="E24858" s="0" t="inlineStr">
        <is>
          <t xml:space="preserve">Mazda</t>
        </is>
      </c>
      <c r="F24858" s="0" t="s">
        <v>21</v>
      </c>
      <c r="G24858" s="0" t="s">
        <v>22</v>
      </c>
      <c r="H24858" s="5">
        <v>786.747600</v>
      </c>
    </row>
    <row r="24859" spans="1:9">
      <c r="A24859" s="22" t="str">
        <f>HYPERLINK("https://app.vivvix.com/360/KMI/IntelliDrive/ApplUI/Pages/CreativePages/CustomReportCreativeDetail.aspx?App=23&amp;ReportView=4&amp;Qid=1711279&amp;Row=24851&amp;Col=1","No Title Assigned - #15284456774")</f>
        <v/>
      </c>
      <c r="B24859" s="0" t="s">
        <v>33390</v>
      </c>
      <c r="C24859" s="0" t="s">
        <v>33391</v>
      </c>
      <c r="D24859" s="0" t="s">
        <v>33391</v>
      </c>
      <c r="E24859" s="0" t="inlineStr">
        <is>
          <t xml:space="preserve">Mazda</t>
        </is>
      </c>
      <c r="F24859" s="0" t="s">
        <v>13</v>
      </c>
      <c r="G24859" s="0" t="s">
        <v>49</v>
      </c>
      <c r="H24859" s="5">
        <v>179.477400</v>
      </c>
    </row>
    <row r="24860" spans="1:9">
      <c r="A24860" s="22" t="str">
        <f>HYPERLINK("https://app.vivvix.com/360/KMI/IntelliDrive/ApplUI/Pages/CreativePages/CustomReportCreativeDetail.aspx?App=23&amp;ReportView=4&amp;Qid=1711279&amp;Row=24852&amp;Col=1","No Title Assigned - #15284465705")</f>
        <v/>
      </c>
      <c r="B24860" s="0" t="s">
        <v>33392</v>
      </c>
      <c r="E24860" s="0" t="inlineStr">
        <is>
          <t xml:space="preserve">Mazda</t>
        </is>
      </c>
      <c r="F24860" s="0" t="inlineStr">
        <is>
          <t xml:space="preserve">Mazda</t>
        </is>
      </c>
      <c r="G24860" s="0" t="s">
        <v>171</v>
      </c>
      <c r="H24860" s="5">
        <v>395.995200</v>
      </c>
    </row>
    <row r="24861" spans="1:9">
      <c r="A24861" s="22" t="str">
        <f>HYPERLINK("https://app.vivvix.com/360/KMI/IntelliDrive/ApplUI/Pages/CreativePages/CustomReportCreativeDetail.aspx?App=23&amp;ReportView=4&amp;Qid=1711279&amp;Row=24853&amp;Col=1","No Title Assigned - #15284470908")</f>
        <v/>
      </c>
      <c r="B24861" s="0" t="s">
        <v>33393</v>
      </c>
      <c r="C24861" s="0" t="s">
        <v>33394</v>
      </c>
      <c r="D24861" s="0" t="s">
        <v>33394</v>
      </c>
      <c r="E24861" s="0" t="inlineStr">
        <is>
          <t xml:space="preserve">Mazda</t>
        </is>
      </c>
      <c r="F24861" s="0" t="s">
        <v>125</v>
      </c>
      <c r="G24861" s="0" t="s">
        <v>346</v>
      </c>
      <c r="H24861" s="5">
        <v>635.455100</v>
      </c>
    </row>
    <row r="24862" spans="1:9">
      <c r="A24862" s="22" t="str">
        <f>HYPERLINK("https://app.vivvix.com/360/KMI/IntelliDrive/ApplUI/Pages/CreativePages/CustomReportCreativeDetail.aspx?App=23&amp;ReportView=4&amp;Qid=1711279&amp;Row=24854&amp;Col=1","No Title Assigned - #15284474883")</f>
        <v/>
      </c>
      <c r="B24862" s="0" t="s">
        <v>33395</v>
      </c>
      <c r="C24862" s="0" t="s">
        <v>33396</v>
      </c>
      <c r="D24862" s="0" t="s">
        <v>33396</v>
      </c>
      <c r="E24862" s="0" t="inlineStr">
        <is>
          <t xml:space="preserve">Mazda</t>
        </is>
      </c>
      <c r="F24862" s="0" t="s">
        <v>21</v>
      </c>
      <c r="G24862" s="0" t="s">
        <v>22</v>
      </c>
      <c r="H24862" s="5">
        <v>244.085600</v>
      </c>
    </row>
    <row r="24863" spans="1:9">
      <c r="A24863" s="22" t="str">
        <f>HYPERLINK("https://app.vivvix.com/360/KMI/IntelliDrive/ApplUI/Pages/CreativePages/CustomReportCreativeDetail.aspx?App=23&amp;ReportView=4&amp;Qid=1711279&amp;Row=24855&amp;Col=1","No Title Assigned - #15284475136")</f>
        <v/>
      </c>
      <c r="B24863" s="0" t="s">
        <v>33397</v>
      </c>
      <c r="C24863" s="0" t="s">
        <v>33398</v>
      </c>
      <c r="D24863" s="0" t="s">
        <v>33398</v>
      </c>
      <c r="E24863" s="0" t="inlineStr">
        <is>
          <t xml:space="preserve">Mazda</t>
        </is>
      </c>
      <c r="F24863" s="0" t="s">
        <v>13</v>
      </c>
      <c r="G24863" s="0" t="s">
        <v>49</v>
      </c>
      <c r="H24863" s="5">
        <v>996.905900</v>
      </c>
    </row>
    <row r="24864" spans="1:9">
      <c r="A24864" s="22" t="str">
        <f>HYPERLINK("https://app.vivvix.com/360/KMI/IntelliDrive/ApplUI/Pages/CreativePages/CustomReportCreativeDetail.aspx?App=23&amp;ReportView=4&amp;Qid=1711279&amp;Row=24856&amp;Col=1","No Title Assigned - #15284478229")</f>
        <v/>
      </c>
      <c r="B24864" s="0" t="s">
        <v>33399</v>
      </c>
      <c r="C24864" s="0" t="s">
        <v>33400</v>
      </c>
      <c r="D24864" s="0" t="s">
        <v>33400</v>
      </c>
      <c r="E24864" s="0" t="inlineStr">
        <is>
          <t xml:space="preserve">Mazda</t>
        </is>
      </c>
      <c r="F24864" s="0" t="s">
        <v>13</v>
      </c>
      <c r="G24864" s="0" t="s">
        <v>49</v>
      </c>
      <c r="H24864" s="5">
        <v>956.904500</v>
      </c>
    </row>
    <row r="24865" spans="1:9">
      <c r="A24865" s="22" t="str">
        <f>HYPERLINK("https://app.vivvix.com/360/KMI/IntelliDrive/ApplUI/Pages/CreativePages/CustomReportCreativeDetail.aspx?App=23&amp;ReportView=4&amp;Qid=1711279&amp;Row=24857&amp;Col=1","No Title Assigned - #15284489202")</f>
        <v/>
      </c>
      <c r="B24865" s="0" t="s">
        <v>33401</v>
      </c>
      <c r="C24865" s="0" t="s">
        <v>33402</v>
      </c>
      <c r="D24865" s="0" t="s">
        <v>33402</v>
      </c>
      <c r="E24865" s="0" t="inlineStr">
        <is>
          <t xml:space="preserve">Mazda</t>
        </is>
      </c>
      <c r="F24865" s="0" t="s">
        <v>13</v>
      </c>
      <c r="G24865" s="0" t="s">
        <v>49</v>
      </c>
      <c r="H24865" s="5">
        <v>446.291800</v>
      </c>
    </row>
    <row r="24866" spans="1:9">
      <c r="A24866" s="22" t="str">
        <f>HYPERLINK("https://app.vivvix.com/360/KMI/IntelliDrive/ApplUI/Pages/CreativePages/CustomReportCreativeDetail.aspx?App=23&amp;ReportView=4&amp;Qid=1711279&amp;Row=24858&amp;Col=1","No Title Assigned - #15284489578")</f>
        <v/>
      </c>
      <c r="B24866" s="0" t="s">
        <v>33403</v>
      </c>
      <c r="C24866" s="0" t="s">
        <v>33404</v>
      </c>
      <c r="D24866" s="0" t="s">
        <v>33083</v>
      </c>
      <c r="E24866" s="0" t="inlineStr">
        <is>
          <t xml:space="preserve">Mazda</t>
        </is>
      </c>
      <c r="F24866" s="0" t="s">
        <v>13</v>
      </c>
      <c r="G24866" s="0" t="s">
        <v>49</v>
      </c>
      <c r="H24866" s="5">
        <v>20172.520800</v>
      </c>
    </row>
    <row r="24867" spans="1:9">
      <c r="A24867" s="22" t="str">
        <f>HYPERLINK("https://app.vivvix.com/360/KMI/IntelliDrive/ApplUI/Pages/CreativePages/CustomReportCreativeDetail.aspx?App=23&amp;ReportView=4&amp;Qid=1711279&amp;Row=24859&amp;Col=1","No Title Assigned - #15284489578")</f>
        <v/>
      </c>
      <c r="B24867" s="0" t="s">
        <v>33403</v>
      </c>
      <c r="E24867" s="0" t="inlineStr">
        <is>
          <t xml:space="preserve">Mazda</t>
        </is>
      </c>
      <c r="F24867" s="0" t="s">
        <v>13</v>
      </c>
      <c r="G24867" s="0" t="s">
        <v>49</v>
      </c>
      <c r="H24867" s="5">
        <v>1801.771700</v>
      </c>
    </row>
    <row r="24868" spans="1:9">
      <c r="A24868" s="22" t="str">
        <f>HYPERLINK("https://app.vivvix.com/360/KMI/IntelliDrive/ApplUI/Pages/CreativePages/CustomReportCreativeDetail.aspx?App=23&amp;ReportView=4&amp;Qid=1711279&amp;Row=24860&amp;Col=1","No Title Assigned - #15284491624")</f>
        <v/>
      </c>
      <c r="B24868" s="0" t="s">
        <v>33405</v>
      </c>
      <c r="C24868" s="0" t="s">
        <v>33406</v>
      </c>
      <c r="D24868" s="0" t="s">
        <v>33406</v>
      </c>
      <c r="E24868" s="0" t="inlineStr">
        <is>
          <t xml:space="preserve">Mazda</t>
        </is>
      </c>
      <c r="F24868" s="0" t="inlineStr">
        <is>
          <t xml:space="preserve">Mazda</t>
        </is>
      </c>
      <c r="G24868" s="0" t="s">
        <v>210</v>
      </c>
      <c r="H24868" s="5">
        <v>410.671000</v>
      </c>
    </row>
    <row r="24869" spans="1:9">
      <c r="A24869" s="22" t="str">
        <f>HYPERLINK("https://app.vivvix.com/360/KMI/IntelliDrive/ApplUI/Pages/CreativePages/CustomReportCreativeDetail.aspx?App=23&amp;ReportView=4&amp;Qid=1711279&amp;Row=24861&amp;Col=1","No Title Assigned - #15284496938")</f>
        <v/>
      </c>
      <c r="B24869" s="0" t="s">
        <v>33407</v>
      </c>
      <c r="C24869" s="0" t="s">
        <v>33408</v>
      </c>
      <c r="D24869" s="0" t="s">
        <v>33408</v>
      </c>
      <c r="E24869" s="0" t="inlineStr">
        <is>
          <t xml:space="preserve">Mazda</t>
        </is>
      </c>
      <c r="F24869" s="0" t="s">
        <v>13</v>
      </c>
      <c r="G24869" s="0" t="s">
        <v>49</v>
      </c>
      <c r="H24869" s="5">
        <v>247.324300</v>
      </c>
    </row>
    <row r="24870" spans="1:9">
      <c r="A24870" s="22" t="str">
        <f>HYPERLINK("https://app.vivvix.com/360/KMI/IntelliDrive/ApplUI/Pages/CreativePages/CustomReportCreativeDetail.aspx?App=23&amp;ReportView=4&amp;Qid=1711279&amp;Row=24862&amp;Col=1","No Title Assigned - #15284498663")</f>
        <v/>
      </c>
      <c r="B24870" s="0" t="s">
        <v>33409</v>
      </c>
      <c r="C24870" s="0" t="s">
        <v>33410</v>
      </c>
      <c r="D24870" s="0" t="s">
        <v>33410</v>
      </c>
      <c r="E24870" s="0" t="inlineStr">
        <is>
          <t xml:space="preserve">Mazda</t>
        </is>
      </c>
      <c r="F24870" s="0" t="s">
        <v>13</v>
      </c>
      <c r="G24870" s="0" t="s">
        <v>49</v>
      </c>
      <c r="H24870" s="5">
        <v>816.852000</v>
      </c>
    </row>
    <row r="24871" spans="1:9">
      <c r="A24871" s="22" t="str">
        <f>HYPERLINK("https://app.vivvix.com/360/KMI/IntelliDrive/ApplUI/Pages/CreativePages/CustomReportCreativeDetail.aspx?App=23&amp;ReportView=4&amp;Qid=1711279&amp;Row=24863&amp;Col=1","No Title Assigned - #15284498749")</f>
        <v/>
      </c>
      <c r="B24871" s="0" t="s">
        <v>33411</v>
      </c>
      <c r="C24871" s="0" t="s">
        <v>33412</v>
      </c>
      <c r="D24871" s="0" t="s">
        <v>33412</v>
      </c>
      <c r="E24871" s="0" t="inlineStr">
        <is>
          <t xml:space="preserve">Mazda</t>
        </is>
      </c>
      <c r="F24871" s="0" t="s">
        <v>13</v>
      </c>
      <c r="G24871" s="0" t="s">
        <v>49</v>
      </c>
      <c r="H24871" s="5">
        <v>1717.061200</v>
      </c>
    </row>
    <row r="24872" spans="1:9">
      <c r="A24872" s="22" t="str">
        <f>HYPERLINK("https://app.vivvix.com/360/KMI/IntelliDrive/ApplUI/Pages/CreativePages/CustomReportCreativeDetail.aspx?App=23&amp;ReportView=4&amp;Qid=1711279&amp;Row=24864&amp;Col=1","No Title Assigned - #15284498749")</f>
        <v/>
      </c>
      <c r="B24872" s="0" t="s">
        <v>33411</v>
      </c>
      <c r="E24872" s="0" t="inlineStr">
        <is>
          <t xml:space="preserve">Mazda</t>
        </is>
      </c>
      <c r="F24872" s="0" t="s">
        <v>13</v>
      </c>
      <c r="G24872" s="0" t="s">
        <v>49</v>
      </c>
      <c r="H24872" s="5">
        <v>95.434100</v>
      </c>
    </row>
    <row r="24873" spans="1:9">
      <c r="A24873" s="22" t="str">
        <f>HYPERLINK("https://app.vivvix.com/360/KMI/IntelliDrive/ApplUI/Pages/CreativePages/CustomReportCreativeDetail.aspx?App=23&amp;ReportView=4&amp;Qid=1711279&amp;Row=24865&amp;Col=1","No Title Assigned - #15284499014")</f>
        <v/>
      </c>
      <c r="B24873" s="0" t="s">
        <v>33413</v>
      </c>
      <c r="C24873" s="0" t="s">
        <v>33414</v>
      </c>
      <c r="D24873" s="0" t="s">
        <v>33414</v>
      </c>
      <c r="E24873" s="0" t="inlineStr">
        <is>
          <t xml:space="preserve">Mazda</t>
        </is>
      </c>
      <c r="F24873" s="0" t="s">
        <v>13</v>
      </c>
      <c r="G24873" s="0" t="s">
        <v>49</v>
      </c>
      <c r="H24873" s="5">
        <v>623.609400</v>
      </c>
    </row>
    <row r="24874" spans="1:9">
      <c r="A24874" s="22" t="str">
        <f>HYPERLINK("https://app.vivvix.com/360/KMI/IntelliDrive/ApplUI/Pages/CreativePages/CustomReportCreativeDetail.aspx?App=23&amp;ReportView=4&amp;Qid=1711279&amp;Row=24866&amp;Col=1","No Title Assigned - #15284507984")</f>
        <v/>
      </c>
      <c r="B24874" s="0" t="s">
        <v>33415</v>
      </c>
      <c r="C24874" s="0" t="s">
        <v>33416</v>
      </c>
      <c r="D24874" s="0" t="s">
        <v>33416</v>
      </c>
      <c r="E24874" s="0" t="inlineStr">
        <is>
          <t xml:space="preserve">Mazda</t>
        </is>
      </c>
      <c r="F24874" s="0" t="s">
        <v>13</v>
      </c>
      <c r="G24874" s="0" t="s">
        <v>49</v>
      </c>
      <c r="H24874" s="5">
        <v>550.401400</v>
      </c>
    </row>
    <row r="24875" spans="1:9">
      <c r="A24875" s="22" t="str">
        <f>HYPERLINK("https://app.vivvix.com/360/KMI/IntelliDrive/ApplUI/Pages/CreativePages/CustomReportCreativeDetail.aspx?App=23&amp;ReportView=4&amp;Qid=1711279&amp;Row=24867&amp;Col=1","No Title Assigned - #15284510368")</f>
        <v/>
      </c>
      <c r="B24875" s="0" t="s">
        <v>33417</v>
      </c>
      <c r="C24875" s="0" t="s">
        <v>33418</v>
      </c>
      <c r="D24875" s="0" t="s">
        <v>33419</v>
      </c>
      <c r="E24875" s="0" t="inlineStr">
        <is>
          <t xml:space="preserve">Mazda</t>
        </is>
      </c>
      <c r="F24875" s="0" t="s">
        <v>13</v>
      </c>
      <c r="G24875" s="0" t="s">
        <v>49</v>
      </c>
      <c r="H24875" s="5">
        <v>675.637800</v>
      </c>
    </row>
    <row r="24876" spans="1:9">
      <c r="A24876" s="22" t="str">
        <f>HYPERLINK("https://app.vivvix.com/360/KMI/IntelliDrive/ApplUI/Pages/CreativePages/CustomReportCreativeDetail.aspx?App=23&amp;ReportView=4&amp;Qid=1711279&amp;Row=24868&amp;Col=1","No Title Assigned - #15284517290")</f>
        <v/>
      </c>
      <c r="B24876" s="0" t="s">
        <v>33420</v>
      </c>
      <c r="E24876" s="0" t="inlineStr">
        <is>
          <t xml:space="preserve">Mazda</t>
        </is>
      </c>
      <c r="F24876" s="0" t="s">
        <v>13</v>
      </c>
      <c r="G24876" s="0" t="s">
        <v>49</v>
      </c>
      <c r="H24876" s="5">
        <v>721.347100</v>
      </c>
    </row>
    <row r="24877" spans="1:9">
      <c r="A24877" s="22" t="str">
        <f>HYPERLINK("https://app.vivvix.com/360/KMI/IntelliDrive/ApplUI/Pages/CreativePages/CustomReportCreativeDetail.aspx?App=23&amp;ReportView=4&amp;Qid=1711279&amp;Row=24869&amp;Col=1","No Title Assigned - #15284517290")</f>
        <v/>
      </c>
      <c r="B24877" s="0" t="s">
        <v>33420</v>
      </c>
      <c r="C24877" s="0" t="s">
        <v>33421</v>
      </c>
      <c r="D24877" s="0" t="s">
        <v>33421</v>
      </c>
      <c r="E24877" s="0" t="inlineStr">
        <is>
          <t xml:space="preserve">Mazda</t>
        </is>
      </c>
      <c r="F24877" s="0" t="s">
        <v>13</v>
      </c>
      <c r="G24877" s="0" t="s">
        <v>49</v>
      </c>
      <c r="H24877" s="5">
        <v>3603.543400</v>
      </c>
    </row>
    <row r="24878" spans="1:9">
      <c r="A24878" s="22" t="str">
        <f>HYPERLINK("https://app.vivvix.com/360/KMI/IntelliDrive/ApplUI/Pages/CreativePages/CustomReportCreativeDetail.aspx?App=23&amp;ReportView=4&amp;Qid=1711279&amp;Row=24870&amp;Col=1","No Title Assigned - #15284518348")</f>
        <v/>
      </c>
      <c r="B24878" s="0" t="s">
        <v>33422</v>
      </c>
      <c r="C24878" s="0" t="s">
        <v>33423</v>
      </c>
      <c r="D24878" s="0" t="s">
        <v>33423</v>
      </c>
      <c r="E24878" s="0" t="inlineStr">
        <is>
          <t xml:space="preserve">Mazda</t>
        </is>
      </c>
      <c r="F24878" s="0" t="s">
        <v>13</v>
      </c>
      <c r="G24878" s="0" t="s">
        <v>49</v>
      </c>
      <c r="H24878" s="5">
        <v>321.139400</v>
      </c>
    </row>
    <row r="24879" spans="1:9">
      <c r="A24879" s="22" t="str">
        <f>HYPERLINK("https://app.vivvix.com/360/KMI/IntelliDrive/ApplUI/Pages/CreativePages/CustomReportCreativeDetail.aspx?App=23&amp;ReportView=4&amp;Qid=1711279&amp;Row=24871&amp;Col=1","No Title Assigned - #15284519951")</f>
        <v/>
      </c>
      <c r="B24879" s="0" t="s">
        <v>33424</v>
      </c>
      <c r="C24879" s="0" t="s">
        <v>33425</v>
      </c>
      <c r="D24879" s="0" t="s">
        <v>33425</v>
      </c>
      <c r="E24879" s="0" t="inlineStr">
        <is>
          <t xml:space="preserve">Mazda</t>
        </is>
      </c>
      <c r="F24879" s="0" t="s">
        <v>17</v>
      </c>
      <c r="G24879" s="0" t="s">
        <v>33</v>
      </c>
      <c r="H24879" s="5">
        <v>2576.839800</v>
      </c>
    </row>
    <row r="24880" spans="1:9">
      <c r="A24880" s="22" t="str">
        <f>HYPERLINK("https://app.vivvix.com/360/KMI/IntelliDrive/ApplUI/Pages/CreativePages/CustomReportCreativeDetail.aspx?App=23&amp;ReportView=4&amp;Qid=1711279&amp;Row=24872&amp;Col=1","No Title Assigned - #15284519952")</f>
        <v/>
      </c>
      <c r="B24880" s="0" t="s">
        <v>33426</v>
      </c>
      <c r="C24880" s="0" t="s">
        <v>33427</v>
      </c>
      <c r="D24880" s="0" t="s">
        <v>33427</v>
      </c>
      <c r="E24880" s="0" t="inlineStr">
        <is>
          <t xml:space="preserve">Mazda</t>
        </is>
      </c>
      <c r="F24880" s="0" t="s">
        <v>17</v>
      </c>
      <c r="G24880" s="0" t="s">
        <v>33</v>
      </c>
      <c r="H24880" s="5">
        <v>1277.031500</v>
      </c>
    </row>
    <row r="24881" spans="1:9">
      <c r="A24881" s="22" t="str">
        <f>HYPERLINK("https://app.vivvix.com/360/KMI/IntelliDrive/ApplUI/Pages/CreativePages/CustomReportCreativeDetail.aspx?App=23&amp;ReportView=4&amp;Qid=1711279&amp;Row=24873&amp;Col=1","No Title Assigned - #15284520288")</f>
        <v/>
      </c>
      <c r="B24881" s="0" t="s">
        <v>33428</v>
      </c>
      <c r="C24881" s="0" t="s">
        <v>33429</v>
      </c>
      <c r="D24881" s="0" t="s">
        <v>33429</v>
      </c>
      <c r="E24881" s="0" t="inlineStr">
        <is>
          <t xml:space="preserve">Mazda</t>
        </is>
      </c>
      <c r="F24881" s="0" t="inlineStr">
        <is>
          <t xml:space="preserve">Mazda</t>
        </is>
      </c>
      <c r="G24881" s="0" t="s">
        <v>210</v>
      </c>
      <c r="H24881" s="5">
        <v>1571.557800</v>
      </c>
    </row>
    <row r="24882" spans="1:9">
      <c r="A24882" s="22" t="str">
        <f>HYPERLINK("https://app.vivvix.com/360/KMI/IntelliDrive/ApplUI/Pages/CreativePages/CustomReportCreativeDetail.aspx?App=23&amp;ReportView=4&amp;Qid=1711279&amp;Row=24874&amp;Col=1","No Title Assigned - #15284520393")</f>
        <v/>
      </c>
      <c r="B24882" s="0" t="s">
        <v>33430</v>
      </c>
      <c r="C24882" s="0" t="s">
        <v>33431</v>
      </c>
      <c r="D24882" s="0" t="s">
        <v>33431</v>
      </c>
      <c r="E24882" s="0" t="inlineStr">
        <is>
          <t xml:space="preserve">Mazda</t>
        </is>
      </c>
      <c r="F24882" s="0" t="s">
        <v>13</v>
      </c>
      <c r="G24882" s="0" t="s">
        <v>49</v>
      </c>
      <c r="H24882" s="5">
        <v>996.905900</v>
      </c>
    </row>
    <row r="24883" spans="1:9">
      <c r="A24883" s="22" t="str">
        <f>HYPERLINK("https://app.vivvix.com/360/KMI/IntelliDrive/ApplUI/Pages/CreativePages/CustomReportCreativeDetail.aspx?App=23&amp;ReportView=4&amp;Qid=1711279&amp;Row=24875&amp;Col=1","No Title Assigned - #15284520395")</f>
        <v/>
      </c>
      <c r="B24883" s="0" t="s">
        <v>33432</v>
      </c>
      <c r="C24883" s="0" t="s">
        <v>33433</v>
      </c>
      <c r="D24883" s="0" t="s">
        <v>33433</v>
      </c>
      <c r="E24883" s="0" t="inlineStr">
        <is>
          <t xml:space="preserve">Mazda</t>
        </is>
      </c>
      <c r="F24883" s="0" t="s">
        <v>13</v>
      </c>
      <c r="G24883" s="0" t="s">
        <v>49</v>
      </c>
      <c r="H24883" s="5">
        <v>2447.682100</v>
      </c>
    </row>
    <row r="24884" spans="1:9">
      <c r="A24884" s="22" t="str">
        <f>HYPERLINK("https://app.vivvix.com/360/KMI/IntelliDrive/ApplUI/Pages/CreativePages/CustomReportCreativeDetail.aspx?App=23&amp;ReportView=4&amp;Qid=1711279&amp;Row=24876&amp;Col=1","No Title Assigned - #15284521212")</f>
        <v/>
      </c>
      <c r="B24884" s="0" t="s">
        <v>33434</v>
      </c>
      <c r="C24884" s="0" t="s">
        <v>33435</v>
      </c>
      <c r="D24884" s="0" t="s">
        <v>33435</v>
      </c>
      <c r="E24884" s="0" t="inlineStr">
        <is>
          <t xml:space="preserve">Mazda</t>
        </is>
      </c>
      <c r="F24884" s="0" t="inlineStr">
        <is>
          <t xml:space="preserve">Mazda</t>
        </is>
      </c>
      <c r="G24884" s="0" t="s">
        <v>171</v>
      </c>
      <c r="H24884" s="5">
        <v>982.426600</v>
      </c>
    </row>
    <row r="24885" spans="1:9">
      <c r="A24885" s="22" t="str">
        <f>HYPERLINK("https://app.vivvix.com/360/KMI/IntelliDrive/ApplUI/Pages/CreativePages/CustomReportCreativeDetail.aspx?App=23&amp;ReportView=4&amp;Qid=1711279&amp;Row=24877&amp;Col=1","No Title Assigned - #15284521230")</f>
        <v/>
      </c>
      <c r="B24885" s="0" t="s">
        <v>33436</v>
      </c>
      <c r="C24885" s="0" t="s">
        <v>33437</v>
      </c>
      <c r="D24885" s="0" t="s">
        <v>33437</v>
      </c>
      <c r="E24885" s="0" t="inlineStr">
        <is>
          <t xml:space="preserve">Mazda</t>
        </is>
      </c>
      <c r="F24885" s="0" t="s">
        <v>369</v>
      </c>
      <c r="G24885" s="0" t="s">
        <v>370</v>
      </c>
      <c r="H24885" s="5">
        <v>418.084900</v>
      </c>
    </row>
    <row r="24886" spans="1:9">
      <c r="A24886" s="22" t="str">
        <f>HYPERLINK("https://app.vivvix.com/360/KMI/IntelliDrive/ApplUI/Pages/CreativePages/CustomReportCreativeDetail.aspx?App=23&amp;ReportView=4&amp;Qid=1711279&amp;Row=24878&amp;Col=1","No Title Assigned - #15284521441")</f>
        <v/>
      </c>
      <c r="B24886" s="0" t="s">
        <v>33438</v>
      </c>
      <c r="C24886" s="0" t="s">
        <v>33439</v>
      </c>
      <c r="D24886" s="0" t="s">
        <v>33439</v>
      </c>
      <c r="E24886" s="0" t="inlineStr">
        <is>
          <t xml:space="preserve">Mazda</t>
        </is>
      </c>
      <c r="F24886" s="0" t="s">
        <v>28</v>
      </c>
      <c r="G24886" s="0" t="s">
        <v>29</v>
      </c>
      <c r="H24886" s="5">
        <v>1254.254700</v>
      </c>
    </row>
    <row r="24887" spans="1:9">
      <c r="A24887" s="22" t="str">
        <f>HYPERLINK("https://app.vivvix.com/360/KMI/IntelliDrive/ApplUI/Pages/CreativePages/CustomReportCreativeDetail.aspx?App=23&amp;ReportView=4&amp;Qid=1711279&amp;Row=24879&amp;Col=1","No Title Assigned - #15284525554")</f>
        <v/>
      </c>
      <c r="B24887" s="0" t="s">
        <v>33440</v>
      </c>
      <c r="C24887" s="0" t="s">
        <v>33441</v>
      </c>
      <c r="D24887" s="0" t="s">
        <v>33441</v>
      </c>
      <c r="E24887" s="0" t="inlineStr">
        <is>
          <t xml:space="preserve">Mazda</t>
        </is>
      </c>
      <c r="F24887" s="0" t="s">
        <v>13</v>
      </c>
      <c r="G24887" s="0" t="s">
        <v>49</v>
      </c>
      <c r="H24887" s="5">
        <v>1123.814100</v>
      </c>
    </row>
    <row r="24888" spans="1:9">
      <c r="A24888" s="22" t="str">
        <f>HYPERLINK("https://app.vivvix.com/360/KMI/IntelliDrive/ApplUI/Pages/CreativePages/CustomReportCreativeDetail.aspx?App=23&amp;ReportView=4&amp;Qid=1711279&amp;Row=24880&amp;Col=1","No Title Assigned - #15284526576")</f>
        <v/>
      </c>
      <c r="B24888" s="0" t="s">
        <v>33442</v>
      </c>
      <c r="C24888" s="0" t="s">
        <v>33443</v>
      </c>
      <c r="D24888" s="0" t="s">
        <v>33443</v>
      </c>
      <c r="E24888" s="0" t="inlineStr">
        <is>
          <t xml:space="preserve">Mazda</t>
        </is>
      </c>
      <c r="F24888" s="0" t="s">
        <v>13</v>
      </c>
      <c r="G24888" s="0" t="s">
        <v>49</v>
      </c>
      <c r="H24888" s="5">
        <v>71.072200</v>
      </c>
    </row>
    <row r="24889" spans="1:9">
      <c r="A24889" s="22" t="str">
        <f>HYPERLINK("https://app.vivvix.com/360/KMI/IntelliDrive/ApplUI/Pages/CreativePages/CustomReportCreativeDetail.aspx?App=23&amp;ReportView=4&amp;Qid=1711279&amp;Row=24881&amp;Col=1","No Title Assigned - #15284526986")</f>
        <v/>
      </c>
      <c r="B24889" s="0" t="s">
        <v>33444</v>
      </c>
      <c r="C24889" s="0" t="s">
        <v>33445</v>
      </c>
      <c r="D24889" s="0" t="s">
        <v>33445</v>
      </c>
      <c r="E24889" s="0" t="inlineStr">
        <is>
          <t xml:space="preserve">Mazda</t>
        </is>
      </c>
      <c r="F24889" s="0" t="s">
        <v>13</v>
      </c>
      <c r="G24889" s="0" t="s">
        <v>49</v>
      </c>
      <c r="H24889" s="5">
        <v>154.948700</v>
      </c>
    </row>
    <row r="24890" spans="1:9">
      <c r="A24890" s="22" t="str">
        <f>HYPERLINK("https://app.vivvix.com/360/KMI/IntelliDrive/ApplUI/Pages/CreativePages/CustomReportCreativeDetail.aspx?App=23&amp;ReportView=4&amp;Qid=1711279&amp;Row=24882&amp;Col=1","No Title Assigned - #15284527204")</f>
        <v/>
      </c>
      <c r="B24890" s="0" t="s">
        <v>33446</v>
      </c>
      <c r="C24890" s="0" t="s">
        <v>33447</v>
      </c>
      <c r="D24890" s="0" t="s">
        <v>33447</v>
      </c>
      <c r="E24890" s="0" t="inlineStr">
        <is>
          <t xml:space="preserve">Mazda</t>
        </is>
      </c>
      <c r="F24890" s="0" t="s">
        <v>13</v>
      </c>
      <c r="G24890" s="0" t="s">
        <v>49</v>
      </c>
      <c r="H24890" s="5">
        <v>414.612100</v>
      </c>
    </row>
    <row r="24891" spans="1:9">
      <c r="A24891" s="22" t="str">
        <f>HYPERLINK("https://app.vivvix.com/360/KMI/IntelliDrive/ApplUI/Pages/CreativePages/CustomReportCreativeDetail.aspx?App=23&amp;ReportView=4&amp;Qid=1711279&amp;Row=24883&amp;Col=1","No Title Assigned - #15284527210")</f>
        <v/>
      </c>
      <c r="B24891" s="0" t="s">
        <v>33448</v>
      </c>
      <c r="C24891" s="0" t="s">
        <v>33449</v>
      </c>
      <c r="D24891" s="0" t="s">
        <v>33449</v>
      </c>
      <c r="E24891" s="0" t="inlineStr">
        <is>
          <t xml:space="preserve">Mazda</t>
        </is>
      </c>
      <c r="F24891" s="0" t="s">
        <v>13</v>
      </c>
      <c r="G24891" s="0" t="s">
        <v>49</v>
      </c>
      <c r="H24891" s="5">
        <v>328.360200</v>
      </c>
    </row>
    <row r="24892" spans="1:9">
      <c r="A24892" s="22" t="str">
        <f>HYPERLINK("https://app.vivvix.com/360/KMI/IntelliDrive/ApplUI/Pages/CreativePages/CustomReportCreativeDetail.aspx?App=23&amp;ReportView=4&amp;Qid=1711279&amp;Row=24884&amp;Col=1","No Title Assigned - #15284527424")</f>
        <v/>
      </c>
      <c r="B24892" s="0" t="s">
        <v>33450</v>
      </c>
      <c r="C24892" s="0" t="s">
        <v>33451</v>
      </c>
      <c r="D24892" s="0" t="s">
        <v>33451</v>
      </c>
      <c r="E24892" s="0" t="inlineStr">
        <is>
          <t xml:space="preserve">Mazda</t>
        </is>
      </c>
      <c r="F24892" s="0" t="s">
        <v>13</v>
      </c>
      <c r="G24892" s="0" t="s">
        <v>49</v>
      </c>
      <c r="H24892" s="5">
        <v>411.940400</v>
      </c>
    </row>
    <row r="24893" spans="1:9">
      <c r="A24893" s="22" t="str">
        <f>HYPERLINK("https://app.vivvix.com/360/KMI/IntelliDrive/ApplUI/Pages/CreativePages/CustomReportCreativeDetail.aspx?App=23&amp;ReportView=4&amp;Qid=1711279&amp;Row=24885&amp;Col=1","No Title Assigned - #15284529273")</f>
        <v/>
      </c>
      <c r="B24893" s="0" t="s">
        <v>33452</v>
      </c>
      <c r="C24893" s="0" t="s">
        <v>33453</v>
      </c>
      <c r="D24893" s="0" t="s">
        <v>33453</v>
      </c>
      <c r="E24893" s="0" t="inlineStr">
        <is>
          <t xml:space="preserve">Mazda</t>
        </is>
      </c>
      <c r="F24893" s="0" t="s">
        <v>13</v>
      </c>
      <c r="G24893" s="0" t="s">
        <v>49</v>
      </c>
      <c r="H24893" s="5">
        <v>5.127100</v>
      </c>
    </row>
    <row r="24894" spans="1:9">
      <c r="A24894" s="22" t="str">
        <f>HYPERLINK("https://app.vivvix.com/360/KMI/IntelliDrive/ApplUI/Pages/CreativePages/CustomReportCreativeDetail.aspx?App=23&amp;ReportView=4&amp;Qid=1711279&amp;Row=24886&amp;Col=1","No Title Assigned - #15284531604")</f>
        <v/>
      </c>
      <c r="B24894" s="0" t="s">
        <v>33454</v>
      </c>
      <c r="C24894" s="0" t="s">
        <v>33455</v>
      </c>
      <c r="D24894" s="0" t="s">
        <v>33455</v>
      </c>
      <c r="E24894" s="0" t="inlineStr">
        <is>
          <t xml:space="preserve">Mazda</t>
        </is>
      </c>
      <c r="F24894" s="0" t="s">
        <v>13</v>
      </c>
      <c r="G24894" s="0" t="s">
        <v>49</v>
      </c>
      <c r="H24894" s="5">
        <v>6484.311500</v>
      </c>
    </row>
    <row r="24895" spans="1:9">
      <c r="A24895" s="22" t="str">
        <f>HYPERLINK("https://app.vivvix.com/360/KMI/IntelliDrive/ApplUI/Pages/CreativePages/CustomReportCreativeDetail.aspx?App=23&amp;ReportView=4&amp;Qid=1711279&amp;Row=24887&amp;Col=1","No Title Assigned - #15284535082")</f>
        <v/>
      </c>
      <c r="B24895" s="0" t="s">
        <v>33456</v>
      </c>
      <c r="C24895" s="0" t="s">
        <v>33457</v>
      </c>
      <c r="D24895" s="0" t="s">
        <v>33457</v>
      </c>
      <c r="E24895" s="0" t="inlineStr">
        <is>
          <t xml:space="preserve">Mazda</t>
        </is>
      </c>
      <c r="F24895" s="0" t="s">
        <v>3108</v>
      </c>
      <c r="G24895" s="0" t="s">
        <v>3109</v>
      </c>
      <c r="H24895" s="5">
        <v>875.122500</v>
      </c>
    </row>
    <row r="24896" spans="1:9">
      <c r="A24896" s="22" t="str">
        <f>HYPERLINK("https://app.vivvix.com/360/KMI/IntelliDrive/ApplUI/Pages/CreativePages/CustomReportCreativeDetail.aspx?App=23&amp;ReportView=4&amp;Qid=1711279&amp;Row=24888&amp;Col=1","No Title Assigned - #15284536066")</f>
        <v/>
      </c>
      <c r="B24896" s="0" t="s">
        <v>33458</v>
      </c>
      <c r="C24896" s="0" t="s">
        <v>33459</v>
      </c>
      <c r="D24896" s="0" t="s">
        <v>33459</v>
      </c>
      <c r="E24896" s="0" t="inlineStr">
        <is>
          <t xml:space="preserve">Mazda</t>
        </is>
      </c>
      <c r="F24896" s="0" t="s">
        <v>13</v>
      </c>
      <c r="G24896" s="0" t="s">
        <v>49</v>
      </c>
      <c r="H24896" s="5">
        <v>1290.035600</v>
      </c>
    </row>
    <row r="24897" spans="1:9">
      <c r="A24897" s="22" t="str">
        <f>HYPERLINK("https://app.vivvix.com/360/KMI/IntelliDrive/ApplUI/Pages/CreativePages/CustomReportCreativeDetail.aspx?App=23&amp;ReportView=4&amp;Qid=1711279&amp;Row=24889&amp;Col=1","No Title Assigned - #15284536066")</f>
        <v/>
      </c>
      <c r="B24897" s="0" t="s">
        <v>33458</v>
      </c>
      <c r="C24897" s="0" t="s">
        <v>33460</v>
      </c>
      <c r="D24897" s="0" t="s">
        <v>33460</v>
      </c>
      <c r="E24897" s="0" t="inlineStr">
        <is>
          <t xml:space="preserve">Mazda</t>
        </is>
      </c>
      <c r="F24897" s="0" t="s">
        <v>13</v>
      </c>
      <c r="G24897" s="0" t="s">
        <v>49</v>
      </c>
      <c r="H24897" s="5">
        <v>3891.517900</v>
      </c>
    </row>
    <row r="24898" spans="1:9">
      <c r="A24898" s="22" t="str">
        <f>HYPERLINK("https://app.vivvix.com/360/KMI/IntelliDrive/ApplUI/Pages/CreativePages/CustomReportCreativeDetail.aspx?App=23&amp;ReportView=4&amp;Qid=1711279&amp;Row=24890&amp;Col=1","No Title Assigned - #15284549237")</f>
        <v/>
      </c>
      <c r="B24898" s="0" t="s">
        <v>33461</v>
      </c>
      <c r="C24898" s="0" t="s">
        <v>33462</v>
      </c>
      <c r="D24898" s="0" t="s">
        <v>33462</v>
      </c>
      <c r="E24898" s="0" t="inlineStr">
        <is>
          <t xml:space="preserve">Mazda</t>
        </is>
      </c>
      <c r="F24898" s="0" t="s">
        <v>13</v>
      </c>
      <c r="G24898" s="0" t="s">
        <v>49</v>
      </c>
      <c r="H24898" s="5">
        <v>95.434100</v>
      </c>
    </row>
    <row r="24899" spans="1:9">
      <c r="A24899" s="22" t="str">
        <f>HYPERLINK("https://app.vivvix.com/360/KMI/IntelliDrive/ApplUI/Pages/CreativePages/CustomReportCreativeDetail.aspx?App=23&amp;ReportView=4&amp;Qid=1711279&amp;Row=24891&amp;Col=1","No Title Assigned - #15284550891")</f>
        <v/>
      </c>
      <c r="B24899" s="0" t="s">
        <v>33463</v>
      </c>
      <c r="C24899" s="0" t="s">
        <v>33464</v>
      </c>
      <c r="D24899" s="0" t="s">
        <v>33464</v>
      </c>
      <c r="E24899" s="0" t="inlineStr">
        <is>
          <t xml:space="preserve">Mazda</t>
        </is>
      </c>
      <c r="F24899" s="0" t="s">
        <v>13</v>
      </c>
      <c r="G24899" s="0" t="s">
        <v>49</v>
      </c>
      <c r="H24899" s="5">
        <v>659.930600</v>
      </c>
    </row>
    <row r="24900" spans="1:9">
      <c r="A24900" s="22" t="str">
        <f>HYPERLINK("https://app.vivvix.com/360/KMI/IntelliDrive/ApplUI/Pages/CreativePages/CustomReportCreativeDetail.aspx?App=23&amp;ReportView=4&amp;Qid=1711279&amp;Row=24892&amp;Col=1","No Title Assigned - #15284550977")</f>
        <v/>
      </c>
      <c r="B24900" s="0" t="s">
        <v>33465</v>
      </c>
      <c r="C24900" s="0" t="s">
        <v>33466</v>
      </c>
      <c r="D24900" s="0" t="s">
        <v>33466</v>
      </c>
      <c r="E24900" s="0" t="inlineStr">
        <is>
          <t xml:space="preserve">Mazda</t>
        </is>
      </c>
      <c r="F24900" s="0" t="s">
        <v>13</v>
      </c>
      <c r="G24900" s="0" t="s">
        <v>49</v>
      </c>
      <c r="H24900" s="5">
        <v>767.427900</v>
      </c>
    </row>
    <row r="24901" spans="1:9">
      <c r="A24901" s="22" t="str">
        <f>HYPERLINK("https://app.vivvix.com/360/KMI/IntelliDrive/ApplUI/Pages/CreativePages/CustomReportCreativeDetail.aspx?App=23&amp;ReportView=4&amp;Qid=1711279&amp;Row=24893&amp;Col=1","No Title Assigned - #15284551862")</f>
        <v/>
      </c>
      <c r="B24901" s="0" t="s">
        <v>33467</v>
      </c>
      <c r="C24901" s="0" t="s">
        <v>33468</v>
      </c>
      <c r="D24901" s="0" t="s">
        <v>33468</v>
      </c>
      <c r="E24901" s="0" t="inlineStr">
        <is>
          <t xml:space="preserve">Mazda</t>
        </is>
      </c>
      <c r="F24901" s="0" t="s">
        <v>13</v>
      </c>
      <c r="G24901" s="0" t="s">
        <v>49</v>
      </c>
      <c r="H24901" s="5">
        <v>286.302300</v>
      </c>
    </row>
    <row r="24902" spans="1:9">
      <c r="A24902" s="22" t="str">
        <f>HYPERLINK("https://app.vivvix.com/360/KMI/IntelliDrive/ApplUI/Pages/CreativePages/CustomReportCreativeDetail.aspx?App=23&amp;ReportView=4&amp;Qid=1711279&amp;Row=24894&amp;Col=1","No Title Assigned - #15284553394")</f>
        <v/>
      </c>
      <c r="B24902" s="0" t="s">
        <v>33469</v>
      </c>
      <c r="C24902" s="0" t="s">
        <v>33470</v>
      </c>
      <c r="D24902" s="0" t="s">
        <v>33470</v>
      </c>
      <c r="E24902" s="0" t="inlineStr">
        <is>
          <t xml:space="preserve">Mazda</t>
        </is>
      </c>
      <c r="F24902" s="0" t="s">
        <v>17</v>
      </c>
      <c r="G24902" s="0" t="s">
        <v>33</v>
      </c>
      <c r="H24902" s="5">
        <v>425.276600</v>
      </c>
    </row>
    <row r="24903" spans="1:9">
      <c r="A24903" s="22" t="str">
        <f>HYPERLINK("https://app.vivvix.com/360/KMI/IntelliDrive/ApplUI/Pages/CreativePages/CustomReportCreativeDetail.aspx?App=23&amp;ReportView=4&amp;Qid=1711279&amp;Row=24895&amp;Col=1","No Title Assigned - #15284555148")</f>
        <v/>
      </c>
      <c r="B24903" s="0" t="s">
        <v>33471</v>
      </c>
      <c r="C24903" s="0" t="s">
        <v>33472</v>
      </c>
      <c r="D24903" s="0" t="s">
        <v>33472</v>
      </c>
      <c r="E24903" s="0" t="inlineStr">
        <is>
          <t xml:space="preserve">Mazda</t>
        </is>
      </c>
      <c r="F24903" s="0" t="s">
        <v>13</v>
      </c>
      <c r="G24903" s="0" t="s">
        <v>49</v>
      </c>
      <c r="H24903" s="5">
        <v>495.176900</v>
      </c>
    </row>
    <row r="24904" spans="1:9">
      <c r="A24904" s="22" t="str">
        <f>HYPERLINK("https://app.vivvix.com/360/KMI/IntelliDrive/ApplUI/Pages/CreativePages/CustomReportCreativeDetail.aspx?App=23&amp;ReportView=4&amp;Qid=1711279&amp;Row=24896&amp;Col=1","No Title Assigned - #15284556165")</f>
        <v/>
      </c>
      <c r="B24904" s="0" t="s">
        <v>33473</v>
      </c>
      <c r="E24904" s="0" t="inlineStr">
        <is>
          <t xml:space="preserve">Mazda</t>
        </is>
      </c>
      <c r="F24904" s="0" t="inlineStr">
        <is>
          <t xml:space="preserve">Mazda</t>
        </is>
      </c>
      <c r="G24904" s="0" t="s">
        <v>171</v>
      </c>
      <c r="H24904" s="5">
        <v>209.481800</v>
      </c>
    </row>
    <row r="24905" spans="1:9">
      <c r="A24905" s="22" t="str">
        <f>HYPERLINK("https://app.vivvix.com/360/KMI/IntelliDrive/ApplUI/Pages/CreativePages/CustomReportCreativeDetail.aspx?App=23&amp;ReportView=4&amp;Qid=1711279&amp;Row=24897&amp;Col=1","No Title Assigned - #15284556588")</f>
        <v/>
      </c>
      <c r="B24905" s="0" t="s">
        <v>33474</v>
      </c>
      <c r="C24905" s="0" t="s">
        <v>33475</v>
      </c>
      <c r="D24905" s="0" t="s">
        <v>33475</v>
      </c>
      <c r="E24905" s="0" t="inlineStr">
        <is>
          <t xml:space="preserve">Mazda</t>
        </is>
      </c>
      <c r="F24905" s="0" t="s">
        <v>13</v>
      </c>
      <c r="G24905" s="0" t="s">
        <v>49</v>
      </c>
      <c r="H24905" s="5">
        <v>248.823900</v>
      </c>
    </row>
    <row r="24906" spans="1:9">
      <c r="A24906" s="22" t="str">
        <f>HYPERLINK("https://app.vivvix.com/360/KMI/IntelliDrive/ApplUI/Pages/CreativePages/CustomReportCreativeDetail.aspx?App=23&amp;ReportView=4&amp;Qid=1711279&amp;Row=24898&amp;Col=1","No Title Assigned - #15284556899")</f>
        <v/>
      </c>
      <c r="B24906" s="0" t="s">
        <v>33476</v>
      </c>
      <c r="C24906" s="0" t="s">
        <v>33477</v>
      </c>
      <c r="D24906" s="0" t="s">
        <v>33477</v>
      </c>
      <c r="E24906" s="0" t="inlineStr">
        <is>
          <t xml:space="preserve">Mazda</t>
        </is>
      </c>
      <c r="F24906" s="0" t="s">
        <v>13</v>
      </c>
      <c r="G24906" s="0" t="s">
        <v>49</v>
      </c>
      <c r="H24906" s="5">
        <v>71.072200</v>
      </c>
    </row>
    <row r="24907" spans="1:9">
      <c r="A24907" s="22" t="str">
        <f>HYPERLINK("https://app.vivvix.com/360/KMI/IntelliDrive/ApplUI/Pages/CreativePages/CustomReportCreativeDetail.aspx?App=23&amp;ReportView=4&amp;Qid=1711279&amp;Row=24899&amp;Col=1","No Title Assigned - #15284558119")</f>
        <v/>
      </c>
      <c r="B24907" s="0" t="s">
        <v>33478</v>
      </c>
      <c r="C24907" s="0" t="s">
        <v>33479</v>
      </c>
      <c r="D24907" s="0" t="s">
        <v>33479</v>
      </c>
      <c r="E24907" s="0" t="inlineStr">
        <is>
          <t xml:space="preserve">Mazda</t>
        </is>
      </c>
      <c r="F24907" s="0" t="s">
        <v>13</v>
      </c>
      <c r="G24907" s="0" t="s">
        <v>49</v>
      </c>
      <c r="H24907" s="5">
        <v>224.557400</v>
      </c>
    </row>
    <row r="24908" spans="1:9">
      <c r="A24908" s="22" t="str">
        <f>HYPERLINK("https://app.vivvix.com/360/KMI/IntelliDrive/ApplUI/Pages/CreativePages/CustomReportCreativeDetail.aspx?App=23&amp;ReportView=4&amp;Qid=1711279&amp;Row=24900&amp;Col=1","No Title Assigned - #15284561483")</f>
        <v/>
      </c>
      <c r="B24908" s="0" t="s">
        <v>33480</v>
      </c>
      <c r="C24908" s="0" t="s">
        <v>33481</v>
      </c>
      <c r="D24908" s="0" t="s">
        <v>33481</v>
      </c>
      <c r="E24908" s="0" t="inlineStr">
        <is>
          <t xml:space="preserve">Mazda</t>
        </is>
      </c>
      <c r="F24908" s="0" t="s">
        <v>13</v>
      </c>
      <c r="G24908" s="0" t="s">
        <v>49</v>
      </c>
      <c r="H24908" s="5">
        <v>1324.206500</v>
      </c>
    </row>
    <row r="24909" spans="1:9">
      <c r="A24909" s="22" t="str">
        <f>HYPERLINK("https://app.vivvix.com/360/KMI/IntelliDrive/ApplUI/Pages/CreativePages/CustomReportCreativeDetail.aspx?App=23&amp;ReportView=4&amp;Qid=1711279&amp;Row=24901&amp;Col=1","No Title Assigned - #15284561679")</f>
        <v/>
      </c>
      <c r="B24909" s="0" t="s">
        <v>33482</v>
      </c>
      <c r="C24909" s="0" t="s">
        <v>33483</v>
      </c>
      <c r="D24909" s="0" t="s">
        <v>33484</v>
      </c>
      <c r="E24909" s="0" t="inlineStr">
        <is>
          <t xml:space="preserve">Mazda</t>
        </is>
      </c>
      <c r="F24909" s="0" t="s">
        <v>13</v>
      </c>
      <c r="G24909" s="0" t="s">
        <v>49</v>
      </c>
      <c r="H24909" s="5">
        <v>1153.865900</v>
      </c>
    </row>
    <row r="24910" spans="1:9">
      <c r="A24910" s="22" t="str">
        <f>HYPERLINK("https://app.vivvix.com/360/KMI/IntelliDrive/ApplUI/Pages/CreativePages/CustomReportCreativeDetail.aspx?App=23&amp;ReportView=4&amp;Qid=1711279&amp;Row=24902&amp;Col=1","No Title Assigned - #15284561679")</f>
        <v/>
      </c>
      <c r="B24910" s="0" t="s">
        <v>33482</v>
      </c>
      <c r="E24910" s="0" t="inlineStr">
        <is>
          <t xml:space="preserve">Mazda</t>
        </is>
      </c>
      <c r="F24910" s="0" t="s">
        <v>13</v>
      </c>
      <c r="G24910" s="0" t="s">
        <v>49</v>
      </c>
      <c r="H24910" s="5">
        <v>202.904600</v>
      </c>
    </row>
    <row r="24911" spans="1:9">
      <c r="A24911" s="22" t="str">
        <f>HYPERLINK("https://app.vivvix.com/360/KMI/IntelliDrive/ApplUI/Pages/CreativePages/CustomReportCreativeDetail.aspx?App=23&amp;ReportView=4&amp;Qid=1711279&amp;Row=24903&amp;Col=1","No Title Assigned - #15284561885")</f>
        <v/>
      </c>
      <c r="B24911" s="0" t="s">
        <v>33485</v>
      </c>
      <c r="C24911" s="0" t="s">
        <v>33486</v>
      </c>
      <c r="D24911" s="0" t="s">
        <v>33486</v>
      </c>
      <c r="E24911" s="0" t="inlineStr">
        <is>
          <t xml:space="preserve">Mazda</t>
        </is>
      </c>
      <c r="F24911" s="0" t="s">
        <v>13</v>
      </c>
      <c r="G24911" s="0" t="s">
        <v>49</v>
      </c>
      <c r="H24911" s="5">
        <v>75.442800</v>
      </c>
    </row>
    <row r="24912" spans="1:9">
      <c r="A24912" s="22" t="str">
        <f>HYPERLINK("https://app.vivvix.com/360/KMI/IntelliDrive/ApplUI/Pages/CreativePages/CustomReportCreativeDetail.aspx?App=23&amp;ReportView=4&amp;Qid=1711279&amp;Row=24904&amp;Col=1","No Title Assigned - #15284562453")</f>
        <v/>
      </c>
      <c r="B24912" s="0" t="s">
        <v>33487</v>
      </c>
      <c r="C24912" s="0" t="s">
        <v>33488</v>
      </c>
      <c r="D24912" s="0" t="s">
        <v>33488</v>
      </c>
      <c r="E24912" s="0" t="inlineStr">
        <is>
          <t xml:space="preserve">Mazda</t>
        </is>
      </c>
      <c r="F24912" s="0" t="s">
        <v>13</v>
      </c>
      <c r="G24912" s="0" t="s">
        <v>49</v>
      </c>
      <c r="H24912" s="5">
        <v>95.434100</v>
      </c>
    </row>
    <row r="24913" spans="1:9">
      <c r="A24913" s="22" t="str">
        <f>HYPERLINK("https://app.vivvix.com/360/KMI/IntelliDrive/ApplUI/Pages/CreativePages/CustomReportCreativeDetail.aspx?App=23&amp;ReportView=4&amp;Qid=1711279&amp;Row=24905&amp;Col=1","No Title Assigned - #15284563317")</f>
        <v/>
      </c>
      <c r="B24913" s="0" t="s">
        <v>33489</v>
      </c>
      <c r="C24913" s="0" t="s">
        <v>33419</v>
      </c>
      <c r="D24913" s="0" t="s">
        <v>33419</v>
      </c>
      <c r="E24913" s="0" t="inlineStr">
        <is>
          <t xml:space="preserve">Mazda</t>
        </is>
      </c>
      <c r="F24913" s="0" t="s">
        <v>13</v>
      </c>
      <c r="G24913" s="0" t="s">
        <v>49</v>
      </c>
      <c r="H24913" s="5">
        <v>1633.461300</v>
      </c>
    </row>
    <row r="24914" spans="1:9">
      <c r="A24914" s="22" t="str">
        <f>HYPERLINK("https://app.vivvix.com/360/KMI/IntelliDrive/ApplUI/Pages/CreativePages/CustomReportCreativeDetail.aspx?App=23&amp;ReportView=4&amp;Qid=1711279&amp;Row=24906&amp;Col=1","No Title Assigned - #15284566208")</f>
        <v/>
      </c>
      <c r="B24914" s="0" t="s">
        <v>33490</v>
      </c>
      <c r="C24914" s="0" t="s">
        <v>33491</v>
      </c>
      <c r="D24914" s="0" t="s">
        <v>33491</v>
      </c>
      <c r="E24914" s="0" t="inlineStr">
        <is>
          <t xml:space="preserve">Mazda</t>
        </is>
      </c>
      <c r="F24914" s="0" t="s">
        <v>28</v>
      </c>
      <c r="G24914" s="0" t="s">
        <v>29</v>
      </c>
      <c r="H24914" s="5">
        <v>1012.585600</v>
      </c>
    </row>
    <row r="24915" spans="1:9">
      <c r="A24915" s="22" t="str">
        <f>HYPERLINK("https://app.vivvix.com/360/KMI/IntelliDrive/ApplUI/Pages/CreativePages/CustomReportCreativeDetail.aspx?App=23&amp;ReportView=4&amp;Qid=1711279&amp;Row=24907&amp;Col=1","No Title Assigned - #15284568229")</f>
        <v/>
      </c>
      <c r="B24915" s="0" t="s">
        <v>33492</v>
      </c>
      <c r="E24915" s="0" t="inlineStr">
        <is>
          <t xml:space="preserve">Mazda</t>
        </is>
      </c>
      <c r="F24915" s="0" t="inlineStr">
        <is>
          <t xml:space="preserve">Mazda</t>
        </is>
      </c>
      <c r="G24915" s="0" t="s">
        <v>171</v>
      </c>
      <c r="H24915" s="5">
        <v>222.712300</v>
      </c>
    </row>
    <row r="24916" spans="1:9">
      <c r="A24916" s="22" t="str">
        <f>HYPERLINK("https://app.vivvix.com/360/KMI/IntelliDrive/ApplUI/Pages/CreativePages/CustomReportCreativeDetail.aspx?App=23&amp;ReportView=4&amp;Qid=1711279&amp;Row=24908&amp;Col=1","No Title Assigned - #15284568313")</f>
        <v/>
      </c>
      <c r="B24916" s="0" t="s">
        <v>33493</v>
      </c>
      <c r="C24916" s="0" t="s">
        <v>33494</v>
      </c>
      <c r="D24916" s="0" t="s">
        <v>33494</v>
      </c>
      <c r="E24916" s="0" t="inlineStr">
        <is>
          <t xml:space="preserve">Mazda</t>
        </is>
      </c>
      <c r="F24916" s="0" t="s">
        <v>13</v>
      </c>
      <c r="G24916" s="0" t="s">
        <v>49</v>
      </c>
      <c r="H24916" s="5">
        <v>412.037300</v>
      </c>
    </row>
    <row r="24917" spans="1:9">
      <c r="A24917" s="22" t="str">
        <f>HYPERLINK("https://app.vivvix.com/360/KMI/IntelliDrive/ApplUI/Pages/CreativePages/CustomReportCreativeDetail.aspx?App=23&amp;ReportView=4&amp;Qid=1711279&amp;Row=24909&amp;Col=1","No Title Assigned - #15284568367")</f>
        <v/>
      </c>
      <c r="B24917" s="0" t="s">
        <v>33495</v>
      </c>
      <c r="E24917" s="0" t="inlineStr">
        <is>
          <t xml:space="preserve">Mazda</t>
        </is>
      </c>
      <c r="F24917" s="0" t="inlineStr">
        <is>
          <t xml:space="preserve">Mazda</t>
        </is>
      </c>
      <c r="G24917" s="0" t="s">
        <v>171</v>
      </c>
      <c r="H24917" s="5">
        <v>208.768500</v>
      </c>
    </row>
    <row r="24918" spans="1:9">
      <c r="A24918" s="22" t="str">
        <f>HYPERLINK("https://app.vivvix.com/360/KMI/IntelliDrive/ApplUI/Pages/CreativePages/CustomReportCreativeDetail.aspx?App=23&amp;ReportView=4&amp;Qid=1711279&amp;Row=24910&amp;Col=1","No Title Assigned - #15284568376")</f>
        <v/>
      </c>
      <c r="B24918" s="0" t="s">
        <v>33496</v>
      </c>
      <c r="C24918" s="0" t="s">
        <v>33497</v>
      </c>
      <c r="D24918" s="0" t="s">
        <v>33497</v>
      </c>
      <c r="E24918" s="0" t="inlineStr">
        <is>
          <t xml:space="preserve">Mazda</t>
        </is>
      </c>
      <c r="F24918" s="0" t="s">
        <v>13</v>
      </c>
      <c r="G24918" s="0" t="s">
        <v>49</v>
      </c>
      <c r="H24918" s="5">
        <v>8.736200</v>
      </c>
    </row>
    <row r="24919" spans="1:9">
      <c r="A24919" s="22" t="str">
        <f>HYPERLINK("https://app.vivvix.com/360/KMI/IntelliDrive/ApplUI/Pages/CreativePages/CustomReportCreativeDetail.aspx?App=23&amp;ReportView=4&amp;Qid=1711279&amp;Row=24911&amp;Col=1","No Title Assigned - #15284569262")</f>
        <v/>
      </c>
      <c r="B24919" s="0" t="s">
        <v>33498</v>
      </c>
      <c r="E24919" s="0" t="inlineStr">
        <is>
          <t xml:space="preserve">Mazda</t>
        </is>
      </c>
      <c r="F24919" s="0" t="inlineStr">
        <is>
          <t xml:space="preserve">Mazda</t>
        </is>
      </c>
      <c r="G24919" s="0" t="s">
        <v>171</v>
      </c>
      <c r="H24919" s="5">
        <v>19925.244200</v>
      </c>
    </row>
    <row r="24920" spans="1:9">
      <c r="A24920" s="22" t="str">
        <f>HYPERLINK("https://app.vivvix.com/360/KMI/IntelliDrive/ApplUI/Pages/CreativePages/CustomReportCreativeDetail.aspx?App=23&amp;ReportView=4&amp;Qid=1711279&amp;Row=24912&amp;Col=1","No Title Assigned - #15284569262")</f>
        <v/>
      </c>
      <c r="B24920" s="0" t="s">
        <v>33498</v>
      </c>
      <c r="E24920" s="0" t="inlineStr">
        <is>
          <t xml:space="preserve">Mazda</t>
        </is>
      </c>
      <c r="F24920" s="0" t="inlineStr">
        <is>
          <t xml:space="preserve">Mazda</t>
        </is>
      </c>
      <c r="G24920" s="0" t="s">
        <v>171</v>
      </c>
      <c r="H24920" s="5">
        <v>30.706200</v>
      </c>
    </row>
    <row r="24921" spans="1:9">
      <c r="A24921" s="22" t="str">
        <f>HYPERLINK("https://app.vivvix.com/360/KMI/IntelliDrive/ApplUI/Pages/CreativePages/CustomReportCreativeDetail.aspx?App=23&amp;ReportView=4&amp;Qid=1711279&amp;Row=24913&amp;Col=1","No Title Assigned - #15284569661")</f>
        <v/>
      </c>
      <c r="B24921" s="0" t="s">
        <v>33499</v>
      </c>
      <c r="C24921" s="0" t="s">
        <v>33500</v>
      </c>
      <c r="D24921" s="0" t="s">
        <v>33500</v>
      </c>
      <c r="E24921" s="0" t="inlineStr">
        <is>
          <t xml:space="preserve">Mazda</t>
        </is>
      </c>
      <c r="F24921" s="0" t="s">
        <v>13</v>
      </c>
      <c r="G24921" s="0" t="s">
        <v>49</v>
      </c>
      <c r="H24921" s="5">
        <v>140.326300</v>
      </c>
    </row>
    <row r="24922" spans="1:9">
      <c r="A24922" s="22" t="str">
        <f>HYPERLINK("https://app.vivvix.com/360/KMI/IntelliDrive/ApplUI/Pages/CreativePages/CustomReportCreativeDetail.aspx?App=23&amp;ReportView=4&amp;Qid=1711279&amp;Row=24914&amp;Col=1","No Title Assigned - #15284571734")</f>
        <v/>
      </c>
      <c r="B24922" s="0" t="s">
        <v>33501</v>
      </c>
      <c r="E24922" s="0" t="inlineStr">
        <is>
          <t xml:space="preserve">Mazda</t>
        </is>
      </c>
      <c r="F24922" s="0" t="inlineStr">
        <is>
          <t xml:space="preserve">Mazda</t>
        </is>
      </c>
      <c r="G24922" s="0" t="s">
        <v>171</v>
      </c>
      <c r="H24922" s="5">
        <v>258.657000</v>
      </c>
    </row>
    <row r="24923" spans="1:9">
      <c r="A24923" s="22" t="str">
        <f>HYPERLINK("https://app.vivvix.com/360/KMI/IntelliDrive/ApplUI/Pages/CreativePages/CustomReportCreativeDetail.aspx?App=23&amp;ReportView=4&amp;Qid=1711279&amp;Row=24915&amp;Col=1","No Title Assigned - #15284571854")</f>
        <v/>
      </c>
      <c r="B24923" s="0" t="s">
        <v>33502</v>
      </c>
      <c r="E24923" s="0" t="inlineStr">
        <is>
          <t xml:space="preserve">Mazda</t>
        </is>
      </c>
      <c r="F24923" s="0" t="inlineStr">
        <is>
          <t xml:space="preserve">Mazda</t>
        </is>
      </c>
      <c r="G24923" s="0" t="s">
        <v>171</v>
      </c>
      <c r="H24923" s="5">
        <v>209.461200</v>
      </c>
    </row>
    <row r="24924" spans="1:9">
      <c r="A24924" s="22" t="str">
        <f>HYPERLINK("https://app.vivvix.com/360/KMI/IntelliDrive/ApplUI/Pages/CreativePages/CustomReportCreativeDetail.aspx?App=23&amp;ReportView=4&amp;Qid=1711279&amp;Row=24916&amp;Col=1","No Title Assigned - #15284572077")</f>
        <v/>
      </c>
      <c r="B24924" s="0" t="s">
        <v>33503</v>
      </c>
      <c r="C24924" s="0" t="s">
        <v>33504</v>
      </c>
      <c r="D24924" s="0" t="s">
        <v>33504</v>
      </c>
      <c r="E24924" s="0" t="inlineStr">
        <is>
          <t xml:space="preserve">Mazda</t>
        </is>
      </c>
      <c r="F24924" s="0" t="s">
        <v>13</v>
      </c>
      <c r="G24924" s="0" t="s">
        <v>49</v>
      </c>
      <c r="H24924" s="5">
        <v>5169.256300</v>
      </c>
    </row>
    <row r="24925" spans="1:9">
      <c r="A24925" s="22" t="str">
        <f>HYPERLINK("https://app.vivvix.com/360/KMI/IntelliDrive/ApplUI/Pages/CreativePages/CustomReportCreativeDetail.aspx?App=23&amp;ReportView=4&amp;Qid=1711279&amp;Row=24917&amp;Col=1","No Title Assigned - #15284576304")</f>
        <v/>
      </c>
      <c r="B24925" s="0" t="s">
        <v>33505</v>
      </c>
      <c r="E24925" s="0" t="inlineStr">
        <is>
          <t xml:space="preserve">Mazda</t>
        </is>
      </c>
      <c r="F24925" s="0" t="s">
        <v>13</v>
      </c>
      <c r="G24925" s="0" t="s">
        <v>49</v>
      </c>
      <c r="H24925" s="5">
        <v>2697.202500</v>
      </c>
    </row>
    <row r="24926" spans="1:9">
      <c r="A24926" s="22" t="str">
        <f>HYPERLINK("https://app.vivvix.com/360/KMI/IntelliDrive/ApplUI/Pages/CreativePages/CustomReportCreativeDetail.aspx?App=23&amp;ReportView=4&amp;Qid=1711279&amp;Row=24918&amp;Col=1","No Title Assigned - #15284576304")</f>
        <v/>
      </c>
      <c r="B24926" s="0" t="s">
        <v>33505</v>
      </c>
      <c r="C24926" s="0" t="s">
        <v>33484</v>
      </c>
      <c r="D24926" s="0" t="s">
        <v>33484</v>
      </c>
      <c r="E24926" s="0" t="inlineStr">
        <is>
          <t xml:space="preserve">Mazda</t>
        </is>
      </c>
      <c r="F24926" s="0" t="s">
        <v>13</v>
      </c>
      <c r="G24926" s="0" t="s">
        <v>49</v>
      </c>
      <c r="H24926" s="5">
        <v>913.017600</v>
      </c>
    </row>
    <row r="24927" spans="1:9">
      <c r="A24927" s="22" t="str">
        <f>HYPERLINK("https://app.vivvix.com/360/KMI/IntelliDrive/ApplUI/Pages/CreativePages/CustomReportCreativeDetail.aspx?App=23&amp;ReportView=4&amp;Qid=1711279&amp;Row=24919&amp;Col=1","No Title Assigned - #15284577102")</f>
        <v/>
      </c>
      <c r="B24927" s="0" t="s">
        <v>33506</v>
      </c>
      <c r="C24927" s="0" t="s">
        <v>33507</v>
      </c>
      <c r="D24927" s="0" t="s">
        <v>33507</v>
      </c>
      <c r="E24927" s="0" t="inlineStr">
        <is>
          <t xml:space="preserve">Mazda</t>
        </is>
      </c>
      <c r="F24927" s="0" t="s">
        <v>13</v>
      </c>
      <c r="G24927" s="0" t="s">
        <v>49</v>
      </c>
      <c r="H24927" s="5">
        <v>385.487900</v>
      </c>
    </row>
    <row r="24928" spans="1:9">
      <c r="A24928" s="22" t="str">
        <f>HYPERLINK("https://app.vivvix.com/360/KMI/IntelliDrive/ApplUI/Pages/CreativePages/CustomReportCreativeDetail.aspx?App=23&amp;ReportView=4&amp;Qid=1711279&amp;Row=24920&amp;Col=1","No Title Assigned - #15284577132")</f>
        <v/>
      </c>
      <c r="B24928" s="0" t="s">
        <v>33508</v>
      </c>
      <c r="C24928" s="0" t="s">
        <v>33509</v>
      </c>
      <c r="D24928" s="0" t="s">
        <v>33509</v>
      </c>
      <c r="E24928" s="0" t="inlineStr">
        <is>
          <t xml:space="preserve">Mazda</t>
        </is>
      </c>
      <c r="F24928" s="0" t="s">
        <v>13</v>
      </c>
      <c r="G24928" s="0" t="s">
        <v>49</v>
      </c>
      <c r="H24928" s="5">
        <v>84566.789100</v>
      </c>
    </row>
    <row r="24929" spans="1:9">
      <c r="A24929" s="22" t="str">
        <f>HYPERLINK("https://app.vivvix.com/360/KMI/IntelliDrive/ApplUI/Pages/CreativePages/CustomReportCreativeDetail.aspx?App=23&amp;ReportView=4&amp;Qid=1711279&amp;Row=24921&amp;Col=1","No Title Assigned - #15284577344")</f>
        <v/>
      </c>
      <c r="B24929" s="0" t="s">
        <v>33510</v>
      </c>
      <c r="E24929" s="0" t="inlineStr">
        <is>
          <t xml:space="preserve">Mazda</t>
        </is>
      </c>
      <c r="F24929" s="0" t="s">
        <v>13</v>
      </c>
      <c r="G24929" s="0" t="s">
        <v>49</v>
      </c>
      <c r="H24929" s="5">
        <v>214.833900</v>
      </c>
    </row>
    <row r="24930" spans="1:9">
      <c r="A24930" s="22" t="str">
        <f>HYPERLINK("https://app.vivvix.com/360/KMI/IntelliDrive/ApplUI/Pages/CreativePages/CustomReportCreativeDetail.aspx?App=23&amp;ReportView=4&amp;Qid=1711279&amp;Row=24922&amp;Col=1","No Title Assigned - #15284577344")</f>
        <v/>
      </c>
      <c r="B24930" s="0" t="s">
        <v>33510</v>
      </c>
      <c r="C24930" s="0" t="s">
        <v>33511</v>
      </c>
      <c r="D24930" s="0" t="s">
        <v>33511</v>
      </c>
      <c r="E24930" s="0" t="inlineStr">
        <is>
          <t xml:space="preserve">Mazda</t>
        </is>
      </c>
      <c r="F24930" s="0" t="s">
        <v>13</v>
      </c>
      <c r="G24930" s="0" t="s">
        <v>49</v>
      </c>
      <c r="H24930" s="5">
        <v>881.665500</v>
      </c>
    </row>
    <row r="24931" spans="1:9">
      <c r="A24931" s="22" t="str">
        <f>HYPERLINK("https://app.vivvix.com/360/KMI/IntelliDrive/ApplUI/Pages/CreativePages/CustomReportCreativeDetail.aspx?App=23&amp;ReportView=4&amp;Qid=1711279&amp;Row=24923&amp;Col=1","No Title Assigned - #15284577950")</f>
        <v/>
      </c>
      <c r="B24931" s="0" t="s">
        <v>33512</v>
      </c>
      <c r="C24931" s="0" t="s">
        <v>33513</v>
      </c>
      <c r="D24931" s="0" t="s">
        <v>33373</v>
      </c>
      <c r="E24931" s="0" t="inlineStr">
        <is>
          <t xml:space="preserve">Mazda</t>
        </is>
      </c>
      <c r="F24931" s="0" t="s">
        <v>13</v>
      </c>
      <c r="G24931" s="0" t="s">
        <v>49</v>
      </c>
      <c r="H24931" s="5">
        <v>421.254700</v>
      </c>
    </row>
    <row r="24932" spans="1:9">
      <c r="A24932" s="22" t="str">
        <f>HYPERLINK("https://app.vivvix.com/360/KMI/IntelliDrive/ApplUI/Pages/CreativePages/CustomReportCreativeDetail.aspx?App=23&amp;ReportView=4&amp;Qid=1711279&amp;Row=24924&amp;Col=1","No Title Assigned - #15284578008")</f>
        <v/>
      </c>
      <c r="B24932" s="0" t="s">
        <v>33514</v>
      </c>
      <c r="C24932" s="0" t="s">
        <v>33515</v>
      </c>
      <c r="D24932" s="0" t="s">
        <v>33515</v>
      </c>
      <c r="E24932" s="0" t="inlineStr">
        <is>
          <t xml:space="preserve">Mazda</t>
        </is>
      </c>
      <c r="F24932" s="0" t="s">
        <v>13</v>
      </c>
      <c r="G24932" s="0" t="s">
        <v>49</v>
      </c>
      <c r="H24932" s="5">
        <v>601.547100</v>
      </c>
    </row>
    <row r="24933" spans="1:9">
      <c r="A24933" s="22" t="str">
        <f>HYPERLINK("https://app.vivvix.com/360/KMI/IntelliDrive/ApplUI/Pages/CreativePages/CustomReportCreativeDetail.aspx?App=23&amp;ReportView=4&amp;Qid=1711279&amp;Row=24925&amp;Col=1","No Title Assigned - #15284578993")</f>
        <v/>
      </c>
      <c r="B24933" s="0" t="s">
        <v>33516</v>
      </c>
      <c r="C24933" s="0" t="s">
        <v>33517</v>
      </c>
      <c r="D24933" s="0" t="s">
        <v>33517</v>
      </c>
      <c r="E24933" s="0" t="inlineStr">
        <is>
          <t xml:space="preserve">Mazda</t>
        </is>
      </c>
      <c r="F24933" s="0" t="s">
        <v>13</v>
      </c>
      <c r="G24933" s="0" t="s">
        <v>49</v>
      </c>
      <c r="H24933" s="5">
        <v>415.336200</v>
      </c>
    </row>
    <row r="24934" spans="1:9">
      <c r="A24934" s="22" t="str">
        <f>HYPERLINK("https://app.vivvix.com/360/KMI/IntelliDrive/ApplUI/Pages/CreativePages/CustomReportCreativeDetail.aspx?App=23&amp;ReportView=4&amp;Qid=1711279&amp;Row=24926&amp;Col=1","No Title Assigned - #15284579643")</f>
        <v/>
      </c>
      <c r="B24934" s="0" t="s">
        <v>33518</v>
      </c>
      <c r="C24934" s="0" t="s">
        <v>33519</v>
      </c>
      <c r="D24934" s="0" t="s">
        <v>33419</v>
      </c>
      <c r="E24934" s="0" t="inlineStr">
        <is>
          <t xml:space="preserve">Mazda</t>
        </is>
      </c>
      <c r="F24934" s="0" t="s">
        <v>13</v>
      </c>
      <c r="G24934" s="0" t="s">
        <v>49</v>
      </c>
      <c r="H24934" s="5">
        <v>1489.541800</v>
      </c>
    </row>
    <row r="24935" spans="1:9">
      <c r="A24935" s="22" t="str">
        <f>HYPERLINK("https://app.vivvix.com/360/KMI/IntelliDrive/ApplUI/Pages/CreativePages/CustomReportCreativeDetail.aspx?App=23&amp;ReportView=4&amp;Qid=1711279&amp;Row=24927&amp;Col=1","No Title Assigned - #15284604957")</f>
        <v/>
      </c>
      <c r="B24935" s="0" t="s">
        <v>33520</v>
      </c>
      <c r="C24935" s="0" t="s">
        <v>33521</v>
      </c>
      <c r="D24935" s="0" t="s">
        <v>33521</v>
      </c>
      <c r="E24935" s="0" t="inlineStr">
        <is>
          <t xml:space="preserve">Mazda</t>
        </is>
      </c>
      <c r="F24935" s="0" t="s">
        <v>13</v>
      </c>
      <c r="G24935" s="0" t="s">
        <v>49</v>
      </c>
      <c r="H24935" s="5">
        <v>41.350300</v>
      </c>
    </row>
    <row r="24936" spans="1:9">
      <c r="A24936" s="22" t="str">
        <f>HYPERLINK("https://app.vivvix.com/360/KMI/IntelliDrive/ApplUI/Pages/CreativePages/CustomReportCreativeDetail.aspx?App=23&amp;ReportView=4&amp;Qid=1711279&amp;Row=24928&amp;Col=1","No Title Assigned - #15284606101")</f>
        <v/>
      </c>
      <c r="B24936" s="0" t="s">
        <v>33522</v>
      </c>
      <c r="C24936" s="0" t="s">
        <v>33523</v>
      </c>
      <c r="D24936" s="0" t="s">
        <v>33523</v>
      </c>
      <c r="E24936" s="0" t="inlineStr">
        <is>
          <t xml:space="preserve">Mazda</t>
        </is>
      </c>
      <c r="F24936" s="0" t="s">
        <v>13</v>
      </c>
      <c r="G24936" s="0" t="s">
        <v>49</v>
      </c>
      <c r="H24936" s="5">
        <v>107367.356000</v>
      </c>
    </row>
    <row r="24937" spans="1:9">
      <c r="A24937" s="22" t="str">
        <f>HYPERLINK("https://app.vivvix.com/360/KMI/IntelliDrive/ApplUI/Pages/CreativePages/CustomReportCreativeDetail.aspx?App=23&amp;ReportView=4&amp;Qid=1711279&amp;Row=24929&amp;Col=1","No Title Assigned - #15284606101")</f>
        <v/>
      </c>
      <c r="B24937" s="0" t="s">
        <v>33522</v>
      </c>
      <c r="C24937" s="0" t="s">
        <v>33524</v>
      </c>
      <c r="D24937" s="0" t="s">
        <v>33058</v>
      </c>
      <c r="E24937" s="0" t="inlineStr">
        <is>
          <t xml:space="preserve">Mazda</t>
        </is>
      </c>
      <c r="F24937" s="0" t="s">
        <v>13</v>
      </c>
      <c r="G24937" s="0" t="s">
        <v>49</v>
      </c>
      <c r="H24937" s="5">
        <v>527.306900</v>
      </c>
    </row>
    <row r="24938" spans="1:9">
      <c r="A24938" s="22" t="str">
        <f>HYPERLINK("https://app.vivvix.com/360/KMI/IntelliDrive/ApplUI/Pages/CreativePages/CustomReportCreativeDetail.aspx?App=23&amp;ReportView=4&amp;Qid=1711279&amp;Row=24930&amp;Col=1","No Title Assigned - #15284606180")</f>
        <v/>
      </c>
      <c r="B24938" s="0" t="s">
        <v>33525</v>
      </c>
      <c r="C24938" s="0" t="s">
        <v>33526</v>
      </c>
      <c r="D24938" s="0" t="s">
        <v>33526</v>
      </c>
      <c r="E24938" s="0" t="inlineStr">
        <is>
          <t xml:space="preserve">Mazda</t>
        </is>
      </c>
      <c r="F24938" s="0" t="s">
        <v>13</v>
      </c>
      <c r="G24938" s="0" t="s">
        <v>49</v>
      </c>
      <c r="H24938" s="5">
        <v>95.434100</v>
      </c>
    </row>
    <row r="24939" spans="1:9">
      <c r="A24939" s="22" t="str">
        <f>HYPERLINK("https://app.vivvix.com/360/KMI/IntelliDrive/ApplUI/Pages/CreativePages/CustomReportCreativeDetail.aspx?App=23&amp;ReportView=4&amp;Qid=1711279&amp;Row=24931&amp;Col=1","No Title Assigned - #15284609176")</f>
        <v/>
      </c>
      <c r="B24939" s="0" t="s">
        <v>33527</v>
      </c>
      <c r="C24939" s="0" t="s">
        <v>33528</v>
      </c>
      <c r="D24939" s="0" t="s">
        <v>33528</v>
      </c>
      <c r="E24939" s="0" t="inlineStr">
        <is>
          <t xml:space="preserve">Mazda</t>
        </is>
      </c>
      <c r="F24939" s="0" t="s">
        <v>13</v>
      </c>
      <c r="G24939" s="0" t="s">
        <v>49</v>
      </c>
      <c r="H24939" s="5">
        <v>497.880200</v>
      </c>
    </row>
    <row r="24940" spans="1:9">
      <c r="A24940" s="22" t="str">
        <f>HYPERLINK("https://app.vivvix.com/360/KMI/IntelliDrive/ApplUI/Pages/CreativePages/CustomReportCreativeDetail.aspx?App=23&amp;ReportView=4&amp;Qid=1711279&amp;Row=24932&amp;Col=1","No Title Assigned - #15284609478")</f>
        <v/>
      </c>
      <c r="B24940" s="0" t="s">
        <v>33529</v>
      </c>
      <c r="C24940" s="0" t="s">
        <v>33530</v>
      </c>
      <c r="D24940" s="0" t="s">
        <v>33530</v>
      </c>
      <c r="E24940" s="0" t="inlineStr">
        <is>
          <t xml:space="preserve">Mazda</t>
        </is>
      </c>
      <c r="F24940" s="0" t="s">
        <v>13</v>
      </c>
      <c r="G24940" s="0" t="s">
        <v>49</v>
      </c>
      <c r="H24940" s="5">
        <v>144.883300</v>
      </c>
    </row>
    <row r="24941" spans="1:9">
      <c r="A24941" s="22" t="str">
        <f>HYPERLINK("https://app.vivvix.com/360/KMI/IntelliDrive/ApplUI/Pages/CreativePages/CustomReportCreativeDetail.aspx?App=23&amp;ReportView=4&amp;Qid=1711279&amp;Row=24933&amp;Col=1","No Title Assigned - #15284610510")</f>
        <v/>
      </c>
      <c r="B24941" s="0" t="s">
        <v>33531</v>
      </c>
      <c r="C24941" s="0" t="s">
        <v>33532</v>
      </c>
      <c r="D24941" s="0" t="s">
        <v>33532</v>
      </c>
      <c r="E24941" s="0" t="inlineStr">
        <is>
          <t xml:space="preserve">Mazda</t>
        </is>
      </c>
      <c r="F24941" s="0" t="s">
        <v>13</v>
      </c>
      <c r="G24941" s="0" t="s">
        <v>49</v>
      </c>
      <c r="H24941" s="5">
        <v>136.518300</v>
      </c>
    </row>
    <row r="24942" spans="1:9">
      <c r="A24942" s="22" t="str">
        <f>HYPERLINK("https://app.vivvix.com/360/KMI/IntelliDrive/ApplUI/Pages/CreativePages/CustomReportCreativeDetail.aspx?App=23&amp;ReportView=4&amp;Qid=1711279&amp;Row=24934&amp;Col=1","No Title Assigned - #15284611054")</f>
        <v/>
      </c>
      <c r="B24942" s="0" t="s">
        <v>33533</v>
      </c>
      <c r="C24942" s="0" t="s">
        <v>33534</v>
      </c>
      <c r="D24942" s="0" t="s">
        <v>33534</v>
      </c>
      <c r="E24942" s="0" t="inlineStr">
        <is>
          <t xml:space="preserve">Mazda</t>
        </is>
      </c>
      <c r="F24942" s="0" t="s">
        <v>13</v>
      </c>
      <c r="G24942" s="0" t="s">
        <v>49</v>
      </c>
      <c r="H24942" s="5">
        <v>41.118200</v>
      </c>
    </row>
    <row r="24943" spans="1:9">
      <c r="A24943" s="22" t="str">
        <f>HYPERLINK("https://app.vivvix.com/360/KMI/IntelliDrive/ApplUI/Pages/CreativePages/CustomReportCreativeDetail.aspx?App=23&amp;ReportView=4&amp;Qid=1711279&amp;Row=24935&amp;Col=1","No Title Assigned - #15284615240")</f>
        <v/>
      </c>
      <c r="B24943" s="0" t="s">
        <v>33535</v>
      </c>
      <c r="E24943" s="0" t="inlineStr">
        <is>
          <t xml:space="preserve">Mazda</t>
        </is>
      </c>
      <c r="F24943" s="0" t="inlineStr">
        <is>
          <t xml:space="preserve">Mazda</t>
        </is>
      </c>
      <c r="G24943" s="0" t="s">
        <v>171</v>
      </c>
      <c r="H24943" s="5">
        <v>6317.312000</v>
      </c>
    </row>
    <row r="24944" spans="1:9">
      <c r="A24944" s="22" t="str">
        <f>HYPERLINK("https://app.vivvix.com/360/KMI/IntelliDrive/ApplUI/Pages/CreativePages/CustomReportCreativeDetail.aspx?App=23&amp;ReportView=4&amp;Qid=1711279&amp;Row=24936&amp;Col=1","No Title Assigned - #15284619854")</f>
        <v/>
      </c>
      <c r="B24944" s="0" t="s">
        <v>33536</v>
      </c>
      <c r="E24944" s="0" t="inlineStr">
        <is>
          <t xml:space="preserve">Mazda</t>
        </is>
      </c>
      <c r="F24944" s="0" t="inlineStr">
        <is>
          <t xml:space="preserve">Mazda</t>
        </is>
      </c>
      <c r="G24944" s="0" t="s">
        <v>171</v>
      </c>
      <c r="H24944" s="5">
        <v>5903.462400</v>
      </c>
    </row>
    <row r="24945" spans="1:9">
      <c r="A24945" s="22" t="str">
        <f>HYPERLINK("https://app.vivvix.com/360/KMI/IntelliDrive/ApplUI/Pages/CreativePages/CustomReportCreativeDetail.aspx?App=23&amp;ReportView=4&amp;Qid=1711279&amp;Row=24937&amp;Col=1","No Title Assigned - #15284620518")</f>
        <v/>
      </c>
      <c r="B24945" s="0" t="s">
        <v>33537</v>
      </c>
      <c r="C24945" s="0" t="s">
        <v>33538</v>
      </c>
      <c r="D24945" s="0" t="s">
        <v>33538</v>
      </c>
      <c r="E24945" s="0" t="inlineStr">
        <is>
          <t xml:space="preserve">Mazda</t>
        </is>
      </c>
      <c r="F24945" s="0" t="s">
        <v>13</v>
      </c>
      <c r="G24945" s="0" t="s">
        <v>49</v>
      </c>
      <c r="H24945" s="5">
        <v>202.904600</v>
      </c>
    </row>
    <row r="24946" spans="1:9">
      <c r="A24946" s="22" t="str">
        <f>HYPERLINK("https://app.vivvix.com/360/KMI/IntelliDrive/ApplUI/Pages/CreativePages/CustomReportCreativeDetail.aspx?App=23&amp;ReportView=4&amp;Qid=1711279&amp;Row=24938&amp;Col=1","No Title Assigned - #15284620526")</f>
        <v/>
      </c>
      <c r="B24946" s="0" t="s">
        <v>33539</v>
      </c>
      <c r="E24946" s="0" t="inlineStr">
        <is>
          <t xml:space="preserve">Mazda</t>
        </is>
      </c>
      <c r="F24946" s="0" t="inlineStr">
        <is>
          <t xml:space="preserve">Mazda</t>
        </is>
      </c>
      <c r="G24946" s="0" t="s">
        <v>171</v>
      </c>
      <c r="H24946" s="5">
        <v>421.547800</v>
      </c>
    </row>
    <row r="24947" spans="1:9">
      <c r="A24947" s="22" t="str">
        <f>HYPERLINK("https://app.vivvix.com/360/KMI/IntelliDrive/ApplUI/Pages/CreativePages/CustomReportCreativeDetail.aspx?App=23&amp;ReportView=4&amp;Qid=1711279&amp;Row=24939&amp;Col=1","No Title Assigned - #15284626223")</f>
        <v/>
      </c>
      <c r="B24947" s="0" t="s">
        <v>33540</v>
      </c>
      <c r="E24947" s="0" t="inlineStr">
        <is>
          <t xml:space="preserve">Mazda</t>
        </is>
      </c>
      <c r="F24947" s="0" t="inlineStr">
        <is>
          <t xml:space="preserve">Mazda</t>
        </is>
      </c>
      <c r="G24947" s="0" t="s">
        <v>171</v>
      </c>
      <c r="H24947" s="5">
        <v>102.520200</v>
      </c>
    </row>
    <row r="24948" spans="1:9">
      <c r="A24948" s="22" t="str">
        <f>HYPERLINK("https://app.vivvix.com/360/KMI/IntelliDrive/ApplUI/Pages/CreativePages/CustomReportCreativeDetail.aspx?App=23&amp;ReportView=4&amp;Qid=1711279&amp;Row=24940&amp;Col=1","No Title Assigned - #15284626308")</f>
        <v/>
      </c>
      <c r="B24948" s="0" t="s">
        <v>33541</v>
      </c>
      <c r="E24948" s="0" t="inlineStr">
        <is>
          <t xml:space="preserve">Mazda</t>
        </is>
      </c>
      <c r="F24948" s="0" t="inlineStr">
        <is>
          <t xml:space="preserve">Mazda</t>
        </is>
      </c>
      <c r="G24948" s="0" t="s">
        <v>171</v>
      </c>
      <c r="H24948" s="5">
        <v>356.204800</v>
      </c>
    </row>
    <row r="24949" spans="1:9">
      <c r="A24949" s="22" t="str">
        <f>HYPERLINK("https://app.vivvix.com/360/KMI/IntelliDrive/ApplUI/Pages/CreativePages/CustomReportCreativeDetail.aspx?App=23&amp;ReportView=4&amp;Qid=1711279&amp;Row=24941&amp;Col=1","No Title Assigned - #15284626363")</f>
        <v/>
      </c>
      <c r="B24949" s="0" t="s">
        <v>33542</v>
      </c>
      <c r="E24949" s="0" t="inlineStr">
        <is>
          <t xml:space="preserve">Mazda</t>
        </is>
      </c>
      <c r="F24949" s="0" t="inlineStr">
        <is>
          <t xml:space="preserve">Mazda</t>
        </is>
      </c>
      <c r="G24949" s="0" t="s">
        <v>171</v>
      </c>
      <c r="H24949" s="5">
        <v>1055.438400</v>
      </c>
    </row>
    <row r="24950" spans="1:9">
      <c r="A24950" s="22" t="str">
        <f>HYPERLINK("https://app.vivvix.com/360/KMI/IntelliDrive/ApplUI/Pages/CreativePages/CustomReportCreativeDetail.aspx?App=23&amp;ReportView=4&amp;Qid=1711279&amp;Row=24942&amp;Col=1","No Title Assigned - #15284628384")</f>
        <v/>
      </c>
      <c r="B24950" s="0" t="s">
        <v>33543</v>
      </c>
      <c r="E24950" s="0" t="inlineStr">
        <is>
          <t xml:space="preserve">Mazda</t>
        </is>
      </c>
      <c r="F24950" s="0" t="inlineStr">
        <is>
          <t xml:space="preserve">Mazda</t>
        </is>
      </c>
      <c r="G24950" s="0" t="s">
        <v>171</v>
      </c>
      <c r="H24950" s="5">
        <v>652.573500</v>
      </c>
    </row>
    <row r="24951" spans="1:9">
      <c r="A24951" s="22" t="str">
        <f>HYPERLINK("https://app.vivvix.com/360/KMI/IntelliDrive/ApplUI/Pages/CreativePages/CustomReportCreativeDetail.aspx?App=23&amp;ReportView=4&amp;Qid=1711279&amp;Row=24943&amp;Col=1","No Title Assigned - #15284628901")</f>
        <v/>
      </c>
      <c r="B24951" s="0" t="s">
        <v>33544</v>
      </c>
      <c r="C24951" s="0" t="s">
        <v>33545</v>
      </c>
      <c r="D24951" s="0" t="s">
        <v>33545</v>
      </c>
      <c r="E24951" s="0" t="inlineStr">
        <is>
          <t xml:space="preserve">Mazda</t>
        </is>
      </c>
      <c r="F24951" s="0" t="s">
        <v>13</v>
      </c>
      <c r="G24951" s="0" t="s">
        <v>49</v>
      </c>
      <c r="H24951" s="5">
        <v>1097.776100</v>
      </c>
    </row>
    <row r="24952" spans="1:9">
      <c r="A24952" s="22" t="str">
        <f>HYPERLINK("https://app.vivvix.com/360/KMI/IntelliDrive/ApplUI/Pages/CreativePages/CustomReportCreativeDetail.aspx?App=23&amp;ReportView=4&amp;Qid=1711279&amp;Row=24944&amp;Col=1","No Title Assigned - #15284628963")</f>
        <v/>
      </c>
      <c r="B24952" s="0" t="s">
        <v>33546</v>
      </c>
      <c r="E24952" s="0" t="inlineStr">
        <is>
          <t xml:space="preserve">Mazda</t>
        </is>
      </c>
      <c r="F24952" s="0" t="inlineStr">
        <is>
          <t xml:space="preserve">Mazda</t>
        </is>
      </c>
      <c r="G24952" s="0" t="s">
        <v>171</v>
      </c>
      <c r="H24952" s="5">
        <v>621.380400</v>
      </c>
    </row>
    <row r="24953" spans="1:9">
      <c r="A24953" s="22" t="str">
        <f>HYPERLINK("https://app.vivvix.com/360/KMI/IntelliDrive/ApplUI/Pages/CreativePages/CustomReportCreativeDetail.aspx?App=23&amp;ReportView=4&amp;Qid=1711279&amp;Row=24945&amp;Col=1","No Title Assigned - #15284629181")</f>
        <v/>
      </c>
      <c r="B24953" s="0" t="s">
        <v>33547</v>
      </c>
      <c r="E24953" s="0" t="inlineStr">
        <is>
          <t xml:space="preserve">Mazda</t>
        </is>
      </c>
      <c r="F24953" s="0" t="inlineStr">
        <is>
          <t xml:space="preserve">Mazda</t>
        </is>
      </c>
      <c r="G24953" s="0" t="s">
        <v>171</v>
      </c>
      <c r="H24953" s="5">
        <v>205.618600</v>
      </c>
    </row>
    <row r="24954" spans="1:9">
      <c r="A24954" s="22" t="str">
        <f>HYPERLINK("https://app.vivvix.com/360/KMI/IntelliDrive/ApplUI/Pages/CreativePages/CustomReportCreativeDetail.aspx?App=23&amp;ReportView=4&amp;Qid=1711279&amp;Row=24946&amp;Col=1","No Title Assigned - #15284664328")</f>
        <v/>
      </c>
      <c r="B24954" s="0" t="s">
        <v>33548</v>
      </c>
      <c r="C24954" s="0" t="s">
        <v>33549</v>
      </c>
      <c r="D24954" s="0" t="s">
        <v>33549</v>
      </c>
      <c r="E24954" s="0" t="inlineStr">
        <is>
          <t xml:space="preserve">Mazda</t>
        </is>
      </c>
      <c r="F24954" s="0" t="s">
        <v>13</v>
      </c>
      <c r="G24954" s="0" t="s">
        <v>49</v>
      </c>
      <c r="H24954" s="5">
        <v>1324.206500</v>
      </c>
    </row>
    <row r="24955" spans="1:9">
      <c r="A24955" s="22" t="str">
        <f>HYPERLINK("https://app.vivvix.com/360/KMI/IntelliDrive/ApplUI/Pages/CreativePages/CustomReportCreativeDetail.aspx?App=23&amp;ReportView=4&amp;Qid=1711279&amp;Row=24947&amp;Col=1","No Title Assigned - #15284672066")</f>
        <v/>
      </c>
      <c r="B24955" s="0" t="s">
        <v>33550</v>
      </c>
      <c r="C24955" s="0" t="s">
        <v>33551</v>
      </c>
      <c r="D24955" s="0" t="s">
        <v>33551</v>
      </c>
      <c r="E24955" s="0" t="inlineStr">
        <is>
          <t xml:space="preserve">Mazda</t>
        </is>
      </c>
      <c r="F24955" s="0" t="s">
        <v>21</v>
      </c>
      <c r="G24955" s="0" t="s">
        <v>22</v>
      </c>
      <c r="H24955" s="5">
        <v>493.489200</v>
      </c>
    </row>
    <row r="24956" spans="1:9">
      <c r="A24956" s="22" t="str">
        <f>HYPERLINK("https://app.vivvix.com/360/KMI/IntelliDrive/ApplUI/Pages/CreativePages/CustomReportCreativeDetail.aspx?App=23&amp;ReportView=4&amp;Qid=1711279&amp;Row=24948&amp;Col=1","No Title Assigned - #15284678554")</f>
        <v/>
      </c>
      <c r="B24956" s="0" t="s">
        <v>33552</v>
      </c>
      <c r="C24956" s="0" t="s">
        <v>33553</v>
      </c>
      <c r="D24956" s="0" t="s">
        <v>33553</v>
      </c>
      <c r="E24956" s="0" t="inlineStr">
        <is>
          <t xml:space="preserve">Mazda</t>
        </is>
      </c>
      <c r="F24956" s="0" t="s">
        <v>13</v>
      </c>
      <c r="G24956" s="0" t="s">
        <v>49</v>
      </c>
      <c r="H24956" s="5">
        <v>47.911800</v>
      </c>
    </row>
    <row r="24957" spans="1:9">
      <c r="A24957" s="22" t="str">
        <f>HYPERLINK("https://app.vivvix.com/360/KMI/IntelliDrive/ApplUI/Pages/CreativePages/CustomReportCreativeDetail.aspx?App=23&amp;ReportView=4&amp;Qid=1711279&amp;Row=24949&amp;Col=1","No Title Assigned - #15284680665")</f>
        <v/>
      </c>
      <c r="B24957" s="0" t="s">
        <v>33554</v>
      </c>
      <c r="C24957" s="0" t="s">
        <v>33555</v>
      </c>
      <c r="D24957" s="0" t="s">
        <v>33555</v>
      </c>
      <c r="E24957" s="0" t="inlineStr">
        <is>
          <t xml:space="preserve">Mazda</t>
        </is>
      </c>
      <c r="F24957" s="0" t="inlineStr">
        <is>
          <t xml:space="preserve">Mazda</t>
        </is>
      </c>
      <c r="G24957" s="0" t="s">
        <v>210</v>
      </c>
      <c r="H24957" s="5">
        <v>724.802400</v>
      </c>
    </row>
    <row r="24958" spans="1:9">
      <c r="A24958" s="22" t="str">
        <f>HYPERLINK("https://app.vivvix.com/360/KMI/IntelliDrive/ApplUI/Pages/CreativePages/CustomReportCreativeDetail.aspx?App=23&amp;ReportView=4&amp;Qid=1711279&amp;Row=24950&amp;Col=1","No Title Assigned - #15284684694")</f>
        <v/>
      </c>
      <c r="B24958" s="0" t="s">
        <v>33556</v>
      </c>
      <c r="C24958" s="0" t="s">
        <v>33557</v>
      </c>
      <c r="D24958" s="0" t="s">
        <v>33557</v>
      </c>
      <c r="E24958" s="0" t="inlineStr">
        <is>
          <t xml:space="preserve">Mazda</t>
        </is>
      </c>
      <c r="F24958" s="0" t="s">
        <v>21</v>
      </c>
      <c r="G24958" s="0" t="s">
        <v>22</v>
      </c>
      <c r="H24958" s="5">
        <v>619.556300</v>
      </c>
    </row>
    <row r="24959" spans="1:9">
      <c r="A24959" s="22" t="str">
        <f>HYPERLINK("https://app.vivvix.com/360/KMI/IntelliDrive/ApplUI/Pages/CreativePages/CustomReportCreativeDetail.aspx?App=23&amp;ReportView=4&amp;Qid=1711279&amp;Row=24951&amp;Col=1","No Title Assigned - #15284688801")</f>
        <v/>
      </c>
      <c r="B24959" s="0" t="s">
        <v>33558</v>
      </c>
      <c r="C24959" s="0" t="s">
        <v>33559</v>
      </c>
      <c r="D24959" s="0" t="s">
        <v>33559</v>
      </c>
      <c r="E24959" s="0" t="inlineStr">
        <is>
          <t xml:space="preserve">Mazda</t>
        </is>
      </c>
      <c r="F24959" s="0" t="s">
        <v>369</v>
      </c>
      <c r="G24959" s="0" t="s">
        <v>370</v>
      </c>
      <c r="H24959" s="5">
        <v>812.596100</v>
      </c>
    </row>
    <row r="24960" spans="1:9">
      <c r="A24960" s="22" t="str">
        <f>HYPERLINK("https://app.vivvix.com/360/KMI/IntelliDrive/ApplUI/Pages/CreativePages/CustomReportCreativeDetail.aspx?App=23&amp;ReportView=4&amp;Qid=1711279&amp;Row=24952&amp;Col=1","No Title Assigned - #15284707637")</f>
        <v/>
      </c>
      <c r="B24960" s="0" t="s">
        <v>33560</v>
      </c>
      <c r="C24960" s="0" t="s">
        <v>33561</v>
      </c>
      <c r="D24960" s="0" t="s">
        <v>33561</v>
      </c>
      <c r="E24960" s="0" t="inlineStr">
        <is>
          <t xml:space="preserve">Mazda</t>
        </is>
      </c>
      <c r="F24960" s="0" t="s">
        <v>13</v>
      </c>
      <c r="G24960" s="0" t="s">
        <v>49</v>
      </c>
      <c r="H24960" s="5">
        <v>64.002800</v>
      </c>
    </row>
    <row r="24961" spans="1:9">
      <c r="A24961" s="22" t="str">
        <f>HYPERLINK("https://app.vivvix.com/360/KMI/IntelliDrive/ApplUI/Pages/CreativePages/CustomReportCreativeDetail.aspx?App=23&amp;ReportView=4&amp;Qid=1711279&amp;Row=24953&amp;Col=1","No Title Assigned - #15284708563")</f>
        <v/>
      </c>
      <c r="B24961" s="0" t="s">
        <v>33562</v>
      </c>
      <c r="C24961" s="0" t="s">
        <v>33563</v>
      </c>
      <c r="D24961" s="0" t="s">
        <v>33563</v>
      </c>
      <c r="E24961" s="0" t="inlineStr">
        <is>
          <t xml:space="preserve">Mazda</t>
        </is>
      </c>
      <c r="F24961" s="0" t="s">
        <v>13</v>
      </c>
      <c r="G24961" s="0" t="s">
        <v>49</v>
      </c>
      <c r="H24961" s="5">
        <v>24908.842000</v>
      </c>
    </row>
    <row r="24962" spans="1:9">
      <c r="A24962" s="22" t="str">
        <f>HYPERLINK("https://app.vivvix.com/360/KMI/IntelliDrive/ApplUI/Pages/CreativePages/CustomReportCreativeDetail.aspx?App=23&amp;ReportView=4&amp;Qid=1711279&amp;Row=24954&amp;Col=1","No Title Assigned - #15284712852")</f>
        <v/>
      </c>
      <c r="B24962" s="0" t="s">
        <v>33564</v>
      </c>
      <c r="C24962" s="0" t="s">
        <v>33565</v>
      </c>
      <c r="D24962" s="0" t="s">
        <v>33565</v>
      </c>
      <c r="E24962" s="0" t="inlineStr">
        <is>
          <t xml:space="preserve">Mazda</t>
        </is>
      </c>
      <c r="F24962" s="0" t="s">
        <v>13</v>
      </c>
      <c r="G24962" s="0" t="s">
        <v>49</v>
      </c>
      <c r="H24962" s="5">
        <v>514.263500</v>
      </c>
    </row>
    <row r="24963" spans="1:9">
      <c r="A24963" s="22" t="str">
        <f>HYPERLINK("https://app.vivvix.com/360/KMI/IntelliDrive/ApplUI/Pages/CreativePages/CustomReportCreativeDetail.aspx?App=23&amp;ReportView=4&amp;Qid=1711279&amp;Row=24955&amp;Col=1","No Title Assigned - #15284715278")</f>
        <v/>
      </c>
      <c r="B24963" s="0" t="s">
        <v>33566</v>
      </c>
      <c r="C24963" s="0" t="s">
        <v>33567</v>
      </c>
      <c r="D24963" s="0" t="s">
        <v>33567</v>
      </c>
      <c r="E24963" s="0" t="inlineStr">
        <is>
          <t xml:space="preserve">Mazda</t>
        </is>
      </c>
      <c r="F24963" s="0" t="s">
        <v>13</v>
      </c>
      <c r="G24963" s="0" t="s">
        <v>49</v>
      </c>
      <c r="H24963" s="5">
        <v>1933.261900</v>
      </c>
    </row>
    <row r="24964" spans="1:9">
      <c r="A24964" s="22" t="str">
        <f>HYPERLINK("https://app.vivvix.com/360/KMI/IntelliDrive/ApplUI/Pages/CreativePages/CustomReportCreativeDetail.aspx?App=23&amp;ReportView=4&amp;Qid=1711279&amp;Row=24956&amp;Col=1","No Title Assigned - #15284717436")</f>
        <v/>
      </c>
      <c r="B24964" s="0" t="s">
        <v>33568</v>
      </c>
      <c r="C24964" s="0" t="s">
        <v>33569</v>
      </c>
      <c r="D24964" s="0" t="s">
        <v>33569</v>
      </c>
      <c r="E24964" s="0" t="inlineStr">
        <is>
          <t xml:space="preserve">Mazda</t>
        </is>
      </c>
      <c r="F24964" s="0" t="s">
        <v>13</v>
      </c>
      <c r="G24964" s="0" t="s">
        <v>49</v>
      </c>
      <c r="H24964" s="5">
        <v>51.728200</v>
      </c>
    </row>
    <row r="24965" spans="1:9">
      <c r="A24965" s="22" t="str">
        <f>HYPERLINK("https://app.vivvix.com/360/KMI/IntelliDrive/ApplUI/Pages/CreativePages/CustomReportCreativeDetail.aspx?App=23&amp;ReportView=4&amp;Qid=1711279&amp;Row=24957&amp;Col=1","No Title Assigned - #15284719659")</f>
        <v/>
      </c>
      <c r="B24965" s="0" t="s">
        <v>33570</v>
      </c>
      <c r="C24965" s="0" t="s">
        <v>33571</v>
      </c>
      <c r="D24965" s="0" t="s">
        <v>33571</v>
      </c>
      <c r="E24965" s="0" t="inlineStr">
        <is>
          <t xml:space="preserve">Mazda</t>
        </is>
      </c>
      <c r="F24965" s="0" t="s">
        <v>13</v>
      </c>
      <c r="G24965" s="0" t="s">
        <v>49</v>
      </c>
      <c r="H24965" s="5">
        <v>207.411300</v>
      </c>
    </row>
    <row r="24966" spans="1:9">
      <c r="A24966" s="22" t="str">
        <f>HYPERLINK("https://app.vivvix.com/360/KMI/IntelliDrive/ApplUI/Pages/CreativePages/CustomReportCreativeDetail.aspx?App=23&amp;ReportView=4&amp;Qid=1711279&amp;Row=24958&amp;Col=1","No Title Assigned - #15284720304")</f>
        <v/>
      </c>
      <c r="B24966" s="0" t="s">
        <v>33572</v>
      </c>
      <c r="C24966" s="0" t="s">
        <v>33573</v>
      </c>
      <c r="D24966" s="0" t="s">
        <v>33573</v>
      </c>
      <c r="E24966" s="0" t="inlineStr">
        <is>
          <t xml:space="preserve">Mazda</t>
        </is>
      </c>
      <c r="F24966" s="0" t="s">
        <v>13</v>
      </c>
      <c r="G24966" s="0" t="s">
        <v>49</v>
      </c>
      <c r="H24966" s="5">
        <v>71.689400</v>
      </c>
    </row>
    <row r="24967" spans="1:9">
      <c r="A24967" s="22" t="str">
        <f>HYPERLINK("https://app.vivvix.com/360/KMI/IntelliDrive/ApplUI/Pages/CreativePages/CustomReportCreativeDetail.aspx?App=23&amp;ReportView=4&amp;Qid=1711279&amp;Row=24959&amp;Col=1","No Title Assigned - #15284722522")</f>
        <v/>
      </c>
      <c r="B24967" s="0" t="s">
        <v>33574</v>
      </c>
      <c r="C24967" s="0" t="s">
        <v>33575</v>
      </c>
      <c r="D24967" s="0" t="s">
        <v>33575</v>
      </c>
      <c r="E24967" s="0" t="inlineStr">
        <is>
          <t xml:space="preserve">Mazda</t>
        </is>
      </c>
      <c r="F24967" s="0" t="s">
        <v>13</v>
      </c>
      <c r="G24967" s="0" t="s">
        <v>49</v>
      </c>
      <c r="H24967" s="5">
        <v>104.324200</v>
      </c>
    </row>
    <row r="24968" spans="1:9">
      <c r="A24968" s="22" t="str">
        <f>HYPERLINK("https://app.vivvix.com/360/KMI/IntelliDrive/ApplUI/Pages/CreativePages/CustomReportCreativeDetail.aspx?App=23&amp;ReportView=4&amp;Qid=1711279&amp;Row=24960&amp;Col=1","No Title Assigned - #15284726004")</f>
        <v/>
      </c>
      <c r="B24968" s="0" t="s">
        <v>33576</v>
      </c>
      <c r="C24968" s="0" t="s">
        <v>33577</v>
      </c>
      <c r="D24968" s="0" t="s">
        <v>33577</v>
      </c>
      <c r="E24968" s="0" t="inlineStr">
        <is>
          <t xml:space="preserve">Mazda</t>
        </is>
      </c>
      <c r="F24968" s="0" t="s">
        <v>21</v>
      </c>
      <c r="G24968" s="0" t="s">
        <v>22</v>
      </c>
      <c r="H24968" s="5">
        <v>312.959500</v>
      </c>
    </row>
    <row r="24969" spans="1:9">
      <c r="A24969" s="22" t="str">
        <f>HYPERLINK("https://app.vivvix.com/360/KMI/IntelliDrive/ApplUI/Pages/CreativePages/CustomReportCreativeDetail.aspx?App=23&amp;ReportView=4&amp;Qid=1711279&amp;Row=24961&amp;Col=1","No Title Assigned - #15284726759")</f>
        <v/>
      </c>
      <c r="B24969" s="0" t="s">
        <v>33578</v>
      </c>
      <c r="C24969" s="0" t="s">
        <v>33579</v>
      </c>
      <c r="D24969" s="0" t="s">
        <v>33579</v>
      </c>
      <c r="E24969" s="0" t="inlineStr">
        <is>
          <t xml:space="preserve">Mazda</t>
        </is>
      </c>
      <c r="F24969" s="0" t="s">
        <v>13</v>
      </c>
      <c r="G24969" s="0" t="s">
        <v>49</v>
      </c>
      <c r="H24969" s="5">
        <v>1324.110600</v>
      </c>
    </row>
    <row r="24970" spans="1:9">
      <c r="A24970" s="22" t="str">
        <f>HYPERLINK("https://app.vivvix.com/360/KMI/IntelliDrive/ApplUI/Pages/CreativePages/CustomReportCreativeDetail.aspx?App=23&amp;ReportView=4&amp;Qid=1711279&amp;Row=24962&amp;Col=1","No Title Assigned - #15284727419")</f>
        <v/>
      </c>
      <c r="B24970" s="0" t="s">
        <v>33580</v>
      </c>
      <c r="C24970" s="0" t="s">
        <v>33581</v>
      </c>
      <c r="D24970" s="0" t="s">
        <v>33581</v>
      </c>
      <c r="E24970" s="0" t="inlineStr">
        <is>
          <t xml:space="preserve">Mazda</t>
        </is>
      </c>
      <c r="F24970" s="0" t="s">
        <v>13</v>
      </c>
      <c r="G24970" s="0" t="s">
        <v>49</v>
      </c>
      <c r="H24970" s="5">
        <v>3.396800</v>
      </c>
    </row>
    <row r="24971" spans="1:9">
      <c r="A24971" s="22" t="str">
        <f>HYPERLINK("https://app.vivvix.com/360/KMI/IntelliDrive/ApplUI/Pages/CreativePages/CustomReportCreativeDetail.aspx?App=23&amp;ReportView=4&amp;Qid=1711279&amp;Row=24963&amp;Col=1","No Title Assigned - #15284728142")</f>
        <v/>
      </c>
      <c r="B24971" s="0" t="s">
        <v>33582</v>
      </c>
      <c r="C24971" s="0" t="s">
        <v>33583</v>
      </c>
      <c r="D24971" s="0" t="s">
        <v>33583</v>
      </c>
      <c r="E24971" s="0" t="inlineStr">
        <is>
          <t xml:space="preserve">Mazda</t>
        </is>
      </c>
      <c r="F24971" s="0" t="s">
        <v>13</v>
      </c>
      <c r="G24971" s="0" t="s">
        <v>49</v>
      </c>
      <c r="H24971" s="5">
        <v>144.177300</v>
      </c>
    </row>
    <row r="24972" spans="1:9">
      <c r="A24972" s="22" t="str">
        <f>HYPERLINK("https://app.vivvix.com/360/KMI/IntelliDrive/ApplUI/Pages/CreativePages/CustomReportCreativeDetail.aspx?App=23&amp;ReportView=4&amp;Qid=1711279&amp;Row=24964&amp;Col=1","No Title Assigned - #15284730961")</f>
        <v/>
      </c>
      <c r="B24972" s="0" t="s">
        <v>33584</v>
      </c>
      <c r="C24972" s="0" t="s">
        <v>33585</v>
      </c>
      <c r="D24972" s="0" t="s">
        <v>33585</v>
      </c>
      <c r="E24972" s="0" t="inlineStr">
        <is>
          <t xml:space="preserve">Mazda</t>
        </is>
      </c>
      <c r="F24972" s="0" t="s">
        <v>13</v>
      </c>
      <c r="G24972" s="0" t="s">
        <v>49</v>
      </c>
      <c r="H24972" s="5">
        <v>162.350100</v>
      </c>
    </row>
    <row r="24973" spans="1:9">
      <c r="A24973" s="22" t="str">
        <f>HYPERLINK("https://app.vivvix.com/360/KMI/IntelliDrive/ApplUI/Pages/CreativePages/CustomReportCreativeDetail.aspx?App=23&amp;ReportView=4&amp;Qid=1711279&amp;Row=24965&amp;Col=1","No Title Assigned - #15284732070")</f>
        <v/>
      </c>
      <c r="B24973" s="0" t="s">
        <v>33586</v>
      </c>
      <c r="C24973" s="0" t="s">
        <v>33587</v>
      </c>
      <c r="D24973" s="0" t="s">
        <v>33587</v>
      </c>
      <c r="E24973" s="0" t="inlineStr">
        <is>
          <t xml:space="preserve">Mazda</t>
        </is>
      </c>
      <c r="F24973" s="0" t="s">
        <v>13</v>
      </c>
      <c r="G24973" s="0" t="s">
        <v>49</v>
      </c>
      <c r="H24973" s="5">
        <v>104.324200</v>
      </c>
    </row>
    <row r="24974" spans="1:9">
      <c r="A24974" s="22" t="str">
        <f>HYPERLINK("https://app.vivvix.com/360/KMI/IntelliDrive/ApplUI/Pages/CreativePages/CustomReportCreativeDetail.aspx?App=23&amp;ReportView=4&amp;Qid=1711279&amp;Row=24966&amp;Col=1","No Title Assigned - #15284733546")</f>
        <v/>
      </c>
      <c r="B24974" s="0" t="s">
        <v>33588</v>
      </c>
      <c r="C24974" s="0" t="s">
        <v>33589</v>
      </c>
      <c r="D24974" s="0" t="s">
        <v>33589</v>
      </c>
      <c r="E24974" s="0" t="inlineStr">
        <is>
          <t xml:space="preserve">Mazda</t>
        </is>
      </c>
      <c r="F24974" s="0" t="s">
        <v>13</v>
      </c>
      <c r="G24974" s="0" t="s">
        <v>49</v>
      </c>
      <c r="H24974" s="5">
        <v>284017.500000</v>
      </c>
    </row>
    <row r="24975" spans="1:9">
      <c r="A24975" s="22" t="str">
        <f>HYPERLINK("https://app.vivvix.com/360/KMI/IntelliDrive/ApplUI/Pages/CreativePages/CustomReportCreativeDetail.aspx?App=23&amp;ReportView=4&amp;Qid=1711279&amp;Row=24967&amp;Col=1","No Title Assigned - #15284735948")</f>
        <v/>
      </c>
      <c r="B24975" s="0" t="s">
        <v>33590</v>
      </c>
      <c r="C24975" s="0" t="s">
        <v>33591</v>
      </c>
      <c r="D24975" s="0" t="s">
        <v>33591</v>
      </c>
      <c r="E24975" s="0" t="inlineStr">
        <is>
          <t xml:space="preserve">Mazda</t>
        </is>
      </c>
      <c r="F24975" s="0" t="s">
        <v>13</v>
      </c>
      <c r="G24975" s="0" t="s">
        <v>49</v>
      </c>
      <c r="H24975" s="5">
        <v>2814.600300</v>
      </c>
    </row>
    <row r="24976" spans="1:9">
      <c r="A24976" s="22" t="str">
        <f>HYPERLINK("https://app.vivvix.com/360/KMI/IntelliDrive/ApplUI/Pages/CreativePages/CustomReportCreativeDetail.aspx?App=23&amp;ReportView=4&amp;Qid=1711279&amp;Row=24968&amp;Col=1","No Title Assigned - #15284747974")</f>
        <v/>
      </c>
      <c r="B24976" s="0" t="s">
        <v>33592</v>
      </c>
      <c r="C24976" s="0" t="s">
        <v>33593</v>
      </c>
      <c r="D24976" s="0" t="s">
        <v>33593</v>
      </c>
      <c r="E24976" s="0" t="inlineStr">
        <is>
          <t xml:space="preserve">Mazda</t>
        </is>
      </c>
      <c r="F24976" s="0" t="s">
        <v>28</v>
      </c>
      <c r="G24976" s="0" t="s">
        <v>29</v>
      </c>
      <c r="H24976" s="5">
        <v>655.687200</v>
      </c>
    </row>
    <row r="24977" spans="1:9">
      <c r="A24977" s="22" t="str">
        <f>HYPERLINK("https://app.vivvix.com/360/KMI/IntelliDrive/ApplUI/Pages/CreativePages/CustomReportCreativeDetail.aspx?App=23&amp;ReportView=4&amp;Qid=1711279&amp;Row=24969&amp;Col=1","No Title Assigned - #15284755137")</f>
        <v/>
      </c>
      <c r="B24977" s="0" t="s">
        <v>33594</v>
      </c>
      <c r="C24977" s="0" t="s">
        <v>33595</v>
      </c>
      <c r="D24977" s="0" t="s">
        <v>33595</v>
      </c>
      <c r="E24977" s="0" t="inlineStr">
        <is>
          <t xml:space="preserve">Mazda</t>
        </is>
      </c>
      <c r="F24977" s="0" t="s">
        <v>13</v>
      </c>
      <c r="G24977" s="0" t="s">
        <v>49</v>
      </c>
      <c r="H24977" s="5">
        <v>480.428900</v>
      </c>
    </row>
    <row r="24978" spans="1:9">
      <c r="A24978" s="22" t="str">
        <f>HYPERLINK("https://app.vivvix.com/360/KMI/IntelliDrive/ApplUI/Pages/CreativePages/CustomReportCreativeDetail.aspx?App=23&amp;ReportView=4&amp;Qid=1711279&amp;Row=24970&amp;Col=1","No Title Assigned - #15284757741")</f>
        <v/>
      </c>
      <c r="B24978" s="0" t="s">
        <v>33596</v>
      </c>
      <c r="E24978" s="0" t="inlineStr">
        <is>
          <t xml:space="preserve">Mazda</t>
        </is>
      </c>
      <c r="F24978" s="0" t="inlineStr">
        <is>
          <t xml:space="preserve">Mazda</t>
        </is>
      </c>
      <c r="G24978" s="0" t="s">
        <v>171</v>
      </c>
      <c r="H24978" s="5">
        <v>219.861600</v>
      </c>
    </row>
    <row r="24979" spans="1:9">
      <c r="A24979" s="22" t="str">
        <f>HYPERLINK("https://app.vivvix.com/360/KMI/IntelliDrive/ApplUI/Pages/CreativePages/CustomReportCreativeDetail.aspx?App=23&amp;ReportView=4&amp;Qid=1711279&amp;Row=24971&amp;Col=1","No Title Assigned - #15284759230")</f>
        <v/>
      </c>
      <c r="B24979" s="0" t="s">
        <v>33597</v>
      </c>
      <c r="C24979" s="0" t="s">
        <v>33598</v>
      </c>
      <c r="D24979" s="0" t="s">
        <v>33598</v>
      </c>
      <c r="E24979" s="0" t="inlineStr">
        <is>
          <t xml:space="preserve">Mazda</t>
        </is>
      </c>
      <c r="F24979" s="0" t="s">
        <v>13</v>
      </c>
      <c r="G24979" s="0" t="s">
        <v>49</v>
      </c>
      <c r="H24979" s="5">
        <v>404.701600</v>
      </c>
    </row>
    <row r="24980" spans="1:9">
      <c r="A24980" s="22" t="str">
        <f>HYPERLINK("https://app.vivvix.com/360/KMI/IntelliDrive/ApplUI/Pages/CreativePages/CustomReportCreativeDetail.aspx?App=23&amp;ReportView=4&amp;Qid=1711279&amp;Row=24972&amp;Col=1","No Title Assigned - #15284764313")</f>
        <v/>
      </c>
      <c r="B24980" s="0" t="s">
        <v>33599</v>
      </c>
      <c r="C24980" s="0" t="s">
        <v>33600</v>
      </c>
      <c r="D24980" s="0" t="s">
        <v>33600</v>
      </c>
      <c r="E24980" s="0" t="inlineStr">
        <is>
          <t xml:space="preserve">Mazda</t>
        </is>
      </c>
      <c r="F24980" s="0" t="s">
        <v>13</v>
      </c>
      <c r="G24980" s="0" t="s">
        <v>49</v>
      </c>
      <c r="H24980" s="5">
        <v>197.255600</v>
      </c>
    </row>
    <row r="24981" spans="1:9">
      <c r="A24981" s="22" t="str">
        <f>HYPERLINK("https://app.vivvix.com/360/KMI/IntelliDrive/ApplUI/Pages/CreativePages/CustomReportCreativeDetail.aspx?App=23&amp;ReportView=4&amp;Qid=1711279&amp;Row=24973&amp;Col=1","No Title Assigned - #15284765053")</f>
        <v/>
      </c>
      <c r="B24981" s="0" t="s">
        <v>33601</v>
      </c>
      <c r="C24981" s="0" t="s">
        <v>33602</v>
      </c>
      <c r="D24981" s="0" t="s">
        <v>33602</v>
      </c>
      <c r="E24981" s="0" t="inlineStr">
        <is>
          <t xml:space="preserve">Mazda</t>
        </is>
      </c>
      <c r="F24981" s="0" t="s">
        <v>13</v>
      </c>
      <c r="G24981" s="0" t="s">
        <v>49</v>
      </c>
      <c r="H24981" s="5">
        <v>118.852100</v>
      </c>
    </row>
    <row r="24982" spans="1:9">
      <c r="A24982" s="22" t="str">
        <f>HYPERLINK("https://app.vivvix.com/360/KMI/IntelliDrive/ApplUI/Pages/CreativePages/CustomReportCreativeDetail.aspx?App=23&amp;ReportView=4&amp;Qid=1711279&amp;Row=24974&amp;Col=1","No Title Assigned - #15284784324")</f>
        <v/>
      </c>
      <c r="B24982" s="0" t="s">
        <v>33603</v>
      </c>
      <c r="C24982" s="0" t="s">
        <v>33604</v>
      </c>
      <c r="D24982" s="0" t="s">
        <v>33604</v>
      </c>
      <c r="E24982" s="0" t="inlineStr">
        <is>
          <t xml:space="preserve">Mazda</t>
        </is>
      </c>
      <c r="F24982" s="0" t="s">
        <v>13</v>
      </c>
      <c r="G24982" s="0" t="s">
        <v>49</v>
      </c>
      <c r="H24982" s="5">
        <v>57.952000</v>
      </c>
    </row>
    <row r="24983" spans="1:9">
      <c r="A24983" s="22" t="str">
        <f>HYPERLINK("https://app.vivvix.com/360/KMI/IntelliDrive/ApplUI/Pages/CreativePages/CustomReportCreativeDetail.aspx?App=23&amp;ReportView=4&amp;Qid=1711279&amp;Row=24975&amp;Col=1","No Title Assigned - #15284786857")</f>
        <v/>
      </c>
      <c r="B24983" s="0" t="s">
        <v>33605</v>
      </c>
      <c r="C24983" s="0" t="s">
        <v>33606</v>
      </c>
      <c r="D24983" s="0" t="s">
        <v>33606</v>
      </c>
      <c r="E24983" s="0" t="inlineStr">
        <is>
          <t xml:space="preserve">Mazda</t>
        </is>
      </c>
      <c r="F24983" s="0" t="s">
        <v>13</v>
      </c>
      <c r="G24983" s="0" t="s">
        <v>49</v>
      </c>
      <c r="H24983" s="5">
        <v>345.066800</v>
      </c>
    </row>
    <row r="24984" spans="1:9">
      <c r="A24984" s="22" t="str">
        <f>HYPERLINK("https://app.vivvix.com/360/KMI/IntelliDrive/ApplUI/Pages/CreativePages/CustomReportCreativeDetail.aspx?App=23&amp;ReportView=4&amp;Qid=1711279&amp;Row=24976&amp;Col=1","No Title Assigned - #15284788894")</f>
        <v/>
      </c>
      <c r="B24984" s="0" t="s">
        <v>33607</v>
      </c>
      <c r="C24984" s="0" t="s">
        <v>33608</v>
      </c>
      <c r="D24984" s="0" t="s">
        <v>33608</v>
      </c>
      <c r="E24984" s="0" t="inlineStr">
        <is>
          <t xml:space="preserve">Mazda</t>
        </is>
      </c>
      <c r="F24984" s="0" t="s">
        <v>13</v>
      </c>
      <c r="G24984" s="0" t="s">
        <v>49</v>
      </c>
      <c r="H24984" s="5">
        <v>8352.236300</v>
      </c>
    </row>
    <row r="24985" spans="1:9">
      <c r="A24985" s="22" t="str">
        <f>HYPERLINK("https://app.vivvix.com/360/KMI/IntelliDrive/ApplUI/Pages/CreativePages/CustomReportCreativeDetail.aspx?App=23&amp;ReportView=4&amp;Qid=1711279&amp;Row=24977&amp;Col=1","No Title Assigned - #15284789875")</f>
        <v/>
      </c>
      <c r="B24985" s="0" t="s">
        <v>33609</v>
      </c>
      <c r="C24985" s="0" t="s">
        <v>33610</v>
      </c>
      <c r="D24985" s="0" t="s">
        <v>33610</v>
      </c>
      <c r="E24985" s="0" t="inlineStr">
        <is>
          <t xml:space="preserve">Mazda</t>
        </is>
      </c>
      <c r="F24985" s="0" t="s">
        <v>13</v>
      </c>
      <c r="G24985" s="0" t="s">
        <v>49</v>
      </c>
      <c r="H24985" s="5">
        <v>455.825400</v>
      </c>
    </row>
    <row r="24986" spans="1:9">
      <c r="A24986" s="22" t="str">
        <f>HYPERLINK("https://app.vivvix.com/360/KMI/IntelliDrive/ApplUI/Pages/CreativePages/CustomReportCreativeDetail.aspx?App=23&amp;ReportView=4&amp;Qid=1711279&amp;Row=24978&amp;Col=1","No Title Assigned - #15284792120")</f>
        <v/>
      </c>
      <c r="B24986" s="0" t="s">
        <v>33611</v>
      </c>
      <c r="C24986" s="0" t="s">
        <v>33612</v>
      </c>
      <c r="D24986" s="0" t="s">
        <v>33612</v>
      </c>
      <c r="E24986" s="0" t="inlineStr">
        <is>
          <t xml:space="preserve">Mazda</t>
        </is>
      </c>
      <c r="F24986" s="0" t="s">
        <v>13</v>
      </c>
      <c r="G24986" s="0" t="s">
        <v>49</v>
      </c>
      <c r="H24986" s="5">
        <v>2954.787600</v>
      </c>
    </row>
    <row r="24987" spans="1:9">
      <c r="A24987" s="22" t="str">
        <f>HYPERLINK("https://app.vivvix.com/360/KMI/IntelliDrive/ApplUI/Pages/CreativePages/CustomReportCreativeDetail.aspx?App=23&amp;ReportView=4&amp;Qid=1711279&amp;Row=24979&amp;Col=1","No Title Assigned - #15284804131")</f>
        <v/>
      </c>
      <c r="B24987" s="0" t="s">
        <v>33613</v>
      </c>
      <c r="E24987" s="0" t="inlineStr">
        <is>
          <t xml:space="preserve">Mazda</t>
        </is>
      </c>
      <c r="F24987" s="0" t="inlineStr">
        <is>
          <t xml:space="preserve">Mazda</t>
        </is>
      </c>
      <c r="G24987" s="0" t="s">
        <v>171</v>
      </c>
      <c r="H24987" s="5">
        <v>196.308200</v>
      </c>
    </row>
    <row r="24988" spans="1:9">
      <c r="A24988" s="22" t="str">
        <f>HYPERLINK("https://app.vivvix.com/360/KMI/IntelliDrive/ApplUI/Pages/CreativePages/CustomReportCreativeDetail.aspx?App=23&amp;ReportView=4&amp;Qid=1711279&amp;Row=24980&amp;Col=1","No Title Assigned - #15284830676")</f>
        <v/>
      </c>
      <c r="B24988" s="0" t="s">
        <v>33614</v>
      </c>
      <c r="C24988" s="0" t="s">
        <v>33615</v>
      </c>
      <c r="D24988" s="0" t="s">
        <v>33615</v>
      </c>
      <c r="E24988" s="0" t="inlineStr">
        <is>
          <t xml:space="preserve">Mazda</t>
        </is>
      </c>
      <c r="F24988" s="0" t="s">
        <v>13</v>
      </c>
      <c r="G24988" s="0" t="s">
        <v>49</v>
      </c>
      <c r="H24988" s="5">
        <v>153.258500</v>
      </c>
    </row>
    <row r="24989" spans="1:9">
      <c r="A24989" s="22" t="str">
        <f>HYPERLINK("https://app.vivvix.com/360/KMI/IntelliDrive/ApplUI/Pages/CreativePages/CustomReportCreativeDetail.aspx?App=23&amp;ReportView=4&amp;Qid=1711279&amp;Row=24981&amp;Col=1","No Title Assigned - #15284831336")</f>
        <v/>
      </c>
      <c r="B24989" s="0" t="s">
        <v>33616</v>
      </c>
      <c r="C24989" s="0" t="s">
        <v>33617</v>
      </c>
      <c r="D24989" s="0" t="s">
        <v>33617</v>
      </c>
      <c r="E24989" s="0" t="inlineStr">
        <is>
          <t xml:space="preserve">Mazda</t>
        </is>
      </c>
      <c r="F24989" s="0" t="s">
        <v>13</v>
      </c>
      <c r="G24989" s="0" t="s">
        <v>49</v>
      </c>
      <c r="H24989" s="5">
        <v>165.681000</v>
      </c>
    </row>
    <row r="24990" spans="1:9">
      <c r="A24990" s="22" t="str">
        <f>HYPERLINK("https://app.vivvix.com/360/KMI/IntelliDrive/ApplUI/Pages/CreativePages/CustomReportCreativeDetail.aspx?App=23&amp;ReportView=4&amp;Qid=1711279&amp;Row=24982&amp;Col=1","No Title Assigned - #15284831820")</f>
        <v/>
      </c>
      <c r="B24990" s="0" t="s">
        <v>33618</v>
      </c>
      <c r="C24990" s="0" t="s">
        <v>33619</v>
      </c>
      <c r="D24990" s="0" t="s">
        <v>33619</v>
      </c>
      <c r="E24990" s="0" t="inlineStr">
        <is>
          <t xml:space="preserve">Mazda</t>
        </is>
      </c>
      <c r="F24990" s="0" t="s">
        <v>13</v>
      </c>
      <c r="G24990" s="0" t="s">
        <v>49</v>
      </c>
      <c r="H24990" s="5">
        <v>89679.500000</v>
      </c>
    </row>
    <row r="24991" spans="1:9">
      <c r="A24991" s="22" t="str">
        <f>HYPERLINK("https://app.vivvix.com/360/KMI/IntelliDrive/ApplUI/Pages/CreativePages/CustomReportCreativeDetail.aspx?App=23&amp;ReportView=4&amp;Qid=1711279&amp;Row=24983&amp;Col=1","No Title Assigned - #15284837848")</f>
        <v/>
      </c>
      <c r="B24991" s="0" t="s">
        <v>33620</v>
      </c>
      <c r="E24991" s="0" t="inlineStr">
        <is>
          <t xml:space="preserve">Mazda</t>
        </is>
      </c>
      <c r="F24991" s="0" t="inlineStr">
        <is>
          <t xml:space="preserve">Mazda</t>
        </is>
      </c>
      <c r="G24991" s="0" t="s">
        <v>171</v>
      </c>
      <c r="H24991" s="5">
        <v>275.851800</v>
      </c>
    </row>
    <row r="24992" spans="1:9">
      <c r="A24992" s="22" t="str">
        <f>HYPERLINK("https://app.vivvix.com/360/KMI/IntelliDrive/ApplUI/Pages/CreativePages/CustomReportCreativeDetail.aspx?App=23&amp;ReportView=4&amp;Qid=1711279&amp;Row=24984&amp;Col=1","No Title Assigned - #15284838592")</f>
        <v/>
      </c>
      <c r="B24992" s="0" t="s">
        <v>33621</v>
      </c>
      <c r="E24992" s="0" t="inlineStr">
        <is>
          <t xml:space="preserve">Mazda</t>
        </is>
      </c>
      <c r="F24992" s="0" t="inlineStr">
        <is>
          <t xml:space="preserve">Mazda</t>
        </is>
      </c>
      <c r="G24992" s="0" t="s">
        <v>171</v>
      </c>
      <c r="H24992" s="5">
        <v>421.504200</v>
      </c>
    </row>
    <row r="24993" spans="1:9">
      <c r="A24993" s="22" t="str">
        <f>HYPERLINK("https://app.vivvix.com/360/KMI/IntelliDrive/ApplUI/Pages/CreativePages/CustomReportCreativeDetail.aspx?App=23&amp;ReportView=4&amp;Qid=1711279&amp;Row=24985&amp;Col=1","No Title Assigned - #15284839462")</f>
        <v/>
      </c>
      <c r="B24993" s="0" t="s">
        <v>33622</v>
      </c>
      <c r="E24993" s="0" t="inlineStr">
        <is>
          <t xml:space="preserve">Mazda</t>
        </is>
      </c>
      <c r="F24993" s="0" t="inlineStr">
        <is>
          <t xml:space="preserve">Mazda</t>
        </is>
      </c>
      <c r="G24993" s="0" t="s">
        <v>171</v>
      </c>
      <c r="H24993" s="5">
        <v>64505.945300</v>
      </c>
    </row>
    <row r="24994" spans="1:9">
      <c r="A24994" s="22" t="str">
        <f>HYPERLINK("https://app.vivvix.com/360/KMI/IntelliDrive/ApplUI/Pages/CreativePages/CustomReportCreativeDetail.aspx?App=23&amp;ReportView=4&amp;Qid=1711279&amp;Row=24986&amp;Col=1","No Title Assigned - #15284841656")</f>
        <v/>
      </c>
      <c r="B24994" s="0" t="s">
        <v>33623</v>
      </c>
      <c r="E24994" s="0" t="inlineStr">
        <is>
          <t xml:space="preserve">Mazda</t>
        </is>
      </c>
      <c r="F24994" s="0" t="inlineStr">
        <is>
          <t xml:space="preserve">Mazda</t>
        </is>
      </c>
      <c r="G24994" s="0" t="s">
        <v>171</v>
      </c>
      <c r="H24994" s="5">
        <v>227.085100</v>
      </c>
    </row>
    <row r="24995" spans="1:9">
      <c r="A24995" s="22" t="str">
        <f>HYPERLINK("https://app.vivvix.com/360/KMI/IntelliDrive/ApplUI/Pages/CreativePages/CustomReportCreativeDetail.aspx?App=23&amp;ReportView=4&amp;Qid=1711279&amp;Row=24987&amp;Col=1","No Title Assigned - #15284842308")</f>
        <v/>
      </c>
      <c r="B24995" s="0" t="s">
        <v>33624</v>
      </c>
      <c r="E24995" s="0" t="inlineStr">
        <is>
          <t xml:space="preserve">Mazda</t>
        </is>
      </c>
      <c r="F24995" s="0" t="inlineStr">
        <is>
          <t xml:space="preserve">Mazda</t>
        </is>
      </c>
      <c r="G24995" s="0" t="s">
        <v>171</v>
      </c>
      <c r="H24995" s="5">
        <v>812.249200</v>
      </c>
    </row>
    <row r="24996" spans="1:9">
      <c r="A24996" s="22" t="str">
        <f>HYPERLINK("https://app.vivvix.com/360/KMI/IntelliDrive/ApplUI/Pages/CreativePages/CustomReportCreativeDetail.aspx?App=23&amp;ReportView=4&amp;Qid=1711279&amp;Row=24988&amp;Col=1","No Title Assigned - #15284866799")</f>
        <v/>
      </c>
      <c r="B24996" s="0" t="s">
        <v>33625</v>
      </c>
      <c r="C24996" s="0" t="s">
        <v>33626</v>
      </c>
      <c r="D24996" s="0" t="s">
        <v>33626</v>
      </c>
      <c r="E24996" s="0" t="inlineStr">
        <is>
          <t xml:space="preserve">Mazda</t>
        </is>
      </c>
      <c r="F24996" s="0" t="s">
        <v>13</v>
      </c>
      <c r="G24996" s="0" t="s">
        <v>49</v>
      </c>
      <c r="H24996" s="5">
        <v>114.834900</v>
      </c>
    </row>
    <row r="24997" spans="1:9">
      <c r="A24997" s="22" t="str">
        <f>HYPERLINK("https://app.vivvix.com/360/KMI/IntelliDrive/ApplUI/Pages/CreativePages/CustomReportCreativeDetail.aspx?App=23&amp;ReportView=4&amp;Qid=1711279&amp;Row=24989&amp;Col=1","No Title Assigned - #15284869252")</f>
        <v/>
      </c>
      <c r="B24997" s="0" t="s">
        <v>33627</v>
      </c>
      <c r="C24997" s="0" t="s">
        <v>33628</v>
      </c>
      <c r="D24997" s="0" t="s">
        <v>33628</v>
      </c>
      <c r="E24997" s="0" t="inlineStr">
        <is>
          <t xml:space="preserve">Mazda</t>
        </is>
      </c>
      <c r="F24997" s="0" t="s">
        <v>13</v>
      </c>
      <c r="G24997" s="0" t="s">
        <v>49</v>
      </c>
      <c r="H24997" s="5">
        <v>609.530300</v>
      </c>
    </row>
    <row r="24998" spans="1:9">
      <c r="A24998" s="22" t="str">
        <f>HYPERLINK("https://app.vivvix.com/360/KMI/IntelliDrive/ApplUI/Pages/CreativePages/CustomReportCreativeDetail.aspx?App=23&amp;ReportView=4&amp;Qid=1711279&amp;Row=24990&amp;Col=1","No Title Assigned - #15284870738")</f>
        <v/>
      </c>
      <c r="B24998" s="0" t="s">
        <v>33629</v>
      </c>
      <c r="C24998" s="0" t="s">
        <v>33630</v>
      </c>
      <c r="D24998" s="0" t="s">
        <v>33630</v>
      </c>
      <c r="E24998" s="0" t="inlineStr">
        <is>
          <t xml:space="preserve">Mazda</t>
        </is>
      </c>
      <c r="F24998" s="0" t="s">
        <v>13</v>
      </c>
      <c r="G24998" s="0" t="s">
        <v>49</v>
      </c>
      <c r="H24998" s="5">
        <v>465.064600</v>
      </c>
    </row>
    <row r="24999" spans="1:9">
      <c r="A24999" s="22" t="str">
        <f>HYPERLINK("https://app.vivvix.com/360/KMI/IntelliDrive/ApplUI/Pages/CreativePages/CustomReportCreativeDetail.aspx?App=23&amp;ReportView=4&amp;Qid=1711279&amp;Row=24991&amp;Col=1","No Title Assigned - #15284871904")</f>
        <v/>
      </c>
      <c r="B24999" s="0" t="s">
        <v>33631</v>
      </c>
      <c r="C24999" s="0" t="s">
        <v>33632</v>
      </c>
      <c r="D24999" s="0" t="s">
        <v>33632</v>
      </c>
      <c r="E24999" s="0" t="inlineStr">
        <is>
          <t xml:space="preserve">Mazda</t>
        </is>
      </c>
      <c r="F24999" s="0" t="s">
        <v>13</v>
      </c>
      <c r="G24999" s="0" t="s">
        <v>49</v>
      </c>
      <c r="H24999" s="5">
        <v>418.517600</v>
      </c>
    </row>
    <row r="25000" spans="1:9">
      <c r="A25000" s="22" t="str">
        <f>HYPERLINK("https://app.vivvix.com/360/KMI/IntelliDrive/ApplUI/Pages/CreativePages/CustomReportCreativeDetail.aspx?App=23&amp;ReportView=4&amp;Qid=1711279&amp;Row=24992&amp;Col=1","No Title Assigned - #15284874985")</f>
        <v/>
      </c>
      <c r="B25000" s="0" t="s">
        <v>33633</v>
      </c>
      <c r="C25000" s="0" t="s">
        <v>33634</v>
      </c>
      <c r="D25000" s="0" t="s">
        <v>33634</v>
      </c>
      <c r="E25000" s="0" t="inlineStr">
        <is>
          <t xml:space="preserve">Mazda</t>
        </is>
      </c>
      <c r="F25000" s="0" t="s">
        <v>28</v>
      </c>
      <c r="G25000" s="0" t="s">
        <v>29</v>
      </c>
      <c r="H25000" s="5">
        <v>291.912400</v>
      </c>
    </row>
    <row r="25001" spans="1:9">
      <c r="A25001" s="22" t="str">
        <f>HYPERLINK("https://app.vivvix.com/360/KMI/IntelliDrive/ApplUI/Pages/CreativePages/CustomReportCreativeDetail.aspx?App=23&amp;ReportView=4&amp;Qid=1711279&amp;Row=24993&amp;Col=1","No Title Assigned - #15284885788")</f>
        <v/>
      </c>
      <c r="B25001" s="0" t="s">
        <v>33635</v>
      </c>
      <c r="C25001" s="0" t="s">
        <v>33636</v>
      </c>
      <c r="D25001" s="0" t="s">
        <v>33636</v>
      </c>
      <c r="E25001" s="0" t="inlineStr">
        <is>
          <t xml:space="preserve">Mazda</t>
        </is>
      </c>
      <c r="F25001" s="0" t="s">
        <v>13</v>
      </c>
      <c r="G25001" s="0" t="s">
        <v>49</v>
      </c>
      <c r="H25001" s="5">
        <v>508.421300</v>
      </c>
    </row>
    <row r="25002" spans="1:9">
      <c r="A25002" s="22" t="str">
        <f>HYPERLINK("https://app.vivvix.com/360/KMI/IntelliDrive/ApplUI/Pages/CreativePages/CustomReportCreativeDetail.aspx?App=23&amp;ReportView=4&amp;Qid=1711279&amp;Row=24994&amp;Col=1","No Title Assigned - #15284886288")</f>
        <v/>
      </c>
      <c r="B25002" s="0" t="s">
        <v>33637</v>
      </c>
      <c r="C25002" s="0" t="s">
        <v>33638</v>
      </c>
      <c r="D25002" s="0" t="s">
        <v>33638</v>
      </c>
      <c r="E25002" s="0" t="inlineStr">
        <is>
          <t xml:space="preserve">Mazda</t>
        </is>
      </c>
      <c r="F25002" s="0" t="s">
        <v>13</v>
      </c>
      <c r="G25002" s="0" t="s">
        <v>49</v>
      </c>
      <c r="H25002" s="5">
        <v>170.123500</v>
      </c>
    </row>
    <row r="25003" spans="1:9">
      <c r="A25003" s="22" t="str">
        <f>HYPERLINK("https://app.vivvix.com/360/KMI/IntelliDrive/ApplUI/Pages/CreativePages/CustomReportCreativeDetail.aspx?App=23&amp;ReportView=4&amp;Qid=1711279&amp;Row=24995&amp;Col=1","No Title Assigned - #15284886336")</f>
        <v/>
      </c>
      <c r="B25003" s="0" t="s">
        <v>33639</v>
      </c>
      <c r="C25003" s="0" t="s">
        <v>33640</v>
      </c>
      <c r="D25003" s="0" t="s">
        <v>33640</v>
      </c>
      <c r="E25003" s="0" t="inlineStr">
        <is>
          <t xml:space="preserve">Mazda</t>
        </is>
      </c>
      <c r="F25003" s="0" t="s">
        <v>13</v>
      </c>
      <c r="G25003" s="0" t="s">
        <v>49</v>
      </c>
      <c r="H25003" s="5">
        <v>170.123500</v>
      </c>
    </row>
    <row r="25004" spans="1:9">
      <c r="A25004" s="22" t="str">
        <f>HYPERLINK("https://app.vivvix.com/360/KMI/IntelliDrive/ApplUI/Pages/CreativePages/CustomReportCreativeDetail.aspx?App=23&amp;ReportView=4&amp;Qid=1711279&amp;Row=24996&amp;Col=1","No Title Assigned - #15284886342")</f>
        <v/>
      </c>
      <c r="B25004" s="0" t="s">
        <v>33641</v>
      </c>
      <c r="C25004" s="0" t="s">
        <v>33642</v>
      </c>
      <c r="D25004" s="0" t="s">
        <v>33642</v>
      </c>
      <c r="E25004" s="0" t="inlineStr">
        <is>
          <t xml:space="preserve">Mazda</t>
        </is>
      </c>
      <c r="F25004" s="0" t="s">
        <v>13</v>
      </c>
      <c r="G25004" s="0" t="s">
        <v>49</v>
      </c>
      <c r="H25004" s="5">
        <v>170.123500</v>
      </c>
    </row>
    <row r="25005" spans="1:9">
      <c r="A25005" s="22" t="str">
        <f>HYPERLINK("https://app.vivvix.com/360/KMI/IntelliDrive/ApplUI/Pages/CreativePages/CustomReportCreativeDetail.aspx?App=23&amp;ReportView=4&amp;Qid=1711279&amp;Row=24997&amp;Col=1","No Title Assigned - #15284886430")</f>
        <v/>
      </c>
      <c r="B25005" s="0" t="s">
        <v>33643</v>
      </c>
      <c r="C25005" s="0" t="s">
        <v>33644</v>
      </c>
      <c r="D25005" s="0" t="s">
        <v>33644</v>
      </c>
      <c r="E25005" s="0" t="inlineStr">
        <is>
          <t xml:space="preserve">Mazda</t>
        </is>
      </c>
      <c r="F25005" s="0" t="s">
        <v>13</v>
      </c>
      <c r="G25005" s="0" t="s">
        <v>49</v>
      </c>
      <c r="H25005" s="5">
        <v>170.123500</v>
      </c>
    </row>
    <row r="25006" spans="1:9">
      <c r="A25006" s="22" t="str">
        <f>HYPERLINK("https://app.vivvix.com/360/KMI/IntelliDrive/ApplUI/Pages/CreativePages/CustomReportCreativeDetail.aspx?App=23&amp;ReportView=4&amp;Qid=1711279&amp;Row=24998&amp;Col=1","No Title Assigned - #15284886764")</f>
        <v/>
      </c>
      <c r="B25006" s="0" t="s">
        <v>33645</v>
      </c>
      <c r="C25006" s="0" t="s">
        <v>33646</v>
      </c>
      <c r="D25006" s="0" t="s">
        <v>33646</v>
      </c>
      <c r="E25006" s="0" t="inlineStr">
        <is>
          <t xml:space="preserve">Mazda</t>
        </is>
      </c>
      <c r="F25006" s="0" t="s">
        <v>13</v>
      </c>
      <c r="G25006" s="0" t="s">
        <v>49</v>
      </c>
      <c r="H25006" s="5">
        <v>45.998800</v>
      </c>
    </row>
    <row r="25007" spans="1:9">
      <c r="A25007" s="22" t="str">
        <f>HYPERLINK("https://app.vivvix.com/360/KMI/IntelliDrive/ApplUI/Pages/CreativePages/CustomReportCreativeDetail.aspx?App=23&amp;ReportView=4&amp;Qid=1711279&amp;Row=24999&amp;Col=1","No Title Assigned - #15284887392")</f>
        <v/>
      </c>
      <c r="B25007" s="0" t="s">
        <v>33647</v>
      </c>
      <c r="C25007" s="0" t="s">
        <v>33648</v>
      </c>
      <c r="D25007" s="0" t="s">
        <v>33648</v>
      </c>
      <c r="E25007" s="0" t="inlineStr">
        <is>
          <t xml:space="preserve">Mazda</t>
        </is>
      </c>
      <c r="F25007" s="0" t="s">
        <v>28</v>
      </c>
      <c r="G25007" s="0" t="s">
        <v>29</v>
      </c>
      <c r="H25007" s="5">
        <v>336.822000</v>
      </c>
    </row>
    <row r="25008" spans="1:9">
      <c r="A25008" s="22" t="str">
        <f>HYPERLINK("https://app.vivvix.com/360/KMI/IntelliDrive/ApplUI/Pages/CreativePages/CustomReportCreativeDetail.aspx?App=23&amp;ReportView=4&amp;Qid=1711279&amp;Row=25000&amp;Col=1","No Title Assigned - #15284889556")</f>
        <v/>
      </c>
      <c r="B25008" s="0" t="s">
        <v>33649</v>
      </c>
      <c r="C25008" s="0" t="s">
        <v>33650</v>
      </c>
      <c r="D25008" s="0" t="s">
        <v>33650</v>
      </c>
      <c r="E25008" s="0" t="inlineStr">
        <is>
          <t xml:space="preserve">Mazda</t>
        </is>
      </c>
      <c r="F25008" s="0" t="s">
        <v>13</v>
      </c>
      <c r="G25008" s="0" t="s">
        <v>49</v>
      </c>
      <c r="H25008" s="5">
        <v>170.123500</v>
      </c>
    </row>
    <row r="25009" spans="1:9">
      <c r="A25009" s="22" t="str">
        <f>HYPERLINK("https://app.vivvix.com/360/KMI/IntelliDrive/ApplUI/Pages/CreativePages/CustomReportCreativeDetail.aspx?App=23&amp;ReportView=4&amp;Qid=1711279&amp;Row=25001&amp;Col=1","No Title Assigned - #15284890453")</f>
        <v/>
      </c>
      <c r="B25009" s="0" t="s">
        <v>33651</v>
      </c>
      <c r="C25009" s="0" t="s">
        <v>33652</v>
      </c>
      <c r="D25009" s="0" t="s">
        <v>33652</v>
      </c>
      <c r="E25009" s="0" t="inlineStr">
        <is>
          <t xml:space="preserve">Mazda</t>
        </is>
      </c>
      <c r="F25009" s="0" t="s">
        <v>13</v>
      </c>
      <c r="G25009" s="0" t="s">
        <v>49</v>
      </c>
      <c r="H25009" s="5">
        <v>113.629100</v>
      </c>
    </row>
    <row r="25010" spans="1:9">
      <c r="A25010" s="22" t="str">
        <f>HYPERLINK("https://app.vivvix.com/360/KMI/IntelliDrive/ApplUI/Pages/CreativePages/CustomReportCreativeDetail.aspx?App=23&amp;ReportView=4&amp;Qid=1711279&amp;Row=25002&amp;Col=1","No Title Assigned - #15284890524")</f>
        <v/>
      </c>
      <c r="B25010" s="0" t="s">
        <v>33653</v>
      </c>
      <c r="C25010" s="0" t="s">
        <v>33654</v>
      </c>
      <c r="D25010" s="0" t="s">
        <v>33654</v>
      </c>
      <c r="E25010" s="0" t="inlineStr">
        <is>
          <t xml:space="preserve">Mazda</t>
        </is>
      </c>
      <c r="F25010" s="0" t="s">
        <v>13</v>
      </c>
      <c r="G25010" s="0" t="s">
        <v>49</v>
      </c>
      <c r="H25010" s="5">
        <v>55.227000</v>
      </c>
    </row>
    <row r="25011" spans="1:9">
      <c r="A25011" s="22" t="str">
        <f>HYPERLINK("https://app.vivvix.com/360/KMI/IntelliDrive/ApplUI/Pages/CreativePages/CustomReportCreativeDetail.aspx?App=23&amp;ReportView=4&amp;Qid=1711279&amp;Row=25003&amp;Col=1","No Title Assigned - #15284890619")</f>
        <v/>
      </c>
      <c r="B25011" s="0" t="s">
        <v>33655</v>
      </c>
      <c r="C25011" s="0" t="s">
        <v>33656</v>
      </c>
      <c r="D25011" s="0" t="s">
        <v>33656</v>
      </c>
      <c r="E25011" s="0" t="inlineStr">
        <is>
          <t xml:space="preserve">Mazda</t>
        </is>
      </c>
      <c r="F25011" s="0" t="inlineStr">
        <is>
          <t xml:space="preserve">Mazda</t>
        </is>
      </c>
      <c r="G25011" s="0" t="s">
        <v>210</v>
      </c>
      <c r="H25011" s="5">
        <v>11211.398400</v>
      </c>
    </row>
    <row r="25012" spans="1:9">
      <c r="A25012" s="22" t="str">
        <f>HYPERLINK("https://app.vivvix.com/360/KMI/IntelliDrive/ApplUI/Pages/CreativePages/CustomReportCreativeDetail.aspx?App=23&amp;ReportView=4&amp;Qid=1711279&amp;Row=25004&amp;Col=1","No Title Assigned - #15284891900")</f>
        <v/>
      </c>
      <c r="B25012" s="0" t="s">
        <v>33657</v>
      </c>
      <c r="C25012" s="0" t="s">
        <v>33658</v>
      </c>
      <c r="D25012" s="0" t="s">
        <v>33658</v>
      </c>
      <c r="E25012" s="0" t="inlineStr">
        <is>
          <t xml:space="preserve">Mazda</t>
        </is>
      </c>
      <c r="F25012" s="0" t="s">
        <v>13</v>
      </c>
      <c r="G25012" s="0" t="s">
        <v>49</v>
      </c>
      <c r="H25012" s="5">
        <v>45.077900</v>
      </c>
    </row>
    <row r="25013" spans="1:9">
      <c r="A25013" s="22" t="str">
        <f>HYPERLINK("https://app.vivvix.com/360/KMI/IntelliDrive/ApplUI/Pages/CreativePages/CustomReportCreativeDetail.aspx?App=23&amp;ReportView=4&amp;Qid=1711279&amp;Row=25005&amp;Col=1","No Title Assigned - #15284893024")</f>
        <v/>
      </c>
      <c r="B25013" s="0" t="s">
        <v>33659</v>
      </c>
      <c r="C25013" s="0" t="s">
        <v>33660</v>
      </c>
      <c r="D25013" s="0" t="s">
        <v>33660</v>
      </c>
      <c r="E25013" s="0" t="inlineStr">
        <is>
          <t xml:space="preserve">Mazda</t>
        </is>
      </c>
      <c r="F25013" s="0" t="s">
        <v>13</v>
      </c>
      <c r="G25013" s="0" t="s">
        <v>49</v>
      </c>
      <c r="H25013" s="5">
        <v>660.847500</v>
      </c>
    </row>
    <row r="25014" spans="1:9">
      <c r="A25014" s="22" t="str">
        <f>HYPERLINK("https://app.vivvix.com/360/KMI/IntelliDrive/ApplUI/Pages/CreativePages/CustomReportCreativeDetail.aspx?App=23&amp;ReportView=4&amp;Qid=1711279&amp;Row=25006&amp;Col=1","No Title Assigned - #15284894512")</f>
        <v/>
      </c>
      <c r="B25014" s="0" t="s">
        <v>33661</v>
      </c>
      <c r="C25014" s="0" t="s">
        <v>33662</v>
      </c>
      <c r="D25014" s="0" t="s">
        <v>33662</v>
      </c>
      <c r="E25014" s="0" t="inlineStr">
        <is>
          <t xml:space="preserve">Mazda</t>
        </is>
      </c>
      <c r="F25014" s="0" t="s">
        <v>13</v>
      </c>
      <c r="G25014" s="0" t="s">
        <v>49</v>
      </c>
      <c r="H25014" s="5">
        <v>418.407600</v>
      </c>
    </row>
    <row r="25015" spans="1:9">
      <c r="A25015" s="22" t="str">
        <f>HYPERLINK("https://app.vivvix.com/360/KMI/IntelliDrive/ApplUI/Pages/CreativePages/CustomReportCreativeDetail.aspx?App=23&amp;ReportView=4&amp;Qid=1711279&amp;Row=25007&amp;Col=1","No Title Assigned - #15284895000")</f>
        <v/>
      </c>
      <c r="B25015" s="0" t="s">
        <v>33663</v>
      </c>
      <c r="C25015" s="0" t="s">
        <v>33664</v>
      </c>
      <c r="D25015" s="0" t="s">
        <v>33664</v>
      </c>
      <c r="E25015" s="0" t="inlineStr">
        <is>
          <t xml:space="preserve">Mazda</t>
        </is>
      </c>
      <c r="F25015" s="0" t="inlineStr">
        <is>
          <t xml:space="preserve">Mazda</t>
        </is>
      </c>
      <c r="G25015" s="0" t="s">
        <v>210</v>
      </c>
      <c r="H25015" s="5">
        <v>413.359500</v>
      </c>
    </row>
    <row r="25016" spans="1:9">
      <c r="A25016" s="22" t="str">
        <f>HYPERLINK("https://app.vivvix.com/360/KMI/IntelliDrive/ApplUI/Pages/CreativePages/CustomReportCreativeDetail.aspx?App=23&amp;ReportView=4&amp;Qid=1711279&amp;Row=25008&amp;Col=1","No Title Assigned - #15284896400")</f>
        <v/>
      </c>
      <c r="B25016" s="0" t="s">
        <v>33665</v>
      </c>
      <c r="E25016" s="0" t="inlineStr">
        <is>
          <t xml:space="preserve">Mazda</t>
        </is>
      </c>
      <c r="F25016" s="0" t="inlineStr">
        <is>
          <t xml:space="preserve">Mazda</t>
        </is>
      </c>
      <c r="G25016" s="0" t="s">
        <v>171</v>
      </c>
      <c r="H25016" s="5">
        <v>63845.089800</v>
      </c>
    </row>
    <row r="25017" spans="1:9">
      <c r="A25017" s="22" t="str">
        <f>HYPERLINK("https://app.vivvix.com/360/KMI/IntelliDrive/ApplUI/Pages/CreativePages/CustomReportCreativeDetail.aspx?App=23&amp;ReportView=4&amp;Qid=1711279&amp;Row=25009&amp;Col=1","No Title Assigned - #15284918421")</f>
        <v/>
      </c>
      <c r="B25017" s="0" t="s">
        <v>33666</v>
      </c>
      <c r="E25017" s="0" t="inlineStr">
        <is>
          <t xml:space="preserve">Mazda</t>
        </is>
      </c>
      <c r="F25017" s="0" t="inlineStr">
        <is>
          <t xml:space="preserve">Mazda</t>
        </is>
      </c>
      <c r="G25017" s="0" t="s">
        <v>171</v>
      </c>
      <c r="H25017" s="5">
        <v>9276.285200</v>
      </c>
    </row>
    <row r="25018" spans="1:9">
      <c r="A25018" s="22" t="str">
        <f>HYPERLINK("https://app.vivvix.com/360/KMI/IntelliDrive/ApplUI/Pages/CreativePages/CustomReportCreativeDetail.aspx?App=23&amp;ReportView=4&amp;Qid=1711279&amp;Row=25010&amp;Col=1","No Title Assigned - #15284919460")</f>
        <v/>
      </c>
      <c r="B25018" s="0" t="s">
        <v>33667</v>
      </c>
      <c r="C25018" s="0" t="s">
        <v>33668</v>
      </c>
      <c r="D25018" s="0" t="s">
        <v>33668</v>
      </c>
      <c r="E25018" s="0" t="inlineStr">
        <is>
          <t xml:space="preserve">Mazda</t>
        </is>
      </c>
      <c r="F25018" s="0" t="s">
        <v>13</v>
      </c>
      <c r="G25018" s="0" t="s">
        <v>49</v>
      </c>
      <c r="H25018" s="5">
        <v>1122.441900</v>
      </c>
    </row>
    <row r="25019" spans="1:9">
      <c r="A25019" s="22" t="str">
        <f>HYPERLINK("https://app.vivvix.com/360/KMI/IntelliDrive/ApplUI/Pages/CreativePages/CustomReportCreativeDetail.aspx?App=23&amp;ReportView=4&amp;Qid=1711279&amp;Row=25011&amp;Col=1","No Title Assigned - #15284919461")</f>
        <v/>
      </c>
      <c r="B25019" s="0" t="s">
        <v>33669</v>
      </c>
      <c r="C25019" s="0" t="s">
        <v>33670</v>
      </c>
      <c r="D25019" s="0" t="s">
        <v>33670</v>
      </c>
      <c r="E25019" s="0" t="inlineStr">
        <is>
          <t xml:space="preserve">Mazda</t>
        </is>
      </c>
      <c r="F25019" s="0" t="s">
        <v>13</v>
      </c>
      <c r="G25019" s="0" t="s">
        <v>49</v>
      </c>
      <c r="H25019" s="5">
        <v>2244.883800</v>
      </c>
    </row>
    <row r="25020" spans="1:9">
      <c r="A25020" s="22" t="str">
        <f>HYPERLINK("https://app.vivvix.com/360/KMI/IntelliDrive/ApplUI/Pages/CreativePages/CustomReportCreativeDetail.aspx?App=23&amp;ReportView=4&amp;Qid=1711279&amp;Row=25012&amp;Col=1","No Title Assigned - #15284920161")</f>
        <v/>
      </c>
      <c r="B25020" s="0" t="s">
        <v>33671</v>
      </c>
      <c r="C25020" s="0" t="s">
        <v>33672</v>
      </c>
      <c r="D25020" s="0" t="s">
        <v>33672</v>
      </c>
      <c r="E25020" s="0" t="inlineStr">
        <is>
          <t xml:space="preserve">Mazda</t>
        </is>
      </c>
      <c r="F25020" s="0" t="s">
        <v>13</v>
      </c>
      <c r="G25020" s="0" t="s">
        <v>49</v>
      </c>
      <c r="H25020" s="5">
        <v>85.475800</v>
      </c>
    </row>
    <row r="25021" spans="1:9">
      <c r="A25021" s="22" t="str">
        <f>HYPERLINK("https://app.vivvix.com/360/KMI/IntelliDrive/ApplUI/Pages/CreativePages/CustomReportCreativeDetail.aspx?App=23&amp;ReportView=4&amp;Qid=1711279&amp;Row=25013&amp;Col=1","No Title Assigned - #15284938581")</f>
        <v/>
      </c>
      <c r="B25021" s="0" t="s">
        <v>33673</v>
      </c>
      <c r="C25021" s="0" t="s">
        <v>33674</v>
      </c>
      <c r="D25021" s="0" t="s">
        <v>33674</v>
      </c>
      <c r="E25021" s="0" t="inlineStr">
        <is>
          <t xml:space="preserve">Mazda</t>
        </is>
      </c>
      <c r="F25021" s="0" t="s">
        <v>21</v>
      </c>
      <c r="G25021" s="0" t="s">
        <v>22</v>
      </c>
      <c r="H25021" s="5">
        <v>412.957400</v>
      </c>
    </row>
    <row r="25022" spans="1:9">
      <c r="A25022" s="22" t="str">
        <f>HYPERLINK("https://app.vivvix.com/360/KMI/IntelliDrive/ApplUI/Pages/CreativePages/CustomReportCreativeDetail.aspx?App=23&amp;ReportView=4&amp;Qid=1711279&amp;Row=25014&amp;Col=1","No Title Assigned - #15284943595")</f>
        <v/>
      </c>
      <c r="B25022" s="0" t="s">
        <v>33675</v>
      </c>
      <c r="C25022" s="0" t="s">
        <v>33676</v>
      </c>
      <c r="D25022" s="0" t="s">
        <v>33676</v>
      </c>
      <c r="E25022" s="0" t="inlineStr">
        <is>
          <t xml:space="preserve">Mazda</t>
        </is>
      </c>
      <c r="F25022" s="0" t="s">
        <v>28</v>
      </c>
      <c r="G25022" s="0" t="s">
        <v>29</v>
      </c>
      <c r="H25022" s="5">
        <v>275.851800</v>
      </c>
    </row>
    <row r="25023" spans="1:9">
      <c r="A25023" s="22" t="str">
        <f>HYPERLINK("https://app.vivvix.com/360/KMI/IntelliDrive/ApplUI/Pages/CreativePages/CustomReportCreativeDetail.aspx?App=23&amp;ReportView=4&amp;Qid=1711279&amp;Row=25015&amp;Col=1","No Title Assigned - #15284944798")</f>
        <v/>
      </c>
      <c r="B25023" s="0" t="s">
        <v>33677</v>
      </c>
      <c r="C25023" s="0" t="s">
        <v>33678</v>
      </c>
      <c r="D25023" s="0" t="s">
        <v>33678</v>
      </c>
      <c r="E25023" s="0" t="inlineStr">
        <is>
          <t xml:space="preserve">Mazda</t>
        </is>
      </c>
      <c r="F25023" s="0" t="inlineStr">
        <is>
          <t xml:space="preserve">Mazda</t>
        </is>
      </c>
      <c r="G25023" s="0" t="s">
        <v>210</v>
      </c>
      <c r="H25023" s="5">
        <v>269.740500</v>
      </c>
    </row>
    <row r="25024" spans="1:9">
      <c r="A25024" s="22" t="str">
        <f>HYPERLINK("https://app.vivvix.com/360/KMI/IntelliDrive/ApplUI/Pages/CreativePages/CustomReportCreativeDetail.aspx?App=23&amp;ReportView=4&amp;Qid=1711279&amp;Row=25016&amp;Col=1","No Title Assigned - #15284948135")</f>
        <v/>
      </c>
      <c r="B25024" s="0" t="s">
        <v>33679</v>
      </c>
      <c r="C25024" s="0" t="s">
        <v>33680</v>
      </c>
      <c r="D25024" s="0" t="s">
        <v>33680</v>
      </c>
      <c r="E25024" s="0" t="inlineStr">
        <is>
          <t xml:space="preserve">Mazda</t>
        </is>
      </c>
      <c r="F25024" s="0" t="inlineStr">
        <is>
          <t xml:space="preserve">Mazda</t>
        </is>
      </c>
      <c r="G25024" s="0" t="s">
        <v>210</v>
      </c>
      <c r="H25024" s="5">
        <v>269.740500</v>
      </c>
    </row>
    <row r="25025" spans="1:9">
      <c r="A25025" s="22" t="str">
        <f>HYPERLINK("https://app.vivvix.com/360/KMI/IntelliDrive/ApplUI/Pages/CreativePages/CustomReportCreativeDetail.aspx?App=23&amp;ReportView=4&amp;Qid=1711279&amp;Row=25017&amp;Col=1","No Title Assigned - #15284948905")</f>
        <v/>
      </c>
      <c r="B25025" s="0" t="s">
        <v>33681</v>
      </c>
      <c r="C25025" s="0" t="s">
        <v>33682</v>
      </c>
      <c r="D25025" s="0" t="s">
        <v>33682</v>
      </c>
      <c r="E25025" s="0" t="inlineStr">
        <is>
          <t xml:space="preserve">Mazda</t>
        </is>
      </c>
      <c r="F25025" s="0" t="s">
        <v>28</v>
      </c>
      <c r="G25025" s="0" t="s">
        <v>29</v>
      </c>
      <c r="H25025" s="5">
        <v>224.548000</v>
      </c>
    </row>
    <row r="25026" spans="1:9">
      <c r="A25026" s="22" t="str">
        <f>HYPERLINK("https://app.vivvix.com/360/KMI/IntelliDrive/ApplUI/Pages/CreativePages/CustomReportCreativeDetail.aspx?App=23&amp;ReportView=4&amp;Qid=1711279&amp;Row=25018&amp;Col=1","No Title Assigned - #15284949218")</f>
        <v/>
      </c>
      <c r="B25026" s="0" t="s">
        <v>33683</v>
      </c>
      <c r="C25026" s="0" t="s">
        <v>33684</v>
      </c>
      <c r="D25026" s="0" t="s">
        <v>33684</v>
      </c>
      <c r="E25026" s="0" t="inlineStr">
        <is>
          <t xml:space="preserve">Mazda</t>
        </is>
      </c>
      <c r="F25026" s="0" t="s">
        <v>13</v>
      </c>
      <c r="G25026" s="0" t="s">
        <v>49</v>
      </c>
      <c r="H25026" s="5">
        <v>89.941400</v>
      </c>
    </row>
    <row r="25027" spans="1:9">
      <c r="A25027" s="22" t="str">
        <f>HYPERLINK("https://app.vivvix.com/360/KMI/IntelliDrive/ApplUI/Pages/CreativePages/CustomReportCreativeDetail.aspx?App=23&amp;ReportView=4&amp;Qid=1711279&amp;Row=25019&amp;Col=1","No Title Assigned - #15284950317")</f>
        <v/>
      </c>
      <c r="B25027" s="0" t="s">
        <v>33685</v>
      </c>
      <c r="E25027" s="0" t="inlineStr">
        <is>
          <t xml:space="preserve">Mazda</t>
        </is>
      </c>
      <c r="F25027" s="0" t="inlineStr">
        <is>
          <t xml:space="preserve">Mazda</t>
        </is>
      </c>
      <c r="G25027" s="0" t="s">
        <v>171</v>
      </c>
      <c r="H25027" s="5">
        <v>563.258500</v>
      </c>
    </row>
    <row r="25028" spans="1:9">
      <c r="A25028" s="22" t="str">
        <f>HYPERLINK("https://app.vivvix.com/360/KMI/IntelliDrive/ApplUI/Pages/CreativePages/CustomReportCreativeDetail.aspx?App=23&amp;ReportView=4&amp;Qid=1711279&amp;Row=25020&amp;Col=1","No Title Assigned - #15284951215")</f>
        <v/>
      </c>
      <c r="B25028" s="0" t="s">
        <v>33686</v>
      </c>
      <c r="E25028" s="0" t="inlineStr">
        <is>
          <t xml:space="preserve">Mazda</t>
        </is>
      </c>
      <c r="F25028" s="0" t="inlineStr">
        <is>
          <t xml:space="preserve">Mazda</t>
        </is>
      </c>
      <c r="G25028" s="0" t="s">
        <v>171</v>
      </c>
      <c r="H25028" s="5">
        <v>4283.146000</v>
      </c>
    </row>
    <row r="25029" spans="1:9">
      <c r="A25029" s="22" t="str">
        <f>HYPERLINK("https://app.vivvix.com/360/KMI/IntelliDrive/ApplUI/Pages/CreativePages/CustomReportCreativeDetail.aspx?App=23&amp;ReportView=4&amp;Qid=1711279&amp;Row=25021&amp;Col=1","No Title Assigned - #15284951376")</f>
        <v/>
      </c>
      <c r="B25029" s="0" t="s">
        <v>33687</v>
      </c>
      <c r="E25029" s="0" t="inlineStr">
        <is>
          <t xml:space="preserve">Mazda</t>
        </is>
      </c>
      <c r="F25029" s="0" t="inlineStr">
        <is>
          <t xml:space="preserve">Mazda</t>
        </is>
      </c>
      <c r="G25029" s="0" t="s">
        <v>171</v>
      </c>
      <c r="H25029" s="5">
        <v>1249.437300</v>
      </c>
    </row>
    <row r="25030" spans="1:9">
      <c r="A25030" s="22" t="str">
        <f>HYPERLINK("https://app.vivvix.com/360/KMI/IntelliDrive/ApplUI/Pages/CreativePages/CustomReportCreativeDetail.aspx?App=23&amp;ReportView=4&amp;Qid=1711279&amp;Row=25022&amp;Col=1","No Title Assigned - #15284951752")</f>
        <v/>
      </c>
      <c r="B25030" s="0" t="s">
        <v>33688</v>
      </c>
      <c r="E25030" s="0" t="inlineStr">
        <is>
          <t xml:space="preserve">Mazda</t>
        </is>
      </c>
      <c r="F25030" s="0" t="inlineStr">
        <is>
          <t xml:space="preserve">Mazda</t>
        </is>
      </c>
      <c r="G25030" s="0" t="s">
        <v>171</v>
      </c>
      <c r="H25030" s="5">
        <v>8446.443000</v>
      </c>
    </row>
    <row r="25031" spans="1:9">
      <c r="A25031" s="22" t="str">
        <f>HYPERLINK("https://app.vivvix.com/360/KMI/IntelliDrive/ApplUI/Pages/CreativePages/CustomReportCreativeDetail.aspx?App=23&amp;ReportView=4&amp;Qid=1711279&amp;Row=25023&amp;Col=1","No Title Assigned - #15284962317")</f>
        <v/>
      </c>
      <c r="B25031" s="0" t="s">
        <v>33689</v>
      </c>
      <c r="E25031" s="0" t="inlineStr">
        <is>
          <t xml:space="preserve">Mazda</t>
        </is>
      </c>
      <c r="F25031" s="0" t="inlineStr">
        <is>
          <t xml:space="preserve">Mazda</t>
        </is>
      </c>
      <c r="G25031" s="0" t="s">
        <v>171</v>
      </c>
      <c r="H25031" s="5">
        <v>9276.285200</v>
      </c>
    </row>
    <row r="25032" spans="1:9">
      <c r="A25032" s="22" t="str">
        <f>HYPERLINK("https://app.vivvix.com/360/KMI/IntelliDrive/ApplUI/Pages/CreativePages/CustomReportCreativeDetail.aspx?App=23&amp;ReportView=4&amp;Qid=1711279&amp;Row=25024&amp;Col=1","No Title Assigned - #15284974630")</f>
        <v/>
      </c>
      <c r="B25032" s="0" t="s">
        <v>33690</v>
      </c>
      <c r="C25032" s="0" t="s">
        <v>33691</v>
      </c>
      <c r="D25032" s="0" t="s">
        <v>33691</v>
      </c>
      <c r="E25032" s="0" t="inlineStr">
        <is>
          <t xml:space="preserve">Mazda</t>
        </is>
      </c>
      <c r="F25032" s="0" t="s">
        <v>13</v>
      </c>
      <c r="G25032" s="0" t="s">
        <v>49</v>
      </c>
      <c r="H25032" s="5">
        <v>267.296100</v>
      </c>
    </row>
    <row r="25033" spans="1:9">
      <c r="A25033" s="22" t="str">
        <f>HYPERLINK("https://app.vivvix.com/360/KMI/IntelliDrive/ApplUI/Pages/CreativePages/CustomReportCreativeDetail.aspx?App=23&amp;ReportView=4&amp;Qid=1711279&amp;Row=25025&amp;Col=1","No Title Assigned - #15284980124")</f>
        <v/>
      </c>
      <c r="B25033" s="0" t="s">
        <v>33692</v>
      </c>
      <c r="C25033" s="0" t="s">
        <v>33693</v>
      </c>
      <c r="D25033" s="0" t="s">
        <v>33693</v>
      </c>
      <c r="E25033" s="0" t="inlineStr">
        <is>
          <t xml:space="preserve">Mazda</t>
        </is>
      </c>
      <c r="F25033" s="0" t="inlineStr">
        <is>
          <t xml:space="preserve">Mazda</t>
        </is>
      </c>
      <c r="G25033" s="0" t="s">
        <v>662</v>
      </c>
      <c r="H25033" s="5">
        <v>445.349100</v>
      </c>
    </row>
    <row r="25034" spans="1:9">
      <c r="A25034" s="22" t="str">
        <f>HYPERLINK("https://app.vivvix.com/360/KMI/IntelliDrive/ApplUI/Pages/CreativePages/CustomReportCreativeDetail.aspx?App=23&amp;ReportView=4&amp;Qid=1711279&amp;Row=25026&amp;Col=1","No Title Assigned - #15284981810")</f>
        <v/>
      </c>
      <c r="B25034" s="0" t="s">
        <v>33694</v>
      </c>
      <c r="C25034" s="0" t="s">
        <v>33695</v>
      </c>
      <c r="D25034" s="0" t="s">
        <v>33695</v>
      </c>
      <c r="E25034" s="0" t="inlineStr">
        <is>
          <t xml:space="preserve">Mazda</t>
        </is>
      </c>
      <c r="F25034" s="0" t="s">
        <v>13</v>
      </c>
      <c r="G25034" s="0" t="s">
        <v>49</v>
      </c>
      <c r="H25034" s="5">
        <v>22.147100</v>
      </c>
    </row>
    <row r="25035" spans="1:9">
      <c r="A25035" s="22" t="str">
        <f>HYPERLINK("https://app.vivvix.com/360/KMI/IntelliDrive/ApplUI/Pages/CreativePages/CustomReportCreativeDetail.aspx?App=23&amp;ReportView=4&amp;Qid=1711279&amp;Row=25027&amp;Col=1","No Title Assigned - #15284983676")</f>
        <v/>
      </c>
      <c r="B25035" s="0" t="s">
        <v>33696</v>
      </c>
      <c r="C25035" s="0" t="s">
        <v>33697</v>
      </c>
      <c r="D25035" s="0" t="s">
        <v>33697</v>
      </c>
      <c r="E25035" s="0" t="inlineStr">
        <is>
          <t xml:space="preserve">Mazda</t>
        </is>
      </c>
      <c r="F25035" s="0" t="s">
        <v>13</v>
      </c>
      <c r="G25035" s="0" t="s">
        <v>49</v>
      </c>
      <c r="H25035" s="5">
        <v>172.384700</v>
      </c>
    </row>
    <row r="25036" spans="1:9">
      <c r="A25036" s="22" t="str">
        <f>HYPERLINK("https://app.vivvix.com/360/KMI/IntelliDrive/ApplUI/Pages/CreativePages/CustomReportCreativeDetail.aspx?App=23&amp;ReportView=4&amp;Qid=1711279&amp;Row=25028&amp;Col=1","No Title Assigned - #15284995481")</f>
        <v/>
      </c>
      <c r="B25036" s="0" t="s">
        <v>33698</v>
      </c>
      <c r="C25036" s="0" t="s">
        <v>33699</v>
      </c>
      <c r="D25036" s="0" t="s">
        <v>33699</v>
      </c>
      <c r="E25036" s="0" t="inlineStr">
        <is>
          <t xml:space="preserve">Mazda</t>
        </is>
      </c>
      <c r="F25036" s="0" t="s">
        <v>13</v>
      </c>
      <c r="G25036" s="0" t="s">
        <v>49</v>
      </c>
      <c r="H25036" s="5">
        <v>6.793600</v>
      </c>
    </row>
    <row r="25037" spans="1:9">
      <c r="A25037" s="22" t="str">
        <f>HYPERLINK("https://app.vivvix.com/360/KMI/IntelliDrive/ApplUI/Pages/CreativePages/CustomReportCreativeDetail.aspx?App=23&amp;ReportView=4&amp;Qid=1711279&amp;Row=25029&amp;Col=1","No Title Assigned - #15284999027")</f>
        <v/>
      </c>
      <c r="B25037" s="0" t="s">
        <v>33700</v>
      </c>
      <c r="C25037" s="0" t="s">
        <v>33701</v>
      </c>
      <c r="D25037" s="0" t="s">
        <v>33701</v>
      </c>
      <c r="E25037" s="0" t="inlineStr">
        <is>
          <t xml:space="preserve">Mazda</t>
        </is>
      </c>
      <c r="F25037" s="0" t="s">
        <v>13</v>
      </c>
      <c r="G25037" s="0" t="s">
        <v>49</v>
      </c>
      <c r="H25037" s="5">
        <v>2814.600300</v>
      </c>
    </row>
    <row r="25038" spans="1:9">
      <c r="A25038" s="22" t="str">
        <f>HYPERLINK("https://app.vivvix.com/360/KMI/IntelliDrive/ApplUI/Pages/CreativePages/CustomReportCreativeDetail.aspx?App=23&amp;ReportView=4&amp;Qid=1711279&amp;Row=25030&amp;Col=1","No Title Assigned - #15284999628")</f>
        <v/>
      </c>
      <c r="B25038" s="0" t="s">
        <v>33702</v>
      </c>
      <c r="C25038" s="0" t="s">
        <v>33703</v>
      </c>
      <c r="D25038" s="0" t="s">
        <v>33703</v>
      </c>
      <c r="E25038" s="0" t="inlineStr">
        <is>
          <t xml:space="preserve">Mazda</t>
        </is>
      </c>
      <c r="F25038" s="0" t="s">
        <v>28</v>
      </c>
      <c r="G25038" s="0" t="s">
        <v>29</v>
      </c>
      <c r="H25038" s="5">
        <v>741.008400</v>
      </c>
    </row>
    <row r="25039" spans="1:9">
      <c r="A25039" s="22" t="str">
        <f>HYPERLINK("https://app.vivvix.com/360/KMI/IntelliDrive/ApplUI/Pages/CreativePages/CustomReportCreativeDetail.aspx?App=23&amp;ReportView=4&amp;Qid=1711279&amp;Row=25031&amp;Col=1","No Title Assigned - #15285001170")</f>
        <v/>
      </c>
      <c r="B25039" s="0" t="s">
        <v>33704</v>
      </c>
      <c r="C25039" s="0" t="s">
        <v>33705</v>
      </c>
      <c r="D25039" s="0" t="s">
        <v>33705</v>
      </c>
      <c r="E25039" s="0" t="inlineStr">
        <is>
          <t xml:space="preserve">Mazda</t>
        </is>
      </c>
      <c r="F25039" s="0" t="s">
        <v>13</v>
      </c>
      <c r="G25039" s="0" t="s">
        <v>49</v>
      </c>
      <c r="H25039" s="5">
        <v>71.611300</v>
      </c>
    </row>
    <row r="25040" spans="1:9">
      <c r="A25040" s="22" t="str">
        <f>HYPERLINK("https://app.vivvix.com/360/KMI/IntelliDrive/ApplUI/Pages/CreativePages/CustomReportCreativeDetail.aspx?App=23&amp;ReportView=4&amp;Qid=1711279&amp;Row=25032&amp;Col=1","No Title Assigned - #15285001848")</f>
        <v/>
      </c>
      <c r="B25040" s="0" t="s">
        <v>33706</v>
      </c>
      <c r="C25040" s="0" t="s">
        <v>33707</v>
      </c>
      <c r="D25040" s="0" t="s">
        <v>33707</v>
      </c>
      <c r="E25040" s="0" t="inlineStr">
        <is>
          <t xml:space="preserve">Mazda</t>
        </is>
      </c>
      <c r="F25040" s="0" t="s">
        <v>13</v>
      </c>
      <c r="G25040" s="0" t="s">
        <v>49</v>
      </c>
      <c r="H25040" s="5">
        <v>206.537800</v>
      </c>
    </row>
    <row r="25041" spans="1:9">
      <c r="A25041" s="22" t="str">
        <f>HYPERLINK("https://app.vivvix.com/360/KMI/IntelliDrive/ApplUI/Pages/CreativePages/CustomReportCreativeDetail.aspx?App=23&amp;ReportView=4&amp;Qid=1711279&amp;Row=25033&amp;Col=1","No Title Assigned - #15285001849")</f>
        <v/>
      </c>
      <c r="B25041" s="0" t="s">
        <v>33708</v>
      </c>
      <c r="C25041" s="0" t="s">
        <v>33709</v>
      </c>
      <c r="D25041" s="0" t="s">
        <v>33709</v>
      </c>
      <c r="E25041" s="0" t="inlineStr">
        <is>
          <t xml:space="preserve">Mazda</t>
        </is>
      </c>
      <c r="F25041" s="0" t="s">
        <v>28</v>
      </c>
      <c r="G25041" s="0" t="s">
        <v>29</v>
      </c>
      <c r="H25041" s="5">
        <v>1322.585100</v>
      </c>
    </row>
    <row r="25042" spans="1:9">
      <c r="A25042" s="22" t="str">
        <f>HYPERLINK("https://app.vivvix.com/360/KMI/IntelliDrive/ApplUI/Pages/CreativePages/CustomReportCreativeDetail.aspx?App=23&amp;ReportView=4&amp;Qid=1711279&amp;Row=25034&amp;Col=1","No Title Assigned - #15285004151")</f>
        <v/>
      </c>
      <c r="B25042" s="0" t="s">
        <v>33710</v>
      </c>
      <c r="E25042" s="0" t="inlineStr">
        <is>
          <t xml:space="preserve">Mazda</t>
        </is>
      </c>
      <c r="F25042" s="0" t="inlineStr">
        <is>
          <t xml:space="preserve">Mazda</t>
        </is>
      </c>
      <c r="G25042" s="0" t="s">
        <v>171</v>
      </c>
      <c r="H25042" s="5">
        <v>411.872000</v>
      </c>
    </row>
    <row r="25043" spans="1:9">
      <c r="A25043" s="22" t="str">
        <f>HYPERLINK("https://app.vivvix.com/360/KMI/IntelliDrive/ApplUI/Pages/CreativePages/CustomReportCreativeDetail.aspx?App=23&amp;ReportView=4&amp;Qid=1711279&amp;Row=25035&amp;Col=1","No Title Assigned - #15285006012")</f>
        <v/>
      </c>
      <c r="B25043" s="0" t="s">
        <v>33711</v>
      </c>
      <c r="E25043" s="0" t="inlineStr">
        <is>
          <t xml:space="preserve">Mazda</t>
        </is>
      </c>
      <c r="F25043" s="0" t="inlineStr">
        <is>
          <t xml:space="preserve">Mazda</t>
        </is>
      </c>
      <c r="G25043" s="0" t="s">
        <v>171</v>
      </c>
      <c r="H25043" s="5">
        <v>448.975200</v>
      </c>
    </row>
    <row r="25044" spans="1:9">
      <c r="A25044" s="22" t="str">
        <f>HYPERLINK("https://app.vivvix.com/360/KMI/IntelliDrive/ApplUI/Pages/CreativePages/CustomReportCreativeDetail.aspx?App=23&amp;ReportView=4&amp;Qid=1711279&amp;Row=25036&amp;Col=1","No Title Assigned - #15285006278")</f>
        <v/>
      </c>
      <c r="B25044" s="0" t="s">
        <v>33712</v>
      </c>
      <c r="E25044" s="0" t="inlineStr">
        <is>
          <t xml:space="preserve">Mazda</t>
        </is>
      </c>
      <c r="F25044" s="0" t="inlineStr">
        <is>
          <t xml:space="preserve">Mazda</t>
        </is>
      </c>
      <c r="G25044" s="0" t="s">
        <v>171</v>
      </c>
      <c r="H25044" s="5">
        <v>9276.285200</v>
      </c>
    </row>
    <row r="25045" spans="1:9">
      <c r="A25045" s="22" t="str">
        <f>HYPERLINK("https://app.vivvix.com/360/KMI/IntelliDrive/ApplUI/Pages/CreativePages/CustomReportCreativeDetail.aspx?App=23&amp;ReportView=4&amp;Qid=1711279&amp;Row=25037&amp;Col=1","No Title Assigned - #15285006332")</f>
        <v/>
      </c>
      <c r="B25045" s="0" t="s">
        <v>33713</v>
      </c>
      <c r="E25045" s="0" t="inlineStr">
        <is>
          <t xml:space="preserve">Mazda</t>
        </is>
      </c>
      <c r="F25045" s="0" t="inlineStr">
        <is>
          <t xml:space="preserve">Mazda</t>
        </is>
      </c>
      <c r="G25045" s="0" t="s">
        <v>171</v>
      </c>
      <c r="H25045" s="5">
        <v>295.093800</v>
      </c>
    </row>
    <row r="25046" spans="1:9">
      <c r="A25046" s="22" t="str">
        <f>HYPERLINK("https://app.vivvix.com/360/KMI/IntelliDrive/ApplUI/Pages/CreativePages/CustomReportCreativeDetail.aspx?App=23&amp;ReportView=4&amp;Qid=1711279&amp;Row=25038&amp;Col=1","No Title Assigned - #15285006673")</f>
        <v/>
      </c>
      <c r="B25046" s="0" t="s">
        <v>33714</v>
      </c>
      <c r="E25046" s="0" t="inlineStr">
        <is>
          <t xml:space="preserve">Mazda</t>
        </is>
      </c>
      <c r="F25046" s="0" t="inlineStr">
        <is>
          <t xml:space="preserve">Mazda</t>
        </is>
      </c>
      <c r="G25046" s="0" t="s">
        <v>171</v>
      </c>
      <c r="H25046" s="5">
        <v>425.802600</v>
      </c>
    </row>
    <row r="25047" spans="1:9">
      <c r="A25047" s="22" t="str">
        <f>HYPERLINK("https://app.vivvix.com/360/KMI/IntelliDrive/ApplUI/Pages/CreativePages/CustomReportCreativeDetail.aspx?App=23&amp;ReportView=4&amp;Qid=1711279&amp;Row=25039&amp;Col=1","No Title Assigned - #15285007256")</f>
        <v/>
      </c>
      <c r="B25047" s="0" t="s">
        <v>33715</v>
      </c>
      <c r="E25047" s="0" t="inlineStr">
        <is>
          <t xml:space="preserve">Mazda</t>
        </is>
      </c>
      <c r="F25047" s="0" t="inlineStr">
        <is>
          <t xml:space="preserve">Mazda</t>
        </is>
      </c>
      <c r="G25047" s="0" t="s">
        <v>171</v>
      </c>
      <c r="H25047" s="5">
        <v>9276.285200</v>
      </c>
    </row>
    <row r="25048" spans="1:9">
      <c r="A25048" s="22" t="str">
        <f>HYPERLINK("https://app.vivvix.com/360/KMI/IntelliDrive/ApplUI/Pages/CreativePages/CustomReportCreativeDetail.aspx?App=23&amp;ReportView=4&amp;Qid=1711279&amp;Row=25040&amp;Col=1","No Title Assigned - #15285009051")</f>
        <v/>
      </c>
      <c r="B25048" s="0" t="s">
        <v>33716</v>
      </c>
      <c r="E25048" s="0" t="inlineStr">
        <is>
          <t xml:space="preserve">Mazda</t>
        </is>
      </c>
      <c r="F25048" s="0" t="inlineStr">
        <is>
          <t xml:space="preserve">Mazda</t>
        </is>
      </c>
      <c r="G25048" s="0" t="s">
        <v>171</v>
      </c>
      <c r="H25048" s="5">
        <v>503.525300</v>
      </c>
    </row>
    <row r="25049" spans="1:9">
      <c r="A25049" s="22" t="str">
        <f>HYPERLINK("https://app.vivvix.com/360/KMI/IntelliDrive/ApplUI/Pages/CreativePages/CustomReportCreativeDetail.aspx?App=23&amp;ReportView=4&amp;Qid=1711279&amp;Row=25041&amp;Col=1","No Title Assigned - #15285010576")</f>
        <v/>
      </c>
      <c r="B25049" s="0" t="s">
        <v>33717</v>
      </c>
      <c r="C25049" s="0" t="s">
        <v>33718</v>
      </c>
      <c r="D25049" s="0" t="s">
        <v>33718</v>
      </c>
      <c r="E25049" s="0" t="inlineStr">
        <is>
          <t xml:space="preserve">Mazda</t>
        </is>
      </c>
      <c r="F25049" s="0" t="s">
        <v>13</v>
      </c>
      <c r="G25049" s="0" t="s">
        <v>49</v>
      </c>
      <c r="H25049" s="5">
        <v>224.853500</v>
      </c>
    </row>
    <row r="25050" spans="1:9">
      <c r="A25050" s="22" t="str">
        <f>HYPERLINK("https://app.vivvix.com/360/KMI/IntelliDrive/ApplUI/Pages/CreativePages/CustomReportCreativeDetail.aspx?App=23&amp;ReportView=4&amp;Qid=1711279&amp;Row=25042&amp;Col=1","No Title Assigned - #15285013586")</f>
        <v/>
      </c>
      <c r="B25050" s="0" t="s">
        <v>33719</v>
      </c>
      <c r="C25050" s="0" t="s">
        <v>33720</v>
      </c>
      <c r="D25050" s="0" t="s">
        <v>33720</v>
      </c>
      <c r="E25050" s="0" t="inlineStr">
        <is>
          <t xml:space="preserve">Mazda</t>
        </is>
      </c>
      <c r="F25050" s="0" t="s">
        <v>13</v>
      </c>
      <c r="G25050" s="0" t="s">
        <v>49</v>
      </c>
      <c r="H25050" s="5">
        <v>518.831200</v>
      </c>
    </row>
    <row r="25051" spans="1:9">
      <c r="A25051" s="22" t="str">
        <f>HYPERLINK("https://app.vivvix.com/360/KMI/IntelliDrive/ApplUI/Pages/CreativePages/CustomReportCreativeDetail.aspx?App=23&amp;ReportView=4&amp;Qid=1711279&amp;Row=25043&amp;Col=1","No Title Assigned - #15285020421")</f>
        <v/>
      </c>
      <c r="B25051" s="0" t="s">
        <v>33721</v>
      </c>
      <c r="C25051" s="0" t="s">
        <v>33722</v>
      </c>
      <c r="D25051" s="0" t="s">
        <v>33722</v>
      </c>
      <c r="E25051" s="0" t="inlineStr">
        <is>
          <t xml:space="preserve">Mazda</t>
        </is>
      </c>
      <c r="F25051" s="0" t="s">
        <v>13</v>
      </c>
      <c r="G25051" s="0" t="s">
        <v>49</v>
      </c>
      <c r="H25051" s="5">
        <v>23.777600</v>
      </c>
    </row>
    <row r="25052" spans="1:9">
      <c r="A25052" s="22" t="str">
        <f>HYPERLINK("https://app.vivvix.com/360/KMI/IntelliDrive/ApplUI/Pages/CreativePages/CustomReportCreativeDetail.aspx?App=23&amp;ReportView=4&amp;Qid=1711279&amp;Row=25044&amp;Col=1","No Title Assigned - #15285022690")</f>
        <v/>
      </c>
      <c r="B25052" s="0" t="s">
        <v>33723</v>
      </c>
      <c r="E25052" s="0" t="inlineStr">
        <is>
          <t xml:space="preserve">Mazda</t>
        </is>
      </c>
      <c r="F25052" s="0" t="inlineStr">
        <is>
          <t xml:space="preserve">Mazda</t>
        </is>
      </c>
      <c r="G25052" s="0" t="s">
        <v>171</v>
      </c>
      <c r="H25052" s="5">
        <v>1508.723400</v>
      </c>
    </row>
    <row r="25053" spans="1:9">
      <c r="A25053" s="22" t="str">
        <f>HYPERLINK("https://app.vivvix.com/360/KMI/IntelliDrive/ApplUI/Pages/CreativePages/CustomReportCreativeDetail.aspx?App=23&amp;ReportView=4&amp;Qid=1711279&amp;Row=25045&amp;Col=1","No Title Assigned - #15285031131")</f>
        <v/>
      </c>
      <c r="B25053" s="0" t="s">
        <v>33724</v>
      </c>
      <c r="C25053" s="0" t="s">
        <v>33725</v>
      </c>
      <c r="D25053" s="0" t="s">
        <v>33725</v>
      </c>
      <c r="E25053" s="0" t="inlineStr">
        <is>
          <t xml:space="preserve">Mazda</t>
        </is>
      </c>
      <c r="F25053" s="0" t="s">
        <v>28</v>
      </c>
      <c r="G25053" s="0" t="s">
        <v>29</v>
      </c>
      <c r="H25053" s="5">
        <v>680.123000</v>
      </c>
    </row>
    <row r="25054" spans="1:9">
      <c r="A25054" s="22" t="str">
        <f>HYPERLINK("https://app.vivvix.com/360/KMI/IntelliDrive/ApplUI/Pages/CreativePages/CustomReportCreativeDetail.aspx?App=23&amp;ReportView=4&amp;Qid=1711279&amp;Row=25046&amp;Col=1","No Title Assigned - #15285031360")</f>
        <v/>
      </c>
      <c r="B25054" s="0" t="s">
        <v>33726</v>
      </c>
      <c r="C25054" s="0" t="s">
        <v>33727</v>
      </c>
      <c r="D25054" s="0" t="s">
        <v>33727</v>
      </c>
      <c r="E25054" s="0" t="inlineStr">
        <is>
          <t xml:space="preserve">Mazda</t>
        </is>
      </c>
      <c r="F25054" s="0" t="s">
        <v>17</v>
      </c>
      <c r="G25054" s="0" t="s">
        <v>33</v>
      </c>
      <c r="H25054" s="5">
        <v>321.993500</v>
      </c>
    </row>
    <row r="25055" spans="1:9">
      <c r="A25055" s="22" t="str">
        <f>HYPERLINK("https://app.vivvix.com/360/KMI/IntelliDrive/ApplUI/Pages/CreativePages/CustomReportCreativeDetail.aspx?App=23&amp;ReportView=4&amp;Qid=1711279&amp;Row=25047&amp;Col=1","No Title Assigned - #15285031558")</f>
        <v/>
      </c>
      <c r="B25055" s="0" t="s">
        <v>33728</v>
      </c>
      <c r="C25055" s="0" t="s">
        <v>33729</v>
      </c>
      <c r="D25055" s="0" t="s">
        <v>33729</v>
      </c>
      <c r="E25055" s="0" t="inlineStr">
        <is>
          <t xml:space="preserve">Mazda</t>
        </is>
      </c>
      <c r="F25055" s="0" t="s">
        <v>56</v>
      </c>
      <c r="G25055" s="0" t="s">
        <v>57</v>
      </c>
      <c r="H25055" s="5">
        <v>938.878500</v>
      </c>
    </row>
    <row r="25056" spans="1:9">
      <c r="A25056" s="22" t="str">
        <f>HYPERLINK("https://app.vivvix.com/360/KMI/IntelliDrive/ApplUI/Pages/CreativePages/CustomReportCreativeDetail.aspx?App=23&amp;ReportView=4&amp;Qid=1711279&amp;Row=25048&amp;Col=1","No Title Assigned - #15285031827")</f>
        <v/>
      </c>
      <c r="B25056" s="0" t="s">
        <v>33730</v>
      </c>
      <c r="C25056" s="0" t="s">
        <v>33731</v>
      </c>
      <c r="D25056" s="0" t="s">
        <v>33731</v>
      </c>
      <c r="E25056" s="0" t="inlineStr">
        <is>
          <t xml:space="preserve">Mazda</t>
        </is>
      </c>
      <c r="F25056" s="0" t="s">
        <v>13</v>
      </c>
      <c r="G25056" s="0" t="s">
        <v>49</v>
      </c>
      <c r="H25056" s="5">
        <v>3.396800</v>
      </c>
    </row>
    <row r="25057" spans="1:9">
      <c r="A25057" s="22" t="str">
        <f>HYPERLINK("https://app.vivvix.com/360/KMI/IntelliDrive/ApplUI/Pages/CreativePages/CustomReportCreativeDetail.aspx?App=23&amp;ReportView=4&amp;Qid=1711279&amp;Row=25049&amp;Col=1","No Title Assigned - #15285032845")</f>
        <v/>
      </c>
      <c r="B25057" s="0" t="s">
        <v>33732</v>
      </c>
      <c r="C25057" s="0" t="s">
        <v>33733</v>
      </c>
      <c r="D25057" s="0" t="s">
        <v>33733</v>
      </c>
      <c r="E25057" s="0" t="inlineStr">
        <is>
          <t xml:space="preserve">Mazda</t>
        </is>
      </c>
      <c r="F25057" s="0" t="s">
        <v>13</v>
      </c>
      <c r="G25057" s="0" t="s">
        <v>49</v>
      </c>
      <c r="H25057" s="5">
        <v>24923.646500</v>
      </c>
    </row>
    <row r="25058" spans="1:9">
      <c r="A25058" s="22" t="str">
        <f>HYPERLINK("https://app.vivvix.com/360/KMI/IntelliDrive/ApplUI/Pages/CreativePages/CustomReportCreativeDetail.aspx?App=23&amp;ReportView=4&amp;Qid=1711279&amp;Row=25050&amp;Col=1","No Title Assigned - #15285040016")</f>
        <v/>
      </c>
      <c r="B25058" s="0" t="s">
        <v>33734</v>
      </c>
      <c r="C25058" s="0" t="s">
        <v>33735</v>
      </c>
      <c r="D25058" s="0" t="s">
        <v>33735</v>
      </c>
      <c r="E25058" s="0" t="inlineStr">
        <is>
          <t xml:space="preserve">Mazda</t>
        </is>
      </c>
      <c r="F25058" s="0" t="s">
        <v>3108</v>
      </c>
      <c r="G25058" s="0" t="s">
        <v>3109</v>
      </c>
      <c r="H25058" s="5">
        <v>439.008500</v>
      </c>
    </row>
    <row r="25059" spans="1:9">
      <c r="A25059" s="22" t="str">
        <f>HYPERLINK("https://app.vivvix.com/360/KMI/IntelliDrive/ApplUI/Pages/CreativePages/CustomReportCreativeDetail.aspx?App=23&amp;ReportView=4&amp;Qid=1711279&amp;Row=25051&amp;Col=1","No Title Assigned - #15285049173")</f>
        <v/>
      </c>
      <c r="B25059" s="0" t="s">
        <v>33736</v>
      </c>
      <c r="C25059" s="0" t="s">
        <v>33737</v>
      </c>
      <c r="D25059" s="0" t="s">
        <v>33737</v>
      </c>
      <c r="E25059" s="0" t="inlineStr">
        <is>
          <t xml:space="preserve">Mazda</t>
        </is>
      </c>
      <c r="F25059" s="0" t="s">
        <v>21</v>
      </c>
      <c r="G25059" s="0" t="s">
        <v>2428</v>
      </c>
      <c r="H25059" s="5">
        <v>428.423300</v>
      </c>
    </row>
    <row r="25060" spans="1:9">
      <c r="A25060" s="22" t="str">
        <f>HYPERLINK("https://app.vivvix.com/360/KMI/IntelliDrive/ApplUI/Pages/CreativePages/CustomReportCreativeDetail.aspx?App=23&amp;ReportView=4&amp;Qid=1711279&amp;Row=25052&amp;Col=1","No Title Assigned - #15285049337")</f>
        <v/>
      </c>
      <c r="B25060" s="0" t="s">
        <v>33738</v>
      </c>
      <c r="C25060" s="0" t="s">
        <v>33739</v>
      </c>
      <c r="D25060" s="0" t="s">
        <v>33739</v>
      </c>
      <c r="E25060" s="0" t="inlineStr">
        <is>
          <t xml:space="preserve">Mazda</t>
        </is>
      </c>
      <c r="F25060" s="0" t="s">
        <v>13</v>
      </c>
      <c r="G25060" s="0" t="s">
        <v>49</v>
      </c>
      <c r="H25060" s="5">
        <v>477.521200</v>
      </c>
    </row>
    <row r="25061" spans="1:9">
      <c r="A25061" s="22" t="str">
        <f>HYPERLINK("https://app.vivvix.com/360/KMI/IntelliDrive/ApplUI/Pages/CreativePages/CustomReportCreativeDetail.aspx?App=23&amp;ReportView=4&amp;Qid=1711279&amp;Row=25053&amp;Col=1","No Title Assigned - #15285052693")</f>
        <v/>
      </c>
      <c r="B25061" s="0" t="s">
        <v>33740</v>
      </c>
      <c r="C25061" s="0" t="s">
        <v>33741</v>
      </c>
      <c r="D25061" s="0" t="s">
        <v>33741</v>
      </c>
      <c r="E25061" s="0" t="inlineStr">
        <is>
          <t xml:space="preserve">Mazda</t>
        </is>
      </c>
      <c r="F25061" s="0" t="s">
        <v>13</v>
      </c>
      <c r="G25061" s="0" t="s">
        <v>49</v>
      </c>
      <c r="H25061" s="5">
        <v>1496.589200</v>
      </c>
    </row>
    <row r="25062" spans="1:9">
      <c r="A25062" s="22" t="str">
        <f>HYPERLINK("https://app.vivvix.com/360/KMI/IntelliDrive/ApplUI/Pages/CreativePages/CustomReportCreativeDetail.aspx?App=23&amp;ReportView=4&amp;Qid=1711279&amp;Row=25054&amp;Col=1","No Title Assigned - #15285053413")</f>
        <v/>
      </c>
      <c r="B25062" s="0" t="s">
        <v>33742</v>
      </c>
      <c r="C25062" s="0" t="s">
        <v>33743</v>
      </c>
      <c r="D25062" s="0" t="s">
        <v>33743</v>
      </c>
      <c r="E25062" s="0" t="inlineStr">
        <is>
          <t xml:space="preserve">Mazda</t>
        </is>
      </c>
      <c r="F25062" s="0" t="s">
        <v>13</v>
      </c>
      <c r="G25062" s="0" t="s">
        <v>49</v>
      </c>
      <c r="H25062" s="5">
        <v>2814.600300</v>
      </c>
    </row>
    <row r="25063" spans="1:9">
      <c r="A25063" s="22" t="str">
        <f>HYPERLINK("https://app.vivvix.com/360/KMI/IntelliDrive/ApplUI/Pages/CreativePages/CustomReportCreativeDetail.aspx?App=23&amp;ReportView=4&amp;Qid=1711279&amp;Row=25055&amp;Col=1","No Title Assigned - #15285054168")</f>
        <v/>
      </c>
      <c r="B25063" s="0" t="s">
        <v>33744</v>
      </c>
      <c r="C25063" s="0" t="s">
        <v>33745</v>
      </c>
      <c r="D25063" s="0" t="s">
        <v>33745</v>
      </c>
      <c r="E25063" s="0" t="inlineStr">
        <is>
          <t xml:space="preserve">Mazda</t>
        </is>
      </c>
      <c r="F25063" s="0" t="s">
        <v>13</v>
      </c>
      <c r="G25063" s="0" t="s">
        <v>49</v>
      </c>
      <c r="H25063" s="5">
        <v>66.640600</v>
      </c>
    </row>
    <row r="25064" spans="1:9">
      <c r="A25064" s="22" t="str">
        <f>HYPERLINK("https://app.vivvix.com/360/KMI/IntelliDrive/ApplUI/Pages/CreativePages/CustomReportCreativeDetail.aspx?App=23&amp;ReportView=4&amp;Qid=1711279&amp;Row=25056&amp;Col=1","No Title Assigned - #15285054171")</f>
        <v/>
      </c>
      <c r="B25064" s="0" t="s">
        <v>33746</v>
      </c>
      <c r="C25064" s="0" t="s">
        <v>33747</v>
      </c>
      <c r="D25064" s="0" t="s">
        <v>33747</v>
      </c>
      <c r="E25064" s="0" t="inlineStr">
        <is>
          <t xml:space="preserve">Mazda</t>
        </is>
      </c>
      <c r="F25064" s="0" t="s">
        <v>13</v>
      </c>
      <c r="G25064" s="0" t="s">
        <v>49</v>
      </c>
      <c r="H25064" s="5">
        <v>133.281200</v>
      </c>
    </row>
    <row r="25065" spans="1:9">
      <c r="A25065" s="22" t="str">
        <f>HYPERLINK("https://app.vivvix.com/360/KMI/IntelliDrive/ApplUI/Pages/CreativePages/CustomReportCreativeDetail.aspx?App=23&amp;ReportView=4&amp;Qid=1711279&amp;Row=25057&amp;Col=1","No Title Assigned - #15285058694")</f>
        <v/>
      </c>
      <c r="B25065" s="0" t="s">
        <v>33748</v>
      </c>
      <c r="C25065" s="0" t="s">
        <v>33749</v>
      </c>
      <c r="D25065" s="0" t="s">
        <v>33749</v>
      </c>
      <c r="E25065" s="0" t="inlineStr">
        <is>
          <t xml:space="preserve">Mazda</t>
        </is>
      </c>
      <c r="F25065" s="0" t="s">
        <v>13</v>
      </c>
      <c r="G25065" s="0" t="s">
        <v>49</v>
      </c>
      <c r="H25065" s="5">
        <v>633.101200</v>
      </c>
    </row>
    <row r="25066" spans="1:9">
      <c r="A25066" s="22" t="str">
        <f>HYPERLINK("https://app.vivvix.com/360/KMI/IntelliDrive/ApplUI/Pages/CreativePages/CustomReportCreativeDetail.aspx?App=23&amp;ReportView=4&amp;Qid=1711279&amp;Row=25058&amp;Col=1","No Title Assigned - #15285064316")</f>
        <v/>
      </c>
      <c r="B25066" s="0" t="s">
        <v>33750</v>
      </c>
      <c r="E25066" s="0" t="inlineStr">
        <is>
          <t xml:space="preserve">Mazda</t>
        </is>
      </c>
      <c r="F25066" s="0" t="inlineStr">
        <is>
          <t xml:space="preserve">Mazda</t>
        </is>
      </c>
      <c r="G25066" s="0" t="s">
        <v>171</v>
      </c>
      <c r="H25066" s="5">
        <v>598.228600</v>
      </c>
    </row>
    <row r="25067" spans="1:9">
      <c r="A25067" s="22" t="str">
        <f>HYPERLINK("https://app.vivvix.com/360/KMI/IntelliDrive/ApplUI/Pages/CreativePages/CustomReportCreativeDetail.aspx?App=23&amp;ReportView=4&amp;Qid=1711279&amp;Row=25059&amp;Col=1","No Title Assigned - #15285066533")</f>
        <v/>
      </c>
      <c r="B25067" s="0" t="s">
        <v>33751</v>
      </c>
      <c r="C25067" s="0" t="s">
        <v>33752</v>
      </c>
      <c r="D25067" s="0" t="s">
        <v>33752</v>
      </c>
      <c r="E25067" s="0" t="inlineStr">
        <is>
          <t xml:space="preserve">Mazda</t>
        </is>
      </c>
      <c r="F25067" s="0" t="s">
        <v>13</v>
      </c>
      <c r="G25067" s="0" t="s">
        <v>49</v>
      </c>
      <c r="H25067" s="5">
        <v>506.010400</v>
      </c>
    </row>
    <row r="25068" spans="1:9">
      <c r="A25068" s="22" t="str">
        <f>HYPERLINK("https://app.vivvix.com/360/KMI/IntelliDrive/ApplUI/Pages/CreativePages/CustomReportCreativeDetail.aspx?App=23&amp;ReportView=4&amp;Qid=1711279&amp;Row=25060&amp;Col=1","No Title Assigned - #15285068320")</f>
        <v/>
      </c>
      <c r="B25068" s="0" t="s">
        <v>33753</v>
      </c>
      <c r="E25068" s="0" t="inlineStr">
        <is>
          <t xml:space="preserve">Mazda</t>
        </is>
      </c>
      <c r="F25068" s="0" t="inlineStr">
        <is>
          <t xml:space="preserve">Mazda</t>
        </is>
      </c>
      <c r="G25068" s="0" t="s">
        <v>171</v>
      </c>
      <c r="H25068" s="5">
        <v>18.321800</v>
      </c>
    </row>
    <row r="25069" spans="1:9">
      <c r="A25069" s="22" t="str">
        <f>HYPERLINK("https://app.vivvix.com/360/KMI/IntelliDrive/ApplUI/Pages/CreativePages/CustomReportCreativeDetail.aspx?App=23&amp;ReportView=4&amp;Qid=1711279&amp;Row=25061&amp;Col=1","No Title Assigned - #15285075268")</f>
        <v/>
      </c>
      <c r="B25069" s="0" t="s">
        <v>33754</v>
      </c>
      <c r="C25069" s="0" t="s">
        <v>33755</v>
      </c>
      <c r="D25069" s="0" t="s">
        <v>33755</v>
      </c>
      <c r="E25069" s="0" t="inlineStr">
        <is>
          <t xml:space="preserve">Mazda</t>
        </is>
      </c>
      <c r="F25069" s="0" t="s">
        <v>13</v>
      </c>
      <c r="G25069" s="0" t="s">
        <v>49</v>
      </c>
      <c r="H25069" s="5">
        <v>24303.636900</v>
      </c>
    </row>
    <row r="25070" spans="1:9">
      <c r="A25070" s="22" t="str">
        <f>HYPERLINK("https://app.vivvix.com/360/KMI/IntelliDrive/ApplUI/Pages/CreativePages/CustomReportCreativeDetail.aspx?App=23&amp;ReportView=4&amp;Qid=1711279&amp;Row=25062&amp;Col=1","No Title Assigned - #15285078489")</f>
        <v/>
      </c>
      <c r="B25070" s="0" t="s">
        <v>33756</v>
      </c>
      <c r="C25070" s="0" t="s">
        <v>33757</v>
      </c>
      <c r="D25070" s="0" t="s">
        <v>33757</v>
      </c>
      <c r="E25070" s="0" t="inlineStr">
        <is>
          <t xml:space="preserve">Mazda</t>
        </is>
      </c>
      <c r="F25070" s="0" t="s">
        <v>3108</v>
      </c>
      <c r="G25070" s="0" t="s">
        <v>3109</v>
      </c>
      <c r="H25070" s="5">
        <v>413.299800</v>
      </c>
    </row>
    <row r="25071" spans="1:9">
      <c r="A25071" s="22" t="str">
        <f>HYPERLINK("https://app.vivvix.com/360/KMI/IntelliDrive/ApplUI/Pages/CreativePages/CustomReportCreativeDetail.aspx?App=23&amp;ReportView=4&amp;Qid=1711279&amp;Row=25063&amp;Col=1","No Title Assigned - #15285079686")</f>
        <v/>
      </c>
      <c r="B25071" s="0" t="s">
        <v>33758</v>
      </c>
      <c r="C25071" s="0" t="s">
        <v>33759</v>
      </c>
      <c r="D25071" s="0" t="s">
        <v>33759</v>
      </c>
      <c r="E25071" s="0" t="inlineStr">
        <is>
          <t xml:space="preserve">Mazda</t>
        </is>
      </c>
      <c r="F25071" s="0" t="s">
        <v>52</v>
      </c>
      <c r="G25071" s="0" t="s">
        <v>325</v>
      </c>
      <c r="H25071" s="5">
        <v>307.556200</v>
      </c>
    </row>
    <row r="25072" spans="1:9">
      <c r="A25072" s="22" t="str">
        <f>HYPERLINK("https://app.vivvix.com/360/KMI/IntelliDrive/ApplUI/Pages/CreativePages/CustomReportCreativeDetail.aspx?App=23&amp;ReportView=4&amp;Qid=1711279&amp;Row=25064&amp;Col=1","No Title Assigned - #15285079746")</f>
        <v/>
      </c>
      <c r="B25072" s="0" t="s">
        <v>33760</v>
      </c>
      <c r="C25072" s="0" t="s">
        <v>33761</v>
      </c>
      <c r="D25072" s="0" t="s">
        <v>33761</v>
      </c>
      <c r="E25072" s="0" t="inlineStr">
        <is>
          <t xml:space="preserve">Mazda</t>
        </is>
      </c>
      <c r="F25072" s="0" t="s">
        <v>52</v>
      </c>
      <c r="G25072" s="0" t="s">
        <v>325</v>
      </c>
      <c r="H25072" s="5">
        <v>307.556200</v>
      </c>
    </row>
    <row r="25073" spans="1:9">
      <c r="A25073" s="22" t="str">
        <f>HYPERLINK("https://app.vivvix.com/360/KMI/IntelliDrive/ApplUI/Pages/CreativePages/CustomReportCreativeDetail.aspx?App=23&amp;ReportView=4&amp;Qid=1711279&amp;Row=25065&amp;Col=1","No Title Assigned - #15285079998")</f>
        <v/>
      </c>
      <c r="B25073" s="0" t="s">
        <v>33762</v>
      </c>
      <c r="C25073" s="0" t="s">
        <v>33763</v>
      </c>
      <c r="D25073" s="0" t="s">
        <v>33763</v>
      </c>
      <c r="E25073" s="0" t="inlineStr">
        <is>
          <t xml:space="preserve">Mazda</t>
        </is>
      </c>
      <c r="F25073" s="0" t="s">
        <v>21</v>
      </c>
      <c r="G25073" s="0" t="s">
        <v>22</v>
      </c>
      <c r="H25073" s="5">
        <v>938.878500</v>
      </c>
    </row>
    <row r="25074" spans="1:9">
      <c r="A25074" s="22" t="str">
        <f>HYPERLINK("https://app.vivvix.com/360/KMI/IntelliDrive/ApplUI/Pages/CreativePages/CustomReportCreativeDetail.aspx?App=23&amp;ReportView=4&amp;Qid=1711279&amp;Row=25066&amp;Col=1","No Title Assigned - #15285091083")</f>
        <v/>
      </c>
      <c r="B25074" s="0" t="s">
        <v>33764</v>
      </c>
      <c r="C25074" s="0" t="s">
        <v>33765</v>
      </c>
      <c r="D25074" s="0" t="s">
        <v>33765</v>
      </c>
      <c r="E25074" s="0" t="inlineStr">
        <is>
          <t xml:space="preserve">Mazda</t>
        </is>
      </c>
      <c r="F25074" s="0" t="s">
        <v>13</v>
      </c>
      <c r="G25074" s="0" t="s">
        <v>49</v>
      </c>
      <c r="H25074" s="5">
        <v>210.716100</v>
      </c>
    </row>
    <row r="25075" spans="1:9">
      <c r="A25075" s="22" t="str">
        <f>HYPERLINK("https://app.vivvix.com/360/KMI/IntelliDrive/ApplUI/Pages/CreativePages/CustomReportCreativeDetail.aspx?App=23&amp;ReportView=4&amp;Qid=1711279&amp;Row=25067&amp;Col=1","No Title Assigned - #15285092647")</f>
        <v/>
      </c>
      <c r="B25075" s="0" t="s">
        <v>33766</v>
      </c>
      <c r="C25075" s="0" t="s">
        <v>33767</v>
      </c>
      <c r="D25075" s="0" t="s">
        <v>33767</v>
      </c>
      <c r="E25075" s="0" t="inlineStr">
        <is>
          <t xml:space="preserve">Mazda</t>
        </is>
      </c>
      <c r="F25075" s="0" t="s">
        <v>13</v>
      </c>
      <c r="G25075" s="0" t="s">
        <v>49</v>
      </c>
      <c r="H25075" s="5">
        <v>1249.469100</v>
      </c>
    </row>
    <row r="25076" spans="1:9">
      <c r="A25076" s="22" t="str">
        <f>HYPERLINK("https://app.vivvix.com/360/KMI/IntelliDrive/ApplUI/Pages/CreativePages/CustomReportCreativeDetail.aspx?App=23&amp;ReportView=4&amp;Qid=1711279&amp;Row=25068&amp;Col=1","No Title Assigned - #15285094021")</f>
        <v/>
      </c>
      <c r="B25076" s="0" t="s">
        <v>33768</v>
      </c>
      <c r="C25076" s="0" t="s">
        <v>33769</v>
      </c>
      <c r="D25076" s="0" t="s">
        <v>33769</v>
      </c>
      <c r="E25076" s="0" t="inlineStr">
        <is>
          <t xml:space="preserve">Mazda</t>
        </is>
      </c>
      <c r="F25076" s="0" t="s">
        <v>21</v>
      </c>
      <c r="G25076" s="0" t="s">
        <v>22</v>
      </c>
      <c r="H25076" s="5">
        <v>433.744300</v>
      </c>
    </row>
    <row r="25077" spans="1:9">
      <c r="A25077" s="22" t="str">
        <f>HYPERLINK("https://app.vivvix.com/360/KMI/IntelliDrive/ApplUI/Pages/CreativePages/CustomReportCreativeDetail.aspx?App=23&amp;ReportView=4&amp;Qid=1711279&amp;Row=25069&amp;Col=1","No Title Assigned - #15285095385")</f>
        <v/>
      </c>
      <c r="B25077" s="0" t="s">
        <v>33770</v>
      </c>
      <c r="E25077" s="0" t="inlineStr">
        <is>
          <t xml:space="preserve">Mazda</t>
        </is>
      </c>
      <c r="F25077" s="0" t="s">
        <v>28</v>
      </c>
      <c r="G25077" s="0" t="s">
        <v>29</v>
      </c>
      <c r="H25077" s="5">
        <v>67.364400</v>
      </c>
    </row>
    <row r="25078" spans="1:9">
      <c r="A25078" s="22" t="str">
        <f>HYPERLINK("https://app.vivvix.com/360/KMI/IntelliDrive/ApplUI/Pages/CreativePages/CustomReportCreativeDetail.aspx?App=23&amp;ReportView=4&amp;Qid=1711279&amp;Row=25070&amp;Col=1","No Title Assigned - #15285096843")</f>
        <v/>
      </c>
      <c r="B25078" s="0" t="s">
        <v>33771</v>
      </c>
      <c r="C25078" s="0" t="s">
        <v>33772</v>
      </c>
      <c r="D25078" s="0" t="s">
        <v>33772</v>
      </c>
      <c r="E25078" s="0" t="inlineStr">
        <is>
          <t xml:space="preserve">Mazda</t>
        </is>
      </c>
      <c r="F25078" s="0" t="s">
        <v>13</v>
      </c>
      <c r="G25078" s="0" t="s">
        <v>49</v>
      </c>
      <c r="H25078" s="5">
        <v>779.474000</v>
      </c>
    </row>
    <row r="25079" spans="1:9">
      <c r="A25079" s="22" t="str">
        <f>HYPERLINK("https://app.vivvix.com/360/KMI/IntelliDrive/ApplUI/Pages/CreativePages/CustomReportCreativeDetail.aspx?App=23&amp;ReportView=4&amp;Qid=1711279&amp;Row=25071&amp;Col=1","No Title Assigned - #15285098040")</f>
        <v/>
      </c>
      <c r="B25079" s="0" t="s">
        <v>33773</v>
      </c>
      <c r="C25079" s="0" t="s">
        <v>33774</v>
      </c>
      <c r="D25079" s="0" t="s">
        <v>33774</v>
      </c>
      <c r="E25079" s="0" t="inlineStr">
        <is>
          <t xml:space="preserve">Mazda</t>
        </is>
      </c>
      <c r="F25079" s="0" t="s">
        <v>13</v>
      </c>
      <c r="G25079" s="0" t="s">
        <v>49</v>
      </c>
      <c r="H25079" s="5">
        <v>62.484600</v>
      </c>
    </row>
    <row r="25080" spans="1:9">
      <c r="A25080" s="22" t="str">
        <f>HYPERLINK("https://app.vivvix.com/360/KMI/IntelliDrive/ApplUI/Pages/CreativePages/CustomReportCreativeDetail.aspx?App=23&amp;ReportView=4&amp;Qid=1711279&amp;Row=25072&amp;Col=1","No Title Assigned - #15285098175")</f>
        <v/>
      </c>
      <c r="B25080" s="0" t="s">
        <v>33775</v>
      </c>
      <c r="C25080" s="0" t="s">
        <v>33776</v>
      </c>
      <c r="D25080" s="0" t="s">
        <v>33776</v>
      </c>
      <c r="E25080" s="0" t="inlineStr">
        <is>
          <t xml:space="preserve">Mazda</t>
        </is>
      </c>
      <c r="F25080" s="0" t="s">
        <v>13</v>
      </c>
      <c r="G25080" s="0" t="s">
        <v>49</v>
      </c>
      <c r="H25080" s="5">
        <v>807.828000</v>
      </c>
    </row>
    <row r="25081" spans="1:9">
      <c r="A25081" s="22" t="str">
        <f>HYPERLINK("https://app.vivvix.com/360/KMI/IntelliDrive/ApplUI/Pages/CreativePages/CustomReportCreativeDetail.aspx?App=23&amp;ReportView=4&amp;Qid=1711279&amp;Row=25073&amp;Col=1","No Title Assigned - #15285098518")</f>
        <v/>
      </c>
      <c r="B25081" s="0" t="s">
        <v>33777</v>
      </c>
      <c r="C25081" s="0" t="s">
        <v>33778</v>
      </c>
      <c r="D25081" s="0" t="s">
        <v>33778</v>
      </c>
      <c r="E25081" s="0" t="inlineStr">
        <is>
          <t xml:space="preserve">Mazda</t>
        </is>
      </c>
      <c r="F25081" s="0" t="s">
        <v>125</v>
      </c>
      <c r="G25081" s="0" t="s">
        <v>346</v>
      </c>
      <c r="H25081" s="5">
        <v>1193.997400</v>
      </c>
    </row>
    <row r="25082" spans="1:9">
      <c r="A25082" s="22" t="str">
        <f>HYPERLINK("https://app.vivvix.com/360/KMI/IntelliDrive/ApplUI/Pages/CreativePages/CustomReportCreativeDetail.aspx?App=23&amp;ReportView=4&amp;Qid=1711279&amp;Row=25074&amp;Col=1","No Title Assigned - #15285101358")</f>
        <v/>
      </c>
      <c r="B25082" s="0" t="s">
        <v>33779</v>
      </c>
      <c r="C25082" s="0" t="s">
        <v>33780</v>
      </c>
      <c r="D25082" s="0" t="s">
        <v>33780</v>
      </c>
      <c r="E25082" s="0" t="inlineStr">
        <is>
          <t xml:space="preserve">Mazda</t>
        </is>
      </c>
      <c r="F25082" s="0" t="s">
        <v>13</v>
      </c>
      <c r="G25082" s="0" t="s">
        <v>49</v>
      </c>
      <c r="H25082" s="5">
        <v>53.838800</v>
      </c>
    </row>
    <row r="25083" spans="1:9">
      <c r="A25083" s="22" t="str">
        <f>HYPERLINK("https://app.vivvix.com/360/KMI/IntelliDrive/ApplUI/Pages/CreativePages/CustomReportCreativeDetail.aspx?App=23&amp;ReportView=4&amp;Qid=1711279&amp;Row=25075&amp;Col=1","No Title Assigned - #15285105524")</f>
        <v/>
      </c>
      <c r="B25083" s="0" t="s">
        <v>33781</v>
      </c>
      <c r="E25083" s="0" t="inlineStr">
        <is>
          <t xml:space="preserve">Mazda</t>
        </is>
      </c>
      <c r="F25083" s="0" t="inlineStr">
        <is>
          <t xml:space="preserve">Mazda</t>
        </is>
      </c>
      <c r="G25083" s="0" t="s">
        <v>171</v>
      </c>
      <c r="H25083" s="5">
        <v>279.868600</v>
      </c>
    </row>
    <row r="25084" spans="1:9">
      <c r="A25084" s="22" t="str">
        <f>HYPERLINK("https://app.vivvix.com/360/KMI/IntelliDrive/ApplUI/Pages/CreativePages/CustomReportCreativeDetail.aspx?App=23&amp;ReportView=4&amp;Qid=1711279&amp;Row=25076&amp;Col=1","No Title Assigned - #15285106829")</f>
        <v/>
      </c>
      <c r="B25084" s="0" t="s">
        <v>33782</v>
      </c>
      <c r="E25084" s="0" t="inlineStr">
        <is>
          <t xml:space="preserve">Mazda</t>
        </is>
      </c>
      <c r="F25084" s="0" t="inlineStr">
        <is>
          <t xml:space="preserve">Mazda</t>
        </is>
      </c>
      <c r="G25084" s="0" t="s">
        <v>171</v>
      </c>
      <c r="H25084" s="5">
        <v>256.505200</v>
      </c>
    </row>
    <row r="25085" spans="1:9">
      <c r="A25085" s="22" t="str">
        <f>HYPERLINK("https://app.vivvix.com/360/KMI/IntelliDrive/ApplUI/Pages/CreativePages/CustomReportCreativeDetail.aspx?App=23&amp;ReportView=4&amp;Qid=1711279&amp;Row=25077&amp;Col=1","No Title Assigned - #15285123480")</f>
        <v/>
      </c>
      <c r="B25085" s="0" t="s">
        <v>33783</v>
      </c>
      <c r="C25085" s="0" t="s">
        <v>33784</v>
      </c>
      <c r="D25085" s="0" t="s">
        <v>33784</v>
      </c>
      <c r="E25085" s="0" t="inlineStr">
        <is>
          <t xml:space="preserve">Mazda</t>
        </is>
      </c>
      <c r="F25085" s="0" t="s">
        <v>13</v>
      </c>
      <c r="G25085" s="0" t="s">
        <v>49</v>
      </c>
      <c r="H25085" s="5">
        <v>657.658300</v>
      </c>
    </row>
    <row r="25086" spans="1:9">
      <c r="A25086" s="22" t="str">
        <f>HYPERLINK("https://app.vivvix.com/360/KMI/IntelliDrive/ApplUI/Pages/CreativePages/CustomReportCreativeDetail.aspx?App=23&amp;ReportView=4&amp;Qid=1711279&amp;Row=25078&amp;Col=1","No Title Assigned - #15285125177")</f>
        <v/>
      </c>
      <c r="B25086" s="0" t="s">
        <v>33785</v>
      </c>
      <c r="C25086" s="0" t="s">
        <v>33786</v>
      </c>
      <c r="D25086" s="0" t="s">
        <v>33786</v>
      </c>
      <c r="E25086" s="0" t="inlineStr">
        <is>
          <t xml:space="preserve">Mazda</t>
        </is>
      </c>
      <c r="F25086" s="0" t="s">
        <v>28</v>
      </c>
      <c r="G25086" s="0" t="s">
        <v>29</v>
      </c>
      <c r="H25086" s="5">
        <v>1763.446800</v>
      </c>
    </row>
    <row r="25087" spans="1:9">
      <c r="A25087" s="22" t="str">
        <f>HYPERLINK("https://app.vivvix.com/360/KMI/IntelliDrive/ApplUI/Pages/CreativePages/CustomReportCreativeDetail.aspx?App=23&amp;ReportView=4&amp;Qid=1711279&amp;Row=25079&amp;Col=1","No Title Assigned - #15285134799")</f>
        <v/>
      </c>
      <c r="B25087" s="0" t="s">
        <v>33787</v>
      </c>
      <c r="C25087" s="0" t="s">
        <v>33788</v>
      </c>
      <c r="D25087" s="0" t="s">
        <v>33788</v>
      </c>
      <c r="E25087" s="0" t="inlineStr">
        <is>
          <t xml:space="preserve">Mazda</t>
        </is>
      </c>
      <c r="F25087" s="0" t="s">
        <v>13</v>
      </c>
      <c r="G25087" s="0" t="s">
        <v>49</v>
      </c>
      <c r="H25087" s="5">
        <v>51.395300</v>
      </c>
    </row>
    <row r="25088" spans="1:9">
      <c r="A25088" s="22" t="str">
        <f>HYPERLINK("https://app.vivvix.com/360/KMI/IntelliDrive/ApplUI/Pages/CreativePages/CustomReportCreativeDetail.aspx?App=23&amp;ReportView=4&amp;Qid=1711279&amp;Row=25080&amp;Col=1","No Title Assigned - #15285135065")</f>
        <v/>
      </c>
      <c r="B25088" s="0" t="s">
        <v>33789</v>
      </c>
      <c r="C25088" s="0" t="s">
        <v>33790</v>
      </c>
      <c r="D25088" s="0" t="s">
        <v>33790</v>
      </c>
      <c r="E25088" s="0" t="inlineStr">
        <is>
          <t xml:space="preserve">Mazda</t>
        </is>
      </c>
      <c r="F25088" s="0" t="s">
        <v>13</v>
      </c>
      <c r="G25088" s="0" t="s">
        <v>49</v>
      </c>
      <c r="H25088" s="5">
        <v>17211.591800</v>
      </c>
    </row>
    <row r="25089" spans="1:9">
      <c r="A25089" s="22" t="str">
        <f>HYPERLINK("https://app.vivvix.com/360/KMI/IntelliDrive/ApplUI/Pages/CreativePages/CustomReportCreativeDetail.aspx?App=23&amp;ReportView=4&amp;Qid=1711279&amp;Row=25081&amp;Col=1","No Title Assigned - #15285135869")</f>
        <v/>
      </c>
      <c r="B25089" s="0" t="s">
        <v>33791</v>
      </c>
      <c r="C25089" s="0" t="s">
        <v>33792</v>
      </c>
      <c r="D25089" s="0" t="s">
        <v>33792</v>
      </c>
      <c r="E25089" s="0" t="inlineStr">
        <is>
          <t xml:space="preserve">Mazda</t>
        </is>
      </c>
      <c r="F25089" s="0" t="s">
        <v>13</v>
      </c>
      <c r="G25089" s="0" t="s">
        <v>49</v>
      </c>
      <c r="H25089" s="5">
        <v>1306.532900</v>
      </c>
    </row>
    <row r="25090" spans="1:9">
      <c r="A25090" s="22" t="str">
        <f>HYPERLINK("https://app.vivvix.com/360/KMI/IntelliDrive/ApplUI/Pages/CreativePages/CustomReportCreativeDetail.aspx?App=23&amp;ReportView=4&amp;Qid=1711279&amp;Row=25082&amp;Col=1","No Title Assigned - #15285136295")</f>
        <v/>
      </c>
      <c r="B25090" s="0" t="s">
        <v>33793</v>
      </c>
      <c r="C25090" s="0" t="s">
        <v>33794</v>
      </c>
      <c r="D25090" s="0" t="s">
        <v>33794</v>
      </c>
      <c r="E25090" s="0" t="inlineStr">
        <is>
          <t xml:space="preserve">Mazda</t>
        </is>
      </c>
      <c r="F25090" s="0" t="s">
        <v>13</v>
      </c>
      <c r="G25090" s="0" t="s">
        <v>49</v>
      </c>
      <c r="H25090" s="5">
        <v>415.592100</v>
      </c>
    </row>
    <row r="25091" spans="1:9">
      <c r="A25091" s="22" t="str">
        <f>HYPERLINK("https://app.vivvix.com/360/KMI/IntelliDrive/ApplUI/Pages/CreativePages/CustomReportCreativeDetail.aspx?App=23&amp;ReportView=4&amp;Qid=1711279&amp;Row=25083&amp;Col=1","No Title Assigned - #15285137843")</f>
        <v/>
      </c>
      <c r="B25091" s="0" t="s">
        <v>33795</v>
      </c>
      <c r="E25091" s="0" t="inlineStr">
        <is>
          <t xml:space="preserve">Mazda</t>
        </is>
      </c>
      <c r="F25091" s="0" t="s">
        <v>13</v>
      </c>
      <c r="G25091" s="0" t="s">
        <v>49</v>
      </c>
      <c r="H25091" s="5">
        <v>55.227000</v>
      </c>
    </row>
    <row r="25092" spans="1:9">
      <c r="A25092" s="22" t="str">
        <f>HYPERLINK("https://app.vivvix.com/360/KMI/IntelliDrive/ApplUI/Pages/CreativePages/CustomReportCreativeDetail.aspx?App=23&amp;ReportView=4&amp;Qid=1711279&amp;Row=25084&amp;Col=1","No Title Assigned - #15285137987")</f>
        <v/>
      </c>
      <c r="B25092" s="0" t="s">
        <v>33796</v>
      </c>
      <c r="C25092" s="0" t="s">
        <v>33797</v>
      </c>
      <c r="D25092" s="0" t="s">
        <v>33797</v>
      </c>
      <c r="E25092" s="0" t="inlineStr">
        <is>
          <t xml:space="preserve">Mazda</t>
        </is>
      </c>
      <c r="F25092" s="0" t="s">
        <v>13</v>
      </c>
      <c r="G25092" s="0" t="s">
        <v>49</v>
      </c>
      <c r="H25092" s="5">
        <v>819.363000</v>
      </c>
    </row>
    <row r="25093" spans="1:9">
      <c r="A25093" s="22" t="str">
        <f>HYPERLINK("https://app.vivvix.com/360/KMI/IntelliDrive/ApplUI/Pages/CreativePages/CustomReportCreativeDetail.aspx?App=23&amp;ReportView=4&amp;Qid=1711279&amp;Row=25085&amp;Col=1","No Title Assigned - #15285138007")</f>
        <v/>
      </c>
      <c r="B25093" s="0" t="s">
        <v>33798</v>
      </c>
      <c r="C25093" s="0" t="s">
        <v>33799</v>
      </c>
      <c r="D25093" s="0" t="s">
        <v>33581</v>
      </c>
      <c r="E25093" s="0" t="inlineStr">
        <is>
          <t xml:space="preserve">Mazda</t>
        </is>
      </c>
      <c r="F25093" s="0" t="s">
        <v>13</v>
      </c>
      <c r="G25093" s="0" t="s">
        <v>49</v>
      </c>
      <c r="H25093" s="5">
        <v>15854.709400</v>
      </c>
    </row>
    <row r="25094" spans="1:9">
      <c r="A25094" s="22" t="str">
        <f>HYPERLINK("https://app.vivvix.com/360/KMI/IntelliDrive/ApplUI/Pages/CreativePages/CustomReportCreativeDetail.aspx?App=23&amp;ReportView=4&amp;Qid=1711279&amp;Row=25086&amp;Col=1","No Title Assigned - #15285138023")</f>
        <v/>
      </c>
      <c r="B25094" s="0" t="s">
        <v>33800</v>
      </c>
      <c r="C25094" s="0" t="s">
        <v>33801</v>
      </c>
      <c r="D25094" s="0" t="s">
        <v>33801</v>
      </c>
      <c r="E25094" s="0" t="inlineStr">
        <is>
          <t xml:space="preserve">Mazda</t>
        </is>
      </c>
      <c r="F25094" s="0" t="s">
        <v>13</v>
      </c>
      <c r="G25094" s="0" t="s">
        <v>49</v>
      </c>
      <c r="H25094" s="5">
        <v>993.622900</v>
      </c>
    </row>
    <row r="25095" spans="1:9">
      <c r="A25095" s="22" t="str">
        <f>HYPERLINK("https://app.vivvix.com/360/KMI/IntelliDrive/ApplUI/Pages/CreativePages/CustomReportCreativeDetail.aspx?App=23&amp;ReportView=4&amp;Qid=1711279&amp;Row=25087&amp;Col=1","No Title Assigned - #15285138231")</f>
        <v/>
      </c>
      <c r="B25095" s="0" t="s">
        <v>33802</v>
      </c>
      <c r="C25095" s="0" t="s">
        <v>33803</v>
      </c>
      <c r="D25095" s="0" t="s">
        <v>33803</v>
      </c>
      <c r="E25095" s="0" t="inlineStr">
        <is>
          <t xml:space="preserve">Mazda</t>
        </is>
      </c>
      <c r="F25095" s="0" t="s">
        <v>13</v>
      </c>
      <c r="G25095" s="0" t="s">
        <v>49</v>
      </c>
      <c r="H25095" s="5">
        <v>114.834900</v>
      </c>
    </row>
    <row r="25096" spans="1:9">
      <c r="A25096" s="22" t="str">
        <f>HYPERLINK("https://app.vivvix.com/360/KMI/IntelliDrive/ApplUI/Pages/CreativePages/CustomReportCreativeDetail.aspx?App=23&amp;ReportView=4&amp;Qid=1711279&amp;Row=25088&amp;Col=1","No Title Assigned - #15285138561")</f>
        <v/>
      </c>
      <c r="B25096" s="0" t="s">
        <v>33804</v>
      </c>
      <c r="C25096" s="0" t="s">
        <v>33805</v>
      </c>
      <c r="D25096" s="0" t="s">
        <v>33805</v>
      </c>
      <c r="E25096" s="0" t="inlineStr">
        <is>
          <t xml:space="preserve">Mazda</t>
        </is>
      </c>
      <c r="F25096" s="0" t="s">
        <v>13</v>
      </c>
      <c r="G25096" s="0" t="s">
        <v>49</v>
      </c>
      <c r="H25096" s="5">
        <v>453.710200</v>
      </c>
    </row>
    <row r="25097" spans="1:9">
      <c r="A25097" s="22" t="str">
        <f>HYPERLINK("https://app.vivvix.com/360/KMI/IntelliDrive/ApplUI/Pages/CreativePages/CustomReportCreativeDetail.aspx?App=23&amp;ReportView=4&amp;Qid=1711279&amp;Row=25089&amp;Col=1","No Title Assigned - #15285139512")</f>
        <v/>
      </c>
      <c r="B25097" s="0" t="s">
        <v>33806</v>
      </c>
      <c r="C25097" s="0" t="s">
        <v>33807</v>
      </c>
      <c r="D25097" s="0" t="s">
        <v>33807</v>
      </c>
      <c r="E25097" s="0" t="inlineStr">
        <is>
          <t xml:space="preserve">Mazda</t>
        </is>
      </c>
      <c r="F25097" s="0" t="s">
        <v>13</v>
      </c>
      <c r="G25097" s="0" t="s">
        <v>49</v>
      </c>
      <c r="H25097" s="5">
        <v>226.855100</v>
      </c>
    </row>
    <row r="25098" spans="1:9">
      <c r="A25098" s="22" t="str">
        <f>HYPERLINK("https://app.vivvix.com/360/KMI/IntelliDrive/ApplUI/Pages/CreativePages/CustomReportCreativeDetail.aspx?App=23&amp;ReportView=4&amp;Qid=1711279&amp;Row=25090&amp;Col=1","No Title Assigned - #15285139550")</f>
        <v/>
      </c>
      <c r="B25098" s="0" t="s">
        <v>33808</v>
      </c>
      <c r="C25098" s="0" t="s">
        <v>33809</v>
      </c>
      <c r="D25098" s="0" t="s">
        <v>33809</v>
      </c>
      <c r="E25098" s="0" t="inlineStr">
        <is>
          <t xml:space="preserve">Mazda</t>
        </is>
      </c>
      <c r="F25098" s="0" t="s">
        <v>13</v>
      </c>
      <c r="G25098" s="0" t="s">
        <v>49</v>
      </c>
      <c r="H25098" s="5">
        <v>64.354200</v>
      </c>
    </row>
    <row r="25099" spans="1:9">
      <c r="A25099" s="22" t="str">
        <f>HYPERLINK("https://app.vivvix.com/360/KMI/IntelliDrive/ApplUI/Pages/CreativePages/CustomReportCreativeDetail.aspx?App=23&amp;ReportView=4&amp;Qid=1711279&amp;Row=25091&amp;Col=1","No Title Assigned - #15285140066")</f>
        <v/>
      </c>
      <c r="B25099" s="0" t="s">
        <v>33810</v>
      </c>
      <c r="C25099" s="0" t="s">
        <v>33811</v>
      </c>
      <c r="D25099" s="0" t="s">
        <v>33811</v>
      </c>
      <c r="E25099" s="0" t="inlineStr">
        <is>
          <t xml:space="preserve">Mazda</t>
        </is>
      </c>
      <c r="F25099" s="0" t="s">
        <v>13</v>
      </c>
      <c r="G25099" s="0" t="s">
        <v>49</v>
      </c>
      <c r="H25099" s="5">
        <v>32.177100</v>
      </c>
    </row>
    <row r="25100" spans="1:9">
      <c r="A25100" s="22" t="str">
        <f>HYPERLINK("https://app.vivvix.com/360/KMI/IntelliDrive/ApplUI/Pages/CreativePages/CustomReportCreativeDetail.aspx?App=23&amp;ReportView=4&amp;Qid=1711279&amp;Row=25092&amp;Col=1","No Title Assigned - #15285140239")</f>
        <v/>
      </c>
      <c r="B25100" s="0" t="s">
        <v>33812</v>
      </c>
      <c r="C25100" s="0" t="s">
        <v>33813</v>
      </c>
      <c r="D25100" s="0" t="s">
        <v>33813</v>
      </c>
      <c r="E25100" s="0" t="inlineStr">
        <is>
          <t xml:space="preserve">Mazda</t>
        </is>
      </c>
      <c r="F25100" s="0" t="s">
        <v>13</v>
      </c>
      <c r="G25100" s="0" t="s">
        <v>49</v>
      </c>
      <c r="H25100" s="5">
        <v>5629.200600</v>
      </c>
    </row>
    <row r="25101" spans="1:9">
      <c r="A25101" s="22" t="str">
        <f>HYPERLINK("https://app.vivvix.com/360/KMI/IntelliDrive/ApplUI/Pages/CreativePages/CustomReportCreativeDetail.aspx?App=23&amp;ReportView=4&amp;Qid=1711279&amp;Row=25093&amp;Col=1","No Title Assigned - #15285141767")</f>
        <v/>
      </c>
      <c r="B25101" s="0" t="s">
        <v>33814</v>
      </c>
      <c r="C25101" s="0" t="s">
        <v>33815</v>
      </c>
      <c r="D25101" s="0" t="s">
        <v>33815</v>
      </c>
      <c r="E25101" s="0" t="inlineStr">
        <is>
          <t xml:space="preserve">Mazda</t>
        </is>
      </c>
      <c r="F25101" s="0" t="s">
        <v>13</v>
      </c>
      <c r="G25101" s="0" t="s">
        <v>49</v>
      </c>
      <c r="H25101" s="5">
        <v>3038.249200</v>
      </c>
    </row>
    <row r="25102" spans="1:9">
      <c r="A25102" s="22" t="str">
        <f>HYPERLINK("https://app.vivvix.com/360/KMI/IntelliDrive/ApplUI/Pages/CreativePages/CustomReportCreativeDetail.aspx?App=23&amp;ReportView=4&amp;Qid=1711279&amp;Row=25094&amp;Col=1","No Title Assigned - #15285142057")</f>
        <v/>
      </c>
      <c r="B25102" s="0" t="s">
        <v>33816</v>
      </c>
      <c r="C25102" s="0" t="s">
        <v>33817</v>
      </c>
      <c r="D25102" s="0" t="s">
        <v>33817</v>
      </c>
      <c r="E25102" s="0" t="inlineStr">
        <is>
          <t xml:space="preserve">Mazda</t>
        </is>
      </c>
      <c r="F25102" s="0" t="s">
        <v>13</v>
      </c>
      <c r="G25102" s="0" t="s">
        <v>49</v>
      </c>
      <c r="H25102" s="5">
        <v>217.840300</v>
      </c>
    </row>
    <row r="25103" spans="1:9">
      <c r="A25103" s="22" t="str">
        <f>HYPERLINK("https://app.vivvix.com/360/KMI/IntelliDrive/ApplUI/Pages/CreativePages/CustomReportCreativeDetail.aspx?App=23&amp;ReportView=4&amp;Qid=1711279&amp;Row=25095&amp;Col=1","No Title Assigned - #15285142125")</f>
        <v/>
      </c>
      <c r="B25103" s="0" t="s">
        <v>33818</v>
      </c>
      <c r="E25103" s="0" t="inlineStr">
        <is>
          <t xml:space="preserve">Mazda</t>
        </is>
      </c>
      <c r="F25103" s="0" t="inlineStr">
        <is>
          <t xml:space="preserve">Mazda</t>
        </is>
      </c>
      <c r="G25103" s="0" t="s">
        <v>171</v>
      </c>
      <c r="H25103" s="5">
        <v>926.969400</v>
      </c>
    </row>
    <row r="25104" spans="1:9">
      <c r="A25104" s="22" t="str">
        <f>HYPERLINK("https://app.vivvix.com/360/KMI/IntelliDrive/ApplUI/Pages/CreativePages/CustomReportCreativeDetail.aspx?App=23&amp;ReportView=4&amp;Qid=1711279&amp;Row=25096&amp;Col=1","No Title Assigned - #15285142765")</f>
        <v/>
      </c>
      <c r="B25104" s="0" t="s">
        <v>33819</v>
      </c>
      <c r="C25104" s="0" t="s">
        <v>33820</v>
      </c>
      <c r="D25104" s="0" t="s">
        <v>33820</v>
      </c>
      <c r="E25104" s="0" t="inlineStr">
        <is>
          <t xml:space="preserve">Mazda</t>
        </is>
      </c>
      <c r="F25104" s="0" t="s">
        <v>13</v>
      </c>
      <c r="G25104" s="0" t="s">
        <v>49</v>
      </c>
      <c r="H25104" s="5">
        <v>1011.235100</v>
      </c>
    </row>
    <row r="25105" spans="1:9">
      <c r="A25105" s="22" t="str">
        <f>HYPERLINK("https://app.vivvix.com/360/KMI/IntelliDrive/ApplUI/Pages/CreativePages/CustomReportCreativeDetail.aspx?App=23&amp;ReportView=4&amp;Qid=1711279&amp;Row=25097&amp;Col=1","No Title Assigned - #15285142801")</f>
        <v/>
      </c>
      <c r="B25105" s="0" t="s">
        <v>33821</v>
      </c>
      <c r="C25105" s="0" t="s">
        <v>33822</v>
      </c>
      <c r="D25105" s="0" t="s">
        <v>33822</v>
      </c>
      <c r="E25105" s="0" t="inlineStr">
        <is>
          <t xml:space="preserve">Mazda</t>
        </is>
      </c>
      <c r="F25105" s="0" t="s">
        <v>13</v>
      </c>
      <c r="G25105" s="0" t="s">
        <v>49</v>
      </c>
      <c r="H25105" s="5">
        <v>220.063400</v>
      </c>
    </row>
    <row r="25106" spans="1:9">
      <c r="A25106" s="22" t="str">
        <f>HYPERLINK("https://app.vivvix.com/360/KMI/IntelliDrive/ApplUI/Pages/CreativePages/CustomReportCreativeDetail.aspx?App=23&amp;ReportView=4&amp;Qid=1711279&amp;Row=25098&amp;Col=1","No Title Assigned - #15285143030")</f>
        <v/>
      </c>
      <c r="B25106" s="0" t="s">
        <v>33823</v>
      </c>
      <c r="C25106" s="0" t="s">
        <v>33824</v>
      </c>
      <c r="D25106" s="0" t="s">
        <v>33824</v>
      </c>
      <c r="E25106" s="0" t="inlineStr">
        <is>
          <t xml:space="preserve">Mazda</t>
        </is>
      </c>
      <c r="F25106" s="0" t="s">
        <v>13</v>
      </c>
      <c r="G25106" s="0" t="s">
        <v>49</v>
      </c>
      <c r="H25106" s="5">
        <v>442.655300</v>
      </c>
    </row>
    <row r="25107" spans="1:9">
      <c r="A25107" s="22" t="str">
        <f>HYPERLINK("https://app.vivvix.com/360/KMI/IntelliDrive/ApplUI/Pages/CreativePages/CustomReportCreativeDetail.aspx?App=23&amp;ReportView=4&amp;Qid=1711279&amp;Row=25099&amp;Col=1","No Title Assigned - #15285143224")</f>
        <v/>
      </c>
      <c r="B25107" s="0" t="s">
        <v>33825</v>
      </c>
      <c r="E25107" s="0" t="inlineStr">
        <is>
          <t xml:space="preserve">Mazda</t>
        </is>
      </c>
      <c r="F25107" s="0" t="inlineStr">
        <is>
          <t xml:space="preserve">Mazda</t>
        </is>
      </c>
      <c r="G25107" s="0" t="s">
        <v>171</v>
      </c>
      <c r="H25107" s="5">
        <v>477.820700</v>
      </c>
    </row>
    <row r="25108" spans="1:9">
      <c r="A25108" s="22" t="str">
        <f>HYPERLINK("https://app.vivvix.com/360/KMI/IntelliDrive/ApplUI/Pages/CreativePages/CustomReportCreativeDetail.aspx?App=23&amp;ReportView=4&amp;Qid=1711279&amp;Row=25100&amp;Col=1","No Title Assigned - #15285143370")</f>
        <v/>
      </c>
      <c r="B25108" s="0" t="s">
        <v>33826</v>
      </c>
      <c r="C25108" s="0" t="s">
        <v>33827</v>
      </c>
      <c r="D25108" s="0" t="s">
        <v>33827</v>
      </c>
      <c r="E25108" s="0" t="inlineStr">
        <is>
          <t xml:space="preserve">Mazda</t>
        </is>
      </c>
      <c r="F25108" s="0" t="s">
        <v>13</v>
      </c>
      <c r="G25108" s="0" t="s">
        <v>49</v>
      </c>
      <c r="H25108" s="5">
        <v>442.509200</v>
      </c>
    </row>
    <row r="25109" spans="1:9">
      <c r="A25109" s="22" t="str">
        <f>HYPERLINK("https://app.vivvix.com/360/KMI/IntelliDrive/ApplUI/Pages/CreativePages/CustomReportCreativeDetail.aspx?App=23&amp;ReportView=4&amp;Qid=1711279&amp;Row=25101&amp;Col=1","No Title Assigned - #15285143393")</f>
        <v/>
      </c>
      <c r="B25109" s="0" t="s">
        <v>33828</v>
      </c>
      <c r="E25109" s="0" t="inlineStr">
        <is>
          <t xml:space="preserve">Mazda</t>
        </is>
      </c>
      <c r="F25109" s="0" t="inlineStr">
        <is>
          <t xml:space="preserve">Mazda</t>
        </is>
      </c>
      <c r="G25109" s="0" t="s">
        <v>171</v>
      </c>
      <c r="H25109" s="5">
        <v>257.565100</v>
      </c>
    </row>
    <row r="25110" spans="1:9">
      <c r="A25110" s="22" t="str">
        <f>HYPERLINK("https://app.vivvix.com/360/KMI/IntelliDrive/ApplUI/Pages/CreativePages/CustomReportCreativeDetail.aspx?App=23&amp;ReportView=4&amp;Qid=1711279&amp;Row=25102&amp;Col=1","No Title Assigned - #15285143409")</f>
        <v/>
      </c>
      <c r="B25110" s="0" t="s">
        <v>33829</v>
      </c>
      <c r="E25110" s="0" t="inlineStr">
        <is>
          <t xml:space="preserve">Mazda</t>
        </is>
      </c>
      <c r="F25110" s="0" t="inlineStr">
        <is>
          <t xml:space="preserve">Mazda</t>
        </is>
      </c>
      <c r="G25110" s="0" t="s">
        <v>171</v>
      </c>
      <c r="H25110" s="5">
        <v>1303.914200</v>
      </c>
    </row>
    <row r="25111" spans="1:9">
      <c r="A25111" s="22" t="str">
        <f>HYPERLINK("https://app.vivvix.com/360/KMI/IntelliDrive/ApplUI/Pages/CreativePages/CustomReportCreativeDetail.aspx?App=23&amp;ReportView=4&amp;Qid=1711279&amp;Row=25103&amp;Col=1","No Title Assigned - #15285145679")</f>
        <v/>
      </c>
      <c r="B25111" s="0" t="s">
        <v>33830</v>
      </c>
      <c r="C25111" s="0" t="s">
        <v>33831</v>
      </c>
      <c r="D25111" s="0" t="s">
        <v>33831</v>
      </c>
      <c r="E25111" s="0" t="inlineStr">
        <is>
          <t xml:space="preserve">Mazda</t>
        </is>
      </c>
      <c r="F25111" s="0" t="s">
        <v>13</v>
      </c>
      <c r="G25111" s="0" t="s">
        <v>49</v>
      </c>
      <c r="H25111" s="5">
        <v>624.827900</v>
      </c>
    </row>
    <row r="25112" spans="1:9">
      <c r="A25112" s="22" t="str">
        <f>HYPERLINK("https://app.vivvix.com/360/KMI/IntelliDrive/ApplUI/Pages/CreativePages/CustomReportCreativeDetail.aspx?App=23&amp;ReportView=4&amp;Qid=1711279&amp;Row=25104&amp;Col=1","No Title Assigned - #15285145751")</f>
        <v/>
      </c>
      <c r="B25112" s="0" t="s">
        <v>33832</v>
      </c>
      <c r="C25112" s="0" t="s">
        <v>33833</v>
      </c>
      <c r="D25112" s="0" t="s">
        <v>33833</v>
      </c>
      <c r="E25112" s="0" t="inlineStr">
        <is>
          <t xml:space="preserve">Mazda</t>
        </is>
      </c>
      <c r="F25112" s="0" t="s">
        <v>13</v>
      </c>
      <c r="G25112" s="0" t="s">
        <v>49</v>
      </c>
      <c r="H25112" s="5">
        <v>656.732700</v>
      </c>
    </row>
    <row r="25113" spans="1:9">
      <c r="A25113" s="22" t="str">
        <f>HYPERLINK("https://app.vivvix.com/360/KMI/IntelliDrive/ApplUI/Pages/CreativePages/CustomReportCreativeDetail.aspx?App=23&amp;ReportView=4&amp;Qid=1711279&amp;Row=25105&amp;Col=1","No Title Assigned - #15285145806")</f>
        <v/>
      </c>
      <c r="B25113" s="0" t="s">
        <v>33834</v>
      </c>
      <c r="C25113" s="0" t="s">
        <v>33835</v>
      </c>
      <c r="D25113" s="0" t="s">
        <v>33835</v>
      </c>
      <c r="E25113" s="0" t="inlineStr">
        <is>
          <t xml:space="preserve">Mazda</t>
        </is>
      </c>
      <c r="F25113" s="0" t="s">
        <v>13</v>
      </c>
      <c r="G25113" s="0" t="s">
        <v>49</v>
      </c>
      <c r="H25113" s="5">
        <v>55.227000</v>
      </c>
    </row>
    <row r="25114" spans="1:9">
      <c r="A25114" s="22" t="str">
        <f>HYPERLINK("https://app.vivvix.com/360/KMI/IntelliDrive/ApplUI/Pages/CreativePages/CustomReportCreativeDetail.aspx?App=23&amp;ReportView=4&amp;Qid=1711279&amp;Row=25106&amp;Col=1","No Title Assigned - #15285146791")</f>
        <v/>
      </c>
      <c r="B25114" s="0" t="s">
        <v>33836</v>
      </c>
      <c r="C25114" s="0" t="s">
        <v>33837</v>
      </c>
      <c r="D25114" s="0" t="s">
        <v>33837</v>
      </c>
      <c r="E25114" s="0" t="inlineStr">
        <is>
          <t xml:space="preserve">Mazda</t>
        </is>
      </c>
      <c r="F25114" s="0" t="s">
        <v>13</v>
      </c>
      <c r="G25114" s="0" t="s">
        <v>49</v>
      </c>
      <c r="H25114" s="5">
        <v>416.458200</v>
      </c>
    </row>
    <row r="25115" spans="1:9">
      <c r="A25115" s="22" t="str">
        <f>HYPERLINK("https://app.vivvix.com/360/KMI/IntelliDrive/ApplUI/Pages/CreativePages/CustomReportCreativeDetail.aspx?App=23&amp;ReportView=4&amp;Qid=1711279&amp;Row=25107&amp;Col=1","No Title Assigned - #15285155005")</f>
        <v/>
      </c>
      <c r="B25115" s="0" t="s">
        <v>33838</v>
      </c>
      <c r="C25115" s="0" t="s">
        <v>33839</v>
      </c>
      <c r="D25115" s="0" t="s">
        <v>33839</v>
      </c>
      <c r="E25115" s="0" t="inlineStr">
        <is>
          <t xml:space="preserve">Mazda</t>
        </is>
      </c>
      <c r="F25115" s="0" t="s">
        <v>13</v>
      </c>
      <c r="G25115" s="0" t="s">
        <v>49</v>
      </c>
      <c r="H25115" s="5">
        <v>114.834900</v>
      </c>
    </row>
    <row r="25116" spans="1:9">
      <c r="A25116" s="22" t="str">
        <f>HYPERLINK("https://app.vivvix.com/360/KMI/IntelliDrive/ApplUI/Pages/CreativePages/CustomReportCreativeDetail.aspx?App=23&amp;ReportView=4&amp;Qid=1711279&amp;Row=25108&amp;Col=1","No Title Assigned - #15285155308")</f>
        <v/>
      </c>
      <c r="B25116" s="0" t="s">
        <v>33840</v>
      </c>
      <c r="C25116" s="0" t="s">
        <v>33841</v>
      </c>
      <c r="D25116" s="0" t="s">
        <v>33841</v>
      </c>
      <c r="E25116" s="0" t="inlineStr">
        <is>
          <t xml:space="preserve">Mazda</t>
        </is>
      </c>
      <c r="F25116" s="0" t="s">
        <v>13</v>
      </c>
      <c r="G25116" s="0" t="s">
        <v>49</v>
      </c>
      <c r="H25116" s="5">
        <v>627.312000</v>
      </c>
    </row>
    <row r="25117" spans="1:9">
      <c r="A25117" s="22" t="str">
        <f>HYPERLINK("https://app.vivvix.com/360/KMI/IntelliDrive/ApplUI/Pages/CreativePages/CustomReportCreativeDetail.aspx?App=23&amp;ReportView=4&amp;Qid=1711279&amp;Row=25109&amp;Col=1","No Title Assigned - #15285158441")</f>
        <v/>
      </c>
      <c r="B25117" s="0" t="s">
        <v>33842</v>
      </c>
      <c r="C25117" s="0" t="s">
        <v>33843</v>
      </c>
      <c r="D25117" s="0" t="s">
        <v>33843</v>
      </c>
      <c r="E25117" s="0" t="inlineStr">
        <is>
          <t xml:space="preserve">Mazda</t>
        </is>
      </c>
      <c r="F25117" s="0" t="s">
        <v>13</v>
      </c>
      <c r="G25117" s="0" t="s">
        <v>49</v>
      </c>
      <c r="H25117" s="5">
        <v>460.209700</v>
      </c>
    </row>
    <row r="25118" spans="1:9">
      <c r="A25118" s="22" t="str">
        <f>HYPERLINK("https://app.vivvix.com/360/KMI/IntelliDrive/ApplUI/Pages/CreativePages/CustomReportCreativeDetail.aspx?App=23&amp;ReportView=4&amp;Qid=1711279&amp;Row=25110&amp;Col=1","No Title Assigned - #15285158442")</f>
        <v/>
      </c>
      <c r="B25118" s="0" t="s">
        <v>33844</v>
      </c>
      <c r="C25118" s="0" t="s">
        <v>33845</v>
      </c>
      <c r="D25118" s="0" t="s">
        <v>33845</v>
      </c>
      <c r="E25118" s="0" t="inlineStr">
        <is>
          <t xml:space="preserve">Mazda</t>
        </is>
      </c>
      <c r="F25118" s="0" t="s">
        <v>13</v>
      </c>
      <c r="G25118" s="0" t="s">
        <v>49</v>
      </c>
      <c r="H25118" s="5">
        <v>2.220200</v>
      </c>
    </row>
    <row r="25119" spans="1:9">
      <c r="A25119" s="22" t="str">
        <f>HYPERLINK("https://app.vivvix.com/360/KMI/IntelliDrive/ApplUI/Pages/CreativePages/CustomReportCreativeDetail.aspx?App=23&amp;ReportView=4&amp;Qid=1711279&amp;Row=25111&amp;Col=1","No Title Assigned - #15285170040")</f>
        <v/>
      </c>
      <c r="B25119" s="0" t="s">
        <v>33846</v>
      </c>
      <c r="C25119" s="0" t="s">
        <v>33847</v>
      </c>
      <c r="D25119" s="0" t="s">
        <v>33847</v>
      </c>
      <c r="E25119" s="0" t="inlineStr">
        <is>
          <t xml:space="preserve">Mazda</t>
        </is>
      </c>
      <c r="F25119" s="0" t="s">
        <v>28</v>
      </c>
      <c r="G25119" s="0" t="s">
        <v>29</v>
      </c>
      <c r="H25119" s="5">
        <v>67.364400</v>
      </c>
    </row>
    <row r="25120" spans="1:9">
      <c r="A25120" s="22" t="str">
        <f>HYPERLINK("https://app.vivvix.com/360/KMI/IntelliDrive/ApplUI/Pages/CreativePages/CustomReportCreativeDetail.aspx?App=23&amp;ReportView=4&amp;Qid=1711279&amp;Row=25112&amp;Col=1","No Title Assigned - #15285174644")</f>
        <v/>
      </c>
      <c r="B25120" s="0" t="s">
        <v>33848</v>
      </c>
      <c r="C25120" s="0" t="s">
        <v>33849</v>
      </c>
      <c r="D25120" s="0" t="s">
        <v>33849</v>
      </c>
      <c r="E25120" s="0" t="inlineStr">
        <is>
          <t xml:space="preserve">Mazda</t>
        </is>
      </c>
      <c r="F25120" s="0" t="s">
        <v>13</v>
      </c>
      <c r="G25120" s="0" t="s">
        <v>49</v>
      </c>
      <c r="H25120" s="5">
        <v>711.003600</v>
      </c>
    </row>
    <row r="25121" spans="1:9">
      <c r="A25121" s="22" t="str">
        <f>HYPERLINK("https://app.vivvix.com/360/KMI/IntelliDrive/ApplUI/Pages/CreativePages/CustomReportCreativeDetail.aspx?App=23&amp;ReportView=4&amp;Qid=1711279&amp;Row=25113&amp;Col=1","No Title Assigned - #15285174665")</f>
        <v/>
      </c>
      <c r="B25121" s="0" t="s">
        <v>33850</v>
      </c>
      <c r="C25121" s="0" t="s">
        <v>33851</v>
      </c>
      <c r="D25121" s="0" t="s">
        <v>33851</v>
      </c>
      <c r="E25121" s="0" t="inlineStr">
        <is>
          <t xml:space="preserve">Mazda</t>
        </is>
      </c>
      <c r="F25121" s="0" t="s">
        <v>13</v>
      </c>
      <c r="G25121" s="0" t="s">
        <v>49</v>
      </c>
      <c r="H25121" s="5">
        <v>237.434400</v>
      </c>
    </row>
    <row r="25122" spans="1:9">
      <c r="A25122" s="22" t="str">
        <f>HYPERLINK("https://app.vivvix.com/360/KMI/IntelliDrive/ApplUI/Pages/CreativePages/CustomReportCreativeDetail.aspx?App=23&amp;ReportView=4&amp;Qid=1711279&amp;Row=25114&amp;Col=1","No Title Assigned - #15285178262")</f>
        <v/>
      </c>
      <c r="B25122" s="0" t="s">
        <v>33852</v>
      </c>
      <c r="C25122" s="0" t="s">
        <v>33853</v>
      </c>
      <c r="D25122" s="0" t="s">
        <v>33853</v>
      </c>
      <c r="E25122" s="0" t="inlineStr">
        <is>
          <t xml:space="preserve">Mazda</t>
        </is>
      </c>
      <c r="F25122" s="0" t="s">
        <v>13</v>
      </c>
      <c r="G25122" s="0" t="s">
        <v>49</v>
      </c>
      <c r="H25122" s="5">
        <v>6110.654900</v>
      </c>
    </row>
    <row r="25123" spans="1:9">
      <c r="A25123" s="22" t="str">
        <f>HYPERLINK("https://app.vivvix.com/360/KMI/IntelliDrive/ApplUI/Pages/CreativePages/CustomReportCreativeDetail.aspx?App=23&amp;ReportView=4&amp;Qid=1711279&amp;Row=25115&amp;Col=1","No Title Assigned - #15285178758")</f>
        <v/>
      </c>
      <c r="B25123" s="0" t="s">
        <v>33854</v>
      </c>
      <c r="C25123" s="0" t="s">
        <v>33855</v>
      </c>
      <c r="D25123" s="0" t="s">
        <v>33855</v>
      </c>
      <c r="E25123" s="0" t="inlineStr">
        <is>
          <t xml:space="preserve">Mazda</t>
        </is>
      </c>
      <c r="F25123" s="0" t="s">
        <v>13</v>
      </c>
      <c r="G25123" s="0" t="s">
        <v>49</v>
      </c>
      <c r="H25123" s="5">
        <v>118.852100</v>
      </c>
    </row>
    <row r="25124" spans="1:9">
      <c r="A25124" s="22" t="str">
        <f>HYPERLINK("https://app.vivvix.com/360/KMI/IntelliDrive/ApplUI/Pages/CreativePages/CustomReportCreativeDetail.aspx?App=23&amp;ReportView=4&amp;Qid=1711279&amp;Row=25116&amp;Col=1","No Title Assigned - #15285180081")</f>
        <v/>
      </c>
      <c r="B25124" s="0" t="s">
        <v>33856</v>
      </c>
      <c r="C25124" s="0" t="s">
        <v>33857</v>
      </c>
      <c r="D25124" s="0" t="s">
        <v>33857</v>
      </c>
      <c r="E25124" s="0" t="inlineStr">
        <is>
          <t xml:space="preserve">Mazda</t>
        </is>
      </c>
      <c r="F25124" s="0" t="s">
        <v>13</v>
      </c>
      <c r="G25124" s="0" t="s">
        <v>49</v>
      </c>
      <c r="H25124" s="5">
        <v>1249.469100</v>
      </c>
    </row>
    <row r="25125" spans="1:9">
      <c r="A25125" s="22" t="str">
        <f>HYPERLINK("https://app.vivvix.com/360/KMI/IntelliDrive/ApplUI/Pages/CreativePages/CustomReportCreativeDetail.aspx?App=23&amp;ReportView=4&amp;Qid=1711279&amp;Row=25117&amp;Col=1","No Title Assigned - #15285180209")</f>
        <v/>
      </c>
      <c r="B25125" s="0" t="s">
        <v>33858</v>
      </c>
      <c r="C25125" s="0" t="s">
        <v>33859</v>
      </c>
      <c r="D25125" s="0" t="s">
        <v>33859</v>
      </c>
      <c r="E25125" s="0" t="inlineStr">
        <is>
          <t xml:space="preserve">Mazda</t>
        </is>
      </c>
      <c r="F25125" s="0" t="s">
        <v>13</v>
      </c>
      <c r="G25125" s="0" t="s">
        <v>49</v>
      </c>
      <c r="H25125" s="5">
        <v>151.973900</v>
      </c>
    </row>
    <row r="25126" spans="1:9">
      <c r="A25126" s="22" t="str">
        <f>HYPERLINK("https://app.vivvix.com/360/KMI/IntelliDrive/ApplUI/Pages/CreativePages/CustomReportCreativeDetail.aspx?App=23&amp;ReportView=4&amp;Qid=1711279&amp;Row=25118&amp;Col=1","No Title Assigned - #15285182091")</f>
        <v/>
      </c>
      <c r="B25126" s="0" t="s">
        <v>33860</v>
      </c>
      <c r="C25126" s="0" t="s">
        <v>33861</v>
      </c>
      <c r="D25126" s="0" t="s">
        <v>33861</v>
      </c>
      <c r="E25126" s="0" t="inlineStr">
        <is>
          <t xml:space="preserve">Mazda</t>
        </is>
      </c>
      <c r="F25126" s="0" t="s">
        <v>13</v>
      </c>
      <c r="G25126" s="0" t="s">
        <v>49</v>
      </c>
      <c r="H25126" s="5">
        <v>214.515500</v>
      </c>
    </row>
    <row r="25127" spans="1:9">
      <c r="A25127" s="22" t="str">
        <f>HYPERLINK("https://app.vivvix.com/360/KMI/IntelliDrive/ApplUI/Pages/CreativePages/CustomReportCreativeDetail.aspx?App=23&amp;ReportView=4&amp;Qid=1711279&amp;Row=25119&amp;Col=1","No Title Assigned - #15285186756")</f>
        <v/>
      </c>
      <c r="B25127" s="0" t="s">
        <v>33862</v>
      </c>
      <c r="C25127" s="0" t="s">
        <v>33863</v>
      </c>
      <c r="D25127" s="0" t="s">
        <v>33863</v>
      </c>
      <c r="E25127" s="0" t="inlineStr">
        <is>
          <t xml:space="preserve">Mazda</t>
        </is>
      </c>
      <c r="F25127" s="0" t="s">
        <v>13</v>
      </c>
      <c r="G25127" s="0" t="s">
        <v>49</v>
      </c>
      <c r="H25127" s="5">
        <v>85.475800</v>
      </c>
    </row>
    <row r="25128" spans="1:9">
      <c r="A25128" s="22" t="str">
        <f>HYPERLINK("https://app.vivvix.com/360/KMI/IntelliDrive/ApplUI/Pages/CreativePages/CustomReportCreativeDetail.aspx?App=23&amp;ReportView=4&amp;Qid=1711279&amp;Row=25120&amp;Col=1","No Title Assigned - #15285186922")</f>
        <v/>
      </c>
      <c r="B25128" s="0" t="s">
        <v>33864</v>
      </c>
      <c r="C25128" s="0" t="s">
        <v>33865</v>
      </c>
      <c r="D25128" s="0" t="s">
        <v>33865</v>
      </c>
      <c r="E25128" s="0" t="inlineStr">
        <is>
          <t xml:space="preserve">Mazda</t>
        </is>
      </c>
      <c r="F25128" s="0" t="s">
        <v>13</v>
      </c>
      <c r="G25128" s="0" t="s">
        <v>49</v>
      </c>
      <c r="H25128" s="5">
        <v>594.260500</v>
      </c>
    </row>
    <row r="25129" spans="1:9">
      <c r="A25129" s="22" t="str">
        <f>HYPERLINK("https://app.vivvix.com/360/KMI/IntelliDrive/ApplUI/Pages/CreativePages/CustomReportCreativeDetail.aspx?App=23&amp;ReportView=4&amp;Qid=1711279&amp;Row=25121&amp;Col=1","No Title Assigned - #15285194091")</f>
        <v/>
      </c>
      <c r="B25129" s="0" t="s">
        <v>33866</v>
      </c>
      <c r="C25129" s="0" t="s">
        <v>33867</v>
      </c>
      <c r="D25129" s="0" t="s">
        <v>33867</v>
      </c>
      <c r="E25129" s="0" t="inlineStr">
        <is>
          <t xml:space="preserve">Mazda</t>
        </is>
      </c>
      <c r="F25129" s="0" t="s">
        <v>13</v>
      </c>
      <c r="G25129" s="0" t="s">
        <v>49</v>
      </c>
      <c r="H25129" s="5">
        <v>2814.600300</v>
      </c>
    </row>
    <row r="25130" spans="1:9">
      <c r="A25130" s="22" t="str">
        <f>HYPERLINK("https://app.vivvix.com/360/KMI/IntelliDrive/ApplUI/Pages/CreativePages/CustomReportCreativeDetail.aspx?App=23&amp;ReportView=4&amp;Qid=1711279&amp;Row=25122&amp;Col=1","No Title Assigned - #15285195652")</f>
        <v/>
      </c>
      <c r="B25130" s="0" t="s">
        <v>33868</v>
      </c>
      <c r="C25130" s="0" t="s">
        <v>33869</v>
      </c>
      <c r="D25130" s="0" t="s">
        <v>33869</v>
      </c>
      <c r="E25130" s="0" t="inlineStr">
        <is>
          <t xml:space="preserve">Mazda</t>
        </is>
      </c>
      <c r="F25130" s="0" t="s">
        <v>13</v>
      </c>
      <c r="G25130" s="0" t="s">
        <v>49</v>
      </c>
      <c r="H25130" s="5">
        <v>154.185900</v>
      </c>
    </row>
    <row r="25131" spans="1:9">
      <c r="A25131" s="22" t="str">
        <f>HYPERLINK("https://app.vivvix.com/360/KMI/IntelliDrive/ApplUI/Pages/CreativePages/CustomReportCreativeDetail.aspx?App=23&amp;ReportView=4&amp;Qid=1711279&amp;Row=25123&amp;Col=1","No Title Assigned - #15285195655")</f>
        <v/>
      </c>
      <c r="B25131" s="0" t="s">
        <v>33870</v>
      </c>
      <c r="C25131" s="0" t="s">
        <v>33871</v>
      </c>
      <c r="D25131" s="0" t="s">
        <v>33871</v>
      </c>
      <c r="E25131" s="0" t="inlineStr">
        <is>
          <t xml:space="preserve">Mazda</t>
        </is>
      </c>
      <c r="F25131" s="0" t="s">
        <v>13</v>
      </c>
      <c r="G25131" s="0" t="s">
        <v>49</v>
      </c>
      <c r="H25131" s="5">
        <v>104.324200</v>
      </c>
    </row>
    <row r="25132" spans="1:9">
      <c r="A25132" s="22" t="str">
        <f>HYPERLINK("https://app.vivvix.com/360/KMI/IntelliDrive/ApplUI/Pages/CreativePages/CustomReportCreativeDetail.aspx?App=23&amp;ReportView=4&amp;Qid=1711279&amp;Row=25124&amp;Col=1","No Title Assigned - #15285196552")</f>
        <v/>
      </c>
      <c r="B25132" s="0" t="s">
        <v>33872</v>
      </c>
      <c r="E25132" s="0" t="inlineStr">
        <is>
          <t xml:space="preserve">Mazda</t>
        </is>
      </c>
      <c r="F25132" s="0" t="s">
        <v>13</v>
      </c>
      <c r="G25132" s="0" t="s">
        <v>49</v>
      </c>
      <c r="H25132" s="5">
        <v>610.454600</v>
      </c>
    </row>
    <row r="25133" spans="1:9">
      <c r="A25133" s="22" t="str">
        <f>HYPERLINK("https://app.vivvix.com/360/KMI/IntelliDrive/ApplUI/Pages/CreativePages/CustomReportCreativeDetail.aspx?App=23&amp;ReportView=4&amp;Qid=1711279&amp;Row=25125&amp;Col=1","No Title Assigned - #15285196552")</f>
        <v/>
      </c>
      <c r="B25133" s="0" t="s">
        <v>33872</v>
      </c>
      <c r="C25133" s="0" t="s">
        <v>33873</v>
      </c>
      <c r="D25133" s="0" t="s">
        <v>33873</v>
      </c>
      <c r="E25133" s="0" t="inlineStr">
        <is>
          <t xml:space="preserve">Mazda</t>
        </is>
      </c>
      <c r="F25133" s="0" t="s">
        <v>13</v>
      </c>
      <c r="G25133" s="0" t="s">
        <v>49</v>
      </c>
      <c r="H25133" s="5">
        <v>813.878900</v>
      </c>
    </row>
    <row r="25134" spans="1:9">
      <c r="A25134" s="22" t="str">
        <f>HYPERLINK("https://app.vivvix.com/360/KMI/IntelliDrive/ApplUI/Pages/CreativePages/CustomReportCreativeDetail.aspx?App=23&amp;ReportView=4&amp;Qid=1711279&amp;Row=25126&amp;Col=1","No Title Assigned - #15285197322")</f>
        <v/>
      </c>
      <c r="B25134" s="0" t="s">
        <v>33874</v>
      </c>
      <c r="C25134" s="0" t="s">
        <v>33875</v>
      </c>
      <c r="D25134" s="0" t="s">
        <v>33875</v>
      </c>
      <c r="E25134" s="0" t="inlineStr">
        <is>
          <t xml:space="preserve">Mazda</t>
        </is>
      </c>
      <c r="F25134" s="0" t="s">
        <v>13</v>
      </c>
      <c r="G25134" s="0" t="s">
        <v>49</v>
      </c>
      <c r="H25134" s="5">
        <v>2.220200</v>
      </c>
    </row>
    <row r="25135" spans="1:9">
      <c r="A25135" s="22" t="str">
        <f>HYPERLINK("https://app.vivvix.com/360/KMI/IntelliDrive/ApplUI/Pages/CreativePages/CustomReportCreativeDetail.aspx?App=23&amp;ReportView=4&amp;Qid=1711279&amp;Row=25127&amp;Col=1","No Title Assigned - #15285197684")</f>
        <v/>
      </c>
      <c r="B25135" s="0" t="s">
        <v>33876</v>
      </c>
      <c r="C25135" s="0" t="s">
        <v>33877</v>
      </c>
      <c r="D25135" s="0" t="s">
        <v>33877</v>
      </c>
      <c r="E25135" s="0" t="inlineStr">
        <is>
          <t xml:space="preserve">Mazda</t>
        </is>
      </c>
      <c r="F25135" s="0" t="inlineStr">
        <is>
          <t xml:space="preserve">Mazda</t>
        </is>
      </c>
      <c r="G25135" s="0" t="s">
        <v>210</v>
      </c>
      <c r="H25135" s="5">
        <v>432.643700</v>
      </c>
    </row>
    <row r="25136" spans="1:9">
      <c r="A25136" s="22" t="str">
        <f>HYPERLINK("https://app.vivvix.com/360/KMI/IntelliDrive/ApplUI/Pages/CreativePages/CustomReportCreativeDetail.aspx?App=23&amp;ReportView=4&amp;Qid=1711279&amp;Row=25128&amp;Col=1","No Title Assigned - #15285201155")</f>
        <v/>
      </c>
      <c r="B25136" s="0" t="s">
        <v>33878</v>
      </c>
      <c r="C25136" s="0" t="s">
        <v>33879</v>
      </c>
      <c r="D25136" s="0" t="s">
        <v>33879</v>
      </c>
      <c r="E25136" s="0" t="inlineStr">
        <is>
          <t xml:space="preserve">Mazda</t>
        </is>
      </c>
      <c r="F25136" s="0" t="s">
        <v>13</v>
      </c>
      <c r="G25136" s="0" t="s">
        <v>49</v>
      </c>
      <c r="H25136" s="5">
        <v>2.220200</v>
      </c>
    </row>
    <row r="25137" spans="1:9">
      <c r="A25137" s="22" t="str">
        <f>HYPERLINK("https://app.vivvix.com/360/KMI/IntelliDrive/ApplUI/Pages/CreativePages/CustomReportCreativeDetail.aspx?App=23&amp;ReportView=4&amp;Qid=1711279&amp;Row=25129&amp;Col=1","No Title Assigned - #15285201291")</f>
        <v/>
      </c>
      <c r="B25137" s="0" t="s">
        <v>33880</v>
      </c>
      <c r="C25137" s="0" t="s">
        <v>33881</v>
      </c>
      <c r="D25137" s="0" t="s">
        <v>33881</v>
      </c>
      <c r="E25137" s="0" t="inlineStr">
        <is>
          <t xml:space="preserve">Mazda</t>
        </is>
      </c>
      <c r="F25137" s="0" t="inlineStr">
        <is>
          <t xml:space="preserve">Mazda</t>
        </is>
      </c>
      <c r="G25137" s="0" t="s">
        <v>210</v>
      </c>
      <c r="H25137" s="5">
        <v>323.852100</v>
      </c>
    </row>
    <row r="25138" spans="1:9">
      <c r="A25138" s="22" t="str">
        <f>HYPERLINK("https://app.vivvix.com/360/KMI/IntelliDrive/ApplUI/Pages/CreativePages/CustomReportCreativeDetail.aspx?App=23&amp;ReportView=4&amp;Qid=1711279&amp;Row=25130&amp;Col=1","No Title Assigned - #15285206274")</f>
        <v/>
      </c>
      <c r="B25138" s="0" t="s">
        <v>33882</v>
      </c>
      <c r="C25138" s="0" t="s">
        <v>33883</v>
      </c>
      <c r="D25138" s="0" t="s">
        <v>33883</v>
      </c>
      <c r="E25138" s="0" t="inlineStr">
        <is>
          <t xml:space="preserve">Mazda</t>
        </is>
      </c>
      <c r="F25138" s="0" t="s">
        <v>13</v>
      </c>
      <c r="G25138" s="0" t="s">
        <v>49</v>
      </c>
      <c r="H25138" s="5">
        <v>144.419900</v>
      </c>
    </row>
    <row r="25139" spans="1:9">
      <c r="A25139" s="22" t="str">
        <f>HYPERLINK("https://app.vivvix.com/360/KMI/IntelliDrive/ApplUI/Pages/CreativePages/CustomReportCreativeDetail.aspx?App=23&amp;ReportView=4&amp;Qid=1711279&amp;Row=25131&amp;Col=1","No Title Assigned - #15285215252")</f>
        <v/>
      </c>
      <c r="B25139" s="0" t="s">
        <v>33884</v>
      </c>
      <c r="C25139" s="0" t="s">
        <v>33885</v>
      </c>
      <c r="D25139" s="0" t="s">
        <v>33885</v>
      </c>
      <c r="E25139" s="0" t="inlineStr">
        <is>
          <t xml:space="preserve">Mazda</t>
        </is>
      </c>
      <c r="F25139" s="0" t="inlineStr">
        <is>
          <t xml:space="preserve">Mazda</t>
        </is>
      </c>
      <c r="G25139" s="0" t="s">
        <v>210</v>
      </c>
      <c r="H25139" s="5">
        <v>852.174600</v>
      </c>
    </row>
    <row r="25140" spans="1:9">
      <c r="A25140" s="22" t="str">
        <f>HYPERLINK("https://app.vivvix.com/360/KMI/IntelliDrive/ApplUI/Pages/CreativePages/CustomReportCreativeDetail.aspx?App=23&amp;ReportView=4&amp;Qid=1711279&amp;Row=25132&amp;Col=1","No Title Assigned - #15285215459")</f>
        <v/>
      </c>
      <c r="B25140" s="0" t="s">
        <v>33886</v>
      </c>
      <c r="C25140" s="0" t="s">
        <v>33887</v>
      </c>
      <c r="D25140" s="0" t="s">
        <v>33887</v>
      </c>
      <c r="E25140" s="0" t="inlineStr">
        <is>
          <t xml:space="preserve">Mazda</t>
        </is>
      </c>
      <c r="F25140" s="0" t="s">
        <v>28</v>
      </c>
      <c r="G25140" s="0" t="s">
        <v>29</v>
      </c>
      <c r="H25140" s="5">
        <v>249.653700</v>
      </c>
    </row>
    <row r="25141" spans="1:9">
      <c r="A25141" s="22" t="str">
        <f>HYPERLINK("https://app.vivvix.com/360/KMI/IntelliDrive/ApplUI/Pages/CreativePages/CustomReportCreativeDetail.aspx?App=23&amp;ReportView=4&amp;Qid=1711279&amp;Row=25133&amp;Col=1","No Title Assigned - #15285221359")</f>
        <v/>
      </c>
      <c r="B25141" s="0" t="s">
        <v>33888</v>
      </c>
      <c r="E25141" s="0" t="inlineStr">
        <is>
          <t xml:space="preserve">Mazda</t>
        </is>
      </c>
      <c r="F25141" s="0" t="inlineStr">
        <is>
          <t xml:space="preserve">Mazda</t>
        </is>
      </c>
      <c r="G25141" s="0" t="s">
        <v>171</v>
      </c>
      <c r="H25141" s="5">
        <v>420.683900</v>
      </c>
    </row>
    <row r="25142" spans="1:9">
      <c r="A25142" s="22" t="str">
        <f>HYPERLINK("https://app.vivvix.com/360/KMI/IntelliDrive/ApplUI/Pages/CreativePages/CustomReportCreativeDetail.aspx?App=23&amp;ReportView=4&amp;Qid=1711279&amp;Row=25134&amp;Col=1","No Title Assigned - #15285223610")</f>
        <v/>
      </c>
      <c r="B25142" s="0" t="s">
        <v>33889</v>
      </c>
      <c r="C25142" s="0" t="s">
        <v>33890</v>
      </c>
      <c r="D25142" s="0" t="s">
        <v>33890</v>
      </c>
      <c r="E25142" s="0" t="inlineStr">
        <is>
          <t xml:space="preserve">Mazda</t>
        </is>
      </c>
      <c r="F25142" s="0" t="inlineStr">
        <is>
          <t xml:space="preserve">Mazda</t>
        </is>
      </c>
      <c r="G25142" s="0" t="s">
        <v>505</v>
      </c>
      <c r="H25142" s="5">
        <v>424.386900</v>
      </c>
    </row>
    <row r="25143" spans="1:9">
      <c r="A25143" s="22" t="str">
        <f>HYPERLINK("https://app.vivvix.com/360/KMI/IntelliDrive/ApplUI/Pages/CreativePages/CustomReportCreativeDetail.aspx?App=23&amp;ReportView=4&amp;Qid=1711279&amp;Row=25135&amp;Col=1","No Title Assigned - #15285226130")</f>
        <v/>
      </c>
      <c r="B25143" s="0" t="s">
        <v>33891</v>
      </c>
      <c r="C25143" s="0" t="s">
        <v>33892</v>
      </c>
      <c r="D25143" s="0" t="s">
        <v>33892</v>
      </c>
      <c r="E25143" s="0" t="inlineStr">
        <is>
          <t xml:space="preserve">Mazda</t>
        </is>
      </c>
      <c r="F25143" s="0" t="s">
        <v>13</v>
      </c>
      <c r="G25143" s="0" t="s">
        <v>49</v>
      </c>
      <c r="H25143" s="5">
        <v>865.219600</v>
      </c>
    </row>
    <row r="25144" spans="1:9">
      <c r="A25144" s="22" t="str">
        <f>HYPERLINK("https://app.vivvix.com/360/KMI/IntelliDrive/ApplUI/Pages/CreativePages/CustomReportCreativeDetail.aspx?App=23&amp;ReportView=4&amp;Qid=1711279&amp;Row=25136&amp;Col=1","No Title Assigned - #15285226952")</f>
        <v/>
      </c>
      <c r="B25144" s="0" t="s">
        <v>33893</v>
      </c>
      <c r="C25144" s="0" t="s">
        <v>33894</v>
      </c>
      <c r="D25144" s="0" t="s">
        <v>33894</v>
      </c>
      <c r="E25144" s="0" t="inlineStr">
        <is>
          <t xml:space="preserve">Mazda</t>
        </is>
      </c>
      <c r="F25144" s="0" t="s">
        <v>13</v>
      </c>
      <c r="G25144" s="0" t="s">
        <v>49</v>
      </c>
      <c r="H25144" s="5">
        <v>397.426400</v>
      </c>
    </row>
    <row r="25145" spans="1:9">
      <c r="A25145" s="22" t="str">
        <f>HYPERLINK("https://app.vivvix.com/360/KMI/IntelliDrive/ApplUI/Pages/CreativePages/CustomReportCreativeDetail.aspx?App=23&amp;ReportView=4&amp;Qid=1711279&amp;Row=25137&amp;Col=1","No Title Assigned - #15285227504")</f>
        <v/>
      </c>
      <c r="B25145" s="0" t="s">
        <v>33895</v>
      </c>
      <c r="C25145" s="0" t="s">
        <v>33896</v>
      </c>
      <c r="D25145" s="0" t="s">
        <v>33896</v>
      </c>
      <c r="E25145" s="0" t="inlineStr">
        <is>
          <t xml:space="preserve">Mazda</t>
        </is>
      </c>
      <c r="F25145" s="0" t="s">
        <v>13</v>
      </c>
      <c r="G25145" s="0" t="s">
        <v>49</v>
      </c>
      <c r="H25145" s="5">
        <v>6496.171900</v>
      </c>
    </row>
    <row r="25146" spans="1:9">
      <c r="A25146" s="22" t="str">
        <f>HYPERLINK("https://app.vivvix.com/360/KMI/IntelliDrive/ApplUI/Pages/CreativePages/CustomReportCreativeDetail.aspx?App=23&amp;ReportView=4&amp;Qid=1711279&amp;Row=25138&amp;Col=1","No Title Assigned - #15285228000")</f>
        <v/>
      </c>
      <c r="B25146" s="0" t="s">
        <v>33897</v>
      </c>
      <c r="C25146" s="0" t="s">
        <v>33898</v>
      </c>
      <c r="D25146" s="0" t="s">
        <v>33898</v>
      </c>
      <c r="E25146" s="0" t="inlineStr">
        <is>
          <t xml:space="preserve">Mazda</t>
        </is>
      </c>
      <c r="F25146" s="0" t="s">
        <v>13</v>
      </c>
      <c r="G25146" s="0" t="s">
        <v>49</v>
      </c>
      <c r="H25146" s="5">
        <v>172.384700</v>
      </c>
    </row>
    <row r="25147" spans="1:9">
      <c r="A25147" s="22" t="str">
        <f>HYPERLINK("https://app.vivvix.com/360/KMI/IntelliDrive/ApplUI/Pages/CreativePages/CustomReportCreativeDetail.aspx?App=23&amp;ReportView=4&amp;Qid=1711279&amp;Row=25139&amp;Col=1","No Title Assigned - #15285231590")</f>
        <v/>
      </c>
      <c r="B25147" s="0" t="s">
        <v>33899</v>
      </c>
      <c r="C25147" s="0" t="s">
        <v>33900</v>
      </c>
      <c r="D25147" s="0" t="s">
        <v>33900</v>
      </c>
      <c r="E25147" s="0" t="inlineStr">
        <is>
          <t xml:space="preserve">Mazda</t>
        </is>
      </c>
      <c r="F25147" s="0" t="s">
        <v>13</v>
      </c>
      <c r="G25147" s="0" t="s">
        <v>49</v>
      </c>
      <c r="H25147" s="5">
        <v>601.480800</v>
      </c>
    </row>
    <row r="25148" spans="1:9">
      <c r="A25148" s="22" t="str">
        <f>HYPERLINK("https://app.vivvix.com/360/KMI/IntelliDrive/ApplUI/Pages/CreativePages/CustomReportCreativeDetail.aspx?App=23&amp;ReportView=4&amp;Qid=1711279&amp;Row=25140&amp;Col=1","No Title Assigned - #15285234344")</f>
        <v/>
      </c>
      <c r="B25148" s="0" t="s">
        <v>33901</v>
      </c>
      <c r="C25148" s="0" t="s">
        <v>33902</v>
      </c>
      <c r="D25148" s="0" t="s">
        <v>33902</v>
      </c>
      <c r="E25148" s="0" t="inlineStr">
        <is>
          <t xml:space="preserve">Mazda</t>
        </is>
      </c>
      <c r="F25148" s="0" t="inlineStr">
        <is>
          <t xml:space="preserve">Mazda</t>
        </is>
      </c>
      <c r="G25148" s="0" t="s">
        <v>210</v>
      </c>
      <c r="H25148" s="5">
        <v>1154.441300</v>
      </c>
    </row>
    <row r="25149" spans="1:9">
      <c r="A25149" s="22" t="str">
        <f>HYPERLINK("https://app.vivvix.com/360/KMI/IntelliDrive/ApplUI/Pages/CreativePages/CustomReportCreativeDetail.aspx?App=23&amp;ReportView=4&amp;Qid=1711279&amp;Row=25141&amp;Col=1","No Title Assigned - #15285237410")</f>
        <v/>
      </c>
      <c r="B25149" s="0" t="s">
        <v>33903</v>
      </c>
      <c r="C25149" s="0" t="s">
        <v>33904</v>
      </c>
      <c r="D25149" s="0" t="s">
        <v>33904</v>
      </c>
      <c r="E25149" s="0" t="inlineStr">
        <is>
          <t xml:space="preserve">Mazda</t>
        </is>
      </c>
      <c r="F25149" s="0" t="s">
        <v>13</v>
      </c>
      <c r="G25149" s="0" t="s">
        <v>49</v>
      </c>
      <c r="H25149" s="5">
        <v>1622.836400</v>
      </c>
    </row>
    <row r="25150" spans="1:9">
      <c r="A25150" s="22" t="str">
        <f>HYPERLINK("https://app.vivvix.com/360/KMI/IntelliDrive/ApplUI/Pages/CreativePages/CustomReportCreativeDetail.aspx?App=23&amp;ReportView=4&amp;Qid=1711279&amp;Row=25142&amp;Col=1","No Title Assigned - #15285238042")</f>
        <v/>
      </c>
      <c r="B25150" s="0" t="s">
        <v>33905</v>
      </c>
      <c r="C25150" s="0" t="s">
        <v>33906</v>
      </c>
      <c r="D25150" s="0" t="s">
        <v>33906</v>
      </c>
      <c r="E25150" s="0" t="inlineStr">
        <is>
          <t xml:space="preserve">Mazda</t>
        </is>
      </c>
      <c r="F25150" s="0" t="s">
        <v>13</v>
      </c>
      <c r="G25150" s="0" t="s">
        <v>49</v>
      </c>
      <c r="H25150" s="5">
        <v>97.592200</v>
      </c>
    </row>
    <row r="25151" spans="1:9">
      <c r="A25151" s="22" t="str">
        <f>HYPERLINK("https://app.vivvix.com/360/KMI/IntelliDrive/ApplUI/Pages/CreativePages/CustomReportCreativeDetail.aspx?App=23&amp;ReportView=4&amp;Qid=1711279&amp;Row=25143&amp;Col=1","No Title Assigned - #15285238985")</f>
        <v/>
      </c>
      <c r="B25151" s="0" t="s">
        <v>33907</v>
      </c>
      <c r="C25151" s="0" t="s">
        <v>33908</v>
      </c>
      <c r="D25151" s="0" t="s">
        <v>33908</v>
      </c>
      <c r="E25151" s="0" t="inlineStr">
        <is>
          <t xml:space="preserve">Mazda</t>
        </is>
      </c>
      <c r="F25151" s="0" t="s">
        <v>13</v>
      </c>
      <c r="G25151" s="0" t="s">
        <v>49</v>
      </c>
      <c r="H25151" s="5">
        <v>477.216700</v>
      </c>
    </row>
    <row r="25152" spans="1:9">
      <c r="A25152" s="22" t="str">
        <f>HYPERLINK("https://app.vivvix.com/360/KMI/IntelliDrive/ApplUI/Pages/CreativePages/CustomReportCreativeDetail.aspx?App=23&amp;ReportView=4&amp;Qid=1711279&amp;Row=25144&amp;Col=1","No Title Assigned - #15285239226")</f>
        <v/>
      </c>
      <c r="B25152" s="0" t="s">
        <v>33909</v>
      </c>
      <c r="C25152" s="0" t="s">
        <v>33910</v>
      </c>
      <c r="D25152" s="0" t="s">
        <v>33910</v>
      </c>
      <c r="E25152" s="0" t="inlineStr">
        <is>
          <t xml:space="preserve">Mazda</t>
        </is>
      </c>
      <c r="F25152" s="0" t="s">
        <v>13</v>
      </c>
      <c r="G25152" s="0" t="s">
        <v>49</v>
      </c>
      <c r="H25152" s="5">
        <v>135.233700</v>
      </c>
    </row>
    <row r="25153" spans="1:9">
      <c r="A25153" s="22" t="str">
        <f>HYPERLINK("https://app.vivvix.com/360/KMI/IntelliDrive/ApplUI/Pages/CreativePages/CustomReportCreativeDetail.aspx?App=23&amp;ReportView=4&amp;Qid=1711279&amp;Row=25145&amp;Col=1","No Title Assigned - #15285241161")</f>
        <v/>
      </c>
      <c r="B25153" s="0" t="s">
        <v>33911</v>
      </c>
      <c r="C25153" s="0" t="s">
        <v>33912</v>
      </c>
      <c r="D25153" s="0" t="s">
        <v>33912</v>
      </c>
      <c r="E25153" s="0" t="inlineStr">
        <is>
          <t xml:space="preserve">Mazda</t>
        </is>
      </c>
      <c r="F25153" s="0" t="s">
        <v>13</v>
      </c>
      <c r="G25153" s="0" t="s">
        <v>49</v>
      </c>
      <c r="H25153" s="5">
        <v>2814.600300</v>
      </c>
    </row>
    <row r="25154" spans="1:9">
      <c r="A25154" s="22" t="str">
        <f>HYPERLINK("https://app.vivvix.com/360/KMI/IntelliDrive/ApplUI/Pages/CreativePages/CustomReportCreativeDetail.aspx?App=23&amp;ReportView=4&amp;Qid=1711279&amp;Row=25146&amp;Col=1","No Title Assigned - #15285245968")</f>
        <v/>
      </c>
      <c r="B25154" s="0" t="s">
        <v>33913</v>
      </c>
      <c r="C25154" s="0" t="s">
        <v>33914</v>
      </c>
      <c r="D25154" s="0" t="s">
        <v>33914</v>
      </c>
      <c r="E25154" s="0" t="inlineStr">
        <is>
          <t xml:space="preserve">Mazda</t>
        </is>
      </c>
      <c r="F25154" s="0" t="s">
        <v>13</v>
      </c>
      <c r="G25154" s="0" t="s">
        <v>49</v>
      </c>
      <c r="H25154" s="5">
        <v>1450.776200</v>
      </c>
    </row>
    <row r="25155" spans="1:9">
      <c r="A25155" s="22" t="str">
        <f>HYPERLINK("https://app.vivvix.com/360/KMI/IntelliDrive/ApplUI/Pages/CreativePages/CustomReportCreativeDetail.aspx?App=23&amp;ReportView=4&amp;Qid=1711279&amp;Row=25147&amp;Col=1","No Title Assigned - #15285246041")</f>
        <v/>
      </c>
      <c r="B25155" s="0" t="s">
        <v>33915</v>
      </c>
      <c r="C25155" s="0" t="s">
        <v>33916</v>
      </c>
      <c r="D25155" s="0" t="s">
        <v>33916</v>
      </c>
      <c r="E25155" s="0" t="inlineStr">
        <is>
          <t xml:space="preserve">Mazda</t>
        </is>
      </c>
      <c r="F25155" s="0" t="s">
        <v>13</v>
      </c>
      <c r="G25155" s="0" t="s">
        <v>49</v>
      </c>
      <c r="H25155" s="5">
        <v>1450.776200</v>
      </c>
    </row>
    <row r="25156" spans="1:9">
      <c r="A25156" s="22" t="str">
        <f>HYPERLINK("https://app.vivvix.com/360/KMI/IntelliDrive/ApplUI/Pages/CreativePages/CustomReportCreativeDetail.aspx?App=23&amp;ReportView=4&amp;Qid=1711279&amp;Row=25148&amp;Col=1","No Title Assigned - #15285247182")</f>
        <v/>
      </c>
      <c r="B25156" s="0" t="s">
        <v>33917</v>
      </c>
      <c r="C25156" s="0" t="s">
        <v>33918</v>
      </c>
      <c r="D25156" s="0" t="s">
        <v>33918</v>
      </c>
      <c r="E25156" s="0" t="inlineStr">
        <is>
          <t xml:space="preserve">Mazda</t>
        </is>
      </c>
      <c r="F25156" s="0" t="s">
        <v>21</v>
      </c>
      <c r="G25156" s="0" t="s">
        <v>22</v>
      </c>
      <c r="H25156" s="5">
        <v>440.861700</v>
      </c>
    </row>
    <row r="25157" spans="1:9">
      <c r="A25157" s="22" t="str">
        <f>HYPERLINK("https://app.vivvix.com/360/KMI/IntelliDrive/ApplUI/Pages/CreativePages/CustomReportCreativeDetail.aspx?App=23&amp;ReportView=4&amp;Qid=1711279&amp;Row=25149&amp;Col=1","No Title Assigned - #15285247183")</f>
        <v/>
      </c>
      <c r="B25157" s="0" t="s">
        <v>33919</v>
      </c>
      <c r="C25157" s="0" t="s">
        <v>33920</v>
      </c>
      <c r="D25157" s="0" t="s">
        <v>33920</v>
      </c>
      <c r="E25157" s="0" t="inlineStr">
        <is>
          <t xml:space="preserve">Mazda</t>
        </is>
      </c>
      <c r="F25157" s="0" t="s">
        <v>21</v>
      </c>
      <c r="G25157" s="0" t="s">
        <v>22</v>
      </c>
      <c r="H25157" s="5">
        <v>440.861700</v>
      </c>
    </row>
    <row r="25158" spans="1:9">
      <c r="A25158" s="22" t="str">
        <f>HYPERLINK("https://app.vivvix.com/360/KMI/IntelliDrive/ApplUI/Pages/CreativePages/CustomReportCreativeDetail.aspx?App=23&amp;ReportView=4&amp;Qid=1711279&amp;Row=25150&amp;Col=1","No Title Assigned - #15285249555")</f>
        <v/>
      </c>
      <c r="B25158" s="0" t="s">
        <v>33921</v>
      </c>
      <c r="E25158" s="0" t="inlineStr">
        <is>
          <t xml:space="preserve">Mazda</t>
        </is>
      </c>
      <c r="F25158" s="0" t="inlineStr">
        <is>
          <t xml:space="preserve">Mazda</t>
        </is>
      </c>
      <c r="G25158" s="0" t="s">
        <v>171</v>
      </c>
      <c r="H25158" s="5">
        <v>930.644500</v>
      </c>
    </row>
    <row r="25159" spans="1:9">
      <c r="A25159" s="22" t="str">
        <f>HYPERLINK("https://app.vivvix.com/360/KMI/IntelliDrive/ApplUI/Pages/CreativePages/CustomReportCreativeDetail.aspx?App=23&amp;ReportView=4&amp;Qid=1711279&amp;Row=25151&amp;Col=1","No Title Assigned - #15285249558")</f>
        <v/>
      </c>
      <c r="B25159" s="0" t="s">
        <v>33922</v>
      </c>
      <c r="E25159" s="0" t="inlineStr">
        <is>
          <t xml:space="preserve">Mazda</t>
        </is>
      </c>
      <c r="F25159" s="0" t="inlineStr">
        <is>
          <t xml:space="preserve">Mazda</t>
        </is>
      </c>
      <c r="G25159" s="0" t="s">
        <v>171</v>
      </c>
      <c r="H25159" s="5">
        <v>930.644500</v>
      </c>
    </row>
    <row r="25160" spans="1:9">
      <c r="A25160" s="22" t="str">
        <f>HYPERLINK("https://app.vivvix.com/360/KMI/IntelliDrive/ApplUI/Pages/CreativePages/CustomReportCreativeDetail.aspx?App=23&amp;ReportView=4&amp;Qid=1711279&amp;Row=25152&amp;Col=1","No Title Assigned - #15285249575")</f>
        <v/>
      </c>
      <c r="B25160" s="0" t="s">
        <v>33923</v>
      </c>
      <c r="C25160" s="0" t="s">
        <v>33924</v>
      </c>
      <c r="D25160" s="0" t="s">
        <v>33924</v>
      </c>
      <c r="E25160" s="0" t="inlineStr">
        <is>
          <t xml:space="preserve">Mazda</t>
        </is>
      </c>
      <c r="F25160" s="0" t="s">
        <v>13</v>
      </c>
      <c r="G25160" s="0" t="s">
        <v>49</v>
      </c>
      <c r="H25160" s="5">
        <v>1450.776200</v>
      </c>
    </row>
    <row r="25161" spans="1:9">
      <c r="A25161" s="22" t="str">
        <f>HYPERLINK("https://app.vivvix.com/360/KMI/IntelliDrive/ApplUI/Pages/CreativePages/CustomReportCreativeDetail.aspx?App=23&amp;ReportView=4&amp;Qid=1711279&amp;Row=25153&amp;Col=1","No Title Assigned - #15285250179")</f>
        <v/>
      </c>
      <c r="B25161" s="0" t="s">
        <v>33925</v>
      </c>
      <c r="C25161" s="0" t="s">
        <v>33926</v>
      </c>
      <c r="D25161" s="0" t="s">
        <v>33926</v>
      </c>
      <c r="E25161" s="0" t="inlineStr">
        <is>
          <t xml:space="preserve">Mazda</t>
        </is>
      </c>
      <c r="F25161" s="0" t="s">
        <v>13</v>
      </c>
      <c r="G25161" s="0" t="s">
        <v>49</v>
      </c>
      <c r="H25161" s="5">
        <v>410.633300</v>
      </c>
    </row>
    <row r="25162" spans="1:9">
      <c r="A25162" s="22" t="str">
        <f>HYPERLINK("https://app.vivvix.com/360/KMI/IntelliDrive/ApplUI/Pages/CreativePages/CustomReportCreativeDetail.aspx?App=23&amp;ReportView=4&amp;Qid=1711279&amp;Row=25154&amp;Col=1","No Title Assigned - #15285253804")</f>
        <v/>
      </c>
      <c r="B25162" s="0" t="s">
        <v>33927</v>
      </c>
      <c r="C25162" s="0" t="s">
        <v>33928</v>
      </c>
      <c r="D25162" s="0" t="s">
        <v>33928</v>
      </c>
      <c r="E25162" s="0" t="inlineStr">
        <is>
          <t xml:space="preserve">Mazda</t>
        </is>
      </c>
      <c r="F25162" s="0" t="s">
        <v>13</v>
      </c>
      <c r="G25162" s="0" t="s">
        <v>49</v>
      </c>
      <c r="H25162" s="5">
        <v>216.014500</v>
      </c>
    </row>
    <row r="25163" spans="1:9">
      <c r="A25163" s="22" t="str">
        <f>HYPERLINK("https://app.vivvix.com/360/KMI/IntelliDrive/ApplUI/Pages/CreativePages/CustomReportCreativeDetail.aspx?App=23&amp;ReportView=4&amp;Qid=1711279&amp;Row=25155&amp;Col=1","No Title Assigned - #15285254951")</f>
        <v/>
      </c>
      <c r="B25163" s="0" t="s">
        <v>33929</v>
      </c>
      <c r="C25163" s="0" t="s">
        <v>33930</v>
      </c>
      <c r="D25163" s="0" t="s">
        <v>33930</v>
      </c>
      <c r="E25163" s="0" t="inlineStr">
        <is>
          <t xml:space="preserve">Mazda</t>
        </is>
      </c>
      <c r="F25163" s="0" t="s">
        <v>13</v>
      </c>
      <c r="G25163" s="0" t="s">
        <v>49</v>
      </c>
      <c r="H25163" s="5">
        <v>45.077900</v>
      </c>
    </row>
    <row r="25164" spans="1:9">
      <c r="A25164" s="22" t="str">
        <f>HYPERLINK("https://app.vivvix.com/360/KMI/IntelliDrive/ApplUI/Pages/CreativePages/CustomReportCreativeDetail.aspx?App=23&amp;ReportView=4&amp;Qid=1711279&amp;Row=25156&amp;Col=1","No Title Assigned - #15285271966")</f>
        <v/>
      </c>
      <c r="B25164" s="0" t="s">
        <v>33931</v>
      </c>
      <c r="C25164" s="0" t="s">
        <v>33932</v>
      </c>
      <c r="D25164" s="0" t="s">
        <v>33932</v>
      </c>
      <c r="E25164" s="0" t="inlineStr">
        <is>
          <t xml:space="preserve">Mazda</t>
        </is>
      </c>
      <c r="F25164" s="0" t="s">
        <v>13</v>
      </c>
      <c r="G25164" s="0" t="s">
        <v>49</v>
      </c>
      <c r="H25164" s="5">
        <v>449.260200</v>
      </c>
    </row>
    <row r="25165" spans="1:9">
      <c r="A25165" s="22" t="str">
        <f>HYPERLINK("https://app.vivvix.com/360/KMI/IntelliDrive/ApplUI/Pages/CreativePages/CustomReportCreativeDetail.aspx?App=23&amp;ReportView=4&amp;Qid=1711279&amp;Row=25157&amp;Col=1","No Title Assigned - #15285275491")</f>
        <v/>
      </c>
      <c r="B25165" s="0" t="s">
        <v>33933</v>
      </c>
      <c r="C25165" s="0" t="s">
        <v>33934</v>
      </c>
      <c r="D25165" s="0" t="s">
        <v>33934</v>
      </c>
      <c r="E25165" s="0" t="inlineStr">
        <is>
          <t xml:space="preserve">Mazda</t>
        </is>
      </c>
      <c r="F25165" s="0" t="inlineStr">
        <is>
          <t xml:space="preserve">Mazda</t>
        </is>
      </c>
      <c r="G25165" s="0" t="s">
        <v>210</v>
      </c>
      <c r="H25165" s="5">
        <v>1165.743800</v>
      </c>
    </row>
    <row r="25166" spans="1:9">
      <c r="A25166" s="22" t="str">
        <f>HYPERLINK("https://app.vivvix.com/360/KMI/IntelliDrive/ApplUI/Pages/CreativePages/CustomReportCreativeDetail.aspx?App=23&amp;ReportView=4&amp;Qid=1711279&amp;Row=25158&amp;Col=1","No Title Assigned - #15285275817")</f>
        <v/>
      </c>
      <c r="B25166" s="0" t="s">
        <v>33935</v>
      </c>
      <c r="C25166" s="0" t="s">
        <v>33936</v>
      </c>
      <c r="D25166" s="0" t="s">
        <v>33936</v>
      </c>
      <c r="E25166" s="0" t="inlineStr">
        <is>
          <t xml:space="preserve">Mazda</t>
        </is>
      </c>
      <c r="F25166" s="0" t="inlineStr">
        <is>
          <t xml:space="preserve">Mazda</t>
        </is>
      </c>
      <c r="G25166" s="0" t="s">
        <v>2413</v>
      </c>
      <c r="H25166" s="5">
        <v>413.008300</v>
      </c>
    </row>
    <row r="25167" spans="1:9">
      <c r="A25167" s="22" t="str">
        <f>HYPERLINK("https://app.vivvix.com/360/KMI/IntelliDrive/ApplUI/Pages/CreativePages/CustomReportCreativeDetail.aspx?App=23&amp;ReportView=4&amp;Qid=1711279&amp;Row=25159&amp;Col=1","No Title Assigned - #15285281500")</f>
        <v/>
      </c>
      <c r="B25167" s="0" t="s">
        <v>33937</v>
      </c>
      <c r="C25167" s="0" t="s">
        <v>33938</v>
      </c>
      <c r="D25167" s="0" t="s">
        <v>33938</v>
      </c>
      <c r="E25167" s="0" t="inlineStr">
        <is>
          <t xml:space="preserve">Mazda</t>
        </is>
      </c>
      <c r="F25167" s="0" t="s">
        <v>13</v>
      </c>
      <c r="G25167" s="0" t="s">
        <v>49</v>
      </c>
      <c r="H25167" s="5">
        <v>217.718200</v>
      </c>
    </row>
    <row r="25168" spans="1:9">
      <c r="A25168" s="22" t="str">
        <f>HYPERLINK("https://app.vivvix.com/360/KMI/IntelliDrive/ApplUI/Pages/CreativePages/CustomReportCreativeDetail.aspx?App=23&amp;ReportView=4&amp;Qid=1711279&amp;Row=25160&amp;Col=1","No Title Assigned - #15285281509")</f>
        <v/>
      </c>
      <c r="B25168" s="0" t="s">
        <v>33939</v>
      </c>
      <c r="C25168" s="0" t="s">
        <v>33940</v>
      </c>
      <c r="D25168" s="0" t="s">
        <v>33940</v>
      </c>
      <c r="E25168" s="0" t="inlineStr">
        <is>
          <t xml:space="preserve">Mazda</t>
        </is>
      </c>
      <c r="F25168" s="0" t="s">
        <v>13</v>
      </c>
      <c r="G25168" s="0" t="s">
        <v>49</v>
      </c>
      <c r="H25168" s="5">
        <v>217.718200</v>
      </c>
    </row>
    <row r="25169" spans="1:9">
      <c r="A25169" s="22" t="str">
        <f>HYPERLINK("https://app.vivvix.com/360/KMI/IntelliDrive/ApplUI/Pages/CreativePages/CustomReportCreativeDetail.aspx?App=23&amp;ReportView=4&amp;Qid=1711279&amp;Row=25161&amp;Col=1","No Title Assigned - #15285283924")</f>
        <v/>
      </c>
      <c r="B25169" s="0" t="s">
        <v>33941</v>
      </c>
      <c r="C25169" s="0" t="s">
        <v>33942</v>
      </c>
      <c r="D25169" s="0" t="s">
        <v>33942</v>
      </c>
      <c r="E25169" s="0" t="inlineStr">
        <is>
          <t xml:space="preserve">Mazda</t>
        </is>
      </c>
      <c r="F25169" s="0" t="s">
        <v>13</v>
      </c>
      <c r="G25169" s="0" t="s">
        <v>49</v>
      </c>
      <c r="H25169" s="5">
        <v>397.426400</v>
      </c>
    </row>
    <row r="25170" spans="1:9">
      <c r="A25170" s="22" t="str">
        <f>HYPERLINK("https://app.vivvix.com/360/KMI/IntelliDrive/ApplUI/Pages/CreativePages/CustomReportCreativeDetail.aspx?App=23&amp;ReportView=4&amp;Qid=1711279&amp;Row=25162&amp;Col=1","No Title Assigned - #15285292432")</f>
        <v/>
      </c>
      <c r="B25170" s="0" t="s">
        <v>33943</v>
      </c>
      <c r="C25170" s="0" t="s">
        <v>33944</v>
      </c>
      <c r="D25170" s="0" t="s">
        <v>33944</v>
      </c>
      <c r="E25170" s="0" t="inlineStr">
        <is>
          <t xml:space="preserve">Mazda</t>
        </is>
      </c>
      <c r="F25170" s="0" t="s">
        <v>13</v>
      </c>
      <c r="G25170" s="0" t="s">
        <v>49</v>
      </c>
      <c r="H25170" s="5">
        <v>1805.628300</v>
      </c>
    </row>
    <row r="25171" spans="1:9">
      <c r="A25171" s="22" t="str">
        <f>HYPERLINK("https://app.vivvix.com/360/KMI/IntelliDrive/ApplUI/Pages/CreativePages/CustomReportCreativeDetail.aspx?App=23&amp;ReportView=4&amp;Qid=1711279&amp;Row=25163&amp;Col=1","No Title Assigned - #15285295969")</f>
        <v/>
      </c>
      <c r="B25171" s="0" t="s">
        <v>33945</v>
      </c>
      <c r="C25171" s="0" t="s">
        <v>33946</v>
      </c>
      <c r="D25171" s="0" t="s">
        <v>33946</v>
      </c>
      <c r="E25171" s="0" t="inlineStr">
        <is>
          <t xml:space="preserve">Mazda</t>
        </is>
      </c>
      <c r="F25171" s="0" t="s">
        <v>13</v>
      </c>
      <c r="G25171" s="0" t="s">
        <v>49</v>
      </c>
      <c r="H25171" s="5">
        <v>753.596300</v>
      </c>
    </row>
    <row r="25172" spans="1:9">
      <c r="A25172" s="22" t="str">
        <f>HYPERLINK("https://app.vivvix.com/360/KMI/IntelliDrive/ApplUI/Pages/CreativePages/CustomReportCreativeDetail.aspx?App=23&amp;ReportView=4&amp;Qid=1711279&amp;Row=25164&amp;Col=1","No Title Assigned - #15285298797")</f>
        <v/>
      </c>
      <c r="B25172" s="0" t="s">
        <v>33947</v>
      </c>
      <c r="C25172" s="0" t="s">
        <v>33948</v>
      </c>
      <c r="D25172" s="0" t="s">
        <v>33948</v>
      </c>
      <c r="E25172" s="0" t="inlineStr">
        <is>
          <t xml:space="preserve">Mazda</t>
        </is>
      </c>
      <c r="F25172" s="0" t="s">
        <v>125</v>
      </c>
      <c r="G25172" s="0" t="s">
        <v>346</v>
      </c>
      <c r="H25172" s="5">
        <v>528.852100</v>
      </c>
    </row>
    <row r="25173" spans="1:9">
      <c r="A25173" s="22" t="str">
        <f>HYPERLINK("https://app.vivvix.com/360/KMI/IntelliDrive/ApplUI/Pages/CreativePages/CustomReportCreativeDetail.aspx?App=23&amp;ReportView=4&amp;Qid=1711279&amp;Row=25165&amp;Col=1","No Title Assigned - #15285299182")</f>
        <v/>
      </c>
      <c r="B25173" s="0" t="s">
        <v>33949</v>
      </c>
      <c r="C25173" s="0" t="s">
        <v>33950</v>
      </c>
      <c r="D25173" s="0" t="s">
        <v>33950</v>
      </c>
      <c r="E25173" s="0" t="inlineStr">
        <is>
          <t xml:space="preserve">Mazda</t>
        </is>
      </c>
      <c r="F25173" s="0" t="inlineStr">
        <is>
          <t xml:space="preserve">Mazda</t>
        </is>
      </c>
      <c r="G25173" s="0" t="s">
        <v>210</v>
      </c>
      <c r="H25173" s="5">
        <v>426.087300</v>
      </c>
    </row>
    <row r="25174" spans="1:9">
      <c r="A25174" s="22" t="str">
        <f>HYPERLINK("https://app.vivvix.com/360/KMI/IntelliDrive/ApplUI/Pages/CreativePages/CustomReportCreativeDetail.aspx?App=23&amp;ReportView=4&amp;Qid=1711279&amp;Row=25166&amp;Col=1","No Title Assigned - #15285299411")</f>
        <v/>
      </c>
      <c r="B25174" s="0" t="s">
        <v>33951</v>
      </c>
      <c r="C25174" s="0" t="s">
        <v>33952</v>
      </c>
      <c r="D25174" s="0" t="s">
        <v>33952</v>
      </c>
      <c r="E25174" s="0" t="inlineStr">
        <is>
          <t xml:space="preserve">Mazda</t>
        </is>
      </c>
      <c r="F25174" s="0" t="s">
        <v>13</v>
      </c>
      <c r="G25174" s="0" t="s">
        <v>49</v>
      </c>
      <c r="H25174" s="5">
        <v>904.926100</v>
      </c>
    </row>
    <row r="25175" spans="1:9">
      <c r="A25175" s="22" t="str">
        <f>HYPERLINK("https://app.vivvix.com/360/KMI/IntelliDrive/ApplUI/Pages/CreativePages/CustomReportCreativeDetail.aspx?App=23&amp;ReportView=4&amp;Qid=1711279&amp;Row=25167&amp;Col=1","No Title Assigned - #15285301165")</f>
        <v/>
      </c>
      <c r="B25175" s="0" t="s">
        <v>33953</v>
      </c>
      <c r="C25175" s="0" t="s">
        <v>33954</v>
      </c>
      <c r="D25175" s="0" t="s">
        <v>33954</v>
      </c>
      <c r="E25175" s="0" t="inlineStr">
        <is>
          <t xml:space="preserve">Mazda</t>
        </is>
      </c>
      <c r="F25175" s="0" t="s">
        <v>13</v>
      </c>
      <c r="G25175" s="0" t="s">
        <v>49</v>
      </c>
      <c r="H25175" s="5">
        <v>730.740000</v>
      </c>
    </row>
    <row r="25176" spans="1:9">
      <c r="A25176" s="22" t="str">
        <f>HYPERLINK("https://app.vivvix.com/360/KMI/IntelliDrive/ApplUI/Pages/CreativePages/CustomReportCreativeDetail.aspx?App=23&amp;ReportView=4&amp;Qid=1711279&amp;Row=25168&amp;Col=1","No Title Assigned - #15285306881")</f>
        <v/>
      </c>
      <c r="B25176" s="0" t="s">
        <v>33955</v>
      </c>
      <c r="C25176" s="0" t="s">
        <v>33956</v>
      </c>
      <c r="D25176" s="0" t="s">
        <v>33956</v>
      </c>
      <c r="E25176" s="0" t="inlineStr">
        <is>
          <t xml:space="preserve">Mazda</t>
        </is>
      </c>
      <c r="F25176" s="0" t="s">
        <v>13</v>
      </c>
      <c r="G25176" s="0" t="s">
        <v>49</v>
      </c>
      <c r="H25176" s="5">
        <v>140.965100</v>
      </c>
    </row>
    <row r="25177" spans="1:9">
      <c r="A25177" s="22" t="str">
        <f>HYPERLINK("https://app.vivvix.com/360/KMI/IntelliDrive/ApplUI/Pages/CreativePages/CustomReportCreativeDetail.aspx?App=23&amp;ReportView=4&amp;Qid=1711279&amp;Row=25169&amp;Col=1","No Title Assigned - #15285306884")</f>
        <v/>
      </c>
      <c r="B25177" s="0" t="s">
        <v>33957</v>
      </c>
      <c r="C25177" s="0" t="s">
        <v>33958</v>
      </c>
      <c r="D25177" s="0" t="s">
        <v>33958</v>
      </c>
      <c r="E25177" s="0" t="inlineStr">
        <is>
          <t xml:space="preserve">Mazda</t>
        </is>
      </c>
      <c r="F25177" s="0" t="s">
        <v>13</v>
      </c>
      <c r="G25177" s="0" t="s">
        <v>49</v>
      </c>
      <c r="H25177" s="5">
        <v>140.965100</v>
      </c>
    </row>
    <row r="25178" spans="1:9">
      <c r="A25178" s="22" t="str">
        <f>HYPERLINK("https://app.vivvix.com/360/KMI/IntelliDrive/ApplUI/Pages/CreativePages/CustomReportCreativeDetail.aspx?App=23&amp;ReportView=4&amp;Qid=1711279&amp;Row=25170&amp;Col=1","No Title Assigned - #15285306885")</f>
        <v/>
      </c>
      <c r="B25178" s="0" t="s">
        <v>33959</v>
      </c>
      <c r="C25178" s="0" t="s">
        <v>33960</v>
      </c>
      <c r="D25178" s="0" t="s">
        <v>33960</v>
      </c>
      <c r="E25178" s="0" t="inlineStr">
        <is>
          <t xml:space="preserve">Mazda</t>
        </is>
      </c>
      <c r="F25178" s="0" t="s">
        <v>13</v>
      </c>
      <c r="G25178" s="0" t="s">
        <v>49</v>
      </c>
      <c r="H25178" s="5">
        <v>140.965100</v>
      </c>
    </row>
    <row r="25179" spans="1:9">
      <c r="A25179" s="22" t="str">
        <f>HYPERLINK("https://app.vivvix.com/360/KMI/IntelliDrive/ApplUI/Pages/CreativePages/CustomReportCreativeDetail.aspx?App=23&amp;ReportView=4&amp;Qid=1711279&amp;Row=25171&amp;Col=1","No Title Assigned - #15285309631")</f>
        <v/>
      </c>
      <c r="B25179" s="0" t="s">
        <v>33961</v>
      </c>
      <c r="C25179" s="0" t="s">
        <v>33962</v>
      </c>
      <c r="D25179" s="0" t="s">
        <v>33962</v>
      </c>
      <c r="E25179" s="0" t="inlineStr">
        <is>
          <t xml:space="preserve">Mazda</t>
        </is>
      </c>
      <c r="F25179" s="0" t="s">
        <v>13</v>
      </c>
      <c r="G25179" s="0" t="s">
        <v>49</v>
      </c>
      <c r="H25179" s="5">
        <v>365.370000</v>
      </c>
    </row>
    <row r="25180" spans="1:9">
      <c r="A25180" s="22" t="str">
        <f>HYPERLINK("https://app.vivvix.com/360/KMI/IntelliDrive/ApplUI/Pages/CreativePages/CustomReportCreativeDetail.aspx?App=23&amp;ReportView=4&amp;Qid=1711279&amp;Row=25172&amp;Col=1","No Title Assigned - #15285316785")</f>
        <v/>
      </c>
      <c r="B25180" s="0" t="s">
        <v>33963</v>
      </c>
      <c r="C25180" s="0" t="s">
        <v>33964</v>
      </c>
      <c r="D25180" s="0" t="s">
        <v>33964</v>
      </c>
      <c r="E25180" s="0" t="inlineStr">
        <is>
          <t xml:space="preserve">Mazda</t>
        </is>
      </c>
      <c r="F25180" s="0" t="inlineStr">
        <is>
          <t xml:space="preserve">Mazda</t>
        </is>
      </c>
      <c r="G25180" s="0" t="s">
        <v>210</v>
      </c>
      <c r="H25180" s="5">
        <v>426.087300</v>
      </c>
    </row>
    <row r="25181" spans="1:9">
      <c r="A25181" s="22" t="str">
        <f>HYPERLINK("https://app.vivvix.com/360/KMI/IntelliDrive/ApplUI/Pages/CreativePages/CustomReportCreativeDetail.aspx?App=23&amp;ReportView=4&amp;Qid=1711279&amp;Row=25173&amp;Col=1","No Title Assigned - #15285334466")</f>
        <v/>
      </c>
      <c r="B25181" s="0" t="s">
        <v>33965</v>
      </c>
      <c r="C25181" s="0" t="s">
        <v>33966</v>
      </c>
      <c r="D25181" s="0" t="s">
        <v>33966</v>
      </c>
      <c r="E25181" s="0" t="inlineStr">
        <is>
          <t xml:space="preserve">Mazda</t>
        </is>
      </c>
      <c r="F25181" s="0" t="s">
        <v>21</v>
      </c>
      <c r="G25181" s="0" t="s">
        <v>22</v>
      </c>
      <c r="H25181" s="5">
        <v>596.998700</v>
      </c>
    </row>
    <row r="25182" spans="1:9">
      <c r="A25182" s="22" t="str">
        <f>HYPERLINK("https://app.vivvix.com/360/KMI/IntelliDrive/ApplUI/Pages/CreativePages/CustomReportCreativeDetail.aspx?App=23&amp;ReportView=4&amp;Qid=1711279&amp;Row=25174&amp;Col=1","No Title Assigned - #15285336761")</f>
        <v/>
      </c>
      <c r="B25182" s="0" t="s">
        <v>33967</v>
      </c>
      <c r="C25182" s="0" t="s">
        <v>33968</v>
      </c>
      <c r="D25182" s="0" t="s">
        <v>33968</v>
      </c>
      <c r="E25182" s="0" t="inlineStr">
        <is>
          <t xml:space="preserve">Mazda</t>
        </is>
      </c>
      <c r="F25182" s="0" t="s">
        <v>13</v>
      </c>
      <c r="G25182" s="0" t="s">
        <v>49</v>
      </c>
      <c r="H25182" s="5">
        <v>24894.845100</v>
      </c>
    </row>
    <row r="25183" spans="1:9">
      <c r="A25183" s="22" t="str">
        <f>HYPERLINK("https://app.vivvix.com/360/KMI/IntelliDrive/ApplUI/Pages/CreativePages/CustomReportCreativeDetail.aspx?App=23&amp;ReportView=4&amp;Qid=1711279&amp;Row=25175&amp;Col=1","No Title Assigned - #15285358911")</f>
        <v/>
      </c>
      <c r="B25183" s="0" t="s">
        <v>33969</v>
      </c>
      <c r="C25183" s="0" t="s">
        <v>33970</v>
      </c>
      <c r="D25183" s="0" t="s">
        <v>33970</v>
      </c>
      <c r="E25183" s="0" t="inlineStr">
        <is>
          <t xml:space="preserve">Mazda</t>
        </is>
      </c>
      <c r="F25183" s="0" t="inlineStr">
        <is>
          <t xml:space="preserve">Mazda</t>
        </is>
      </c>
      <c r="G25183" s="0" t="s">
        <v>33971</v>
      </c>
      <c r="H25183" s="5">
        <v>24923.646500</v>
      </c>
    </row>
    <row r="25184" spans="1:9">
      <c r="A25184" s="22" t="str">
        <f>HYPERLINK("https://app.vivvix.com/360/KMI/IntelliDrive/ApplUI/Pages/CreativePages/CustomReportCreativeDetail.aspx?App=23&amp;ReportView=4&amp;Qid=1711279&amp;Row=25176&amp;Col=1","No Title Assigned - #15285359314")</f>
        <v/>
      </c>
      <c r="B25184" s="0" t="s">
        <v>33972</v>
      </c>
      <c r="C25184" s="0" t="s">
        <v>33973</v>
      </c>
      <c r="D25184" s="0" t="s">
        <v>33973</v>
      </c>
      <c r="E25184" s="0" t="inlineStr">
        <is>
          <t xml:space="preserve">Mazda</t>
        </is>
      </c>
      <c r="F25184" s="0" t="s">
        <v>17</v>
      </c>
      <c r="G25184" s="0" t="s">
        <v>33</v>
      </c>
      <c r="H25184" s="5">
        <v>13878.499000</v>
      </c>
    </row>
    <row r="25185" spans="1:9">
      <c r="A25185" s="22" t="str">
        <f>HYPERLINK("https://app.vivvix.com/360/KMI/IntelliDrive/ApplUI/Pages/CreativePages/CustomReportCreativeDetail.aspx?App=23&amp;ReportView=4&amp;Qid=1711279&amp;Row=25177&amp;Col=1","No Title Assigned - #15285366534")</f>
        <v/>
      </c>
      <c r="B25185" s="0" t="s">
        <v>33974</v>
      </c>
      <c r="C25185" s="0" t="s">
        <v>33975</v>
      </c>
      <c r="D25185" s="0" t="s">
        <v>33975</v>
      </c>
      <c r="E25185" s="0" t="inlineStr">
        <is>
          <t xml:space="preserve">Mazda</t>
        </is>
      </c>
      <c r="F25185" s="0" t="s">
        <v>13</v>
      </c>
      <c r="G25185" s="0" t="s">
        <v>49</v>
      </c>
      <c r="H25185" s="5">
        <v>686.183000</v>
      </c>
    </row>
    <row r="25186" spans="1:9">
      <c r="A25186" s="22" t="str">
        <f>HYPERLINK("https://app.vivvix.com/360/KMI/IntelliDrive/ApplUI/Pages/CreativePages/CustomReportCreativeDetail.aspx?App=23&amp;ReportView=4&amp;Qid=1711279&amp;Row=25178&amp;Col=1","No Title Assigned - #15285367071")</f>
        <v/>
      </c>
      <c r="B25186" s="0" t="s">
        <v>33976</v>
      </c>
      <c r="C25186" s="0" t="s">
        <v>33977</v>
      </c>
      <c r="D25186" s="0" t="s">
        <v>33977</v>
      </c>
      <c r="E25186" s="0" t="inlineStr">
        <is>
          <t xml:space="preserve">Mazda</t>
        </is>
      </c>
      <c r="F25186" s="0" t="s">
        <v>125</v>
      </c>
      <c r="G25186" s="0" t="s">
        <v>346</v>
      </c>
      <c r="H25186" s="5">
        <v>1597.082300</v>
      </c>
    </row>
    <row r="25187" spans="1:9">
      <c r="A25187" s="22" t="str">
        <f>HYPERLINK("https://app.vivvix.com/360/KMI/IntelliDrive/ApplUI/Pages/CreativePages/CustomReportCreativeDetail.aspx?App=23&amp;ReportView=4&amp;Qid=1711279&amp;Row=25179&amp;Col=1","No Title Assigned - #15285367165")</f>
        <v/>
      </c>
      <c r="B25187" s="0" t="s">
        <v>33978</v>
      </c>
      <c r="C25187" s="0" t="s">
        <v>33979</v>
      </c>
      <c r="D25187" s="0" t="s">
        <v>33979</v>
      </c>
      <c r="E25187" s="0" t="inlineStr">
        <is>
          <t xml:space="preserve">Mazda</t>
        </is>
      </c>
      <c r="F25187" s="0" t="s">
        <v>17</v>
      </c>
      <c r="G25187" s="0" t="s">
        <v>33</v>
      </c>
      <c r="H25187" s="5">
        <v>374.147300</v>
      </c>
    </row>
    <row r="25188" spans="1:9">
      <c r="A25188" s="22" t="str">
        <f>HYPERLINK("https://app.vivvix.com/360/KMI/IntelliDrive/ApplUI/Pages/CreativePages/CustomReportCreativeDetail.aspx?App=23&amp;ReportView=4&amp;Qid=1711279&amp;Row=25180&amp;Col=1","No Title Assigned - #15285367167")</f>
        <v/>
      </c>
      <c r="B25188" s="0" t="s">
        <v>33980</v>
      </c>
      <c r="C25188" s="0" t="s">
        <v>33981</v>
      </c>
      <c r="D25188" s="0" t="s">
        <v>33981</v>
      </c>
      <c r="E25188" s="0" t="inlineStr">
        <is>
          <t xml:space="preserve">Mazda</t>
        </is>
      </c>
      <c r="F25188" s="0" t="s">
        <v>17</v>
      </c>
      <c r="G25188" s="0" t="s">
        <v>18</v>
      </c>
      <c r="H25188" s="5">
        <v>655.687200</v>
      </c>
    </row>
    <row r="25189" spans="1:9">
      <c r="A25189" s="22" t="str">
        <f>HYPERLINK("https://app.vivvix.com/360/KMI/IntelliDrive/ApplUI/Pages/CreativePages/CustomReportCreativeDetail.aspx?App=23&amp;ReportView=4&amp;Qid=1711279&amp;Row=25181&amp;Col=1","No Title Assigned - #15285377347")</f>
        <v/>
      </c>
      <c r="B25189" s="0" t="s">
        <v>33982</v>
      </c>
      <c r="C25189" s="0" t="s">
        <v>33983</v>
      </c>
      <c r="D25189" s="0" t="s">
        <v>33983</v>
      </c>
      <c r="E25189" s="0" t="inlineStr">
        <is>
          <t xml:space="preserve">Mazda</t>
        </is>
      </c>
      <c r="F25189" s="0" t="s">
        <v>13</v>
      </c>
      <c r="G25189" s="0" t="s">
        <v>49</v>
      </c>
      <c r="H25189" s="5">
        <v>164.159200</v>
      </c>
    </row>
    <row r="25190" spans="1:9">
      <c r="A25190" s="22" t="str">
        <f>HYPERLINK("https://app.vivvix.com/360/KMI/IntelliDrive/ApplUI/Pages/CreativePages/CustomReportCreativeDetail.aspx?App=23&amp;ReportView=4&amp;Qid=1711279&amp;Row=25182&amp;Col=1","No Title Assigned - #15285382174")</f>
        <v/>
      </c>
      <c r="B25190" s="0" t="s">
        <v>33984</v>
      </c>
      <c r="C25190" s="0" t="s">
        <v>33985</v>
      </c>
      <c r="D25190" s="0" t="s">
        <v>33985</v>
      </c>
      <c r="E25190" s="0" t="inlineStr">
        <is>
          <t xml:space="preserve">Mazda</t>
        </is>
      </c>
      <c r="F25190" s="0" t="s">
        <v>13</v>
      </c>
      <c r="G25190" s="0" t="s">
        <v>49</v>
      </c>
      <c r="H25190" s="5">
        <v>779.112300</v>
      </c>
    </row>
    <row r="25191" spans="1:9">
      <c r="A25191" s="22" t="str">
        <f>HYPERLINK("https://app.vivvix.com/360/KMI/IntelliDrive/ApplUI/Pages/CreativePages/CustomReportCreativeDetail.aspx?App=23&amp;ReportView=4&amp;Qid=1711279&amp;Row=25183&amp;Col=1","No Title Assigned - #15285384559")</f>
        <v/>
      </c>
      <c r="B25191" s="0" t="s">
        <v>33986</v>
      </c>
      <c r="C25191" s="0" t="s">
        <v>33987</v>
      </c>
      <c r="D25191" s="0" t="s">
        <v>33987</v>
      </c>
      <c r="E25191" s="0" t="inlineStr">
        <is>
          <t xml:space="preserve">Mazda</t>
        </is>
      </c>
      <c r="F25191" s="0" t="s">
        <v>13</v>
      </c>
      <c r="G25191" s="0" t="s">
        <v>49</v>
      </c>
      <c r="H25191" s="5">
        <v>5803.104800</v>
      </c>
    </row>
    <row r="25192" spans="1:9">
      <c r="A25192" s="22" t="str">
        <f>HYPERLINK("https://app.vivvix.com/360/KMI/IntelliDrive/ApplUI/Pages/CreativePages/CustomReportCreativeDetail.aspx?App=23&amp;ReportView=4&amp;Qid=1711279&amp;Row=25184&amp;Col=1","No Title Assigned - #15285387429")</f>
        <v/>
      </c>
      <c r="B25192" s="0" t="s">
        <v>33988</v>
      </c>
      <c r="C25192" s="0" t="s">
        <v>33989</v>
      </c>
      <c r="D25192" s="0" t="s">
        <v>33989</v>
      </c>
      <c r="E25192" s="0" t="inlineStr">
        <is>
          <t xml:space="preserve">Mazda</t>
        </is>
      </c>
      <c r="F25192" s="0" t="inlineStr">
        <is>
          <t xml:space="preserve">Mazda</t>
        </is>
      </c>
      <c r="G25192" s="0" t="s">
        <v>210</v>
      </c>
      <c r="H25192" s="5">
        <v>323.852100</v>
      </c>
    </row>
    <row r="25193" spans="1:9">
      <c r="A25193" s="22" t="str">
        <f>HYPERLINK("https://app.vivvix.com/360/KMI/IntelliDrive/ApplUI/Pages/CreativePages/CustomReportCreativeDetail.aspx?App=23&amp;ReportView=4&amp;Qid=1711279&amp;Row=25185&amp;Col=1","No Title Assigned - #15285388410")</f>
        <v/>
      </c>
      <c r="B25193" s="0" t="s">
        <v>33990</v>
      </c>
      <c r="C25193" s="0" t="s">
        <v>33991</v>
      </c>
      <c r="D25193" s="0" t="s">
        <v>33991</v>
      </c>
      <c r="E25193" s="0" t="inlineStr">
        <is>
          <t xml:space="preserve">Mazda</t>
        </is>
      </c>
      <c r="F25193" s="0" t="s">
        <v>13</v>
      </c>
      <c r="G25193" s="0" t="s">
        <v>49</v>
      </c>
      <c r="H25193" s="5">
        <v>227.258200</v>
      </c>
    </row>
    <row r="25194" spans="1:9">
      <c r="A25194" s="22" t="str">
        <f>HYPERLINK("https://app.vivvix.com/360/KMI/IntelliDrive/ApplUI/Pages/CreativePages/CustomReportCreativeDetail.aspx?App=23&amp;ReportView=4&amp;Qid=1711279&amp;Row=25186&amp;Col=1","No Title Assigned - #15285389162")</f>
        <v/>
      </c>
      <c r="B25194" s="0" t="s">
        <v>33992</v>
      </c>
      <c r="C25194" s="0" t="s">
        <v>33993</v>
      </c>
      <c r="D25194" s="0" t="s">
        <v>33993</v>
      </c>
      <c r="E25194" s="0" t="inlineStr">
        <is>
          <t xml:space="preserve">Mazda</t>
        </is>
      </c>
      <c r="F25194" s="0" t="s">
        <v>13</v>
      </c>
      <c r="G25194" s="0" t="s">
        <v>49</v>
      </c>
      <c r="H25194" s="5">
        <v>1450.776200</v>
      </c>
    </row>
    <row r="25195" spans="1:9">
      <c r="A25195" s="22" t="str">
        <f>HYPERLINK("https://app.vivvix.com/360/KMI/IntelliDrive/ApplUI/Pages/CreativePages/CustomReportCreativeDetail.aspx?App=23&amp;ReportView=4&amp;Qid=1711279&amp;Row=25187&amp;Col=1","No Title Assigned - #15285393598")</f>
        <v/>
      </c>
      <c r="B25195" s="0" t="s">
        <v>33994</v>
      </c>
      <c r="C25195" s="0" t="s">
        <v>33995</v>
      </c>
      <c r="D25195" s="0" t="s">
        <v>33995</v>
      </c>
      <c r="E25195" s="0" t="inlineStr">
        <is>
          <t xml:space="preserve">Mazda</t>
        </is>
      </c>
      <c r="F25195" s="0" t="s">
        <v>28</v>
      </c>
      <c r="G25195" s="0" t="s">
        <v>29</v>
      </c>
      <c r="H25195" s="5">
        <v>16639.160200</v>
      </c>
    </row>
    <row r="25196" spans="1:9">
      <c r="A25196" s="22" t="str">
        <f>HYPERLINK("https://app.vivvix.com/360/KMI/IntelliDrive/ApplUI/Pages/CreativePages/CustomReportCreativeDetail.aspx?App=23&amp;ReportView=4&amp;Qid=1711279&amp;Row=25188&amp;Col=1","No Title Assigned - #15285393967")</f>
        <v/>
      </c>
      <c r="B25196" s="0" t="s">
        <v>33996</v>
      </c>
      <c r="C25196" s="0" t="s">
        <v>33997</v>
      </c>
      <c r="D25196" s="0" t="s">
        <v>33997</v>
      </c>
      <c r="E25196" s="0" t="inlineStr">
        <is>
          <t xml:space="preserve">Mazda</t>
        </is>
      </c>
      <c r="F25196" s="0" t="s">
        <v>13</v>
      </c>
      <c r="G25196" s="0" t="s">
        <v>49</v>
      </c>
      <c r="H25196" s="5">
        <v>434.368200</v>
      </c>
    </row>
    <row r="25197" spans="1:9">
      <c r="A25197" s="22" t="str">
        <f>HYPERLINK("https://app.vivvix.com/360/KMI/IntelliDrive/ApplUI/Pages/CreativePages/CustomReportCreativeDetail.aspx?App=23&amp;ReportView=4&amp;Qid=1711279&amp;Row=25189&amp;Col=1","No Title Assigned - #15285394031")</f>
        <v/>
      </c>
      <c r="B25197" s="0" t="s">
        <v>33998</v>
      </c>
      <c r="C25197" s="0" t="s">
        <v>33999</v>
      </c>
      <c r="D25197" s="0" t="s">
        <v>33999</v>
      </c>
      <c r="E25197" s="0" t="inlineStr">
        <is>
          <t xml:space="preserve">Mazda</t>
        </is>
      </c>
      <c r="F25197" s="0" t="s">
        <v>13</v>
      </c>
      <c r="G25197" s="0" t="s">
        <v>14</v>
      </c>
      <c r="H25197" s="5">
        <v>833.344700</v>
      </c>
    </row>
    <row r="25198" spans="1:9">
      <c r="A25198" s="22" t="str">
        <f>HYPERLINK("https://app.vivvix.com/360/KMI/IntelliDrive/ApplUI/Pages/CreativePages/CustomReportCreativeDetail.aspx?App=23&amp;ReportView=4&amp;Qid=1711279&amp;Row=25190&amp;Col=1","No Title Assigned - #15285398477")</f>
        <v/>
      </c>
      <c r="B25198" s="0" t="s">
        <v>34000</v>
      </c>
      <c r="C25198" s="0" t="s">
        <v>34001</v>
      </c>
      <c r="D25198" s="0" t="s">
        <v>34001</v>
      </c>
      <c r="E25198" s="0" t="inlineStr">
        <is>
          <t xml:space="preserve">Mazda</t>
        </is>
      </c>
      <c r="F25198" s="0" t="s">
        <v>13</v>
      </c>
      <c r="G25198" s="0" t="s">
        <v>49</v>
      </c>
      <c r="H25198" s="5">
        <v>84.295200</v>
      </c>
    </row>
    <row r="25199" spans="1:9">
      <c r="A25199" s="22" t="str">
        <f>HYPERLINK("https://app.vivvix.com/360/KMI/IntelliDrive/ApplUI/Pages/CreativePages/CustomReportCreativeDetail.aspx?App=23&amp;ReportView=4&amp;Qid=1711279&amp;Row=25191&amp;Col=1","No Title Assigned - #15285401110")</f>
        <v/>
      </c>
      <c r="B25199" s="0" t="s">
        <v>34002</v>
      </c>
      <c r="C25199" s="0" t="s">
        <v>34003</v>
      </c>
      <c r="D25199" s="0" t="s">
        <v>34003</v>
      </c>
      <c r="E25199" s="0" t="inlineStr">
        <is>
          <t xml:space="preserve">Mazda</t>
        </is>
      </c>
      <c r="F25199" s="0" t="s">
        <v>13</v>
      </c>
      <c r="G25199" s="0" t="s">
        <v>49</v>
      </c>
      <c r="H25199" s="5">
        <v>764.812600</v>
      </c>
    </row>
    <row r="25200" spans="1:9">
      <c r="A25200" s="22" t="str">
        <f>HYPERLINK("https://app.vivvix.com/360/KMI/IntelliDrive/ApplUI/Pages/CreativePages/CustomReportCreativeDetail.aspx?App=23&amp;ReportView=4&amp;Qid=1711279&amp;Row=25192&amp;Col=1","No Title Assigned - #15285403539")</f>
        <v/>
      </c>
      <c r="B25200" s="0" t="s">
        <v>34004</v>
      </c>
      <c r="C25200" s="0" t="s">
        <v>34005</v>
      </c>
      <c r="D25200" s="0" t="s">
        <v>34005</v>
      </c>
      <c r="E25200" s="0" t="inlineStr">
        <is>
          <t xml:space="preserve">Mazda</t>
        </is>
      </c>
      <c r="F25200" s="0" t="inlineStr">
        <is>
          <t xml:space="preserve">Mazda</t>
        </is>
      </c>
      <c r="G25200" s="0" t="s">
        <v>210</v>
      </c>
      <c r="H25200" s="5">
        <v>412.653700</v>
      </c>
    </row>
    <row r="25201" spans="1:9">
      <c r="A25201" s="22" t="str">
        <f>HYPERLINK("https://app.vivvix.com/360/KMI/IntelliDrive/ApplUI/Pages/CreativePages/CustomReportCreativeDetail.aspx?App=23&amp;ReportView=4&amp;Qid=1711279&amp;Row=25193&amp;Col=1","No Title Assigned - #15285411032")</f>
        <v/>
      </c>
      <c r="B25201" s="0" t="s">
        <v>34006</v>
      </c>
      <c r="C25201" s="0" t="s">
        <v>34007</v>
      </c>
      <c r="D25201" s="0" t="s">
        <v>34007</v>
      </c>
      <c r="E25201" s="0" t="inlineStr">
        <is>
          <t xml:space="preserve">Mazda</t>
        </is>
      </c>
      <c r="F25201" s="0" t="s">
        <v>28</v>
      </c>
      <c r="G25201" s="0" t="s">
        <v>29</v>
      </c>
      <c r="H25201" s="5">
        <v>655.687200</v>
      </c>
    </row>
    <row r="25202" spans="1:9">
      <c r="A25202" s="22" t="str">
        <f>HYPERLINK("https://app.vivvix.com/360/KMI/IntelliDrive/ApplUI/Pages/CreativePages/CustomReportCreativeDetail.aspx?App=23&amp;ReportView=4&amp;Qid=1711279&amp;Row=25194&amp;Col=1","No Title Assigned - #15285417717")</f>
        <v/>
      </c>
      <c r="B25202" s="0" t="s">
        <v>34008</v>
      </c>
      <c r="C25202" s="0" t="s">
        <v>34009</v>
      </c>
      <c r="D25202" s="0" t="s">
        <v>34009</v>
      </c>
      <c r="E25202" s="0" t="inlineStr">
        <is>
          <t xml:space="preserve">Mazda</t>
        </is>
      </c>
      <c r="F25202" s="0" t="s">
        <v>13</v>
      </c>
      <c r="G25202" s="0" t="s">
        <v>49</v>
      </c>
      <c r="H25202" s="5">
        <v>33.968000</v>
      </c>
    </row>
    <row r="25203" spans="1:9">
      <c r="A25203" s="22" t="str">
        <f>HYPERLINK("https://app.vivvix.com/360/KMI/IntelliDrive/ApplUI/Pages/CreativePages/CustomReportCreativeDetail.aspx?App=23&amp;ReportView=4&amp;Qid=1711279&amp;Row=25195&amp;Col=1","No Title Assigned - #15285418974")</f>
        <v/>
      </c>
      <c r="B25203" s="0" t="s">
        <v>34010</v>
      </c>
      <c r="C25203" s="0" t="s">
        <v>34011</v>
      </c>
      <c r="D25203" s="0" t="s">
        <v>34011</v>
      </c>
      <c r="E25203" s="0" t="inlineStr">
        <is>
          <t xml:space="preserve">Mazda</t>
        </is>
      </c>
      <c r="F25203" s="0" t="s">
        <v>13</v>
      </c>
      <c r="G25203" s="0" t="s">
        <v>49</v>
      </c>
      <c r="H25203" s="5">
        <v>105.986700</v>
      </c>
    </row>
    <row r="25204" spans="1:9">
      <c r="A25204" s="22" t="str">
        <f>HYPERLINK("https://app.vivvix.com/360/KMI/IntelliDrive/ApplUI/Pages/CreativePages/CustomReportCreativeDetail.aspx?App=23&amp;ReportView=4&amp;Qid=1711279&amp;Row=25196&amp;Col=1","No Title Assigned - #15285419550")</f>
        <v/>
      </c>
      <c r="B25204" s="0" t="s">
        <v>34012</v>
      </c>
      <c r="C25204" s="0" t="s">
        <v>34013</v>
      </c>
      <c r="D25204" s="0" t="s">
        <v>34013</v>
      </c>
      <c r="E25204" s="0" t="inlineStr">
        <is>
          <t xml:space="preserve">Mazda</t>
        </is>
      </c>
      <c r="F25204" s="0" t="s">
        <v>13</v>
      </c>
      <c r="G25204" s="0" t="s">
        <v>49</v>
      </c>
      <c r="H25204" s="5">
        <v>484.354800</v>
      </c>
    </row>
    <row r="25205" spans="1:9">
      <c r="A25205" s="22" t="str">
        <f>HYPERLINK("https://app.vivvix.com/360/KMI/IntelliDrive/ApplUI/Pages/CreativePages/CustomReportCreativeDetail.aspx?App=23&amp;ReportView=4&amp;Qid=1711279&amp;Row=25197&amp;Col=1","No Title Assigned - #15285422108")</f>
        <v/>
      </c>
      <c r="B25205" s="0" t="s">
        <v>34014</v>
      </c>
      <c r="C25205" s="0" t="s">
        <v>34015</v>
      </c>
      <c r="D25205" s="0" t="s">
        <v>34015</v>
      </c>
      <c r="E25205" s="0" t="inlineStr">
        <is>
          <t xml:space="preserve">Mazda</t>
        </is>
      </c>
      <c r="F25205" s="0" t="s">
        <v>13</v>
      </c>
      <c r="G25205" s="0" t="s">
        <v>49</v>
      </c>
      <c r="H25205" s="5">
        <v>55.161100</v>
      </c>
    </row>
    <row r="25206" spans="1:9">
      <c r="A25206" s="22" t="str">
        <f>HYPERLINK("https://app.vivvix.com/360/KMI/IntelliDrive/ApplUI/Pages/CreativePages/CustomReportCreativeDetail.aspx?App=23&amp;ReportView=4&amp;Qid=1711279&amp;Row=25198&amp;Col=1","No Title Assigned - #15285422156")</f>
        <v/>
      </c>
      <c r="B25206" s="0" t="s">
        <v>34016</v>
      </c>
      <c r="C25206" s="0" t="s">
        <v>34017</v>
      </c>
      <c r="D25206" s="0" t="s">
        <v>34017</v>
      </c>
      <c r="E25206" s="0" t="inlineStr">
        <is>
          <t xml:space="preserve">Mazda</t>
        </is>
      </c>
      <c r="F25206" s="0" t="s">
        <v>13</v>
      </c>
      <c r="G25206" s="0" t="s">
        <v>49</v>
      </c>
      <c r="H25206" s="5">
        <v>148.401000</v>
      </c>
    </row>
    <row r="25207" spans="1:9">
      <c r="A25207" s="22" t="str">
        <f>HYPERLINK("https://app.vivvix.com/360/KMI/IntelliDrive/ApplUI/Pages/CreativePages/CustomReportCreativeDetail.aspx?App=23&amp;ReportView=4&amp;Qid=1711279&amp;Row=25199&amp;Col=1","No Title Assigned - #15285422269")</f>
        <v/>
      </c>
      <c r="B25207" s="0" t="s">
        <v>34018</v>
      </c>
      <c r="C25207" s="0" t="s">
        <v>34019</v>
      </c>
      <c r="D25207" s="0" t="s">
        <v>34019</v>
      </c>
      <c r="E25207" s="0" t="inlineStr">
        <is>
          <t xml:space="preserve">Mazda</t>
        </is>
      </c>
      <c r="F25207" s="0" t="s">
        <v>13</v>
      </c>
      <c r="G25207" s="0" t="s">
        <v>49</v>
      </c>
      <c r="H25207" s="5">
        <v>11.776300</v>
      </c>
    </row>
    <row r="25208" spans="1:9">
      <c r="A25208" s="22" t="str">
        <f>HYPERLINK("https://app.vivvix.com/360/KMI/IntelliDrive/ApplUI/Pages/CreativePages/CustomReportCreativeDetail.aspx?App=23&amp;ReportView=4&amp;Qid=1711279&amp;Row=25200&amp;Col=1","No Title Assigned - #15285422668")</f>
        <v/>
      </c>
      <c r="B25208" s="0" t="s">
        <v>34020</v>
      </c>
      <c r="C25208" s="0" t="s">
        <v>34021</v>
      </c>
      <c r="D25208" s="0" t="s">
        <v>34021</v>
      </c>
      <c r="E25208" s="0" t="inlineStr">
        <is>
          <t xml:space="preserve">Mazda</t>
        </is>
      </c>
      <c r="F25208" s="0" t="s">
        <v>13</v>
      </c>
      <c r="G25208" s="0" t="s">
        <v>49</v>
      </c>
      <c r="H25208" s="5">
        <v>596.998700</v>
      </c>
    </row>
    <row r="25209" spans="1:9">
      <c r="A25209" s="22" t="str">
        <f>HYPERLINK("https://app.vivvix.com/360/KMI/IntelliDrive/ApplUI/Pages/CreativePages/CustomReportCreativeDetail.aspx?App=23&amp;ReportView=4&amp;Qid=1711279&amp;Row=25201&amp;Col=1","No Title Assigned - #15285426680")</f>
        <v/>
      </c>
      <c r="B25209" s="0" t="s">
        <v>34022</v>
      </c>
      <c r="C25209" s="0" t="s">
        <v>34023</v>
      </c>
      <c r="D25209" s="0" t="s">
        <v>34023</v>
      </c>
      <c r="E25209" s="0" t="inlineStr">
        <is>
          <t xml:space="preserve">Mazda</t>
        </is>
      </c>
      <c r="F25209" s="0" t="s">
        <v>13</v>
      </c>
      <c r="G25209" s="0" t="s">
        <v>49</v>
      </c>
      <c r="H25209" s="5">
        <v>4982.017600</v>
      </c>
    </row>
    <row r="25210" spans="1:9">
      <c r="A25210" s="22" t="str">
        <f>HYPERLINK("https://app.vivvix.com/360/KMI/IntelliDrive/ApplUI/Pages/CreativePages/CustomReportCreativeDetail.aspx?App=23&amp;ReportView=4&amp;Qid=1711279&amp;Row=25202&amp;Col=1","No Title Assigned - #15285428942")</f>
        <v/>
      </c>
      <c r="B25210" s="0" t="s">
        <v>34024</v>
      </c>
      <c r="C25210" s="0" t="s">
        <v>34025</v>
      </c>
      <c r="D25210" s="0" t="s">
        <v>34025</v>
      </c>
      <c r="E25210" s="0" t="inlineStr">
        <is>
          <t xml:space="preserve">Mazda</t>
        </is>
      </c>
      <c r="F25210" s="0" t="s">
        <v>13</v>
      </c>
      <c r="G25210" s="0" t="s">
        <v>49</v>
      </c>
      <c r="H25210" s="5">
        <v>35.793700</v>
      </c>
    </row>
    <row r="25211" spans="1:9">
      <c r="A25211" s="22" t="str">
        <f>HYPERLINK("https://app.vivvix.com/360/KMI/IntelliDrive/ApplUI/Pages/CreativePages/CustomReportCreativeDetail.aspx?App=23&amp;ReportView=4&amp;Qid=1711279&amp;Row=25203&amp;Col=1","No Title Assigned - #15285429379")</f>
        <v/>
      </c>
      <c r="B25211" s="0" t="s">
        <v>34026</v>
      </c>
      <c r="C25211" s="0" t="s">
        <v>34027</v>
      </c>
      <c r="D25211" s="0" t="s">
        <v>34027</v>
      </c>
      <c r="E25211" s="0" t="inlineStr">
        <is>
          <t xml:space="preserve">Mazda</t>
        </is>
      </c>
      <c r="F25211" s="0" t="s">
        <v>13</v>
      </c>
      <c r="G25211" s="0" t="s">
        <v>49</v>
      </c>
      <c r="H25211" s="5">
        <v>202.832000</v>
      </c>
    </row>
    <row r="25212" spans="1:9">
      <c r="A25212" s="22" t="str">
        <f>HYPERLINK("https://app.vivvix.com/360/KMI/IntelliDrive/ApplUI/Pages/CreativePages/CustomReportCreativeDetail.aspx?App=23&amp;ReportView=4&amp;Qid=1711279&amp;Row=25204&amp;Col=1","No Title Assigned - #15285429843")</f>
        <v/>
      </c>
      <c r="B25212" s="0" t="s">
        <v>34028</v>
      </c>
      <c r="C25212" s="0" t="s">
        <v>34029</v>
      </c>
      <c r="D25212" s="0" t="s">
        <v>34029</v>
      </c>
      <c r="E25212" s="0" t="inlineStr">
        <is>
          <t xml:space="preserve">Mazda</t>
        </is>
      </c>
      <c r="F25212" s="0" t="s">
        <v>13</v>
      </c>
      <c r="G25212" s="0" t="s">
        <v>49</v>
      </c>
      <c r="H25212" s="5">
        <v>85.909500</v>
      </c>
    </row>
    <row r="25213" spans="1:9">
      <c r="A25213" s="22" t="str">
        <f>HYPERLINK("https://app.vivvix.com/360/KMI/IntelliDrive/ApplUI/Pages/CreativePages/CustomReportCreativeDetail.aspx?App=23&amp;ReportView=4&amp;Qid=1711279&amp;Row=25205&amp;Col=1","No Title Assigned - #15285430368")</f>
        <v/>
      </c>
      <c r="B25213" s="0" t="s">
        <v>34030</v>
      </c>
      <c r="C25213" s="0" t="s">
        <v>34031</v>
      </c>
      <c r="D25213" s="0" t="s">
        <v>34031</v>
      </c>
      <c r="E25213" s="0" t="inlineStr">
        <is>
          <t xml:space="preserve">Mazda</t>
        </is>
      </c>
      <c r="F25213" s="0" t="s">
        <v>13</v>
      </c>
      <c r="G25213" s="0" t="s">
        <v>49</v>
      </c>
      <c r="H25213" s="5">
        <v>4.440400</v>
      </c>
    </row>
    <row r="25214" spans="1:9">
      <c r="A25214" s="22" t="str">
        <f>HYPERLINK("https://app.vivvix.com/360/KMI/IntelliDrive/ApplUI/Pages/CreativePages/CustomReportCreativeDetail.aspx?App=23&amp;ReportView=4&amp;Qid=1711279&amp;Row=25206&amp;Col=1","No Title Assigned - #15285430916")</f>
        <v/>
      </c>
      <c r="B25214" s="0" t="s">
        <v>34032</v>
      </c>
      <c r="C25214" s="0" t="s">
        <v>34033</v>
      </c>
      <c r="D25214" s="0" t="s">
        <v>34033</v>
      </c>
      <c r="E25214" s="0" t="inlineStr">
        <is>
          <t xml:space="preserve">Mazda</t>
        </is>
      </c>
      <c r="F25214" s="0" t="s">
        <v>13</v>
      </c>
      <c r="G25214" s="0" t="s">
        <v>49</v>
      </c>
      <c r="H25214" s="5">
        <v>2023.625100</v>
      </c>
    </row>
    <row r="25215" spans="1:9">
      <c r="A25215" s="22" t="str">
        <f>HYPERLINK("https://app.vivvix.com/360/KMI/IntelliDrive/ApplUI/Pages/CreativePages/CustomReportCreativeDetail.aspx?App=23&amp;ReportView=4&amp;Qid=1711279&amp;Row=25207&amp;Col=1","No Title Assigned - #15285430918")</f>
        <v/>
      </c>
      <c r="B25215" s="0" t="s">
        <v>34034</v>
      </c>
      <c r="C25215" s="0" t="s">
        <v>34035</v>
      </c>
      <c r="D25215" s="0" t="s">
        <v>34035</v>
      </c>
      <c r="E25215" s="0" t="inlineStr">
        <is>
          <t xml:space="preserve">Mazda</t>
        </is>
      </c>
      <c r="F25215" s="0" t="s">
        <v>13</v>
      </c>
      <c r="G25215" s="0" t="s">
        <v>49</v>
      </c>
      <c r="H25215" s="5">
        <v>1464.363400</v>
      </c>
    </row>
    <row r="25216" spans="1:9">
      <c r="A25216" s="22" t="str">
        <f>HYPERLINK("https://app.vivvix.com/360/KMI/IntelliDrive/ApplUI/Pages/CreativePages/CustomReportCreativeDetail.aspx?App=23&amp;ReportView=4&amp;Qid=1711279&amp;Row=25208&amp;Col=1","No Title Assigned - #15285432894")</f>
        <v/>
      </c>
      <c r="B25216" s="0" t="s">
        <v>34036</v>
      </c>
      <c r="C25216" s="0" t="s">
        <v>34037</v>
      </c>
      <c r="D25216" s="0" t="s">
        <v>34037</v>
      </c>
      <c r="E25216" s="0" t="inlineStr">
        <is>
          <t xml:space="preserve">Mazda</t>
        </is>
      </c>
      <c r="F25216" s="0" t="s">
        <v>13</v>
      </c>
      <c r="G25216" s="0" t="s">
        <v>49</v>
      </c>
      <c r="H25216" s="5">
        <v>53.838800</v>
      </c>
    </row>
    <row r="25217" spans="1:9">
      <c r="A25217" s="22" t="str">
        <f>HYPERLINK("https://app.vivvix.com/360/KMI/IntelliDrive/ApplUI/Pages/CreativePages/CustomReportCreativeDetail.aspx?App=23&amp;ReportView=4&amp;Qid=1711279&amp;Row=25209&amp;Col=1","No Title Assigned - #15285433374")</f>
        <v/>
      </c>
      <c r="B25217" s="0" t="s">
        <v>34038</v>
      </c>
      <c r="C25217" s="0" t="s">
        <v>34039</v>
      </c>
      <c r="D25217" s="0" t="s">
        <v>34039</v>
      </c>
      <c r="E25217" s="0" t="inlineStr">
        <is>
          <t xml:space="preserve">Mazda</t>
        </is>
      </c>
      <c r="F25217" s="0" t="s">
        <v>13</v>
      </c>
      <c r="G25217" s="0" t="s">
        <v>49</v>
      </c>
      <c r="H25217" s="5">
        <v>62.484600</v>
      </c>
    </row>
    <row r="25218" spans="1:9">
      <c r="A25218" s="22" t="str">
        <f>HYPERLINK("https://app.vivvix.com/360/KMI/IntelliDrive/ApplUI/Pages/CreativePages/CustomReportCreativeDetail.aspx?App=23&amp;ReportView=4&amp;Qid=1711279&amp;Row=25210&amp;Col=1","No Title Assigned - #15285434283")</f>
        <v/>
      </c>
      <c r="B25218" s="0" t="s">
        <v>34040</v>
      </c>
      <c r="C25218" s="0" t="s">
        <v>34041</v>
      </c>
      <c r="D25218" s="0" t="s">
        <v>34041</v>
      </c>
      <c r="E25218" s="0" t="inlineStr">
        <is>
          <t xml:space="preserve">Mazda</t>
        </is>
      </c>
      <c r="F25218" s="0" t="s">
        <v>28</v>
      </c>
      <c r="G25218" s="0" t="s">
        <v>29</v>
      </c>
      <c r="H25218" s="5">
        <v>655.687200</v>
      </c>
    </row>
    <row r="25219" spans="1:9">
      <c r="A25219" s="22" t="str">
        <f>HYPERLINK("https://app.vivvix.com/360/KMI/IntelliDrive/ApplUI/Pages/CreativePages/CustomReportCreativeDetail.aspx?App=23&amp;ReportView=4&amp;Qid=1711279&amp;Row=25211&amp;Col=1","No Title Assigned - #15285434806")</f>
        <v/>
      </c>
      <c r="B25219" s="0" t="s">
        <v>34042</v>
      </c>
      <c r="C25219" s="0" t="s">
        <v>34043</v>
      </c>
      <c r="D25219" s="0" t="s">
        <v>34043</v>
      </c>
      <c r="E25219" s="0" t="inlineStr">
        <is>
          <t xml:space="preserve">Mazda</t>
        </is>
      </c>
      <c r="F25219" s="0" t="s">
        <v>13</v>
      </c>
      <c r="G25219" s="0" t="s">
        <v>49</v>
      </c>
      <c r="H25219" s="5">
        <v>362.642200</v>
      </c>
    </row>
    <row r="25220" spans="1:9">
      <c r="A25220" s="22" t="str">
        <f>HYPERLINK("https://app.vivvix.com/360/KMI/IntelliDrive/ApplUI/Pages/CreativePages/CustomReportCreativeDetail.aspx?App=23&amp;ReportView=4&amp;Qid=1711279&amp;Row=25212&amp;Col=1","No Title Assigned - #15285435420")</f>
        <v/>
      </c>
      <c r="B25220" s="0" t="s">
        <v>34044</v>
      </c>
      <c r="C25220" s="0" t="s">
        <v>34045</v>
      </c>
      <c r="D25220" s="0" t="s">
        <v>34045</v>
      </c>
      <c r="E25220" s="0" t="inlineStr">
        <is>
          <t xml:space="preserve">Mazda</t>
        </is>
      </c>
      <c r="F25220" s="0" t="s">
        <v>13</v>
      </c>
      <c r="G25220" s="0" t="s">
        <v>49</v>
      </c>
      <c r="H25220" s="5">
        <v>144.419900</v>
      </c>
    </row>
    <row r="25221" spans="1:9">
      <c r="A25221" s="22" t="str">
        <f>HYPERLINK("https://app.vivvix.com/360/KMI/IntelliDrive/ApplUI/Pages/CreativePages/CustomReportCreativeDetail.aspx?App=23&amp;ReportView=4&amp;Qid=1711279&amp;Row=25213&amp;Col=1","No Title Assigned - #15285435477")</f>
        <v/>
      </c>
      <c r="B25221" s="0" t="s">
        <v>34046</v>
      </c>
      <c r="C25221" s="0" t="s">
        <v>34047</v>
      </c>
      <c r="D25221" s="0" t="s">
        <v>34047</v>
      </c>
      <c r="E25221" s="0" t="inlineStr">
        <is>
          <t xml:space="preserve">Mazda</t>
        </is>
      </c>
      <c r="F25221" s="0" t="s">
        <v>13</v>
      </c>
      <c r="G25221" s="0" t="s">
        <v>49</v>
      </c>
      <c r="H25221" s="5">
        <v>224.874400</v>
      </c>
    </row>
    <row r="25222" spans="1:9">
      <c r="A25222" s="22" t="str">
        <f>HYPERLINK("https://app.vivvix.com/360/KMI/IntelliDrive/ApplUI/Pages/CreativePages/CustomReportCreativeDetail.aspx?App=23&amp;ReportView=4&amp;Qid=1711279&amp;Row=25214&amp;Col=1","No Title Assigned - #15285435875")</f>
        <v/>
      </c>
      <c r="B25222" s="0" t="s">
        <v>34048</v>
      </c>
      <c r="C25222" s="0" t="s">
        <v>34049</v>
      </c>
      <c r="D25222" s="0" t="s">
        <v>34049</v>
      </c>
      <c r="E25222" s="0" t="inlineStr">
        <is>
          <t xml:space="preserve">Mazda</t>
        </is>
      </c>
      <c r="F25222" s="0" t="s">
        <v>13</v>
      </c>
      <c r="G25222" s="0" t="s">
        <v>49</v>
      </c>
      <c r="H25222" s="5">
        <v>257.613400</v>
      </c>
    </row>
    <row r="25223" spans="1:9">
      <c r="A25223" s="22" t="str">
        <f>HYPERLINK("https://app.vivvix.com/360/KMI/IntelliDrive/ApplUI/Pages/CreativePages/CustomReportCreativeDetail.aspx?App=23&amp;ReportView=4&amp;Qid=1711279&amp;Row=25215&amp;Col=1","No Title Assigned - #15285436031")</f>
        <v/>
      </c>
      <c r="B25223" s="0" t="s">
        <v>34050</v>
      </c>
      <c r="C25223" s="0" t="s">
        <v>34051</v>
      </c>
      <c r="D25223" s="0" t="s">
        <v>34051</v>
      </c>
      <c r="E25223" s="0" t="inlineStr">
        <is>
          <t xml:space="preserve">Mazda</t>
        </is>
      </c>
      <c r="F25223" s="0" t="s">
        <v>13</v>
      </c>
      <c r="G25223" s="0" t="s">
        <v>49</v>
      </c>
      <c r="H25223" s="5">
        <v>89.941400</v>
      </c>
    </row>
    <row r="25224" spans="1:9">
      <c r="A25224" s="22" t="str">
        <f>HYPERLINK("https://app.vivvix.com/360/KMI/IntelliDrive/ApplUI/Pages/CreativePages/CustomReportCreativeDetail.aspx?App=23&amp;ReportView=4&amp;Qid=1711279&amp;Row=25216&amp;Col=1","No Title Assigned - #15285436829")</f>
        <v/>
      </c>
      <c r="B25224" s="0" t="s">
        <v>34052</v>
      </c>
      <c r="C25224" s="0" t="s">
        <v>34053</v>
      </c>
      <c r="D25224" s="0" t="s">
        <v>34053</v>
      </c>
      <c r="E25224" s="0" t="inlineStr">
        <is>
          <t xml:space="preserve">Mazda</t>
        </is>
      </c>
      <c r="F25224" s="0" t="s">
        <v>13</v>
      </c>
      <c r="G25224" s="0" t="s">
        <v>49</v>
      </c>
      <c r="H25224" s="5">
        <v>428.052500</v>
      </c>
    </row>
    <row r="25225" spans="1:9">
      <c r="A25225" s="22" t="str">
        <f>HYPERLINK("https://app.vivvix.com/360/KMI/IntelliDrive/ApplUI/Pages/CreativePages/CustomReportCreativeDetail.aspx?App=23&amp;ReportView=4&amp;Qid=1711279&amp;Row=25217&amp;Col=1","No Title Assigned - #15285436847")</f>
        <v/>
      </c>
      <c r="B25225" s="0" t="s">
        <v>34054</v>
      </c>
      <c r="C25225" s="0" t="s">
        <v>34055</v>
      </c>
      <c r="D25225" s="0" t="s">
        <v>34055</v>
      </c>
      <c r="E25225" s="0" t="inlineStr">
        <is>
          <t xml:space="preserve">Mazda</t>
        </is>
      </c>
      <c r="F25225" s="0" t="s">
        <v>13</v>
      </c>
      <c r="G25225" s="0" t="s">
        <v>49</v>
      </c>
      <c r="H25225" s="5">
        <v>314.840900</v>
      </c>
    </row>
    <row r="25226" spans="1:9">
      <c r="A25226" s="22" t="str">
        <f>HYPERLINK("https://app.vivvix.com/360/KMI/IntelliDrive/ApplUI/Pages/CreativePages/CustomReportCreativeDetail.aspx?App=23&amp;ReportView=4&amp;Qid=1711279&amp;Row=25218&amp;Col=1","No Title Assigned - #15285437494")</f>
        <v/>
      </c>
      <c r="B25226" s="0" t="s">
        <v>34056</v>
      </c>
      <c r="C25226" s="0" t="s">
        <v>34057</v>
      </c>
      <c r="D25226" s="0" t="s">
        <v>34057</v>
      </c>
      <c r="E25226" s="0" t="inlineStr">
        <is>
          <t xml:space="preserve">Mazda</t>
        </is>
      </c>
      <c r="F25226" s="0" t="s">
        <v>13</v>
      </c>
      <c r="G25226" s="0" t="s">
        <v>49</v>
      </c>
      <c r="H25226" s="5">
        <v>81.641200</v>
      </c>
    </row>
    <row r="25227" spans="1:9">
      <c r="A25227" s="22" t="str">
        <f>HYPERLINK("https://app.vivvix.com/360/KMI/IntelliDrive/ApplUI/Pages/CreativePages/CustomReportCreativeDetail.aspx?App=23&amp;ReportView=4&amp;Qid=1711279&amp;Row=25219&amp;Col=1","No Title Assigned - #15285441346")</f>
        <v/>
      </c>
      <c r="B25227" s="0" t="s">
        <v>34058</v>
      </c>
      <c r="C25227" s="0" t="s">
        <v>34059</v>
      </c>
      <c r="D25227" s="0" t="s">
        <v>34059</v>
      </c>
      <c r="E25227" s="0" t="inlineStr">
        <is>
          <t xml:space="preserve">Mazda</t>
        </is>
      </c>
      <c r="F25227" s="0" t="s">
        <v>13</v>
      </c>
      <c r="G25227" s="0" t="s">
        <v>49</v>
      </c>
      <c r="H25227" s="5">
        <v>222.462600</v>
      </c>
    </row>
    <row r="25228" spans="1:9">
      <c r="A25228" s="22" t="str">
        <f>HYPERLINK("https://app.vivvix.com/360/KMI/IntelliDrive/ApplUI/Pages/CreativePages/CustomReportCreativeDetail.aspx?App=23&amp;ReportView=4&amp;Qid=1711279&amp;Row=25220&amp;Col=1","No Title Assigned - #15285444040")</f>
        <v/>
      </c>
      <c r="B25228" s="0" t="s">
        <v>34060</v>
      </c>
      <c r="C25228" s="0" t="s">
        <v>34061</v>
      </c>
      <c r="D25228" s="0" t="s">
        <v>34061</v>
      </c>
      <c r="E25228" s="0" t="inlineStr">
        <is>
          <t xml:space="preserve">Mazda</t>
        </is>
      </c>
      <c r="F25228" s="0" t="s">
        <v>13</v>
      </c>
      <c r="G25228" s="0" t="s">
        <v>49</v>
      </c>
      <c r="H25228" s="5">
        <v>206.994600</v>
      </c>
    </row>
    <row r="25229" spans="1:9">
      <c r="A25229" s="22" t="str">
        <f>HYPERLINK("https://app.vivvix.com/360/KMI/IntelliDrive/ApplUI/Pages/CreativePages/CustomReportCreativeDetail.aspx?App=23&amp;ReportView=4&amp;Qid=1711279&amp;Row=25221&amp;Col=1","No Title Assigned - #15285450522")</f>
        <v/>
      </c>
      <c r="B25229" s="0" t="s">
        <v>34062</v>
      </c>
      <c r="C25229" s="0" t="s">
        <v>34063</v>
      </c>
      <c r="D25229" s="0" t="s">
        <v>34063</v>
      </c>
      <c r="E25229" s="0" t="inlineStr">
        <is>
          <t xml:space="preserve">Mazda</t>
        </is>
      </c>
      <c r="F25229" s="0" t="s">
        <v>13</v>
      </c>
      <c r="G25229" s="0" t="s">
        <v>49</v>
      </c>
      <c r="H25229" s="5">
        <v>208.890400</v>
      </c>
    </row>
    <row r="25230" spans="1:9">
      <c r="A25230" s="22" t="str">
        <f>HYPERLINK("https://app.vivvix.com/360/KMI/IntelliDrive/ApplUI/Pages/CreativePages/CustomReportCreativeDetail.aspx?App=23&amp;ReportView=4&amp;Qid=1711279&amp;Row=25222&amp;Col=1","No Title Assigned - #15285450587")</f>
        <v/>
      </c>
      <c r="B25230" s="0" t="s">
        <v>34064</v>
      </c>
      <c r="C25230" s="0" t="s">
        <v>34065</v>
      </c>
      <c r="D25230" s="0" t="s">
        <v>34065</v>
      </c>
      <c r="E25230" s="0" t="inlineStr">
        <is>
          <t xml:space="preserve">Mazda</t>
        </is>
      </c>
      <c r="F25230" s="0" t="inlineStr">
        <is>
          <t xml:space="preserve">Mazda</t>
        </is>
      </c>
      <c r="G25230" s="0" t="s">
        <v>210</v>
      </c>
      <c r="H25230" s="5">
        <v>226.632600</v>
      </c>
    </row>
    <row r="25231" spans="1:9">
      <c r="A25231" s="22" t="str">
        <f>HYPERLINK("https://app.vivvix.com/360/KMI/IntelliDrive/ApplUI/Pages/CreativePages/CustomReportCreativeDetail.aspx?App=23&amp;ReportView=4&amp;Qid=1711279&amp;Row=25223&amp;Col=1","No Title Assigned - #15285452477")</f>
        <v/>
      </c>
      <c r="B25231" s="0" t="s">
        <v>34066</v>
      </c>
      <c r="C25231" s="0" t="s">
        <v>34067</v>
      </c>
      <c r="D25231" s="0" t="s">
        <v>34067</v>
      </c>
      <c r="E25231" s="0" t="inlineStr">
        <is>
          <t xml:space="preserve">Mazda</t>
        </is>
      </c>
      <c r="F25231" s="0" t="s">
        <v>13</v>
      </c>
      <c r="G25231" s="0" t="s">
        <v>49</v>
      </c>
      <c r="H25231" s="5">
        <v>498.785400</v>
      </c>
    </row>
    <row r="25232" spans="1:9">
      <c r="A25232" s="22" t="str">
        <f>HYPERLINK("https://app.vivvix.com/360/KMI/IntelliDrive/ApplUI/Pages/CreativePages/CustomReportCreativeDetail.aspx?App=23&amp;ReportView=4&amp;Qid=1711279&amp;Row=25224&amp;Col=1","No Title Assigned - #15285454627")</f>
        <v/>
      </c>
      <c r="B25232" s="0" t="s">
        <v>34068</v>
      </c>
      <c r="C25232" s="0" t="s">
        <v>34069</v>
      </c>
      <c r="D25232" s="0" t="s">
        <v>34069</v>
      </c>
      <c r="E25232" s="0" t="inlineStr">
        <is>
          <t xml:space="preserve">Mazda</t>
        </is>
      </c>
      <c r="F25232" s="0" t="s">
        <v>13</v>
      </c>
      <c r="G25232" s="0" t="s">
        <v>49</v>
      </c>
      <c r="H25232" s="5">
        <v>11.776300</v>
      </c>
    </row>
    <row r="25233" spans="1:9">
      <c r="A25233" s="22" t="str">
        <f>HYPERLINK("https://app.vivvix.com/360/KMI/IntelliDrive/ApplUI/Pages/CreativePages/CustomReportCreativeDetail.aspx?App=23&amp;ReportView=4&amp;Qid=1711279&amp;Row=25225&amp;Col=1","No Title Assigned - #15285455966")</f>
        <v/>
      </c>
      <c r="B25233" s="0" t="s">
        <v>34070</v>
      </c>
      <c r="C25233" s="0" t="s">
        <v>34071</v>
      </c>
      <c r="D25233" s="0" t="s">
        <v>34071</v>
      </c>
      <c r="E25233" s="0" t="inlineStr">
        <is>
          <t xml:space="preserve">Mazda</t>
        </is>
      </c>
      <c r="F25233" s="0" t="s">
        <v>13</v>
      </c>
      <c r="G25233" s="0" t="s">
        <v>49</v>
      </c>
      <c r="H25233" s="5">
        <v>656.732700</v>
      </c>
    </row>
    <row r="25234" spans="1:9">
      <c r="A25234" s="22" t="str">
        <f>HYPERLINK("https://app.vivvix.com/360/KMI/IntelliDrive/ApplUI/Pages/CreativePages/CustomReportCreativeDetail.aspx?App=23&amp;ReportView=4&amp;Qid=1711279&amp;Row=25226&amp;Col=1","No Title Assigned - #15285456281")</f>
        <v/>
      </c>
      <c r="B25234" s="0" t="s">
        <v>34072</v>
      </c>
      <c r="C25234" s="0" t="s">
        <v>34073</v>
      </c>
      <c r="D25234" s="0" t="s">
        <v>34073</v>
      </c>
      <c r="E25234" s="0" t="inlineStr">
        <is>
          <t xml:space="preserve">Mazda</t>
        </is>
      </c>
      <c r="F25234" s="0" t="s">
        <v>13</v>
      </c>
      <c r="G25234" s="0" t="s">
        <v>49</v>
      </c>
      <c r="H25234" s="5">
        <v>71520.996100</v>
      </c>
    </row>
    <row r="25235" spans="1:9">
      <c r="A25235" s="22" t="str">
        <f>HYPERLINK("https://app.vivvix.com/360/KMI/IntelliDrive/ApplUI/Pages/CreativePages/CustomReportCreativeDetail.aspx?App=23&amp;ReportView=4&amp;Qid=1711279&amp;Row=25227&amp;Col=1","No Title Assigned - #15285464712")</f>
        <v/>
      </c>
      <c r="B25235" s="0" t="s">
        <v>34074</v>
      </c>
      <c r="C25235" s="0" t="s">
        <v>34075</v>
      </c>
      <c r="D25235" s="0" t="s">
        <v>34075</v>
      </c>
      <c r="E25235" s="0" t="inlineStr">
        <is>
          <t xml:space="preserve">Mazda</t>
        </is>
      </c>
      <c r="F25235" s="0" t="inlineStr">
        <is>
          <t xml:space="preserve">Mazda</t>
        </is>
      </c>
      <c r="G25235" s="0" t="s">
        <v>210</v>
      </c>
      <c r="H25235" s="5">
        <v>411.848200</v>
      </c>
    </row>
    <row r="25236" spans="1:9">
      <c r="A25236" s="22" t="str">
        <f>HYPERLINK("https://app.vivvix.com/360/KMI/IntelliDrive/ApplUI/Pages/CreativePages/CustomReportCreativeDetail.aspx?App=23&amp;ReportView=4&amp;Qid=1711279&amp;Row=25228&amp;Col=1","No Title Assigned - #15285465626")</f>
        <v/>
      </c>
      <c r="B25236" s="0" t="s">
        <v>34076</v>
      </c>
      <c r="C25236" s="0" t="s">
        <v>34077</v>
      </c>
      <c r="D25236" s="0" t="s">
        <v>34077</v>
      </c>
      <c r="E25236" s="0" t="inlineStr">
        <is>
          <t xml:space="preserve">Mazda</t>
        </is>
      </c>
      <c r="F25236" s="0" t="s">
        <v>28</v>
      </c>
      <c r="G25236" s="0" t="s">
        <v>29</v>
      </c>
      <c r="H25236" s="5">
        <v>44.909600</v>
      </c>
    </row>
    <row r="25237" spans="1:9">
      <c r="A25237" s="22" t="str">
        <f>HYPERLINK("https://app.vivvix.com/360/KMI/IntelliDrive/ApplUI/Pages/CreativePages/CustomReportCreativeDetail.aspx?App=23&amp;ReportView=4&amp;Qid=1711279&amp;Row=25229&amp;Col=1","No Title Assigned - #15285467520")</f>
        <v/>
      </c>
      <c r="B25237" s="0" t="s">
        <v>34078</v>
      </c>
      <c r="C25237" s="0" t="s">
        <v>34079</v>
      </c>
      <c r="D25237" s="0" t="s">
        <v>34079</v>
      </c>
      <c r="E25237" s="0" t="inlineStr">
        <is>
          <t xml:space="preserve">Mazda</t>
        </is>
      </c>
      <c r="F25237" s="0" t="s">
        <v>13</v>
      </c>
      <c r="G25237" s="0" t="s">
        <v>49</v>
      </c>
      <c r="H25237" s="5">
        <v>224.853500</v>
      </c>
    </row>
    <row r="25238" spans="1:9">
      <c r="A25238" s="22" t="str">
        <f>HYPERLINK("https://app.vivvix.com/360/KMI/IntelliDrive/ApplUI/Pages/CreativePages/CustomReportCreativeDetail.aspx?App=23&amp;ReportView=4&amp;Qid=1711279&amp;Row=25230&amp;Col=1","No Title Assigned - #15285469565")</f>
        <v/>
      </c>
      <c r="B25238" s="0" t="s">
        <v>34080</v>
      </c>
      <c r="C25238" s="0" t="s">
        <v>34081</v>
      </c>
      <c r="D25238" s="0" t="s">
        <v>34081</v>
      </c>
      <c r="E25238" s="0" t="inlineStr">
        <is>
          <t xml:space="preserve">Mazda</t>
        </is>
      </c>
      <c r="F25238" s="0" t="s">
        <v>13</v>
      </c>
      <c r="G25238" s="0" t="s">
        <v>49</v>
      </c>
      <c r="H25238" s="5">
        <v>22.147100</v>
      </c>
    </row>
    <row r="25239" spans="1:9">
      <c r="A25239" s="22" t="str">
        <f>HYPERLINK("https://app.vivvix.com/360/KMI/IntelliDrive/ApplUI/Pages/CreativePages/CustomReportCreativeDetail.aspx?App=23&amp;ReportView=4&amp;Qid=1711279&amp;Row=25231&amp;Col=1","No Title Assigned - #15285470005")</f>
        <v/>
      </c>
      <c r="B25239" s="0" t="s">
        <v>34082</v>
      </c>
      <c r="C25239" s="0" t="s">
        <v>34083</v>
      </c>
      <c r="D25239" s="0" t="s">
        <v>34083</v>
      </c>
      <c r="E25239" s="0" t="inlineStr">
        <is>
          <t xml:space="preserve">Mazda</t>
        </is>
      </c>
      <c r="F25239" s="0" t="s">
        <v>13</v>
      </c>
      <c r="G25239" s="0" t="s">
        <v>49</v>
      </c>
      <c r="H25239" s="5">
        <v>53.838800</v>
      </c>
    </row>
    <row r="25240" spans="1:9">
      <c r="A25240" s="22" t="str">
        <f>HYPERLINK("https://app.vivvix.com/360/KMI/IntelliDrive/ApplUI/Pages/CreativePages/CustomReportCreativeDetail.aspx?App=23&amp;ReportView=4&amp;Qid=1711279&amp;Row=25232&amp;Col=1","No Title Assigned - #15285470323")</f>
        <v/>
      </c>
      <c r="B25240" s="0" t="s">
        <v>34084</v>
      </c>
      <c r="C25240" s="0" t="s">
        <v>34085</v>
      </c>
      <c r="D25240" s="0" t="s">
        <v>34085</v>
      </c>
      <c r="E25240" s="0" t="inlineStr">
        <is>
          <t xml:space="preserve">Mazda</t>
        </is>
      </c>
      <c r="F25240" s="0" t="s">
        <v>17</v>
      </c>
      <c r="G25240" s="0" t="s">
        <v>33</v>
      </c>
      <c r="H25240" s="5">
        <v>32.756300</v>
      </c>
    </row>
    <row r="25241" spans="1:9">
      <c r="A25241" s="22" t="str">
        <f>HYPERLINK("https://app.vivvix.com/360/KMI/IntelliDrive/ApplUI/Pages/CreativePages/CustomReportCreativeDetail.aspx?App=23&amp;ReportView=4&amp;Qid=1711279&amp;Row=25233&amp;Col=1","No Title Assigned - #15285471980")</f>
        <v/>
      </c>
      <c r="B25241" s="0" t="s">
        <v>34086</v>
      </c>
      <c r="C25241" s="0" t="s">
        <v>34087</v>
      </c>
      <c r="D25241" s="0" t="s">
        <v>34087</v>
      </c>
      <c r="E25241" s="0" t="inlineStr">
        <is>
          <t xml:space="preserve">Mazda</t>
        </is>
      </c>
      <c r="F25241" s="0" t="s">
        <v>13</v>
      </c>
      <c r="G25241" s="0" t="s">
        <v>49</v>
      </c>
      <c r="H25241" s="5">
        <v>324.377800</v>
      </c>
    </row>
    <row r="25242" spans="1:9">
      <c r="A25242" s="22" t="str">
        <f>HYPERLINK("https://app.vivvix.com/360/KMI/IntelliDrive/ApplUI/Pages/CreativePages/CustomReportCreativeDetail.aspx?App=23&amp;ReportView=4&amp;Qid=1711279&amp;Row=25234&amp;Col=1","No Title Assigned - #15285471981")</f>
        <v/>
      </c>
      <c r="B25242" s="0" t="s">
        <v>34088</v>
      </c>
      <c r="C25242" s="0" t="s">
        <v>34089</v>
      </c>
      <c r="D25242" s="0" t="s">
        <v>34089</v>
      </c>
      <c r="E25242" s="0" t="inlineStr">
        <is>
          <t xml:space="preserve">Mazda</t>
        </is>
      </c>
      <c r="F25242" s="0" t="s">
        <v>13</v>
      </c>
      <c r="G25242" s="0" t="s">
        <v>49</v>
      </c>
      <c r="H25242" s="5">
        <v>408.221300</v>
      </c>
    </row>
    <row r="25243" spans="1:9">
      <c r="A25243" s="22" t="str">
        <f>HYPERLINK("https://app.vivvix.com/360/KMI/IntelliDrive/ApplUI/Pages/CreativePages/CustomReportCreativeDetail.aspx?App=23&amp;ReportView=4&amp;Qid=1711279&amp;Row=25235&amp;Col=1","No Title Assigned - #15285474221")</f>
        <v/>
      </c>
      <c r="B25243" s="0" t="s">
        <v>34090</v>
      </c>
      <c r="C25243" s="0" t="s">
        <v>34091</v>
      </c>
      <c r="D25243" s="0" t="s">
        <v>34091</v>
      </c>
      <c r="E25243" s="0" t="inlineStr">
        <is>
          <t xml:space="preserve">Mazda</t>
        </is>
      </c>
      <c r="F25243" s="0" t="s">
        <v>13</v>
      </c>
      <c r="G25243" s="0" t="s">
        <v>49</v>
      </c>
      <c r="H25243" s="5">
        <v>29015.524000</v>
      </c>
    </row>
    <row r="25244" spans="1:9">
      <c r="A25244" s="22" t="str">
        <f>HYPERLINK("https://app.vivvix.com/360/KMI/IntelliDrive/ApplUI/Pages/CreativePages/CustomReportCreativeDetail.aspx?App=23&amp;ReportView=4&amp;Qid=1711279&amp;Row=25236&amp;Col=1","No Title Assigned - #15285481903")</f>
        <v/>
      </c>
      <c r="B25244" s="0" t="s">
        <v>34092</v>
      </c>
      <c r="C25244" s="0" t="s">
        <v>34093</v>
      </c>
      <c r="D25244" s="0" t="s">
        <v>34094</v>
      </c>
      <c r="E25244" s="0" t="inlineStr">
        <is>
          <t xml:space="preserve">Mazda</t>
        </is>
      </c>
      <c r="F25244" s="0" t="s">
        <v>13</v>
      </c>
      <c r="G25244" s="0" t="s">
        <v>49</v>
      </c>
      <c r="H25244" s="5">
        <v>105.418800</v>
      </c>
    </row>
    <row r="25245" spans="1:9">
      <c r="A25245" s="22" t="str">
        <f>HYPERLINK("https://app.vivvix.com/360/KMI/IntelliDrive/ApplUI/Pages/CreativePages/CustomReportCreativeDetail.aspx?App=23&amp;ReportView=4&amp;Qid=1711279&amp;Row=25237&amp;Col=1","No Title Assigned - #15285509494")</f>
        <v/>
      </c>
      <c r="B25245" s="0" t="s">
        <v>34095</v>
      </c>
      <c r="C25245" s="0" t="s">
        <v>34096</v>
      </c>
      <c r="D25245" s="0" t="s">
        <v>34096</v>
      </c>
      <c r="E25245" s="0" t="inlineStr">
        <is>
          <t xml:space="preserve">Mazda</t>
        </is>
      </c>
      <c r="F25245" s="0" t="s">
        <v>28</v>
      </c>
      <c r="G25245" s="0" t="s">
        <v>29</v>
      </c>
      <c r="H25245" s="5">
        <v>44.909600</v>
      </c>
    </row>
    <row r="25246" spans="1:9">
      <c r="A25246" s="22" t="str">
        <f>HYPERLINK("https://app.vivvix.com/360/KMI/IntelliDrive/ApplUI/Pages/CreativePages/CustomReportCreativeDetail.aspx?App=23&amp;ReportView=4&amp;Qid=1711279&amp;Row=25238&amp;Col=1","No Title Assigned - #15285514220")</f>
        <v/>
      </c>
      <c r="B25246" s="0" t="s">
        <v>34097</v>
      </c>
      <c r="C25246" s="0" t="s">
        <v>34098</v>
      </c>
      <c r="D25246" s="0" t="s">
        <v>34098</v>
      </c>
      <c r="E25246" s="0" t="inlineStr">
        <is>
          <t xml:space="preserve">Mazda</t>
        </is>
      </c>
      <c r="F25246" s="0" t="s">
        <v>13</v>
      </c>
      <c r="G25246" s="0" t="s">
        <v>49</v>
      </c>
      <c r="H25246" s="5">
        <v>118.852100</v>
      </c>
    </row>
    <row r="25247" spans="1:9">
      <c r="A25247" s="22" t="str">
        <f>HYPERLINK("https://app.vivvix.com/360/KMI/IntelliDrive/ApplUI/Pages/CreativePages/CustomReportCreativeDetail.aspx?App=23&amp;ReportView=4&amp;Qid=1711279&amp;Row=25239&amp;Col=1","No Title Assigned - #15285519964")</f>
        <v/>
      </c>
      <c r="B25247" s="0" t="s">
        <v>34099</v>
      </c>
      <c r="C25247" s="0" t="s">
        <v>34100</v>
      </c>
      <c r="D25247" s="0" t="s">
        <v>34100</v>
      </c>
      <c r="E25247" s="0" t="inlineStr">
        <is>
          <t xml:space="preserve">Mazda</t>
        </is>
      </c>
      <c r="F25247" s="0" t="s">
        <v>13</v>
      </c>
      <c r="G25247" s="0" t="s">
        <v>49</v>
      </c>
      <c r="H25247" s="5">
        <v>960.857800</v>
      </c>
    </row>
    <row r="25248" spans="1:9">
      <c r="A25248" s="22" t="str">
        <f>HYPERLINK("https://app.vivvix.com/360/KMI/IntelliDrive/ApplUI/Pages/CreativePages/CustomReportCreativeDetail.aspx?App=23&amp;ReportView=4&amp;Qid=1711279&amp;Row=25240&amp;Col=1","No Title Assigned - #15285525985")</f>
        <v/>
      </c>
      <c r="B25248" s="0" t="s">
        <v>34101</v>
      </c>
      <c r="C25248" s="0" t="s">
        <v>34102</v>
      </c>
      <c r="D25248" s="0" t="s">
        <v>34102</v>
      </c>
      <c r="E25248" s="0" t="inlineStr">
        <is>
          <t xml:space="preserve">Mazda</t>
        </is>
      </c>
      <c r="F25248" s="0" t="s">
        <v>13</v>
      </c>
      <c r="G25248" s="0" t="s">
        <v>49</v>
      </c>
      <c r="H25248" s="5">
        <v>91.177800</v>
      </c>
    </row>
    <row r="25249" spans="1:9">
      <c r="A25249" s="22" t="str">
        <f>HYPERLINK("https://app.vivvix.com/360/KMI/IntelliDrive/ApplUI/Pages/CreativePages/CustomReportCreativeDetail.aspx?App=23&amp;ReportView=4&amp;Qid=1711279&amp;Row=25241&amp;Col=1","No Title Assigned - #15285527348")</f>
        <v/>
      </c>
      <c r="B25249" s="0" t="s">
        <v>34103</v>
      </c>
      <c r="C25249" s="0" t="s">
        <v>34104</v>
      </c>
      <c r="D25249" s="0" t="s">
        <v>34104</v>
      </c>
      <c r="E25249" s="0" t="inlineStr">
        <is>
          <t xml:space="preserve">Mazda</t>
        </is>
      </c>
      <c r="F25249" s="0" t="s">
        <v>13</v>
      </c>
      <c r="G25249" s="0" t="s">
        <v>49</v>
      </c>
      <c r="H25249" s="5">
        <v>275.828700</v>
      </c>
    </row>
    <row r="25250" spans="1:9">
      <c r="A25250" s="22" t="str">
        <f>HYPERLINK("https://app.vivvix.com/360/KMI/IntelliDrive/ApplUI/Pages/CreativePages/CustomReportCreativeDetail.aspx?App=23&amp;ReportView=4&amp;Qid=1711279&amp;Row=25242&amp;Col=1","No Title Assigned - #15285530618")</f>
        <v/>
      </c>
      <c r="B25250" s="0" t="s">
        <v>34105</v>
      </c>
      <c r="C25250" s="0" t="s">
        <v>34106</v>
      </c>
      <c r="D25250" s="0" t="s">
        <v>34106</v>
      </c>
      <c r="E25250" s="0" t="inlineStr">
        <is>
          <t xml:space="preserve">Mazda</t>
        </is>
      </c>
      <c r="F25250" s="0" t="s">
        <v>13</v>
      </c>
      <c r="G25250" s="0" t="s">
        <v>49</v>
      </c>
      <c r="H25250" s="5">
        <v>5629.200600</v>
      </c>
    </row>
    <row r="25251" spans="1:9">
      <c r="A25251" s="22" t="str">
        <f>HYPERLINK("https://app.vivvix.com/360/KMI/IntelliDrive/ApplUI/Pages/CreativePages/CustomReportCreativeDetail.aspx?App=23&amp;ReportView=4&amp;Qid=1711279&amp;Row=25243&amp;Col=1","No Title Assigned - #15285534279")</f>
        <v/>
      </c>
      <c r="B25251" s="0" t="s">
        <v>34107</v>
      </c>
      <c r="C25251" s="0" t="s">
        <v>34108</v>
      </c>
      <c r="D25251" s="0" t="s">
        <v>34108</v>
      </c>
      <c r="E25251" s="0" t="inlineStr">
        <is>
          <t xml:space="preserve">Mazda</t>
        </is>
      </c>
      <c r="F25251" s="0" t="s">
        <v>28</v>
      </c>
      <c r="G25251" s="0" t="s">
        <v>29</v>
      </c>
      <c r="H25251" s="5">
        <v>596.998700</v>
      </c>
    </row>
    <row r="25252" spans="1:9">
      <c r="A25252" s="22" t="str">
        <f>HYPERLINK("https://app.vivvix.com/360/KMI/IntelliDrive/ApplUI/Pages/CreativePages/CustomReportCreativeDetail.aspx?App=23&amp;ReportView=4&amp;Qid=1711279&amp;Row=25244&amp;Col=1","No Title Assigned - #15285550234")</f>
        <v/>
      </c>
      <c r="B25252" s="0" t="s">
        <v>34109</v>
      </c>
      <c r="C25252" s="0" t="s">
        <v>34110</v>
      </c>
      <c r="D25252" s="0" t="s">
        <v>34110</v>
      </c>
      <c r="E25252" s="0" t="inlineStr">
        <is>
          <t xml:space="preserve">Mazda</t>
        </is>
      </c>
      <c r="F25252" s="0" t="s">
        <v>13</v>
      </c>
      <c r="G25252" s="0" t="s">
        <v>49</v>
      </c>
      <c r="H25252" s="5">
        <v>3.396800</v>
      </c>
    </row>
    <row r="25253" spans="1:9">
      <c r="A25253" s="22" t="str">
        <f>HYPERLINK("https://app.vivvix.com/360/KMI/IntelliDrive/ApplUI/Pages/CreativePages/CustomReportCreativeDetail.aspx?App=23&amp;ReportView=4&amp;Qid=1711279&amp;Row=25245&amp;Col=1","No Title Assigned - #15285556930")</f>
        <v/>
      </c>
      <c r="B25253" s="0" t="s">
        <v>34111</v>
      </c>
      <c r="C25253" s="0" t="s">
        <v>34112</v>
      </c>
      <c r="D25253" s="0" t="s">
        <v>34112</v>
      </c>
      <c r="E25253" s="0" t="inlineStr">
        <is>
          <t xml:space="preserve">Mazda</t>
        </is>
      </c>
      <c r="F25253" s="0" t="s">
        <v>13</v>
      </c>
      <c r="G25253" s="0" t="s">
        <v>49</v>
      </c>
      <c r="H25253" s="5">
        <v>301.400500</v>
      </c>
    </row>
    <row r="25254" spans="1:9">
      <c r="A25254" s="22" t="str">
        <f>HYPERLINK("https://app.vivvix.com/360/KMI/IntelliDrive/ApplUI/Pages/CreativePages/CustomReportCreativeDetail.aspx?App=23&amp;ReportView=4&amp;Qid=1711279&amp;Row=25246&amp;Col=1","No Title Assigned - #15285558246")</f>
        <v/>
      </c>
      <c r="B25254" s="0" t="s">
        <v>34113</v>
      </c>
      <c r="C25254" s="0" t="s">
        <v>34114</v>
      </c>
      <c r="D25254" s="0" t="s">
        <v>34114</v>
      </c>
      <c r="E25254" s="0" t="inlineStr">
        <is>
          <t xml:space="preserve">Mazda</t>
        </is>
      </c>
      <c r="F25254" s="0" t="s">
        <v>13</v>
      </c>
      <c r="G25254" s="0" t="s">
        <v>49</v>
      </c>
      <c r="H25254" s="5">
        <v>85.264800</v>
      </c>
    </row>
    <row r="25255" spans="1:9">
      <c r="A25255" s="22" t="str">
        <f>HYPERLINK("https://app.vivvix.com/360/KMI/IntelliDrive/ApplUI/Pages/CreativePages/CustomReportCreativeDetail.aspx?App=23&amp;ReportView=4&amp;Qid=1711279&amp;Row=25247&amp;Col=1","No Title Assigned - #15285560911")</f>
        <v/>
      </c>
      <c r="B25255" s="0" t="s">
        <v>34115</v>
      </c>
      <c r="C25255" s="0" t="s">
        <v>34116</v>
      </c>
      <c r="D25255" s="0" t="s">
        <v>34116</v>
      </c>
      <c r="E25255" s="0" t="inlineStr">
        <is>
          <t xml:space="preserve">Mazda</t>
        </is>
      </c>
      <c r="F25255" s="0" t="s">
        <v>13</v>
      </c>
      <c r="G25255" s="0" t="s">
        <v>49</v>
      </c>
      <c r="H25255" s="5">
        <v>4352.328600</v>
      </c>
    </row>
    <row r="25256" spans="1:9">
      <c r="A25256" s="22" t="str">
        <f>HYPERLINK("https://app.vivvix.com/360/KMI/IntelliDrive/ApplUI/Pages/CreativePages/CustomReportCreativeDetail.aspx?App=23&amp;ReportView=4&amp;Qid=1711279&amp;Row=25248&amp;Col=1","No Title Assigned - #15285564010")</f>
        <v/>
      </c>
      <c r="B25256" s="0" t="s">
        <v>34117</v>
      </c>
      <c r="C25256" s="0" t="s">
        <v>34118</v>
      </c>
      <c r="D25256" s="0" t="s">
        <v>34118</v>
      </c>
      <c r="E25256" s="0" t="inlineStr">
        <is>
          <t xml:space="preserve">Mazda</t>
        </is>
      </c>
      <c r="F25256" s="0" t="s">
        <v>13</v>
      </c>
      <c r="G25256" s="0" t="s">
        <v>49</v>
      </c>
      <c r="H25256" s="5">
        <v>230.549900</v>
      </c>
    </row>
    <row r="25257" spans="1:9">
      <c r="A25257" s="22" t="str">
        <f>HYPERLINK("https://app.vivvix.com/360/KMI/IntelliDrive/ApplUI/Pages/CreativePages/CustomReportCreativeDetail.aspx?App=23&amp;ReportView=4&amp;Qid=1711279&amp;Row=25249&amp;Col=1","No Title Assigned - #15285566454")</f>
        <v/>
      </c>
      <c r="B25257" s="0" t="s">
        <v>34119</v>
      </c>
      <c r="C25257" s="0" t="s">
        <v>34120</v>
      </c>
      <c r="D25257" s="0" t="s">
        <v>34120</v>
      </c>
      <c r="E25257" s="0" t="inlineStr">
        <is>
          <t xml:space="preserve">Mazda</t>
        </is>
      </c>
      <c r="F25257" s="0" t="s">
        <v>13</v>
      </c>
      <c r="G25257" s="0" t="s">
        <v>49</v>
      </c>
      <c r="H25257" s="5">
        <v>2297.772200</v>
      </c>
    </row>
    <row r="25258" spans="1:9">
      <c r="A25258" s="22" t="str">
        <f>HYPERLINK("https://app.vivvix.com/360/KMI/IntelliDrive/ApplUI/Pages/CreativePages/CustomReportCreativeDetail.aspx?App=23&amp;ReportView=4&amp;Qid=1711279&amp;Row=25250&amp;Col=1","No Title Assigned - #15285566626")</f>
        <v/>
      </c>
      <c r="B25258" s="0" t="s">
        <v>34121</v>
      </c>
      <c r="C25258" s="0" t="s">
        <v>34122</v>
      </c>
      <c r="D25258" s="0" t="s">
        <v>34122</v>
      </c>
      <c r="E25258" s="0" t="inlineStr">
        <is>
          <t xml:space="preserve">Mazda</t>
        </is>
      </c>
      <c r="F25258" s="0" t="s">
        <v>34123</v>
      </c>
      <c r="G25258" s="0" t="s">
        <v>34124</v>
      </c>
      <c r="H25258" s="5">
        <v>1304.674900</v>
      </c>
    </row>
    <row r="25259" spans="1:9">
      <c r="A25259" s="22" t="str">
        <f>HYPERLINK("https://app.vivvix.com/360/KMI/IntelliDrive/ApplUI/Pages/CreativePages/CustomReportCreativeDetail.aspx?App=23&amp;ReportView=4&amp;Qid=1711279&amp;Row=25251&amp;Col=1","No Title Assigned - #15285566627")</f>
        <v/>
      </c>
      <c r="B25259" s="0" t="s">
        <v>34125</v>
      </c>
      <c r="C25259" s="0" t="s">
        <v>34126</v>
      </c>
      <c r="D25259" s="0" t="s">
        <v>34126</v>
      </c>
      <c r="E25259" s="0" t="inlineStr">
        <is>
          <t xml:space="preserve">Mazda</t>
        </is>
      </c>
      <c r="F25259" s="0" t="s">
        <v>13</v>
      </c>
      <c r="G25259" s="0" t="s">
        <v>49</v>
      </c>
      <c r="H25259" s="5">
        <v>170.529600</v>
      </c>
    </row>
    <row r="25260" spans="1:9">
      <c r="A25260" s="22" t="str">
        <f>HYPERLINK("https://app.vivvix.com/360/KMI/IntelliDrive/ApplUI/Pages/CreativePages/CustomReportCreativeDetail.aspx?App=23&amp;ReportView=4&amp;Qid=1711279&amp;Row=25252&amp;Col=1","No Title Assigned - #15285566629")</f>
        <v/>
      </c>
      <c r="B25260" s="0" t="s">
        <v>34127</v>
      </c>
      <c r="C25260" s="0" t="s">
        <v>34128</v>
      </c>
      <c r="D25260" s="0" t="s">
        <v>34128</v>
      </c>
      <c r="E25260" s="0" t="inlineStr">
        <is>
          <t xml:space="preserve">Mazda</t>
        </is>
      </c>
      <c r="F25260" s="0" t="s">
        <v>13</v>
      </c>
      <c r="G25260" s="0" t="s">
        <v>49</v>
      </c>
      <c r="H25260" s="5">
        <v>170.529600</v>
      </c>
    </row>
    <row r="25261" spans="1:9">
      <c r="A25261" s="22" t="str">
        <f>HYPERLINK("https://app.vivvix.com/360/KMI/IntelliDrive/ApplUI/Pages/CreativePages/CustomReportCreativeDetail.aspx?App=23&amp;ReportView=4&amp;Qid=1711279&amp;Row=25253&amp;Col=1","No Title Assigned - #15285568032")</f>
        <v/>
      </c>
      <c r="B25261" s="0" t="s">
        <v>34129</v>
      </c>
      <c r="C25261" s="0" t="s">
        <v>34130</v>
      </c>
      <c r="D25261" s="0" t="s">
        <v>34130</v>
      </c>
      <c r="E25261" s="0" t="inlineStr">
        <is>
          <t xml:space="preserve">Mazda</t>
        </is>
      </c>
      <c r="F25261" s="0" t="s">
        <v>13</v>
      </c>
      <c r="G25261" s="0" t="s">
        <v>49</v>
      </c>
      <c r="H25261" s="5">
        <v>534.592200</v>
      </c>
    </row>
    <row r="25262" spans="1:9">
      <c r="A25262" s="22" t="str">
        <f>HYPERLINK("https://app.vivvix.com/360/KMI/IntelliDrive/ApplUI/Pages/CreativePages/CustomReportCreativeDetail.aspx?App=23&amp;ReportView=4&amp;Qid=1711279&amp;Row=25254&amp;Col=1","No Title Assigned - #15285568588")</f>
        <v/>
      </c>
      <c r="B25262" s="0" t="s">
        <v>34131</v>
      </c>
      <c r="C25262" s="0" t="s">
        <v>34132</v>
      </c>
      <c r="D25262" s="0" t="s">
        <v>34132</v>
      </c>
      <c r="E25262" s="0" t="inlineStr">
        <is>
          <t xml:space="preserve">Mazda</t>
        </is>
      </c>
      <c r="F25262" s="0" t="s">
        <v>13</v>
      </c>
      <c r="G25262" s="0" t="s">
        <v>49</v>
      </c>
      <c r="H25262" s="5">
        <v>21.073800</v>
      </c>
    </row>
    <row r="25263" spans="1:9">
      <c r="A25263" s="22" t="str">
        <f>HYPERLINK("https://app.vivvix.com/360/KMI/IntelliDrive/ApplUI/Pages/CreativePages/CustomReportCreativeDetail.aspx?App=23&amp;ReportView=4&amp;Qid=1711279&amp;Row=25255&amp;Col=1","No Title Assigned - #15285570965")</f>
        <v/>
      </c>
      <c r="B25263" s="0" t="s">
        <v>34133</v>
      </c>
      <c r="C25263" s="0" t="s">
        <v>34134</v>
      </c>
      <c r="D25263" s="0" t="s">
        <v>34134</v>
      </c>
      <c r="E25263" s="0" t="inlineStr">
        <is>
          <t xml:space="preserve">Mazda</t>
        </is>
      </c>
      <c r="F25263" s="0" t="s">
        <v>13</v>
      </c>
      <c r="G25263" s="0" t="s">
        <v>49</v>
      </c>
      <c r="H25263" s="5">
        <v>208.890400</v>
      </c>
    </row>
    <row r="25264" spans="1:9">
      <c r="A25264" s="22" t="str">
        <f>HYPERLINK("https://app.vivvix.com/360/KMI/IntelliDrive/ApplUI/Pages/CreativePages/CustomReportCreativeDetail.aspx?App=23&amp;ReportView=4&amp;Qid=1711279&amp;Row=25256&amp;Col=1","No Title Assigned - #15285570987")</f>
        <v/>
      </c>
      <c r="B25264" s="0" t="s">
        <v>34135</v>
      </c>
      <c r="C25264" s="0" t="s">
        <v>34136</v>
      </c>
      <c r="D25264" s="0" t="s">
        <v>34136</v>
      </c>
      <c r="E25264" s="0" t="inlineStr">
        <is>
          <t xml:space="preserve">Mazda</t>
        </is>
      </c>
      <c r="F25264" s="0" t="s">
        <v>13</v>
      </c>
      <c r="G25264" s="0" t="s">
        <v>49</v>
      </c>
      <c r="H25264" s="5">
        <v>90.977200</v>
      </c>
    </row>
    <row r="25265" spans="1:9">
      <c r="A25265" s="22" t="str">
        <f>HYPERLINK("https://app.vivvix.com/360/KMI/IntelliDrive/ApplUI/Pages/CreativePages/CustomReportCreativeDetail.aspx?App=23&amp;ReportView=4&amp;Qid=1711279&amp;Row=25257&amp;Col=1","No Title Assigned - #15285571310")</f>
        <v/>
      </c>
      <c r="B25265" s="0" t="s">
        <v>34137</v>
      </c>
      <c r="C25265" s="0" t="s">
        <v>34138</v>
      </c>
      <c r="D25265" s="0" t="s">
        <v>34138</v>
      </c>
      <c r="E25265" s="0" t="inlineStr">
        <is>
          <t xml:space="preserve">Mazda</t>
        </is>
      </c>
      <c r="F25265" s="0" t="s">
        <v>13</v>
      </c>
      <c r="G25265" s="0" t="s">
        <v>49</v>
      </c>
      <c r="H25265" s="5">
        <v>79.424800</v>
      </c>
    </row>
    <row r="25266" spans="1:9">
      <c r="A25266" s="22" t="str">
        <f>HYPERLINK("https://app.vivvix.com/360/KMI/IntelliDrive/ApplUI/Pages/CreativePages/CustomReportCreativeDetail.aspx?App=23&amp;ReportView=4&amp;Qid=1711279&amp;Row=25258&amp;Col=1","No Title Assigned - #15285572937")</f>
        <v/>
      </c>
      <c r="B25266" s="0" t="s">
        <v>34139</v>
      </c>
      <c r="C25266" s="0" t="s">
        <v>34140</v>
      </c>
      <c r="D25266" s="0" t="s">
        <v>34140</v>
      </c>
      <c r="E25266" s="0" t="inlineStr">
        <is>
          <t xml:space="preserve">Mazda</t>
        </is>
      </c>
      <c r="F25266" s="0" t="s">
        <v>13</v>
      </c>
      <c r="G25266" s="0" t="s">
        <v>49</v>
      </c>
      <c r="H25266" s="5">
        <v>311.665900</v>
      </c>
    </row>
    <row r="25267" spans="1:9">
      <c r="A25267" s="22" t="str">
        <f>HYPERLINK("https://app.vivvix.com/360/KMI/IntelliDrive/ApplUI/Pages/CreativePages/CustomReportCreativeDetail.aspx?App=23&amp;ReportView=4&amp;Qid=1711279&amp;Row=25259&amp;Col=1","No Title Assigned - #15285575297")</f>
        <v/>
      </c>
      <c r="B25267" s="0" t="s">
        <v>34141</v>
      </c>
      <c r="C25267" s="0" t="s">
        <v>34142</v>
      </c>
      <c r="D25267" s="0" t="s">
        <v>34142</v>
      </c>
      <c r="E25267" s="0" t="inlineStr">
        <is>
          <t xml:space="preserve">Mazda</t>
        </is>
      </c>
      <c r="F25267" s="0" t="s">
        <v>13</v>
      </c>
      <c r="G25267" s="0" t="s">
        <v>49</v>
      </c>
      <c r="H25267" s="5">
        <v>105.522100</v>
      </c>
    </row>
    <row r="25268" spans="1:9">
      <c r="A25268" s="22" t="str">
        <f>HYPERLINK("https://app.vivvix.com/360/KMI/IntelliDrive/ApplUI/Pages/CreativePages/CustomReportCreativeDetail.aspx?App=23&amp;ReportView=4&amp;Qid=1711279&amp;Row=25260&amp;Col=1","No Title Assigned - #15285575554")</f>
        <v/>
      </c>
      <c r="B25268" s="0" t="s">
        <v>34143</v>
      </c>
      <c r="C25268" s="0" t="s">
        <v>34144</v>
      </c>
      <c r="D25268" s="0" t="s">
        <v>34144</v>
      </c>
      <c r="E25268" s="0" t="inlineStr">
        <is>
          <t xml:space="preserve">Mazda</t>
        </is>
      </c>
      <c r="F25268" s="0" t="s">
        <v>13</v>
      </c>
      <c r="G25268" s="0" t="s">
        <v>49</v>
      </c>
      <c r="H25268" s="5">
        <v>206.451200</v>
      </c>
    </row>
    <row r="25269" spans="1:9">
      <c r="A25269" s="22" t="str">
        <f>HYPERLINK("https://app.vivvix.com/360/KMI/IntelliDrive/ApplUI/Pages/CreativePages/CustomReportCreativeDetail.aspx?App=23&amp;ReportView=4&amp;Qid=1711279&amp;Row=25261&amp;Col=1","No Title Assigned - #15285575951")</f>
        <v/>
      </c>
      <c r="B25269" s="0" t="s">
        <v>34145</v>
      </c>
      <c r="C25269" s="0" t="s">
        <v>34146</v>
      </c>
      <c r="D25269" s="0" t="s">
        <v>34146</v>
      </c>
      <c r="E25269" s="0" t="inlineStr">
        <is>
          <t xml:space="preserve">Mazda</t>
        </is>
      </c>
      <c r="F25269" s="0" t="s">
        <v>13</v>
      </c>
      <c r="G25269" s="0" t="s">
        <v>49</v>
      </c>
      <c r="H25269" s="5">
        <v>474.390000</v>
      </c>
    </row>
    <row r="25270" spans="1:9">
      <c r="A25270" s="22" t="str">
        <f>HYPERLINK("https://app.vivvix.com/360/KMI/IntelliDrive/ApplUI/Pages/CreativePages/CustomReportCreativeDetail.aspx?App=23&amp;ReportView=4&amp;Qid=1711279&amp;Row=25262&amp;Col=1","No Title Assigned - #15285576138")</f>
        <v/>
      </c>
      <c r="B25270" s="0" t="s">
        <v>34147</v>
      </c>
      <c r="C25270" s="0" t="s">
        <v>34148</v>
      </c>
      <c r="D25270" s="0" t="s">
        <v>34148</v>
      </c>
      <c r="E25270" s="0" t="inlineStr">
        <is>
          <t xml:space="preserve">Mazda</t>
        </is>
      </c>
      <c r="F25270" s="0" t="s">
        <v>13</v>
      </c>
      <c r="G25270" s="0" t="s">
        <v>49</v>
      </c>
      <c r="H25270" s="5">
        <v>48.693800</v>
      </c>
    </row>
    <row r="25271" spans="1:9">
      <c r="A25271" s="22" t="str">
        <f>HYPERLINK("https://app.vivvix.com/360/KMI/IntelliDrive/ApplUI/Pages/CreativePages/CustomReportCreativeDetail.aspx?App=23&amp;ReportView=4&amp;Qid=1711279&amp;Row=25263&amp;Col=1","No Title Assigned - #15285576139")</f>
        <v/>
      </c>
      <c r="B25271" s="0" t="s">
        <v>34149</v>
      </c>
      <c r="C25271" s="0" t="s">
        <v>34150</v>
      </c>
      <c r="D25271" s="0" t="s">
        <v>34150</v>
      </c>
      <c r="E25271" s="0" t="inlineStr">
        <is>
          <t xml:space="preserve">Mazda</t>
        </is>
      </c>
      <c r="F25271" s="0" t="s">
        <v>13</v>
      </c>
      <c r="G25271" s="0" t="s">
        <v>49</v>
      </c>
      <c r="H25271" s="5">
        <v>97.387600</v>
      </c>
    </row>
    <row r="25272" spans="1:9">
      <c r="A25272" s="22" t="str">
        <f>HYPERLINK("https://app.vivvix.com/360/KMI/IntelliDrive/ApplUI/Pages/CreativePages/CustomReportCreativeDetail.aspx?App=23&amp;ReportView=4&amp;Qid=1711279&amp;Row=25264&amp;Col=1","No Title Assigned - #15285576140")</f>
        <v/>
      </c>
      <c r="B25272" s="0" t="s">
        <v>34151</v>
      </c>
      <c r="C25272" s="0" t="s">
        <v>34152</v>
      </c>
      <c r="D25272" s="0" t="s">
        <v>34152</v>
      </c>
      <c r="E25272" s="0" t="inlineStr">
        <is>
          <t xml:space="preserve">Mazda</t>
        </is>
      </c>
      <c r="F25272" s="0" t="s">
        <v>13</v>
      </c>
      <c r="G25272" s="0" t="s">
        <v>49</v>
      </c>
      <c r="H25272" s="5">
        <v>97.387600</v>
      </c>
    </row>
    <row r="25273" spans="1:9">
      <c r="A25273" s="22" t="str">
        <f>HYPERLINK("https://app.vivvix.com/360/KMI/IntelliDrive/ApplUI/Pages/CreativePages/CustomReportCreativeDetail.aspx?App=23&amp;ReportView=4&amp;Qid=1711279&amp;Row=25265&amp;Col=1","No Title Assigned - #15285577317")</f>
        <v/>
      </c>
      <c r="B25273" s="0" t="s">
        <v>34153</v>
      </c>
      <c r="C25273" s="0" t="s">
        <v>34154</v>
      </c>
      <c r="D25273" s="0" t="s">
        <v>34154</v>
      </c>
      <c r="E25273" s="0" t="inlineStr">
        <is>
          <t xml:space="preserve">Mazda</t>
        </is>
      </c>
      <c r="F25273" s="0" t="s">
        <v>13</v>
      </c>
      <c r="G25273" s="0" t="s">
        <v>49</v>
      </c>
      <c r="H25273" s="5">
        <v>20.380800</v>
      </c>
    </row>
    <row r="25274" spans="1:9">
      <c r="A25274" s="22" t="str">
        <f>HYPERLINK("https://app.vivvix.com/360/KMI/IntelliDrive/ApplUI/Pages/CreativePages/CustomReportCreativeDetail.aspx?App=23&amp;ReportView=4&amp;Qid=1711279&amp;Row=25266&amp;Col=1","No Title Assigned - #15285578899")</f>
        <v/>
      </c>
      <c r="B25274" s="0" t="s">
        <v>34155</v>
      </c>
      <c r="C25274" s="0" t="s">
        <v>34156</v>
      </c>
      <c r="D25274" s="0" t="s">
        <v>34156</v>
      </c>
      <c r="E25274" s="0" t="inlineStr">
        <is>
          <t xml:space="preserve">Mazda</t>
        </is>
      </c>
      <c r="F25274" s="0" t="s">
        <v>13</v>
      </c>
      <c r="G25274" s="0" t="s">
        <v>49</v>
      </c>
      <c r="H25274" s="5">
        <v>1622.836400</v>
      </c>
    </row>
    <row r="25275" spans="1:9">
      <c r="A25275" s="22" t="str">
        <f>HYPERLINK("https://app.vivvix.com/360/KMI/IntelliDrive/ApplUI/Pages/CreativePages/CustomReportCreativeDetail.aspx?App=23&amp;ReportView=4&amp;Qid=1711279&amp;Row=25267&amp;Col=1","No Title Assigned - #15285579146")</f>
        <v/>
      </c>
      <c r="B25275" s="0" t="s">
        <v>34157</v>
      </c>
      <c r="C25275" s="0" t="s">
        <v>34158</v>
      </c>
      <c r="D25275" s="0" t="s">
        <v>34158</v>
      </c>
      <c r="E25275" s="0" t="inlineStr">
        <is>
          <t xml:space="preserve">Mazda</t>
        </is>
      </c>
      <c r="F25275" s="0" t="s">
        <v>13</v>
      </c>
      <c r="G25275" s="0" t="s">
        <v>49</v>
      </c>
      <c r="H25275" s="5">
        <v>465.892500</v>
      </c>
    </row>
    <row r="25276" spans="1:9">
      <c r="A25276" s="22" t="str">
        <f>HYPERLINK("https://app.vivvix.com/360/KMI/IntelliDrive/ApplUI/Pages/CreativePages/CustomReportCreativeDetail.aspx?App=23&amp;ReportView=4&amp;Qid=1711279&amp;Row=25268&amp;Col=1","No Title Assigned - #15285579831")</f>
        <v/>
      </c>
      <c r="B25276" s="0" t="s">
        <v>34159</v>
      </c>
      <c r="C25276" s="0" t="s">
        <v>34160</v>
      </c>
      <c r="D25276" s="0" t="s">
        <v>34160</v>
      </c>
      <c r="E25276" s="0" t="inlineStr">
        <is>
          <t xml:space="preserve">Mazda</t>
        </is>
      </c>
      <c r="F25276" s="0" t="s">
        <v>13</v>
      </c>
      <c r="G25276" s="0" t="s">
        <v>49</v>
      </c>
      <c r="H25276" s="5">
        <v>1450.776200</v>
      </c>
    </row>
    <row r="25277" spans="1:9">
      <c r="A25277" s="22" t="str">
        <f>HYPERLINK("https://app.vivvix.com/360/KMI/IntelliDrive/ApplUI/Pages/CreativePages/CustomReportCreativeDetail.aspx?App=23&amp;ReportView=4&amp;Qid=1711279&amp;Row=25269&amp;Col=1","No Title Assigned - #15285579966")</f>
        <v/>
      </c>
      <c r="B25277" s="0" t="s">
        <v>34161</v>
      </c>
      <c r="C25277" s="0" t="s">
        <v>34162</v>
      </c>
      <c r="D25277" s="0" t="s">
        <v>34162</v>
      </c>
      <c r="E25277" s="0" t="inlineStr">
        <is>
          <t xml:space="preserve">Mazda</t>
        </is>
      </c>
      <c r="F25277" s="0" t="s">
        <v>13</v>
      </c>
      <c r="G25277" s="0" t="s">
        <v>49</v>
      </c>
      <c r="H25277" s="5">
        <v>141.673100</v>
      </c>
    </row>
    <row r="25278" spans="1:9">
      <c r="A25278" s="22" t="str">
        <f>HYPERLINK("https://app.vivvix.com/360/KMI/IntelliDrive/ApplUI/Pages/CreativePages/CustomReportCreativeDetail.aspx?App=23&amp;ReportView=4&amp;Qid=1711279&amp;Row=25270&amp;Col=1","No Title Assigned - #15285584148")</f>
        <v/>
      </c>
      <c r="B25278" s="0" t="s">
        <v>34163</v>
      </c>
      <c r="C25278" s="0" t="s">
        <v>34164</v>
      </c>
      <c r="D25278" s="0" t="s">
        <v>34164</v>
      </c>
      <c r="E25278" s="0" t="inlineStr">
        <is>
          <t xml:space="preserve">Mazda</t>
        </is>
      </c>
      <c r="F25278" s="0" t="s">
        <v>13</v>
      </c>
      <c r="G25278" s="0" t="s">
        <v>49</v>
      </c>
      <c r="H25278" s="5">
        <v>2901.552400</v>
      </c>
    </row>
    <row r="25279" spans="1:9">
      <c r="A25279" s="22" t="str">
        <f>HYPERLINK("https://app.vivvix.com/360/KMI/IntelliDrive/ApplUI/Pages/CreativePages/CustomReportCreativeDetail.aspx?App=23&amp;ReportView=4&amp;Qid=1711279&amp;Row=25271&amp;Col=1","No Title Assigned - #15285597307")</f>
        <v/>
      </c>
      <c r="B25279" s="0" t="s">
        <v>34165</v>
      </c>
      <c r="C25279" s="0" t="s">
        <v>34166</v>
      </c>
      <c r="D25279" s="0" t="s">
        <v>34166</v>
      </c>
      <c r="E25279" s="0" t="inlineStr">
        <is>
          <t xml:space="preserve">Mazda</t>
        </is>
      </c>
      <c r="F25279" s="0" t="s">
        <v>13</v>
      </c>
      <c r="G25279" s="0" t="s">
        <v>49</v>
      </c>
      <c r="H25279" s="5">
        <v>1622.836400</v>
      </c>
    </row>
    <row r="25280" spans="1:9">
      <c r="A25280" s="22" t="str">
        <f>HYPERLINK("https://app.vivvix.com/360/KMI/IntelliDrive/ApplUI/Pages/CreativePages/CustomReportCreativeDetail.aspx?App=23&amp;ReportView=4&amp;Qid=1711279&amp;Row=25272&amp;Col=1","No Title Assigned - #15285597308")</f>
        <v/>
      </c>
      <c r="B25280" s="0" t="s">
        <v>34167</v>
      </c>
      <c r="C25280" s="0" t="s">
        <v>34168</v>
      </c>
      <c r="D25280" s="0" t="s">
        <v>34168</v>
      </c>
      <c r="E25280" s="0" t="inlineStr">
        <is>
          <t xml:space="preserve">Mazda</t>
        </is>
      </c>
      <c r="F25280" s="0" t="s">
        <v>13</v>
      </c>
      <c r="G25280" s="0" t="s">
        <v>49</v>
      </c>
      <c r="H25280" s="5">
        <v>1622.836400</v>
      </c>
    </row>
    <row r="25281" spans="1:9">
      <c r="A25281" s="22" t="str">
        <f>HYPERLINK("https://app.vivvix.com/360/KMI/IntelliDrive/ApplUI/Pages/CreativePages/CustomReportCreativeDetail.aspx?App=23&amp;ReportView=4&amp;Qid=1711279&amp;Row=25273&amp;Col=1","No Title Assigned - #15285597716")</f>
        <v/>
      </c>
      <c r="B25281" s="0" t="s">
        <v>34169</v>
      </c>
      <c r="C25281" s="0" t="s">
        <v>34170</v>
      </c>
      <c r="D25281" s="0" t="s">
        <v>34170</v>
      </c>
      <c r="E25281" s="0" t="inlineStr">
        <is>
          <t xml:space="preserve">Mazda</t>
        </is>
      </c>
      <c r="F25281" s="0" t="s">
        <v>13</v>
      </c>
      <c r="G25281" s="0" t="s">
        <v>49</v>
      </c>
      <c r="H25281" s="5">
        <v>516.681000</v>
      </c>
    </row>
    <row r="25282" spans="1:9">
      <c r="A25282" s="22" t="str">
        <f>HYPERLINK("https://app.vivvix.com/360/KMI/IntelliDrive/ApplUI/Pages/CreativePages/CustomReportCreativeDetail.aspx?App=23&amp;ReportView=4&amp;Qid=1711279&amp;Row=25274&amp;Col=1","No Title Assigned - #15285599783")</f>
        <v/>
      </c>
      <c r="B25282" s="0" t="s">
        <v>34171</v>
      </c>
      <c r="C25282" s="0" t="s">
        <v>34172</v>
      </c>
      <c r="D25282" s="0" t="s">
        <v>34172</v>
      </c>
      <c r="E25282" s="0" t="inlineStr">
        <is>
          <t xml:space="preserve">Mazda</t>
        </is>
      </c>
      <c r="F25282" s="0" t="s">
        <v>13</v>
      </c>
      <c r="G25282" s="0" t="s">
        <v>49</v>
      </c>
      <c r="H25282" s="5">
        <v>124.969200</v>
      </c>
    </row>
    <row r="25283" spans="1:9">
      <c r="A25283" s="22" t="str">
        <f>HYPERLINK("https://app.vivvix.com/360/KMI/IntelliDrive/ApplUI/Pages/CreativePages/CustomReportCreativeDetail.aspx?App=23&amp;ReportView=4&amp;Qid=1711279&amp;Row=25275&amp;Col=1","No Title Assigned - #15285600482")</f>
        <v/>
      </c>
      <c r="B25283" s="0" t="s">
        <v>34173</v>
      </c>
      <c r="C25283" s="0" t="s">
        <v>34174</v>
      </c>
      <c r="D25283" s="0" t="s">
        <v>34174</v>
      </c>
      <c r="E25283" s="0" t="inlineStr">
        <is>
          <t xml:space="preserve">Mazda</t>
        </is>
      </c>
      <c r="F25283" s="0" t="s">
        <v>13</v>
      </c>
      <c r="G25283" s="0" t="s">
        <v>49</v>
      </c>
      <c r="H25283" s="5">
        <v>4.440400</v>
      </c>
    </row>
    <row r="25284" spans="1:9">
      <c r="A25284" s="22" t="str">
        <f>HYPERLINK("https://app.vivvix.com/360/KMI/IntelliDrive/ApplUI/Pages/CreativePages/CustomReportCreativeDetail.aspx?App=23&amp;ReportView=4&amp;Qid=1711279&amp;Row=25276&amp;Col=1","No Title Assigned - #15285602139")</f>
        <v/>
      </c>
      <c r="B25284" s="0" t="s">
        <v>34175</v>
      </c>
      <c r="C25284" s="0" t="s">
        <v>34176</v>
      </c>
      <c r="D25284" s="0" t="s">
        <v>34176</v>
      </c>
      <c r="E25284" s="0" t="inlineStr">
        <is>
          <t xml:space="preserve">Mazda</t>
        </is>
      </c>
      <c r="F25284" s="0" t="s">
        <v>13</v>
      </c>
      <c r="G25284" s="0" t="s">
        <v>49</v>
      </c>
      <c r="H25284" s="5">
        <v>223.762900</v>
      </c>
    </row>
    <row r="25285" spans="1:9">
      <c r="A25285" s="22" t="str">
        <f>HYPERLINK("https://app.vivvix.com/360/KMI/IntelliDrive/ApplUI/Pages/CreativePages/CustomReportCreativeDetail.aspx?App=23&amp;ReportView=4&amp;Qid=1711279&amp;Row=25277&amp;Col=1","No Title Assigned - #15285602286")</f>
        <v/>
      </c>
      <c r="B25285" s="0" t="s">
        <v>34177</v>
      </c>
      <c r="C25285" s="0" t="s">
        <v>34178</v>
      </c>
      <c r="D25285" s="0" t="s">
        <v>34178</v>
      </c>
      <c r="E25285" s="0" t="inlineStr">
        <is>
          <t xml:space="preserve">Mazda</t>
        </is>
      </c>
      <c r="F25285" s="0" t="s">
        <v>13</v>
      </c>
      <c r="G25285" s="0" t="s">
        <v>49</v>
      </c>
      <c r="H25285" s="5">
        <v>3249.223500</v>
      </c>
    </row>
    <row r="25286" spans="1:9">
      <c r="A25286" s="22" t="str">
        <f>HYPERLINK("https://app.vivvix.com/360/KMI/IntelliDrive/ApplUI/Pages/CreativePages/CustomReportCreativeDetail.aspx?App=23&amp;ReportView=4&amp;Qid=1711279&amp;Row=25278&amp;Col=1","No Title Assigned - #15285605242")</f>
        <v/>
      </c>
      <c r="B25286" s="0" t="s">
        <v>34179</v>
      </c>
      <c r="C25286" s="0" t="s">
        <v>34180</v>
      </c>
      <c r="D25286" s="0" t="s">
        <v>34180</v>
      </c>
      <c r="E25286" s="0" t="inlineStr">
        <is>
          <t xml:space="preserve">Mazda</t>
        </is>
      </c>
      <c r="F25286" s="0" t="s">
        <v>13</v>
      </c>
      <c r="G25286" s="0" t="s">
        <v>49</v>
      </c>
      <c r="H25286" s="5">
        <v>181.954400</v>
      </c>
    </row>
    <row r="25287" spans="1:9">
      <c r="A25287" s="22" t="str">
        <f>HYPERLINK("https://app.vivvix.com/360/KMI/IntelliDrive/ApplUI/Pages/CreativePages/CustomReportCreativeDetail.aspx?App=23&amp;ReportView=4&amp;Qid=1711279&amp;Row=25279&amp;Col=1","No Title Assigned - #15285606083")</f>
        <v/>
      </c>
      <c r="B25287" s="0" t="s">
        <v>34181</v>
      </c>
      <c r="C25287" s="0" t="s">
        <v>34182</v>
      </c>
      <c r="D25287" s="0" t="s">
        <v>34182</v>
      </c>
      <c r="E25287" s="0" t="inlineStr">
        <is>
          <t xml:space="preserve">Mazda</t>
        </is>
      </c>
      <c r="F25287" s="0" t="s">
        <v>13</v>
      </c>
      <c r="G25287" s="0" t="s">
        <v>49</v>
      </c>
      <c r="H25287" s="5">
        <v>2.220200</v>
      </c>
    </row>
    <row r="25288" spans="1:9">
      <c r="A25288" s="22" t="str">
        <f>HYPERLINK("https://app.vivvix.com/360/KMI/IntelliDrive/ApplUI/Pages/CreativePages/CustomReportCreativeDetail.aspx?App=23&amp;ReportView=4&amp;Qid=1711279&amp;Row=25280&amp;Col=1","No Title Assigned - #15285608446")</f>
        <v/>
      </c>
      <c r="B25288" s="0" t="s">
        <v>34183</v>
      </c>
      <c r="C25288" s="0" t="s">
        <v>34184</v>
      </c>
      <c r="D25288" s="0" t="s">
        <v>34184</v>
      </c>
      <c r="E25288" s="0" t="inlineStr">
        <is>
          <t xml:space="preserve">Mazda</t>
        </is>
      </c>
      <c r="F25288" s="0" t="s">
        <v>13</v>
      </c>
      <c r="G25288" s="0" t="s">
        <v>49</v>
      </c>
      <c r="H25288" s="5">
        <v>397.108300</v>
      </c>
    </row>
    <row r="25289" spans="1:9">
      <c r="A25289" s="22" t="str">
        <f>HYPERLINK("https://app.vivvix.com/360/KMI/IntelliDrive/ApplUI/Pages/CreativePages/CustomReportCreativeDetail.aspx?App=23&amp;ReportView=4&amp;Qid=1711279&amp;Row=25281&amp;Col=1","No Title Assigned - #15285609495")</f>
        <v/>
      </c>
      <c r="B25289" s="0" t="s">
        <v>34185</v>
      </c>
      <c r="C25289" s="0" t="s">
        <v>34186</v>
      </c>
      <c r="D25289" s="0" t="s">
        <v>34186</v>
      </c>
      <c r="E25289" s="0" t="inlineStr">
        <is>
          <t xml:space="preserve">Mazda</t>
        </is>
      </c>
      <c r="F25289" s="0" t="s">
        <v>13</v>
      </c>
      <c r="G25289" s="0" t="s">
        <v>49</v>
      </c>
      <c r="H25289" s="5">
        <v>195.874100</v>
      </c>
    </row>
    <row r="25290" spans="1:9">
      <c r="A25290" s="22" t="str">
        <f>HYPERLINK("https://app.vivvix.com/360/KMI/IntelliDrive/ApplUI/Pages/CreativePages/CustomReportCreativeDetail.aspx?App=23&amp;ReportView=4&amp;Qid=1711279&amp;Row=25282&amp;Col=1","No Title Assigned - #15285609768")</f>
        <v/>
      </c>
      <c r="B25290" s="0" t="s">
        <v>34187</v>
      </c>
      <c r="C25290" s="0" t="s">
        <v>34188</v>
      </c>
      <c r="D25290" s="0" t="s">
        <v>33581</v>
      </c>
      <c r="E25290" s="0" t="inlineStr">
        <is>
          <t xml:space="preserve">Mazda</t>
        </is>
      </c>
      <c r="F25290" s="0" t="s">
        <v>13</v>
      </c>
      <c r="G25290" s="0" t="s">
        <v>49</v>
      </c>
      <c r="H25290" s="5">
        <v>2938.562000</v>
      </c>
    </row>
    <row r="25291" spans="1:9">
      <c r="A25291" s="22" t="str">
        <f>HYPERLINK("https://app.vivvix.com/360/KMI/IntelliDrive/ApplUI/Pages/CreativePages/CustomReportCreativeDetail.aspx?App=23&amp;ReportView=4&amp;Qid=1711279&amp;Row=25283&amp;Col=1","No Title Assigned - #15285611056")</f>
        <v/>
      </c>
      <c r="B25291" s="0" t="s">
        <v>34189</v>
      </c>
      <c r="C25291" s="0" t="s">
        <v>34190</v>
      </c>
      <c r="D25291" s="0" t="s">
        <v>34190</v>
      </c>
      <c r="E25291" s="0" t="inlineStr">
        <is>
          <t xml:space="preserve">Mazda</t>
        </is>
      </c>
      <c r="F25291" s="0" t="s">
        <v>13</v>
      </c>
      <c r="G25291" s="0" t="s">
        <v>49</v>
      </c>
      <c r="H25291" s="5">
        <v>28.976000</v>
      </c>
    </row>
    <row r="25292" spans="1:9">
      <c r="A25292" s="22" t="str">
        <f>HYPERLINK("https://app.vivvix.com/360/KMI/IntelliDrive/ApplUI/Pages/CreativePages/CustomReportCreativeDetail.aspx?App=23&amp;ReportView=4&amp;Qid=1711279&amp;Row=25284&amp;Col=1","No Title Assigned - #15285611444")</f>
        <v/>
      </c>
      <c r="B25292" s="0" t="s">
        <v>34191</v>
      </c>
      <c r="C25292" s="0" t="s">
        <v>34192</v>
      </c>
      <c r="D25292" s="0" t="s">
        <v>34192</v>
      </c>
      <c r="E25292" s="0" t="inlineStr">
        <is>
          <t xml:space="preserve">Mazda</t>
        </is>
      </c>
      <c r="F25292" s="0" t="s">
        <v>13</v>
      </c>
      <c r="G25292" s="0" t="s">
        <v>49</v>
      </c>
      <c r="H25292" s="5">
        <v>10.190400</v>
      </c>
    </row>
    <row r="25293" spans="1:9">
      <c r="A25293" s="22" t="str">
        <f>HYPERLINK("https://app.vivvix.com/360/KMI/IntelliDrive/ApplUI/Pages/CreativePages/CustomReportCreativeDetail.aspx?App=23&amp;ReportView=4&amp;Qid=1711279&amp;Row=25285&amp;Col=1","No Title Assigned - #15285612380")</f>
        <v/>
      </c>
      <c r="B25293" s="0" t="s">
        <v>34193</v>
      </c>
      <c r="C25293" s="0" t="s">
        <v>34194</v>
      </c>
      <c r="D25293" s="0" t="s">
        <v>34194</v>
      </c>
      <c r="E25293" s="0" t="inlineStr">
        <is>
          <t xml:space="preserve">Mazda</t>
        </is>
      </c>
      <c r="F25293" s="0" t="s">
        <v>13</v>
      </c>
      <c r="G25293" s="0" t="s">
        <v>49</v>
      </c>
      <c r="H25293" s="5">
        <v>2655.937000</v>
      </c>
    </row>
    <row r="25294" spans="1:9">
      <c r="A25294" s="22" t="str">
        <f>HYPERLINK("https://app.vivvix.com/360/KMI/IntelliDrive/ApplUI/Pages/CreativePages/CustomReportCreativeDetail.aspx?App=23&amp;ReportView=4&amp;Qid=1711279&amp;Row=25286&amp;Col=1","No Title Assigned - #15285613159")</f>
        <v/>
      </c>
      <c r="B25294" s="0" t="s">
        <v>34195</v>
      </c>
      <c r="C25294" s="0" t="s">
        <v>34196</v>
      </c>
      <c r="D25294" s="0" t="s">
        <v>34196</v>
      </c>
      <c r="E25294" s="0" t="inlineStr">
        <is>
          <t xml:space="preserve">Mazda</t>
        </is>
      </c>
      <c r="F25294" s="0" t="s">
        <v>13</v>
      </c>
      <c r="G25294" s="0" t="s">
        <v>49</v>
      </c>
      <c r="H25294" s="5">
        <v>449.671700</v>
      </c>
    </row>
    <row r="25295" spans="1:9">
      <c r="A25295" s="22" t="str">
        <f>HYPERLINK("https://app.vivvix.com/360/KMI/IntelliDrive/ApplUI/Pages/CreativePages/CustomReportCreativeDetail.aspx?App=23&amp;ReportView=4&amp;Qid=1711279&amp;Row=25287&amp;Col=1","No Title Assigned - #15285614213")</f>
        <v/>
      </c>
      <c r="B25295" s="0" t="s">
        <v>34197</v>
      </c>
      <c r="C25295" s="0" t="s">
        <v>34198</v>
      </c>
      <c r="D25295" s="0" t="s">
        <v>34198</v>
      </c>
      <c r="E25295" s="0" t="inlineStr">
        <is>
          <t xml:space="preserve">Mazda</t>
        </is>
      </c>
      <c r="F25295" s="0" t="s">
        <v>13</v>
      </c>
      <c r="G25295" s="0" t="s">
        <v>49</v>
      </c>
      <c r="H25295" s="5">
        <v>86.943400</v>
      </c>
    </row>
    <row r="25296" spans="1:9">
      <c r="A25296" s="22" t="str">
        <f>HYPERLINK("https://app.vivvix.com/360/KMI/IntelliDrive/ApplUI/Pages/CreativePages/CustomReportCreativeDetail.aspx?App=23&amp;ReportView=4&amp;Qid=1711279&amp;Row=25288&amp;Col=1","No Title Assigned - #15285614663")</f>
        <v/>
      </c>
      <c r="B25296" s="0" t="s">
        <v>34199</v>
      </c>
      <c r="C25296" s="0" t="s">
        <v>34200</v>
      </c>
      <c r="D25296" s="0" t="s">
        <v>34200</v>
      </c>
      <c r="E25296" s="0" t="inlineStr">
        <is>
          <t xml:space="preserve">Mazda</t>
        </is>
      </c>
      <c r="F25296" s="0" t="s">
        <v>13</v>
      </c>
      <c r="G25296" s="0" t="s">
        <v>49</v>
      </c>
      <c r="H25296" s="5">
        <v>90.977200</v>
      </c>
    </row>
    <row r="25297" spans="1:9">
      <c r="A25297" s="22" t="str">
        <f>HYPERLINK("https://app.vivvix.com/360/KMI/IntelliDrive/ApplUI/Pages/CreativePages/CustomReportCreativeDetail.aspx?App=23&amp;ReportView=4&amp;Qid=1711279&amp;Row=25289&amp;Col=1","No Title Assigned - #15285614815")</f>
        <v/>
      </c>
      <c r="B25297" s="0" t="s">
        <v>34201</v>
      </c>
      <c r="C25297" s="0" t="s">
        <v>34202</v>
      </c>
      <c r="D25297" s="0" t="s">
        <v>34202</v>
      </c>
      <c r="E25297" s="0" t="inlineStr">
        <is>
          <t xml:space="preserve">Mazda</t>
        </is>
      </c>
      <c r="F25297" s="0" t="s">
        <v>13</v>
      </c>
      <c r="G25297" s="0" t="s">
        <v>49</v>
      </c>
      <c r="H25297" s="5">
        <v>167.060800</v>
      </c>
    </row>
    <row r="25298" spans="1:9">
      <c r="A25298" s="22" t="str">
        <f>HYPERLINK("https://app.vivvix.com/360/KMI/IntelliDrive/ApplUI/Pages/CreativePages/CustomReportCreativeDetail.aspx?App=23&amp;ReportView=4&amp;Qid=1711279&amp;Row=25290&amp;Col=1","No Title Assigned - #15285614922")</f>
        <v/>
      </c>
      <c r="B25298" s="0" t="s">
        <v>34203</v>
      </c>
      <c r="C25298" s="0" t="s">
        <v>34204</v>
      </c>
      <c r="D25298" s="0" t="s">
        <v>34204</v>
      </c>
      <c r="E25298" s="0" t="inlineStr">
        <is>
          <t xml:space="preserve">Mazda</t>
        </is>
      </c>
      <c r="F25298" s="0" t="s">
        <v>13</v>
      </c>
      <c r="G25298" s="0" t="s">
        <v>49</v>
      </c>
      <c r="H25298" s="5">
        <v>504.514600</v>
      </c>
    </row>
    <row r="25299" spans="1:9">
      <c r="A25299" s="22" t="str">
        <f>HYPERLINK("https://app.vivvix.com/360/KMI/IntelliDrive/ApplUI/Pages/CreativePages/CustomReportCreativeDetail.aspx?App=23&amp;ReportView=4&amp;Qid=1711279&amp;Row=25291&amp;Col=1","No Title Assigned - #15285615064")</f>
        <v/>
      </c>
      <c r="B25299" s="0" t="s">
        <v>34205</v>
      </c>
      <c r="C25299" s="0" t="s">
        <v>34206</v>
      </c>
      <c r="D25299" s="0" t="s">
        <v>34206</v>
      </c>
      <c r="E25299" s="0" t="inlineStr">
        <is>
          <t xml:space="preserve">Mazda</t>
        </is>
      </c>
      <c r="F25299" s="0" t="s">
        <v>13</v>
      </c>
      <c r="G25299" s="0" t="s">
        <v>49</v>
      </c>
      <c r="H25299" s="5">
        <v>370.724100</v>
      </c>
    </row>
    <row r="25300" spans="1:9">
      <c r="A25300" s="22" t="str">
        <f>HYPERLINK("https://app.vivvix.com/360/KMI/IntelliDrive/ApplUI/Pages/CreativePages/CustomReportCreativeDetail.aspx?App=23&amp;ReportView=4&amp;Qid=1711279&amp;Row=25292&amp;Col=1","No Title Assigned - #15285615566")</f>
        <v/>
      </c>
      <c r="B25300" s="0" t="s">
        <v>34207</v>
      </c>
      <c r="C25300" s="0" t="s">
        <v>34208</v>
      </c>
      <c r="D25300" s="0" t="s">
        <v>34208</v>
      </c>
      <c r="E25300" s="0" t="inlineStr">
        <is>
          <t xml:space="preserve">Mazda</t>
        </is>
      </c>
      <c r="F25300" s="0" t="s">
        <v>13</v>
      </c>
      <c r="G25300" s="0" t="s">
        <v>49</v>
      </c>
      <c r="H25300" s="5">
        <v>147.391100</v>
      </c>
    </row>
    <row r="25301" spans="1:9">
      <c r="A25301" s="22" t="str">
        <f>HYPERLINK("https://app.vivvix.com/360/KMI/IntelliDrive/ApplUI/Pages/CreativePages/CustomReportCreativeDetail.aspx?App=23&amp;ReportView=4&amp;Qid=1711279&amp;Row=25293&amp;Col=1","No Title Assigned - #15285616106")</f>
        <v/>
      </c>
      <c r="B25301" s="0" t="s">
        <v>34209</v>
      </c>
      <c r="C25301" s="0" t="s">
        <v>34210</v>
      </c>
      <c r="D25301" s="0" t="s">
        <v>34210</v>
      </c>
      <c r="E25301" s="0" t="inlineStr">
        <is>
          <t xml:space="preserve">Mazda</t>
        </is>
      </c>
      <c r="F25301" s="0" t="s">
        <v>13</v>
      </c>
      <c r="G25301" s="0" t="s">
        <v>49</v>
      </c>
      <c r="H25301" s="5">
        <v>461.761700</v>
      </c>
    </row>
    <row r="25302" spans="1:9">
      <c r="A25302" s="22" t="str">
        <f>HYPERLINK("https://app.vivvix.com/360/KMI/IntelliDrive/ApplUI/Pages/CreativePages/CustomReportCreativeDetail.aspx?App=23&amp;ReportView=4&amp;Qid=1711279&amp;Row=25294&amp;Col=1","No Title Assigned - #15285616694")</f>
        <v/>
      </c>
      <c r="B25302" s="0" t="s">
        <v>34211</v>
      </c>
      <c r="C25302" s="0" t="s">
        <v>34212</v>
      </c>
      <c r="D25302" s="0" t="s">
        <v>34212</v>
      </c>
      <c r="E25302" s="0" t="inlineStr">
        <is>
          <t xml:space="preserve">Mazda</t>
        </is>
      </c>
      <c r="F25302" s="0" t="s">
        <v>13</v>
      </c>
      <c r="G25302" s="0" t="s">
        <v>49</v>
      </c>
      <c r="H25302" s="5">
        <v>432.072400</v>
      </c>
    </row>
    <row r="25303" spans="1:9">
      <c r="A25303" s="22" t="str">
        <f>HYPERLINK("https://app.vivvix.com/360/KMI/IntelliDrive/ApplUI/Pages/CreativePages/CustomReportCreativeDetail.aspx?App=23&amp;ReportView=4&amp;Qid=1711279&amp;Row=25295&amp;Col=1","No Title Assigned - #15285617088")</f>
        <v/>
      </c>
      <c r="B25303" s="0" t="s">
        <v>34213</v>
      </c>
      <c r="C25303" s="0" t="s">
        <v>34214</v>
      </c>
      <c r="D25303" s="0" t="s">
        <v>34214</v>
      </c>
      <c r="E25303" s="0" t="inlineStr">
        <is>
          <t xml:space="preserve">Mazda</t>
        </is>
      </c>
      <c r="F25303" s="0" t="s">
        <v>13</v>
      </c>
      <c r="G25303" s="0" t="s">
        <v>49</v>
      </c>
      <c r="H25303" s="5">
        <v>1450.776200</v>
      </c>
    </row>
    <row r="25304" spans="1:9">
      <c r="A25304" s="22" t="str">
        <f>HYPERLINK("https://app.vivvix.com/360/KMI/IntelliDrive/ApplUI/Pages/CreativePages/CustomReportCreativeDetail.aspx?App=23&amp;ReportView=4&amp;Qid=1711279&amp;Row=25296&amp;Col=1","No Title Assigned - #15285617106")</f>
        <v/>
      </c>
      <c r="B25304" s="0" t="s">
        <v>34215</v>
      </c>
      <c r="C25304" s="0" t="s">
        <v>34216</v>
      </c>
      <c r="D25304" s="0" t="s">
        <v>34216</v>
      </c>
      <c r="E25304" s="0" t="inlineStr">
        <is>
          <t xml:space="preserve">Mazda</t>
        </is>
      </c>
      <c r="F25304" s="0" t="s">
        <v>13</v>
      </c>
      <c r="G25304" s="0" t="s">
        <v>49</v>
      </c>
      <c r="H25304" s="5">
        <v>199.534300</v>
      </c>
    </row>
    <row r="25305" spans="1:9">
      <c r="A25305" s="22" t="str">
        <f>HYPERLINK("https://app.vivvix.com/360/KMI/IntelliDrive/ApplUI/Pages/CreativePages/CustomReportCreativeDetail.aspx?App=23&amp;ReportView=4&amp;Qid=1711279&amp;Row=25297&amp;Col=1","No Title Assigned - #15285617223")</f>
        <v/>
      </c>
      <c r="B25305" s="0" t="s">
        <v>34217</v>
      </c>
      <c r="C25305" s="0" t="s">
        <v>34218</v>
      </c>
      <c r="D25305" s="0" t="s">
        <v>34218</v>
      </c>
      <c r="E25305" s="0" t="inlineStr">
        <is>
          <t xml:space="preserve">Mazda</t>
        </is>
      </c>
      <c r="F25305" s="0" t="inlineStr">
        <is>
          <t xml:space="preserve">Mazda</t>
        </is>
      </c>
      <c r="G25305" s="0" t="s">
        <v>171</v>
      </c>
      <c r="H25305" s="5">
        <v>640.204700</v>
      </c>
    </row>
    <row r="25306" spans="1:9">
      <c r="A25306" s="22" t="str">
        <f>HYPERLINK("https://app.vivvix.com/360/KMI/IntelliDrive/ApplUI/Pages/CreativePages/CustomReportCreativeDetail.aspx?App=23&amp;ReportView=4&amp;Qid=1711279&amp;Row=25298&amp;Col=1","No Title Assigned - #15285617735")</f>
        <v/>
      </c>
      <c r="B25306" s="0" t="s">
        <v>34219</v>
      </c>
      <c r="C25306" s="0" t="s">
        <v>34220</v>
      </c>
      <c r="D25306" s="0" t="s">
        <v>34220</v>
      </c>
      <c r="E25306" s="0" t="inlineStr">
        <is>
          <t xml:space="preserve">Mazda</t>
        </is>
      </c>
      <c r="F25306" s="0" t="s">
        <v>13</v>
      </c>
      <c r="G25306" s="0" t="s">
        <v>49</v>
      </c>
      <c r="H25306" s="5">
        <v>102.368500</v>
      </c>
    </row>
    <row r="25307" spans="1:9">
      <c r="A25307" s="22" t="str">
        <f>HYPERLINK("https://app.vivvix.com/360/KMI/IntelliDrive/ApplUI/Pages/CreativePages/CustomReportCreativeDetail.aspx?App=23&amp;ReportView=4&amp;Qid=1711279&amp;Row=25299&amp;Col=1","No Title Assigned - #15285618184")</f>
        <v/>
      </c>
      <c r="B25307" s="0" t="s">
        <v>34221</v>
      </c>
      <c r="C25307" s="0" t="s">
        <v>34222</v>
      </c>
      <c r="D25307" s="0" t="s">
        <v>34222</v>
      </c>
      <c r="E25307" s="0" t="inlineStr">
        <is>
          <t xml:space="preserve">Mazda</t>
        </is>
      </c>
      <c r="F25307" s="0" t="s">
        <v>13</v>
      </c>
      <c r="G25307" s="0" t="s">
        <v>49</v>
      </c>
      <c r="H25307" s="5">
        <v>753.182800</v>
      </c>
    </row>
    <row r="25308" spans="1:9">
      <c r="A25308" s="22" t="str">
        <f>HYPERLINK("https://app.vivvix.com/360/KMI/IntelliDrive/ApplUI/Pages/CreativePages/CustomReportCreativeDetail.aspx?App=23&amp;ReportView=4&amp;Qid=1711279&amp;Row=25300&amp;Col=1","No Title Assigned - #15285619934")</f>
        <v/>
      </c>
      <c r="B25308" s="0" t="s">
        <v>34223</v>
      </c>
      <c r="C25308" s="0" t="s">
        <v>34224</v>
      </c>
      <c r="D25308" s="0" t="s">
        <v>34224</v>
      </c>
      <c r="E25308" s="0" t="inlineStr">
        <is>
          <t xml:space="preserve">Mazda</t>
        </is>
      </c>
      <c r="F25308" s="0" t="s">
        <v>13</v>
      </c>
      <c r="G25308" s="0" t="s">
        <v>49</v>
      </c>
      <c r="H25308" s="5">
        <v>679.356000</v>
      </c>
    </row>
    <row r="25309" spans="1:9">
      <c r="A25309" s="22" t="str">
        <f>HYPERLINK("https://app.vivvix.com/360/KMI/IntelliDrive/ApplUI/Pages/CreativePages/CustomReportCreativeDetail.aspx?App=23&amp;ReportView=4&amp;Qid=1711279&amp;Row=25301&amp;Col=1","No Title Assigned - #15285620076")</f>
        <v/>
      </c>
      <c r="B25309" s="0" t="s">
        <v>34225</v>
      </c>
      <c r="C25309" s="0" t="s">
        <v>34226</v>
      </c>
      <c r="D25309" s="0" t="s">
        <v>34226</v>
      </c>
      <c r="E25309" s="0" t="inlineStr">
        <is>
          <t xml:space="preserve">Mazda</t>
        </is>
      </c>
      <c r="F25309" s="0" t="s">
        <v>21</v>
      </c>
      <c r="G25309" s="0" t="s">
        <v>22</v>
      </c>
      <c r="H25309" s="5">
        <v>1653.438000</v>
      </c>
    </row>
    <row r="25310" spans="1:9">
      <c r="A25310" s="22" t="str">
        <f>HYPERLINK("https://app.vivvix.com/360/KMI/IntelliDrive/ApplUI/Pages/CreativePages/CustomReportCreativeDetail.aspx?App=23&amp;ReportView=4&amp;Qid=1711279&amp;Row=25302&amp;Col=1","No Title Assigned - #15285621102")</f>
        <v/>
      </c>
      <c r="B25310" s="0" t="s">
        <v>34227</v>
      </c>
      <c r="C25310" s="0" t="s">
        <v>34228</v>
      </c>
      <c r="D25310" s="0" t="s">
        <v>34228</v>
      </c>
      <c r="E25310" s="0" t="inlineStr">
        <is>
          <t xml:space="preserve">Mazda</t>
        </is>
      </c>
      <c r="F25310" s="0" t="s">
        <v>28</v>
      </c>
      <c r="G25310" s="0" t="s">
        <v>29</v>
      </c>
      <c r="H25310" s="5">
        <v>992.062800</v>
      </c>
    </row>
    <row r="25311" spans="1:9">
      <c r="A25311" s="22" t="str">
        <f>HYPERLINK("https://app.vivvix.com/360/KMI/IntelliDrive/ApplUI/Pages/CreativePages/CustomReportCreativeDetail.aspx?App=23&amp;ReportView=4&amp;Qid=1711279&amp;Row=25303&amp;Col=1","No Title Assigned - #15285621109")</f>
        <v/>
      </c>
      <c r="B25311" s="0" t="s">
        <v>34229</v>
      </c>
      <c r="C25311" s="0" t="s">
        <v>34230</v>
      </c>
      <c r="D25311" s="0" t="s">
        <v>34230</v>
      </c>
      <c r="E25311" s="0" t="inlineStr">
        <is>
          <t xml:space="preserve">Mazda</t>
        </is>
      </c>
      <c r="F25311" s="0" t="s">
        <v>13</v>
      </c>
      <c r="G25311" s="0" t="s">
        <v>49</v>
      </c>
      <c r="H25311" s="5">
        <v>6.793600</v>
      </c>
    </row>
    <row r="25312" spans="1:9">
      <c r="A25312" s="22" t="str">
        <f>HYPERLINK("https://app.vivvix.com/360/KMI/IntelliDrive/ApplUI/Pages/CreativePages/CustomReportCreativeDetail.aspx?App=23&amp;ReportView=4&amp;Qid=1711279&amp;Row=25304&amp;Col=1","No Title Assigned - #15285621110")</f>
        <v/>
      </c>
      <c r="B25312" s="0" t="s">
        <v>34231</v>
      </c>
      <c r="C25312" s="0" t="s">
        <v>34232</v>
      </c>
      <c r="D25312" s="0" t="s">
        <v>34232</v>
      </c>
      <c r="E25312" s="0" t="inlineStr">
        <is>
          <t xml:space="preserve">Mazda</t>
        </is>
      </c>
      <c r="F25312" s="0" t="s">
        <v>13</v>
      </c>
      <c r="G25312" s="0" t="s">
        <v>49</v>
      </c>
      <c r="H25312" s="5">
        <v>516.807400</v>
      </c>
    </row>
    <row r="25313" spans="1:9">
      <c r="A25313" s="22" t="str">
        <f>HYPERLINK("https://app.vivvix.com/360/KMI/IntelliDrive/ApplUI/Pages/CreativePages/CustomReportCreativeDetail.aspx?App=23&amp;ReportView=4&amp;Qid=1711279&amp;Row=25305&amp;Col=1","No Title Assigned - #15285621827")</f>
        <v/>
      </c>
      <c r="B25313" s="0" t="s">
        <v>34233</v>
      </c>
      <c r="C25313" s="0" t="s">
        <v>34234</v>
      </c>
      <c r="D25313" s="0" t="s">
        <v>34234</v>
      </c>
      <c r="E25313" s="0" t="inlineStr">
        <is>
          <t xml:space="preserve">Mazda</t>
        </is>
      </c>
      <c r="F25313" s="0" t="s">
        <v>13</v>
      </c>
      <c r="G25313" s="0" t="s">
        <v>49</v>
      </c>
      <c r="H25313" s="5">
        <v>237.704200</v>
      </c>
    </row>
    <row r="25314" spans="1:9">
      <c r="A25314" s="22" t="str">
        <f>HYPERLINK("https://app.vivvix.com/360/KMI/IntelliDrive/ApplUI/Pages/CreativePages/CustomReportCreativeDetail.aspx?App=23&amp;ReportView=4&amp;Qid=1711279&amp;Row=25306&amp;Col=1","No Title Assigned - #15285633038")</f>
        <v/>
      </c>
      <c r="B25314" s="0" t="s">
        <v>34235</v>
      </c>
      <c r="C25314" s="0" t="s">
        <v>34236</v>
      </c>
      <c r="D25314" s="0" t="s">
        <v>34236</v>
      </c>
      <c r="E25314" s="0" t="inlineStr">
        <is>
          <t xml:space="preserve">Mazda</t>
        </is>
      </c>
      <c r="F25314" s="0" t="s">
        <v>13</v>
      </c>
      <c r="G25314" s="0" t="s">
        <v>49</v>
      </c>
      <c r="H25314" s="5">
        <v>103.987000</v>
      </c>
    </row>
    <row r="25315" spans="1:9">
      <c r="A25315" s="22" t="str">
        <f>HYPERLINK("https://app.vivvix.com/360/KMI/IntelliDrive/ApplUI/Pages/CreativePages/CustomReportCreativeDetail.aspx?App=23&amp;ReportView=4&amp;Qid=1711279&amp;Row=25307&amp;Col=1","No Title Assigned - #15285633585")</f>
        <v/>
      </c>
      <c r="B25315" s="0" t="s">
        <v>34237</v>
      </c>
      <c r="C25315" s="0" t="s">
        <v>34238</v>
      </c>
      <c r="D25315" s="0" t="s">
        <v>34238</v>
      </c>
      <c r="E25315" s="0" t="inlineStr">
        <is>
          <t xml:space="preserve">Mazda</t>
        </is>
      </c>
      <c r="F25315" s="0" t="inlineStr">
        <is>
          <t xml:space="preserve">Mazda</t>
        </is>
      </c>
      <c r="G25315" s="0" t="s">
        <v>505</v>
      </c>
      <c r="H25315" s="5">
        <v>430.000500</v>
      </c>
    </row>
    <row r="25316" spans="1:9">
      <c r="A25316" s="22" t="str">
        <f>HYPERLINK("https://app.vivvix.com/360/KMI/IntelliDrive/ApplUI/Pages/CreativePages/CustomReportCreativeDetail.aspx?App=23&amp;ReportView=4&amp;Qid=1711279&amp;Row=25308&amp;Col=1","No Title Assigned - #15285634236")</f>
        <v/>
      </c>
      <c r="B25316" s="0" t="s">
        <v>34239</v>
      </c>
      <c r="C25316" s="0" t="s">
        <v>34240</v>
      </c>
      <c r="D25316" s="0" t="s">
        <v>34240</v>
      </c>
      <c r="E25316" s="0" t="inlineStr">
        <is>
          <t xml:space="preserve">Mazda</t>
        </is>
      </c>
      <c r="F25316" s="0" t="s">
        <v>13</v>
      </c>
      <c r="G25316" s="0" t="s">
        <v>49</v>
      </c>
      <c r="H25316" s="5">
        <v>7814.012900</v>
      </c>
    </row>
    <row r="25317" spans="1:9">
      <c r="A25317" s="22" t="str">
        <f>HYPERLINK("https://app.vivvix.com/360/KMI/IntelliDrive/ApplUI/Pages/CreativePages/CustomReportCreativeDetail.aspx?App=23&amp;ReportView=4&amp;Qid=1711279&amp;Row=25309&amp;Col=1","No Title Assigned - #15285636216")</f>
        <v/>
      </c>
      <c r="B25317" s="0" t="s">
        <v>34241</v>
      </c>
      <c r="C25317" s="0" t="s">
        <v>34242</v>
      </c>
      <c r="D25317" s="0" t="s">
        <v>34242</v>
      </c>
      <c r="E25317" s="0" t="inlineStr">
        <is>
          <t xml:space="preserve">Mazda</t>
        </is>
      </c>
      <c r="F25317" s="0" t="s">
        <v>13</v>
      </c>
      <c r="G25317" s="0" t="s">
        <v>49</v>
      </c>
      <c r="H25317" s="5">
        <v>5803.104800</v>
      </c>
    </row>
    <row r="25318" spans="1:9">
      <c r="A25318" s="22" t="str">
        <f>HYPERLINK("https://app.vivvix.com/360/KMI/IntelliDrive/ApplUI/Pages/CreativePages/CustomReportCreativeDetail.aspx?App=23&amp;ReportView=4&amp;Qid=1711279&amp;Row=25310&amp;Col=1","No Title Assigned - #15285636217")</f>
        <v/>
      </c>
      <c r="B25318" s="0" t="s">
        <v>34243</v>
      </c>
      <c r="C25318" s="0" t="s">
        <v>34244</v>
      </c>
      <c r="D25318" s="0" t="s">
        <v>34244</v>
      </c>
      <c r="E25318" s="0" t="inlineStr">
        <is>
          <t xml:space="preserve">Mazda</t>
        </is>
      </c>
      <c r="F25318" s="0" t="s">
        <v>13</v>
      </c>
      <c r="G25318" s="0" t="s">
        <v>49</v>
      </c>
      <c r="H25318" s="5">
        <v>2901.552400</v>
      </c>
    </row>
    <row r="25319" spans="1:9">
      <c r="A25319" s="22" t="str">
        <f>HYPERLINK("https://app.vivvix.com/360/KMI/IntelliDrive/ApplUI/Pages/CreativePages/CustomReportCreativeDetail.aspx?App=23&amp;ReportView=4&amp;Qid=1711279&amp;Row=25311&amp;Col=1","No Title Assigned - #15285636875")</f>
        <v/>
      </c>
      <c r="B25319" s="0" t="s">
        <v>34245</v>
      </c>
      <c r="C25319" s="0" t="s">
        <v>34246</v>
      </c>
      <c r="D25319" s="0" t="s">
        <v>34246</v>
      </c>
      <c r="E25319" s="0" t="inlineStr">
        <is>
          <t xml:space="preserve">Mazda</t>
        </is>
      </c>
      <c r="F25319" s="0" t="s">
        <v>13</v>
      </c>
      <c r="G25319" s="0" t="s">
        <v>49</v>
      </c>
      <c r="H25319" s="5">
        <v>211.044200</v>
      </c>
    </row>
    <row r="25320" spans="1:9">
      <c r="A25320" s="22" t="str">
        <f>HYPERLINK("https://app.vivvix.com/360/KMI/IntelliDrive/ApplUI/Pages/CreativePages/CustomReportCreativeDetail.aspx?App=23&amp;ReportView=4&amp;Qid=1711279&amp;Row=25312&amp;Col=1","No Title Assigned - #15285639143")</f>
        <v/>
      </c>
      <c r="B25320" s="0" t="s">
        <v>34247</v>
      </c>
      <c r="C25320" s="0" t="s">
        <v>34248</v>
      </c>
      <c r="D25320" s="0" t="s">
        <v>34248</v>
      </c>
      <c r="E25320" s="0" t="inlineStr">
        <is>
          <t xml:space="preserve">Mazda</t>
        </is>
      </c>
      <c r="F25320" s="0" t="inlineStr">
        <is>
          <t xml:space="preserve">Mazda</t>
        </is>
      </c>
      <c r="G25320" s="0" t="s">
        <v>2413</v>
      </c>
      <c r="H25320" s="5">
        <v>819.551100</v>
      </c>
    </row>
    <row r="25321" spans="1:9">
      <c r="A25321" s="22" t="str">
        <f>HYPERLINK("https://app.vivvix.com/360/KMI/IntelliDrive/ApplUI/Pages/CreativePages/CustomReportCreativeDetail.aspx?App=23&amp;ReportView=4&amp;Qid=1711279&amp;Row=25313&amp;Col=1","No Title Assigned - #15285639744")</f>
        <v/>
      </c>
      <c r="B25321" s="0" t="s">
        <v>34249</v>
      </c>
      <c r="C25321" s="0" t="s">
        <v>34250</v>
      </c>
      <c r="D25321" s="0" t="s">
        <v>34250</v>
      </c>
      <c r="E25321" s="0" t="inlineStr">
        <is>
          <t xml:space="preserve">Mazda</t>
        </is>
      </c>
      <c r="F25321" s="0" t="s">
        <v>13</v>
      </c>
      <c r="G25321" s="0" t="s">
        <v>49</v>
      </c>
      <c r="H25321" s="5">
        <v>172.227000</v>
      </c>
    </row>
    <row r="25322" spans="1:9">
      <c r="A25322" s="22" t="str">
        <f>HYPERLINK("https://app.vivvix.com/360/KMI/IntelliDrive/ApplUI/Pages/CreativePages/CustomReportCreativeDetail.aspx?App=23&amp;ReportView=4&amp;Qid=1711279&amp;Row=25314&amp;Col=1","No Title Assigned - #15285641929")</f>
        <v/>
      </c>
      <c r="B25322" s="0" t="s">
        <v>34251</v>
      </c>
      <c r="C25322" s="0" t="s">
        <v>34252</v>
      </c>
      <c r="D25322" s="0" t="s">
        <v>34252</v>
      </c>
      <c r="E25322" s="0" t="inlineStr">
        <is>
          <t xml:space="preserve">Mazda</t>
        </is>
      </c>
      <c r="F25322" s="0" t="s">
        <v>13</v>
      </c>
      <c r="G25322" s="0" t="s">
        <v>49</v>
      </c>
      <c r="H25322" s="5">
        <v>594.995000</v>
      </c>
    </row>
    <row r="25323" spans="1:9">
      <c r="A25323" s="22" t="str">
        <f>HYPERLINK("https://app.vivvix.com/360/KMI/IntelliDrive/ApplUI/Pages/CreativePages/CustomReportCreativeDetail.aspx?App=23&amp;ReportView=4&amp;Qid=1711279&amp;Row=25315&amp;Col=1","No Title Assigned - #15285643661")</f>
        <v/>
      </c>
      <c r="B25323" s="0" t="s">
        <v>34253</v>
      </c>
      <c r="C25323" s="0" t="s">
        <v>34254</v>
      </c>
      <c r="D25323" s="0" t="s">
        <v>33459</v>
      </c>
      <c r="E25323" s="0" t="inlineStr">
        <is>
          <t xml:space="preserve">Mazda</t>
        </is>
      </c>
      <c r="F25323" s="0" t="s">
        <v>13</v>
      </c>
      <c r="G25323" s="0" t="s">
        <v>49</v>
      </c>
      <c r="H25323" s="5">
        <v>5359.878600</v>
      </c>
    </row>
    <row r="25324" spans="1:9">
      <c r="A25324" s="22" t="str">
        <f>HYPERLINK("https://app.vivvix.com/360/KMI/IntelliDrive/ApplUI/Pages/CreativePages/CustomReportCreativeDetail.aspx?App=23&amp;ReportView=4&amp;Qid=1711279&amp;Row=25316&amp;Col=1","No Title Assigned - #15285644469")</f>
        <v/>
      </c>
      <c r="B25324" s="0" t="s">
        <v>34255</v>
      </c>
      <c r="C25324" s="0" t="s">
        <v>34256</v>
      </c>
      <c r="D25324" s="0" t="s">
        <v>34256</v>
      </c>
      <c r="E25324" s="0" t="inlineStr">
        <is>
          <t xml:space="preserve">Mazda</t>
        </is>
      </c>
      <c r="F25324" s="0" t="s">
        <v>13</v>
      </c>
      <c r="G25324" s="0" t="s">
        <v>49</v>
      </c>
      <c r="H25324" s="5">
        <v>197.142900</v>
      </c>
    </row>
    <row r="25325" spans="1:9">
      <c r="A25325" s="22" t="str">
        <f>HYPERLINK("https://app.vivvix.com/360/KMI/IntelliDrive/ApplUI/Pages/CreativePages/CustomReportCreativeDetail.aspx?App=23&amp;ReportView=4&amp;Qid=1711279&amp;Row=25317&amp;Col=1","No Title Assigned - #15285645326")</f>
        <v/>
      </c>
      <c r="B25325" s="0" t="s">
        <v>34257</v>
      </c>
      <c r="C25325" s="0" t="s">
        <v>34258</v>
      </c>
      <c r="D25325" s="0" t="s">
        <v>34258</v>
      </c>
      <c r="E25325" s="0" t="inlineStr">
        <is>
          <t xml:space="preserve">Mazda</t>
        </is>
      </c>
      <c r="F25325" s="0" t="s">
        <v>13</v>
      </c>
      <c r="G25325" s="0" t="s">
        <v>49</v>
      </c>
      <c r="H25325" s="5">
        <v>5690.979000</v>
      </c>
    </row>
    <row r="25326" spans="1:9">
      <c r="A25326" s="22" t="str">
        <f>HYPERLINK("https://app.vivvix.com/360/KMI/IntelliDrive/ApplUI/Pages/CreativePages/CustomReportCreativeDetail.aspx?App=23&amp;ReportView=4&amp;Qid=1711279&amp;Row=25318&amp;Col=1","No Title Assigned - #15285646584")</f>
        <v/>
      </c>
      <c r="B25326" s="0" t="s">
        <v>34259</v>
      </c>
      <c r="C25326" s="0" t="s">
        <v>34260</v>
      </c>
      <c r="D25326" s="0" t="s">
        <v>34260</v>
      </c>
      <c r="E25326" s="0" t="inlineStr">
        <is>
          <t xml:space="preserve">Mazda</t>
        </is>
      </c>
      <c r="F25326" s="0" t="s">
        <v>13</v>
      </c>
      <c r="G25326" s="0" t="s">
        <v>49</v>
      </c>
      <c r="H25326" s="5">
        <v>543.536500</v>
      </c>
    </row>
    <row r="25327" spans="1:9">
      <c r="A25327" s="22" t="str">
        <f>HYPERLINK("https://app.vivvix.com/360/KMI/IntelliDrive/ApplUI/Pages/CreativePages/CustomReportCreativeDetail.aspx?App=23&amp;ReportView=4&amp;Qid=1711279&amp;Row=25319&amp;Col=1","No Title Assigned - #15285655861")</f>
        <v/>
      </c>
      <c r="B25327" s="0" t="s">
        <v>34261</v>
      </c>
      <c r="C25327" s="0" t="s">
        <v>34262</v>
      </c>
      <c r="D25327" s="0" t="s">
        <v>34262</v>
      </c>
      <c r="E25327" s="0" t="inlineStr">
        <is>
          <t xml:space="preserve">Mazda</t>
        </is>
      </c>
      <c r="F25327" s="0" t="inlineStr">
        <is>
          <t xml:space="preserve">Mazda</t>
        </is>
      </c>
      <c r="G25327" s="0" t="s">
        <v>210</v>
      </c>
      <c r="H25327" s="5">
        <v>252.572000</v>
      </c>
    </row>
    <row r="25328" spans="1:9">
      <c r="A25328" s="22" t="str">
        <f>HYPERLINK("https://app.vivvix.com/360/KMI/IntelliDrive/ApplUI/Pages/CreativePages/CustomReportCreativeDetail.aspx?App=23&amp;ReportView=4&amp;Qid=1711279&amp;Row=25320&amp;Col=1","No Title Assigned - #15285656200")</f>
        <v/>
      </c>
      <c r="B25328" s="0" t="s">
        <v>34263</v>
      </c>
      <c r="C25328" s="0" t="s">
        <v>34264</v>
      </c>
      <c r="D25328" s="0" t="s">
        <v>34264</v>
      </c>
      <c r="E25328" s="0" t="inlineStr">
        <is>
          <t xml:space="preserve">Mazda</t>
        </is>
      </c>
      <c r="F25328" s="0" t="s">
        <v>13</v>
      </c>
      <c r="G25328" s="0" t="s">
        <v>49</v>
      </c>
      <c r="H25328" s="5">
        <v>45.638900</v>
      </c>
    </row>
    <row r="25329" spans="1:9">
      <c r="A25329" s="22" t="str">
        <f>HYPERLINK("https://app.vivvix.com/360/KMI/IntelliDrive/ApplUI/Pages/CreativePages/CustomReportCreativeDetail.aspx?App=23&amp;ReportView=4&amp;Qid=1711279&amp;Row=25321&amp;Col=1","No Title Assigned - #15285656548")</f>
        <v/>
      </c>
      <c r="B25329" s="0" t="s">
        <v>34265</v>
      </c>
      <c r="C25329" s="0" t="s">
        <v>34266</v>
      </c>
      <c r="D25329" s="0" t="s">
        <v>34266</v>
      </c>
      <c r="E25329" s="0" t="inlineStr">
        <is>
          <t xml:space="preserve">Mazda</t>
        </is>
      </c>
      <c r="F25329" s="0" t="s">
        <v>13</v>
      </c>
      <c r="G25329" s="0" t="s">
        <v>49</v>
      </c>
      <c r="H25329" s="5">
        <v>1622.836400</v>
      </c>
    </row>
    <row r="25330" spans="1:9">
      <c r="A25330" s="22" t="str">
        <f>HYPERLINK("https://app.vivvix.com/360/KMI/IntelliDrive/ApplUI/Pages/CreativePages/CustomReportCreativeDetail.aspx?App=23&amp;ReportView=4&amp;Qid=1711279&amp;Row=25322&amp;Col=1","No Title Assigned - #15285656614")</f>
        <v/>
      </c>
      <c r="B25330" s="0" t="s">
        <v>34267</v>
      </c>
      <c r="C25330" s="0" t="s">
        <v>34268</v>
      </c>
      <c r="D25330" s="0" t="s">
        <v>34268</v>
      </c>
      <c r="E25330" s="0" t="inlineStr">
        <is>
          <t xml:space="preserve">Mazda</t>
        </is>
      </c>
      <c r="F25330" s="0" t="s">
        <v>13</v>
      </c>
      <c r="G25330" s="0" t="s">
        <v>49</v>
      </c>
      <c r="H25330" s="5">
        <v>229.669800</v>
      </c>
    </row>
    <row r="25331" spans="1:9">
      <c r="A25331" s="22" t="str">
        <f>HYPERLINK("https://app.vivvix.com/360/KMI/IntelliDrive/ApplUI/Pages/CreativePages/CustomReportCreativeDetail.aspx?App=23&amp;ReportView=4&amp;Qid=1711279&amp;Row=25323&amp;Col=1","No Title Assigned - #15285656643")</f>
        <v/>
      </c>
      <c r="B25331" s="0" t="s">
        <v>34269</v>
      </c>
      <c r="C25331" s="0" t="s">
        <v>34270</v>
      </c>
      <c r="D25331" s="0" t="s">
        <v>34270</v>
      </c>
      <c r="E25331" s="0" t="inlineStr">
        <is>
          <t xml:space="preserve">Mazda</t>
        </is>
      </c>
      <c r="F25331" s="0" t="s">
        <v>13</v>
      </c>
      <c r="G25331" s="0" t="s">
        <v>49</v>
      </c>
      <c r="H25331" s="5">
        <v>21.073800</v>
      </c>
    </row>
    <row r="25332" spans="1:9">
      <c r="A25332" s="22" t="str">
        <f>HYPERLINK("https://app.vivvix.com/360/KMI/IntelliDrive/ApplUI/Pages/CreativePages/CustomReportCreativeDetail.aspx?App=23&amp;ReportView=4&amp;Qid=1711279&amp;Row=25324&amp;Col=1","No Title Assigned - #15285656670")</f>
        <v/>
      </c>
      <c r="B25332" s="0" t="s">
        <v>34271</v>
      </c>
      <c r="C25332" s="0" t="s">
        <v>34272</v>
      </c>
      <c r="D25332" s="0" t="s">
        <v>34272</v>
      </c>
      <c r="E25332" s="0" t="inlineStr">
        <is>
          <t xml:space="preserve">Mazda</t>
        </is>
      </c>
      <c r="F25332" s="0" t="s">
        <v>13</v>
      </c>
      <c r="G25332" s="0" t="s">
        <v>49</v>
      </c>
      <c r="H25332" s="5">
        <v>141.023100</v>
      </c>
    </row>
    <row r="25333" spans="1:9">
      <c r="A25333" s="22" t="str">
        <f>HYPERLINK("https://app.vivvix.com/360/KMI/IntelliDrive/ApplUI/Pages/CreativePages/CustomReportCreativeDetail.aspx?App=23&amp;ReportView=4&amp;Qid=1711279&amp;Row=25325&amp;Col=1","No Title Assigned - #15285657333")</f>
        <v/>
      </c>
      <c r="B25333" s="0" t="s">
        <v>34273</v>
      </c>
      <c r="C25333" s="0" t="s">
        <v>34274</v>
      </c>
      <c r="D25333" s="0" t="s">
        <v>34274</v>
      </c>
      <c r="E25333" s="0" t="inlineStr">
        <is>
          <t xml:space="preserve">Mazda</t>
        </is>
      </c>
      <c r="F25333" s="0" t="s">
        <v>13</v>
      </c>
      <c r="G25333" s="0" t="s">
        <v>49</v>
      </c>
      <c r="H25333" s="5">
        <v>22.147100</v>
      </c>
    </row>
    <row r="25334" spans="1:9">
      <c r="A25334" s="22" t="str">
        <f>HYPERLINK("https://app.vivvix.com/360/KMI/IntelliDrive/ApplUI/Pages/CreativePages/CustomReportCreativeDetail.aspx?App=23&amp;ReportView=4&amp;Qid=1711279&amp;Row=25326&amp;Col=1","No Title Assigned - #15285658215")</f>
        <v/>
      </c>
      <c r="B25334" s="0" t="s">
        <v>34275</v>
      </c>
      <c r="C25334" s="0" t="s">
        <v>34276</v>
      </c>
      <c r="D25334" s="0" t="s">
        <v>34276</v>
      </c>
      <c r="E25334" s="0" t="inlineStr">
        <is>
          <t xml:space="preserve">Mazda</t>
        </is>
      </c>
      <c r="F25334" s="0" t="s">
        <v>13</v>
      </c>
      <c r="G25334" s="0" t="s">
        <v>49</v>
      </c>
      <c r="H25334" s="5">
        <v>22.147100</v>
      </c>
    </row>
    <row r="25335" spans="1:9">
      <c r="A25335" s="22" t="str">
        <f>HYPERLINK("https://app.vivvix.com/360/KMI/IntelliDrive/ApplUI/Pages/CreativePages/CustomReportCreativeDetail.aspx?App=23&amp;ReportView=4&amp;Qid=1711279&amp;Row=25327&amp;Col=1","No Title Assigned - #15285658361")</f>
        <v/>
      </c>
      <c r="B25335" s="0" t="s">
        <v>34277</v>
      </c>
      <c r="C25335" s="0" t="s">
        <v>34278</v>
      </c>
      <c r="D25335" s="0" t="s">
        <v>34278</v>
      </c>
      <c r="E25335" s="0" t="inlineStr">
        <is>
          <t xml:space="preserve">Mazda</t>
        </is>
      </c>
      <c r="F25335" s="0" t="s">
        <v>13</v>
      </c>
      <c r="G25335" s="0" t="s">
        <v>49</v>
      </c>
      <c r="H25335" s="5">
        <v>829.061900</v>
      </c>
    </row>
    <row r="25336" spans="1:9">
      <c r="A25336" s="22" t="str">
        <f>HYPERLINK("https://app.vivvix.com/360/KMI/IntelliDrive/ApplUI/Pages/CreativePages/CustomReportCreativeDetail.aspx?App=23&amp;ReportView=4&amp;Qid=1711279&amp;Row=25328&amp;Col=1","No Title Assigned - #15285658604")</f>
        <v/>
      </c>
      <c r="B25336" s="0" t="s">
        <v>34279</v>
      </c>
      <c r="C25336" s="0" t="s">
        <v>34280</v>
      </c>
      <c r="D25336" s="0" t="s">
        <v>34280</v>
      </c>
      <c r="E25336" s="0" t="inlineStr">
        <is>
          <t xml:space="preserve">Mazda</t>
        </is>
      </c>
      <c r="F25336" s="0" t="s">
        <v>13</v>
      </c>
      <c r="G25336" s="0" t="s">
        <v>49</v>
      </c>
      <c r="H25336" s="5">
        <v>22.147100</v>
      </c>
    </row>
    <row r="25337" spans="1:9">
      <c r="A25337" s="22" t="str">
        <f>HYPERLINK("https://app.vivvix.com/360/KMI/IntelliDrive/ApplUI/Pages/CreativePages/CustomReportCreativeDetail.aspx?App=23&amp;ReportView=4&amp;Qid=1711279&amp;Row=25329&amp;Col=1","No Title Assigned - #15285658971")</f>
        <v/>
      </c>
      <c r="B25337" s="0" t="s">
        <v>34281</v>
      </c>
      <c r="C25337" s="0" t="s">
        <v>34282</v>
      </c>
      <c r="D25337" s="0" t="s">
        <v>34282</v>
      </c>
      <c r="E25337" s="0" t="inlineStr">
        <is>
          <t xml:space="preserve">Mazda</t>
        </is>
      </c>
      <c r="F25337" s="0" t="s">
        <v>13</v>
      </c>
      <c r="G25337" s="0" t="s">
        <v>49</v>
      </c>
      <c r="H25337" s="5">
        <v>1674.635700</v>
      </c>
    </row>
    <row r="25338" spans="1:9">
      <c r="A25338" s="22" t="str">
        <f>HYPERLINK("https://app.vivvix.com/360/KMI/IntelliDrive/ApplUI/Pages/CreativePages/CustomReportCreativeDetail.aspx?App=23&amp;ReportView=4&amp;Qid=1711279&amp;Row=25330&amp;Col=1","No Title Assigned - #15285659019")</f>
        <v/>
      </c>
      <c r="B25338" s="0" t="s">
        <v>34283</v>
      </c>
      <c r="C25338" s="0" t="s">
        <v>34284</v>
      </c>
      <c r="D25338" s="0" t="s">
        <v>34284</v>
      </c>
      <c r="E25338" s="0" t="inlineStr">
        <is>
          <t xml:space="preserve">Mazda</t>
        </is>
      </c>
      <c r="F25338" s="0" t="s">
        <v>13</v>
      </c>
      <c r="G25338" s="0" t="s">
        <v>49</v>
      </c>
      <c r="H25338" s="5">
        <v>66.441300</v>
      </c>
    </row>
    <row r="25339" spans="1:9">
      <c r="A25339" s="22" t="str">
        <f>HYPERLINK("https://app.vivvix.com/360/KMI/IntelliDrive/ApplUI/Pages/CreativePages/CustomReportCreativeDetail.aspx?App=23&amp;ReportView=4&amp;Qid=1711279&amp;Row=25331&amp;Col=1","No Title Assigned - #15285659284")</f>
        <v/>
      </c>
      <c r="B25339" s="0" t="s">
        <v>34285</v>
      </c>
      <c r="C25339" s="0" t="s">
        <v>34286</v>
      </c>
      <c r="D25339" s="0" t="s">
        <v>34286</v>
      </c>
      <c r="E25339" s="0" t="inlineStr">
        <is>
          <t xml:space="preserve">Mazda</t>
        </is>
      </c>
      <c r="F25339" s="0" t="s">
        <v>13</v>
      </c>
      <c r="G25339" s="0" t="s">
        <v>49</v>
      </c>
      <c r="H25339" s="5">
        <v>217.536100</v>
      </c>
    </row>
    <row r="25340" spans="1:9">
      <c r="A25340" s="22" t="str">
        <f>HYPERLINK("https://app.vivvix.com/360/KMI/IntelliDrive/ApplUI/Pages/CreativePages/CustomReportCreativeDetail.aspx?App=23&amp;ReportView=4&amp;Qid=1711279&amp;Row=25332&amp;Col=1","No Title Assigned - #15285661123")</f>
        <v/>
      </c>
      <c r="B25340" s="0" t="s">
        <v>34287</v>
      </c>
      <c r="C25340" s="0" t="s">
        <v>34288</v>
      </c>
      <c r="D25340" s="0" t="s">
        <v>34288</v>
      </c>
      <c r="E25340" s="0" t="inlineStr">
        <is>
          <t xml:space="preserve">Mazda</t>
        </is>
      </c>
      <c r="F25340" s="0" t="s">
        <v>13</v>
      </c>
      <c r="G25340" s="0" t="s">
        <v>49</v>
      </c>
      <c r="H25340" s="5">
        <v>74.200500</v>
      </c>
    </row>
    <row r="25341" spans="1:9">
      <c r="A25341" s="22" t="str">
        <f>HYPERLINK("https://app.vivvix.com/360/KMI/IntelliDrive/ApplUI/Pages/CreativePages/CustomReportCreativeDetail.aspx?App=23&amp;ReportView=4&amp;Qid=1711279&amp;Row=25333&amp;Col=1","No Title Assigned - #15285662673")</f>
        <v/>
      </c>
      <c r="B25341" s="0" t="s">
        <v>34289</v>
      </c>
      <c r="C25341" s="0" t="s">
        <v>34290</v>
      </c>
      <c r="D25341" s="0" t="s">
        <v>34290</v>
      </c>
      <c r="E25341" s="0" t="inlineStr">
        <is>
          <t xml:space="preserve">Mazda</t>
        </is>
      </c>
      <c r="F25341" s="0" t="inlineStr">
        <is>
          <t xml:space="preserve">Mazda</t>
        </is>
      </c>
      <c r="G25341" s="0" t="s">
        <v>210</v>
      </c>
      <c r="H25341" s="5">
        <v>852.174600</v>
      </c>
    </row>
    <row r="25342" spans="1:9">
      <c r="A25342" s="22" t="str">
        <f>HYPERLINK("https://app.vivvix.com/360/KMI/IntelliDrive/ApplUI/Pages/CreativePages/CustomReportCreativeDetail.aspx?App=23&amp;ReportView=4&amp;Qid=1711279&amp;Row=25334&amp;Col=1","No Title Assigned - #15285663504")</f>
        <v/>
      </c>
      <c r="B25342" s="0" t="s">
        <v>34291</v>
      </c>
      <c r="C25342" s="0" t="s">
        <v>34292</v>
      </c>
      <c r="D25342" s="0" t="s">
        <v>34292</v>
      </c>
      <c r="E25342" s="0" t="inlineStr">
        <is>
          <t xml:space="preserve">Mazda</t>
        </is>
      </c>
      <c r="F25342" s="0" t="s">
        <v>13</v>
      </c>
      <c r="G25342" s="0" t="s">
        <v>49</v>
      </c>
      <c r="H25342" s="5">
        <v>622.329800</v>
      </c>
    </row>
    <row r="25343" spans="1:9">
      <c r="A25343" s="22" t="str">
        <f>HYPERLINK("https://app.vivvix.com/360/KMI/IntelliDrive/ApplUI/Pages/CreativePages/CustomReportCreativeDetail.aspx?App=23&amp;ReportView=4&amp;Qid=1711279&amp;Row=25335&amp;Col=1","No Title Assigned - #15285664156")</f>
        <v/>
      </c>
      <c r="B25343" s="0" t="s">
        <v>34293</v>
      </c>
      <c r="C25343" s="0" t="s">
        <v>34294</v>
      </c>
      <c r="D25343" s="0" t="s">
        <v>34294</v>
      </c>
      <c r="E25343" s="0" t="inlineStr">
        <is>
          <t xml:space="preserve">Mazda</t>
        </is>
      </c>
      <c r="F25343" s="0" t="s">
        <v>28</v>
      </c>
      <c r="G25343" s="0" t="s">
        <v>29</v>
      </c>
      <c r="H25343" s="5">
        <v>134.728800</v>
      </c>
    </row>
    <row r="25344" spans="1:9">
      <c r="A25344" s="22" t="str">
        <f>HYPERLINK("https://app.vivvix.com/360/KMI/IntelliDrive/ApplUI/Pages/CreativePages/CustomReportCreativeDetail.aspx?App=23&amp;ReportView=4&amp;Qid=1711279&amp;Row=25336&amp;Col=1","No Title Assigned - #15285668006")</f>
        <v/>
      </c>
      <c r="B25344" s="0" t="s">
        <v>34295</v>
      </c>
      <c r="C25344" s="0" t="s">
        <v>34296</v>
      </c>
      <c r="D25344" s="0" t="s">
        <v>34296</v>
      </c>
      <c r="E25344" s="0" t="inlineStr">
        <is>
          <t xml:space="preserve">Mazda</t>
        </is>
      </c>
      <c r="F25344" s="0" t="s">
        <v>13</v>
      </c>
      <c r="G25344" s="0" t="s">
        <v>49</v>
      </c>
      <c r="H25344" s="5">
        <v>134.565100</v>
      </c>
    </row>
    <row r="25345" spans="1:9">
      <c r="A25345" s="22" t="str">
        <f>HYPERLINK("https://app.vivvix.com/360/KMI/IntelliDrive/ApplUI/Pages/CreativePages/CustomReportCreativeDetail.aspx?App=23&amp;ReportView=4&amp;Qid=1711279&amp;Row=25337&amp;Col=1","No Title Assigned - #15285668109")</f>
        <v/>
      </c>
      <c r="B25345" s="0" t="s">
        <v>34297</v>
      </c>
      <c r="C25345" s="0" t="s">
        <v>34298</v>
      </c>
      <c r="D25345" s="0" t="s">
        <v>34298</v>
      </c>
      <c r="E25345" s="0" t="inlineStr">
        <is>
          <t xml:space="preserve">Mazda</t>
        </is>
      </c>
      <c r="F25345" s="0" t="s">
        <v>13</v>
      </c>
      <c r="G25345" s="0" t="s">
        <v>49</v>
      </c>
      <c r="H25345" s="5">
        <v>21.073800</v>
      </c>
    </row>
    <row r="25346" spans="1:9">
      <c r="A25346" s="22" t="str">
        <f>HYPERLINK("https://app.vivvix.com/360/KMI/IntelliDrive/ApplUI/Pages/CreativePages/CustomReportCreativeDetail.aspx?App=23&amp;ReportView=4&amp;Qid=1711279&amp;Row=25338&amp;Col=1","No Title Assigned - #15285668247")</f>
        <v/>
      </c>
      <c r="B25346" s="0" t="s">
        <v>34299</v>
      </c>
      <c r="C25346" s="0" t="s">
        <v>34300</v>
      </c>
      <c r="D25346" s="0" t="s">
        <v>34300</v>
      </c>
      <c r="E25346" s="0" t="inlineStr">
        <is>
          <t xml:space="preserve">Mazda</t>
        </is>
      </c>
      <c r="F25346" s="0" t="s">
        <v>13</v>
      </c>
      <c r="G25346" s="0" t="s">
        <v>49</v>
      </c>
      <c r="H25346" s="5">
        <v>483.855400</v>
      </c>
    </row>
    <row r="25347" spans="1:9">
      <c r="A25347" s="22" t="str">
        <f>HYPERLINK("https://app.vivvix.com/360/KMI/IntelliDrive/ApplUI/Pages/CreativePages/CustomReportCreativeDetail.aspx?App=23&amp;ReportView=4&amp;Qid=1711279&amp;Row=25339&amp;Col=1","No Title Assigned - #15285668563")</f>
        <v/>
      </c>
      <c r="B25347" s="0" t="s">
        <v>34301</v>
      </c>
      <c r="C25347" s="0" t="s">
        <v>34302</v>
      </c>
      <c r="D25347" s="0" t="s">
        <v>34302</v>
      </c>
      <c r="E25347" s="0" t="inlineStr">
        <is>
          <t xml:space="preserve">Mazda</t>
        </is>
      </c>
      <c r="F25347" s="0" t="s">
        <v>13</v>
      </c>
      <c r="G25347" s="0" t="s">
        <v>49</v>
      </c>
      <c r="H25347" s="5">
        <v>417.542300</v>
      </c>
    </row>
    <row r="25348" spans="1:9">
      <c r="A25348" s="22" t="str">
        <f>HYPERLINK("https://app.vivvix.com/360/KMI/IntelliDrive/ApplUI/Pages/CreativePages/CustomReportCreativeDetail.aspx?App=23&amp;ReportView=4&amp;Qid=1711279&amp;Row=25340&amp;Col=1","No Title Assigned - #15285669306")</f>
        <v/>
      </c>
      <c r="B25348" s="0" t="s">
        <v>34303</v>
      </c>
      <c r="C25348" s="0" t="s">
        <v>34304</v>
      </c>
      <c r="D25348" s="0" t="s">
        <v>34304</v>
      </c>
      <c r="E25348" s="0" t="inlineStr">
        <is>
          <t xml:space="preserve">Mazda</t>
        </is>
      </c>
      <c r="F25348" s="0" t="s">
        <v>13</v>
      </c>
      <c r="G25348" s="0" t="s">
        <v>49</v>
      </c>
      <c r="H25348" s="5">
        <v>45.638900</v>
      </c>
    </row>
    <row r="25349" spans="1:9">
      <c r="A25349" s="22" t="str">
        <f>HYPERLINK("https://app.vivvix.com/360/KMI/IntelliDrive/ApplUI/Pages/CreativePages/CustomReportCreativeDetail.aspx?App=23&amp;ReportView=4&amp;Qid=1711279&amp;Row=25341&amp;Col=1","No Title Assigned - #15285669334")</f>
        <v/>
      </c>
      <c r="B25349" s="0" t="s">
        <v>34305</v>
      </c>
      <c r="C25349" s="0" t="s">
        <v>34306</v>
      </c>
      <c r="D25349" s="0" t="s">
        <v>34306</v>
      </c>
      <c r="E25349" s="0" t="inlineStr">
        <is>
          <t xml:space="preserve">Mazda</t>
        </is>
      </c>
      <c r="F25349" s="0" t="s">
        <v>13</v>
      </c>
      <c r="G25349" s="0" t="s">
        <v>49</v>
      </c>
      <c r="H25349" s="5">
        <v>3245.672800</v>
      </c>
    </row>
    <row r="25350" spans="1:9">
      <c r="A25350" s="22" t="str">
        <f>HYPERLINK("https://app.vivvix.com/360/KMI/IntelliDrive/ApplUI/Pages/CreativePages/CustomReportCreativeDetail.aspx?App=23&amp;ReportView=4&amp;Qid=1711279&amp;Row=25342&amp;Col=1","No Title Assigned - #15285670049")</f>
        <v/>
      </c>
      <c r="B25350" s="0" t="s">
        <v>34307</v>
      </c>
      <c r="C25350" s="0" t="s">
        <v>34308</v>
      </c>
      <c r="D25350" s="0" t="s">
        <v>34308</v>
      </c>
      <c r="E25350" s="0" t="inlineStr">
        <is>
          <t xml:space="preserve">Mazda</t>
        </is>
      </c>
      <c r="F25350" s="0" t="s">
        <v>13</v>
      </c>
      <c r="G25350" s="0" t="s">
        <v>49</v>
      </c>
      <c r="H25350" s="5">
        <v>45.488600</v>
      </c>
    </row>
    <row r="25351" spans="1:9">
      <c r="A25351" s="22" t="str">
        <f>HYPERLINK("https://app.vivvix.com/360/KMI/IntelliDrive/ApplUI/Pages/CreativePages/CustomReportCreativeDetail.aspx?App=23&amp;ReportView=4&amp;Qid=1711279&amp;Row=25343&amp;Col=1","No Title Assigned - #15285670083")</f>
        <v/>
      </c>
      <c r="B25351" s="0" t="s">
        <v>34309</v>
      </c>
      <c r="C25351" s="0" t="s">
        <v>34310</v>
      </c>
      <c r="D25351" s="0" t="s">
        <v>34310</v>
      </c>
      <c r="E25351" s="0" t="inlineStr">
        <is>
          <t xml:space="preserve">Mazda</t>
        </is>
      </c>
      <c r="F25351" s="0" t="s">
        <v>13</v>
      </c>
      <c r="G25351" s="0" t="s">
        <v>49</v>
      </c>
      <c r="H25351" s="5">
        <v>164.159200</v>
      </c>
    </row>
    <row r="25352" spans="1:9">
      <c r="A25352" s="22" t="str">
        <f>HYPERLINK("https://app.vivvix.com/360/KMI/IntelliDrive/ApplUI/Pages/CreativePages/CustomReportCreativeDetail.aspx?App=23&amp;ReportView=4&amp;Qid=1711279&amp;Row=25344&amp;Col=1","No Title Assigned - #15285670111")</f>
        <v/>
      </c>
      <c r="B25352" s="0" t="s">
        <v>34311</v>
      </c>
      <c r="C25352" s="0" t="s">
        <v>34312</v>
      </c>
      <c r="D25352" s="0" t="s">
        <v>34312</v>
      </c>
      <c r="E25352" s="0" t="inlineStr">
        <is>
          <t xml:space="preserve">Mazda</t>
        </is>
      </c>
      <c r="F25352" s="0" t="s">
        <v>13</v>
      </c>
      <c r="G25352" s="0" t="s">
        <v>49</v>
      </c>
      <c r="H25352" s="5">
        <v>684.030900</v>
      </c>
    </row>
    <row r="25353" spans="1:9">
      <c r="A25353" s="22" t="str">
        <f>HYPERLINK("https://app.vivvix.com/360/KMI/IntelliDrive/ApplUI/Pages/CreativePages/CustomReportCreativeDetail.aspx?App=23&amp;ReportView=4&amp;Qid=1711279&amp;Row=25345&amp;Col=1","No Title Assigned - #15285670807")</f>
        <v/>
      </c>
      <c r="B25353" s="0" t="s">
        <v>34313</v>
      </c>
      <c r="C25353" s="0" t="s">
        <v>34314</v>
      </c>
      <c r="D25353" s="0" t="s">
        <v>34314</v>
      </c>
      <c r="E25353" s="0" t="inlineStr">
        <is>
          <t xml:space="preserve">Mazda</t>
        </is>
      </c>
      <c r="F25353" s="0" t="s">
        <v>13</v>
      </c>
      <c r="G25353" s="0" t="s">
        <v>49</v>
      </c>
      <c r="H25353" s="5">
        <v>558.192500</v>
      </c>
    </row>
    <row r="25354" spans="1:9">
      <c r="A25354" s="22" t="str">
        <f>HYPERLINK("https://app.vivvix.com/360/KMI/IntelliDrive/ApplUI/Pages/CreativePages/CustomReportCreativeDetail.aspx?App=23&amp;ReportView=4&amp;Qid=1711279&amp;Row=25346&amp;Col=1","No Title Assigned - #15285673735")</f>
        <v/>
      </c>
      <c r="B25354" s="0" t="s">
        <v>34315</v>
      </c>
      <c r="C25354" s="0" t="s">
        <v>34316</v>
      </c>
      <c r="D25354" s="0" t="s">
        <v>34316</v>
      </c>
      <c r="E25354" s="0" t="inlineStr">
        <is>
          <t xml:space="preserve">Mazda</t>
        </is>
      </c>
      <c r="F25354" s="0" t="inlineStr">
        <is>
          <t xml:space="preserve">Mazda</t>
        </is>
      </c>
      <c r="G25354" s="0" t="s">
        <v>210</v>
      </c>
      <c r="H25354" s="5">
        <v>438.525500</v>
      </c>
    </row>
    <row r="25355" spans="1:9">
      <c r="A25355" s="22" t="str">
        <f>HYPERLINK("https://app.vivvix.com/360/KMI/IntelliDrive/ApplUI/Pages/CreativePages/CustomReportCreativeDetail.aspx?App=23&amp;ReportView=4&amp;Qid=1711279&amp;Row=25347&amp;Col=1","No Title Assigned - #15285674225")</f>
        <v/>
      </c>
      <c r="B25355" s="0" t="s">
        <v>34317</v>
      </c>
      <c r="C25355" s="0" t="s">
        <v>34318</v>
      </c>
      <c r="D25355" s="0" t="s">
        <v>34318</v>
      </c>
      <c r="E25355" s="0" t="inlineStr">
        <is>
          <t xml:space="preserve">Mazda</t>
        </is>
      </c>
      <c r="F25355" s="0" t="s">
        <v>13</v>
      </c>
      <c r="G25355" s="0" t="s">
        <v>49</v>
      </c>
      <c r="H25355" s="5">
        <v>1483.505600</v>
      </c>
    </row>
    <row r="25356" spans="1:9">
      <c r="A25356" s="22" t="str">
        <f>HYPERLINK("https://app.vivvix.com/360/KMI/IntelliDrive/ApplUI/Pages/CreativePages/CustomReportCreativeDetail.aspx?App=23&amp;ReportView=4&amp;Qid=1711279&amp;Row=25348&amp;Col=1","No Title Assigned - #15285674551")</f>
        <v/>
      </c>
      <c r="B25356" s="0" t="s">
        <v>34319</v>
      </c>
      <c r="C25356" s="0" t="s">
        <v>34320</v>
      </c>
      <c r="D25356" s="0" t="s">
        <v>34320</v>
      </c>
      <c r="E25356" s="0" t="inlineStr">
        <is>
          <t xml:space="preserve">Mazda</t>
        </is>
      </c>
      <c r="F25356" s="0" t="s">
        <v>13</v>
      </c>
      <c r="G25356" s="0" t="s">
        <v>49</v>
      </c>
      <c r="H25356" s="5">
        <v>28.976000</v>
      </c>
    </row>
    <row r="25357" spans="1:9">
      <c r="A25357" s="22" t="str">
        <f>HYPERLINK("https://app.vivvix.com/360/KMI/IntelliDrive/ApplUI/Pages/CreativePages/CustomReportCreativeDetail.aspx?App=23&amp;ReportView=4&amp;Qid=1711279&amp;Row=25349&amp;Col=1","No Title Assigned - #15285674777")</f>
        <v/>
      </c>
      <c r="B25357" s="0" t="s">
        <v>34321</v>
      </c>
      <c r="C25357" s="0" t="s">
        <v>34322</v>
      </c>
      <c r="D25357" s="0" t="s">
        <v>34322</v>
      </c>
      <c r="E25357" s="0" t="inlineStr">
        <is>
          <t xml:space="preserve">Mazda</t>
        </is>
      </c>
      <c r="F25357" s="0" t="s">
        <v>13</v>
      </c>
      <c r="G25357" s="0" t="s">
        <v>49</v>
      </c>
      <c r="H25357" s="5">
        <v>1622.836400</v>
      </c>
    </row>
    <row r="25358" spans="1:9">
      <c r="A25358" s="22" t="str">
        <f>HYPERLINK("https://app.vivvix.com/360/KMI/IntelliDrive/ApplUI/Pages/CreativePages/CustomReportCreativeDetail.aspx?App=23&amp;ReportView=4&amp;Qid=1711279&amp;Row=25350&amp;Col=1","No Title Assigned - #15285675412")</f>
        <v/>
      </c>
      <c r="B25358" s="0" t="s">
        <v>34323</v>
      </c>
      <c r="C25358" s="0" t="s">
        <v>34324</v>
      </c>
      <c r="D25358" s="0" t="s">
        <v>34324</v>
      </c>
      <c r="E25358" s="0" t="inlineStr">
        <is>
          <t xml:space="preserve">Mazda</t>
        </is>
      </c>
      <c r="F25358" s="0" t="s">
        <v>13</v>
      </c>
      <c r="G25358" s="0" t="s">
        <v>49</v>
      </c>
      <c r="H25358" s="5">
        <v>1450.776200</v>
      </c>
    </row>
    <row r="25359" spans="1:9">
      <c r="A25359" s="22" t="str">
        <f>HYPERLINK("https://app.vivvix.com/360/KMI/IntelliDrive/ApplUI/Pages/CreativePages/CustomReportCreativeDetail.aspx?App=23&amp;ReportView=4&amp;Qid=1711279&amp;Row=25351&amp;Col=1","No Title Assigned - #15285675469")</f>
        <v/>
      </c>
      <c r="B25359" s="0" t="s">
        <v>34325</v>
      </c>
      <c r="C25359" s="0" t="s">
        <v>34326</v>
      </c>
      <c r="D25359" s="0" t="s">
        <v>34326</v>
      </c>
      <c r="E25359" s="0" t="inlineStr">
        <is>
          <t xml:space="preserve">Mazda</t>
        </is>
      </c>
      <c r="F25359" s="0" t="s">
        <v>13</v>
      </c>
      <c r="G25359" s="0" t="s">
        <v>49</v>
      </c>
      <c r="H25359" s="5">
        <v>2901.552400</v>
      </c>
    </row>
    <row r="25360" spans="1:9">
      <c r="A25360" s="22" t="str">
        <f>HYPERLINK("https://app.vivvix.com/360/KMI/IntelliDrive/ApplUI/Pages/CreativePages/CustomReportCreativeDetail.aspx?App=23&amp;ReportView=4&amp;Qid=1711279&amp;Row=25352&amp;Col=1","No Title Assigned - #15285675791")</f>
        <v/>
      </c>
      <c r="B25360" s="0" t="s">
        <v>34327</v>
      </c>
      <c r="C25360" s="0" t="s">
        <v>34328</v>
      </c>
      <c r="D25360" s="0" t="s">
        <v>34328</v>
      </c>
      <c r="E25360" s="0" t="inlineStr">
        <is>
          <t xml:space="preserve">Mazda</t>
        </is>
      </c>
      <c r="F25360" s="0" t="s">
        <v>13</v>
      </c>
      <c r="G25360" s="0" t="s">
        <v>49</v>
      </c>
      <c r="H25360" s="5">
        <v>134.565100</v>
      </c>
    </row>
    <row r="25361" spans="1:9">
      <c r="A25361" s="22" t="str">
        <f>HYPERLINK("https://app.vivvix.com/360/KMI/IntelliDrive/ApplUI/Pages/CreativePages/CustomReportCreativeDetail.aspx?App=23&amp;ReportView=4&amp;Qid=1711279&amp;Row=25353&amp;Col=1","No Title Assigned - #15285678675")</f>
        <v/>
      </c>
      <c r="B25361" s="0" t="s">
        <v>34329</v>
      </c>
      <c r="C25361" s="0" t="s">
        <v>34330</v>
      </c>
      <c r="D25361" s="0" t="s">
        <v>34330</v>
      </c>
      <c r="E25361" s="0" t="inlineStr">
        <is>
          <t xml:space="preserve">Mazda</t>
        </is>
      </c>
      <c r="F25361" s="0" t="s">
        <v>13</v>
      </c>
      <c r="G25361" s="0" t="s">
        <v>49</v>
      </c>
      <c r="H25361" s="5">
        <v>144.419900</v>
      </c>
    </row>
    <row r="25362" spans="1:9">
      <c r="A25362" s="22" t="str">
        <f>HYPERLINK("https://app.vivvix.com/360/KMI/IntelliDrive/ApplUI/Pages/CreativePages/CustomReportCreativeDetail.aspx?App=23&amp;ReportView=4&amp;Qid=1711279&amp;Row=25354&amp;Col=1","No Title Assigned - #15285682684")</f>
        <v/>
      </c>
      <c r="B25362" s="0" t="s">
        <v>34331</v>
      </c>
      <c r="C25362" s="0" t="s">
        <v>34332</v>
      </c>
      <c r="D25362" s="0" t="s">
        <v>34332</v>
      </c>
      <c r="E25362" s="0" t="inlineStr">
        <is>
          <t xml:space="preserve">Mazda</t>
        </is>
      </c>
      <c r="F25362" s="0" t="s">
        <v>13</v>
      </c>
      <c r="G25362" s="0" t="s">
        <v>49</v>
      </c>
      <c r="H25362" s="5">
        <v>136.472600</v>
      </c>
    </row>
    <row r="25363" spans="1:9">
      <c r="A25363" s="22" t="str">
        <f>HYPERLINK("https://app.vivvix.com/360/KMI/IntelliDrive/ApplUI/Pages/CreativePages/CustomReportCreativeDetail.aspx?App=23&amp;ReportView=4&amp;Qid=1711279&amp;Row=25355&amp;Col=1","No Title Assigned - #15285687445")</f>
        <v/>
      </c>
      <c r="B25363" s="0" t="s">
        <v>34333</v>
      </c>
      <c r="C25363" s="0" t="s">
        <v>34334</v>
      </c>
      <c r="D25363" s="0" t="s">
        <v>34334</v>
      </c>
      <c r="E25363" s="0" t="inlineStr">
        <is>
          <t xml:space="preserve">Mazda</t>
        </is>
      </c>
      <c r="F25363" s="0" t="s">
        <v>13</v>
      </c>
      <c r="G25363" s="0" t="s">
        <v>49</v>
      </c>
      <c r="H25363" s="5">
        <v>144.419900</v>
      </c>
    </row>
    <row r="25364" spans="1:9">
      <c r="A25364" s="22" t="str">
        <f>HYPERLINK("https://app.vivvix.com/360/KMI/IntelliDrive/ApplUI/Pages/CreativePages/CustomReportCreativeDetail.aspx?App=23&amp;ReportView=4&amp;Qid=1711279&amp;Row=25356&amp;Col=1","No Title Assigned - #15285688088")</f>
        <v/>
      </c>
      <c r="B25364" s="0" t="s">
        <v>34335</v>
      </c>
      <c r="C25364" s="0" t="s">
        <v>34336</v>
      </c>
      <c r="D25364" s="0" t="s">
        <v>34336</v>
      </c>
      <c r="E25364" s="0" t="inlineStr">
        <is>
          <t xml:space="preserve">Mazda</t>
        </is>
      </c>
      <c r="F25364" s="0" t="s">
        <v>13</v>
      </c>
      <c r="G25364" s="0" t="s">
        <v>49</v>
      </c>
      <c r="H25364" s="5">
        <v>1701.991300</v>
      </c>
    </row>
    <row r="25365" spans="1:9">
      <c r="A25365" s="22" t="str">
        <f>HYPERLINK("https://app.vivvix.com/360/KMI/IntelliDrive/ApplUI/Pages/CreativePages/CustomReportCreativeDetail.aspx?App=23&amp;ReportView=4&amp;Qid=1711279&amp;Row=25357&amp;Col=1","No Title Assigned - #15285689188")</f>
        <v/>
      </c>
      <c r="B25365" s="0" t="s">
        <v>34337</v>
      </c>
      <c r="C25365" s="0" t="s">
        <v>34338</v>
      </c>
      <c r="D25365" s="0" t="s">
        <v>34338</v>
      </c>
      <c r="E25365" s="0" t="inlineStr">
        <is>
          <t xml:space="preserve">Mazda</t>
        </is>
      </c>
      <c r="F25365" s="0" t="s">
        <v>13</v>
      </c>
      <c r="G25365" s="0" t="s">
        <v>49</v>
      </c>
      <c r="H25365" s="5">
        <v>5803.104800</v>
      </c>
    </row>
    <row r="25366" spans="1:9">
      <c r="A25366" s="22" t="str">
        <f>HYPERLINK("https://app.vivvix.com/360/KMI/IntelliDrive/ApplUI/Pages/CreativePages/CustomReportCreativeDetail.aspx?App=23&amp;ReportView=4&amp;Qid=1711279&amp;Row=25358&amp;Col=1","No Title Assigned - #15285690513")</f>
        <v/>
      </c>
      <c r="B25366" s="0" t="s">
        <v>34339</v>
      </c>
      <c r="C25366" s="0" t="s">
        <v>34340</v>
      </c>
      <c r="D25366" s="0" t="s">
        <v>34340</v>
      </c>
      <c r="E25366" s="0" t="inlineStr">
        <is>
          <t xml:space="preserve">Mazda</t>
        </is>
      </c>
      <c r="F25366" s="0" t="s">
        <v>13</v>
      </c>
      <c r="G25366" s="0" t="s">
        <v>49</v>
      </c>
      <c r="H25366" s="5">
        <v>773.568500</v>
      </c>
    </row>
    <row r="25367" spans="1:9">
      <c r="A25367" s="22" t="str">
        <f>HYPERLINK("https://app.vivvix.com/360/KMI/IntelliDrive/ApplUI/Pages/CreativePages/CustomReportCreativeDetail.aspx?App=23&amp;ReportView=4&amp;Qid=1711279&amp;Row=25359&amp;Col=1","No Title Assigned - #15285690566")</f>
        <v/>
      </c>
      <c r="B25367" s="0" t="s">
        <v>34341</v>
      </c>
      <c r="C25367" s="0" t="s">
        <v>34342</v>
      </c>
      <c r="D25367" s="0" t="s">
        <v>34342</v>
      </c>
      <c r="E25367" s="0" t="inlineStr">
        <is>
          <t xml:space="preserve">Mazda</t>
        </is>
      </c>
      <c r="F25367" s="0" t="s">
        <v>13</v>
      </c>
      <c r="G25367" s="0" t="s">
        <v>49</v>
      </c>
      <c r="H25367" s="5">
        <v>1450.776200</v>
      </c>
    </row>
    <row r="25368" spans="1:9">
      <c r="A25368" s="22" t="str">
        <f>HYPERLINK("https://app.vivvix.com/360/KMI/IntelliDrive/ApplUI/Pages/CreativePages/CustomReportCreativeDetail.aspx?App=23&amp;ReportView=4&amp;Qid=1711279&amp;Row=25360&amp;Col=1","No Title Assigned - #15285692480")</f>
        <v/>
      </c>
      <c r="B25368" s="0" t="s">
        <v>34343</v>
      </c>
      <c r="C25368" s="0" t="s">
        <v>34344</v>
      </c>
      <c r="D25368" s="0" t="s">
        <v>34344</v>
      </c>
      <c r="E25368" s="0" t="inlineStr">
        <is>
          <t xml:space="preserve">Mazda</t>
        </is>
      </c>
      <c r="F25368" s="0" t="s">
        <v>13</v>
      </c>
      <c r="G25368" s="0" t="s">
        <v>49</v>
      </c>
      <c r="H25368" s="5">
        <v>1450.776200</v>
      </c>
    </row>
    <row r="25369" spans="1:9">
      <c r="A25369" s="22" t="str">
        <f>HYPERLINK("https://app.vivvix.com/360/KMI/IntelliDrive/ApplUI/Pages/CreativePages/CustomReportCreativeDetail.aspx?App=23&amp;ReportView=4&amp;Qid=1711279&amp;Row=25361&amp;Col=1","No Title Assigned - #15285697913")</f>
        <v/>
      </c>
      <c r="B25369" s="0" t="s">
        <v>34345</v>
      </c>
      <c r="C25369" s="0" t="s">
        <v>34346</v>
      </c>
      <c r="D25369" s="0" t="s">
        <v>34346</v>
      </c>
      <c r="E25369" s="0" t="inlineStr">
        <is>
          <t xml:space="preserve">Mazda</t>
        </is>
      </c>
      <c r="F25369" s="0" t="s">
        <v>13</v>
      </c>
      <c r="G25369" s="0" t="s">
        <v>49</v>
      </c>
      <c r="H25369" s="5">
        <v>1622.836400</v>
      </c>
    </row>
    <row r="25370" spans="1:9">
      <c r="A25370" s="22" t="str">
        <f>HYPERLINK("https://app.vivvix.com/360/KMI/IntelliDrive/ApplUI/Pages/CreativePages/CustomReportCreativeDetail.aspx?App=23&amp;ReportView=4&amp;Qid=1711279&amp;Row=25362&amp;Col=1","No Title Assigned - #15285697914")</f>
        <v/>
      </c>
      <c r="B25370" s="0" t="s">
        <v>34347</v>
      </c>
      <c r="C25370" s="0" t="s">
        <v>34348</v>
      </c>
      <c r="D25370" s="0" t="s">
        <v>34348</v>
      </c>
      <c r="E25370" s="0" t="inlineStr">
        <is>
          <t xml:space="preserve">Mazda</t>
        </is>
      </c>
      <c r="F25370" s="0" t="s">
        <v>13</v>
      </c>
      <c r="G25370" s="0" t="s">
        <v>49</v>
      </c>
      <c r="H25370" s="5">
        <v>1622.836400</v>
      </c>
    </row>
    <row r="25371" spans="1:9">
      <c r="A25371" s="22" t="str">
        <f>HYPERLINK("https://app.vivvix.com/360/KMI/IntelliDrive/ApplUI/Pages/CreativePages/CustomReportCreativeDetail.aspx?App=23&amp;ReportView=4&amp;Qid=1711279&amp;Row=25363&amp;Col=1","No Title Assigned - #15285698952")</f>
        <v/>
      </c>
      <c r="B25371" s="0" t="s">
        <v>34349</v>
      </c>
      <c r="C25371" s="0" t="s">
        <v>34350</v>
      </c>
      <c r="D25371" s="0" t="s">
        <v>34350</v>
      </c>
      <c r="E25371" s="0" t="inlineStr">
        <is>
          <t xml:space="preserve">Mazda</t>
        </is>
      </c>
      <c r="F25371" s="0" t="s">
        <v>13</v>
      </c>
      <c r="G25371" s="0" t="s">
        <v>49</v>
      </c>
      <c r="H25371" s="5">
        <v>434.765300</v>
      </c>
    </row>
    <row r="25372" spans="1:9">
      <c r="A25372" s="22" t="str">
        <f>HYPERLINK("https://app.vivvix.com/360/KMI/IntelliDrive/ApplUI/Pages/CreativePages/CustomReportCreativeDetail.aspx?App=23&amp;ReportView=4&amp;Qid=1711279&amp;Row=25364&amp;Col=1","No Title Assigned - #15285699174")</f>
        <v/>
      </c>
      <c r="B25372" s="0" t="s">
        <v>34351</v>
      </c>
      <c r="C25372" s="0" t="s">
        <v>34352</v>
      </c>
      <c r="D25372" s="0" t="s">
        <v>34352</v>
      </c>
      <c r="E25372" s="0" t="inlineStr">
        <is>
          <t xml:space="preserve">Mazda</t>
        </is>
      </c>
      <c r="F25372" s="0" t="s">
        <v>13</v>
      </c>
      <c r="G25372" s="0" t="s">
        <v>49</v>
      </c>
      <c r="H25372" s="5">
        <v>179.801800</v>
      </c>
    </row>
    <row r="25373" spans="1:9">
      <c r="A25373" s="22" t="str">
        <f>HYPERLINK("https://app.vivvix.com/360/KMI/IntelliDrive/ApplUI/Pages/CreativePages/CustomReportCreativeDetail.aspx?App=23&amp;ReportView=4&amp;Qid=1711279&amp;Row=25365&amp;Col=1","No Title Assigned - #15285699448")</f>
        <v/>
      </c>
      <c r="B25373" s="0" t="s">
        <v>34353</v>
      </c>
      <c r="C25373" s="0" t="s">
        <v>34354</v>
      </c>
      <c r="D25373" s="0" t="s">
        <v>34354</v>
      </c>
      <c r="E25373" s="0" t="inlineStr">
        <is>
          <t xml:space="preserve">Mazda</t>
        </is>
      </c>
      <c r="F25373" s="0" t="inlineStr">
        <is>
          <t xml:space="preserve">Mazda</t>
        </is>
      </c>
      <c r="G25373" s="0" t="s">
        <v>210</v>
      </c>
      <c r="H25373" s="5">
        <v>619.128800</v>
      </c>
    </row>
    <row r="25374" spans="1:9">
      <c r="A25374" s="22" t="str">
        <f>HYPERLINK("https://app.vivvix.com/360/KMI/IntelliDrive/ApplUI/Pages/CreativePages/CustomReportCreativeDetail.aspx?App=23&amp;ReportView=4&amp;Qid=1711279&amp;Row=25366&amp;Col=1","No Title Assigned - #15285700998")</f>
        <v/>
      </c>
      <c r="B25374" s="0" t="s">
        <v>34355</v>
      </c>
      <c r="C25374" s="0" t="s">
        <v>34356</v>
      </c>
      <c r="D25374" s="0" t="s">
        <v>34356</v>
      </c>
      <c r="E25374" s="0" t="inlineStr">
        <is>
          <t xml:space="preserve">Mazda</t>
        </is>
      </c>
      <c r="F25374" s="0" t="s">
        <v>13</v>
      </c>
      <c r="G25374" s="0" t="s">
        <v>49</v>
      </c>
      <c r="H25374" s="5">
        <v>1450.776200</v>
      </c>
    </row>
    <row r="25375" spans="1:9">
      <c r="A25375" s="22" t="str">
        <f>HYPERLINK("https://app.vivvix.com/360/KMI/IntelliDrive/ApplUI/Pages/CreativePages/CustomReportCreativeDetail.aspx?App=23&amp;ReportView=4&amp;Qid=1711279&amp;Row=25367&amp;Col=1","No Title Assigned - #15285701034")</f>
        <v/>
      </c>
      <c r="B25375" s="0" t="s">
        <v>34357</v>
      </c>
      <c r="C25375" s="0" t="s">
        <v>34358</v>
      </c>
      <c r="D25375" s="0" t="s">
        <v>34358</v>
      </c>
      <c r="E25375" s="0" t="inlineStr">
        <is>
          <t xml:space="preserve">Mazda</t>
        </is>
      </c>
      <c r="F25375" s="0" t="s">
        <v>13</v>
      </c>
      <c r="G25375" s="0" t="s">
        <v>49</v>
      </c>
      <c r="H25375" s="5">
        <v>2901.552400</v>
      </c>
    </row>
    <row r="25376" spans="1:9">
      <c r="A25376" s="22" t="str">
        <f>HYPERLINK("https://app.vivvix.com/360/KMI/IntelliDrive/ApplUI/Pages/CreativePages/CustomReportCreativeDetail.aspx?App=23&amp;ReportView=4&amp;Qid=1711279&amp;Row=25368&amp;Col=1","No Title Assigned - #15285701196")</f>
        <v/>
      </c>
      <c r="B25376" s="0" t="s">
        <v>34359</v>
      </c>
      <c r="C25376" s="0" t="s">
        <v>34360</v>
      </c>
      <c r="D25376" s="0" t="s">
        <v>34360</v>
      </c>
      <c r="E25376" s="0" t="inlineStr">
        <is>
          <t xml:space="preserve">Mazda</t>
        </is>
      </c>
      <c r="F25376" s="0" t="s">
        <v>13</v>
      </c>
      <c r="G25376" s="0" t="s">
        <v>49</v>
      </c>
      <c r="H25376" s="5">
        <v>1450.776200</v>
      </c>
    </row>
    <row r="25377" spans="1:9">
      <c r="A25377" s="22" t="str">
        <f>HYPERLINK("https://app.vivvix.com/360/KMI/IntelliDrive/ApplUI/Pages/CreativePages/CustomReportCreativeDetail.aspx?App=23&amp;ReportView=4&amp;Qid=1711279&amp;Row=25369&amp;Col=1","No Title Assigned - #15285701354")</f>
        <v/>
      </c>
      <c r="B25377" s="0" t="s">
        <v>34361</v>
      </c>
      <c r="C25377" s="0" t="s">
        <v>34362</v>
      </c>
      <c r="D25377" s="0" t="s">
        <v>34362</v>
      </c>
      <c r="E25377" s="0" t="inlineStr">
        <is>
          <t xml:space="preserve">Mazda</t>
        </is>
      </c>
      <c r="F25377" s="0" t="s">
        <v>13</v>
      </c>
      <c r="G25377" s="0" t="s">
        <v>49</v>
      </c>
      <c r="H25377" s="5">
        <v>1450.776200</v>
      </c>
    </row>
    <row r="25378" spans="1:9">
      <c r="A25378" s="22" t="str">
        <f>HYPERLINK("https://app.vivvix.com/360/KMI/IntelliDrive/ApplUI/Pages/CreativePages/CustomReportCreativeDetail.aspx?App=23&amp;ReportView=4&amp;Qid=1711279&amp;Row=25370&amp;Col=1","No Title Assigned - #15285701382")</f>
        <v/>
      </c>
      <c r="B25378" s="0" t="s">
        <v>34363</v>
      </c>
      <c r="C25378" s="0" t="s">
        <v>34364</v>
      </c>
      <c r="D25378" s="0" t="s">
        <v>34364</v>
      </c>
      <c r="E25378" s="0" t="inlineStr">
        <is>
          <t xml:space="preserve">Mazda</t>
        </is>
      </c>
      <c r="F25378" s="0" t="s">
        <v>13</v>
      </c>
      <c r="G25378" s="0" t="s">
        <v>49</v>
      </c>
      <c r="H25378" s="5">
        <v>1450.776200</v>
      </c>
    </row>
    <row r="25379" spans="1:9">
      <c r="A25379" s="22" t="str">
        <f>HYPERLINK("https://app.vivvix.com/360/KMI/IntelliDrive/ApplUI/Pages/CreativePages/CustomReportCreativeDetail.aspx?App=23&amp;ReportView=4&amp;Qid=1711279&amp;Row=25371&amp;Col=1","No Title Assigned - #15285701693")</f>
        <v/>
      </c>
      <c r="B25379" s="0" t="s">
        <v>34365</v>
      </c>
      <c r="C25379" s="0" t="s">
        <v>34366</v>
      </c>
      <c r="D25379" s="0" t="s">
        <v>34366</v>
      </c>
      <c r="E25379" s="0" t="inlineStr">
        <is>
          <t xml:space="preserve">Mazda</t>
        </is>
      </c>
      <c r="F25379" s="0" t="s">
        <v>13</v>
      </c>
      <c r="G25379" s="0" t="s">
        <v>49</v>
      </c>
      <c r="H25379" s="5">
        <v>28.976000</v>
      </c>
    </row>
    <row r="25380" spans="1:9">
      <c r="A25380" s="22" t="str">
        <f>HYPERLINK("https://app.vivvix.com/360/KMI/IntelliDrive/ApplUI/Pages/CreativePages/CustomReportCreativeDetail.aspx?App=23&amp;ReportView=4&amp;Qid=1711279&amp;Row=25372&amp;Col=1","No Title Assigned - #15285702119")</f>
        <v/>
      </c>
      <c r="B25380" s="0" t="s">
        <v>34367</v>
      </c>
      <c r="C25380" s="0" t="s">
        <v>34368</v>
      </c>
      <c r="D25380" s="0" t="s">
        <v>34013</v>
      </c>
      <c r="E25380" s="0" t="inlineStr">
        <is>
          <t xml:space="preserve">Mazda</t>
        </is>
      </c>
      <c r="F25380" s="0" t="s">
        <v>13</v>
      </c>
      <c r="G25380" s="0" t="s">
        <v>49</v>
      </c>
      <c r="H25380" s="5">
        <v>5702.755300</v>
      </c>
    </row>
    <row r="25381" spans="1:9">
      <c r="A25381" s="22" t="str">
        <f>HYPERLINK("https://app.vivvix.com/360/KMI/IntelliDrive/ApplUI/Pages/CreativePages/CustomReportCreativeDetail.aspx?App=23&amp;ReportView=4&amp;Qid=1711279&amp;Row=25373&amp;Col=1","No Title Assigned - #15285702478")</f>
        <v/>
      </c>
      <c r="B25381" s="0" t="s">
        <v>34369</v>
      </c>
      <c r="C25381" s="0" t="s">
        <v>34370</v>
      </c>
      <c r="D25381" s="0" t="s">
        <v>34370</v>
      </c>
      <c r="E25381" s="0" t="inlineStr">
        <is>
          <t xml:space="preserve">Mazda</t>
        </is>
      </c>
      <c r="F25381" s="0" t="s">
        <v>13</v>
      </c>
      <c r="G25381" s="0" t="s">
        <v>49</v>
      </c>
      <c r="H25381" s="5">
        <v>205.380100</v>
      </c>
    </row>
    <row r="25382" spans="1:9">
      <c r="A25382" s="22" t="str">
        <f>HYPERLINK("https://app.vivvix.com/360/KMI/IntelliDrive/ApplUI/Pages/CreativePages/CustomReportCreativeDetail.aspx?App=23&amp;ReportView=4&amp;Qid=1711279&amp;Row=25374&amp;Col=1","No Title Assigned - #15285702611")</f>
        <v/>
      </c>
      <c r="B25382" s="0" t="s">
        <v>34371</v>
      </c>
      <c r="C25382" s="0" t="s">
        <v>34372</v>
      </c>
      <c r="D25382" s="0" t="s">
        <v>34372</v>
      </c>
      <c r="E25382" s="0" t="inlineStr">
        <is>
          <t xml:space="preserve">Mazda</t>
        </is>
      </c>
      <c r="F25382" s="0" t="s">
        <v>13</v>
      </c>
      <c r="G25382" s="0" t="s">
        <v>49</v>
      </c>
      <c r="H25382" s="5">
        <v>22.999400</v>
      </c>
    </row>
    <row r="25383" spans="1:9">
      <c r="A25383" s="22" t="str">
        <f>HYPERLINK("https://app.vivvix.com/360/KMI/IntelliDrive/ApplUI/Pages/CreativePages/CustomReportCreativeDetail.aspx?App=23&amp;ReportView=4&amp;Qid=1711279&amp;Row=25375&amp;Col=1","No Title Assigned - #15285704849")</f>
        <v/>
      </c>
      <c r="B25383" s="0" t="s">
        <v>34373</v>
      </c>
      <c r="C25383" s="0" t="s">
        <v>34374</v>
      </c>
      <c r="D25383" s="0" t="s">
        <v>34374</v>
      </c>
      <c r="E25383" s="0" t="inlineStr">
        <is>
          <t xml:space="preserve">Mazda</t>
        </is>
      </c>
      <c r="F25383" s="0" t="s">
        <v>369</v>
      </c>
      <c r="G25383" s="0" t="s">
        <v>370</v>
      </c>
      <c r="H25383" s="5">
        <v>330.687600</v>
      </c>
    </row>
    <row r="25384" spans="1:9">
      <c r="A25384" s="22" t="str">
        <f>HYPERLINK("https://app.vivvix.com/360/KMI/IntelliDrive/ApplUI/Pages/CreativePages/CustomReportCreativeDetail.aspx?App=23&amp;ReportView=4&amp;Qid=1711279&amp;Row=25376&amp;Col=1","No Title Assigned - #15285704962")</f>
        <v/>
      </c>
      <c r="B25384" s="0" t="s">
        <v>34375</v>
      </c>
      <c r="C25384" s="0" t="s">
        <v>34376</v>
      </c>
      <c r="D25384" s="0" t="s">
        <v>34376</v>
      </c>
      <c r="E25384" s="0" t="inlineStr">
        <is>
          <t xml:space="preserve">Mazda</t>
        </is>
      </c>
      <c r="F25384" s="0" t="s">
        <v>13</v>
      </c>
      <c r="G25384" s="0" t="s">
        <v>49</v>
      </c>
      <c r="H25384" s="5">
        <v>2901.552400</v>
      </c>
    </row>
    <row r="25385" spans="1:9">
      <c r="A25385" s="22" t="str">
        <f>HYPERLINK("https://app.vivvix.com/360/KMI/IntelliDrive/ApplUI/Pages/CreativePages/CustomReportCreativeDetail.aspx?App=23&amp;ReportView=4&amp;Qid=1711279&amp;Row=25377&amp;Col=1","No Title Assigned - #15285704994")</f>
        <v/>
      </c>
      <c r="B25385" s="0" t="s">
        <v>34377</v>
      </c>
      <c r="C25385" s="0" t="s">
        <v>34378</v>
      </c>
      <c r="D25385" s="0" t="s">
        <v>34378</v>
      </c>
      <c r="E25385" s="0" t="inlineStr">
        <is>
          <t xml:space="preserve">Mazda</t>
        </is>
      </c>
      <c r="F25385" s="0" t="s">
        <v>13</v>
      </c>
      <c r="G25385" s="0" t="s">
        <v>49</v>
      </c>
      <c r="H25385" s="5">
        <v>1450.776200</v>
      </c>
    </row>
    <row r="25386" spans="1:9">
      <c r="A25386" s="22" t="str">
        <f>HYPERLINK("https://app.vivvix.com/360/KMI/IntelliDrive/ApplUI/Pages/CreativePages/CustomReportCreativeDetail.aspx?App=23&amp;ReportView=4&amp;Qid=1711279&amp;Row=25378&amp;Col=1","No Title Assigned - #15285706240")</f>
        <v/>
      </c>
      <c r="B25386" s="0" t="s">
        <v>34379</v>
      </c>
      <c r="C25386" s="0" t="s">
        <v>34380</v>
      </c>
      <c r="D25386" s="0" t="s">
        <v>34380</v>
      </c>
      <c r="E25386" s="0" t="inlineStr">
        <is>
          <t xml:space="preserve">Mazda</t>
        </is>
      </c>
      <c r="F25386" s="0" t="s">
        <v>13</v>
      </c>
      <c r="G25386" s="0" t="s">
        <v>49</v>
      </c>
      <c r="H25386" s="5">
        <v>467.308200</v>
      </c>
    </row>
    <row r="25387" spans="1:9">
      <c r="A25387" s="22" t="str">
        <f>HYPERLINK("https://app.vivvix.com/360/KMI/IntelliDrive/ApplUI/Pages/CreativePages/CustomReportCreativeDetail.aspx?App=23&amp;ReportView=4&amp;Qid=1711279&amp;Row=25379&amp;Col=1","No Title Assigned - #15285708196")</f>
        <v/>
      </c>
      <c r="B25387" s="0" t="s">
        <v>34381</v>
      </c>
      <c r="C25387" s="0" t="s">
        <v>34382</v>
      </c>
      <c r="D25387" s="0" t="s">
        <v>34382</v>
      </c>
      <c r="E25387" s="0" t="inlineStr">
        <is>
          <t xml:space="preserve">Mazda</t>
        </is>
      </c>
      <c r="F25387" s="0" t="s">
        <v>13</v>
      </c>
      <c r="G25387" s="0" t="s">
        <v>49</v>
      </c>
      <c r="H25387" s="5">
        <v>1450.776200</v>
      </c>
    </row>
    <row r="25388" spans="1:9">
      <c r="A25388" s="22" t="str">
        <f>HYPERLINK("https://app.vivvix.com/360/KMI/IntelliDrive/ApplUI/Pages/CreativePages/CustomReportCreativeDetail.aspx?App=23&amp;ReportView=4&amp;Qid=1711279&amp;Row=25380&amp;Col=1","No Title Assigned - #15285708204")</f>
        <v/>
      </c>
      <c r="B25388" s="0" t="s">
        <v>34383</v>
      </c>
      <c r="C25388" s="0" t="s">
        <v>34384</v>
      </c>
      <c r="D25388" s="0" t="s">
        <v>34384</v>
      </c>
      <c r="E25388" s="0" t="inlineStr">
        <is>
          <t xml:space="preserve">Mazda</t>
        </is>
      </c>
      <c r="F25388" s="0" t="s">
        <v>13</v>
      </c>
      <c r="G25388" s="0" t="s">
        <v>49</v>
      </c>
      <c r="H25388" s="5">
        <v>4352.328600</v>
      </c>
    </row>
    <row r="25389" spans="1:9">
      <c r="A25389" s="22" t="str">
        <f>HYPERLINK("https://app.vivvix.com/360/KMI/IntelliDrive/ApplUI/Pages/CreativePages/CustomReportCreativeDetail.aspx?App=23&amp;ReportView=4&amp;Qid=1711279&amp;Row=25381&amp;Col=1","No Title Assigned - #15285708228")</f>
        <v/>
      </c>
      <c r="B25389" s="0" t="s">
        <v>34385</v>
      </c>
      <c r="C25389" s="0" t="s">
        <v>34386</v>
      </c>
      <c r="D25389" s="0" t="s">
        <v>34386</v>
      </c>
      <c r="E25389" s="0" t="inlineStr">
        <is>
          <t xml:space="preserve">Mazda</t>
        </is>
      </c>
      <c r="F25389" s="0" t="s">
        <v>13</v>
      </c>
      <c r="G25389" s="0" t="s">
        <v>49</v>
      </c>
      <c r="H25389" s="5">
        <v>5803.104800</v>
      </c>
    </row>
    <row r="25390" spans="1:9">
      <c r="A25390" s="22" t="str">
        <f>HYPERLINK("https://app.vivvix.com/360/KMI/IntelliDrive/ApplUI/Pages/CreativePages/CustomReportCreativeDetail.aspx?App=23&amp;ReportView=4&amp;Qid=1711279&amp;Row=25382&amp;Col=1","No Title Assigned - #15285709136")</f>
        <v/>
      </c>
      <c r="B25390" s="0" t="s">
        <v>34387</v>
      </c>
      <c r="C25390" s="0" t="s">
        <v>34388</v>
      </c>
      <c r="D25390" s="0" t="s">
        <v>34388</v>
      </c>
      <c r="E25390" s="0" t="inlineStr">
        <is>
          <t xml:space="preserve">Mazda</t>
        </is>
      </c>
      <c r="F25390" s="0" t="s">
        <v>28</v>
      </c>
      <c r="G25390" s="0" t="s">
        <v>29</v>
      </c>
      <c r="H25390" s="5">
        <v>22.454800</v>
      </c>
    </row>
    <row r="25391" spans="1:9">
      <c r="A25391" s="22" t="str">
        <f>HYPERLINK("https://app.vivvix.com/360/KMI/IntelliDrive/ApplUI/Pages/CreativePages/CustomReportCreativeDetail.aspx?App=23&amp;ReportView=4&amp;Qid=1711279&amp;Row=25383&amp;Col=1","No Title Assigned - #15285710334")</f>
        <v/>
      </c>
      <c r="B25391" s="0" t="s">
        <v>34389</v>
      </c>
      <c r="C25391" s="0" t="s">
        <v>34390</v>
      </c>
      <c r="D25391" s="0" t="s">
        <v>34390</v>
      </c>
      <c r="E25391" s="0" t="inlineStr">
        <is>
          <t xml:space="preserve">Mazda</t>
        </is>
      </c>
      <c r="F25391" s="0" t="s">
        <v>28</v>
      </c>
      <c r="G25391" s="0" t="s">
        <v>29</v>
      </c>
      <c r="H25391" s="5">
        <v>16639.160200</v>
      </c>
    </row>
    <row r="25392" spans="1:9">
      <c r="A25392" s="22" t="str">
        <f>HYPERLINK("https://app.vivvix.com/360/KMI/IntelliDrive/ApplUI/Pages/CreativePages/CustomReportCreativeDetail.aspx?App=23&amp;ReportView=4&amp;Qid=1711279&amp;Row=25384&amp;Col=1","No Title Assigned - #15285710696")</f>
        <v/>
      </c>
      <c r="B25392" s="0" t="s">
        <v>34391</v>
      </c>
      <c r="C25392" s="0" t="s">
        <v>34392</v>
      </c>
      <c r="D25392" s="0" t="s">
        <v>34392</v>
      </c>
      <c r="E25392" s="0" t="inlineStr">
        <is>
          <t xml:space="preserve">Mazda</t>
        </is>
      </c>
      <c r="F25392" s="0" t="s">
        <v>13</v>
      </c>
      <c r="G25392" s="0" t="s">
        <v>49</v>
      </c>
      <c r="H25392" s="5">
        <v>1450.776200</v>
      </c>
    </row>
    <row r="25393" spans="1:9">
      <c r="A25393" s="22" t="str">
        <f>HYPERLINK("https://app.vivvix.com/360/KMI/IntelliDrive/ApplUI/Pages/CreativePages/CustomReportCreativeDetail.aspx?App=23&amp;ReportView=4&amp;Qid=1711279&amp;Row=25385&amp;Col=1","No Title Assigned - #15285721577")</f>
        <v/>
      </c>
      <c r="B25393" s="0" t="s">
        <v>34393</v>
      </c>
      <c r="C25393" s="0" t="s">
        <v>34394</v>
      </c>
      <c r="D25393" s="0" t="s">
        <v>34394</v>
      </c>
      <c r="E25393" s="0" t="inlineStr">
        <is>
          <t xml:space="preserve">Mazda</t>
        </is>
      </c>
      <c r="F25393" s="0" t="inlineStr">
        <is>
          <t xml:space="preserve">Mazda</t>
        </is>
      </c>
      <c r="G25393" s="0" t="s">
        <v>171</v>
      </c>
      <c r="H25393" s="5">
        <v>9276.285200</v>
      </c>
    </row>
    <row r="25394" spans="1:9">
      <c r="A25394" s="22" t="str">
        <f>HYPERLINK("https://app.vivvix.com/360/KMI/IntelliDrive/ApplUI/Pages/CreativePages/CustomReportCreativeDetail.aspx?App=23&amp;ReportView=4&amp;Qid=1711279&amp;Row=25386&amp;Col=1","No Title Assigned - #15285724355")</f>
        <v/>
      </c>
      <c r="B25394" s="0" t="s">
        <v>34395</v>
      </c>
      <c r="C25394" s="0" t="s">
        <v>34396</v>
      </c>
      <c r="D25394" s="0" t="s">
        <v>34396</v>
      </c>
      <c r="E25394" s="0" t="inlineStr">
        <is>
          <t xml:space="preserve">Mazda</t>
        </is>
      </c>
      <c r="F25394" s="0" t="inlineStr">
        <is>
          <t xml:space="preserve">Mazda</t>
        </is>
      </c>
      <c r="G25394" s="0" t="s">
        <v>210</v>
      </c>
      <c r="H25394" s="5">
        <v>418.407600</v>
      </c>
    </row>
    <row r="25395" spans="1:9">
      <c r="A25395" s="22" t="str">
        <f>HYPERLINK("https://app.vivvix.com/360/KMI/IntelliDrive/ApplUI/Pages/CreativePages/CustomReportCreativeDetail.aspx?App=23&amp;ReportView=4&amp;Qid=1711279&amp;Row=25387&amp;Col=1","No Title Assigned - #15285730202")</f>
        <v/>
      </c>
      <c r="B25395" s="0" t="s">
        <v>34397</v>
      </c>
      <c r="C25395" s="0" t="s">
        <v>34398</v>
      </c>
      <c r="D25395" s="0" t="s">
        <v>34398</v>
      </c>
      <c r="E25395" s="0" t="inlineStr">
        <is>
          <t xml:space="preserve">Mazda</t>
        </is>
      </c>
      <c r="F25395" s="0" t="s">
        <v>13</v>
      </c>
      <c r="G25395" s="0" t="s">
        <v>49</v>
      </c>
      <c r="H25395" s="5">
        <v>1450.776200</v>
      </c>
    </row>
    <row r="25396" spans="1:9">
      <c r="A25396" s="22" t="str">
        <f>HYPERLINK("https://app.vivvix.com/360/KMI/IntelliDrive/ApplUI/Pages/CreativePages/CustomReportCreativeDetail.aspx?App=23&amp;ReportView=4&amp;Qid=1711279&amp;Row=25388&amp;Col=1","No Title Assigned - #15285730213")</f>
        <v/>
      </c>
      <c r="B25396" s="0" t="s">
        <v>34399</v>
      </c>
      <c r="C25396" s="0" t="s">
        <v>34400</v>
      </c>
      <c r="D25396" s="0" t="s">
        <v>34400</v>
      </c>
      <c r="E25396" s="0" t="inlineStr">
        <is>
          <t xml:space="preserve">Mazda</t>
        </is>
      </c>
      <c r="F25396" s="0" t="s">
        <v>13</v>
      </c>
      <c r="G25396" s="0" t="s">
        <v>49</v>
      </c>
      <c r="H25396" s="5">
        <v>1450.776200</v>
      </c>
    </row>
    <row r="25397" spans="1:9">
      <c r="A25397" s="22" t="str">
        <f>HYPERLINK("https://app.vivvix.com/360/KMI/IntelliDrive/ApplUI/Pages/CreativePages/CustomReportCreativeDetail.aspx?App=23&amp;ReportView=4&amp;Qid=1711279&amp;Row=25389&amp;Col=1","No Title Assigned - #15285730250")</f>
        <v/>
      </c>
      <c r="B25397" s="0" t="s">
        <v>34401</v>
      </c>
      <c r="C25397" s="0" t="s">
        <v>34402</v>
      </c>
      <c r="D25397" s="0" t="s">
        <v>34402</v>
      </c>
      <c r="E25397" s="0" t="inlineStr">
        <is>
          <t xml:space="preserve">Mazda</t>
        </is>
      </c>
      <c r="F25397" s="0" t="s">
        <v>13</v>
      </c>
      <c r="G25397" s="0" t="s">
        <v>49</v>
      </c>
      <c r="H25397" s="5">
        <v>1450.776200</v>
      </c>
    </row>
    <row r="25398" spans="1:9">
      <c r="A25398" s="22" t="str">
        <f>HYPERLINK("https://app.vivvix.com/360/KMI/IntelliDrive/ApplUI/Pages/CreativePages/CustomReportCreativeDetail.aspx?App=23&amp;ReportView=4&amp;Qid=1711279&amp;Row=25390&amp;Col=1","No Title Assigned - #15285731246")</f>
        <v/>
      </c>
      <c r="B25398" s="0" t="s">
        <v>34403</v>
      </c>
      <c r="C25398" s="0" t="s">
        <v>34404</v>
      </c>
      <c r="D25398" s="0" t="s">
        <v>34404</v>
      </c>
      <c r="E25398" s="0" t="inlineStr">
        <is>
          <t xml:space="preserve">Mazda</t>
        </is>
      </c>
      <c r="F25398" s="0" t="s">
        <v>13</v>
      </c>
      <c r="G25398" s="0" t="s">
        <v>49</v>
      </c>
      <c r="H25398" s="5">
        <v>3009.126500</v>
      </c>
    </row>
    <row r="25399" spans="1:9">
      <c r="A25399" s="22" t="str">
        <f>HYPERLINK("https://app.vivvix.com/360/KMI/IntelliDrive/ApplUI/Pages/CreativePages/CustomReportCreativeDetail.aspx?App=23&amp;ReportView=4&amp;Qid=1711279&amp;Row=25391&amp;Col=1","No Title Assigned - #15285731722")</f>
        <v/>
      </c>
      <c r="B25399" s="0" t="s">
        <v>34405</v>
      </c>
      <c r="C25399" s="0" t="s">
        <v>34406</v>
      </c>
      <c r="D25399" s="0" t="s">
        <v>34406</v>
      </c>
      <c r="E25399" s="0" t="inlineStr">
        <is>
          <t xml:space="preserve">Mazda</t>
        </is>
      </c>
      <c r="F25399" s="0" t="s">
        <v>13</v>
      </c>
      <c r="G25399" s="0" t="s">
        <v>49</v>
      </c>
      <c r="H25399" s="5">
        <v>1450.776200</v>
      </c>
    </row>
    <row r="25400" spans="1:9">
      <c r="A25400" s="22" t="str">
        <f>HYPERLINK("https://app.vivvix.com/360/KMI/IntelliDrive/ApplUI/Pages/CreativePages/CustomReportCreativeDetail.aspx?App=23&amp;ReportView=4&amp;Qid=1711279&amp;Row=25392&amp;Col=1","No Title Assigned - #15285732029")</f>
        <v/>
      </c>
      <c r="B25400" s="0" t="s">
        <v>34407</v>
      </c>
      <c r="C25400" s="0" t="s">
        <v>34408</v>
      </c>
      <c r="D25400" s="0" t="s">
        <v>34408</v>
      </c>
      <c r="E25400" s="0" t="inlineStr">
        <is>
          <t xml:space="preserve">Mazda</t>
        </is>
      </c>
      <c r="F25400" s="0" t="s">
        <v>13</v>
      </c>
      <c r="G25400" s="0" t="s">
        <v>49</v>
      </c>
      <c r="H25400" s="5">
        <v>146.622300</v>
      </c>
    </row>
    <row r="25401" spans="1:9">
      <c r="A25401" s="22" t="str">
        <f>HYPERLINK("https://app.vivvix.com/360/KMI/IntelliDrive/ApplUI/Pages/CreativePages/CustomReportCreativeDetail.aspx?App=23&amp;ReportView=4&amp;Qid=1711279&amp;Row=25393&amp;Col=1","No Title Assigned - #15285733479")</f>
        <v/>
      </c>
      <c r="B25401" s="0" t="s">
        <v>34409</v>
      </c>
      <c r="C25401" s="0" t="s">
        <v>34410</v>
      </c>
      <c r="D25401" s="0" t="s">
        <v>34410</v>
      </c>
      <c r="E25401" s="0" t="inlineStr">
        <is>
          <t xml:space="preserve">Mazda</t>
        </is>
      </c>
      <c r="F25401" s="0" t="s">
        <v>13</v>
      </c>
      <c r="G25401" s="0" t="s">
        <v>49</v>
      </c>
      <c r="H25401" s="5">
        <v>129.572000</v>
      </c>
    </row>
    <row r="25402" spans="1:9">
      <c r="A25402" s="22" t="str">
        <f>HYPERLINK("https://app.vivvix.com/360/KMI/IntelliDrive/ApplUI/Pages/CreativePages/CustomReportCreativeDetail.aspx?App=23&amp;ReportView=4&amp;Qid=1711279&amp;Row=25394&amp;Col=1","No Title Assigned - #15285735399")</f>
        <v/>
      </c>
      <c r="B25402" s="0" t="s">
        <v>34411</v>
      </c>
      <c r="C25402" s="0" t="s">
        <v>34412</v>
      </c>
      <c r="D25402" s="0" t="s">
        <v>34412</v>
      </c>
      <c r="E25402" s="0" t="inlineStr">
        <is>
          <t xml:space="preserve">Mazda</t>
        </is>
      </c>
      <c r="F25402" s="0" t="s">
        <v>13</v>
      </c>
      <c r="G25402" s="0" t="s">
        <v>49</v>
      </c>
      <c r="H25402" s="5">
        <v>78.640900</v>
      </c>
    </row>
    <row r="25403" spans="1:9">
      <c r="A25403" s="22" t="str">
        <f>HYPERLINK("https://app.vivvix.com/360/KMI/IntelliDrive/ApplUI/Pages/CreativePages/CustomReportCreativeDetail.aspx?App=23&amp;ReportView=4&amp;Qid=1711279&amp;Row=25395&amp;Col=1","No Title Assigned - #15285736002")</f>
        <v/>
      </c>
      <c r="B25403" s="0" t="s">
        <v>34413</v>
      </c>
      <c r="C25403" s="0" t="s">
        <v>34414</v>
      </c>
      <c r="D25403" s="0" t="s">
        <v>34414</v>
      </c>
      <c r="E25403" s="0" t="inlineStr">
        <is>
          <t xml:space="preserve">Mazda</t>
        </is>
      </c>
      <c r="F25403" s="0" t="s">
        <v>369</v>
      </c>
      <c r="G25403" s="0" t="s">
        <v>370</v>
      </c>
      <c r="H25403" s="5">
        <v>374.147300</v>
      </c>
    </row>
    <row r="25404" spans="1:9">
      <c r="A25404" s="22" t="str">
        <f>HYPERLINK("https://app.vivvix.com/360/KMI/IntelliDrive/ApplUI/Pages/CreativePages/CustomReportCreativeDetail.aspx?App=23&amp;ReportView=4&amp;Qid=1711279&amp;Row=25396&amp;Col=1","No Title Assigned - #15285736031")</f>
        <v/>
      </c>
      <c r="B25404" s="0" t="s">
        <v>34415</v>
      </c>
      <c r="C25404" s="0" t="s">
        <v>34416</v>
      </c>
      <c r="D25404" s="0" t="s">
        <v>34416</v>
      </c>
      <c r="E25404" s="0" t="inlineStr">
        <is>
          <t xml:space="preserve">Mazda</t>
        </is>
      </c>
      <c r="F25404" s="0" t="s">
        <v>369</v>
      </c>
      <c r="G25404" s="0" t="s">
        <v>370</v>
      </c>
      <c r="H25404" s="5">
        <v>374.147300</v>
      </c>
    </row>
    <row r="25405" spans="1:9">
      <c r="A25405" s="22" t="str">
        <f>HYPERLINK("https://app.vivvix.com/360/KMI/IntelliDrive/ApplUI/Pages/CreativePages/CustomReportCreativeDetail.aspx?App=23&amp;ReportView=4&amp;Qid=1711279&amp;Row=25397&amp;Col=1","No Title Assigned - #15285736393")</f>
        <v/>
      </c>
      <c r="B25405" s="0" t="s">
        <v>34417</v>
      </c>
      <c r="C25405" s="0" t="s">
        <v>34418</v>
      </c>
      <c r="D25405" s="0" t="s">
        <v>34418</v>
      </c>
      <c r="E25405" s="0" t="inlineStr">
        <is>
          <t xml:space="preserve">Mazda</t>
        </is>
      </c>
      <c r="F25405" s="0" t="s">
        <v>13</v>
      </c>
      <c r="G25405" s="0" t="s">
        <v>36</v>
      </c>
      <c r="H25405" s="5">
        <v>2379.318200</v>
      </c>
    </row>
    <row r="25406" spans="1:9">
      <c r="A25406" s="22" t="str">
        <f>HYPERLINK("https://app.vivvix.com/360/KMI/IntelliDrive/ApplUI/Pages/CreativePages/CustomReportCreativeDetail.aspx?App=23&amp;ReportView=4&amp;Qid=1711279&amp;Row=25398&amp;Col=1","No Title Assigned - #15285736431")</f>
        <v/>
      </c>
      <c r="B25406" s="0" t="s">
        <v>34419</v>
      </c>
      <c r="C25406" s="0" t="s">
        <v>34420</v>
      </c>
      <c r="D25406" s="0" t="s">
        <v>34420</v>
      </c>
      <c r="E25406" s="0" t="inlineStr">
        <is>
          <t xml:space="preserve">Mazda</t>
        </is>
      </c>
      <c r="F25406" s="0" t="s">
        <v>13</v>
      </c>
      <c r="G25406" s="0" t="s">
        <v>36</v>
      </c>
      <c r="H25406" s="5">
        <v>424.339400</v>
      </c>
    </row>
    <row r="25407" spans="1:9">
      <c r="A25407" s="22" t="str">
        <f>HYPERLINK("https://app.vivvix.com/360/KMI/IntelliDrive/ApplUI/Pages/CreativePages/CustomReportCreativeDetail.aspx?App=23&amp;ReportView=4&amp;Qid=1711279&amp;Row=25399&amp;Col=1","No Title Assigned - #15285736432")</f>
        <v/>
      </c>
      <c r="B25407" s="0" t="s">
        <v>34421</v>
      </c>
      <c r="C25407" s="0" t="s">
        <v>34422</v>
      </c>
      <c r="D25407" s="0" t="s">
        <v>34422</v>
      </c>
      <c r="E25407" s="0" t="inlineStr">
        <is>
          <t xml:space="preserve">Mazda</t>
        </is>
      </c>
      <c r="F25407" s="0" t="s">
        <v>125</v>
      </c>
      <c r="G25407" s="0" t="s">
        <v>126</v>
      </c>
      <c r="H25407" s="5">
        <v>424.339400</v>
      </c>
    </row>
    <row r="25408" spans="1:9">
      <c r="A25408" s="22" t="str">
        <f>HYPERLINK("https://app.vivvix.com/360/KMI/IntelliDrive/ApplUI/Pages/CreativePages/CustomReportCreativeDetail.aspx?App=23&amp;ReportView=4&amp;Qid=1711279&amp;Row=25400&amp;Col=1","No Title Assigned - #15285736692")</f>
        <v/>
      </c>
      <c r="B25408" s="0" t="s">
        <v>34423</v>
      </c>
      <c r="C25408" s="0" t="s">
        <v>34424</v>
      </c>
      <c r="D25408" s="0" t="s">
        <v>34424</v>
      </c>
      <c r="E25408" s="0" t="inlineStr">
        <is>
          <t xml:space="preserve">Mazda</t>
        </is>
      </c>
      <c r="F25408" s="0" t="s">
        <v>125</v>
      </c>
      <c r="G25408" s="0" t="s">
        <v>126</v>
      </c>
      <c r="H25408" s="5">
        <v>482.141500</v>
      </c>
    </row>
    <row r="25409" spans="1:9">
      <c r="A25409" s="22" t="str">
        <f>HYPERLINK("https://app.vivvix.com/360/KMI/IntelliDrive/ApplUI/Pages/CreativePages/CustomReportCreativeDetail.aspx?App=23&amp;ReportView=4&amp;Qid=1711279&amp;Row=25401&amp;Col=1","No Title Assigned - #15285736694")</f>
        <v/>
      </c>
      <c r="B25409" s="0" t="s">
        <v>34425</v>
      </c>
      <c r="C25409" s="0" t="s">
        <v>34426</v>
      </c>
      <c r="D25409" s="0" t="s">
        <v>34426</v>
      </c>
      <c r="E25409" s="0" t="inlineStr">
        <is>
          <t xml:space="preserve">Mazda</t>
        </is>
      </c>
      <c r="F25409" s="0" t="s">
        <v>13</v>
      </c>
      <c r="G25409" s="0" t="s">
        <v>49</v>
      </c>
      <c r="H25409" s="5">
        <v>277.141500</v>
      </c>
    </row>
    <row r="25410" spans="1:9">
      <c r="A25410" s="22" t="str">
        <f>HYPERLINK("https://app.vivvix.com/360/KMI/IntelliDrive/ApplUI/Pages/CreativePages/CustomReportCreativeDetail.aspx?App=23&amp;ReportView=4&amp;Qid=1711279&amp;Row=25402&amp;Col=1","No Title Assigned - #15285736776")</f>
        <v/>
      </c>
      <c r="B25410" s="0" t="s">
        <v>34427</v>
      </c>
      <c r="C25410" s="0" t="s">
        <v>34428</v>
      </c>
      <c r="D25410" s="0" t="s">
        <v>34428</v>
      </c>
      <c r="E25410" s="0" t="inlineStr">
        <is>
          <t xml:space="preserve">Mazda</t>
        </is>
      </c>
      <c r="F25410" s="0" t="s">
        <v>13</v>
      </c>
      <c r="G25410" s="0" t="s">
        <v>49</v>
      </c>
      <c r="H25410" s="5">
        <v>55.227000</v>
      </c>
    </row>
    <row r="25411" spans="1:9">
      <c r="A25411" s="22" t="str">
        <f>HYPERLINK("https://app.vivvix.com/360/KMI/IntelliDrive/ApplUI/Pages/CreativePages/CustomReportCreativeDetail.aspx?App=23&amp;ReportView=4&amp;Qid=1711279&amp;Row=25403&amp;Col=1","No Title Assigned - #15285736984")</f>
        <v/>
      </c>
      <c r="B25411" s="0" t="s">
        <v>34429</v>
      </c>
      <c r="C25411" s="0" t="s">
        <v>34430</v>
      </c>
      <c r="D25411" s="0" t="s">
        <v>34430</v>
      </c>
      <c r="E25411" s="0" t="inlineStr">
        <is>
          <t xml:space="preserve">Mazda</t>
        </is>
      </c>
      <c r="F25411" s="0" t="s">
        <v>13</v>
      </c>
      <c r="G25411" s="0" t="s">
        <v>49</v>
      </c>
      <c r="H25411" s="5">
        <v>45.077900</v>
      </c>
    </row>
    <row r="25412" spans="1:9">
      <c r="A25412" s="22" t="str">
        <f>HYPERLINK("https://app.vivvix.com/360/KMI/IntelliDrive/ApplUI/Pages/CreativePages/CustomReportCreativeDetail.aspx?App=23&amp;ReportView=4&amp;Qid=1711279&amp;Row=25404&amp;Col=1","No Title Assigned - #15285737050")</f>
        <v/>
      </c>
      <c r="B25412" s="0" t="s">
        <v>34431</v>
      </c>
      <c r="C25412" s="0" t="s">
        <v>34432</v>
      </c>
      <c r="D25412" s="0" t="s">
        <v>34432</v>
      </c>
      <c r="E25412" s="0" t="inlineStr">
        <is>
          <t xml:space="preserve">Mazda</t>
        </is>
      </c>
      <c r="F25412" s="0" t="s">
        <v>125</v>
      </c>
      <c r="G25412" s="0" t="s">
        <v>126</v>
      </c>
      <c r="H25412" s="5">
        <v>571.423800</v>
      </c>
    </row>
    <row r="25413" spans="1:9">
      <c r="A25413" s="22" t="str">
        <f>HYPERLINK("https://app.vivvix.com/360/KMI/IntelliDrive/ApplUI/Pages/CreativePages/CustomReportCreativeDetail.aspx?App=23&amp;ReportView=4&amp;Qid=1711279&amp;Row=25405&amp;Col=1","No Title Assigned - #15285739911")</f>
        <v/>
      </c>
      <c r="B25413" s="0" t="s">
        <v>34433</v>
      </c>
      <c r="C25413" s="0" t="s">
        <v>34434</v>
      </c>
      <c r="D25413" s="0" t="s">
        <v>34434</v>
      </c>
      <c r="E25413" s="0" t="inlineStr">
        <is>
          <t xml:space="preserve">Mazda</t>
        </is>
      </c>
      <c r="F25413" s="0" t="s">
        <v>13</v>
      </c>
      <c r="G25413" s="0" t="s">
        <v>49</v>
      </c>
      <c r="H25413" s="5">
        <v>1450.776200</v>
      </c>
    </row>
    <row r="25414" spans="1:9">
      <c r="A25414" s="22" t="str">
        <f>HYPERLINK("https://app.vivvix.com/360/KMI/IntelliDrive/ApplUI/Pages/CreativePages/CustomReportCreativeDetail.aspx?App=23&amp;ReportView=4&amp;Qid=1711279&amp;Row=25406&amp;Col=1","No Title Assigned - #15285740273")</f>
        <v/>
      </c>
      <c r="B25414" s="0" t="s">
        <v>34435</v>
      </c>
      <c r="C25414" s="0" t="s">
        <v>34436</v>
      </c>
      <c r="D25414" s="0" t="s">
        <v>34436</v>
      </c>
      <c r="E25414" s="0" t="inlineStr">
        <is>
          <t xml:space="preserve">Mazda</t>
        </is>
      </c>
      <c r="F25414" s="0" t="s">
        <v>13</v>
      </c>
      <c r="G25414" s="0" t="s">
        <v>49</v>
      </c>
      <c r="H25414" s="5">
        <v>45.488600</v>
      </c>
    </row>
    <row r="25415" spans="1:9">
      <c r="A25415" s="22" t="str">
        <f>HYPERLINK("https://app.vivvix.com/360/KMI/IntelliDrive/ApplUI/Pages/CreativePages/CustomReportCreativeDetail.aspx?App=23&amp;ReportView=4&amp;Qid=1711279&amp;Row=25407&amp;Col=1","No Title Assigned - #15285740762")</f>
        <v/>
      </c>
      <c r="B25415" s="0" t="s">
        <v>34437</v>
      </c>
      <c r="C25415" s="0" t="s">
        <v>34438</v>
      </c>
      <c r="D25415" s="0" t="s">
        <v>34438</v>
      </c>
      <c r="E25415" s="0" t="inlineStr">
        <is>
          <t xml:space="preserve">Mazda</t>
        </is>
      </c>
      <c r="F25415" s="0" t="s">
        <v>13</v>
      </c>
      <c r="G25415" s="0" t="s">
        <v>49</v>
      </c>
      <c r="H25415" s="5">
        <v>88.644700</v>
      </c>
    </row>
    <row r="25416" spans="1:9">
      <c r="A25416" s="22" t="str">
        <f>HYPERLINK("https://app.vivvix.com/360/KMI/IntelliDrive/ApplUI/Pages/CreativePages/CustomReportCreativeDetail.aspx?App=23&amp;ReportView=4&amp;Qid=1711279&amp;Row=25408&amp;Col=1","No Title Assigned - #15285742830")</f>
        <v/>
      </c>
      <c r="B25416" s="0" t="s">
        <v>34439</v>
      </c>
      <c r="C25416" s="0" t="s">
        <v>34440</v>
      </c>
      <c r="D25416" s="0" t="s">
        <v>34440</v>
      </c>
      <c r="E25416" s="0" t="inlineStr">
        <is>
          <t xml:space="preserve">Mazda</t>
        </is>
      </c>
      <c r="F25416" s="0" t="s">
        <v>13</v>
      </c>
      <c r="G25416" s="0" t="s">
        <v>49</v>
      </c>
      <c r="H25416" s="5">
        <v>480.428900</v>
      </c>
    </row>
    <row r="25417" spans="1:9">
      <c r="A25417" s="22" t="str">
        <f>HYPERLINK("https://app.vivvix.com/360/KMI/IntelliDrive/ApplUI/Pages/CreativePages/CustomReportCreativeDetail.aspx?App=23&amp;ReportView=4&amp;Qid=1711279&amp;Row=25409&amp;Col=1","No Title Assigned - #15285759669")</f>
        <v/>
      </c>
      <c r="B25417" s="0" t="s">
        <v>34441</v>
      </c>
      <c r="C25417" s="0" t="s">
        <v>34442</v>
      </c>
      <c r="D25417" s="0" t="s">
        <v>34442</v>
      </c>
      <c r="E25417" s="0" t="inlineStr">
        <is>
          <t xml:space="preserve">Mazda</t>
        </is>
      </c>
      <c r="F25417" s="0" t="s">
        <v>13</v>
      </c>
      <c r="G25417" s="0" t="s">
        <v>49</v>
      </c>
      <c r="H25417" s="5">
        <v>164.159200</v>
      </c>
    </row>
    <row r="25418" spans="1:9">
      <c r="A25418" s="22" t="str">
        <f>HYPERLINK("https://app.vivvix.com/360/KMI/IntelliDrive/ApplUI/Pages/CreativePages/CustomReportCreativeDetail.aspx?App=23&amp;ReportView=4&amp;Qid=1711279&amp;Row=25410&amp;Col=1","No Title Assigned - #15285773281")</f>
        <v/>
      </c>
      <c r="B25418" s="0" t="s">
        <v>34443</v>
      </c>
      <c r="C25418" s="0" t="s">
        <v>34444</v>
      </c>
      <c r="D25418" s="0" t="s">
        <v>34444</v>
      </c>
      <c r="E25418" s="0" t="inlineStr">
        <is>
          <t xml:space="preserve">Mazda</t>
        </is>
      </c>
      <c r="F25418" s="0" t="s">
        <v>13</v>
      </c>
      <c r="G25418" s="0" t="s">
        <v>49</v>
      </c>
      <c r="H25418" s="5">
        <v>3.396800</v>
      </c>
    </row>
    <row r="25419" spans="1:9">
      <c r="A25419" s="22" t="str">
        <f>HYPERLINK("https://app.vivvix.com/360/KMI/IntelliDrive/ApplUI/Pages/CreativePages/CustomReportCreativeDetail.aspx?App=23&amp;ReportView=4&amp;Qid=1711279&amp;Row=25411&amp;Col=1","No Title Assigned - #15285773282")</f>
        <v/>
      </c>
      <c r="B25419" s="0" t="s">
        <v>34445</v>
      </c>
      <c r="C25419" s="0" t="s">
        <v>34446</v>
      </c>
      <c r="D25419" s="0" t="s">
        <v>34446</v>
      </c>
      <c r="E25419" s="0" t="inlineStr">
        <is>
          <t xml:space="preserve">Mazda</t>
        </is>
      </c>
      <c r="F25419" s="0" t="s">
        <v>13</v>
      </c>
      <c r="G25419" s="0" t="s">
        <v>49</v>
      </c>
      <c r="H25419" s="5">
        <v>3.396800</v>
      </c>
    </row>
    <row r="25420" spans="1:9">
      <c r="A25420" s="22" t="str">
        <f>HYPERLINK("https://app.vivvix.com/360/KMI/IntelliDrive/ApplUI/Pages/CreativePages/CustomReportCreativeDetail.aspx?App=23&amp;ReportView=4&amp;Qid=1711279&amp;Row=25412&amp;Col=1","No Title Assigned - #15285774394")</f>
        <v/>
      </c>
      <c r="B25420" s="0" t="s">
        <v>34447</v>
      </c>
      <c r="C25420" s="0" t="s">
        <v>34448</v>
      </c>
      <c r="D25420" s="0" t="s">
        <v>34448</v>
      </c>
      <c r="E25420" s="0" t="inlineStr">
        <is>
          <t xml:space="preserve">Mazda</t>
        </is>
      </c>
      <c r="F25420" s="0" t="s">
        <v>13</v>
      </c>
      <c r="G25420" s="0" t="s">
        <v>49</v>
      </c>
      <c r="H25420" s="5">
        <v>195.874100</v>
      </c>
    </row>
    <row r="25421" spans="1:9">
      <c r="A25421" s="22" t="str">
        <f>HYPERLINK("https://app.vivvix.com/360/KMI/IntelliDrive/ApplUI/Pages/CreativePages/CustomReportCreativeDetail.aspx?App=23&amp;ReportView=4&amp;Qid=1711279&amp;Row=25413&amp;Col=1","No Title Assigned - #15285786536")</f>
        <v/>
      </c>
      <c r="B25421" s="0" t="s">
        <v>34449</v>
      </c>
      <c r="C25421" s="0" t="s">
        <v>34450</v>
      </c>
      <c r="D25421" s="0" t="s">
        <v>34450</v>
      </c>
      <c r="E25421" s="0" t="inlineStr">
        <is>
          <t xml:space="preserve">Mazda</t>
        </is>
      </c>
      <c r="F25421" s="0" t="s">
        <v>125</v>
      </c>
      <c r="G25421" s="0" t="s">
        <v>346</v>
      </c>
      <c r="H25421" s="5">
        <v>813.878900</v>
      </c>
    </row>
    <row r="25422" spans="1:9">
      <c r="A25422" s="22" t="str">
        <f>HYPERLINK("https://app.vivvix.com/360/KMI/IntelliDrive/ApplUI/Pages/CreativePages/CustomReportCreativeDetail.aspx?App=23&amp;ReportView=4&amp;Qid=1711279&amp;Row=25414&amp;Col=1","No Title Assigned - #15285786883")</f>
        <v/>
      </c>
      <c r="B25422" s="0" t="s">
        <v>34451</v>
      </c>
      <c r="C25422" s="0" t="s">
        <v>34452</v>
      </c>
      <c r="D25422" s="0" t="s">
        <v>34452</v>
      </c>
      <c r="E25422" s="0" t="inlineStr">
        <is>
          <t xml:space="preserve">Mazda</t>
        </is>
      </c>
      <c r="F25422" s="0" t="inlineStr">
        <is>
          <t xml:space="preserve">Mazda</t>
        </is>
      </c>
      <c r="G25422" s="0" t="s">
        <v>2413</v>
      </c>
      <c r="H25422" s="5">
        <v>812.159200</v>
      </c>
    </row>
    <row r="25423" spans="1:9">
      <c r="A25423" s="22" t="str">
        <f>HYPERLINK("https://app.vivvix.com/360/KMI/IntelliDrive/ApplUI/Pages/CreativePages/CustomReportCreativeDetail.aspx?App=23&amp;ReportView=4&amp;Qid=1711279&amp;Row=25415&amp;Col=1","No Title Assigned - #15285789411")</f>
        <v/>
      </c>
      <c r="B25423" s="0" t="s">
        <v>34453</v>
      </c>
      <c r="C25423" s="0" t="s">
        <v>34454</v>
      </c>
      <c r="D25423" s="0" t="s">
        <v>34454</v>
      </c>
      <c r="E25423" s="0" t="inlineStr">
        <is>
          <t xml:space="preserve">Mazda</t>
        </is>
      </c>
      <c r="F25423" s="0" t="inlineStr">
        <is>
          <t xml:space="preserve">Mazda</t>
        </is>
      </c>
      <c r="G25423" s="0" t="s">
        <v>210</v>
      </c>
      <c r="H25423" s="5">
        <v>418.962800</v>
      </c>
    </row>
    <row r="25424" spans="1:9">
      <c r="A25424" s="22" t="str">
        <f>HYPERLINK("https://app.vivvix.com/360/KMI/IntelliDrive/ApplUI/Pages/CreativePages/CustomReportCreativeDetail.aspx?App=23&amp;ReportView=4&amp;Qid=1711279&amp;Row=25416&amp;Col=1","No Title Assigned - #15285797213")</f>
        <v/>
      </c>
      <c r="B25424" s="0" t="s">
        <v>34455</v>
      </c>
      <c r="C25424" s="0" t="s">
        <v>34456</v>
      </c>
      <c r="D25424" s="0" t="s">
        <v>34456</v>
      </c>
      <c r="E25424" s="0" t="inlineStr">
        <is>
          <t xml:space="preserve">Mazda</t>
        </is>
      </c>
      <c r="F25424" s="0" t="s">
        <v>13</v>
      </c>
      <c r="G25424" s="0" t="s">
        <v>49</v>
      </c>
      <c r="H25424" s="5">
        <v>214.488500</v>
      </c>
    </row>
    <row r="25425" spans="1:9">
      <c r="A25425" s="22" t="str">
        <f>HYPERLINK("https://app.vivvix.com/360/KMI/IntelliDrive/ApplUI/Pages/CreativePages/CustomReportCreativeDetail.aspx?App=23&amp;ReportView=4&amp;Qid=1711279&amp;Row=25417&amp;Col=1","No Title Assigned - #15285802510")</f>
        <v/>
      </c>
      <c r="B25425" s="0" t="s">
        <v>34457</v>
      </c>
      <c r="C25425" s="0" t="s">
        <v>34458</v>
      </c>
      <c r="D25425" s="0" t="s">
        <v>34458</v>
      </c>
      <c r="E25425" s="0" t="inlineStr">
        <is>
          <t xml:space="preserve">Mazda</t>
        </is>
      </c>
      <c r="F25425" s="0" t="s">
        <v>13</v>
      </c>
      <c r="G25425" s="0" t="s">
        <v>49</v>
      </c>
      <c r="H25425" s="5">
        <v>749.794200</v>
      </c>
    </row>
    <row r="25426" spans="1:9">
      <c r="A25426" s="22" t="str">
        <f>HYPERLINK("https://app.vivvix.com/360/KMI/IntelliDrive/ApplUI/Pages/CreativePages/CustomReportCreativeDetail.aspx?App=23&amp;ReportView=4&amp;Qid=1711279&amp;Row=25418&amp;Col=1","No Title Assigned - #15285803681")</f>
        <v/>
      </c>
      <c r="B25426" s="0" t="s">
        <v>34459</v>
      </c>
      <c r="C25426" s="0" t="s">
        <v>34460</v>
      </c>
      <c r="D25426" s="0" t="s">
        <v>34460</v>
      </c>
      <c r="E25426" s="0" t="inlineStr">
        <is>
          <t xml:space="preserve">Mazda</t>
        </is>
      </c>
      <c r="F25426" s="0" t="s">
        <v>13</v>
      </c>
      <c r="G25426" s="0" t="s">
        <v>49</v>
      </c>
      <c r="H25426" s="5">
        <v>1250.801800</v>
      </c>
    </row>
    <row r="25427" spans="1:9">
      <c r="A25427" s="22" t="str">
        <f>HYPERLINK("https://app.vivvix.com/360/KMI/IntelliDrive/ApplUI/Pages/CreativePages/CustomReportCreativeDetail.aspx?App=23&amp;ReportView=4&amp;Qid=1711279&amp;Row=25419&amp;Col=1","No Title Assigned - #15285803738")</f>
        <v/>
      </c>
      <c r="B25427" s="0" t="s">
        <v>34461</v>
      </c>
      <c r="C25427" s="0" t="s">
        <v>34462</v>
      </c>
      <c r="D25427" s="0" t="s">
        <v>34462</v>
      </c>
      <c r="E25427" s="0" t="inlineStr">
        <is>
          <t xml:space="preserve">Mazda</t>
        </is>
      </c>
      <c r="F25427" s="0" t="s">
        <v>13</v>
      </c>
      <c r="G25427" s="0" t="s">
        <v>49</v>
      </c>
      <c r="H25427" s="5">
        <v>164.159200</v>
      </c>
    </row>
    <row r="25428" spans="1:9">
      <c r="A25428" s="22" t="str">
        <f>HYPERLINK("https://app.vivvix.com/360/KMI/IntelliDrive/ApplUI/Pages/CreativePages/CustomReportCreativeDetail.aspx?App=23&amp;ReportView=4&amp;Qid=1711279&amp;Row=25420&amp;Col=1","No Title Assigned - #15285803880")</f>
        <v/>
      </c>
      <c r="B25428" s="0" t="s">
        <v>34463</v>
      </c>
      <c r="C25428" s="0" t="s">
        <v>34464</v>
      </c>
      <c r="D25428" s="0" t="s">
        <v>34464</v>
      </c>
      <c r="E25428" s="0" t="inlineStr">
        <is>
          <t xml:space="preserve">Mazda</t>
        </is>
      </c>
      <c r="F25428" s="0" t="s">
        <v>13</v>
      </c>
      <c r="G25428" s="0" t="s">
        <v>49</v>
      </c>
      <c r="H25428" s="5">
        <v>51.395300</v>
      </c>
    </row>
    <row r="25429" spans="1:9">
      <c r="A25429" s="22" t="str">
        <f>HYPERLINK("https://app.vivvix.com/360/KMI/IntelliDrive/ApplUI/Pages/CreativePages/CustomReportCreativeDetail.aspx?App=23&amp;ReportView=4&amp;Qid=1711279&amp;Row=25421&amp;Col=1","No Title Assigned - #15285805902")</f>
        <v/>
      </c>
      <c r="B25429" s="0" t="s">
        <v>34465</v>
      </c>
      <c r="C25429" s="0" t="s">
        <v>34466</v>
      </c>
      <c r="D25429" s="0" t="s">
        <v>34466</v>
      </c>
      <c r="E25429" s="0" t="inlineStr">
        <is>
          <t xml:space="preserve">Mazda</t>
        </is>
      </c>
      <c r="F25429" s="0" t="s">
        <v>13</v>
      </c>
      <c r="G25429" s="0" t="s">
        <v>49</v>
      </c>
      <c r="H25429" s="5">
        <v>1189.659100</v>
      </c>
    </row>
    <row r="25430" spans="1:9">
      <c r="A25430" s="22" t="str">
        <f>HYPERLINK("https://app.vivvix.com/360/KMI/IntelliDrive/ApplUI/Pages/CreativePages/CustomReportCreativeDetail.aspx?App=23&amp;ReportView=4&amp;Qid=1711279&amp;Row=25422&amp;Col=1","No Title Assigned - #15285806036")</f>
        <v/>
      </c>
      <c r="B25430" s="0" t="s">
        <v>34467</v>
      </c>
      <c r="C25430" s="0" t="s">
        <v>34468</v>
      </c>
      <c r="D25430" s="0" t="s">
        <v>34468</v>
      </c>
      <c r="E25430" s="0" t="inlineStr">
        <is>
          <t xml:space="preserve">Mazda</t>
        </is>
      </c>
      <c r="F25430" s="0" t="s">
        <v>13</v>
      </c>
      <c r="G25430" s="0" t="s">
        <v>49</v>
      </c>
      <c r="H25430" s="5">
        <v>2901.552400</v>
      </c>
    </row>
    <row r="25431" spans="1:9">
      <c r="A25431" s="22" t="str">
        <f>HYPERLINK("https://app.vivvix.com/360/KMI/IntelliDrive/ApplUI/Pages/CreativePages/CustomReportCreativeDetail.aspx?App=23&amp;ReportView=4&amp;Qid=1711279&amp;Row=25423&amp;Col=1","No Title Assigned - #15285806548")</f>
        <v/>
      </c>
      <c r="B25431" s="0" t="s">
        <v>34469</v>
      </c>
      <c r="C25431" s="0" t="s">
        <v>34470</v>
      </c>
      <c r="D25431" s="0" t="s">
        <v>34470</v>
      </c>
      <c r="E25431" s="0" t="inlineStr">
        <is>
          <t xml:space="preserve">Mazda</t>
        </is>
      </c>
      <c r="F25431" s="0" t="s">
        <v>666</v>
      </c>
      <c r="G25431" s="0" t="s">
        <v>667</v>
      </c>
      <c r="H25431" s="5">
        <v>440.861700</v>
      </c>
    </row>
    <row r="25432" spans="1:9">
      <c r="A25432" s="22" t="str">
        <f>HYPERLINK("https://app.vivvix.com/360/KMI/IntelliDrive/ApplUI/Pages/CreativePages/CustomReportCreativeDetail.aspx?App=23&amp;ReportView=4&amp;Qid=1711279&amp;Row=25424&amp;Col=1","No Title Assigned - #15285808036")</f>
        <v/>
      </c>
      <c r="B25432" s="0" t="s">
        <v>34471</v>
      </c>
      <c r="C25432" s="0" t="s">
        <v>34472</v>
      </c>
      <c r="D25432" s="0" t="s">
        <v>34472</v>
      </c>
      <c r="E25432" s="0" t="inlineStr">
        <is>
          <t xml:space="preserve">Mazda</t>
        </is>
      </c>
      <c r="F25432" s="0" t="s">
        <v>13</v>
      </c>
      <c r="G25432" s="0" t="s">
        <v>49</v>
      </c>
      <c r="H25432" s="5">
        <v>1450.776200</v>
      </c>
    </row>
    <row r="25433" spans="1:9">
      <c r="A25433" s="22" t="str">
        <f>HYPERLINK("https://app.vivvix.com/360/KMI/IntelliDrive/ApplUI/Pages/CreativePages/CustomReportCreativeDetail.aspx?App=23&amp;ReportView=4&amp;Qid=1711279&amp;Row=25425&amp;Col=1","No Title Assigned - #15285808728")</f>
        <v/>
      </c>
      <c r="B25433" s="0" t="s">
        <v>34473</v>
      </c>
      <c r="C25433" s="0" t="s">
        <v>34474</v>
      </c>
      <c r="D25433" s="0" t="s">
        <v>34474</v>
      </c>
      <c r="E25433" s="0" t="inlineStr">
        <is>
          <t xml:space="preserve">Mazda</t>
        </is>
      </c>
      <c r="F25433" s="0" t="s">
        <v>13</v>
      </c>
      <c r="G25433" s="0" t="s">
        <v>49</v>
      </c>
      <c r="H25433" s="5">
        <v>1450.776200</v>
      </c>
    </row>
    <row r="25434" spans="1:9">
      <c r="A25434" s="22" t="str">
        <f>HYPERLINK("https://app.vivvix.com/360/KMI/IntelliDrive/ApplUI/Pages/CreativePages/CustomReportCreativeDetail.aspx?App=23&amp;ReportView=4&amp;Qid=1711279&amp;Row=25426&amp;Col=1","No Title Assigned - #15285810015")</f>
        <v/>
      </c>
      <c r="B25434" s="0" t="s">
        <v>34475</v>
      </c>
      <c r="C25434" s="0" t="s">
        <v>34476</v>
      </c>
      <c r="D25434" s="0" t="s">
        <v>34476</v>
      </c>
      <c r="E25434" s="0" t="inlineStr">
        <is>
          <t xml:space="preserve">Mazda</t>
        </is>
      </c>
      <c r="F25434" s="0" t="s">
        <v>13</v>
      </c>
      <c r="G25434" s="0" t="s">
        <v>49</v>
      </c>
      <c r="H25434" s="5">
        <v>44.970700</v>
      </c>
    </row>
    <row r="25435" spans="1:9">
      <c r="A25435" s="22" t="str">
        <f>HYPERLINK("https://app.vivvix.com/360/KMI/IntelliDrive/ApplUI/Pages/CreativePages/CustomReportCreativeDetail.aspx?App=23&amp;ReportView=4&amp;Qid=1711279&amp;Row=25427&amp;Col=1","No Title Assigned - #15285810016")</f>
        <v/>
      </c>
      <c r="B25435" s="0" t="s">
        <v>34477</v>
      </c>
      <c r="C25435" s="0" t="s">
        <v>34478</v>
      </c>
      <c r="D25435" s="0" t="s">
        <v>34478</v>
      </c>
      <c r="E25435" s="0" t="inlineStr">
        <is>
          <t xml:space="preserve">Mazda</t>
        </is>
      </c>
      <c r="F25435" s="0" t="s">
        <v>13</v>
      </c>
      <c r="G25435" s="0" t="s">
        <v>49</v>
      </c>
      <c r="H25435" s="5">
        <v>89.941400</v>
      </c>
    </row>
    <row r="25436" spans="1:9">
      <c r="A25436" s="22" t="str">
        <f>HYPERLINK("https://app.vivvix.com/360/KMI/IntelliDrive/ApplUI/Pages/CreativePages/CustomReportCreativeDetail.aspx?App=23&amp;ReportView=4&amp;Qid=1711279&amp;Row=25428&amp;Col=1","No Title Assigned - #15285811470")</f>
        <v/>
      </c>
      <c r="B25436" s="0" t="s">
        <v>34479</v>
      </c>
      <c r="C25436" s="0" t="s">
        <v>34480</v>
      </c>
      <c r="D25436" s="0" t="s">
        <v>34480</v>
      </c>
      <c r="E25436" s="0" t="inlineStr">
        <is>
          <t xml:space="preserve">Mazda</t>
        </is>
      </c>
      <c r="F25436" s="0" t="inlineStr">
        <is>
          <t xml:space="preserve">Mazda</t>
        </is>
      </c>
      <c r="G25436" s="0" t="s">
        <v>210</v>
      </c>
      <c r="H25436" s="5">
        <v>426.087300</v>
      </c>
    </row>
    <row r="25437" spans="1:9">
      <c r="A25437" s="22" t="str">
        <f>HYPERLINK("https://app.vivvix.com/360/KMI/IntelliDrive/ApplUI/Pages/CreativePages/CustomReportCreativeDetail.aspx?App=23&amp;ReportView=4&amp;Qid=1711279&amp;Row=25429&amp;Col=1","No Title Assigned - #15285811836")</f>
        <v/>
      </c>
      <c r="B25437" s="0" t="s">
        <v>34481</v>
      </c>
      <c r="C25437" s="0" t="s">
        <v>34482</v>
      </c>
      <c r="D25437" s="0" t="s">
        <v>34482</v>
      </c>
      <c r="E25437" s="0" t="inlineStr">
        <is>
          <t xml:space="preserve">Mazda</t>
        </is>
      </c>
      <c r="F25437" s="0" t="s">
        <v>13</v>
      </c>
      <c r="G25437" s="0" t="s">
        <v>49</v>
      </c>
      <c r="H25437" s="5">
        <v>5612.209500</v>
      </c>
    </row>
    <row r="25438" spans="1:9">
      <c r="A25438" s="22" t="str">
        <f>HYPERLINK("https://app.vivvix.com/360/KMI/IntelliDrive/ApplUI/Pages/CreativePages/CustomReportCreativeDetail.aspx?App=23&amp;ReportView=4&amp;Qid=1711279&amp;Row=25430&amp;Col=1","No Title Assigned - #15285812041")</f>
        <v/>
      </c>
      <c r="B25438" s="0" t="s">
        <v>34483</v>
      </c>
      <c r="C25438" s="0" t="s">
        <v>34484</v>
      </c>
      <c r="D25438" s="0" t="s">
        <v>34484</v>
      </c>
      <c r="E25438" s="0" t="inlineStr">
        <is>
          <t xml:space="preserve">Mazda</t>
        </is>
      </c>
      <c r="F25438" s="0" t="s">
        <v>17</v>
      </c>
      <c r="G25438" s="0" t="s">
        <v>33</v>
      </c>
      <c r="H25438" s="5">
        <v>1277.969700</v>
      </c>
    </row>
    <row r="25439" spans="1:9">
      <c r="A25439" s="22" t="str">
        <f>HYPERLINK("https://app.vivvix.com/360/KMI/IntelliDrive/ApplUI/Pages/CreativePages/CustomReportCreativeDetail.aspx?App=23&amp;ReportView=4&amp;Qid=1711279&amp;Row=25431&amp;Col=1","No Title Assigned - #15285812042")</f>
        <v/>
      </c>
      <c r="B25439" s="0" t="s">
        <v>34485</v>
      </c>
      <c r="C25439" s="0" t="s">
        <v>34486</v>
      </c>
      <c r="D25439" s="0" t="s">
        <v>34486</v>
      </c>
      <c r="E25439" s="0" t="inlineStr">
        <is>
          <t xml:space="preserve">Mazda</t>
        </is>
      </c>
      <c r="F25439" s="0" t="s">
        <v>369</v>
      </c>
      <c r="G25439" s="0" t="s">
        <v>370</v>
      </c>
      <c r="H25439" s="5">
        <v>748.294600</v>
      </c>
    </row>
    <row r="25440" spans="1:9">
      <c r="A25440" s="22" t="str">
        <f>HYPERLINK("https://app.vivvix.com/360/KMI/IntelliDrive/ApplUI/Pages/CreativePages/CustomReportCreativeDetail.aspx?App=23&amp;ReportView=4&amp;Qid=1711279&amp;Row=25432&amp;Col=1","No Title Assigned - #15285812822")</f>
        <v/>
      </c>
      <c r="B25440" s="0" t="s">
        <v>34487</v>
      </c>
      <c r="C25440" s="0" t="s">
        <v>34488</v>
      </c>
      <c r="D25440" s="0" t="s">
        <v>34488</v>
      </c>
      <c r="E25440" s="0" t="inlineStr">
        <is>
          <t xml:space="preserve">Mazda</t>
        </is>
      </c>
      <c r="F25440" s="0" t="s">
        <v>13</v>
      </c>
      <c r="G25440" s="0" t="s">
        <v>49</v>
      </c>
      <c r="H25440" s="5">
        <v>114.834900</v>
      </c>
    </row>
    <row r="25441" spans="1:9">
      <c r="A25441" s="22" t="str">
        <f>HYPERLINK("https://app.vivvix.com/360/KMI/IntelliDrive/ApplUI/Pages/CreativePages/CustomReportCreativeDetail.aspx?App=23&amp;ReportView=4&amp;Qid=1711279&amp;Row=25433&amp;Col=1","No Title Assigned - #15285813581")</f>
        <v/>
      </c>
      <c r="B25441" s="0" t="s">
        <v>34489</v>
      </c>
      <c r="C25441" s="0" t="s">
        <v>34490</v>
      </c>
      <c r="D25441" s="0" t="s">
        <v>34490</v>
      </c>
      <c r="E25441" s="0" t="inlineStr">
        <is>
          <t xml:space="preserve">Mazda</t>
        </is>
      </c>
      <c r="F25441" s="0" t="s">
        <v>13</v>
      </c>
      <c r="G25441" s="0" t="s">
        <v>49</v>
      </c>
      <c r="H25441" s="5">
        <v>645.598100</v>
      </c>
    </row>
    <row r="25442" spans="1:9">
      <c r="A25442" s="22" t="str">
        <f>HYPERLINK("https://app.vivvix.com/360/KMI/IntelliDrive/ApplUI/Pages/CreativePages/CustomReportCreativeDetail.aspx?App=23&amp;ReportView=4&amp;Qid=1711279&amp;Row=25434&amp;Col=1","No Title Assigned - #15285817253")</f>
        <v/>
      </c>
      <c r="B25442" s="0" t="s">
        <v>34491</v>
      </c>
      <c r="C25442" s="0" t="s">
        <v>34492</v>
      </c>
      <c r="D25442" s="0" t="s">
        <v>34492</v>
      </c>
      <c r="E25442" s="0" t="inlineStr">
        <is>
          <t xml:space="preserve">Mazda</t>
        </is>
      </c>
      <c r="F25442" s="0" t="s">
        <v>13</v>
      </c>
      <c r="G25442" s="0" t="s">
        <v>49</v>
      </c>
      <c r="H25442" s="5">
        <v>1450.776200</v>
      </c>
    </row>
    <row r="25443" spans="1:9">
      <c r="A25443" s="22" t="str">
        <f>HYPERLINK("https://app.vivvix.com/360/KMI/IntelliDrive/ApplUI/Pages/CreativePages/CustomReportCreativeDetail.aspx?App=23&amp;ReportView=4&amp;Qid=1711279&amp;Row=25435&amp;Col=1","No Title Assigned - #15285823160")</f>
        <v/>
      </c>
      <c r="B25443" s="0" t="s">
        <v>34493</v>
      </c>
      <c r="C25443" s="0" t="s">
        <v>34494</v>
      </c>
      <c r="D25443" s="0" t="s">
        <v>34494</v>
      </c>
      <c r="E25443" s="0" t="inlineStr">
        <is>
          <t xml:space="preserve">Mazda</t>
        </is>
      </c>
      <c r="F25443" s="0" t="s">
        <v>17</v>
      </c>
      <c r="G25443" s="0" t="s">
        <v>33</v>
      </c>
      <c r="H25443" s="5">
        <v>13878.499000</v>
      </c>
    </row>
    <row r="25444" spans="1:9">
      <c r="A25444" s="22" t="str">
        <f>HYPERLINK("https://app.vivvix.com/360/KMI/IntelliDrive/ApplUI/Pages/CreativePages/CustomReportCreativeDetail.aspx?App=23&amp;ReportView=4&amp;Qid=1711279&amp;Row=25436&amp;Col=1","No Title Assigned - #15285829728")</f>
        <v/>
      </c>
      <c r="B25444" s="0" t="s">
        <v>34495</v>
      </c>
      <c r="C25444" s="0" t="s">
        <v>34496</v>
      </c>
      <c r="D25444" s="0" t="s">
        <v>34496</v>
      </c>
      <c r="E25444" s="0" t="inlineStr">
        <is>
          <t xml:space="preserve">Mazda</t>
        </is>
      </c>
      <c r="F25444" s="0" t="s">
        <v>13</v>
      </c>
      <c r="G25444" s="0" t="s">
        <v>49</v>
      </c>
      <c r="H25444" s="5">
        <v>173.726400</v>
      </c>
    </row>
    <row r="25445" spans="1:9">
      <c r="A25445" s="22" t="str">
        <f>HYPERLINK("https://app.vivvix.com/360/KMI/IntelliDrive/ApplUI/Pages/CreativePages/CustomReportCreativeDetail.aspx?App=23&amp;ReportView=4&amp;Qid=1711279&amp;Row=25437&amp;Col=1","No Title Assigned - #15285829745")</f>
        <v/>
      </c>
      <c r="B25445" s="0" t="s">
        <v>34497</v>
      </c>
      <c r="C25445" s="0" t="s">
        <v>34498</v>
      </c>
      <c r="D25445" s="0" t="s">
        <v>34498</v>
      </c>
      <c r="E25445" s="0" t="inlineStr">
        <is>
          <t xml:space="preserve">Mazda</t>
        </is>
      </c>
      <c r="F25445" s="0" t="s">
        <v>13</v>
      </c>
      <c r="G25445" s="0" t="s">
        <v>49</v>
      </c>
      <c r="H25445" s="5">
        <v>137.526200</v>
      </c>
    </row>
    <row r="25446" spans="1:9">
      <c r="A25446" s="22" t="str">
        <f>HYPERLINK("https://app.vivvix.com/360/KMI/IntelliDrive/ApplUI/Pages/CreativePages/CustomReportCreativeDetail.aspx?App=23&amp;ReportView=4&amp;Qid=1711279&amp;Row=25438&amp;Col=1","No Title Assigned - #15285829776")</f>
        <v/>
      </c>
      <c r="B25446" s="0" t="s">
        <v>34499</v>
      </c>
      <c r="C25446" s="0" t="s">
        <v>34500</v>
      </c>
      <c r="D25446" s="0" t="s">
        <v>34500</v>
      </c>
      <c r="E25446" s="0" t="inlineStr">
        <is>
          <t xml:space="preserve">Mazda</t>
        </is>
      </c>
      <c r="F25446" s="0" t="s">
        <v>13</v>
      </c>
      <c r="G25446" s="0" t="s">
        <v>49</v>
      </c>
      <c r="H25446" s="5">
        <v>1615.009200</v>
      </c>
    </row>
    <row r="25447" spans="1:9">
      <c r="A25447" s="22" t="str">
        <f>HYPERLINK("https://app.vivvix.com/360/KMI/IntelliDrive/ApplUI/Pages/CreativePages/CustomReportCreativeDetail.aspx?App=23&amp;ReportView=4&amp;Qid=1711279&amp;Row=25439&amp;Col=1","No Title Assigned - #15285829940")</f>
        <v/>
      </c>
      <c r="B25447" s="0" t="s">
        <v>34501</v>
      </c>
      <c r="C25447" s="0" t="s">
        <v>34502</v>
      </c>
      <c r="D25447" s="0" t="s">
        <v>34502</v>
      </c>
      <c r="E25447" s="0" t="inlineStr">
        <is>
          <t xml:space="preserve">Mazda</t>
        </is>
      </c>
      <c r="F25447" s="0" t="s">
        <v>13</v>
      </c>
      <c r="G25447" s="0" t="s">
        <v>49</v>
      </c>
      <c r="H25447" s="5">
        <v>137.526200</v>
      </c>
    </row>
    <row r="25448" spans="1:9">
      <c r="A25448" s="22" t="str">
        <f>HYPERLINK("https://app.vivvix.com/360/KMI/IntelliDrive/ApplUI/Pages/CreativePages/CustomReportCreativeDetail.aspx?App=23&amp;ReportView=4&amp;Qid=1711279&amp;Row=25440&amp;Col=1","No Title Assigned - #15285830618")</f>
        <v/>
      </c>
      <c r="B25448" s="0" t="s">
        <v>34503</v>
      </c>
      <c r="C25448" s="0" t="s">
        <v>34504</v>
      </c>
      <c r="D25448" s="0" t="s">
        <v>34504</v>
      </c>
      <c r="E25448" s="0" t="inlineStr">
        <is>
          <t xml:space="preserve">Mazda</t>
        </is>
      </c>
      <c r="F25448" s="0" t="s">
        <v>369</v>
      </c>
      <c r="G25448" s="0" t="s">
        <v>370</v>
      </c>
      <c r="H25448" s="5">
        <v>374.147300</v>
      </c>
    </row>
    <row r="25449" spans="1:9">
      <c r="A25449" s="22" t="str">
        <f>HYPERLINK("https://app.vivvix.com/360/KMI/IntelliDrive/ApplUI/Pages/CreativePages/CustomReportCreativeDetail.aspx?App=23&amp;ReportView=4&amp;Qid=1711279&amp;Row=25441&amp;Col=1","No Title Assigned - #15285832074")</f>
        <v/>
      </c>
      <c r="B25449" s="0" t="s">
        <v>34505</v>
      </c>
      <c r="C25449" s="0" t="s">
        <v>34506</v>
      </c>
      <c r="D25449" s="0" t="s">
        <v>34506</v>
      </c>
      <c r="E25449" s="0" t="inlineStr">
        <is>
          <t xml:space="preserve">Mazda</t>
        </is>
      </c>
      <c r="F25449" s="0" t="s">
        <v>13</v>
      </c>
      <c r="G25449" s="0" t="s">
        <v>49</v>
      </c>
      <c r="H25449" s="5">
        <v>4982.017600</v>
      </c>
    </row>
    <row r="25450" spans="1:9">
      <c r="A25450" s="22" t="str">
        <f>HYPERLINK("https://app.vivvix.com/360/KMI/IntelliDrive/ApplUI/Pages/CreativePages/CustomReportCreativeDetail.aspx?App=23&amp;ReportView=4&amp;Qid=1711279&amp;Row=25442&amp;Col=1","No Title Assigned - #15285832206")</f>
        <v/>
      </c>
      <c r="B25450" s="0" t="s">
        <v>34507</v>
      </c>
      <c r="C25450" s="0" t="s">
        <v>34508</v>
      </c>
      <c r="D25450" s="0" t="s">
        <v>33581</v>
      </c>
      <c r="E25450" s="0" t="inlineStr">
        <is>
          <t xml:space="preserve">Mazda</t>
        </is>
      </c>
      <c r="F25450" s="0" t="s">
        <v>13</v>
      </c>
      <c r="G25450" s="0" t="s">
        <v>49</v>
      </c>
      <c r="H25450" s="5">
        <v>3242.915900</v>
      </c>
    </row>
    <row r="25451" spans="1:9">
      <c r="A25451" s="22" t="str">
        <f>HYPERLINK("https://app.vivvix.com/360/KMI/IntelliDrive/ApplUI/Pages/CreativePages/CustomReportCreativeDetail.aspx?App=23&amp;ReportView=4&amp;Qid=1711279&amp;Row=25443&amp;Col=1","No Title Assigned - #15285834059")</f>
        <v/>
      </c>
      <c r="B25451" s="0" t="s">
        <v>34509</v>
      </c>
      <c r="C25451" s="0" t="s">
        <v>34510</v>
      </c>
      <c r="D25451" s="0" t="s">
        <v>34510</v>
      </c>
      <c r="E25451" s="0" t="inlineStr">
        <is>
          <t xml:space="preserve">Mazda</t>
        </is>
      </c>
      <c r="F25451" s="0" t="inlineStr">
        <is>
          <t xml:space="preserve">Mazda</t>
        </is>
      </c>
      <c r="G25451" s="0" t="s">
        <v>2413</v>
      </c>
      <c r="H25451" s="5">
        <v>596.998700</v>
      </c>
    </row>
    <row r="25452" spans="1:9">
      <c r="A25452" s="22" t="str">
        <f>HYPERLINK("https://app.vivvix.com/360/KMI/IntelliDrive/ApplUI/Pages/CreativePages/CustomReportCreativeDetail.aspx?App=23&amp;ReportView=4&amp;Qid=1711279&amp;Row=25444&amp;Col=1","No Title Assigned - #15285836128")</f>
        <v/>
      </c>
      <c r="B25452" s="0" t="s">
        <v>34511</v>
      </c>
      <c r="C25452" s="0" t="s">
        <v>34512</v>
      </c>
      <c r="D25452" s="0" t="s">
        <v>34512</v>
      </c>
      <c r="E25452" s="0" t="inlineStr">
        <is>
          <t xml:space="preserve">Mazda</t>
        </is>
      </c>
      <c r="F25452" s="0" t="s">
        <v>13</v>
      </c>
      <c r="G25452" s="0" t="s">
        <v>49</v>
      </c>
      <c r="H25452" s="5">
        <v>424.927400</v>
      </c>
    </row>
    <row r="25453" spans="1:9">
      <c r="A25453" s="22" t="str">
        <f>HYPERLINK("https://app.vivvix.com/360/KMI/IntelliDrive/ApplUI/Pages/CreativePages/CustomReportCreativeDetail.aspx?App=23&amp;ReportView=4&amp;Qid=1711279&amp;Row=25445&amp;Col=1","No Title Assigned - #15285836625")</f>
        <v/>
      </c>
      <c r="B25453" s="0" t="s">
        <v>34513</v>
      </c>
      <c r="C25453" s="0" t="s">
        <v>34514</v>
      </c>
      <c r="D25453" s="0" t="s">
        <v>34514</v>
      </c>
      <c r="E25453" s="0" t="inlineStr">
        <is>
          <t xml:space="preserve">Mazda</t>
        </is>
      </c>
      <c r="F25453" s="0" t="s">
        <v>13</v>
      </c>
      <c r="G25453" s="0" t="s">
        <v>49</v>
      </c>
      <c r="H25453" s="5">
        <v>28.976000</v>
      </c>
    </row>
    <row r="25454" spans="1:9">
      <c r="A25454" s="22" t="str">
        <f>HYPERLINK("https://app.vivvix.com/360/KMI/IntelliDrive/ApplUI/Pages/CreativePages/CustomReportCreativeDetail.aspx?App=23&amp;ReportView=4&amp;Qid=1711279&amp;Row=25446&amp;Col=1","No Title Assigned - #15285838087")</f>
        <v/>
      </c>
      <c r="B25454" s="0" t="s">
        <v>34515</v>
      </c>
      <c r="C25454" s="0" t="s">
        <v>34516</v>
      </c>
      <c r="D25454" s="0" t="s">
        <v>34516</v>
      </c>
      <c r="E25454" s="0" t="inlineStr">
        <is>
          <t xml:space="preserve">Mazda</t>
        </is>
      </c>
      <c r="F25454" s="0" t="s">
        <v>13</v>
      </c>
      <c r="G25454" s="0" t="s">
        <v>49</v>
      </c>
      <c r="H25454" s="5">
        <v>2898.780100</v>
      </c>
    </row>
    <row r="25455" spans="1:9">
      <c r="A25455" s="22" t="str">
        <f>HYPERLINK("https://app.vivvix.com/360/KMI/IntelliDrive/ApplUI/Pages/CreativePages/CustomReportCreativeDetail.aspx?App=23&amp;ReportView=4&amp;Qid=1711279&amp;Row=25447&amp;Col=1","No Title Assigned - #15285838800")</f>
        <v/>
      </c>
      <c r="B25455" s="0" t="s">
        <v>34517</v>
      </c>
      <c r="C25455" s="0" t="s">
        <v>34518</v>
      </c>
      <c r="D25455" s="0" t="s">
        <v>34518</v>
      </c>
      <c r="E25455" s="0" t="inlineStr">
        <is>
          <t xml:space="preserve">Mazda</t>
        </is>
      </c>
      <c r="F25455" s="0" t="s">
        <v>13</v>
      </c>
      <c r="G25455" s="0" t="s">
        <v>49</v>
      </c>
      <c r="H25455" s="5">
        <v>912.922400</v>
      </c>
    </row>
    <row r="25456" spans="1:9">
      <c r="A25456" s="22" t="str">
        <f>HYPERLINK("https://app.vivvix.com/360/KMI/IntelliDrive/ApplUI/Pages/CreativePages/CustomReportCreativeDetail.aspx?App=23&amp;ReportView=4&amp;Qid=1711279&amp;Row=25448&amp;Col=1","No Title Assigned - #15285839452")</f>
        <v/>
      </c>
      <c r="B25456" s="0" t="s">
        <v>34519</v>
      </c>
      <c r="C25456" s="0" t="s">
        <v>34520</v>
      </c>
      <c r="D25456" s="0" t="s">
        <v>34520</v>
      </c>
      <c r="E25456" s="0" t="inlineStr">
        <is>
          <t xml:space="preserve">Mazda</t>
        </is>
      </c>
      <c r="F25456" s="0" t="s">
        <v>13</v>
      </c>
      <c r="G25456" s="0" t="s">
        <v>49</v>
      </c>
      <c r="H25456" s="5">
        <v>4352.328600</v>
      </c>
    </row>
    <row r="25457" spans="1:9">
      <c r="A25457" s="22" t="str">
        <f>HYPERLINK("https://app.vivvix.com/360/KMI/IntelliDrive/ApplUI/Pages/CreativePages/CustomReportCreativeDetail.aspx?App=23&amp;ReportView=4&amp;Qid=1711279&amp;Row=25449&amp;Col=1","No Title Assigned - #15285840584")</f>
        <v/>
      </c>
      <c r="B25457" s="0" t="s">
        <v>34521</v>
      </c>
      <c r="C25457" s="0" t="s">
        <v>34522</v>
      </c>
      <c r="D25457" s="0" t="s">
        <v>34522</v>
      </c>
      <c r="E25457" s="0" t="inlineStr">
        <is>
          <t xml:space="preserve">Mazda</t>
        </is>
      </c>
      <c r="F25457" s="0" t="s">
        <v>13</v>
      </c>
      <c r="G25457" s="0" t="s">
        <v>49</v>
      </c>
      <c r="H25457" s="5">
        <v>144.419900</v>
      </c>
    </row>
    <row r="25458" spans="1:9">
      <c r="A25458" s="22" t="str">
        <f>HYPERLINK("https://app.vivvix.com/360/KMI/IntelliDrive/ApplUI/Pages/CreativePages/CustomReportCreativeDetail.aspx?App=23&amp;ReportView=4&amp;Qid=1711279&amp;Row=25450&amp;Col=1","No Title Assigned - #15285843566")</f>
        <v/>
      </c>
      <c r="B25458" s="0" t="s">
        <v>34523</v>
      </c>
      <c r="C25458" s="0" t="s">
        <v>34524</v>
      </c>
      <c r="D25458" s="0" t="s">
        <v>34524</v>
      </c>
      <c r="E25458" s="0" t="inlineStr">
        <is>
          <t xml:space="preserve">Mazda</t>
        </is>
      </c>
      <c r="F25458" s="0" t="s">
        <v>13</v>
      </c>
      <c r="G25458" s="0" t="s">
        <v>49</v>
      </c>
      <c r="H25458" s="5">
        <v>3731.021000</v>
      </c>
    </row>
    <row r="25459" spans="1:9">
      <c r="A25459" s="22" t="str">
        <f>HYPERLINK("https://app.vivvix.com/360/KMI/IntelliDrive/ApplUI/Pages/CreativePages/CustomReportCreativeDetail.aspx?App=23&amp;ReportView=4&amp;Qid=1711279&amp;Row=25451&amp;Col=1","No Title Assigned - #15285843892")</f>
        <v/>
      </c>
      <c r="B25459" s="0" t="s">
        <v>34525</v>
      </c>
      <c r="C25459" s="0" t="s">
        <v>34526</v>
      </c>
      <c r="D25459" s="0" t="s">
        <v>34526</v>
      </c>
      <c r="E25459" s="0" t="inlineStr">
        <is>
          <t xml:space="preserve">Mazda</t>
        </is>
      </c>
      <c r="F25459" s="0" t="inlineStr">
        <is>
          <t xml:space="preserve">Mazda</t>
        </is>
      </c>
      <c r="G25459" s="0" t="s">
        <v>210</v>
      </c>
      <c r="H25459" s="5">
        <v>2308.882600</v>
      </c>
    </row>
    <row r="25460" spans="1:9">
      <c r="A25460" s="22" t="str">
        <f>HYPERLINK("https://app.vivvix.com/360/KMI/IntelliDrive/ApplUI/Pages/CreativePages/CustomReportCreativeDetail.aspx?App=23&amp;ReportView=4&amp;Qid=1711279&amp;Row=25452&amp;Col=1","No Title Assigned - #15285843982")</f>
        <v/>
      </c>
      <c r="B25460" s="0" t="s">
        <v>34527</v>
      </c>
      <c r="C25460" s="0" t="s">
        <v>34528</v>
      </c>
      <c r="D25460" s="0" t="s">
        <v>34528</v>
      </c>
      <c r="E25460" s="0" t="inlineStr">
        <is>
          <t xml:space="preserve">Mazda</t>
        </is>
      </c>
      <c r="F25460" s="0" t="inlineStr">
        <is>
          <t xml:space="preserve">Mazda</t>
        </is>
      </c>
      <c r="G25460" s="0" t="s">
        <v>210</v>
      </c>
      <c r="H25460" s="5">
        <v>619.128800</v>
      </c>
    </row>
    <row r="25461" spans="1:9">
      <c r="A25461" s="22" t="str">
        <f>HYPERLINK("https://app.vivvix.com/360/KMI/IntelliDrive/ApplUI/Pages/CreativePages/CustomReportCreativeDetail.aspx?App=23&amp;ReportView=4&amp;Qid=1711279&amp;Row=25453&amp;Col=1","No Title Assigned - #15285844260")</f>
        <v/>
      </c>
      <c r="B25461" s="0" t="s">
        <v>34529</v>
      </c>
      <c r="C25461" s="0" t="s">
        <v>34530</v>
      </c>
      <c r="D25461" s="0" t="s">
        <v>34530</v>
      </c>
      <c r="E25461" s="0" t="inlineStr">
        <is>
          <t xml:space="preserve">Mazda</t>
        </is>
      </c>
      <c r="F25461" s="0" t="s">
        <v>369</v>
      </c>
      <c r="G25461" s="0" t="s">
        <v>370</v>
      </c>
      <c r="H25461" s="5">
        <v>450.266200</v>
      </c>
    </row>
    <row r="25462" spans="1:9">
      <c r="A25462" s="22" t="str">
        <f>HYPERLINK("https://app.vivvix.com/360/KMI/IntelliDrive/ApplUI/Pages/CreativePages/CustomReportCreativeDetail.aspx?App=23&amp;ReportView=4&amp;Qid=1711279&amp;Row=25454&amp;Col=1","No Title Assigned - #15285844347")</f>
        <v/>
      </c>
      <c r="B25462" s="0" t="s">
        <v>34531</v>
      </c>
      <c r="C25462" s="0" t="s">
        <v>34532</v>
      </c>
      <c r="D25462" s="0" t="s">
        <v>34532</v>
      </c>
      <c r="E25462" s="0" t="inlineStr">
        <is>
          <t xml:space="preserve">Mazda</t>
        </is>
      </c>
      <c r="F25462" s="0" t="s">
        <v>13</v>
      </c>
      <c r="G25462" s="0" t="s">
        <v>49</v>
      </c>
      <c r="H25462" s="5">
        <v>416.016600</v>
      </c>
    </row>
    <row r="25463" spans="1:9">
      <c r="A25463" s="22" t="str">
        <f>HYPERLINK("https://app.vivvix.com/360/KMI/IntelliDrive/ApplUI/Pages/CreativePages/CustomReportCreativeDetail.aspx?App=23&amp;ReportView=4&amp;Qid=1711279&amp;Row=25455&amp;Col=1","No Title Assigned - #15285844521")</f>
        <v/>
      </c>
      <c r="B25463" s="0" t="s">
        <v>34533</v>
      </c>
      <c r="C25463" s="0" t="s">
        <v>34534</v>
      </c>
      <c r="D25463" s="0" t="s">
        <v>34534</v>
      </c>
      <c r="E25463" s="0" t="inlineStr">
        <is>
          <t xml:space="preserve">Mazda</t>
        </is>
      </c>
      <c r="F25463" s="0" t="s">
        <v>13</v>
      </c>
      <c r="G25463" s="0" t="s">
        <v>49</v>
      </c>
      <c r="H25463" s="5">
        <v>216.014500</v>
      </c>
    </row>
    <row r="25464" spans="1:9">
      <c r="A25464" s="22" t="str">
        <f>HYPERLINK("https://app.vivvix.com/360/KMI/IntelliDrive/ApplUI/Pages/CreativePages/CustomReportCreativeDetail.aspx?App=23&amp;ReportView=4&amp;Qid=1711279&amp;Row=25456&amp;Col=1","No Title Assigned - #15285844812")</f>
        <v/>
      </c>
      <c r="B25464" s="0" t="s">
        <v>34535</v>
      </c>
      <c r="C25464" s="0" t="s">
        <v>34536</v>
      </c>
      <c r="D25464" s="0" t="s">
        <v>34536</v>
      </c>
      <c r="E25464" s="0" t="inlineStr">
        <is>
          <t xml:space="preserve">Mazda</t>
        </is>
      </c>
      <c r="F25464" s="0" t="s">
        <v>13</v>
      </c>
      <c r="G25464" s="0" t="s">
        <v>49</v>
      </c>
      <c r="H25464" s="5">
        <v>207.957400</v>
      </c>
    </row>
    <row r="25465" spans="1:9">
      <c r="A25465" s="22" t="str">
        <f>HYPERLINK("https://app.vivvix.com/360/KMI/IntelliDrive/ApplUI/Pages/CreativePages/CustomReportCreativeDetail.aspx?App=23&amp;ReportView=4&amp;Qid=1711279&amp;Row=25457&amp;Col=1","No Title Assigned - #15285845529")</f>
        <v/>
      </c>
      <c r="B25465" s="0" t="s">
        <v>34537</v>
      </c>
      <c r="C25465" s="0" t="s">
        <v>34538</v>
      </c>
      <c r="D25465" s="0" t="s">
        <v>34538</v>
      </c>
      <c r="E25465" s="0" t="inlineStr">
        <is>
          <t xml:space="preserve">Mazda</t>
        </is>
      </c>
      <c r="F25465" s="0" t="s">
        <v>13</v>
      </c>
      <c r="G25465" s="0" t="s">
        <v>49</v>
      </c>
      <c r="H25465" s="5">
        <v>5690.979000</v>
      </c>
    </row>
    <row r="25466" spans="1:9">
      <c r="A25466" s="22" t="str">
        <f>HYPERLINK("https://app.vivvix.com/360/KMI/IntelliDrive/ApplUI/Pages/CreativePages/CustomReportCreativeDetail.aspx?App=23&amp;ReportView=4&amp;Qid=1711279&amp;Row=25458&amp;Col=1","No Title Assigned - #15285845933")</f>
        <v/>
      </c>
      <c r="B25466" s="0" t="s">
        <v>34539</v>
      </c>
      <c r="C25466" s="0" t="s">
        <v>34540</v>
      </c>
      <c r="D25466" s="0" t="s">
        <v>34540</v>
      </c>
      <c r="E25466" s="0" t="inlineStr">
        <is>
          <t xml:space="preserve">Mazda</t>
        </is>
      </c>
      <c r="F25466" s="0" t="s">
        <v>13</v>
      </c>
      <c r="G25466" s="0" t="s">
        <v>49</v>
      </c>
      <c r="H25466" s="5">
        <v>214.515500</v>
      </c>
    </row>
    <row r="25467" spans="1:9">
      <c r="A25467" s="22" t="str">
        <f>HYPERLINK("https://app.vivvix.com/360/KMI/IntelliDrive/ApplUI/Pages/CreativePages/CustomReportCreativeDetail.aspx?App=23&amp;ReportView=4&amp;Qid=1711279&amp;Row=25459&amp;Col=1","No Title Assigned - #15285846893")</f>
        <v/>
      </c>
      <c r="B25467" s="0" t="s">
        <v>34541</v>
      </c>
      <c r="C25467" s="0" t="s">
        <v>34542</v>
      </c>
      <c r="D25467" s="0" t="s">
        <v>34542</v>
      </c>
      <c r="E25467" s="0" t="inlineStr">
        <is>
          <t xml:space="preserve">Mazda</t>
        </is>
      </c>
      <c r="F25467" s="0" t="inlineStr">
        <is>
          <t xml:space="preserve">Mazda</t>
        </is>
      </c>
      <c r="G25467" s="0" t="s">
        <v>4306</v>
      </c>
      <c r="H25467" s="5">
        <v>596.998700</v>
      </c>
    </row>
    <row r="25468" spans="1:9">
      <c r="A25468" s="22" t="str">
        <f>HYPERLINK("https://app.vivvix.com/360/KMI/IntelliDrive/ApplUI/Pages/CreativePages/CustomReportCreativeDetail.aspx?App=23&amp;ReportView=4&amp;Qid=1711279&amp;Row=25460&amp;Col=1","No Title Assigned - #15285846969")</f>
        <v/>
      </c>
      <c r="B25468" s="0" t="s">
        <v>34543</v>
      </c>
      <c r="C25468" s="0" t="s">
        <v>34544</v>
      </c>
      <c r="D25468" s="0" t="s">
        <v>34544</v>
      </c>
      <c r="E25468" s="0" t="inlineStr">
        <is>
          <t xml:space="preserve">Mazda</t>
        </is>
      </c>
      <c r="F25468" s="0" t="s">
        <v>17</v>
      </c>
      <c r="G25468" s="0" t="s">
        <v>33</v>
      </c>
      <c r="H25468" s="5">
        <v>596.998700</v>
      </c>
    </row>
    <row r="25469" spans="1:9">
      <c r="A25469" s="22" t="str">
        <f>HYPERLINK("https://app.vivvix.com/360/KMI/IntelliDrive/ApplUI/Pages/CreativePages/CustomReportCreativeDetail.aspx?App=23&amp;ReportView=4&amp;Qid=1711279&amp;Row=25461&amp;Col=1","No Title Assigned - #15285847437")</f>
        <v/>
      </c>
      <c r="B25469" s="0" t="s">
        <v>34545</v>
      </c>
      <c r="C25469" s="0" t="s">
        <v>34546</v>
      </c>
      <c r="D25469" s="0" t="s">
        <v>34546</v>
      </c>
      <c r="E25469" s="0" t="inlineStr">
        <is>
          <t xml:space="preserve">Mazda</t>
        </is>
      </c>
      <c r="F25469" s="0" t="s">
        <v>13</v>
      </c>
      <c r="G25469" s="0" t="s">
        <v>49</v>
      </c>
      <c r="H25469" s="5">
        <v>5879.051800</v>
      </c>
    </row>
    <row r="25470" spans="1:9">
      <c r="A25470" s="22" t="str">
        <f>HYPERLINK("https://app.vivvix.com/360/KMI/IntelliDrive/ApplUI/Pages/CreativePages/CustomReportCreativeDetail.aspx?App=23&amp;ReportView=4&amp;Qid=1711279&amp;Row=25462&amp;Col=1","No Title Assigned - #15285847457")</f>
        <v/>
      </c>
      <c r="B25470" s="0" t="s">
        <v>34547</v>
      </c>
      <c r="C25470" s="0" t="s">
        <v>34548</v>
      </c>
      <c r="D25470" s="0" t="s">
        <v>34548</v>
      </c>
      <c r="E25470" s="0" t="inlineStr">
        <is>
          <t xml:space="preserve">Mazda</t>
        </is>
      </c>
      <c r="F25470" s="0" t="s">
        <v>13</v>
      </c>
      <c r="G25470" s="0" t="s">
        <v>49</v>
      </c>
      <c r="H25470" s="5">
        <v>1189.659100</v>
      </c>
    </row>
    <row r="25471" spans="1:9">
      <c r="A25471" s="22" t="str">
        <f>HYPERLINK("https://app.vivvix.com/360/KMI/IntelliDrive/ApplUI/Pages/CreativePages/CustomReportCreativeDetail.aspx?App=23&amp;ReportView=4&amp;Qid=1711279&amp;Row=25463&amp;Col=1","No Title Assigned - #15285848607")</f>
        <v/>
      </c>
      <c r="B25471" s="0" t="s">
        <v>34549</v>
      </c>
      <c r="C25471" s="0" t="s">
        <v>34550</v>
      </c>
      <c r="D25471" s="0" t="s">
        <v>34550</v>
      </c>
      <c r="E25471" s="0" t="inlineStr">
        <is>
          <t xml:space="preserve">Mazda</t>
        </is>
      </c>
      <c r="F25471" s="0" t="inlineStr">
        <is>
          <t xml:space="preserve">Mazda</t>
        </is>
      </c>
      <c r="G25471" s="0" t="s">
        <v>210</v>
      </c>
      <c r="H25471" s="5">
        <v>619.128800</v>
      </c>
    </row>
    <row r="25472" spans="1:9">
      <c r="A25472" s="22" t="str">
        <f>HYPERLINK("https://app.vivvix.com/360/KMI/IntelliDrive/ApplUI/Pages/CreativePages/CustomReportCreativeDetail.aspx?App=23&amp;ReportView=4&amp;Qid=1711279&amp;Row=25464&amp;Col=1","No Title Assigned - #15285858436")</f>
        <v/>
      </c>
      <c r="B25472" s="0" t="s">
        <v>34551</v>
      </c>
      <c r="C25472" s="0" t="s">
        <v>34552</v>
      </c>
      <c r="D25472" s="0" t="s">
        <v>33032</v>
      </c>
      <c r="E25472" s="0" t="inlineStr">
        <is>
          <t xml:space="preserve">Mazda</t>
        </is>
      </c>
      <c r="F25472" s="0" t="s">
        <v>13</v>
      </c>
      <c r="G25472" s="0" t="s">
        <v>49</v>
      </c>
      <c r="H25472" s="5">
        <v>3453.463300</v>
      </c>
    </row>
    <row r="25473" spans="1:9">
      <c r="A25473" s="22" t="str">
        <f>HYPERLINK("https://app.vivvix.com/360/KMI/IntelliDrive/ApplUI/Pages/CreativePages/CustomReportCreativeDetail.aspx?App=23&amp;ReportView=4&amp;Qid=1711279&amp;Row=25465&amp;Col=1","No Title Assigned - #15285858492")</f>
        <v/>
      </c>
      <c r="B25473" s="0" t="s">
        <v>34553</v>
      </c>
      <c r="C25473" s="0" t="s">
        <v>34554</v>
      </c>
      <c r="D25473" s="0" t="s">
        <v>34554</v>
      </c>
      <c r="E25473" s="0" t="inlineStr">
        <is>
          <t xml:space="preserve">Mazda</t>
        </is>
      </c>
      <c r="F25473" s="0" t="s">
        <v>13</v>
      </c>
      <c r="G25473" s="0" t="s">
        <v>49</v>
      </c>
      <c r="H25473" s="5">
        <v>2655.937000</v>
      </c>
    </row>
    <row r="25474" spans="1:9">
      <c r="A25474" s="22" t="str">
        <f>HYPERLINK("https://app.vivvix.com/360/KMI/IntelliDrive/ApplUI/Pages/CreativePages/CustomReportCreativeDetail.aspx?App=23&amp;ReportView=4&amp;Qid=1711279&amp;Row=25466&amp;Col=1","No Title Assigned - #15285861876")</f>
        <v/>
      </c>
      <c r="B25474" s="0" t="s">
        <v>34555</v>
      </c>
      <c r="C25474" s="0" t="s">
        <v>34556</v>
      </c>
      <c r="D25474" s="0" t="s">
        <v>34556</v>
      </c>
      <c r="E25474" s="0" t="inlineStr">
        <is>
          <t xml:space="preserve">Mazda</t>
        </is>
      </c>
      <c r="F25474" s="0" t="s">
        <v>13</v>
      </c>
      <c r="G25474" s="0" t="s">
        <v>49</v>
      </c>
      <c r="H25474" s="5">
        <v>422.259500</v>
      </c>
    </row>
    <row r="25475" spans="1:9">
      <c r="A25475" s="22" t="str">
        <f>HYPERLINK("https://app.vivvix.com/360/KMI/IntelliDrive/ApplUI/Pages/CreativePages/CustomReportCreativeDetail.aspx?App=23&amp;ReportView=4&amp;Qid=1711279&amp;Row=25467&amp;Col=1","No Title Assigned - #15285866833")</f>
        <v/>
      </c>
      <c r="B25475" s="0" t="s">
        <v>34557</v>
      </c>
      <c r="C25475" s="0" t="s">
        <v>34558</v>
      </c>
      <c r="D25475" s="0" t="s">
        <v>34558</v>
      </c>
      <c r="E25475" s="0" t="inlineStr">
        <is>
          <t xml:space="preserve">Mazda</t>
        </is>
      </c>
      <c r="F25475" s="0" t="s">
        <v>13</v>
      </c>
      <c r="G25475" s="0" t="s">
        <v>49</v>
      </c>
      <c r="H25475" s="5">
        <v>67.570900</v>
      </c>
    </row>
    <row r="25476" spans="1:9">
      <c r="A25476" s="22" t="str">
        <f>HYPERLINK("https://app.vivvix.com/360/KMI/IntelliDrive/ApplUI/Pages/CreativePages/CustomReportCreativeDetail.aspx?App=23&amp;ReportView=4&amp;Qid=1711279&amp;Row=25468&amp;Col=1","No Title Assigned - #15285869305")</f>
        <v/>
      </c>
      <c r="B25476" s="0" t="s">
        <v>34559</v>
      </c>
      <c r="C25476" s="0" t="s">
        <v>34560</v>
      </c>
      <c r="D25476" s="0" t="s">
        <v>34560</v>
      </c>
      <c r="E25476" s="0" t="inlineStr">
        <is>
          <t xml:space="preserve">Mazda</t>
        </is>
      </c>
      <c r="F25476" s="0" t="s">
        <v>13</v>
      </c>
      <c r="G25476" s="0" t="s">
        <v>49</v>
      </c>
      <c r="H25476" s="5">
        <v>44.970700</v>
      </c>
    </row>
    <row r="25477" spans="1:9">
      <c r="A25477" s="22" t="str">
        <f>HYPERLINK("https://app.vivvix.com/360/KMI/IntelliDrive/ApplUI/Pages/CreativePages/CustomReportCreativeDetail.aspx?App=23&amp;ReportView=4&amp;Qid=1711279&amp;Row=25469&amp;Col=1","No Title Assigned - #15285870149")</f>
        <v/>
      </c>
      <c r="B25477" s="0" t="s">
        <v>34561</v>
      </c>
      <c r="C25477" s="0" t="s">
        <v>34562</v>
      </c>
      <c r="D25477" s="0" t="s">
        <v>34562</v>
      </c>
      <c r="E25477" s="0" t="inlineStr">
        <is>
          <t xml:space="preserve">Mazda</t>
        </is>
      </c>
      <c r="F25477" s="0" t="s">
        <v>13</v>
      </c>
      <c r="G25477" s="0" t="s">
        <v>49</v>
      </c>
      <c r="H25477" s="5">
        <v>152.982200</v>
      </c>
    </row>
    <row r="25478" spans="1:9">
      <c r="A25478" s="22" t="str">
        <f>HYPERLINK("https://app.vivvix.com/360/KMI/IntelliDrive/ApplUI/Pages/CreativePages/CustomReportCreativeDetail.aspx?App=23&amp;ReportView=4&amp;Qid=1711279&amp;Row=25470&amp;Col=1","No Title Assigned - #15285870327")</f>
        <v/>
      </c>
      <c r="B25478" s="0" t="s">
        <v>34563</v>
      </c>
      <c r="C25478" s="0" t="s">
        <v>34564</v>
      </c>
      <c r="D25478" s="0" t="s">
        <v>34564</v>
      </c>
      <c r="E25478" s="0" t="inlineStr">
        <is>
          <t xml:space="preserve">Mazda</t>
        </is>
      </c>
      <c r="F25478" s="0" t="inlineStr">
        <is>
          <t xml:space="preserve">Mazda</t>
        </is>
      </c>
      <c r="G25478" s="0" t="s">
        <v>4306</v>
      </c>
      <c r="H25478" s="5">
        <v>740.687600</v>
      </c>
    </row>
    <row r="25479" spans="1:9">
      <c r="A25479" s="22" t="str">
        <f>HYPERLINK("https://app.vivvix.com/360/KMI/IntelliDrive/ApplUI/Pages/CreativePages/CustomReportCreativeDetail.aspx?App=23&amp;ReportView=4&amp;Qid=1711279&amp;Row=25471&amp;Col=1","No Title Assigned - #15285870332")</f>
        <v/>
      </c>
      <c r="B25479" s="0" t="s">
        <v>34565</v>
      </c>
      <c r="C25479" s="0" t="s">
        <v>34566</v>
      </c>
      <c r="D25479" s="0" t="s">
        <v>34566</v>
      </c>
      <c r="E25479" s="0" t="inlineStr">
        <is>
          <t xml:space="preserve">Mazda</t>
        </is>
      </c>
      <c r="F25479" s="0" t="s">
        <v>369</v>
      </c>
      <c r="G25479" s="0" t="s">
        <v>370</v>
      </c>
      <c r="H25479" s="5">
        <v>661.375200</v>
      </c>
    </row>
    <row r="25480" spans="1:9">
      <c r="A25480" s="22" t="str">
        <f>HYPERLINK("https://app.vivvix.com/360/KMI/IntelliDrive/ApplUI/Pages/CreativePages/CustomReportCreativeDetail.aspx?App=23&amp;ReportView=4&amp;Qid=1711279&amp;Row=25472&amp;Col=1","No Title Assigned - #15285870943")</f>
        <v/>
      </c>
      <c r="B25480" s="0" t="s">
        <v>34567</v>
      </c>
      <c r="C25480" s="0" t="s">
        <v>34568</v>
      </c>
      <c r="D25480" s="0" t="s">
        <v>34568</v>
      </c>
      <c r="E25480" s="0" t="inlineStr">
        <is>
          <t xml:space="preserve">Mazda</t>
        </is>
      </c>
      <c r="F25480" s="0" t="s">
        <v>13</v>
      </c>
      <c r="G25480" s="0" t="s">
        <v>49</v>
      </c>
      <c r="H25480" s="5">
        <v>4352.328600</v>
      </c>
    </row>
    <row r="25481" spans="1:9">
      <c r="A25481" s="22" t="str">
        <f>HYPERLINK("https://app.vivvix.com/360/KMI/IntelliDrive/ApplUI/Pages/CreativePages/CustomReportCreativeDetail.aspx?App=23&amp;ReportView=4&amp;Qid=1711279&amp;Row=25473&amp;Col=1","No Title Assigned - #15285873611")</f>
        <v/>
      </c>
      <c r="B25481" s="0" t="s">
        <v>34569</v>
      </c>
      <c r="C25481" s="0" t="s">
        <v>34570</v>
      </c>
      <c r="D25481" s="0" t="s">
        <v>34570</v>
      </c>
      <c r="E25481" s="0" t="inlineStr">
        <is>
          <t xml:space="preserve">Mazda</t>
        </is>
      </c>
      <c r="F25481" s="0" t="s">
        <v>13</v>
      </c>
      <c r="G25481" s="0" t="s">
        <v>49</v>
      </c>
      <c r="H25481" s="5">
        <v>1622.836400</v>
      </c>
    </row>
    <row r="25482" spans="1:9">
      <c r="A25482" s="22" t="str">
        <f>HYPERLINK("https://app.vivvix.com/360/KMI/IntelliDrive/ApplUI/Pages/CreativePages/CustomReportCreativeDetail.aspx?App=23&amp;ReportView=4&amp;Qid=1711279&amp;Row=25474&amp;Col=1","No Title Assigned - #15285876087")</f>
        <v/>
      </c>
      <c r="B25482" s="0" t="s">
        <v>34571</v>
      </c>
      <c r="C25482" s="0" t="s">
        <v>34572</v>
      </c>
      <c r="D25482" s="0" t="s">
        <v>34572</v>
      </c>
      <c r="E25482" s="0" t="inlineStr">
        <is>
          <t xml:space="preserve">Mazda</t>
        </is>
      </c>
      <c r="F25482" s="0" t="s">
        <v>13</v>
      </c>
      <c r="G25482" s="0" t="s">
        <v>49</v>
      </c>
      <c r="H25482" s="5">
        <v>64.354200</v>
      </c>
    </row>
    <row r="25483" spans="1:9">
      <c r="A25483" s="22" t="str">
        <f>HYPERLINK("https://app.vivvix.com/360/KMI/IntelliDrive/ApplUI/Pages/CreativePages/CustomReportCreativeDetail.aspx?App=23&amp;ReportView=4&amp;Qid=1711279&amp;Row=25475&amp;Col=1","No Title Assigned - #15285876492")</f>
        <v/>
      </c>
      <c r="B25483" s="0" t="s">
        <v>34573</v>
      </c>
      <c r="C25483" s="0" t="s">
        <v>34574</v>
      </c>
      <c r="D25483" s="0" t="s">
        <v>34574</v>
      </c>
      <c r="E25483" s="0" t="inlineStr">
        <is>
          <t xml:space="preserve">Mazda</t>
        </is>
      </c>
      <c r="F25483" s="0" t="s">
        <v>13</v>
      </c>
      <c r="G25483" s="0" t="s">
        <v>49</v>
      </c>
      <c r="H25483" s="5">
        <v>44.970700</v>
      </c>
    </row>
    <row r="25484" spans="1:9">
      <c r="A25484" s="22" t="str">
        <f>HYPERLINK("https://app.vivvix.com/360/KMI/IntelliDrive/ApplUI/Pages/CreativePages/CustomReportCreativeDetail.aspx?App=23&amp;ReportView=4&amp;Qid=1711279&amp;Row=25476&amp;Col=1","No Title Assigned - #15285876822")</f>
        <v/>
      </c>
      <c r="B25484" s="0" t="s">
        <v>34575</v>
      </c>
      <c r="C25484" s="0" t="s">
        <v>34576</v>
      </c>
      <c r="D25484" s="0" t="s">
        <v>34576</v>
      </c>
      <c r="E25484" s="0" t="inlineStr">
        <is>
          <t xml:space="preserve">Mazda</t>
        </is>
      </c>
      <c r="F25484" s="0" t="s">
        <v>17</v>
      </c>
      <c r="G25484" s="0" t="s">
        <v>33</v>
      </c>
      <c r="H25484" s="5">
        <v>374.147300</v>
      </c>
    </row>
    <row r="25485" spans="1:9">
      <c r="A25485" s="22" t="str">
        <f>HYPERLINK("https://app.vivvix.com/360/KMI/IntelliDrive/ApplUI/Pages/CreativePages/CustomReportCreativeDetail.aspx?App=23&amp;ReportView=4&amp;Qid=1711279&amp;Row=25477&amp;Col=1","No Title Assigned - #15285876823")</f>
        <v/>
      </c>
      <c r="B25485" s="0" t="s">
        <v>34577</v>
      </c>
      <c r="C25485" s="0" t="s">
        <v>34578</v>
      </c>
      <c r="D25485" s="0" t="s">
        <v>34578</v>
      </c>
      <c r="E25485" s="0" t="inlineStr">
        <is>
          <t xml:space="preserve">Mazda</t>
        </is>
      </c>
      <c r="F25485" s="0" t="s">
        <v>369</v>
      </c>
      <c r="G25485" s="0" t="s">
        <v>370</v>
      </c>
      <c r="H25485" s="5">
        <v>374.147300</v>
      </c>
    </row>
    <row r="25486" spans="1:9">
      <c r="A25486" s="22" t="str">
        <f>HYPERLINK("https://app.vivvix.com/360/KMI/IntelliDrive/ApplUI/Pages/CreativePages/CustomReportCreativeDetail.aspx?App=23&amp;ReportView=4&amp;Qid=1711279&amp;Row=25478&amp;Col=1","No Title Assigned - #15285877325")</f>
        <v/>
      </c>
      <c r="B25486" s="0" t="s">
        <v>34579</v>
      </c>
      <c r="C25486" s="0" t="s">
        <v>34580</v>
      </c>
      <c r="D25486" s="0" t="s">
        <v>34580</v>
      </c>
      <c r="E25486" s="0" t="inlineStr">
        <is>
          <t xml:space="preserve">Mazda</t>
        </is>
      </c>
      <c r="F25486" s="0" t="s">
        <v>13</v>
      </c>
      <c r="G25486" s="0" t="s">
        <v>49</v>
      </c>
      <c r="H25486" s="5">
        <v>733.219200</v>
      </c>
    </row>
    <row r="25487" spans="1:9">
      <c r="A25487" s="22" t="str">
        <f>HYPERLINK("https://app.vivvix.com/360/KMI/IntelliDrive/ApplUI/Pages/CreativePages/CustomReportCreativeDetail.aspx?App=23&amp;ReportView=4&amp;Qid=1711279&amp;Row=25479&amp;Col=1","No Title Assigned - #15285879543")</f>
        <v/>
      </c>
      <c r="B25487" s="0" t="s">
        <v>34581</v>
      </c>
      <c r="C25487" s="0" t="s">
        <v>34582</v>
      </c>
      <c r="D25487" s="0" t="s">
        <v>34582</v>
      </c>
      <c r="E25487" s="0" t="inlineStr">
        <is>
          <t xml:space="preserve">Mazda</t>
        </is>
      </c>
      <c r="F25487" s="0" t="s">
        <v>369</v>
      </c>
      <c r="G25487" s="0" t="s">
        <v>370</v>
      </c>
      <c r="H25487" s="5">
        <v>59.789300</v>
      </c>
    </row>
    <row r="25488" spans="1:9">
      <c r="A25488" s="22" t="str">
        <f>HYPERLINK("https://app.vivvix.com/360/KMI/IntelliDrive/ApplUI/Pages/CreativePages/CustomReportCreativeDetail.aspx?App=23&amp;ReportView=4&amp;Qid=1711279&amp;Row=25480&amp;Col=1","No Title Assigned - #15285880218")</f>
        <v/>
      </c>
      <c r="B25488" s="0" t="s">
        <v>34583</v>
      </c>
      <c r="C25488" s="0" t="s">
        <v>34584</v>
      </c>
      <c r="D25488" s="0" t="s">
        <v>34584</v>
      </c>
      <c r="E25488" s="0" t="inlineStr">
        <is>
          <t xml:space="preserve">Mazda</t>
        </is>
      </c>
      <c r="F25488" s="0" t="s">
        <v>17</v>
      </c>
      <c r="G25488" s="0" t="s">
        <v>33</v>
      </c>
      <c r="H25488" s="5">
        <v>374.147300</v>
      </c>
    </row>
    <row r="25489" spans="1:9">
      <c r="A25489" s="22" t="str">
        <f>HYPERLINK("https://app.vivvix.com/360/KMI/IntelliDrive/ApplUI/Pages/CreativePages/CustomReportCreativeDetail.aspx?App=23&amp;ReportView=4&amp;Qid=1711279&amp;Row=25481&amp;Col=1","No Title Assigned - #15285880219")</f>
        <v/>
      </c>
      <c r="B25489" s="0" t="s">
        <v>34585</v>
      </c>
      <c r="C25489" s="0" t="s">
        <v>34586</v>
      </c>
      <c r="D25489" s="0" t="s">
        <v>34586</v>
      </c>
      <c r="E25489" s="0" t="inlineStr">
        <is>
          <t xml:space="preserve">Mazda</t>
        </is>
      </c>
      <c r="F25489" s="0" t="s">
        <v>17</v>
      </c>
      <c r="G25489" s="0" t="s">
        <v>33</v>
      </c>
      <c r="H25489" s="5">
        <v>748.294600</v>
      </c>
    </row>
    <row r="25490" spans="1:9">
      <c r="A25490" s="22" t="str">
        <f>HYPERLINK("https://app.vivvix.com/360/KMI/IntelliDrive/ApplUI/Pages/CreativePages/CustomReportCreativeDetail.aspx?App=23&amp;ReportView=4&amp;Qid=1711279&amp;Row=25482&amp;Col=1","No Title Assigned - #15285880556")</f>
        <v/>
      </c>
      <c r="B25490" s="0" t="s">
        <v>34587</v>
      </c>
      <c r="C25490" s="0" t="s">
        <v>34588</v>
      </c>
      <c r="D25490" s="0" t="s">
        <v>34588</v>
      </c>
      <c r="E25490" s="0" t="inlineStr">
        <is>
          <t xml:space="preserve">Mazda</t>
        </is>
      </c>
      <c r="F25490" s="0" t="s">
        <v>17</v>
      </c>
      <c r="G25490" s="0" t="s">
        <v>33</v>
      </c>
      <c r="H25490" s="5">
        <v>374.147300</v>
      </c>
    </row>
    <row r="25491" spans="1:9">
      <c r="A25491" s="22" t="str">
        <f>HYPERLINK("https://app.vivvix.com/360/KMI/IntelliDrive/ApplUI/Pages/CreativePages/CustomReportCreativeDetail.aspx?App=23&amp;ReportView=4&amp;Qid=1711279&amp;Row=25483&amp;Col=1","No Title Assigned - #15285888829")</f>
        <v/>
      </c>
      <c r="B25491" s="0" t="s">
        <v>34589</v>
      </c>
      <c r="C25491" s="0" t="s">
        <v>34590</v>
      </c>
      <c r="D25491" s="0" t="s">
        <v>34590</v>
      </c>
      <c r="E25491" s="0" t="inlineStr">
        <is>
          <t xml:space="preserve">Mazda</t>
        </is>
      </c>
      <c r="F25491" s="0" t="s">
        <v>13</v>
      </c>
      <c r="G25491" s="0" t="s">
        <v>49</v>
      </c>
      <c r="H25491" s="5">
        <v>251.350000</v>
      </c>
    </row>
    <row r="25492" spans="1:9">
      <c r="A25492" s="22" t="str">
        <f>HYPERLINK("https://app.vivvix.com/360/KMI/IntelliDrive/ApplUI/Pages/CreativePages/CustomReportCreativeDetail.aspx?App=23&amp;ReportView=4&amp;Qid=1711279&amp;Row=25484&amp;Col=1","No Title Assigned - #15285889671")</f>
        <v/>
      </c>
      <c r="B25492" s="0" t="s">
        <v>34591</v>
      </c>
      <c r="C25492" s="0" t="s">
        <v>34592</v>
      </c>
      <c r="D25492" s="0" t="s">
        <v>34592</v>
      </c>
      <c r="E25492" s="0" t="inlineStr">
        <is>
          <t xml:space="preserve">Mazda</t>
        </is>
      </c>
      <c r="F25492" s="0" t="s">
        <v>13</v>
      </c>
      <c r="G25492" s="0" t="s">
        <v>49</v>
      </c>
      <c r="H25492" s="5">
        <v>4352.328600</v>
      </c>
    </row>
    <row r="25493" spans="1:9">
      <c r="A25493" s="22" t="str">
        <f>HYPERLINK("https://app.vivvix.com/360/KMI/IntelliDrive/ApplUI/Pages/CreativePages/CustomReportCreativeDetail.aspx?App=23&amp;ReportView=4&amp;Qid=1711279&amp;Row=25485&amp;Col=1","No Title Assigned - #15285889688")</f>
        <v/>
      </c>
      <c r="B25493" s="0" t="s">
        <v>34593</v>
      </c>
      <c r="C25493" s="0" t="s">
        <v>34594</v>
      </c>
      <c r="D25493" s="0" t="s">
        <v>34594</v>
      </c>
      <c r="E25493" s="0" t="inlineStr">
        <is>
          <t xml:space="preserve">Mazda</t>
        </is>
      </c>
      <c r="F25493" s="0" t="s">
        <v>13</v>
      </c>
      <c r="G25493" s="0" t="s">
        <v>49</v>
      </c>
      <c r="H25493" s="5">
        <v>2814.600300</v>
      </c>
    </row>
    <row r="25494" spans="1:9">
      <c r="A25494" s="22" t="str">
        <f>HYPERLINK("https://app.vivvix.com/360/KMI/IntelliDrive/ApplUI/Pages/CreativePages/CustomReportCreativeDetail.aspx?App=23&amp;ReportView=4&amp;Qid=1711279&amp;Row=25486&amp;Col=1","No Title Assigned - #15285889952")</f>
        <v/>
      </c>
      <c r="B25494" s="0" t="s">
        <v>34595</v>
      </c>
      <c r="C25494" s="0" t="s">
        <v>34596</v>
      </c>
      <c r="D25494" s="0" t="s">
        <v>34596</v>
      </c>
      <c r="E25494" s="0" t="inlineStr">
        <is>
          <t xml:space="preserve">Mazda</t>
        </is>
      </c>
      <c r="F25494" s="0" t="s">
        <v>13</v>
      </c>
      <c r="G25494" s="0" t="s">
        <v>49</v>
      </c>
      <c r="H25494" s="5">
        <v>118.852100</v>
      </c>
    </row>
    <row r="25495" spans="1:9">
      <c r="A25495" s="22" t="str">
        <f>HYPERLINK("https://app.vivvix.com/360/KMI/IntelliDrive/ApplUI/Pages/CreativePages/CustomReportCreativeDetail.aspx?App=23&amp;ReportView=4&amp;Qid=1711279&amp;Row=25487&amp;Col=1","No Title Assigned - #15285889955")</f>
        <v/>
      </c>
      <c r="B25495" s="0" t="s">
        <v>34597</v>
      </c>
      <c r="C25495" s="0" t="s">
        <v>34598</v>
      </c>
      <c r="D25495" s="0" t="s">
        <v>34598</v>
      </c>
      <c r="E25495" s="0" t="inlineStr">
        <is>
          <t xml:space="preserve">Mazda</t>
        </is>
      </c>
      <c r="F25495" s="0" t="s">
        <v>13</v>
      </c>
      <c r="G25495" s="0" t="s">
        <v>49</v>
      </c>
      <c r="H25495" s="5">
        <v>118.852100</v>
      </c>
    </row>
    <row r="25496" spans="1:9">
      <c r="A25496" s="22" t="str">
        <f>HYPERLINK("https://app.vivvix.com/360/KMI/IntelliDrive/ApplUI/Pages/CreativePages/CustomReportCreativeDetail.aspx?App=23&amp;ReportView=4&amp;Qid=1711279&amp;Row=25488&amp;Col=1","No Title Assigned - #15285890503")</f>
        <v/>
      </c>
      <c r="B25496" s="0" t="s">
        <v>34599</v>
      </c>
      <c r="C25496" s="0" t="s">
        <v>34600</v>
      </c>
      <c r="D25496" s="0" t="s">
        <v>34600</v>
      </c>
      <c r="E25496" s="0" t="inlineStr">
        <is>
          <t xml:space="preserve">Mazda</t>
        </is>
      </c>
      <c r="F25496" s="0" t="s">
        <v>13</v>
      </c>
      <c r="G25496" s="0" t="s">
        <v>49</v>
      </c>
      <c r="H25496" s="5">
        <v>128.280800</v>
      </c>
    </row>
    <row r="25497" spans="1:9">
      <c r="A25497" s="22" t="str">
        <f>HYPERLINK("https://app.vivvix.com/360/KMI/IntelliDrive/ApplUI/Pages/CreativePages/CustomReportCreativeDetail.aspx?App=23&amp;ReportView=4&amp;Qid=1711279&amp;Row=25489&amp;Col=1","No Title Assigned - #15285891108")</f>
        <v/>
      </c>
      <c r="B25497" s="0" t="s">
        <v>34601</v>
      </c>
      <c r="C25497" s="0" t="s">
        <v>34602</v>
      </c>
      <c r="D25497" s="0" t="s">
        <v>34603</v>
      </c>
      <c r="E25497" s="0" t="inlineStr">
        <is>
          <t xml:space="preserve">Mazda</t>
        </is>
      </c>
      <c r="F25497" s="0" t="s">
        <v>13</v>
      </c>
      <c r="G25497" s="0" t="s">
        <v>49</v>
      </c>
      <c r="H25497" s="5">
        <v>10304.547600</v>
      </c>
    </row>
    <row r="25498" spans="1:9">
      <c r="A25498" s="22" t="str">
        <f>HYPERLINK("https://app.vivvix.com/360/KMI/IntelliDrive/ApplUI/Pages/CreativePages/CustomReportCreativeDetail.aspx?App=23&amp;ReportView=4&amp;Qid=1711279&amp;Row=25490&amp;Col=1","No Title Assigned - #15285891431")</f>
        <v/>
      </c>
      <c r="B25498" s="0" t="s">
        <v>34604</v>
      </c>
      <c r="C25498" s="0" t="s">
        <v>34605</v>
      </c>
      <c r="D25498" s="0" t="s">
        <v>34605</v>
      </c>
      <c r="E25498" s="0" t="inlineStr">
        <is>
          <t xml:space="preserve">Mazda</t>
        </is>
      </c>
      <c r="F25498" s="0" t="s">
        <v>13</v>
      </c>
      <c r="G25498" s="0" t="s">
        <v>49</v>
      </c>
      <c r="H25498" s="5">
        <v>2901.552400</v>
      </c>
    </row>
    <row r="25499" spans="1:9">
      <c r="A25499" s="22" t="str">
        <f>HYPERLINK("https://app.vivvix.com/360/KMI/IntelliDrive/ApplUI/Pages/CreativePages/CustomReportCreativeDetail.aspx?App=23&amp;ReportView=4&amp;Qid=1711279&amp;Row=25491&amp;Col=1","No Title Assigned - #15285891535")</f>
        <v/>
      </c>
      <c r="B25499" s="0" t="s">
        <v>34606</v>
      </c>
      <c r="C25499" s="0" t="s">
        <v>34607</v>
      </c>
      <c r="D25499" s="0" t="s">
        <v>34607</v>
      </c>
      <c r="E25499" s="0" t="inlineStr">
        <is>
          <t xml:space="preserve">Mazda</t>
        </is>
      </c>
      <c r="F25499" s="0" t="s">
        <v>13</v>
      </c>
      <c r="G25499" s="0" t="s">
        <v>49</v>
      </c>
      <c r="H25499" s="5">
        <v>164.159200</v>
      </c>
    </row>
    <row r="25500" spans="1:9">
      <c r="A25500" s="22" t="str">
        <f>HYPERLINK("https://app.vivvix.com/360/KMI/IntelliDrive/ApplUI/Pages/CreativePages/CustomReportCreativeDetail.aspx?App=23&amp;ReportView=4&amp;Qid=1711279&amp;Row=25492&amp;Col=1","No Title Assigned - #15285893030")</f>
        <v/>
      </c>
      <c r="B25500" s="0" t="s">
        <v>34608</v>
      </c>
      <c r="C25500" s="0" t="s">
        <v>34609</v>
      </c>
      <c r="D25500" s="0" t="s">
        <v>34609</v>
      </c>
      <c r="E25500" s="0" t="inlineStr">
        <is>
          <t xml:space="preserve">Mazda</t>
        </is>
      </c>
      <c r="F25500" s="0" t="s">
        <v>13</v>
      </c>
      <c r="G25500" s="0" t="s">
        <v>49</v>
      </c>
      <c r="H25500" s="5">
        <v>2901.552400</v>
      </c>
    </row>
    <row r="25501" spans="1:9">
      <c r="A25501" s="22" t="str">
        <f>HYPERLINK("https://app.vivvix.com/360/KMI/IntelliDrive/ApplUI/Pages/CreativePages/CustomReportCreativeDetail.aspx?App=23&amp;ReportView=4&amp;Qid=1711279&amp;Row=25493&amp;Col=1","No Title Assigned - #15285894045")</f>
        <v/>
      </c>
      <c r="B25501" s="0" t="s">
        <v>34610</v>
      </c>
      <c r="C25501" s="0" t="s">
        <v>34611</v>
      </c>
      <c r="D25501" s="0" t="s">
        <v>34611</v>
      </c>
      <c r="E25501" s="0" t="inlineStr">
        <is>
          <t xml:space="preserve">Mazda</t>
        </is>
      </c>
      <c r="F25501" s="0" t="s">
        <v>13</v>
      </c>
      <c r="G25501" s="0" t="s">
        <v>49</v>
      </c>
      <c r="H25501" s="5">
        <v>1450.776200</v>
      </c>
    </row>
    <row r="25502" spans="1:9">
      <c r="A25502" s="22" t="str">
        <f>HYPERLINK("https://app.vivvix.com/360/KMI/IntelliDrive/ApplUI/Pages/CreativePages/CustomReportCreativeDetail.aspx?App=23&amp;ReportView=4&amp;Qid=1711279&amp;Row=25494&amp;Col=1","No Title Assigned - #15285894255")</f>
        <v/>
      </c>
      <c r="B25502" s="0" t="s">
        <v>34612</v>
      </c>
      <c r="C25502" s="0" t="s">
        <v>34613</v>
      </c>
      <c r="D25502" s="0" t="s">
        <v>34613</v>
      </c>
      <c r="E25502" s="0" t="inlineStr">
        <is>
          <t xml:space="preserve">Mazda</t>
        </is>
      </c>
      <c r="F25502" s="0" t="s">
        <v>13</v>
      </c>
      <c r="G25502" s="0" t="s">
        <v>49</v>
      </c>
      <c r="H25502" s="5">
        <v>385.412400</v>
      </c>
    </row>
    <row r="25503" spans="1:9">
      <c r="A25503" s="22" t="str">
        <f>HYPERLINK("https://app.vivvix.com/360/KMI/IntelliDrive/ApplUI/Pages/CreativePages/CustomReportCreativeDetail.aspx?App=23&amp;ReportView=4&amp;Qid=1711279&amp;Row=25495&amp;Col=1","No Title Assigned - #15285894393")</f>
        <v/>
      </c>
      <c r="B25503" s="0" t="s">
        <v>34614</v>
      </c>
      <c r="C25503" s="0" t="s">
        <v>34615</v>
      </c>
      <c r="D25503" s="0" t="s">
        <v>33419</v>
      </c>
      <c r="E25503" s="0" t="inlineStr">
        <is>
          <t xml:space="preserve">Mazda</t>
        </is>
      </c>
      <c r="F25503" s="0" t="s">
        <v>13</v>
      </c>
      <c r="G25503" s="0" t="s">
        <v>49</v>
      </c>
      <c r="H25503" s="5">
        <v>11154.762100</v>
      </c>
    </row>
    <row r="25504" spans="1:9">
      <c r="A25504" s="22" t="str">
        <f>HYPERLINK("https://app.vivvix.com/360/KMI/IntelliDrive/ApplUI/Pages/CreativePages/CustomReportCreativeDetail.aspx?App=23&amp;ReportView=4&amp;Qid=1711279&amp;Row=25496&amp;Col=1","No Title Assigned - #15285897615")</f>
        <v/>
      </c>
      <c r="B25504" s="0" t="s">
        <v>34616</v>
      </c>
      <c r="C25504" s="0" t="s">
        <v>34617</v>
      </c>
      <c r="D25504" s="0" t="s">
        <v>34617</v>
      </c>
      <c r="E25504" s="0" t="inlineStr">
        <is>
          <t xml:space="preserve">Mazda</t>
        </is>
      </c>
      <c r="F25504" s="0" t="s">
        <v>13</v>
      </c>
      <c r="G25504" s="0" t="s">
        <v>49</v>
      </c>
      <c r="H25504" s="5">
        <v>2901.552400</v>
      </c>
    </row>
    <row r="25505" spans="1:9">
      <c r="A25505" s="22" t="str">
        <f>HYPERLINK("https://app.vivvix.com/360/KMI/IntelliDrive/ApplUI/Pages/CreativePages/CustomReportCreativeDetail.aspx?App=23&amp;ReportView=4&amp;Qid=1711279&amp;Row=25497&amp;Col=1","No Title Assigned - #15285897762")</f>
        <v/>
      </c>
      <c r="B25505" s="0" t="s">
        <v>34618</v>
      </c>
      <c r="C25505" s="0" t="s">
        <v>34619</v>
      </c>
      <c r="D25505" s="0" t="s">
        <v>34619</v>
      </c>
      <c r="E25505" s="0" t="inlineStr">
        <is>
          <t xml:space="preserve">Mazda</t>
        </is>
      </c>
      <c r="F25505" s="0" t="inlineStr">
        <is>
          <t xml:space="preserve">Mazda</t>
        </is>
      </c>
      <c r="G25505" s="0" t="s">
        <v>210</v>
      </c>
      <c r="H25505" s="5">
        <v>1311.374400</v>
      </c>
    </row>
    <row r="25506" spans="1:9">
      <c r="A25506" s="22" t="str">
        <f>HYPERLINK("https://app.vivvix.com/360/KMI/IntelliDrive/ApplUI/Pages/CreativePages/CustomReportCreativeDetail.aspx?App=23&amp;ReportView=4&amp;Qid=1711279&amp;Row=25498&amp;Col=1","No Title Assigned - #15285898578")</f>
        <v/>
      </c>
      <c r="B25506" s="0" t="s">
        <v>34620</v>
      </c>
      <c r="C25506" s="0" t="s">
        <v>34621</v>
      </c>
      <c r="D25506" s="0" t="s">
        <v>34622</v>
      </c>
      <c r="E25506" s="0" t="inlineStr">
        <is>
          <t xml:space="preserve">Mazda</t>
        </is>
      </c>
      <c r="F25506" s="0" t="s">
        <v>13</v>
      </c>
      <c r="G25506" s="0" t="s">
        <v>49</v>
      </c>
      <c r="H25506" s="5">
        <v>6088.405400</v>
      </c>
    </row>
    <row r="25507" spans="1:9">
      <c r="A25507" s="22" t="str">
        <f>HYPERLINK("https://app.vivvix.com/360/KMI/IntelliDrive/ApplUI/Pages/CreativePages/CustomReportCreativeDetail.aspx?App=23&amp;ReportView=4&amp;Qid=1711279&amp;Row=25499&amp;Col=1","No Title Assigned - #15285898848")</f>
        <v/>
      </c>
      <c r="B25507" s="0" t="s">
        <v>34623</v>
      </c>
      <c r="C25507" s="0" t="s">
        <v>34624</v>
      </c>
      <c r="D25507" s="0" t="s">
        <v>34624</v>
      </c>
      <c r="E25507" s="0" t="inlineStr">
        <is>
          <t xml:space="preserve">Mazda</t>
        </is>
      </c>
      <c r="F25507" s="0" t="s">
        <v>13</v>
      </c>
      <c r="G25507" s="0" t="s">
        <v>49</v>
      </c>
      <c r="H25507" s="5">
        <v>10155.433400</v>
      </c>
    </row>
    <row r="25508" spans="1:9">
      <c r="A25508" s="22" t="str">
        <f>HYPERLINK("https://app.vivvix.com/360/KMI/IntelliDrive/ApplUI/Pages/CreativePages/CustomReportCreativeDetail.aspx?App=23&amp;ReportView=4&amp;Qid=1711279&amp;Row=25500&amp;Col=1","No Title Assigned - #15285899540")</f>
        <v/>
      </c>
      <c r="B25508" s="0" t="s">
        <v>34625</v>
      </c>
      <c r="C25508" s="0" t="s">
        <v>34626</v>
      </c>
      <c r="D25508" s="0" t="s">
        <v>34626</v>
      </c>
      <c r="E25508" s="0" t="inlineStr">
        <is>
          <t xml:space="preserve">Mazda</t>
        </is>
      </c>
      <c r="F25508" s="0" t="s">
        <v>13</v>
      </c>
      <c r="G25508" s="0" t="s">
        <v>49</v>
      </c>
      <c r="H25508" s="5">
        <v>43779.618500</v>
      </c>
    </row>
    <row r="25509" spans="1:9">
      <c r="A25509" s="22" t="str">
        <f>HYPERLINK("https://app.vivvix.com/360/KMI/IntelliDrive/ApplUI/Pages/CreativePages/CustomReportCreativeDetail.aspx?App=23&amp;ReportView=4&amp;Qid=1711279&amp;Row=25501&amp;Col=1","No Title Assigned - #15285899575")</f>
        <v/>
      </c>
      <c r="B25509" s="0" t="s">
        <v>34627</v>
      </c>
      <c r="C25509" s="0" t="s">
        <v>34628</v>
      </c>
      <c r="D25509" s="0" t="s">
        <v>34628</v>
      </c>
      <c r="E25509" s="0" t="inlineStr">
        <is>
          <t xml:space="preserve">Mazda</t>
        </is>
      </c>
      <c r="F25509" s="0" t="s">
        <v>13</v>
      </c>
      <c r="G25509" s="0" t="s">
        <v>49</v>
      </c>
      <c r="H25509" s="5">
        <v>2119.223900</v>
      </c>
    </row>
    <row r="25510" spans="1:9">
      <c r="A25510" s="22" t="str">
        <f>HYPERLINK("https://app.vivvix.com/360/KMI/IntelliDrive/ApplUI/Pages/CreativePages/CustomReportCreativeDetail.aspx?App=23&amp;ReportView=4&amp;Qid=1711279&amp;Row=25502&amp;Col=1","No Title Assigned - #15285900289")</f>
        <v/>
      </c>
      <c r="B25510" s="0" t="s">
        <v>34629</v>
      </c>
      <c r="C25510" s="0" t="s">
        <v>34630</v>
      </c>
      <c r="D25510" s="0" t="s">
        <v>34630</v>
      </c>
      <c r="E25510" s="0" t="inlineStr">
        <is>
          <t xml:space="preserve">Mazda</t>
        </is>
      </c>
      <c r="F25510" s="0" t="s">
        <v>13</v>
      </c>
      <c r="G25510" s="0" t="s">
        <v>49</v>
      </c>
      <c r="H25510" s="5">
        <v>84.202600</v>
      </c>
    </row>
    <row r="25511" spans="1:9">
      <c r="A25511" s="22" t="str">
        <f>HYPERLINK("https://app.vivvix.com/360/KMI/IntelliDrive/ApplUI/Pages/CreativePages/CustomReportCreativeDetail.aspx?App=23&amp;ReportView=4&amp;Qid=1711279&amp;Row=25503&amp;Col=1","No Title Assigned - #15285901070")</f>
        <v/>
      </c>
      <c r="B25511" s="0" t="s">
        <v>34631</v>
      </c>
      <c r="C25511" s="0" t="s">
        <v>34632</v>
      </c>
      <c r="D25511" s="0" t="s">
        <v>34632</v>
      </c>
      <c r="E25511" s="0" t="inlineStr">
        <is>
          <t xml:space="preserve">Mazda</t>
        </is>
      </c>
      <c r="F25511" s="0" t="s">
        <v>13</v>
      </c>
      <c r="G25511" s="0" t="s">
        <v>49</v>
      </c>
      <c r="H25511" s="5">
        <v>365.370000</v>
      </c>
    </row>
    <row r="25512" spans="1:9">
      <c r="A25512" s="22" t="str">
        <f>HYPERLINK("https://app.vivvix.com/360/KMI/IntelliDrive/ApplUI/Pages/CreativePages/CustomReportCreativeDetail.aspx?App=23&amp;ReportView=4&amp;Qid=1711279&amp;Row=25504&amp;Col=1","No Title Assigned - #15285902397")</f>
        <v/>
      </c>
      <c r="B25512" s="0" t="s">
        <v>34633</v>
      </c>
      <c r="C25512" s="0" t="s">
        <v>34634</v>
      </c>
      <c r="D25512" s="0" t="s">
        <v>34635</v>
      </c>
      <c r="E25512" s="0" t="inlineStr">
        <is>
          <t xml:space="preserve">Mazda</t>
        </is>
      </c>
      <c r="F25512" s="0" t="s">
        <v>13</v>
      </c>
      <c r="G25512" s="0" t="s">
        <v>49</v>
      </c>
      <c r="H25512" s="5">
        <v>5732.708300</v>
      </c>
    </row>
    <row r="25513" spans="1:9">
      <c r="A25513" s="22" t="str">
        <f>HYPERLINK("https://app.vivvix.com/360/KMI/IntelliDrive/ApplUI/Pages/CreativePages/CustomReportCreativeDetail.aspx?App=23&amp;ReportView=4&amp;Qid=1711279&amp;Row=25505&amp;Col=1","No Title Assigned - #15285902423")</f>
        <v/>
      </c>
      <c r="B25513" s="0" t="s">
        <v>34636</v>
      </c>
      <c r="C25513" s="0" t="s">
        <v>34637</v>
      </c>
      <c r="D25513" s="0" t="s">
        <v>34637</v>
      </c>
      <c r="E25513" s="0" t="inlineStr">
        <is>
          <t xml:space="preserve">Mazda</t>
        </is>
      </c>
      <c r="F25513" s="0" t="s">
        <v>13</v>
      </c>
      <c r="G25513" s="0" t="s">
        <v>49</v>
      </c>
      <c r="H25513" s="5">
        <v>480.428900</v>
      </c>
    </row>
    <row r="25514" spans="1:9">
      <c r="A25514" s="22" t="str">
        <f>HYPERLINK("https://app.vivvix.com/360/KMI/IntelliDrive/ApplUI/Pages/CreativePages/CustomReportCreativeDetail.aspx?App=23&amp;ReportView=4&amp;Qid=1711279&amp;Row=25506&amp;Col=1","No Title Assigned - #15285902921")</f>
        <v/>
      </c>
      <c r="B25514" s="0" t="s">
        <v>34638</v>
      </c>
      <c r="C25514" s="0" t="s">
        <v>34639</v>
      </c>
      <c r="D25514" s="0" t="s">
        <v>34639</v>
      </c>
      <c r="E25514" s="0" t="inlineStr">
        <is>
          <t xml:space="preserve">Mazda</t>
        </is>
      </c>
      <c r="F25514" s="0" t="s">
        <v>13</v>
      </c>
      <c r="G25514" s="0" t="s">
        <v>49</v>
      </c>
      <c r="H25514" s="5">
        <v>1450.776200</v>
      </c>
    </row>
    <row r="25515" spans="1:9">
      <c r="A25515" s="22" t="str">
        <f>HYPERLINK("https://app.vivvix.com/360/KMI/IntelliDrive/ApplUI/Pages/CreativePages/CustomReportCreativeDetail.aspx?App=23&amp;ReportView=4&amp;Qid=1711279&amp;Row=25507&amp;Col=1","No Title Assigned - #15285904727")</f>
        <v/>
      </c>
      <c r="B25515" s="0" t="s">
        <v>34640</v>
      </c>
      <c r="C25515" s="0" t="s">
        <v>34641</v>
      </c>
      <c r="D25515" s="0" t="s">
        <v>34641</v>
      </c>
      <c r="E25515" s="0" t="inlineStr">
        <is>
          <t xml:space="preserve">Mazda</t>
        </is>
      </c>
      <c r="F25515" s="0" t="s">
        <v>13</v>
      </c>
      <c r="G25515" s="0" t="s">
        <v>49</v>
      </c>
      <c r="H25515" s="5">
        <v>397.426400</v>
      </c>
    </row>
    <row r="25516" spans="1:9">
      <c r="A25516" s="22" t="str">
        <f>HYPERLINK("https://app.vivvix.com/360/KMI/IntelliDrive/ApplUI/Pages/CreativePages/CustomReportCreativeDetail.aspx?App=23&amp;ReportView=4&amp;Qid=1711279&amp;Row=25508&amp;Col=1","No Title Assigned - #15285905007")</f>
        <v/>
      </c>
      <c r="B25516" s="0" t="s">
        <v>34642</v>
      </c>
      <c r="C25516" s="0" t="s">
        <v>34643</v>
      </c>
      <c r="D25516" s="0" t="s">
        <v>34643</v>
      </c>
      <c r="E25516" s="0" t="inlineStr">
        <is>
          <t xml:space="preserve">Mazda</t>
        </is>
      </c>
      <c r="F25516" s="0" t="s">
        <v>13</v>
      </c>
      <c r="G25516" s="0" t="s">
        <v>49</v>
      </c>
      <c r="H25516" s="5">
        <v>2972.276100</v>
      </c>
    </row>
    <row r="25517" spans="1:9">
      <c r="A25517" s="22" t="str">
        <f>HYPERLINK("https://app.vivvix.com/360/KMI/IntelliDrive/ApplUI/Pages/CreativePages/CustomReportCreativeDetail.aspx?App=23&amp;ReportView=4&amp;Qid=1711279&amp;Row=25509&amp;Col=1","No Title Assigned - #15285905112")</f>
        <v/>
      </c>
      <c r="B25517" s="0" t="s">
        <v>34644</v>
      </c>
      <c r="C25517" s="0" t="s">
        <v>34645</v>
      </c>
      <c r="D25517" s="0" t="s">
        <v>34645</v>
      </c>
      <c r="E25517" s="0" t="inlineStr">
        <is>
          <t xml:space="preserve">Mazda</t>
        </is>
      </c>
      <c r="F25517" s="0" t="s">
        <v>28</v>
      </c>
      <c r="G25517" s="0" t="s">
        <v>29</v>
      </c>
      <c r="H25517" s="5">
        <v>2084.622600</v>
      </c>
    </row>
    <row r="25518" spans="1:9">
      <c r="A25518" s="22" t="str">
        <f>HYPERLINK("https://app.vivvix.com/360/KMI/IntelliDrive/ApplUI/Pages/CreativePages/CustomReportCreativeDetail.aspx?App=23&amp;ReportView=4&amp;Qid=1711279&amp;Row=25510&amp;Col=1","No Title Assigned - #15285905505")</f>
        <v/>
      </c>
      <c r="B25518" s="0" t="s">
        <v>34646</v>
      </c>
      <c r="C25518" s="0" t="s">
        <v>34647</v>
      </c>
      <c r="D25518" s="0" t="s">
        <v>34647</v>
      </c>
      <c r="E25518" s="0" t="inlineStr">
        <is>
          <t xml:space="preserve">Mazda</t>
        </is>
      </c>
      <c r="F25518" s="0" t="s">
        <v>13</v>
      </c>
      <c r="G25518" s="0" t="s">
        <v>49</v>
      </c>
      <c r="H25518" s="5">
        <v>82071.130700</v>
      </c>
    </row>
    <row r="25519" spans="1:9">
      <c r="A25519" s="22" t="str">
        <f>HYPERLINK("https://app.vivvix.com/360/KMI/IntelliDrive/ApplUI/Pages/CreativePages/CustomReportCreativeDetail.aspx?App=23&amp;ReportView=4&amp;Qid=1711279&amp;Row=25511&amp;Col=1","No Title Assigned - #15285906068")</f>
        <v/>
      </c>
      <c r="B25519" s="0" t="s">
        <v>34648</v>
      </c>
      <c r="C25519" s="0" t="s">
        <v>34649</v>
      </c>
      <c r="D25519" s="0" t="s">
        <v>34649</v>
      </c>
      <c r="E25519" s="0" t="inlineStr">
        <is>
          <t xml:space="preserve">Mazda</t>
        </is>
      </c>
      <c r="F25519" s="0" t="s">
        <v>13</v>
      </c>
      <c r="G25519" s="0" t="s">
        <v>49</v>
      </c>
      <c r="H25519" s="5">
        <v>3640.342300</v>
      </c>
    </row>
    <row r="25520" spans="1:9">
      <c r="A25520" s="22" t="str">
        <f>HYPERLINK("https://app.vivvix.com/360/KMI/IntelliDrive/ApplUI/Pages/CreativePages/CustomReportCreativeDetail.aspx?App=23&amp;ReportView=4&amp;Qid=1711279&amp;Row=25512&amp;Col=1","No Title Assigned - #15285906371")</f>
        <v/>
      </c>
      <c r="B25520" s="0" t="s">
        <v>34650</v>
      </c>
      <c r="C25520" s="0" t="s">
        <v>34651</v>
      </c>
      <c r="D25520" s="0" t="s">
        <v>34651</v>
      </c>
      <c r="E25520" s="0" t="inlineStr">
        <is>
          <t xml:space="preserve">Mazda</t>
        </is>
      </c>
      <c r="F25520" s="0" t="s">
        <v>13</v>
      </c>
      <c r="G25520" s="0" t="s">
        <v>49</v>
      </c>
      <c r="H25520" s="5">
        <v>217.718200</v>
      </c>
    </row>
    <row r="25521" spans="1:9">
      <c r="A25521" s="22" t="str">
        <f>HYPERLINK("https://app.vivvix.com/360/KMI/IntelliDrive/ApplUI/Pages/CreativePages/CustomReportCreativeDetail.aspx?App=23&amp;ReportView=4&amp;Qid=1711279&amp;Row=25513&amp;Col=1","No Title Assigned - #15285908712")</f>
        <v/>
      </c>
      <c r="B25521" s="0" t="s">
        <v>34652</v>
      </c>
      <c r="C25521" s="0" t="s">
        <v>34653</v>
      </c>
      <c r="D25521" s="0" t="s">
        <v>34653</v>
      </c>
      <c r="E25521" s="0" t="inlineStr">
        <is>
          <t xml:space="preserve">Mazda</t>
        </is>
      </c>
      <c r="F25521" s="0" t="s">
        <v>13</v>
      </c>
      <c r="G25521" s="0" t="s">
        <v>49</v>
      </c>
      <c r="H25521" s="5">
        <v>271.723300</v>
      </c>
    </row>
    <row r="25522" spans="1:9">
      <c r="A25522" s="22" t="str">
        <f>HYPERLINK("https://app.vivvix.com/360/KMI/IntelliDrive/ApplUI/Pages/CreativePages/CustomReportCreativeDetail.aspx?App=23&amp;ReportView=4&amp;Qid=1711279&amp;Row=25514&amp;Col=1","No Title Assigned - #15285909554")</f>
        <v/>
      </c>
      <c r="B25522" s="0" t="s">
        <v>34654</v>
      </c>
      <c r="C25522" s="0" t="s">
        <v>34655</v>
      </c>
      <c r="D25522" s="0" t="s">
        <v>34655</v>
      </c>
      <c r="E25522" s="0" t="inlineStr">
        <is>
          <t xml:space="preserve">Mazda</t>
        </is>
      </c>
      <c r="F25522" s="0" t="s">
        <v>17</v>
      </c>
      <c r="G25522" s="0" t="s">
        <v>33</v>
      </c>
      <c r="H25522" s="5">
        <v>374.147300</v>
      </c>
    </row>
    <row r="25523" spans="1:9">
      <c r="A25523" s="22" t="str">
        <f>HYPERLINK("https://app.vivvix.com/360/KMI/IntelliDrive/ApplUI/Pages/CreativePages/CustomReportCreativeDetail.aspx?App=23&amp;ReportView=4&amp;Qid=1711279&amp;Row=25515&amp;Col=1","No Title Assigned - #15285912374")</f>
        <v/>
      </c>
      <c r="B25523" s="0" t="s">
        <v>34656</v>
      </c>
      <c r="C25523" s="0" t="s">
        <v>34657</v>
      </c>
      <c r="D25523" s="0" t="s">
        <v>34657</v>
      </c>
      <c r="E25523" s="0" t="inlineStr">
        <is>
          <t xml:space="preserve">Mazda</t>
        </is>
      </c>
      <c r="F25523" s="0" t="s">
        <v>13</v>
      </c>
      <c r="G25523" s="0" t="s">
        <v>49</v>
      </c>
      <c r="H25523" s="5">
        <v>22.999400</v>
      </c>
    </row>
    <row r="25524" spans="1:9">
      <c r="A25524" s="22" t="str">
        <f>HYPERLINK("https://app.vivvix.com/360/KMI/IntelliDrive/ApplUI/Pages/CreativePages/CustomReportCreativeDetail.aspx?App=23&amp;ReportView=4&amp;Qid=1711279&amp;Row=25516&amp;Col=1","No Title Assigned - #15285919405")</f>
        <v/>
      </c>
      <c r="B25524" s="0" t="s">
        <v>34658</v>
      </c>
      <c r="C25524" s="0" t="s">
        <v>34659</v>
      </c>
      <c r="D25524" s="0" t="s">
        <v>34659</v>
      </c>
      <c r="E25524" s="0" t="inlineStr">
        <is>
          <t xml:space="preserve">Mazda</t>
        </is>
      </c>
      <c r="F25524" s="0" t="s">
        <v>13</v>
      </c>
      <c r="G25524" s="0" t="s">
        <v>49</v>
      </c>
      <c r="H25524" s="5">
        <v>2845.489500</v>
      </c>
    </row>
    <row r="25525" spans="1:9">
      <c r="A25525" s="22" t="str">
        <f>HYPERLINK("https://app.vivvix.com/360/KMI/IntelliDrive/ApplUI/Pages/CreativePages/CustomReportCreativeDetail.aspx?App=23&amp;ReportView=4&amp;Qid=1711279&amp;Row=25517&amp;Col=1","No Title Assigned - #15285920709")</f>
        <v/>
      </c>
      <c r="B25525" s="0" t="s">
        <v>34660</v>
      </c>
      <c r="C25525" s="0" t="s">
        <v>34661</v>
      </c>
      <c r="D25525" s="0" t="s">
        <v>34661</v>
      </c>
      <c r="E25525" s="0" t="inlineStr">
        <is>
          <t xml:space="preserve">Mazda</t>
        </is>
      </c>
      <c r="F25525" s="0" t="s">
        <v>13</v>
      </c>
      <c r="G25525" s="0" t="s">
        <v>49</v>
      </c>
      <c r="H25525" s="5">
        <v>480.428900</v>
      </c>
    </row>
    <row r="25526" spans="1:9">
      <c r="A25526" s="22" t="str">
        <f>HYPERLINK("https://app.vivvix.com/360/KMI/IntelliDrive/ApplUI/Pages/CreativePages/CustomReportCreativeDetail.aspx?App=23&amp;ReportView=4&amp;Qid=1711279&amp;Row=25518&amp;Col=1","No Title Assigned - #15285932500")</f>
        <v/>
      </c>
      <c r="B25526" s="0" t="s">
        <v>34662</v>
      </c>
      <c r="C25526" s="0" t="s">
        <v>34663</v>
      </c>
      <c r="D25526" s="0" t="s">
        <v>34663</v>
      </c>
      <c r="E25526" s="0" t="inlineStr">
        <is>
          <t xml:space="preserve">Mazda</t>
        </is>
      </c>
      <c r="F25526" s="0" t="s">
        <v>13</v>
      </c>
      <c r="G25526" s="0" t="s">
        <v>49</v>
      </c>
      <c r="H25526" s="5">
        <v>365.370000</v>
      </c>
    </row>
    <row r="25527" spans="1:9">
      <c r="A25527" s="22" t="str">
        <f>HYPERLINK("https://app.vivvix.com/360/KMI/IntelliDrive/ApplUI/Pages/CreativePages/CustomReportCreativeDetail.aspx?App=23&amp;ReportView=4&amp;Qid=1711279&amp;Row=25519&amp;Col=1","No Title Assigned - #15285933351")</f>
        <v/>
      </c>
      <c r="B25527" s="0" t="s">
        <v>34664</v>
      </c>
      <c r="C25527" s="0" t="s">
        <v>34665</v>
      </c>
      <c r="D25527" s="0" t="s">
        <v>34665</v>
      </c>
      <c r="E25527" s="0" t="inlineStr">
        <is>
          <t xml:space="preserve">Mazda</t>
        </is>
      </c>
      <c r="F25527" s="0" t="s">
        <v>13</v>
      </c>
      <c r="G25527" s="0" t="s">
        <v>49</v>
      </c>
      <c r="H25527" s="5">
        <v>490.258100</v>
      </c>
    </row>
    <row r="25528" spans="1:9">
      <c r="A25528" s="22" t="str">
        <f>HYPERLINK("https://app.vivvix.com/360/KMI/IntelliDrive/ApplUI/Pages/CreativePages/CustomReportCreativeDetail.aspx?App=23&amp;ReportView=4&amp;Qid=1711279&amp;Row=25520&amp;Col=1","No Title Assigned - #15285933395")</f>
        <v/>
      </c>
      <c r="B25528" s="0" t="s">
        <v>34666</v>
      </c>
      <c r="C25528" s="0" t="s">
        <v>34667</v>
      </c>
      <c r="D25528" s="0" t="s">
        <v>34667</v>
      </c>
      <c r="E25528" s="0" t="inlineStr">
        <is>
          <t xml:space="preserve">Mazda</t>
        </is>
      </c>
      <c r="F25528" s="0" t="s">
        <v>13</v>
      </c>
      <c r="G25528" s="0" t="s">
        <v>49</v>
      </c>
      <c r="H25528" s="5">
        <v>661.375200</v>
      </c>
    </row>
    <row r="25529" spans="1:9">
      <c r="A25529" s="22" t="str">
        <f>HYPERLINK("https://app.vivvix.com/360/KMI/IntelliDrive/ApplUI/Pages/CreativePages/CustomReportCreativeDetail.aspx?App=23&amp;ReportView=4&amp;Qid=1711279&amp;Row=25521&amp;Col=1","No Title Assigned - #15285934149")</f>
        <v/>
      </c>
      <c r="B25529" s="0" t="s">
        <v>34668</v>
      </c>
      <c r="C25529" s="0" t="s">
        <v>34669</v>
      </c>
      <c r="D25529" s="0" t="s">
        <v>34669</v>
      </c>
      <c r="E25529" s="0" t="inlineStr">
        <is>
          <t xml:space="preserve">Mazda</t>
        </is>
      </c>
      <c r="F25529" s="0" t="s">
        <v>13</v>
      </c>
      <c r="G25529" s="0" t="s">
        <v>49</v>
      </c>
      <c r="H25529" s="5">
        <v>5803.104800</v>
      </c>
    </row>
    <row r="25530" spans="1:9">
      <c r="A25530" s="22" t="str">
        <f>HYPERLINK("https://app.vivvix.com/360/KMI/IntelliDrive/ApplUI/Pages/CreativePages/CustomReportCreativeDetail.aspx?App=23&amp;ReportView=4&amp;Qid=1711279&amp;Row=25522&amp;Col=1","No Title Assigned - #15285937981")</f>
        <v/>
      </c>
      <c r="B25530" s="0" t="s">
        <v>34670</v>
      </c>
      <c r="C25530" s="0" t="s">
        <v>34671</v>
      </c>
      <c r="D25530" s="0" t="s">
        <v>34671</v>
      </c>
      <c r="E25530" s="0" t="inlineStr">
        <is>
          <t xml:space="preserve">Mazda</t>
        </is>
      </c>
      <c r="F25530" s="0" t="s">
        <v>13</v>
      </c>
      <c r="G25530" s="0" t="s">
        <v>49</v>
      </c>
      <c r="H25530" s="5">
        <v>320.822000</v>
      </c>
    </row>
    <row r="25531" spans="1:9">
      <c r="A25531" s="22" t="str">
        <f>HYPERLINK("https://app.vivvix.com/360/KMI/IntelliDrive/ApplUI/Pages/CreativePages/CustomReportCreativeDetail.aspx?App=23&amp;ReportView=4&amp;Qid=1711279&amp;Row=25523&amp;Col=1","No Title Assigned - #15285938764")</f>
        <v/>
      </c>
      <c r="B25531" s="0" t="s">
        <v>34672</v>
      </c>
      <c r="C25531" s="0" t="s">
        <v>34673</v>
      </c>
      <c r="D25531" s="0" t="s">
        <v>34673</v>
      </c>
      <c r="E25531" s="0" t="inlineStr">
        <is>
          <t xml:space="preserve">Mazda</t>
        </is>
      </c>
      <c r="F25531" s="0" t="s">
        <v>13</v>
      </c>
      <c r="G25531" s="0" t="s">
        <v>49</v>
      </c>
      <c r="H25531" s="5">
        <v>2901.552400</v>
      </c>
    </row>
    <row r="25532" spans="1:9">
      <c r="A25532" s="22" t="str">
        <f>HYPERLINK("https://app.vivvix.com/360/KMI/IntelliDrive/ApplUI/Pages/CreativePages/CustomReportCreativeDetail.aspx?App=23&amp;ReportView=4&amp;Qid=1711279&amp;Row=25524&amp;Col=1","No Title Assigned - #15285939958")</f>
        <v/>
      </c>
      <c r="B25532" s="0" t="s">
        <v>34674</v>
      </c>
      <c r="C25532" s="0" t="s">
        <v>34675</v>
      </c>
      <c r="D25532" s="0" t="s">
        <v>34675</v>
      </c>
      <c r="E25532" s="0" t="inlineStr">
        <is>
          <t xml:space="preserve">Mazda</t>
        </is>
      </c>
      <c r="F25532" s="0" t="s">
        <v>13</v>
      </c>
      <c r="G25532" s="0" t="s">
        <v>49</v>
      </c>
      <c r="H25532" s="5">
        <v>3983.278100</v>
      </c>
    </row>
    <row r="25533" spans="1:9">
      <c r="A25533" s="22" t="str">
        <f>HYPERLINK("https://app.vivvix.com/360/KMI/IntelliDrive/ApplUI/Pages/CreativePages/CustomReportCreativeDetail.aspx?App=23&amp;ReportView=4&amp;Qid=1711279&amp;Row=25525&amp;Col=1","No Title Assigned - #15285941710")</f>
        <v/>
      </c>
      <c r="B25533" s="0" t="s">
        <v>34676</v>
      </c>
      <c r="C25533" s="0" t="s">
        <v>34677</v>
      </c>
      <c r="D25533" s="0" t="s">
        <v>34677</v>
      </c>
      <c r="E25533" s="0" t="inlineStr">
        <is>
          <t xml:space="preserve">Mazda</t>
        </is>
      </c>
      <c r="F25533" s="0" t="s">
        <v>13</v>
      </c>
      <c r="G25533" s="0" t="s">
        <v>49</v>
      </c>
      <c r="H25533" s="5">
        <v>1450.776200</v>
      </c>
    </row>
    <row r="25534" spans="1:9">
      <c r="A25534" s="22" t="str">
        <f>HYPERLINK("https://app.vivvix.com/360/KMI/IntelliDrive/ApplUI/Pages/CreativePages/CustomReportCreativeDetail.aspx?App=23&amp;ReportView=4&amp;Qid=1711279&amp;Row=25526&amp;Col=1","No Title Assigned - #15285942072")</f>
        <v/>
      </c>
      <c r="B25534" s="0" t="s">
        <v>34678</v>
      </c>
      <c r="C25534" s="0" t="s">
        <v>34679</v>
      </c>
      <c r="D25534" s="0" t="s">
        <v>34679</v>
      </c>
      <c r="E25534" s="0" t="inlineStr">
        <is>
          <t xml:space="preserve">Mazda</t>
        </is>
      </c>
      <c r="F25534" s="0" t="s">
        <v>13</v>
      </c>
      <c r="G25534" s="0" t="s">
        <v>49</v>
      </c>
      <c r="H25534" s="5">
        <v>1450.776200</v>
      </c>
    </row>
    <row r="25535" spans="1:9">
      <c r="A25535" s="22" t="str">
        <f>HYPERLINK("https://app.vivvix.com/360/KMI/IntelliDrive/ApplUI/Pages/CreativePages/CustomReportCreativeDetail.aspx?App=23&amp;ReportView=4&amp;Qid=1711279&amp;Row=25527&amp;Col=1","No Title Assigned - #15285946462")</f>
        <v/>
      </c>
      <c r="B25535" s="0" t="s">
        <v>34680</v>
      </c>
      <c r="C25535" s="0" t="s">
        <v>34681</v>
      </c>
      <c r="D25535" s="0" t="s">
        <v>34681</v>
      </c>
      <c r="E25535" s="0" t="inlineStr">
        <is>
          <t xml:space="preserve">Mazda</t>
        </is>
      </c>
      <c r="F25535" s="0" t="s">
        <v>13</v>
      </c>
      <c r="G25535" s="0" t="s">
        <v>49</v>
      </c>
      <c r="H25535" s="5">
        <v>2901.552400</v>
      </c>
    </row>
    <row r="25536" spans="1:9">
      <c r="A25536" s="22" t="str">
        <f>HYPERLINK("https://app.vivvix.com/360/KMI/IntelliDrive/ApplUI/Pages/CreativePages/CustomReportCreativeDetail.aspx?App=23&amp;ReportView=4&amp;Qid=1711279&amp;Row=25528&amp;Col=1","No Title Assigned - #15285949299")</f>
        <v/>
      </c>
      <c r="B25536" s="0" t="s">
        <v>34682</v>
      </c>
      <c r="C25536" s="0" t="s">
        <v>34683</v>
      </c>
      <c r="D25536" s="0" t="s">
        <v>34683</v>
      </c>
      <c r="E25536" s="0" t="inlineStr">
        <is>
          <t xml:space="preserve">Mazda</t>
        </is>
      </c>
      <c r="F25536" s="0" t="s">
        <v>13</v>
      </c>
      <c r="G25536" s="0" t="s">
        <v>49</v>
      </c>
      <c r="H25536" s="5">
        <v>1450.776200</v>
      </c>
    </row>
    <row r="25537" spans="1:9">
      <c r="A25537" s="22" t="str">
        <f>HYPERLINK("https://app.vivvix.com/360/KMI/IntelliDrive/ApplUI/Pages/CreativePages/CustomReportCreativeDetail.aspx?App=23&amp;ReportView=4&amp;Qid=1711279&amp;Row=25529&amp;Col=1","No Title Assigned - #15285949346")</f>
        <v/>
      </c>
      <c r="B25537" s="0" t="s">
        <v>34684</v>
      </c>
      <c r="C25537" s="0" t="s">
        <v>34685</v>
      </c>
      <c r="D25537" s="0" t="s">
        <v>34685</v>
      </c>
      <c r="E25537" s="0" t="inlineStr">
        <is>
          <t xml:space="preserve">Mazda</t>
        </is>
      </c>
      <c r="F25537" s="0" t="s">
        <v>13</v>
      </c>
      <c r="G25537" s="0" t="s">
        <v>49</v>
      </c>
      <c r="H25537" s="5">
        <v>1450.776200</v>
      </c>
    </row>
    <row r="25538" spans="1:9">
      <c r="A25538" s="22" t="str">
        <f>HYPERLINK("https://app.vivvix.com/360/KMI/IntelliDrive/ApplUI/Pages/CreativePages/CustomReportCreativeDetail.aspx?App=23&amp;ReportView=4&amp;Qid=1711279&amp;Row=25530&amp;Col=1","No Title Assigned - #15285954695")</f>
        <v/>
      </c>
      <c r="B25538" s="0" t="s">
        <v>34686</v>
      </c>
      <c r="C25538" s="0" t="s">
        <v>34687</v>
      </c>
      <c r="D25538" s="0" t="s">
        <v>34687</v>
      </c>
      <c r="E25538" s="0" t="inlineStr">
        <is>
          <t xml:space="preserve">Mazda</t>
        </is>
      </c>
      <c r="F25538" s="0" t="s">
        <v>13</v>
      </c>
      <c r="G25538" s="0" t="s">
        <v>49</v>
      </c>
      <c r="H25538" s="5">
        <v>147.971600</v>
      </c>
    </row>
    <row r="25539" spans="1:9">
      <c r="A25539" s="22" t="str">
        <f>HYPERLINK("https://app.vivvix.com/360/KMI/IntelliDrive/ApplUI/Pages/CreativePages/CustomReportCreativeDetail.aspx?App=23&amp;ReportView=4&amp;Qid=1711279&amp;Row=25531&amp;Col=1","No Title Assigned - #15285955072")</f>
        <v/>
      </c>
      <c r="B25539" s="0" t="s">
        <v>34688</v>
      </c>
      <c r="C25539" s="0" t="s">
        <v>34689</v>
      </c>
      <c r="D25539" s="0" t="s">
        <v>34689</v>
      </c>
      <c r="E25539" s="0" t="inlineStr">
        <is>
          <t xml:space="preserve">Mazda</t>
        </is>
      </c>
      <c r="F25539" s="0" t="s">
        <v>13</v>
      </c>
      <c r="G25539" s="0" t="s">
        <v>49</v>
      </c>
      <c r="H25539" s="5">
        <v>2814.600300</v>
      </c>
    </row>
    <row r="25540" spans="1:9">
      <c r="A25540" s="22" t="str">
        <f>HYPERLINK("https://app.vivvix.com/360/KMI/IntelliDrive/ApplUI/Pages/CreativePages/CustomReportCreativeDetail.aspx?App=23&amp;ReportView=4&amp;Qid=1711279&amp;Row=25532&amp;Col=1","No Title Assigned - #15285955150")</f>
        <v/>
      </c>
      <c r="B25540" s="0" t="s">
        <v>34690</v>
      </c>
      <c r="C25540" s="0" t="s">
        <v>34691</v>
      </c>
      <c r="D25540" s="0" t="s">
        <v>34691</v>
      </c>
      <c r="E25540" s="0" t="inlineStr">
        <is>
          <t xml:space="preserve">Mazda</t>
        </is>
      </c>
      <c r="F25540" s="0" t="s">
        <v>13</v>
      </c>
      <c r="G25540" s="0" t="s">
        <v>49</v>
      </c>
      <c r="H25540" s="5">
        <v>408.186000</v>
      </c>
    </row>
    <row r="25541" spans="1:9">
      <c r="A25541" s="22" t="str">
        <f>HYPERLINK("https://app.vivvix.com/360/KMI/IntelliDrive/ApplUI/Pages/CreativePages/CustomReportCreativeDetail.aspx?App=23&amp;ReportView=4&amp;Qid=1711279&amp;Row=25533&amp;Col=1","No Title Assigned - #15285957020")</f>
        <v/>
      </c>
      <c r="B25541" s="0" t="s">
        <v>34692</v>
      </c>
      <c r="C25541" s="0" t="s">
        <v>34693</v>
      </c>
      <c r="D25541" s="0" t="s">
        <v>34693</v>
      </c>
      <c r="E25541" s="0" t="inlineStr">
        <is>
          <t xml:space="preserve">Mazda</t>
        </is>
      </c>
      <c r="F25541" s="0" t="s">
        <v>13</v>
      </c>
      <c r="G25541" s="0" t="s">
        <v>49</v>
      </c>
      <c r="H25541" s="5">
        <v>4352.328600</v>
      </c>
    </row>
    <row r="25542" spans="1:9">
      <c r="A25542" s="22" t="str">
        <f>HYPERLINK("https://app.vivvix.com/360/KMI/IntelliDrive/ApplUI/Pages/CreativePages/CustomReportCreativeDetail.aspx?App=23&amp;ReportView=4&amp;Qid=1711279&amp;Row=25534&amp;Col=1","No Title Assigned - #15285961360")</f>
        <v/>
      </c>
      <c r="B25542" s="0" t="s">
        <v>34694</v>
      </c>
      <c r="C25542" s="0" t="s">
        <v>34695</v>
      </c>
      <c r="D25542" s="0" t="s">
        <v>34695</v>
      </c>
      <c r="E25542" s="0" t="inlineStr">
        <is>
          <t xml:space="preserve">Mazda</t>
        </is>
      </c>
      <c r="F25542" s="0" t="s">
        <v>13</v>
      </c>
      <c r="G25542" s="0" t="s">
        <v>49</v>
      </c>
      <c r="H25542" s="5">
        <v>104.324200</v>
      </c>
    </row>
    <row r="25543" spans="1:9">
      <c r="A25543" s="22" t="str">
        <f>HYPERLINK("https://app.vivvix.com/360/KMI/IntelliDrive/ApplUI/Pages/CreativePages/CustomReportCreativeDetail.aspx?App=23&amp;ReportView=4&amp;Qid=1711279&amp;Row=25535&amp;Col=1","No Title Assigned - #15285961447")</f>
        <v/>
      </c>
      <c r="B25543" s="0" t="s">
        <v>34696</v>
      </c>
      <c r="C25543" s="0" t="s">
        <v>34697</v>
      </c>
      <c r="D25543" s="0" t="s">
        <v>34697</v>
      </c>
      <c r="E25543" s="0" t="inlineStr">
        <is>
          <t xml:space="preserve">Mazda</t>
        </is>
      </c>
      <c r="F25543" s="0" t="s">
        <v>13</v>
      </c>
      <c r="G25543" s="0" t="s">
        <v>49</v>
      </c>
      <c r="H25543" s="5">
        <v>1118.224700</v>
      </c>
    </row>
    <row r="25544" spans="1:9">
      <c r="A25544" s="22" t="str">
        <f>HYPERLINK("https://app.vivvix.com/360/KMI/IntelliDrive/ApplUI/Pages/CreativePages/CustomReportCreativeDetail.aspx?App=23&amp;ReportView=4&amp;Qid=1711279&amp;Row=25536&amp;Col=1","No Title Assigned - #15285961545")</f>
        <v/>
      </c>
      <c r="B25544" s="0" t="s">
        <v>34698</v>
      </c>
      <c r="C25544" s="0" t="s">
        <v>34699</v>
      </c>
      <c r="D25544" s="0" t="s">
        <v>34699</v>
      </c>
      <c r="E25544" s="0" t="inlineStr">
        <is>
          <t xml:space="preserve">Mazda</t>
        </is>
      </c>
      <c r="F25544" s="0" t="s">
        <v>13</v>
      </c>
      <c r="G25544" s="0" t="s">
        <v>49</v>
      </c>
      <c r="H25544" s="5">
        <v>622.141700</v>
      </c>
    </row>
    <row r="25545" spans="1:9">
      <c r="A25545" s="22" t="str">
        <f>HYPERLINK("https://app.vivvix.com/360/KMI/IntelliDrive/ApplUI/Pages/CreativePages/CustomReportCreativeDetail.aspx?App=23&amp;ReportView=4&amp;Qid=1711279&amp;Row=25537&amp;Col=1","No Title Assigned - #15285961659")</f>
        <v/>
      </c>
      <c r="B25545" s="0" t="s">
        <v>34700</v>
      </c>
      <c r="C25545" s="0" t="s">
        <v>34701</v>
      </c>
      <c r="D25545" s="0" t="s">
        <v>34701</v>
      </c>
      <c r="E25545" s="0" t="inlineStr">
        <is>
          <t xml:space="preserve">Mazda</t>
        </is>
      </c>
      <c r="F25545" s="0" t="s">
        <v>13</v>
      </c>
      <c r="G25545" s="0" t="s">
        <v>49</v>
      </c>
      <c r="H25545" s="5">
        <v>2814.600300</v>
      </c>
    </row>
    <row r="25546" spans="1:9">
      <c r="A25546" s="22" t="str">
        <f>HYPERLINK("https://app.vivvix.com/360/KMI/IntelliDrive/ApplUI/Pages/CreativePages/CustomReportCreativeDetail.aspx?App=23&amp;ReportView=4&amp;Qid=1711279&amp;Row=25538&amp;Col=1","No Title Assigned - #15285961661")</f>
        <v/>
      </c>
      <c r="B25546" s="0" t="s">
        <v>34702</v>
      </c>
      <c r="C25546" s="0" t="s">
        <v>34703</v>
      </c>
      <c r="D25546" s="0" t="s">
        <v>34703</v>
      </c>
      <c r="E25546" s="0" t="inlineStr">
        <is>
          <t xml:space="preserve">Mazda</t>
        </is>
      </c>
      <c r="F25546" s="0" t="s">
        <v>13</v>
      </c>
      <c r="G25546" s="0" t="s">
        <v>49</v>
      </c>
      <c r="H25546" s="5">
        <v>22.999400</v>
      </c>
    </row>
    <row r="25547" spans="1:9">
      <c r="A25547" s="22" t="str">
        <f>HYPERLINK("https://app.vivvix.com/360/KMI/IntelliDrive/ApplUI/Pages/CreativePages/CustomReportCreativeDetail.aspx?App=23&amp;ReportView=4&amp;Qid=1711279&amp;Row=25539&amp;Col=1","No Title Assigned - #15285961944")</f>
        <v/>
      </c>
      <c r="B25547" s="0" t="s">
        <v>34704</v>
      </c>
      <c r="C25547" s="0" t="s">
        <v>34705</v>
      </c>
      <c r="D25547" s="0" t="s">
        <v>34705</v>
      </c>
      <c r="E25547" s="0" t="inlineStr">
        <is>
          <t xml:space="preserve">Mazda</t>
        </is>
      </c>
      <c r="F25547" s="0" t="s">
        <v>13</v>
      </c>
      <c r="G25547" s="0" t="s">
        <v>49</v>
      </c>
      <c r="H25547" s="5">
        <v>1450.776200</v>
      </c>
    </row>
    <row r="25548" spans="1:9">
      <c r="A25548" s="22" t="str">
        <f>HYPERLINK("https://app.vivvix.com/360/KMI/IntelliDrive/ApplUI/Pages/CreativePages/CustomReportCreativeDetail.aspx?App=23&amp;ReportView=4&amp;Qid=1711279&amp;Row=25540&amp;Col=1","No Title Assigned - #15285961969")</f>
        <v/>
      </c>
      <c r="B25548" s="0" t="s">
        <v>34706</v>
      </c>
      <c r="C25548" s="0" t="s">
        <v>34707</v>
      </c>
      <c r="D25548" s="0" t="s">
        <v>34707</v>
      </c>
      <c r="E25548" s="0" t="inlineStr">
        <is>
          <t xml:space="preserve">Mazda</t>
        </is>
      </c>
      <c r="F25548" s="0" t="inlineStr">
        <is>
          <t xml:space="preserve">Mazda</t>
        </is>
      </c>
      <c r="G25548" s="0" t="s">
        <v>210</v>
      </c>
      <c r="H25548" s="5">
        <v>426.087300</v>
      </c>
    </row>
    <row r="25549" spans="1:9">
      <c r="A25549" s="22" t="str">
        <f>HYPERLINK("https://app.vivvix.com/360/KMI/IntelliDrive/ApplUI/Pages/CreativePages/CustomReportCreativeDetail.aspx?App=23&amp;ReportView=4&amp;Qid=1711279&amp;Row=25541&amp;Col=1","No Title Assigned - #15285962745")</f>
        <v/>
      </c>
      <c r="B25549" s="0" t="s">
        <v>34708</v>
      </c>
      <c r="C25549" s="0" t="s">
        <v>34709</v>
      </c>
      <c r="D25549" s="0" t="s">
        <v>34709</v>
      </c>
      <c r="E25549" s="0" t="inlineStr">
        <is>
          <t xml:space="preserve">Mazda</t>
        </is>
      </c>
      <c r="F25549" s="0" t="s">
        <v>13</v>
      </c>
      <c r="G25549" s="0" t="s">
        <v>49</v>
      </c>
      <c r="H25549" s="5">
        <v>160.411000</v>
      </c>
    </row>
    <row r="25550" spans="1:9">
      <c r="A25550" s="22" t="str">
        <f>HYPERLINK("https://app.vivvix.com/360/KMI/IntelliDrive/ApplUI/Pages/CreativePages/CustomReportCreativeDetail.aspx?App=23&amp;ReportView=4&amp;Qid=1711279&amp;Row=25542&amp;Col=1","No Title Assigned - #15285964081")</f>
        <v/>
      </c>
      <c r="B25550" s="0" t="s">
        <v>34710</v>
      </c>
      <c r="C25550" s="0" t="s">
        <v>34711</v>
      </c>
      <c r="D25550" s="0" t="s">
        <v>34711</v>
      </c>
      <c r="E25550" s="0" t="inlineStr">
        <is>
          <t xml:space="preserve">Mazda</t>
        </is>
      </c>
      <c r="F25550" s="0" t="s">
        <v>13</v>
      </c>
      <c r="G25550" s="0" t="s">
        <v>49</v>
      </c>
      <c r="H25550" s="5">
        <v>257.613400</v>
      </c>
    </row>
    <row r="25551" spans="1:9">
      <c r="A25551" s="22" t="str">
        <f>HYPERLINK("https://app.vivvix.com/360/KMI/IntelliDrive/ApplUI/Pages/CreativePages/CustomReportCreativeDetail.aspx?App=23&amp;ReportView=4&amp;Qid=1711279&amp;Row=25543&amp;Col=1","No Title Assigned - #15285964549")</f>
        <v/>
      </c>
      <c r="B25551" s="0" t="s">
        <v>34712</v>
      </c>
      <c r="C25551" s="0" t="s">
        <v>34713</v>
      </c>
      <c r="D25551" s="0" t="s">
        <v>34713</v>
      </c>
      <c r="E25551" s="0" t="inlineStr">
        <is>
          <t xml:space="preserve">Mazda</t>
        </is>
      </c>
      <c r="F25551" s="0" t="s">
        <v>13</v>
      </c>
      <c r="G25551" s="0" t="s">
        <v>49</v>
      </c>
      <c r="H25551" s="5">
        <v>1450.776200</v>
      </c>
    </row>
    <row r="25552" spans="1:9">
      <c r="A25552" s="22" t="str">
        <f>HYPERLINK("https://app.vivvix.com/360/KMI/IntelliDrive/ApplUI/Pages/CreativePages/CustomReportCreativeDetail.aspx?App=23&amp;ReportView=4&amp;Qid=1711279&amp;Row=25544&amp;Col=1","No Title Assigned - #15285964753")</f>
        <v/>
      </c>
      <c r="B25552" s="0" t="s">
        <v>34714</v>
      </c>
      <c r="C25552" s="0" t="s">
        <v>34715</v>
      </c>
      <c r="D25552" s="0" t="s">
        <v>34715</v>
      </c>
      <c r="E25552" s="0" t="inlineStr">
        <is>
          <t xml:space="preserve">Mazda</t>
        </is>
      </c>
      <c r="F25552" s="0" t="s">
        <v>13</v>
      </c>
      <c r="G25552" s="0" t="s">
        <v>49</v>
      </c>
      <c r="H25552" s="5">
        <v>586.306200</v>
      </c>
    </row>
    <row r="25553" spans="1:9">
      <c r="A25553" s="22" t="str">
        <f>HYPERLINK("https://app.vivvix.com/360/KMI/IntelliDrive/ApplUI/Pages/CreativePages/CustomReportCreativeDetail.aspx?App=23&amp;ReportView=4&amp;Qid=1711279&amp;Row=25545&amp;Col=1","No Title Assigned - #15285964843")</f>
        <v/>
      </c>
      <c r="B25553" s="0" t="s">
        <v>34716</v>
      </c>
      <c r="C25553" s="0" t="s">
        <v>34717</v>
      </c>
      <c r="D25553" s="0" t="s">
        <v>34717</v>
      </c>
      <c r="E25553" s="0" t="inlineStr">
        <is>
          <t xml:space="preserve">Mazda</t>
        </is>
      </c>
      <c r="F25553" s="0" t="s">
        <v>13</v>
      </c>
      <c r="G25553" s="0" t="s">
        <v>49</v>
      </c>
      <c r="H25553" s="5">
        <v>1450.776200</v>
      </c>
    </row>
    <row r="25554" spans="1:9">
      <c r="A25554" s="22" t="str">
        <f>HYPERLINK("https://app.vivvix.com/360/KMI/IntelliDrive/ApplUI/Pages/CreativePages/CustomReportCreativeDetail.aspx?App=23&amp;ReportView=4&amp;Qid=1711279&amp;Row=25546&amp;Col=1","No Title Assigned - #15285965893")</f>
        <v/>
      </c>
      <c r="B25554" s="0" t="s">
        <v>34718</v>
      </c>
      <c r="C25554" s="0" t="s">
        <v>34719</v>
      </c>
      <c r="D25554" s="0" t="s">
        <v>34719</v>
      </c>
      <c r="E25554" s="0" t="inlineStr">
        <is>
          <t xml:space="preserve">Mazda</t>
        </is>
      </c>
      <c r="F25554" s="0" t="s">
        <v>13</v>
      </c>
      <c r="G25554" s="0" t="s">
        <v>49</v>
      </c>
      <c r="H25554" s="5">
        <v>2655.937000</v>
      </c>
    </row>
    <row r="25555" spans="1:9">
      <c r="A25555" s="22" t="str">
        <f>HYPERLINK("https://app.vivvix.com/360/KMI/IntelliDrive/ApplUI/Pages/CreativePages/CustomReportCreativeDetail.aspx?App=23&amp;ReportView=4&amp;Qid=1711279&amp;Row=25547&amp;Col=1","No Title Assigned - #15285966162")</f>
        <v/>
      </c>
      <c r="B25555" s="0" t="s">
        <v>34720</v>
      </c>
      <c r="C25555" s="0" t="s">
        <v>34721</v>
      </c>
      <c r="D25555" s="0" t="s">
        <v>34721</v>
      </c>
      <c r="E25555" s="0" t="inlineStr">
        <is>
          <t xml:space="preserve">Mazda</t>
        </is>
      </c>
      <c r="F25555" s="0" t="s">
        <v>13</v>
      </c>
      <c r="G25555" s="0" t="s">
        <v>49</v>
      </c>
      <c r="H25555" s="5">
        <v>2845.489500</v>
      </c>
    </row>
    <row r="25556" spans="1:9">
      <c r="A25556" s="22" t="str">
        <f>HYPERLINK("https://app.vivvix.com/360/KMI/IntelliDrive/ApplUI/Pages/CreativePages/CustomReportCreativeDetail.aspx?App=23&amp;ReportView=4&amp;Qid=1711279&amp;Row=25548&amp;Col=1","No Title Assigned - #15285966297")</f>
        <v/>
      </c>
      <c r="B25556" s="0" t="s">
        <v>34722</v>
      </c>
      <c r="C25556" s="0" t="s">
        <v>34723</v>
      </c>
      <c r="D25556" s="0" t="s">
        <v>34723</v>
      </c>
      <c r="E25556" s="0" t="inlineStr">
        <is>
          <t xml:space="preserve">Mazda</t>
        </is>
      </c>
      <c r="F25556" s="0" t="s">
        <v>13</v>
      </c>
      <c r="G25556" s="0" t="s">
        <v>49</v>
      </c>
      <c r="H25556" s="5">
        <v>17211.591800</v>
      </c>
    </row>
    <row r="25557" spans="1:9">
      <c r="A25557" s="22" t="str">
        <f>HYPERLINK("https://app.vivvix.com/360/KMI/IntelliDrive/ApplUI/Pages/CreativePages/CustomReportCreativeDetail.aspx?App=23&amp;ReportView=4&amp;Qid=1711279&amp;Row=25549&amp;Col=1","No Title Assigned - #15285966410")</f>
        <v/>
      </c>
      <c r="B25557" s="0" t="s">
        <v>34724</v>
      </c>
      <c r="C25557" s="0" t="s">
        <v>34603</v>
      </c>
      <c r="D25557" s="0" t="s">
        <v>34603</v>
      </c>
      <c r="E25557" s="0" t="inlineStr">
        <is>
          <t xml:space="preserve">Mazda</t>
        </is>
      </c>
      <c r="F25557" s="0" t="s">
        <v>13</v>
      </c>
      <c r="G25557" s="0" t="s">
        <v>49</v>
      </c>
      <c r="H25557" s="5">
        <v>3053.139900</v>
      </c>
    </row>
    <row r="25558" spans="1:9">
      <c r="A25558" s="22" t="str">
        <f>HYPERLINK("https://app.vivvix.com/360/KMI/IntelliDrive/ApplUI/Pages/CreativePages/CustomReportCreativeDetail.aspx?App=23&amp;ReportView=4&amp;Qid=1711279&amp;Row=25550&amp;Col=1","No Title Assigned - #15285967933")</f>
        <v/>
      </c>
      <c r="B25558" s="0" t="s">
        <v>34725</v>
      </c>
      <c r="C25558" s="0" t="s">
        <v>34726</v>
      </c>
      <c r="D25558" s="0" t="s">
        <v>34726</v>
      </c>
      <c r="E25558" s="0" t="inlineStr">
        <is>
          <t xml:space="preserve">Mazda</t>
        </is>
      </c>
      <c r="F25558" s="0" t="s">
        <v>13</v>
      </c>
      <c r="G25558" s="0" t="s">
        <v>49</v>
      </c>
      <c r="H25558" s="5">
        <v>1647.407300</v>
      </c>
    </row>
    <row r="25559" spans="1:9">
      <c r="A25559" s="22" t="str">
        <f>HYPERLINK("https://app.vivvix.com/360/KMI/IntelliDrive/ApplUI/Pages/CreativePages/CustomReportCreativeDetail.aspx?App=23&amp;ReportView=4&amp;Qid=1711279&amp;Row=25551&amp;Col=1","No Title Assigned - #15285969872")</f>
        <v/>
      </c>
      <c r="B25559" s="0" t="s">
        <v>34727</v>
      </c>
      <c r="C25559" s="0" t="s">
        <v>34728</v>
      </c>
      <c r="D25559" s="0" t="s">
        <v>34728</v>
      </c>
      <c r="E25559" s="0" t="inlineStr">
        <is>
          <t xml:space="preserve">Mazda</t>
        </is>
      </c>
      <c r="F25559" s="0" t="s">
        <v>13</v>
      </c>
      <c r="G25559" s="0" t="s">
        <v>49</v>
      </c>
      <c r="H25559" s="5">
        <v>5803.104800</v>
      </c>
    </row>
    <row r="25560" spans="1:9">
      <c r="A25560" s="22" t="str">
        <f>HYPERLINK("https://app.vivvix.com/360/KMI/IntelliDrive/ApplUI/Pages/CreativePages/CustomReportCreativeDetail.aspx?App=23&amp;ReportView=4&amp;Qid=1711279&amp;Row=25552&amp;Col=1","No Title Assigned - #15285969976")</f>
        <v/>
      </c>
      <c r="B25560" s="0" t="s">
        <v>34729</v>
      </c>
      <c r="C25560" s="0" t="s">
        <v>34730</v>
      </c>
      <c r="D25560" s="0" t="s">
        <v>34730</v>
      </c>
      <c r="E25560" s="0" t="inlineStr">
        <is>
          <t xml:space="preserve">Mazda</t>
        </is>
      </c>
      <c r="F25560" s="0" t="s">
        <v>13</v>
      </c>
      <c r="G25560" s="0" t="s">
        <v>49</v>
      </c>
      <c r="H25560" s="5">
        <v>1450.776200</v>
      </c>
    </row>
    <row r="25561" spans="1:9">
      <c r="A25561" s="22" t="str">
        <f>HYPERLINK("https://app.vivvix.com/360/KMI/IntelliDrive/ApplUI/Pages/CreativePages/CustomReportCreativeDetail.aspx?App=23&amp;ReportView=4&amp;Qid=1711279&amp;Row=25553&amp;Col=1","No Title Assigned - #15285993062")</f>
        <v/>
      </c>
      <c r="B25561" s="0" t="s">
        <v>34731</v>
      </c>
      <c r="C25561" s="0" t="s">
        <v>34732</v>
      </c>
      <c r="D25561" s="0" t="s">
        <v>34732</v>
      </c>
      <c r="E25561" s="0" t="inlineStr">
        <is>
          <t xml:space="preserve">Mazda</t>
        </is>
      </c>
      <c r="F25561" s="0" t="s">
        <v>13</v>
      </c>
      <c r="G25561" s="0" t="s">
        <v>49</v>
      </c>
      <c r="H25561" s="5">
        <v>79.424800</v>
      </c>
    </row>
    <row r="25562" spans="1:9">
      <c r="A25562" s="22" t="str">
        <f>HYPERLINK("https://app.vivvix.com/360/KMI/IntelliDrive/ApplUI/Pages/CreativePages/CustomReportCreativeDetail.aspx?App=23&amp;ReportView=4&amp;Qid=1711279&amp;Row=25554&amp;Col=1","No Title Assigned - #15285998538")</f>
        <v/>
      </c>
      <c r="B25562" s="0" t="s">
        <v>34733</v>
      </c>
      <c r="C25562" s="0" t="s">
        <v>34734</v>
      </c>
      <c r="D25562" s="0" t="s">
        <v>34734</v>
      </c>
      <c r="E25562" s="0" t="inlineStr">
        <is>
          <t xml:space="preserve">Mazda</t>
        </is>
      </c>
      <c r="F25562" s="0" t="s">
        <v>13</v>
      </c>
      <c r="G25562" s="0" t="s">
        <v>49</v>
      </c>
      <c r="H25562" s="5">
        <v>35.793700</v>
      </c>
    </row>
    <row r="25563" spans="1:9">
      <c r="A25563" s="22" t="str">
        <f>HYPERLINK("https://app.vivvix.com/360/KMI/IntelliDrive/ApplUI/Pages/CreativePages/CustomReportCreativeDetail.aspx?App=23&amp;ReportView=4&amp;Qid=1711279&amp;Row=25555&amp;Col=1","No Title Assigned - #15285999132")</f>
        <v/>
      </c>
      <c r="B25563" s="0" t="s">
        <v>34735</v>
      </c>
      <c r="C25563" s="0" t="s">
        <v>34736</v>
      </c>
      <c r="D25563" s="0" t="s">
        <v>34736</v>
      </c>
      <c r="E25563" s="0" t="inlineStr">
        <is>
          <t xml:space="preserve">Mazda</t>
        </is>
      </c>
      <c r="F25563" s="0" t="s">
        <v>13</v>
      </c>
      <c r="G25563" s="0" t="s">
        <v>49</v>
      </c>
      <c r="H25563" s="5">
        <v>2655.937000</v>
      </c>
    </row>
    <row r="25564" spans="1:9">
      <c r="A25564" s="22" t="str">
        <f>HYPERLINK("https://app.vivvix.com/360/KMI/IntelliDrive/ApplUI/Pages/CreativePages/CustomReportCreativeDetail.aspx?App=23&amp;ReportView=4&amp;Qid=1711279&amp;Row=25556&amp;Col=1","No Title Assigned - #15286003855")</f>
        <v/>
      </c>
      <c r="B25564" s="0" t="s">
        <v>34737</v>
      </c>
      <c r="C25564" s="0" t="s">
        <v>34738</v>
      </c>
      <c r="D25564" s="0" t="s">
        <v>34738</v>
      </c>
      <c r="E25564" s="0" t="inlineStr">
        <is>
          <t xml:space="preserve">Mazda</t>
        </is>
      </c>
      <c r="F25564" s="0" t="s">
        <v>13</v>
      </c>
      <c r="G25564" s="0" t="s">
        <v>49</v>
      </c>
      <c r="H25564" s="5">
        <v>2252.148800</v>
      </c>
    </row>
    <row r="25565" spans="1:9">
      <c r="A25565" s="22" t="str">
        <f>HYPERLINK("https://app.vivvix.com/360/KMI/IntelliDrive/ApplUI/Pages/CreativePages/CustomReportCreativeDetail.aspx?App=23&amp;ReportView=4&amp;Qid=1711279&amp;Row=25557&amp;Col=1","No Title Assigned - #15286008087")</f>
        <v/>
      </c>
      <c r="B25565" s="0" t="s">
        <v>34739</v>
      </c>
      <c r="C25565" s="0" t="s">
        <v>34740</v>
      </c>
      <c r="D25565" s="0" t="s">
        <v>34740</v>
      </c>
      <c r="E25565" s="0" t="inlineStr">
        <is>
          <t xml:space="preserve">Mazda</t>
        </is>
      </c>
      <c r="F25565" s="0" t="s">
        <v>21</v>
      </c>
      <c r="G25565" s="0" t="s">
        <v>22</v>
      </c>
      <c r="H25565" s="5">
        <v>232.645800</v>
      </c>
    </row>
    <row r="25566" spans="1:9">
      <c r="A25566" s="22" t="str">
        <f>HYPERLINK("https://app.vivvix.com/360/KMI/IntelliDrive/ApplUI/Pages/CreativePages/CustomReportCreativeDetail.aspx?App=23&amp;ReportView=4&amp;Qid=1711279&amp;Row=25558&amp;Col=1","No Title Assigned - #15286017430")</f>
        <v/>
      </c>
      <c r="B25566" s="0" t="s">
        <v>34741</v>
      </c>
      <c r="C25566" s="0" t="s">
        <v>34742</v>
      </c>
      <c r="D25566" s="0" t="s">
        <v>34742</v>
      </c>
      <c r="E25566" s="0" t="inlineStr">
        <is>
          <t xml:space="preserve">Mazda</t>
        </is>
      </c>
      <c r="F25566" s="0" t="s">
        <v>369</v>
      </c>
      <c r="G25566" s="0" t="s">
        <v>370</v>
      </c>
      <c r="H25566" s="5">
        <v>374.147300</v>
      </c>
    </row>
    <row r="25567" spans="1:9">
      <c r="A25567" s="22" t="str">
        <f>HYPERLINK("https://app.vivvix.com/360/KMI/IntelliDrive/ApplUI/Pages/CreativePages/CustomReportCreativeDetail.aspx?App=23&amp;ReportView=4&amp;Qid=1711279&amp;Row=25559&amp;Col=1","No Title Assigned - #15286021560")</f>
        <v/>
      </c>
      <c r="B25567" s="0" t="s">
        <v>34743</v>
      </c>
      <c r="C25567" s="0" t="s">
        <v>34744</v>
      </c>
      <c r="D25567" s="0" t="s">
        <v>34744</v>
      </c>
      <c r="E25567" s="0" t="inlineStr">
        <is>
          <t xml:space="preserve">Mazda</t>
        </is>
      </c>
      <c r="F25567" s="0" t="s">
        <v>13</v>
      </c>
      <c r="G25567" s="0" t="s">
        <v>49</v>
      </c>
      <c r="H25567" s="5">
        <v>804.165800</v>
      </c>
    </row>
    <row r="25568" spans="1:9">
      <c r="A25568" s="22" t="str">
        <f>HYPERLINK("https://app.vivvix.com/360/KMI/IntelliDrive/ApplUI/Pages/CreativePages/CustomReportCreativeDetail.aspx?App=23&amp;ReportView=4&amp;Qid=1711279&amp;Row=25560&amp;Col=1","No Title Assigned - #15286023596")</f>
        <v/>
      </c>
      <c r="B25568" s="0" t="s">
        <v>34745</v>
      </c>
      <c r="C25568" s="0" t="s">
        <v>34746</v>
      </c>
      <c r="D25568" s="0" t="s">
        <v>34746</v>
      </c>
      <c r="E25568" s="0" t="inlineStr">
        <is>
          <t xml:space="preserve">Mazda</t>
        </is>
      </c>
      <c r="F25568" s="0" t="s">
        <v>13</v>
      </c>
      <c r="G25568" s="0" t="s">
        <v>49</v>
      </c>
      <c r="H25568" s="5">
        <v>118.852100</v>
      </c>
    </row>
    <row r="25569" spans="1:9">
      <c r="A25569" s="22" t="str">
        <f>HYPERLINK("https://app.vivvix.com/360/KMI/IntelliDrive/ApplUI/Pages/CreativePages/CustomReportCreativeDetail.aspx?App=23&amp;ReportView=4&amp;Qid=1711279&amp;Row=25561&amp;Col=1","No Title Assigned - #15286023776")</f>
        <v/>
      </c>
      <c r="B25569" s="0" t="s">
        <v>34747</v>
      </c>
      <c r="C25569" s="0" t="s">
        <v>34748</v>
      </c>
      <c r="D25569" s="0" t="s">
        <v>34748</v>
      </c>
      <c r="E25569" s="0" t="inlineStr">
        <is>
          <t xml:space="preserve">Mazda</t>
        </is>
      </c>
      <c r="F25569" s="0" t="s">
        <v>13</v>
      </c>
      <c r="G25569" s="0" t="s">
        <v>49</v>
      </c>
      <c r="H25569" s="5">
        <v>1450.776200</v>
      </c>
    </row>
    <row r="25570" spans="1:9">
      <c r="A25570" s="22" t="str">
        <f>HYPERLINK("https://app.vivvix.com/360/KMI/IntelliDrive/ApplUI/Pages/CreativePages/CustomReportCreativeDetail.aspx?App=23&amp;ReportView=4&amp;Qid=1711279&amp;Row=25562&amp;Col=1","No Title Assigned - #15286028204")</f>
        <v/>
      </c>
      <c r="B25570" s="0" t="s">
        <v>34749</v>
      </c>
      <c r="C25570" s="0" t="s">
        <v>34750</v>
      </c>
      <c r="D25570" s="0" t="s">
        <v>34750</v>
      </c>
      <c r="E25570" s="0" t="inlineStr">
        <is>
          <t xml:space="preserve">Mazda</t>
        </is>
      </c>
      <c r="F25570" s="0" t="inlineStr">
        <is>
          <t xml:space="preserve">Mazda</t>
        </is>
      </c>
      <c r="G25570" s="0" t="s">
        <v>2413</v>
      </c>
      <c r="H25570" s="5">
        <v>41099.617200</v>
      </c>
    </row>
    <row r="25571" spans="1:9">
      <c r="A25571" s="22" t="str">
        <f>HYPERLINK("https://app.vivvix.com/360/KMI/IntelliDrive/ApplUI/Pages/CreativePages/CustomReportCreativeDetail.aspx?App=23&amp;ReportView=4&amp;Qid=1711279&amp;Row=25563&amp;Col=1","No Title Assigned - #15286029119")</f>
        <v/>
      </c>
      <c r="B25571" s="0" t="s">
        <v>34751</v>
      </c>
      <c r="C25571" s="0" t="s">
        <v>34752</v>
      </c>
      <c r="D25571" s="0" t="s">
        <v>34752</v>
      </c>
      <c r="E25571" s="0" t="inlineStr">
        <is>
          <t xml:space="preserve">Mazda</t>
        </is>
      </c>
      <c r="F25571" s="0" t="inlineStr">
        <is>
          <t xml:space="preserve">Mazda</t>
        </is>
      </c>
      <c r="G25571" s="0" t="s">
        <v>2413</v>
      </c>
      <c r="H25571" s="5">
        <v>686.990300</v>
      </c>
    </row>
    <row r="25572" spans="1:9">
      <c r="A25572" s="22" t="str">
        <f>HYPERLINK("https://app.vivvix.com/360/KMI/IntelliDrive/ApplUI/Pages/CreativePages/CustomReportCreativeDetail.aspx?App=23&amp;ReportView=4&amp;Qid=1711279&amp;Row=25564&amp;Col=1","No Title Assigned - #15286029312")</f>
        <v/>
      </c>
      <c r="B25572" s="0" t="s">
        <v>34753</v>
      </c>
      <c r="C25572" s="0" t="s">
        <v>34754</v>
      </c>
      <c r="D25572" s="0" t="s">
        <v>34754</v>
      </c>
      <c r="E25572" s="0" t="inlineStr">
        <is>
          <t xml:space="preserve">Mazda</t>
        </is>
      </c>
      <c r="F25572" s="0" t="s">
        <v>13</v>
      </c>
      <c r="G25572" s="0" t="s">
        <v>49</v>
      </c>
      <c r="H25572" s="5">
        <v>111811.554700</v>
      </c>
    </row>
    <row r="25573" spans="1:9">
      <c r="A25573" s="22" t="str">
        <f>HYPERLINK("https://app.vivvix.com/360/KMI/IntelliDrive/ApplUI/Pages/CreativePages/CustomReportCreativeDetail.aspx?App=23&amp;ReportView=4&amp;Qid=1711279&amp;Row=25565&amp;Col=1","No Title Assigned - #15286030715")</f>
        <v/>
      </c>
      <c r="B25573" s="0" t="s">
        <v>34755</v>
      </c>
      <c r="C25573" s="0" t="s">
        <v>34756</v>
      </c>
      <c r="D25573" s="0" t="s">
        <v>34756</v>
      </c>
      <c r="E25573" s="0" t="inlineStr">
        <is>
          <t xml:space="preserve">Mazda</t>
        </is>
      </c>
      <c r="F25573" s="0" t="s">
        <v>13</v>
      </c>
      <c r="G25573" s="0" t="s">
        <v>49</v>
      </c>
      <c r="H25573" s="5">
        <v>430.797600</v>
      </c>
    </row>
    <row r="25574" spans="1:9">
      <c r="A25574" s="22" t="str">
        <f>HYPERLINK("https://app.vivvix.com/360/KMI/IntelliDrive/ApplUI/Pages/CreativePages/CustomReportCreativeDetail.aspx?App=23&amp;ReportView=4&amp;Qid=1711279&amp;Row=25566&amp;Col=1","No Title Assigned - #15286031720")</f>
        <v/>
      </c>
      <c r="B25574" s="0" t="s">
        <v>34757</v>
      </c>
      <c r="C25574" s="0" t="s">
        <v>34758</v>
      </c>
      <c r="D25574" s="0" t="s">
        <v>34758</v>
      </c>
      <c r="E25574" s="0" t="inlineStr">
        <is>
          <t xml:space="preserve">Mazda</t>
        </is>
      </c>
      <c r="F25574" s="0" t="s">
        <v>21</v>
      </c>
      <c r="G25574" s="0" t="s">
        <v>22</v>
      </c>
      <c r="H25574" s="5">
        <v>1978.968800</v>
      </c>
    </row>
    <row r="25575" spans="1:9">
      <c r="A25575" s="22" t="str">
        <f>HYPERLINK("https://app.vivvix.com/360/KMI/IntelliDrive/ApplUI/Pages/CreativePages/CustomReportCreativeDetail.aspx?App=23&amp;ReportView=4&amp;Qid=1711279&amp;Row=25567&amp;Col=1","No Title Assigned - #15286032521")</f>
        <v/>
      </c>
      <c r="B25575" s="0" t="s">
        <v>34759</v>
      </c>
      <c r="C25575" s="0" t="s">
        <v>34760</v>
      </c>
      <c r="D25575" s="0" t="s">
        <v>34760</v>
      </c>
      <c r="E25575" s="0" t="inlineStr">
        <is>
          <t xml:space="preserve">Mazda</t>
        </is>
      </c>
      <c r="F25575" s="0" t="inlineStr">
        <is>
          <t xml:space="preserve">Mazda</t>
        </is>
      </c>
      <c r="G25575" s="0" t="s">
        <v>2413</v>
      </c>
      <c r="H25575" s="5">
        <v>529.675100</v>
      </c>
    </row>
    <row r="25576" spans="1:9">
      <c r="A25576" s="22" t="str">
        <f>HYPERLINK("https://app.vivvix.com/360/KMI/IntelliDrive/ApplUI/Pages/CreativePages/CustomReportCreativeDetail.aspx?App=23&amp;ReportView=4&amp;Qid=1711279&amp;Row=25568&amp;Col=1","No Title Assigned - #15286035938")</f>
        <v/>
      </c>
      <c r="B25576" s="0" t="s">
        <v>34761</v>
      </c>
      <c r="C25576" s="0" t="s">
        <v>34762</v>
      </c>
      <c r="D25576" s="0" t="s">
        <v>34762</v>
      </c>
      <c r="E25576" s="0" t="inlineStr">
        <is>
          <t xml:space="preserve">Mazda</t>
        </is>
      </c>
      <c r="F25576" s="0" t="s">
        <v>13</v>
      </c>
      <c r="G25576" s="0" t="s">
        <v>49</v>
      </c>
      <c r="H25576" s="5">
        <v>320.751400</v>
      </c>
    </row>
    <row r="25577" spans="1:9">
      <c r="A25577" s="22" t="str">
        <f>HYPERLINK("https://app.vivvix.com/360/KMI/IntelliDrive/ApplUI/Pages/CreativePages/CustomReportCreativeDetail.aspx?App=23&amp;ReportView=4&amp;Qid=1711279&amp;Row=25569&amp;Col=1","No Title Assigned - #15286037480")</f>
        <v/>
      </c>
      <c r="B25577" s="0" t="s">
        <v>34763</v>
      </c>
      <c r="C25577" s="0" t="s">
        <v>34764</v>
      </c>
      <c r="D25577" s="0" t="s">
        <v>34764</v>
      </c>
      <c r="E25577" s="0" t="inlineStr">
        <is>
          <t xml:space="preserve">Mazda</t>
        </is>
      </c>
      <c r="F25577" s="0" t="s">
        <v>13</v>
      </c>
      <c r="G25577" s="0" t="s">
        <v>49</v>
      </c>
      <c r="H25577" s="5">
        <v>402.082900</v>
      </c>
    </row>
    <row r="25578" spans="1:9">
      <c r="A25578" s="22" t="str">
        <f>HYPERLINK("https://app.vivvix.com/360/KMI/IntelliDrive/ApplUI/Pages/CreativePages/CustomReportCreativeDetail.aspx?App=23&amp;ReportView=4&amp;Qid=1711279&amp;Row=25570&amp;Col=1","No Title Assigned - #15286037919")</f>
        <v/>
      </c>
      <c r="B25578" s="0" t="s">
        <v>34765</v>
      </c>
      <c r="C25578" s="0" t="s">
        <v>34766</v>
      </c>
      <c r="D25578" s="0" t="s">
        <v>34766</v>
      </c>
      <c r="E25578" s="0" t="inlineStr">
        <is>
          <t xml:space="preserve">Mazda</t>
        </is>
      </c>
      <c r="F25578" s="0" t="s">
        <v>13</v>
      </c>
      <c r="G25578" s="0" t="s">
        <v>49</v>
      </c>
      <c r="H25578" s="5">
        <v>8536.468500</v>
      </c>
    </row>
    <row r="25579" spans="1:9">
      <c r="A25579" s="22" t="str">
        <f>HYPERLINK("https://app.vivvix.com/360/KMI/IntelliDrive/ApplUI/Pages/CreativePages/CustomReportCreativeDetail.aspx?App=23&amp;ReportView=4&amp;Qid=1711279&amp;Row=25571&amp;Col=1","No Title Assigned - #15286038151")</f>
        <v/>
      </c>
      <c r="B25579" s="0" t="s">
        <v>34767</v>
      </c>
      <c r="C25579" s="0" t="s">
        <v>34768</v>
      </c>
      <c r="D25579" s="0" t="s">
        <v>34768</v>
      </c>
      <c r="E25579" s="0" t="inlineStr">
        <is>
          <t xml:space="preserve">Mazda</t>
        </is>
      </c>
      <c r="F25579" s="0" t="s">
        <v>13</v>
      </c>
      <c r="G25579" s="0" t="s">
        <v>49</v>
      </c>
      <c r="H25579" s="5">
        <v>897.330800</v>
      </c>
    </row>
    <row r="25580" spans="1:9">
      <c r="A25580" s="22" t="str">
        <f>HYPERLINK("https://app.vivvix.com/360/KMI/IntelliDrive/ApplUI/Pages/CreativePages/CustomReportCreativeDetail.aspx?App=23&amp;ReportView=4&amp;Qid=1711279&amp;Row=25572&amp;Col=1","No Title Assigned - #15286038820")</f>
        <v/>
      </c>
      <c r="B25580" s="0" t="s">
        <v>34769</v>
      </c>
      <c r="C25580" s="0" t="s">
        <v>34770</v>
      </c>
      <c r="D25580" s="0" t="s">
        <v>34770</v>
      </c>
      <c r="E25580" s="0" t="inlineStr">
        <is>
          <t xml:space="preserve">Mazda</t>
        </is>
      </c>
      <c r="F25580" s="0" t="inlineStr">
        <is>
          <t xml:space="preserve">Mazda</t>
        </is>
      </c>
      <c r="G25580" s="0" t="s">
        <v>210</v>
      </c>
      <c r="H25580" s="5">
        <v>444.124700</v>
      </c>
    </row>
    <row r="25581" spans="1:9">
      <c r="A25581" s="22" t="str">
        <f>HYPERLINK("https://app.vivvix.com/360/KMI/IntelliDrive/ApplUI/Pages/CreativePages/CustomReportCreativeDetail.aspx?App=23&amp;ReportView=4&amp;Qid=1711279&amp;Row=25573&amp;Col=1","No Title Assigned - #15286040142")</f>
        <v/>
      </c>
      <c r="B25581" s="0" t="s">
        <v>34771</v>
      </c>
      <c r="C25581" s="0" t="s">
        <v>34772</v>
      </c>
      <c r="D25581" s="0" t="s">
        <v>34772</v>
      </c>
      <c r="E25581" s="0" t="inlineStr">
        <is>
          <t xml:space="preserve">Mazda</t>
        </is>
      </c>
      <c r="F25581" s="0" t="s">
        <v>13</v>
      </c>
      <c r="G25581" s="0" t="s">
        <v>49</v>
      </c>
      <c r="H25581" s="5">
        <v>306.431100</v>
      </c>
    </row>
    <row r="25582" spans="1:9">
      <c r="A25582" s="22" t="str">
        <f>HYPERLINK("https://app.vivvix.com/360/KMI/IntelliDrive/ApplUI/Pages/CreativePages/CustomReportCreativeDetail.aspx?App=23&amp;ReportView=4&amp;Qid=1711279&amp;Row=25574&amp;Col=1","No Title Assigned - #15286040182")</f>
        <v/>
      </c>
      <c r="B25582" s="0" t="s">
        <v>34773</v>
      </c>
      <c r="C25582" s="0" t="s">
        <v>34774</v>
      </c>
      <c r="D25582" s="0" t="s">
        <v>34774</v>
      </c>
      <c r="E25582" s="0" t="inlineStr">
        <is>
          <t xml:space="preserve">Mazda</t>
        </is>
      </c>
      <c r="F25582" s="0" t="s">
        <v>13</v>
      </c>
      <c r="G25582" s="0" t="s">
        <v>49</v>
      </c>
      <c r="H25582" s="5">
        <v>402.082900</v>
      </c>
    </row>
    <row r="25583" spans="1:9">
      <c r="A25583" s="22" t="str">
        <f>HYPERLINK("https://app.vivvix.com/360/KMI/IntelliDrive/ApplUI/Pages/CreativePages/CustomReportCreativeDetail.aspx?App=23&amp;ReportView=4&amp;Qid=1711279&amp;Row=25575&amp;Col=1","No Title Assigned - #15286045394")</f>
        <v/>
      </c>
      <c r="B25583" s="0" t="s">
        <v>34775</v>
      </c>
      <c r="C25583" s="0" t="s">
        <v>34776</v>
      </c>
      <c r="D25583" s="0" t="s">
        <v>34776</v>
      </c>
      <c r="E25583" s="0" t="inlineStr">
        <is>
          <t xml:space="preserve">Mazda</t>
        </is>
      </c>
      <c r="F25583" s="0" t="s">
        <v>13</v>
      </c>
      <c r="G25583" s="0" t="s">
        <v>49</v>
      </c>
      <c r="H25583" s="5">
        <v>374.147300</v>
      </c>
    </row>
    <row r="25584" spans="1:9">
      <c r="A25584" s="22" t="str">
        <f>HYPERLINK("https://app.vivvix.com/360/KMI/IntelliDrive/ApplUI/Pages/CreativePages/CustomReportCreativeDetail.aspx?App=23&amp;ReportView=4&amp;Qid=1711279&amp;Row=25576&amp;Col=1","No Title Assigned - #15286045936")</f>
        <v/>
      </c>
      <c r="B25584" s="0" t="s">
        <v>34777</v>
      </c>
      <c r="C25584" s="0" t="s">
        <v>34778</v>
      </c>
      <c r="D25584" s="0" t="s">
        <v>34778</v>
      </c>
      <c r="E25584" s="0" t="inlineStr">
        <is>
          <t xml:space="preserve">Mazda</t>
        </is>
      </c>
      <c r="F25584" s="0" t="s">
        <v>17</v>
      </c>
      <c r="G25584" s="0" t="s">
        <v>33</v>
      </c>
      <c r="H25584" s="5">
        <v>13878.499000</v>
      </c>
    </row>
    <row r="25585" spans="1:9">
      <c r="A25585" s="22" t="str">
        <f>HYPERLINK("https://app.vivvix.com/360/KMI/IntelliDrive/ApplUI/Pages/CreativePages/CustomReportCreativeDetail.aspx?App=23&amp;ReportView=4&amp;Qid=1711279&amp;Row=25577&amp;Col=1","No Title Assigned - #15286064538")</f>
        <v/>
      </c>
      <c r="B25585" s="0" t="s">
        <v>34779</v>
      </c>
      <c r="C25585" s="0" t="s">
        <v>34780</v>
      </c>
      <c r="D25585" s="0" t="s">
        <v>34780</v>
      </c>
      <c r="E25585" s="0" t="inlineStr">
        <is>
          <t xml:space="preserve">Mazda</t>
        </is>
      </c>
      <c r="F25585" s="0" t="s">
        <v>13</v>
      </c>
      <c r="G25585" s="0" t="s">
        <v>49</v>
      </c>
      <c r="H25585" s="5">
        <v>670.311900</v>
      </c>
    </row>
    <row r="25586" spans="1:9">
      <c r="A25586" s="22" t="str">
        <f>HYPERLINK("https://app.vivvix.com/360/KMI/IntelliDrive/ApplUI/Pages/CreativePages/CustomReportCreativeDetail.aspx?App=23&amp;ReportView=4&amp;Qid=1711279&amp;Row=25578&amp;Col=1","No Title Assigned - #15286065884")</f>
        <v/>
      </c>
      <c r="B25586" s="0" t="s">
        <v>34781</v>
      </c>
      <c r="C25586" s="0" t="s">
        <v>34782</v>
      </c>
      <c r="D25586" s="0" t="s">
        <v>34782</v>
      </c>
      <c r="E25586" s="0" t="inlineStr">
        <is>
          <t xml:space="preserve">Mazda</t>
        </is>
      </c>
      <c r="F25586" s="0" t="s">
        <v>13</v>
      </c>
      <c r="G25586" s="0" t="s">
        <v>49</v>
      </c>
      <c r="H25586" s="5">
        <v>2814.600300</v>
      </c>
    </row>
    <row r="25587" spans="1:9">
      <c r="A25587" s="22" t="str">
        <f>HYPERLINK("https://app.vivvix.com/360/KMI/IntelliDrive/ApplUI/Pages/CreativePages/CustomReportCreativeDetail.aspx?App=23&amp;ReportView=4&amp;Qid=1711279&amp;Row=25579&amp;Col=1","No Title Assigned - #15286067701")</f>
        <v/>
      </c>
      <c r="B25587" s="0" t="s">
        <v>34783</v>
      </c>
      <c r="C25587" s="0" t="s">
        <v>34784</v>
      </c>
      <c r="D25587" s="0" t="s">
        <v>34784</v>
      </c>
      <c r="E25587" s="0" t="inlineStr">
        <is>
          <t xml:space="preserve">Mazda</t>
        </is>
      </c>
      <c r="F25587" s="0" t="s">
        <v>13</v>
      </c>
      <c r="G25587" s="0" t="s">
        <v>49</v>
      </c>
      <c r="H25587" s="5">
        <v>570.010100</v>
      </c>
    </row>
    <row r="25588" spans="1:9">
      <c r="A25588" s="22" t="str">
        <f>HYPERLINK("https://app.vivvix.com/360/KMI/IntelliDrive/ApplUI/Pages/CreativePages/CustomReportCreativeDetail.aspx?App=23&amp;ReportView=4&amp;Qid=1711279&amp;Row=25580&amp;Col=1","No Title Assigned - #15286067702")</f>
        <v/>
      </c>
      <c r="B25588" s="0" t="s">
        <v>34785</v>
      </c>
      <c r="C25588" s="0" t="s">
        <v>34786</v>
      </c>
      <c r="D25588" s="0" t="s">
        <v>34786</v>
      </c>
      <c r="E25588" s="0" t="inlineStr">
        <is>
          <t xml:space="preserve">Mazda</t>
        </is>
      </c>
      <c r="F25588" s="0" t="s">
        <v>13</v>
      </c>
      <c r="G25588" s="0" t="s">
        <v>49</v>
      </c>
      <c r="H25588" s="5">
        <v>570.010100</v>
      </c>
    </row>
    <row r="25589" spans="1:9">
      <c r="A25589" s="22" t="str">
        <f>HYPERLINK("https://app.vivvix.com/360/KMI/IntelliDrive/ApplUI/Pages/CreativePages/CustomReportCreativeDetail.aspx?App=23&amp;ReportView=4&amp;Qid=1711279&amp;Row=25581&amp;Col=1","No Title Assigned - #15286197950")</f>
        <v/>
      </c>
      <c r="B25589" s="0" t="s">
        <v>34787</v>
      </c>
      <c r="C25589" s="0" t="s">
        <v>34788</v>
      </c>
      <c r="D25589" s="0" t="s">
        <v>34635</v>
      </c>
      <c r="E25589" s="0" t="inlineStr">
        <is>
          <t xml:space="preserve">Mazda</t>
        </is>
      </c>
      <c r="F25589" s="0" t="s">
        <v>13</v>
      </c>
      <c r="G25589" s="0" t="s">
        <v>49</v>
      </c>
      <c r="H25589" s="5">
        <v>1023.779900</v>
      </c>
    </row>
    <row r="25590" spans="1:9">
      <c r="A25590" s="22" t="str">
        <f>HYPERLINK("https://app.vivvix.com/360/KMI/IntelliDrive/ApplUI/Pages/CreativePages/CustomReportCreativeDetail.aspx?App=23&amp;ReportView=4&amp;Qid=1711279&amp;Row=25582&amp;Col=1","No Title Assigned - #15286241622")</f>
        <v/>
      </c>
      <c r="B25590" s="0" t="s">
        <v>34789</v>
      </c>
      <c r="C25590" s="0" t="s">
        <v>34790</v>
      </c>
      <c r="D25590" s="0" t="s">
        <v>34790</v>
      </c>
      <c r="E25590" s="0" t="inlineStr">
        <is>
          <t xml:space="preserve">Mazda</t>
        </is>
      </c>
      <c r="F25590" s="0" t="inlineStr">
        <is>
          <t xml:space="preserve">Mazda</t>
        </is>
      </c>
      <c r="G25590" s="0" t="s">
        <v>210</v>
      </c>
      <c r="H25590" s="5">
        <v>479.204600</v>
      </c>
    </row>
    <row r="25591" spans="1:9">
      <c r="A25591" s="22" t="str">
        <f>HYPERLINK("https://app.vivvix.com/360/KMI/IntelliDrive/ApplUI/Pages/CreativePages/CustomReportCreativeDetail.aspx?App=23&amp;ReportView=4&amp;Qid=1711279&amp;Row=25583&amp;Col=1","No Title Assigned - #15286287017")</f>
        <v/>
      </c>
      <c r="B25591" s="0" t="s">
        <v>34791</v>
      </c>
      <c r="C25591" s="0" t="s">
        <v>34792</v>
      </c>
      <c r="D25591" s="0" t="s">
        <v>34792</v>
      </c>
      <c r="E25591" s="0" t="inlineStr">
        <is>
          <t xml:space="preserve">Mazda</t>
        </is>
      </c>
      <c r="F25591" s="0" t="s">
        <v>52</v>
      </c>
      <c r="G25591" s="0" t="s">
        <v>325</v>
      </c>
      <c r="H25591" s="5">
        <v>2355.416800</v>
      </c>
    </row>
    <row r="25592" spans="1:9">
      <c r="A25592" s="22" t="str">
        <f>HYPERLINK("https://app.vivvix.com/360/KMI/IntelliDrive/ApplUI/Pages/CreativePages/CustomReportCreativeDetail.aspx?App=23&amp;ReportView=4&amp;Qid=1711279&amp;Row=25584&amp;Col=1","Now Venture Securely")</f>
        <v/>
      </c>
      <c r="B25592" s="0" t="s">
        <v>34793</v>
      </c>
      <c r="C25592" s="0" t="s">
        <v>34794</v>
      </c>
      <c r="D25592" s="0" t="s">
        <v>34794</v>
      </c>
      <c r="E25592" s="0" t="inlineStr">
        <is>
          <t xml:space="preserve">Mazda</t>
        </is>
      </c>
      <c r="F25592" s="0" t="s">
        <v>28</v>
      </c>
      <c r="G25592" s="0" t="s">
        <v>29</v>
      </c>
      <c r="H25592" s="5">
        <v>12.762000</v>
      </c>
    </row>
    <row r="25593" spans="1:9">
      <c r="A25593" s="22" t="str">
        <f>HYPERLINK("https://app.vivvix.com/360/KMI/IntelliDrive/ApplUI/Pages/CreativePages/CustomReportCreativeDetail.aspx?App=23&amp;ReportView=4&amp;Qid=1711279&amp;Row=25585&amp;Col=1","Off road premium 4wd")</f>
        <v/>
      </c>
      <c r="B25593" s="0" t="s">
        <v>34795</v>
      </c>
      <c r="E25593" s="0" t="inlineStr">
        <is>
          <t xml:space="preserve">Mazda</t>
        </is>
      </c>
      <c r="F25593" s="0" t="s">
        <v>28</v>
      </c>
      <c r="G25593" s="0" t="s">
        <v>29</v>
      </c>
      <c r="H25593" s="5">
        <v>375.070000</v>
      </c>
    </row>
    <row r="25594" spans="1:9">
      <c r="A25594" s="22" t="str">
        <f>HYPERLINK("https://app.vivvix.com/360/KMI/IntelliDrive/ApplUI/Pages/CreativePages/CustomReportCreativeDetail.aspx?App=23&amp;ReportView=4&amp;Qid=1711279&amp;Row=25586&amp;Col=1","outside city limits Beyond the Expected")</f>
        <v/>
      </c>
      <c r="B25594" s="0" t="s">
        <v>34796</v>
      </c>
      <c r="C25594" s="0" t="s">
        <v>34797</v>
      </c>
      <c r="D25594" s="0" t="s">
        <v>34797</v>
      </c>
      <c r="E25594" s="0" t="inlineStr">
        <is>
          <t xml:space="preserve">Mazda</t>
        </is>
      </c>
      <c r="F25594" s="0" t="s">
        <v>13</v>
      </c>
      <c r="G25594" s="0" t="s">
        <v>49</v>
      </c>
      <c r="H25594" s="5">
        <v>157169.653000</v>
      </c>
    </row>
    <row r="25595" spans="1:9">
      <c r="A25595" s="22" t="str">
        <f>HYPERLINK("https://app.vivvix.com/360/KMI/IntelliDrive/ApplUI/Pages/CreativePages/CustomReportCreativeDetail.aspx?App=23&amp;ReportView=4&amp;Qid=1711279&amp;Row=25587&amp;Col=1","Panaromic Moonroof Car")</f>
        <v/>
      </c>
      <c r="B25595" s="0" t="s">
        <v>34798</v>
      </c>
      <c r="C25595" s="0" t="s">
        <v>34799</v>
      </c>
      <c r="D25595" s="0" t="s">
        <v>34799</v>
      </c>
      <c r="E25595" s="0" t="inlineStr">
        <is>
          <t xml:space="preserve">Mazda</t>
        </is>
      </c>
      <c r="F25595" s="0" t="s">
        <v>52</v>
      </c>
      <c r="G25595" s="0" t="s">
        <v>325</v>
      </c>
      <c r="H25595" s="5">
        <v>1042.911000</v>
      </c>
    </row>
    <row r="25596" spans="1:9">
      <c r="A25596" s="22" t="str">
        <f>HYPERLINK("https://app.vivvix.com/360/KMI/IntelliDrive/ApplUI/Pages/CreativePages/CustomReportCreativeDetail.aspx?App=23&amp;ReportView=4&amp;Qid=1711279&amp;Row=25588&amp;Col=1","Panaromic Moonroof Car")</f>
        <v/>
      </c>
      <c r="B25596" s="0" t="s">
        <v>34798</v>
      </c>
      <c r="E25596" s="0" t="inlineStr">
        <is>
          <t xml:space="preserve">Mazda</t>
        </is>
      </c>
      <c r="F25596" s="0" t="s">
        <v>52</v>
      </c>
      <c r="G25596" s="0" t="s">
        <v>325</v>
      </c>
      <c r="H25596" s="5">
        <v>4128.991000</v>
      </c>
    </row>
    <row r="25597" spans="1:9">
      <c r="A25597" s="22" t="str">
        <f>HYPERLINK("https://app.vivvix.com/360/KMI/IntelliDrive/ApplUI/Pages/CreativePages/CustomReportCreativeDetail.aspx?App=23&amp;ReportView=4&amp;Qid=1711279&amp;Row=25589&amp;Col=1","Perfect Car For Your Family")</f>
        <v/>
      </c>
      <c r="B25597" s="0" t="s">
        <v>34800</v>
      </c>
      <c r="C25597" s="0" t="s">
        <v>34801</v>
      </c>
      <c r="D25597" s="0" t="s">
        <v>34801</v>
      </c>
      <c r="E25597" s="0" t="inlineStr">
        <is>
          <t xml:space="preserve">Mazda</t>
        </is>
      </c>
      <c r="F25597" s="0" t="s">
        <v>17</v>
      </c>
      <c r="G25597" s="0" t="s">
        <v>18</v>
      </c>
      <c r="H25597" s="5">
        <v>2992.240000</v>
      </c>
    </row>
    <row r="25598" spans="1:9">
      <c r="A25598" s="22" t="str">
        <f>HYPERLINK("https://app.vivvix.com/360/KMI/IntelliDrive/ApplUI/Pages/CreativePages/CustomReportCreativeDetail.aspx?App=23&amp;ReportView=4&amp;Qid=1711279&amp;Row=25590&amp;Col=1","Perfect Off-Road Ready")</f>
        <v/>
      </c>
      <c r="B25598" s="0" t="s">
        <v>34802</v>
      </c>
      <c r="C25598" s="0" t="s">
        <v>34803</v>
      </c>
      <c r="D25598" s="0" t="s">
        <v>34803</v>
      </c>
      <c r="E25598" s="0" t="inlineStr">
        <is>
          <t xml:space="preserve">Mazda</t>
        </is>
      </c>
      <c r="F25598" s="0" t="s">
        <v>13</v>
      </c>
      <c r="G25598" s="0" t="s">
        <v>49</v>
      </c>
      <c r="H25598" s="5">
        <v>1713.361000</v>
      </c>
    </row>
    <row r="25599" spans="1:9">
      <c r="A25599" s="22" t="str">
        <f>HYPERLINK("https://app.vivvix.com/360/KMI/IntelliDrive/ApplUI/Pages/CreativePages/CustomReportCreativeDetail.aspx?App=23&amp;ReportView=4&amp;Qid=1711279&amp;Row=25591&amp;Col=1","performance &amp; efficiency in harmony")</f>
        <v/>
      </c>
      <c r="B25599" s="0" t="s">
        <v>34804</v>
      </c>
      <c r="E25599" s="0" t="inlineStr">
        <is>
          <t xml:space="preserve">Mazda</t>
        </is>
      </c>
      <c r="F25599" s="0" t="s">
        <v>56</v>
      </c>
      <c r="G25599" s="0" t="s">
        <v>57</v>
      </c>
      <c r="H25599" s="5">
        <v>21854.064000</v>
      </c>
    </row>
    <row r="25600" spans="1:9">
      <c r="A25600" s="22" t="str">
        <f>HYPERLINK("https://app.vivvix.com/360/KMI/IntelliDrive/ApplUI/Pages/CreativePages/CustomReportCreativeDetail.aspx?App=23&amp;ReportView=4&amp;Qid=1711279&amp;Row=25592&amp;Col=1","performance &amp; efficiency in harmony")</f>
        <v/>
      </c>
      <c r="B25600" s="0" t="s">
        <v>34804</v>
      </c>
      <c r="C25600" s="0" t="s">
        <v>34805</v>
      </c>
      <c r="D25600" s="0" t="s">
        <v>34805</v>
      </c>
      <c r="E25600" s="0" t="inlineStr">
        <is>
          <t xml:space="preserve">Mazda</t>
        </is>
      </c>
      <c r="F25600" s="0" t="s">
        <v>56</v>
      </c>
      <c r="G25600" s="0" t="s">
        <v>57</v>
      </c>
      <c r="H25600" s="5">
        <v>8327.702000</v>
      </c>
    </row>
    <row r="25601" spans="1:9">
      <c r="A25601" s="22" t="str">
        <f>HYPERLINK("https://app.vivvix.com/360/KMI/IntelliDrive/ApplUI/Pages/CreativePages/CustomReportCreativeDetail.aspx?App=23&amp;ReportView=4&amp;Qid=1711279&amp;Row=25593&amp;Col=1","rich in look and provides great comfort")</f>
        <v/>
      </c>
      <c r="B25601" s="0" t="s">
        <v>34806</v>
      </c>
      <c r="C25601" s="0" t="s">
        <v>34807</v>
      </c>
      <c r="D25601" s="0" t="s">
        <v>34807</v>
      </c>
      <c r="E25601" s="0" t="inlineStr">
        <is>
          <t xml:space="preserve">Mazda</t>
        </is>
      </c>
      <c r="F25601" s="0" t="inlineStr">
        <is>
          <t xml:space="preserve">Mazda</t>
        </is>
      </c>
      <c r="G25601" s="0" t="s">
        <v>1992</v>
      </c>
      <c r="H25601" s="5">
        <v>7590.735000</v>
      </c>
    </row>
    <row r="25602" spans="1:9">
      <c r="A25602" s="22" t="str">
        <f>HYPERLINK("https://app.vivvix.com/360/KMI/IntelliDrive/ApplUI/Pages/CreativePages/CustomReportCreativeDetail.aspx?App=23&amp;ReportView=4&amp;Qid=1711279&amp;Row=25594&amp;Col=1","Ride Fast")</f>
        <v/>
      </c>
      <c r="B25602" s="0" t="s">
        <v>34808</v>
      </c>
      <c r="E25602" s="0" t="inlineStr">
        <is>
          <t xml:space="preserve">Mazda</t>
        </is>
      </c>
      <c r="F25602" s="0" t="inlineStr">
        <is>
          <t xml:space="preserve">Mazda</t>
        </is>
      </c>
      <c r="G25602" s="0" t="s">
        <v>171</v>
      </c>
      <c r="H25602" s="5">
        <v>71.637000</v>
      </c>
    </row>
    <row r="25603" spans="1:9">
      <c r="A25603" s="22" t="str">
        <f>HYPERLINK("https://app.vivvix.com/360/KMI/IntelliDrive/ApplUI/Pages/CreativePages/CustomReportCreativeDetail.aspx?App=23&amp;ReportView=4&amp;Qid=1711279&amp;Row=25595&amp;Col=1","Ride In The New Advanced Vehicle")</f>
        <v/>
      </c>
      <c r="B25603" s="0" t="s">
        <v>34809</v>
      </c>
      <c r="E25603" s="0" t="inlineStr">
        <is>
          <t xml:space="preserve">Mazda</t>
        </is>
      </c>
      <c r="F25603" s="0" t="s">
        <v>13</v>
      </c>
      <c r="G25603" s="0" t="s">
        <v>49</v>
      </c>
      <c r="H25603" s="5">
        <v>686.779000</v>
      </c>
    </row>
    <row r="25604" spans="1:9">
      <c r="A25604" s="22" t="str">
        <f>HYPERLINK("https://app.vivvix.com/360/KMI/IntelliDrive/ApplUI/Pages/CreativePages/CustomReportCreativeDetail.aspx?App=23&amp;ReportView=4&amp;Qid=1711279&amp;Row=25596&amp;Col=1","Ride In The New Advanced Vehicle")</f>
        <v/>
      </c>
      <c r="B25604" s="0" t="s">
        <v>34809</v>
      </c>
      <c r="C25604" s="0" t="s">
        <v>34810</v>
      </c>
      <c r="D25604" s="0" t="s">
        <v>34810</v>
      </c>
      <c r="E25604" s="0" t="inlineStr">
        <is>
          <t xml:space="preserve">Mazda</t>
        </is>
      </c>
      <c r="F25604" s="0" t="s">
        <v>13</v>
      </c>
      <c r="G25604" s="0" t="s">
        <v>49</v>
      </c>
      <c r="H25604" s="5">
        <v>1354.573000</v>
      </c>
    </row>
    <row r="25605" spans="1:9">
      <c r="A25605" s="22" t="str">
        <f>HYPERLINK("https://app.vivvix.com/360/KMI/IntelliDrive/ApplUI/Pages/CreativePages/CustomReportCreativeDetail.aspx?App=23&amp;ReportView=4&amp;Qid=1711279&amp;Row=25597&amp;Col=1","Safety Family Car")</f>
        <v/>
      </c>
      <c r="B25605" s="0" t="s">
        <v>34811</v>
      </c>
      <c r="C25605" s="0" t="s">
        <v>34812</v>
      </c>
      <c r="D25605" s="0" t="s">
        <v>34812</v>
      </c>
      <c r="E25605" s="0" t="inlineStr">
        <is>
          <t xml:space="preserve">Mazda</t>
        </is>
      </c>
      <c r="F25605" s="0" t="s">
        <v>17</v>
      </c>
      <c r="G25605" s="0" t="s">
        <v>18</v>
      </c>
      <c r="H25605" s="5">
        <v>3262.336000</v>
      </c>
    </row>
    <row r="25606" spans="1:9">
      <c r="A25606" s="22" t="str">
        <f>HYPERLINK("https://app.vivvix.com/360/KMI/IntelliDrive/ApplUI/Pages/CreativePages/CustomReportCreativeDetail.aspx?App=23&amp;ReportView=4&amp;Qid=1711279&amp;Row=25598&amp;Col=1","Safety Family Car")</f>
        <v/>
      </c>
      <c r="B25606" s="0" t="s">
        <v>34811</v>
      </c>
      <c r="E25606" s="0" t="inlineStr">
        <is>
          <t xml:space="preserve">Mazda</t>
        </is>
      </c>
      <c r="F25606" s="0" t="s">
        <v>17</v>
      </c>
      <c r="G25606" s="0" t="s">
        <v>18</v>
      </c>
      <c r="H25606" s="5">
        <v>20140.225000</v>
      </c>
    </row>
    <row r="25607" spans="1:9">
      <c r="A25607" s="22" t="str">
        <f>HYPERLINK("https://app.vivvix.com/360/KMI/IntelliDrive/ApplUI/Pages/CreativePages/CustomReportCreativeDetail.aspx?App=23&amp;ReportView=4&amp;Qid=1711279&amp;Row=25599&amp;Col=1","SAFETY FEATURES THAT STAND APART")</f>
        <v/>
      </c>
      <c r="B25607" s="0" t="s">
        <v>34813</v>
      </c>
      <c r="C25607" s="0" t="s">
        <v>34814</v>
      </c>
      <c r="D25607" s="0" t="s">
        <v>34814</v>
      </c>
      <c r="E25607" s="0" t="inlineStr">
        <is>
          <t xml:space="preserve">Mazda</t>
        </is>
      </c>
      <c r="F25607" s="0" t="s">
        <v>330</v>
      </c>
      <c r="G25607" s="0" t="s">
        <v>331</v>
      </c>
      <c r="H25607" s="5">
        <v>48.408000</v>
      </c>
    </row>
    <row r="25608" spans="1:9">
      <c r="A25608" s="22" t="str">
        <f>HYPERLINK("https://app.vivvix.com/360/KMI/IntelliDrive/ApplUI/Pages/CreativePages/CustomReportCreativeDetail.aspx?App=23&amp;ReportView=4&amp;Qid=1711279&amp;Row=25600&amp;Col=1","Safety Travels Well")</f>
        <v/>
      </c>
      <c r="B25608" s="0" t="s">
        <v>34815</v>
      </c>
      <c r="C25608" s="0" t="s">
        <v>34816</v>
      </c>
      <c r="D25608" s="0" t="s">
        <v>34816</v>
      </c>
      <c r="E25608" s="0" t="inlineStr">
        <is>
          <t xml:space="preserve">Mazda</t>
        </is>
      </c>
      <c r="F25608" s="0" t="s">
        <v>13</v>
      </c>
      <c r="G25608" s="0" t="s">
        <v>49</v>
      </c>
      <c r="H25608" s="5">
        <v>4925.883000</v>
      </c>
    </row>
    <row r="25609" spans="1:9">
      <c r="A25609" s="22" t="str">
        <f>HYPERLINK("https://app.vivvix.com/360/KMI/IntelliDrive/ApplUI/Pages/CreativePages/CustomReportCreativeDetail.aspx?App=23&amp;ReportView=4&amp;Qid=1711279&amp;Row=25601&amp;Col=1","Safety Travels Well")</f>
        <v/>
      </c>
      <c r="B25609" s="0" t="s">
        <v>34815</v>
      </c>
      <c r="E25609" s="0" t="inlineStr">
        <is>
          <t xml:space="preserve">Mazda</t>
        </is>
      </c>
      <c r="F25609" s="0" t="s">
        <v>13</v>
      </c>
      <c r="G25609" s="0" t="s">
        <v>49</v>
      </c>
      <c r="H25609" s="5">
        <v>1101.681000</v>
      </c>
    </row>
    <row r="25610" spans="1:9">
      <c r="A25610" s="22" t="str">
        <f>HYPERLINK("https://app.vivvix.com/360/KMI/IntelliDrive/ApplUI/Pages/CreativePages/CustomReportCreativeDetail.aspx?App=23&amp;ReportView=4&amp;Qid=1711279&amp;Row=25602&amp;Col=1","SARETY FEATURES THAT STAND APART")</f>
        <v/>
      </c>
      <c r="B25610" s="0" t="s">
        <v>34817</v>
      </c>
      <c r="C25610" s="0" t="s">
        <v>34818</v>
      </c>
      <c r="D25610" s="0" t="s">
        <v>34818</v>
      </c>
      <c r="E25610" s="0" t="inlineStr">
        <is>
          <t xml:space="preserve">Mazda</t>
        </is>
      </c>
      <c r="F25610" s="0" t="s">
        <v>56</v>
      </c>
      <c r="G25610" s="0" t="s">
        <v>57</v>
      </c>
      <c r="H25610" s="5">
        <v>1541.241000</v>
      </c>
    </row>
    <row r="25611" spans="1:9">
      <c r="A25611" s="22" t="str">
        <f>HYPERLINK("https://app.vivvix.com/360/KMI/IntelliDrive/ApplUI/Pages/CreativePages/CustomReportCreativeDetail.aspx?App=23&amp;ReportView=4&amp;Qid=1711279&amp;Row=25603&amp;Col=1","Season To Move You")</f>
        <v/>
      </c>
      <c r="B25611" s="0" t="s">
        <v>34819</v>
      </c>
      <c r="C25611" s="0" t="s">
        <v>34820</v>
      </c>
      <c r="D25611" s="0" t="s">
        <v>34820</v>
      </c>
      <c r="E25611" s="0" t="inlineStr">
        <is>
          <t xml:space="preserve">Mazda</t>
        </is>
      </c>
      <c r="F25611" s="0" t="s">
        <v>17</v>
      </c>
      <c r="G25611" s="0" t="s">
        <v>18</v>
      </c>
      <c r="H25611" s="5">
        <v>9320.960000</v>
      </c>
    </row>
    <row r="25612" spans="1:9">
      <c r="A25612" s="22" t="str">
        <f>HYPERLINK("https://app.vivvix.com/360/KMI/IntelliDrive/ApplUI/Pages/CreativePages/CustomReportCreativeDetail.aspx?App=23&amp;ReportView=4&amp;Qid=1711279&amp;Row=25604&amp;Col=1","Season To Move You")</f>
        <v/>
      </c>
      <c r="B25612" s="0" t="s">
        <v>34819</v>
      </c>
      <c r="E25612" s="0" t="inlineStr">
        <is>
          <t xml:space="preserve">Mazda</t>
        </is>
      </c>
      <c r="F25612" s="0" t="s">
        <v>17</v>
      </c>
      <c r="G25612" s="0" t="s">
        <v>18</v>
      </c>
      <c r="H25612" s="5">
        <v>31418.751000</v>
      </c>
    </row>
    <row r="25613" spans="1:9">
      <c r="A25613" s="22" t="str">
        <f>HYPERLINK("https://app.vivvix.com/360/KMI/IntelliDrive/ApplUI/Pages/CreativePages/CustomReportCreativeDetail.aspx?App=23&amp;ReportView=4&amp;Qid=1711279&amp;Row=25605&amp;Col=1","STANDARD  AWD")</f>
        <v/>
      </c>
      <c r="B25613" s="0" t="s">
        <v>34821</v>
      </c>
      <c r="E25613" s="0" t="inlineStr">
        <is>
          <t xml:space="preserve">Mazda</t>
        </is>
      </c>
      <c r="F25613" s="0" t="s">
        <v>28</v>
      </c>
      <c r="G25613" s="0" t="s">
        <v>29</v>
      </c>
      <c r="H25613" s="5">
        <v>9219.504000</v>
      </c>
    </row>
    <row r="25614" spans="1:9">
      <c r="A25614" s="22" t="str">
        <f>HYPERLINK("https://app.vivvix.com/360/KMI/IntelliDrive/ApplUI/Pages/CreativePages/CustomReportCreativeDetail.aspx?App=23&amp;ReportView=4&amp;Qid=1711279&amp;Row=25606&amp;Col=1","STANDARD  AWD")</f>
        <v/>
      </c>
      <c r="B25614" s="0" t="s">
        <v>34821</v>
      </c>
      <c r="C25614" s="0" t="s">
        <v>34822</v>
      </c>
      <c r="D25614" s="0" t="s">
        <v>34822</v>
      </c>
      <c r="E25614" s="0" t="inlineStr">
        <is>
          <t xml:space="preserve">Mazda</t>
        </is>
      </c>
      <c r="F25614" s="0" t="s">
        <v>28</v>
      </c>
      <c r="G25614" s="0" t="s">
        <v>29</v>
      </c>
      <c r="H25614" s="5">
        <v>1498.040000</v>
      </c>
    </row>
    <row r="25615" spans="1:9">
      <c r="A25615" s="22" t="str">
        <f>HYPERLINK("https://app.vivvix.com/360/KMI/IntelliDrive/ApplUI/Pages/CreativePages/CustomReportCreativeDetail.aspx?App=23&amp;ReportView=4&amp;Qid=1711279&amp;Row=25607&amp;Col=1","STANDARD 280 HP &amp; UP TO 340 HP")</f>
        <v/>
      </c>
      <c r="B25615" s="0" t="s">
        <v>34823</v>
      </c>
      <c r="E25615" s="0" t="inlineStr">
        <is>
          <t xml:space="preserve">Mazda</t>
        </is>
      </c>
      <c r="F25615" s="0" t="s">
        <v>28</v>
      </c>
      <c r="G25615" s="0" t="s">
        <v>29</v>
      </c>
      <c r="H25615" s="5">
        <v>740780.052000</v>
      </c>
    </row>
    <row r="25616" spans="1:9">
      <c r="A25616" s="22" t="str">
        <f>HYPERLINK("https://app.vivvix.com/360/KMI/IntelliDrive/ApplUI/Pages/CreativePages/CustomReportCreativeDetail.aspx?App=23&amp;ReportView=4&amp;Qid=1711279&amp;Row=25608&amp;Col=1","STANDARD 280 HP &amp; UP TO 340 HP")</f>
        <v/>
      </c>
      <c r="B25616" s="0" t="s">
        <v>34823</v>
      </c>
      <c r="C25616" s="0" t="s">
        <v>34824</v>
      </c>
      <c r="D25616" s="0" t="s">
        <v>34824</v>
      </c>
      <c r="E25616" s="0" t="inlineStr">
        <is>
          <t xml:space="preserve">Mazda</t>
        </is>
      </c>
      <c r="F25616" s="0" t="s">
        <v>28</v>
      </c>
      <c r="G25616" s="0" t="s">
        <v>29</v>
      </c>
      <c r="H25616" s="5">
        <v>33797.226000</v>
      </c>
    </row>
    <row r="25617" spans="1:9">
      <c r="A25617" s="22" t="str">
        <f>HYPERLINK("https://app.vivvix.com/360/KMI/IntelliDrive/ApplUI/Pages/CreativePages/CustomReportCreativeDetail.aspx?App=23&amp;ReportView=4&amp;Qid=1711279&amp;Row=25609&amp;Col=1","standard awd")</f>
        <v/>
      </c>
      <c r="B25617" s="0" t="s">
        <v>34825</v>
      </c>
      <c r="C25617" s="0" t="s">
        <v>34826</v>
      </c>
      <c r="D25617" s="0" t="s">
        <v>34826</v>
      </c>
      <c r="E25617" s="0" t="inlineStr">
        <is>
          <t xml:space="preserve">Mazda</t>
        </is>
      </c>
      <c r="F25617" s="0" t="s">
        <v>28</v>
      </c>
      <c r="G25617" s="0" t="s">
        <v>29</v>
      </c>
      <c r="H25617" s="5">
        <v>2773.404000</v>
      </c>
    </row>
    <row r="25618" spans="1:9">
      <c r="A25618" s="22" t="str">
        <f>HYPERLINK("https://app.vivvix.com/360/KMI/IntelliDrive/ApplUI/Pages/CreativePages/CustomReportCreativeDetail.aspx?App=23&amp;ReportView=4&amp;Qid=1711279&amp;Row=25610&amp;Col=1","STANDARD I-ACTIV AWD 15 SEC")</f>
        <v/>
      </c>
      <c r="B25618" s="0" t="s">
        <v>34827</v>
      </c>
      <c r="E25618" s="0" t="inlineStr">
        <is>
          <t xml:space="preserve">Mazda</t>
        </is>
      </c>
      <c r="F25618" s="0" t="s">
        <v>28</v>
      </c>
      <c r="G25618" s="0" t="s">
        <v>29</v>
      </c>
      <c r="H25618" s="5">
        <v>60798.844000</v>
      </c>
    </row>
    <row r="25619" spans="1:9">
      <c r="A25619" s="22" t="str">
        <f>HYPERLINK("https://app.vivvix.com/360/KMI/IntelliDrive/ApplUI/Pages/CreativePages/CustomReportCreativeDetail.aspx?App=23&amp;ReportView=4&amp;Qid=1711279&amp;Row=25611&amp;Col=1","STANDARD I-ACTIV AWD 15 SEC")</f>
        <v/>
      </c>
      <c r="B25619" s="0" t="s">
        <v>34827</v>
      </c>
      <c r="C25619" s="0" t="s">
        <v>88</v>
      </c>
      <c r="D25619" s="0" t="s">
        <v>88</v>
      </c>
      <c r="E25619" s="0" t="inlineStr">
        <is>
          <t xml:space="preserve">Mazda</t>
        </is>
      </c>
      <c r="F25619" s="0" t="s">
        <v>28</v>
      </c>
      <c r="G25619" s="0" t="s">
        <v>29</v>
      </c>
      <c r="H25619" s="5">
        <v>8804.904000</v>
      </c>
    </row>
    <row r="25620" spans="1:9">
      <c r="A25620" s="22" t="str">
        <f>HYPERLINK("https://app.vivvix.com/360/KMI/IntelliDrive/ApplUI/Pages/CreativePages/CustomReportCreativeDetail.aspx?App=23&amp;ReportView=4&amp;Qid=1711279&amp;Row=25612&amp;Col=1","STYLISH YET STURDY 15 SECONDS")</f>
        <v/>
      </c>
      <c r="B25620" s="0" t="s">
        <v>34828</v>
      </c>
      <c r="C25620" s="0" t="s">
        <v>34829</v>
      </c>
      <c r="D25620" s="0" t="s">
        <v>582</v>
      </c>
      <c r="E25620" s="0" t="inlineStr">
        <is>
          <t xml:space="preserve">Mazda</t>
        </is>
      </c>
      <c r="F25620" s="0" t="s">
        <v>13</v>
      </c>
      <c r="G25620" s="0" t="s">
        <v>49</v>
      </c>
      <c r="H25620" s="5">
        <v>70299.375000</v>
      </c>
    </row>
    <row r="25621" spans="1:9">
      <c r="A25621" s="22" t="str">
        <f>HYPERLINK("https://app.vivvix.com/360/KMI/IntelliDrive/ApplUI/Pages/CreativePages/CustomReportCreativeDetail.aspx?App=23&amp;ReportView=4&amp;Qid=1711279&amp;Row=25613&amp;Col=1","STYLISH YET STURDY 15 SECONDS")</f>
        <v/>
      </c>
      <c r="B25621" s="0" t="s">
        <v>34828</v>
      </c>
      <c r="E25621" s="0" t="inlineStr">
        <is>
          <t xml:space="preserve">Mazda</t>
        </is>
      </c>
      <c r="F25621" s="0" t="s">
        <v>13</v>
      </c>
      <c r="G25621" s="0" t="s">
        <v>49</v>
      </c>
      <c r="H25621" s="5">
        <v>851.157000</v>
      </c>
    </row>
    <row r="25622" spans="1:9">
      <c r="A25622" s="22" t="str">
        <f>HYPERLINK("https://app.vivvix.com/360/KMI/IntelliDrive/ApplUI/Pages/CreativePages/CustomReportCreativeDetail.aspx?App=23&amp;ReportView=4&amp;Qid=1711279&amp;Row=25614&amp;Col=1","Super Cool")</f>
        <v/>
      </c>
      <c r="B25622" s="0" t="s">
        <v>34830</v>
      </c>
      <c r="C25622" s="0" t="s">
        <v>34831</v>
      </c>
      <c r="D25622" s="0" t="s">
        <v>34831</v>
      </c>
      <c r="E25622" s="0" t="inlineStr">
        <is>
          <t xml:space="preserve">Mazda</t>
        </is>
      </c>
      <c r="F25622" s="0" t="s">
        <v>17</v>
      </c>
      <c r="G25622" s="0" t="s">
        <v>33</v>
      </c>
      <c r="H25622" s="5">
        <v>33477.885000</v>
      </c>
    </row>
    <row r="25623" spans="1:9">
      <c r="A25623" s="22" t="str">
        <f>HYPERLINK("https://app.vivvix.com/360/KMI/IntelliDrive/ApplUI/Pages/CreativePages/CustomReportCreativeDetail.aspx?App=23&amp;ReportView=4&amp;Qid=1711279&amp;Row=25615&amp;Col=1","Super Cool")</f>
        <v/>
      </c>
      <c r="B25623" s="0" t="s">
        <v>34830</v>
      </c>
      <c r="E25623" s="0" t="inlineStr">
        <is>
          <t xml:space="preserve">Mazda</t>
        </is>
      </c>
      <c r="F25623" s="0" t="s">
        <v>17</v>
      </c>
      <c r="G25623" s="0" t="s">
        <v>33</v>
      </c>
      <c r="H25623" s="5">
        <v>281333.589000</v>
      </c>
    </row>
    <row r="25624" spans="1:9">
      <c r="A25624" s="22" t="str">
        <f>HYPERLINK("https://app.vivvix.com/360/KMI/IntelliDrive/ApplUI/Pages/CreativePages/CustomReportCreativeDetail.aspx?App=23&amp;ReportView=4&amp;Qid=1711279&amp;Row=25616&amp;Col=1","Superior Diving Experience")</f>
        <v/>
      </c>
      <c r="B25624" s="0" t="s">
        <v>34832</v>
      </c>
      <c r="E25624" s="0" t="inlineStr">
        <is>
          <t xml:space="preserve">Mazda</t>
        </is>
      </c>
      <c r="F25624" s="0" t="s">
        <v>13</v>
      </c>
      <c r="G25624" s="0" t="s">
        <v>49</v>
      </c>
      <c r="H25624" s="5">
        <v>63031.059000</v>
      </c>
    </row>
    <row r="25625" spans="1:9">
      <c r="A25625" s="22" t="str">
        <f>HYPERLINK("https://app.vivvix.com/360/KMI/IntelliDrive/ApplUI/Pages/CreativePages/CustomReportCreativeDetail.aspx?App=23&amp;ReportView=4&amp;Qid=1711279&amp;Row=25617&amp;Col=1","Take Better")</f>
        <v/>
      </c>
      <c r="B25625" s="0" t="s">
        <v>34833</v>
      </c>
      <c r="E25625" s="0" t="inlineStr">
        <is>
          <t xml:space="preserve">Mazda</t>
        </is>
      </c>
      <c r="F25625" s="0" t="inlineStr">
        <is>
          <t xml:space="preserve">Mazda</t>
        </is>
      </c>
      <c r="G25625" s="0" t="s">
        <v>171</v>
      </c>
      <c r="H25625" s="5">
        <v>9330.419000</v>
      </c>
    </row>
    <row r="25626" spans="1:9">
      <c r="A25626" s="22" t="str">
        <f>HYPERLINK("https://app.vivvix.com/360/KMI/IntelliDrive/ApplUI/Pages/CreativePages/CustomReportCreativeDetail.aspx?App=23&amp;ReportView=4&amp;Qid=1711279&amp;Row=25618&amp;Col=1","Take Better")</f>
        <v/>
      </c>
      <c r="B25626" s="0" t="s">
        <v>34833</v>
      </c>
      <c r="E25626" s="0" t="inlineStr">
        <is>
          <t xml:space="preserve">Mazda</t>
        </is>
      </c>
      <c r="F25626" s="0" t="inlineStr">
        <is>
          <t xml:space="preserve">Mazda</t>
        </is>
      </c>
      <c r="G25626" s="0" t="s">
        <v>171</v>
      </c>
      <c r="H25626" s="5">
        <v>173298.258000</v>
      </c>
    </row>
    <row r="25627" spans="1:9">
      <c r="A25627" s="22" t="str">
        <f>HYPERLINK("https://app.vivvix.com/360/KMI/IntelliDrive/ApplUI/Pages/CreativePages/CustomReportCreativeDetail.aspx?App=23&amp;ReportView=4&amp;Qid=1711279&amp;Row=25619&amp;Col=1","that's what we were aiming for")</f>
        <v/>
      </c>
      <c r="B25627" s="0" t="s">
        <v>34834</v>
      </c>
      <c r="C25627" s="0" t="s">
        <v>34835</v>
      </c>
      <c r="D25627" s="0" t="s">
        <v>34835</v>
      </c>
      <c r="E25627" s="0" t="inlineStr">
        <is>
          <t xml:space="preserve">Mazda</t>
        </is>
      </c>
      <c r="F25627" s="0" t="s">
        <v>13</v>
      </c>
      <c r="G25627" s="0" t="s">
        <v>49</v>
      </c>
      <c r="H25627" s="5">
        <v>10.847000</v>
      </c>
    </row>
    <row r="25628" spans="1:9">
      <c r="A25628" s="22" t="str">
        <f>HYPERLINK("https://app.vivvix.com/360/KMI/IntelliDrive/ApplUI/Pages/CreativePages/CustomReportCreativeDetail.aspx?App=23&amp;ReportView=4&amp;Qid=1711279&amp;Row=25620&amp;Col=1","The Car For Those Who Choose")</f>
        <v/>
      </c>
      <c r="B25628" s="0" t="s">
        <v>34836</v>
      </c>
      <c r="E25628" s="0" t="inlineStr">
        <is>
          <t xml:space="preserve">Mazda</t>
        </is>
      </c>
      <c r="F25628" s="0" t="inlineStr">
        <is>
          <t xml:space="preserve">Mazda</t>
        </is>
      </c>
      <c r="G25628" s="0" t="s">
        <v>210</v>
      </c>
      <c r="H25628" s="5">
        <v>170004.794000</v>
      </c>
    </row>
    <row r="25629" spans="1:9">
      <c r="A25629" s="22" t="str">
        <f>HYPERLINK("https://app.vivvix.com/360/KMI/IntelliDrive/ApplUI/Pages/CreativePages/CustomReportCreativeDetail.aspx?App=23&amp;ReportView=4&amp;Qid=1711279&amp;Row=25621&amp;Col=1","The Car For Those Who Choose")</f>
        <v/>
      </c>
      <c r="B25629" s="0" t="s">
        <v>34836</v>
      </c>
      <c r="C25629" s="0" t="s">
        <v>34837</v>
      </c>
      <c r="D25629" s="0" t="s">
        <v>34837</v>
      </c>
      <c r="E25629" s="0" t="inlineStr">
        <is>
          <t xml:space="preserve">Mazda</t>
        </is>
      </c>
      <c r="F25629" s="0" t="inlineStr">
        <is>
          <t xml:space="preserve">Mazda</t>
        </is>
      </c>
      <c r="G25629" s="0" t="s">
        <v>210</v>
      </c>
      <c r="H25629" s="5">
        <v>4488.205000</v>
      </c>
    </row>
    <row r="25630" spans="1:9">
      <c r="A25630" s="22" t="str">
        <f>HYPERLINK("https://app.vivvix.com/360/KMI/IntelliDrive/ApplUI/Pages/CreativePages/CustomReportCreativeDetail.aspx?App=23&amp;ReportView=4&amp;Qid=1711279&amp;Row=25622&amp;Col=1","The Car Made To Move You")</f>
        <v/>
      </c>
      <c r="B25630" s="0" t="s">
        <v>34838</v>
      </c>
      <c r="C25630" s="0" t="s">
        <v>34839</v>
      </c>
      <c r="D25630" s="0" t="s">
        <v>34839</v>
      </c>
      <c r="E25630" s="0" t="inlineStr">
        <is>
          <t xml:space="preserve">Mazda</t>
        </is>
      </c>
      <c r="F25630" s="0" t="s">
        <v>21</v>
      </c>
      <c r="G25630" s="0" t="s">
        <v>314</v>
      </c>
      <c r="H25630" s="5">
        <v>1185.516000</v>
      </c>
    </row>
    <row r="25631" spans="1:9">
      <c r="A25631" s="22" t="str">
        <f>HYPERLINK("https://app.vivvix.com/360/KMI/IntelliDrive/ApplUI/Pages/CreativePages/CustomReportCreativeDetail.aspx?App=23&amp;ReportView=4&amp;Qid=1711279&amp;Row=25623&amp;Col=1","The Car Made To Move You")</f>
        <v/>
      </c>
      <c r="B25631" s="0" t="s">
        <v>34838</v>
      </c>
      <c r="E25631" s="0" t="inlineStr">
        <is>
          <t xml:space="preserve">Mazda</t>
        </is>
      </c>
      <c r="F25631" s="0" t="s">
        <v>21</v>
      </c>
      <c r="G25631" s="0" t="s">
        <v>314</v>
      </c>
      <c r="H25631" s="5">
        <v>123181.528000</v>
      </c>
    </row>
    <row r="25632" spans="1:9">
      <c r="A25632" s="22" t="str">
        <f>HYPERLINK("https://app.vivvix.com/360/KMI/IntelliDrive/ApplUI/Pages/CreativePages/CustomReportCreativeDetail.aspx?App=23&amp;ReportView=4&amp;Qid=1711279&amp;Row=25624&amp;Col=1","The Car To Move You")</f>
        <v/>
      </c>
      <c r="B25632" s="0" t="s">
        <v>34840</v>
      </c>
      <c r="C25632" s="0" t="s">
        <v>34841</v>
      </c>
      <c r="D25632" s="0" t="s">
        <v>34841</v>
      </c>
      <c r="E25632" s="0" t="inlineStr">
        <is>
          <t xml:space="preserve">Mazda</t>
        </is>
      </c>
      <c r="F25632" s="0" t="s">
        <v>28</v>
      </c>
      <c r="G25632" s="0" t="s">
        <v>29</v>
      </c>
      <c r="H25632" s="5">
        <v>13.233000</v>
      </c>
    </row>
    <row r="25633" spans="1:9">
      <c r="A25633" s="22" t="str">
        <f>HYPERLINK("https://app.vivvix.com/360/KMI/IntelliDrive/ApplUI/Pages/CreativePages/CustomReportCreativeDetail.aspx?App=23&amp;ReportView=4&amp;Qid=1711279&amp;Row=25625&amp;Col=1","The Daring Power for Pursuit/Mazda CX 30 2.5 Turbo")</f>
        <v/>
      </c>
      <c r="B25633" s="0" t="s">
        <v>34842</v>
      </c>
      <c r="C25633" s="0" t="s">
        <v>34843</v>
      </c>
      <c r="D25633" s="0" t="s">
        <v>94</v>
      </c>
      <c r="E25633" s="0" t="inlineStr">
        <is>
          <t xml:space="preserve">Mazda</t>
        </is>
      </c>
      <c r="F25633" s="0" t="s">
        <v>21</v>
      </c>
      <c r="G25633" s="0" t="s">
        <v>22</v>
      </c>
      <c r="H25633" s="5">
        <v>3037.789000</v>
      </c>
    </row>
    <row r="25634" spans="1:9">
      <c r="A25634" s="22" t="str">
        <f>HYPERLINK("https://app.vivvix.com/360/KMI/IntelliDrive/ApplUI/Pages/CreativePages/CustomReportCreativeDetail.aspx?App=23&amp;ReportView=4&amp;Qid=1711279&amp;Row=25626&amp;Col=1","The Daring Power for Pursuit/Mazda CX 30 2.5 Turbo")</f>
        <v/>
      </c>
      <c r="B25634" s="0" t="s">
        <v>34842</v>
      </c>
      <c r="E25634" s="0" t="inlineStr">
        <is>
          <t xml:space="preserve">Mazda</t>
        </is>
      </c>
      <c r="F25634" s="0" t="s">
        <v>21</v>
      </c>
      <c r="G25634" s="0" t="s">
        <v>22</v>
      </c>
      <c r="H25634" s="5">
        <v>31973.257000</v>
      </c>
    </row>
    <row r="25635" spans="1:9">
      <c r="A25635" s="22" t="str">
        <f>HYPERLINK("https://app.vivvix.com/360/KMI/IntelliDrive/ApplUI/Pages/CreativePages/CustomReportCreativeDetail.aspx?App=23&amp;ReportView=4&amp;Qid=1711279&amp;Row=25627&amp;Col=1","The moment you choose to go")</f>
        <v/>
      </c>
      <c r="B25635" s="0" t="s">
        <v>34844</v>
      </c>
      <c r="C25635" s="0" t="s">
        <v>34845</v>
      </c>
      <c r="D25635" s="0" t="s">
        <v>34845</v>
      </c>
      <c r="E25635" s="0" t="inlineStr">
        <is>
          <t xml:space="preserve">Mazda</t>
        </is>
      </c>
      <c r="F25635" s="0" t="s">
        <v>28</v>
      </c>
      <c r="G25635" s="0" t="s">
        <v>29</v>
      </c>
      <c r="H25635" s="5">
        <v>1120.992000</v>
      </c>
    </row>
    <row r="25636" spans="1:9">
      <c r="A25636" s="22" t="str">
        <f>HYPERLINK("https://app.vivvix.com/360/KMI/IntelliDrive/ApplUI/Pages/CreativePages/CustomReportCreativeDetail.aspx?App=23&amp;ReportView=4&amp;Qid=1711279&amp;Row=25628&amp;Col=1","the off-road ready !")</f>
        <v/>
      </c>
      <c r="B25636" s="0" t="s">
        <v>34846</v>
      </c>
      <c r="C25636" s="0" t="s">
        <v>34847</v>
      </c>
      <c r="D25636" s="0" t="s">
        <v>34847</v>
      </c>
      <c r="E25636" s="0" t="inlineStr">
        <is>
          <t xml:space="preserve">Mazda</t>
        </is>
      </c>
      <c r="F25636" s="0" t="s">
        <v>13</v>
      </c>
      <c r="G25636" s="0" t="s">
        <v>49</v>
      </c>
      <c r="H25636" s="5">
        <v>9302.934000</v>
      </c>
    </row>
    <row r="25637" spans="1:9">
      <c r="A25637" s="22" t="str">
        <f>HYPERLINK("https://app.vivvix.com/360/KMI/IntelliDrive/ApplUI/Pages/CreativePages/CustomReportCreativeDetail.aspx?App=23&amp;ReportView=4&amp;Qid=1711279&amp;Row=25629&amp;Col=1","The Off-Road Ready Mazda CX-50")</f>
        <v/>
      </c>
      <c r="B25637" s="0" t="s">
        <v>34848</v>
      </c>
      <c r="C25637" s="0" t="s">
        <v>34797</v>
      </c>
      <c r="D25637" s="0" t="s">
        <v>34797</v>
      </c>
      <c r="E25637" s="0" t="inlineStr">
        <is>
          <t xml:space="preserve">Mazda</t>
        </is>
      </c>
      <c r="F25637" s="0" t="s">
        <v>13</v>
      </c>
      <c r="G25637" s="0" t="s">
        <v>49</v>
      </c>
      <c r="H25637" s="5">
        <v>12382.240000</v>
      </c>
    </row>
    <row r="25638" spans="1:9">
      <c r="A25638" s="22" t="str">
        <f>HYPERLINK("https://app.vivvix.com/360/KMI/IntelliDrive/ApplUI/Pages/CreativePages/CustomReportCreativeDetail.aspx?App=23&amp;ReportView=4&amp;Qid=1711279&amp;Row=25630&amp;Col=1","The Off-Road Ready Mazda CX-50")</f>
        <v/>
      </c>
      <c r="B25638" s="0" t="s">
        <v>34848</v>
      </c>
      <c r="E25638" s="0" t="inlineStr">
        <is>
          <t xml:space="preserve">Mazda</t>
        </is>
      </c>
      <c r="F25638" s="0" t="s">
        <v>13</v>
      </c>
      <c r="G25638" s="0" t="s">
        <v>49</v>
      </c>
      <c r="H25638" s="5">
        <v>49402.554000</v>
      </c>
    </row>
    <row r="25639" spans="1:9">
      <c r="A25639" s="22" t="str">
        <f>HYPERLINK("https://app.vivvix.com/360/KMI/IntelliDrive/ApplUI/Pages/CreativePages/CustomReportCreativeDetail.aspx?App=23&amp;ReportView=4&amp;Qid=1711279&amp;Row=25631&amp;Col=1","The Off-Road Ready Mazda CX-50/Scenes")</f>
        <v/>
      </c>
      <c r="B25639" s="0" t="s">
        <v>34849</v>
      </c>
      <c r="E25639" s="0" t="inlineStr">
        <is>
          <t xml:space="preserve">Mazda</t>
        </is>
      </c>
      <c r="F25639" s="0" t="s">
        <v>13</v>
      </c>
      <c r="G25639" s="0" t="s">
        <v>49</v>
      </c>
      <c r="H25639" s="5">
        <v>105407.554000</v>
      </c>
    </row>
    <row r="25640" spans="1:9">
      <c r="A25640" s="22" t="str">
        <f>HYPERLINK("https://app.vivvix.com/360/KMI/IntelliDrive/ApplUI/Pages/CreativePages/CustomReportCreativeDetail.aspx?App=23&amp;ReportView=4&amp;Qid=1711279&amp;Row=25632&amp;Col=1","The Off-Road Ready Mazda CX-50/Scenes")</f>
        <v/>
      </c>
      <c r="B25640" s="0" t="s">
        <v>34849</v>
      </c>
      <c r="E25640" s="0" t="inlineStr">
        <is>
          <t xml:space="preserve">Mazda</t>
        </is>
      </c>
      <c r="F25640" s="0" t="s">
        <v>13</v>
      </c>
      <c r="G25640" s="0" t="s">
        <v>49</v>
      </c>
      <c r="H25640" s="5">
        <v>73157.797000</v>
      </c>
    </row>
    <row r="25641" spans="1:9">
      <c r="A25641" s="22" t="str">
        <f>HYPERLINK("https://app.vivvix.com/360/KMI/IntelliDrive/ApplUI/Pages/CreativePages/CustomReportCreativeDetail.aspx?App=23&amp;ReportView=4&amp;Qid=1711279&amp;Row=25633&amp;Col=1","Top Compact SUV")</f>
        <v/>
      </c>
      <c r="B25641" s="0" t="s">
        <v>34850</v>
      </c>
      <c r="C25641" s="0" t="s">
        <v>34851</v>
      </c>
      <c r="D25641" s="0" t="s">
        <v>34851</v>
      </c>
      <c r="E25641" s="0" t="inlineStr">
        <is>
          <t xml:space="preserve">Mazda</t>
        </is>
      </c>
      <c r="F25641" s="0" t="s">
        <v>17</v>
      </c>
      <c r="G25641" s="0" t="s">
        <v>33</v>
      </c>
      <c r="H25641" s="5">
        <v>13473.355000</v>
      </c>
    </row>
    <row r="25642" spans="1:9">
      <c r="A25642" s="22" t="str">
        <f>HYPERLINK("https://app.vivvix.com/360/KMI/IntelliDrive/ApplUI/Pages/CreativePages/CustomReportCreativeDetail.aspx?App=23&amp;ReportView=4&amp;Qid=1711279&amp;Row=25634&amp;Col=1","Top Compact SUV")</f>
        <v/>
      </c>
      <c r="B25642" s="0" t="s">
        <v>34850</v>
      </c>
      <c r="E25642" s="0" t="inlineStr">
        <is>
          <t xml:space="preserve">Mazda</t>
        </is>
      </c>
      <c r="F25642" s="0" t="s">
        <v>17</v>
      </c>
      <c r="G25642" s="0" t="s">
        <v>33</v>
      </c>
      <c r="H25642" s="5">
        <v>43270.310000</v>
      </c>
    </row>
    <row r="25643" spans="1:9">
      <c r="A25643" s="22" t="str">
        <f>HYPERLINK("https://app.vivvix.com/360/KMI/IntelliDrive/ApplUI/Pages/CreativePages/CustomReportCreativeDetail.aspx?App=23&amp;ReportView=4&amp;Qid=1711279&amp;Row=25635&amp;Col=1","TOP COMPACT SUV")</f>
        <v/>
      </c>
      <c r="B25643" s="0" t="s">
        <v>34852</v>
      </c>
      <c r="E25643" s="0" t="inlineStr">
        <is>
          <t xml:space="preserve">Mazda</t>
        </is>
      </c>
      <c r="F25643" s="0" t="s">
        <v>17</v>
      </c>
      <c r="G25643" s="0" t="s">
        <v>33</v>
      </c>
      <c r="H25643" s="5">
        <v>4.933000</v>
      </c>
    </row>
    <row r="25644" spans="1:9">
      <c r="A25644" s="22" t="str">
        <f>HYPERLINK("https://app.vivvix.com/360/KMI/IntelliDrive/ApplUI/Pages/CreativePages/CustomReportCreativeDetail.aspx?App=23&amp;ReportView=4&amp;Qid=1711279&amp;Row=25636&amp;Col=1","Top Safety Cars")</f>
        <v/>
      </c>
      <c r="B25644" s="0" t="s">
        <v>34853</v>
      </c>
      <c r="C25644" s="0" t="s">
        <v>34854</v>
      </c>
      <c r="D25644" s="0" t="s">
        <v>34854</v>
      </c>
      <c r="E25644" s="0" t="inlineStr">
        <is>
          <t xml:space="preserve">Mazda</t>
        </is>
      </c>
      <c r="F25644" s="0" t="s">
        <v>17</v>
      </c>
      <c r="G25644" s="0" t="s">
        <v>33</v>
      </c>
      <c r="H25644" s="5">
        <v>16525.732000</v>
      </c>
    </row>
    <row r="25645" spans="1:9">
      <c r="A25645" s="22" t="str">
        <f>HYPERLINK("https://app.vivvix.com/360/KMI/IntelliDrive/ApplUI/Pages/CreativePages/CustomReportCreativeDetail.aspx?App=23&amp;ReportView=4&amp;Qid=1711279&amp;Row=25637&amp;Col=1","Top Safety Cars")</f>
        <v/>
      </c>
      <c r="B25645" s="0" t="s">
        <v>34853</v>
      </c>
      <c r="E25645" s="0" t="inlineStr">
        <is>
          <t xml:space="preserve">Mazda</t>
        </is>
      </c>
      <c r="F25645" s="0" t="s">
        <v>17</v>
      </c>
      <c r="G25645" s="0" t="s">
        <v>33</v>
      </c>
      <c r="H25645" s="5">
        <v>184171.752000</v>
      </c>
    </row>
    <row r="25646" spans="1:9">
      <c r="A25646" s="22" t="str">
        <f>HYPERLINK("https://app.vivvix.com/360/KMI/IntelliDrive/ApplUI/Pages/CreativePages/CustomReportCreativeDetail.aspx?App=23&amp;ReportView=4&amp;Qid=1711279&amp;Row=25638&amp;Col=1","tOP SAFETY PICK")</f>
        <v/>
      </c>
      <c r="B25646" s="0" t="s">
        <v>34855</v>
      </c>
      <c r="E25646" s="0" t="inlineStr">
        <is>
          <t xml:space="preserve">Mazda</t>
        </is>
      </c>
      <c r="F25646" s="0" t="s">
        <v>21</v>
      </c>
      <c r="G25646" s="0" t="s">
        <v>22</v>
      </c>
      <c r="H25646" s="5">
        <v>2946.448000</v>
      </c>
    </row>
    <row r="25647" spans="1:9">
      <c r="A25647" s="22" t="str">
        <f>HYPERLINK("https://app.vivvix.com/360/KMI/IntelliDrive/ApplUI/Pages/CreativePages/CustomReportCreativeDetail.aspx?App=23&amp;ReportView=4&amp;Qid=1711279&amp;Row=25639&amp;Col=1","tOP SAFETY PICK")</f>
        <v/>
      </c>
      <c r="B25647" s="0" t="s">
        <v>34855</v>
      </c>
      <c r="E25647" s="0" t="inlineStr">
        <is>
          <t xml:space="preserve">Mazda</t>
        </is>
      </c>
      <c r="F25647" s="0" t="s">
        <v>21</v>
      </c>
      <c r="G25647" s="0" t="s">
        <v>22</v>
      </c>
      <c r="H25647" s="5">
        <v>43124.992000</v>
      </c>
    </row>
    <row r="25648" spans="1:9">
      <c r="A25648" s="22" t="str">
        <f>HYPERLINK("https://app.vivvix.com/360/KMI/IntelliDrive/ApplUI/Pages/CreativePages/CustomReportCreativeDetail.aspx?App=23&amp;ReportView=4&amp;Qid=1711279&amp;Row=25640&amp;Col=1","Unlease Your Outdoor Adventure")</f>
        <v/>
      </c>
      <c r="B25648" s="0" t="s">
        <v>34856</v>
      </c>
      <c r="C25648" s="0" t="s">
        <v>34857</v>
      </c>
      <c r="D25648" s="0" t="s">
        <v>34857</v>
      </c>
      <c r="E25648" s="0" t="inlineStr">
        <is>
          <t xml:space="preserve">Mazda</t>
        </is>
      </c>
      <c r="F25648" s="0" t="s">
        <v>13</v>
      </c>
      <c r="G25648" s="0" t="s">
        <v>49</v>
      </c>
      <c r="H25648" s="5">
        <v>55.472000</v>
      </c>
    </row>
    <row r="25649" spans="1:9">
      <c r="A25649" s="22" t="str">
        <f>HYPERLINK("https://app.vivvix.com/360/KMI/IntelliDrive/ApplUI/Pages/CreativePages/CustomReportCreativeDetail.aspx?App=23&amp;ReportView=4&amp;Qid=1711279&amp;Row=25641&amp;Col=1","UP TO 323 COMBINED HP")</f>
        <v/>
      </c>
      <c r="B25649" s="0" t="s">
        <v>34858</v>
      </c>
      <c r="C25649" s="0" t="s">
        <v>34859</v>
      </c>
      <c r="D25649" s="0" t="s">
        <v>34859</v>
      </c>
      <c r="E25649" s="0" t="inlineStr">
        <is>
          <t xml:space="preserve">Mazda</t>
        </is>
      </c>
      <c r="F25649" s="0" t="s">
        <v>56</v>
      </c>
      <c r="G25649" s="0" t="s">
        <v>57</v>
      </c>
      <c r="H25649" s="5">
        <v>15454.895000</v>
      </c>
    </row>
    <row r="25650" spans="1:9">
      <c r="A25650" s="22" t="str">
        <f>HYPERLINK("https://app.vivvix.com/360/KMI/IntelliDrive/ApplUI/Pages/CreativePages/CustomReportCreativeDetail.aspx?App=23&amp;ReportView=4&amp;Qid=1711279&amp;Row=25642&amp;Col=1","upgrade to sophisticated design")</f>
        <v/>
      </c>
      <c r="B25650" s="0" t="s">
        <v>34860</v>
      </c>
      <c r="C25650" s="0" t="s">
        <v>34861</v>
      </c>
      <c r="D25650" s="0" t="s">
        <v>34861</v>
      </c>
      <c r="E25650" s="0" t="inlineStr">
        <is>
          <t xml:space="preserve">Mazda</t>
        </is>
      </c>
      <c r="F25650" s="0" t="s">
        <v>28</v>
      </c>
      <c r="G25650" s="0" t="s">
        <v>29</v>
      </c>
      <c r="H25650" s="5">
        <v>17.050000</v>
      </c>
    </row>
    <row r="25651" spans="1:9">
      <c r="A25651" s="22" t="str">
        <f>HYPERLINK("https://app.vivvix.com/360/KMI/IntelliDrive/ApplUI/Pages/CreativePages/CustomReportCreativeDetail.aspx?App=23&amp;ReportView=4&amp;Qid=1711279&amp;Row=25643&amp;Col=1","VERSATILE 3RD-ROW")</f>
        <v/>
      </c>
      <c r="B25651" s="0" t="s">
        <v>34862</v>
      </c>
      <c r="C25651" s="0" t="s">
        <v>34863</v>
      </c>
      <c r="D25651" s="0" t="s">
        <v>34863</v>
      </c>
      <c r="E25651" s="0" t="inlineStr">
        <is>
          <t xml:space="preserve">Mazda</t>
        </is>
      </c>
      <c r="F25651" s="0" t="s">
        <v>28</v>
      </c>
      <c r="G25651" s="0" t="s">
        <v>29</v>
      </c>
      <c r="H25651" s="5">
        <v>8233.090000</v>
      </c>
    </row>
    <row r="25652" spans="1:9">
      <c r="A25652" s="22" t="str">
        <f>HYPERLINK("https://app.vivvix.com/360/KMI/IntelliDrive/ApplUI/Pages/CreativePages/CustomReportCreativeDetail.aspx?App=23&amp;ReportView=4&amp;Qid=1711279&amp;Row=25644&amp;Col=1","VERSATILE 3RD-ROW")</f>
        <v/>
      </c>
      <c r="B25652" s="0" t="s">
        <v>34862</v>
      </c>
      <c r="E25652" s="0" t="inlineStr">
        <is>
          <t xml:space="preserve">Mazda</t>
        </is>
      </c>
      <c r="F25652" s="0" t="s">
        <v>28</v>
      </c>
      <c r="G25652" s="0" t="s">
        <v>29</v>
      </c>
      <c r="H25652" s="5">
        <v>166155.512000</v>
      </c>
    </row>
    <row r="25653" spans="1:9">
      <c r="A25653" s="22" t="str">
        <f>HYPERLINK("https://app.vivvix.com/360/KMI/IntelliDrive/ApplUI/Pages/CreativePages/CustomReportCreativeDetail.aspx?App=23&amp;ReportView=4&amp;Qid=1711279&amp;Row=25645&amp;Col=1","VERSATILE 3RD-ROW SEC 15")</f>
        <v/>
      </c>
      <c r="B25653" s="0" t="s">
        <v>34864</v>
      </c>
      <c r="C25653" s="0" t="s">
        <v>34865</v>
      </c>
      <c r="D25653" s="0" t="s">
        <v>34865</v>
      </c>
      <c r="E25653" s="0" t="inlineStr">
        <is>
          <t xml:space="preserve">Mazda</t>
        </is>
      </c>
      <c r="F25653" s="0" t="s">
        <v>28</v>
      </c>
      <c r="G25653" s="0" t="s">
        <v>29</v>
      </c>
      <c r="H25653" s="5">
        <v>47181.282000</v>
      </c>
    </row>
    <row r="25654" spans="1:9">
      <c r="A25654" s="22" t="str">
        <f>HYPERLINK("https://app.vivvix.com/360/KMI/IntelliDrive/ApplUI/Pages/CreativePages/CustomReportCreativeDetail.aspx?App=23&amp;ReportView=4&amp;Qid=1711279&amp;Row=25646&amp;Col=1","VERSATILE 3RD-ROW SEC 15")</f>
        <v/>
      </c>
      <c r="B25654" s="0" t="s">
        <v>34864</v>
      </c>
      <c r="E25654" s="0" t="inlineStr">
        <is>
          <t xml:space="preserve">Mazda</t>
        </is>
      </c>
      <c r="F25654" s="0" t="s">
        <v>28</v>
      </c>
      <c r="G25654" s="0" t="s">
        <v>29</v>
      </c>
      <c r="H25654" s="5">
        <v>18975.815000</v>
      </c>
    </row>
    <row r="25655" spans="1:9">
      <c r="A25655" s="22" t="str">
        <f>HYPERLINK("https://app.vivvix.com/360/KMI/IntelliDrive/ApplUI/Pages/CreativePages/CustomReportCreativeDetail.aspx?App=23&amp;ReportView=4&amp;Qid=1711279&amp;Row=25647&amp;Col=1","versatility all electric for short trips")</f>
        <v/>
      </c>
      <c r="B25655" s="0" t="s">
        <v>34866</v>
      </c>
      <c r="C25655" s="0" t="s">
        <v>34867</v>
      </c>
      <c r="D25655" s="0" t="s">
        <v>34867</v>
      </c>
      <c r="E25655" s="0" t="inlineStr">
        <is>
          <t xml:space="preserve">Mazda</t>
        </is>
      </c>
      <c r="F25655" s="0" t="s">
        <v>56</v>
      </c>
      <c r="G25655" s="0" t="s">
        <v>57</v>
      </c>
      <c r="H25655" s="5">
        <v>65.546000</v>
      </c>
    </row>
    <row r="25656" spans="1:9">
      <c r="A25656" s="22" t="str">
        <f>HYPERLINK("https://app.vivvix.com/360/KMI/IntelliDrive/ApplUI/Pages/CreativePages/CustomReportCreativeDetail.aspx?App=23&amp;ReportView=4&amp;Qid=1711279&amp;Row=25648&amp;Col=1","versatility all electric for short trips")</f>
        <v/>
      </c>
      <c r="B25656" s="0" t="s">
        <v>34866</v>
      </c>
      <c r="E25656" s="0" t="inlineStr">
        <is>
          <t xml:space="preserve">Mazda</t>
        </is>
      </c>
      <c r="F25656" s="0" t="s">
        <v>56</v>
      </c>
      <c r="G25656" s="0" t="s">
        <v>57</v>
      </c>
      <c r="H25656" s="5">
        <v>5463.516000</v>
      </c>
    </row>
    <row r="25657" spans="1:9">
      <c r="A25657" s="22" t="str">
        <f>HYPERLINK("https://app.vivvix.com/360/KMI/IntelliDrive/ApplUI/Pages/CreativePages/CustomReportCreativeDetail.aspx?App=23&amp;ReportView=4&amp;Qid=1711279&amp;Row=25649&amp;Col=1","voice says performance &amp; efficiency in harmony")</f>
        <v/>
      </c>
      <c r="B25657" s="0" t="s">
        <v>34868</v>
      </c>
      <c r="C25657" s="0" t="s">
        <v>34869</v>
      </c>
      <c r="D25657" s="0" t="s">
        <v>34869</v>
      </c>
      <c r="E25657" s="0" t="inlineStr">
        <is>
          <t xml:space="preserve">Mazda</t>
        </is>
      </c>
      <c r="F25657" s="0" t="s">
        <v>28</v>
      </c>
      <c r="G25657" s="0" t="s">
        <v>29</v>
      </c>
      <c r="H25657" s="5">
        <v>8.812000</v>
      </c>
    </row>
    <row r="25658" spans="1:9">
      <c r="A25658" s="22" t="str">
        <f>HYPERLINK("https://app.vivvix.com/360/KMI/IntelliDrive/ApplUI/Pages/CreativePages/CustomReportCreativeDetail.aspx?App=23&amp;ReportView=4&amp;Qid=1711279&amp;Row=25650&amp;Col=1","voice says something is big")</f>
        <v/>
      </c>
      <c r="B25658" s="0" t="s">
        <v>34870</v>
      </c>
      <c r="E25658" s="0" t="inlineStr">
        <is>
          <t xml:space="preserve">Mazda</t>
        </is>
      </c>
      <c r="F25658" s="0" t="s">
        <v>28</v>
      </c>
      <c r="G25658" s="0" t="s">
        <v>29</v>
      </c>
      <c r="H25658" s="5">
        <v>3512.192000</v>
      </c>
    </row>
    <row r="25659" spans="1:9">
      <c r="A25659" s="22" t="str">
        <f>HYPERLINK("https://app.vivvix.com/360/KMI/IntelliDrive/ApplUI/Pages/CreativePages/CustomReportCreativeDetail.aspx?App=23&amp;ReportView=4&amp;Qid=1711279&amp;Row=25651&amp;Col=1","voice says something is big")</f>
        <v/>
      </c>
      <c r="B25659" s="0" t="s">
        <v>34870</v>
      </c>
      <c r="E25659" s="0" t="inlineStr">
        <is>
          <t xml:space="preserve">Mazda</t>
        </is>
      </c>
      <c r="F25659" s="0" t="s">
        <v>28</v>
      </c>
      <c r="G25659" s="0" t="s">
        <v>29</v>
      </c>
      <c r="H25659" s="5">
        <v>352.480000</v>
      </c>
    </row>
    <row r="25660" spans="1:9">
      <c r="A25660" s="22" t="str">
        <f>HYPERLINK("https://app.vivvix.com/360/KMI/IntelliDrive/ApplUI/Pages/CreativePages/CustomReportCreativeDetail.aspx?App=23&amp;ReportView=4&amp;Qid=1711279&amp;Row=25652&amp;Col=1","Wake Up Recharged")</f>
        <v/>
      </c>
      <c r="B25660" s="0" t="s">
        <v>34871</v>
      </c>
      <c r="C25660" s="0" t="s">
        <v>34872</v>
      </c>
      <c r="D25660" s="0" t="s">
        <v>34872</v>
      </c>
      <c r="E25660" s="0" t="inlineStr">
        <is>
          <t xml:space="preserve">Mazda</t>
        </is>
      </c>
      <c r="F25660" s="0" t="s">
        <v>125</v>
      </c>
      <c r="G25660" s="0" t="s">
        <v>126</v>
      </c>
      <c r="H25660" s="5">
        <v>2273.784000</v>
      </c>
    </row>
    <row r="25661" spans="1:9">
      <c r="A25661" s="22" t="str">
        <f>HYPERLINK("https://app.vivvix.com/360/KMI/IntelliDrive/ApplUI/Pages/CreativePages/CustomReportCreativeDetail.aspx?App=23&amp;ReportView=4&amp;Qid=1711279&amp;Row=25653&amp;Col=1","we're looking for outsiders")</f>
        <v/>
      </c>
      <c r="B25661" s="0" t="s">
        <v>34873</v>
      </c>
      <c r="C25661" s="0" t="s">
        <v>34874</v>
      </c>
      <c r="D25661" s="0" t="s">
        <v>34874</v>
      </c>
      <c r="E25661" s="0" t="inlineStr">
        <is>
          <t xml:space="preserve">Mazda</t>
        </is>
      </c>
      <c r="F25661" s="0" t="s">
        <v>13</v>
      </c>
      <c r="G25661" s="0" t="s">
        <v>49</v>
      </c>
      <c r="H25661" s="5">
        <v>118118.739000</v>
      </c>
    </row>
    <row r="25662" spans="1:9">
      <c r="A25662" s="22" t="str">
        <f>HYPERLINK("https://app.vivvix.com/360/KMI/IntelliDrive/ApplUI/Pages/CreativePages/CustomReportCreativeDetail.aspx?App=23&amp;ReportView=4&amp;Qid=1711279&amp;Row=25654&amp;Col=1","we're looking for outsiders")</f>
        <v/>
      </c>
      <c r="B25662" s="0" t="s">
        <v>34873</v>
      </c>
      <c r="E25662" s="0" t="inlineStr">
        <is>
          <t xml:space="preserve">Mazda</t>
        </is>
      </c>
      <c r="F25662" s="0" t="s">
        <v>13</v>
      </c>
      <c r="G25662" s="0" t="s">
        <v>49</v>
      </c>
      <c r="H25662" s="5">
        <v>3133.668000</v>
      </c>
    </row>
    <row r="25663" spans="1:9">
      <c r="A25663" s="22" t="str">
        <f>HYPERLINK("https://app.vivvix.com/360/KMI/IntelliDrive/ApplUI/Pages/CreativePages/CustomReportCreativeDetail.aspx?App=23&amp;ReportView=4&amp;Qid=1711279&amp;Row=25655&amp;Col=1","Welcome home. 30 secs")</f>
        <v/>
      </c>
      <c r="B25663" s="0" t="s">
        <v>34875</v>
      </c>
      <c r="C25663" s="0" t="s">
        <v>34876</v>
      </c>
      <c r="D25663" s="0" t="s">
        <v>34876</v>
      </c>
      <c r="E25663" s="0" t="inlineStr">
        <is>
          <t xml:space="preserve">Mazda</t>
        </is>
      </c>
      <c r="F25663" s="0" t="s">
        <v>13</v>
      </c>
      <c r="G25663" s="0" t="s">
        <v>49</v>
      </c>
      <c r="H25663" s="5">
        <v>98.668000</v>
      </c>
    </row>
    <row r="25664" spans="1:9">
      <c r="A25664" s="22" t="str">
        <f>HYPERLINK("https://app.vivvix.com/360/KMI/IntelliDrive/ApplUI/Pages/CreativePages/CustomReportCreativeDetail.aspx?App=23&amp;ReportView=4&amp;Qid=1711279&amp;Row=25656&amp;Col=1","WHEN LIFE GAVE HIM LEMONS")</f>
        <v/>
      </c>
      <c r="B25664" s="0" t="s">
        <v>34877</v>
      </c>
      <c r="E25664" s="0" t="inlineStr">
        <is>
          <t xml:space="preserve">Mazda</t>
        </is>
      </c>
      <c r="F25664" s="0" t="inlineStr">
        <is>
          <t xml:space="preserve">Mazda</t>
        </is>
      </c>
      <c r="G25664" s="0" t="s">
        <v>210</v>
      </c>
      <c r="H25664" s="5">
        <v>59283.504000</v>
      </c>
    </row>
    <row r="25665" spans="1:9">
      <c r="A25665" s="22" t="str">
        <f>HYPERLINK("https://app.vivvix.com/360/KMI/IntelliDrive/ApplUI/Pages/CreativePages/CustomReportCreativeDetail.aspx?App=23&amp;ReportView=4&amp;Qid=1711279&amp;Row=25657&amp;Col=1","WITH ADVANCED SAFETY FEATURES 15 SEC")</f>
        <v/>
      </c>
      <c r="B25665" s="0" t="s">
        <v>34878</v>
      </c>
      <c r="C25665" s="0" t="s">
        <v>34879</v>
      </c>
      <c r="D25665" s="0" t="s">
        <v>34879</v>
      </c>
      <c r="E25665" s="0" t="inlineStr">
        <is>
          <t xml:space="preserve">Mazda</t>
        </is>
      </c>
      <c r="F25665" s="0" t="s">
        <v>13</v>
      </c>
      <c r="G25665" s="0" t="s">
        <v>49</v>
      </c>
      <c r="H25665" s="5">
        <v>7.469000</v>
      </c>
    </row>
    <row r="25666" spans="1:9">
      <c r="A25666" s="22" t="str">
        <f>HYPERLINK("https://app.vivvix.com/360/KMI/IntelliDrive/ApplUI/Pages/CreativePages/CustomReportCreativeDetail.aspx?App=23&amp;ReportView=4&amp;Qid=1711279&amp;Row=25658&amp;Col=1","with i-activ all wheel drive as standard")</f>
        <v/>
      </c>
      <c r="B25666" s="0" t="s">
        <v>34880</v>
      </c>
      <c r="C25666" s="0" t="s">
        <v>34881</v>
      </c>
      <c r="D25666" s="0" t="s">
        <v>34881</v>
      </c>
      <c r="E25666" s="0" t="inlineStr">
        <is>
          <t xml:space="preserve">Mazda</t>
        </is>
      </c>
      <c r="F25666" s="0" t="s">
        <v>13</v>
      </c>
      <c r="G25666" s="0" t="s">
        <v>49</v>
      </c>
      <c r="H25666" s="5">
        <v>124.261000</v>
      </c>
    </row>
    <row r="25667" spans="1:9">
      <c r="A25667" s="22" t="str">
        <f>HYPERLINK("https://app.vivvix.com/360/KMI/IntelliDrive/ApplUI/Pages/CreativePages/CustomReportCreativeDetail.aspx?App=23&amp;ReportView=4&amp;Qid=1711279&amp;Row=25659&amp;Col=1","With more exterior 12 sec")</f>
        <v/>
      </c>
      <c r="B25667" s="0" t="s">
        <v>34882</v>
      </c>
      <c r="C25667" s="0" t="s">
        <v>34883</v>
      </c>
      <c r="D25667" s="0" t="s">
        <v>34883</v>
      </c>
      <c r="E25667" s="0" t="inlineStr">
        <is>
          <t xml:space="preserve">Mazda</t>
        </is>
      </c>
      <c r="F25667" s="0" t="s">
        <v>52</v>
      </c>
      <c r="G25667" s="0" t="s">
        <v>325</v>
      </c>
      <c r="H25667" s="5">
        <v>147.612000</v>
      </c>
    </row>
    <row r="25668" spans="1:9">
      <c r="A25668" s="22" t="str">
        <f>HYPERLINK("https://app.vivvix.com/360/KMI/IntelliDrive/ApplUI/Pages/CreativePages/CustomReportCreativeDetail.aspx?App=23&amp;ReportView=4&amp;Qid=1711279&amp;Row=25660&amp;Col=1","with standard i-activ all-wheel drive")</f>
        <v/>
      </c>
      <c r="B25668" s="0" t="s">
        <v>34884</v>
      </c>
      <c r="C25668" s="0" t="s">
        <v>34885</v>
      </c>
      <c r="D25668" s="0" t="s">
        <v>34885</v>
      </c>
      <c r="E25668" s="0" t="inlineStr">
        <is>
          <t xml:space="preserve">Mazda</t>
        </is>
      </c>
      <c r="F25668" s="0" t="s">
        <v>28</v>
      </c>
      <c r="G25668" s="0" t="s">
        <v>29</v>
      </c>
      <c r="H25668" s="5">
        <v>191.846000</v>
      </c>
    </row>
    <row r="25669" spans="1:9">
      <c r="A25669" s="22" t="str">
        <f>HYPERLINK("https://app.vivvix.com/360/KMI/IntelliDrive/ApplUI/Pages/CreativePages/CustomReportCreativeDetail.aspx?App=23&amp;ReportView=4&amp;Qid=1711279&amp;Row=25661&amp;Col=1","Wonder Car")</f>
        <v/>
      </c>
      <c r="B25669" s="0" t="s">
        <v>34886</v>
      </c>
      <c r="E25669" s="0" t="inlineStr">
        <is>
          <t xml:space="preserve">Mazda</t>
        </is>
      </c>
      <c r="F25669" s="0" t="inlineStr">
        <is>
          <t xml:space="preserve">Mazda</t>
        </is>
      </c>
      <c r="G25669" s="0" t="s">
        <v>171</v>
      </c>
      <c r="H25669" s="5">
        <v>165109.194000</v>
      </c>
    </row>
    <row r="25670" spans="1:9">
      <c r="A25670" s="22" t="str">
        <f>HYPERLINK("https://app.vivvix.com/360/KMI/IntelliDrive/ApplUI/Pages/CreativePages/CustomReportCreativeDetail.aspx?App=23&amp;ReportView=4&amp;Qid=1711279&amp;Row=25662&amp;Col=1","Wonder Car")</f>
        <v/>
      </c>
      <c r="B25670" s="0" t="s">
        <v>34886</v>
      </c>
      <c r="E25670" s="0" t="inlineStr">
        <is>
          <t xml:space="preserve">Mazda</t>
        </is>
      </c>
      <c r="F25670" s="0" t="inlineStr">
        <is>
          <t xml:space="preserve">Mazda</t>
        </is>
      </c>
      <c r="G25670" s="0" t="s">
        <v>171</v>
      </c>
      <c r="H25670" s="5">
        <v>9633.493000</v>
      </c>
    </row>
    <row r="25671" spans="1:9">
      <c r="A25671" s="22" t="str">
        <f>HYPERLINK("https://app.vivvix.com/360/KMI/IntelliDrive/ApplUI/Pages/CreativePages/CustomReportCreativeDetail.aspx?App=23&amp;ReportView=4&amp;Qid=1711279&amp;Row=25663&amp;Col=1","Wonder Car")</f>
        <v/>
      </c>
      <c r="B25671" s="0" t="s">
        <v>34887</v>
      </c>
      <c r="E25671" s="0" t="inlineStr">
        <is>
          <t xml:space="preserve">Mazda</t>
        </is>
      </c>
      <c r="F25671" s="0" t="inlineStr">
        <is>
          <t xml:space="preserve">Mazda</t>
        </is>
      </c>
      <c r="G25671" s="0" t="s">
        <v>171</v>
      </c>
      <c r="H25671" s="5">
        <v>127370.239000</v>
      </c>
    </row>
    <row r="25672" spans="1:9">
      <c r="A25672" s="22" t="str">
        <f>HYPERLINK("https://app.vivvix.com/360/KMI/IntelliDrive/ApplUI/Pages/CreativePages/CustomReportCreativeDetail.aspx?App=23&amp;ReportView=4&amp;Qid=1711279&amp;Row=25664&amp;Col=1","Wonder Car")</f>
        <v/>
      </c>
      <c r="B25672" s="0" t="s">
        <v>34887</v>
      </c>
      <c r="E25672" s="0" t="inlineStr">
        <is>
          <t xml:space="preserve">Mazda</t>
        </is>
      </c>
      <c r="F25672" s="0" t="inlineStr">
        <is>
          <t xml:space="preserve">Mazda</t>
        </is>
      </c>
      <c r="G25672" s="0" t="s">
        <v>171</v>
      </c>
      <c r="H25672" s="5">
        <v>9749.569000</v>
      </c>
    </row>
    <row r="25673" spans="1:9">
      <c r="A25673" s="22" t="str">
        <f>HYPERLINK("https://app.vivvix.com/360/KMI/IntelliDrive/ApplUI/Pages/CreativePages/CustomReportCreativeDetail.aspx?App=23&amp;ReportView=4&amp;Qid=1711279&amp;Row=25665&amp;Col=1","Wonder Car")</f>
        <v/>
      </c>
      <c r="B25673" s="0" t="s">
        <v>34888</v>
      </c>
      <c r="C25673" s="0" t="s">
        <v>34889</v>
      </c>
      <c r="D25673" s="0" t="s">
        <v>34889</v>
      </c>
      <c r="E25673" s="0" t="inlineStr">
        <is>
          <t xml:space="preserve">Mazda</t>
        </is>
      </c>
      <c r="F25673" s="0" t="inlineStr">
        <is>
          <t xml:space="preserve">Mazda</t>
        </is>
      </c>
      <c r="G25673" s="0" t="s">
        <v>210</v>
      </c>
      <c r="H25673" s="5">
        <v>91626.054000</v>
      </c>
    </row>
    <row r="25674" spans="1:9">
      <c r="A25674" s="22" t="str">
        <f>HYPERLINK("https://app.vivvix.com/360/KMI/IntelliDrive/ApplUI/Pages/CreativePages/CustomReportCreativeDetail.aspx?App=23&amp;ReportView=4&amp;Qid=1711279&amp;Row=25666&amp;Col=1","Wonder Car")</f>
        <v/>
      </c>
      <c r="B25674" s="0" t="s">
        <v>34888</v>
      </c>
      <c r="E25674" s="0" t="inlineStr">
        <is>
          <t xml:space="preserve">Mazda</t>
        </is>
      </c>
      <c r="F25674" s="0" t="inlineStr">
        <is>
          <t xml:space="preserve">Mazda</t>
        </is>
      </c>
      <c r="G25674" s="0" t="s">
        <v>210</v>
      </c>
      <c r="H25674" s="5">
        <v>2874564.517000</v>
      </c>
    </row>
    <row r="25675" spans="1:9">
      <c r="A25675" s="22" t="str">
        <f>HYPERLINK("https://app.vivvix.com/360/KMI/IntelliDrive/ApplUI/Pages/CreativePages/CustomReportCreativeDetail.aspx?App=23&amp;ReportView=4&amp;Qid=1711279&amp;Row=25667&amp;Col=1","Wonder Car (25 Sec.)")</f>
        <v/>
      </c>
      <c r="B25675" s="0" t="s">
        <v>34890</v>
      </c>
      <c r="C25675" s="0" t="s">
        <v>34891</v>
      </c>
      <c r="D25675" s="0" t="s">
        <v>34891</v>
      </c>
      <c r="E25675" s="0" t="inlineStr">
        <is>
          <t xml:space="preserve">Mazda</t>
        </is>
      </c>
      <c r="F25675" s="0" t="inlineStr">
        <is>
          <t xml:space="preserve">Mazda</t>
        </is>
      </c>
      <c r="G25675" s="0" t="s">
        <v>171</v>
      </c>
      <c r="H25675" s="5">
        <v>3997.002000</v>
      </c>
    </row>
    <row r="25676" spans="1:9">
      <c r="A25676" s="22" t="str">
        <f>HYPERLINK("https://app.vivvix.com/360/KMI/IntelliDrive/ApplUI/Pages/CreativePages/CustomReportCreativeDetail.aspx?App=23&amp;ReportView=4&amp;Qid=1711279&amp;Row=25668&amp;Col=1","Wonder Car (25 Sec.)")</f>
        <v/>
      </c>
      <c r="B25676" s="0" t="s">
        <v>34890</v>
      </c>
      <c r="E25676" s="0" t="inlineStr">
        <is>
          <t xml:space="preserve">Mazda</t>
        </is>
      </c>
      <c r="F25676" s="0" t="inlineStr">
        <is>
          <t xml:space="preserve">Mazda</t>
        </is>
      </c>
      <c r="G25676" s="0" t="s">
        <v>171</v>
      </c>
      <c r="H25676" s="5">
        <v>108501.898000</v>
      </c>
    </row>
    <row r="25677" spans="1:9">
      <c r="A25677" s="11" t="s">
        <v>34892</v>
      </c>
      <c r="B25677" s="11" t="inlineStr">
        <is>
          <t xml:space="preserve"/>
        </is>
      </c>
      <c r="C25677" s="11" t="inlineStr">
        <is>
          <t xml:space="preserve"/>
        </is>
      </c>
      <c r="D25677" s="11" t="inlineStr">
        <is>
          <t xml:space="preserve"/>
        </is>
      </c>
      <c r="E25677" s="11" t="inlineStr">
        <is>
          <t xml:space="preserve"/>
        </is>
      </c>
      <c r="F25677" s="11" t="inlineStr">
        <is>
          <t xml:space="preserve"/>
        </is>
      </c>
      <c r="G25677" s="11" t="inlineStr">
        <is>
          <t xml:space="preserve"/>
        </is>
      </c>
      <c r="H25677" s="17">
        <v>162731095.984400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683"/>
  <sheetViews>
    <sheetView workbookViewId="0"/>
  </sheetViews>
  <sheetFormatPr defaultRowHeight="15"/>
  <cols>
    <col min="1" max="1" width="45" customWidth="1"/>
    <col min="2" max="2" width="45" customWidth="1"/>
    <col min="3" max="3" width="45" customWidth="1"/>
    <col min="4" max="4" width="45" customWidth="1"/>
  </cols>
  <sheetData>
    <row r="5" spans="1:4">
      <c r="A5" s="10" t="inlineStr">
        <is>
          <t xml:space="preserve">Report Title:  </t>
        </is>
      </c>
      <c r="B5" s="0" t="inlineStr">
        <is>
          <t xml:space="preserve">Mazda_2024_yearly</t>
        </is>
      </c>
    </row>
    <row r="6" spans="1:4">
      <c r="A6" s="10" t="inlineStr">
        <is>
          <t xml:space="preserve">Report Access:  </t>
        </is>
      </c>
      <c r="B6" s="0" t="inlineStr">
        <is>
          <t xml:space="preserve">PRIVATE                                 </t>
        </is>
      </c>
    </row>
    <row r="7" spans="1:4">
      <c r="A7" s="10" t="inlineStr">
        <is>
          <t xml:space="preserve">Report Owner:  </t>
        </is>
      </c>
      <c r="B7" s="0" t="inlineStr">
        <is>
          <t xml:space="preserve">Yulia Dubizhansky</t>
        </is>
      </c>
    </row>
    <row r="8" spans="1:4">
      <c r="A8" s="10" t="inlineStr">
        <is>
          <t xml:space="preserve">Report Completed:</t>
        </is>
      </c>
      <c r="B8" s="0" t="inlineStr">
        <is>
          <t xml:space="preserve">11/8/2025 13:43:54 EDT</t>
        </is>
      </c>
    </row>
    <row r="9" spans="1:4">
      <c r="A9" s="10" t="inlineStr">
        <is>
          <t xml:space="preserve">Expiration:</t>
        </is>
      </c>
      <c r="B9" s="0" t="inlineStr">
        <is>
          <t xml:space="preserve">12/23/2025</t>
        </is>
      </c>
    </row>
    <row r="10" spans="1:4">
      <c r="A10" s="10" t="inlineStr">
        <is>
          <t xml:space="preserve">Report ID:  </t>
        </is>
      </c>
      <c r="B10" s="0" t="inlineStr">
        <is>
          <t xml:space="preserve">1711274</t>
        </is>
      </c>
    </row>
    <row r="11" spans="1:4">
      <c r="A11" s="10" t="inlineStr">
        <is>
          <t xml:space="preserve">Reported Time Period:</t>
        </is>
      </c>
      <c r="B11" s="0" t="inlineStr">
        <is>
          <t xml:space="preserve">1/1/2024-12/31/2024 </t>
        </is>
      </c>
    </row>
    <row r="12" spans="1:4">
      <c r="A12" s="10" t="inlineStr">
        <is>
          <t xml:space="preserve">Original Populating Profile:</t>
        </is>
      </c>
      <c r="B12" s="0" t="inlineStr">
        <is>
          <t xml:space="preserve">My New Profile</t>
        </is>
      </c>
    </row>
    <row r="13" spans="1:1">
      <c r="A13" s="10" t="inlineStr">
        <is>
          <t xml:space="preserve">Availability</t>
        </is>
      </c>
      <c r="B13" s="10" t="inlineStr">
        <is>
          <t xml:space="preserve">Preliminary Ads:</t>
        </is>
      </c>
      <c r="C13" s="10" t="inlineStr">
        <is>
          <t xml:space="preserve">Final All:</t>
        </is>
      </c>
    </row>
    <row r="14" spans="1:1">
      <c r="A14" s="0" t="inlineStr">
        <is>
          <t xml:space="preserve">Magazines</t>
        </is>
      </c>
      <c r="B14" s="0" t="inlineStr">
        <is>
          <t xml:space="preserve">11/03/2025</t>
        </is>
      </c>
      <c r="C14" s="0" t="inlineStr">
        <is>
          <t xml:space="preserve">10/31/2025</t>
        </is>
      </c>
    </row>
    <row r="15" spans="1:1">
      <c r="A15" s="0" t="inlineStr">
        <is>
          <t xml:space="preserve">Sunday Magazines</t>
        </is>
      </c>
      <c r="B15" s="0" t="inlineStr">
        <is>
          <t xml:space="preserve">10/31/2025</t>
        </is>
      </c>
      <c r="C15" s="0" t="inlineStr">
        <is>
          <t xml:space="preserve">10/31/2025</t>
        </is>
      </c>
    </row>
    <row r="16" spans="1:1">
      <c r="A16" s="0" t="inlineStr">
        <is>
          <t xml:space="preserve">Network TV</t>
        </is>
      </c>
      <c r="B16" s="0" t="inlineStr">
        <is>
          <t xml:space="preserve">11/07/2025</t>
        </is>
      </c>
      <c r="C16" s="0" t="inlineStr">
        <is>
          <t xml:space="preserve">09/30/2025</t>
        </is>
      </c>
    </row>
    <row r="17" spans="1:1">
      <c r="A17" s="0" t="inlineStr">
        <is>
          <t xml:space="preserve">Syndication</t>
        </is>
      </c>
      <c r="B17" s="0" t="inlineStr">
        <is>
          <t xml:space="preserve">11/06/2025</t>
        </is>
      </c>
      <c r="C17" s="0" t="inlineStr">
        <is>
          <t xml:space="preserve">09/30/2025</t>
        </is>
      </c>
    </row>
    <row r="18" spans="1:1">
      <c r="A18" s="0" t="inlineStr">
        <is>
          <t xml:space="preserve">Cable TV</t>
        </is>
      </c>
      <c r="B18" s="0" t="inlineStr">
        <is>
          <t xml:space="preserve">11/07/2025</t>
        </is>
      </c>
      <c r="C18" s="0" t="inlineStr">
        <is>
          <t xml:space="preserve">09/30/2025</t>
        </is>
      </c>
    </row>
    <row r="19" spans="1:1">
      <c r="A19" s="0" t="inlineStr">
        <is>
          <t xml:space="preserve">Spot TV</t>
        </is>
      </c>
      <c r="B19" s="0" t="inlineStr">
        <is>
          <t xml:space="preserve">11/07/2025</t>
        </is>
      </c>
      <c r="C19" s="0" t="inlineStr">
        <is>
          <t xml:space="preserve">09/30/2025</t>
        </is>
      </c>
    </row>
    <row r="20" spans="1:1">
      <c r="A20" s="0" t="inlineStr">
        <is>
          <t xml:space="preserve">Internet - Display</t>
        </is>
      </c>
      <c r="B20" s="0" t="inlineStr">
        <is>
          <t xml:space="preserve">11/07/2025</t>
        </is>
      </c>
      <c r="C20" s="0" t="inlineStr">
        <is>
          <t xml:space="preserve">09/30/2025</t>
        </is>
      </c>
    </row>
    <row r="21" spans="1:1">
      <c r="A21" s="0" t="inlineStr">
        <is>
          <t xml:space="preserve">Newspapers</t>
        </is>
      </c>
      <c r="B21" s="0" t="inlineStr">
        <is>
          <t xml:space="preserve">11/06/2025</t>
        </is>
      </c>
      <c r="C21" s="0" t="inlineStr">
        <is>
          <t xml:space="preserve">09/30/2025</t>
        </is>
      </c>
    </row>
    <row r="22" spans="1:1">
      <c r="A22" s="0" t="inlineStr">
        <is>
          <t xml:space="preserve">Online Video</t>
        </is>
      </c>
      <c r="B22" s="0" t="inlineStr">
        <is>
          <t xml:space="preserve">11/07/2025</t>
        </is>
      </c>
      <c r="C22" s="0" t="inlineStr">
        <is>
          <t xml:space="preserve">09/30/2025</t>
        </is>
      </c>
    </row>
    <row r="23" spans="1:1">
      <c r="A23" s="0" t="inlineStr">
        <is>
          <t xml:space="preserve">Mobile Web</t>
        </is>
      </c>
      <c r="B23" s="0" t="inlineStr">
        <is>
          <t xml:space="preserve">11/07/2025</t>
        </is>
      </c>
      <c r="C23" s="0" t="inlineStr">
        <is>
          <t xml:space="preserve">09/30/2025</t>
        </is>
      </c>
    </row>
    <row r="24" spans="1:1">
      <c r="A24" s="0" t="inlineStr">
        <is>
          <t xml:space="preserve">Mobile Web Video</t>
        </is>
      </c>
      <c r="B24" s="0" t="inlineStr">
        <is>
          <t xml:space="preserve">11/07/2025</t>
        </is>
      </c>
      <c r="C24" s="0" t="inlineStr">
        <is>
          <t xml:space="preserve">09/30/2025</t>
        </is>
      </c>
    </row>
    <row r="26" spans="1:1">
      <c r="A26" s="10" t="inlineStr">
        <is>
          <t xml:space="preserve">Layout</t>
        </is>
      </c>
    </row>
    <row r="27" spans="1:1">
      <c r="A27" s="10" t="inlineStr">
        <is>
          <t xml:space="preserve">  Column/Type</t>
        </is>
      </c>
    </row>
    <row r="28" spans="1:1">
      <c r="A28" s="0" t="inlineStr">
        <is>
          <t xml:space="preserve">    Pivot Export</t>
        </is>
      </c>
    </row>
    <row r="29" spans="1:1">
      <c r="A29" s="10" t="inlineStr">
        <is>
          <t xml:space="preserve">  Sorts</t>
        </is>
      </c>
    </row>
    <row r="30" spans="1:1">
      <c r="A30" s="0" t="inlineStr">
        <is>
          <t xml:space="preserve">    Creative</t>
        </is>
      </c>
      <c r="B30" s="0" t="inlineStr">
        <is>
          <t xml:space="preserve">Links Expire 12/23/2025</t>
        </is>
      </c>
    </row>
    <row r="31" spans="1:1">
      <c r="A31" s="0" t="inlineStr">
        <is>
          <t xml:space="preserve">    Master Creative ID</t>
        </is>
      </c>
    </row>
    <row r="32" spans="1:1">
      <c r="A32" s="0" t="inlineStr">
        <is>
          <t xml:space="preserve">    Detail Creative ID</t>
        </is>
      </c>
    </row>
    <row r="33" spans="1:1">
      <c r="A33" s="0" t="inlineStr">
        <is>
          <t xml:space="preserve">    Parent Creative ID</t>
        </is>
      </c>
    </row>
    <row r="34" spans="1:1">
      <c r="A34" s="0" t="inlineStr">
        <is>
          <t xml:space="preserve">    Advertiser</t>
        </is>
      </c>
    </row>
    <row r="35" spans="1:1">
      <c r="A35" s="0" t="inlineStr">
        <is>
          <t xml:space="preserve">    Brand</t>
        </is>
      </c>
    </row>
    <row r="36" spans="1:1">
      <c r="A36" s="0" t="inlineStr">
        <is>
          <t xml:space="preserve">    Product</t>
        </is>
      </c>
    </row>
    <row r="37" spans="1:1">
      <c r="A37" s="10" t="inlineStr">
        <is>
          <t xml:space="preserve">  Measures/Calcs</t>
        </is>
      </c>
    </row>
    <row r="38" spans="1:1">
      <c r="A38" s="0" t="inlineStr">
        <is>
          <t xml:space="preserve">    Dollars</t>
        </is>
      </c>
      <c r="B38" s="0" t="inlineStr">
        <is>
          <t xml:space="preserve">Weights Applied - None</t>
        </is>
      </c>
    </row>
    <row r="39" spans="1:1">
      <c r="A39" s="10" t="inlineStr">
        <is>
          <t xml:space="preserve">Media/Markets</t>
        </is>
      </c>
    </row>
    <row r="40" spans="1:1">
      <c r="A40" s="10" t="inlineStr">
        <is>
          <t xml:space="preserve">  Media</t>
        </is>
      </c>
    </row>
    <row r="41" spans="1:1">
      <c r="A41" s="0" t="inlineStr">
        <is>
          <t xml:space="preserve">    Network TV</t>
        </is>
      </c>
    </row>
    <row r="42" spans="1:1">
      <c r="A42" s="0" t="inlineStr">
        <is>
          <t xml:space="preserve">    Syndication</t>
        </is>
      </c>
    </row>
    <row r="43" spans="1:1">
      <c r="A43" s="0" t="inlineStr">
        <is>
          <t xml:space="preserve">    Cable TV</t>
        </is>
      </c>
    </row>
    <row r="44" spans="1:1">
      <c r="A44" s="0" t="inlineStr">
        <is>
          <t xml:space="preserve">    Spot TV</t>
        </is>
      </c>
    </row>
    <row r="45" spans="1:1">
      <c r="A45" s="0" t="inlineStr">
        <is>
          <t xml:space="preserve">    Internet - Display</t>
        </is>
      </c>
    </row>
    <row r="46" spans="1:1">
      <c r="A46" s="0" t="inlineStr">
        <is>
          <t xml:space="preserve">    Online Video</t>
        </is>
      </c>
    </row>
    <row r="47" spans="1:1">
      <c r="A47" s="0" t="inlineStr">
        <is>
          <t xml:space="preserve">    Mobile Web</t>
        </is>
      </c>
    </row>
    <row r="48" spans="1:1">
      <c r="A48" s="0" t="inlineStr">
        <is>
          <t xml:space="preserve">    Mobile Web Video</t>
        </is>
      </c>
    </row>
    <row r="49" spans="1:1">
      <c r="A49" s="0" t="inlineStr">
        <is>
          <t xml:space="preserve">    Magazines</t>
        </is>
      </c>
    </row>
    <row r="50" spans="1:1">
      <c r="A50" s="0" t="inlineStr">
        <is>
          <t xml:space="preserve">    Sunday Magazines</t>
        </is>
      </c>
    </row>
    <row r="51" spans="1:1">
      <c r="A51" s="0" t="inlineStr">
        <is>
          <t xml:space="preserve">    Newspapers</t>
        </is>
      </c>
    </row>
    <row r="52" spans="1:1">
      <c r="A52" s="0" t="inlineStr">
        <is>
          <t xml:space="preserve">    House Ads: Excluded </t>
        </is>
      </c>
    </row>
    <row r="53" spans="1:1">
      <c r="A53" s="10" t="inlineStr">
        <is>
          <t xml:space="preserve">  Markets</t>
        </is>
      </c>
    </row>
    <row r="54" spans="1:1">
      <c r="A54" s="0" t="inlineStr">
        <is>
          <t xml:space="preserve">    All</t>
        </is>
      </c>
    </row>
    <row r="55" spans="1:1">
      <c r="A55" s="0" t="inlineStr">
        <is>
          <t xml:space="preserve">    Digital Market Type: Property</t>
        </is>
      </c>
    </row>
    <row r="56" spans="1:1">
      <c r="A56" s="10" t="inlineStr">
        <is>
          <t xml:space="preserve">  Dayparts</t>
        </is>
      </c>
    </row>
    <row r="57" spans="1:1">
      <c r="A57" s="0" t="inlineStr">
        <is>
          <t xml:space="preserve">    Daypart Set: Default Dayparts</t>
        </is>
      </c>
    </row>
    <row r="58" spans="1:1">
      <c r="A58" s="0" t="inlineStr">
        <is>
          <t xml:space="preserve">    All</t>
        </is>
      </c>
    </row>
    <row r="59" spans="1:1">
      <c r="A59" s="10" t="inlineStr">
        <is>
          <t xml:space="preserve">  Languages</t>
        </is>
      </c>
    </row>
    <row r="60" spans="1:1">
      <c r="A60" s="0" t="inlineStr">
        <is>
          <t xml:space="preserve">    All</t>
        </is>
      </c>
    </row>
    <row r="61" spans="1:1">
      <c r="A61" s="10" t="inlineStr">
        <is>
          <t xml:space="preserve">Brands/Categories</t>
        </is>
      </c>
    </row>
    <row r="62" spans="1:1">
      <c r="A62" s="10" t="inlineStr">
        <is>
          <t xml:space="preserve">  Brands</t>
        </is>
      </c>
    </row>
    <row r="63" spans="1:1">
      <c r="A63" s="0" t="inlineStr">
        <is>
          <t xml:space="preserve">    Mazda</t>
        </is>
      </c>
      <c r="B63" s="0" t="inlineStr">
        <is>
          <t xml:space="preserve">Advertiser</t>
        </is>
      </c>
    </row>
    <row r="64" spans="1:1">
      <c r="A64" s="10" t="inlineStr">
        <is>
          <t xml:space="preserve">  Categories</t>
        </is>
      </c>
    </row>
    <row r="65" spans="1:1">
      <c r="A65" s="0" t="inlineStr">
        <is>
          <t xml:space="preserve">    All</t>
        </is>
      </c>
      <c r="B65" s="0" t="inlineStr">
        <is>
          <t xml:space="preserve">Categories</t>
        </is>
      </c>
    </row>
    <row r="66" spans="1:1">
      <c r="A66" s="0" t="inlineStr">
        <is>
          <t xml:space="preserve">  Sponsorship Products: Excluded</t>
        </is>
      </c>
    </row>
    <row r="67" spans="1:1">
      <c r="A67" s="10" t="inlineStr">
        <is>
          <t xml:space="preserve">Time Periods</t>
        </is>
      </c>
    </row>
    <row r="68" spans="1:1">
      <c r="A68" s="10" t="inlineStr">
        <is>
          <t xml:space="preserve">    Type: Calendar</t>
        </is>
      </c>
    </row>
    <row r="69" spans="1:1">
      <c r="A69" s="0" t="inlineStr">
        <is>
          <t xml:space="preserve">    Year 2024</t>
        </is>
      </c>
    </row>
    <row r="70" spans="1:1">
      <c r="A70" s="0" t="inlineStr">
        <is>
          <t xml:space="preserve">    Includes Preliminary Data</t>
        </is>
      </c>
    </row>
    <row r="72" spans="1:1">
      <c r="A72" s="0" t="inlineStr">
        <is>
          <t xml:space="preserve">(c) 2025 Competitive Media Reporting, LLC d/b/a Vivvix</t>
        </is>
      </c>
    </row>
    <row r="73" spans="1:1">
      <c r="A73" s="0" t="inlineStr">
        <is>
          <t xml:space="preserve">Digital estimation models include SimilarWeb metrics.</t>
        </is>
      </c>
    </row>
    <row r="74" spans="1:1">
      <c r="A74" s="0" t="inlineStr">
        <is>
          <t xml:space="preserve">Mobile Web dollars and impressions start April 1, 2015</t>
        </is>
      </c>
    </row>
    <row r="75" spans="1:1">
      <c r="A75" s="0" t="inlineStr">
        <is>
          <t xml:space="preserve">Mobile Web Video spend and impressions start October 1, 2019</t>
        </is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cols>
    <col min="1" max="1" width="75" customWidth="1"/>
    <col min="2" max="2" width="45" customWidth="1"/>
    <col min="3" max="3" width="18" customWidth="1"/>
    <col min="4" max="4" width="45" customWidth="1"/>
    <col min="5" max="5" width="45" customWidth="1"/>
    <col min="6" max="6" width="45" customWidth="1"/>
    <col min="7" max="7" width="75" customWidth="1"/>
    <col min="8" max="8" width="14" customWidth="1"/>
  </cols>
  <sheetData>
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"/>
  <sheetViews>
    <sheetView workbookViewId="0"/>
  </sheetViews>
  <sheetFormatPr defaultRowHeight="15"/>
  <cols>
    <col min="1" max="1" width="45" customWidth="1"/>
    <col min="2" max="2" width="45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3" customWidth="1"/>
    <col min="18" max="18" width="13" customWidth="1"/>
    <col min="19" max="19" width="14" customWidth="1"/>
    <col min="20" max="20" width="14" customWidth="1"/>
    <col min="21" max="21" width="14" customWidth="1"/>
    <col min="22" max="22" width="13" customWidth="1"/>
  </cols>
  <sheetData>
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W14"/>
  <sheetViews>
    <sheetView workbookViewId="0"/>
  </sheetViews>
  <sheetFormatPr defaultRowHeight="15"/>
  <cols>
    <col min="1" max="1" width="45" customWidth="1"/>
    <col min="2" max="2" width="45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3" customWidth="1"/>
    <col min="18" max="18" width="13" customWidth="1"/>
    <col min="19" max="19" width="14" customWidth="1"/>
    <col min="20" max="20" width="14" customWidth="1"/>
    <col min="21" max="21" width="14" customWidth="1"/>
    <col min="22" max="22" width="13" customWidth="1"/>
  </cols>
  <sheetData>
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4"/>
  <sheetViews>
    <sheetView workbookViewId="0"/>
  </sheetViews>
  <sheetFormatPr defaultRowHeight="15"/>
  <cols>
    <col min="1" max="1" width="45" customWidth="1"/>
    <col min="2" max="2" width="45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3" customWidth="1"/>
    <col min="18" max="18" width="13" customWidth="1"/>
    <col min="19" max="19" width="14" customWidth="1"/>
    <col min="20" max="20" width="14" customWidth="1"/>
    <col min="21" max="21" width="14" customWidth="1"/>
    <col min="22" max="22" width="13" customWidth="1"/>
  </cols>
  <sheetData>
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2007-08-15T06:50:14Z</dcterms:created>
  <dcterms:modified xsi:type="dcterms:W3CDTF">2010-05-03T18:06:44Z</dcterms:modified>
</cp:coreProperties>
</file>